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2.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worksheets/sheet11.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bookViews>
    <workbookView visibility="visible" minimized="0" showHorizontalScroll="1" showVerticalScroll="1" showSheetTabs="1" xWindow="390" yWindow="390" windowWidth="27105" windowHeight="14820" tabRatio="733" firstSheet="0" activeTab="1" autoFilterDateGrouping="1"/>
  </bookViews>
  <sheets>
    <sheet name="справка" sheetId="1" state="visible" r:id="rId1"/>
    <sheet name="расчет" sheetId="2" state="visible" r:id="rId2"/>
    <sheet name="КП open book" sheetId="3" state="visible" r:id="rId3"/>
    <sheet name="КП price" sheetId="4" state="visible" r:id="rId4"/>
    <sheet name="для реестра" sheetId="5" state="visible" r:id="rId5"/>
    <sheet name="КА" sheetId="6" state="hidden" r:id="rId6"/>
    <sheet name="Вводные" sheetId="7" state="hidden" r:id="rId7"/>
    <sheet name="Спецификация" sheetId="8" state="hidden" r:id="rId8"/>
    <sheet name="INVOICE" sheetId="9" state="hidden" r:id="rId9"/>
    <sheet name="helpsheet" sheetId="10" state="hidden" r:id="rId10"/>
    <sheet name="sample" sheetId="11" state="hidden" r:id="rId11"/>
  </sheets>
  <externalReferences>
    <externalReference r:id="rId12"/>
  </externalReferences>
  <definedNames>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Вводные!$B$7</definedName>
    <definedName name="buyers_address_1">Вводные!$B$7</definedName>
    <definedName name="buyerssss">Вводные!$B$5</definedName>
    <definedName name="calc_data">расчет!$A$14:$BE$2016</definedName>
    <definedName name="contract_date">Вводные!$B$26</definedName>
    <definedName name="contract_date_1">Вводные!$B$26</definedName>
    <definedName name="contract_date_IN">Вводные!$B$26</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расчет!$D$10</definedName>
    <definedName name="payment_terms_1">Вводные!$B$13</definedName>
    <definedName name="payment_time">Вводные!#REF!</definedName>
    <definedName name="pmt_1">helpsheet!$F$4</definedName>
    <definedName name="pmt_2">helpsheet!$F$5</definedName>
    <definedName name="pmt_3">helpsheet!$F$6</definedName>
    <definedName name="price_cap">#REF!</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_from_26">helpsheet!$O$17</definedName>
    <definedName name="rate_vatRu_till_25">helpsheet!$O$7</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Вводные!$B$21</definedName>
    <definedName name="shipping_address_IN">Вводные!$B$21</definedName>
    <definedName name="shipping_time">Вводные!$B$16</definedName>
    <definedName name="shipping_time_1">Вводные!$B$16</definedName>
    <definedName name="spec_date">Вводные!$B$27</definedName>
    <definedName name="spec_date_IN">Вводные!$B$27</definedName>
    <definedName name="spec_num">Вводные!$B$28</definedName>
    <definedName name="spec_num_IN">Вводные!$B$28</definedName>
    <definedName name="sssss">Вводные!$B$26</definedName>
    <definedName name="Заголовок_столбца_1">#REF!</definedName>
    <definedName name="Название_компании">#REF!</definedName>
    <definedName name="Область_заголовка_столбца1..D10.1">#REF!</definedName>
    <definedName name="Область_заголовка_столбца2..D12.1">#REF!</definedName>
    <definedName name="Область_заголовка_строки1..D4.1">#REF!</definedName>
    <definedName name="_xlnm.Print_Titles" localSheetId="2">'КП open book'!$16:$16</definedName>
    <definedName name="_xlnm.Print_Area" localSheetId="2">'КП open book'!$B$1:$U$2017</definedName>
    <definedName name="_xlnm.Print_Titles" localSheetId="3">'КП price'!$16:$16</definedName>
    <definedName name="_xlnm.Print_Area" localSheetId="3">'КП price'!$B$1:$O$2017</definedName>
    <definedName name="payment_terms" localSheetId="6">Вводные!$B$13</definedName>
    <definedName name="buyer" localSheetId="7">#REF!</definedName>
    <definedName name="buyers_address" localSheetId="7">#REF!</definedName>
    <definedName name="contract_date" localSheetId="7">#REF!</definedName>
    <definedName name="contract_num" localSheetId="7">#REF!</definedName>
    <definedName name="offer_date" localSheetId="7">#REF!</definedName>
    <definedName name="payment_terms" localSheetId="7">#REF!</definedName>
    <definedName name="payment_time" localSheetId="7">#REF!</definedName>
    <definedName name="seller" localSheetId="7">#REF!</definedName>
    <definedName name="shipping_address" localSheetId="7">#REF!</definedName>
    <definedName name="shipping_time" localSheetId="7">#REF!</definedName>
    <definedName name="spec_date" localSheetId="7">#REF!</definedName>
    <definedName name="spec_num" localSheetId="7">#REF!</definedName>
    <definedName name="_xlnm._FilterDatabase" localSheetId="7" hidden="1">'Спецификация'!$H$10:$H$110</definedName>
    <definedName name="_xlnm.Print_Area" localSheetId="7">'Спецификация'!$B$1:$F$144</definedName>
    <definedName name="Заголовок_столбца_1" localSheetId="8">INVOICE!$B$13</definedName>
    <definedName name="Название_компании" localSheetId="8">INVOICE!$B$3</definedName>
    <definedName name="Область_заголовка_столбца1..D10.1" localSheetId="8">INVOICE!$B$6</definedName>
    <definedName name="Область_заголовка_столбца2..D12.1" localSheetId="8">INVOICE!$B$11</definedName>
    <definedName name="Область_заголовка_строки1..D4.1" localSheetId="8">INVOICE!$E$4</definedName>
    <definedName name="_xlnm._FilterDatabase" localSheetId="8" hidden="1">'INVOICE'!$J$13:$J$106</definedName>
    <definedName name="_xlnm.Print_Titles" localSheetId="8">'INVOICE'!$13:$13</definedName>
    <definedName name="_xlnm.Print_Area" localSheetId="8">'INVOICE'!$A$1:$G$118</definedName>
  </definedNames>
  <calcPr calcId="191029" fullCalcOnLoad="1"/>
</workbook>
</file>

<file path=xl/styles.xml><?xml version="1.0" encoding="utf-8"?>
<styleSheet xmlns="http://schemas.openxmlformats.org/spreadsheetml/2006/main">
  <numFmts count="20">
    <numFmt numFmtId="164" formatCode="0.00000%"/>
    <numFmt numFmtId="165" formatCode="_-* #,##0.00_-;\-* #,##0.00_-;_-* &quot;-&quot;??_-;_-@_-"/>
    <numFmt numFmtId="166" formatCode="_-* #,##0.00\ _₽_-;\-* #,##0.00\ _₽_-;_-* &quot;-&quot;??\ _₽_-;_-@_-"/>
    <numFmt numFmtId="167" formatCode="0.000%"/>
    <numFmt numFmtId="168" formatCode="_-* #,##0_-;\-* #,##0_-;_-* &quot;-&quot;??_-;_-@_-"/>
    <numFmt numFmtId="169" formatCode="0.0%"/>
    <numFmt numFmtId="170" formatCode="0;0;&quot;-&quot;"/>
    <numFmt numFmtId="171" formatCode="0%;\-0%;&quot;-&quot;"/>
    <numFmt numFmtId="172" formatCode="#,##0;[Red]\-#,##0;&quot;₽&quot;"/>
    <numFmt numFmtId="173" formatCode="#,##0.00_ ;[Red]\-#,##0.00\ "/>
    <numFmt numFmtId="174" formatCode="0&quot; дней&quot;"/>
    <numFmt numFmtId="175" formatCode="0.0%;\-0.0%;&quot;₽&quot;"/>
    <numFmt numFmtId="176" formatCode="#,##0.00\ &quot;₽&quot;;[Red]\-#,##0.00\ &quot;₽&quot;"/>
    <numFmt numFmtId="177" formatCode="_-[$€-2]\ * #,##0.00_-;\-[$€-2]\ * #,##0.00_-;_-[$€-2]\ * &quot;-&quot;??_-;_-@_-"/>
    <numFmt numFmtId="178" formatCode="[$$-409]#,##0.00"/>
    <numFmt numFmtId="179" formatCode="0.0&quot;%&quot;"/>
    <numFmt numFmtId="180" formatCode="[$-FC19]d\ mmmm\ yyyy\ &quot;г.&quot;"/>
    <numFmt numFmtId="181" formatCode="[$-F800]dddd\,\ mmmm\ dd\,\ yyyy"/>
    <numFmt numFmtId="182" formatCode="#,##0.00\ _₽"/>
    <numFmt numFmtId="183" formatCode="#,##0.00\ &quot;₽&quot;"/>
  </numFmts>
  <fonts count="113">
    <font>
      <name val="Aptos Narrow"/>
      <charset val="204"/>
      <family val="2"/>
      <color theme="1"/>
      <sz val="11"/>
      <scheme val="minor"/>
    </font>
    <font>
      <name val="Aptos Narrow"/>
      <charset val="204"/>
      <family val="2"/>
      <color theme="1"/>
      <sz val="11"/>
      <scheme val="minor"/>
    </font>
    <font>
      <name val="Aptos Narrow"/>
      <charset val="204"/>
      <family val="2"/>
      <color theme="10"/>
      <sz val="11"/>
      <u val="single"/>
      <scheme val="minor"/>
    </font>
    <font>
      <name val="Aptos Narrow"/>
      <family val="2"/>
      <b val="1"/>
      <color theme="1"/>
      <sz val="11"/>
      <scheme val="minor"/>
    </font>
    <font>
      <name val="Aptos Narrow"/>
      <family val="2"/>
      <color theme="1"/>
      <sz val="11"/>
      <scheme val="minor"/>
    </font>
    <font>
      <name val="Aptos Narrow"/>
      <family val="2"/>
      <color theme="10"/>
      <sz val="11"/>
      <u val="single"/>
      <scheme val="minor"/>
    </font>
    <font>
      <name val="Aptos Narrow"/>
      <family val="2"/>
      <sz val="11"/>
      <scheme val="minor"/>
    </font>
    <font>
      <name val="Aptos Narrow"/>
      <family val="2"/>
      <b val="1"/>
      <i val="1"/>
      <color theme="1"/>
      <sz val="11"/>
      <scheme val="minor"/>
    </font>
    <font>
      <name val="Tahoma"/>
      <charset val="162"/>
      <family val="2"/>
      <color indexed="81"/>
      <sz val="9"/>
    </font>
    <font>
      <name val="Tahoma"/>
      <charset val="162"/>
      <family val="2"/>
      <b val="1"/>
      <color indexed="81"/>
      <sz val="9"/>
    </font>
    <font>
      <name val="Aptos Narrow"/>
      <charset val="204"/>
      <family val="2"/>
      <sz val="8"/>
      <scheme val="minor"/>
    </font>
    <font>
      <name val="Tahoma"/>
      <charset val="162"/>
      <family val="2"/>
      <b val="1"/>
      <color indexed="81"/>
      <sz val="9"/>
      <u val="single"/>
    </font>
    <font>
      <name val="Aptos Narrow"/>
      <charset val="204"/>
      <family val="2"/>
      <color rgb="FF000000"/>
      <sz val="10"/>
      <scheme val="minor"/>
    </font>
    <font>
      <name val="Aptos Narrow"/>
      <family val="2"/>
      <i val="1"/>
      <color theme="1"/>
      <sz val="10"/>
      <scheme val="minor"/>
    </font>
    <font>
      <name val="Calibri"/>
      <charset val="162"/>
      <family val="2"/>
      <color theme="1"/>
      <sz val="10"/>
    </font>
    <font>
      <name val="Calibri"/>
      <charset val="162"/>
      <family val="2"/>
      <b val="1"/>
      <color theme="1"/>
      <sz val="10"/>
    </font>
    <font>
      <name val="Calibri"/>
      <charset val="162"/>
      <family val="2"/>
      <color theme="1"/>
      <sz val="9"/>
    </font>
    <font>
      <name val="Calibri"/>
      <charset val="162"/>
      <family val="2"/>
      <color theme="1" tint="0.3499862666707358"/>
      <sz val="9"/>
    </font>
    <font>
      <name val="Calibri"/>
      <charset val="162"/>
      <family val="2"/>
      <color rgb="FF0000FF"/>
      <sz val="9"/>
    </font>
    <font>
      <name val="Calibri"/>
      <charset val="162"/>
      <family val="2"/>
      <color theme="1" tint="0.3499862666707358"/>
      <sz val="8"/>
    </font>
    <font>
      <name val="Calibri"/>
      <charset val="162"/>
      <family val="2"/>
      <color theme="1"/>
      <sz val="8"/>
    </font>
    <font>
      <name val="Calibri"/>
      <charset val="162"/>
      <family val="2"/>
      <color theme="0" tint="-0.1499984740745262"/>
      <sz val="8"/>
    </font>
    <font>
      <name val="Calibri"/>
      <charset val="162"/>
      <family val="2"/>
      <b val="1"/>
      <color rgb="FF0000FF"/>
      <sz val="9"/>
    </font>
    <font>
      <name val="Aptos Narrow"/>
      <charset val="162"/>
      <family val="2"/>
      <color rgb="FF000000"/>
      <sz val="10"/>
      <scheme val="minor"/>
    </font>
    <font>
      <name val="Aptos Narrow"/>
      <family val="2"/>
      <color rgb="FF000000"/>
      <sz val="11"/>
    </font>
    <font>
      <name val="Aptos Narrow"/>
      <family val="2"/>
      <color rgb="FF000000"/>
      <sz val="10"/>
    </font>
    <font>
      <name val="Aptos Narrow"/>
      <family val="2"/>
      <b val="1"/>
      <color theme="0"/>
      <sz val="16"/>
    </font>
    <font>
      <name val="Aptos Narrow"/>
      <family val="2"/>
      <b val="1"/>
      <color rgb="FFFF0000"/>
      <sz val="16"/>
    </font>
    <font>
      <name val="Aptos Narrow"/>
      <family val="2"/>
      <b val="1"/>
      <color theme="0"/>
      <sz val="11"/>
    </font>
    <font>
      <name val="Aptos Narrow"/>
      <family val="2"/>
      <b val="1"/>
      <color rgb="FF000000"/>
      <sz val="11"/>
    </font>
    <font>
      <name val="Aptos Narrow"/>
      <family val="2"/>
      <b val="1"/>
      <color rgb="FF000000"/>
      <sz val="10"/>
    </font>
    <font>
      <name val="Aptos Narrow"/>
      <family val="2"/>
      <color theme="1"/>
      <sz val="11"/>
    </font>
    <font>
      <name val="Aptos Narrow"/>
      <family val="2"/>
      <color theme="0"/>
      <sz val="11"/>
    </font>
    <font>
      <name val="Aptos Narrow"/>
      <family val="2"/>
      <color rgb="FF0563C1"/>
      <sz val="11"/>
      <u val="single"/>
    </font>
    <font>
      <name val="Aptos Narrow"/>
      <family val="2"/>
      <color theme="0"/>
      <sz val="10"/>
    </font>
    <font>
      <name val="Aptos Narrow"/>
      <family val="2"/>
      <b val="1"/>
      <sz val="10"/>
    </font>
    <font>
      <name val="Aptos Narrow"/>
      <family val="2"/>
      <color theme="1"/>
      <sz val="10"/>
    </font>
    <font>
      <name val="Aptos Narrow"/>
      <family val="2"/>
      <color theme="3" tint="0.249977111117893"/>
      <sz val="20"/>
    </font>
    <font>
      <name val="Calibri"/>
      <charset val="162"/>
      <family val="2"/>
      <b val="1"/>
      <color rgb="FF000000"/>
      <sz val="9"/>
    </font>
    <font>
      <name val="Calibri"/>
      <charset val="162"/>
      <family val="2"/>
      <b val="1"/>
      <color theme="1"/>
      <sz val="9"/>
    </font>
    <font>
      <name val="Calibri"/>
      <charset val="162"/>
      <family val="2"/>
      <color rgb="FF000000"/>
      <sz val="9"/>
    </font>
    <font>
      <name val="Calibri"/>
      <charset val="162"/>
      <family val="2"/>
      <color theme="0" tint="-0.1499984740745262"/>
      <sz val="9"/>
    </font>
    <font>
      <name val="Calibri"/>
      <charset val="162"/>
      <family val="2"/>
      <b val="1"/>
      <sz val="9"/>
    </font>
    <font>
      <name val="Calibri"/>
      <charset val="162"/>
      <family val="2"/>
      <b val="1"/>
      <color rgb="FF000000"/>
      <sz val="12"/>
    </font>
    <font>
      <name val="Calibri"/>
      <charset val="162"/>
      <family val="2"/>
      <i val="1"/>
      <color theme="1"/>
      <sz val="9"/>
    </font>
    <font>
      <name val="Calibri"/>
      <charset val="204"/>
      <family val="2"/>
      <sz val="10"/>
    </font>
    <font>
      <name val="Calibri"/>
      <charset val="162"/>
      <family val="2"/>
      <b val="1"/>
      <color theme="1"/>
      <sz val="8"/>
    </font>
    <font>
      <name val="Calibri"/>
      <charset val="162"/>
      <family val="2"/>
      <color theme="10"/>
      <sz val="8"/>
      <u val="single"/>
    </font>
    <font>
      <name val="Calibri"/>
      <charset val="162"/>
      <family val="2"/>
      <i val="1"/>
      <color theme="1"/>
      <sz val="10"/>
    </font>
    <font>
      <name val="Calibri"/>
      <charset val="162"/>
      <family val="2"/>
      <b val="1"/>
      <color theme="1"/>
      <sz val="12"/>
    </font>
    <font>
      <name val="Calibri"/>
      <charset val="162"/>
      <family val="2"/>
      <i val="1"/>
      <color theme="0" tint="-0.499984740745262"/>
      <sz val="8"/>
    </font>
    <font>
      <name val="Calibri"/>
      <charset val="162"/>
      <family val="2"/>
      <i val="1"/>
      <sz val="9"/>
    </font>
    <font>
      <name val="Aptos Narrow"/>
      <family val="2"/>
      <color rgb="FF006100"/>
      <sz val="11"/>
      <scheme val="minor"/>
    </font>
    <font>
      <name val="Calibri"/>
      <charset val="162"/>
      <family val="2"/>
      <b val="1"/>
      <color rgb="FF00B050"/>
      <sz val="8"/>
    </font>
    <font>
      <name val="Calibri"/>
      <charset val="204"/>
      <family val="2"/>
      <b val="1"/>
      <color theme="1"/>
      <sz val="10"/>
    </font>
    <font>
      <name val="Aptos Narrow"/>
      <charset val="204"/>
      <family val="2"/>
      <color theme="1"/>
      <sz val="9"/>
      <scheme val="minor"/>
    </font>
    <font>
      <name val="Aptos Narrow"/>
      <family val="2"/>
      <b val="1"/>
      <color theme="1"/>
      <sz val="9"/>
      <scheme val="minor"/>
    </font>
    <font>
      <name val="Tahoma"/>
      <charset val="204"/>
      <family val="2"/>
      <color indexed="81"/>
      <sz val="9"/>
    </font>
    <font>
      <name val="Tahoma"/>
      <charset val="204"/>
      <family val="2"/>
      <b val="1"/>
      <color indexed="81"/>
      <sz val="9"/>
    </font>
    <font>
      <name val="Calibri"/>
      <charset val="162"/>
      <family val="2"/>
      <color theme="0" tint="-0.0499893185216834"/>
      <sz val="9"/>
    </font>
    <font>
      <name val="Calibri"/>
      <charset val="162"/>
      <family val="2"/>
      <color theme="0" tint="-0.0499893185216834"/>
      <sz val="8"/>
    </font>
    <font>
      <name val="Calibri"/>
      <charset val="162"/>
      <family val="2"/>
      <b val="1"/>
      <color theme="0" tint="-0.0499893185216834"/>
      <sz val="9"/>
    </font>
    <font>
      <name val="Calibri"/>
      <charset val="204"/>
      <family val="2"/>
      <i val="1"/>
      <color theme="1"/>
      <sz val="9"/>
    </font>
    <font>
      <name val="Calibri"/>
      <charset val="204"/>
      <family val="2"/>
      <b val="1"/>
      <i val="1"/>
      <color theme="1"/>
      <sz val="10"/>
    </font>
    <font>
      <name val="Aptos Narrow"/>
      <family val="2"/>
      <color theme="1"/>
      <sz val="10"/>
      <scheme val="minor"/>
    </font>
    <font>
      <name val="Aptos Narrow"/>
      <family val="2"/>
      <color theme="1" tint="0.3499862666707358"/>
      <sz val="10"/>
      <scheme val="minor"/>
    </font>
    <font>
      <name val="Aptos Narrow"/>
      <family val="2"/>
      <color rgb="FF0000FF"/>
      <sz val="10"/>
      <scheme val="minor"/>
    </font>
    <font>
      <name val="Aptos Narrow"/>
      <family val="2"/>
      <color theme="0"/>
      <sz val="8"/>
    </font>
    <font>
      <name val="Calibri"/>
      <family val="2"/>
      <b val="1"/>
      <color theme="0" tint="-0.3499862666707358"/>
      <sz val="9"/>
    </font>
    <font>
      <name val="Calibri"/>
      <family val="2"/>
      <color theme="0" tint="-0.3499862666707358"/>
      <sz val="9"/>
    </font>
    <font>
      <name val="Aptos Narrow"/>
      <family val="2"/>
      <b val="1"/>
      <color rgb="FF255AA4"/>
      <sz val="22"/>
      <scheme val="minor"/>
    </font>
    <font>
      <name val="Aptos Narrow"/>
      <family val="2"/>
      <b val="1"/>
      <color rgb="FF255AA4"/>
      <sz val="20"/>
      <scheme val="minor"/>
    </font>
    <font>
      <name val="Aptos Narrow"/>
      <charset val="204"/>
      <family val="2"/>
      <color theme="1"/>
      <sz val="8"/>
      <scheme val="minor"/>
    </font>
    <font>
      <name val="Calibri"/>
      <charset val="204"/>
      <family val="2"/>
      <color theme="1"/>
      <sz val="9"/>
    </font>
    <font>
      <name val="Calibri"/>
      <family val="2"/>
      <color rgb="FFFF0000"/>
      <sz val="10"/>
    </font>
    <font>
      <name val="Calibri"/>
      <family val="2"/>
      <color theme="6"/>
      <sz val="10"/>
    </font>
    <font>
      <name val="Calibri"/>
      <family val="2"/>
      <b val="1"/>
      <color rgb="FFFF0000"/>
      <sz val="10"/>
    </font>
    <font>
      <name val="Calibri"/>
      <family val="2"/>
      <i val="1"/>
      <color rgb="FFFF0000"/>
      <sz val="9"/>
    </font>
    <font>
      <name val="Calibri"/>
      <charset val="162"/>
      <family val="2"/>
      <color theme="1"/>
      <sz val="16"/>
    </font>
    <font>
      <name val="Calibri"/>
      <family val="2"/>
      <sz val="10"/>
    </font>
    <font>
      <name val="Calibri"/>
      <charset val="204"/>
      <family val="2"/>
      <b val="1"/>
      <sz val="10"/>
    </font>
    <font>
      <name val="Trebuchet MS"/>
      <charset val="204"/>
      <family val="2"/>
      <color theme="1"/>
      <sz val="9"/>
    </font>
    <font>
      <name val="Calibri"/>
      <charset val="204"/>
      <family val="2"/>
      <color theme="1"/>
      <sz val="11"/>
    </font>
    <font>
      <name val="Calibri"/>
      <family val="2"/>
      <color theme="4" tint="-0.499984740745262"/>
      <sz val="26"/>
    </font>
    <font>
      <name val="Aptos Narrow"/>
      <family val="2"/>
      <color theme="1" tint="0.249946592608417"/>
      <sz val="11"/>
      <scheme val="minor"/>
    </font>
    <font>
      <name val="Calibri"/>
      <family val="2"/>
      <color theme="1" tint="0.3499862666707358"/>
      <sz val="18"/>
    </font>
    <font>
      <name val="Calibri"/>
      <family val="2"/>
      <color theme="4" tint="-0.499984740745262"/>
      <sz val="11"/>
    </font>
    <font>
      <name val="Calibri"/>
      <family val="2"/>
      <color theme="1" tint="0.249946592608417"/>
      <sz val="12"/>
    </font>
    <font>
      <name val="Aptos Display"/>
      <family val="2"/>
      <color theme="4" tint="-0.499984740745262"/>
      <sz val="11"/>
      <scheme val="major"/>
    </font>
    <font>
      <name val="Calibri"/>
      <charset val="204"/>
      <family val="2"/>
      <b val="1"/>
      <color theme="4" tint="-0.499984740745262"/>
      <sz val="12"/>
    </font>
    <font>
      <name val="Calibri"/>
      <family val="2"/>
      <color theme="1" tint="0.3499862666707358"/>
      <sz val="11"/>
    </font>
    <font>
      <name val="Aptos Narrow"/>
      <charset val="162"/>
      <family val="2"/>
      <color theme="1"/>
      <sz val="11"/>
      <scheme val="minor"/>
    </font>
    <font>
      <name val="Aptos Narrow"/>
      <charset val="162"/>
      <family val="2"/>
      <b val="1"/>
      <color theme="1"/>
      <sz val="10"/>
      <scheme val="minor"/>
    </font>
    <font>
      <name val="Aptos Narrow"/>
      <charset val="162"/>
      <family val="2"/>
      <color theme="1"/>
      <sz val="16"/>
      <scheme val="minor"/>
    </font>
    <font>
      <name val="Aptos Narrow"/>
      <charset val="162"/>
      <family val="2"/>
      <b val="1"/>
      <color theme="1"/>
      <sz val="11"/>
      <scheme val="minor"/>
    </font>
    <font>
      <name val="Times New Roman"/>
      <charset val="204"/>
      <family val="1"/>
      <i val="1"/>
      <color theme="1"/>
      <sz val="12"/>
    </font>
    <font>
      <name val="Aptos Narrow"/>
      <family val="2"/>
      <b val="1"/>
      <color theme="0"/>
      <sz val="20"/>
    </font>
    <font>
      <name val="Aptos Narrow"/>
      <family val="2"/>
      <b val="1"/>
      <color rgb="FFFF0000"/>
      <sz val="20"/>
    </font>
    <font>
      <name val="Times New Roman"/>
      <charset val="204"/>
      <family val="1"/>
      <b val="1"/>
      <color theme="1"/>
      <sz val="12"/>
    </font>
    <font>
      <name val="Times New Roman"/>
      <charset val="204"/>
      <family val="1"/>
      <color theme="1"/>
      <sz val="12"/>
    </font>
    <font>
      <name val="Times New Roman"/>
      <charset val="204"/>
      <family val="1"/>
      <sz val="11"/>
    </font>
    <font>
      <name val="Times New Roman"/>
      <charset val="204"/>
      <family val="1"/>
      <sz val="12"/>
    </font>
    <font>
      <name val="Times New Roman"/>
      <charset val="204"/>
      <family val="1"/>
      <color theme="1"/>
      <sz val="10"/>
    </font>
    <font>
      <name val="Calibri"/>
      <charset val="204"/>
      <family val="2"/>
      <sz val="11"/>
    </font>
    <font>
      <name val="Times New Roman"/>
      <charset val="204"/>
      <family val="1"/>
      <b val="1"/>
      <color theme="1"/>
      <sz val="11"/>
    </font>
    <font>
      <name val="Times New Roman"/>
      <charset val="204"/>
      <family val="1"/>
      <b val="1"/>
      <color rgb="FFFF0000"/>
      <sz val="11"/>
    </font>
    <font>
      <name val="Aptos Narrow"/>
      <family val="2"/>
      <color rgb="FFFF0000"/>
      <sz val="11"/>
      <scheme val="minor"/>
    </font>
    <font>
      <name val="Times New Roman"/>
      <charset val="204"/>
      <family val="1"/>
      <b val="1"/>
      <color theme="1"/>
      <sz val="11"/>
      <u val="single"/>
    </font>
    <font>
      <name val="Times New Roman"/>
      <charset val="204"/>
      <family val="1"/>
      <color theme="1"/>
      <sz val="11"/>
    </font>
    <font>
      <name val="Times New Roman"/>
      <charset val="204"/>
      <family val="1"/>
      <color theme="1"/>
      <sz val="7"/>
    </font>
    <font>
      <name val="Times New Roman"/>
      <charset val="204"/>
      <family val="1"/>
      <i val="1"/>
      <color theme="1"/>
      <sz val="11"/>
    </font>
    <font>
      <name val="Aptos Narrow"/>
      <charset val="162"/>
      <family val="2"/>
      <color theme="1"/>
      <sz val="18"/>
      <scheme val="minor"/>
    </font>
    <font>
      <name val="Calibri"/>
      <family val="2"/>
      <color theme="1" tint="0.249946592608417"/>
      <sz val="11"/>
    </font>
  </fonts>
  <fills count="31">
    <fill>
      <patternFill/>
    </fill>
    <fill>
      <patternFill patternType="gray125"/>
    </fill>
    <fill>
      <patternFill patternType="solid">
        <fgColor rgb="FFFFFFCC"/>
      </patternFill>
    </fill>
    <fill>
      <patternFill patternType="solid">
        <fgColor theme="0" tint="-0.0499893185216834"/>
        <bgColor indexed="64"/>
      </patternFill>
    </fill>
    <fill>
      <patternFill patternType="solid">
        <fgColor theme="9" tint="0.7999816888943144"/>
        <bgColor indexed="64"/>
      </patternFill>
    </fill>
    <fill>
      <patternFill patternType="solid">
        <fgColor rgb="FFFFFFCC"/>
        <bgColor indexed="64"/>
      </patternFill>
    </fill>
    <fill>
      <patternFill patternType="solid">
        <fgColor theme="9" tint="0.5999938962981048"/>
        <bgColor indexed="64"/>
      </patternFill>
    </fill>
    <fill>
      <patternFill patternType="solid">
        <fgColor theme="5" tint="0.7999816888943144"/>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
        <bgColor indexed="64"/>
      </patternFill>
    </fill>
    <fill>
      <patternFill patternType="solid">
        <fgColor theme="6" tint="0.5999938962981048"/>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2"/>
        <bgColor indexed="64"/>
      </patternFill>
    </fill>
    <fill>
      <patternFill patternType="solid">
        <fgColor theme="7" tint="0.7999816888943144"/>
        <bgColor indexed="64"/>
      </patternFill>
    </fill>
    <fill>
      <patternFill patternType="solid">
        <fgColor rgb="FF92D05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
        <bgColor indexed="65"/>
      </patternFill>
    </fill>
    <fill>
      <patternFill patternType="solid">
        <fgColor rgb="FFD9F7FB"/>
        <bgColor indexed="64"/>
      </patternFill>
    </fill>
    <fill>
      <patternFill patternType="solid">
        <fgColor theme="0"/>
        <bgColor indexed="64"/>
      </patternFill>
    </fill>
  </fills>
  <borders count="130">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
      </left>
      <right/>
      <top style="thin">
        <color theme="4" tint="0.3999755851924192"/>
      </top>
      <bottom style="thin">
        <color theme="4" tint="0.3999755851924192"/>
      </bottom>
      <diagonal/>
    </border>
    <border>
      <left/>
      <right/>
      <top style="thin">
        <color theme="4" tint="0.3999755851924192"/>
      </top>
      <bottom style="thin">
        <color theme="4" tint="0.3999755851924192"/>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
      </top>
      <bottom style="thin">
        <color theme="0" tint="-0.1499679555650502"/>
      </bottom>
      <diagonal/>
    </border>
    <border>
      <left/>
      <right/>
      <top style="thin">
        <color theme="0" tint="-0.1499679555650502"/>
      </top>
      <bottom style="thin">
        <color theme="0" tint="-0.1499679555650502"/>
      </bottom>
      <diagonal/>
    </border>
    <border>
      <left/>
      <right style="thin">
        <color rgb="FFDDDDDD"/>
      </right>
      <top style="thin">
        <color theme="0" tint="-0.1499679555650502"/>
      </top>
      <bottom style="thin">
        <color theme="0" tint="-0.1499679555650502"/>
      </bottom>
      <diagonal/>
    </border>
    <border>
      <left/>
      <right style="thin">
        <color theme="1" tint="0.499984740745262"/>
      </right>
      <top style="thin">
        <color rgb="FFDDDDDD"/>
      </top>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top/>
      <bottom/>
      <diagonal/>
    </border>
    <border>
      <left/>
      <right style="thin">
        <color theme="0" tint="-0.249946592608417"/>
      </right>
      <top/>
      <bottom/>
      <diagonal/>
    </border>
    <border>
      <left style="thin">
        <color theme="0" tint="-0.249946592608417"/>
      </left>
      <right/>
      <top/>
      <bottom style="thin">
        <color theme="0" tint="-0.249946592608417"/>
      </bottom>
      <diagonal/>
    </border>
    <border>
      <left/>
      <right/>
      <top/>
      <bottom style="thin">
        <color theme="0" tint="-0.249946592608417"/>
      </bottom>
      <diagonal/>
    </border>
    <border>
      <left/>
      <right style="thin">
        <color theme="0" tint="-0.249946592608417"/>
      </right>
      <top/>
      <bottom style="thin">
        <color theme="0" tint="-0.249946592608417"/>
      </bottom>
      <diagonal/>
    </border>
    <border>
      <left style="thin">
        <color theme="0" tint="-0.249946592608417"/>
      </left>
      <right/>
      <top style="thin">
        <color theme="0" tint="-0.249946592608417"/>
      </top>
      <bottom style="thin">
        <color theme="1" tint="0.499984740745262"/>
      </bottom>
      <diagonal/>
    </border>
    <border>
      <left/>
      <right/>
      <top style="thin">
        <color theme="0" tint="-0.249946592608417"/>
      </top>
      <bottom style="thin">
        <color theme="1" tint="0.499984740745262"/>
      </bottom>
      <diagonal/>
    </border>
    <border>
      <left style="thin">
        <color theme="1" tint="0.499984740745262"/>
      </left>
      <right style="thin">
        <color theme="0" tint="-0.249946592608417"/>
      </right>
      <top style="thin">
        <color theme="0" tint="-0.249946592608417"/>
      </top>
      <bottom style="thin">
        <color theme="1" tint="0.499984740745262"/>
      </bottom>
      <diagonal/>
    </border>
    <border>
      <left style="thin">
        <color theme="1" tint="0.499984740745262"/>
      </left>
      <right style="thin">
        <color theme="0" tint="-0.249946592608417"/>
      </right>
      <top/>
      <bottom/>
      <diagonal/>
    </border>
    <border>
      <left style="thin">
        <color theme="1" tint="0.499984740745262"/>
      </left>
      <right style="thin">
        <color theme="0" tint="-0.249946592608417"/>
      </right>
      <top/>
      <bottom style="thin">
        <color theme="0" tint="-0.249946592608417"/>
      </bottom>
      <diagonal/>
    </border>
    <border>
      <left style="thin">
        <color theme="0" tint="-0.249946592608417"/>
      </left>
      <right/>
      <top style="thin">
        <color theme="0" tint="-0.249946592608417"/>
      </top>
      <bottom/>
      <diagonal/>
    </border>
    <border>
      <left/>
      <right/>
      <top style="thin">
        <color theme="0" tint="-0.249946592608417"/>
      </top>
      <bottom/>
      <diagonal/>
    </border>
    <border>
      <left/>
      <right style="thin">
        <color theme="0" tint="-0.249946592608417"/>
      </right>
      <top style="thin">
        <color theme="0" tint="-0.249946592608417"/>
      </top>
      <bottom/>
      <diagonal/>
    </border>
    <border>
      <left style="thin">
        <color theme="0" tint="-0.249946592608417"/>
      </left>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theme="0" tint="-0.249946592608417"/>
      </right>
      <top/>
      <bottom/>
      <diagonal/>
    </border>
    <border>
      <left style="thin">
        <color theme="0" tint="-0.249946592608417"/>
      </left>
      <right style="thin">
        <color theme="0" tint="-0.249946592608417"/>
      </right>
      <top/>
      <bottom style="thin">
        <color theme="0" tint="-0.249946592608417"/>
      </bottom>
      <diagonal/>
    </border>
    <border>
      <left style="thin">
        <color theme="1" tint="0.499984740745262"/>
      </left>
      <right/>
      <top style="thin">
        <color theme="0" tint="-0.1499679555650502"/>
      </top>
      <bottom style="thin">
        <color rgb="FFDDDDDD"/>
      </bottom>
      <diagonal/>
    </border>
    <border>
      <left/>
      <right/>
      <top style="thin">
        <color theme="0" tint="-0.1499679555650502"/>
      </top>
      <bottom style="thin">
        <color rgb="FFDDDDDD"/>
      </bottom>
      <diagonal/>
    </border>
    <border>
      <left/>
      <right style="thin">
        <color theme="1" tint="0.499984740745262"/>
      </right>
      <top style="thin">
        <color theme="0" tint="-0.1499679555650502"/>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
      </top>
      <bottom/>
      <diagonal/>
    </border>
    <border>
      <left/>
      <right/>
      <top style="medium">
        <color theme="0"/>
      </top>
      <bottom style="medium">
        <color theme="0"/>
      </bottom>
      <diagonal/>
    </border>
    <border>
      <left/>
      <right/>
      <top style="thin">
        <color theme="0" tint="-0.3499862666707358"/>
      </top>
      <bottom/>
      <diagonal/>
    </border>
    <border>
      <left/>
      <right/>
      <top style="medium">
        <color theme="0"/>
      </top>
      <bottom/>
      <diagonal/>
    </border>
    <border>
      <left/>
      <right/>
      <top style="double">
        <color theme="2" tint="-0.249946592608417"/>
      </top>
      <bottom style="thick">
        <color theme="2" tint="-0.249946592608417"/>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
      </top>
      <bottom style="medium">
        <color theme="0"/>
      </bottom>
      <diagonal/>
    </border>
    <border>
      <left/>
      <right/>
      <top style="medium">
        <color theme="2" tint="-0.249946592608417"/>
      </top>
      <bottom style="thin">
        <color theme="0" tint="-0.3499862666707358"/>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theme="1" tint="0.499984740745262"/>
      </left>
      <right style="thin">
        <color rgb="FFDDDDDD"/>
      </right>
      <top style="thin">
        <color theme="0" tint="-0.1499679555650502"/>
      </top>
      <bottom style="thin">
        <color theme="0" tint="-0.1499679555650502"/>
      </bottom>
      <diagonal/>
    </border>
    <border>
      <left/>
      <right/>
      <top style="thin">
        <color theme="0" tint="-0.1499679555650502"/>
      </top>
      <bottom/>
      <diagonal/>
    </border>
    <border>
      <left/>
      <right style="thin">
        <color rgb="FFDDDDDD"/>
      </right>
      <top style="thin">
        <color theme="0" tint="-0.1499679555650502"/>
      </top>
      <bottom/>
      <diagonal/>
    </border>
    <border>
      <left style="thin">
        <color theme="1" tint="0.499984740745262"/>
      </left>
      <right style="thin">
        <color theme="1" tint="0.499984740745262"/>
      </right>
      <top style="thin">
        <color rgb="FFDDDDDD"/>
      </top>
      <bottom style="thin">
        <color rgb="FFDDDDDD"/>
      </bottom>
      <diagonal/>
    </border>
    <border>
      <left style="thin">
        <color rgb="FFDDDDDD"/>
      </left>
      <right style="thin">
        <color rgb="FFDDDDDD"/>
      </right>
      <top style="thin">
        <color rgb="FFDDDDDD"/>
      </top>
      <bottom style="dotted">
        <color rgb="FFDDDDDD"/>
      </bottom>
      <diagonal/>
    </border>
    <border>
      <left/>
      <right/>
      <top style="dotted">
        <color rgb="FFDDDDDD"/>
      </top>
      <bottom/>
      <diagonal/>
    </border>
    <border>
      <left style="thin">
        <color theme="1" tint="0.499984740745262"/>
      </left>
      <right style="thin">
        <color theme="1" tint="0.499984740745262"/>
      </right>
      <top style="thin">
        <color theme="0" tint="-0.1499679555650502"/>
      </top>
      <bottom style="thin">
        <color rgb="FFDDDDDD"/>
      </bottom>
      <diagonal/>
    </border>
    <border>
      <left/>
      <right style="thin">
        <color theme="1" tint="0.499984740745262"/>
      </right>
      <top style="thin">
        <color theme="0" tint="-0.1499679555650502"/>
      </top>
      <bottom/>
      <diagonal/>
    </border>
    <border>
      <left/>
      <right/>
      <top style="thin">
        <color rgb="FFCBCCD7"/>
      </top>
      <bottom/>
      <diagonal/>
    </border>
    <border>
      <left/>
      <right style="dotted">
        <color rgb="FFCBCCD7"/>
      </right>
      <top style="thin">
        <color rgb="FFCBCCD7"/>
      </top>
      <bottom/>
      <diagonal/>
    </border>
    <border>
      <left/>
      <right/>
      <top style="thin">
        <color rgb="FFCBCCD7"/>
      </top>
      <bottom style="thin">
        <color rgb="FFCBCCD7"/>
      </bottom>
      <diagonal/>
    </border>
    <border>
      <left/>
      <right style="dotted">
        <color rgb="FFCBCCD7"/>
      </right>
      <top style="thin">
        <color rgb="FFCBCCD7"/>
      </top>
      <bottom style="thin">
        <color rgb="FFCBCCD7"/>
      </bottom>
      <diagonal/>
    </border>
    <border>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4472C4"/>
      </bottom>
      <diagonal/>
    </border>
    <border>
      <left style="medium">
        <color rgb="FFCCCCCC"/>
      </left>
      <right/>
      <top/>
      <bottom/>
      <diagonal/>
    </border>
    <border>
      <left style="medium">
        <color rgb="FFCCCCCC"/>
      </left>
      <right style="medium">
        <color rgb="FFCCCCCC"/>
      </right>
      <top/>
      <bottom/>
      <diagonal/>
    </border>
    <border>
      <left/>
      <right/>
      <top style="thin">
        <color rgb="FFB2B2B2"/>
      </top>
      <bottom/>
      <diagonal/>
    </border>
    <border>
      <left/>
      <right style="thin">
        <color rgb="FFB2B2B2"/>
      </right>
      <top style="thin">
        <color rgb="FFB2B2B2"/>
      </top>
      <bottom/>
      <diagonal/>
    </border>
    <border>
      <left/>
      <right style="thin">
        <color rgb="FFB2B2B2"/>
      </right>
      <top style="thin">
        <color rgb="FFB2B2B2"/>
      </top>
      <bottom style="thin">
        <color rgb="FFB2B2B2"/>
      </bottom>
      <diagonal/>
    </border>
  </borders>
  <cellStyleXfs count="27">
    <xf numFmtId="0" fontId="1" fillId="0" borderId="0"/>
    <xf numFmtId="165" fontId="1" fillId="0" borderId="0"/>
    <xf numFmtId="9" fontId="1" fillId="0" borderId="0"/>
    <xf numFmtId="0" fontId="1" fillId="2" borderId="1"/>
    <xf numFmtId="0" fontId="2" fillId="0" borderId="0"/>
    <xf numFmtId="0" fontId="1" fillId="2" borderId="1"/>
    <xf numFmtId="0" fontId="23" fillId="0" borderId="0"/>
    <xf numFmtId="165" fontId="12" fillId="0" borderId="0"/>
    <xf numFmtId="0" fontId="23" fillId="0" borderId="0"/>
    <xf numFmtId="9" fontId="12" fillId="0" borderId="0"/>
    <xf numFmtId="0" fontId="12" fillId="2" borderId="1"/>
    <xf numFmtId="0" fontId="52" fillId="15" borderId="0"/>
    <xf numFmtId="0" fontId="1" fillId="28" borderId="0"/>
    <xf numFmtId="0" fontId="83" fillId="0" borderId="96" applyAlignment="1">
      <alignment horizontal="right"/>
    </xf>
    <xf numFmtId="0" fontId="84" fillId="0" borderId="0" applyAlignment="1">
      <alignment horizontal="left" wrapText="1"/>
    </xf>
    <xf numFmtId="0" fontId="85" fillId="0" borderId="0" applyAlignment="1">
      <alignment horizontal="left"/>
    </xf>
    <xf numFmtId="0" fontId="86" fillId="0" borderId="0" applyAlignment="1">
      <alignment horizontal="right" indent="1"/>
    </xf>
    <xf numFmtId="0" fontId="87" fillId="0" borderId="0" applyAlignment="1">
      <alignment horizontal="left" vertical="top" wrapText="1"/>
    </xf>
    <xf numFmtId="14" fontId="84" fillId="0" borderId="0" applyAlignment="1">
      <alignment horizontal="left" wrapText="1"/>
    </xf>
    <xf numFmtId="0" fontId="86" fillId="0" borderId="0" applyAlignment="1">
      <alignment horizontal="left"/>
    </xf>
    <xf numFmtId="0" fontId="84" fillId="0" borderId="0" applyAlignment="1">
      <alignment horizontal="left" wrapText="1" indent="6"/>
    </xf>
    <xf numFmtId="43" fontId="84" fillId="0" borderId="0"/>
    <xf numFmtId="183" fontId="84" fillId="0" borderId="0" applyAlignment="1">
      <alignment horizontal="right" indent="1"/>
    </xf>
    <xf numFmtId="0" fontId="4" fillId="0" borderId="0"/>
    <xf numFmtId="0" fontId="4" fillId="2" borderId="1"/>
    <xf numFmtId="0" fontId="23" fillId="0" borderId="0"/>
    <xf numFmtId="9" fontId="4" fillId="0" borderId="0"/>
  </cellStyleXfs>
  <cellXfs count="844">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4"/>
    <xf numFmtId="0" fontId="6" fillId="0" borderId="0" pivotButton="0" quotePrefix="0" xfId="0"/>
    <xf numFmtId="9" fontId="4" fillId="0" borderId="0" applyAlignment="1" pivotButton="0" quotePrefix="0" xfId="5">
      <alignment horizontal="left"/>
    </xf>
    <xf numFmtId="9" fontId="4" fillId="0" borderId="0" applyAlignment="1" pivotButton="0" quotePrefix="0" xfId="5">
      <alignment horizontal="center"/>
    </xf>
    <xf numFmtId="0" fontId="4" fillId="0" borderId="0" applyAlignment="1" pivotButton="0" quotePrefix="0" xfId="0">
      <alignment horizontal="center"/>
    </xf>
    <xf numFmtId="9" fontId="0" fillId="0" borderId="0" applyAlignment="1" pivotButton="0" quotePrefix="0" xfId="2">
      <alignment horizontal="center"/>
    </xf>
    <xf numFmtId="9" fontId="4" fillId="0" borderId="0" applyAlignment="1" pivotButton="0" quotePrefix="0" xfId="0">
      <alignment horizontal="center"/>
    </xf>
    <xf numFmtId="9" fontId="4" fillId="0" borderId="0" applyAlignment="1" pivotButton="0" quotePrefix="0" xfId="2">
      <alignment horizontal="center"/>
    </xf>
    <xf numFmtId="164" fontId="4" fillId="0" borderId="0" applyAlignment="1" pivotButton="0" quotePrefix="0" xfId="2">
      <alignment horizontal="center"/>
    </xf>
    <xf numFmtId="165" fontId="0" fillId="0" borderId="0" pivotButton="0" quotePrefix="0" xfId="1"/>
    <xf numFmtId="165" fontId="4" fillId="0" borderId="0" pivotButton="0" quotePrefix="0" xfId="1"/>
    <xf numFmtId="9" fontId="4" fillId="0" borderId="0" applyAlignment="1" pivotButton="0" quotePrefix="0" xfId="2">
      <alignment horizontal="center"/>
    </xf>
    <xf numFmtId="166" fontId="4" fillId="0" borderId="0" pivotButton="0" quotePrefix="0" xfId="0"/>
    <xf numFmtId="9" fontId="0" fillId="0" borderId="0" pivotButton="0" quotePrefix="0" xfId="0"/>
    <xf numFmtId="9" fontId="3" fillId="0" borderId="0" pivotButton="0" quotePrefix="0" xfId="2"/>
    <xf numFmtId="9" fontId="3" fillId="0" borderId="0" applyAlignment="1" pivotButton="0" quotePrefix="0" xfId="2">
      <alignment horizontal="center"/>
    </xf>
    <xf numFmtId="165" fontId="0" fillId="0" borderId="0" applyAlignment="1" pivotButton="0" quotePrefix="0" xfId="1">
      <alignment horizontal="center"/>
    </xf>
    <xf numFmtId="165" fontId="3" fillId="0" borderId="0" pivotButton="0" quotePrefix="0" xfId="1"/>
    <xf numFmtId="0" fontId="7" fillId="0" borderId="0" pivotButton="0" quotePrefix="0" xfId="0"/>
    <xf numFmtId="167" fontId="0" fillId="0" borderId="0" applyAlignment="1" pivotButton="0" quotePrefix="0" xfId="2">
      <alignment horizontal="center"/>
    </xf>
    <xf numFmtId="9" fontId="3" fillId="0" borderId="0" pivotButton="0" quotePrefix="0" xfId="0"/>
    <xf numFmtId="166" fontId="3" fillId="0" borderId="0" pivotButton="0" quotePrefix="0" xfId="0"/>
    <xf numFmtId="0" fontId="0" fillId="6" borderId="0" pivotButton="0" quotePrefix="0" xfId="0"/>
    <xf numFmtId="9" fontId="0" fillId="6" borderId="0" applyAlignment="1" pivotButton="0" quotePrefix="0" xfId="2">
      <alignment horizontal="center"/>
    </xf>
    <xf numFmtId="165" fontId="0" fillId="6" borderId="0" pivotButton="0" quotePrefix="0" xfId="1"/>
    <xf numFmtId="0" fontId="3" fillId="6" borderId="0" pivotButton="0" quotePrefix="0" xfId="0"/>
    <xf numFmtId="9" fontId="3" fillId="6" borderId="0" applyAlignment="1" pivotButton="0" quotePrefix="0" xfId="2">
      <alignment horizontal="center"/>
    </xf>
    <xf numFmtId="165" fontId="3" fillId="6" borderId="0" pivotButton="0" quotePrefix="0" xfId="1"/>
    <xf numFmtId="0" fontId="4" fillId="0" borderId="0" applyAlignment="1" pivotButton="0" quotePrefix="0" xfId="0">
      <alignment horizontal="right"/>
    </xf>
    <xf numFmtId="166" fontId="0" fillId="0" borderId="0" applyAlignment="1" pivotButton="0" quotePrefix="0" xfId="0">
      <alignment horizontal="right"/>
    </xf>
    <xf numFmtId="9" fontId="0" fillId="0" borderId="7" applyAlignment="1" pivotButton="0" quotePrefix="0" xfId="0">
      <alignment horizontal="center"/>
    </xf>
    <xf numFmtId="165" fontId="0" fillId="7" borderId="0" pivotButton="0" quotePrefix="0" xfId="1"/>
    <xf numFmtId="9" fontId="4" fillId="7" borderId="0" applyAlignment="1" pivotButton="0" quotePrefix="0" xfId="2">
      <alignment horizontal="center"/>
    </xf>
    <xf numFmtId="168" fontId="4" fillId="0" borderId="0" pivotButton="0" quotePrefix="0" xfId="1"/>
    <xf numFmtId="168" fontId="0" fillId="0" borderId="0" applyAlignment="1" pivotButton="0" quotePrefix="0" xfId="1">
      <alignment horizontal="center"/>
    </xf>
    <xf numFmtId="0" fontId="3" fillId="0" borderId="0" applyAlignment="1" pivotButton="0" quotePrefix="0" xfId="0">
      <alignment horizontal="left"/>
    </xf>
    <xf numFmtId="9" fontId="4" fillId="0" borderId="0" applyAlignment="1" pivotButton="0" quotePrefix="0" xfId="5">
      <alignment horizontal="center"/>
    </xf>
    <xf numFmtId="9" fontId="3" fillId="0" borderId="0" applyAlignment="1" pivotButton="0" quotePrefix="0" xfId="5">
      <alignment horizontal="center"/>
    </xf>
    <xf numFmtId="0" fontId="17" fillId="3" borderId="2" applyAlignment="1" pivotButton="0" quotePrefix="0" xfId="1">
      <alignment horizontal="center" vertical="top" wrapText="1"/>
    </xf>
    <xf numFmtId="0" fontId="16" fillId="0" borderId="0" applyAlignment="1" pivotButton="0" quotePrefix="0" xfId="1">
      <alignment horizontal="center" vertical="top" wrapText="1"/>
    </xf>
    <xf numFmtId="0" fontId="19" fillId="3" borderId="2" applyAlignment="1" pivotButton="0" quotePrefix="0" xfId="1">
      <alignment horizontal="center"/>
    </xf>
    <xf numFmtId="0" fontId="20" fillId="0" borderId="0" applyAlignment="1" pivotButton="0" quotePrefix="0" xfId="1">
      <alignment horizontal="center"/>
    </xf>
    <xf numFmtId="0" fontId="24" fillId="10" borderId="0" applyAlignment="1" pivotButton="0" quotePrefix="0" xfId="6">
      <alignment horizontal="center"/>
    </xf>
    <xf numFmtId="0" fontId="24" fillId="10" borderId="0" applyAlignment="1" pivotButton="0" quotePrefix="0" xfId="6">
      <alignment horizontal="left"/>
    </xf>
    <xf numFmtId="0" fontId="25" fillId="0" borderId="0" pivotButton="0" quotePrefix="0" xfId="6"/>
    <xf numFmtId="0" fontId="26" fillId="0" borderId="0" pivotButton="0" quotePrefix="0" xfId="6"/>
    <xf numFmtId="0" fontId="24" fillId="10" borderId="0" applyAlignment="1" pivotButton="0" quotePrefix="0" xfId="6">
      <alignment horizontal="right" vertical="top"/>
    </xf>
    <xf numFmtId="0" fontId="29" fillId="10" borderId="0" applyAlignment="1" pivotButton="0" quotePrefix="0" xfId="6">
      <alignment horizontal="right" vertical="top"/>
    </xf>
    <xf numFmtId="0" fontId="25" fillId="0" borderId="23" applyAlignment="1" pivotButton="0" quotePrefix="0" xfId="6">
      <alignment vertical="center"/>
    </xf>
    <xf numFmtId="0" fontId="30" fillId="0" borderId="18" applyAlignment="1" pivotButton="0" quotePrefix="0" xfId="6">
      <alignment horizontal="left" vertical="center"/>
    </xf>
    <xf numFmtId="9" fontId="30" fillId="0" borderId="18" applyAlignment="1" pivotButton="0" quotePrefix="0" xfId="6">
      <alignment horizontal="left" vertical="center"/>
    </xf>
    <xf numFmtId="0" fontId="25" fillId="0" borderId="23" applyAlignment="1" pivotButton="0" quotePrefix="0" xfId="6">
      <alignment vertical="center" wrapText="1"/>
    </xf>
    <xf numFmtId="0" fontId="30" fillId="0" borderId="0" pivotButton="0" quotePrefix="0" xfId="6"/>
    <xf numFmtId="0" fontId="32" fillId="10" borderId="0" applyAlignment="1" pivotButton="0" quotePrefix="0" xfId="6">
      <alignment horizontal="center"/>
    </xf>
    <xf numFmtId="0" fontId="34" fillId="0" borderId="0" pivotButton="0" quotePrefix="0" xfId="6"/>
    <xf numFmtId="0" fontId="24" fillId="10" borderId="0" applyAlignment="1" pivotButton="0" quotePrefix="0" xfId="6">
      <alignment horizontal="center" vertical="center" wrapText="1"/>
    </xf>
    <xf numFmtId="0" fontId="25" fillId="0" borderId="0" applyAlignment="1" pivotButton="0" quotePrefix="0" xfId="6">
      <alignment vertical="center" wrapText="1"/>
    </xf>
    <xf numFmtId="0" fontId="35" fillId="0" borderId="0" applyAlignment="1" applyProtection="1" pivotButton="0" quotePrefix="0" xfId="6">
      <alignment vertical="center" wrapText="1"/>
      <protection locked="0" hidden="0"/>
    </xf>
    <xf numFmtId="0" fontId="26" fillId="0" borderId="0" applyAlignment="1" pivotButton="0" quotePrefix="0" xfId="6">
      <alignment vertical="center"/>
    </xf>
    <xf numFmtId="166" fontId="25" fillId="0" borderId="0" pivotButton="0" quotePrefix="0" xfId="6"/>
    <xf numFmtId="0" fontId="36" fillId="0" borderId="0" applyAlignment="1" pivotButton="0" quotePrefix="0" xfId="6">
      <alignment horizontal="center"/>
    </xf>
    <xf numFmtId="0" fontId="17" fillId="12" borderId="2" applyAlignment="1" pivotButton="0" quotePrefix="0" xfId="1">
      <alignment horizontal="center" vertical="top" wrapText="1"/>
    </xf>
    <xf numFmtId="165" fontId="16" fillId="0" borderId="0" pivotButton="0" quotePrefix="0" xfId="1"/>
    <xf numFmtId="9" fontId="16" fillId="0" borderId="0" pivotButton="0" quotePrefix="0" xfId="2"/>
    <xf numFmtId="9" fontId="16" fillId="0" borderId="0" applyAlignment="1" pivotButton="0" quotePrefix="0" xfId="2">
      <alignment horizontal="center"/>
    </xf>
    <xf numFmtId="9" fontId="16" fillId="0" borderId="0" applyAlignment="1" pivotButton="0" quotePrefix="0" xfId="2">
      <alignment horizontal="center" vertical="center"/>
    </xf>
    <xf numFmtId="165" fontId="16" fillId="0" borderId="0" applyAlignment="1" pivotButton="0" quotePrefix="0" xfId="1">
      <alignment horizontal="center" vertical="center"/>
    </xf>
    <xf numFmtId="165" fontId="39" fillId="0" borderId="0" pivotButton="0" quotePrefix="0" xfId="1"/>
    <xf numFmtId="165" fontId="39" fillId="0" borderId="2" applyAlignment="1" pivotButton="0" quotePrefix="0" xfId="1">
      <alignment horizontal="center"/>
    </xf>
    <xf numFmtId="165" fontId="42" fillId="0" borderId="2" applyAlignment="1" pivotButton="0" quotePrefix="0" xfId="1">
      <alignment horizontal="center"/>
    </xf>
    <xf numFmtId="165" fontId="42" fillId="0" borderId="3" applyAlignment="1" pivotButton="0" quotePrefix="0" xfId="1">
      <alignment horizontal="center"/>
    </xf>
    <xf numFmtId="165" fontId="16" fillId="0" borderId="2" pivotButton="0" quotePrefix="0" xfId="1"/>
    <xf numFmtId="9" fontId="16" fillId="0" borderId="2" applyAlignment="1" pivotButton="0" quotePrefix="0" xfId="2">
      <alignment horizontal="center"/>
    </xf>
    <xf numFmtId="165" fontId="16" fillId="0" borderId="2" pivotButton="0" quotePrefix="0" xfId="1"/>
    <xf numFmtId="165" fontId="40" fillId="0" borderId="26" pivotButton="0" quotePrefix="0" xfId="1"/>
    <xf numFmtId="0" fontId="24" fillId="10" borderId="0" applyAlignment="1" pivotButton="0" quotePrefix="0" xfId="6">
      <alignment horizontal="left" vertical="top" indent="1"/>
    </xf>
    <xf numFmtId="0" fontId="25" fillId="0" borderId="0" applyAlignment="1" pivotButton="0" quotePrefix="0" xfId="6">
      <alignment horizontal="left" vertical="top" indent="1"/>
    </xf>
    <xf numFmtId="0" fontId="13" fillId="0" borderId="0" applyAlignment="1" pivotButton="0" quotePrefix="0" xfId="0">
      <alignment horizontal="left"/>
    </xf>
    <xf numFmtId="169" fontId="42" fillId="0" borderId="8" applyAlignment="1" pivotButton="0" quotePrefix="0" xfId="2">
      <alignment horizontal="center"/>
    </xf>
    <xf numFmtId="165" fontId="47" fillId="0" borderId="2" pivotButton="0" quotePrefix="0" xfId="1"/>
    <xf numFmtId="0" fontId="14" fillId="0" borderId="0" pivotButton="0" quotePrefix="0" xfId="0"/>
    <xf numFmtId="0" fontId="14" fillId="0" borderId="0" applyAlignment="1" pivotButton="0" quotePrefix="0" xfId="0">
      <alignment horizontal="center"/>
    </xf>
    <xf numFmtId="165" fontId="14" fillId="0" borderId="0" pivotButton="0" quotePrefix="0" xfId="1"/>
    <xf numFmtId="0" fontId="48" fillId="3" borderId="9" applyAlignment="1" pivotButton="0" quotePrefix="0" xfId="0">
      <alignment horizontal="left"/>
    </xf>
    <xf numFmtId="9" fontId="48" fillId="3" borderId="0" applyAlignment="1" pivotButton="0" quotePrefix="0" xfId="2">
      <alignment horizontal="center"/>
    </xf>
    <xf numFmtId="165" fontId="14" fillId="0" borderId="0" pivotButton="0" quotePrefix="0" xfId="0"/>
    <xf numFmtId="0" fontId="15" fillId="0" borderId="0" pivotButton="0" quotePrefix="0" xfId="0"/>
    <xf numFmtId="169" fontId="48" fillId="3" borderId="0" applyAlignment="1" pivotButton="0" quotePrefix="0" xfId="2">
      <alignment horizontal="center"/>
    </xf>
    <xf numFmtId="0" fontId="14" fillId="7" borderId="0" pivotButton="0" quotePrefix="0" xfId="0"/>
    <xf numFmtId="165" fontId="14" fillId="7" borderId="0" pivotButton="0" quotePrefix="0" xfId="1"/>
    <xf numFmtId="166" fontId="14" fillId="7" borderId="0" pivotButton="0" quotePrefix="0" xfId="0"/>
    <xf numFmtId="0" fontId="49" fillId="0" borderId="0" pivotButton="0" quotePrefix="0" xfId="0"/>
    <xf numFmtId="0" fontId="15" fillId="12" borderId="10" applyAlignment="1" pivotButton="0" quotePrefix="0" xfId="0">
      <alignment horizontal="center"/>
    </xf>
    <xf numFmtId="9" fontId="14" fillId="0" borderId="0" pivotButton="0" quotePrefix="0" xfId="0"/>
    <xf numFmtId="9" fontId="14" fillId="0" borderId="0" applyAlignment="1" pivotButton="0" quotePrefix="0" xfId="0">
      <alignment horizontal="left"/>
    </xf>
    <xf numFmtId="167" fontId="4" fillId="0" borderId="0" applyAlignment="1" pivotButton="0" quotePrefix="0" xfId="0">
      <alignment horizontal="center"/>
    </xf>
    <xf numFmtId="0" fontId="15" fillId="12" borderId="0" applyAlignment="1" pivotButton="0" quotePrefix="0" xfId="0">
      <alignment horizontal="center"/>
    </xf>
    <xf numFmtId="165" fontId="20" fillId="0" borderId="0" pivotButton="0" quotePrefix="0" xfId="1"/>
    <xf numFmtId="0" fontId="19" fillId="3" borderId="2" applyAlignment="1" pivotButton="0" quotePrefix="0" xfId="1">
      <alignment horizontal="center" vertical="top" wrapText="1"/>
    </xf>
    <xf numFmtId="9" fontId="50" fillId="3" borderId="2" applyAlignment="1" pivotButton="0" quotePrefix="0" xfId="2">
      <alignment horizontal="center"/>
    </xf>
    <xf numFmtId="170" fontId="39" fillId="0" borderId="3" applyAlignment="1" pivotButton="0" quotePrefix="0" xfId="0">
      <alignment vertical="top" wrapText="1"/>
    </xf>
    <xf numFmtId="170" fontId="39" fillId="0" borderId="3" applyAlignment="1" pivotButton="0" quotePrefix="0" xfId="0">
      <alignment horizontal="center" vertical="top" wrapText="1"/>
    </xf>
    <xf numFmtId="170" fontId="15" fillId="0" borderId="8" pivotButton="0" quotePrefix="0" xfId="0"/>
    <xf numFmtId="170" fontId="14" fillId="0" borderId="9" applyAlignment="1" pivotButton="0" quotePrefix="0" xfId="0">
      <alignment horizontal="left"/>
    </xf>
    <xf numFmtId="170" fontId="14" fillId="0" borderId="10" applyAlignment="1" pivotButton="0" quotePrefix="0" xfId="0">
      <alignment horizontal="left"/>
    </xf>
    <xf numFmtId="170" fontId="15" fillId="0" borderId="20" pivotButton="0" quotePrefix="0" xfId="0"/>
    <xf numFmtId="170" fontId="14" fillId="0" borderId="21" applyAlignment="1" pivotButton="0" quotePrefix="0" xfId="0">
      <alignment horizontal="center"/>
    </xf>
    <xf numFmtId="170" fontId="15" fillId="0" borderId="17" pivotButton="0" quotePrefix="0" xfId="0"/>
    <xf numFmtId="170" fontId="14" fillId="0" borderId="14" applyAlignment="1" pivotButton="0" quotePrefix="0" xfId="0">
      <alignment horizontal="left"/>
    </xf>
    <xf numFmtId="170" fontId="14" fillId="0" borderId="16" applyAlignment="1" pivotButton="0" quotePrefix="0" xfId="0">
      <alignment horizontal="center"/>
    </xf>
    <xf numFmtId="171" fontId="14" fillId="0" borderId="0" applyAlignment="1" pivotButton="0" quotePrefix="0" xfId="2">
      <alignment horizontal="center"/>
    </xf>
    <xf numFmtId="171" fontId="14" fillId="0" borderId="14" applyAlignment="1" pivotButton="0" quotePrefix="0" xfId="2">
      <alignment horizontal="center"/>
    </xf>
    <xf numFmtId="0" fontId="14" fillId="16" borderId="0" pivotButton="0" quotePrefix="0" xfId="0"/>
    <xf numFmtId="171" fontId="14" fillId="17" borderId="0" applyAlignment="1" pivotButton="0" quotePrefix="0" xfId="2">
      <alignment horizontal="center"/>
    </xf>
    <xf numFmtId="0" fontId="19" fillId="3" borderId="10" applyAlignment="1" pivotButton="0" quotePrefix="0" xfId="1">
      <alignment horizontal="center"/>
    </xf>
    <xf numFmtId="165" fontId="16" fillId="0" borderId="10" pivotButton="0" quotePrefix="0" xfId="1"/>
    <xf numFmtId="0" fontId="17" fillId="3" borderId="10" applyAlignment="1" pivotButton="0" quotePrefix="0" xfId="1">
      <alignment horizontal="center" vertical="top" wrapText="1"/>
    </xf>
    <xf numFmtId="165" fontId="42" fillId="0" borderId="28" applyAlignment="1" pivotButton="0" quotePrefix="0" xfId="1">
      <alignment horizontal="center"/>
    </xf>
    <xf numFmtId="0" fontId="17" fillId="12" borderId="28" applyAlignment="1" pivotButton="0" quotePrefix="0" xfId="1">
      <alignment horizontal="center" vertical="top" wrapText="1"/>
    </xf>
    <xf numFmtId="0" fontId="19" fillId="3" borderId="28" applyAlignment="1" pivotButton="0" quotePrefix="0" xfId="1">
      <alignment horizontal="center"/>
    </xf>
    <xf numFmtId="165" fontId="16" fillId="0" borderId="28" pivotButton="0" quotePrefix="0" xfId="1"/>
    <xf numFmtId="0" fontId="17" fillId="3" borderId="28" applyAlignment="1" pivotButton="0" quotePrefix="0" xfId="1">
      <alignment horizontal="center" vertical="top" wrapText="1"/>
    </xf>
    <xf numFmtId="0" fontId="17" fillId="3" borderId="8" applyAlignment="1" pivotButton="0" quotePrefix="0" xfId="1">
      <alignment horizontal="center" vertical="top" wrapText="1"/>
    </xf>
    <xf numFmtId="0" fontId="19" fillId="3" borderId="8" applyAlignment="1" pivotButton="0" quotePrefix="0" xfId="1">
      <alignment horizontal="center"/>
    </xf>
    <xf numFmtId="165" fontId="42" fillId="0" borderId="8" applyAlignment="1" pivotButton="0" quotePrefix="0" xfId="1">
      <alignment horizontal="center"/>
    </xf>
    <xf numFmtId="0" fontId="17" fillId="3" borderId="29" applyAlignment="1" pivotButton="0" quotePrefix="0" xfId="1">
      <alignment horizontal="center" vertical="top" wrapText="1"/>
    </xf>
    <xf numFmtId="0" fontId="19" fillId="3" borderId="29" applyAlignment="1" pivotButton="0" quotePrefix="0" xfId="1">
      <alignment horizontal="center"/>
    </xf>
    <xf numFmtId="165" fontId="16" fillId="0" borderId="29" pivotButton="0" quotePrefix="0" xfId="1"/>
    <xf numFmtId="165" fontId="42" fillId="0" borderId="29" applyAlignment="1" pivotButton="0" quotePrefix="0" xfId="1">
      <alignment horizontal="center"/>
    </xf>
    <xf numFmtId="0" fontId="18" fillId="3" borderId="29" applyAlignment="1" pivotButton="0" quotePrefix="0" xfId="1">
      <alignment horizontal="center" vertical="top" wrapText="1"/>
    </xf>
    <xf numFmtId="0" fontId="53" fillId="8" borderId="0" pivotButton="0" quotePrefix="0" xfId="0"/>
    <xf numFmtId="0" fontId="28" fillId="11" borderId="30" applyAlignment="1" pivotButton="0" quotePrefix="0" xfId="6">
      <alignment horizontal="center" vertical="center" wrapText="1"/>
    </xf>
    <xf numFmtId="172" fontId="24" fillId="0" borderId="30" applyAlignment="1" pivotButton="0" quotePrefix="0" xfId="6">
      <alignment horizontal="center" vertical="top"/>
    </xf>
    <xf numFmtId="165" fontId="24" fillId="0" borderId="30" applyAlignment="1" pivotButton="0" quotePrefix="0" xfId="1">
      <alignment horizontal="center" vertical="top"/>
    </xf>
    <xf numFmtId="165" fontId="29" fillId="0" borderId="30" applyAlignment="1" pivotButton="0" quotePrefix="0" xfId="1">
      <alignment horizontal="center" vertical="top"/>
    </xf>
    <xf numFmtId="0" fontId="24" fillId="10" borderId="32" applyAlignment="1" pivotButton="0" quotePrefix="0" xfId="6">
      <alignment horizontal="right" vertical="top"/>
    </xf>
    <xf numFmtId="0" fontId="24" fillId="10" borderId="0" applyAlignment="1" pivotButton="0" quotePrefix="0" xfId="6">
      <alignment horizontal="right"/>
    </xf>
    <xf numFmtId="0" fontId="45" fillId="0" borderId="24" applyAlignment="1" pivotButton="0" quotePrefix="0" xfId="6">
      <alignment horizontal="left" vertical="center" wrapText="1"/>
    </xf>
    <xf numFmtId="165" fontId="24" fillId="0" borderId="30" applyAlignment="1" pivotButton="0" quotePrefix="0" xfId="1">
      <alignment horizontal="center" vertical="top"/>
    </xf>
    <xf numFmtId="0" fontId="24" fillId="0" borderId="30" applyAlignment="1" pivotButton="0" quotePrefix="0" xfId="1">
      <alignment horizontal="center" vertical="top"/>
    </xf>
    <xf numFmtId="0" fontId="29" fillId="19" borderId="30" applyAlignment="1" pivotButton="0" quotePrefix="0" xfId="7">
      <alignment horizontal="center"/>
    </xf>
    <xf numFmtId="165" fontId="29" fillId="19" borderId="30" applyAlignment="1" pivotButton="0" quotePrefix="0" xfId="1">
      <alignment horizontal="center"/>
    </xf>
    <xf numFmtId="0" fontId="29" fillId="19" borderId="30" applyAlignment="1" pivotButton="0" quotePrefix="0" xfId="1">
      <alignment horizontal="center"/>
    </xf>
    <xf numFmtId="169" fontId="29" fillId="19" borderId="30" applyAlignment="1" pivotButton="0" quotePrefix="0" xfId="2">
      <alignment horizontal="center"/>
    </xf>
    <xf numFmtId="165" fontId="24" fillId="20" borderId="30" applyAlignment="1" pivotButton="0" quotePrefix="0" xfId="1">
      <alignment horizontal="center" vertical="top"/>
    </xf>
    <xf numFmtId="173" fontId="29" fillId="19" borderId="30" applyAlignment="1" pivotButton="0" quotePrefix="0" xfId="7">
      <alignment horizontal="center"/>
    </xf>
    <xf numFmtId="0" fontId="24" fillId="18" borderId="30" applyAlignment="1" pivotButton="0" quotePrefix="0" xfId="6">
      <alignment horizontal="center"/>
    </xf>
    <xf numFmtId="166" fontId="24" fillId="10" borderId="0" applyAlignment="1" pivotButton="0" quotePrefix="0" xfId="6">
      <alignment horizontal="right" vertical="top"/>
    </xf>
    <xf numFmtId="0" fontId="20" fillId="0" borderId="0" applyAlignment="1" pivotButton="0" quotePrefix="0" xfId="0">
      <alignment horizontal="center"/>
    </xf>
    <xf numFmtId="0" fontId="16" fillId="0" borderId="0" pivotButton="0" quotePrefix="0" xfId="0"/>
    <xf numFmtId="0" fontId="16" fillId="0" borderId="0" applyAlignment="1" pivotButton="0" quotePrefix="0" xfId="0">
      <alignment horizontal="left"/>
    </xf>
    <xf numFmtId="0" fontId="20" fillId="0" borderId="0" pivotButton="0" quotePrefix="0" xfId="0"/>
    <xf numFmtId="0" fontId="39" fillId="0" borderId="0" pivotButton="0" quotePrefix="0" xfId="0"/>
    <xf numFmtId="0" fontId="16" fillId="0" borderId="0" applyAlignment="1" pivotButton="0" quotePrefix="0" xfId="0">
      <alignment horizontal="center" vertical="center"/>
    </xf>
    <xf numFmtId="0" fontId="41" fillId="0" borderId="0" applyAlignment="1" pivotButton="0" quotePrefix="0" xfId="0">
      <alignment horizontal="left" vertical="center"/>
    </xf>
    <xf numFmtId="166" fontId="16" fillId="0" borderId="0" pivotButton="0" quotePrefix="0" xfId="0"/>
    <xf numFmtId="0" fontId="16" fillId="8" borderId="2" applyAlignment="1" applyProtection="1" pivotButton="0" quotePrefix="0" xfId="5">
      <alignment horizontal="center" vertical="center"/>
      <protection locked="0" hidden="0"/>
    </xf>
    <xf numFmtId="9" fontId="16" fillId="8" borderId="2" applyAlignment="1" applyProtection="1" pivotButton="0" quotePrefix="0" xfId="5">
      <alignment horizontal="center" vertical="center"/>
      <protection locked="0" hidden="0"/>
    </xf>
    <xf numFmtId="9" fontId="16" fillId="5" borderId="2" applyAlignment="1" applyProtection="1" pivotButton="0" quotePrefix="0" xfId="5">
      <alignment horizontal="center" vertical="center"/>
      <protection locked="0" hidden="0"/>
    </xf>
    <xf numFmtId="165" fontId="16" fillId="2" borderId="2" applyAlignment="1" applyProtection="1" pivotButton="0" quotePrefix="0" xfId="1">
      <alignment horizontal="center"/>
      <protection locked="0" hidden="0"/>
    </xf>
    <xf numFmtId="9" fontId="39" fillId="8" borderId="19" applyAlignment="1" applyProtection="1" pivotButton="0" quotePrefix="0" xfId="5">
      <alignment horizontal="center"/>
      <protection locked="0" hidden="0"/>
    </xf>
    <xf numFmtId="165" fontId="40" fillId="2" borderId="1" applyProtection="1" pivotButton="0" quotePrefix="0" xfId="1">
      <protection locked="0" hidden="0"/>
    </xf>
    <xf numFmtId="10" fontId="16" fillId="5" borderId="18" applyAlignment="1" applyProtection="1" pivotButton="0" quotePrefix="0" xfId="2">
      <alignment horizontal="center"/>
      <protection locked="0" hidden="0"/>
    </xf>
    <xf numFmtId="0" fontId="16" fillId="2" borderId="2" applyAlignment="1" applyProtection="1" pivotButton="0" quotePrefix="0" xfId="1">
      <alignment horizontal="center"/>
      <protection locked="0" hidden="0"/>
    </xf>
    <xf numFmtId="0" fontId="16" fillId="5" borderId="2" applyAlignment="1" applyProtection="1" pivotButton="0" quotePrefix="0" xfId="1">
      <alignment horizontal="center"/>
      <protection locked="0" hidden="0"/>
    </xf>
    <xf numFmtId="0" fontId="16" fillId="8" borderId="2" applyAlignment="1" applyProtection="1" pivotButton="0" quotePrefix="0" xfId="1">
      <alignment horizontal="left"/>
      <protection locked="0" hidden="0"/>
    </xf>
    <xf numFmtId="9" fontId="16" fillId="2" borderId="2" applyAlignment="1" applyProtection="1" pivotButton="0" quotePrefix="0" xfId="2">
      <alignment horizontal="center"/>
      <protection locked="0" hidden="0"/>
    </xf>
    <xf numFmtId="10" fontId="16" fillId="2" borderId="2" applyAlignment="1" applyProtection="1" pivotButton="0" quotePrefix="0" xfId="1">
      <alignment horizontal="center"/>
      <protection locked="0" hidden="0"/>
    </xf>
    <xf numFmtId="9" fontId="4" fillId="0" borderId="0" pivotButton="0" quotePrefix="0" xfId="0"/>
    <xf numFmtId="0" fontId="17" fillId="3" borderId="9" applyAlignment="1" pivotButton="0" quotePrefix="0" xfId="1">
      <alignment horizontal="center" vertical="top" wrapText="1"/>
    </xf>
    <xf numFmtId="0" fontId="19" fillId="3" borderId="9" applyAlignment="1" pivotButton="0" quotePrefix="0" xfId="1">
      <alignment horizontal="center"/>
    </xf>
    <xf numFmtId="165" fontId="39" fillId="3" borderId="8" pivotButton="0" quotePrefix="0" xfId="1"/>
    <xf numFmtId="165" fontId="16" fillId="3" borderId="9" pivotButton="0" quotePrefix="0" xfId="1"/>
    <xf numFmtId="14" fontId="25" fillId="0" borderId="0" pivotButton="0" quotePrefix="0" xfId="6"/>
    <xf numFmtId="165" fontId="29" fillId="0" borderId="30" applyAlignment="1" pivotButton="0" quotePrefix="0" xfId="1">
      <alignment horizontal="center" vertical="top"/>
    </xf>
    <xf numFmtId="0" fontId="54" fillId="0" borderId="0" pivotButton="0" quotePrefix="0" xfId="0"/>
    <xf numFmtId="0" fontId="55" fillId="0" borderId="0" pivotButton="0" quotePrefix="0" xfId="0"/>
    <xf numFmtId="165" fontId="55" fillId="0" borderId="0" pivotButton="0" quotePrefix="0" xfId="1"/>
    <xf numFmtId="0" fontId="55" fillId="0" borderId="0" applyAlignment="1" pivotButton="0" quotePrefix="0" xfId="0">
      <alignment horizontal="center"/>
    </xf>
    <xf numFmtId="0" fontId="24" fillId="0" borderId="30" applyAlignment="1" pivotButton="0" quotePrefix="0" xfId="6">
      <alignment horizontal="center" vertical="top"/>
    </xf>
    <xf numFmtId="0" fontId="24" fillId="0" borderId="39" applyAlignment="1" pivotButton="0" quotePrefix="0" xfId="6">
      <alignment horizontal="left" vertical="top" indent="1"/>
    </xf>
    <xf numFmtId="9" fontId="24" fillId="0" borderId="30" applyAlignment="1" pivotButton="0" quotePrefix="0" xfId="2">
      <alignment horizontal="center" vertical="top"/>
    </xf>
    <xf numFmtId="9" fontId="59" fillId="0" borderId="0" applyAlignment="1" pivotButton="0" quotePrefix="0" xfId="2">
      <alignment horizontal="left" vertical="center"/>
    </xf>
    <xf numFmtId="165" fontId="39" fillId="0" borderId="0" pivotButton="0" quotePrefix="0" xfId="1"/>
    <xf numFmtId="165" fontId="42" fillId="0" borderId="42" applyAlignment="1" pivotButton="0" quotePrefix="0" xfId="1">
      <alignment horizontal="center"/>
    </xf>
    <xf numFmtId="165" fontId="16" fillId="2" borderId="28" applyAlignment="1" applyProtection="1" pivotButton="0" quotePrefix="0" xfId="1">
      <alignment horizontal="center"/>
      <protection locked="0" hidden="0"/>
    </xf>
    <xf numFmtId="165" fontId="16" fillId="0" borderId="8" pivotButton="0" quotePrefix="0" xfId="1"/>
    <xf numFmtId="165" fontId="39" fillId="0" borderId="45" pivotButton="0" quotePrefix="0" xfId="1"/>
    <xf numFmtId="0" fontId="16" fillId="2" borderId="29" applyAlignment="1" applyProtection="1" pivotButton="0" quotePrefix="0" xfId="1">
      <alignment horizontal="center"/>
      <protection locked="0" hidden="0"/>
    </xf>
    <xf numFmtId="165" fontId="16" fillId="0" borderId="29" pivotButton="0" quotePrefix="0" xfId="1"/>
    <xf numFmtId="165" fontId="16" fillId="0" borderId="28" pivotButton="0" quotePrefix="0" xfId="1"/>
    <xf numFmtId="165" fontId="39" fillId="0" borderId="0" applyAlignment="1" pivotButton="0" quotePrefix="0" xfId="1">
      <alignment horizontal="left"/>
    </xf>
    <xf numFmtId="0" fontId="16" fillId="8" borderId="29" applyAlignment="1" applyProtection="1" pivotButton="0" quotePrefix="0" xfId="1">
      <alignment horizontal="center"/>
      <protection locked="0" hidden="0"/>
    </xf>
    <xf numFmtId="165" fontId="39" fillId="0" borderId="28" pivotButton="0" quotePrefix="0" xfId="1"/>
    <xf numFmtId="0" fontId="19" fillId="0" borderId="21" applyAlignment="1" pivotButton="0" quotePrefix="0" xfId="1">
      <alignment horizontal="center"/>
    </xf>
    <xf numFmtId="0" fontId="39" fillId="3" borderId="0" applyAlignment="1" pivotButton="0" quotePrefix="0" xfId="1">
      <alignment horizontal="right" vertical="center"/>
    </xf>
    <xf numFmtId="165" fontId="17" fillId="3" borderId="2" applyAlignment="1" pivotButton="0" quotePrefix="0" xfId="1">
      <alignment horizontal="center" vertical="center" wrapText="1"/>
    </xf>
    <xf numFmtId="0" fontId="18" fillId="2" borderId="2" applyAlignment="1" applyProtection="1" pivotButton="0" quotePrefix="0" xfId="1">
      <alignment horizontal="left" vertical="center"/>
      <protection locked="0" hidden="0"/>
    </xf>
    <xf numFmtId="165" fontId="16" fillId="2" borderId="2" applyAlignment="1" applyProtection="1" pivotButton="0" quotePrefix="0" xfId="1">
      <alignment horizontal="center" vertical="center"/>
      <protection locked="0" hidden="0"/>
    </xf>
    <xf numFmtId="0" fontId="16" fillId="2" borderId="2" applyAlignment="1" applyProtection="1" pivotButton="0" quotePrefix="0" xfId="1">
      <alignment horizontal="left" vertical="center" wrapText="1"/>
      <protection locked="0" hidden="0"/>
    </xf>
    <xf numFmtId="0" fontId="16" fillId="2" borderId="2" applyAlignment="1" applyProtection="1" pivotButton="0" quotePrefix="0" xfId="1">
      <alignment horizontal="left" vertical="center"/>
      <protection locked="0" hidden="0"/>
    </xf>
    <xf numFmtId="0" fontId="4" fillId="0" borderId="0" applyAlignment="1" pivotButton="0" quotePrefix="0" xfId="0">
      <alignment horizontal="center" vertical="top" wrapText="1"/>
    </xf>
    <xf numFmtId="0" fontId="4" fillId="0" borderId="7" applyAlignment="1" pivotButton="0" quotePrefix="0" xfId="0">
      <alignment horizontal="center" vertical="top" wrapText="1"/>
    </xf>
    <xf numFmtId="9" fontId="3" fillId="0" borderId="0" applyAlignment="1" pivotButton="0" quotePrefix="0" xfId="5">
      <alignment horizontal="center" vertical="top" wrapText="1"/>
    </xf>
    <xf numFmtId="9" fontId="4" fillId="0" borderId="0" applyAlignment="1" pivotButton="0" quotePrefix="0" xfId="5">
      <alignment horizontal="center" vertical="top" wrapText="1"/>
    </xf>
    <xf numFmtId="9" fontId="4" fillId="0" borderId="0" applyAlignment="1" pivotButton="0" quotePrefix="0" xfId="0">
      <alignment horizontal="center" vertical="top" wrapText="1"/>
    </xf>
    <xf numFmtId="9" fontId="4" fillId="0" borderId="12" applyAlignment="1" pivotButton="0" quotePrefix="0" xfId="5">
      <alignment horizontal="left"/>
    </xf>
    <xf numFmtId="9" fontId="4" fillId="0" borderId="13" applyAlignment="1" pivotButton="0" quotePrefix="0" xfId="5">
      <alignment horizontal="center"/>
    </xf>
    <xf numFmtId="165" fontId="56" fillId="0" borderId="0" pivotButton="0" quotePrefix="0" xfId="1"/>
    <xf numFmtId="165" fontId="55" fillId="0" borderId="0" pivotButton="0" quotePrefix="0" xfId="1"/>
    <xf numFmtId="9" fontId="55" fillId="0" borderId="0" applyAlignment="1" pivotButton="0" quotePrefix="0" xfId="2">
      <alignment horizontal="center"/>
    </xf>
    <xf numFmtId="0" fontId="44" fillId="0" borderId="0" applyAlignment="1" pivotButton="0" quotePrefix="0" xfId="0">
      <alignment horizontal="right"/>
    </xf>
    <xf numFmtId="165" fontId="44" fillId="0" borderId="0" applyAlignment="1" pivotButton="0" quotePrefix="0" xfId="1">
      <alignment horizontal="right"/>
    </xf>
    <xf numFmtId="0" fontId="15" fillId="0" borderId="56" pivotButton="0" quotePrefix="0" xfId="0"/>
    <xf numFmtId="165" fontId="15" fillId="0" borderId="56" pivotButton="0" quotePrefix="0" xfId="1"/>
    <xf numFmtId="9" fontId="48" fillId="3" borderId="56" applyAlignment="1" pivotButton="0" quotePrefix="0" xfId="2">
      <alignment horizontal="center"/>
    </xf>
    <xf numFmtId="0" fontId="14" fillId="0" borderId="56" pivotButton="0" quotePrefix="0" xfId="0"/>
    <xf numFmtId="0" fontId="14" fillId="0" borderId="57" pivotButton="0" quotePrefix="0" xfId="0"/>
    <xf numFmtId="165" fontId="14" fillId="0" borderId="57" pivotButton="0" quotePrefix="0" xfId="1"/>
    <xf numFmtId="9" fontId="48" fillId="3" borderId="57" applyAlignment="1" pivotButton="0" quotePrefix="0" xfId="2">
      <alignment horizontal="center"/>
    </xf>
    <xf numFmtId="0" fontId="14" fillId="0" borderId="58" pivotButton="0" quotePrefix="0" xfId="0"/>
    <xf numFmtId="165" fontId="14" fillId="0" borderId="58" pivotButton="0" quotePrefix="0" xfId="1"/>
    <xf numFmtId="9" fontId="48" fillId="3" borderId="58" applyAlignment="1" pivotButton="0" quotePrefix="0" xfId="2">
      <alignment horizontal="center"/>
    </xf>
    <xf numFmtId="166" fontId="14" fillId="0" borderId="56" pivotButton="0" quotePrefix="0" xfId="0"/>
    <xf numFmtId="0" fontId="15" fillId="12" borderId="0" pivotButton="0" quotePrefix="0" xfId="0"/>
    <xf numFmtId="0" fontId="48" fillId="12" borderId="0" applyAlignment="1" pivotButton="0" quotePrefix="0" xfId="0">
      <alignment horizontal="left" wrapText="1"/>
    </xf>
    <xf numFmtId="165" fontId="54" fillId="0" borderId="0" pivotButton="0" quotePrefix="0" xfId="1"/>
    <xf numFmtId="9" fontId="63" fillId="3" borderId="0" applyAlignment="1" pivotButton="0" quotePrefix="0" xfId="2">
      <alignment horizontal="center"/>
    </xf>
    <xf numFmtId="165" fontId="54" fillId="16" borderId="0" pivotButton="0" quotePrefix="0" xfId="0"/>
    <xf numFmtId="165" fontId="54" fillId="0" borderId="0" pivotButton="0" quotePrefix="0" xfId="0"/>
    <xf numFmtId="174" fontId="16" fillId="5" borderId="2" applyAlignment="1" applyProtection="1" pivotButton="0" quotePrefix="0" xfId="5">
      <alignment horizontal="center" vertical="center"/>
      <protection locked="0" hidden="0"/>
    </xf>
    <xf numFmtId="174" fontId="39" fillId="0" borderId="2" applyAlignment="1" applyProtection="1" pivotButton="0" quotePrefix="0" xfId="5">
      <alignment horizontal="center" vertical="center"/>
      <protection locked="0" hidden="0"/>
    </xf>
    <xf numFmtId="0" fontId="55" fillId="0" borderId="0" applyAlignment="1" pivotButton="0" quotePrefix="0" xfId="0">
      <alignment horizontal="left"/>
    </xf>
    <xf numFmtId="9" fontId="55" fillId="0" borderId="0" applyAlignment="1" pivotButton="0" quotePrefix="0" xfId="0">
      <alignment horizontal="center"/>
    </xf>
    <xf numFmtId="0" fontId="28" fillId="11" borderId="39" applyAlignment="1" pivotButton="0" quotePrefix="0" xfId="6">
      <alignment horizontal="center" vertical="center" wrapText="1"/>
    </xf>
    <xf numFmtId="0" fontId="64" fillId="0" borderId="0" pivotButton="0" quotePrefix="0" xfId="0"/>
    <xf numFmtId="0" fontId="64" fillId="0" borderId="0" applyAlignment="1" pivotButton="0" quotePrefix="0" xfId="0">
      <alignment horizontal="center"/>
    </xf>
    <xf numFmtId="0" fontId="65" fillId="3" borderId="24" applyAlignment="1" pivotButton="0" quotePrefix="0" xfId="1">
      <alignment horizontal="center" vertical="top" wrapText="1"/>
    </xf>
    <xf numFmtId="0" fontId="65" fillId="3" borderId="24" applyAlignment="1" pivotButton="0" quotePrefix="0" xfId="1">
      <alignment horizontal="center"/>
    </xf>
    <xf numFmtId="0" fontId="65" fillId="12" borderId="24" applyAlignment="1" pivotButton="0" quotePrefix="0" xfId="1">
      <alignment horizontal="center" vertical="top" wrapText="1"/>
    </xf>
    <xf numFmtId="0" fontId="66" fillId="3" borderId="24" applyAlignment="1" pivotButton="0" quotePrefix="0" xfId="1">
      <alignment horizontal="center" vertical="top" wrapText="1"/>
    </xf>
    <xf numFmtId="0" fontId="65" fillId="21" borderId="24" applyAlignment="1" pivotButton="0" quotePrefix="0" xfId="1">
      <alignment horizontal="center" vertical="top" wrapText="1"/>
    </xf>
    <xf numFmtId="0" fontId="65" fillId="4" borderId="24" applyAlignment="1" pivotButton="0" quotePrefix="0" xfId="1">
      <alignment horizontal="center" vertical="top" wrapText="1"/>
    </xf>
    <xf numFmtId="0" fontId="64" fillId="0" borderId="0" applyAlignment="1" pivotButton="0" quotePrefix="0" xfId="0">
      <alignment horizontal="center" vertical="center" wrapText="1"/>
    </xf>
    <xf numFmtId="9" fontId="64" fillId="0" borderId="0" applyAlignment="1" pivotButton="0" quotePrefix="0" xfId="2">
      <alignment horizontal="center" vertical="center" wrapText="1"/>
    </xf>
    <xf numFmtId="165" fontId="64" fillId="0" borderId="0" applyAlignment="1" pivotButton="0" quotePrefix="0" xfId="1">
      <alignment horizontal="center" vertical="center" wrapText="1"/>
    </xf>
    <xf numFmtId="9" fontId="64" fillId="0" borderId="0" applyAlignment="1" pivotButton="0" quotePrefix="0" xfId="0">
      <alignment horizontal="center" vertical="center" wrapText="1"/>
    </xf>
    <xf numFmtId="0" fontId="16" fillId="8" borderId="8" applyAlignment="1" applyProtection="1" pivotButton="0" quotePrefix="0" xfId="5">
      <alignment vertical="center"/>
      <protection locked="0" hidden="0"/>
    </xf>
    <xf numFmtId="9" fontId="3" fillId="5" borderId="0" applyAlignment="1" pivotButton="0" quotePrefix="0" xfId="0">
      <alignment horizontal="center"/>
    </xf>
    <xf numFmtId="0" fontId="67" fillId="0" borderId="0" applyAlignment="1" pivotButton="0" quotePrefix="0" xfId="6">
      <alignment horizontal="center" vertical="center"/>
    </xf>
    <xf numFmtId="165" fontId="69" fillId="0" borderId="10" applyAlignment="1" pivotButton="0" quotePrefix="0" xfId="1">
      <alignment horizontal="center" vertical="center"/>
    </xf>
    <xf numFmtId="165" fontId="68" fillId="3" borderId="10" applyAlignment="1" pivotButton="0" quotePrefix="0" xfId="1">
      <alignment horizontal="center" vertical="center" wrapText="1"/>
    </xf>
    <xf numFmtId="9" fontId="69" fillId="3" borderId="9" applyAlignment="1" pivotButton="0" quotePrefix="0" xfId="2">
      <alignment horizontal="center" vertical="center" wrapText="1"/>
    </xf>
    <xf numFmtId="165" fontId="69" fillId="0" borderId="49" pivotButton="0" quotePrefix="0" xfId="1"/>
    <xf numFmtId="9" fontId="69" fillId="0" borderId="55" applyAlignment="1" pivotButton="0" quotePrefix="0" xfId="2">
      <alignment horizontal="center" vertical="center"/>
    </xf>
    <xf numFmtId="165" fontId="69" fillId="0" borderId="49" applyAlignment="1" pivotButton="0" quotePrefix="0" xfId="1">
      <alignment vertical="center"/>
    </xf>
    <xf numFmtId="165" fontId="68" fillId="0" borderId="52" applyAlignment="1" pivotButton="0" quotePrefix="0" xfId="1">
      <alignment vertical="center"/>
    </xf>
    <xf numFmtId="165" fontId="68" fillId="0" borderId="0" applyAlignment="1" pivotButton="0" quotePrefix="0" xfId="1">
      <alignment vertical="center"/>
    </xf>
    <xf numFmtId="165" fontId="69" fillId="0" borderId="55" applyAlignment="1" pivotButton="0" quotePrefix="0" xfId="1">
      <alignment vertical="center"/>
    </xf>
    <xf numFmtId="165" fontId="69" fillId="0" borderId="0" applyAlignment="1" pivotButton="0" quotePrefix="0" xfId="1">
      <alignment vertical="center"/>
    </xf>
    <xf numFmtId="165" fontId="69" fillId="0" borderId="49" applyAlignment="1" pivotButton="0" quotePrefix="0" xfId="1">
      <alignment horizontal="center" vertical="center"/>
    </xf>
    <xf numFmtId="165" fontId="69" fillId="0" borderId="0" pivotButton="0" quotePrefix="0" xfId="1"/>
    <xf numFmtId="165" fontId="68" fillId="0" borderId="52" applyAlignment="1" pivotButton="0" quotePrefix="0" xfId="1">
      <alignment vertical="center"/>
    </xf>
    <xf numFmtId="165" fontId="42" fillId="0" borderId="17" applyAlignment="1" pivotButton="0" quotePrefix="0" xfId="1">
      <alignment horizontal="center"/>
    </xf>
    <xf numFmtId="165" fontId="42" fillId="0" borderId="14" applyAlignment="1" pivotButton="0" quotePrefix="0" xfId="1">
      <alignment horizontal="center"/>
    </xf>
    <xf numFmtId="0" fontId="15" fillId="23" borderId="59" pivotButton="0" quotePrefix="0" xfId="0"/>
    <xf numFmtId="165" fontId="15" fillId="23" borderId="59" pivotButton="0" quotePrefix="0" xfId="1"/>
    <xf numFmtId="9" fontId="48" fillId="23" borderId="59" applyAlignment="1" pivotButton="0" quotePrefix="0" xfId="2">
      <alignment horizontal="center"/>
    </xf>
    <xf numFmtId="165" fontId="14" fillId="23" borderId="59" pivotButton="0" quotePrefix="0" xfId="1"/>
    <xf numFmtId="0" fontId="20" fillId="2" borderId="2" applyAlignment="1" pivotButton="0" quotePrefix="0" xfId="3">
      <alignment horizontal="center" vertical="center" wrapText="1"/>
    </xf>
    <xf numFmtId="0" fontId="20" fillId="8" borderId="2" applyAlignment="1" pivotButton="0" quotePrefix="0" xfId="3">
      <alignment horizontal="center" vertical="center" wrapText="1"/>
    </xf>
    <xf numFmtId="9" fontId="16" fillId="2" borderId="11" applyAlignment="1" applyProtection="1" pivotButton="0" quotePrefix="0" xfId="5">
      <alignment horizontal="center" vertical="center"/>
      <protection locked="0" hidden="0"/>
    </xf>
    <xf numFmtId="169" fontId="4" fillId="0" borderId="0" applyAlignment="1" pivotButton="0" quotePrefix="0" xfId="0">
      <alignment horizontal="center"/>
    </xf>
    <xf numFmtId="169" fontId="4" fillId="5" borderId="0" applyAlignment="1" pivotButton="0" quotePrefix="0" xfId="0">
      <alignment horizontal="center"/>
    </xf>
    <xf numFmtId="0" fontId="34" fillId="0" borderId="0" applyAlignment="1" pivotButton="0" quotePrefix="0" xfId="6">
      <alignment horizontal="left"/>
    </xf>
    <xf numFmtId="0" fontId="32" fillId="10" borderId="0" applyAlignment="1" pivotButton="0" quotePrefix="0" xfId="6">
      <alignment horizontal="left"/>
    </xf>
    <xf numFmtId="0" fontId="25" fillId="0" borderId="0" applyAlignment="1" pivotButton="0" quotePrefix="0" xfId="6">
      <alignment horizontal="left"/>
    </xf>
    <xf numFmtId="0" fontId="24" fillId="0" borderId="39" applyAlignment="1" pivotButton="0" quotePrefix="0" xfId="6">
      <alignment horizontal="left" vertical="top"/>
    </xf>
    <xf numFmtId="0" fontId="28" fillId="14" borderId="33" applyAlignment="1" applyProtection="1" pivotButton="0" quotePrefix="0" xfId="6">
      <alignment horizontal="left" vertical="top" indent="1"/>
      <protection locked="0" hidden="0"/>
    </xf>
    <xf numFmtId="0" fontId="24" fillId="0" borderId="35" applyAlignment="1" applyProtection="1" pivotButton="0" quotePrefix="0" xfId="6">
      <alignment horizontal="left" vertical="top" indent="1"/>
      <protection locked="0" hidden="0"/>
    </xf>
    <xf numFmtId="0" fontId="31" fillId="10" borderId="38" applyAlignment="1" applyProtection="1" pivotButton="0" quotePrefix="0" xfId="6">
      <alignment horizontal="left" vertical="top" indent="1"/>
      <protection locked="0" hidden="0"/>
    </xf>
    <xf numFmtId="0" fontId="28" fillId="14" borderId="33" applyAlignment="1" pivotButton="0" quotePrefix="0" xfId="6">
      <alignment horizontal="left" vertical="top" indent="1"/>
    </xf>
    <xf numFmtId="0" fontId="24" fillId="10" borderId="35" applyAlignment="1" applyProtection="1" pivotButton="0" quotePrefix="0" xfId="6">
      <alignment horizontal="left" vertical="top" indent="1"/>
      <protection locked="0" hidden="0"/>
    </xf>
    <xf numFmtId="0" fontId="33" fillId="0" borderId="38" applyAlignment="1" applyProtection="1" pivotButton="0" quotePrefix="0" xfId="6">
      <alignment horizontal="left" vertical="top" indent="1"/>
      <protection locked="0" hidden="0"/>
    </xf>
    <xf numFmtId="0" fontId="25" fillId="0" borderId="22" applyAlignment="1" pivotButton="0" quotePrefix="0" xfId="6">
      <alignment horizontal="left" vertical="center"/>
    </xf>
    <xf numFmtId="0" fontId="25" fillId="0" borderId="22" applyAlignment="1" pivotButton="0" quotePrefix="0" xfId="6">
      <alignment horizontal="left" vertical="center" wrapText="1"/>
    </xf>
    <xf numFmtId="9" fontId="30" fillId="0" borderId="18" applyAlignment="1" applyProtection="1" pivotButton="0" quotePrefix="0" xfId="6">
      <alignment horizontal="left" vertical="center" wrapText="1"/>
      <protection locked="0" hidden="0"/>
    </xf>
    <xf numFmtId="0" fontId="67" fillId="0" borderId="0" applyAlignment="1" pivotButton="0" quotePrefix="0" xfId="6">
      <alignment horizontal="center" vertical="center" wrapText="1"/>
    </xf>
    <xf numFmtId="0" fontId="56" fillId="0" borderId="0" pivotButton="0" quotePrefix="0" xfId="0"/>
    <xf numFmtId="165" fontId="56" fillId="22" borderId="0" pivotButton="0" quotePrefix="0" xfId="1"/>
    <xf numFmtId="165" fontId="56" fillId="17" borderId="0" pivotButton="0" quotePrefix="0" xfId="1"/>
    <xf numFmtId="165" fontId="55" fillId="0" borderId="0" pivotButton="0" quotePrefix="0" xfId="1"/>
    <xf numFmtId="0" fontId="55" fillId="22" borderId="0" pivotButton="0" quotePrefix="0" xfId="0"/>
    <xf numFmtId="165" fontId="55" fillId="22" borderId="0" pivotButton="0" quotePrefix="0" xfId="1"/>
    <xf numFmtId="0" fontId="55" fillId="4" borderId="0" pivotButton="0" quotePrefix="0" xfId="0"/>
    <xf numFmtId="165" fontId="55" fillId="4" borderId="0" pivotButton="0" quotePrefix="0" xfId="1"/>
    <xf numFmtId="0" fontId="55" fillId="17" borderId="0" pivotButton="0" quotePrefix="0" xfId="0"/>
    <xf numFmtId="165" fontId="55" fillId="17" borderId="0" pivotButton="0" quotePrefix="0" xfId="1"/>
    <xf numFmtId="165" fontId="55" fillId="0" borderId="0" pivotButton="0" quotePrefix="0" xfId="1"/>
    <xf numFmtId="170" fontId="14" fillId="0" borderId="0" applyAlignment="1" pivotButton="0" quotePrefix="0" xfId="0">
      <alignment horizontal="left"/>
    </xf>
    <xf numFmtId="0" fontId="14" fillId="0" borderId="0" applyAlignment="1" pivotButton="0" quotePrefix="0" xfId="0">
      <alignment horizontal="left"/>
    </xf>
    <xf numFmtId="9" fontId="14" fillId="0" borderId="0" applyAlignment="1" pivotButton="0" quotePrefix="0" xfId="2">
      <alignment horizontal="left"/>
    </xf>
    <xf numFmtId="0" fontId="54" fillId="0" borderId="0" applyAlignment="1" pivotButton="0" quotePrefix="0" xfId="0">
      <alignment horizontal="left"/>
    </xf>
    <xf numFmtId="0" fontId="14" fillId="16" borderId="0" applyAlignment="1" pivotButton="0" quotePrefix="0" xfId="0">
      <alignment horizontal="left"/>
    </xf>
    <xf numFmtId="9" fontId="14" fillId="0" borderId="15" applyAlignment="1" pivotButton="0" quotePrefix="0" xfId="2">
      <alignment horizontal="left"/>
    </xf>
    <xf numFmtId="2" fontId="14" fillId="0" borderId="16" applyAlignment="1" pivotButton="0" quotePrefix="0" xfId="1">
      <alignment horizontal="left"/>
    </xf>
    <xf numFmtId="0" fontId="14" fillId="0" borderId="27" applyAlignment="1" pivotButton="0" quotePrefix="0" xfId="0">
      <alignment horizontal="left"/>
    </xf>
    <xf numFmtId="0" fontId="14" fillId="0" borderId="17" applyAlignment="1" pivotButton="0" quotePrefix="0" xfId="0">
      <alignment horizontal="left"/>
    </xf>
    <xf numFmtId="165" fontId="55" fillId="0" borderId="0" applyAlignment="1" pivotButton="0" quotePrefix="0" xfId="1">
      <alignment horizontal="center"/>
    </xf>
    <xf numFmtId="165" fontId="56" fillId="0" borderId="0" applyAlignment="1" pivotButton="0" quotePrefix="0" xfId="1">
      <alignment horizontal="center"/>
    </xf>
    <xf numFmtId="0" fontId="56" fillId="0" borderId="65" applyAlignment="1" pivotButton="0" quotePrefix="0" xfId="0">
      <alignment horizontal="center"/>
    </xf>
    <xf numFmtId="0" fontId="55" fillId="0" borderId="65" applyAlignment="1" pivotButton="0" quotePrefix="0" xfId="0">
      <alignment horizontal="center"/>
    </xf>
    <xf numFmtId="165" fontId="55" fillId="0" borderId="66" pivotButton="0" quotePrefix="0" xfId="1"/>
    <xf numFmtId="165" fontId="55" fillId="17" borderId="66" pivotButton="0" quotePrefix="0" xfId="1"/>
    <xf numFmtId="0" fontId="55" fillId="0" borderId="67" applyAlignment="1" pivotButton="0" quotePrefix="0" xfId="0">
      <alignment horizontal="center"/>
    </xf>
    <xf numFmtId="0" fontId="55" fillId="17" borderId="68" pivotButton="0" quotePrefix="0" xfId="0"/>
    <xf numFmtId="165" fontId="55" fillId="17" borderId="68" pivotButton="0" quotePrefix="0" xfId="1"/>
    <xf numFmtId="165" fontId="55" fillId="17" borderId="69" pivotButton="0" quotePrefix="0" xfId="1"/>
    <xf numFmtId="0" fontId="56" fillId="0" borderId="70" applyAlignment="1" pivotButton="0" quotePrefix="0" xfId="0">
      <alignment horizontal="center"/>
    </xf>
    <xf numFmtId="165" fontId="56" fillId="0" borderId="71" applyAlignment="1" pivotButton="0" quotePrefix="0" xfId="1">
      <alignment horizontal="center"/>
    </xf>
    <xf numFmtId="175" fontId="55" fillId="0" borderId="72" applyAlignment="1" pivotButton="0" quotePrefix="0" xfId="2">
      <alignment horizontal="center"/>
    </xf>
    <xf numFmtId="175" fontId="55" fillId="0" borderId="73" applyAlignment="1" pivotButton="0" quotePrefix="0" xfId="2">
      <alignment horizontal="center"/>
    </xf>
    <xf numFmtId="0" fontId="55" fillId="17" borderId="65" pivotButton="0" quotePrefix="0" xfId="0"/>
    <xf numFmtId="0" fontId="55" fillId="0" borderId="65" pivotButton="0" quotePrefix="0" xfId="0"/>
    <xf numFmtId="0" fontId="55" fillId="0" borderId="67" pivotButton="0" quotePrefix="0" xfId="0"/>
    <xf numFmtId="165" fontId="55" fillId="0" borderId="68" pivotButton="0" quotePrefix="0" xfId="1"/>
    <xf numFmtId="175" fontId="55" fillId="0" borderId="74" applyAlignment="1" pivotButton="0" quotePrefix="0" xfId="2">
      <alignment horizontal="center"/>
    </xf>
    <xf numFmtId="0" fontId="56" fillId="0" borderId="66" pivotButton="0" quotePrefix="0" xfId="0"/>
    <xf numFmtId="0" fontId="55" fillId="0" borderId="78" applyAlignment="1" pivotButton="0" quotePrefix="0" xfId="0">
      <alignment horizontal="center"/>
    </xf>
    <xf numFmtId="0" fontId="56" fillId="0" borderId="64" pivotButton="0" quotePrefix="0" xfId="0"/>
    <xf numFmtId="165" fontId="56" fillId="0" borderId="75" pivotButton="0" quotePrefix="0" xfId="1"/>
    <xf numFmtId="0" fontId="56" fillId="0" borderId="77" pivotButton="0" quotePrefix="0" xfId="0"/>
    <xf numFmtId="165" fontId="55" fillId="0" borderId="65" pivotButton="0" quotePrefix="0" xfId="1"/>
    <xf numFmtId="9" fontId="72" fillId="0" borderId="66" applyAlignment="1" pivotButton="0" quotePrefix="0" xfId="2">
      <alignment horizontal="center"/>
    </xf>
    <xf numFmtId="165" fontId="55" fillId="22" borderId="65" pivotButton="0" quotePrefix="0" xfId="1"/>
    <xf numFmtId="9" fontId="72" fillId="22" borderId="66" applyAlignment="1" pivotButton="0" quotePrefix="0" xfId="2">
      <alignment horizontal="center"/>
    </xf>
    <xf numFmtId="165" fontId="55" fillId="4" borderId="65" pivotButton="0" quotePrefix="0" xfId="1"/>
    <xf numFmtId="9" fontId="72" fillId="4" borderId="66" applyAlignment="1" pivotButton="0" quotePrefix="0" xfId="2">
      <alignment horizontal="center"/>
    </xf>
    <xf numFmtId="9" fontId="55" fillId="0" borderId="65" applyAlignment="1" pivotButton="0" quotePrefix="0" xfId="2">
      <alignment horizontal="center"/>
    </xf>
    <xf numFmtId="165" fontId="55" fillId="17" borderId="65" pivotButton="0" quotePrefix="0" xfId="1"/>
    <xf numFmtId="9" fontId="72" fillId="17" borderId="66" applyAlignment="1" pivotButton="0" quotePrefix="0" xfId="2">
      <alignment horizontal="center"/>
    </xf>
    <xf numFmtId="165" fontId="55" fillId="0" borderId="65" applyAlignment="1" pivotButton="0" quotePrefix="0" xfId="1">
      <alignment horizontal="center"/>
    </xf>
    <xf numFmtId="165" fontId="55" fillId="17" borderId="67" pivotButton="0" quotePrefix="0" xfId="1"/>
    <xf numFmtId="9" fontId="72" fillId="17" borderId="69" applyAlignment="1" pivotButton="0" quotePrefix="0" xfId="2">
      <alignment horizontal="center"/>
    </xf>
    <xf numFmtId="0" fontId="56" fillId="0" borderId="81" pivotButton="0" quotePrefix="0" xfId="0"/>
    <xf numFmtId="165" fontId="55" fillId="0" borderId="82" pivotButton="0" quotePrefix="0" xfId="1"/>
    <xf numFmtId="165" fontId="55" fillId="17" borderId="82" pivotButton="0" quotePrefix="0" xfId="1"/>
    <xf numFmtId="165" fontId="55" fillId="17" borderId="83" pivotButton="0" quotePrefix="0" xfId="1"/>
    <xf numFmtId="166" fontId="53" fillId="8" borderId="0" pivotButton="0" quotePrefix="0" xfId="0"/>
    <xf numFmtId="174" fontId="73" fillId="5" borderId="2" applyAlignment="1" applyProtection="1" pivotButton="0" quotePrefix="0" xfId="5">
      <alignment horizontal="center" vertical="center"/>
      <protection locked="0" hidden="0"/>
    </xf>
    <xf numFmtId="169" fontId="16" fillId="0" borderId="0" pivotButton="0" quotePrefix="0" xfId="2"/>
    <xf numFmtId="169" fontId="16" fillId="0" borderId="0" applyAlignment="1" pivotButton="0" quotePrefix="0" xfId="2">
      <alignment horizontal="center" vertical="center"/>
    </xf>
    <xf numFmtId="169" fontId="42" fillId="0" borderId="28" applyAlignment="1" pivotButton="0" quotePrefix="0" xfId="2">
      <alignment horizontal="center"/>
    </xf>
    <xf numFmtId="169" fontId="16" fillId="2" borderId="28" applyAlignment="1" applyProtection="1" pivotButton="0" quotePrefix="0" xfId="2">
      <alignment horizontal="center"/>
      <protection locked="0" hidden="0"/>
    </xf>
    <xf numFmtId="169" fontId="16" fillId="0" borderId="0" pivotButton="0" quotePrefix="0" xfId="2"/>
    <xf numFmtId="0" fontId="19" fillId="3" borderId="28" applyAlignment="1" pivotButton="0" quotePrefix="0" xfId="2">
      <alignment horizontal="center"/>
    </xf>
    <xf numFmtId="0" fontId="17" fillId="3" borderId="28" applyAlignment="1" pivotButton="0" quotePrefix="0" xfId="2">
      <alignment horizontal="center" vertical="top" wrapText="1"/>
    </xf>
    <xf numFmtId="9" fontId="16" fillId="0" borderId="2" applyAlignment="1" pivotButton="0" quotePrefix="0" xfId="5">
      <alignment horizontal="center" vertical="center"/>
    </xf>
    <xf numFmtId="0" fontId="43" fillId="0" borderId="0" applyAlignment="1" pivotButton="0" quotePrefix="0" xfId="0">
      <alignment vertical="center"/>
    </xf>
    <xf numFmtId="0" fontId="46" fillId="0" borderId="0" pivotButton="0" quotePrefix="0" xfId="0"/>
    <xf numFmtId="0" fontId="69" fillId="0" borderId="9" applyAlignment="1" pivotButton="0" quotePrefix="0" xfId="0">
      <alignment vertical="center"/>
    </xf>
    <xf numFmtId="165" fontId="69" fillId="0" borderId="10" applyAlignment="1" pivotButton="0" quotePrefix="0" xfId="1">
      <alignment vertical="center"/>
    </xf>
    <xf numFmtId="0" fontId="20" fillId="0" borderId="0" applyAlignment="1" pivotButton="0" quotePrefix="0" xfId="0">
      <alignment horizontal="center" vertical="center"/>
    </xf>
    <xf numFmtId="0" fontId="39" fillId="0" borderId="0" applyAlignment="1" pivotButton="0" quotePrefix="0" xfId="0">
      <alignment vertical="center"/>
    </xf>
    <xf numFmtId="0" fontId="40" fillId="0" borderId="20" applyAlignment="1" pivotButton="0" quotePrefix="0" xfId="0">
      <alignment horizontal="right"/>
    </xf>
    <xf numFmtId="0" fontId="38" fillId="0" borderId="21" pivotButton="0" quotePrefix="0" xfId="0"/>
    <xf numFmtId="0" fontId="69" fillId="0" borderId="9" applyAlignment="1" pivotButton="0" quotePrefix="0" xfId="0">
      <alignment horizontal="center" vertical="center" wrapText="1"/>
    </xf>
    <xf numFmtId="0" fontId="69" fillId="0" borderId="47" applyAlignment="1" pivotButton="0" quotePrefix="0" xfId="0">
      <alignment horizontal="right" vertical="center" wrapText="1"/>
    </xf>
    <xf numFmtId="165" fontId="69" fillId="0" borderId="49" applyAlignment="1" pivotButton="0" quotePrefix="0" xfId="1">
      <alignment horizontal="center" vertical="center"/>
    </xf>
    <xf numFmtId="0" fontId="17" fillId="3" borderId="2" applyAlignment="1" pivotButton="0" quotePrefix="0" xfId="0">
      <alignment horizontal="center" vertical="center" wrapText="1"/>
    </xf>
    <xf numFmtId="0" fontId="40" fillId="0" borderId="21" pivotButton="0" quotePrefix="0" xfId="0"/>
    <xf numFmtId="0" fontId="69" fillId="3" borderId="10" applyAlignment="1" pivotButton="0" quotePrefix="0" xfId="0">
      <alignment horizontal="left" vertical="center" wrapText="1"/>
    </xf>
    <xf numFmtId="0" fontId="69" fillId="0" borderId="47" applyAlignment="1" pivotButton="0" quotePrefix="0" xfId="0">
      <alignment horizontal="right" vertical="center"/>
    </xf>
    <xf numFmtId="0" fontId="59" fillId="0" borderId="0" applyAlignment="1" pivotButton="0" quotePrefix="0" xfId="0">
      <alignment horizontal="left"/>
    </xf>
    <xf numFmtId="0" fontId="16" fillId="0" borderId="2" applyAlignment="1" pivotButton="0" quotePrefix="0" xfId="0">
      <alignment horizontal="center" vertical="center"/>
    </xf>
    <xf numFmtId="176" fontId="16" fillId="0" borderId="0" applyAlignment="1" pivotButton="0" quotePrefix="0" xfId="0">
      <alignment horizontal="center" vertical="center"/>
    </xf>
    <xf numFmtId="0" fontId="40" fillId="0" borderId="0" pivotButton="0" quotePrefix="0" xfId="0"/>
    <xf numFmtId="0" fontId="69" fillId="0" borderId="0" applyAlignment="1" pivotButton="0" quotePrefix="0" xfId="0">
      <alignment vertical="center"/>
    </xf>
    <xf numFmtId="0" fontId="69" fillId="0" borderId="21" applyAlignment="1" pivotButton="0" quotePrefix="0" xfId="0">
      <alignment vertical="center"/>
    </xf>
    <xf numFmtId="0" fontId="68" fillId="0" borderId="50" applyAlignment="1" pivotButton="0" quotePrefix="0" xfId="0">
      <alignment horizontal="right" vertical="center" wrapText="1"/>
    </xf>
    <xf numFmtId="165" fontId="68" fillId="0" borderId="52" pivotButton="0" quotePrefix="0" xfId="1"/>
    <xf numFmtId="0" fontId="60" fillId="0" borderId="0" applyAlignment="1" pivotButton="0" quotePrefix="0" xfId="0">
      <alignment horizontal="left"/>
    </xf>
    <xf numFmtId="0" fontId="59" fillId="0" borderId="0" applyAlignment="1" pivotButton="0" quotePrefix="0" xfId="0">
      <alignment horizontal="left" vertical="center"/>
    </xf>
    <xf numFmtId="10" fontId="40" fillId="0" borderId="20" applyAlignment="1" pivotButton="0" quotePrefix="0" xfId="0">
      <alignment horizontal="right"/>
    </xf>
    <xf numFmtId="0" fontId="68" fillId="0" borderId="0" applyAlignment="1" pivotButton="0" quotePrefix="0" xfId="0">
      <alignment horizontal="center" vertical="center"/>
    </xf>
    <xf numFmtId="0" fontId="68" fillId="0" borderId="21" applyAlignment="1" pivotButton="0" quotePrefix="0" xfId="0">
      <alignment horizontal="center" vertical="center"/>
    </xf>
    <xf numFmtId="0" fontId="69" fillId="0" borderId="0" applyAlignment="1" pivotButton="0" quotePrefix="0" xfId="0">
      <alignment horizontal="center" vertical="center"/>
    </xf>
    <xf numFmtId="0" fontId="69" fillId="0" borderId="0" pivotButton="0" quotePrefix="0" xfId="0"/>
    <xf numFmtId="10" fontId="40" fillId="0" borderId="17" applyAlignment="1" pivotButton="0" quotePrefix="0" xfId="0">
      <alignment horizontal="right"/>
    </xf>
    <xf numFmtId="0" fontId="40" fillId="0" borderId="16" pivotButton="0" quotePrefix="0" xfId="0"/>
    <xf numFmtId="165" fontId="68" fillId="0" borderId="21" applyAlignment="1" pivotButton="0" quotePrefix="0" xfId="1">
      <alignment vertical="center"/>
    </xf>
    <xf numFmtId="165" fontId="69" fillId="0" borderId="21" applyAlignment="1" pivotButton="0" quotePrefix="0" xfId="1">
      <alignment vertical="center"/>
    </xf>
    <xf numFmtId="0" fontId="62" fillId="0" borderId="0" applyAlignment="1" pivotButton="0" quotePrefix="0" xfId="0">
      <alignment horizontal="left"/>
    </xf>
    <xf numFmtId="165" fontId="16" fillId="0" borderId="2" applyAlignment="1" pivotButton="0" quotePrefix="0" xfId="1">
      <alignment horizontal="center" vertical="center"/>
    </xf>
    <xf numFmtId="169" fontId="41" fillId="0" borderId="0" applyAlignment="1" pivotButton="0" quotePrefix="0" xfId="2">
      <alignment horizontal="left" vertical="center"/>
    </xf>
    <xf numFmtId="0" fontId="17" fillId="0" borderId="0" applyAlignment="1" pivotButton="0" quotePrefix="0" xfId="0">
      <alignment horizontal="left" vertical="center"/>
    </xf>
    <xf numFmtId="0" fontId="16" fillId="0" borderId="0" applyAlignment="1" pivotButton="0" quotePrefix="0" xfId="0">
      <alignment horizontal="center"/>
    </xf>
    <xf numFmtId="166" fontId="69" fillId="0" borderId="0" applyAlignment="1" pivotButton="0" quotePrefix="0" xfId="0">
      <alignment horizontal="left" vertical="center"/>
    </xf>
    <xf numFmtId="165" fontId="22" fillId="3" borderId="2" applyAlignment="1" pivotButton="0" quotePrefix="0" xfId="1">
      <alignment horizontal="center" vertical="center" wrapText="1"/>
    </xf>
    <xf numFmtId="166" fontId="41" fillId="0" borderId="0" applyAlignment="1" pivotButton="0" quotePrefix="0" xfId="0">
      <alignment horizontal="left" vertical="center"/>
    </xf>
    <xf numFmtId="0" fontId="68" fillId="3" borderId="8" applyAlignment="1" pivotButton="0" quotePrefix="0" xfId="0">
      <alignment horizontal="right" vertical="center"/>
    </xf>
    <xf numFmtId="0" fontId="68" fillId="3" borderId="9" applyAlignment="1" pivotButton="0" quotePrefix="0" xfId="0">
      <alignment horizontal="right" vertical="center"/>
    </xf>
    <xf numFmtId="165" fontId="68" fillId="3" borderId="10" applyAlignment="1" pivotButton="0" quotePrefix="0" xfId="1">
      <alignment vertical="center"/>
    </xf>
    <xf numFmtId="0" fontId="61" fillId="0" borderId="0" applyAlignment="1" pivotButton="0" quotePrefix="0" xfId="0">
      <alignment horizontal="left"/>
    </xf>
    <xf numFmtId="0" fontId="51" fillId="0" borderId="25" applyAlignment="1" pivotButton="0" quotePrefix="0" xfId="0">
      <alignment vertical="center"/>
    </xf>
    <xf numFmtId="0" fontId="39" fillId="0" borderId="25" pivotButton="0" quotePrefix="0" xfId="0"/>
    <xf numFmtId="0" fontId="39" fillId="0" borderId="63" pivotButton="0" quotePrefix="0" xfId="0"/>
    <xf numFmtId="169" fontId="18" fillId="0" borderId="43" applyAlignment="1" pivotButton="0" quotePrefix="0" xfId="2">
      <alignment horizontal="center"/>
    </xf>
    <xf numFmtId="0" fontId="21" fillId="0" borderId="0" applyAlignment="1" pivotButton="0" quotePrefix="0" xfId="0">
      <alignment horizontal="left" vertical="center"/>
    </xf>
    <xf numFmtId="0" fontId="16" fillId="0" borderId="29" pivotButton="0" quotePrefix="0" xfId="0"/>
    <xf numFmtId="0" fontId="21" fillId="0" borderId="20" applyAlignment="1" pivotButton="0" quotePrefix="0" xfId="0">
      <alignment horizontal="center"/>
    </xf>
    <xf numFmtId="0" fontId="21" fillId="3" borderId="2" applyAlignment="1" pivotButton="0" quotePrefix="0" xfId="0">
      <alignment horizontal="center"/>
    </xf>
    <xf numFmtId="0" fontId="21" fillId="3" borderId="8" applyAlignment="1" pivotButton="0" quotePrefix="0" xfId="0">
      <alignment horizontal="center"/>
    </xf>
    <xf numFmtId="0" fontId="21" fillId="3" borderId="29" applyAlignment="1" pivotButton="0" quotePrefix="0" xfId="0">
      <alignment horizontal="center"/>
    </xf>
    <xf numFmtId="0" fontId="21" fillId="3" borderId="28" applyAlignment="1" pivotButton="0" quotePrefix="0" xfId="0">
      <alignment horizontal="center"/>
    </xf>
    <xf numFmtId="169" fontId="21" fillId="3" borderId="28" applyAlignment="1" pivotButton="0" quotePrefix="0" xfId="2">
      <alignment horizontal="center"/>
    </xf>
    <xf numFmtId="0" fontId="21" fillId="3" borderId="10" applyAlignment="1" pivotButton="0" quotePrefix="0" xfId="0">
      <alignment horizontal="center"/>
    </xf>
    <xf numFmtId="0" fontId="21" fillId="3" borderId="9" applyAlignment="1" pivotButton="0" quotePrefix="0" xfId="0">
      <alignment horizontal="center"/>
    </xf>
    <xf numFmtId="0" fontId="21" fillId="0" borderId="46" applyAlignment="1" pivotButton="0" quotePrefix="0" xfId="0">
      <alignment horizontal="center"/>
    </xf>
    <xf numFmtId="9" fontId="17" fillId="3" borderId="11" applyAlignment="1" pivotButton="0" quotePrefix="0" xfId="2">
      <alignment horizontal="center" vertical="center" wrapText="1"/>
    </xf>
    <xf numFmtId="169" fontId="16" fillId="8" borderId="11" applyAlignment="1" applyProtection="1" pivotButton="0" quotePrefix="0" xfId="1">
      <alignment horizontal="center" vertical="center"/>
      <protection locked="0" hidden="0"/>
    </xf>
    <xf numFmtId="0" fontId="74" fillId="0" borderId="0" pivotButton="0" quotePrefix="0" xfId="0"/>
    <xf numFmtId="0" fontId="75" fillId="0" borderId="0" pivotButton="0" quotePrefix="0" xfId="0"/>
    <xf numFmtId="0" fontId="76" fillId="12" borderId="0" applyAlignment="1" pivotButton="0" quotePrefix="0" xfId="0">
      <alignment horizontal="center"/>
    </xf>
    <xf numFmtId="165" fontId="76" fillId="0" borderId="0" pivotButton="0" quotePrefix="0" xfId="1"/>
    <xf numFmtId="165" fontId="74" fillId="0" borderId="0" pivotButton="0" quotePrefix="0" xfId="1"/>
    <xf numFmtId="165" fontId="76" fillId="0" borderId="56" pivotButton="0" quotePrefix="0" xfId="1"/>
    <xf numFmtId="165" fontId="77" fillId="0" borderId="0" applyAlignment="1" pivotButton="0" quotePrefix="0" xfId="1">
      <alignment horizontal="right"/>
    </xf>
    <xf numFmtId="165" fontId="44" fillId="24" borderId="0" applyAlignment="1" pivotButton="0" quotePrefix="0" xfId="1">
      <alignment horizontal="right"/>
    </xf>
    <xf numFmtId="9" fontId="48" fillId="24" borderId="0" applyAlignment="1" pivotButton="0" quotePrefix="0" xfId="2">
      <alignment horizontal="center"/>
    </xf>
    <xf numFmtId="0" fontId="14" fillId="24" borderId="0" pivotButton="0" quotePrefix="0" xfId="0"/>
    <xf numFmtId="165" fontId="77" fillId="24" borderId="0" applyAlignment="1" pivotButton="0" quotePrefix="0" xfId="1">
      <alignment horizontal="right"/>
    </xf>
    <xf numFmtId="165" fontId="54" fillId="0" borderId="0" pivotButton="0" quotePrefix="0" xfId="1"/>
    <xf numFmtId="9" fontId="63" fillId="3" borderId="0" applyAlignment="1" pivotButton="0" quotePrefix="0" xfId="2">
      <alignment horizontal="center"/>
    </xf>
    <xf numFmtId="9" fontId="14" fillId="24" borderId="0" applyAlignment="1" pivotButton="0" quotePrefix="0" xfId="2">
      <alignment horizontal="center"/>
    </xf>
    <xf numFmtId="165" fontId="74" fillId="0" borderId="58" pivotButton="0" quotePrefix="0" xfId="1"/>
    <xf numFmtId="169" fontId="14" fillId="25" borderId="0" applyAlignment="1" pivotButton="0" quotePrefix="0" xfId="2">
      <alignment horizontal="center"/>
    </xf>
    <xf numFmtId="165" fontId="74" fillId="0" borderId="57" pivotButton="0" quotePrefix="0" xfId="1"/>
    <xf numFmtId="0" fontId="15" fillId="23" borderId="58" pivotButton="0" quotePrefix="0" xfId="0"/>
    <xf numFmtId="165" fontId="15" fillId="23" borderId="58" pivotButton="0" quotePrefix="0" xfId="1"/>
    <xf numFmtId="9" fontId="48" fillId="23" borderId="58" applyAlignment="1" pivotButton="0" quotePrefix="0" xfId="2">
      <alignment horizontal="center"/>
    </xf>
    <xf numFmtId="165" fontId="14" fillId="23" borderId="58" pivotButton="0" quotePrefix="0" xfId="1"/>
    <xf numFmtId="165" fontId="76" fillId="23" borderId="58" pivotButton="0" quotePrefix="0" xfId="1"/>
    <xf numFmtId="9" fontId="79" fillId="25" borderId="88" applyAlignment="1" pivotButton="0" quotePrefix="0" xfId="2">
      <alignment horizontal="center"/>
    </xf>
    <xf numFmtId="9" fontId="79" fillId="4" borderId="88" applyAlignment="1" pivotButton="0" quotePrefix="0" xfId="2">
      <alignment horizontal="center"/>
    </xf>
    <xf numFmtId="0" fontId="45" fillId="4" borderId="88" applyAlignment="1" pivotButton="0" quotePrefix="0" xfId="0">
      <alignment horizontal="right"/>
    </xf>
    <xf numFmtId="165" fontId="79" fillId="4" borderId="88" pivotButton="0" quotePrefix="0" xfId="1"/>
    <xf numFmtId="0" fontId="15" fillId="4" borderId="89" pivotButton="0" quotePrefix="0" xfId="0"/>
    <xf numFmtId="165" fontId="14" fillId="4" borderId="0" pivotButton="0" quotePrefix="0" xfId="1"/>
    <xf numFmtId="0" fontId="14" fillId="4" borderId="0" pivotButton="0" quotePrefix="0" xfId="0"/>
    <xf numFmtId="9" fontId="79" fillId="4" borderId="0" applyAlignment="1" pivotButton="0" quotePrefix="0" xfId="2">
      <alignment horizontal="center"/>
    </xf>
    <xf numFmtId="0" fontId="45" fillId="4" borderId="0" applyAlignment="1" pivotButton="0" quotePrefix="0" xfId="0">
      <alignment horizontal="right"/>
    </xf>
    <xf numFmtId="165" fontId="79" fillId="4" borderId="0" pivotButton="0" quotePrefix="0" xfId="1"/>
    <xf numFmtId="0" fontId="14" fillId="4" borderId="89" pivotButton="0" quotePrefix="0" xfId="0"/>
    <xf numFmtId="165" fontId="80" fillId="4" borderId="0" pivotButton="0" quotePrefix="0" xfId="0"/>
    <xf numFmtId="0" fontId="15" fillId="4" borderId="56" applyAlignment="1" pivotButton="0" quotePrefix="0" xfId="0">
      <alignment horizontal="right"/>
    </xf>
    <xf numFmtId="165" fontId="15" fillId="4" borderId="56" applyAlignment="1" pivotButton="0" quotePrefix="0" xfId="1">
      <alignment horizontal="right"/>
    </xf>
    <xf numFmtId="165" fontId="14" fillId="4" borderId="0" pivotButton="0" quotePrefix="0" xfId="0"/>
    <xf numFmtId="0" fontId="79" fillId="4" borderId="0" pivotButton="0" quotePrefix="0" xfId="0"/>
    <xf numFmtId="0" fontId="80" fillId="4" borderId="0" applyAlignment="1" pivotButton="0" quotePrefix="0" xfId="0">
      <alignment horizontal="right"/>
    </xf>
    <xf numFmtId="166" fontId="79" fillId="4" borderId="0" pivotButton="0" quotePrefix="0" xfId="0"/>
    <xf numFmtId="0" fontId="48" fillId="4" borderId="90" applyAlignment="1" pivotButton="0" quotePrefix="0" xfId="0">
      <alignment horizontal="left"/>
    </xf>
    <xf numFmtId="169" fontId="63" fillId="25" borderId="0" applyAlignment="1" pivotButton="0" quotePrefix="0" xfId="2">
      <alignment horizontal="center"/>
    </xf>
    <xf numFmtId="9" fontId="14" fillId="25" borderId="0" applyAlignment="1" pivotButton="0" quotePrefix="0" xfId="0">
      <alignment horizontal="center"/>
    </xf>
    <xf numFmtId="166" fontId="54" fillId="4" borderId="0" pivotButton="0" quotePrefix="0" xfId="0"/>
    <xf numFmtId="0" fontId="74" fillId="4" borderId="0" pivotButton="0" quotePrefix="0" xfId="0"/>
    <xf numFmtId="0" fontId="14" fillId="4" borderId="91" pivotButton="0" quotePrefix="0" xfId="0"/>
    <xf numFmtId="0" fontId="14" fillId="4" borderId="7" pivotButton="0" quotePrefix="0" xfId="0"/>
    <xf numFmtId="0" fontId="74" fillId="4" borderId="7" pivotButton="0" quotePrefix="0" xfId="0"/>
    <xf numFmtId="2" fontId="81" fillId="27" borderId="94" applyAlignment="1" pivotButton="0" quotePrefix="0" xfId="0">
      <alignment horizontal="center" wrapText="1"/>
    </xf>
    <xf numFmtId="0" fontId="82" fillId="26" borderId="95" applyAlignment="1" pivotButton="0" quotePrefix="0" xfId="0">
      <alignment wrapText="1"/>
    </xf>
    <xf numFmtId="165" fontId="14" fillId="25" borderId="0" pivotButton="0" quotePrefix="0" xfId="1"/>
    <xf numFmtId="0" fontId="79" fillId="4" borderId="88" pivotButton="0" quotePrefix="0" xfId="0"/>
    <xf numFmtId="0" fontId="79" fillId="4" borderId="0" applyAlignment="1" pivotButton="0" quotePrefix="0" xfId="0">
      <alignment horizontal="right" indent="1"/>
    </xf>
    <xf numFmtId="166" fontId="14" fillId="0" borderId="0" pivotButton="0" quotePrefix="0" xfId="0"/>
    <xf numFmtId="0" fontId="84" fillId="0" borderId="0" applyAlignment="1" pivotButton="0" quotePrefix="0" xfId="14">
      <alignment horizontal="left" wrapText="1"/>
    </xf>
    <xf numFmtId="0" fontId="83" fillId="0" borderId="97" applyAlignment="1" pivotButton="0" quotePrefix="0" xfId="13">
      <alignment horizontal="right" indent="1"/>
    </xf>
    <xf numFmtId="0" fontId="85" fillId="0" borderId="0" applyAlignment="1" pivotButton="0" quotePrefix="0" xfId="15">
      <alignment horizontal="left"/>
    </xf>
    <xf numFmtId="0" fontId="85" fillId="0" borderId="0" applyAlignment="1" pivotButton="0" quotePrefix="0" xfId="15">
      <alignment horizontal="center"/>
    </xf>
    <xf numFmtId="0" fontId="86" fillId="0" borderId="0" applyAlignment="1" pivotButton="0" quotePrefix="0" xfId="16">
      <alignment horizontal="right" indent="1"/>
    </xf>
    <xf numFmtId="0" fontId="86" fillId="0" borderId="0" applyAlignment="1" pivotButton="0" quotePrefix="0" xfId="16">
      <alignment horizontal="right" indent="1"/>
    </xf>
    <xf numFmtId="0" fontId="86" fillId="0" borderId="0" applyAlignment="1" pivotButton="0" quotePrefix="0" xfId="19">
      <alignment horizontal="left"/>
    </xf>
    <xf numFmtId="0" fontId="88" fillId="0" borderId="0" applyAlignment="1" pivotButton="0" quotePrefix="0" xfId="20">
      <alignment horizontal="left" wrapText="1" indent="6"/>
    </xf>
    <xf numFmtId="0" fontId="0" fillId="0" borderId="0" applyAlignment="1" pivotButton="0" quotePrefix="0" xfId="20">
      <alignment wrapText="1"/>
    </xf>
    <xf numFmtId="0" fontId="0" fillId="0" borderId="0" pivotButton="0" quotePrefix="0" xfId="20"/>
    <xf numFmtId="0" fontId="84" fillId="0" borderId="0" applyAlignment="1" pivotButton="0" quotePrefix="0" xfId="14">
      <alignment horizontal="center" wrapText="1"/>
    </xf>
    <xf numFmtId="0" fontId="84" fillId="0" borderId="99" applyAlignment="1" pivotButton="0" quotePrefix="0" xfId="14">
      <alignment horizontal="left" wrapText="1"/>
    </xf>
    <xf numFmtId="0" fontId="84" fillId="0" borderId="99" applyAlignment="1" pivotButton="0" quotePrefix="0" xfId="14">
      <alignment horizontal="center" wrapText="1"/>
    </xf>
    <xf numFmtId="0" fontId="84" fillId="0" borderId="100" applyAlignment="1" pivotButton="0" quotePrefix="0" xfId="14">
      <alignment horizontal="center" wrapText="1"/>
    </xf>
    <xf numFmtId="177" fontId="0" fillId="0" borderId="100" applyAlignment="1" pivotButton="0" quotePrefix="0" xfId="22">
      <alignment horizontal="right" indent="1"/>
    </xf>
    <xf numFmtId="0" fontId="84" fillId="0" borderId="101" applyAlignment="1" pivotButton="0" quotePrefix="0" xfId="14">
      <alignment horizontal="left" wrapText="1"/>
    </xf>
    <xf numFmtId="0" fontId="84" fillId="0" borderId="101" applyAlignment="1" pivotButton="0" quotePrefix="0" xfId="14">
      <alignment horizontal="center" wrapText="1"/>
    </xf>
    <xf numFmtId="0" fontId="84" fillId="0" borderId="102" applyAlignment="1" pivotButton="0" quotePrefix="0" xfId="14">
      <alignment horizontal="center" wrapText="1"/>
    </xf>
    <xf numFmtId="177" fontId="0" fillId="0" borderId="102" applyAlignment="1" pivotButton="0" quotePrefix="0" xfId="22">
      <alignment horizontal="right" indent="1"/>
    </xf>
    <xf numFmtId="177" fontId="0" fillId="0" borderId="0" applyAlignment="1" pivotButton="0" quotePrefix="0" xfId="22">
      <alignment horizontal="right" indent="1"/>
    </xf>
    <xf numFmtId="0" fontId="84" fillId="0" borderId="0" pivotButton="0" quotePrefix="0" xfId="14"/>
    <xf numFmtId="2" fontId="84" fillId="0" borderId="0" applyAlignment="1" pivotButton="0" quotePrefix="0" xfId="14">
      <alignment horizontal="center" wrapText="1"/>
    </xf>
    <xf numFmtId="0" fontId="4" fillId="0" borderId="0" applyAlignment="1" pivotButton="0" quotePrefix="0" xfId="0">
      <alignment wrapText="1"/>
    </xf>
    <xf numFmtId="0" fontId="86" fillId="0" borderId="0" applyAlignment="1" pivotButton="0" quotePrefix="0" xfId="19">
      <alignment horizontal="left" indent="1"/>
    </xf>
    <xf numFmtId="0" fontId="4" fillId="0" borderId="0" applyAlignment="1" pivotButton="0" quotePrefix="0" xfId="0">
      <alignment horizontal="left" vertical="top" wrapText="1"/>
    </xf>
    <xf numFmtId="0" fontId="89" fillId="0" borderId="0" pivotButton="0" quotePrefix="0" xfId="19"/>
    <xf numFmtId="0" fontId="84" fillId="0" borderId="0" applyAlignment="1" pivotButton="0" quotePrefix="0" xfId="14">
      <alignment wrapText="1"/>
    </xf>
    <xf numFmtId="0" fontId="84" fillId="0" borderId="0" applyAlignment="1" pivotButton="0" quotePrefix="0" xfId="14">
      <alignment vertical="top"/>
    </xf>
    <xf numFmtId="0" fontId="84" fillId="0" borderId="0" applyAlignment="1" pivotButton="0" quotePrefix="0" xfId="14">
      <alignment vertical="top" wrapText="1"/>
    </xf>
    <xf numFmtId="0" fontId="87" fillId="0" borderId="0" applyAlignment="1" pivotButton="0" quotePrefix="0" xfId="17">
      <alignment vertical="top" wrapText="1"/>
    </xf>
    <xf numFmtId="0" fontId="86" fillId="0" borderId="0" applyAlignment="1" pivotButton="0" quotePrefix="0" xfId="16">
      <alignment horizontal="right" vertical="top"/>
    </xf>
    <xf numFmtId="14" fontId="84" fillId="0" borderId="0" applyAlignment="1" pivotButton="0" quotePrefix="0" xfId="18">
      <alignment horizontal="left" vertical="top" wrapText="1"/>
    </xf>
    <xf numFmtId="0" fontId="84" fillId="0" borderId="0" applyAlignment="1" pivotButton="0" quotePrefix="0" xfId="14">
      <alignment vertical="center" wrapText="1"/>
    </xf>
    <xf numFmtId="0" fontId="91" fillId="0" borderId="0" pivotButton="0" quotePrefix="0" xfId="23"/>
    <xf numFmtId="0" fontId="4" fillId="0" borderId="0" pivotButton="0" quotePrefix="0" xfId="23"/>
    <xf numFmtId="0" fontId="92" fillId="0" borderId="103" applyAlignment="1" pivotButton="0" quotePrefix="0" xfId="23">
      <alignment horizontal="center"/>
    </xf>
    <xf numFmtId="0" fontId="93" fillId="0" borderId="103" applyAlignment="1" pivotButton="0" quotePrefix="0" xfId="25">
      <alignment horizontal="right" vertical="center"/>
    </xf>
    <xf numFmtId="0" fontId="91" fillId="0" borderId="103" applyAlignment="1" pivotButton="0" quotePrefix="0" xfId="23">
      <alignment horizontal="left" indent="1"/>
    </xf>
    <xf numFmtId="0" fontId="91" fillId="0" borderId="103" pivotButton="0" quotePrefix="0" xfId="23"/>
    <xf numFmtId="0" fontId="94" fillId="0" borderId="0" applyAlignment="1" pivotButton="0" quotePrefix="0" xfId="25">
      <alignment horizontal="right" vertical="center"/>
    </xf>
    <xf numFmtId="0" fontId="3" fillId="2" borderId="104" applyAlignment="1" applyProtection="1" pivotButton="0" quotePrefix="0" xfId="24">
      <alignment horizontal="left" vertical="center" indent="1"/>
      <protection locked="0" hidden="0"/>
    </xf>
    <xf numFmtId="0" fontId="91" fillId="2" borderId="104" applyAlignment="1" applyProtection="1" pivotButton="0" quotePrefix="0" xfId="24">
      <alignment horizontal="left" vertical="center" indent="1"/>
      <protection locked="0" hidden="0"/>
    </xf>
    <xf numFmtId="0" fontId="91" fillId="2" borderId="0" applyAlignment="1" applyProtection="1" pivotButton="0" quotePrefix="0" xfId="24">
      <alignment horizontal="left" vertical="center" indent="1"/>
      <protection locked="0" hidden="0"/>
    </xf>
    <xf numFmtId="0" fontId="91" fillId="0" borderId="0" applyAlignment="1" pivotButton="0" quotePrefix="0" xfId="25">
      <alignment horizontal="left" vertical="center" indent="1"/>
    </xf>
    <xf numFmtId="178" fontId="94" fillId="29" borderId="1" applyAlignment="1" applyProtection="1" pivotButton="0" quotePrefix="0" xfId="24">
      <alignment horizontal="left" vertical="center" indent="1"/>
      <protection locked="0" hidden="0"/>
    </xf>
    <xf numFmtId="0" fontId="94" fillId="0" borderId="0" pivotButton="0" quotePrefix="0" xfId="23"/>
    <xf numFmtId="0" fontId="91" fillId="0" borderId="0" applyAlignment="1" pivotButton="0" quotePrefix="0" xfId="23">
      <alignment horizontal="left" indent="1"/>
    </xf>
    <xf numFmtId="0" fontId="91" fillId="2" borderId="1" applyAlignment="1" applyProtection="1" pivotButton="0" quotePrefix="0" xfId="24">
      <alignment horizontal="left" wrapText="1" indent="1"/>
      <protection locked="0" hidden="0"/>
    </xf>
    <xf numFmtId="179" fontId="91" fillId="2" borderId="1" applyAlignment="1" applyProtection="1" pivotButton="0" quotePrefix="0" xfId="26">
      <alignment horizontal="left" indent="1"/>
      <protection locked="0" hidden="0"/>
    </xf>
    <xf numFmtId="0" fontId="91" fillId="2" borderId="1" applyAlignment="1" applyProtection="1" pivotButton="0" quotePrefix="0" xfId="24">
      <alignment horizontal="left" indent="1"/>
      <protection locked="0" hidden="0"/>
    </xf>
    <xf numFmtId="0" fontId="94" fillId="29" borderId="1" applyAlignment="1" applyProtection="1" pivotButton="0" quotePrefix="0" xfId="24">
      <alignment horizontal="left" vertical="center" indent="1"/>
      <protection locked="0" hidden="0"/>
    </xf>
    <xf numFmtId="178" fontId="94" fillId="2" borderId="1" applyAlignment="1" applyProtection="1" pivotButton="0" quotePrefix="0" xfId="24">
      <alignment horizontal="left" vertical="center" indent="1"/>
      <protection locked="0" hidden="0"/>
    </xf>
    <xf numFmtId="0" fontId="94" fillId="2" borderId="1" applyAlignment="1" applyProtection="1" pivotButton="0" quotePrefix="0" xfId="24">
      <alignment horizontal="left" vertical="center" indent="1"/>
      <protection locked="0" hidden="0"/>
    </xf>
    <xf numFmtId="180" fontId="94" fillId="2" borderId="1" applyAlignment="1" applyProtection="1" pivotButton="0" quotePrefix="0" xfId="24">
      <alignment horizontal="left" vertical="center" indent="1"/>
      <protection locked="0" hidden="0"/>
    </xf>
    <xf numFmtId="0" fontId="86" fillId="0" borderId="98" applyAlignment="1" pivotButton="0" quotePrefix="0" xfId="19">
      <alignment horizontal="center"/>
    </xf>
    <xf numFmtId="0" fontId="86" fillId="0" borderId="98" applyAlignment="1" pivotButton="0" quotePrefix="0" xfId="16">
      <alignment horizontal="center"/>
    </xf>
    <xf numFmtId="0" fontId="84" fillId="0" borderId="97" applyAlignment="1" pivotButton="0" quotePrefix="0" xfId="14">
      <alignment horizontal="center" wrapText="1"/>
    </xf>
    <xf numFmtId="177" fontId="0" fillId="0" borderId="97" applyAlignment="1" pivotButton="0" quotePrefix="0" xfId="21">
      <alignment horizontal="left" wrapText="1"/>
    </xf>
    <xf numFmtId="177" fontId="84" fillId="0" borderId="97" applyAlignment="1" pivotButton="0" quotePrefix="0" xfId="22">
      <alignment horizontal="right" indent="1"/>
    </xf>
    <xf numFmtId="177" fontId="84" fillId="0" borderId="100" applyAlignment="1" pivotButton="0" quotePrefix="0" xfId="22">
      <alignment horizontal="right" indent="1"/>
    </xf>
    <xf numFmtId="0" fontId="84" fillId="0" borderId="105" applyAlignment="1" pivotButton="0" quotePrefix="0" xfId="0">
      <alignment horizontal="left" wrapText="1"/>
    </xf>
    <xf numFmtId="0" fontId="84" fillId="0" borderId="105" applyAlignment="1" pivotButton="0" quotePrefix="0" xfId="0">
      <alignment horizontal="center" wrapText="1"/>
    </xf>
    <xf numFmtId="0" fontId="84" fillId="0" borderId="106" applyAlignment="1" pivotButton="0" quotePrefix="0" xfId="0">
      <alignment horizontal="center" wrapText="1"/>
    </xf>
    <xf numFmtId="177" fontId="84" fillId="0" borderId="106" applyAlignment="1" pivotButton="0" quotePrefix="0" xfId="0">
      <alignment horizontal="right" indent="1"/>
    </xf>
    <xf numFmtId="9" fontId="4" fillId="0" borderId="0" pivotButton="0" quotePrefix="0" xfId="2"/>
    <xf numFmtId="9" fontId="4" fillId="0" borderId="0" applyAlignment="1" pivotButton="0" quotePrefix="0" xfId="2">
      <alignment horizontal="center" vertical="top" wrapText="1"/>
    </xf>
    <xf numFmtId="9" fontId="94" fillId="2" borderId="1" applyAlignment="1" applyProtection="1" pivotButton="0" quotePrefix="0" xfId="2">
      <alignment horizontal="left" vertical="center" indent="1"/>
      <protection locked="0" hidden="0"/>
    </xf>
    <xf numFmtId="0" fontId="95" fillId="0" borderId="0" applyAlignment="1" pivotButton="0" quotePrefix="0" xfId="23">
      <alignment horizontal="left" vertical="center"/>
    </xf>
    <xf numFmtId="0" fontId="4" fillId="0" borderId="0" applyAlignment="1" pivotButton="0" quotePrefix="0" xfId="23">
      <alignment horizontal="left"/>
    </xf>
    <xf numFmtId="0" fontId="96" fillId="0" borderId="0" applyAlignment="1" pivotButton="0" quotePrefix="0" xfId="23">
      <alignment vertical="center"/>
    </xf>
    <xf numFmtId="0" fontId="3" fillId="0" borderId="0" applyAlignment="1" pivotButton="0" quotePrefix="0" xfId="23">
      <alignment horizontal="left"/>
    </xf>
    <xf numFmtId="0" fontId="4" fillId="25" borderId="0" pivotButton="0" quotePrefix="0" xfId="23"/>
    <xf numFmtId="0" fontId="26" fillId="0" borderId="0" applyAlignment="1" pivotButton="0" quotePrefix="0" xfId="23">
      <alignment vertical="center"/>
    </xf>
    <xf numFmtId="0" fontId="98" fillId="0" borderId="0" applyAlignment="1" pivotButton="0" quotePrefix="0" xfId="23">
      <alignment horizontal="left" vertical="center"/>
    </xf>
    <xf numFmtId="0" fontId="99" fillId="0" borderId="0" applyAlignment="1" pivotButton="0" quotePrefix="0" xfId="23">
      <alignment horizontal="center" vertical="center"/>
    </xf>
    <xf numFmtId="0" fontId="99" fillId="0" borderId="0" applyAlignment="1" pivotButton="0" quotePrefix="0" xfId="23">
      <alignment horizontal="left" vertical="center"/>
    </xf>
    <xf numFmtId="181" fontId="101" fillId="0" borderId="0" applyAlignment="1" pivotButton="0" quotePrefix="0" xfId="23">
      <alignment horizontal="right" vertical="center"/>
    </xf>
    <xf numFmtId="0" fontId="102" fillId="0" borderId="0" applyAlignment="1" pivotButton="0" quotePrefix="0" xfId="23">
      <alignment horizontal="left" vertical="center"/>
    </xf>
    <xf numFmtId="0" fontId="100" fillId="0" borderId="107" applyAlignment="1" pivotButton="0" quotePrefix="0" xfId="23">
      <alignment horizontal="center" vertical="center" wrapText="1"/>
    </xf>
    <xf numFmtId="0" fontId="100" fillId="0" borderId="108" applyAlignment="1" pivotButton="0" quotePrefix="0" xfId="23">
      <alignment horizontal="center" vertical="center" wrapText="1"/>
    </xf>
    <xf numFmtId="0" fontId="35" fillId="0" borderId="0" applyAlignment="1" applyProtection="1" pivotButton="0" quotePrefix="0" xfId="23">
      <alignment vertical="center" wrapText="1"/>
      <protection locked="0" hidden="0"/>
    </xf>
    <xf numFmtId="0" fontId="103" fillId="0" borderId="109" applyAlignment="1" pivotButton="0" quotePrefix="0" xfId="23">
      <alignment horizontal="center" vertical="center" wrapText="1"/>
    </xf>
    <xf numFmtId="0" fontId="100" fillId="26" borderId="110" applyAlignment="1" pivotButton="0" quotePrefix="0" xfId="23">
      <alignment horizontal="center" vertical="center" wrapText="1"/>
    </xf>
    <xf numFmtId="182" fontId="103" fillId="0" borderId="110" applyAlignment="1" pivotButton="0" quotePrefix="0" xfId="23">
      <alignment horizontal="center" vertical="center" wrapText="1"/>
    </xf>
    <xf numFmtId="0" fontId="100" fillId="0" borderId="109" applyAlignment="1" pivotButton="0" quotePrefix="0" xfId="23">
      <alignment horizontal="center" vertical="center" wrapText="1"/>
    </xf>
    <xf numFmtId="0" fontId="100" fillId="0" borderId="110" applyAlignment="1" pivotButton="0" quotePrefix="0" xfId="23">
      <alignment horizontal="center" vertical="center" wrapText="1"/>
    </xf>
    <xf numFmtId="182" fontId="103" fillId="0" borderId="110" applyAlignment="1" pivotButton="0" quotePrefix="0" xfId="23">
      <alignment horizontal="center" wrapText="1"/>
    </xf>
    <xf numFmtId="0" fontId="104" fillId="0" borderId="0" applyAlignment="1" pivotButton="0" quotePrefix="0" xfId="23">
      <alignment horizontal="left" vertical="center"/>
    </xf>
    <xf numFmtId="0" fontId="105" fillId="0" borderId="0" applyAlignment="1" pivotButton="0" quotePrefix="0" xfId="23">
      <alignment horizontal="left" vertical="center"/>
    </xf>
    <xf numFmtId="0" fontId="106" fillId="0" borderId="0" applyAlignment="1" pivotButton="0" quotePrefix="0" xfId="23">
      <alignment horizontal="left"/>
    </xf>
    <xf numFmtId="0" fontId="107" fillId="0" borderId="0" applyAlignment="1" pivotButton="0" quotePrefix="0" xfId="23">
      <alignment horizontal="left" vertical="center"/>
    </xf>
    <xf numFmtId="0" fontId="4" fillId="0" borderId="0" pivotButton="0" quotePrefix="1" xfId="23"/>
    <xf numFmtId="0" fontId="108" fillId="0" borderId="0" applyAlignment="1" pivotButton="0" quotePrefix="0" xfId="23">
      <alignment vertical="center"/>
    </xf>
    <xf numFmtId="0" fontId="107" fillId="0" borderId="0" applyAlignment="1" pivotButton="0" quotePrefix="0" xfId="23">
      <alignment horizontal="left" vertical="center" wrapText="1"/>
    </xf>
    <xf numFmtId="0" fontId="4" fillId="0" borderId="0" applyAlignment="1" pivotButton="0" quotePrefix="0" xfId="23">
      <alignment horizontal="left" wrapText="1"/>
    </xf>
    <xf numFmtId="0" fontId="108" fillId="0" borderId="0" applyAlignment="1" pivotButton="0" quotePrefix="0" xfId="23">
      <alignment vertical="center" wrapText="1"/>
    </xf>
    <xf numFmtId="0" fontId="110" fillId="0" borderId="0" applyAlignment="1" pivotButton="0" quotePrefix="0" xfId="23">
      <alignment horizontal="left" vertical="center"/>
    </xf>
    <xf numFmtId="0" fontId="108" fillId="0" borderId="0" applyAlignment="1" pivotButton="0" quotePrefix="0" xfId="23">
      <alignment horizontal="left" vertical="center"/>
    </xf>
    <xf numFmtId="0" fontId="111" fillId="0" borderId="0" pivotButton="0" quotePrefix="0" xfId="23"/>
    <xf numFmtId="0" fontId="91" fillId="0" borderId="0" applyAlignment="1" pivotButton="0" quotePrefix="0" xfId="23">
      <alignment horizontal="center"/>
    </xf>
    <xf numFmtId="0" fontId="90" fillId="0" borderId="0" applyAlignment="1" pivotButton="0" quotePrefix="0" xfId="15">
      <alignment vertical="top" wrapText="1"/>
    </xf>
    <xf numFmtId="0" fontId="94" fillId="2" borderId="1" applyAlignment="1" applyProtection="1" pivotButton="0" quotePrefix="0" xfId="2">
      <alignment horizontal="left" vertical="center" indent="1"/>
      <protection locked="0" hidden="0"/>
    </xf>
    <xf numFmtId="0" fontId="112" fillId="0" borderId="0" applyAlignment="1" pivotButton="0" quotePrefix="0" xfId="17">
      <alignment vertical="top" wrapText="1"/>
    </xf>
    <xf numFmtId="0" fontId="90" fillId="0" borderId="0" applyAlignment="1" pivotButton="0" quotePrefix="0" xfId="15">
      <alignment horizontal="center"/>
    </xf>
    <xf numFmtId="3" fontId="16" fillId="2" borderId="2" applyAlignment="1" applyProtection="1" pivotButton="0" quotePrefix="0" xfId="1">
      <alignment horizontal="center" wrapText="1"/>
      <protection locked="0" hidden="0"/>
    </xf>
    <xf numFmtId="0" fontId="16" fillId="0" borderId="0" applyAlignment="1" pivotButton="0" quotePrefix="0" xfId="0">
      <alignment horizontal="left" vertical="center"/>
    </xf>
    <xf numFmtId="169" fontId="14" fillId="0" borderId="0" applyAlignment="1" pivotButton="0" quotePrefix="0" xfId="0">
      <alignment horizontal="left"/>
    </xf>
    <xf numFmtId="0" fontId="18" fillId="30" borderId="2" applyAlignment="1" applyProtection="1" pivotButton="0" quotePrefix="0" xfId="1">
      <alignment horizontal="left" vertical="center"/>
      <protection locked="0" hidden="0"/>
    </xf>
    <xf numFmtId="14" fontId="4" fillId="0" borderId="0" applyAlignment="1" pivotButton="0" quotePrefix="0" xfId="0">
      <alignment horizontal="center"/>
    </xf>
    <xf numFmtId="0" fontId="14" fillId="0" borderId="75" applyAlignment="1" pivotButton="0" quotePrefix="0" xfId="0">
      <alignment horizontal="center"/>
    </xf>
    <xf numFmtId="0" fontId="14" fillId="0" borderId="76" applyAlignment="1" pivotButton="0" quotePrefix="0" xfId="0">
      <alignment horizontal="center"/>
    </xf>
    <xf numFmtId="0" fontId="14" fillId="0" borderId="77" applyAlignment="1" pivotButton="0" quotePrefix="0" xfId="0">
      <alignment horizontal="center"/>
    </xf>
    <xf numFmtId="0" fontId="14" fillId="4" borderId="0" applyAlignment="1" pivotButton="0" quotePrefix="0" xfId="0">
      <alignment horizontal="center" vertical="top" wrapText="1"/>
    </xf>
    <xf numFmtId="0" fontId="14" fillId="0" borderId="0" applyAlignment="1" pivotButton="0" quotePrefix="0" xfId="0">
      <alignment horizontal="center" vertical="top" wrapText="1"/>
    </xf>
    <xf numFmtId="0" fontId="55" fillId="0" borderId="79" applyAlignment="1" pivotButton="0" quotePrefix="0" xfId="0">
      <alignment horizontal="center"/>
    </xf>
    <xf numFmtId="0" fontId="55" fillId="0" borderId="80" applyAlignment="1" pivotButton="0" quotePrefix="0" xfId="0">
      <alignment horizontal="center"/>
    </xf>
    <xf numFmtId="0" fontId="55" fillId="0" borderId="78" applyAlignment="1" pivotButton="0" quotePrefix="0" xfId="0">
      <alignment horizontal="center"/>
    </xf>
    <xf numFmtId="0" fontId="69" fillId="0" borderId="8" applyAlignment="1" pivotButton="0" quotePrefix="0" xfId="0">
      <alignment horizontal="right" vertical="center"/>
    </xf>
    <xf numFmtId="0" fontId="69" fillId="0" borderId="9" applyAlignment="1" pivotButton="0" quotePrefix="0" xfId="0">
      <alignment horizontal="right" vertical="center"/>
    </xf>
    <xf numFmtId="0" fontId="16" fillId="5" borderId="8" applyAlignment="1" applyProtection="1" pivotButton="0" quotePrefix="0" xfId="5">
      <alignment horizontal="left" vertical="center"/>
      <protection locked="0" hidden="0"/>
    </xf>
    <xf numFmtId="0" fontId="16" fillId="5" borderId="9" applyAlignment="1" applyProtection="1" pivotButton="0" quotePrefix="0" xfId="5">
      <alignment horizontal="left" vertical="center"/>
      <protection locked="0" hidden="0"/>
    </xf>
    <xf numFmtId="0" fontId="16" fillId="5" borderId="10" applyAlignment="1" applyProtection="1" pivotButton="0" quotePrefix="0" xfId="5">
      <alignment horizontal="left" vertical="center"/>
      <protection locked="0" hidden="0"/>
    </xf>
    <xf numFmtId="0" fontId="69" fillId="0" borderId="53" applyAlignment="1" pivotButton="0" quotePrefix="0" xfId="0">
      <alignment horizontal="left" vertical="center"/>
    </xf>
    <xf numFmtId="0" fontId="69" fillId="0" borderId="54" applyAlignment="1" pivotButton="0" quotePrefix="0" xfId="0">
      <alignment horizontal="left" vertical="center"/>
    </xf>
    <xf numFmtId="0" fontId="20" fillId="5" borderId="8" applyAlignment="1" applyProtection="1" pivotButton="0" quotePrefix="0" xfId="5">
      <alignment horizontal="left" vertical="center"/>
      <protection locked="0" hidden="0"/>
    </xf>
    <xf numFmtId="0" fontId="20" fillId="5" borderId="9" applyAlignment="1" applyProtection="1" pivotButton="0" quotePrefix="0" xfId="5">
      <alignment horizontal="left" vertical="center"/>
      <protection locked="0" hidden="0"/>
    </xf>
    <xf numFmtId="0" fontId="20" fillId="5" borderId="10" applyAlignment="1" applyProtection="1" pivotButton="0" quotePrefix="0" xfId="5">
      <alignment horizontal="left" vertical="center"/>
      <protection locked="0" hidden="0"/>
    </xf>
    <xf numFmtId="0" fontId="17" fillId="3" borderId="8" applyAlignment="1" pivotButton="0" quotePrefix="0" xfId="0">
      <alignment horizontal="center" vertical="center" wrapText="1"/>
    </xf>
    <xf numFmtId="0" fontId="17" fillId="3" borderId="9" applyAlignment="1" pivotButton="0" quotePrefix="0" xfId="0">
      <alignment horizontal="center" vertical="center" wrapText="1"/>
    </xf>
    <xf numFmtId="0" fontId="17" fillId="3" borderId="10" applyAlignment="1" pivotButton="0" quotePrefix="0" xfId="0">
      <alignment horizontal="center" vertical="center" wrapText="1"/>
    </xf>
    <xf numFmtId="0" fontId="68" fillId="3" borderId="8" applyAlignment="1" pivotButton="0" quotePrefix="0" xfId="0">
      <alignment horizontal="right" vertical="center" wrapText="1"/>
    </xf>
    <xf numFmtId="0" fontId="68" fillId="3" borderId="9" applyAlignment="1" pivotButton="0" quotePrefix="0" xfId="0">
      <alignment horizontal="right" vertical="center" wrapText="1"/>
    </xf>
    <xf numFmtId="0" fontId="68" fillId="0" borderId="50" applyAlignment="1" pivotButton="0" quotePrefix="0" xfId="0">
      <alignment horizontal="right" vertical="center"/>
    </xf>
    <xf numFmtId="0" fontId="68" fillId="0" borderId="51" applyAlignment="1" pivotButton="0" quotePrefix="0" xfId="0">
      <alignment horizontal="right" vertical="center"/>
    </xf>
    <xf numFmtId="0" fontId="69" fillId="0" borderId="53" applyAlignment="1" pivotButton="0" quotePrefix="0" xfId="0">
      <alignment horizontal="left" vertical="center" wrapText="1"/>
    </xf>
    <xf numFmtId="0" fontId="69" fillId="0" borderId="54" applyAlignment="1" pivotButton="0" quotePrefix="0" xfId="0">
      <alignment horizontal="left" vertical="center" wrapText="1"/>
    </xf>
    <xf numFmtId="0" fontId="69" fillId="0" borderId="47" applyAlignment="1" pivotButton="0" quotePrefix="0" xfId="0">
      <alignment horizontal="left" vertical="center"/>
    </xf>
    <xf numFmtId="0" fontId="69" fillId="0" borderId="48" applyAlignment="1" pivotButton="0" quotePrefix="0" xfId="0">
      <alignment horizontal="left" vertical="center"/>
    </xf>
    <xf numFmtId="0" fontId="39" fillId="0" borderId="84" applyAlignment="1" pivotButton="0" quotePrefix="0" xfId="0">
      <alignment horizontal="center"/>
    </xf>
    <xf numFmtId="0" fontId="39" fillId="0" borderId="85" applyAlignment="1" pivotButton="0" quotePrefix="0" xfId="0">
      <alignment horizontal="center"/>
    </xf>
    <xf numFmtId="0" fontId="39" fillId="0" borderId="86" applyAlignment="1" pivotButton="0" quotePrefix="0" xfId="0">
      <alignment horizontal="center"/>
    </xf>
    <xf numFmtId="0" fontId="39" fillId="3" borderId="44" applyAlignment="1" pivotButton="0" quotePrefix="0" xfId="0">
      <alignment horizontal="center"/>
    </xf>
    <xf numFmtId="0" fontId="39" fillId="3" borderId="9" applyAlignment="1" pivotButton="0" quotePrefix="0" xfId="0">
      <alignment horizontal="center"/>
    </xf>
    <xf numFmtId="0" fontId="39" fillId="3" borderId="41" applyAlignment="1" pivotButton="0" quotePrefix="0" xfId="0">
      <alignment horizontal="center"/>
    </xf>
    <xf numFmtId="0" fontId="42" fillId="0" borderId="29" applyAlignment="1" pivotButton="0" quotePrefix="0" xfId="0">
      <alignment horizontal="center"/>
    </xf>
    <xf numFmtId="0" fontId="42" fillId="0" borderId="2" applyAlignment="1" pivotButton="0" quotePrefix="0" xfId="0">
      <alignment horizontal="center"/>
    </xf>
    <xf numFmtId="0" fontId="42" fillId="0" borderId="28" applyAlignment="1" pivotButton="0" quotePrefix="0" xfId="0">
      <alignment horizontal="center"/>
    </xf>
    <xf numFmtId="0" fontId="42" fillId="3" borderId="29" applyAlignment="1" pivotButton="0" quotePrefix="0" xfId="0">
      <alignment horizontal="center"/>
    </xf>
    <xf numFmtId="0" fontId="42" fillId="3" borderId="2" applyAlignment="1" pivotButton="0" quotePrefix="0" xfId="0">
      <alignment horizontal="center"/>
    </xf>
    <xf numFmtId="0" fontId="42" fillId="3" borderId="28" applyAlignment="1" pivotButton="0" quotePrefix="0" xfId="0">
      <alignment horizontal="center"/>
    </xf>
    <xf numFmtId="0" fontId="51" fillId="0" borderId="25" applyAlignment="1" pivotButton="0" quotePrefix="0" xfId="0">
      <alignment horizontal="left" vertical="center" wrapText="1"/>
    </xf>
    <xf numFmtId="0" fontId="51" fillId="0" borderId="14" applyAlignment="1" pivotButton="0" quotePrefix="0" xfId="0">
      <alignment horizontal="left" vertical="center" wrapText="1"/>
    </xf>
    <xf numFmtId="0" fontId="51" fillId="0" borderId="0" applyAlignment="1" pivotButton="0" quotePrefix="0" xfId="0">
      <alignment horizontal="left" vertical="center" wrapText="1"/>
    </xf>
    <xf numFmtId="0" fontId="42" fillId="21" borderId="44" applyAlignment="1" pivotButton="0" quotePrefix="0" xfId="0">
      <alignment horizontal="center"/>
    </xf>
    <xf numFmtId="0" fontId="42" fillId="21" borderId="9" applyAlignment="1" pivotButton="0" quotePrefix="0" xfId="0">
      <alignment horizontal="center"/>
    </xf>
    <xf numFmtId="0" fontId="42" fillId="21" borderId="41" applyAlignment="1" pivotButton="0" quotePrefix="0" xfId="0">
      <alignment horizontal="center"/>
    </xf>
    <xf numFmtId="0" fontId="42" fillId="9" borderId="4" applyAlignment="1" pivotButton="0" quotePrefix="0" xfId="0">
      <alignment horizontal="center"/>
    </xf>
    <xf numFmtId="0" fontId="42" fillId="9" borderId="5" applyAlignment="1" pivotButton="0" quotePrefix="0" xfId="0">
      <alignment horizontal="center"/>
    </xf>
    <xf numFmtId="0" fontId="42" fillId="9" borderId="6" applyAlignment="1" pivotButton="0" quotePrefix="0" xfId="0">
      <alignment horizontal="center"/>
    </xf>
    <xf numFmtId="0" fontId="69" fillId="3" borderId="27" applyAlignment="1" pivotButton="0" quotePrefix="0" xfId="1">
      <alignment horizontal="center" vertical="center" wrapText="1"/>
    </xf>
    <xf numFmtId="0" fontId="69" fillId="3" borderId="15" applyAlignment="1" pivotButton="0" quotePrefix="0" xfId="1">
      <alignment horizontal="center" vertical="center" wrapText="1"/>
    </xf>
    <xf numFmtId="0" fontId="69" fillId="3" borderId="53" applyAlignment="1" pivotButton="0" quotePrefix="0" xfId="1">
      <alignment horizontal="center" vertical="center" wrapText="1"/>
    </xf>
    <xf numFmtId="0" fontId="69" fillId="3" borderId="55" applyAlignment="1" pivotButton="0" quotePrefix="0" xfId="1">
      <alignment horizontal="center" vertical="center" wrapText="1"/>
    </xf>
    <xf numFmtId="0" fontId="17" fillId="3" borderId="8" applyAlignment="1" pivotButton="0" quotePrefix="0" xfId="0">
      <alignment horizontal="left" vertical="center" wrapText="1"/>
    </xf>
    <xf numFmtId="0" fontId="17" fillId="3" borderId="9" applyAlignment="1" pivotButton="0" quotePrefix="0" xfId="0">
      <alignment horizontal="left" vertical="center" wrapText="1"/>
    </xf>
    <xf numFmtId="0" fontId="16" fillId="0" borderId="2" applyAlignment="1" pivotButton="0" quotePrefix="0" xfId="0">
      <alignment horizontal="left" vertical="center" wrapText="1"/>
    </xf>
    <xf numFmtId="0" fontId="20" fillId="0" borderId="2" applyAlignment="1" pivotButton="0" quotePrefix="0" xfId="0">
      <alignment horizontal="left" vertical="center" wrapText="1"/>
    </xf>
    <xf numFmtId="0" fontId="68" fillId="21" borderId="27" applyAlignment="1" pivotButton="0" quotePrefix="0" xfId="0">
      <alignment horizontal="center" vertical="center"/>
    </xf>
    <xf numFmtId="0" fontId="68" fillId="21" borderId="25" applyAlignment="1" pivotButton="0" quotePrefix="0" xfId="0">
      <alignment horizontal="center" vertical="center"/>
    </xf>
    <xf numFmtId="0" fontId="68" fillId="21" borderId="15" applyAlignment="1" pivotButton="0" quotePrefix="0" xfId="0">
      <alignment horizontal="center" vertical="center"/>
    </xf>
    <xf numFmtId="0" fontId="69" fillId="0" borderId="47" applyAlignment="1" pivotButton="0" quotePrefix="0" xfId="0">
      <alignment horizontal="left" vertical="center" wrapText="1"/>
    </xf>
    <xf numFmtId="0" fontId="69" fillId="0" borderId="48" applyAlignment="1" pivotButton="0" quotePrefix="0" xfId="0">
      <alignment horizontal="left" vertical="center" wrapText="1"/>
    </xf>
    <xf numFmtId="0" fontId="42" fillId="13" borderId="8" applyAlignment="1" pivotButton="0" quotePrefix="0" xfId="0">
      <alignment horizontal="center"/>
    </xf>
    <xf numFmtId="0" fontId="42" fillId="13" borderId="9" applyAlignment="1" pivotButton="0" quotePrefix="0" xfId="0">
      <alignment horizontal="center"/>
    </xf>
    <xf numFmtId="0" fontId="42" fillId="13" borderId="10" applyAlignment="1" pivotButton="0" quotePrefix="0" xfId="0">
      <alignment horizontal="center"/>
    </xf>
    <xf numFmtId="0" fontId="39" fillId="0" borderId="17" applyAlignment="1" pivotButton="0" quotePrefix="0" xfId="0">
      <alignment horizontal="center" vertical="center"/>
    </xf>
    <xf numFmtId="0" fontId="39" fillId="0" borderId="14" applyAlignment="1" pivotButton="0" quotePrefix="0" xfId="0">
      <alignment horizontal="center" vertical="center"/>
    </xf>
    <xf numFmtId="0" fontId="42" fillId="0" borderId="60" applyAlignment="1" pivotButton="0" quotePrefix="0" xfId="0">
      <alignment horizontal="center"/>
    </xf>
    <xf numFmtId="0" fontId="42" fillId="0" borderId="61" applyAlignment="1" pivotButton="0" quotePrefix="0" xfId="0">
      <alignment horizontal="center"/>
    </xf>
    <xf numFmtId="0" fontId="42" fillId="0" borderId="62" applyAlignment="1" pivotButton="0" quotePrefix="0" xfId="0">
      <alignment horizontal="center"/>
    </xf>
    <xf numFmtId="0" fontId="39" fillId="0" borderId="44" applyAlignment="1" pivotButton="0" quotePrefix="0" xfId="0">
      <alignment horizontal="center"/>
    </xf>
    <xf numFmtId="0" fontId="39" fillId="0" borderId="9" applyAlignment="1" pivotButton="0" quotePrefix="0" xfId="0">
      <alignment horizontal="center"/>
    </xf>
    <xf numFmtId="0" fontId="39" fillId="0" borderId="41" applyAlignment="1" pivotButton="0" quotePrefix="0" xfId="0">
      <alignment horizontal="center"/>
    </xf>
    <xf numFmtId="0" fontId="44" fillId="0" borderId="20" applyAlignment="1" pivotButton="0" quotePrefix="0" xfId="1">
      <alignment horizontal="left" vertical="center" wrapText="1"/>
    </xf>
    <xf numFmtId="0" fontId="17" fillId="3" borderId="2" applyAlignment="1" pivotButton="0" quotePrefix="0" xfId="0">
      <alignment horizontal="center" vertical="center" wrapText="1"/>
    </xf>
    <xf numFmtId="0" fontId="17" fillId="3" borderId="25" applyAlignment="1" pivotButton="0" quotePrefix="0" xfId="0">
      <alignment horizontal="left" vertical="center" wrapText="1"/>
    </xf>
    <xf numFmtId="0" fontId="70" fillId="0" borderId="0" applyAlignment="1" pivotButton="0" quotePrefix="0" xfId="6">
      <alignment horizontal="center"/>
    </xf>
    <xf numFmtId="0" fontId="37" fillId="10" borderId="0" applyAlignment="1" pivotButton="0" quotePrefix="0" xfId="6">
      <alignment horizontal="center"/>
    </xf>
    <xf numFmtId="0" fontId="24" fillId="10" borderId="32" applyAlignment="1" pivotButton="0" quotePrefix="0" xfId="6">
      <alignment horizontal="left" vertical="top" indent="1"/>
    </xf>
    <xf numFmtId="0" fontId="24" fillId="10" borderId="33" applyAlignment="1" pivotButton="0" quotePrefix="0" xfId="6">
      <alignment horizontal="left" vertical="top" indent="1"/>
    </xf>
    <xf numFmtId="0" fontId="28" fillId="11" borderId="31" applyAlignment="1" pivotButton="0" quotePrefix="0" xfId="6">
      <alignment horizontal="right" vertical="top"/>
    </xf>
    <xf numFmtId="0" fontId="28" fillId="11" borderId="32" applyAlignment="1" pivotButton="0" quotePrefix="0" xfId="6">
      <alignment horizontal="right" vertical="top"/>
    </xf>
    <xf numFmtId="0" fontId="29" fillId="10" borderId="34" applyAlignment="1" pivotButton="0" quotePrefix="0" xfId="6">
      <alignment horizontal="right" vertical="top"/>
    </xf>
    <xf numFmtId="0" fontId="29" fillId="10" borderId="0" applyAlignment="1" pivotButton="0" quotePrefix="0" xfId="6">
      <alignment horizontal="right" vertical="top"/>
    </xf>
    <xf numFmtId="0" fontId="24" fillId="10" borderId="31" applyAlignment="1" pivotButton="0" quotePrefix="0" xfId="6">
      <alignment horizontal="right" vertical="top"/>
    </xf>
    <xf numFmtId="0" fontId="24" fillId="10" borderId="32" applyAlignment="1" pivotButton="0" quotePrefix="0" xfId="6">
      <alignment horizontal="right" vertical="top"/>
    </xf>
    <xf numFmtId="9" fontId="24" fillId="0" borderId="0" applyAlignment="1" pivotButton="0" quotePrefix="0" xfId="6">
      <alignment horizontal="left" vertical="top"/>
    </xf>
    <xf numFmtId="9" fontId="24" fillId="0" borderId="35" applyAlignment="1" pivotButton="0" quotePrefix="0" xfId="6">
      <alignment horizontal="left" vertical="top"/>
    </xf>
    <xf numFmtId="0" fontId="24" fillId="10" borderId="0" applyAlignment="1" applyProtection="1" pivotButton="0" quotePrefix="0" xfId="6">
      <alignment horizontal="left" vertical="top"/>
      <protection locked="0" hidden="0"/>
    </xf>
    <xf numFmtId="0" fontId="24" fillId="10" borderId="35" applyAlignment="1" applyProtection="1" pivotButton="0" quotePrefix="0" xfId="6">
      <alignment horizontal="left" vertical="top"/>
      <protection locked="0" hidden="0"/>
    </xf>
    <xf numFmtId="173" fontId="29" fillId="19" borderId="39" applyAlignment="1" pivotButton="0" quotePrefix="0" xfId="7">
      <alignment horizontal="center"/>
    </xf>
    <xf numFmtId="173" fontId="29" fillId="19" borderId="40" applyAlignment="1" pivotButton="0" quotePrefix="0" xfId="7">
      <alignment horizontal="center"/>
    </xf>
    <xf numFmtId="0" fontId="29" fillId="0" borderId="34" applyAlignment="1" pivotButton="0" quotePrefix="0" xfId="6">
      <alignment horizontal="right" vertical="top"/>
    </xf>
    <xf numFmtId="0" fontId="29" fillId="0" borderId="0" applyAlignment="1" pivotButton="0" quotePrefix="0" xfId="6">
      <alignment horizontal="right" vertical="top"/>
    </xf>
    <xf numFmtId="0" fontId="29" fillId="0" borderId="36" applyAlignment="1" pivotButton="0" quotePrefix="0" xfId="6">
      <alignment horizontal="right" vertical="top"/>
    </xf>
    <xf numFmtId="0" fontId="29" fillId="0" borderId="37" applyAlignment="1" pivotButton="0" quotePrefix="0" xfId="6">
      <alignment horizontal="right" vertical="top"/>
    </xf>
    <xf numFmtId="0" fontId="29" fillId="0" borderId="34" applyAlignment="1" pivotButton="0" quotePrefix="0" xfId="6">
      <alignment horizontal="right" vertical="top" wrapText="1"/>
    </xf>
    <xf numFmtId="0" fontId="29" fillId="0" borderId="0" applyAlignment="1" pivotButton="0" quotePrefix="0" xfId="6">
      <alignment horizontal="right" vertical="top" wrapText="1"/>
    </xf>
    <xf numFmtId="0" fontId="29" fillId="10" borderId="36" applyAlignment="1" pivotButton="0" quotePrefix="0" xfId="6">
      <alignment horizontal="right" vertical="top"/>
    </xf>
    <xf numFmtId="0" fontId="29" fillId="10" borderId="37" applyAlignment="1" pivotButton="0" quotePrefix="0" xfId="6">
      <alignment horizontal="right" vertical="top"/>
    </xf>
    <xf numFmtId="0" fontId="29" fillId="18" borderId="34" applyAlignment="1" pivotButton="0" quotePrefix="0" xfId="6">
      <alignment horizontal="right" vertical="top"/>
    </xf>
    <xf numFmtId="0" fontId="29" fillId="18" borderId="0" applyAlignment="1" pivotButton="0" quotePrefix="0" xfId="6">
      <alignment horizontal="right" vertical="top"/>
    </xf>
    <xf numFmtId="9" fontId="24" fillId="10" borderId="37" applyAlignment="1" applyProtection="1" pivotButton="0" quotePrefix="0" xfId="6">
      <alignment horizontal="left" vertical="top" wrapText="1"/>
      <protection locked="0" hidden="0"/>
    </xf>
    <xf numFmtId="9" fontId="24" fillId="10" borderId="38" applyAlignment="1" applyProtection="1" pivotButton="0" quotePrefix="0" xfId="6">
      <alignment horizontal="left" vertical="top" wrapText="1"/>
      <protection locked="0" hidden="0"/>
    </xf>
    <xf numFmtId="0" fontId="29" fillId="19" borderId="0" applyAlignment="1" pivotButton="0" quotePrefix="0" xfId="6">
      <alignment horizontal="left" vertical="top"/>
    </xf>
    <xf numFmtId="0" fontId="29" fillId="19" borderId="35" applyAlignment="1" pivotButton="0" quotePrefix="0" xfId="6">
      <alignment horizontal="left" vertical="top"/>
    </xf>
    <xf numFmtId="0" fontId="24" fillId="10" borderId="0" applyAlignment="1" applyProtection="1" pivotButton="0" quotePrefix="0" xfId="6">
      <alignment horizontal="left" vertical="top" wrapText="1"/>
      <protection locked="0" hidden="0"/>
    </xf>
    <xf numFmtId="0" fontId="24" fillId="10" borderId="35" applyAlignment="1" applyProtection="1" pivotButton="0" quotePrefix="0" xfId="6">
      <alignment horizontal="left" vertical="top" wrapText="1"/>
      <protection locked="0" hidden="0"/>
    </xf>
    <xf numFmtId="14" fontId="24" fillId="10" borderId="0" applyAlignment="1" applyProtection="1" pivotButton="0" quotePrefix="0" xfId="6">
      <alignment horizontal="left" vertical="top"/>
      <protection locked="0" hidden="0"/>
    </xf>
    <xf numFmtId="14" fontId="24" fillId="10" borderId="35" applyAlignment="1" applyProtection="1" pivotButton="0" quotePrefix="0" xfId="6">
      <alignment horizontal="left" vertical="top"/>
      <protection locked="0" hidden="0"/>
    </xf>
    <xf numFmtId="0" fontId="24" fillId="0" borderId="0" applyAlignment="1" pivotButton="0" quotePrefix="0" xfId="6">
      <alignment horizontal="left" vertical="top" wrapText="1"/>
    </xf>
    <xf numFmtId="0" fontId="24" fillId="0" borderId="35" applyAlignment="1" pivotButton="0" quotePrefix="0" xfId="6">
      <alignment horizontal="left" vertical="top" wrapText="1"/>
    </xf>
    <xf numFmtId="0" fontId="24" fillId="0" borderId="0" applyAlignment="1" applyProtection="1" pivotButton="0" quotePrefix="0" xfId="6">
      <alignment horizontal="left" vertical="top" indent="1"/>
      <protection locked="0" hidden="0"/>
    </xf>
    <xf numFmtId="0" fontId="24" fillId="0" borderId="35" applyAlignment="1" applyProtection="1" pivotButton="0" quotePrefix="0" xfId="6">
      <alignment horizontal="left" vertical="top" indent="1"/>
      <protection locked="0" hidden="0"/>
    </xf>
    <xf numFmtId="173" fontId="29" fillId="19" borderId="30" applyAlignment="1" pivotButton="0" quotePrefix="0" xfId="7">
      <alignment horizontal="center"/>
    </xf>
    <xf numFmtId="0" fontId="33" fillId="0" borderId="37" applyAlignment="1" applyProtection="1" pivotButton="0" quotePrefix="0" xfId="6">
      <alignment horizontal="left" vertical="top" indent="1"/>
      <protection locked="0" hidden="0"/>
    </xf>
    <xf numFmtId="0" fontId="33" fillId="0" borderId="38" applyAlignment="1" applyProtection="1" pivotButton="0" quotePrefix="0" xfId="6">
      <alignment horizontal="left" vertical="top" indent="1"/>
      <protection locked="0" hidden="0"/>
    </xf>
    <xf numFmtId="0" fontId="28" fillId="14" borderId="32" applyAlignment="1" pivotButton="0" quotePrefix="0" xfId="6">
      <alignment horizontal="left" vertical="top" indent="1"/>
    </xf>
    <xf numFmtId="0" fontId="28" fillId="14" borderId="33" applyAlignment="1" pivotButton="0" quotePrefix="0" xfId="6">
      <alignment horizontal="left" vertical="top" indent="1"/>
    </xf>
    <xf numFmtId="0" fontId="24" fillId="10" borderId="0" applyAlignment="1" applyProtection="1" pivotButton="0" quotePrefix="0" xfId="6">
      <alignment horizontal="left" vertical="top" indent="1"/>
      <protection locked="0" hidden="0"/>
    </xf>
    <xf numFmtId="0" fontId="24" fillId="10" borderId="35" applyAlignment="1" applyProtection="1" pivotButton="0" quotePrefix="0" xfId="6">
      <alignment horizontal="left" vertical="top" indent="1"/>
      <protection locked="0" hidden="0"/>
    </xf>
    <xf numFmtId="0" fontId="31" fillId="10" borderId="37" applyAlignment="1" applyProtection="1" pivotButton="0" quotePrefix="0" xfId="6">
      <alignment horizontal="left" vertical="top" indent="1"/>
      <protection locked="0" hidden="0"/>
    </xf>
    <xf numFmtId="0" fontId="31" fillId="10" borderId="38" applyAlignment="1" applyProtection="1" pivotButton="0" quotePrefix="0" xfId="6">
      <alignment horizontal="left" vertical="top" indent="1"/>
      <protection locked="0" hidden="0"/>
    </xf>
    <xf numFmtId="0" fontId="71" fillId="0" borderId="0" applyAlignment="1" pivotButton="0" quotePrefix="0" xfId="6">
      <alignment horizontal="center"/>
    </xf>
    <xf numFmtId="0" fontId="28" fillId="14" borderId="32" applyAlignment="1" applyProtection="1" pivotButton="0" quotePrefix="0" xfId="6">
      <alignment horizontal="left" vertical="top" indent="1"/>
      <protection locked="0" hidden="0"/>
    </xf>
    <xf numFmtId="0" fontId="28" fillId="14" borderId="33" applyAlignment="1" applyProtection="1" pivotButton="0" quotePrefix="0" xfId="6">
      <alignment horizontal="left" vertical="top" indent="1"/>
      <protection locked="0" hidden="0"/>
    </xf>
    <xf numFmtId="0" fontId="78" fillId="4" borderId="87" applyAlignment="1" pivotButton="0" quotePrefix="0" xfId="0">
      <alignment horizontal="center"/>
    </xf>
    <xf numFmtId="0" fontId="78" fillId="4" borderId="88" applyAlignment="1" pivotButton="0" quotePrefix="0" xfId="0">
      <alignment horizontal="center"/>
    </xf>
    <xf numFmtId="0" fontId="54" fillId="4" borderId="0" applyAlignment="1" pivotButton="0" quotePrefix="0" xfId="0">
      <alignment horizontal="right"/>
    </xf>
    <xf numFmtId="0" fontId="81" fillId="26" borderId="92" applyAlignment="1" pivotButton="0" quotePrefix="0" xfId="0">
      <alignment horizontal="center" vertical="center" wrapText="1"/>
    </xf>
    <xf numFmtId="0" fontId="81" fillId="26" borderId="93" applyAlignment="1" pivotButton="0" quotePrefix="0" xfId="0">
      <alignment horizontal="center" vertical="center" wrapText="1"/>
    </xf>
    <xf numFmtId="0" fontId="91" fillId="2" borderId="1" applyAlignment="1" pivotButton="0" quotePrefix="0" xfId="24">
      <alignment horizontal="left" indent="1"/>
    </xf>
    <xf numFmtId="0" fontId="1" fillId="29" borderId="1" applyAlignment="1" pivotButton="0" quotePrefix="0" xfId="12">
      <alignment horizontal="left" indent="1"/>
    </xf>
    <xf numFmtId="0" fontId="108" fillId="0" borderId="0" applyAlignment="1" pivotButton="0" quotePrefix="0" xfId="23">
      <alignment horizontal="left" vertical="center" wrapText="1"/>
    </xf>
    <xf numFmtId="0" fontId="99" fillId="0" borderId="0" applyAlignment="1" pivotButton="0" quotePrefix="0" xfId="23">
      <alignment horizontal="center" vertical="center"/>
    </xf>
    <xf numFmtId="0" fontId="100" fillId="0" borderId="0" applyAlignment="1" pivotButton="0" quotePrefix="0" xfId="23">
      <alignment horizontal="center" vertical="center"/>
    </xf>
    <xf numFmtId="0" fontId="83" fillId="0" borderId="96" applyAlignment="1" pivotButton="0" quotePrefix="0" xfId="13">
      <alignment horizontal="right" indent="1"/>
    </xf>
    <xf numFmtId="0" fontId="90" fillId="0" borderId="0" applyAlignment="1" pivotButton="0" quotePrefix="0" xfId="15">
      <alignment horizontal="left" vertical="top" wrapText="1"/>
    </xf>
    <xf numFmtId="170" fontId="15" fillId="0" borderId="8" pivotButton="0" quotePrefix="0" xfId="0"/>
    <xf numFmtId="170" fontId="14" fillId="0" borderId="9" applyAlignment="1" pivotButton="0" quotePrefix="0" xfId="0">
      <alignment horizontal="left"/>
    </xf>
    <xf numFmtId="170" fontId="14" fillId="0" borderId="10" applyAlignment="1" pivotButton="0" quotePrefix="0" xfId="0">
      <alignment horizontal="left"/>
    </xf>
    <xf numFmtId="0" fontId="14" fillId="0" borderId="81" applyAlignment="1" pivotButton="0" quotePrefix="0" xfId="0">
      <alignment horizontal="center"/>
    </xf>
    <xf numFmtId="0" fontId="0" fillId="0" borderId="76" pivotButton="0" quotePrefix="0" xfId="0"/>
    <xf numFmtId="0" fontId="0" fillId="0" borderId="77" pivotButton="0" quotePrefix="0" xfId="0"/>
    <xf numFmtId="170" fontId="39" fillId="0" borderId="3" applyAlignment="1" pivotButton="0" quotePrefix="0" xfId="0">
      <alignment vertical="top" wrapText="1"/>
    </xf>
    <xf numFmtId="170" fontId="39" fillId="0" borderId="3" applyAlignment="1" pivotButton="0" quotePrefix="0" xfId="0">
      <alignment horizontal="center" vertical="top" wrapText="1"/>
    </xf>
    <xf numFmtId="0" fontId="0" fillId="0" borderId="79" pivotButton="0" quotePrefix="0" xfId="0"/>
    <xf numFmtId="0" fontId="0" fillId="0" borderId="80" pivotButton="0" quotePrefix="0" xfId="0"/>
    <xf numFmtId="0" fontId="55" fillId="0" borderId="64" applyAlignment="1" pivotButton="0" quotePrefix="0" xfId="0">
      <alignment horizontal="center"/>
    </xf>
    <xf numFmtId="170" fontId="15" fillId="0" borderId="20" pivotButton="0" quotePrefix="0" xfId="0"/>
    <xf numFmtId="170" fontId="14" fillId="0" borderId="0" applyAlignment="1" pivotButton="0" quotePrefix="0" xfId="0">
      <alignment horizontal="left"/>
    </xf>
    <xf numFmtId="171" fontId="14" fillId="17" borderId="0" applyAlignment="1" pivotButton="0" quotePrefix="0" xfId="2">
      <alignment horizontal="center"/>
    </xf>
    <xf numFmtId="170" fontId="14" fillId="0" borderId="21" applyAlignment="1" pivotButton="0" quotePrefix="0" xfId="0">
      <alignment horizontal="center"/>
    </xf>
    <xf numFmtId="171" fontId="14" fillId="0" borderId="0" applyAlignment="1" pivotButton="0" quotePrefix="0" xfId="2">
      <alignment horizontal="center"/>
    </xf>
    <xf numFmtId="170" fontId="15" fillId="0" borderId="17" pivotButton="0" quotePrefix="0" xfId="0"/>
    <xf numFmtId="170" fontId="14" fillId="0" borderId="14" applyAlignment="1" pivotButton="0" quotePrefix="0" xfId="0">
      <alignment horizontal="left"/>
    </xf>
    <xf numFmtId="171" fontId="14" fillId="0" borderId="14" applyAlignment="1" pivotButton="0" quotePrefix="0" xfId="2">
      <alignment horizontal="center"/>
    </xf>
    <xf numFmtId="170" fontId="14" fillId="0" borderId="16" applyAlignment="1" pivotButton="0" quotePrefix="0" xfId="0">
      <alignment horizontal="center"/>
    </xf>
    <xf numFmtId="166" fontId="14" fillId="0" borderId="56" pivotButton="0" quotePrefix="0" xfId="0"/>
    <xf numFmtId="169" fontId="14" fillId="0" borderId="0" applyAlignment="1" pivotButton="0" quotePrefix="0" xfId="0">
      <alignment horizontal="left"/>
    </xf>
    <xf numFmtId="166" fontId="53" fillId="8" borderId="0" pivotButton="0" quotePrefix="0" xfId="0"/>
    <xf numFmtId="169" fontId="48" fillId="3" borderId="0" applyAlignment="1" pivotButton="0" quotePrefix="0" xfId="2">
      <alignment horizontal="center"/>
    </xf>
    <xf numFmtId="166" fontId="14" fillId="7" borderId="0" pivotButton="0" quotePrefix="0" xfId="0"/>
    <xf numFmtId="174" fontId="39" fillId="0" borderId="2" applyAlignment="1" applyProtection="1" pivotButton="0" quotePrefix="0" xfId="5">
      <alignment horizontal="center" vertical="center"/>
      <protection locked="0" hidden="0"/>
    </xf>
    <xf numFmtId="175" fontId="55" fillId="0" borderId="72" applyAlignment="1" pivotButton="0" quotePrefix="0" xfId="2">
      <alignment horizontal="center"/>
    </xf>
    <xf numFmtId="175" fontId="55" fillId="0" borderId="73" applyAlignment="1" pivotButton="0" quotePrefix="0" xfId="2">
      <alignment horizontal="center"/>
    </xf>
    <xf numFmtId="175" fontId="55" fillId="0" borderId="74" applyAlignment="1" pivotButton="0" quotePrefix="0" xfId="2">
      <alignment horizontal="center"/>
    </xf>
    <xf numFmtId="169" fontId="16" fillId="0" borderId="0" pivotButton="0" quotePrefix="0" xfId="2"/>
    <xf numFmtId="0" fontId="68" fillId="21" borderId="11" applyAlignment="1" pivotButton="0" quotePrefix="0" xfId="0">
      <alignment horizontal="center" vertical="center"/>
    </xf>
    <xf numFmtId="0" fontId="0" fillId="0" borderId="25" pivotButton="0" quotePrefix="0" xfId="0"/>
    <xf numFmtId="0" fontId="0" fillId="0" borderId="15" pivotButton="0" quotePrefix="0" xfId="0"/>
    <xf numFmtId="0" fontId="69" fillId="3" borderId="115" applyAlignment="1" pivotButton="0" quotePrefix="0" xfId="1">
      <alignment horizontal="center" vertical="center" wrapText="1"/>
    </xf>
    <xf numFmtId="0" fontId="42" fillId="13" borderId="2" applyAlignment="1" pivotButton="0" quotePrefix="0" xfId="0">
      <alignment horizontal="center"/>
    </xf>
    <xf numFmtId="0" fontId="0" fillId="0" borderId="9" pivotButton="0" quotePrefix="0" xfId="0"/>
    <xf numFmtId="0" fontId="0" fillId="0" borderId="10" pivotButton="0" quotePrefix="0" xfId="0"/>
    <xf numFmtId="0" fontId="0" fillId="0" borderId="53" pivotButton="0" quotePrefix="0" xfId="0"/>
    <xf numFmtId="0" fontId="0" fillId="0" borderId="55" pivotButton="0" quotePrefix="0" xfId="0"/>
    <xf numFmtId="0" fontId="0" fillId="0" borderId="14" pivotButton="0" quotePrefix="0" xfId="0"/>
    <xf numFmtId="0" fontId="0" fillId="0" borderId="20" pivotButton="0" quotePrefix="0" xfId="0"/>
    <xf numFmtId="169" fontId="16" fillId="0" borderId="0" applyAlignment="1" pivotButton="0" quotePrefix="0" xfId="2">
      <alignment horizontal="center" vertical="center"/>
    </xf>
    <xf numFmtId="174" fontId="73" fillId="5" borderId="2" applyAlignment="1" applyProtection="1" pivotButton="0" quotePrefix="0" xfId="5">
      <alignment horizontal="center" vertical="center"/>
      <protection locked="0" hidden="0"/>
    </xf>
    <xf numFmtId="0" fontId="16" fillId="5" borderId="2" applyAlignment="1" applyProtection="1" pivotButton="0" quotePrefix="0" xfId="5">
      <alignment horizontal="left" vertical="center"/>
      <protection locked="0" hidden="0"/>
    </xf>
    <xf numFmtId="0" fontId="0" fillId="0" borderId="9" applyProtection="1" pivotButton="0" quotePrefix="0" xfId="0">
      <protection locked="0" hidden="0"/>
    </xf>
    <xf numFmtId="0" fontId="0" fillId="0" borderId="10" applyProtection="1" pivotButton="0" quotePrefix="0" xfId="0">
      <protection locked="0" hidden="0"/>
    </xf>
    <xf numFmtId="176" fontId="16" fillId="0" borderId="0" applyAlignment="1" pivotButton="0" quotePrefix="0" xfId="0">
      <alignment horizontal="center" vertical="center"/>
    </xf>
    <xf numFmtId="0" fontId="0" fillId="0" borderId="54" pivotButton="0" quotePrefix="0" xfId="0"/>
    <xf numFmtId="0" fontId="20" fillId="5" borderId="2" applyAlignment="1" applyProtection="1" pivotButton="0" quotePrefix="0" xfId="5">
      <alignment horizontal="left" vertical="center"/>
      <protection locked="0" hidden="0"/>
    </xf>
    <xf numFmtId="0" fontId="0" fillId="0" borderId="48" pivotButton="0" quotePrefix="0" xfId="0"/>
    <xf numFmtId="0" fontId="0" fillId="0" borderId="51" pivotButton="0" quotePrefix="0" xfId="0"/>
    <xf numFmtId="174" fontId="16" fillId="5" borderId="2" applyAlignment="1" applyProtection="1" pivotButton="0" quotePrefix="0" xfId="5">
      <alignment horizontal="center" vertical="center"/>
      <protection locked="0" hidden="0"/>
    </xf>
    <xf numFmtId="169" fontId="41" fillId="0" borderId="0" applyAlignment="1" pivotButton="0" quotePrefix="0" xfId="2">
      <alignment horizontal="left" vertical="center"/>
    </xf>
    <xf numFmtId="166" fontId="69" fillId="0" borderId="0" applyAlignment="1" pivotButton="0" quotePrefix="0" xfId="0">
      <alignment horizontal="left" vertical="center"/>
    </xf>
    <xf numFmtId="166" fontId="41" fillId="0" borderId="0" applyAlignment="1" pivotButton="0" quotePrefix="0" xfId="0">
      <alignment horizontal="left" vertical="center"/>
    </xf>
    <xf numFmtId="169" fontId="16" fillId="8" borderId="11" applyAlignment="1" applyProtection="1" pivotButton="0" quotePrefix="0" xfId="1">
      <alignment horizontal="center" vertical="center"/>
      <protection locked="0" hidden="0"/>
    </xf>
    <xf numFmtId="0" fontId="39" fillId="0" borderId="117" applyAlignment="1" pivotButton="0" quotePrefix="0" xfId="0">
      <alignment horizontal="center"/>
    </xf>
    <xf numFmtId="0" fontId="0" fillId="0" borderId="85" pivotButton="0" quotePrefix="0" xfId="0"/>
    <xf numFmtId="0" fontId="0" fillId="0" borderId="86" pivotButton="0" quotePrefix="0" xfId="0"/>
    <xf numFmtId="0" fontId="39" fillId="3" borderId="114" applyAlignment="1" pivotButton="0" quotePrefix="0" xfId="0">
      <alignment horizontal="center"/>
    </xf>
    <xf numFmtId="0" fontId="0" fillId="0" borderId="41" pivotButton="0" quotePrefix="0" xfId="0"/>
    <xf numFmtId="0" fontId="39" fillId="0" borderId="114" applyAlignment="1" pivotButton="0" quotePrefix="0" xfId="0">
      <alignment horizontal="center"/>
    </xf>
    <xf numFmtId="169" fontId="18" fillId="0" borderId="43" applyAlignment="1" pivotButton="0" quotePrefix="0" xfId="2">
      <alignment horizontal="center"/>
    </xf>
    <xf numFmtId="0" fontId="42" fillId="0" borderId="111" applyAlignment="1" pivotButton="0" quotePrefix="0" xfId="0">
      <alignment horizontal="center"/>
    </xf>
    <xf numFmtId="0" fontId="0" fillId="0" borderId="61" pivotButton="0" quotePrefix="0" xfId="0"/>
    <xf numFmtId="0" fontId="0" fillId="0" borderId="62" pivotButton="0" quotePrefix="0" xfId="0"/>
    <xf numFmtId="0" fontId="0" fillId="0" borderId="121" pivotButton="0" quotePrefix="0" xfId="0"/>
    <xf numFmtId="0" fontId="0" fillId="0" borderId="122" pivotButton="0" quotePrefix="0" xfId="0"/>
    <xf numFmtId="0" fontId="42" fillId="21" borderId="114" applyAlignment="1" pivotButton="0" quotePrefix="0" xfId="0">
      <alignment horizontal="center"/>
    </xf>
    <xf numFmtId="169" fontId="42" fillId="0" borderId="28" applyAlignment="1" pivotButton="0" quotePrefix="0" xfId="2">
      <alignment horizontal="center"/>
    </xf>
    <xf numFmtId="169" fontId="42" fillId="0" borderId="8" applyAlignment="1" pivotButton="0" quotePrefix="0" xfId="2">
      <alignment horizontal="center"/>
    </xf>
    <xf numFmtId="169" fontId="16" fillId="2" borderId="28" applyAlignment="1" applyProtection="1" pivotButton="0" quotePrefix="0" xfId="2">
      <alignment horizontal="center"/>
      <protection locked="0" hidden="0"/>
    </xf>
    <xf numFmtId="169" fontId="21" fillId="3" borderId="28" applyAlignment="1" pivotButton="0" quotePrefix="0" xfId="2">
      <alignment horizontal="center"/>
    </xf>
    <xf numFmtId="166" fontId="16" fillId="0" borderId="0" pivotButton="0" quotePrefix="0" xfId="0"/>
    <xf numFmtId="0" fontId="0" fillId="0" borderId="32" pivotButton="0" quotePrefix="0" xfId="0"/>
    <xf numFmtId="0" fontId="0" fillId="0" borderId="33" pivotButton="0" quotePrefix="0" xfId="0"/>
    <xf numFmtId="0" fontId="0" fillId="0" borderId="0" applyProtection="1" pivotButton="0" quotePrefix="0" xfId="0">
      <protection locked="0" hidden="0"/>
    </xf>
    <xf numFmtId="0" fontId="0" fillId="0" borderId="35" applyProtection="1" pivotButton="0" quotePrefix="0" xfId="0">
      <protection locked="0" hidden="0"/>
    </xf>
    <xf numFmtId="0" fontId="0" fillId="0" borderId="37" pivotButton="0" quotePrefix="0" xfId="0"/>
    <xf numFmtId="0" fontId="0" fillId="0" borderId="35" pivotButton="0" quotePrefix="0" xfId="0"/>
    <xf numFmtId="166" fontId="24" fillId="10" borderId="0" applyAlignment="1" pivotButton="0" quotePrefix="0" xfId="6">
      <alignment horizontal="right" vertical="top"/>
    </xf>
    <xf numFmtId="0" fontId="0" fillId="0" borderId="37" applyProtection="1" pivotButton="0" quotePrefix="0" xfId="0">
      <protection locked="0" hidden="0"/>
    </xf>
    <xf numFmtId="0" fontId="0" fillId="0" borderId="38" applyProtection="1" pivotButton="0" quotePrefix="0" xfId="0">
      <protection locked="0" hidden="0"/>
    </xf>
    <xf numFmtId="172" fontId="24" fillId="0" borderId="30" applyAlignment="1" pivotButton="0" quotePrefix="0" xfId="6">
      <alignment horizontal="center" vertical="top"/>
    </xf>
    <xf numFmtId="166" fontId="25" fillId="0" borderId="0" pivotButton="0" quotePrefix="0" xfId="6"/>
    <xf numFmtId="173" fontId="29" fillId="19" borderId="39" applyAlignment="1" pivotButton="0" quotePrefix="0" xfId="7">
      <alignment horizontal="center"/>
    </xf>
    <xf numFmtId="0" fontId="0" fillId="0" borderId="40" pivotButton="0" quotePrefix="0" xfId="0"/>
    <xf numFmtId="169" fontId="29" fillId="19" borderId="30" applyAlignment="1" pivotButton="0" quotePrefix="0" xfId="2">
      <alignment horizontal="center"/>
    </xf>
    <xf numFmtId="0" fontId="0" fillId="0" borderId="33" applyProtection="1" pivotButton="0" quotePrefix="0" xfId="0">
      <protection locked="0" hidden="0"/>
    </xf>
    <xf numFmtId="173" fontId="29" fillId="19" borderId="30" applyAlignment="1" pivotButton="0" quotePrefix="0" xfId="7">
      <alignment horizontal="center"/>
    </xf>
    <xf numFmtId="0" fontId="0" fillId="0" borderId="123" pivotButton="0" quotePrefix="0" xfId="0"/>
    <xf numFmtId="169" fontId="14" fillId="25" borderId="0" applyAlignment="1" pivotButton="0" quotePrefix="0" xfId="2">
      <alignment horizontal="center"/>
    </xf>
    <xf numFmtId="166" fontId="14" fillId="0" borderId="0" pivotButton="0" quotePrefix="0" xfId="0"/>
    <xf numFmtId="0" fontId="0" fillId="0" borderId="88" pivotButton="0" quotePrefix="0" xfId="0"/>
    <xf numFmtId="166" fontId="79" fillId="4" borderId="0" pivotButton="0" quotePrefix="0" xfId="0"/>
    <xf numFmtId="169" fontId="63" fillId="25" borderId="0" applyAlignment="1" pivotButton="0" quotePrefix="0" xfId="2">
      <alignment horizontal="center"/>
    </xf>
    <xf numFmtId="166" fontId="54" fillId="4" borderId="0" pivotButton="0" quotePrefix="0" xfId="0"/>
    <xf numFmtId="0" fontId="81" fillId="26" borderId="124" applyAlignment="1" pivotButton="0" quotePrefix="0" xfId="0">
      <alignment horizontal="center" vertical="center" wrapText="1"/>
    </xf>
    <xf numFmtId="0" fontId="0" fillId="0" borderId="93" pivotButton="0" quotePrefix="0" xfId="0"/>
    <xf numFmtId="0" fontId="0" fillId="0" borderId="129" pivotButton="0" quotePrefix="0" xfId="0"/>
    <xf numFmtId="178" fontId="94" fillId="29" borderId="1" applyAlignment="1" applyProtection="1" pivotButton="0" quotePrefix="0" xfId="24">
      <alignment horizontal="left" vertical="center" indent="1"/>
      <protection locked="0" hidden="0"/>
    </xf>
    <xf numFmtId="179" fontId="91" fillId="2" borderId="1" applyAlignment="1" applyProtection="1" pivotButton="0" quotePrefix="0" xfId="26">
      <alignment horizontal="left" indent="1"/>
      <protection locked="0" hidden="0"/>
    </xf>
    <xf numFmtId="178" fontId="94" fillId="2" borderId="1" applyAlignment="1" applyProtection="1" pivotButton="0" quotePrefix="0" xfId="24">
      <alignment horizontal="left" vertical="center" indent="1"/>
      <protection locked="0" hidden="0"/>
    </xf>
    <xf numFmtId="180" fontId="94" fillId="2" borderId="1" applyAlignment="1" applyProtection="1" pivotButton="0" quotePrefix="0" xfId="24">
      <alignment horizontal="left" vertical="center" indent="1"/>
      <protection locked="0" hidden="0"/>
    </xf>
    <xf numFmtId="181" fontId="101" fillId="0" borderId="0" applyAlignment="1" pivotButton="0" quotePrefix="0" xfId="23">
      <alignment horizontal="right" vertical="center"/>
    </xf>
    <xf numFmtId="182" fontId="103" fillId="0" borderId="110" applyAlignment="1" pivotButton="0" quotePrefix="0" xfId="23">
      <alignment horizontal="center" vertical="center" wrapText="1"/>
    </xf>
    <xf numFmtId="182" fontId="103" fillId="0" borderId="110" applyAlignment="1" pivotButton="0" quotePrefix="0" xfId="23">
      <alignment horizontal="center" wrapText="1"/>
    </xf>
    <xf numFmtId="0" fontId="0" fillId="0" borderId="96" pivotButton="0" quotePrefix="0" xfId="0"/>
    <xf numFmtId="169" fontId="4" fillId="0" borderId="0" applyAlignment="1" pivotButton="0" quotePrefix="0" xfId="0">
      <alignment horizontal="center"/>
    </xf>
    <xf numFmtId="169" fontId="4" fillId="5" borderId="0" applyAlignment="1" pivotButton="0" quotePrefix="0" xfId="0">
      <alignment horizontal="center"/>
    </xf>
    <xf numFmtId="164" fontId="4" fillId="0" borderId="0" applyAlignment="1" pivotButton="0" quotePrefix="0" xfId="2">
      <alignment horizontal="center"/>
    </xf>
    <xf numFmtId="167" fontId="4" fillId="0" borderId="0" applyAlignment="1" pivotButton="0" quotePrefix="0" xfId="0">
      <alignment horizontal="center"/>
    </xf>
    <xf numFmtId="168" fontId="4" fillId="0" borderId="0" pivotButton="0" quotePrefix="0" xfId="1"/>
    <xf numFmtId="168" fontId="0" fillId="0" borderId="0" applyAlignment="1" pivotButton="0" quotePrefix="0" xfId="1">
      <alignment horizontal="center"/>
    </xf>
    <xf numFmtId="166" fontId="4" fillId="0" borderId="0" pivotButton="0" quotePrefix="0" xfId="0"/>
    <xf numFmtId="166" fontId="0" fillId="0" borderId="0" applyAlignment="1" pivotButton="0" quotePrefix="0" xfId="0">
      <alignment horizontal="right"/>
    </xf>
    <xf numFmtId="167" fontId="0" fillId="0" borderId="0" applyAlignment="1" pivotButton="0" quotePrefix="0" xfId="2">
      <alignment horizontal="center"/>
    </xf>
    <xf numFmtId="166" fontId="3" fillId="0" borderId="0" pivotButton="0" quotePrefix="0" xfId="0"/>
  </cellXfs>
  <cellStyles count="27">
    <cellStyle name="Normal" xfId="0" builtinId="0"/>
    <cellStyle name="Comma" xfId="1" builtinId="3"/>
    <cellStyle name="Percent" xfId="2" builtinId="5"/>
    <cellStyle name="Note" xfId="3" builtinId="10"/>
    <cellStyle name="Hyperlink" xfId="4" builtinId="8"/>
    <cellStyle name="Note 2" xfId="5"/>
    <cellStyle name="Normal 2" xfId="6"/>
    <cellStyle name="Comma 2" xfId="7"/>
    <cellStyle name="Normal 3" xfId="8"/>
    <cellStyle name="Percent 2" xfId="9"/>
    <cellStyle name="Note 3" xfId="10"/>
    <cellStyle name="Good 2" xfId="11"/>
    <cellStyle name="20% - Accent5" xfId="12" builtinId="46"/>
    <cellStyle name="Title 2" xfId="13"/>
    <cellStyle name="Normal 4" xfId="14"/>
    <cellStyle name="Heading 1 2" xfId="15"/>
    <cellStyle name="Heading 4 2" xfId="16"/>
    <cellStyle name="Heading 2 2" xfId="17"/>
    <cellStyle name="Дата" xfId="18"/>
    <cellStyle name="Heading 3 2" xfId="19"/>
    <cellStyle name="Отступ слева" xfId="20"/>
    <cellStyle name="Comma 3" xfId="21"/>
    <cellStyle name="Currency 2" xfId="22"/>
    <cellStyle name="Normal 3 2" xfId="23"/>
    <cellStyle name="Note 3 2" xfId="24"/>
    <cellStyle name="Normal 3 2 2" xfId="25"/>
    <cellStyle name="Percent 2 2" xfId="26"/>
  </cellStyles>
  <dxfs count="74">
    <dxf>
      <font>
        <name val="Aptos Narrow"/>
        <charset val="162"/>
        <family val="2"/>
        <strike val="0"/>
        <outline val="0"/>
        <shadow val="0"/>
        <sz val="11"/>
        <vertAlign val="baseline"/>
        <scheme val="minor"/>
      </font>
    </dxf>
    <dxf>
      <font>
        <name val="Aptos Narrow"/>
        <charset val="162"/>
        <family val="2"/>
        <strike val="0"/>
        <outline val="0"/>
        <shadow val="0"/>
        <sz val="11"/>
        <vertAlign val="baseline"/>
        <scheme val="minor"/>
      </font>
    </dxf>
    <dxf>
      <font>
        <name val="Aptos Narrow"/>
        <charset val="162"/>
        <family val="2"/>
        <strike val="0"/>
        <outline val="0"/>
        <shadow val="0"/>
        <sz val="11"/>
        <vertAlign val="baseline"/>
        <scheme val="minor"/>
      </font>
      <alignment horizontal="center" vertical="bottom"/>
    </dxf>
    <dxf>
      <font>
        <name val="Aptos Narrow"/>
        <charset val="162"/>
        <family val="2"/>
        <strike val="0"/>
        <outline val="0"/>
        <shadow val="0"/>
        <sz val="11"/>
        <vertAlign val="baseline"/>
        <scheme val="minor"/>
      </font>
    </dxf>
    <dxf>
      <font>
        <name val="Aptos Narrow"/>
        <charset val="162"/>
        <family val="2"/>
        <strike val="0"/>
        <outline val="0"/>
        <shadow val="0"/>
        <sz val="11"/>
        <vertAlign val="baseline"/>
        <scheme val="minor"/>
      </font>
    </dxf>
    <dxf>
      <font>
        <name val="Aptos Narrow"/>
        <family val="2"/>
        <i val="1"/>
        <strike val="0"/>
        <outline val="0"/>
        <shadow val="0"/>
        <condense val="0"/>
        <color theme="1"/>
        <extend val="0"/>
        <sz val="10"/>
        <vertAlign val="baseline"/>
        <scheme val="minor"/>
      </font>
      <numFmt numFmtId="0" formatCode="General"/>
      <alignment horizontal="left" vertical="bottom"/>
    </dxf>
    <dxf>
      <font>
        <name val="Aptos Narrow"/>
        <family val="2"/>
        <strike val="0"/>
        <outline val="0"/>
        <shadow val="0"/>
        <condense val="0"/>
        <color theme="1"/>
        <extend val="0"/>
        <sz val="11"/>
        <vertAlign val="baseline"/>
        <scheme val="minor"/>
      </font>
      <alignment horizontal="center" vertical="bottom"/>
    </dxf>
    <dxf>
      <font>
        <name val="Aptos Narrow"/>
        <family val="2"/>
        <strike val="0"/>
        <outline val="0"/>
        <shadow val="0"/>
        <condense val="0"/>
        <color theme="1"/>
        <extend val="0"/>
        <sz val="11"/>
        <vertAlign val="baseline"/>
        <scheme val="minor"/>
      </font>
    </dxf>
    <dxf>
      <font>
        <name val="Aptos Narrow"/>
        <family val="2"/>
        <strike val="0"/>
        <outline val="0"/>
        <shadow val="0"/>
        <condense val="0"/>
        <color theme="1"/>
        <extend val="0"/>
        <sz val="11"/>
        <vertAlign val="baseline"/>
        <scheme val="minor"/>
      </font>
    </dxf>
    <dxf>
      <font>
        <name val="Aptos Narrow"/>
        <family val="2"/>
        <strike val="0"/>
        <outline val="0"/>
        <shadow val="0"/>
        <condense val="0"/>
        <color theme="1"/>
        <extend val="0"/>
        <sz val="11"/>
        <vertAlign val="baseline"/>
        <scheme val="minor"/>
      </font>
      <numFmt numFmtId="170" formatCode="0.0%"/>
    </dxf>
    <dxf>
      <font>
        <name val="Aptos Narrow"/>
        <family val="2"/>
        <strike val="0"/>
        <outline val="0"/>
        <shadow val="0"/>
        <condense val="0"/>
        <color theme="1"/>
        <extend val="0"/>
        <sz val="11"/>
        <vertAlign val="baseline"/>
        <scheme val="minor"/>
      </font>
    </dxf>
    <dxf>
      <font>
        <name val="Aptos Narrow"/>
        <family val="2"/>
        <strike val="0"/>
        <outline val="0"/>
        <shadow val="0"/>
        <condense val="0"/>
        <color theme="1"/>
        <extend val="0"/>
        <sz val="11"/>
        <vertAlign val="baseline"/>
        <scheme val="minor"/>
      </font>
    </dxf>
    <dxf>
      <font>
        <name val="Aptos Narrow"/>
        <family val="2"/>
        <strike val="0"/>
        <outline val="0"/>
        <shadow val="0"/>
        <condense val="0"/>
        <color theme="1"/>
        <extend val="0"/>
        <sz val="11"/>
        <vertAlign val="baseline"/>
        <scheme val="minor"/>
      </font>
    </dxf>
    <dxf>
      <font>
        <name val="Aptos Narrow"/>
        <family val="2"/>
        <strike val="0"/>
        <outline val="0"/>
        <shadow val="0"/>
        <condense val="0"/>
        <color theme="1"/>
        <extend val="0"/>
        <sz val="11"/>
        <vertAlign val="baseline"/>
        <scheme val="minor"/>
      </font>
    </dxf>
    <dxf>
      <font>
        <name val="Aptos Narrow"/>
        <family val="2"/>
        <strike val="0"/>
        <outline val="0"/>
        <shadow val="0"/>
        <condense val="0"/>
        <color theme="1"/>
        <extend val="0"/>
        <sz val="11"/>
        <vertAlign val="baseline"/>
        <scheme val="minor"/>
      </font>
      <alignment horizontal="center" vertical="top" wrapText="1"/>
    </dxf>
    <dxf>
      <font>
        <name val="Aptos Narrow"/>
        <family val="2"/>
        <strike val="0"/>
        <outline val="0"/>
        <shadow val="0"/>
        <condense val="0"/>
        <color theme="1"/>
        <extend val="0"/>
        <sz val="11"/>
        <vertAlign val="baseline"/>
        <scheme val="minor"/>
      </font>
      <fill>
        <patternFill>
          <fgColor indexed="64"/>
          <bgColor indexed="65"/>
        </patternFill>
      </fill>
      <alignment horizontal="center" vertical="bottom"/>
    </dxf>
    <dxf>
      <font>
        <name val="Aptos Narrow"/>
        <family val="2"/>
        <strike val="0"/>
        <outline val="0"/>
        <shadow val="0"/>
        <condense val="0"/>
        <color theme="1"/>
        <extend val="0"/>
        <sz val="11"/>
        <vertAlign val="baseline"/>
        <scheme val="minor"/>
      </font>
      <fill>
        <patternFill>
          <fgColor indexed="64"/>
          <bgColor indexed="65"/>
        </patternFill>
      </fill>
      <alignment horizontal="center" vertical="bottom"/>
    </dxf>
    <dxf>
      <font>
        <name val="Aptos Narrow"/>
        <family val="2"/>
        <strike val="0"/>
        <outline val="0"/>
        <shadow val="0"/>
        <condense val="0"/>
        <color theme="1"/>
        <extend val="0"/>
        <sz val="11"/>
        <vertAlign val="baseline"/>
        <scheme val="minor"/>
      </font>
      <fill>
        <patternFill>
          <fgColor indexed="64"/>
          <bgColor indexed="65"/>
        </patternFill>
      </fill>
      <alignment horizontal="center" vertical="top" wrapText="1"/>
    </dxf>
    <dxf>
      <font>
        <name val="Aptos Narrow"/>
        <family val="2"/>
        <strike val="0"/>
        <outline val="0"/>
        <shadow val="0"/>
        <condense val="0"/>
        <color theme="1"/>
        <extend val="0"/>
        <sz val="11"/>
        <vertAlign val="baseline"/>
        <scheme val="minor"/>
      </font>
      <fill>
        <patternFill>
          <fgColor indexed="64"/>
          <bgColor indexed="65"/>
        </patternFill>
      </fill>
      <alignment horizontal="center"/>
    </dxf>
    <dxf>
      <font>
        <name val="Aptos Narrow"/>
        <family val="2"/>
        <strike val="0"/>
        <outline val="0"/>
        <shadow val="0"/>
        <condense val="0"/>
        <color theme="1"/>
        <extend val="0"/>
        <sz val="11"/>
        <vertAlign val="baseline"/>
        <scheme val="minor"/>
      </font>
      <fill>
        <patternFill>
          <fgColor indexed="64"/>
          <bgColor indexed="65"/>
        </patternFill>
      </fill>
      <alignment horizontal="center"/>
    </dxf>
    <dxf>
      <font>
        <name val="Aptos Narrow"/>
        <family val="2"/>
        <strike val="0"/>
        <outline val="0"/>
        <shadow val="0"/>
        <condense val="0"/>
        <color theme="1"/>
        <extend val="0"/>
        <sz val="11"/>
        <vertAlign val="baseline"/>
        <scheme val="minor"/>
      </font>
      <fill>
        <patternFill>
          <fgColor indexed="64"/>
          <bgColor indexed="65"/>
        </patternFill>
      </fill>
      <alignment horizontal="center" vertical="top" wrapText="1"/>
    </dxf>
    <dxf>
      <font>
        <name val="Aptos Narrow"/>
        <family val="2"/>
        <b val="1"/>
        <strike val="0"/>
        <outline val="0"/>
        <shadow val="0"/>
        <condense val="0"/>
        <color theme="1"/>
        <extend val="0"/>
        <sz val="11"/>
        <vertAlign val="baseline"/>
        <scheme val="minor"/>
      </font>
      <numFmt numFmtId="13" formatCode="0%"/>
      <fill>
        <patternFill>
          <fgColor indexed="64"/>
          <bgColor auto="1"/>
        </patternFill>
      </fill>
      <alignment horizontal="center" vertical="bottom"/>
      <protection locked="1" hidden="0"/>
    </dxf>
    <dxf>
      <font>
        <name val="Aptos Narrow"/>
        <family val="2"/>
        <b val="1"/>
        <strike val="0"/>
        <outline val="0"/>
        <shadow val="0"/>
        <condense val="0"/>
        <color theme="1"/>
        <extend val="0"/>
        <sz val="11"/>
        <vertAlign val="baseline"/>
        <scheme val="minor"/>
      </font>
      <numFmt numFmtId="13" formatCode="0%"/>
      <fill>
        <patternFill>
          <fgColor indexed="64"/>
          <bgColor auto="1"/>
        </patternFill>
      </fill>
      <alignment horizontal="center" vertical="bottom"/>
      <protection locked="1" hidden="0"/>
    </dxf>
    <dxf>
      <font>
        <name val="Aptos Narrow"/>
        <family val="2"/>
        <strike val="0"/>
        <outline val="0"/>
        <shadow val="0"/>
        <condense val="0"/>
        <color theme="1"/>
        <extend val="0"/>
        <sz val="11"/>
        <vertAlign val="baseline"/>
        <scheme val="minor"/>
      </font>
      <numFmt numFmtId="13" formatCode="0%"/>
      <fill>
        <patternFill>
          <fgColor indexed="64"/>
          <bgColor auto="1"/>
        </patternFill>
      </fill>
      <alignment horizontal="center" vertical="bottom"/>
      <protection locked="1" hidden="0"/>
    </dxf>
    <dxf>
      <font>
        <name val="Aptos Narrow"/>
        <family val="2"/>
        <strike val="0"/>
        <outline val="0"/>
        <shadow val="0"/>
        <condense val="0"/>
        <color theme="1"/>
        <extend val="0"/>
        <sz val="11"/>
        <vertAlign val="baseline"/>
        <scheme val="minor"/>
      </font>
      <numFmt numFmtId="13" formatCode="0%"/>
      <fill>
        <patternFill>
          <fgColor indexed="64"/>
          <bgColor auto="1"/>
        </patternFill>
      </fill>
      <alignment horizontal="left" vertical="bottom"/>
      <protection locked="1" hidden="0"/>
    </dxf>
    <dxf>
      <fill>
        <patternFill>
          <bgColor auto="1"/>
        </patternFill>
      </fill>
    </dxf>
    <dxf>
      <alignment horizontal="center" vertical="top" wrapText="1"/>
    </dxf>
    <dxf>
      <font>
        <name val="Aptos Narrow"/>
        <family val="2"/>
        <strike val="0"/>
        <outline val="0"/>
        <shadow val="0"/>
        <color auto="1"/>
        <sz val="11"/>
        <vertAlign val="baseline"/>
        <scheme val="minor"/>
      </font>
      <fill>
        <patternFill>
          <fgColor indexed="64"/>
          <bgColor auto="1"/>
        </patternFill>
      </fill>
    </dxf>
    <dxf>
      <font>
        <name val="Aptos Narrow"/>
        <family val="2"/>
        <strike val="0"/>
        <outline val="0"/>
        <shadow val="0"/>
        <color auto="1"/>
        <sz val="11"/>
        <vertAlign val="baseline"/>
        <scheme val="minor"/>
      </font>
      <fill>
        <patternFill>
          <fgColor indexed="64"/>
          <bgColor auto="1"/>
        </patternFill>
      </fill>
    </dxf>
    <dxf>
      <font>
        <name val="Aptos Narrow"/>
        <family val="2"/>
        <strike val="0"/>
        <outline val="0"/>
        <shadow val="0"/>
        <sz val="11"/>
        <vertAlign val="baseline"/>
        <scheme val="minor"/>
      </font>
      <fill>
        <patternFill>
          <fgColor indexed="64"/>
          <bgColor auto="1"/>
        </patternFill>
      </fill>
      <alignment horizontal="center" vertical="top" wrapText="1"/>
    </dxf>
    <dxf>
      <font>
        <name val="Aptos Narrow"/>
        <family val="2"/>
        <strike val="0"/>
        <outline val="0"/>
        <shadow val="0"/>
        <sz val="11"/>
        <vertAlign val="baseline"/>
        <scheme val="minor"/>
      </font>
      <fill>
        <patternFill>
          <fgColor indexed="64"/>
          <bgColor auto="1"/>
        </patternFill>
      </fill>
      <alignment horizontal="center" vertical="bottom"/>
    </dxf>
    <dxf>
      <font>
        <name val="Aptos Narrow"/>
        <family val="2"/>
        <strike val="0"/>
        <outline val="0"/>
        <shadow val="0"/>
        <sz val="11"/>
        <vertAlign val="baseline"/>
        <scheme val="minor"/>
      </font>
      <fill>
        <patternFill>
          <fgColor indexed="64"/>
          <bgColor auto="1"/>
        </patternFill>
      </fill>
    </dxf>
    <dxf>
      <font>
        <name val="Aptos Narrow"/>
        <family val="2"/>
        <strike val="0"/>
        <outline val="0"/>
        <shadow val="0"/>
        <sz val="11"/>
        <vertAlign val="baseline"/>
        <scheme val="minor"/>
      </font>
      <fill>
        <patternFill>
          <fgColor indexed="64"/>
          <bgColor auto="1"/>
        </patternFill>
      </fill>
    </dxf>
    <dxf>
      <font>
        <name val="Aptos Narrow"/>
        <family val="2"/>
        <strike val="0"/>
        <outline val="0"/>
        <shadow val="0"/>
        <sz val="11"/>
        <vertAlign val="baseline"/>
        <scheme val="minor"/>
      </font>
      <fill>
        <patternFill>
          <fgColor indexed="64"/>
          <bgColor auto="1"/>
        </patternFill>
      </fill>
      <alignment horizontal="center" vertical="top" wrapText="1"/>
    </dxf>
    <dxf>
      <font>
        <color rgb="FF9C0006"/>
      </font>
      <fill>
        <patternFill>
          <bgColor rgb="FFFFC7CE"/>
        </patternFill>
      </fill>
    </dxf>
    <dxf>
      <font>
        <name val="Aptos Narrow"/>
        <family val="2"/>
        <strike val="0"/>
        <outline val="0"/>
        <shadow val="0"/>
        <condense val="0"/>
        <color theme="0"/>
        <extend val="0"/>
        <sz val="10"/>
        <vertAlign val="baseline"/>
      </font>
      <numFmt numFmtId="0" formatCode="General"/>
      <protection locked="1" hidden="0"/>
    </dxf>
    <dxf>
      <font>
        <name val="Aptos Narrow"/>
        <family val="2"/>
        <strike val="0"/>
        <outline val="0"/>
        <shadow val="0"/>
        <condense val="0"/>
        <color rgb="FFFFFFFF"/>
        <extend val="0"/>
        <sz val="10"/>
        <vertAlign val="baseline"/>
      </font>
      <protection locked="1" hidden="0"/>
    </dxf>
    <dxf>
      <font>
        <name val="Aptos Narrow"/>
        <family val="2"/>
        <b val="1"/>
        <strike val="0"/>
        <outline val="0"/>
        <shadow val="0"/>
        <condense val="0"/>
        <color auto="1"/>
        <extend val="0"/>
        <sz val="10"/>
        <vertAlign val="baseline"/>
      </font>
      <numFmt numFmtId="0" formatCode="General"/>
      <alignment vertical="center" wrapText="1"/>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name val="Aptos Narrow"/>
        <family val="2"/>
        <strike val="0"/>
        <outline val="0"/>
        <shadow val="0"/>
        <condense val="0"/>
        <color theme="0"/>
        <extend val="0"/>
        <sz val="10"/>
        <vertAlign val="baseline"/>
      </font>
      <numFmt numFmtId="0" formatCode="General"/>
      <protection locked="1" hidden="0"/>
    </dxf>
    <dxf>
      <font>
        <name val="Aptos Narrow"/>
        <family val="2"/>
        <strike val="0"/>
        <outline val="0"/>
        <shadow val="0"/>
        <condense val="0"/>
        <color theme="0"/>
        <extend val="0"/>
        <sz val="10"/>
        <vertAlign val="baseline"/>
      </font>
      <protection locked="1" hidden="0"/>
    </dxf>
    <dxf>
      <font>
        <name val="Aptos Narrow"/>
        <family val="2"/>
        <b val="1"/>
        <strike val="0"/>
        <outline val="0"/>
        <shadow val="0"/>
        <condense val="0"/>
        <color auto="1"/>
        <extend val="0"/>
        <sz val="10"/>
        <vertAlign val="baseline"/>
      </font>
      <numFmt numFmtId="0" formatCode="General"/>
      <alignment vertical="center" wrapText="1"/>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4" tint="-0.499984740745262"/>
      </font>
      <border>
        <top style="medium">
          <color theme="0" tint="-0.499984740745262"/>
        </top>
        <bottom style="thin">
          <color theme="0" tint="-0.3499862666707358"/>
        </bottom>
      </border>
    </dxf>
    <dxf>
      <font>
        <color theme="4" tint="-0.499984740745262"/>
      </font>
      <border>
        <top style="medium">
          <color theme="0" tint="-0.499984740745262"/>
        </top>
        <bottom style="thin">
          <color theme="4"/>
        </bottom>
      </border>
    </dxf>
    <dxf>
      <border>
        <horizontal style="thin">
          <color theme="0" tint="-0.3499862666707358"/>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tableStyleElement type="wholeTable" dxfId="73"/>
    </tableStyle>
    <tableStyle name="Счет с процентами по комиссии (простой)" pivot="0" count="3">
      <tableStyleElement type="wholeTable" dxfId="72"/>
      <tableStyleElement type="headerRow" dxfId="71"/>
      <tableStyleElement type="totalRow" dxfId="70"/>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externalLink" Target="/xl/externalLinks/externalLink1.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comments/comment1.xml><?xml version="1.0" encoding="utf-8"?>
<comments xmlns="http://schemas.openxmlformats.org/spreadsheetml/2006/main">
  <authors>
    <author>LENOVO</author>
  </authors>
  <commentList>
    <comment ref="AG3" authorId="0" shapeId="0">
      <text>
        <t xml:space="preserve">Автор: Выбрать из выпадающего списка
</t>
      </text>
    </comment>
    <comment ref="K4" authorId="0" shapeId="0">
      <text>
        <t xml:space="preserve">ПЭО: сроки оплаты влияют на затраты по внешнему финансированию
</t>
      </text>
    </comment>
    <comment ref="D6" authorId="0" shapeId="0">
      <text>
        <t xml:space="preserve">Автор: влияет на выходную форму.
</t>
      </text>
    </comment>
    <comment ref="D7" authorId="0" shapeId="0">
      <text>
        <t xml:space="preserve">Автор: влияет на выходную форму.
</t>
      </text>
    </comment>
    <comment ref="D8" authorId="0" shapeId="0">
      <text>
        <t xml:space="preserve">Автор: Выбрать из выпадающего списка
</t>
      </text>
    </comment>
    <comment ref="B9" authorId="0" shapeId="0">
      <text>
        <t xml:space="preserve">ПЭО: обязательное поле!!!
</t>
      </text>
    </comment>
    <comment ref="D10" authorId="0" shapeId="0">
      <text>
        <t xml:space="preserve">Автор: Выбрать из выпадающего списка
</t>
      </text>
    </comment>
    <comment ref="AH11" authorId="0" shapeId="0">
      <text>
        <t xml:space="preserve">Автор: Выбрать из выпадающего списка
</t>
      </text>
    </comment>
    <comment ref="AY14" authorId="0" shapeId="0">
      <text>
        <t xml:space="preserve">Автор: Сумма закупки без НДС в валюте КП * (1+Внутренняя наценка)
</t>
      </text>
    </comment>
  </commentList>
</comments>
</file>

<file path=xl/comments/comment2.xml><?xml version="1.0" encoding="utf-8"?>
<comments xmlns="http://schemas.openxmlformats.org/spreadsheetml/2006/main">
  <authors>
    <author>LENOVO</author>
  </authors>
  <commentList>
    <comment ref="B36" authorId="0" shapeId="0">
      <text>
        <t xml:space="preserve">Автор: влияет на выходную форму.
</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 Type="http://schemas.openxmlformats.org/officeDocument/2006/relationships/image" Target="/xl/media/image3.png" Id="rId3" /><Relationship Type="http://schemas.openxmlformats.org/officeDocument/2006/relationships/image" Target="/xl/media/image4.png" Id="rId4" /><Relationship Type="http://schemas.openxmlformats.org/officeDocument/2006/relationships/image" Target="/xl/media/image5.png" Id="rId5" /><Relationship Type="http://schemas.openxmlformats.org/officeDocument/2006/relationships/image" Target="/xl/media/image6.png" Id="rId6" /><Relationship Type="http://schemas.openxmlformats.org/officeDocument/2006/relationships/image" Target="/xl/media/image7.png" Id="rId7" /><Relationship Type="http://schemas.openxmlformats.org/officeDocument/2006/relationships/image" Target="/xl/media/image8.png" Id="rId8" /><Relationship Type="http://schemas.openxmlformats.org/officeDocument/2006/relationships/image" Target="/xl/media/image9.png" Id="rId9" /><Relationship Type="http://schemas.openxmlformats.org/officeDocument/2006/relationships/image" Target="/xl/media/image10.png" Id="rId10" /><Relationship Type="http://schemas.openxmlformats.org/officeDocument/2006/relationships/image" Target="/xl/media/image11.png" Id="rId11" /><Relationship Type="http://schemas.openxmlformats.org/officeDocument/2006/relationships/image" Target="/xl/media/image12.png" Id="rId12" /><Relationship Type="http://schemas.openxmlformats.org/officeDocument/2006/relationships/image" Target="/xl/media/image13.png" Id="rId13" /><Relationship Type="http://schemas.openxmlformats.org/officeDocument/2006/relationships/image" Target="/xl/media/image14.png" Id="rId14" /><Relationship Type="http://schemas.openxmlformats.org/officeDocument/2006/relationships/image" Target="/xl/media/image15.png" Id="rId15" /><Relationship Type="http://schemas.openxmlformats.org/officeDocument/2006/relationships/image" Target="/xl/media/image16.png" Id="rId16" /></Relationships>
</file>

<file path=xl/drawings/_rels/drawing2.xml.rels><Relationships xmlns="http://schemas.openxmlformats.org/package/2006/relationships"><Relationship Type="http://schemas.openxmlformats.org/officeDocument/2006/relationships/image" Target="/xl/media/image17.png" Id="rId1" /></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8</col>
      <colOff>701040</colOff>
      <row>0</row>
      <rowOff>182880</rowOff>
    </from>
    <to>
      <col>10</col>
      <colOff>548640</colOff>
      <row>3</row>
      <rowOff>281940</rowOff>
    </to>
    <pic>
      <nvPicPr>
        <cNvPr id="7" name="Graphic 6" descr="Caret Down with solid fill"/>
        <cNvPicPr>
          <a:picLocks noChangeAspect="1"/>
        </cNvPicPr>
      </nvPicPr>
      <blipFill>
        <a:blip r:embed="rId1"/>
        <a:srcRect/>
        <a:stretch>
          <a:fillRect/>
        </a:stretch>
      </blipFill>
      <spPr>
        <a:xfrm>
          <a:off x="6819900" y="182880"/>
          <a:ext cx="1143000" cy="838200"/>
        </a:xfrm>
        <a:prstGeom prst="rect">
          <avLst/>
        </a:prstGeom>
        <a:ln>
          <a:prstDash val="solid"/>
        </a:ln>
      </spPr>
    </pic>
    <clientData/>
  </twoCellAnchor>
  <twoCellAnchor editAs="oneCell">
    <from>
      <col>4</col>
      <colOff>160020</colOff>
      <row>3</row>
      <rowOff>106680</rowOff>
    </from>
    <to>
      <col>5</col>
      <colOff>167640</colOff>
      <row>7</row>
      <rowOff>53340</rowOff>
    </to>
    <pic>
      <nvPicPr>
        <cNvPr id="3" name="Graphic 2" descr="Badge 1 with solid fill"/>
        <cNvPicPr>
          <a:picLocks noChangeAspect="1"/>
        </cNvPicPr>
      </nvPicPr>
      <blipFill>
        <a:blip r:embed="rId2"/>
        <a:stretch>
          <a:fillRect/>
        </a:stretch>
      </blipFill>
      <spPr>
        <a:xfrm>
          <a:off x="4061460" y="762000"/>
          <a:ext cx="708660" cy="708660"/>
        </a:xfrm>
        <a:prstGeom prst="rect">
          <avLst/>
        </a:prstGeom>
        <a:ln>
          <a:prstDash val="solid"/>
        </a:ln>
      </spPr>
    </pic>
    <clientData/>
  </twoCellAnchor>
  <twoCellAnchor editAs="oneCell">
    <from>
      <col>9</col>
      <colOff>129540</colOff>
      <row>0</row>
      <rowOff>0</rowOff>
    </from>
    <to>
      <col>10</col>
      <colOff>281940</colOff>
      <row>2</row>
      <rowOff>281940</rowOff>
    </to>
    <pic>
      <nvPicPr>
        <cNvPr id="4" name="Graphic 3" descr="Badge with solid fill"/>
        <cNvPicPr>
          <a:picLocks noChangeAspect="1"/>
        </cNvPicPr>
      </nvPicPr>
      <blipFill>
        <a:blip r:embed="rId3"/>
        <a:srcRect/>
        <a:stretch>
          <a:fillRect/>
        </a:stretch>
      </blipFill>
      <spPr>
        <a:xfrm>
          <a:off x="7063740" y="0"/>
          <a:ext cx="632460" cy="632460"/>
        </a:xfrm>
        <a:prstGeom prst="rect">
          <avLst/>
        </a:prstGeom>
        <a:ln>
          <a:prstDash val="solid"/>
        </a:ln>
      </spPr>
    </pic>
    <clientData/>
  </twoCellAnchor>
  <twoCellAnchor editAs="oneCell">
    <from>
      <col>3</col>
      <colOff>1607820</colOff>
      <row>2</row>
      <rowOff>297180</rowOff>
    </from>
    <to>
      <col>4</col>
      <colOff>586740</colOff>
      <row>8</row>
      <rowOff>129540</rowOff>
    </to>
    <pic>
      <nvPicPr>
        <cNvPr id="8" name="Graphic 7" descr="Caret Down with solid fill"/>
        <cNvPicPr>
          <a:picLocks noChangeAspect="1"/>
        </cNvPicPr>
      </nvPicPr>
      <blipFill>
        <a:blip r:embed="rId4"/>
        <a:stretch>
          <a:fillRect/>
        </a:stretch>
      </blipFill>
      <spPr>
        <a:xfrm rot="5400000">
          <a:off x="3394710" y="819150"/>
          <a:ext cx="1135380" cy="792480"/>
        </a:xfrm>
        <a:prstGeom prst="rect">
          <avLst/>
        </a:prstGeom>
        <a:ln>
          <a:prstDash val="solid"/>
        </a:ln>
      </spPr>
    </pic>
    <clientData/>
  </twoCellAnchor>
  <twoCellAnchor editAs="oneCell">
    <from>
      <col>31</col>
      <colOff>114300</colOff>
      <row>0</row>
      <rowOff>0</rowOff>
    </from>
    <to>
      <col>31</col>
      <colOff>701040</colOff>
      <row>2</row>
      <rowOff>243840</rowOff>
    </to>
    <pic>
      <nvPicPr>
        <cNvPr id="10" name="Graphic 9" descr="Badge 7 with solid fill"/>
        <cNvPicPr>
          <a:picLocks noChangeAspect="1"/>
        </cNvPicPr>
      </nvPicPr>
      <blipFill>
        <a:blip r:embed="rId5"/>
        <a:srcRect/>
        <a:stretch>
          <a:fillRect/>
        </a:stretch>
      </blipFill>
      <spPr>
        <a:xfrm>
          <a:off x="22410420" y="0"/>
          <a:ext cx="594360" cy="594360"/>
        </a:xfrm>
        <a:prstGeom prst="rect">
          <avLst/>
        </a:prstGeom>
        <a:ln>
          <a:prstDash val="solid"/>
        </a:ln>
      </spPr>
    </pic>
    <clientData/>
  </twoCellAnchor>
  <twoCellAnchor editAs="oneCell">
    <from>
      <col>0</col>
      <colOff>72390</colOff>
      <row>13</row>
      <rowOff>171450</rowOff>
    </from>
    <to>
      <col>1</col>
      <colOff>378313</colOff>
      <row>15</row>
      <rowOff>59129</rowOff>
    </to>
    <pic>
      <nvPicPr>
        <cNvPr id="12" name="Graphic 11" descr="Badge 3 with solid fill"/>
        <cNvPicPr>
          <a:picLocks noChangeAspect="1"/>
        </cNvPicPr>
      </nvPicPr>
      <blipFill>
        <a:blip r:embed="rId6"/>
        <a:srcRect/>
        <a:stretch>
          <a:fillRect/>
        </a:stretch>
      </blipFill>
      <spPr>
        <a:xfrm>
          <a:off x="72390" y="2752725"/>
          <a:ext cx="629773" cy="638249"/>
        </a:xfrm>
        <a:prstGeom prst="rect">
          <avLst/>
        </a:prstGeom>
        <a:ln>
          <a:prstDash val="solid"/>
        </a:ln>
      </spPr>
    </pic>
    <clientData/>
  </twoCellAnchor>
  <twoCellAnchor editAs="oneCell">
    <from>
      <col>1</col>
      <colOff>15240</colOff>
      <row>12</row>
      <rowOff>139065</rowOff>
    </from>
    <to>
      <col>1</col>
      <colOff>742950</colOff>
      <row>16</row>
      <rowOff>103846</rowOff>
    </to>
    <pic>
      <nvPicPr>
        <cNvPr id="13" name="Graphic 12" descr="Caret Down with solid fill"/>
        <cNvPicPr>
          <a:picLocks noChangeAspect="1"/>
        </cNvPicPr>
      </nvPicPr>
      <blipFill>
        <a:blip r:embed="rId7"/>
        <a:stretch>
          <a:fillRect/>
        </a:stretch>
      </blipFill>
      <spPr>
        <a:xfrm rot="16200000">
          <a:off x="190647" y="2716383"/>
          <a:ext cx="1015071" cy="718185"/>
        </a:xfrm>
        <a:prstGeom prst="rect">
          <avLst/>
        </a:prstGeom>
        <a:ln>
          <a:prstDash val="solid"/>
        </a:ln>
      </spPr>
    </pic>
    <clientData/>
  </twoCellAnchor>
  <twoCellAnchor editAs="oneCell">
    <from>
      <col>18</col>
      <colOff>289560</colOff>
      <row>0</row>
      <rowOff>106680</rowOff>
    </from>
    <to>
      <col>19</col>
      <colOff>209550</colOff>
      <row>5</row>
      <rowOff>53340</rowOff>
    </to>
    <pic>
      <nvPicPr>
        <cNvPr id="14" name="Graphic 13" descr="Caret Down with solid fill"/>
        <cNvPicPr>
          <a:picLocks noChangeAspect="1"/>
        </cNvPicPr>
      </nvPicPr>
      <blipFill>
        <a:blip r:embed="rId8"/>
        <a:stretch>
          <a:fillRect/>
        </a:stretch>
      </blipFill>
      <spPr>
        <a:xfrm rot="16200000">
          <a:off x="12073890" y="278130"/>
          <a:ext cx="1135380" cy="792480"/>
        </a:xfrm>
        <a:prstGeom prst="rect">
          <avLst/>
        </a:prstGeom>
        <a:ln>
          <a:prstDash val="solid"/>
        </a:ln>
      </spPr>
    </pic>
    <clientData/>
  </twoCellAnchor>
  <twoCellAnchor editAs="oneCell">
    <from>
      <col>18</col>
      <colOff>0</colOff>
      <row>1</row>
      <rowOff>121920</rowOff>
    </from>
    <to>
      <col>18</col>
      <colOff>701040</colOff>
      <row>3</row>
      <rowOff>281940</rowOff>
    </to>
    <pic>
      <nvPicPr>
        <cNvPr id="15" name="Graphic 14" descr="Badge 4 with solid fill"/>
        <cNvPicPr>
          <a:picLocks noChangeAspect="1"/>
        </cNvPicPr>
      </nvPicPr>
      <blipFill>
        <a:blip r:embed="rId9"/>
        <a:srcRect/>
        <a:stretch>
          <a:fillRect/>
        </a:stretch>
      </blipFill>
      <spPr>
        <a:xfrm>
          <a:off x="11955780" y="320040"/>
          <a:ext cx="708660" cy="708660"/>
        </a:xfrm>
        <a:prstGeom prst="rect">
          <avLst/>
        </a:prstGeom>
        <a:ln>
          <a:prstDash val="solid"/>
        </a:ln>
      </spPr>
    </pic>
    <clientData/>
  </twoCellAnchor>
  <twoCellAnchor editAs="oneCell">
    <from>
      <col>24</col>
      <colOff>68580</colOff>
      <row>7</row>
      <rowOff>114300</rowOff>
    </from>
    <to>
      <col>25</col>
      <colOff>358140</colOff>
      <row>13</row>
      <rowOff>19050</rowOff>
    </to>
    <pic>
      <nvPicPr>
        <cNvPr id="18" name="Graphic 17" descr="Caret Down with solid fill"/>
        <cNvPicPr>
          <a:picLocks noChangeAspect="1"/>
        </cNvPicPr>
      </nvPicPr>
      <blipFill>
        <a:blip r:embed="rId10"/>
        <a:srcRect/>
        <a:stretch>
          <a:fillRect/>
        </a:stretch>
      </blipFill>
      <spPr>
        <a:xfrm>
          <a:off x="16573500" y="1668780"/>
          <a:ext cx="1143000" cy="838200"/>
        </a:xfrm>
        <a:prstGeom prst="rect">
          <avLst/>
        </a:prstGeom>
        <a:ln>
          <a:prstDash val="solid"/>
        </a:ln>
      </spPr>
    </pic>
    <clientData/>
  </twoCellAnchor>
  <twoCellAnchor editAs="oneCell">
    <from>
      <col>24</col>
      <colOff>312420</colOff>
      <row>6</row>
      <rowOff>83820</rowOff>
    </from>
    <to>
      <col>25</col>
      <colOff>91440</colOff>
      <row>10</row>
      <rowOff>97155</rowOff>
    </to>
    <pic>
      <nvPicPr>
        <cNvPr id="19" name="Graphic 18" descr="Badge 5 with solid fill"/>
        <cNvPicPr>
          <a:picLocks noChangeAspect="1"/>
        </cNvPicPr>
      </nvPicPr>
      <blipFill>
        <a:blip r:embed="rId11"/>
        <a:srcRect/>
        <a:stretch>
          <a:fillRect/>
        </a:stretch>
      </blipFill>
      <spPr>
        <a:xfrm>
          <a:off x="16817340" y="1485900"/>
          <a:ext cx="632460" cy="632460"/>
        </a:xfrm>
        <a:prstGeom prst="rect">
          <avLst/>
        </a:prstGeom>
        <a:ln>
          <a:prstDash val="solid"/>
        </a:ln>
      </spPr>
    </pic>
    <clientData/>
  </twoCellAnchor>
  <twoCellAnchor editAs="oneCell">
    <from>
      <col>27</col>
      <colOff>754380</colOff>
      <row>7</row>
      <rowOff>45720</rowOff>
    </from>
    <to>
      <col>29</col>
      <colOff>91440</colOff>
      <row>12</row>
      <rowOff>91440</rowOff>
    </to>
    <pic>
      <nvPicPr>
        <cNvPr id="21" name="Graphic 20" descr="Caret Down with solid fill"/>
        <cNvPicPr>
          <a:picLocks noChangeAspect="1"/>
        </cNvPicPr>
      </nvPicPr>
      <blipFill>
        <a:blip r:embed="rId12"/>
        <a:srcRect/>
        <a:stretch>
          <a:fillRect/>
        </a:stretch>
      </blipFill>
      <spPr>
        <a:xfrm>
          <a:off x="19659600" y="1600200"/>
          <a:ext cx="1143000" cy="838200"/>
        </a:xfrm>
        <a:prstGeom prst="rect">
          <avLst/>
        </a:prstGeom>
        <a:ln>
          <a:prstDash val="solid"/>
        </a:ln>
      </spPr>
    </pic>
    <clientData/>
  </twoCellAnchor>
  <twoCellAnchor editAs="oneCell">
    <from>
      <col>28</col>
      <colOff>114300</colOff>
      <row>6</row>
      <rowOff>15240</rowOff>
    </from>
    <to>
      <col>28</col>
      <colOff>739140</colOff>
      <row>10</row>
      <rowOff>38100</rowOff>
    </to>
    <pic>
      <nvPicPr>
        <cNvPr id="22" name="Graphic 21" descr="Badge 6 with solid fill"/>
        <cNvPicPr>
          <a:picLocks noChangeAspect="1"/>
        </cNvPicPr>
      </nvPicPr>
      <blipFill>
        <a:blip r:embed="rId13"/>
        <a:srcRect/>
        <a:stretch>
          <a:fillRect/>
        </a:stretch>
      </blipFill>
      <spPr>
        <a:xfrm>
          <a:off x="19903440" y="1417320"/>
          <a:ext cx="632460" cy="632460"/>
        </a:xfrm>
        <a:prstGeom prst="rect">
          <avLst/>
        </a:prstGeom>
        <a:ln>
          <a:prstDash val="solid"/>
        </a:ln>
      </spPr>
    </pic>
    <clientData/>
  </twoCellAnchor>
  <twoCellAnchor editAs="oneCell">
    <from>
      <col>30</col>
      <colOff>762000</colOff>
      <row>0</row>
      <rowOff>129540</rowOff>
    </from>
    <to>
      <col>32</col>
      <colOff>76200</colOff>
      <row>3</row>
      <rowOff>228600</rowOff>
    </to>
    <pic>
      <nvPicPr>
        <cNvPr id="25" name="Graphic 24" descr="Caret Down with solid fill"/>
        <cNvPicPr>
          <a:picLocks noChangeAspect="1"/>
        </cNvPicPr>
      </nvPicPr>
      <blipFill>
        <a:blip r:embed="rId14"/>
        <a:srcRect/>
        <a:stretch>
          <a:fillRect/>
        </a:stretch>
      </blipFill>
      <spPr>
        <a:xfrm>
          <a:off x="22143720" y="129540"/>
          <a:ext cx="1143000" cy="838200"/>
        </a:xfrm>
        <a:prstGeom prst="rect">
          <avLst/>
        </a:prstGeom>
        <a:ln>
          <a:prstDash val="solid"/>
        </a:ln>
      </spPr>
    </pic>
    <clientData/>
  </twoCellAnchor>
  <twoCellAnchor editAs="oneCell">
    <from>
      <col>32</col>
      <colOff>342900</colOff>
      <row>8</row>
      <rowOff>45720</rowOff>
    </from>
    <to>
      <col>33</col>
      <colOff>38100</colOff>
      <row>11</row>
      <rowOff>135255</rowOff>
    </to>
    <pic>
      <nvPicPr>
        <cNvPr id="26" name="Graphic 25" descr="Badge 8 with solid fill"/>
        <cNvPicPr>
          <a:picLocks noChangeAspect="1"/>
        </cNvPicPr>
      </nvPicPr>
      <blipFill>
        <a:blip r:embed="rId15"/>
        <a:srcRect/>
        <a:stretch>
          <a:fillRect/>
        </a:stretch>
      </blipFill>
      <spPr>
        <a:xfrm>
          <a:off x="23553420" y="1752600"/>
          <a:ext cx="556260" cy="556260"/>
        </a:xfrm>
        <a:prstGeom prst="rect">
          <avLst/>
        </a:prstGeom>
        <a:ln>
          <a:prstDash val="solid"/>
        </a:ln>
      </spPr>
    </pic>
    <clientData/>
  </twoCellAnchor>
  <twoCellAnchor editAs="oneCell">
    <from>
      <col>32</col>
      <colOff>487680</colOff>
      <row>6</row>
      <rowOff>121920</rowOff>
    </from>
    <to>
      <col>33</col>
      <colOff>400050</colOff>
      <row>13</row>
      <rowOff>15240</rowOff>
    </to>
    <pic>
      <nvPicPr>
        <cNvPr id="27" name="Graphic 26" descr="Caret Down with solid fill"/>
        <cNvPicPr>
          <a:picLocks noChangeAspect="1"/>
        </cNvPicPr>
      </nvPicPr>
      <blipFill>
        <a:blip r:embed="rId16"/>
        <a:stretch>
          <a:fillRect/>
        </a:stretch>
      </blipFill>
      <spPr>
        <a:xfrm rot="16200000">
          <a:off x="23591520" y="1630680"/>
          <a:ext cx="998220" cy="784860"/>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9</col>
      <colOff>198437</colOff>
      <row>22</row>
      <rowOff>87312</rowOff>
    </from>
    <to>
      <col>15</col>
      <colOff>359705</colOff>
      <row>46</row>
      <rowOff>2661</rowOff>
    </to>
    <pic>
      <nvPicPr>
        <cNvPr id="2" name="Рисунок 1"/>
        <cNvPicPr>
          <a:picLocks noChangeAspect="1"/>
        </cNvPicPr>
      </nvPicPr>
      <blipFill>
        <a:blip r:embed="rId1"/>
        <a:stretch>
          <a:fillRect/>
        </a:stretch>
      </blipFill>
      <spPr>
        <a:xfrm>
          <a:off x="10318750" y="15478125"/>
          <a:ext cx="5241268" cy="4296849"/>
        </a:xfrm>
        <a:prstGeom prst="rect">
          <avLst/>
        </a:prstGeom>
        <a:l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Users/Professional/&#1040;.&#1041;&#1072;&#1073;&#1072;&#1103;&#1085;&#1094;_&#1083;&#1086;&#1082;&#1072;&#1083;/&#1060;&#1086;&#1088;&#1084;&#1072;_&#1088;&#1072;&#1089;&#1095;&#1077;&#1090;&#1072;_&#1050;&#1055;_&#1086;&#1082;&#1090;_2025_&#1090;&#1077;&#1089;&#1090;.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id="1" name="Table1" displayName="Table1" ref="V16:V2017" headerRowCount="1" totalsRowShown="0" headerRowDxfId="53" dataDxfId="52">
  <autoFilter ref="V16:V2017"/>
  <tableColumns count="1">
    <tableColumn id="1"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id="2" name="Table18" displayName="Table18" ref="Q16:Q2017" headerRowCount="1" totalsRowShown="0" headerRowDxfId="37" dataDxfId="36">
  <autoFilter ref="Q16:Q2017"/>
  <tableColumns count="1">
    <tableColumn id="1"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id="3" name="list_sales" displayName="list_sales" ref="A3:B7" headerRowCount="1" totalsRowShown="0" headerRowDxfId="33" dataDxfId="32">
  <autoFilter ref="A3:B7"/>
  <tableColumns count="2">
    <tableColumn id="1" name="тип заказа" dataDxfId="31"/>
    <tableColumn id="2" name="Код" dataDxfId="30"/>
  </tableColumns>
  <tableStyleInfo name="TableStyleMedium2" showFirstColumn="0" showLastColumn="0" showRowStripes="1" showColumnStripes="0"/>
</table>
</file>

<file path=xl/tables/table4.xml><?xml version="1.0" encoding="utf-8"?>
<table xmlns="http://schemas.openxmlformats.org/spreadsheetml/2006/main" id="4" name="list_log" displayName="list_log" ref="J3:J14" headerRowCount="1" totalsRowShown="0" headerRowDxfId="29" dataDxfId="28">
  <autoFilter ref="J3:J14"/>
  <tableColumns count="1">
    <tableColumn id="1"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id="5" name="list_vat" displayName="list_vat" ref="N3:Q14" headerRowCount="1" totalsRowShown="0" headerRowDxfId="26" dataDxfId="25">
  <autoFilter ref="N3:Q14"/>
  <tableColumns count="4">
    <tableColumn id="1" name="Страна" dataDxfId="24" dataCellStyle="Note 2"/>
    <tableColumn id="2" name="Ставка НДС %" dataDxfId="23" dataCellStyle="Note 2"/>
    <tableColumn id="3" name="Внутр наценка при продаже с РФ" dataDxfId="22" dataCellStyle="Note 2"/>
    <tableColumn id="4"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id="6" name="list_incoterms" displayName="list_incoterms" ref="L3:L14" headerRowCount="1" totalsRowShown="0" headerRowDxfId="20" dataDxfId="19">
  <autoFilter ref="L3:L14"/>
  <tableColumns count="1">
    <tableColumn id="1"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id="7" name="list_curr" displayName="list_curr" ref="S3:S14" headerRowCount="1" totalsRowShown="0" headerRowDxfId="17" dataDxfId="16">
  <autoFilter ref="S3:S14"/>
  <tableColumns count="1">
    <tableColumn id="1" name="Валюта" dataDxfId="15"/>
  </tableColumns>
  <tableStyleInfo name="TableStyleMedium2" showFirstColumn="0" showLastColumn="0" showRowStripes="1" showColumnStripes="0"/>
</table>
</file>

<file path=xl/tables/table8.xml><?xml version="1.0" encoding="utf-8"?>
<table xmlns="http://schemas.openxmlformats.org/spreadsheetml/2006/main" id="8" name="terms" displayName="terms" ref="D3:H6" headerRowCount="1" totalsRowShown="0" headerRowDxfId="14" dataDxfId="13">
  <autoFilter ref="D3:H6"/>
  <tableColumns count="5">
    <tableColumn id="1" name="условия оплаты" dataDxfId="12"/>
    <tableColumn id="2" name="pmt code" dataDxfId="11"/>
    <tableColumn id="3" name="adv pmt" dataDxfId="10"/>
    <tableColumn id="4" name="Миним. Наценка - Поставка" dataDxfId="9"/>
    <tableColumn id="5"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D16:F23" headerRowCount="1" totalsRowShown="0">
  <autoFilter ref="D16:F23"/>
  <tableColumns count="3">
    <tableColumn id="1" name="Организации" dataDxfId="7"/>
    <tableColumn id="2" name="Страна" dataDxfId="6"/>
    <tableColumn id="3" name="Column1" dataDxfId="5"/>
  </tableColumns>
  <tableStyleInfo name="TableStyleMedium2" showFirstColumn="0" showLastColumn="0" showRowStripes="1" showColumnStripes="0"/>
</table>
</file>

<file path=xl/tables/table10.xml><?xml version="1.0" encoding="utf-8"?>
<table xmlns="http://schemas.openxmlformats.org/spreadsheetml/2006/main" id="10" name="currency" displayName="currency" ref="AP2:AR6" headerRowCount="1" totalsRowShown="0" headerRowDxfId="4" dataDxfId="3">
  <autoFilter ref="AP2:AR6"/>
  <tableColumns count="3">
    <tableColumn id="2" name="3-х букв. код" dataDxfId="2"/>
    <tableColumn id="1" name="Валюта" dataDxfId="1"/>
    <tableColumn id="3"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table" Target="/xl/tables/table1.xml" Id="rId1" /></Relationships>
</file>

<file path=xl/worksheets/_rels/sheet4.xml.rels><Relationships xmlns="http://schemas.openxmlformats.org/package/2006/relationships"><Relationship Type="http://schemas.openxmlformats.org/officeDocument/2006/relationships/table" Target="/xl/tables/table2.xml" Id="rId1" /></Relationships>
</file>

<file path=xl/worksheets/_rels/sheet7.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4.vml" Id="anysvml" /></Relationships>
</file>

<file path=xl/worksheets/_rels/sheet10.xml.rels><Relationships xmlns="http://schemas.openxmlformats.org/package/2006/relationships"><Relationship Type="http://schemas.openxmlformats.org/officeDocument/2006/relationships/hyperlink" Target="https://docs.google.com/spreadsheets/d/1bHKQ4qNO3aZJCXKI81lsQSjMPFLr1Ac0e-ZfYwkYl30/edit?gid=0" TargetMode="External" Id="rId1" /><Relationship Type="http://schemas.openxmlformats.org/officeDocument/2006/relationships/hyperlink" Target="https://docs.google.com/spreadsheets/d/1u34QZVTcQLfCSvIslVz1QQmKwNUXZeLFr3Fg3pVmMSs/edit?gid=315722311" TargetMode="External" Id="rId2" /><Relationship Type="http://schemas.openxmlformats.org/officeDocument/2006/relationships/drawing" Target="/xl/drawings/drawing2.xml" Id="rId3" /><Relationship Type="http://schemas.openxmlformats.org/officeDocument/2006/relationships/table" Target="/xl/tables/table3.xml" Id="rId4" /><Relationship Type="http://schemas.openxmlformats.org/officeDocument/2006/relationships/table" Target="/xl/tables/table4.xml" Id="rId5" /><Relationship Type="http://schemas.openxmlformats.org/officeDocument/2006/relationships/table" Target="/xl/tables/table5.xml" Id="rId6" /><Relationship Type="http://schemas.openxmlformats.org/officeDocument/2006/relationships/table" Target="/xl/tables/table6.xml" Id="rId7" /><Relationship Type="http://schemas.openxmlformats.org/officeDocument/2006/relationships/table" Target="/xl/tables/table7.xml" Id="rId8" /><Relationship Type="http://schemas.openxmlformats.org/officeDocument/2006/relationships/table" Target="/xl/tables/table8.xml" Id="rId9" /><Relationship Type="http://schemas.openxmlformats.org/officeDocument/2006/relationships/table" Target="/xl/tables/table9.xml" Id="rId10" /><Relationship Type="http://schemas.openxmlformats.org/officeDocument/2006/relationships/table" Target="/xl/tables/table10.xml" Id="rId11" /></Relationships>
</file>

<file path=xl/worksheets/sheet1.xml><?xml version="1.0" encoding="utf-8"?>
<worksheet xmlns="http://schemas.openxmlformats.org/spreadsheetml/2006/main">
  <sheetPr codeName="Sheet11">
    <outlinePr summaryBelow="1" summaryRight="1"/>
    <pageSetUpPr fitToPage="1"/>
  </sheetPr>
  <dimension ref="B1:X66"/>
  <sheetViews>
    <sheetView showGridLines="0" topLeftCell="F1" zoomScale="85" zoomScaleNormal="85" workbookViewId="0">
      <selection activeCell="H17" sqref="H17"/>
    </sheetView>
  </sheetViews>
  <sheetFormatPr baseColWidth="8" defaultColWidth="8.85546875" defaultRowHeight="12.75"/>
  <cols>
    <col hidden="1" outlineLevel="1" width="1.7109375" customWidth="1" style="83" min="1" max="1"/>
    <col hidden="1" outlineLevel="1" width="41" customWidth="1" style="83" min="2" max="2"/>
    <col hidden="1" outlineLevel="1" width="8.85546875" customWidth="1" style="84" min="3" max="3"/>
    <col hidden="1" outlineLevel="1" width="15.42578125" customWidth="1" style="83" min="4" max="4"/>
    <col hidden="1" outlineLevel="1" width="3.42578125" customWidth="1" style="83" min="5" max="5"/>
    <col collapsed="1" width="3.42578125" customWidth="1" style="83" min="6" max="6"/>
    <col width="38.85546875" customWidth="1" style="83" min="7" max="7"/>
    <col width="12" customWidth="1" style="83" min="8" max="8"/>
    <col width="12.42578125" customWidth="1" style="83" min="9" max="9"/>
    <col width="12.85546875" customWidth="1" style="83" min="10" max="10"/>
    <col width="10.42578125" customWidth="1" style="83" min="11" max="11"/>
    <col width="7.28515625" customWidth="1" style="83" min="12" max="12"/>
    <col width="23.42578125" customWidth="1" style="83" min="13" max="13"/>
    <col width="14.42578125" customWidth="1" style="83" min="14" max="14"/>
    <col width="16.28515625" customWidth="1" style="83" min="15" max="16"/>
    <col width="3.42578125" customWidth="1" style="83" min="17" max="17"/>
    <col width="31.28515625" customWidth="1" style="83" min="18" max="18"/>
    <col width="10.140625" customWidth="1" style="83" min="19" max="19"/>
    <col width="6.28515625" customWidth="1" style="83" min="20" max="20"/>
    <col width="10.140625" customWidth="1" style="83" min="21" max="24"/>
    <col width="8.85546875" customWidth="1" style="83" min="25" max="16384"/>
  </cols>
  <sheetData>
    <row r="1" ht="15.75" customHeight="1">
      <c r="G1" s="94">
        <f>расчет!B4</f>
        <v/>
      </c>
      <c r="L1" s="726">
        <f>расчет!F3</f>
        <v/>
      </c>
      <c r="M1" s="727" t="n"/>
      <c r="N1" s="727" t="n"/>
      <c r="O1" s="728" t="n"/>
      <c r="Q1" s="729" t="inlineStr">
        <is>
          <t>проверка ТРАНЗИТЫ</t>
        </is>
      </c>
      <c r="R1" s="730" t="n"/>
      <c r="S1" s="730" t="n"/>
      <c r="T1" s="730" t="n"/>
      <c r="U1" s="730" t="n"/>
      <c r="V1" s="730" t="n"/>
      <c r="W1" s="730" t="n"/>
      <c r="X1" s="731" t="n"/>
    </row>
    <row r="2" ht="24" customHeight="1">
      <c r="G2" s="305">
        <f>расчет!B5</f>
        <v/>
      </c>
      <c r="H2" s="305">
        <f>seller_company</f>
        <v/>
      </c>
      <c r="L2" s="732">
        <f>расчет!F4</f>
        <v/>
      </c>
      <c r="M2" s="733">
        <f>расчет!G4</f>
        <v/>
      </c>
      <c r="N2" s="733">
        <f>расчет!J4</f>
        <v/>
      </c>
      <c r="O2" s="733">
        <f>расчет!K4</f>
        <v/>
      </c>
      <c r="Q2" s="594" t="n"/>
      <c r="R2" s="593" t="inlineStr">
        <is>
          <t>РАСЧЕТ</t>
        </is>
      </c>
      <c r="S2" s="734" t="n"/>
      <c r="T2" s="735" t="n"/>
      <c r="U2" s="736" t="inlineStr">
        <is>
          <t>ВЫХ. ФОРМА КП</t>
        </is>
      </c>
      <c r="V2" s="734" t="n"/>
      <c r="W2" s="735" t="n"/>
      <c r="X2" s="332" t="inlineStr">
        <is>
          <t>Отклонения</t>
        </is>
      </c>
    </row>
    <row r="3">
      <c r="G3" s="303">
        <f>расчет!B6</f>
        <v/>
      </c>
      <c r="H3" s="303">
        <f>расчет!D6</f>
        <v/>
      </c>
      <c r="L3" s="737">
        <f>расчет!F5</f>
        <v/>
      </c>
      <c r="M3" s="738">
        <f>расчет!G5</f>
        <v/>
      </c>
      <c r="N3" s="739">
        <f>расчет!J5</f>
        <v/>
      </c>
      <c r="O3" s="740">
        <f>расчет!K5</f>
        <v/>
      </c>
      <c r="Q3" s="313">
        <f>_xlfn.XLOOKUP(R3,B:B,C:C,0,0)</f>
        <v/>
      </c>
      <c r="R3" s="291" t="inlineStr">
        <is>
          <t>Номенклатурное наименование</t>
        </is>
      </c>
      <c r="S3" s="333">
        <f>_xlfn.XLOOKUP(R3,B:B,D:D,0,0)</f>
        <v/>
      </c>
      <c r="T3" s="334" t="n"/>
      <c r="U3" s="292" t="inlineStr">
        <is>
          <t>Прямые затраты</t>
        </is>
      </c>
      <c r="V3" s="293" t="inlineStr">
        <is>
          <t>Комиссия за Транзит</t>
        </is>
      </c>
      <c r="W3" s="347" t="inlineStr">
        <is>
          <t>Итого</t>
        </is>
      </c>
      <c r="X3" s="330" t="n"/>
    </row>
    <row r="4">
      <c r="G4" s="303">
        <f>расчет!B7</f>
        <v/>
      </c>
      <c r="H4" s="303">
        <f>расчет!D7</f>
        <v/>
      </c>
      <c r="L4" s="737">
        <f>расчет!F6</f>
        <v/>
      </c>
      <c r="M4" s="738">
        <f>расчет!G6</f>
        <v/>
      </c>
      <c r="N4" s="741">
        <f>расчет!J6</f>
        <v/>
      </c>
      <c r="O4" s="740">
        <f>расчет!K6</f>
        <v/>
      </c>
      <c r="Q4" s="314">
        <f>_xlfn.XLOOKUP(R4,B:B,C:C,0,0)</f>
        <v/>
      </c>
      <c r="R4" s="179" t="inlineStr">
        <is>
          <t>Кол-во</t>
        </is>
      </c>
      <c r="S4" s="335">
        <f>_xlfn.XLOOKUP(R4,B:B,D:D,0,0)</f>
        <v/>
      </c>
      <c r="T4" s="315" t="n"/>
      <c r="U4" s="301" t="n"/>
      <c r="V4" s="301" t="n"/>
      <c r="W4" s="348">
        <f>SUM(U4:V4)</f>
        <v/>
      </c>
      <c r="X4" s="315">
        <f>IF(W4&gt;0,S4-W4,0)</f>
        <v/>
      </c>
    </row>
    <row r="5">
      <c r="G5" s="303">
        <f>расчет!B8</f>
        <v/>
      </c>
      <c r="H5" s="306">
        <f>расчет!D8</f>
        <v/>
      </c>
      <c r="L5" s="737">
        <f>расчет!F7</f>
        <v/>
      </c>
      <c r="M5" s="738">
        <f>расчет!G7</f>
        <v/>
      </c>
      <c r="N5" s="741">
        <f>расчет!J7</f>
        <v/>
      </c>
      <c r="O5" s="740">
        <f>расчет!K7</f>
        <v/>
      </c>
      <c r="Q5" s="314">
        <f>_xlfn.XLOOKUP(R5,B:B,C:C,0,0)</f>
        <v/>
      </c>
      <c r="R5" s="179" t="inlineStr">
        <is>
          <t>Валюта закупки</t>
        </is>
      </c>
      <c r="S5" s="335">
        <f>_xlfn.XLOOKUP(R5,B:B,D:D,0,0)</f>
        <v/>
      </c>
      <c r="T5" s="315" t="n"/>
      <c r="U5" s="301" t="n"/>
      <c r="V5" s="301" t="n"/>
      <c r="W5" s="348">
        <f>SUM(U5:V5)</f>
        <v/>
      </c>
      <c r="X5" s="315">
        <f>IF(W5&gt;0,S5-W5,0)</f>
        <v/>
      </c>
    </row>
    <row r="6">
      <c r="G6" s="303">
        <f>расчет!B9</f>
        <v/>
      </c>
      <c r="H6" s="303">
        <f>расчет!D9</f>
        <v/>
      </c>
      <c r="L6" s="737">
        <f>расчет!F8</f>
        <v/>
      </c>
      <c r="M6" s="738">
        <f>расчет!G8</f>
        <v/>
      </c>
      <c r="N6" s="741">
        <f>расчет!J8</f>
        <v/>
      </c>
      <c r="O6" s="740">
        <f>расчет!K8</f>
        <v/>
      </c>
      <c r="Q6" s="314">
        <f>_xlfn.XLOOKUP(R6,B:B,C:C,0,0)</f>
        <v/>
      </c>
      <c r="R6" s="179" t="inlineStr">
        <is>
          <t>Цена закупки в Ориг. Валюте с НДС</t>
        </is>
      </c>
      <c r="S6" s="335">
        <f>_xlfn.XLOOKUP(R6,B:B,D:D,0,0)</f>
        <v/>
      </c>
      <c r="T6" s="315" t="n"/>
      <c r="U6" s="301" t="n"/>
      <c r="V6" s="301" t="n"/>
      <c r="W6" s="348">
        <f>SUM(U6:V6)</f>
        <v/>
      </c>
      <c r="X6" s="315">
        <f>IF(W6&gt;0,S6-W6,0)</f>
        <v/>
      </c>
    </row>
    <row r="7">
      <c r="G7" s="309" t="inlineStr">
        <is>
          <t>Наценка</t>
        </is>
      </c>
      <c r="H7" s="307">
        <f>H12/(H12-H35)-1</f>
        <v/>
      </c>
      <c r="L7" s="737">
        <f>расчет!F9</f>
        <v/>
      </c>
      <c r="M7" s="738">
        <f>расчет!G9</f>
        <v/>
      </c>
      <c r="N7" s="741">
        <f>расчет!J9</f>
        <v/>
      </c>
      <c r="O7" s="740">
        <f>расчет!K9</f>
        <v/>
      </c>
      <c r="Q7" s="314">
        <f>_xlfn.XLOOKUP(R7,B:B,C:C,0,0)</f>
        <v/>
      </c>
      <c r="R7" s="179" t="inlineStr">
        <is>
          <t>Страна Закупки</t>
        </is>
      </c>
      <c r="S7" s="335">
        <f>_xlfn.XLOOKUP(R7,B:B,D:D,0,0)</f>
        <v/>
      </c>
      <c r="T7" s="315" t="n"/>
      <c r="U7" s="301" t="n"/>
      <c r="V7" s="301" t="n"/>
      <c r="W7" s="348">
        <f>SUM(U7:V7)</f>
        <v/>
      </c>
      <c r="X7" s="315">
        <f>IF(W7&gt;0,S7-W7,0)</f>
        <v/>
      </c>
    </row>
    <row r="8">
      <c r="B8" s="83">
        <f t="array" ref="B8:C66">TRANSPOSE(расчет!A14:BG15)</f>
        <v/>
      </c>
      <c r="C8" s="84" t="n">
        <v>0</v>
      </c>
      <c r="D8" s="85">
        <f t="array" ref="D8:D66">TRANSPOSE(расчет!A13:BG13)</f>
        <v/>
      </c>
      <c r="G8" s="310" t="inlineStr">
        <is>
          <t>Продажа/Закупка</t>
        </is>
      </c>
      <c r="H8" s="308">
        <f>H12/H13</f>
        <v/>
      </c>
      <c r="L8" s="742">
        <f>расчет!F10</f>
        <v/>
      </c>
      <c r="M8" s="743">
        <f>расчет!G10</f>
        <v/>
      </c>
      <c r="N8" s="744">
        <f>расчет!J10</f>
        <v/>
      </c>
      <c r="O8" s="745">
        <f>расчет!K10</f>
        <v/>
      </c>
      <c r="Q8" s="314">
        <f>_xlfn.XLOOKUP(R8,B:B,C:C,0,0)</f>
        <v/>
      </c>
      <c r="R8" s="179" t="inlineStr">
        <is>
          <t>Ставка НДС в закупке %</t>
        </is>
      </c>
      <c r="S8" s="335">
        <f>_xlfn.XLOOKUP(R8,B:B,D:D,0,0)</f>
        <v/>
      </c>
      <c r="T8" s="315" t="n"/>
      <c r="U8" s="301" t="n"/>
      <c r="V8" s="301" t="n"/>
      <c r="W8" s="348">
        <f>SUM(U8:V8)</f>
        <v/>
      </c>
      <c r="X8" s="315">
        <f>IF(W8&gt;0,S8-W8,0)</f>
        <v/>
      </c>
    </row>
    <row r="9">
      <c r="B9" s="83" t="inlineStr">
        <is>
          <t>Бренд</t>
        </is>
      </c>
      <c r="C9" s="84" t="n">
        <v>1</v>
      </c>
      <c r="D9" s="85">
        <f/>
        <v/>
      </c>
      <c r="G9" s="303">
        <f>расчет!B10</f>
        <v/>
      </c>
      <c r="H9" s="303">
        <f>offer_pmt_terms</f>
        <v/>
      </c>
      <c r="Q9" s="314">
        <f>_xlfn.XLOOKUP(R9,B:B,C:C,0,0)</f>
        <v/>
      </c>
      <c r="R9" s="179" t="inlineStr">
        <is>
          <t>Цена закупки в Ориг. Валюте без НДС за шт.</t>
        </is>
      </c>
      <c r="S9" s="335">
        <f>_xlfn.XLOOKUP(R9,B:B,D:D,0,0)</f>
        <v/>
      </c>
      <c r="T9" s="315" t="n"/>
      <c r="U9" s="301" t="n"/>
      <c r="V9" s="301" t="n"/>
      <c r="W9" s="348">
        <f>SUM(U9:V9)</f>
        <v/>
      </c>
      <c r="X9" s="315">
        <f>IF(W9&gt;0,S9-W9,0)</f>
        <v/>
      </c>
    </row>
    <row r="10" ht="25.15" customHeight="1">
      <c r="B10" s="83" t="inlineStr">
        <is>
          <t>Артикул №</t>
        </is>
      </c>
      <c r="C10" s="84" t="n">
        <v>2</v>
      </c>
      <c r="D10" s="85">
        <f/>
        <v/>
      </c>
      <c r="G10" s="303">
        <f>расчет!B11</f>
        <v/>
      </c>
      <c r="H10" s="304">
        <f>расчет!D11</f>
        <v/>
      </c>
      <c r="Q10" s="314">
        <f>_xlfn.XLOOKUP(R10,B:B,C:C,0,0)</f>
        <v/>
      </c>
      <c r="R10" s="179" t="inlineStr">
        <is>
          <t>СКИДКА ПОСТАВЩИКА (при наличии)</t>
        </is>
      </c>
      <c r="S10" s="335">
        <f>_xlfn.XLOOKUP(R10,B:B,D:D,0,0)</f>
        <v/>
      </c>
      <c r="T10" s="315" t="n"/>
      <c r="U10" s="301" t="n"/>
      <c r="V10" s="301" t="n"/>
      <c r="W10" s="348">
        <f>SUM(U10:V10)</f>
        <v/>
      </c>
      <c r="X10" s="315">
        <f>IF(W10&gt;0,S10-W10,0)</f>
        <v/>
      </c>
    </row>
    <row r="11" ht="25.5" customHeight="1">
      <c r="B11" s="83" t="inlineStr">
        <is>
          <t>Номенклатурное наименование</t>
        </is>
      </c>
      <c r="C11" s="84" t="n">
        <v>3</v>
      </c>
      <c r="D11" s="85">
        <f/>
        <v/>
      </c>
      <c r="G11" s="227" t="inlineStr">
        <is>
          <t>Бюджет Доходов и Расходов</t>
        </is>
      </c>
      <c r="H11" s="99" t="inlineStr">
        <is>
          <t>без НДС</t>
        </is>
      </c>
      <c r="I11" s="228" t="inlineStr">
        <is>
          <t>% от выручки</t>
        </is>
      </c>
      <c r="J11" s="95" t="inlineStr">
        <is>
          <t>с НДС</t>
        </is>
      </c>
      <c r="K11" s="99" t="inlineStr">
        <is>
          <t>НДС</t>
        </is>
      </c>
      <c r="M11" s="95" t="inlineStr">
        <is>
          <t>Выходная форма</t>
        </is>
      </c>
      <c r="Q11" s="314">
        <f>_xlfn.XLOOKUP(R11,B:B,C:C,0,0)</f>
        <v/>
      </c>
      <c r="R11" s="179" t="inlineStr">
        <is>
          <t>Цена закупки со Скидкой в Ориг. Валюте без НДС за шт.</t>
        </is>
      </c>
      <c r="S11" s="335">
        <f>_xlfn.XLOOKUP(R11,B:B,D:D,0,0)</f>
        <v/>
      </c>
      <c r="T11" s="315" t="n"/>
      <c r="U11" s="301" t="n"/>
      <c r="V11" s="301" t="n"/>
      <c r="W11" s="348">
        <f>SUM(U11:V11)</f>
        <v/>
      </c>
      <c r="X11" s="315">
        <f>IF(W11&gt;0,S11-W11,0)</f>
        <v/>
      </c>
    </row>
    <row r="12">
      <c r="B12" s="83" t="inlineStr">
        <is>
          <t>Кол-во</t>
        </is>
      </c>
      <c r="C12" s="84" t="n">
        <v>4</v>
      </c>
      <c r="D12" s="85">
        <f/>
        <v/>
      </c>
      <c r="G12" s="178" t="inlineStr">
        <is>
          <t>Сумма продажи без НДС</t>
        </is>
      </c>
      <c r="H12" s="435">
        <f>VLOOKUP(G12,B:D,3,FALSE)</f>
        <v/>
      </c>
      <c r="I12" s="436">
        <f>H12/H$12</f>
        <v/>
      </c>
      <c r="J12" s="231">
        <f>расчет!AL13</f>
        <v/>
      </c>
      <c r="K12" s="232">
        <f>J12-H12</f>
        <v/>
      </c>
      <c r="L12" s="133">
        <f>J12/H12=1.2</f>
        <v/>
      </c>
      <c r="M12" s="83">
        <f>'КП open book'!R16</f>
        <v/>
      </c>
      <c r="N12" s="115">
        <f>'КП open book'!Q12</f>
        <v/>
      </c>
      <c r="Q12" s="314">
        <f>_xlfn.XLOOKUP(R12,B:B,C:C,0,0)</f>
        <v/>
      </c>
      <c r="R12" s="179" t="inlineStr">
        <is>
          <t>Курс валют к валюте КП</t>
        </is>
      </c>
      <c r="S12" s="335">
        <f>_xlfn.XLOOKUP(R12,B:B,D:D,0,0)</f>
        <v/>
      </c>
      <c r="T12" s="315" t="n"/>
      <c r="U12" s="301" t="n"/>
      <c r="V12" s="301" t="n"/>
      <c r="W12" s="348">
        <f>SUM(U12:V12)</f>
        <v/>
      </c>
      <c r="X12" s="315">
        <f>IF(W12&gt;0,S12-W12,0)</f>
        <v/>
      </c>
    </row>
    <row r="13" ht="13.9" customHeight="1">
      <c r="B13" s="83" t="inlineStr">
        <is>
          <t>ед. изм</t>
        </is>
      </c>
      <c r="C13" s="84" t="n">
        <v>5</v>
      </c>
      <c r="D13" s="85">
        <f/>
        <v/>
      </c>
      <c r="G13" s="83">
        <f>расчет!S14</f>
        <v/>
      </c>
      <c r="H13" s="85">
        <f>VLOOKUP(G13,B:D,3,FALSE)</f>
        <v/>
      </c>
      <c r="I13" s="87">
        <f>H13/H$12</f>
        <v/>
      </c>
      <c r="J13" s="88">
        <f>расчет!AZ13</f>
        <v/>
      </c>
      <c r="K13" s="88">
        <f>J13-H13</f>
        <v/>
      </c>
      <c r="M13" s="83">
        <f>'КП open book'!S16</f>
        <v/>
      </c>
      <c r="N13" s="85">
        <f>'КП open book'!S2017</f>
        <v/>
      </c>
      <c r="O13" s="133">
        <f>N13=H40</f>
        <v/>
      </c>
      <c r="Q13" s="314">
        <f>_xlfn.XLOOKUP(R13,B:B,C:C,0,0)</f>
        <v/>
      </c>
      <c r="R13" s="179" t="inlineStr">
        <is>
          <t>Цена Закупки в валюте КП без НДС за шт.</t>
        </is>
      </c>
      <c r="S13" s="335">
        <f>_xlfn.XLOOKUP(R13,B:B,D:D,0,0)</f>
        <v/>
      </c>
      <c r="T13" s="315" t="n"/>
      <c r="U13" s="301" t="n"/>
      <c r="V13" s="301" t="n"/>
      <c r="W13" s="348">
        <f>SUM(U13:V13)</f>
        <v/>
      </c>
      <c r="X13" s="315">
        <f>IF(W13&gt;0,S13-W13,0)</f>
        <v/>
      </c>
    </row>
    <row r="14" ht="14.45" customHeight="1" thickBot="1">
      <c r="B14" s="83" t="inlineStr">
        <is>
          <t>Вес шт</t>
        </is>
      </c>
      <c r="C14" s="84" t="n">
        <v>6</v>
      </c>
      <c r="D14" s="85">
        <f/>
        <v/>
      </c>
      <c r="G14" s="216" t="inlineStr">
        <is>
          <t>Марж. Прибыль</t>
        </is>
      </c>
      <c r="H14" s="217">
        <f>H12-H13</f>
        <v/>
      </c>
      <c r="I14" s="218">
        <f>H14/H$12</f>
        <v/>
      </c>
      <c r="J14" s="219" t="n"/>
      <c r="M14" s="83">
        <f>'КП open book'!O11</f>
        <v/>
      </c>
      <c r="N14" s="590">
        <f>'КП open book'!Q11</f>
        <v/>
      </c>
      <c r="Q14" s="314">
        <f>_xlfn.XLOOKUP(R14,B:B,C:C,0,0)</f>
        <v/>
      </c>
      <c r="R14" s="179" t="inlineStr">
        <is>
          <t>Сумма закупки в валюте КП без НДС</t>
        </is>
      </c>
      <c r="S14" s="335">
        <f>_xlfn.XLOOKUP(R14,B:B,D:D,0,0)</f>
        <v/>
      </c>
      <c r="T14" s="336">
        <f>S14/S$14</f>
        <v/>
      </c>
      <c r="U14" s="301" t="n"/>
      <c r="V14" s="301" t="n"/>
      <c r="W14" s="348">
        <f>SUM(U14:V14)</f>
        <v/>
      </c>
      <c r="X14" s="315">
        <f>IF(W14&gt;0,S14-W14,0)</f>
        <v/>
      </c>
    </row>
    <row r="15" ht="13.9" customHeight="1" thickTop="1">
      <c r="B15" s="83" t="inlineStr">
        <is>
          <t>Фасовка</t>
        </is>
      </c>
      <c r="C15" s="84" t="n">
        <v>7</v>
      </c>
      <c r="D15" s="85">
        <f/>
        <v/>
      </c>
      <c r="G15" s="214">
        <f>расчет!V2</f>
        <v/>
      </c>
      <c r="H15" s="215">
        <f>расчет!W2</f>
        <v/>
      </c>
      <c r="I15" s="87">
        <f>H15/H$12</f>
        <v/>
      </c>
      <c r="Q15" s="314">
        <f>_xlfn.XLOOKUP(R15,B:B,C:C,0,0)</f>
        <v/>
      </c>
      <c r="R15" s="295" t="inlineStr">
        <is>
          <t>Сумма закупки в валюте КП с учетом НДС</t>
        </is>
      </c>
      <c r="S15" s="337">
        <f>_xlfn.XLOOKUP(R15,B:B,D:D,0,0)</f>
        <v/>
      </c>
      <c r="T15" s="338">
        <f>S15/S$14</f>
        <v/>
      </c>
      <c r="U15" s="296">
        <f>'КП open book'!I2017</f>
        <v/>
      </c>
      <c r="V15" s="301" t="n"/>
      <c r="W15" s="348">
        <f>SUM(U15:V15)</f>
        <v/>
      </c>
      <c r="X15" s="315">
        <f>IF(W15&gt;0,S15-W15,0)</f>
        <v/>
      </c>
    </row>
    <row r="16">
      <c r="B16" s="83" t="inlineStr">
        <is>
          <t>Общий вес</t>
        </is>
      </c>
      <c r="C16" s="84" t="n">
        <v>8</v>
      </c>
      <c r="D16" s="85">
        <f/>
        <v/>
      </c>
      <c r="G16" s="214">
        <f>расчет!V3</f>
        <v/>
      </c>
      <c r="H16" s="215">
        <f>расчет!W3</f>
        <v/>
      </c>
      <c r="I16" s="87">
        <f>H16/H$12</f>
        <v/>
      </c>
      <c r="M16" s="83">
        <f>'КП open book'!O9</f>
        <v/>
      </c>
      <c r="N16" s="591">
        <f>'КП open book'!Q9</f>
        <v/>
      </c>
      <c r="P16" s="84" t="n"/>
      <c r="Q16" s="314">
        <f>_xlfn.XLOOKUP(R16,B:B,C:C,0,0)</f>
        <v/>
      </c>
      <c r="R16" s="297" t="inlineStr">
        <is>
          <t>Итого Стоимость финансирования</t>
        </is>
      </c>
      <c r="S16" s="339">
        <f>_xlfn.XLOOKUP(R16,B:B,D:D,0,0)</f>
        <v/>
      </c>
      <c r="T16" s="340">
        <f>S16/S$14</f>
        <v/>
      </c>
      <c r="U16" s="298" t="n"/>
      <c r="V16" s="298">
        <f>S16</f>
        <v/>
      </c>
      <c r="W16" s="348">
        <f>SUM(U16:V16)</f>
        <v/>
      </c>
      <c r="X16" s="315">
        <f>IF(W16&gt;0,S16-W16,0)</f>
        <v/>
      </c>
    </row>
    <row r="17">
      <c r="B17" s="83" t="inlineStr">
        <is>
          <t>Валюта закупки</t>
        </is>
      </c>
      <c r="C17" s="84" t="n">
        <v>9</v>
      </c>
      <c r="D17" s="85">
        <f/>
        <v/>
      </c>
      <c r="G17" s="214">
        <f>расчет!V4</f>
        <v/>
      </c>
      <c r="H17" s="215">
        <f>расчет!W4</f>
        <v/>
      </c>
      <c r="I17" s="87">
        <f>H17/H$12</f>
        <v/>
      </c>
      <c r="Q17" s="314">
        <f>_xlfn.XLOOKUP(R17,B:B,C:C,0,0)</f>
        <v/>
      </c>
      <c r="R17" s="297" t="inlineStr">
        <is>
          <t>Комиссия за рассрочку* за вычетом аванса</t>
        </is>
      </c>
      <c r="S17" s="339">
        <f>_xlfn.XLOOKUP(R17,B:B,D:D,0,0)</f>
        <v/>
      </c>
      <c r="T17" s="340">
        <f>S17/S$14</f>
        <v/>
      </c>
      <c r="U17" s="298" t="n"/>
      <c r="V17" s="298">
        <f>S17</f>
        <v/>
      </c>
      <c r="W17" s="348">
        <f>SUM(U17:V17)</f>
        <v/>
      </c>
      <c r="X17" s="315">
        <f>IF(W17&gt;0,S17-W17,0)</f>
        <v/>
      </c>
    </row>
    <row r="18">
      <c r="B18" s="83" t="inlineStr">
        <is>
          <t>Цена закупки в Ориг. Валюте с НДС</t>
        </is>
      </c>
      <c r="C18" s="84" t="n">
        <v>10</v>
      </c>
      <c r="D18" s="85">
        <f/>
        <v/>
      </c>
      <c r="G18" s="214">
        <f>расчет!V5</f>
        <v/>
      </c>
      <c r="H18" s="215">
        <f>расчет!W5</f>
        <v/>
      </c>
      <c r="I18" s="87">
        <f>H18/H$12</f>
        <v/>
      </c>
      <c r="Q18" s="314">
        <f>_xlfn.XLOOKUP(R18,B:B,C:C,0,0)</f>
        <v/>
      </c>
      <c r="R18" s="179" t="inlineStr">
        <is>
          <t>Логистика ЕС+ТР</t>
        </is>
      </c>
      <c r="S18" s="335">
        <f>_xlfn.XLOOKUP(R18,B:B,D:D,0,0)</f>
        <v/>
      </c>
      <c r="T18" s="336">
        <f>S18/S$14</f>
        <v/>
      </c>
      <c r="U18" s="301" t="n"/>
      <c r="V18" s="301" t="n"/>
      <c r="W18" s="348">
        <f>SUM(U18:V18)</f>
        <v/>
      </c>
      <c r="X18" s="315">
        <f>IF(W18&gt;0,S18-W18,0)</f>
        <v/>
      </c>
    </row>
    <row r="19">
      <c r="B19" s="83" t="inlineStr">
        <is>
          <t>Страна Закупки</t>
        </is>
      </c>
      <c r="C19" s="84" t="n">
        <v>11</v>
      </c>
      <c r="D19" s="85">
        <f/>
        <v/>
      </c>
      <c r="G19" s="214">
        <f>расчет!V6</f>
        <v/>
      </c>
      <c r="H19" s="215">
        <f>расчет!W6</f>
        <v/>
      </c>
      <c r="I19" s="87">
        <f>H19/H$12</f>
        <v/>
      </c>
      <c r="Q19" s="314">
        <f>_xlfn.XLOOKUP(R19,B:B,C:C,0,0)</f>
        <v/>
      </c>
      <c r="R19" s="179" t="inlineStr">
        <is>
          <t>Логистика РФ</t>
        </is>
      </c>
      <c r="S19" s="335">
        <f>_xlfn.XLOOKUP(R19,B:B,D:D,0,0)</f>
        <v/>
      </c>
      <c r="T19" s="336">
        <f>S19/S$14</f>
        <v/>
      </c>
      <c r="U19" s="301" t="n"/>
      <c r="V19" s="301" t="n"/>
      <c r="W19" s="348">
        <f>SUM(U19:V19)</f>
        <v/>
      </c>
      <c r="X19" s="315">
        <f>IF(W19&gt;0,S19-W19,0)</f>
        <v/>
      </c>
    </row>
    <row r="20">
      <c r="B20" s="83" t="inlineStr">
        <is>
          <t>Ставка НДС в закупке %</t>
        </is>
      </c>
      <c r="C20" s="84" t="n">
        <v>12</v>
      </c>
      <c r="D20" s="85">
        <f/>
        <v/>
      </c>
      <c r="G20" s="214">
        <f>расчет!V7</f>
        <v/>
      </c>
      <c r="H20" s="215">
        <f>расчет!W7</f>
        <v/>
      </c>
      <c r="I20" s="87">
        <f>H20/H$12</f>
        <v/>
      </c>
      <c r="Q20" s="314">
        <f>_xlfn.XLOOKUP(R20,B:B,C:C,0,0)</f>
        <v/>
      </c>
      <c r="R20" s="295" t="inlineStr">
        <is>
          <t>Итого Логистика</t>
        </is>
      </c>
      <c r="S20" s="337">
        <f>_xlfn.XLOOKUP(R20,B:B,D:D,0,0)</f>
        <v/>
      </c>
      <c r="T20" s="338">
        <f>S20/S$14</f>
        <v/>
      </c>
      <c r="U20" s="296">
        <f>'КП open book'!J2017</f>
        <v/>
      </c>
      <c r="V20" s="301" t="n"/>
      <c r="W20" s="348">
        <f>SUM(U20:V20)</f>
        <v/>
      </c>
      <c r="X20" s="315">
        <f>IF(W20&gt;0,S20-W20,0)</f>
        <v/>
      </c>
    </row>
    <row r="21">
      <c r="B21" s="83" t="inlineStr">
        <is>
          <t>Цена закупки в Ориг. Валюте без НДС за шт.</t>
        </is>
      </c>
      <c r="C21" s="84" t="n">
        <v>13</v>
      </c>
      <c r="D21" s="85">
        <f/>
        <v/>
      </c>
      <c r="G21" s="214">
        <f>расчет!V8</f>
        <v/>
      </c>
      <c r="H21" s="215">
        <f>расчет!W8</f>
        <v/>
      </c>
      <c r="I21" s="87">
        <f>H21/H$12</f>
        <v/>
      </c>
      <c r="Q21" s="314">
        <f>_xlfn.XLOOKUP(R21,B:B,C:C,0,0)</f>
        <v/>
      </c>
      <c r="R21" s="295" t="inlineStr">
        <is>
          <t>Код ТН ВЭД</t>
        </is>
      </c>
      <c r="S21" s="337">
        <f>_xlfn.XLOOKUP(R21,B:B,D:D,0,0)</f>
        <v/>
      </c>
      <c r="T21" s="338">
        <f>S21/S$14</f>
        <v/>
      </c>
      <c r="U21" s="296" t="n"/>
      <c r="V21" s="301" t="n"/>
      <c r="W21" s="348">
        <f>SUM(U21:V21)</f>
        <v/>
      </c>
      <c r="X21" s="315">
        <f>IF(W21&gt;0,S21-W21,0)</f>
        <v/>
      </c>
    </row>
    <row r="22">
      <c r="B22" s="83" t="inlineStr">
        <is>
          <t>СКИДКА ПОСТАВЩИКА (при наличии)</t>
        </is>
      </c>
      <c r="C22" s="84" t="n">
        <v>14</v>
      </c>
      <c r="D22" s="85">
        <f/>
        <v/>
      </c>
      <c r="G22" s="214">
        <f>расчет!V9</f>
        <v/>
      </c>
      <c r="H22" s="215">
        <f>расчет!W9</f>
        <v/>
      </c>
      <c r="I22" s="87">
        <f>H22/H$12</f>
        <v/>
      </c>
      <c r="Q22" s="314">
        <f>_xlfn.XLOOKUP(R22,B:B,C:C,0,0)</f>
        <v/>
      </c>
      <c r="R22" s="295" t="inlineStr">
        <is>
          <t>Пошлина в %</t>
        </is>
      </c>
      <c r="S22" s="337">
        <f>_xlfn.XLOOKUP(R22,B:B,D:D,0,0)</f>
        <v/>
      </c>
      <c r="T22" s="338">
        <f>S22/S$14</f>
        <v/>
      </c>
      <c r="U22" s="296" t="n"/>
      <c r="V22" s="301" t="n"/>
      <c r="W22" s="348">
        <f>SUM(U22:V22)</f>
        <v/>
      </c>
      <c r="X22" s="315">
        <f>IF(W22&gt;0,S22-W22,0)</f>
        <v/>
      </c>
    </row>
    <row r="23">
      <c r="B23" s="83" t="inlineStr">
        <is>
          <t>Цена закупки со Скидкой в Ориг. Валюте без НДС за шт.</t>
        </is>
      </c>
      <c r="C23" s="84" t="n">
        <v>15</v>
      </c>
      <c r="D23" s="85">
        <f/>
        <v/>
      </c>
      <c r="G23" s="214">
        <f>расчет!V10</f>
        <v/>
      </c>
      <c r="H23" s="215">
        <f>расчет!W10</f>
        <v/>
      </c>
      <c r="I23" s="87">
        <f>H23/H$12</f>
        <v/>
      </c>
      <c r="Q23" s="314">
        <f>_xlfn.XLOOKUP(R23,B:B,C:C,0,0)</f>
        <v/>
      </c>
      <c r="R23" s="295" t="inlineStr">
        <is>
          <t>Пошлина = пошлина * (закупка + внутр. наценка)</t>
        </is>
      </c>
      <c r="S23" s="337">
        <f>_xlfn.XLOOKUP(R23,B:B,D:D,0,0)</f>
        <v/>
      </c>
      <c r="T23" s="338">
        <f>S23/S$14</f>
        <v/>
      </c>
      <c r="U23" s="296">
        <f>'КП open book'!M2017</f>
        <v/>
      </c>
      <c r="V23" s="301" t="n"/>
      <c r="W23" s="348">
        <f>SUM(U23:V23)</f>
        <v/>
      </c>
      <c r="X23" s="315">
        <f>IF(W23&gt;0,S23-W23,0)</f>
        <v/>
      </c>
    </row>
    <row r="24">
      <c r="B24" s="83" t="inlineStr">
        <is>
          <t>Курс валют к валюте КП</t>
        </is>
      </c>
      <c r="C24" s="84" t="n">
        <v>16</v>
      </c>
      <c r="D24" s="85">
        <f/>
        <v/>
      </c>
      <c r="G24" s="83" t="inlineStr">
        <is>
          <t>Итого Логистика</t>
        </is>
      </c>
      <c r="H24" s="85">
        <f>VLOOKUP(G24,B:D,3,FALSE)</f>
        <v/>
      </c>
      <c r="I24" s="87">
        <f>H24/H$12</f>
        <v/>
      </c>
      <c r="J24" s="83">
        <f>H24=SUM(H15:H21)</f>
        <v/>
      </c>
      <c r="Q24" s="314">
        <f>_xlfn.XLOOKUP(R24,B:B,C:C,0,0)</f>
        <v/>
      </c>
      <c r="R24" s="295" t="inlineStr">
        <is>
          <t>Акциз
(ставка акциза в руб * на показатель)</t>
        </is>
      </c>
      <c r="S24" s="337">
        <f>_xlfn.XLOOKUP(R24,B:B,D:D,0,0)</f>
        <v/>
      </c>
      <c r="T24" s="338">
        <f>S24/S$14</f>
        <v/>
      </c>
      <c r="U24" s="296">
        <f>'КП open book'!N2017</f>
        <v/>
      </c>
      <c r="V24" s="301" t="n"/>
      <c r="W24" s="348">
        <f>SUM(U24:V24)</f>
        <v/>
      </c>
      <c r="X24" s="315">
        <f>IF(W24&gt;0,S24-W24,0)</f>
        <v/>
      </c>
    </row>
    <row r="25">
      <c r="B25" s="83" t="inlineStr">
        <is>
          <t>Цена Закупки в валюте КП без НДС за шт.</t>
        </is>
      </c>
      <c r="C25" s="84" t="n">
        <v>17</v>
      </c>
      <c r="D25" s="85">
        <f/>
        <v/>
      </c>
      <c r="G25" s="83" t="inlineStr">
        <is>
          <t>Пошлина = пошлина * (закупка + внутр. наценка)</t>
        </is>
      </c>
      <c r="H25" s="85">
        <f>VLOOKUP(G25,B:D,3,FALSE)</f>
        <v/>
      </c>
      <c r="I25" s="87">
        <f>H25/H$12</f>
        <v/>
      </c>
      <c r="Q25" s="314">
        <f>_xlfn.XLOOKUP(R25,B:B,C:C,0,0)</f>
        <v/>
      </c>
      <c r="R25" s="179" t="inlineStr">
        <is>
          <t>Себестоимость, шт. (без НДС)</t>
        </is>
      </c>
      <c r="S25" s="335">
        <f>_xlfn.XLOOKUP(R25,B:B,D:D,0,0)</f>
        <v/>
      </c>
      <c r="T25" s="336">
        <f>S25/S$14</f>
        <v/>
      </c>
      <c r="U25" s="301" t="n"/>
      <c r="V25" s="301" t="n"/>
      <c r="W25" s="348">
        <f>SUM(U25:V25)</f>
        <v/>
      </c>
      <c r="X25" s="315">
        <f>IF(W25&gt;0,S25-W25,0)</f>
        <v/>
      </c>
    </row>
    <row r="26">
      <c r="B26" s="83" t="inlineStr">
        <is>
          <t>Сумма закупки в валюте КП без НДС</t>
        </is>
      </c>
      <c r="C26" s="84" t="n">
        <v>18</v>
      </c>
      <c r="D26" s="85">
        <f/>
        <v/>
      </c>
      <c r="G26" s="83" t="inlineStr">
        <is>
          <t>Акциз
(ставка акциза в руб * на показатель)</t>
        </is>
      </c>
      <c r="H26" s="85">
        <f>VLOOKUP(G26,B:D,3,FALSE)</f>
        <v/>
      </c>
      <c r="I26" s="87">
        <f>H26/H$12</f>
        <v/>
      </c>
      <c r="Q26" s="314">
        <f>_xlfn.XLOOKUP(R26,B:B,C:C,0,0)</f>
        <v/>
      </c>
      <c r="R26" s="179" t="inlineStr">
        <is>
          <t>Итого Себестоимость товара (без НДС)</t>
        </is>
      </c>
      <c r="S26" s="335">
        <f>_xlfn.XLOOKUP(R26,B:B,D:D,0,0)</f>
        <v/>
      </c>
      <c r="T26" s="336">
        <f>S26/S$14</f>
        <v/>
      </c>
      <c r="U26" s="301" t="n"/>
      <c r="V26" s="301" t="n"/>
      <c r="W26" s="348">
        <f>SUM(U26:V26)</f>
        <v/>
      </c>
      <c r="X26" s="315">
        <f>IF(W26&gt;0,S26-W26,0)</f>
        <v/>
      </c>
    </row>
    <row r="27">
      <c r="B27" s="83" t="inlineStr">
        <is>
          <t>Логистика ЕС+ТР</t>
        </is>
      </c>
      <c r="C27" s="84" t="n">
        <v>19</v>
      </c>
      <c r="D27" s="85">
        <f/>
        <v/>
      </c>
      <c r="G27" s="223" t="inlineStr">
        <is>
          <t>Итого Прямые Затраты</t>
        </is>
      </c>
      <c r="H27" s="224">
        <f>+SUM(H13,H24:H26)</f>
        <v/>
      </c>
      <c r="I27" s="225">
        <f>H27/H$12</f>
        <v/>
      </c>
      <c r="Q27" s="314">
        <f>_xlfn.XLOOKUP(R27,B:B,C:C,0,0)</f>
        <v/>
      </c>
      <c r="R27" s="179" t="inlineStr">
        <is>
          <t>Наценка Общая в %</t>
        </is>
      </c>
      <c r="S27" s="341">
        <f>_xlfn.XLOOKUP(R27,B:B,D:D,0,0)</f>
        <v/>
      </c>
      <c r="T27" s="336">
        <f>S27/S$14</f>
        <v/>
      </c>
      <c r="U27" s="301" t="n"/>
      <c r="V27" s="301" t="n"/>
      <c r="W27" s="348">
        <f>SUM(U27:V27)</f>
        <v/>
      </c>
      <c r="X27" s="315">
        <f>IF(W27&gt;0,S27-W27,0)</f>
        <v/>
      </c>
    </row>
    <row r="28" ht="13.5" customHeight="1" thickBot="1">
      <c r="B28" s="83" t="inlineStr">
        <is>
          <t>Логистика РФ</t>
        </is>
      </c>
      <c r="C28" s="84" t="n">
        <v>20</v>
      </c>
      <c r="D28" s="85">
        <f/>
        <v/>
      </c>
      <c r="G28" s="216" t="inlineStr">
        <is>
          <t>Валовая Прибыль</t>
        </is>
      </c>
      <c r="H28" s="217">
        <f>H14-SUM(H24,H25:H26)</f>
        <v/>
      </c>
      <c r="I28" s="218">
        <f>H28/H$12</f>
        <v/>
      </c>
      <c r="J28" s="746">
        <f>H12-H27</f>
        <v/>
      </c>
      <c r="Q28" s="314">
        <f>_xlfn.XLOOKUP(R28,B:B,C:C,0,0)</f>
        <v/>
      </c>
      <c r="R28" s="179" t="inlineStr">
        <is>
          <t>Цена продажи (без учета фин. расходов и отката)</t>
        </is>
      </c>
      <c r="S28" s="335">
        <f>_xlfn.XLOOKUP(R28,B:B,D:D,0,0)</f>
        <v/>
      </c>
      <c r="T28" s="336">
        <f>S28/S$14</f>
        <v/>
      </c>
      <c r="U28" s="301" t="n"/>
      <c r="V28" s="301" t="n"/>
      <c r="W28" s="348">
        <f>SUM(U28:V28)</f>
        <v/>
      </c>
      <c r="X28" s="315">
        <f>IF(W28&gt;0,S28-W28,0)</f>
        <v/>
      </c>
    </row>
    <row r="29" ht="13.5" customHeight="1" thickTop="1">
      <c r="B29" s="83" t="inlineStr">
        <is>
          <t>Итого Логистика</t>
        </is>
      </c>
      <c r="C29" s="84" t="n">
        <v>21</v>
      </c>
      <c r="D29" s="85">
        <f/>
        <v/>
      </c>
      <c r="G29" s="83" t="inlineStr">
        <is>
          <t>Комиссия фин/агента (% затрат вне РФ)</t>
        </is>
      </c>
      <c r="H29" s="85">
        <f>VLOOKUP(G29,B:D,3,FALSE)</f>
        <v/>
      </c>
      <c r="I29" s="87">
        <f>H29/H$12</f>
        <v/>
      </c>
      <c r="J29" s="747">
        <f>[1]расчет!AI11</f>
        <v/>
      </c>
      <c r="K29" s="97" t="n"/>
      <c r="Q29" s="314">
        <f>_xlfn.XLOOKUP(R29,B:B,C:C,0,0)</f>
        <v/>
      </c>
      <c r="R29" s="179" t="inlineStr">
        <is>
          <t>Себестоимость + Маржа (без НДС)</t>
        </is>
      </c>
      <c r="S29" s="335">
        <f>_xlfn.XLOOKUP(R29,B:B,D:D,0,0)</f>
        <v/>
      </c>
      <c r="T29" s="336">
        <f>S29/S$14</f>
        <v/>
      </c>
      <c r="U29" s="301" t="n"/>
      <c r="V29" s="301" t="n"/>
      <c r="W29" s="348">
        <f>SUM(U29:V29)</f>
        <v/>
      </c>
      <c r="X29" s="315">
        <f>IF(W29&gt;0,S29-W29,0)</f>
        <v/>
      </c>
    </row>
    <row r="30">
      <c r="B30" s="83" t="inlineStr">
        <is>
          <t>Код ТН ВЭД</t>
        </is>
      </c>
      <c r="C30" s="84" t="n">
        <v>22</v>
      </c>
      <c r="D30" s="85">
        <f/>
        <v/>
      </c>
      <c r="G30" s="83" t="inlineStr">
        <is>
          <t>Резерв на отриц. курсовую разницу (3% в договоре)</t>
        </is>
      </c>
      <c r="H30" s="85">
        <f>VLOOKUP(G30,B:D,3,FALSE)</f>
        <v/>
      </c>
      <c r="I30" s="87">
        <f>H30/H$12</f>
        <v/>
      </c>
      <c r="J30" s="747">
        <f>[1]расчет!AH11</f>
        <v/>
      </c>
      <c r="K30" s="97" t="n"/>
      <c r="Q30" s="314">
        <f>_xlfn.XLOOKUP(R30,B:B,C:C,0,0)</f>
        <v/>
      </c>
      <c r="R30" s="299" t="inlineStr">
        <is>
          <t>Профит чистый (без НДС и фин. расходов и отката)</t>
        </is>
      </c>
      <c r="S30" s="342">
        <f>_xlfn.XLOOKUP(R30,B:B,D:D,0,0)</f>
        <v/>
      </c>
      <c r="T30" s="343">
        <f>S30/S$14</f>
        <v/>
      </c>
      <c r="U30" s="300" t="n"/>
      <c r="V30" s="300">
        <f>S30</f>
        <v/>
      </c>
      <c r="W30" s="349">
        <f>SUM(U30:V30)</f>
        <v/>
      </c>
      <c r="X30" s="316">
        <f>IF(W30&gt;0,S30-W30,0)</f>
        <v/>
      </c>
    </row>
    <row r="31">
      <c r="B31" s="83" t="inlineStr">
        <is>
          <t>Пошлина в %</t>
        </is>
      </c>
      <c r="C31" s="84" t="n">
        <v>23</v>
      </c>
      <c r="D31" s="85">
        <f/>
        <v/>
      </c>
      <c r="G31" s="83" t="inlineStr">
        <is>
          <t>Вознаграждение ЛПР (откат)</t>
        </is>
      </c>
      <c r="H31" s="85">
        <f>VLOOKUP(G31,B:D,3,FALSE)</f>
        <v/>
      </c>
      <c r="I31" s="87">
        <f>H31/H$12</f>
        <v/>
      </c>
      <c r="J31" s="96">
        <f>расчет!AH3</f>
        <v/>
      </c>
      <c r="K31" s="96" t="n"/>
      <c r="Q31" s="314">
        <f>_xlfn.XLOOKUP(R31,B:B,C:C,0,0)</f>
        <v/>
      </c>
      <c r="R31" s="179" t="inlineStr">
        <is>
          <t>Вознаграждение ЛПР (откат)</t>
        </is>
      </c>
      <c r="S31" s="335">
        <f>_xlfn.XLOOKUP(R31,B:B,D:D,0,0)</f>
        <v/>
      </c>
      <c r="T31" s="336">
        <f>S31/S$14</f>
        <v/>
      </c>
      <c r="U31" s="301" t="n"/>
      <c r="V31" s="301">
        <f>S31</f>
        <v/>
      </c>
      <c r="W31" s="348">
        <f>SUM(U31:V31)</f>
        <v/>
      </c>
      <c r="X31" s="315">
        <f>IF(W31&gt;0,S31-W31,0)</f>
        <v/>
      </c>
    </row>
    <row r="32">
      <c r="B32" s="83" t="inlineStr">
        <is>
          <t>Пошлина = пошлина * (закупка + внутр. наценка)</t>
        </is>
      </c>
      <c r="C32" s="84" t="n">
        <v>24</v>
      </c>
      <c r="D32" s="85">
        <f/>
        <v/>
      </c>
      <c r="G32" s="83" t="inlineStr">
        <is>
          <t>Итого Стоимость финансирования</t>
        </is>
      </c>
      <c r="H32" s="85">
        <f>VLOOKUP(G32,B:D,3,FALSE)</f>
        <v/>
      </c>
      <c r="I32" s="87">
        <f>H32/H$12</f>
        <v/>
      </c>
      <c r="Q32" s="314">
        <f>_xlfn.XLOOKUP(R32,B:B,C:C,0,0)</f>
        <v/>
      </c>
      <c r="R32" s="297" t="inlineStr">
        <is>
          <t>Резерв на отриц. курсовую разницу (3% в договоре)</t>
        </is>
      </c>
      <c r="S32" s="339">
        <f>_xlfn.XLOOKUP(R32,B:B,D:D,0,0)</f>
        <v/>
      </c>
      <c r="T32" s="340">
        <f>S32/S$14</f>
        <v/>
      </c>
      <c r="U32" s="298" t="n"/>
      <c r="V32" s="298">
        <f>S32</f>
        <v/>
      </c>
      <c r="W32" s="348">
        <f>SUM(U32:V32)</f>
        <v/>
      </c>
      <c r="X32" s="315">
        <f>IF(W32&gt;0,S32-W32,0)</f>
        <v/>
      </c>
    </row>
    <row r="33">
      <c r="B33" s="83" t="inlineStr">
        <is>
          <t>Акциз
(ставка акциза в руб * на показатель)</t>
        </is>
      </c>
      <c r="C33" s="84" t="n">
        <v>25</v>
      </c>
      <c r="D33" s="85">
        <f/>
        <v/>
      </c>
      <c r="G33" s="83" t="inlineStr">
        <is>
          <t>Комиссия за рассрочку* за вычетом аванса</t>
        </is>
      </c>
      <c r="H33" s="85">
        <f>VLOOKUP(G33,B:D,3,FALSE)</f>
        <v/>
      </c>
      <c r="I33" s="87">
        <f>H33/H$12</f>
        <v/>
      </c>
      <c r="Q33" s="314">
        <f>_xlfn.XLOOKUP(R33,B:B,C:C,0,0)</f>
        <v/>
      </c>
      <c r="R33" s="297" t="inlineStr">
        <is>
          <t>Комиссия фин/агента (% затрат вне РФ)</t>
        </is>
      </c>
      <c r="S33" s="339">
        <f>_xlfn.XLOOKUP(R33,B:B,D:D,0,0)</f>
        <v/>
      </c>
      <c r="T33" s="340">
        <f>S33/S$14</f>
        <v/>
      </c>
      <c r="U33" s="298" t="n"/>
      <c r="V33" s="298">
        <f>S33</f>
        <v/>
      </c>
      <c r="W33" s="348">
        <f>SUM(U33:V33)</f>
        <v/>
      </c>
      <c r="X33" s="315">
        <f>IF(W33&gt;0,S33-W33,0)</f>
        <v/>
      </c>
    </row>
    <row r="34">
      <c r="B34" s="83" t="inlineStr">
        <is>
          <t>Себестоимость, шт. (без НДС)</t>
        </is>
      </c>
      <c r="C34" s="84" t="n">
        <v>26</v>
      </c>
      <c r="D34" s="85">
        <f/>
        <v/>
      </c>
      <c r="G34" s="220" t="inlineStr">
        <is>
          <t>Итого фин. Расходы</t>
        </is>
      </c>
      <c r="H34" s="221">
        <f>SUM(H29:H33)</f>
        <v/>
      </c>
      <c r="I34" s="222">
        <f>H34/H$12</f>
        <v/>
      </c>
      <c r="Q34" s="314">
        <f>_xlfn.XLOOKUP(R34,B:B,C:C,0,0)</f>
        <v/>
      </c>
      <c r="R34" s="179" t="inlineStr">
        <is>
          <t>Цена продажи без НДС</t>
        </is>
      </c>
      <c r="S34" s="335">
        <f>_xlfn.XLOOKUP(R34,B:B,D:D,0,0)</f>
        <v/>
      </c>
      <c r="T34" s="336">
        <f>S34/S$14</f>
        <v/>
      </c>
      <c r="U34" s="301" t="n"/>
      <c r="V34" s="301" t="n"/>
      <c r="W34" s="348">
        <f>SUM(U34:V34)</f>
        <v/>
      </c>
      <c r="X34" s="315">
        <f>IF(W34&gt;0,S34-W34,0)</f>
        <v/>
      </c>
    </row>
    <row r="35" ht="13.5" customHeight="1" thickBot="1">
      <c r="B35" s="83" t="inlineStr">
        <is>
          <t>Итого Себестоимость товара (без НДС)</t>
        </is>
      </c>
      <c r="C35" s="84" t="n">
        <v>27</v>
      </c>
      <c r="D35" s="85">
        <f/>
        <v/>
      </c>
      <c r="G35" s="268" t="inlineStr">
        <is>
          <t>Чистая прибыль до налогов</t>
        </is>
      </c>
      <c r="H35" s="269">
        <f>H28-H34</f>
        <v/>
      </c>
      <c r="I35" s="270">
        <f>H35/H$12</f>
        <v/>
      </c>
      <c r="J35" s="271">
        <f>VLOOKUP(L35,B:D,3,FALSE)</f>
        <v/>
      </c>
      <c r="K35" s="748">
        <f>ROUND(J35,1)-ROUND(H35,1)</f>
        <v/>
      </c>
      <c r="L35" s="83">
        <f>расчет!AF14</f>
        <v/>
      </c>
      <c r="Q35" s="314">
        <f>_xlfn.XLOOKUP(R35,B:B,C:C,0,0)</f>
        <v/>
      </c>
      <c r="R35" s="179" t="inlineStr">
        <is>
          <t>Сумма продажи без НДС</t>
        </is>
      </c>
      <c r="S35" s="335">
        <f>_xlfn.XLOOKUP(R35,B:B,D:D,0,0)</f>
        <v/>
      </c>
      <c r="T35" s="336">
        <f>S35/S$14</f>
        <v/>
      </c>
      <c r="U35" s="301">
        <f>'КП open book'!Q2017</f>
        <v/>
      </c>
      <c r="V35" s="301" t="n"/>
      <c r="W35" s="348">
        <f>SUM(U35:V35)</f>
        <v/>
      </c>
      <c r="X35" s="315">
        <f>IF(W35&gt;0,S35-W35,0)</f>
        <v/>
      </c>
    </row>
    <row r="36">
      <c r="B36" s="83" t="inlineStr">
        <is>
          <t>Наценка Общая в %</t>
        </is>
      </c>
      <c r="C36" s="84" t="n">
        <v>28</v>
      </c>
      <c r="D36" s="85">
        <f/>
        <v/>
      </c>
      <c r="Q36" s="314">
        <f>_xlfn.XLOOKUP(R36,B:B,C:C,0,0)</f>
        <v/>
      </c>
      <c r="R36" s="179" t="inlineStr">
        <is>
          <t>Итого Сумма Продажи с НДС</t>
        </is>
      </c>
      <c r="S36" s="344">
        <f>_xlfn.XLOOKUP(R36,B:B,D:D,0,0)</f>
        <v/>
      </c>
      <c r="T36" s="336">
        <f>S36/S$14</f>
        <v/>
      </c>
      <c r="U36" s="301">
        <f>'КП open book'!S2017</f>
        <v/>
      </c>
      <c r="V36" s="301" t="n"/>
      <c r="W36" s="348">
        <f>SUM(U36:V36)</f>
        <v/>
      </c>
      <c r="X36" s="315">
        <f>IF(W36&gt;0,S36-W36,0)</f>
        <v/>
      </c>
    </row>
    <row r="37">
      <c r="B37" s="83" t="inlineStr">
        <is>
          <t>Цена продажи (без учета фин. расходов и отката)</t>
        </is>
      </c>
      <c r="C37" s="84" t="n">
        <v>29</v>
      </c>
      <c r="D37" s="85">
        <f/>
        <v/>
      </c>
      <c r="G37" s="89" t="inlineStr">
        <is>
          <t>Справочно:</t>
        </is>
      </c>
      <c r="H37" s="85" t="n"/>
      <c r="I37" s="86" t="inlineStr">
        <is>
          <t>внутр. наценка</t>
        </is>
      </c>
      <c r="Q37" s="314">
        <f>_xlfn.XLOOKUP(R37,B:B,C:C,0,0)</f>
        <v/>
      </c>
      <c r="R37" s="179" t="inlineStr">
        <is>
          <t>Цена продажи c НДС</t>
        </is>
      </c>
      <c r="S37" s="335">
        <f>_xlfn.XLOOKUP(R37,B:B,D:D,0,0)</f>
        <v/>
      </c>
      <c r="T37" s="336">
        <f>S37/S$14</f>
        <v/>
      </c>
      <c r="U37" s="301" t="n"/>
      <c r="V37" s="301" t="n"/>
      <c r="W37" s="348">
        <f>SUM(U37:V37)</f>
        <v/>
      </c>
      <c r="X37" s="315">
        <f>IF(W37&gt;0,S37-W37,0)</f>
        <v/>
      </c>
    </row>
    <row r="38">
      <c r="B38" s="83" t="inlineStr">
        <is>
          <t>Себестоимость + Маржа (без НДС)</t>
        </is>
      </c>
      <c r="C38" s="84" t="n">
        <v>30</v>
      </c>
      <c r="D38" s="85">
        <f/>
        <v/>
      </c>
      <c r="G38" s="83" t="inlineStr">
        <is>
          <t>Сумма валютной спецификации</t>
        </is>
      </c>
      <c r="H38" s="85">
        <f>VLOOKUP(G38,B:D,3,FALSE)</f>
        <v/>
      </c>
      <c r="I38" s="749">
        <f>H38/J38-1</f>
        <v/>
      </c>
      <c r="J38" s="88">
        <f>H13</f>
        <v/>
      </c>
      <c r="K38" s="88" t="n"/>
      <c r="Q38" s="314">
        <f>_xlfn.XLOOKUP(R38,B:B,C:C,0,0)</f>
        <v/>
      </c>
      <c r="R38" s="179" t="inlineStr">
        <is>
          <t>НДС с продаж</t>
        </is>
      </c>
      <c r="S38" s="335">
        <f>_xlfn.XLOOKUP(R38,B:B,D:D,0,0)</f>
        <v/>
      </c>
      <c r="T38" s="336">
        <f>S38/S$14</f>
        <v/>
      </c>
      <c r="U38" s="301">
        <f>'КП open book'!R2017</f>
        <v/>
      </c>
      <c r="V38" s="301" t="n"/>
      <c r="W38" s="348">
        <f>SUM(U38:V38)</f>
        <v/>
      </c>
      <c r="X38" s="315">
        <f>IF(W38&gt;0,S38-W38,0)</f>
        <v/>
      </c>
    </row>
    <row r="39">
      <c r="B39" s="83" t="inlineStr">
        <is>
          <t>Профит чистый (без НДС и фин. расходов и отката)</t>
        </is>
      </c>
      <c r="C39" s="84" t="n">
        <v>31</v>
      </c>
      <c r="D39" s="85">
        <f/>
        <v/>
      </c>
      <c r="H39" s="85">
        <f>VLOOKUP(G39,B:D,3,FALSE)</f>
        <v/>
      </c>
      <c r="I39" s="83" t="inlineStr">
        <is>
          <t>отклонения</t>
        </is>
      </c>
      <c r="Q39" s="314">
        <f>_xlfn.XLOOKUP(R39,B:B,C:C,0,0)</f>
        <v/>
      </c>
      <c r="R39" s="179" t="inlineStr">
        <is>
          <t>НДС (при импорте в РФ)</t>
        </is>
      </c>
      <c r="S39" s="335">
        <f>_xlfn.XLOOKUP(R39,B:B,D:D,0,0)</f>
        <v/>
      </c>
      <c r="T39" s="336">
        <f>S39/S$14</f>
        <v/>
      </c>
      <c r="U39" s="301" t="n"/>
      <c r="V39" s="301" t="n"/>
      <c r="W39" s="348">
        <f>SUM(U39:V39)</f>
        <v/>
      </c>
      <c r="X39" s="315">
        <f>IF(W39&gt;0,S39-W39,0)</f>
        <v/>
      </c>
    </row>
    <row r="40">
      <c r="B40" s="83" t="inlineStr">
        <is>
          <t>Вознаграждение ЛПР (откат)</t>
        </is>
      </c>
      <c r="C40" s="84" t="n">
        <v>32</v>
      </c>
      <c r="D40" s="85">
        <f/>
        <v/>
      </c>
      <c r="G40" s="91" t="inlineStr">
        <is>
          <t>НДС с продаж</t>
        </is>
      </c>
      <c r="H40" s="92">
        <f>VLOOKUP(G40,B:D,3,FALSE)</f>
        <v/>
      </c>
      <c r="I40" s="750">
        <f>H40-J40</f>
        <v/>
      </c>
      <c r="J40" s="750">
        <f>H12*0.2</f>
        <v/>
      </c>
      <c r="K40" s="750" t="n"/>
      <c r="Q40" s="314">
        <f>_xlfn.XLOOKUP(R40,B:B,C:C,0,0)</f>
        <v/>
      </c>
      <c r="R40" s="179" t="inlineStr">
        <is>
          <t>НДС к уплате за вычетом импортного НДС</t>
        </is>
      </c>
      <c r="S40" s="335">
        <f>_xlfn.XLOOKUP(R40,B:B,D:D,0,0)</f>
        <v/>
      </c>
      <c r="T40" s="336">
        <f>S40/S$14</f>
        <v/>
      </c>
      <c r="U40" s="301" t="n"/>
      <c r="V40" s="301" t="n"/>
      <c r="W40" s="348">
        <f>SUM(U40:V40)</f>
        <v/>
      </c>
      <c r="X40" s="315">
        <f>IF(W40&gt;0,S40-W40,0)</f>
        <v/>
      </c>
    </row>
    <row r="41">
      <c r="B41" s="83" t="inlineStr">
        <is>
          <t>Резерв на отриц. курсовую разницу (3% в договоре)</t>
        </is>
      </c>
      <c r="C41" s="84" t="n">
        <v>33</v>
      </c>
      <c r="D41" s="85">
        <f/>
        <v/>
      </c>
      <c r="G41" s="91" t="inlineStr">
        <is>
          <t>НДС (при импорте в РФ)</t>
        </is>
      </c>
      <c r="H41" s="92">
        <f>VLOOKUP(G41,B:D,3,FALSE)</f>
        <v/>
      </c>
      <c r="I41" s="750">
        <f>H41-J41</f>
        <v/>
      </c>
      <c r="J41" s="750">
        <f>0.2*(H38+H25+H26)</f>
        <v/>
      </c>
      <c r="K41" s="750" t="n"/>
      <c r="Q41" s="317">
        <f>_xlfn.XLOOKUP(R41,B:B,C:C,0,0)</f>
        <v/>
      </c>
      <c r="R41" s="318" t="inlineStr">
        <is>
          <t>Комиссия за Транзит</t>
        </is>
      </c>
      <c r="S41" s="345">
        <f>_xlfn.XLOOKUP(R41,B:B,D:D,0,0)</f>
        <v/>
      </c>
      <c r="T41" s="346">
        <f>S41/S$14</f>
        <v/>
      </c>
      <c r="U41" s="319" t="n"/>
      <c r="V41" s="319">
        <f>'КП open book'!O2017</f>
        <v/>
      </c>
      <c r="W41" s="350">
        <f>SUM(U41:V41)</f>
        <v/>
      </c>
      <c r="X41" s="320">
        <f>IF(W41&gt;0,S41-W41,0)</f>
        <v/>
      </c>
    </row>
    <row r="42">
      <c r="B42" s="83" t="inlineStr">
        <is>
          <t>Комиссия фин/агента (% затрат вне РФ)</t>
        </is>
      </c>
      <c r="C42" s="84" t="n">
        <v>34</v>
      </c>
      <c r="D42" s="85">
        <f/>
        <v/>
      </c>
      <c r="G42" s="91" t="inlineStr">
        <is>
          <t>НДС к уплате за вычетом импортного НДС</t>
        </is>
      </c>
      <c r="H42" s="92">
        <f>VLOOKUP(G42,B:D,3,FALSE)</f>
        <v/>
      </c>
      <c r="I42" s="750">
        <f>H42-J42</f>
        <v/>
      </c>
      <c r="J42" s="750">
        <f>J40-J41</f>
        <v/>
      </c>
      <c r="K42" s="750" t="n"/>
      <c r="Q42" s="181" t="n"/>
      <c r="R42" s="179" t="n"/>
      <c r="S42" s="301" t="n"/>
      <c r="T42" s="301" t="n"/>
      <c r="U42" s="301">
        <f>'КП open book'!S2017</f>
        <v/>
      </c>
      <c r="V42" s="301" t="n"/>
      <c r="W42" s="301">
        <f>SUM(U42:V42)</f>
        <v/>
      </c>
      <c r="X42" s="301">
        <f>IF(W42&gt;0,S42-W42,0)</f>
        <v/>
      </c>
    </row>
    <row r="43">
      <c r="B43" s="83" t="inlineStr">
        <is>
          <t>Цена продажи без НДС</t>
        </is>
      </c>
      <c r="C43" s="84" t="n">
        <v>35</v>
      </c>
      <c r="D43" s="85">
        <f/>
        <v/>
      </c>
      <c r="Q43" s="181" t="n"/>
      <c r="R43" s="179" t="n"/>
      <c r="S43" s="301" t="n"/>
      <c r="T43" s="179" t="n"/>
      <c r="U43" s="211">
        <f>SUM(U15:U34)</f>
        <v/>
      </c>
      <c r="V43" s="211">
        <f>SUM(V15:V34)</f>
        <v/>
      </c>
      <c r="W43" s="301">
        <f>SUM(U43:V43)</f>
        <v/>
      </c>
      <c r="X43" s="179" t="n"/>
    </row>
    <row r="44">
      <c r="B44" s="83" t="inlineStr">
        <is>
          <t>Сумма продажи без НДС</t>
        </is>
      </c>
      <c r="C44" s="84" t="n">
        <v>36</v>
      </c>
      <c r="D44" s="85">
        <f/>
        <v/>
      </c>
      <c r="Q44" s="181" t="n"/>
      <c r="R44" s="181" t="n"/>
      <c r="S44" s="181" t="n"/>
      <c r="T44" s="181" t="n"/>
      <c r="U44" s="179" t="n"/>
      <c r="V44" s="179" t="n"/>
      <c r="W44" s="179" t="n"/>
      <c r="X44" s="179" t="n"/>
    </row>
    <row r="45">
      <c r="B45" s="83" t="inlineStr">
        <is>
          <t>Итого Сумма Продажи с НДС</t>
        </is>
      </c>
      <c r="C45" s="84" t="n">
        <v>37</v>
      </c>
      <c r="D45" s="85">
        <f/>
        <v/>
      </c>
      <c r="Q45" s="181" t="n"/>
      <c r="R45" s="181">
        <f>расчет!B9</f>
        <v/>
      </c>
      <c r="S45" s="751">
        <f>расчет!D9</f>
        <v/>
      </c>
      <c r="T45" s="179" t="n"/>
      <c r="U45" s="179" t="n"/>
      <c r="V45" s="179" t="n"/>
      <c r="W45" s="179" t="n"/>
      <c r="X45" s="179" t="n"/>
    </row>
    <row r="46">
      <c r="B46" s="83" t="inlineStr">
        <is>
          <t>Цена продажи c НДС</t>
        </is>
      </c>
      <c r="C46" s="84" t="n">
        <v>38</v>
      </c>
      <c r="D46" s="85">
        <f/>
        <v/>
      </c>
      <c r="Q46" s="181" t="n"/>
      <c r="R46" s="181">
        <f>расчет!B10</f>
        <v/>
      </c>
      <c r="S46" s="235">
        <f>расчет!D10</f>
        <v/>
      </c>
      <c r="T46" s="179" t="n"/>
      <c r="U46" s="179" t="n"/>
      <c r="V46" s="179" t="n"/>
      <c r="W46" s="301" t="n"/>
      <c r="X46" s="179" t="n"/>
    </row>
    <row r="47">
      <c r="B47" s="83" t="inlineStr">
        <is>
          <t>НДС с продаж</t>
        </is>
      </c>
      <c r="C47" s="84" t="n">
        <v>39</v>
      </c>
      <c r="D47" s="85">
        <f/>
        <v/>
      </c>
      <c r="Q47" s="181" t="n"/>
      <c r="R47" s="181" t="inlineStr">
        <is>
          <t>Аванс Заказчика</t>
        </is>
      </c>
      <c r="S47" s="236">
        <f>расчет!J5</f>
        <v/>
      </c>
      <c r="T47" s="179" t="n"/>
      <c r="U47" s="179" t="n"/>
      <c r="V47" s="179" t="n"/>
      <c r="W47" s="301" t="n"/>
      <c r="X47" s="179" t="n"/>
    </row>
    <row r="48">
      <c r="B48" s="83" t="inlineStr">
        <is>
          <t>НДС (при импорте в РФ)</t>
        </is>
      </c>
      <c r="C48" s="84" t="n">
        <v>40</v>
      </c>
      <c r="D48" s="85">
        <f/>
        <v/>
      </c>
      <c r="Q48" s="181" t="n"/>
      <c r="R48" s="181">
        <f>расчет!B11</f>
        <v/>
      </c>
      <c r="S48" s="213">
        <f>расчет!D11</f>
        <v/>
      </c>
      <c r="T48" s="179" t="n"/>
      <c r="U48" s="179" t="n"/>
      <c r="V48" s="179" t="n"/>
      <c r="W48" s="301" t="n"/>
      <c r="X48" s="179" t="n"/>
    </row>
    <row r="49">
      <c r="B49" s="83" t="inlineStr">
        <is>
          <t>НДС к уплате за вычетом импортного НДС</t>
        </is>
      </c>
      <c r="C49" s="84" t="n">
        <v>41</v>
      </c>
      <c r="D49" s="85">
        <f/>
        <v/>
      </c>
      <c r="Q49" s="181" t="n"/>
      <c r="R49" s="181" t="inlineStr">
        <is>
          <t>отсрочка финальной оплаты</t>
        </is>
      </c>
      <c r="S49" s="751">
        <f>offer_post_pmt_due</f>
        <v/>
      </c>
      <c r="T49" s="179" t="n"/>
      <c r="U49" s="179" t="n"/>
      <c r="V49" s="179" t="n"/>
      <c r="W49" s="301" t="n"/>
      <c r="X49" s="179" t="n"/>
    </row>
    <row r="50">
      <c r="B50" s="83" t="inlineStr">
        <is>
          <t>Комиссия за Транзит</t>
        </is>
      </c>
      <c r="C50" s="84" t="n">
        <v>42</v>
      </c>
      <c r="D50" s="85">
        <f/>
        <v/>
      </c>
      <c r="Q50" s="181" t="n"/>
      <c r="R50" s="181" t="inlineStr">
        <is>
          <t>Инвойс</t>
        </is>
      </c>
      <c r="S50" s="181" t="n"/>
      <c r="T50" s="181" t="inlineStr">
        <is>
          <t>% от инвойса</t>
        </is>
      </c>
      <c r="U50" s="179" t="n"/>
      <c r="V50" s="179" t="n"/>
      <c r="W50" s="301" t="n"/>
      <c r="X50" s="179" t="n"/>
    </row>
    <row r="51">
      <c r="B51" s="83" t="inlineStr">
        <is>
          <t>ссылка на Альта.Ру по коду ТН ВЭД</t>
        </is>
      </c>
      <c r="C51" s="84" t="n">
        <v>43</v>
      </c>
      <c r="D51" s="85">
        <f/>
        <v/>
      </c>
      <c r="Q51" s="181" t="n"/>
      <c r="R51" s="321">
        <f>R41</f>
        <v/>
      </c>
      <c r="S51" s="322">
        <f>S41</f>
        <v/>
      </c>
      <c r="T51" s="752">
        <f>S51/$U$15</f>
        <v/>
      </c>
      <c r="U51" s="179" t="n"/>
      <c r="V51" s="179" t="n"/>
      <c r="W51" s="179" t="n"/>
      <c r="X51" s="179" t="n"/>
    </row>
    <row r="52">
      <c r="B52" s="83" t="n">
        <v>0</v>
      </c>
      <c r="C52" s="84" t="n">
        <v>44</v>
      </c>
      <c r="D52" s="85">
        <f/>
        <v/>
      </c>
      <c r="Q52" s="181" t="n"/>
      <c r="R52" s="314" t="inlineStr">
        <is>
          <t>отклонения</t>
        </is>
      </c>
      <c r="S52" s="311">
        <f>S51-S53</f>
        <v/>
      </c>
      <c r="T52" s="753">
        <f>S52/$U$15</f>
        <v/>
      </c>
      <c r="U52" s="179" t="n"/>
      <c r="V52" s="179" t="n"/>
      <c r="W52" s="179" t="n"/>
      <c r="X52" s="179" t="n"/>
    </row>
    <row r="53">
      <c r="B53" s="83" t="inlineStr">
        <is>
          <t>Таргет по цене без НДС</t>
        </is>
      </c>
      <c r="C53" s="84" t="n">
        <v>45</v>
      </c>
      <c r="D53" s="85">
        <f/>
        <v/>
      </c>
      <c r="Q53" s="181" t="n"/>
      <c r="R53" s="313" t="inlineStr">
        <is>
          <t>ПРОФИТ + ФИН РАСХОДЫ</t>
        </is>
      </c>
      <c r="S53" s="312">
        <f>SUM(S54:S58)</f>
        <v/>
      </c>
      <c r="T53" s="753">
        <f>S53/$U$15</f>
        <v/>
      </c>
      <c r="U53" s="179" t="n"/>
      <c r="V53" s="179" t="n"/>
      <c r="W53" s="179" t="n"/>
      <c r="X53" s="179" t="n"/>
    </row>
    <row r="54">
      <c r="B54" s="83" t="inlineStr">
        <is>
          <t>отклонение</t>
        </is>
      </c>
      <c r="C54" s="84" t="n">
        <v>46</v>
      </c>
      <c r="D54" s="85">
        <f/>
        <v/>
      </c>
      <c r="Q54" s="181" t="n"/>
      <c r="R54" s="325">
        <f>R30</f>
        <v/>
      </c>
      <c r="S54" s="300">
        <f>S30</f>
        <v/>
      </c>
      <c r="T54" s="753">
        <f>S54/$U$15</f>
        <v/>
      </c>
      <c r="U54" s="179" t="n"/>
      <c r="V54" s="179" t="n"/>
      <c r="W54" s="179" t="n"/>
      <c r="X54" s="179" t="n"/>
    </row>
    <row r="55">
      <c r="B55" s="83" t="n">
        <v>0</v>
      </c>
      <c r="C55" s="84" t="n">
        <v>47</v>
      </c>
      <c r="D55" s="85">
        <f/>
        <v/>
      </c>
      <c r="Q55" s="181" t="n"/>
      <c r="R55" s="326">
        <f>R16</f>
        <v/>
      </c>
      <c r="S55" s="301">
        <f>S16</f>
        <v/>
      </c>
      <c r="T55" s="753">
        <f>S55/$U$15</f>
        <v/>
      </c>
      <c r="U55" s="179" t="n"/>
      <c r="V55" s="179" t="n"/>
      <c r="W55" s="179" t="n"/>
      <c r="X55" s="179" t="n"/>
    </row>
    <row r="56">
      <c r="B56" s="83" t="inlineStr">
        <is>
          <t>Внутренняя наценка</t>
        </is>
      </c>
      <c r="C56" s="84" t="n">
        <v>48</v>
      </c>
      <c r="D56" s="85">
        <f/>
        <v/>
      </c>
      <c r="Q56" s="181" t="n"/>
      <c r="R56" s="326">
        <f>R17</f>
        <v/>
      </c>
      <c r="S56" s="301">
        <f>S17</f>
        <v/>
      </c>
      <c r="T56" s="753">
        <f>S56/$U$15</f>
        <v/>
      </c>
      <c r="U56" s="179" t="n"/>
      <c r="V56" s="179" t="n"/>
      <c r="W56" s="179" t="n"/>
      <c r="X56" s="179" t="n"/>
    </row>
    <row r="57">
      <c r="B57" s="83" t="inlineStr">
        <is>
          <t>Цена за ед.</t>
        </is>
      </c>
      <c r="C57" s="84" t="n">
        <v>49</v>
      </c>
      <c r="D57" s="85">
        <f/>
        <v/>
      </c>
      <c r="Q57" s="181" t="n"/>
      <c r="R57" s="326">
        <f>R32</f>
        <v/>
      </c>
      <c r="S57" s="301">
        <f>S32</f>
        <v/>
      </c>
      <c r="T57" s="753">
        <f>S57/$U$15</f>
        <v/>
      </c>
      <c r="U57" s="301" t="n"/>
      <c r="V57" s="301" t="n"/>
      <c r="W57" s="179" t="n"/>
      <c r="X57" s="179" t="n"/>
    </row>
    <row r="58">
      <c r="B58" s="83" t="inlineStr">
        <is>
          <t>Сумма валютной спецификации</t>
        </is>
      </c>
      <c r="C58" s="84" t="n">
        <v>50</v>
      </c>
      <c r="D58" s="85">
        <f/>
        <v/>
      </c>
      <c r="Q58" s="181" t="n"/>
      <c r="R58" s="327">
        <f>R33</f>
        <v/>
      </c>
      <c r="S58" s="328">
        <f>S33</f>
        <v/>
      </c>
      <c r="T58" s="754">
        <f>S58/$U$15</f>
        <v/>
      </c>
      <c r="U58" s="301" t="n"/>
      <c r="V58" s="301" t="n"/>
      <c r="W58" s="179" t="n"/>
      <c r="X58" s="179" t="n"/>
    </row>
    <row r="59">
      <c r="B59" s="83" t="inlineStr">
        <is>
          <t>Сумма закупки в валюте КП с учетом НДС</t>
        </is>
      </c>
      <c r="C59" s="84" t="n">
        <v>51</v>
      </c>
      <c r="D59" s="85">
        <f/>
        <v/>
      </c>
      <c r="Q59" s="181" t="n"/>
      <c r="R59" s="179" t="n"/>
      <c r="S59" s="301" t="n"/>
      <c r="T59" s="179" t="n"/>
      <c r="U59" s="301" t="n"/>
      <c r="V59" s="301" t="n"/>
      <c r="W59" s="179" t="n"/>
      <c r="X59" s="179" t="n"/>
    </row>
    <row r="60">
      <c r="B60" s="83" t="inlineStr">
        <is>
          <t>Итого Стоимость финансирования</t>
        </is>
      </c>
      <c r="C60" s="84" t="n">
        <v>52</v>
      </c>
      <c r="D60" s="85">
        <f/>
        <v/>
      </c>
    </row>
    <row r="61">
      <c r="B61" s="83" t="inlineStr">
        <is>
          <t>Комиссия за рассрочку* за вычетом аванса</t>
        </is>
      </c>
      <c r="C61" s="84" t="n">
        <v>53</v>
      </c>
      <c r="D61" s="85">
        <f/>
        <v/>
      </c>
    </row>
    <row r="62">
      <c r="B62" s="83" t="inlineStr">
        <is>
          <t>База распределения Лог.</t>
        </is>
      </c>
      <c r="C62" s="84" t="n">
        <v>54</v>
      </c>
      <c r="D62" s="85">
        <f/>
        <v/>
      </c>
    </row>
    <row r="63">
      <c r="B63" s="83" t="inlineStr">
        <is>
          <t>база для распределения косвен.</t>
        </is>
      </c>
      <c r="C63" s="84" t="n">
        <v>55</v>
      </c>
      <c r="D63" s="85">
        <f/>
        <v/>
      </c>
    </row>
    <row r="64">
      <c r="B64" s="83" t="inlineStr">
        <is>
          <t>$</t>
        </is>
      </c>
      <c r="C64" s="84" t="inlineStr">
        <is>
          <t>$</t>
        </is>
      </c>
      <c r="D64" s="83">
        <f/>
        <v/>
      </c>
    </row>
    <row r="65">
      <c r="B65" s="83" t="n">
        <v>0</v>
      </c>
      <c r="C65" s="84" t="n">
        <v>0</v>
      </c>
      <c r="D65" s="83">
        <f/>
        <v/>
      </c>
    </row>
    <row r="66">
      <c r="B66" s="83" t="n">
        <v>0</v>
      </c>
      <c r="C66" s="84" t="n">
        <v>0</v>
      </c>
      <c r="D66" s="83">
        <f/>
        <v/>
      </c>
    </row>
  </sheetData>
  <mergeCells count="5">
    <mergeCell ref="U2:W2"/>
    <mergeCell ref="Q1:X1"/>
    <mergeCell ref="R2:T2"/>
    <mergeCell ref="N16:O17"/>
    <mergeCell ref="N14:O15"/>
  </mergeCells>
  <conditionalFormatting sqref="K35">
    <cfRule type="containsText" priority="2" operator="containsText" dxfId="34" text="false">
      <formula>NOT(ISERROR(SEARCH("false",K35)))</formula>
    </cfRule>
  </conditionalFormatting>
  <conditionalFormatting sqref="L12">
    <cfRule type="containsText" priority="3" operator="containsText" dxfId="34" text="false">
      <formula>NOT(ISERROR(SEARCH("false",L12)))</formula>
    </cfRule>
  </conditionalFormatting>
  <conditionalFormatting sqref="O13">
    <cfRule type="containsText" priority="1" operator="containsText" dxfId="34" text="false">
      <formula>NOT(ISERROR(SEARCH("false",O13)))</formula>
    </cfRule>
  </conditionalFormatting>
  <pageMargins left="0.7" right="0.7" top="0.75" bottom="0.75" header="0.3" footer="0.3"/>
  <pageSetup orientation="portrait" paperSize="9" scale="40"/>
</worksheet>
</file>

<file path=xl/worksheets/sheet2.xml><?xml version="1.0" encoding="utf-8"?>
<worksheet xmlns="http://schemas.openxmlformats.org/spreadsheetml/2006/main">
  <sheetPr codeName="Sheet2">
    <tabColor rgb="FFCAEDFB"/>
    <outlinePr summaryBelow="1" summaryRight="1"/>
    <pageSetUpPr fitToPage="1"/>
  </sheetPr>
  <dimension ref="A1:BL2023"/>
  <sheetViews>
    <sheetView showGridLines="0" tabSelected="1" zoomScale="90" zoomScaleNormal="90" workbookViewId="0">
      <pane xSplit="5" ySplit="15" topLeftCell="AZ16" activePane="bottomRight" state="frozen"/>
      <selection activeCell="H2016" sqref="H2016"/>
      <selection pane="topRight" activeCell="H2016" sqref="H2016"/>
      <selection pane="bottomLeft" activeCell="H2016" sqref="H2016"/>
      <selection pane="bottomRight" activeCell="BJ16" sqref="BJ16"/>
    </sheetView>
  </sheetViews>
  <sheetFormatPr baseColWidth="8" defaultColWidth="8.7109375" defaultRowHeight="12"/>
  <cols>
    <col width="4.7109375" customWidth="1" style="151" min="1" max="1"/>
    <col width="11.42578125" customWidth="1" style="152" min="2" max="2"/>
    <col width="12.28515625" customWidth="1" style="152" min="3" max="3"/>
    <col width="26.28515625" customWidth="1" style="152" min="4" max="4"/>
    <col width="10.28515625" customWidth="1" style="152" min="5" max="5"/>
    <col width="5.42578125" customWidth="1" style="152" min="6" max="6"/>
    <col width="7.7109375" customWidth="1" style="152" min="7" max="7"/>
    <col width="8.85546875" customWidth="1" style="152" min="8" max="8"/>
    <col width="11.85546875" customWidth="1" style="152" min="9" max="9"/>
    <col width="6.85546875" customWidth="1" style="152" min="10" max="10"/>
    <col width="12.28515625" customWidth="1" style="65" min="11" max="11"/>
    <col width="12.28515625" customWidth="1" style="153" min="12" max="12"/>
    <col outlineLevel="1" width="8.85546875" customWidth="1" style="152" min="13" max="13"/>
    <col width="13" customWidth="1" style="152" min="14" max="14"/>
    <col width="8.140625" customWidth="1" style="66" min="15" max="15"/>
    <col outlineLevel="1" width="13.85546875" customWidth="1" style="152" min="16" max="16"/>
    <col width="9.42578125" customWidth="1" style="152" min="17" max="17"/>
    <col width="11.28515625" customWidth="1" style="152" min="18" max="18"/>
    <col width="12.85546875" customWidth="1" style="152" min="19" max="19"/>
    <col outlineLevel="1" width="16.28515625" customWidth="1" style="152" min="20" max="20"/>
    <col outlineLevel="1" width="15" customWidth="1" style="65" min="21" max="21"/>
    <col width="22.140625" customWidth="1" style="65" min="22" max="22"/>
    <col width="18.7109375" customWidth="1" style="152" min="23" max="23"/>
    <col width="12.42578125" customWidth="1" style="152" min="24" max="24"/>
    <col width="12.28515625" customWidth="1" style="152" min="25" max="25"/>
    <col width="11.28515625" customWidth="1" style="152" min="26" max="27"/>
    <col width="12.85546875" customWidth="1" style="67" min="28" max="28"/>
    <col outlineLevel="1" width="13.28515625" customWidth="1" style="755" min="29" max="29"/>
    <col width="9.85546875" customWidth="1" style="65" min="30" max="30"/>
    <col outlineLevel="1" width="13.28515625" customWidth="1" style="65" min="31" max="31"/>
    <col width="13.28515625" customWidth="1" style="65" min="32" max="32"/>
    <col width="12.42578125" customWidth="1" style="152" min="33" max="33"/>
    <col width="15" customWidth="1" style="152" min="34" max="36"/>
    <col width="14.7109375" customWidth="1" style="65" min="37" max="37"/>
    <col width="15" customWidth="1" style="65" min="38" max="38"/>
    <col width="15" customWidth="1" style="152" min="39" max="39"/>
    <col outlineLevel="1" width="11.7109375" customWidth="1" style="152" min="40" max="40"/>
    <col outlineLevel="1" width="15" customWidth="1" style="152" min="41" max="42"/>
    <col width="15" customWidth="1" style="152" min="43" max="43"/>
    <col width="32.7109375" customWidth="1" style="152" min="44" max="44"/>
    <col outlineLevel="1" width="16.28515625" customWidth="1" style="152" min="45" max="45"/>
    <col outlineLevel="1" width="12.42578125" customWidth="1" style="152" min="46" max="47"/>
    <col outlineLevel="1" width="3" customWidth="1" style="152" min="48" max="48"/>
    <col outlineLevel="1" width="7.42578125" customWidth="1" style="152" min="49" max="49"/>
    <col outlineLevel="1" width="12.42578125" customWidth="1" style="152" min="50" max="51"/>
    <col outlineLevel="1" width="17.140625" customWidth="1" style="152" min="52" max="52"/>
    <col outlineLevel="1" width="16.140625" customWidth="1" style="152" min="53" max="53"/>
    <col outlineLevel="1" width="16.85546875" customWidth="1" style="152" min="54" max="54"/>
    <col outlineLevel="1" width="7.28515625" customWidth="1" style="152" min="55" max="55"/>
    <col width="7.28515625" customWidth="1" style="152" min="56" max="56"/>
    <col width="3" customWidth="1" style="152" min="57" max="57"/>
    <col width="29.28515625" customWidth="1" style="152" min="58" max="58"/>
    <col width="26" customWidth="1" style="154" min="59" max="59"/>
    <col width="16.140625" customWidth="1" style="100" min="60" max="60"/>
    <col width="16.140625" customWidth="1" style="154" min="61" max="61"/>
    <col width="16.140625" customWidth="1" style="152" min="62" max="62"/>
    <col width="18.7109375" customWidth="1" style="152" min="63" max="63"/>
    <col width="11.85546875" customWidth="1" style="152" min="64" max="64"/>
    <col width="6.7109375" customWidth="1" style="152" min="65" max="65"/>
    <col width="8.7109375" customWidth="1" style="152" min="66" max="16384"/>
  </cols>
  <sheetData>
    <row r="1" ht="15.6" customHeight="1">
      <c r="B1" s="361" t="inlineStr">
        <is>
          <t>Калькулятор Коммерческого Предложения ГК "Мастер Бэринг"</t>
        </is>
      </c>
      <c r="V1" s="198" t="inlineStr">
        <is>
          <t>По данным от Логистов:</t>
        </is>
      </c>
      <c r="W1" s="199">
        <f>+SUM(W2:W10)</f>
        <v/>
      </c>
      <c r="BF1" s="756" t="inlineStr">
        <is>
          <t>Расчет внешнего финансирования, если аванс Заказчика &lt; Потребность в закупке с НДС и в логистике</t>
        </is>
      </c>
      <c r="BG1" s="757" t="n"/>
      <c r="BH1" s="757" t="n"/>
      <c r="BI1" s="757" t="n"/>
      <c r="BJ1" s="758" t="n"/>
      <c r="BK1" s="759" t="inlineStr">
        <is>
          <t>Расчет Комиссии за рассрочку</t>
        </is>
      </c>
      <c r="BL1" s="758" t="n"/>
    </row>
    <row r="2" ht="12" customHeight="1">
      <c r="B2" s="362" t="inlineStr">
        <is>
          <t>Легенда:</t>
        </is>
      </c>
      <c r="E2" s="156" t="n"/>
      <c r="K2" s="152" t="n"/>
      <c r="L2" s="152" t="n"/>
      <c r="Q2" s="156" t="n"/>
      <c r="V2" s="200" t="inlineStr">
        <is>
          <t>"ОТКУДА" - Стамбул</t>
        </is>
      </c>
      <c r="W2" s="201" t="n"/>
      <c r="X2" s="661" t="inlineStr">
        <is>
          <t>обязательные к заполнению поля. Источники данных отделы Логистики и ВЭД!</t>
        </is>
      </c>
      <c r="AF2" s="760" t="inlineStr">
        <is>
          <t>Метод вознаграждения</t>
        </is>
      </c>
      <c r="AG2" s="761" t="n"/>
      <c r="AH2" s="762" t="n"/>
      <c r="BF2" s="595" t="inlineStr">
        <is>
          <t>Оценочная выручка с уч. НДС</t>
        </is>
      </c>
      <c r="BG2" s="761" t="n"/>
      <c r="BH2" s="253">
        <f>(BJ2*(1+avg_cap)+BJ3)*(1+IF(seller_region="RU",IF((TODAY()+offer_turnaround_time)&gt;=helpsheet!$L$17,rate_vatRU_from_26,rate_vatRu_till_25),0))</f>
        <v/>
      </c>
      <c r="BI2" s="363" t="inlineStr">
        <is>
          <t>Себес. Прямая</t>
        </is>
      </c>
      <c r="BJ2" s="364">
        <f>+SUM(S13,V13:Z13)</f>
        <v/>
      </c>
      <c r="BK2" s="763" t="n"/>
      <c r="BL2" s="764" t="n"/>
    </row>
    <row r="3" ht="36" customFormat="1" customHeight="1" s="156">
      <c r="A3" s="365" t="n"/>
      <c r="B3" s="272" t="inlineStr">
        <is>
          <t>Ручной ввод</t>
        </is>
      </c>
      <c r="C3" s="273" t="inlineStr">
        <is>
          <t>Выбор из выпадающего списка</t>
        </is>
      </c>
      <c r="F3" s="653" t="inlineStr">
        <is>
          <t>Условия ЧАСТИЧНОЙ оплаты</t>
        </is>
      </c>
      <c r="G3" s="765" t="n"/>
      <c r="H3" s="765" t="n"/>
      <c r="I3" s="765" t="n"/>
      <c r="J3" s="765" t="n"/>
      <c r="K3" s="366" t="n"/>
      <c r="L3" s="366" t="n"/>
      <c r="M3" s="366" t="n"/>
      <c r="N3" s="366" t="n"/>
      <c r="O3" s="366" t="n"/>
      <c r="P3" s="152" t="n"/>
      <c r="V3" s="200" t="inlineStr">
        <is>
          <t>ТР - РФ (граница)</t>
        </is>
      </c>
      <c r="W3" s="201" t="n"/>
      <c r="X3" s="766" t="n"/>
      <c r="Z3" s="65" t="n"/>
      <c r="AB3" s="68" t="n"/>
      <c r="AC3" s="767" t="n"/>
      <c r="AD3" s="69" t="n"/>
      <c r="AF3" s="367" t="n"/>
      <c r="AG3" s="163" t="inlineStr">
        <is>
          <t>комиссия %</t>
        </is>
      </c>
      <c r="AH3" s="368" t="inlineStr">
        <is>
          <t>выбрать "фикс" или "%"</t>
        </is>
      </c>
      <c r="AR3" s="152" t="n"/>
      <c r="BF3" s="595">
        <f>"Ожидаемый аванс от Заказчика "&amp;TEXT(J5,"0%")</f>
        <v/>
      </c>
      <c r="BG3" s="761" t="n"/>
      <c r="BH3" s="253">
        <f t="array" ref="BH3">BH2*_xlfn.IFS($A$10="pmt_1",1,$A$10="pmt_2",0,$A$10="pmt_3",$J$5,$A$10="заполнить",0)</f>
        <v/>
      </c>
      <c r="BI3" s="369" t="inlineStr">
        <is>
          <t>Прочие затраты без финансирования</t>
        </is>
      </c>
      <c r="BJ3" s="253">
        <f>BJ2*rate_forex_risk+IF(AG3="Фикс",AG4,BJ2*AG6)</f>
        <v/>
      </c>
      <c r="BK3" s="370" t="inlineStr">
        <is>
          <t>Сумма рассрочки (Общая потребность - аванс)</t>
        </is>
      </c>
      <c r="BL3" s="371">
        <f>BH4-BH3</f>
        <v/>
      </c>
    </row>
    <row r="4" ht="23.45" customHeight="1">
      <c r="B4" s="155" t="inlineStr">
        <is>
          <t>Детали сделки:</t>
        </is>
      </c>
      <c r="F4" s="662" t="inlineStr">
        <is>
          <t>№</t>
        </is>
      </c>
      <c r="G4" s="662" t="inlineStr">
        <is>
          <t>Этапы финансирования заказа Клиентом</t>
        </is>
      </c>
      <c r="H4" s="761" t="n"/>
      <c r="I4" s="762" t="n"/>
      <c r="J4" s="662" t="inlineStr">
        <is>
          <t>Размер оплаты, %</t>
        </is>
      </c>
      <c r="K4" s="662" t="inlineStr">
        <is>
          <t>сроки оплаты (дни)</t>
        </is>
      </c>
      <c r="L4" s="662" t="inlineStr">
        <is>
          <t>условие</t>
        </is>
      </c>
      <c r="M4" s="761" t="n"/>
      <c r="N4" s="761" t="n"/>
      <c r="O4" s="762" t="n"/>
      <c r="Q4" s="156" t="n"/>
      <c r="V4" s="202" t="inlineStr">
        <is>
          <t>РФ (граница)  - "КУДА"</t>
        </is>
      </c>
      <c r="W4" s="201" t="n"/>
      <c r="X4" s="766" t="n"/>
      <c r="AF4" s="367" t="inlineStr">
        <is>
          <t>Фикс</t>
        </is>
      </c>
      <c r="AG4" s="164" t="n"/>
      <c r="AH4" s="373" t="inlineStr">
        <is>
          <t>введи сумму</t>
        </is>
      </c>
      <c r="BF4" s="608" t="inlineStr">
        <is>
          <t>Общая потребность ЕС+ТР+пошлина+НДС при ввозе (вкл. НДС в закупке и комм. фин/агента)</t>
        </is>
      </c>
      <c r="BG4" s="761" t="n"/>
      <c r="BH4" s="254">
        <f>SUM(AZ13,T13)*(1+rate_fin_comm)+SUM(Y13,Z13,AO13)</f>
        <v/>
      </c>
      <c r="BI4" s="255">
        <f>IFERROR(BH3/BH4,"")</f>
        <v/>
      </c>
      <c r="BJ4" s="374" t="inlineStr">
        <is>
          <t>покрытие авансом от Заказчика</t>
        </is>
      </c>
      <c r="BK4" s="375" t="inlineStr">
        <is>
          <t>Будущая стоимость</t>
        </is>
      </c>
      <c r="BL4" s="256">
        <f>BL3+BL3*rate_loan_interest_daily*offer_post_pmt_due</f>
        <v/>
      </c>
    </row>
    <row r="5">
      <c r="A5" s="376">
        <f>_xlfn.XLOOKUP(seller_company,Table9[Column1],Table9[Страна],0,0)</f>
        <v/>
      </c>
      <c r="B5" s="641" t="inlineStr">
        <is>
          <t>Орг-продавец</t>
        </is>
      </c>
      <c r="C5" s="761" t="n"/>
      <c r="D5" s="250" t="n"/>
      <c r="F5" s="377" t="n">
        <v>1</v>
      </c>
      <c r="G5" s="643" t="inlineStr">
        <is>
          <t>Аванс при подписании спецификации</t>
        </is>
      </c>
      <c r="H5" s="761" t="n"/>
      <c r="I5" s="762" t="n"/>
      <c r="J5" s="160" t="n">
        <v>0.3</v>
      </c>
      <c r="K5" s="768" t="n"/>
      <c r="L5" s="769">
        <f>"календарных дней с даты "&amp;IF(A10="pmt_2","подписания спецификации.","зачисления аванса")</f>
        <v/>
      </c>
      <c r="M5" s="770" t="n"/>
      <c r="N5" s="770" t="n"/>
      <c r="O5" s="771" t="n"/>
      <c r="Q5" s="772" t="n"/>
      <c r="V5" s="200" t="inlineStr">
        <is>
          <t>брокерские до РФ</t>
        </is>
      </c>
      <c r="W5" s="201" t="n"/>
      <c r="X5" s="766" t="n"/>
      <c r="AF5" s="367" t="inlineStr">
        <is>
          <t>или</t>
        </is>
      </c>
      <c r="AG5" s="379" t="n"/>
      <c r="AH5" s="373" t="n"/>
      <c r="BF5" s="600">
        <f>B11</f>
        <v/>
      </c>
      <c r="BG5" s="773" t="n"/>
      <c r="BH5" s="257">
        <f>D11</f>
        <v/>
      </c>
      <c r="BI5" s="380" t="n"/>
      <c r="BJ5" s="381" t="n"/>
      <c r="BK5" s="382" t="inlineStr">
        <is>
          <t>Комиссия за рассрочку</t>
        </is>
      </c>
      <c r="BL5" s="383">
        <f>BL4-BL3</f>
        <v/>
      </c>
    </row>
    <row r="6">
      <c r="A6" s="384" t="n"/>
      <c r="B6" s="641" t="inlineStr">
        <is>
          <t>Выберите тип сделки</t>
        </is>
      </c>
      <c r="C6" s="761" t="n"/>
      <c r="D6" s="159" t="n"/>
      <c r="E6" s="385" t="inlineStr">
        <is>
          <t>поставка</t>
        </is>
      </c>
      <c r="F6" s="377" t="n">
        <v>2</v>
      </c>
      <c r="G6" s="644" t="inlineStr">
        <is>
          <t>Товар готов к отгрузке в транзитной зоне</t>
        </is>
      </c>
      <c r="H6" s="761" t="n"/>
      <c r="I6" s="762" t="n"/>
      <c r="J6" s="161" t="n"/>
      <c r="K6" s="768" t="n"/>
      <c r="L6" s="774" t="inlineStr">
        <is>
          <t>получ. уведомления о готовности товара к отгрузке</t>
        </is>
      </c>
      <c r="M6" s="770" t="n"/>
      <c r="N6" s="770" t="n"/>
      <c r="O6" s="771" t="n"/>
      <c r="Q6" s="772" t="n"/>
      <c r="V6" s="203" t="inlineStr">
        <is>
          <t>брокерские в РФ</t>
        </is>
      </c>
      <c r="W6" s="201" t="n"/>
      <c r="X6" s="766" t="n"/>
      <c r="AF6" s="386" t="inlineStr">
        <is>
          <t>%</t>
        </is>
      </c>
      <c r="AG6" s="165" t="n"/>
      <c r="AH6" s="373" t="inlineStr">
        <is>
          <t>введи %</t>
        </is>
      </c>
      <c r="BF6" s="648" t="inlineStr">
        <is>
          <t>Потребность в авансировании поставщика, вкл. комм. Финагента</t>
        </is>
      </c>
      <c r="BG6" s="775" t="n"/>
      <c r="BH6" s="258">
        <f>AZ13*BH5*(1+rate_fin_comm)</f>
        <v/>
      </c>
      <c r="BI6" s="387" t="inlineStr">
        <is>
          <t>Будущая стоимость</t>
        </is>
      </c>
      <c r="BJ6" s="388" t="inlineStr">
        <is>
          <t>%% за внеш/фин-е</t>
        </is>
      </c>
      <c r="BK6" s="389" t="n"/>
      <c r="BL6" s="390" t="n"/>
    </row>
    <row r="7">
      <c r="A7" s="384" t="n"/>
      <c r="B7" s="641" t="inlineStr">
        <is>
          <t>Базис поставки</t>
        </is>
      </c>
      <c r="C7" s="761" t="n"/>
      <c r="D7" s="159" t="n"/>
      <c r="E7" s="376" t="inlineStr">
        <is>
          <t>транзит</t>
        </is>
      </c>
      <c r="F7" s="377" t="n">
        <v>3</v>
      </c>
      <c r="G7" s="643" t="inlineStr">
        <is>
          <t>Товар готов к отправке в РФ</t>
        </is>
      </c>
      <c r="H7" s="761" t="n"/>
      <c r="I7" s="762" t="n"/>
      <c r="J7" s="161" t="n"/>
      <c r="K7" s="768" t="n"/>
      <c r="L7" s="769" t="n"/>
      <c r="M7" s="770" t="n"/>
      <c r="N7" s="770" t="n"/>
      <c r="O7" s="771" t="n"/>
      <c r="V7" s="203" t="inlineStr">
        <is>
          <t>Порт и СВХ в РФ</t>
        </is>
      </c>
      <c r="W7" s="201" t="n"/>
      <c r="X7" s="766" t="n"/>
      <c r="AF7" s="391" t="inlineStr">
        <is>
          <t>комиссия %</t>
        </is>
      </c>
      <c r="AG7" s="77">
        <f>AG6*AB13</f>
        <v/>
      </c>
      <c r="AH7" s="392" t="n"/>
      <c r="BF7" s="610" t="inlineStr">
        <is>
          <t>Потребность во внешнем финанс.1</t>
        </is>
      </c>
      <c r="BG7" s="776" t="n"/>
      <c r="BH7" s="265">
        <f>IF(BH3&gt;0,IF(BH3&gt;=BH6,0,BH6-BH3),BH6)</f>
        <v/>
      </c>
      <c r="BI7" s="260">
        <f>BH7+BH7*rate_loan_interest_daily*offer_turnaround_time</f>
        <v/>
      </c>
      <c r="BJ7" s="393">
        <f>BI7-BH7</f>
        <v/>
      </c>
      <c r="BK7" s="389" t="n"/>
      <c r="BL7" s="390" t="n"/>
    </row>
    <row r="8" ht="12" customHeight="1">
      <c r="A8" s="384" t="n"/>
      <c r="B8" s="641" t="inlineStr">
        <is>
          <t>Валюта КП</t>
        </is>
      </c>
      <c r="C8" s="761" t="n"/>
      <c r="D8" s="159" t="n"/>
      <c r="E8" s="376" t="n"/>
      <c r="F8" s="377" t="n">
        <v>4</v>
      </c>
      <c r="G8" s="643" t="inlineStr">
        <is>
          <t>Прибытие в РФ, Растаможка</t>
        </is>
      </c>
      <c r="H8" s="761" t="n"/>
      <c r="I8" s="762" t="n"/>
      <c r="J8" s="161" t="n"/>
      <c r="K8" s="768" t="n"/>
      <c r="L8" s="769" t="n"/>
      <c r="M8" s="770" t="n"/>
      <c r="N8" s="770" t="n"/>
      <c r="O8" s="771" t="n"/>
      <c r="V8" s="200" t="inlineStr">
        <is>
          <t>сертификация</t>
        </is>
      </c>
      <c r="W8" s="201" t="n"/>
      <c r="X8" s="766" t="n"/>
      <c r="BF8" s="612" t="inlineStr">
        <is>
          <t>Потребность в послед-х платежах ЕС+ТР+пошлина+НДС при ввозе при постоплате</t>
        </is>
      </c>
      <c r="BG8" s="773" t="n"/>
      <c r="BH8" s="261">
        <f>BH4-BH6</f>
        <v/>
      </c>
      <c r="BI8" s="262" t="n"/>
      <c r="BJ8" s="394" t="n"/>
      <c r="BK8" s="390" t="n"/>
      <c r="BL8" s="390" t="n"/>
    </row>
    <row r="9">
      <c r="A9" s="384" t="n"/>
      <c r="B9" s="641" t="inlineStr">
        <is>
          <t>срок поставки (дни)</t>
        </is>
      </c>
      <c r="C9" s="761" t="n"/>
      <c r="D9" s="777" t="n"/>
      <c r="E9" s="376" t="n"/>
      <c r="F9" s="377" t="n">
        <v>5</v>
      </c>
      <c r="G9" s="643" t="inlineStr">
        <is>
          <t>Отгрузка клиенту</t>
        </is>
      </c>
      <c r="H9" s="761" t="n"/>
      <c r="I9" s="762" t="n"/>
      <c r="J9" s="360">
        <f>1-SUM(J5:J8)</f>
        <v/>
      </c>
      <c r="K9" s="768" t="n"/>
      <c r="L9" s="769" t="inlineStr">
        <is>
          <t>постоплата с даты УПД</t>
        </is>
      </c>
      <c r="M9" s="770" t="n"/>
      <c r="N9" s="770" t="n"/>
      <c r="O9" s="771" t="n"/>
      <c r="V9" s="203" t="inlineStr">
        <is>
          <t>указать доп. расход</t>
        </is>
      </c>
      <c r="W9" s="201" t="n"/>
      <c r="X9" s="395" t="inlineStr">
        <is>
          <t>при наличии</t>
        </is>
      </c>
      <c r="AH9" s="65" t="n"/>
      <c r="AK9" s="152" t="n"/>
      <c r="BF9" s="614" t="inlineStr">
        <is>
          <t>Прогрессирующая оплата от Заказчика</t>
        </is>
      </c>
      <c r="BG9" s="775" t="n"/>
      <c r="BH9" s="371">
        <f t="array" ref="BH9">_xlfn.IFS(S13=0,0,$A$10="pmt_1",0,$A$10="pmt_2",0,$A$10="pmt_3",SUM(J6:J8))*BH2</f>
        <v/>
      </c>
      <c r="BI9" s="262" t="n"/>
      <c r="BJ9" s="394" t="n"/>
      <c r="BK9" s="390" t="n"/>
      <c r="BL9" s="264" t="n"/>
    </row>
    <row r="10" ht="12" customHeight="1">
      <c r="A10" s="385">
        <f>_xlfn.IFNA(VLOOKUP(D10,terms[],2,FALSE),"заполнить")</f>
        <v/>
      </c>
      <c r="B10" s="641" t="inlineStr">
        <is>
          <t>Условие расчетов с Заказчиком</t>
        </is>
      </c>
      <c r="C10" s="761" t="n"/>
      <c r="D10" s="159" t="n"/>
      <c r="E10" s="185">
        <f t="array" ref="E10">INDIRECT(A10)</f>
        <v/>
      </c>
      <c r="F10" s="41" t="inlineStr">
        <is>
          <t>текст:</t>
        </is>
      </c>
      <c r="G10" s="628">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
      </c>
      <c r="H10" s="757" t="n"/>
      <c r="I10" s="757" t="n"/>
      <c r="J10" s="757" t="n"/>
      <c r="K10" s="757" t="n"/>
      <c r="L10" s="757" t="n"/>
      <c r="M10" s="757" t="n"/>
      <c r="N10" s="757" t="n"/>
      <c r="O10" s="757" t="n"/>
      <c r="P10" s="157" t="n"/>
      <c r="Q10" s="157" t="n"/>
      <c r="V10" s="585" t="inlineStr">
        <is>
          <t>Страховка (% от валютной спеки)</t>
        </is>
      </c>
      <c r="W10" s="396">
        <f>ROUNDUP(internal_sales*rate_insurance,1)</f>
        <v/>
      </c>
      <c r="Y10" s="157" t="n"/>
      <c r="AA10" s="157" t="n"/>
      <c r="AB10" s="157" t="n"/>
      <c r="AC10" s="778" t="n"/>
      <c r="AD10" s="157" t="n"/>
      <c r="AE10" s="398" t="inlineStr">
        <is>
          <t>применено округление</t>
        </is>
      </c>
      <c r="AF10" s="157" t="n"/>
      <c r="AH10" s="399" t="inlineStr">
        <is>
          <t>% курсовой</t>
        </is>
      </c>
      <c r="AI10" s="399" t="inlineStr">
        <is>
          <t>размер комиссии</t>
        </is>
      </c>
      <c r="AS10" s="157" t="n"/>
      <c r="AT10" s="157" t="n"/>
      <c r="AU10" s="157" t="n"/>
      <c r="AV10" s="157" t="n"/>
      <c r="AW10" s="157" t="n"/>
      <c r="AX10" s="157" t="n"/>
      <c r="AY10" s="157" t="n"/>
      <c r="BC10" s="157" t="n"/>
      <c r="BD10" s="157" t="n"/>
      <c r="BE10" s="157" t="n"/>
      <c r="BF10" s="610" t="inlineStr">
        <is>
          <t>Потребность во внешнем финанс.2</t>
        </is>
      </c>
      <c r="BG10" s="776" t="n"/>
      <c r="BH10" s="265">
        <f>IF((BH9+IF(BH3&gt;BH6,BH3-BH6,0))&gt;BH8,0,BH8-(BH9+IF(BH3&gt;BH6,BH3-BH6,0)))</f>
        <v/>
      </c>
      <c r="BI10" s="260">
        <f>BH10+BH10*rate_loan_interest_daily*customs_logistics_pmt_due</f>
        <v/>
      </c>
      <c r="BJ10" s="393">
        <f>BI10-BH10</f>
        <v/>
      </c>
      <c r="BK10" s="390" t="n"/>
      <c r="BL10" s="779" t="n"/>
    </row>
    <row r="11">
      <c r="A11" s="185">
        <f>"adv2ven_"&amp;advance_to_vendor*100</f>
        <v/>
      </c>
      <c r="B11" s="641" t="inlineStr">
        <is>
          <t>Размер аванса Поставщику</t>
        </is>
      </c>
      <c r="C11" s="761" t="n"/>
      <c r="D11" s="274" t="n"/>
      <c r="E11" s="376" t="n"/>
      <c r="F11" s="157" t="n"/>
      <c r="P11" s="157" t="n"/>
      <c r="Q11" s="157" t="n"/>
      <c r="V11" s="401">
        <f>+W2+W3+W5+W8+W10</f>
        <v/>
      </c>
      <c r="W11" s="199">
        <f>+W1-V11</f>
        <v/>
      </c>
      <c r="Y11" s="157" t="n"/>
      <c r="AA11" s="157" t="n"/>
      <c r="AB11" s="157" t="n"/>
      <c r="AC11" s="778" t="n"/>
      <c r="AD11" s="780" t="n"/>
      <c r="AE11" s="157" t="n"/>
      <c r="AF11" s="157" t="n"/>
      <c r="AH11" s="781" t="n">
        <v>0.03</v>
      </c>
      <c r="AI11" s="422">
        <f>rate_fin_comm</f>
        <v/>
      </c>
      <c r="AJ11" s="398" t="inlineStr">
        <is>
          <t>применено округление</t>
        </is>
      </c>
      <c r="AK11" s="398" t="n"/>
      <c r="AO11" s="399" t="inlineStr">
        <is>
          <t>ставка НДС</t>
        </is>
      </c>
      <c r="AP11" s="399" t="inlineStr">
        <is>
          <t>ставка НДС</t>
        </is>
      </c>
      <c r="AS11" s="157" t="n"/>
      <c r="AT11" s="157" t="n"/>
      <c r="AU11" s="157" t="n"/>
      <c r="AV11" s="157" t="n"/>
      <c r="AW11" s="157" t="n"/>
      <c r="AX11" s="157" t="n"/>
      <c r="AY11" s="157" t="n"/>
      <c r="BC11" s="157" t="n"/>
      <c r="BD11" s="157" t="n"/>
      <c r="BE11" s="157" t="n"/>
      <c r="BF11" s="403" t="n"/>
      <c r="BG11" s="404" t="n"/>
      <c r="BH11" s="404" t="n"/>
      <c r="BI11" s="404" t="inlineStr">
        <is>
          <t>Итого стоимость финансирования</t>
        </is>
      </c>
      <c r="BJ11" s="405">
        <f>cost_fin1+cost_fin2</f>
        <v/>
      </c>
      <c r="BK11" s="390" t="n"/>
      <c r="BL11" s="779" t="n"/>
    </row>
    <row r="12" ht="14.45" customFormat="1" customHeight="1" s="155">
      <c r="A12" s="406" t="n"/>
      <c r="D12" s="407" t="n"/>
      <c r="E12" s="408" t="n"/>
      <c r="F12" s="408" t="n"/>
      <c r="G12" s="408" t="n"/>
      <c r="H12" s="408" t="n"/>
      <c r="I12" s="409" t="n"/>
      <c r="J12" s="782" t="inlineStr">
        <is>
          <t>Закупка Товара</t>
        </is>
      </c>
      <c r="K12" s="783" t="n"/>
      <c r="L12" s="783" t="n"/>
      <c r="M12" s="783" t="n"/>
      <c r="N12" s="783" t="n"/>
      <c r="O12" s="783" t="n"/>
      <c r="P12" s="783" t="n"/>
      <c r="Q12" s="783" t="n"/>
      <c r="R12" s="783" t="n"/>
      <c r="S12" s="784" t="n"/>
      <c r="T12" s="785" t="inlineStr">
        <is>
          <t>Логистика</t>
        </is>
      </c>
      <c r="U12" s="761" t="n"/>
      <c r="V12" s="786" t="n"/>
      <c r="W12" s="787" t="inlineStr">
        <is>
          <t>Затраты при импорте в РФ</t>
        </is>
      </c>
      <c r="X12" s="761" t="n"/>
      <c r="Y12" s="761" t="n"/>
      <c r="Z12" s="786" t="n"/>
      <c r="AA12" s="157" t="n"/>
      <c r="AB12" s="157" t="n"/>
      <c r="AC12" s="788">
        <f>IFERROR(AVERAGEIF(AC16:AC2015,"&gt;"&amp;0),0)</f>
        <v/>
      </c>
      <c r="AD12" s="622" t="inlineStr">
        <is>
          <t>Реализация без учета фин. расходов</t>
        </is>
      </c>
      <c r="AE12" s="761" t="n"/>
      <c r="AF12" s="762" t="n"/>
      <c r="AG12" s="625" t="inlineStr">
        <is>
          <t>Фин. Расходы</t>
        </is>
      </c>
      <c r="AH12" s="761" t="n"/>
      <c r="AI12" s="762" t="n"/>
      <c r="AJ12" s="789" t="inlineStr">
        <is>
          <t>Реализация с учетом фин. Расходов</t>
        </is>
      </c>
      <c r="AK12" s="790" t="n"/>
      <c r="AL12" s="790" t="n"/>
      <c r="AM12" s="791" t="n"/>
      <c r="AN12" s="422">
        <f>IF((TODAY()+offer_turnaround_time)&gt;=helpsheet!$L$17,rate_vatRU_from_26,rate_vatRu_till_25)</f>
        <v/>
      </c>
      <c r="AO12" s="422">
        <f>IF(offer_sale_type&lt;&gt;"экспорт",IF((TODAY()+offer_turnaround_time)&gt;=helpsheet!$L$17,rate_vatRU_from_26,rate_vatRu_till_25),0)</f>
        <v/>
      </c>
      <c r="AP12" s="152" t="n"/>
      <c r="AQ12" s="152" t="n"/>
      <c r="AR12" s="362" t="n"/>
      <c r="AS12" s="157" t="n"/>
      <c r="AV12" s="157" t="n"/>
      <c r="AW12" s="634" t="inlineStr">
        <is>
          <t>Валютная спецификация</t>
        </is>
      </c>
      <c r="AX12" s="792" t="n"/>
      <c r="AY12" s="793" t="n"/>
      <c r="AZ12" s="794" t="inlineStr">
        <is>
          <t>Привлечение внешнего финансирования</t>
        </is>
      </c>
      <c r="BA12" s="761" t="n"/>
      <c r="BB12" s="786" t="n"/>
      <c r="BC12" s="411" t="n"/>
      <c r="BD12" s="411" t="n"/>
      <c r="BE12" s="157" t="n"/>
    </row>
    <row r="13" customFormat="1" s="186">
      <c r="D13" s="71" t="inlineStr">
        <is>
          <t>ОБЩИЕ ИТОГИ</t>
        </is>
      </c>
      <c r="E13" s="72">
        <f>SUM(E16:E2015)</f>
        <v/>
      </c>
      <c r="G13" s="152" t="n"/>
      <c r="H13" s="152" t="n"/>
      <c r="I13" s="127">
        <f>SUM(I16:I2015)</f>
        <v/>
      </c>
      <c r="J13" s="190" t="n"/>
      <c r="K13" s="186" t="n"/>
      <c r="L13" s="194" t="n"/>
      <c r="M13" s="186" t="n"/>
      <c r="N13" s="186" t="n"/>
      <c r="O13" s="186" t="n"/>
      <c r="P13" s="186" t="n"/>
      <c r="Q13" s="186" t="n"/>
      <c r="R13" s="186" t="n"/>
      <c r="S13" s="187">
        <f>SUM(S16:S2015)</f>
        <v/>
      </c>
      <c r="T13" s="131">
        <f>SUM(T16:T2015)</f>
        <v/>
      </c>
      <c r="U13" s="72">
        <f>SUM(U16:U2015)</f>
        <v/>
      </c>
      <c r="V13" s="120">
        <f>SUM(V16:V2015)</f>
        <v/>
      </c>
      <c r="W13" s="190" t="n"/>
      <c r="X13" s="186" t="n"/>
      <c r="Y13" s="73">
        <f>SUM(Y16:Y2015)</f>
        <v/>
      </c>
      <c r="Z13" s="187">
        <f>SUM(Z16:Z2015)</f>
        <v/>
      </c>
      <c r="AA13" s="190" t="n"/>
      <c r="AB13" s="72">
        <f>SUM(AB16:AB2015)</f>
        <v/>
      </c>
      <c r="AC13" s="795">
        <f>IFERROR(AE13/IF(offer_sale_type="поставка",AB13,S13)-1,0)</f>
        <v/>
      </c>
      <c r="AD13" s="412" t="n"/>
      <c r="AE13" s="72">
        <f>SUM(AE16:AE2015)</f>
        <v/>
      </c>
      <c r="AF13" s="120">
        <f>SUM(AF16:AF2015)</f>
        <v/>
      </c>
      <c r="AG13" s="131">
        <f>SUM(AG16:AG2015)</f>
        <v/>
      </c>
      <c r="AH13" s="72">
        <f>SUM(AH16:AH2015)</f>
        <v/>
      </c>
      <c r="AI13" s="120">
        <f>SUM(AI16:AI2015)</f>
        <v/>
      </c>
      <c r="AJ13" s="152" t="n"/>
      <c r="AK13" s="73">
        <f>SUM(AK16:AK2015)</f>
        <v/>
      </c>
      <c r="AL13" s="266">
        <f>SUM(AL16:AL2015)</f>
        <v/>
      </c>
      <c r="AM13" s="267" t="n"/>
      <c r="AN13" s="131">
        <f>SUM(AN16:AN2015)</f>
        <v/>
      </c>
      <c r="AO13" s="72">
        <f>SUM(AO16:AO2015)</f>
        <v/>
      </c>
      <c r="AP13" s="120">
        <f>SUM(AP16:AP2015)</f>
        <v/>
      </c>
      <c r="AQ13" s="120">
        <f>SUM(AQ16:AQ2015)</f>
        <v/>
      </c>
      <c r="AR13" s="154" t="n"/>
      <c r="AS13" s="157" t="n"/>
      <c r="AU13" s="72">
        <f>SUM(AU16:AU2015)</f>
        <v/>
      </c>
      <c r="AV13" s="157" t="n"/>
      <c r="AW13" s="796">
        <f>IFERROR(AY13/S13-1,0)</f>
        <v/>
      </c>
      <c r="AX13" s="152" t="n"/>
      <c r="AY13" s="72">
        <f>SUM(AY16:AY2015)</f>
        <v/>
      </c>
      <c r="AZ13" s="131">
        <f>SUM(AZ16:AZ2015)</f>
        <v/>
      </c>
      <c r="BA13" s="72">
        <f>SUM(BA16:BA2015)</f>
        <v/>
      </c>
      <c r="BB13" s="120">
        <f>SUM(BB16:BB2015)</f>
        <v/>
      </c>
      <c r="BC13" s="411" t="n"/>
      <c r="BD13" s="411" t="n"/>
      <c r="BE13" s="157" t="n"/>
    </row>
    <row r="14" ht="48" customFormat="1" customHeight="1" s="42">
      <c r="A14" s="41" t="inlineStr">
        <is>
          <t>№п.п.</t>
        </is>
      </c>
      <c r="B14" s="41" t="inlineStr">
        <is>
          <t>Бренд</t>
        </is>
      </c>
      <c r="C14" s="41" t="inlineStr">
        <is>
          <t>Артикул №</t>
        </is>
      </c>
      <c r="D14" s="41" t="inlineStr">
        <is>
          <t>Номенклатурное наименование</t>
        </is>
      </c>
      <c r="E14" s="41" t="inlineStr">
        <is>
          <t>Кол-во</t>
        </is>
      </c>
      <c r="F14" s="41" t="inlineStr">
        <is>
          <t>ед. изм</t>
        </is>
      </c>
      <c r="G14" s="41" t="inlineStr">
        <is>
          <t>Вес шт</t>
        </is>
      </c>
      <c r="H14" s="41" t="inlineStr">
        <is>
          <t>Фасовка</t>
        </is>
      </c>
      <c r="I14" s="125" t="inlineStr">
        <is>
          <t>Общий вес</t>
        </is>
      </c>
      <c r="J14" s="128" t="inlineStr">
        <is>
          <t>Валюта закупки</t>
        </is>
      </c>
      <c r="K14" s="41" t="inlineStr">
        <is>
          <t>Цена закупки в Ориг. Валюте с НДС</t>
        </is>
      </c>
      <c r="L14" s="41" t="inlineStr">
        <is>
          <t>Страна Закупки</t>
        </is>
      </c>
      <c r="M14" s="41" t="inlineStr">
        <is>
          <t>Ставка НДС в закупке %</t>
        </is>
      </c>
      <c r="N14" s="41" t="inlineStr">
        <is>
          <t>Цена закупки в Ориг. Валюте без НДС за шт.</t>
        </is>
      </c>
      <c r="O14" s="41" t="inlineStr">
        <is>
          <t>СКИДКА ПОСТАВЩИКА (при наличии)</t>
        </is>
      </c>
      <c r="P14" s="41" t="inlineStr">
        <is>
          <t>Цена закупки со Скидкой в Ориг. Валюте без НДС за шт.</t>
        </is>
      </c>
      <c r="Q14" s="41" t="inlineStr">
        <is>
          <t>Курс валют к валюте КП</t>
        </is>
      </c>
      <c r="R14" s="41" t="inlineStr">
        <is>
          <t>Цена Закупки в валюте КП без НДС за шт.</t>
        </is>
      </c>
      <c r="S14" s="124" t="inlineStr">
        <is>
          <t>Сумма закупки в валюте КП без НДС</t>
        </is>
      </c>
      <c r="T14" s="128" t="inlineStr">
        <is>
          <t>Логистика ЕС+ТР</t>
        </is>
      </c>
      <c r="U14" s="41" t="inlineStr">
        <is>
          <t>Логистика РФ</t>
        </is>
      </c>
      <c r="V14" s="124" t="inlineStr">
        <is>
          <t>Итого Логистика</t>
        </is>
      </c>
      <c r="W14" s="128" t="inlineStr">
        <is>
          <t>Код ТН ВЭД</t>
        </is>
      </c>
      <c r="X14" s="41" t="inlineStr">
        <is>
          <t>Пошлина в %</t>
        </is>
      </c>
      <c r="Y14" s="41" t="inlineStr">
        <is>
          <t>Пошлина = пошлина * (закупка + внутр. наценка)</t>
        </is>
      </c>
      <c r="Z14" s="124" t="inlineStr">
        <is>
          <t>Акциз
(ставка акциза в руб * на показатель)</t>
        </is>
      </c>
      <c r="AA14" s="128" t="inlineStr">
        <is>
          <t>Себестоимость, шт. (без НДС)</t>
        </is>
      </c>
      <c r="AB14" s="64" t="inlineStr">
        <is>
          <t>Итого Себестоимость товара (без НДС)</t>
        </is>
      </c>
      <c r="AC14" s="359" t="inlineStr">
        <is>
          <t>Наценка Общая в %</t>
        </is>
      </c>
      <c r="AD14" s="128" t="inlineStr">
        <is>
          <t>Цена продажи (без учета фин. расходов и отката)</t>
        </is>
      </c>
      <c r="AE14" s="41" t="inlineStr">
        <is>
          <t>Себестоимость + Маржа (без НДС)</t>
        </is>
      </c>
      <c r="AF14" s="121" t="inlineStr">
        <is>
          <t>Профит чистый (без НДС и фин. расходов и отката)</t>
        </is>
      </c>
      <c r="AG14" s="132" t="inlineStr">
        <is>
          <t>Вознаграждение ЛПР (откат)</t>
        </is>
      </c>
      <c r="AH14" s="41" t="inlineStr">
        <is>
          <t>Резерв на отриц. курсовую разницу (3% в договоре)</t>
        </is>
      </c>
      <c r="AI14" s="124" t="inlineStr">
        <is>
          <t>Комиссия фин/агента (% затрат вне РФ)</t>
        </is>
      </c>
      <c r="AJ14" s="119" t="inlineStr">
        <is>
          <t>Цена продажи без НДС</t>
        </is>
      </c>
      <c r="AK14" s="64" t="inlineStr">
        <is>
          <t>Сумма продажи без НДС</t>
        </is>
      </c>
      <c r="AL14" s="125" t="inlineStr">
        <is>
          <t>Итого Сумма Продажи с НДС</t>
        </is>
      </c>
      <c r="AM14" s="172" t="inlineStr">
        <is>
          <t>Цена продажи c НДС</t>
        </is>
      </c>
      <c r="AN14" s="128" t="inlineStr">
        <is>
          <t>НДС с продаж</t>
        </is>
      </c>
      <c r="AO14" s="41" t="inlineStr">
        <is>
          <t>НДС (при импорте в РФ)</t>
        </is>
      </c>
      <c r="AP14" s="124" t="inlineStr">
        <is>
          <t>НДС к уплате за вычетом импортного НДС</t>
        </is>
      </c>
      <c r="AQ14" s="121" t="inlineStr">
        <is>
          <t>Комиссия за Транзит</t>
        </is>
      </c>
      <c r="AR14" s="41" t="inlineStr">
        <is>
          <t>ссылка на Альта.Ру по коду ТН ВЭД</t>
        </is>
      </c>
      <c r="AS14" s="157" t="n"/>
      <c r="AT14" s="41" t="inlineStr">
        <is>
          <t>Таргет по цене без НДС</t>
        </is>
      </c>
      <c r="AU14" s="41" t="inlineStr">
        <is>
          <t>отклонение</t>
        </is>
      </c>
      <c r="AV14" s="157" t="n"/>
      <c r="AW14" s="41" t="inlineStr">
        <is>
          <t>Внутренняя наценка</t>
        </is>
      </c>
      <c r="AX14" s="41" t="inlineStr">
        <is>
          <t>Цена за ед.</t>
        </is>
      </c>
      <c r="AY14" s="41" t="inlineStr">
        <is>
          <t>Сумма валютной спецификации</t>
        </is>
      </c>
      <c r="AZ14" s="128" t="inlineStr">
        <is>
          <t>Сумма закупки в валюте КП с учетом НДС</t>
        </is>
      </c>
      <c r="BA14" s="41" t="inlineStr">
        <is>
          <t>Итого Стоимость финансирования</t>
        </is>
      </c>
      <c r="BB14" s="124" t="inlineStr">
        <is>
          <t>Комиссия за рассрочку* за вычетом аванса</t>
        </is>
      </c>
      <c r="BC14" s="101" t="inlineStr">
        <is>
          <t>База распределения Лог.</t>
        </is>
      </c>
      <c r="BD14" s="101" t="inlineStr">
        <is>
          <t>база для распределения косвен.</t>
        </is>
      </c>
      <c r="BE14" s="413" t="inlineStr">
        <is>
          <t>$</t>
        </is>
      </c>
    </row>
    <row r="15" ht="11.25" customFormat="1" customHeight="1" s="44">
      <c r="A15" s="43" t="n">
        <v>0</v>
      </c>
      <c r="B15" s="43">
        <f>A15+1</f>
        <v/>
      </c>
      <c r="C15" s="43">
        <f>B15+1</f>
        <v/>
      </c>
      <c r="D15" s="43">
        <f>C15+1</f>
        <v/>
      </c>
      <c r="E15" s="43">
        <f>D15+1</f>
        <v/>
      </c>
      <c r="F15" s="43">
        <f>E15+1</f>
        <v/>
      </c>
      <c r="G15" s="43">
        <f>F15+1</f>
        <v/>
      </c>
      <c r="H15" s="43">
        <f>G15+1</f>
        <v/>
      </c>
      <c r="I15" s="126">
        <f>H15+1</f>
        <v/>
      </c>
      <c r="J15" s="129">
        <f>I15+1</f>
        <v/>
      </c>
      <c r="K15" s="43">
        <f>J15+1</f>
        <v/>
      </c>
      <c r="L15" s="43">
        <f>K15+1</f>
        <v/>
      </c>
      <c r="M15" s="43">
        <f>L15+1</f>
        <v/>
      </c>
      <c r="N15" s="43">
        <f>M15+1</f>
        <v/>
      </c>
      <c r="O15" s="43">
        <f>N15+1</f>
        <v/>
      </c>
      <c r="P15" s="43">
        <f>O15+1</f>
        <v/>
      </c>
      <c r="Q15" s="43">
        <f>P15+1</f>
        <v/>
      </c>
      <c r="R15" s="43">
        <f>Q15+1</f>
        <v/>
      </c>
      <c r="S15" s="122">
        <f>R15+1</f>
        <v/>
      </c>
      <c r="T15" s="129">
        <f>S15+1</f>
        <v/>
      </c>
      <c r="U15" s="43">
        <f>T15+1</f>
        <v/>
      </c>
      <c r="V15" s="122">
        <f>U15+1</f>
        <v/>
      </c>
      <c r="W15" s="129">
        <f>V15+1</f>
        <v/>
      </c>
      <c r="X15" s="43">
        <f>W15+1</f>
        <v/>
      </c>
      <c r="Y15" s="43">
        <f>X15+1</f>
        <v/>
      </c>
      <c r="Z15" s="122">
        <f>Y15+1</f>
        <v/>
      </c>
      <c r="AA15" s="129">
        <f>Z15+1</f>
        <v/>
      </c>
      <c r="AB15" s="43">
        <f>AA15+1</f>
        <v/>
      </c>
      <c r="AC15" s="358">
        <f>AB15+1</f>
        <v/>
      </c>
      <c r="AD15" s="129">
        <f>AC15+1</f>
        <v/>
      </c>
      <c r="AE15" s="43">
        <f>AD15+1</f>
        <v/>
      </c>
      <c r="AF15" s="122">
        <f>AE15+1</f>
        <v/>
      </c>
      <c r="AG15" s="129">
        <f>AF15+1</f>
        <v/>
      </c>
      <c r="AH15" s="43">
        <f>AG15+1</f>
        <v/>
      </c>
      <c r="AI15" s="122">
        <f>AH15+1</f>
        <v/>
      </c>
      <c r="AJ15" s="117">
        <f>AI15+1</f>
        <v/>
      </c>
      <c r="AK15" s="43">
        <f>AJ15+1</f>
        <v/>
      </c>
      <c r="AL15" s="126">
        <f>AK15+1</f>
        <v/>
      </c>
      <c r="AM15" s="173">
        <f>AL15+1</f>
        <v/>
      </c>
      <c r="AN15" s="129">
        <f>AM15+1</f>
        <v/>
      </c>
      <c r="AO15" s="43">
        <f>AN15+1</f>
        <v/>
      </c>
      <c r="AP15" s="122">
        <f>AO15+1</f>
        <v/>
      </c>
      <c r="AQ15" s="117">
        <f>AP15+1</f>
        <v/>
      </c>
      <c r="AR15" s="117">
        <f>AQ15+1</f>
        <v/>
      </c>
      <c r="AS15" s="197">
        <f>AR15+1</f>
        <v/>
      </c>
      <c r="AT15" s="43">
        <f>AS15+1</f>
        <v/>
      </c>
      <c r="AU15" s="117">
        <f>AT15+1</f>
        <v/>
      </c>
      <c r="AV15" s="197">
        <f>AU15+1</f>
        <v/>
      </c>
      <c r="AW15" s="117">
        <f>AV15+1</f>
        <v/>
      </c>
      <c r="AX15" s="117">
        <f>AW15+1</f>
        <v/>
      </c>
      <c r="AY15" s="117">
        <f>AX15+1</f>
        <v/>
      </c>
      <c r="AZ15" s="129">
        <f>AY15+1</f>
        <v/>
      </c>
      <c r="BA15" s="43">
        <f>AZ15+1</f>
        <v/>
      </c>
      <c r="BB15" s="43">
        <f>BA15+1</f>
        <v/>
      </c>
      <c r="BC15" s="117">
        <f>BB15+1</f>
        <v/>
      </c>
      <c r="BD15" s="117">
        <f>BC15+1</f>
        <v/>
      </c>
      <c r="BE15" s="413" t="inlineStr">
        <is>
          <t>$</t>
        </is>
      </c>
    </row>
    <row r="16" customFormat="1" s="65">
      <c r="A16" s="43" t="n">
        <v>1</v>
      </c>
      <c r="B16" s="166" t="n"/>
      <c r="C16" s="166" t="n"/>
      <c r="D16" s="582" t="n"/>
      <c r="E16" s="162" t="n"/>
      <c r="F16" s="166" t="n"/>
      <c r="G16" s="162" t="n"/>
      <c r="H16" s="162" t="n"/>
      <c r="I16" s="189">
        <f>E16*G16</f>
        <v/>
      </c>
      <c r="J16" s="195" t="n"/>
      <c r="K16" s="162" t="n"/>
      <c r="L16" s="168" t="n"/>
      <c r="M16" s="75">
        <f>_xlfn.XLOOKUP(L16,list_vat[Страна],list_vat[Ставка НДС %],0,0)</f>
        <v/>
      </c>
      <c r="N16" s="162">
        <f>IFERROR(IF(L16="Китай",K16,K16/(1+M16)),0)</f>
        <v/>
      </c>
      <c r="O16" s="169" t="n"/>
      <c r="P16" s="76">
        <f>N16*(1-O16)</f>
        <v/>
      </c>
      <c r="Q16" s="162" t="n"/>
      <c r="R16" s="162">
        <f>IF(ISBLANK(Q16),"введи курс",P16/Q16)</f>
        <v/>
      </c>
      <c r="S16" s="196">
        <f>IF(AND(ISNUMBER(E16),ISNUMBER(Q16)),E16*R16,0)</f>
        <v/>
      </c>
      <c r="T16" s="192">
        <f>$BC16*V$11</f>
        <v/>
      </c>
      <c r="U16" s="76">
        <f>$BC16*W$11</f>
        <v/>
      </c>
      <c r="V16" s="193">
        <f>+SUM(T16:U16)</f>
        <v/>
      </c>
      <c r="W16" s="166" t="n"/>
      <c r="X16" s="170" t="n"/>
      <c r="Y16" s="76">
        <f>ROUND(IF(offer_incoterms="DDP",X16*(S16*(1+AW16)+T16),0),2)</f>
        <v/>
      </c>
      <c r="Z16" s="188" t="n"/>
      <c r="AA16" s="192">
        <f>IFERROR(AB16/E16,0)</f>
        <v/>
      </c>
      <c r="AB16" s="76">
        <f>ROUND(SUM(S16,V16,Y16:Z16,BA16:BB16),2)</f>
        <v/>
      </c>
      <c r="AC16" s="797" t="n"/>
      <c r="AD16" s="192">
        <f t="array" ref="AD16">IFERROR(ROUND((_xlfn.IFS(offer_sale_type="поставка",AB16,offer_sale_type="транзит",S16)*(1+AC16))/E16,2),0)</f>
        <v/>
      </c>
      <c r="AE16" s="76">
        <f>AD16*E16</f>
        <v/>
      </c>
      <c r="AF16" s="193">
        <f t="array" ref="AF16">IFERROR(ROUND(_xlfn.IFS(offer_sale_type="поставка",AB16,offer_sale_type="транзит",S16)*AC16,2),0)</f>
        <v/>
      </c>
      <c r="AG16" s="192">
        <f>$BD16*VLOOKUP($AG$3,$AF$4:$AG$7,2,FALSE)</f>
        <v/>
      </c>
      <c r="AH16" s="76">
        <f>SUM(AE16,AG16,AI16)*rate_forex_risk</f>
        <v/>
      </c>
      <c r="AI16" s="193">
        <f>IF(OR(seller_region="TR",offer_sale_type="экспорт"),0,rate_fin_comm)*SUM(AZ16,AZ16*AW16,T16)</f>
        <v/>
      </c>
      <c r="AJ16" s="118">
        <f>IFERROR(ROUND(SUM(AB16,AF16:AI16)/E16,2),0)</f>
        <v/>
      </c>
      <c r="AK16" s="76">
        <f>AJ16*E16</f>
        <v/>
      </c>
      <c r="AL16" s="174">
        <f>ROUND(IFERROR(AM16*E16,0),2)</f>
        <v/>
      </c>
      <c r="AM16" s="175">
        <f>ROUND(AJ16*(1+IF(offer_incoterms="DDP",IF((TODAY()+offer_turnaround_time)&gt;=helpsheet!$L$17,rate_vatRU_from_26,rate_vatRu_till_25),0)),2)</f>
        <v/>
      </c>
      <c r="AN16" s="192">
        <f>AL16-AK16</f>
        <v/>
      </c>
      <c r="AO16" s="76">
        <f>SUM(AY16,Y16:Z16,T16)*IF(AND(offer_incoterms="DDP",offer_sale_type&lt;&gt;"экспорт"),IF((TODAY()+offer_turnaround_time)&gt;=helpsheet!$L$17,rate_vatRU_from_26,rate_vatRu_till_25),0)</f>
        <v/>
      </c>
      <c r="AP16" s="193">
        <f>AN16-AO16</f>
        <v/>
      </c>
      <c r="AQ16" s="118">
        <f>IF(offer_sale_type="транзит",SUM(AF16:AI16,BA16,BB16),0)</f>
        <v/>
      </c>
      <c r="AR16" s="82">
        <f>HYPERLINK("https://www.alta.ru/tnved/code/")&amp;W16&amp;"/"</f>
        <v/>
      </c>
      <c r="AS16" s="583" t="n"/>
      <c r="AT16" s="162" t="n"/>
      <c r="AU16" s="76">
        <f>IF(ISBLANK(AT16),0,AJ16-AT16)</f>
        <v/>
      </c>
      <c r="AV16" s="157" t="n"/>
      <c r="AW16" s="75">
        <f>_xlfn.IFNA(VLOOKUP(L16,list_vat[],3,FALSE),0)</f>
        <v/>
      </c>
      <c r="AX16" s="76">
        <f>IFERROR(ROUND(S16*(1+AW16)/E16,2),0)</f>
        <v/>
      </c>
      <c r="AY16" s="76">
        <f>E16*AX16</f>
        <v/>
      </c>
      <c r="AZ16" s="192">
        <f>S16*(1+M16)</f>
        <v/>
      </c>
      <c r="BA16" s="76">
        <f>cost_fin_total*$BD16</f>
        <v/>
      </c>
      <c r="BB16" s="193">
        <f>credit_sales_interest*BD16</f>
        <v/>
      </c>
      <c r="BC16" s="102">
        <f>IFERROR(IF($I$13&gt;0,$I16/$I$13,$S16/$S$13),0)</f>
        <v/>
      </c>
      <c r="BD16" s="102">
        <f>IFERROR($S16/$S$13,0)</f>
        <v/>
      </c>
      <c r="BE16" s="413" t="inlineStr">
        <is>
          <t>$</t>
        </is>
      </c>
    </row>
    <row r="17" customFormat="1" s="65">
      <c r="A17" s="43" t="n">
        <v>2</v>
      </c>
      <c r="B17" s="166" t="n"/>
      <c r="C17" s="166" t="n"/>
      <c r="D17" s="582" t="n"/>
      <c r="E17" s="162" t="n"/>
      <c r="F17" s="166" t="n"/>
      <c r="G17" s="162" t="n"/>
      <c r="H17" s="162" t="n"/>
      <c r="I17" s="189">
        <f>E17*G17</f>
        <v/>
      </c>
      <c r="J17" s="195" t="n"/>
      <c r="K17" s="162" t="n"/>
      <c r="L17" s="168" t="n"/>
      <c r="M17" s="75">
        <f>_xlfn.XLOOKUP(L17,list_vat[Страна],list_vat[Ставка НДС %],0,0)</f>
        <v/>
      </c>
      <c r="N17" s="162">
        <f>IFERROR(IF(L17="Китай",K17,K17/(1+M17)),0)</f>
        <v/>
      </c>
      <c r="O17" s="169" t="n"/>
      <c r="P17" s="76">
        <f>N17*(1-O17)</f>
        <v/>
      </c>
      <c r="Q17" s="162" t="n"/>
      <c r="R17" s="162">
        <f>IF(ISBLANK(Q17),"введи курс",P17/Q17)</f>
        <v/>
      </c>
      <c r="S17" s="196">
        <f>IF(AND(ISNUMBER(E17),ISNUMBER(Q17)),E17*R17,0)</f>
        <v/>
      </c>
      <c r="T17" s="192">
        <f>$BC17*V$11</f>
        <v/>
      </c>
      <c r="U17" s="76">
        <f>$BC17*W$11</f>
        <v/>
      </c>
      <c r="V17" s="193">
        <f>+SUM(T17:U17)</f>
        <v/>
      </c>
      <c r="W17" s="166" t="n"/>
      <c r="X17" s="170" t="n"/>
      <c r="Y17" s="76">
        <f>ROUND(IF(offer_incoterms="DDP",X17*(S17*(1+AW17)+T17),0),2)</f>
        <v/>
      </c>
      <c r="Z17" s="188" t="n"/>
      <c r="AA17" s="192">
        <f>IFERROR(AB17/E17,0)</f>
        <v/>
      </c>
      <c r="AB17" s="76">
        <f>ROUND(SUM(S17,V17,Y17:Z17,BA17:BB17),2)</f>
        <v/>
      </c>
      <c r="AC17" s="797" t="n"/>
      <c r="AD17" s="192">
        <f t="array" ref="AD17">IFERROR(ROUND((_xlfn.IFS(offer_sale_type="поставка",AB17,offer_sale_type="транзит",S17)*(1+AC17))/E17,2),0)</f>
        <v/>
      </c>
      <c r="AE17" s="76">
        <f>AD17*E17</f>
        <v/>
      </c>
      <c r="AF17" s="193">
        <f t="array" ref="AF17">IFERROR(ROUND(_xlfn.IFS(offer_sale_type="поставка",AB17,offer_sale_type="транзит",S17)*AC17,2),0)</f>
        <v/>
      </c>
      <c r="AG17" s="192">
        <f>$BD17*VLOOKUP($AG$3,$AF$4:$AG$7,2,FALSE)</f>
        <v/>
      </c>
      <c r="AH17" s="76">
        <f>SUM(AE17,AG17,AI17)*rate_forex_risk</f>
        <v/>
      </c>
      <c r="AI17" s="193">
        <f>IF(OR(seller_region="TR",offer_sale_type="экспорт"),0,rate_fin_comm)*SUM(AZ17,AZ17*AW17,T17)</f>
        <v/>
      </c>
      <c r="AJ17" s="118">
        <f>IFERROR(ROUND(SUM(AB17,AF17:AI17)/E17,2),0)</f>
        <v/>
      </c>
      <c r="AK17" s="76">
        <f>AJ17*E17</f>
        <v/>
      </c>
      <c r="AL17" s="174">
        <f>ROUND(IFERROR(AM17*E17,0),2)</f>
        <v/>
      </c>
      <c r="AM17" s="175">
        <f>ROUND(AJ17*(1+IF(offer_incoterms="DDP",IF((TODAY()+offer_turnaround_time)&gt;=helpsheet!$L$17,rate_vatRU_from_26,rate_vatRu_till_25),0)),2)</f>
        <v/>
      </c>
      <c r="AN17" s="192">
        <f>AL17-AK17</f>
        <v/>
      </c>
      <c r="AO17" s="76">
        <f>SUM(AY17,Y17:Z17,T17)*IF(AND(offer_incoterms="DDP",offer_sale_type&lt;&gt;"экспорт"),IF((TODAY()+offer_turnaround_time)&gt;=helpsheet!$L$17,rate_vatRU_from_26,rate_vatRu_till_25),0)</f>
        <v/>
      </c>
      <c r="AP17" s="193">
        <f>AN17-AO17</f>
        <v/>
      </c>
      <c r="AQ17" s="118">
        <f>IF(offer_sale_type="транзит",SUM(AF17:AI17,BA17,BB17),0)</f>
        <v/>
      </c>
      <c r="AR17" s="82">
        <f>HYPERLINK("https://www.alta.ru/tnved/code/")&amp;W17&amp;"/"</f>
        <v/>
      </c>
      <c r="AS17" s="583" t="n"/>
      <c r="AT17" s="162" t="n"/>
      <c r="AU17" s="76">
        <f>IF(ISBLANK(AT17),0,AJ17-AT17)</f>
        <v/>
      </c>
      <c r="AV17" s="157" t="n"/>
      <c r="AW17" s="75">
        <f>_xlfn.IFNA(VLOOKUP(L17,list_vat[],3,FALSE),0)</f>
        <v/>
      </c>
      <c r="AX17" s="76">
        <f>IFERROR(ROUND(S17*(1+AW17)/E17,2),0)</f>
        <v/>
      </c>
      <c r="AY17" s="76">
        <f>E17*AX17</f>
        <v/>
      </c>
      <c r="AZ17" s="192">
        <f>S17*(1+M17)</f>
        <v/>
      </c>
      <c r="BA17" s="76">
        <f>cost_fin_total*$BD17</f>
        <v/>
      </c>
      <c r="BB17" s="193">
        <f>credit_sales_interest*BD17</f>
        <v/>
      </c>
      <c r="BC17" s="102">
        <f>IFERROR(IF($I$13&gt;0,$I17/$I$13,$S17/$S$13),0)</f>
        <v/>
      </c>
      <c r="BD17" s="102">
        <f>IFERROR($S17/$S$13,0)</f>
        <v/>
      </c>
      <c r="BE17" s="413" t="inlineStr">
        <is>
          <t>$</t>
        </is>
      </c>
    </row>
    <row r="18" customFormat="1" s="65">
      <c r="A18" s="43" t="n">
        <v>3</v>
      </c>
      <c r="B18" s="166" t="n"/>
      <c r="C18" s="167" t="n"/>
      <c r="D18" s="582" t="n"/>
      <c r="E18" s="162" t="n"/>
      <c r="F18" s="166" t="n"/>
      <c r="G18" s="162" t="n"/>
      <c r="H18" s="162" t="n"/>
      <c r="I18" s="189">
        <f>E18*G18</f>
        <v/>
      </c>
      <c r="J18" s="195" t="n"/>
      <c r="K18" s="162" t="n"/>
      <c r="L18" s="168" t="n"/>
      <c r="M18" s="75">
        <f>_xlfn.XLOOKUP(L18,list_vat[Страна],list_vat[Ставка НДС %],0,0)</f>
        <v/>
      </c>
      <c r="N18" s="162">
        <f>IFERROR(IF(L18="Китай",K18,K18/(1+M18)),0)</f>
        <v/>
      </c>
      <c r="O18" s="169" t="n"/>
      <c r="P18" s="76">
        <f>N18*(1-O18)</f>
        <v/>
      </c>
      <c r="Q18" s="162" t="n"/>
      <c r="R18" s="162">
        <f>IF(ISBLANK(Q18),"введи курс",P18/Q18)</f>
        <v/>
      </c>
      <c r="S18" s="196">
        <f>IF(AND(ISNUMBER(E18),ISNUMBER(Q18)),E18*R18,0)</f>
        <v/>
      </c>
      <c r="T18" s="192">
        <f>$BC18*V$11</f>
        <v/>
      </c>
      <c r="U18" s="76">
        <f>$BC18*W$11</f>
        <v/>
      </c>
      <c r="V18" s="193">
        <f>+SUM(T18:U18)</f>
        <v/>
      </c>
      <c r="W18" s="166" t="n"/>
      <c r="X18" s="170" t="n"/>
      <c r="Y18" s="76">
        <f>ROUND(IF(offer_incoterms="DDP",X18*(S18*(1+AW18)+T18),0),2)</f>
        <v/>
      </c>
      <c r="Z18" s="188" t="n"/>
      <c r="AA18" s="192">
        <f>IFERROR(AB18/E18,0)</f>
        <v/>
      </c>
      <c r="AB18" s="76">
        <f>ROUND(SUM(S18,V18,Y18:Z18,BA18:BB18),2)</f>
        <v/>
      </c>
      <c r="AC18" s="797" t="n"/>
      <c r="AD18" s="192">
        <f t="array" ref="AD18">IFERROR(ROUND((_xlfn.IFS(offer_sale_type="поставка",AB18,offer_sale_type="транзит",S18)*(1+AC18))/E18,2),0)</f>
        <v/>
      </c>
      <c r="AE18" s="76">
        <f>AD18*E18</f>
        <v/>
      </c>
      <c r="AF18" s="193">
        <f t="array" ref="AF18">IFERROR(ROUND(_xlfn.IFS(offer_sale_type="поставка",AB18,offer_sale_type="транзит",S18)*AC18,2),0)</f>
        <v/>
      </c>
      <c r="AG18" s="192">
        <f>$BD18*VLOOKUP($AG$3,$AF$4:$AG$7,2,FALSE)</f>
        <v/>
      </c>
      <c r="AH18" s="76">
        <f>SUM(AE18,AG18,AI18)*rate_forex_risk</f>
        <v/>
      </c>
      <c r="AI18" s="193">
        <f>IF(OR(seller_region="TR",offer_sale_type="экспорт"),0,rate_fin_comm)*SUM(AZ18,AZ18*AW18,T18)</f>
        <v/>
      </c>
      <c r="AJ18" s="118">
        <f>IFERROR(ROUND(SUM(AB18,AF18:AI18)/E18,2),0)</f>
        <v/>
      </c>
      <c r="AK18" s="76">
        <f>AJ18*E18</f>
        <v/>
      </c>
      <c r="AL18" s="174">
        <f>ROUND(IFERROR(AM18*E18,0),2)</f>
        <v/>
      </c>
      <c r="AM18" s="175">
        <f>ROUND(AJ18*(1+IF(offer_incoterms="DDP",IF((TODAY()+offer_turnaround_time)&gt;=helpsheet!$L$17,rate_vatRU_from_26,rate_vatRu_till_25),0)),2)</f>
        <v/>
      </c>
      <c r="AN18" s="192">
        <f>AL18-AK18</f>
        <v/>
      </c>
      <c r="AO18" s="76">
        <f>SUM(AY18,Y18:Z18,T18)*IF(AND(offer_incoterms="DDP",offer_sale_type&lt;&gt;"экспорт"),IF((TODAY()+offer_turnaround_time)&gt;=helpsheet!$L$17,rate_vatRU_from_26,rate_vatRu_till_25),0)</f>
        <v/>
      </c>
      <c r="AP18" s="193">
        <f>AN18-AO18</f>
        <v/>
      </c>
      <c r="AQ18" s="118">
        <f>IF(offer_sale_type="транзит",SUM(AF18:AI18,BA18,BB18),0)</f>
        <v/>
      </c>
      <c r="AR18" s="82">
        <f>HYPERLINK("https://www.alta.ru/tnved/code/")&amp;W18&amp;"/"</f>
        <v/>
      </c>
      <c r="AS18" s="583" t="n"/>
      <c r="AT18" s="162" t="n"/>
      <c r="AU18" s="76">
        <f>IF(ISBLANK(AT18),0,AJ18-AT18)</f>
        <v/>
      </c>
      <c r="AV18" s="157" t="n"/>
      <c r="AW18" s="75">
        <f>_xlfn.IFNA(VLOOKUP(L18,list_vat[],3,FALSE),0)</f>
        <v/>
      </c>
      <c r="AX18" s="76">
        <f>IFERROR(ROUND(S18*(1+AW18)/E18,2),0)</f>
        <v/>
      </c>
      <c r="AY18" s="76">
        <f>E18*AX18</f>
        <v/>
      </c>
      <c r="AZ18" s="192">
        <f>S18*(1+M18)</f>
        <v/>
      </c>
      <c r="BA18" s="76">
        <f>cost_fin_total*$BD18</f>
        <v/>
      </c>
      <c r="BB18" s="193">
        <f>credit_sales_interest*BD18</f>
        <v/>
      </c>
      <c r="BC18" s="102">
        <f>IFERROR(IF($I$13&gt;0,$I18/$I$13,$S18/$S$13),0)</f>
        <v/>
      </c>
      <c r="BD18" s="102">
        <f>IFERROR($S18/$S$13,0)</f>
        <v/>
      </c>
      <c r="BE18" s="413" t="inlineStr">
        <is>
          <t>$</t>
        </is>
      </c>
    </row>
    <row r="19" customFormat="1" s="65">
      <c r="A19" s="43" t="n">
        <v>4</v>
      </c>
      <c r="B19" s="166" t="n"/>
      <c r="C19" s="166" t="n"/>
      <c r="D19" s="582" t="n"/>
      <c r="E19" s="162" t="n"/>
      <c r="F19" s="166" t="n"/>
      <c r="G19" s="162" t="n"/>
      <c r="H19" s="162" t="n"/>
      <c r="I19" s="189">
        <f>E19*G19</f>
        <v/>
      </c>
      <c r="J19" s="195" t="n"/>
      <c r="K19" s="162" t="n"/>
      <c r="L19" s="168" t="n"/>
      <c r="M19" s="75">
        <f>_xlfn.XLOOKUP(L19,list_vat[Страна],list_vat[Ставка НДС %],0,0)</f>
        <v/>
      </c>
      <c r="N19" s="162">
        <f>IFERROR(IF(L19="Китай",K19,K19/(1+M19)),0)</f>
        <v/>
      </c>
      <c r="O19" s="169" t="n"/>
      <c r="P19" s="76">
        <f>N19*(1-O19)</f>
        <v/>
      </c>
      <c r="Q19" s="162" t="n"/>
      <c r="R19" s="162">
        <f>IF(ISBLANK(Q19),"введи курс",P19/Q19)</f>
        <v/>
      </c>
      <c r="S19" s="196">
        <f>IF(AND(ISNUMBER(E19),ISNUMBER(Q19)),E19*R19,0)</f>
        <v/>
      </c>
      <c r="T19" s="192">
        <f>$BC19*V$11</f>
        <v/>
      </c>
      <c r="U19" s="76">
        <f>$BC19*W$11</f>
        <v/>
      </c>
      <c r="V19" s="193">
        <f>+SUM(T19:U19)</f>
        <v/>
      </c>
      <c r="W19" s="166" t="n"/>
      <c r="X19" s="170" t="n"/>
      <c r="Y19" s="76">
        <f>ROUND(IF(offer_incoterms="DDP",X19*(S19*(1+AW19)+T19),0),2)</f>
        <v/>
      </c>
      <c r="Z19" s="188" t="n"/>
      <c r="AA19" s="192">
        <f>IFERROR(AB19/E19,0)</f>
        <v/>
      </c>
      <c r="AB19" s="76">
        <f>ROUND(SUM(S19,V19,Y19:Z19,BA19:BB19),2)</f>
        <v/>
      </c>
      <c r="AC19" s="797" t="n"/>
      <c r="AD19" s="192">
        <f t="array" ref="AD19">IFERROR(ROUND((_xlfn.IFS(offer_sale_type="поставка",AB19,offer_sale_type="транзит",S19)*(1+AC19))/E19,2),0)</f>
        <v/>
      </c>
      <c r="AE19" s="76">
        <f>AD19*E19</f>
        <v/>
      </c>
      <c r="AF19" s="193">
        <f t="array" ref="AF19">IFERROR(ROUND(_xlfn.IFS(offer_sale_type="поставка",AB19,offer_sale_type="транзит",S19)*AC19,2),0)</f>
        <v/>
      </c>
      <c r="AG19" s="192">
        <f>$BD19*VLOOKUP($AG$3,$AF$4:$AG$7,2,FALSE)</f>
        <v/>
      </c>
      <c r="AH19" s="76">
        <f>SUM(AE19,AG19,AI19)*rate_forex_risk</f>
        <v/>
      </c>
      <c r="AI19" s="193">
        <f>IF(OR(seller_region="TR",offer_sale_type="экспорт"),0,rate_fin_comm)*SUM(AZ19,AZ19*AW19,T19)</f>
        <v/>
      </c>
      <c r="AJ19" s="118">
        <f>IFERROR(ROUND(SUM(AB19,AF19:AI19)/E19,2),0)</f>
        <v/>
      </c>
      <c r="AK19" s="76">
        <f>AJ19*E19</f>
        <v/>
      </c>
      <c r="AL19" s="174">
        <f>ROUND(IFERROR(AM19*E19,0),2)</f>
        <v/>
      </c>
      <c r="AM19" s="175">
        <f>ROUND(AJ19*(1+IF(offer_incoterms="DDP",IF((TODAY()+offer_turnaround_time)&gt;=helpsheet!$L$17,rate_vatRU_from_26,rate_vatRu_till_25),0)),2)</f>
        <v/>
      </c>
      <c r="AN19" s="192">
        <f>AL19-AK19</f>
        <v/>
      </c>
      <c r="AO19" s="76">
        <f>SUM(AY19,Y19:Z19,T19)*IF(AND(offer_incoterms="DDP",offer_sale_type&lt;&gt;"экспорт"),IF((TODAY()+offer_turnaround_time)&gt;=helpsheet!$L$17,rate_vatRU_from_26,rate_vatRu_till_25),0)</f>
        <v/>
      </c>
      <c r="AP19" s="193">
        <f>AN19-AO19</f>
        <v/>
      </c>
      <c r="AQ19" s="118">
        <f>IF(offer_sale_type="транзит",SUM(AF19:AI19,BA19,BB19),0)</f>
        <v/>
      </c>
      <c r="AR19" s="82">
        <f>HYPERLINK("https://www.alta.ru/tnved/code/")&amp;W19&amp;"/"</f>
        <v/>
      </c>
      <c r="AS19" s="583" t="n"/>
      <c r="AT19" s="162" t="n"/>
      <c r="AU19" s="76">
        <f>IF(ISBLANK(AT19),0,AJ19-AT19)</f>
        <v/>
      </c>
      <c r="AV19" s="157" t="n"/>
      <c r="AW19" s="75">
        <f>_xlfn.IFNA(VLOOKUP(L19,list_vat[],3,FALSE),0)</f>
        <v/>
      </c>
      <c r="AX19" s="76">
        <f>IFERROR(ROUND(S19*(1+AW19)/E19,2),0)</f>
        <v/>
      </c>
      <c r="AY19" s="76">
        <f>E19*AX19</f>
        <v/>
      </c>
      <c r="AZ19" s="192">
        <f>S19*(1+M19)</f>
        <v/>
      </c>
      <c r="BA19" s="76">
        <f>cost_fin_total*$BD19</f>
        <v/>
      </c>
      <c r="BB19" s="193">
        <f>credit_sales_interest*BD19</f>
        <v/>
      </c>
      <c r="BC19" s="102">
        <f>IFERROR(IF($I$13&gt;0,$I19/$I$13,$S19/$S$13),0)</f>
        <v/>
      </c>
      <c r="BD19" s="102">
        <f>IFERROR($S19/$S$13,0)</f>
        <v/>
      </c>
      <c r="BE19" s="413" t="inlineStr">
        <is>
          <t>$</t>
        </is>
      </c>
    </row>
    <row r="20" customFormat="1" s="65">
      <c r="A20" s="43" t="n">
        <v>5</v>
      </c>
      <c r="B20" s="166" t="n"/>
      <c r="C20" s="166" t="n"/>
      <c r="D20" s="166" t="n"/>
      <c r="E20" s="162" t="n"/>
      <c r="F20" s="166" t="n"/>
      <c r="G20" s="162" t="n"/>
      <c r="H20" s="162" t="n"/>
      <c r="I20" s="189">
        <f>E20*G20</f>
        <v/>
      </c>
      <c r="J20" s="195" t="n"/>
      <c r="K20" s="162" t="n"/>
      <c r="L20" s="168" t="n"/>
      <c r="M20" s="75">
        <f>_xlfn.XLOOKUP(L20,list_vat[Страна],list_vat[Ставка НДС %],0,0)</f>
        <v/>
      </c>
      <c r="N20" s="162">
        <f>IFERROR(IF(L20="Китай",K20,K20/(1+M20)),0)</f>
        <v/>
      </c>
      <c r="O20" s="169" t="n"/>
      <c r="P20" s="76">
        <f>N20*(1-O20)</f>
        <v/>
      </c>
      <c r="Q20" s="162" t="n"/>
      <c r="R20" s="162">
        <f>IF(ISBLANK(Q20),"введи курс",P20/Q20)</f>
        <v/>
      </c>
      <c r="S20" s="196">
        <f>IF(AND(ISNUMBER(E20),ISNUMBER(Q20)),E20*R20,0)</f>
        <v/>
      </c>
      <c r="T20" s="192">
        <f>$BC20*V$11</f>
        <v/>
      </c>
      <c r="U20" s="76">
        <f>$BC20*W$11</f>
        <v/>
      </c>
      <c r="V20" s="193">
        <f>+SUM(T20:U20)</f>
        <v/>
      </c>
      <c r="W20" s="166" t="n"/>
      <c r="X20" s="170" t="n"/>
      <c r="Y20" s="76">
        <f>ROUND(IF(offer_incoterms="DDP",X20*(S20*(1+AW20)+T20),0),2)</f>
        <v/>
      </c>
      <c r="Z20" s="188" t="n"/>
      <c r="AA20" s="192">
        <f>IFERROR(AB20/E20,0)</f>
        <v/>
      </c>
      <c r="AB20" s="76">
        <f>ROUND(SUM(S20,V20,Y20:Z20,BA20:BB20),2)</f>
        <v/>
      </c>
      <c r="AC20" s="797" t="n"/>
      <c r="AD20" s="192">
        <f t="array" ref="AD20">IFERROR(ROUND((_xlfn.IFS(offer_sale_type="поставка",AB20,offer_sale_type="транзит",S20)*(1+AC20))/E20,2),0)</f>
        <v/>
      </c>
      <c r="AE20" s="76">
        <f>AD20*E20</f>
        <v/>
      </c>
      <c r="AF20" s="193">
        <f t="array" ref="AF20">IFERROR(ROUND(_xlfn.IFS(offer_sale_type="поставка",AB20,offer_sale_type="транзит",S20)*AC20,2),0)</f>
        <v/>
      </c>
      <c r="AG20" s="192">
        <f>$BD20*VLOOKUP($AG$3,$AF$4:$AG$7,2,FALSE)</f>
        <v/>
      </c>
      <c r="AH20" s="76">
        <f>SUM(AE20,AG20,AI20)*rate_forex_risk</f>
        <v/>
      </c>
      <c r="AI20" s="193">
        <f>IF(OR(seller_region="TR",offer_sale_type="экспорт"),0,rate_fin_comm)*SUM(AZ20,AZ20*AW20,T20)</f>
        <v/>
      </c>
      <c r="AJ20" s="118">
        <f>IFERROR(ROUND(SUM(AB20,AF20:AI20)/E20,2),0)</f>
        <v/>
      </c>
      <c r="AK20" s="76">
        <f>AJ20*E20</f>
        <v/>
      </c>
      <c r="AL20" s="174">
        <f>ROUND(IFERROR(AM20*E20,0),2)</f>
        <v/>
      </c>
      <c r="AM20" s="175">
        <f>ROUND(AJ20*(1+IF(offer_incoterms="DDP",IF((TODAY()+offer_turnaround_time)&gt;=helpsheet!$L$17,rate_vatRU_from_26,rate_vatRu_till_25),0)),2)</f>
        <v/>
      </c>
      <c r="AN20" s="192">
        <f>AL20-AK20</f>
        <v/>
      </c>
      <c r="AO20" s="76">
        <f>SUM(AY20,Y20:Z20,T20)*IF(AND(offer_incoterms="DDP",offer_sale_type&lt;&gt;"экспорт"),IF((TODAY()+offer_turnaround_time)&gt;=helpsheet!$L$17,rate_vatRU_from_26,rate_vatRu_till_25),0)</f>
        <v/>
      </c>
      <c r="AP20" s="193">
        <f>AN20-AO20</f>
        <v/>
      </c>
      <c r="AQ20" s="118">
        <f>IF(offer_sale_type="транзит",SUM(AF20:AI20,BA20,BB20),0)</f>
        <v/>
      </c>
      <c r="AR20" s="82">
        <f>HYPERLINK("https://www.alta.ru/tnved/code/")&amp;W20&amp;"/"</f>
        <v/>
      </c>
      <c r="AS20" s="157" t="n"/>
      <c r="AT20" s="162" t="n"/>
      <c r="AU20" s="76">
        <f>IF(ISBLANK(AT20),0,AJ20-AT20)</f>
        <v/>
      </c>
      <c r="AV20" s="157" t="n"/>
      <c r="AW20" s="75">
        <f>_xlfn.IFNA(VLOOKUP(L20,list_vat[],3,FALSE),0)</f>
        <v/>
      </c>
      <c r="AX20" s="76">
        <f>IFERROR(ROUND(S20*(1+AW20)/E20,2),0)</f>
        <v/>
      </c>
      <c r="AY20" s="76">
        <f>E20*AX20</f>
        <v/>
      </c>
      <c r="AZ20" s="192">
        <f>S20*(1+M20)</f>
        <v/>
      </c>
      <c r="BA20" s="76">
        <f>cost_fin_total*$BD20</f>
        <v/>
      </c>
      <c r="BB20" s="193">
        <f>credit_sales_interest*BD20</f>
        <v/>
      </c>
      <c r="BC20" s="102">
        <f>IFERROR(IF($I$13&gt;0,$I20/$I$13,$S20/$S$13),0)</f>
        <v/>
      </c>
      <c r="BD20" s="102">
        <f>IFERROR($S20/$S$13,0)</f>
        <v/>
      </c>
      <c r="BE20" s="413" t="inlineStr">
        <is>
          <t>$</t>
        </is>
      </c>
    </row>
    <row r="21" ht="12" customFormat="1" customHeight="1" s="65">
      <c r="A21" s="43" t="n">
        <v>6</v>
      </c>
      <c r="B21" s="166" t="n"/>
      <c r="C21" s="166" t="n"/>
      <c r="D21" s="166" t="n"/>
      <c r="E21" s="162" t="n"/>
      <c r="F21" s="166" t="n"/>
      <c r="G21" s="162" t="n"/>
      <c r="H21" s="162" t="n"/>
      <c r="I21" s="189">
        <f>E21*G21</f>
        <v/>
      </c>
      <c r="J21" s="195" t="n"/>
      <c r="K21" s="162" t="n"/>
      <c r="L21" s="168" t="n"/>
      <c r="M21" s="75">
        <f>_xlfn.XLOOKUP(L21,list_vat[Страна],list_vat[Ставка НДС %],0,0)</f>
        <v/>
      </c>
      <c r="N21" s="162">
        <f>IFERROR(IF(L21="Китай",K21,K21/(1+M21)),0)</f>
        <v/>
      </c>
      <c r="O21" s="169" t="n"/>
      <c r="P21" s="76">
        <f>N21*(1-O21)</f>
        <v/>
      </c>
      <c r="Q21" s="162" t="n"/>
      <c r="R21" s="162">
        <f>IF(ISBLANK(Q21),"введи курс",P21/Q21)</f>
        <v/>
      </c>
      <c r="S21" s="196">
        <f>IF(AND(ISNUMBER(E21),ISNUMBER(Q21)),E21*R21,0)</f>
        <v/>
      </c>
      <c r="T21" s="192">
        <f>$BC21*V$11</f>
        <v/>
      </c>
      <c r="U21" s="76">
        <f>$BC21*W$11</f>
        <v/>
      </c>
      <c r="V21" s="193">
        <f>+SUM(T21:U21)</f>
        <v/>
      </c>
      <c r="W21" s="166" t="n"/>
      <c r="X21" s="170" t="n"/>
      <c r="Y21" s="76">
        <f>ROUND(IF(offer_incoterms="DDP",X21*(S21*(1+AW21)+T21),0),2)</f>
        <v/>
      </c>
      <c r="Z21" s="188" t="n"/>
      <c r="AA21" s="192">
        <f>IFERROR(AB21/E21,0)</f>
        <v/>
      </c>
      <c r="AB21" s="76">
        <f>ROUND(SUM(S21,V21,Y21:Z21,BA21:BB21),2)</f>
        <v/>
      </c>
      <c r="AC21" s="797" t="n"/>
      <c r="AD21" s="192">
        <f t="array" ref="AD21">IFERROR(ROUND((_xlfn.IFS(offer_sale_type="поставка",AB21,offer_sale_type="транзит",S21)*(1+AC21))/E21,2),0)</f>
        <v/>
      </c>
      <c r="AE21" s="76">
        <f>AD21*E21</f>
        <v/>
      </c>
      <c r="AF21" s="193">
        <f t="array" ref="AF21">IFERROR(ROUND(_xlfn.IFS(offer_sale_type="поставка",AB21,offer_sale_type="транзит",S21)*AC21,2),0)</f>
        <v/>
      </c>
      <c r="AG21" s="192">
        <f>$BD21*VLOOKUP($AG$3,$AF$4:$AG$7,2,FALSE)</f>
        <v/>
      </c>
      <c r="AH21" s="76">
        <f>SUM(AE21,AG21,AI21)*rate_forex_risk</f>
        <v/>
      </c>
      <c r="AI21" s="193">
        <f>IF(OR(seller_region="TR",offer_sale_type="экспорт"),0,rate_fin_comm)*SUM(AZ21,AZ21*AW21,T21)</f>
        <v/>
      </c>
      <c r="AJ21" s="118">
        <f>IFERROR(ROUND(SUM(AB21,AF21:AI21)/E21,2),0)</f>
        <v/>
      </c>
      <c r="AK21" s="76">
        <f>AJ21*E21</f>
        <v/>
      </c>
      <c r="AL21" s="174">
        <f>ROUND(IFERROR(AM21*E21,0),2)</f>
        <v/>
      </c>
      <c r="AM21" s="175">
        <f>ROUND(AJ21*(1+IF(offer_incoterms="DDP",IF((TODAY()+offer_turnaround_time)&gt;=helpsheet!$L$17,rate_vatRU_from_26,rate_vatRu_till_25),0)),2)</f>
        <v/>
      </c>
      <c r="AN21" s="192">
        <f>AL21-AK21</f>
        <v/>
      </c>
      <c r="AO21" s="76">
        <f>SUM(AY21,Y21:Z21,T21)*IF(AND(offer_incoterms="DDP",offer_sale_type&lt;&gt;"экспорт"),IF((TODAY()+offer_turnaround_time)&gt;=helpsheet!$L$17,rate_vatRU_from_26,rate_vatRu_till_25),0)</f>
        <v/>
      </c>
      <c r="AP21" s="193">
        <f>AN21-AO21</f>
        <v/>
      </c>
      <c r="AQ21" s="118">
        <f>IF(offer_sale_type="транзит",SUM(AF21:AI21,BA21,BB21),0)</f>
        <v/>
      </c>
      <c r="AR21" s="82">
        <f>HYPERLINK("https://www.alta.ru/tnved/code/")&amp;W21&amp;"/"</f>
        <v/>
      </c>
      <c r="AS21" s="157" t="n"/>
      <c r="AT21" s="162" t="n"/>
      <c r="AU21" s="76">
        <f>IF(ISBLANK(AT21),0,AJ21-AT21)</f>
        <v/>
      </c>
      <c r="AV21" s="157" t="n"/>
      <c r="AW21" s="75">
        <f>_xlfn.IFNA(VLOOKUP(L21,list_vat[],3,FALSE),0)</f>
        <v/>
      </c>
      <c r="AX21" s="76">
        <f>IFERROR(ROUND(S21*(1+AW21)/E21,2),0)</f>
        <v/>
      </c>
      <c r="AY21" s="76">
        <f>E21*AX21</f>
        <v/>
      </c>
      <c r="AZ21" s="192">
        <f>S21*(1+M21)</f>
        <v/>
      </c>
      <c r="BA21" s="76">
        <f>cost_fin_total*$BD21</f>
        <v/>
      </c>
      <c r="BB21" s="193">
        <f>credit_sales_interest*BD21</f>
        <v/>
      </c>
      <c r="BC21" s="102">
        <f>IFERROR(IF($I$13&gt;0,$I21/$I$13,$S21/$S$13),0)</f>
        <v/>
      </c>
      <c r="BD21" s="102">
        <f>IFERROR($S21/$S$13,0)</f>
        <v/>
      </c>
      <c r="BE21" s="413" t="inlineStr">
        <is>
          <t>$</t>
        </is>
      </c>
    </row>
    <row r="22" ht="12" customFormat="1" customHeight="1" s="65">
      <c r="A22" s="43" t="n">
        <v>7</v>
      </c>
      <c r="B22" s="166" t="n"/>
      <c r="C22" s="166" t="n"/>
      <c r="D22" s="166" t="n"/>
      <c r="E22" s="162" t="n"/>
      <c r="F22" s="166" t="n"/>
      <c r="G22" s="162" t="n"/>
      <c r="H22" s="162" t="n"/>
      <c r="I22" s="189">
        <f>E22*G22</f>
        <v/>
      </c>
      <c r="J22" s="195" t="n"/>
      <c r="K22" s="162" t="n"/>
      <c r="L22" s="168" t="n"/>
      <c r="M22" s="75">
        <f>_xlfn.XLOOKUP(L22,list_vat[Страна],list_vat[Ставка НДС %],0,0)</f>
        <v/>
      </c>
      <c r="N22" s="162">
        <f>IFERROR(IF(L22="Китай",K22,K22/(1+M22)),0)</f>
        <v/>
      </c>
      <c r="O22" s="169" t="n"/>
      <c r="P22" s="76">
        <f>N22*(1-O22)</f>
        <v/>
      </c>
      <c r="Q22" s="162" t="n"/>
      <c r="R22" s="162">
        <f>IF(ISBLANK(Q22),"введи курс",P22/Q22)</f>
        <v/>
      </c>
      <c r="S22" s="196">
        <f>IF(AND(ISNUMBER(E22),ISNUMBER(Q22)),E22*R22,0)</f>
        <v/>
      </c>
      <c r="T22" s="192">
        <f>$BC22*V$11</f>
        <v/>
      </c>
      <c r="U22" s="76">
        <f>$BC22*W$11</f>
        <v/>
      </c>
      <c r="V22" s="193">
        <f>+SUM(T22:U22)</f>
        <v/>
      </c>
      <c r="W22" s="166" t="n"/>
      <c r="X22" s="170" t="n"/>
      <c r="Y22" s="76">
        <f>ROUND(IF(offer_incoterms="DDP",X22*(S22*(1+AW22)+T22),0),2)</f>
        <v/>
      </c>
      <c r="Z22" s="188" t="n"/>
      <c r="AA22" s="192">
        <f>IFERROR(AB22/E22,0)</f>
        <v/>
      </c>
      <c r="AB22" s="76">
        <f>ROUND(SUM(S22,V22,Y22:Z22,BA22:BB22),2)</f>
        <v/>
      </c>
      <c r="AC22" s="797" t="n"/>
      <c r="AD22" s="192">
        <f t="array" ref="AD22">IFERROR(ROUND((_xlfn.IFS(offer_sale_type="поставка",AB22,offer_sale_type="транзит",S22)*(1+AC22))/E22,2),0)</f>
        <v/>
      </c>
      <c r="AE22" s="76">
        <f>AD22*E22</f>
        <v/>
      </c>
      <c r="AF22" s="193">
        <f t="array" ref="AF22">IFERROR(ROUND(_xlfn.IFS(offer_sale_type="поставка",AB22,offer_sale_type="транзит",S22)*AC22,2),0)</f>
        <v/>
      </c>
      <c r="AG22" s="192">
        <f>$BD22*VLOOKUP($AG$3,$AF$4:$AG$7,2,FALSE)</f>
        <v/>
      </c>
      <c r="AH22" s="76">
        <f>SUM(AE22,AG22,AI22)*rate_forex_risk</f>
        <v/>
      </c>
      <c r="AI22" s="193">
        <f>IF(OR(seller_region="TR",offer_sale_type="экспорт"),0,rate_fin_comm)*SUM(AZ22,AZ22*AW22,T22)</f>
        <v/>
      </c>
      <c r="AJ22" s="118">
        <f>IFERROR(ROUND(SUM(AB22,AF22:AI22)/E22,2),0)</f>
        <v/>
      </c>
      <c r="AK22" s="76">
        <f>AJ22*E22</f>
        <v/>
      </c>
      <c r="AL22" s="174">
        <f>ROUND(IFERROR(AM22*E22,0),2)</f>
        <v/>
      </c>
      <c r="AM22" s="175">
        <f>ROUND(AJ22*(1+IF(offer_incoterms="DDP",IF((TODAY()+offer_turnaround_time)&gt;=helpsheet!$L$17,rate_vatRU_from_26,rate_vatRu_till_25),0)),2)</f>
        <v/>
      </c>
      <c r="AN22" s="192">
        <f>AL22-AK22</f>
        <v/>
      </c>
      <c r="AO22" s="76">
        <f>SUM(AY22,Y22:Z22,T22)*IF(AND(offer_incoterms="DDP",offer_sale_type&lt;&gt;"экспорт"),IF((TODAY()+offer_turnaround_time)&gt;=helpsheet!$L$17,rate_vatRU_from_26,rate_vatRu_till_25),0)</f>
        <v/>
      </c>
      <c r="AP22" s="193">
        <f>AN22-AO22</f>
        <v/>
      </c>
      <c r="AQ22" s="118">
        <f>IF(offer_sale_type="транзит",SUM(AF22:AI22,BA22,BB22),0)</f>
        <v/>
      </c>
      <c r="AR22" s="82">
        <f>HYPERLINK("https://www.alta.ru/tnved/code/")&amp;W22&amp;"/"</f>
        <v/>
      </c>
      <c r="AS22" s="157" t="n"/>
      <c r="AT22" s="162" t="n"/>
      <c r="AU22" s="76">
        <f>IF(ISBLANK(AT22),0,AJ22-AT22)</f>
        <v/>
      </c>
      <c r="AV22" s="157" t="n"/>
      <c r="AW22" s="75">
        <f>_xlfn.IFNA(VLOOKUP(L22,list_vat[],3,FALSE),0)</f>
        <v/>
      </c>
      <c r="AX22" s="76">
        <f>IFERROR(ROUND(S22*(1+AW22)/E22,2),0)</f>
        <v/>
      </c>
      <c r="AY22" s="76">
        <f>E22*AX22</f>
        <v/>
      </c>
      <c r="AZ22" s="192">
        <f>S22*(1+M22)</f>
        <v/>
      </c>
      <c r="BA22" s="76">
        <f>cost_fin_total*$BD22</f>
        <v/>
      </c>
      <c r="BB22" s="193">
        <f>credit_sales_interest*BD22</f>
        <v/>
      </c>
      <c r="BC22" s="102">
        <f>IFERROR(IF($I$13&gt;0,$I22/$I$13,$S22/$S$13),0)</f>
        <v/>
      </c>
      <c r="BD22" s="102">
        <f>IFERROR($S22/$S$13,0)</f>
        <v/>
      </c>
      <c r="BE22" s="413" t="inlineStr">
        <is>
          <t>$</t>
        </is>
      </c>
    </row>
    <row r="23" ht="12" customFormat="1" customHeight="1" s="65">
      <c r="A23" s="43" t="n">
        <v>8</v>
      </c>
      <c r="B23" s="166" t="n"/>
      <c r="C23" s="166" t="n"/>
      <c r="D23" s="166" t="n"/>
      <c r="E23" s="162" t="n"/>
      <c r="F23" s="166" t="n"/>
      <c r="G23" s="162" t="n"/>
      <c r="H23" s="162" t="n"/>
      <c r="I23" s="189">
        <f>E23*G23</f>
        <v/>
      </c>
      <c r="J23" s="195" t="n"/>
      <c r="K23" s="162" t="n"/>
      <c r="L23" s="168" t="n"/>
      <c r="M23" s="75">
        <f>_xlfn.XLOOKUP(L23,list_vat[Страна],list_vat[Ставка НДС %],0,0)</f>
        <v/>
      </c>
      <c r="N23" s="162">
        <f>IFERROR(IF(L23="Китай",K23,K23/(1+M23)),0)</f>
        <v/>
      </c>
      <c r="O23" s="169" t="n"/>
      <c r="P23" s="76">
        <f>N23*(1-O23)</f>
        <v/>
      </c>
      <c r="Q23" s="162" t="n"/>
      <c r="R23" s="162">
        <f>IF(ISBLANK(Q23),"введи курс",P23/Q23)</f>
        <v/>
      </c>
      <c r="S23" s="196">
        <f>IF(AND(ISNUMBER(E23),ISNUMBER(Q23)),E23*R23,0)</f>
        <v/>
      </c>
      <c r="T23" s="192">
        <f>$BC23*V$11</f>
        <v/>
      </c>
      <c r="U23" s="76">
        <f>$BC23*W$11</f>
        <v/>
      </c>
      <c r="V23" s="193">
        <f>+SUM(T23:U23)</f>
        <v/>
      </c>
      <c r="W23" s="166" t="n"/>
      <c r="X23" s="170" t="n"/>
      <c r="Y23" s="76">
        <f>ROUND(IF(offer_incoterms="DDP",X23*(S23*(1+AW23)+T23),0),2)</f>
        <v/>
      </c>
      <c r="Z23" s="188" t="n"/>
      <c r="AA23" s="192">
        <f>IFERROR(AB23/E23,0)</f>
        <v/>
      </c>
      <c r="AB23" s="76">
        <f>ROUND(SUM(S23,V23,Y23:Z23,BA23:BB23),2)</f>
        <v/>
      </c>
      <c r="AC23" s="797" t="n"/>
      <c r="AD23" s="192">
        <f t="array" ref="AD23">IFERROR(ROUND((_xlfn.IFS(offer_sale_type="поставка",AB23,offer_sale_type="транзит",S23)*(1+AC23))/E23,2),0)</f>
        <v/>
      </c>
      <c r="AE23" s="76">
        <f>AD23*E23</f>
        <v/>
      </c>
      <c r="AF23" s="193">
        <f t="array" ref="AF23">IFERROR(ROUND(_xlfn.IFS(offer_sale_type="поставка",AB23,offer_sale_type="транзит",S23)*AC23,2),0)</f>
        <v/>
      </c>
      <c r="AG23" s="192">
        <f>$BD23*VLOOKUP($AG$3,$AF$4:$AG$7,2,FALSE)</f>
        <v/>
      </c>
      <c r="AH23" s="76">
        <f>SUM(AE23,AG23,AI23)*rate_forex_risk</f>
        <v/>
      </c>
      <c r="AI23" s="193">
        <f>IF(OR(seller_region="TR",offer_sale_type="экспорт"),0,rate_fin_comm)*SUM(AZ23,AZ23*AW23,T23)</f>
        <v/>
      </c>
      <c r="AJ23" s="118">
        <f>IFERROR(ROUND(SUM(AB23,AF23:AI23)/E23,2),0)</f>
        <v/>
      </c>
      <c r="AK23" s="76">
        <f>AJ23*E23</f>
        <v/>
      </c>
      <c r="AL23" s="174">
        <f>ROUND(IFERROR(AM23*E23,0),2)</f>
        <v/>
      </c>
      <c r="AM23" s="175">
        <f>ROUND(AJ23*(1+IF(offer_incoterms="DDP",IF((TODAY()+offer_turnaround_time)&gt;=helpsheet!$L$17,rate_vatRU_from_26,rate_vatRu_till_25),0)),2)</f>
        <v/>
      </c>
      <c r="AN23" s="192">
        <f>AL23-AK23</f>
        <v/>
      </c>
      <c r="AO23" s="76">
        <f>SUM(AY23,Y23:Z23,T23)*IF(AND(offer_incoterms="DDP",offer_sale_type&lt;&gt;"экспорт"),IF((TODAY()+offer_turnaround_time)&gt;=helpsheet!$L$17,rate_vatRU_from_26,rate_vatRu_till_25),0)</f>
        <v/>
      </c>
      <c r="AP23" s="193">
        <f>AN23-AO23</f>
        <v/>
      </c>
      <c r="AQ23" s="118">
        <f>IF(offer_sale_type="транзит",SUM(AF23:AI23,BA23,BB23),0)</f>
        <v/>
      </c>
      <c r="AR23" s="82">
        <f>HYPERLINK("https://www.alta.ru/tnved/code/")&amp;W23&amp;"/"</f>
        <v/>
      </c>
      <c r="AS23" s="157" t="n"/>
      <c r="AT23" s="162" t="n"/>
      <c r="AU23" s="76">
        <f>IF(ISBLANK(AT23),0,AJ23-AT23)</f>
        <v/>
      </c>
      <c r="AV23" s="157" t="n"/>
      <c r="AW23" s="75">
        <f>_xlfn.IFNA(VLOOKUP(L23,list_vat[],3,FALSE),0)</f>
        <v/>
      </c>
      <c r="AX23" s="76">
        <f>IFERROR(ROUND(S23*(1+AW23)/E23,2),0)</f>
        <v/>
      </c>
      <c r="AY23" s="76">
        <f>E23*AX23</f>
        <v/>
      </c>
      <c r="AZ23" s="192">
        <f>S23*(1+M23)</f>
        <v/>
      </c>
      <c r="BA23" s="76">
        <f>cost_fin_total*$BD23</f>
        <v/>
      </c>
      <c r="BB23" s="193">
        <f>credit_sales_interest*BD23</f>
        <v/>
      </c>
      <c r="BC23" s="102">
        <f>IFERROR(IF($I$13&gt;0,$I23/$I$13,$S23/$S$13),0)</f>
        <v/>
      </c>
      <c r="BD23" s="102">
        <f>IFERROR($S23/$S$13,0)</f>
        <v/>
      </c>
      <c r="BE23" s="413" t="inlineStr">
        <is>
          <t>$</t>
        </is>
      </c>
    </row>
    <row r="24" ht="12" customFormat="1" customHeight="1" s="65">
      <c r="A24" s="43" t="n">
        <v>9</v>
      </c>
      <c r="B24" s="166" t="n"/>
      <c r="C24" s="166" t="n"/>
      <c r="D24" s="166" t="n"/>
      <c r="E24" s="162" t="n"/>
      <c r="F24" s="166" t="n"/>
      <c r="G24" s="162" t="n"/>
      <c r="H24" s="162" t="n"/>
      <c r="I24" s="189">
        <f>E24*G24</f>
        <v/>
      </c>
      <c r="J24" s="195" t="n"/>
      <c r="K24" s="162" t="n"/>
      <c r="L24" s="168" t="n"/>
      <c r="M24" s="75">
        <f>_xlfn.XLOOKUP(L24,list_vat[Страна],list_vat[Ставка НДС %],0,0)</f>
        <v/>
      </c>
      <c r="N24" s="162">
        <f>IFERROR(IF(L24="Китай",K24,K24/(1+M24)),0)</f>
        <v/>
      </c>
      <c r="O24" s="169" t="n"/>
      <c r="P24" s="76">
        <f>N24*(1-O24)</f>
        <v/>
      </c>
      <c r="Q24" s="162" t="n"/>
      <c r="R24" s="162">
        <f>IF(ISBLANK(Q24),"введи курс",P24/Q24)</f>
        <v/>
      </c>
      <c r="S24" s="196">
        <f>IF(AND(ISNUMBER(E24),ISNUMBER(Q24)),E24*R24,0)</f>
        <v/>
      </c>
      <c r="T24" s="192">
        <f>$BC24*V$11</f>
        <v/>
      </c>
      <c r="U24" s="76">
        <f>$BC24*W$11</f>
        <v/>
      </c>
      <c r="V24" s="193">
        <f>+SUM(T24:U24)</f>
        <v/>
      </c>
      <c r="W24" s="191" t="n"/>
      <c r="X24" s="170" t="n"/>
      <c r="Y24" s="76">
        <f>ROUND(IF(offer_incoterms="DDP",X24*(S24*(1+AW24)+T24),0),2)</f>
        <v/>
      </c>
      <c r="Z24" s="188" t="n"/>
      <c r="AA24" s="192">
        <f>IFERROR(AB24/E24,0)</f>
        <v/>
      </c>
      <c r="AB24" s="76">
        <f>ROUND(SUM(S24,V24,Y24:Z24,BA24:BB24),2)</f>
        <v/>
      </c>
      <c r="AC24" s="797" t="n"/>
      <c r="AD24" s="192">
        <f t="array" ref="AD24">IFERROR(ROUND((_xlfn.IFS(offer_sale_type="поставка",AB24,offer_sale_type="транзит",S24)*(1+AC24))/E24,2),0)</f>
        <v/>
      </c>
      <c r="AE24" s="76">
        <f>AD24*E24</f>
        <v/>
      </c>
      <c r="AF24" s="193">
        <f t="array" ref="AF24">IFERROR(ROUND(_xlfn.IFS(offer_sale_type="поставка",AB24,offer_sale_type="транзит",S24)*AC24,2),0)</f>
        <v/>
      </c>
      <c r="AG24" s="192">
        <f>$BD24*VLOOKUP($AG$3,$AF$4:$AG$7,2,FALSE)</f>
        <v/>
      </c>
      <c r="AH24" s="76">
        <f>SUM(AE24,AG24,AI24)*rate_forex_risk</f>
        <v/>
      </c>
      <c r="AI24" s="193">
        <f>IF(OR(seller_region="TR",offer_sale_type="экспорт"),0,rate_fin_comm)*SUM(AZ24,AZ24*AW24,T24)</f>
        <v/>
      </c>
      <c r="AJ24" s="118">
        <f>IFERROR(ROUND(SUM(AB24,AF24:AI24)/E24,2),0)</f>
        <v/>
      </c>
      <c r="AK24" s="76">
        <f>AJ24*E24</f>
        <v/>
      </c>
      <c r="AL24" s="174">
        <f>ROUND(IFERROR(AM24*E24,0),2)</f>
        <v/>
      </c>
      <c r="AM24" s="175">
        <f>ROUND(AJ24*(1+IF(offer_incoterms="DDP",IF((TODAY()+offer_turnaround_time)&gt;=helpsheet!$L$17,rate_vatRU_from_26,rate_vatRu_till_25),0)),2)</f>
        <v/>
      </c>
      <c r="AN24" s="192">
        <f>AL24-AK24</f>
        <v/>
      </c>
      <c r="AO24" s="76">
        <f>SUM(AY24,Y24:Z24,T24)*IF(AND(offer_incoterms="DDP",offer_sale_type&lt;&gt;"экспорт"),IF((TODAY()+offer_turnaround_time)&gt;=helpsheet!$L$17,rate_vatRU_from_26,rate_vatRu_till_25),0)</f>
        <v/>
      </c>
      <c r="AP24" s="193">
        <f>AN24-AO24</f>
        <v/>
      </c>
      <c r="AQ24" s="118">
        <f>IF(offer_sale_type="транзит",SUM(AF24:AI24,BA24,BB24),0)</f>
        <v/>
      </c>
      <c r="AR24" s="82">
        <f>HYPERLINK("https://www.alta.ru/tnved/code/")&amp;W24&amp;"/"</f>
        <v/>
      </c>
      <c r="AS24" s="157" t="n"/>
      <c r="AT24" s="162" t="n"/>
      <c r="AU24" s="76">
        <f>IF(ISBLANK(AT24),0,AJ24-AT24)</f>
        <v/>
      </c>
      <c r="AV24" s="157" t="n"/>
      <c r="AW24" s="75">
        <f>_xlfn.IFNA(VLOOKUP(L24,list_vat[],3,FALSE),0)</f>
        <v/>
      </c>
      <c r="AX24" s="76">
        <f>IFERROR(ROUND(S24*(1+AW24)/E24,2),0)</f>
        <v/>
      </c>
      <c r="AY24" s="76">
        <f>E24*AX24</f>
        <v/>
      </c>
      <c r="AZ24" s="192">
        <f>S24*(1+M24)</f>
        <v/>
      </c>
      <c r="BA24" s="76">
        <f>cost_fin_total*$BD24</f>
        <v/>
      </c>
      <c r="BB24" s="193">
        <f>credit_sales_interest*BD24</f>
        <v/>
      </c>
      <c r="BC24" s="102">
        <f>IFERROR(IF($I$13&gt;0,$I24/$I$13,$S24/$S$13),0)</f>
        <v/>
      </c>
      <c r="BD24" s="102">
        <f>IFERROR($S24/$S$13,0)</f>
        <v/>
      </c>
      <c r="BE24" s="413" t="inlineStr">
        <is>
          <t>$</t>
        </is>
      </c>
    </row>
    <row r="25" ht="12" customFormat="1" customHeight="1" s="65">
      <c r="A25" s="43" t="n">
        <v>10</v>
      </c>
      <c r="B25" s="166" t="n"/>
      <c r="C25" s="166" t="n"/>
      <c r="D25" s="166" t="n"/>
      <c r="E25" s="162" t="n"/>
      <c r="F25" s="166" t="n"/>
      <c r="G25" s="162" t="n"/>
      <c r="H25" s="162" t="n"/>
      <c r="I25" s="189">
        <f>E25*G25</f>
        <v/>
      </c>
      <c r="J25" s="195" t="n"/>
      <c r="K25" s="162" t="n"/>
      <c r="L25" s="168" t="n"/>
      <c r="M25" s="75">
        <f>_xlfn.XLOOKUP(L25,list_vat[Страна],list_vat[Ставка НДС %],0,0)</f>
        <v/>
      </c>
      <c r="N25" s="162">
        <f>IFERROR(IF(L25="Китай",K25,K25/(1+M25)),0)</f>
        <v/>
      </c>
      <c r="O25" s="169" t="n"/>
      <c r="P25" s="76">
        <f>N25*(1-O25)</f>
        <v/>
      </c>
      <c r="Q25" s="162" t="n"/>
      <c r="R25" s="162">
        <f>IF(ISBLANK(Q25),"введи курс",P25/Q25)</f>
        <v/>
      </c>
      <c r="S25" s="196">
        <f>IF(AND(ISNUMBER(E25),ISNUMBER(Q25)),E25*R25,0)</f>
        <v/>
      </c>
      <c r="T25" s="192">
        <f>$BC25*V$11</f>
        <v/>
      </c>
      <c r="U25" s="76">
        <f>$BC25*W$11</f>
        <v/>
      </c>
      <c r="V25" s="193">
        <f>+SUM(T25:U25)</f>
        <v/>
      </c>
      <c r="W25" s="191" t="n"/>
      <c r="X25" s="170" t="n"/>
      <c r="Y25" s="76">
        <f>ROUND(IF(offer_incoterms="DDP",X25*(S25*(1+AW25)+T25),0),2)</f>
        <v/>
      </c>
      <c r="Z25" s="188" t="n"/>
      <c r="AA25" s="192">
        <f>IFERROR(AB25/E25,0)</f>
        <v/>
      </c>
      <c r="AB25" s="76">
        <f>ROUND(SUM(S25,V25,Y25:Z25,BA25:BB25),2)</f>
        <v/>
      </c>
      <c r="AC25" s="797" t="n"/>
      <c r="AD25" s="192">
        <f t="array" ref="AD25">IFERROR(ROUND((_xlfn.IFS(offer_sale_type="поставка",AB25,offer_sale_type="транзит",S25)*(1+AC25))/E25,2),0)</f>
        <v/>
      </c>
      <c r="AE25" s="76">
        <f>AD25*E25</f>
        <v/>
      </c>
      <c r="AF25" s="193">
        <f t="array" ref="AF25">IFERROR(ROUND(_xlfn.IFS(offer_sale_type="поставка",AB25,offer_sale_type="транзит",S25)*AC25,2),0)</f>
        <v/>
      </c>
      <c r="AG25" s="192">
        <f>$BD25*VLOOKUP($AG$3,$AF$4:$AG$7,2,FALSE)</f>
        <v/>
      </c>
      <c r="AH25" s="76">
        <f>SUM(AE25,AG25,AI25)*rate_forex_risk</f>
        <v/>
      </c>
      <c r="AI25" s="193">
        <f>IF(OR(seller_region="TR",offer_sale_type="экспорт"),0,rate_fin_comm)*SUM(AZ25,AZ25*AW25,T25)</f>
        <v/>
      </c>
      <c r="AJ25" s="118">
        <f>IFERROR(ROUND(SUM(AB25,AF25:AI25)/E25,2),0)</f>
        <v/>
      </c>
      <c r="AK25" s="76">
        <f>AJ25*E25</f>
        <v/>
      </c>
      <c r="AL25" s="174">
        <f>ROUND(IFERROR(AM25*E25,0),2)</f>
        <v/>
      </c>
      <c r="AM25" s="175">
        <f>ROUND(AJ25*(1+IF(offer_incoterms="DDP",IF((TODAY()+offer_turnaround_time)&gt;=helpsheet!$L$17,rate_vatRU_from_26,rate_vatRu_till_25),0)),2)</f>
        <v/>
      </c>
      <c r="AN25" s="192">
        <f>AL25-AK25</f>
        <v/>
      </c>
      <c r="AO25" s="76">
        <f>SUM(AY25,Y25:Z25,T25)*IF(AND(offer_incoterms="DDP",offer_sale_type&lt;&gt;"экспорт"),IF((TODAY()+offer_turnaround_time)&gt;=helpsheet!$L$17,rate_vatRU_from_26,rate_vatRu_till_25),0)</f>
        <v/>
      </c>
      <c r="AP25" s="193">
        <f>AN25-AO25</f>
        <v/>
      </c>
      <c r="AQ25" s="118">
        <f>IF(offer_sale_type="транзит",SUM(AF25:AI25,BA25,BB25),0)</f>
        <v/>
      </c>
      <c r="AR25" s="82">
        <f>HYPERLINK("https://www.alta.ru/tnved/code/")&amp;W25&amp;"/"</f>
        <v/>
      </c>
      <c r="AS25" s="157" t="n"/>
      <c r="AT25" s="162" t="n"/>
      <c r="AU25" s="76">
        <f>IF(ISBLANK(AT25),0,AJ25-AT25)</f>
        <v/>
      </c>
      <c r="AV25" s="157" t="n"/>
      <c r="AW25" s="75">
        <f>_xlfn.IFNA(VLOOKUP(L25,list_vat[],3,FALSE),0)</f>
        <v/>
      </c>
      <c r="AX25" s="76">
        <f>IFERROR(ROUND(S25*(1+AW25)/E25,2),0)</f>
        <v/>
      </c>
      <c r="AY25" s="76">
        <f>E25*AX25</f>
        <v/>
      </c>
      <c r="AZ25" s="192">
        <f>S25*(1+M25)</f>
        <v/>
      </c>
      <c r="BA25" s="76">
        <f>cost_fin_total*$BD25</f>
        <v/>
      </c>
      <c r="BB25" s="193">
        <f>credit_sales_interest*BD25</f>
        <v/>
      </c>
      <c r="BC25" s="102">
        <f>IFERROR(IF($I$13&gt;0,$I25/$I$13,$S25/$S$13),0)</f>
        <v/>
      </c>
      <c r="BD25" s="102">
        <f>IFERROR($S25/$S$13,0)</f>
        <v/>
      </c>
      <c r="BE25" s="413" t="inlineStr">
        <is>
          <t>$</t>
        </is>
      </c>
    </row>
    <row r="26" ht="12" customFormat="1" customHeight="1" s="65">
      <c r="A26" s="43" t="n">
        <v>11</v>
      </c>
      <c r="B26" s="166" t="n"/>
      <c r="C26" s="166" t="n"/>
      <c r="D26" s="166" t="n"/>
      <c r="E26" s="162" t="n"/>
      <c r="F26" s="166" t="n"/>
      <c r="G26" s="162" t="n"/>
      <c r="H26" s="162" t="n"/>
      <c r="I26" s="189">
        <f>E26*G26</f>
        <v/>
      </c>
      <c r="J26" s="195" t="n"/>
      <c r="K26" s="162" t="n"/>
      <c r="L26" s="168" t="n"/>
      <c r="M26" s="75">
        <f>_xlfn.XLOOKUP(L26,list_vat[Страна],list_vat[Ставка НДС %],0,0)</f>
        <v/>
      </c>
      <c r="N26" s="162">
        <f>IFERROR(IF(L26="Китай",K26,K26/(1+M26)),0)</f>
        <v/>
      </c>
      <c r="O26" s="169" t="n"/>
      <c r="P26" s="76">
        <f>N26*(1-O26)</f>
        <v/>
      </c>
      <c r="Q26" s="162" t="n"/>
      <c r="R26" s="162">
        <f>IF(ISBLANK(Q26),"введи курс",P26/Q26)</f>
        <v/>
      </c>
      <c r="S26" s="196">
        <f>IF(AND(ISNUMBER(E26),ISNUMBER(Q26)),E26*R26,0)</f>
        <v/>
      </c>
      <c r="T26" s="192">
        <f>$BC26*V$11</f>
        <v/>
      </c>
      <c r="U26" s="76">
        <f>$BC26*W$11</f>
        <v/>
      </c>
      <c r="V26" s="193">
        <f>+SUM(T26:U26)</f>
        <v/>
      </c>
      <c r="W26" s="191" t="n"/>
      <c r="X26" s="170" t="n"/>
      <c r="Y26" s="76">
        <f>ROUND(IF(offer_incoterms="DDP",X26*(S26*(1+AW26)+T26),0),2)</f>
        <v/>
      </c>
      <c r="Z26" s="188" t="n"/>
      <c r="AA26" s="192">
        <f>IFERROR(AB26/E26,0)</f>
        <v/>
      </c>
      <c r="AB26" s="76">
        <f>ROUND(SUM(S26,V26,Y26:Z26,BA26:BB26),2)</f>
        <v/>
      </c>
      <c r="AC26" s="797" t="n"/>
      <c r="AD26" s="192">
        <f t="array" ref="AD26">IFERROR(ROUND((_xlfn.IFS(offer_sale_type="поставка",AB26,offer_sale_type="транзит",S26)*(1+AC26))/E26,2),0)</f>
        <v/>
      </c>
      <c r="AE26" s="76">
        <f>AD26*E26</f>
        <v/>
      </c>
      <c r="AF26" s="193">
        <f t="array" ref="AF26">IFERROR(ROUND(_xlfn.IFS(offer_sale_type="поставка",AB26,offer_sale_type="транзит",S26)*AC26,2),0)</f>
        <v/>
      </c>
      <c r="AG26" s="192">
        <f>$BD26*VLOOKUP($AG$3,$AF$4:$AG$7,2,FALSE)</f>
        <v/>
      </c>
      <c r="AH26" s="76">
        <f>SUM(AE26,AG26,AI26)*rate_forex_risk</f>
        <v/>
      </c>
      <c r="AI26" s="193">
        <f>IF(OR(seller_region="TR",offer_sale_type="экспорт"),0,rate_fin_comm)*SUM(AZ26,AZ26*AW26,T26)</f>
        <v/>
      </c>
      <c r="AJ26" s="118">
        <f>IFERROR(ROUND(SUM(AB26,AF26:AI26)/E26,2),0)</f>
        <v/>
      </c>
      <c r="AK26" s="76">
        <f>AJ26*E26</f>
        <v/>
      </c>
      <c r="AL26" s="174">
        <f>ROUND(IFERROR(AM26*E26,0),2)</f>
        <v/>
      </c>
      <c r="AM26" s="175">
        <f>ROUND(AJ26*(1+IF(offer_incoterms="DDP",IF((TODAY()+offer_turnaround_time)&gt;=helpsheet!$L$17,rate_vatRU_from_26,rate_vatRu_till_25),0)),2)</f>
        <v/>
      </c>
      <c r="AN26" s="192">
        <f>AL26-AK26</f>
        <v/>
      </c>
      <c r="AO26" s="76">
        <f>SUM(AY26,Y26:Z26,T26)*IF(AND(offer_incoterms="DDP",offer_sale_type&lt;&gt;"экспорт"),IF((TODAY()+offer_turnaround_time)&gt;=helpsheet!$L$17,rate_vatRU_from_26,rate_vatRu_till_25),0)</f>
        <v/>
      </c>
      <c r="AP26" s="193">
        <f>AN26-AO26</f>
        <v/>
      </c>
      <c r="AQ26" s="118">
        <f>IF(offer_sale_type="транзит",SUM(AF26:AI26,BA26,BB26),0)</f>
        <v/>
      </c>
      <c r="AR26" s="82">
        <f>HYPERLINK("https://www.alta.ru/tnved/code/")&amp;W26&amp;"/"</f>
        <v/>
      </c>
      <c r="AS26" s="157" t="n"/>
      <c r="AT26" s="162" t="n"/>
      <c r="AU26" s="76">
        <f>IF(ISBLANK(AT26),0,AJ26-AT26)</f>
        <v/>
      </c>
      <c r="AV26" s="157" t="n"/>
      <c r="AW26" s="75">
        <f>_xlfn.IFNA(VLOOKUP(L26,list_vat[],3,FALSE),0)</f>
        <v/>
      </c>
      <c r="AX26" s="76">
        <f>IFERROR(ROUND(S26*(1+AW26)/E26,2),0)</f>
        <v/>
      </c>
      <c r="AY26" s="76">
        <f>E26*AX26</f>
        <v/>
      </c>
      <c r="AZ26" s="192">
        <f>S26*(1+M26)</f>
        <v/>
      </c>
      <c r="BA26" s="76">
        <f>cost_fin_total*$BD26</f>
        <v/>
      </c>
      <c r="BB26" s="193">
        <f>credit_sales_interest*BD26</f>
        <v/>
      </c>
      <c r="BC26" s="102">
        <f>IFERROR(IF($I$13&gt;0,$I26/$I$13,$S26/$S$13),0)</f>
        <v/>
      </c>
      <c r="BD26" s="102">
        <f>IFERROR($S26/$S$13,0)</f>
        <v/>
      </c>
      <c r="BE26" s="413" t="inlineStr">
        <is>
          <t>$</t>
        </is>
      </c>
    </row>
    <row r="27" ht="12" customFormat="1" customHeight="1" s="65">
      <c r="A27" s="43" t="n">
        <v>12</v>
      </c>
      <c r="B27" s="166" t="n"/>
      <c r="C27" s="166" t="n"/>
      <c r="D27" s="166" t="n"/>
      <c r="E27" s="162" t="n"/>
      <c r="F27" s="166" t="n"/>
      <c r="G27" s="162" t="n"/>
      <c r="H27" s="162" t="n"/>
      <c r="I27" s="189">
        <f>E27*G27</f>
        <v/>
      </c>
      <c r="J27" s="195" t="n"/>
      <c r="K27" s="162" t="n"/>
      <c r="L27" s="168" t="n"/>
      <c r="M27" s="75">
        <f>_xlfn.XLOOKUP(L27,list_vat[Страна],list_vat[Ставка НДС %],0,0)</f>
        <v/>
      </c>
      <c r="N27" s="162">
        <f>IFERROR(IF(L27="Китай",K27,K27/(1+M27)),0)</f>
        <v/>
      </c>
      <c r="O27" s="169" t="n"/>
      <c r="P27" s="76">
        <f>N27*(1-O27)</f>
        <v/>
      </c>
      <c r="Q27" s="162" t="n"/>
      <c r="R27" s="162">
        <f>IF(ISBLANK(Q27),"введи курс",P27/Q27)</f>
        <v/>
      </c>
      <c r="S27" s="196">
        <f>IF(AND(ISNUMBER(E27),ISNUMBER(Q27)),E27*R27,0)</f>
        <v/>
      </c>
      <c r="T27" s="192">
        <f>$BC27*V$11</f>
        <v/>
      </c>
      <c r="U27" s="76">
        <f>$BC27*W$11</f>
        <v/>
      </c>
      <c r="V27" s="193">
        <f>+SUM(T27:U27)</f>
        <v/>
      </c>
      <c r="W27" s="191" t="n"/>
      <c r="X27" s="170" t="n"/>
      <c r="Y27" s="76">
        <f>ROUND(IF(offer_incoterms="DDP",X27*(S27*(1+AW27)+T27),0),2)</f>
        <v/>
      </c>
      <c r="Z27" s="188" t="n"/>
      <c r="AA27" s="192">
        <f>IFERROR(AB27/E27,0)</f>
        <v/>
      </c>
      <c r="AB27" s="76">
        <f>ROUND(SUM(S27,V27,Y27:Z27,BA27:BB27),2)</f>
        <v/>
      </c>
      <c r="AC27" s="797" t="n"/>
      <c r="AD27" s="192">
        <f t="array" ref="AD27">IFERROR(ROUND((_xlfn.IFS(offer_sale_type="поставка",AB27,offer_sale_type="транзит",S27)*(1+AC27))/E27,2),0)</f>
        <v/>
      </c>
      <c r="AE27" s="76">
        <f>AD27*E27</f>
        <v/>
      </c>
      <c r="AF27" s="193">
        <f t="array" ref="AF27">IFERROR(ROUND(_xlfn.IFS(offer_sale_type="поставка",AB27,offer_sale_type="транзит",S27)*AC27,2),0)</f>
        <v/>
      </c>
      <c r="AG27" s="192">
        <f>$BD27*VLOOKUP($AG$3,$AF$4:$AG$7,2,FALSE)</f>
        <v/>
      </c>
      <c r="AH27" s="76">
        <f>SUM(AE27,AG27,AI27)*rate_forex_risk</f>
        <v/>
      </c>
      <c r="AI27" s="193">
        <f>IF(OR(seller_region="TR",offer_sale_type="экспорт"),0,rate_fin_comm)*SUM(AZ27,AZ27*AW27,T27)</f>
        <v/>
      </c>
      <c r="AJ27" s="118">
        <f>IFERROR(ROUND(SUM(AB27,AF27:AI27)/E27,2),0)</f>
        <v/>
      </c>
      <c r="AK27" s="76">
        <f>AJ27*E27</f>
        <v/>
      </c>
      <c r="AL27" s="174">
        <f>ROUND(IFERROR(AM27*E27,0),2)</f>
        <v/>
      </c>
      <c r="AM27" s="175">
        <f>ROUND(AJ27*(1+IF(offer_incoterms="DDP",IF((TODAY()+offer_turnaround_time)&gt;=helpsheet!$L$17,rate_vatRU_from_26,rate_vatRu_till_25),0)),2)</f>
        <v/>
      </c>
      <c r="AN27" s="192">
        <f>AL27-AK27</f>
        <v/>
      </c>
      <c r="AO27" s="76">
        <f>SUM(AY27,Y27:Z27,T27)*IF(AND(offer_incoterms="DDP",offer_sale_type&lt;&gt;"экспорт"),IF((TODAY()+offer_turnaround_time)&gt;=helpsheet!$L$17,rate_vatRU_from_26,rate_vatRu_till_25),0)</f>
        <v/>
      </c>
      <c r="AP27" s="193">
        <f>AN27-AO27</f>
        <v/>
      </c>
      <c r="AQ27" s="118">
        <f>IF(offer_sale_type="транзит",SUM(AF27:AI27,BA27,BB27),0)</f>
        <v/>
      </c>
      <c r="AR27" s="82">
        <f>HYPERLINK("https://www.alta.ru/tnved/code/")&amp;W27&amp;"/"</f>
        <v/>
      </c>
      <c r="AS27" s="157" t="n"/>
      <c r="AT27" s="162" t="n"/>
      <c r="AU27" s="76">
        <f>IF(ISBLANK(AT27),0,AJ27-AT27)</f>
        <v/>
      </c>
      <c r="AV27" s="157" t="n"/>
      <c r="AW27" s="75">
        <f>_xlfn.IFNA(VLOOKUP(L27,list_vat[],3,FALSE),0)</f>
        <v/>
      </c>
      <c r="AX27" s="76">
        <f>IFERROR(ROUND(S27*(1+AW27)/E27,2),0)</f>
        <v/>
      </c>
      <c r="AY27" s="76">
        <f>E27*AX27</f>
        <v/>
      </c>
      <c r="AZ27" s="192">
        <f>S27*(1+M27)</f>
        <v/>
      </c>
      <c r="BA27" s="76">
        <f>cost_fin_total*$BD27</f>
        <v/>
      </c>
      <c r="BB27" s="193">
        <f>credit_sales_interest*BD27</f>
        <v/>
      </c>
      <c r="BC27" s="102">
        <f>IFERROR(IF($I$13&gt;0,$I27/$I$13,$S27/$S$13),0)</f>
        <v/>
      </c>
      <c r="BD27" s="102">
        <f>IFERROR($S27/$S$13,0)</f>
        <v/>
      </c>
      <c r="BE27" s="413" t="inlineStr">
        <is>
          <t>$</t>
        </is>
      </c>
    </row>
    <row r="28" ht="12" customFormat="1" customHeight="1" s="65">
      <c r="A28" s="43" t="n">
        <v>13</v>
      </c>
      <c r="B28" s="166" t="n"/>
      <c r="C28" s="166" t="n"/>
      <c r="D28" s="166" t="n"/>
      <c r="E28" s="162" t="n"/>
      <c r="F28" s="166" t="n"/>
      <c r="G28" s="162" t="n"/>
      <c r="H28" s="162" t="n"/>
      <c r="I28" s="189">
        <f>E28*G28</f>
        <v/>
      </c>
      <c r="J28" s="195" t="n"/>
      <c r="K28" s="162" t="n"/>
      <c r="L28" s="168" t="n"/>
      <c r="M28" s="75">
        <f>_xlfn.XLOOKUP(L28,list_vat[Страна],list_vat[Ставка НДС %],0,0)</f>
        <v/>
      </c>
      <c r="N28" s="162">
        <f>IFERROR(IF(L28="Китай",K28,K28/(1+M28)),0)</f>
        <v/>
      </c>
      <c r="O28" s="169" t="n"/>
      <c r="P28" s="76">
        <f>N28*(1-O28)</f>
        <v/>
      </c>
      <c r="Q28" s="162" t="n"/>
      <c r="R28" s="162">
        <f>IF(ISBLANK(Q28),"введи курс",P28/Q28)</f>
        <v/>
      </c>
      <c r="S28" s="196">
        <f>IF(AND(ISNUMBER(E28),ISNUMBER(Q28)),E28*R28,0)</f>
        <v/>
      </c>
      <c r="T28" s="192">
        <f>$BC28*V$11</f>
        <v/>
      </c>
      <c r="U28" s="76">
        <f>$BC28*W$11</f>
        <v/>
      </c>
      <c r="V28" s="193">
        <f>+SUM(T28:U28)</f>
        <v/>
      </c>
      <c r="W28" s="191" t="n"/>
      <c r="X28" s="170" t="n"/>
      <c r="Y28" s="76">
        <f>ROUND(IF(offer_incoterms="DDP",X28*(S28*(1+AW28)+T28),0),2)</f>
        <v/>
      </c>
      <c r="Z28" s="188" t="n"/>
      <c r="AA28" s="192">
        <f>IFERROR(AB28/E28,0)</f>
        <v/>
      </c>
      <c r="AB28" s="76">
        <f>ROUND(SUM(S28,V28,Y28:Z28,BA28:BB28),2)</f>
        <v/>
      </c>
      <c r="AC28" s="797" t="n"/>
      <c r="AD28" s="192">
        <f t="array" ref="AD28">IFERROR(ROUND((_xlfn.IFS(offer_sale_type="поставка",AB28,offer_sale_type="транзит",S28)*(1+AC28))/E28,2),0)</f>
        <v/>
      </c>
      <c r="AE28" s="76">
        <f>AD28*E28</f>
        <v/>
      </c>
      <c r="AF28" s="193">
        <f t="array" ref="AF28">IFERROR(ROUND(_xlfn.IFS(offer_sale_type="поставка",AB28,offer_sale_type="транзит",S28)*AC28,2),0)</f>
        <v/>
      </c>
      <c r="AG28" s="192">
        <f>$BD28*VLOOKUP($AG$3,$AF$4:$AG$7,2,FALSE)</f>
        <v/>
      </c>
      <c r="AH28" s="76">
        <f>SUM(AE28,AG28,AI28)*rate_forex_risk</f>
        <v/>
      </c>
      <c r="AI28" s="193">
        <f>IF(OR(seller_region="TR",offer_sale_type="экспорт"),0,rate_fin_comm)*SUM(AZ28,AZ28*AW28,T28)</f>
        <v/>
      </c>
      <c r="AJ28" s="118">
        <f>IFERROR(ROUND(SUM(AB28,AF28:AI28)/E28,2),0)</f>
        <v/>
      </c>
      <c r="AK28" s="76">
        <f>AJ28*E28</f>
        <v/>
      </c>
      <c r="AL28" s="174">
        <f>ROUND(IFERROR(AM28*E28,0),2)</f>
        <v/>
      </c>
      <c r="AM28" s="175">
        <f>ROUND(AJ28*(1+IF(offer_incoterms="DDP",IF((TODAY()+offer_turnaround_time)&gt;=helpsheet!$L$17,rate_vatRU_from_26,rate_vatRu_till_25),0)),2)</f>
        <v/>
      </c>
      <c r="AN28" s="192">
        <f>AL28-AK28</f>
        <v/>
      </c>
      <c r="AO28" s="76">
        <f>SUM(AY28,Y28:Z28,T28)*IF(AND(offer_incoterms="DDP",offer_sale_type&lt;&gt;"экспорт"),IF((TODAY()+offer_turnaround_time)&gt;=helpsheet!$L$17,rate_vatRU_from_26,rate_vatRu_till_25),0)</f>
        <v/>
      </c>
      <c r="AP28" s="193">
        <f>AN28-AO28</f>
        <v/>
      </c>
      <c r="AQ28" s="118">
        <f>IF(offer_sale_type="транзит",SUM(AF28:AI28,BA28,BB28),0)</f>
        <v/>
      </c>
      <c r="AR28" s="82">
        <f>HYPERLINK("https://www.alta.ru/tnved/code/")&amp;W28&amp;"/"</f>
        <v/>
      </c>
      <c r="AS28" s="157" t="n"/>
      <c r="AT28" s="162" t="n"/>
      <c r="AU28" s="76">
        <f>IF(ISBLANK(AT28),0,AJ28-AT28)</f>
        <v/>
      </c>
      <c r="AV28" s="157" t="n"/>
      <c r="AW28" s="75">
        <f>_xlfn.IFNA(VLOOKUP(L28,list_vat[],3,FALSE),0)</f>
        <v/>
      </c>
      <c r="AX28" s="76">
        <f>IFERROR(ROUND(S28*(1+AW28)/E28,2),0)</f>
        <v/>
      </c>
      <c r="AY28" s="76">
        <f>E28*AX28</f>
        <v/>
      </c>
      <c r="AZ28" s="192">
        <f>S28*(1+M28)</f>
        <v/>
      </c>
      <c r="BA28" s="76">
        <f>cost_fin_total*$BD28</f>
        <v/>
      </c>
      <c r="BB28" s="193">
        <f>credit_sales_interest*BD28</f>
        <v/>
      </c>
      <c r="BC28" s="102">
        <f>IFERROR(IF($I$13&gt;0,$I28/$I$13,$S28/$S$13),0)</f>
        <v/>
      </c>
      <c r="BD28" s="102">
        <f>IFERROR($S28/$S$13,0)</f>
        <v/>
      </c>
      <c r="BE28" s="413" t="inlineStr">
        <is>
          <t>$</t>
        </is>
      </c>
    </row>
    <row r="29" ht="12" customFormat="1" customHeight="1" s="65">
      <c r="A29" s="43" t="n">
        <v>14</v>
      </c>
      <c r="B29" s="166" t="n"/>
      <c r="C29" s="166" t="n"/>
      <c r="D29" s="166" t="n"/>
      <c r="E29" s="162" t="n"/>
      <c r="F29" s="166" t="n"/>
      <c r="G29" s="162" t="n"/>
      <c r="H29" s="162" t="n"/>
      <c r="I29" s="189">
        <f>E29*G29</f>
        <v/>
      </c>
      <c r="J29" s="195" t="n"/>
      <c r="K29" s="162" t="n"/>
      <c r="L29" s="168" t="n"/>
      <c r="M29" s="75">
        <f>_xlfn.XLOOKUP(L29,list_vat[Страна],list_vat[Ставка НДС %],0,0)</f>
        <v/>
      </c>
      <c r="N29" s="162">
        <f>IFERROR(IF(L29="Китай",K29,K29/(1+M29)),0)</f>
        <v/>
      </c>
      <c r="O29" s="169" t="n"/>
      <c r="P29" s="76">
        <f>N29*(1-O29)</f>
        <v/>
      </c>
      <c r="Q29" s="162" t="n"/>
      <c r="R29" s="162">
        <f>IF(ISBLANK(Q29),"введи курс",P29/Q29)</f>
        <v/>
      </c>
      <c r="S29" s="196">
        <f>IF(AND(ISNUMBER(E29),ISNUMBER(Q29)),E29*R29,0)</f>
        <v/>
      </c>
      <c r="T29" s="192">
        <f>$BC29*V$11</f>
        <v/>
      </c>
      <c r="U29" s="76">
        <f>$BC29*W$11</f>
        <v/>
      </c>
      <c r="V29" s="193">
        <f>+SUM(T29:U29)</f>
        <v/>
      </c>
      <c r="W29" s="191" t="n"/>
      <c r="X29" s="170" t="n"/>
      <c r="Y29" s="76">
        <f>ROUND(IF(offer_incoterms="DDP",X29*(S29*(1+AW29)+T29),0),2)</f>
        <v/>
      </c>
      <c r="Z29" s="188" t="n"/>
      <c r="AA29" s="192">
        <f>IFERROR(AB29/E29,0)</f>
        <v/>
      </c>
      <c r="AB29" s="76">
        <f>ROUND(SUM(S29,V29,Y29:Z29,BA29:BB29),2)</f>
        <v/>
      </c>
      <c r="AC29" s="797" t="n"/>
      <c r="AD29" s="192">
        <f t="array" ref="AD29">IFERROR(ROUND((_xlfn.IFS(offer_sale_type="поставка",AB29,offer_sale_type="транзит",S29)*(1+AC29))/E29,2),0)</f>
        <v/>
      </c>
      <c r="AE29" s="76">
        <f>AD29*E29</f>
        <v/>
      </c>
      <c r="AF29" s="193">
        <f t="array" ref="AF29">IFERROR(ROUND(_xlfn.IFS(offer_sale_type="поставка",AB29,offer_sale_type="транзит",S29)*AC29,2),0)</f>
        <v/>
      </c>
      <c r="AG29" s="192">
        <f>$BD29*VLOOKUP($AG$3,$AF$4:$AG$7,2,FALSE)</f>
        <v/>
      </c>
      <c r="AH29" s="76">
        <f>SUM(AE29,AG29,AI29)*rate_forex_risk</f>
        <v/>
      </c>
      <c r="AI29" s="193">
        <f>IF(OR(seller_region="TR",offer_sale_type="экспорт"),0,rate_fin_comm)*SUM(AZ29,AZ29*AW29,T29)</f>
        <v/>
      </c>
      <c r="AJ29" s="118">
        <f>IFERROR(ROUND(SUM(AB29,AF29:AI29)/E29,2),0)</f>
        <v/>
      </c>
      <c r="AK29" s="76">
        <f>AJ29*E29</f>
        <v/>
      </c>
      <c r="AL29" s="174">
        <f>ROUND(IFERROR(AM29*E29,0),2)</f>
        <v/>
      </c>
      <c r="AM29" s="175">
        <f>ROUND(AJ29*(1+IF(offer_incoterms="DDP",IF((TODAY()+offer_turnaround_time)&gt;=helpsheet!$L$17,rate_vatRU_from_26,rate_vatRu_till_25),0)),2)</f>
        <v/>
      </c>
      <c r="AN29" s="192">
        <f>AL29-AK29</f>
        <v/>
      </c>
      <c r="AO29" s="76">
        <f>SUM(AY29,Y29:Z29,T29)*IF(AND(offer_incoterms="DDP",offer_sale_type&lt;&gt;"экспорт"),IF((TODAY()+offer_turnaround_time)&gt;=helpsheet!$L$17,rate_vatRU_from_26,rate_vatRu_till_25),0)</f>
        <v/>
      </c>
      <c r="AP29" s="193">
        <f>AN29-AO29</f>
        <v/>
      </c>
      <c r="AQ29" s="118">
        <f>IF(offer_sale_type="транзит",SUM(AF29:AI29,BA29,BB29),0)</f>
        <v/>
      </c>
      <c r="AR29" s="82">
        <f>HYPERLINK("https://www.alta.ru/tnved/code/")&amp;W29&amp;"/"</f>
        <v/>
      </c>
      <c r="AS29" s="157" t="n"/>
      <c r="AT29" s="162" t="n"/>
      <c r="AU29" s="76">
        <f>IF(ISBLANK(AT29),0,AJ29-AT29)</f>
        <v/>
      </c>
      <c r="AV29" s="157" t="n"/>
      <c r="AW29" s="75">
        <f>_xlfn.IFNA(VLOOKUP(L29,list_vat[],3,FALSE),0)</f>
        <v/>
      </c>
      <c r="AX29" s="76">
        <f>IFERROR(ROUND(S29*(1+AW29)/E29,2),0)</f>
        <v/>
      </c>
      <c r="AY29" s="76">
        <f>E29*AX29</f>
        <v/>
      </c>
      <c r="AZ29" s="192">
        <f>S29*(1+M29)</f>
        <v/>
      </c>
      <c r="BA29" s="76">
        <f>cost_fin_total*$BD29</f>
        <v/>
      </c>
      <c r="BB29" s="193">
        <f>credit_sales_interest*BD29</f>
        <v/>
      </c>
      <c r="BC29" s="102">
        <f>IFERROR(IF($I$13&gt;0,$I29/$I$13,$S29/$S$13),0)</f>
        <v/>
      </c>
      <c r="BD29" s="102">
        <f>IFERROR($S29/$S$13,0)</f>
        <v/>
      </c>
      <c r="BE29" s="413" t="inlineStr">
        <is>
          <t>$</t>
        </is>
      </c>
    </row>
    <row r="30" ht="12" customFormat="1" customHeight="1" s="65">
      <c r="A30" s="43" t="n">
        <v>15</v>
      </c>
      <c r="B30" s="166" t="n"/>
      <c r="C30" s="166" t="n"/>
      <c r="D30" s="166" t="n"/>
      <c r="E30" s="162" t="n"/>
      <c r="F30" s="166" t="n"/>
      <c r="G30" s="162" t="n"/>
      <c r="H30" s="162" t="n"/>
      <c r="I30" s="189">
        <f>E30*G30</f>
        <v/>
      </c>
      <c r="J30" s="195" t="n"/>
      <c r="K30" s="162" t="n"/>
      <c r="L30" s="168" t="n"/>
      <c r="M30" s="75">
        <f>_xlfn.XLOOKUP(L30,list_vat[Страна],list_vat[Ставка НДС %],0,0)</f>
        <v/>
      </c>
      <c r="N30" s="162">
        <f>IFERROR(IF(L30="Китай",K30,K30/(1+M30)),0)</f>
        <v/>
      </c>
      <c r="O30" s="169" t="n"/>
      <c r="P30" s="76">
        <f>N30*(1-O30)</f>
        <v/>
      </c>
      <c r="Q30" s="162" t="n"/>
      <c r="R30" s="162">
        <f>IF(ISBLANK(Q30),"введи курс",P30/Q30)</f>
        <v/>
      </c>
      <c r="S30" s="196">
        <f>IF(AND(ISNUMBER(E30),ISNUMBER(Q30)),E30*R30,0)</f>
        <v/>
      </c>
      <c r="T30" s="192">
        <f>$BC30*V$11</f>
        <v/>
      </c>
      <c r="U30" s="76">
        <f>$BC30*W$11</f>
        <v/>
      </c>
      <c r="V30" s="193">
        <f>+SUM(T30:U30)</f>
        <v/>
      </c>
      <c r="W30" s="191" t="n"/>
      <c r="X30" s="170" t="n"/>
      <c r="Y30" s="76">
        <f>ROUND(IF(offer_incoterms="DDP",X30*(S30*(1+AW30)+T30),0),2)</f>
        <v/>
      </c>
      <c r="Z30" s="188" t="n"/>
      <c r="AA30" s="192">
        <f>IFERROR(AB30/E30,0)</f>
        <v/>
      </c>
      <c r="AB30" s="76">
        <f>ROUND(SUM(S30,V30,Y30:Z30,BA30:BB30),2)</f>
        <v/>
      </c>
      <c r="AC30" s="797" t="n"/>
      <c r="AD30" s="192">
        <f t="array" ref="AD30">IFERROR(ROUND((_xlfn.IFS(offer_sale_type="поставка",AB30,offer_sale_type="транзит",S30)*(1+AC30))/E30,2),0)</f>
        <v/>
      </c>
      <c r="AE30" s="76">
        <f>AD30*E30</f>
        <v/>
      </c>
      <c r="AF30" s="193">
        <f t="array" ref="AF30">IFERROR(ROUND(_xlfn.IFS(offer_sale_type="поставка",AB30,offer_sale_type="транзит",S30)*AC30,2),0)</f>
        <v/>
      </c>
      <c r="AG30" s="192">
        <f>$BD30*VLOOKUP($AG$3,$AF$4:$AG$7,2,FALSE)</f>
        <v/>
      </c>
      <c r="AH30" s="76">
        <f>SUM(AE30,AG30,AI30)*rate_forex_risk</f>
        <v/>
      </c>
      <c r="AI30" s="193">
        <f>IF(OR(seller_region="TR",offer_sale_type="экспорт"),0,rate_fin_comm)*SUM(AZ30,AZ30*AW30,T30)</f>
        <v/>
      </c>
      <c r="AJ30" s="118">
        <f>IFERROR(ROUND(SUM(AB30,AF30:AI30)/E30,2),0)</f>
        <v/>
      </c>
      <c r="AK30" s="76">
        <f>AJ30*E30</f>
        <v/>
      </c>
      <c r="AL30" s="174">
        <f>ROUND(IFERROR(AM30*E30,0),2)</f>
        <v/>
      </c>
      <c r="AM30" s="175">
        <f>ROUND(AJ30*(1+IF(offer_incoterms="DDP",IF((TODAY()+offer_turnaround_time)&gt;=helpsheet!$L$17,rate_vatRU_from_26,rate_vatRu_till_25),0)),2)</f>
        <v/>
      </c>
      <c r="AN30" s="192">
        <f>AL30-AK30</f>
        <v/>
      </c>
      <c r="AO30" s="76">
        <f>SUM(AY30,Y30:Z30,T30)*IF(AND(offer_incoterms="DDP",offer_sale_type&lt;&gt;"экспорт"),IF((TODAY()+offer_turnaround_time)&gt;=helpsheet!$L$17,rate_vatRU_from_26,rate_vatRu_till_25),0)</f>
        <v/>
      </c>
      <c r="AP30" s="193">
        <f>AN30-AO30</f>
        <v/>
      </c>
      <c r="AQ30" s="118">
        <f>IF(offer_sale_type="транзит",SUM(AF30:AI30,BA30,BB30),0)</f>
        <v/>
      </c>
      <c r="AR30" s="82">
        <f>HYPERLINK("https://www.alta.ru/tnved/code/")&amp;W30&amp;"/"</f>
        <v/>
      </c>
      <c r="AS30" s="157" t="n"/>
      <c r="AT30" s="162" t="n"/>
      <c r="AU30" s="76">
        <f>IF(ISBLANK(AT30),0,AJ30-AT30)</f>
        <v/>
      </c>
      <c r="AV30" s="157" t="n"/>
      <c r="AW30" s="75">
        <f>_xlfn.IFNA(VLOOKUP(L30,list_vat[],3,FALSE),0)</f>
        <v/>
      </c>
      <c r="AX30" s="76">
        <f>IFERROR(ROUND(S30*(1+AW30)/E30,2),0)</f>
        <v/>
      </c>
      <c r="AY30" s="76">
        <f>E30*AX30</f>
        <v/>
      </c>
      <c r="AZ30" s="192">
        <f>S30*(1+M30)</f>
        <v/>
      </c>
      <c r="BA30" s="76">
        <f>cost_fin_total*$BD30</f>
        <v/>
      </c>
      <c r="BB30" s="193">
        <f>credit_sales_interest*BD30</f>
        <v/>
      </c>
      <c r="BC30" s="102">
        <f>IFERROR(IF($I$13&gt;0,$I30/$I$13,$S30/$S$13),0)</f>
        <v/>
      </c>
      <c r="BD30" s="102">
        <f>IFERROR($S30/$S$13,0)</f>
        <v/>
      </c>
      <c r="BE30" s="413" t="inlineStr">
        <is>
          <t>$</t>
        </is>
      </c>
    </row>
    <row r="31" ht="12" customFormat="1" customHeight="1" s="65">
      <c r="A31" s="43" t="n">
        <v>16</v>
      </c>
      <c r="B31" s="166" t="n"/>
      <c r="C31" s="166" t="n"/>
      <c r="D31" s="166" t="n"/>
      <c r="E31" s="162" t="n"/>
      <c r="F31" s="166" t="n"/>
      <c r="G31" s="162" t="n"/>
      <c r="H31" s="162" t="n"/>
      <c r="I31" s="189">
        <f>E31*G31</f>
        <v/>
      </c>
      <c r="J31" s="195" t="n"/>
      <c r="K31" s="162" t="n"/>
      <c r="L31" s="168" t="n"/>
      <c r="M31" s="75">
        <f>_xlfn.XLOOKUP(L31,list_vat[Страна],list_vat[Ставка НДС %],0,0)</f>
        <v/>
      </c>
      <c r="N31" s="162">
        <f>IFERROR(IF(L31="Китай",K31,K31/(1+M31)),0)</f>
        <v/>
      </c>
      <c r="O31" s="169" t="n"/>
      <c r="P31" s="76">
        <f>N31*(1-O31)</f>
        <v/>
      </c>
      <c r="Q31" s="162" t="n"/>
      <c r="R31" s="162">
        <f>IF(ISBLANK(Q31),"введи курс",P31/Q31)</f>
        <v/>
      </c>
      <c r="S31" s="196">
        <f>IF(AND(ISNUMBER(E31),ISNUMBER(Q31)),E31*R31,0)</f>
        <v/>
      </c>
      <c r="T31" s="192">
        <f>$BC31*V$11</f>
        <v/>
      </c>
      <c r="U31" s="76">
        <f>$BC31*W$11</f>
        <v/>
      </c>
      <c r="V31" s="193">
        <f>+SUM(T31:U31)</f>
        <v/>
      </c>
      <c r="W31" s="191" t="n"/>
      <c r="X31" s="170" t="n"/>
      <c r="Y31" s="76">
        <f>ROUND(IF(offer_incoterms="DDP",X31*(S31*(1+AW31)+T31),0),2)</f>
        <v/>
      </c>
      <c r="Z31" s="188" t="n"/>
      <c r="AA31" s="192">
        <f>IFERROR(AB31/E31,0)</f>
        <v/>
      </c>
      <c r="AB31" s="76">
        <f>ROUND(SUM(S31,V31,Y31:Z31,BA31:BB31),2)</f>
        <v/>
      </c>
      <c r="AC31" s="797" t="n"/>
      <c r="AD31" s="192">
        <f t="array" ref="AD31">IFERROR(ROUND((_xlfn.IFS(offer_sale_type="поставка",AB31,offer_sale_type="транзит",S31)*(1+AC31))/E31,2),0)</f>
        <v/>
      </c>
      <c r="AE31" s="76">
        <f>AD31*E31</f>
        <v/>
      </c>
      <c r="AF31" s="193">
        <f t="array" ref="AF31">IFERROR(ROUND(_xlfn.IFS(offer_sale_type="поставка",AB31,offer_sale_type="транзит",S31)*AC31,2),0)</f>
        <v/>
      </c>
      <c r="AG31" s="192">
        <f>$BD31*VLOOKUP($AG$3,$AF$4:$AG$7,2,FALSE)</f>
        <v/>
      </c>
      <c r="AH31" s="76">
        <f>SUM(AE31,AG31,AI31)*rate_forex_risk</f>
        <v/>
      </c>
      <c r="AI31" s="193">
        <f>IF(OR(seller_region="TR",offer_sale_type="экспорт"),0,rate_fin_comm)*SUM(AZ31,AZ31*AW31,T31)</f>
        <v/>
      </c>
      <c r="AJ31" s="118">
        <f>IFERROR(ROUND(SUM(AB31,AF31:AI31)/E31,2),0)</f>
        <v/>
      </c>
      <c r="AK31" s="76">
        <f>AJ31*E31</f>
        <v/>
      </c>
      <c r="AL31" s="174">
        <f>ROUND(IFERROR(AM31*E31,0),2)</f>
        <v/>
      </c>
      <c r="AM31" s="175">
        <f>ROUND(AJ31*(1+IF(offer_incoterms="DDP",IF((TODAY()+offer_turnaround_time)&gt;=helpsheet!$L$17,rate_vatRU_from_26,rate_vatRu_till_25),0)),2)</f>
        <v/>
      </c>
      <c r="AN31" s="192">
        <f>AL31-AK31</f>
        <v/>
      </c>
      <c r="AO31" s="76">
        <f>SUM(AY31,Y31:Z31,T31)*IF(AND(offer_incoterms="DDP",offer_sale_type&lt;&gt;"экспорт"),IF((TODAY()+offer_turnaround_time)&gt;=helpsheet!$L$17,rate_vatRU_from_26,rate_vatRu_till_25),0)</f>
        <v/>
      </c>
      <c r="AP31" s="193">
        <f>AN31-AO31</f>
        <v/>
      </c>
      <c r="AQ31" s="118">
        <f>IF(offer_sale_type="транзит",SUM(AF31:AI31,BA31,BB31),0)</f>
        <v/>
      </c>
      <c r="AR31" s="82">
        <f>HYPERLINK("https://www.alta.ru/tnved/code/")&amp;W31&amp;"/"</f>
        <v/>
      </c>
      <c r="AS31" s="157" t="n"/>
      <c r="AT31" s="162" t="n"/>
      <c r="AU31" s="76">
        <f>IF(ISBLANK(AT31),0,AJ31-AT31)</f>
        <v/>
      </c>
      <c r="AV31" s="157" t="n"/>
      <c r="AW31" s="75">
        <f>_xlfn.IFNA(VLOOKUP(L31,list_vat[],3,FALSE),0)</f>
        <v/>
      </c>
      <c r="AX31" s="76">
        <f>IFERROR(ROUND(S31*(1+AW31)/E31,2),0)</f>
        <v/>
      </c>
      <c r="AY31" s="76">
        <f>E31*AX31</f>
        <v/>
      </c>
      <c r="AZ31" s="192">
        <f>S31*(1+M31)</f>
        <v/>
      </c>
      <c r="BA31" s="76">
        <f>cost_fin_total*$BD31</f>
        <v/>
      </c>
      <c r="BB31" s="193">
        <f>credit_sales_interest*BD31</f>
        <v/>
      </c>
      <c r="BC31" s="102">
        <f>IFERROR(IF($I$13&gt;0,$I31/$I$13,$S31/$S$13),0)</f>
        <v/>
      </c>
      <c r="BD31" s="102">
        <f>IFERROR($S31/$S$13,0)</f>
        <v/>
      </c>
      <c r="BE31" s="413" t="inlineStr">
        <is>
          <t>$</t>
        </is>
      </c>
    </row>
    <row r="32" ht="12" customFormat="1" customHeight="1" s="65">
      <c r="A32" s="43" t="n">
        <v>17</v>
      </c>
      <c r="B32" s="166" t="n"/>
      <c r="C32" s="166" t="n"/>
      <c r="D32" s="166" t="n"/>
      <c r="E32" s="162" t="n"/>
      <c r="F32" s="166" t="n"/>
      <c r="G32" s="162" t="n"/>
      <c r="H32" s="162" t="n"/>
      <c r="I32" s="189">
        <f>E32*G32</f>
        <v/>
      </c>
      <c r="J32" s="195" t="n"/>
      <c r="K32" s="162" t="n"/>
      <c r="L32" s="168" t="n"/>
      <c r="M32" s="75">
        <f>_xlfn.XLOOKUP(L32,list_vat[Страна],list_vat[Ставка НДС %],0,0)</f>
        <v/>
      </c>
      <c r="N32" s="162">
        <f>IFERROR(IF(L32="Китай",K32,K32/(1+M32)),0)</f>
        <v/>
      </c>
      <c r="O32" s="169" t="n"/>
      <c r="P32" s="76">
        <f>N32*(1-O32)</f>
        <v/>
      </c>
      <c r="Q32" s="162" t="n"/>
      <c r="R32" s="162">
        <f>IF(ISBLANK(Q32),"введи курс",P32/Q32)</f>
        <v/>
      </c>
      <c r="S32" s="196">
        <f>IF(AND(ISNUMBER(E32),ISNUMBER(Q32)),E32*R32,0)</f>
        <v/>
      </c>
      <c r="T32" s="192">
        <f>$BC32*V$11</f>
        <v/>
      </c>
      <c r="U32" s="76">
        <f>$BC32*W$11</f>
        <v/>
      </c>
      <c r="V32" s="193">
        <f>+SUM(T32:U32)</f>
        <v/>
      </c>
      <c r="W32" s="191" t="n"/>
      <c r="X32" s="170" t="n"/>
      <c r="Y32" s="76">
        <f>ROUND(IF(offer_incoterms="DDP",X32*(S32*(1+AW32)+T32),0),2)</f>
        <v/>
      </c>
      <c r="Z32" s="188" t="n"/>
      <c r="AA32" s="192">
        <f>IFERROR(AB32/E32,0)</f>
        <v/>
      </c>
      <c r="AB32" s="76">
        <f>ROUND(SUM(S32,V32,Y32:Z32,BA32:BB32),2)</f>
        <v/>
      </c>
      <c r="AC32" s="797" t="n"/>
      <c r="AD32" s="192">
        <f t="array" ref="AD32">IFERROR(ROUND((_xlfn.IFS(offer_sale_type="поставка",AB32,offer_sale_type="транзит",S32)*(1+AC32))/E32,2),0)</f>
        <v/>
      </c>
      <c r="AE32" s="76">
        <f>AD32*E32</f>
        <v/>
      </c>
      <c r="AF32" s="193">
        <f t="array" ref="AF32">IFERROR(ROUND(_xlfn.IFS(offer_sale_type="поставка",AB32,offer_sale_type="транзит",S32)*AC32,2),0)</f>
        <v/>
      </c>
      <c r="AG32" s="192">
        <f>$BD32*VLOOKUP($AG$3,$AF$4:$AG$7,2,FALSE)</f>
        <v/>
      </c>
      <c r="AH32" s="76">
        <f>SUM(AE32,AG32,AI32)*rate_forex_risk</f>
        <v/>
      </c>
      <c r="AI32" s="193">
        <f>IF(OR(seller_region="TR",offer_sale_type="экспорт"),0,rate_fin_comm)*SUM(AZ32,AZ32*AW32,T32)</f>
        <v/>
      </c>
      <c r="AJ32" s="118">
        <f>IFERROR(ROUND(SUM(AB32,AF32:AI32)/E32,2),0)</f>
        <v/>
      </c>
      <c r="AK32" s="76">
        <f>AJ32*E32</f>
        <v/>
      </c>
      <c r="AL32" s="174">
        <f>ROUND(IFERROR(AM32*E32,0),2)</f>
        <v/>
      </c>
      <c r="AM32" s="175">
        <f>ROUND(AJ32*(1+IF(offer_incoterms="DDP",IF((TODAY()+offer_turnaround_time)&gt;=helpsheet!$L$17,rate_vatRU_from_26,rate_vatRu_till_25),0)),2)</f>
        <v/>
      </c>
      <c r="AN32" s="192">
        <f>AL32-AK32</f>
        <v/>
      </c>
      <c r="AO32" s="76">
        <f>SUM(AY32,Y32:Z32,T32)*IF(AND(offer_incoterms="DDP",offer_sale_type&lt;&gt;"экспорт"),IF((TODAY()+offer_turnaround_time)&gt;=helpsheet!$L$17,rate_vatRU_from_26,rate_vatRu_till_25),0)</f>
        <v/>
      </c>
      <c r="AP32" s="193">
        <f>AN32-AO32</f>
        <v/>
      </c>
      <c r="AQ32" s="118">
        <f>IF(offer_sale_type="транзит",SUM(AF32:AI32,BA32,BB32),0)</f>
        <v/>
      </c>
      <c r="AR32" s="82">
        <f>HYPERLINK("https://www.alta.ru/tnved/code/")&amp;W32&amp;"/"</f>
        <v/>
      </c>
      <c r="AS32" s="157" t="n"/>
      <c r="AT32" s="162" t="n"/>
      <c r="AU32" s="76">
        <f>IF(ISBLANK(AT32),0,AJ32-AT32)</f>
        <v/>
      </c>
      <c r="AV32" s="157" t="n"/>
      <c r="AW32" s="75">
        <f>_xlfn.IFNA(VLOOKUP(L32,list_vat[],3,FALSE),0)</f>
        <v/>
      </c>
      <c r="AX32" s="76">
        <f>IFERROR(ROUND(S32*(1+AW32)/E32,2),0)</f>
        <v/>
      </c>
      <c r="AY32" s="76">
        <f>E32*AX32</f>
        <v/>
      </c>
      <c r="AZ32" s="192">
        <f>S32*(1+M32)</f>
        <v/>
      </c>
      <c r="BA32" s="76">
        <f>cost_fin_total*$BD32</f>
        <v/>
      </c>
      <c r="BB32" s="193">
        <f>credit_sales_interest*BD32</f>
        <v/>
      </c>
      <c r="BC32" s="102">
        <f>IFERROR(IF($I$13&gt;0,$I32/$I$13,$S32/$S$13),0)</f>
        <v/>
      </c>
      <c r="BD32" s="102">
        <f>IFERROR($S32/$S$13,0)</f>
        <v/>
      </c>
      <c r="BE32" s="413" t="inlineStr">
        <is>
          <t>$</t>
        </is>
      </c>
    </row>
    <row r="33" ht="12" customFormat="1" customHeight="1" s="65">
      <c r="A33" s="43" t="n">
        <v>18</v>
      </c>
      <c r="B33" s="166" t="n"/>
      <c r="C33" s="166" t="n"/>
      <c r="D33" s="166" t="n"/>
      <c r="E33" s="162" t="n"/>
      <c r="F33" s="166" t="n"/>
      <c r="G33" s="162" t="n"/>
      <c r="H33" s="162" t="n"/>
      <c r="I33" s="189">
        <f>E33*G33</f>
        <v/>
      </c>
      <c r="J33" s="195" t="n"/>
      <c r="K33" s="162" t="n"/>
      <c r="L33" s="168" t="n"/>
      <c r="M33" s="75">
        <f>_xlfn.XLOOKUP(L33,list_vat[Страна],list_vat[Ставка НДС %],0,0)</f>
        <v/>
      </c>
      <c r="N33" s="162">
        <f>IFERROR(IF(L33="Китай",K33,K33/(1+M33)),0)</f>
        <v/>
      </c>
      <c r="O33" s="169" t="n"/>
      <c r="P33" s="76">
        <f>N33*(1-O33)</f>
        <v/>
      </c>
      <c r="Q33" s="162" t="n"/>
      <c r="R33" s="162">
        <f>IF(ISBLANK(Q33),"введи курс",P33/Q33)</f>
        <v/>
      </c>
      <c r="S33" s="196">
        <f>IF(AND(ISNUMBER(E33),ISNUMBER(Q33)),E33*R33,0)</f>
        <v/>
      </c>
      <c r="T33" s="192">
        <f>$BC33*V$11</f>
        <v/>
      </c>
      <c r="U33" s="76">
        <f>$BC33*W$11</f>
        <v/>
      </c>
      <c r="V33" s="193">
        <f>+SUM(T33:U33)</f>
        <v/>
      </c>
      <c r="W33" s="191" t="n"/>
      <c r="X33" s="170" t="n"/>
      <c r="Y33" s="76">
        <f>ROUND(IF(offer_incoterms="DDP",X33*(S33*(1+AW33)+T33),0),2)</f>
        <v/>
      </c>
      <c r="Z33" s="188" t="n"/>
      <c r="AA33" s="192">
        <f>IFERROR(AB33/E33,0)</f>
        <v/>
      </c>
      <c r="AB33" s="76">
        <f>ROUND(SUM(S33,V33,Y33:Z33,BA33:BB33),2)</f>
        <v/>
      </c>
      <c r="AC33" s="797" t="n"/>
      <c r="AD33" s="192">
        <f t="array" ref="AD33">IFERROR(ROUND((_xlfn.IFS(offer_sale_type="поставка",AB33,offer_sale_type="транзит",S33)*(1+AC33))/E33,2),0)</f>
        <v/>
      </c>
      <c r="AE33" s="76">
        <f>AD33*E33</f>
        <v/>
      </c>
      <c r="AF33" s="193">
        <f t="array" ref="AF33">IFERROR(ROUND(_xlfn.IFS(offer_sale_type="поставка",AB33,offer_sale_type="транзит",S33)*AC33,2),0)</f>
        <v/>
      </c>
      <c r="AG33" s="192">
        <f>$BD33*VLOOKUP($AG$3,$AF$4:$AG$7,2,FALSE)</f>
        <v/>
      </c>
      <c r="AH33" s="76">
        <f>SUM(AE33,AG33,AI33)*rate_forex_risk</f>
        <v/>
      </c>
      <c r="AI33" s="193">
        <f>IF(OR(seller_region="TR",offer_sale_type="экспорт"),0,rate_fin_comm)*SUM(AZ33,AZ33*AW33,T33)</f>
        <v/>
      </c>
      <c r="AJ33" s="118">
        <f>IFERROR(ROUND(SUM(AB33,AF33:AI33)/E33,2),0)</f>
        <v/>
      </c>
      <c r="AK33" s="76">
        <f>AJ33*E33</f>
        <v/>
      </c>
      <c r="AL33" s="174">
        <f>ROUND(IFERROR(AM33*E33,0),2)</f>
        <v/>
      </c>
      <c r="AM33" s="175">
        <f>ROUND(AJ33*(1+IF(offer_incoterms="DDP",IF((TODAY()+offer_turnaround_time)&gt;=helpsheet!$L$17,rate_vatRU_from_26,rate_vatRu_till_25),0)),2)</f>
        <v/>
      </c>
      <c r="AN33" s="192">
        <f>AL33-AK33</f>
        <v/>
      </c>
      <c r="AO33" s="76">
        <f>SUM(AY33,Y33:Z33,T33)*IF(AND(offer_incoterms="DDP",offer_sale_type&lt;&gt;"экспорт"),IF((TODAY()+offer_turnaround_time)&gt;=helpsheet!$L$17,rate_vatRU_from_26,rate_vatRu_till_25),0)</f>
        <v/>
      </c>
      <c r="AP33" s="193">
        <f>AN33-AO33</f>
        <v/>
      </c>
      <c r="AQ33" s="118">
        <f>IF(offer_sale_type="транзит",SUM(AF33:AI33,BA33,BB33),0)</f>
        <v/>
      </c>
      <c r="AR33" s="82">
        <f>HYPERLINK("https://www.alta.ru/tnved/code/")&amp;W33&amp;"/"</f>
        <v/>
      </c>
      <c r="AS33" s="157" t="n"/>
      <c r="AT33" s="162" t="n"/>
      <c r="AU33" s="76">
        <f>IF(ISBLANK(AT33),0,AJ33-AT33)</f>
        <v/>
      </c>
      <c r="AV33" s="157" t="n"/>
      <c r="AW33" s="75">
        <f>_xlfn.IFNA(VLOOKUP(L33,list_vat[],3,FALSE),0)</f>
        <v/>
      </c>
      <c r="AX33" s="76">
        <f>IFERROR(ROUND(S33*(1+AW33)/E33,2),0)</f>
        <v/>
      </c>
      <c r="AY33" s="76">
        <f>E33*AX33</f>
        <v/>
      </c>
      <c r="AZ33" s="192">
        <f>S33*(1+M33)</f>
        <v/>
      </c>
      <c r="BA33" s="76">
        <f>cost_fin_total*$BD33</f>
        <v/>
      </c>
      <c r="BB33" s="193">
        <f>credit_sales_interest*BD33</f>
        <v/>
      </c>
      <c r="BC33" s="102">
        <f>IFERROR(IF($I$13&gt;0,$I33/$I$13,$S33/$S$13),0)</f>
        <v/>
      </c>
      <c r="BD33" s="102">
        <f>IFERROR($S33/$S$13,0)</f>
        <v/>
      </c>
      <c r="BE33" s="413" t="inlineStr">
        <is>
          <t>$</t>
        </is>
      </c>
    </row>
    <row r="34" ht="12" customFormat="1" customHeight="1" s="65">
      <c r="A34" s="43" t="n">
        <v>19</v>
      </c>
      <c r="B34" s="166" t="n"/>
      <c r="C34" s="166" t="n"/>
      <c r="D34" s="166" t="n"/>
      <c r="E34" s="162" t="n"/>
      <c r="F34" s="166" t="n"/>
      <c r="G34" s="162" t="n"/>
      <c r="H34" s="162" t="n"/>
      <c r="I34" s="189">
        <f>E34*G34</f>
        <v/>
      </c>
      <c r="J34" s="195" t="n"/>
      <c r="K34" s="162" t="n"/>
      <c r="L34" s="168" t="n"/>
      <c r="M34" s="75">
        <f>_xlfn.XLOOKUP(L34,list_vat[Страна],list_vat[Ставка НДС %],0,0)</f>
        <v/>
      </c>
      <c r="N34" s="162">
        <f>IFERROR(IF(L34="Китай",K34,K34/(1+M34)),0)</f>
        <v/>
      </c>
      <c r="O34" s="169" t="n"/>
      <c r="P34" s="76">
        <f>N34*(1-O34)</f>
        <v/>
      </c>
      <c r="Q34" s="162" t="n"/>
      <c r="R34" s="162">
        <f>IF(ISBLANK(Q34),"введи курс",P34/Q34)</f>
        <v/>
      </c>
      <c r="S34" s="196">
        <f>IF(AND(ISNUMBER(E34),ISNUMBER(Q34)),E34*R34,0)</f>
        <v/>
      </c>
      <c r="T34" s="192">
        <f>$BC34*V$11</f>
        <v/>
      </c>
      <c r="U34" s="76">
        <f>$BC34*W$11</f>
        <v/>
      </c>
      <c r="V34" s="193">
        <f>+SUM(T34:U34)</f>
        <v/>
      </c>
      <c r="W34" s="191" t="n"/>
      <c r="X34" s="170" t="n"/>
      <c r="Y34" s="76">
        <f>ROUND(IF(offer_incoterms="DDP",X34*(S34*(1+AW34)+T34),0),2)</f>
        <v/>
      </c>
      <c r="Z34" s="188" t="n"/>
      <c r="AA34" s="192">
        <f>IFERROR(AB34/E34,0)</f>
        <v/>
      </c>
      <c r="AB34" s="76">
        <f>ROUND(SUM(S34,V34,Y34:Z34,BA34:BB34),2)</f>
        <v/>
      </c>
      <c r="AC34" s="797" t="n"/>
      <c r="AD34" s="192">
        <f t="array" ref="AD34">IFERROR(ROUND((_xlfn.IFS(offer_sale_type="поставка",AB34,offer_sale_type="транзит",S34)*(1+AC34))/E34,2),0)</f>
        <v/>
      </c>
      <c r="AE34" s="76">
        <f>AD34*E34</f>
        <v/>
      </c>
      <c r="AF34" s="193">
        <f t="array" ref="AF34">IFERROR(ROUND(_xlfn.IFS(offer_sale_type="поставка",AB34,offer_sale_type="транзит",S34)*AC34,2),0)</f>
        <v/>
      </c>
      <c r="AG34" s="192">
        <f>$BD34*VLOOKUP($AG$3,$AF$4:$AG$7,2,FALSE)</f>
        <v/>
      </c>
      <c r="AH34" s="76">
        <f>SUM(AE34,AG34,AI34)*rate_forex_risk</f>
        <v/>
      </c>
      <c r="AI34" s="193">
        <f>IF(OR(seller_region="TR",offer_sale_type="экспорт"),0,rate_fin_comm)*SUM(AZ34,AZ34*AW34,T34)</f>
        <v/>
      </c>
      <c r="AJ34" s="118">
        <f>IFERROR(ROUND(SUM(AB34,AF34:AI34)/E34,2),0)</f>
        <v/>
      </c>
      <c r="AK34" s="76">
        <f>AJ34*E34</f>
        <v/>
      </c>
      <c r="AL34" s="174">
        <f>ROUND(IFERROR(AM34*E34,0),2)</f>
        <v/>
      </c>
      <c r="AM34" s="175">
        <f>ROUND(AJ34*(1+IF(offer_incoterms="DDP",IF((TODAY()+offer_turnaround_time)&gt;=helpsheet!$L$17,rate_vatRU_from_26,rate_vatRu_till_25),0)),2)</f>
        <v/>
      </c>
      <c r="AN34" s="192">
        <f>AL34-AK34</f>
        <v/>
      </c>
      <c r="AO34" s="76">
        <f>SUM(AY34,Y34:Z34,T34)*IF(AND(offer_incoterms="DDP",offer_sale_type&lt;&gt;"экспорт"),IF((TODAY()+offer_turnaround_time)&gt;=helpsheet!$L$17,rate_vatRU_from_26,rate_vatRu_till_25),0)</f>
        <v/>
      </c>
      <c r="AP34" s="193">
        <f>AN34-AO34</f>
        <v/>
      </c>
      <c r="AQ34" s="118">
        <f>IF(offer_sale_type="транзит",SUM(AF34:AI34,BA34,BB34),0)</f>
        <v/>
      </c>
      <c r="AR34" s="82">
        <f>HYPERLINK("https://www.alta.ru/tnved/code/")&amp;W34&amp;"/"</f>
        <v/>
      </c>
      <c r="AS34" s="157" t="n"/>
      <c r="AT34" s="162" t="n"/>
      <c r="AU34" s="76">
        <f>IF(ISBLANK(AT34),0,AJ34-AT34)</f>
        <v/>
      </c>
      <c r="AV34" s="157" t="n"/>
      <c r="AW34" s="75">
        <f>_xlfn.IFNA(VLOOKUP(L34,list_vat[],3,FALSE),0)</f>
        <v/>
      </c>
      <c r="AX34" s="76">
        <f>IFERROR(ROUND(S34*(1+AW34)/E34,2),0)</f>
        <v/>
      </c>
      <c r="AY34" s="76">
        <f>E34*AX34</f>
        <v/>
      </c>
      <c r="AZ34" s="192">
        <f>S34*(1+M34)</f>
        <v/>
      </c>
      <c r="BA34" s="76">
        <f>cost_fin_total*$BD34</f>
        <v/>
      </c>
      <c r="BB34" s="193">
        <f>credit_sales_interest*BD34</f>
        <v/>
      </c>
      <c r="BC34" s="102">
        <f>IFERROR(IF($I$13&gt;0,$I34/$I$13,$S34/$S$13),0)</f>
        <v/>
      </c>
      <c r="BD34" s="102">
        <f>IFERROR($S34/$S$13,0)</f>
        <v/>
      </c>
      <c r="BE34" s="413" t="inlineStr">
        <is>
          <t>$</t>
        </is>
      </c>
    </row>
    <row r="35" ht="12" customFormat="1" customHeight="1" s="65">
      <c r="A35" s="43" t="n">
        <v>20</v>
      </c>
      <c r="B35" s="166" t="n"/>
      <c r="C35" s="166" t="n"/>
      <c r="D35" s="166" t="n"/>
      <c r="E35" s="162" t="n"/>
      <c r="F35" s="166" t="n"/>
      <c r="G35" s="162" t="n"/>
      <c r="H35" s="162" t="n"/>
      <c r="I35" s="189">
        <f>E35*G35</f>
        <v/>
      </c>
      <c r="J35" s="195" t="n"/>
      <c r="K35" s="162" t="n"/>
      <c r="L35" s="168" t="n"/>
      <c r="M35" s="75">
        <f>_xlfn.XLOOKUP(L35,list_vat[Страна],list_vat[Ставка НДС %],0,0)</f>
        <v/>
      </c>
      <c r="N35" s="162">
        <f>IFERROR(IF(L35="Китай",K35,K35/(1+M35)),0)</f>
        <v/>
      </c>
      <c r="O35" s="169" t="n"/>
      <c r="P35" s="76">
        <f>N35*(1-O35)</f>
        <v/>
      </c>
      <c r="Q35" s="162" t="n"/>
      <c r="R35" s="162">
        <f>IF(ISBLANK(Q35),"введи курс",P35/Q35)</f>
        <v/>
      </c>
      <c r="S35" s="196">
        <f>IF(AND(ISNUMBER(E35),ISNUMBER(Q35)),E35*R35,0)</f>
        <v/>
      </c>
      <c r="T35" s="192">
        <f>$BC35*V$11</f>
        <v/>
      </c>
      <c r="U35" s="76">
        <f>$BC35*W$11</f>
        <v/>
      </c>
      <c r="V35" s="193">
        <f>+SUM(T35:U35)</f>
        <v/>
      </c>
      <c r="W35" s="191" t="n"/>
      <c r="X35" s="170" t="n"/>
      <c r="Y35" s="76">
        <f>ROUND(IF(offer_incoterms="DDP",X35*(S35*(1+AW35)+T35),0),2)</f>
        <v/>
      </c>
      <c r="Z35" s="188" t="n"/>
      <c r="AA35" s="192">
        <f>IFERROR(AB35/E35,0)</f>
        <v/>
      </c>
      <c r="AB35" s="76">
        <f>ROUND(SUM(S35,V35,Y35:Z35,BA35:BB35),2)</f>
        <v/>
      </c>
      <c r="AC35" s="797" t="n"/>
      <c r="AD35" s="192">
        <f t="array" ref="AD35">IFERROR(ROUND((_xlfn.IFS(offer_sale_type="поставка",AB35,offer_sale_type="транзит",S35)*(1+AC35))/E35,2),0)</f>
        <v/>
      </c>
      <c r="AE35" s="76">
        <f>AD35*E35</f>
        <v/>
      </c>
      <c r="AF35" s="193">
        <f t="array" ref="AF35">IFERROR(ROUND(_xlfn.IFS(offer_sale_type="поставка",AB35,offer_sale_type="транзит",S35)*AC35,2),0)</f>
        <v/>
      </c>
      <c r="AG35" s="192">
        <f>$BD35*VLOOKUP($AG$3,$AF$4:$AG$7,2,FALSE)</f>
        <v/>
      </c>
      <c r="AH35" s="76">
        <f>SUM(AE35,AG35,AI35)*rate_forex_risk</f>
        <v/>
      </c>
      <c r="AI35" s="193">
        <f>IF(OR(seller_region="TR",offer_sale_type="экспорт"),0,rate_fin_comm)*SUM(AZ35,AZ35*AW35,T35)</f>
        <v/>
      </c>
      <c r="AJ35" s="118">
        <f>IFERROR(ROUND(SUM(AB35,AF35:AI35)/E35,2),0)</f>
        <v/>
      </c>
      <c r="AK35" s="76">
        <f>AJ35*E35</f>
        <v/>
      </c>
      <c r="AL35" s="174">
        <f>ROUND(IFERROR(AM35*E35,0),2)</f>
        <v/>
      </c>
      <c r="AM35" s="175">
        <f>ROUND(AJ35*(1+IF(offer_incoterms="DDP",IF((TODAY()+offer_turnaround_time)&gt;=helpsheet!$L$17,rate_vatRU_from_26,rate_vatRu_till_25),0)),2)</f>
        <v/>
      </c>
      <c r="AN35" s="192">
        <f>AL35-AK35</f>
        <v/>
      </c>
      <c r="AO35" s="76">
        <f>SUM(AY35,Y35:Z35,T35)*IF(AND(offer_incoterms="DDP",offer_sale_type&lt;&gt;"экспорт"),IF((TODAY()+offer_turnaround_time)&gt;=helpsheet!$L$17,rate_vatRU_from_26,rate_vatRu_till_25),0)</f>
        <v/>
      </c>
      <c r="AP35" s="193">
        <f>AN35-AO35</f>
        <v/>
      </c>
      <c r="AQ35" s="118">
        <f>IF(offer_sale_type="транзит",SUM(AF35:AI35,BA35,BB35),0)</f>
        <v/>
      </c>
      <c r="AR35" s="82">
        <f>HYPERLINK("https://www.alta.ru/tnved/code/")&amp;W35&amp;"/"</f>
        <v/>
      </c>
      <c r="AS35" s="157" t="n"/>
      <c r="AT35" s="162" t="n"/>
      <c r="AU35" s="76">
        <f>IF(ISBLANK(AT35),0,AJ35-AT35)</f>
        <v/>
      </c>
      <c r="AV35" s="157" t="n"/>
      <c r="AW35" s="75">
        <f>_xlfn.IFNA(VLOOKUP(L35,list_vat[],3,FALSE),0)</f>
        <v/>
      </c>
      <c r="AX35" s="76">
        <f>IFERROR(ROUND(S35*(1+AW35)/E35,2),0)</f>
        <v/>
      </c>
      <c r="AY35" s="76">
        <f>E35*AX35</f>
        <v/>
      </c>
      <c r="AZ35" s="192">
        <f>S35*(1+M35)</f>
        <v/>
      </c>
      <c r="BA35" s="76">
        <f>cost_fin_total*$BD35</f>
        <v/>
      </c>
      <c r="BB35" s="193">
        <f>credit_sales_interest*BD35</f>
        <v/>
      </c>
      <c r="BC35" s="102">
        <f>IFERROR(IF($I$13&gt;0,$I35/$I$13,$S35/$S$13),0)</f>
        <v/>
      </c>
      <c r="BD35" s="102">
        <f>IFERROR($S35/$S$13,0)</f>
        <v/>
      </c>
      <c r="BE35" s="413" t="inlineStr">
        <is>
          <t>$</t>
        </is>
      </c>
    </row>
    <row r="36" ht="12" customFormat="1" customHeight="1" s="65">
      <c r="A36" s="43" t="n">
        <v>21</v>
      </c>
      <c r="B36" s="166" t="n"/>
      <c r="C36" s="166" t="n"/>
      <c r="D36" s="166" t="n"/>
      <c r="E36" s="162" t="n"/>
      <c r="F36" s="166" t="n"/>
      <c r="G36" s="162" t="n"/>
      <c r="H36" s="162" t="n"/>
      <c r="I36" s="189">
        <f>E36*G36</f>
        <v/>
      </c>
      <c r="J36" s="195" t="n"/>
      <c r="K36" s="162" t="n"/>
      <c r="L36" s="168" t="n"/>
      <c r="M36" s="75">
        <f>_xlfn.XLOOKUP(L36,list_vat[Страна],list_vat[Ставка НДС %],0,0)</f>
        <v/>
      </c>
      <c r="N36" s="162">
        <f>IFERROR(IF(L36="Китай",K36,K36/(1+M36)),0)</f>
        <v/>
      </c>
      <c r="O36" s="169" t="n"/>
      <c r="P36" s="76">
        <f>N36*(1-O36)</f>
        <v/>
      </c>
      <c r="Q36" s="162" t="n"/>
      <c r="R36" s="162">
        <f>IF(ISBLANK(Q36),"введи курс",P36/Q36)</f>
        <v/>
      </c>
      <c r="S36" s="196">
        <f>IF(AND(ISNUMBER(E36),ISNUMBER(Q36)),E36*R36,0)</f>
        <v/>
      </c>
      <c r="T36" s="192">
        <f>$BC36*V$11</f>
        <v/>
      </c>
      <c r="U36" s="76">
        <f>$BC36*W$11</f>
        <v/>
      </c>
      <c r="V36" s="193">
        <f>+SUM(T36:U36)</f>
        <v/>
      </c>
      <c r="W36" s="191" t="n"/>
      <c r="X36" s="170" t="n"/>
      <c r="Y36" s="76">
        <f>ROUND(IF(offer_incoterms="DDP",X36*(S36*(1+AW36)+T36),0),2)</f>
        <v/>
      </c>
      <c r="Z36" s="188" t="n"/>
      <c r="AA36" s="192">
        <f>IFERROR(AB36/E36,0)</f>
        <v/>
      </c>
      <c r="AB36" s="76">
        <f>ROUND(SUM(S36,V36,Y36:Z36,BA36:BB36),2)</f>
        <v/>
      </c>
      <c r="AC36" s="797" t="n"/>
      <c r="AD36" s="192">
        <f t="array" ref="AD36">IFERROR(ROUND((_xlfn.IFS(offer_sale_type="поставка",AB36,offer_sale_type="транзит",S36)*(1+AC36))/E36,2),0)</f>
        <v/>
      </c>
      <c r="AE36" s="76">
        <f>AD36*E36</f>
        <v/>
      </c>
      <c r="AF36" s="193">
        <f t="array" ref="AF36">IFERROR(ROUND(_xlfn.IFS(offer_sale_type="поставка",AB36,offer_sale_type="транзит",S36)*AC36,2),0)</f>
        <v/>
      </c>
      <c r="AG36" s="192">
        <f>$BD36*VLOOKUP($AG$3,$AF$4:$AG$7,2,FALSE)</f>
        <v/>
      </c>
      <c r="AH36" s="76">
        <f>SUM(AE36,AG36,AI36)*rate_forex_risk</f>
        <v/>
      </c>
      <c r="AI36" s="193">
        <f>IF(OR(seller_region="TR",offer_sale_type="экспорт"),0,rate_fin_comm)*SUM(AZ36,AZ36*AW36,T36)</f>
        <v/>
      </c>
      <c r="AJ36" s="118">
        <f>IFERROR(ROUND(SUM(AB36,AF36:AI36)/E36,2),0)</f>
        <v/>
      </c>
      <c r="AK36" s="76">
        <f>AJ36*E36</f>
        <v/>
      </c>
      <c r="AL36" s="174">
        <f>ROUND(IFERROR(AM36*E36,0),2)</f>
        <v/>
      </c>
      <c r="AM36" s="175">
        <f>ROUND(AJ36*(1+IF(offer_incoterms="DDP",IF((TODAY()+offer_turnaround_time)&gt;=helpsheet!$L$17,rate_vatRU_from_26,rate_vatRu_till_25),0)),2)</f>
        <v/>
      </c>
      <c r="AN36" s="192">
        <f>AL36-AK36</f>
        <v/>
      </c>
      <c r="AO36" s="76">
        <f>SUM(AY36,Y36:Z36,T36)*IF(AND(offer_incoterms="DDP",offer_sale_type&lt;&gt;"экспорт"),IF((TODAY()+offer_turnaround_time)&gt;=helpsheet!$L$17,rate_vatRU_from_26,rate_vatRu_till_25),0)</f>
        <v/>
      </c>
      <c r="AP36" s="193">
        <f>AN36-AO36</f>
        <v/>
      </c>
      <c r="AQ36" s="118">
        <f>IF(offer_sale_type="транзит",SUM(AF36:AI36,BA36,BB36),0)</f>
        <v/>
      </c>
      <c r="AR36" s="82">
        <f>HYPERLINK("https://www.alta.ru/tnved/code/")&amp;W36&amp;"/"</f>
        <v/>
      </c>
      <c r="AS36" s="157" t="n"/>
      <c r="AT36" s="162" t="n"/>
      <c r="AU36" s="76">
        <f>IF(ISBLANK(AT36),0,AJ36-AT36)</f>
        <v/>
      </c>
      <c r="AV36" s="157" t="n"/>
      <c r="AW36" s="75">
        <f>_xlfn.IFNA(VLOOKUP(L36,list_vat[],3,FALSE),0)</f>
        <v/>
      </c>
      <c r="AX36" s="76">
        <f>IFERROR(ROUND(S36*(1+AW36)/E36,2),0)</f>
        <v/>
      </c>
      <c r="AY36" s="76">
        <f>E36*AX36</f>
        <v/>
      </c>
      <c r="AZ36" s="192">
        <f>S36*(1+M36)</f>
        <v/>
      </c>
      <c r="BA36" s="76">
        <f>cost_fin_total*$BD36</f>
        <v/>
      </c>
      <c r="BB36" s="193">
        <f>credit_sales_interest*BD36</f>
        <v/>
      </c>
      <c r="BC36" s="102">
        <f>IFERROR(IF($I$13&gt;0,$I36/$I$13,$S36/$S$13),0)</f>
        <v/>
      </c>
      <c r="BD36" s="102">
        <f>IFERROR($S36/$S$13,0)</f>
        <v/>
      </c>
      <c r="BE36" s="413" t="inlineStr">
        <is>
          <t>$</t>
        </is>
      </c>
    </row>
    <row r="37" ht="12" customFormat="1" customHeight="1" s="65">
      <c r="A37" s="43" t="n">
        <v>22</v>
      </c>
      <c r="B37" s="166" t="n"/>
      <c r="C37" s="166" t="n"/>
      <c r="D37" s="166" t="n"/>
      <c r="E37" s="162" t="n"/>
      <c r="F37" s="166" t="n"/>
      <c r="G37" s="162" t="n"/>
      <c r="H37" s="162" t="n"/>
      <c r="I37" s="189">
        <f>E37*G37</f>
        <v/>
      </c>
      <c r="J37" s="195" t="n"/>
      <c r="K37" s="162" t="n"/>
      <c r="L37" s="168" t="n"/>
      <c r="M37" s="75">
        <f>_xlfn.XLOOKUP(L37,list_vat[Страна],list_vat[Ставка НДС %],0,0)</f>
        <v/>
      </c>
      <c r="N37" s="162">
        <f>IFERROR(IF(L37="Китай",K37,K37/(1+M37)),0)</f>
        <v/>
      </c>
      <c r="O37" s="169" t="n"/>
      <c r="P37" s="76">
        <f>N37*(1-O37)</f>
        <v/>
      </c>
      <c r="Q37" s="162" t="n"/>
      <c r="R37" s="162">
        <f>IF(ISBLANK(Q37),"введи курс",P37/Q37)</f>
        <v/>
      </c>
      <c r="S37" s="196">
        <f>IF(AND(ISNUMBER(E37),ISNUMBER(Q37)),E37*R37,0)</f>
        <v/>
      </c>
      <c r="T37" s="192">
        <f>$BC37*V$11</f>
        <v/>
      </c>
      <c r="U37" s="76">
        <f>$BC37*W$11</f>
        <v/>
      </c>
      <c r="V37" s="193">
        <f>+SUM(T37:U37)</f>
        <v/>
      </c>
      <c r="W37" s="191" t="n"/>
      <c r="X37" s="170" t="n"/>
      <c r="Y37" s="76">
        <f>ROUND(IF(offer_incoterms="DDP",X37*(S37*(1+AW37)+T37),0),2)</f>
        <v/>
      </c>
      <c r="Z37" s="188" t="n"/>
      <c r="AA37" s="192">
        <f>IFERROR(AB37/E37,0)</f>
        <v/>
      </c>
      <c r="AB37" s="76">
        <f>ROUND(SUM(S37,V37,Y37:Z37,BA37:BB37),2)</f>
        <v/>
      </c>
      <c r="AC37" s="797" t="n"/>
      <c r="AD37" s="192">
        <f t="array" ref="AD37">IFERROR(ROUND((_xlfn.IFS(offer_sale_type="поставка",AB37,offer_sale_type="транзит",S37)*(1+AC37))/E37,2),0)</f>
        <v/>
      </c>
      <c r="AE37" s="76">
        <f>AD37*E37</f>
        <v/>
      </c>
      <c r="AF37" s="193">
        <f t="array" ref="AF37">IFERROR(ROUND(_xlfn.IFS(offer_sale_type="поставка",AB37,offer_sale_type="транзит",S37)*AC37,2),0)</f>
        <v/>
      </c>
      <c r="AG37" s="192">
        <f>$BD37*VLOOKUP($AG$3,$AF$4:$AG$7,2,FALSE)</f>
        <v/>
      </c>
      <c r="AH37" s="76">
        <f>SUM(AE37,AG37,AI37)*rate_forex_risk</f>
        <v/>
      </c>
      <c r="AI37" s="193">
        <f>IF(OR(seller_region="TR",offer_sale_type="экспорт"),0,rate_fin_comm)*SUM(AZ37,AZ37*AW37,T37)</f>
        <v/>
      </c>
      <c r="AJ37" s="118">
        <f>IFERROR(ROUND(SUM(AB37,AF37:AI37)/E37,2),0)</f>
        <v/>
      </c>
      <c r="AK37" s="76">
        <f>AJ37*E37</f>
        <v/>
      </c>
      <c r="AL37" s="174">
        <f>ROUND(IFERROR(AM37*E37,0),2)</f>
        <v/>
      </c>
      <c r="AM37" s="175">
        <f>ROUND(AJ37*(1+IF(offer_incoterms="DDP",IF((TODAY()+offer_turnaround_time)&gt;=helpsheet!$L$17,rate_vatRU_from_26,rate_vatRu_till_25),0)),2)</f>
        <v/>
      </c>
      <c r="AN37" s="192">
        <f>AL37-AK37</f>
        <v/>
      </c>
      <c r="AO37" s="76">
        <f>SUM(AY37,Y37:Z37,T37)*IF(AND(offer_incoterms="DDP",offer_sale_type&lt;&gt;"экспорт"),IF((TODAY()+offer_turnaround_time)&gt;=helpsheet!$L$17,rate_vatRU_from_26,rate_vatRu_till_25),0)</f>
        <v/>
      </c>
      <c r="AP37" s="193">
        <f>AN37-AO37</f>
        <v/>
      </c>
      <c r="AQ37" s="118">
        <f>IF(offer_sale_type="транзит",SUM(AF37:AI37,BA37,BB37),0)</f>
        <v/>
      </c>
      <c r="AR37" s="82">
        <f>HYPERLINK("https://www.alta.ru/tnved/code/")&amp;W37&amp;"/"</f>
        <v/>
      </c>
      <c r="AS37" s="157" t="n"/>
      <c r="AT37" s="162" t="n"/>
      <c r="AU37" s="76">
        <f>IF(ISBLANK(AT37),0,AJ37-AT37)</f>
        <v/>
      </c>
      <c r="AV37" s="157" t="n"/>
      <c r="AW37" s="75">
        <f>_xlfn.IFNA(VLOOKUP(L37,list_vat[],3,FALSE),0)</f>
        <v/>
      </c>
      <c r="AX37" s="76">
        <f>IFERROR(ROUND(S37*(1+AW37)/E37,2),0)</f>
        <v/>
      </c>
      <c r="AY37" s="76">
        <f>E37*AX37</f>
        <v/>
      </c>
      <c r="AZ37" s="192">
        <f>S37*(1+M37)</f>
        <v/>
      </c>
      <c r="BA37" s="76">
        <f>cost_fin_total*$BD37</f>
        <v/>
      </c>
      <c r="BB37" s="193">
        <f>credit_sales_interest*BD37</f>
        <v/>
      </c>
      <c r="BC37" s="102">
        <f>IFERROR(IF($I$13&gt;0,$I37/$I$13,$S37/$S$13),0)</f>
        <v/>
      </c>
      <c r="BD37" s="102">
        <f>IFERROR($S37/$S$13,0)</f>
        <v/>
      </c>
      <c r="BE37" s="413" t="inlineStr">
        <is>
          <t>$</t>
        </is>
      </c>
    </row>
    <row r="38" ht="12" customFormat="1" customHeight="1" s="65">
      <c r="A38" s="43" t="n">
        <v>23</v>
      </c>
      <c r="B38" s="166" t="n"/>
      <c r="C38" s="166" t="n"/>
      <c r="D38" s="166" t="n"/>
      <c r="E38" s="162" t="n"/>
      <c r="F38" s="166" t="n"/>
      <c r="G38" s="162" t="n"/>
      <c r="H38" s="162" t="n"/>
      <c r="I38" s="189">
        <f>E38*G38</f>
        <v/>
      </c>
      <c r="J38" s="195" t="n"/>
      <c r="K38" s="162" t="n"/>
      <c r="L38" s="168" t="n"/>
      <c r="M38" s="75">
        <f>_xlfn.XLOOKUP(L38,list_vat[Страна],list_vat[Ставка НДС %],0,0)</f>
        <v/>
      </c>
      <c r="N38" s="162">
        <f>IFERROR(IF(L38="Китай",K38,K38/(1+M38)),0)</f>
        <v/>
      </c>
      <c r="O38" s="169" t="n"/>
      <c r="P38" s="76">
        <f>N38*(1-O38)</f>
        <v/>
      </c>
      <c r="Q38" s="162" t="n"/>
      <c r="R38" s="162">
        <f>IF(ISBLANK(Q38),"введи курс",P38/Q38)</f>
        <v/>
      </c>
      <c r="S38" s="196">
        <f>IF(AND(ISNUMBER(E38),ISNUMBER(Q38)),E38*R38,0)</f>
        <v/>
      </c>
      <c r="T38" s="192">
        <f>$BC38*V$11</f>
        <v/>
      </c>
      <c r="U38" s="76">
        <f>$BC38*W$11</f>
        <v/>
      </c>
      <c r="V38" s="193">
        <f>+SUM(T38:U38)</f>
        <v/>
      </c>
      <c r="W38" s="191" t="n"/>
      <c r="X38" s="170" t="n"/>
      <c r="Y38" s="76">
        <f>ROUND(IF(offer_incoterms="DDP",X38*(S38*(1+AW38)+T38),0),2)</f>
        <v/>
      </c>
      <c r="Z38" s="188" t="n"/>
      <c r="AA38" s="192">
        <f>IFERROR(AB38/E38,0)</f>
        <v/>
      </c>
      <c r="AB38" s="76">
        <f>ROUND(SUM(S38,V38,Y38:Z38,BA38:BB38),2)</f>
        <v/>
      </c>
      <c r="AC38" s="797" t="n"/>
      <c r="AD38" s="192">
        <f t="array" ref="AD38">IFERROR(ROUND((_xlfn.IFS(offer_sale_type="поставка",AB38,offer_sale_type="транзит",S38)*(1+AC38))/E38,2),0)</f>
        <v/>
      </c>
      <c r="AE38" s="76">
        <f>AD38*E38</f>
        <v/>
      </c>
      <c r="AF38" s="193">
        <f t="array" ref="AF38">IFERROR(ROUND(_xlfn.IFS(offer_sale_type="поставка",AB38,offer_sale_type="транзит",S38)*AC38,2),0)</f>
        <v/>
      </c>
      <c r="AG38" s="192">
        <f>$BD38*VLOOKUP($AG$3,$AF$4:$AG$7,2,FALSE)</f>
        <v/>
      </c>
      <c r="AH38" s="76">
        <f>SUM(AE38,AG38,AI38)*rate_forex_risk</f>
        <v/>
      </c>
      <c r="AI38" s="193">
        <f>IF(OR(seller_region="TR",offer_sale_type="экспорт"),0,rate_fin_comm)*SUM(AZ38,AZ38*AW38,T38)</f>
        <v/>
      </c>
      <c r="AJ38" s="118">
        <f>IFERROR(ROUND(SUM(AB38,AF38:AI38)/E38,2),0)</f>
        <v/>
      </c>
      <c r="AK38" s="76">
        <f>AJ38*E38</f>
        <v/>
      </c>
      <c r="AL38" s="174">
        <f>ROUND(IFERROR(AM38*E38,0),2)</f>
        <v/>
      </c>
      <c r="AM38" s="175">
        <f>ROUND(AJ38*(1+IF(offer_incoterms="DDP",IF((TODAY()+offer_turnaround_time)&gt;=helpsheet!$L$17,rate_vatRU_from_26,rate_vatRu_till_25),0)),2)</f>
        <v/>
      </c>
      <c r="AN38" s="192">
        <f>AL38-AK38</f>
        <v/>
      </c>
      <c r="AO38" s="76">
        <f>SUM(AY38,Y38:Z38,T38)*IF(AND(offer_incoterms="DDP",offer_sale_type&lt;&gt;"экспорт"),IF((TODAY()+offer_turnaround_time)&gt;=helpsheet!$L$17,rate_vatRU_from_26,rate_vatRu_till_25),0)</f>
        <v/>
      </c>
      <c r="AP38" s="193">
        <f>AN38-AO38</f>
        <v/>
      </c>
      <c r="AQ38" s="118">
        <f>IF(offer_sale_type="транзит",SUM(AF38:AI38,BA38,BB38),0)</f>
        <v/>
      </c>
      <c r="AR38" s="82">
        <f>HYPERLINK("https://www.alta.ru/tnved/code/")&amp;W38&amp;"/"</f>
        <v/>
      </c>
      <c r="AS38" s="157" t="n"/>
      <c r="AT38" s="162" t="n"/>
      <c r="AU38" s="76">
        <f>IF(ISBLANK(AT38),0,AJ38-AT38)</f>
        <v/>
      </c>
      <c r="AV38" s="157" t="n"/>
      <c r="AW38" s="75">
        <f>_xlfn.IFNA(VLOOKUP(L38,list_vat[],3,FALSE),0)</f>
        <v/>
      </c>
      <c r="AX38" s="76">
        <f>IFERROR(ROUND(S38*(1+AW38)/E38,2),0)</f>
        <v/>
      </c>
      <c r="AY38" s="76">
        <f>E38*AX38</f>
        <v/>
      </c>
      <c r="AZ38" s="192">
        <f>S38*(1+M38)</f>
        <v/>
      </c>
      <c r="BA38" s="76">
        <f>cost_fin_total*$BD38</f>
        <v/>
      </c>
      <c r="BB38" s="193">
        <f>credit_sales_interest*BD38</f>
        <v/>
      </c>
      <c r="BC38" s="102">
        <f>IFERROR(IF($I$13&gt;0,$I38/$I$13,$S38/$S$13),0)</f>
        <v/>
      </c>
      <c r="BD38" s="102">
        <f>IFERROR($S38/$S$13,0)</f>
        <v/>
      </c>
      <c r="BE38" s="413" t="inlineStr">
        <is>
          <t>$</t>
        </is>
      </c>
    </row>
    <row r="39" ht="12" customFormat="1" customHeight="1" s="65">
      <c r="A39" s="43" t="n">
        <v>24</v>
      </c>
      <c r="B39" s="166" t="n"/>
      <c r="C39" s="166" t="n"/>
      <c r="D39" s="166" t="n"/>
      <c r="E39" s="162" t="n"/>
      <c r="F39" s="166" t="n"/>
      <c r="G39" s="162" t="n"/>
      <c r="H39" s="162" t="n"/>
      <c r="I39" s="189">
        <f>E39*G39</f>
        <v/>
      </c>
      <c r="J39" s="195" t="n"/>
      <c r="K39" s="162" t="n"/>
      <c r="L39" s="168" t="n"/>
      <c r="M39" s="75">
        <f>_xlfn.XLOOKUP(L39,list_vat[Страна],list_vat[Ставка НДС %],0,0)</f>
        <v/>
      </c>
      <c r="N39" s="162">
        <f>IFERROR(IF(L39="Китай",K39,K39/(1+M39)),0)</f>
        <v/>
      </c>
      <c r="O39" s="169" t="n"/>
      <c r="P39" s="76">
        <f>N39*(1-O39)</f>
        <v/>
      </c>
      <c r="Q39" s="162" t="n"/>
      <c r="R39" s="162">
        <f>IF(ISBLANK(Q39),"введи курс",P39/Q39)</f>
        <v/>
      </c>
      <c r="S39" s="196">
        <f>IF(AND(ISNUMBER(E39),ISNUMBER(Q39)),E39*R39,0)</f>
        <v/>
      </c>
      <c r="T39" s="192">
        <f>$BC39*V$11</f>
        <v/>
      </c>
      <c r="U39" s="76">
        <f>$BC39*W$11</f>
        <v/>
      </c>
      <c r="V39" s="193">
        <f>+SUM(T39:U39)</f>
        <v/>
      </c>
      <c r="W39" s="191" t="n"/>
      <c r="X39" s="170" t="n"/>
      <c r="Y39" s="76">
        <f>ROUND(IF(offer_incoterms="DDP",X39*(S39*(1+AW39)+T39),0),2)</f>
        <v/>
      </c>
      <c r="Z39" s="188" t="n"/>
      <c r="AA39" s="192">
        <f>IFERROR(AB39/E39,0)</f>
        <v/>
      </c>
      <c r="AB39" s="76">
        <f>ROUND(SUM(S39,V39,Y39:Z39,BA39:BB39),2)</f>
        <v/>
      </c>
      <c r="AC39" s="797" t="n"/>
      <c r="AD39" s="192">
        <f t="array" ref="AD39">IFERROR(ROUND((_xlfn.IFS(offer_sale_type="поставка",AB39,offer_sale_type="транзит",S39)*(1+AC39))/E39,2),0)</f>
        <v/>
      </c>
      <c r="AE39" s="76">
        <f>AD39*E39</f>
        <v/>
      </c>
      <c r="AF39" s="193">
        <f t="array" ref="AF39">IFERROR(ROUND(_xlfn.IFS(offer_sale_type="поставка",AB39,offer_sale_type="транзит",S39)*AC39,2),0)</f>
        <v/>
      </c>
      <c r="AG39" s="192">
        <f>$BD39*VLOOKUP($AG$3,$AF$4:$AG$7,2,FALSE)</f>
        <v/>
      </c>
      <c r="AH39" s="76">
        <f>SUM(AE39,AG39,AI39)*rate_forex_risk</f>
        <v/>
      </c>
      <c r="AI39" s="193">
        <f>IF(OR(seller_region="TR",offer_sale_type="экспорт"),0,rate_fin_comm)*SUM(AZ39,AZ39*AW39,T39)</f>
        <v/>
      </c>
      <c r="AJ39" s="118">
        <f>IFERROR(ROUND(SUM(AB39,AF39:AI39)/E39,2),0)</f>
        <v/>
      </c>
      <c r="AK39" s="76">
        <f>AJ39*E39</f>
        <v/>
      </c>
      <c r="AL39" s="174">
        <f>ROUND(IFERROR(AM39*E39,0),2)</f>
        <v/>
      </c>
      <c r="AM39" s="175">
        <f>ROUND(AJ39*(1+IF(offer_incoterms="DDP",IF((TODAY()+offer_turnaround_time)&gt;=helpsheet!$L$17,rate_vatRU_from_26,rate_vatRu_till_25),0)),2)</f>
        <v/>
      </c>
      <c r="AN39" s="192">
        <f>AL39-AK39</f>
        <v/>
      </c>
      <c r="AO39" s="76">
        <f>SUM(AY39,Y39:Z39,T39)*IF(AND(offer_incoterms="DDP",offer_sale_type&lt;&gt;"экспорт"),IF((TODAY()+offer_turnaround_time)&gt;=helpsheet!$L$17,rate_vatRU_from_26,rate_vatRu_till_25),0)</f>
        <v/>
      </c>
      <c r="AP39" s="193">
        <f>AN39-AO39</f>
        <v/>
      </c>
      <c r="AQ39" s="118">
        <f>IF(offer_sale_type="транзит",SUM(AF39:AI39,BA39,BB39),0)</f>
        <v/>
      </c>
      <c r="AR39" s="82">
        <f>HYPERLINK("https://www.alta.ru/tnved/code/")&amp;W39&amp;"/"</f>
        <v/>
      </c>
      <c r="AS39" s="157" t="n"/>
      <c r="AT39" s="162" t="n"/>
      <c r="AU39" s="76">
        <f>IF(ISBLANK(AT39),0,AJ39-AT39)</f>
        <v/>
      </c>
      <c r="AV39" s="157" t="n"/>
      <c r="AW39" s="75">
        <f>_xlfn.IFNA(VLOOKUP(L39,list_vat[],3,FALSE),0)</f>
        <v/>
      </c>
      <c r="AX39" s="76">
        <f>IFERROR(ROUND(S39*(1+AW39)/E39,2),0)</f>
        <v/>
      </c>
      <c r="AY39" s="76">
        <f>E39*AX39</f>
        <v/>
      </c>
      <c r="AZ39" s="192">
        <f>S39*(1+M39)</f>
        <v/>
      </c>
      <c r="BA39" s="76">
        <f>cost_fin_total*$BD39</f>
        <v/>
      </c>
      <c r="BB39" s="193">
        <f>credit_sales_interest*BD39</f>
        <v/>
      </c>
      <c r="BC39" s="102">
        <f>IFERROR(IF($I$13&gt;0,$I39/$I$13,$S39/$S$13),0)</f>
        <v/>
      </c>
      <c r="BD39" s="102">
        <f>IFERROR($S39/$S$13,0)</f>
        <v/>
      </c>
      <c r="BE39" s="413" t="inlineStr">
        <is>
          <t>$</t>
        </is>
      </c>
    </row>
    <row r="40" ht="12" customFormat="1" customHeight="1" s="65">
      <c r="A40" s="43" t="n">
        <v>25</v>
      </c>
      <c r="B40" s="166" t="n"/>
      <c r="C40" s="166" t="n"/>
      <c r="D40" s="166" t="n"/>
      <c r="E40" s="162" t="n"/>
      <c r="F40" s="166" t="n"/>
      <c r="G40" s="162" t="n"/>
      <c r="H40" s="162" t="n"/>
      <c r="I40" s="189">
        <f>E40*G40</f>
        <v/>
      </c>
      <c r="J40" s="195" t="n"/>
      <c r="K40" s="162" t="n"/>
      <c r="L40" s="168" t="n"/>
      <c r="M40" s="75">
        <f>_xlfn.XLOOKUP(L40,list_vat[Страна],list_vat[Ставка НДС %],0,0)</f>
        <v/>
      </c>
      <c r="N40" s="162">
        <f>IFERROR(IF(L40="Китай",K40,K40/(1+M40)),0)</f>
        <v/>
      </c>
      <c r="O40" s="169" t="n"/>
      <c r="P40" s="76">
        <f>N40*(1-O40)</f>
        <v/>
      </c>
      <c r="Q40" s="162" t="n"/>
      <c r="R40" s="162">
        <f>IF(ISBLANK(Q40),"введи курс",P40/Q40)</f>
        <v/>
      </c>
      <c r="S40" s="196">
        <f>IF(AND(ISNUMBER(E40),ISNUMBER(Q40)),E40*R40,0)</f>
        <v/>
      </c>
      <c r="T40" s="192">
        <f>$BC40*V$11</f>
        <v/>
      </c>
      <c r="U40" s="76">
        <f>$BC40*W$11</f>
        <v/>
      </c>
      <c r="V40" s="193">
        <f>+SUM(T40:U40)</f>
        <v/>
      </c>
      <c r="W40" s="191" t="n"/>
      <c r="X40" s="170" t="n"/>
      <c r="Y40" s="76">
        <f>ROUND(IF(offer_incoterms="DDP",X40*(S40*(1+AW40)+T40),0),2)</f>
        <v/>
      </c>
      <c r="Z40" s="188" t="n"/>
      <c r="AA40" s="192">
        <f>IFERROR(AB40/E40,0)</f>
        <v/>
      </c>
      <c r="AB40" s="76">
        <f>ROUND(SUM(S40,V40,Y40:Z40,BA40:BB40),2)</f>
        <v/>
      </c>
      <c r="AC40" s="797" t="n"/>
      <c r="AD40" s="192">
        <f t="array" ref="AD40">IFERROR(ROUND((_xlfn.IFS(offer_sale_type="поставка",AB40,offer_sale_type="транзит",S40)*(1+AC40))/E40,2),0)</f>
        <v/>
      </c>
      <c r="AE40" s="76">
        <f>AD40*E40</f>
        <v/>
      </c>
      <c r="AF40" s="193">
        <f t="array" ref="AF40">IFERROR(ROUND(_xlfn.IFS(offer_sale_type="поставка",AB40,offer_sale_type="транзит",S40)*AC40,2),0)</f>
        <v/>
      </c>
      <c r="AG40" s="192">
        <f>$BD40*VLOOKUP($AG$3,$AF$4:$AG$7,2,FALSE)</f>
        <v/>
      </c>
      <c r="AH40" s="76">
        <f>SUM(AE40,AG40,AI40)*rate_forex_risk</f>
        <v/>
      </c>
      <c r="AI40" s="193">
        <f>IF(OR(seller_region="TR",offer_sale_type="экспорт"),0,rate_fin_comm)*SUM(AZ40,AZ40*AW40,T40)</f>
        <v/>
      </c>
      <c r="AJ40" s="118">
        <f>IFERROR(ROUND(SUM(AB40,AF40:AI40)/E40,2),0)</f>
        <v/>
      </c>
      <c r="AK40" s="76">
        <f>AJ40*E40</f>
        <v/>
      </c>
      <c r="AL40" s="174">
        <f>ROUND(IFERROR(AM40*E40,0),2)</f>
        <v/>
      </c>
      <c r="AM40" s="175">
        <f>ROUND(AJ40*(1+IF(offer_incoterms="DDP",IF((TODAY()+offer_turnaround_time)&gt;=helpsheet!$L$17,rate_vatRU_from_26,rate_vatRu_till_25),0)),2)</f>
        <v/>
      </c>
      <c r="AN40" s="192">
        <f>AL40-AK40</f>
        <v/>
      </c>
      <c r="AO40" s="76">
        <f>SUM(AY40,Y40:Z40,T40)*IF(AND(offer_incoterms="DDP",offer_sale_type&lt;&gt;"экспорт"),IF((TODAY()+offer_turnaround_time)&gt;=helpsheet!$L$17,rate_vatRU_from_26,rate_vatRu_till_25),0)</f>
        <v/>
      </c>
      <c r="AP40" s="193">
        <f>AN40-AO40</f>
        <v/>
      </c>
      <c r="AQ40" s="118">
        <f>IF(offer_sale_type="транзит",SUM(AF40:AI40,BA40,BB40),0)</f>
        <v/>
      </c>
      <c r="AR40" s="82">
        <f>HYPERLINK("https://www.alta.ru/tnved/code/")&amp;W40&amp;"/"</f>
        <v/>
      </c>
      <c r="AS40" s="157" t="n"/>
      <c r="AT40" s="162" t="n"/>
      <c r="AU40" s="76">
        <f>IF(ISBLANK(AT40),0,AJ40-AT40)</f>
        <v/>
      </c>
      <c r="AV40" s="157" t="n"/>
      <c r="AW40" s="75">
        <f>_xlfn.IFNA(VLOOKUP(L40,list_vat[],3,FALSE),0)</f>
        <v/>
      </c>
      <c r="AX40" s="76">
        <f>IFERROR(ROUND(S40*(1+AW40)/E40,2),0)</f>
        <v/>
      </c>
      <c r="AY40" s="76">
        <f>E40*AX40</f>
        <v/>
      </c>
      <c r="AZ40" s="192">
        <f>S40*(1+M40)</f>
        <v/>
      </c>
      <c r="BA40" s="76">
        <f>cost_fin_total*$BD40</f>
        <v/>
      </c>
      <c r="BB40" s="193">
        <f>credit_sales_interest*BD40</f>
        <v/>
      </c>
      <c r="BC40" s="102">
        <f>IFERROR(IF($I$13&gt;0,$I40/$I$13,$S40/$S$13),0)</f>
        <v/>
      </c>
      <c r="BD40" s="102">
        <f>IFERROR($S40/$S$13,0)</f>
        <v/>
      </c>
      <c r="BE40" s="413" t="inlineStr">
        <is>
          <t>$</t>
        </is>
      </c>
    </row>
    <row r="41" ht="12" customFormat="1" customHeight="1" s="65">
      <c r="A41" s="43" t="n">
        <v>26</v>
      </c>
      <c r="B41" s="166" t="n"/>
      <c r="C41" s="166" t="n"/>
      <c r="D41" s="166" t="n"/>
      <c r="E41" s="162" t="n"/>
      <c r="F41" s="166" t="n"/>
      <c r="G41" s="162" t="n"/>
      <c r="H41" s="162" t="n"/>
      <c r="I41" s="189">
        <f>E41*G41</f>
        <v/>
      </c>
      <c r="J41" s="195" t="n"/>
      <c r="K41" s="162" t="n"/>
      <c r="L41" s="168" t="n"/>
      <c r="M41" s="75">
        <f>_xlfn.XLOOKUP(L41,list_vat[Страна],list_vat[Ставка НДС %],0,0)</f>
        <v/>
      </c>
      <c r="N41" s="162">
        <f>IFERROR(IF(L41="Китай",K41,K41/(1+M41)),0)</f>
        <v/>
      </c>
      <c r="O41" s="169" t="n"/>
      <c r="P41" s="76">
        <f>N41*(1-O41)</f>
        <v/>
      </c>
      <c r="Q41" s="162" t="n"/>
      <c r="R41" s="162">
        <f>IF(ISBLANK(Q41),"введи курс",P41/Q41)</f>
        <v/>
      </c>
      <c r="S41" s="196">
        <f>IF(AND(ISNUMBER(E41),ISNUMBER(Q41)),E41*R41,0)</f>
        <v/>
      </c>
      <c r="T41" s="192">
        <f>$BC41*V$11</f>
        <v/>
      </c>
      <c r="U41" s="76">
        <f>$BC41*W$11</f>
        <v/>
      </c>
      <c r="V41" s="193">
        <f>+SUM(T41:U41)</f>
        <v/>
      </c>
      <c r="W41" s="191" t="n"/>
      <c r="X41" s="170" t="n"/>
      <c r="Y41" s="76">
        <f>ROUND(IF(offer_incoterms="DDP",X41*(S41*(1+AW41)+T41),0),2)</f>
        <v/>
      </c>
      <c r="Z41" s="188" t="n"/>
      <c r="AA41" s="192">
        <f>IFERROR(AB41/E41,0)</f>
        <v/>
      </c>
      <c r="AB41" s="76">
        <f>ROUND(SUM(S41,V41,Y41:Z41,BA41:BB41),2)</f>
        <v/>
      </c>
      <c r="AC41" s="797" t="n"/>
      <c r="AD41" s="192">
        <f t="array" ref="AD41">IFERROR(ROUND((_xlfn.IFS(offer_sale_type="поставка",AB41,offer_sale_type="транзит",S41)*(1+AC41))/E41,2),0)</f>
        <v/>
      </c>
      <c r="AE41" s="76">
        <f>AD41*E41</f>
        <v/>
      </c>
      <c r="AF41" s="193">
        <f t="array" ref="AF41">IFERROR(ROUND(_xlfn.IFS(offer_sale_type="поставка",AB41,offer_sale_type="транзит",S41)*AC41,2),0)</f>
        <v/>
      </c>
      <c r="AG41" s="192">
        <f>$BD41*VLOOKUP($AG$3,$AF$4:$AG$7,2,FALSE)</f>
        <v/>
      </c>
      <c r="AH41" s="76">
        <f>SUM(AE41,AG41,AI41)*rate_forex_risk</f>
        <v/>
      </c>
      <c r="AI41" s="193">
        <f>IF(OR(seller_region="TR",offer_sale_type="экспорт"),0,rate_fin_comm)*SUM(AZ41,AZ41*AW41,T41)</f>
        <v/>
      </c>
      <c r="AJ41" s="118">
        <f>IFERROR(ROUND(SUM(AB41,AF41:AI41)/E41,2),0)</f>
        <v/>
      </c>
      <c r="AK41" s="76">
        <f>AJ41*E41</f>
        <v/>
      </c>
      <c r="AL41" s="174">
        <f>ROUND(IFERROR(AM41*E41,0),2)</f>
        <v/>
      </c>
      <c r="AM41" s="175">
        <f>ROUND(AJ41*(1+IF(offer_incoterms="DDP",IF((TODAY()+offer_turnaround_time)&gt;=helpsheet!$L$17,rate_vatRU_from_26,rate_vatRu_till_25),0)),2)</f>
        <v/>
      </c>
      <c r="AN41" s="192">
        <f>AL41-AK41</f>
        <v/>
      </c>
      <c r="AO41" s="76">
        <f>SUM(AY41,Y41:Z41,T41)*IF(AND(offer_incoterms="DDP",offer_sale_type&lt;&gt;"экспорт"),IF((TODAY()+offer_turnaround_time)&gt;=helpsheet!$L$17,rate_vatRU_from_26,rate_vatRu_till_25),0)</f>
        <v/>
      </c>
      <c r="AP41" s="193">
        <f>AN41-AO41</f>
        <v/>
      </c>
      <c r="AQ41" s="118">
        <f>IF(offer_sale_type="транзит",SUM(AF41:AI41,BA41,BB41),0)</f>
        <v/>
      </c>
      <c r="AR41" s="82">
        <f>HYPERLINK("https://www.alta.ru/tnved/code/")&amp;W41&amp;"/"</f>
        <v/>
      </c>
      <c r="AS41" s="157" t="n"/>
      <c r="AT41" s="162" t="n"/>
      <c r="AU41" s="76">
        <f>IF(ISBLANK(AT41),0,AJ41-AT41)</f>
        <v/>
      </c>
      <c r="AV41" s="157" t="n"/>
      <c r="AW41" s="75">
        <f>_xlfn.IFNA(VLOOKUP(L41,list_vat[],3,FALSE),0)</f>
        <v/>
      </c>
      <c r="AX41" s="76">
        <f>IFERROR(ROUND(S41*(1+AW41)/E41,2),0)</f>
        <v/>
      </c>
      <c r="AY41" s="76">
        <f>E41*AX41</f>
        <v/>
      </c>
      <c r="AZ41" s="192">
        <f>S41*(1+M41)</f>
        <v/>
      </c>
      <c r="BA41" s="76">
        <f>cost_fin_total*$BD41</f>
        <v/>
      </c>
      <c r="BB41" s="193">
        <f>credit_sales_interest*BD41</f>
        <v/>
      </c>
      <c r="BC41" s="102">
        <f>IFERROR(IF($I$13&gt;0,$I41/$I$13,$S41/$S$13),0)</f>
        <v/>
      </c>
      <c r="BD41" s="102">
        <f>IFERROR($S41/$S$13,0)</f>
        <v/>
      </c>
      <c r="BE41" s="413" t="inlineStr">
        <is>
          <t>$</t>
        </is>
      </c>
    </row>
    <row r="42" ht="12" customFormat="1" customHeight="1" s="65">
      <c r="A42" s="43" t="n">
        <v>27</v>
      </c>
      <c r="B42" s="166" t="n"/>
      <c r="C42" s="166" t="n"/>
      <c r="D42" s="166" t="n"/>
      <c r="E42" s="162" t="n"/>
      <c r="F42" s="166" t="n"/>
      <c r="G42" s="162" t="n"/>
      <c r="H42" s="162" t="n"/>
      <c r="I42" s="189">
        <f>E42*G42</f>
        <v/>
      </c>
      <c r="J42" s="195" t="n"/>
      <c r="K42" s="162" t="n"/>
      <c r="L42" s="168" t="n"/>
      <c r="M42" s="75">
        <f>_xlfn.XLOOKUP(L42,list_vat[Страна],list_vat[Ставка НДС %],0,0)</f>
        <v/>
      </c>
      <c r="N42" s="162">
        <f>IFERROR(IF(L42="Китай",K42,K42/(1+M42)),0)</f>
        <v/>
      </c>
      <c r="O42" s="169" t="n"/>
      <c r="P42" s="76">
        <f>N42*(1-O42)</f>
        <v/>
      </c>
      <c r="Q42" s="162" t="n"/>
      <c r="R42" s="162">
        <f>IF(ISBLANK(Q42),"введи курс",P42/Q42)</f>
        <v/>
      </c>
      <c r="S42" s="196">
        <f>IF(AND(ISNUMBER(E42),ISNUMBER(Q42)),E42*R42,0)</f>
        <v/>
      </c>
      <c r="T42" s="192">
        <f>$BC42*V$11</f>
        <v/>
      </c>
      <c r="U42" s="76">
        <f>$BC42*W$11</f>
        <v/>
      </c>
      <c r="V42" s="193">
        <f>+SUM(T42:U42)</f>
        <v/>
      </c>
      <c r="W42" s="191" t="n"/>
      <c r="X42" s="170" t="n"/>
      <c r="Y42" s="76">
        <f>ROUND(IF(offer_incoterms="DDP",X42*(S42*(1+AW42)+T42),0),2)</f>
        <v/>
      </c>
      <c r="Z42" s="188" t="n"/>
      <c r="AA42" s="192">
        <f>IFERROR(AB42/E42,0)</f>
        <v/>
      </c>
      <c r="AB42" s="76">
        <f>ROUND(SUM(S42,V42,Y42:Z42,BA42:BB42),2)</f>
        <v/>
      </c>
      <c r="AC42" s="797" t="n"/>
      <c r="AD42" s="192">
        <f t="array" ref="AD42">IFERROR(ROUND((_xlfn.IFS(offer_sale_type="поставка",AB42,offer_sale_type="транзит",S42)*(1+AC42))/E42,2),0)</f>
        <v/>
      </c>
      <c r="AE42" s="76">
        <f>AD42*E42</f>
        <v/>
      </c>
      <c r="AF42" s="193">
        <f t="array" ref="AF42">IFERROR(ROUND(_xlfn.IFS(offer_sale_type="поставка",AB42,offer_sale_type="транзит",S42)*AC42,2),0)</f>
        <v/>
      </c>
      <c r="AG42" s="192">
        <f>$BD42*VLOOKUP($AG$3,$AF$4:$AG$7,2,FALSE)</f>
        <v/>
      </c>
      <c r="AH42" s="76">
        <f>SUM(AE42,AG42,AI42)*rate_forex_risk</f>
        <v/>
      </c>
      <c r="AI42" s="193">
        <f>IF(OR(seller_region="TR",offer_sale_type="экспорт"),0,rate_fin_comm)*SUM(AZ42,AZ42*AW42,T42)</f>
        <v/>
      </c>
      <c r="AJ42" s="118">
        <f>IFERROR(ROUND(SUM(AB42,AF42:AI42)/E42,2),0)</f>
        <v/>
      </c>
      <c r="AK42" s="76">
        <f>AJ42*E42</f>
        <v/>
      </c>
      <c r="AL42" s="174">
        <f>ROUND(IFERROR(AM42*E42,0),2)</f>
        <v/>
      </c>
      <c r="AM42" s="175">
        <f>ROUND(AJ42*(1+IF(offer_incoterms="DDP",IF((TODAY()+offer_turnaround_time)&gt;=helpsheet!$L$17,rate_vatRU_from_26,rate_vatRu_till_25),0)),2)</f>
        <v/>
      </c>
      <c r="AN42" s="192">
        <f>AL42-AK42</f>
        <v/>
      </c>
      <c r="AO42" s="76">
        <f>SUM(AY42,Y42:Z42,T42)*IF(AND(offer_incoterms="DDP",offer_sale_type&lt;&gt;"экспорт"),IF((TODAY()+offer_turnaround_time)&gt;=helpsheet!$L$17,rate_vatRU_from_26,rate_vatRu_till_25),0)</f>
        <v/>
      </c>
      <c r="AP42" s="193">
        <f>AN42-AO42</f>
        <v/>
      </c>
      <c r="AQ42" s="118">
        <f>IF(offer_sale_type="транзит",SUM(AF42:AI42,BA42,BB42),0)</f>
        <v/>
      </c>
      <c r="AR42" s="82">
        <f>HYPERLINK("https://www.alta.ru/tnved/code/")&amp;W42&amp;"/"</f>
        <v/>
      </c>
      <c r="AS42" s="157" t="n"/>
      <c r="AT42" s="162" t="n"/>
      <c r="AU42" s="76">
        <f>IF(ISBLANK(AT42),0,AJ42-AT42)</f>
        <v/>
      </c>
      <c r="AV42" s="157" t="n"/>
      <c r="AW42" s="75">
        <f>_xlfn.IFNA(VLOOKUP(L42,list_vat[],3,FALSE),0)</f>
        <v/>
      </c>
      <c r="AX42" s="76">
        <f>IFERROR(ROUND(S42*(1+AW42)/E42,2),0)</f>
        <v/>
      </c>
      <c r="AY42" s="76">
        <f>E42*AX42</f>
        <v/>
      </c>
      <c r="AZ42" s="192">
        <f>S42*(1+M42)</f>
        <v/>
      </c>
      <c r="BA42" s="76">
        <f>cost_fin_total*$BD42</f>
        <v/>
      </c>
      <c r="BB42" s="193">
        <f>credit_sales_interest*BD42</f>
        <v/>
      </c>
      <c r="BC42" s="102">
        <f>IFERROR(IF($I$13&gt;0,$I42/$I$13,$S42/$S$13),0)</f>
        <v/>
      </c>
      <c r="BD42" s="102">
        <f>IFERROR($S42/$S$13,0)</f>
        <v/>
      </c>
      <c r="BE42" s="413" t="inlineStr">
        <is>
          <t>$</t>
        </is>
      </c>
    </row>
    <row r="43" ht="12" customFormat="1" customHeight="1" s="65">
      <c r="A43" s="43" t="n">
        <v>28</v>
      </c>
      <c r="B43" s="166" t="n"/>
      <c r="C43" s="166" t="n"/>
      <c r="D43" s="166" t="n"/>
      <c r="E43" s="162" t="n"/>
      <c r="F43" s="166" t="n"/>
      <c r="G43" s="162" t="n"/>
      <c r="H43" s="162" t="n"/>
      <c r="I43" s="189">
        <f>E43*G43</f>
        <v/>
      </c>
      <c r="J43" s="195" t="n"/>
      <c r="K43" s="162" t="n"/>
      <c r="L43" s="168" t="n"/>
      <c r="M43" s="75">
        <f>_xlfn.XLOOKUP(L43,list_vat[Страна],list_vat[Ставка НДС %],0,0)</f>
        <v/>
      </c>
      <c r="N43" s="162">
        <f>IFERROR(IF(L43="Китай",K43,K43/(1+M43)),0)</f>
        <v/>
      </c>
      <c r="O43" s="169" t="n"/>
      <c r="P43" s="76">
        <f>N43*(1-O43)</f>
        <v/>
      </c>
      <c r="Q43" s="162" t="n"/>
      <c r="R43" s="162">
        <f>IF(ISBLANK(Q43),"введи курс",P43/Q43)</f>
        <v/>
      </c>
      <c r="S43" s="196">
        <f>IF(AND(ISNUMBER(E43),ISNUMBER(Q43)),E43*R43,0)</f>
        <v/>
      </c>
      <c r="T43" s="192">
        <f>$BC43*V$11</f>
        <v/>
      </c>
      <c r="U43" s="76">
        <f>$BC43*W$11</f>
        <v/>
      </c>
      <c r="V43" s="193">
        <f>+SUM(T43:U43)</f>
        <v/>
      </c>
      <c r="W43" s="191" t="n"/>
      <c r="X43" s="170" t="n"/>
      <c r="Y43" s="76">
        <f>ROUND(IF(offer_incoterms="DDP",X43*(S43*(1+AW43)+T43),0),2)</f>
        <v/>
      </c>
      <c r="Z43" s="188" t="n"/>
      <c r="AA43" s="192">
        <f>IFERROR(AB43/E43,0)</f>
        <v/>
      </c>
      <c r="AB43" s="76">
        <f>ROUND(SUM(S43,V43,Y43:Z43,BA43:BB43),2)</f>
        <v/>
      </c>
      <c r="AC43" s="797" t="n"/>
      <c r="AD43" s="192">
        <f t="array" ref="AD43">IFERROR(ROUND((_xlfn.IFS(offer_sale_type="поставка",AB43,offer_sale_type="транзит",S43)*(1+AC43))/E43,2),0)</f>
        <v/>
      </c>
      <c r="AE43" s="76">
        <f>AD43*E43</f>
        <v/>
      </c>
      <c r="AF43" s="193">
        <f t="array" ref="AF43">IFERROR(ROUND(_xlfn.IFS(offer_sale_type="поставка",AB43,offer_sale_type="транзит",S43)*AC43,2),0)</f>
        <v/>
      </c>
      <c r="AG43" s="192">
        <f>$BD43*VLOOKUP($AG$3,$AF$4:$AG$7,2,FALSE)</f>
        <v/>
      </c>
      <c r="AH43" s="76">
        <f>SUM(AE43,AG43,AI43)*rate_forex_risk</f>
        <v/>
      </c>
      <c r="AI43" s="193">
        <f>IF(OR(seller_region="TR",offer_sale_type="экспорт"),0,rate_fin_comm)*SUM(AZ43,AZ43*AW43,T43)</f>
        <v/>
      </c>
      <c r="AJ43" s="118">
        <f>IFERROR(ROUND(SUM(AB43,AF43:AI43)/E43,2),0)</f>
        <v/>
      </c>
      <c r="AK43" s="76">
        <f>AJ43*E43</f>
        <v/>
      </c>
      <c r="AL43" s="174">
        <f>ROUND(IFERROR(AM43*E43,0),2)</f>
        <v/>
      </c>
      <c r="AM43" s="175">
        <f>ROUND(AJ43*(1+IF(offer_incoterms="DDP",IF((TODAY()+offer_turnaround_time)&gt;=helpsheet!$L$17,rate_vatRU_from_26,rate_vatRu_till_25),0)),2)</f>
        <v/>
      </c>
      <c r="AN43" s="192">
        <f>AL43-AK43</f>
        <v/>
      </c>
      <c r="AO43" s="76">
        <f>SUM(AY43,Y43:Z43,T43)*IF(AND(offer_incoterms="DDP",offer_sale_type&lt;&gt;"экспорт"),IF((TODAY()+offer_turnaround_time)&gt;=helpsheet!$L$17,rate_vatRU_from_26,rate_vatRu_till_25),0)</f>
        <v/>
      </c>
      <c r="AP43" s="193">
        <f>AN43-AO43</f>
        <v/>
      </c>
      <c r="AQ43" s="118">
        <f>IF(offer_sale_type="транзит",SUM(AF43:AI43,BA43,BB43),0)</f>
        <v/>
      </c>
      <c r="AR43" s="82">
        <f>HYPERLINK("https://www.alta.ru/tnved/code/")&amp;W43&amp;"/"</f>
        <v/>
      </c>
      <c r="AS43" s="157" t="n"/>
      <c r="AT43" s="162" t="n"/>
      <c r="AU43" s="76">
        <f>IF(ISBLANK(AT43),0,AJ43-AT43)</f>
        <v/>
      </c>
      <c r="AV43" s="157" t="n"/>
      <c r="AW43" s="75">
        <f>_xlfn.IFNA(VLOOKUP(L43,list_vat[],3,FALSE),0)</f>
        <v/>
      </c>
      <c r="AX43" s="76">
        <f>IFERROR(ROUND(S43*(1+AW43)/E43,2),0)</f>
        <v/>
      </c>
      <c r="AY43" s="76">
        <f>E43*AX43</f>
        <v/>
      </c>
      <c r="AZ43" s="192">
        <f>S43*(1+M43)</f>
        <v/>
      </c>
      <c r="BA43" s="76">
        <f>cost_fin_total*$BD43</f>
        <v/>
      </c>
      <c r="BB43" s="193">
        <f>credit_sales_interest*BD43</f>
        <v/>
      </c>
      <c r="BC43" s="102">
        <f>IFERROR(IF($I$13&gt;0,$I43/$I$13,$S43/$S$13),0)</f>
        <v/>
      </c>
      <c r="BD43" s="102">
        <f>IFERROR($S43/$S$13,0)</f>
        <v/>
      </c>
      <c r="BE43" s="413" t="inlineStr">
        <is>
          <t>$</t>
        </is>
      </c>
    </row>
    <row r="44" ht="12" customFormat="1" customHeight="1" s="65">
      <c r="A44" s="43" t="n">
        <v>29</v>
      </c>
      <c r="B44" s="166" t="n"/>
      <c r="C44" s="166" t="n"/>
      <c r="D44" s="166" t="n"/>
      <c r="E44" s="162" t="n"/>
      <c r="F44" s="166" t="n"/>
      <c r="G44" s="162" t="n"/>
      <c r="H44" s="162" t="n"/>
      <c r="I44" s="189">
        <f>E44*G44</f>
        <v/>
      </c>
      <c r="J44" s="195" t="n"/>
      <c r="K44" s="162" t="n"/>
      <c r="L44" s="168" t="n"/>
      <c r="M44" s="75">
        <f>_xlfn.XLOOKUP(L44,list_vat[Страна],list_vat[Ставка НДС %],0,0)</f>
        <v/>
      </c>
      <c r="N44" s="162">
        <f>IFERROR(IF(L44="Китай",K44,K44/(1+M44)),0)</f>
        <v/>
      </c>
      <c r="O44" s="169" t="n"/>
      <c r="P44" s="76">
        <f>N44*(1-O44)</f>
        <v/>
      </c>
      <c r="Q44" s="162" t="n"/>
      <c r="R44" s="162">
        <f>IF(ISBLANK(Q44),"введи курс",P44/Q44)</f>
        <v/>
      </c>
      <c r="S44" s="196">
        <f>IF(AND(ISNUMBER(E44),ISNUMBER(Q44)),E44*R44,0)</f>
        <v/>
      </c>
      <c r="T44" s="192">
        <f>$BC44*V$11</f>
        <v/>
      </c>
      <c r="U44" s="76">
        <f>$BC44*W$11</f>
        <v/>
      </c>
      <c r="V44" s="193">
        <f>+SUM(T44:U44)</f>
        <v/>
      </c>
      <c r="W44" s="191" t="n"/>
      <c r="X44" s="170" t="n"/>
      <c r="Y44" s="76">
        <f>ROUND(IF(offer_incoterms="DDP",X44*(S44*(1+AW44)+T44),0),2)</f>
        <v/>
      </c>
      <c r="Z44" s="188" t="n"/>
      <c r="AA44" s="192">
        <f>IFERROR(AB44/E44,0)</f>
        <v/>
      </c>
      <c r="AB44" s="76">
        <f>ROUND(SUM(S44,V44,Y44:Z44,BA44:BB44),2)</f>
        <v/>
      </c>
      <c r="AC44" s="797" t="n"/>
      <c r="AD44" s="192">
        <f t="array" ref="AD44">IFERROR(ROUND((_xlfn.IFS(offer_sale_type="поставка",AB44,offer_sale_type="транзит",S44)*(1+AC44))/E44,2),0)</f>
        <v/>
      </c>
      <c r="AE44" s="76">
        <f>AD44*E44</f>
        <v/>
      </c>
      <c r="AF44" s="193">
        <f t="array" ref="AF44">IFERROR(ROUND(_xlfn.IFS(offer_sale_type="поставка",AB44,offer_sale_type="транзит",S44)*AC44,2),0)</f>
        <v/>
      </c>
      <c r="AG44" s="192">
        <f>$BD44*VLOOKUP($AG$3,$AF$4:$AG$7,2,FALSE)</f>
        <v/>
      </c>
      <c r="AH44" s="76">
        <f>SUM(AE44,AG44,AI44)*rate_forex_risk</f>
        <v/>
      </c>
      <c r="AI44" s="193">
        <f>IF(OR(seller_region="TR",offer_sale_type="экспорт"),0,rate_fin_comm)*SUM(AZ44,AZ44*AW44,T44)</f>
        <v/>
      </c>
      <c r="AJ44" s="118">
        <f>IFERROR(ROUND(SUM(AB44,AF44:AI44)/E44,2),0)</f>
        <v/>
      </c>
      <c r="AK44" s="76">
        <f>AJ44*E44</f>
        <v/>
      </c>
      <c r="AL44" s="174">
        <f>ROUND(IFERROR(AM44*E44,0),2)</f>
        <v/>
      </c>
      <c r="AM44" s="175">
        <f>ROUND(AJ44*(1+IF(offer_incoterms="DDP",IF((TODAY()+offer_turnaround_time)&gt;=helpsheet!$L$17,rate_vatRU_from_26,rate_vatRu_till_25),0)),2)</f>
        <v/>
      </c>
      <c r="AN44" s="192">
        <f>AL44-AK44</f>
        <v/>
      </c>
      <c r="AO44" s="76">
        <f>SUM(AY44,Y44:Z44,T44)*IF(AND(offer_incoterms="DDP",offer_sale_type&lt;&gt;"экспорт"),IF((TODAY()+offer_turnaround_time)&gt;=helpsheet!$L$17,rate_vatRU_from_26,rate_vatRu_till_25),0)</f>
        <v/>
      </c>
      <c r="AP44" s="193">
        <f>AN44-AO44</f>
        <v/>
      </c>
      <c r="AQ44" s="118">
        <f>IF(offer_sale_type="транзит",SUM(AF44:AI44,BA44,BB44),0)</f>
        <v/>
      </c>
      <c r="AR44" s="82">
        <f>HYPERLINK("https://www.alta.ru/tnved/code/")&amp;W44&amp;"/"</f>
        <v/>
      </c>
      <c r="AS44" s="157" t="n"/>
      <c r="AT44" s="162" t="n"/>
      <c r="AU44" s="76">
        <f>IF(ISBLANK(AT44),0,AJ44-AT44)</f>
        <v/>
      </c>
      <c r="AV44" s="157" t="n"/>
      <c r="AW44" s="75">
        <f>_xlfn.IFNA(VLOOKUP(L44,list_vat[],3,FALSE),0)</f>
        <v/>
      </c>
      <c r="AX44" s="76">
        <f>IFERROR(ROUND(S44*(1+AW44)/E44,2),0)</f>
        <v/>
      </c>
      <c r="AY44" s="76">
        <f>E44*AX44</f>
        <v/>
      </c>
      <c r="AZ44" s="192">
        <f>S44*(1+M44)</f>
        <v/>
      </c>
      <c r="BA44" s="76">
        <f>cost_fin_total*$BD44</f>
        <v/>
      </c>
      <c r="BB44" s="193">
        <f>credit_sales_interest*BD44</f>
        <v/>
      </c>
      <c r="BC44" s="102">
        <f>IFERROR(IF($I$13&gt;0,$I44/$I$13,$S44/$S$13),0)</f>
        <v/>
      </c>
      <c r="BD44" s="102">
        <f>IFERROR($S44/$S$13,0)</f>
        <v/>
      </c>
      <c r="BE44" s="413" t="inlineStr">
        <is>
          <t>$</t>
        </is>
      </c>
    </row>
    <row r="45" ht="12" customFormat="1" customHeight="1" s="65">
      <c r="A45" s="43" t="n">
        <v>30</v>
      </c>
      <c r="B45" s="166" t="n"/>
      <c r="C45" s="166" t="n"/>
      <c r="D45" s="166" t="n"/>
      <c r="E45" s="162" t="n"/>
      <c r="F45" s="166" t="n"/>
      <c r="G45" s="162" t="n"/>
      <c r="H45" s="162" t="n"/>
      <c r="I45" s="189">
        <f>E45*G45</f>
        <v/>
      </c>
      <c r="J45" s="195" t="n"/>
      <c r="K45" s="162" t="n"/>
      <c r="L45" s="168" t="n"/>
      <c r="M45" s="75">
        <f>_xlfn.XLOOKUP(L45,list_vat[Страна],list_vat[Ставка НДС %],0,0)</f>
        <v/>
      </c>
      <c r="N45" s="162">
        <f>IFERROR(IF(L45="Китай",K45,K45/(1+M45)),0)</f>
        <v/>
      </c>
      <c r="O45" s="169" t="n"/>
      <c r="P45" s="76">
        <f>N45*(1-O45)</f>
        <v/>
      </c>
      <c r="Q45" s="162" t="n"/>
      <c r="R45" s="162">
        <f>IF(ISBLANK(Q45),"введи курс",P45/Q45)</f>
        <v/>
      </c>
      <c r="S45" s="196">
        <f>IF(AND(ISNUMBER(E45),ISNUMBER(Q45)),E45*R45,0)</f>
        <v/>
      </c>
      <c r="T45" s="192">
        <f>$BC45*V$11</f>
        <v/>
      </c>
      <c r="U45" s="76">
        <f>$BC45*W$11</f>
        <v/>
      </c>
      <c r="V45" s="193">
        <f>+SUM(T45:U45)</f>
        <v/>
      </c>
      <c r="W45" s="191" t="n"/>
      <c r="X45" s="170" t="n"/>
      <c r="Y45" s="76">
        <f>ROUND(IF(offer_incoterms="DDP",X45*(S45*(1+AW45)+T45),0),2)</f>
        <v/>
      </c>
      <c r="Z45" s="188" t="n"/>
      <c r="AA45" s="192">
        <f>IFERROR(AB45/E45,0)</f>
        <v/>
      </c>
      <c r="AB45" s="76">
        <f>ROUND(SUM(S45,V45,Y45:Z45,BA45:BB45),2)</f>
        <v/>
      </c>
      <c r="AC45" s="797" t="n"/>
      <c r="AD45" s="192">
        <f t="array" ref="AD45">IFERROR(ROUND((_xlfn.IFS(offer_sale_type="поставка",AB45,offer_sale_type="транзит",S45)*(1+AC45))/E45,2),0)</f>
        <v/>
      </c>
      <c r="AE45" s="76">
        <f>AD45*E45</f>
        <v/>
      </c>
      <c r="AF45" s="193">
        <f t="array" ref="AF45">IFERROR(ROUND(_xlfn.IFS(offer_sale_type="поставка",AB45,offer_sale_type="транзит",S45)*AC45,2),0)</f>
        <v/>
      </c>
      <c r="AG45" s="192">
        <f>$BD45*VLOOKUP($AG$3,$AF$4:$AG$7,2,FALSE)</f>
        <v/>
      </c>
      <c r="AH45" s="76">
        <f>SUM(AE45,AG45,AI45)*rate_forex_risk</f>
        <v/>
      </c>
      <c r="AI45" s="193">
        <f>IF(OR(seller_region="TR",offer_sale_type="экспорт"),0,rate_fin_comm)*SUM(AZ45,AZ45*AW45,T45)</f>
        <v/>
      </c>
      <c r="AJ45" s="118">
        <f>IFERROR(ROUND(SUM(AB45,AF45:AI45)/E45,2),0)</f>
        <v/>
      </c>
      <c r="AK45" s="76">
        <f>AJ45*E45</f>
        <v/>
      </c>
      <c r="AL45" s="174">
        <f>ROUND(IFERROR(AM45*E45,0),2)</f>
        <v/>
      </c>
      <c r="AM45" s="175">
        <f>ROUND(AJ45*(1+IF(offer_incoterms="DDP",IF((TODAY()+offer_turnaround_time)&gt;=helpsheet!$L$17,rate_vatRU_from_26,rate_vatRu_till_25),0)),2)</f>
        <v/>
      </c>
      <c r="AN45" s="192">
        <f>AL45-AK45</f>
        <v/>
      </c>
      <c r="AO45" s="76">
        <f>SUM(AY45,Y45:Z45,T45)*IF(AND(offer_incoterms="DDP",offer_sale_type&lt;&gt;"экспорт"),IF((TODAY()+offer_turnaround_time)&gt;=helpsheet!$L$17,rate_vatRU_from_26,rate_vatRu_till_25),0)</f>
        <v/>
      </c>
      <c r="AP45" s="193">
        <f>AN45-AO45</f>
        <v/>
      </c>
      <c r="AQ45" s="118">
        <f>IF(offer_sale_type="транзит",SUM(AF45:AI45,BA45,BB45),0)</f>
        <v/>
      </c>
      <c r="AR45" s="82">
        <f>HYPERLINK("https://www.alta.ru/tnved/code/")&amp;W45&amp;"/"</f>
        <v/>
      </c>
      <c r="AS45" s="157" t="n"/>
      <c r="AT45" s="162" t="n"/>
      <c r="AU45" s="76">
        <f>IF(ISBLANK(AT45),0,AJ45-AT45)</f>
        <v/>
      </c>
      <c r="AV45" s="157" t="n"/>
      <c r="AW45" s="75">
        <f>_xlfn.IFNA(VLOOKUP(L45,list_vat[],3,FALSE),0)</f>
        <v/>
      </c>
      <c r="AX45" s="76">
        <f>IFERROR(ROUND(S45*(1+AW45)/E45,2),0)</f>
        <v/>
      </c>
      <c r="AY45" s="76">
        <f>E45*AX45</f>
        <v/>
      </c>
      <c r="AZ45" s="192">
        <f>S45*(1+M45)</f>
        <v/>
      </c>
      <c r="BA45" s="76">
        <f>cost_fin_total*$BD45</f>
        <v/>
      </c>
      <c r="BB45" s="193">
        <f>credit_sales_interest*BD45</f>
        <v/>
      </c>
      <c r="BC45" s="102">
        <f>IFERROR(IF($I$13&gt;0,$I45/$I$13,$S45/$S$13),0)</f>
        <v/>
      </c>
      <c r="BD45" s="102">
        <f>IFERROR($S45/$S$13,0)</f>
        <v/>
      </c>
      <c r="BE45" s="413" t="inlineStr">
        <is>
          <t>$</t>
        </is>
      </c>
    </row>
    <row r="46" ht="12" customFormat="1" customHeight="1" s="65">
      <c r="A46" s="43" t="n">
        <v>31</v>
      </c>
      <c r="B46" s="166" t="n"/>
      <c r="C46" s="166" t="n"/>
      <c r="D46" s="166" t="n"/>
      <c r="E46" s="162" t="n"/>
      <c r="F46" s="166" t="n"/>
      <c r="G46" s="162" t="n"/>
      <c r="H46" s="162" t="n"/>
      <c r="I46" s="189">
        <f>E46*G46</f>
        <v/>
      </c>
      <c r="J46" s="195" t="n"/>
      <c r="K46" s="162" t="n"/>
      <c r="L46" s="168" t="n"/>
      <c r="M46" s="75">
        <f>_xlfn.XLOOKUP(L46,list_vat[Страна],list_vat[Ставка НДС %],0,0)</f>
        <v/>
      </c>
      <c r="N46" s="162">
        <f>IFERROR(IF(L46="Китай",K46,K46/(1+M46)),0)</f>
        <v/>
      </c>
      <c r="O46" s="169" t="n"/>
      <c r="P46" s="76">
        <f>N46*(1-O46)</f>
        <v/>
      </c>
      <c r="Q46" s="162" t="n"/>
      <c r="R46" s="162">
        <f>IF(ISBLANK(Q46),"введи курс",P46/Q46)</f>
        <v/>
      </c>
      <c r="S46" s="196">
        <f>IF(AND(ISNUMBER(E46),ISNUMBER(Q46)),E46*R46,0)</f>
        <v/>
      </c>
      <c r="T46" s="192">
        <f>$BC46*V$11</f>
        <v/>
      </c>
      <c r="U46" s="76">
        <f>$BC46*W$11</f>
        <v/>
      </c>
      <c r="V46" s="193">
        <f>+SUM(T46:U46)</f>
        <v/>
      </c>
      <c r="W46" s="191" t="n"/>
      <c r="X46" s="170" t="n"/>
      <c r="Y46" s="76">
        <f>ROUND(IF(offer_incoterms="DDP",X46*(S46*(1+AW46)+T46),0),2)</f>
        <v/>
      </c>
      <c r="Z46" s="188" t="n"/>
      <c r="AA46" s="192">
        <f>IFERROR(AB46/E46,0)</f>
        <v/>
      </c>
      <c r="AB46" s="76">
        <f>ROUND(SUM(S46,V46,Y46:Z46,BA46:BB46),2)</f>
        <v/>
      </c>
      <c r="AC46" s="797" t="n"/>
      <c r="AD46" s="192">
        <f t="array" ref="AD46">IFERROR(ROUND((_xlfn.IFS(offer_sale_type="поставка",AB46,offer_sale_type="транзит",S46)*(1+AC46))/E46,2),0)</f>
        <v/>
      </c>
      <c r="AE46" s="76">
        <f>AD46*E46</f>
        <v/>
      </c>
      <c r="AF46" s="193">
        <f t="array" ref="AF46">IFERROR(ROUND(_xlfn.IFS(offer_sale_type="поставка",AB46,offer_sale_type="транзит",S46)*AC46,2),0)</f>
        <v/>
      </c>
      <c r="AG46" s="192">
        <f>$BD46*VLOOKUP($AG$3,$AF$4:$AG$7,2,FALSE)</f>
        <v/>
      </c>
      <c r="AH46" s="76">
        <f>SUM(AE46,AG46,AI46)*rate_forex_risk</f>
        <v/>
      </c>
      <c r="AI46" s="193">
        <f>IF(OR(seller_region="TR",offer_sale_type="экспорт"),0,rate_fin_comm)*SUM(AZ46,AZ46*AW46,T46)</f>
        <v/>
      </c>
      <c r="AJ46" s="118">
        <f>IFERROR(ROUND(SUM(AB46,AF46:AI46)/E46,2),0)</f>
        <v/>
      </c>
      <c r="AK46" s="76">
        <f>AJ46*E46</f>
        <v/>
      </c>
      <c r="AL46" s="174">
        <f>ROUND(IFERROR(AM46*E46,0),2)</f>
        <v/>
      </c>
      <c r="AM46" s="175">
        <f>ROUND(AJ46*(1+IF(offer_incoterms="DDP",IF((TODAY()+offer_turnaround_time)&gt;=helpsheet!$L$17,rate_vatRU_from_26,rate_vatRu_till_25),0)),2)</f>
        <v/>
      </c>
      <c r="AN46" s="192">
        <f>AL46-AK46</f>
        <v/>
      </c>
      <c r="AO46" s="76">
        <f>SUM(AY46,Y46:Z46,T46)*IF(AND(offer_incoterms="DDP",offer_sale_type&lt;&gt;"экспорт"),IF((TODAY()+offer_turnaround_time)&gt;=helpsheet!$L$17,rate_vatRU_from_26,rate_vatRu_till_25),0)</f>
        <v/>
      </c>
      <c r="AP46" s="193">
        <f>AN46-AO46</f>
        <v/>
      </c>
      <c r="AQ46" s="118">
        <f>IF(offer_sale_type="транзит",SUM(AF46:AI46,BA46,BB46),0)</f>
        <v/>
      </c>
      <c r="AR46" s="82">
        <f>HYPERLINK("https://www.alta.ru/tnved/code/")&amp;W46&amp;"/"</f>
        <v/>
      </c>
      <c r="AS46" s="157" t="n"/>
      <c r="AT46" s="162" t="n"/>
      <c r="AU46" s="76">
        <f>IF(ISBLANK(AT46),0,AJ46-AT46)</f>
        <v/>
      </c>
      <c r="AV46" s="157" t="n"/>
      <c r="AW46" s="75">
        <f>_xlfn.IFNA(VLOOKUP(L46,list_vat[],3,FALSE),0)</f>
        <v/>
      </c>
      <c r="AX46" s="76">
        <f>IFERROR(ROUND(S46*(1+AW46)/E46,2),0)</f>
        <v/>
      </c>
      <c r="AY46" s="76">
        <f>E46*AX46</f>
        <v/>
      </c>
      <c r="AZ46" s="192">
        <f>S46*(1+M46)</f>
        <v/>
      </c>
      <c r="BA46" s="76">
        <f>cost_fin_total*$BD46</f>
        <v/>
      </c>
      <c r="BB46" s="193">
        <f>credit_sales_interest*BD46</f>
        <v/>
      </c>
      <c r="BC46" s="102">
        <f>IFERROR(IF($I$13&gt;0,$I46/$I$13,$S46/$S$13),0)</f>
        <v/>
      </c>
      <c r="BD46" s="102">
        <f>IFERROR($S46/$S$13,0)</f>
        <v/>
      </c>
      <c r="BE46" s="413" t="inlineStr">
        <is>
          <t>$</t>
        </is>
      </c>
    </row>
    <row r="47" ht="12" customFormat="1" customHeight="1" s="65">
      <c r="A47" s="43" t="n">
        <v>32</v>
      </c>
      <c r="B47" s="166" t="n"/>
      <c r="C47" s="166" t="n"/>
      <c r="D47" s="166" t="n"/>
      <c r="E47" s="162" t="n"/>
      <c r="F47" s="166" t="n"/>
      <c r="G47" s="162" t="n"/>
      <c r="H47" s="162" t="n"/>
      <c r="I47" s="189">
        <f>E47*G47</f>
        <v/>
      </c>
      <c r="J47" s="195" t="n"/>
      <c r="K47" s="162" t="n"/>
      <c r="L47" s="168" t="n"/>
      <c r="M47" s="75">
        <f>_xlfn.XLOOKUP(L47,list_vat[Страна],list_vat[Ставка НДС %],0,0)</f>
        <v/>
      </c>
      <c r="N47" s="162">
        <f>IFERROR(IF(L47="Китай",K47,K47/(1+M47)),0)</f>
        <v/>
      </c>
      <c r="O47" s="169" t="n"/>
      <c r="P47" s="76">
        <f>N47*(1-O47)</f>
        <v/>
      </c>
      <c r="Q47" s="162" t="n"/>
      <c r="R47" s="162">
        <f>IF(ISBLANK(Q47),"введи курс",P47/Q47)</f>
        <v/>
      </c>
      <c r="S47" s="196">
        <f>IF(AND(ISNUMBER(E47),ISNUMBER(Q47)),E47*R47,0)</f>
        <v/>
      </c>
      <c r="T47" s="192">
        <f>$BC47*V$11</f>
        <v/>
      </c>
      <c r="U47" s="76">
        <f>$BC47*W$11</f>
        <v/>
      </c>
      <c r="V47" s="193">
        <f>+SUM(T47:U47)</f>
        <v/>
      </c>
      <c r="W47" s="191" t="n"/>
      <c r="X47" s="170" t="n"/>
      <c r="Y47" s="76">
        <f>ROUND(IF(offer_incoterms="DDP",X47*(S47*(1+AW47)+T47),0),2)</f>
        <v/>
      </c>
      <c r="Z47" s="188" t="n"/>
      <c r="AA47" s="192">
        <f>IFERROR(AB47/E47,0)</f>
        <v/>
      </c>
      <c r="AB47" s="76">
        <f>ROUND(SUM(S47,V47,Y47:Z47,BA47:BB47),2)</f>
        <v/>
      </c>
      <c r="AC47" s="797" t="n"/>
      <c r="AD47" s="192">
        <f t="array" ref="AD47">IFERROR(ROUND((_xlfn.IFS(offer_sale_type="поставка",AB47,offer_sale_type="транзит",S47)*(1+AC47))/E47,2),0)</f>
        <v/>
      </c>
      <c r="AE47" s="76">
        <f>AD47*E47</f>
        <v/>
      </c>
      <c r="AF47" s="193">
        <f t="array" ref="AF47">IFERROR(ROUND(_xlfn.IFS(offer_sale_type="поставка",AB47,offer_sale_type="транзит",S47)*AC47,2),0)</f>
        <v/>
      </c>
      <c r="AG47" s="192">
        <f>$BD47*VLOOKUP($AG$3,$AF$4:$AG$7,2,FALSE)</f>
        <v/>
      </c>
      <c r="AH47" s="76">
        <f>SUM(AE47,AG47,AI47)*rate_forex_risk</f>
        <v/>
      </c>
      <c r="AI47" s="193">
        <f>IF(OR(seller_region="TR",offer_sale_type="экспорт"),0,rate_fin_comm)*SUM(AZ47,AZ47*AW47,T47)</f>
        <v/>
      </c>
      <c r="AJ47" s="118">
        <f>IFERROR(ROUND(SUM(AB47,AF47:AI47)/E47,2),0)</f>
        <v/>
      </c>
      <c r="AK47" s="76">
        <f>AJ47*E47</f>
        <v/>
      </c>
      <c r="AL47" s="174">
        <f>ROUND(IFERROR(AM47*E47,0),2)</f>
        <v/>
      </c>
      <c r="AM47" s="175">
        <f>ROUND(AJ47*(1+IF(offer_incoterms="DDP",IF((TODAY()+offer_turnaround_time)&gt;=helpsheet!$L$17,rate_vatRU_from_26,rate_vatRu_till_25),0)),2)</f>
        <v/>
      </c>
      <c r="AN47" s="192">
        <f>AL47-AK47</f>
        <v/>
      </c>
      <c r="AO47" s="76">
        <f>SUM(AY47,Y47:Z47,T47)*IF(AND(offer_incoterms="DDP",offer_sale_type&lt;&gt;"экспорт"),IF((TODAY()+offer_turnaround_time)&gt;=helpsheet!$L$17,rate_vatRU_from_26,rate_vatRu_till_25),0)</f>
        <v/>
      </c>
      <c r="AP47" s="193">
        <f>AN47-AO47</f>
        <v/>
      </c>
      <c r="AQ47" s="118">
        <f>IF(offer_sale_type="транзит",SUM(AF47:AI47,BA47,BB47),0)</f>
        <v/>
      </c>
      <c r="AR47" s="82">
        <f>HYPERLINK("https://www.alta.ru/tnved/code/")&amp;W47&amp;"/"</f>
        <v/>
      </c>
      <c r="AS47" s="157" t="n"/>
      <c r="AT47" s="162" t="n"/>
      <c r="AU47" s="76">
        <f>IF(ISBLANK(AT47),0,AJ47-AT47)</f>
        <v/>
      </c>
      <c r="AV47" s="157" t="n"/>
      <c r="AW47" s="75">
        <f>_xlfn.IFNA(VLOOKUP(L47,list_vat[],3,FALSE),0)</f>
        <v/>
      </c>
      <c r="AX47" s="76">
        <f>IFERROR(ROUND(S47*(1+AW47)/E47,2),0)</f>
        <v/>
      </c>
      <c r="AY47" s="76">
        <f>E47*AX47</f>
        <v/>
      </c>
      <c r="AZ47" s="192">
        <f>S47*(1+M47)</f>
        <v/>
      </c>
      <c r="BA47" s="76">
        <f>cost_fin_total*$BD47</f>
        <v/>
      </c>
      <c r="BB47" s="193">
        <f>credit_sales_interest*BD47</f>
        <v/>
      </c>
      <c r="BC47" s="102">
        <f>IFERROR(IF($I$13&gt;0,$I47/$I$13,$S47/$S$13),0)</f>
        <v/>
      </c>
      <c r="BD47" s="102">
        <f>IFERROR($S47/$S$13,0)</f>
        <v/>
      </c>
      <c r="BE47" s="413" t="inlineStr">
        <is>
          <t>$</t>
        </is>
      </c>
    </row>
    <row r="48" ht="12" customFormat="1" customHeight="1" s="65">
      <c r="A48" s="43" t="n">
        <v>33</v>
      </c>
      <c r="B48" s="166" t="n"/>
      <c r="C48" s="166" t="n"/>
      <c r="D48" s="166" t="n"/>
      <c r="E48" s="162" t="n"/>
      <c r="F48" s="166" t="n"/>
      <c r="G48" s="162" t="n"/>
      <c r="H48" s="162" t="n"/>
      <c r="I48" s="189">
        <f>E48*G48</f>
        <v/>
      </c>
      <c r="J48" s="195" t="n"/>
      <c r="K48" s="162" t="n"/>
      <c r="L48" s="168" t="n"/>
      <c r="M48" s="75">
        <f>_xlfn.XLOOKUP(L48,list_vat[Страна],list_vat[Ставка НДС %],0,0)</f>
        <v/>
      </c>
      <c r="N48" s="162">
        <f>IFERROR(IF(L48="Китай",K48,K48/(1+M48)),0)</f>
        <v/>
      </c>
      <c r="O48" s="169" t="n"/>
      <c r="P48" s="76">
        <f>N48*(1-O48)</f>
        <v/>
      </c>
      <c r="Q48" s="162" t="n"/>
      <c r="R48" s="162">
        <f>IF(ISBLANK(Q48),"введи курс",P48/Q48)</f>
        <v/>
      </c>
      <c r="S48" s="196">
        <f>IF(AND(ISNUMBER(E48),ISNUMBER(Q48)),E48*R48,0)</f>
        <v/>
      </c>
      <c r="T48" s="192">
        <f>$BC48*V$11</f>
        <v/>
      </c>
      <c r="U48" s="76">
        <f>$BC48*W$11</f>
        <v/>
      </c>
      <c r="V48" s="193">
        <f>+SUM(T48:U48)</f>
        <v/>
      </c>
      <c r="W48" s="191" t="n"/>
      <c r="X48" s="170" t="n"/>
      <c r="Y48" s="76">
        <f>ROUND(IF(offer_incoterms="DDP",X48*(S48*(1+AW48)+T48),0),2)</f>
        <v/>
      </c>
      <c r="Z48" s="188" t="n"/>
      <c r="AA48" s="192">
        <f>IFERROR(AB48/E48,0)</f>
        <v/>
      </c>
      <c r="AB48" s="76">
        <f>ROUND(SUM(S48,V48,Y48:Z48,BA48:BB48),2)</f>
        <v/>
      </c>
      <c r="AC48" s="797" t="n"/>
      <c r="AD48" s="192">
        <f t="array" ref="AD48">IFERROR(ROUND((_xlfn.IFS(offer_sale_type="поставка",AB48,offer_sale_type="транзит",S48)*(1+AC48))/E48,2),0)</f>
        <v/>
      </c>
      <c r="AE48" s="76">
        <f>AD48*E48</f>
        <v/>
      </c>
      <c r="AF48" s="193">
        <f t="array" ref="AF48">IFERROR(ROUND(_xlfn.IFS(offer_sale_type="поставка",AB48,offer_sale_type="транзит",S48)*AC48,2),0)</f>
        <v/>
      </c>
      <c r="AG48" s="192">
        <f>$BD48*VLOOKUP($AG$3,$AF$4:$AG$7,2,FALSE)</f>
        <v/>
      </c>
      <c r="AH48" s="76">
        <f>SUM(AE48,AG48,AI48)*rate_forex_risk</f>
        <v/>
      </c>
      <c r="AI48" s="193">
        <f>IF(OR(seller_region="TR",offer_sale_type="экспорт"),0,rate_fin_comm)*SUM(AZ48,AZ48*AW48,T48)</f>
        <v/>
      </c>
      <c r="AJ48" s="118">
        <f>IFERROR(ROUND(SUM(AB48,AF48:AI48)/E48,2),0)</f>
        <v/>
      </c>
      <c r="AK48" s="76">
        <f>AJ48*E48</f>
        <v/>
      </c>
      <c r="AL48" s="174">
        <f>ROUND(IFERROR(AM48*E48,0),2)</f>
        <v/>
      </c>
      <c r="AM48" s="175">
        <f>ROUND(AJ48*(1+IF(offer_incoterms="DDP",IF((TODAY()+offer_turnaround_time)&gt;=helpsheet!$L$17,rate_vatRU_from_26,rate_vatRu_till_25),0)),2)</f>
        <v/>
      </c>
      <c r="AN48" s="192">
        <f>AL48-AK48</f>
        <v/>
      </c>
      <c r="AO48" s="76">
        <f>SUM(AY48,Y48:Z48,T48)*IF(AND(offer_incoterms="DDP",offer_sale_type&lt;&gt;"экспорт"),IF((TODAY()+offer_turnaround_time)&gt;=helpsheet!$L$17,rate_vatRU_from_26,rate_vatRu_till_25),0)</f>
        <v/>
      </c>
      <c r="AP48" s="193">
        <f>AN48-AO48</f>
        <v/>
      </c>
      <c r="AQ48" s="118">
        <f>IF(offer_sale_type="транзит",SUM(AF48:AI48,BA48,BB48),0)</f>
        <v/>
      </c>
      <c r="AR48" s="82">
        <f>HYPERLINK("https://www.alta.ru/tnved/code/")&amp;W48&amp;"/"</f>
        <v/>
      </c>
      <c r="AS48" s="157" t="n"/>
      <c r="AT48" s="162" t="n"/>
      <c r="AU48" s="76">
        <f>IF(ISBLANK(AT48),0,AJ48-AT48)</f>
        <v/>
      </c>
      <c r="AV48" s="157" t="n"/>
      <c r="AW48" s="75">
        <f>_xlfn.IFNA(VLOOKUP(L48,list_vat[],3,FALSE),0)</f>
        <v/>
      </c>
      <c r="AX48" s="76">
        <f>IFERROR(ROUND(S48*(1+AW48)/E48,2),0)</f>
        <v/>
      </c>
      <c r="AY48" s="76">
        <f>E48*AX48</f>
        <v/>
      </c>
      <c r="AZ48" s="192">
        <f>S48*(1+M48)</f>
        <v/>
      </c>
      <c r="BA48" s="76">
        <f>cost_fin_total*$BD48</f>
        <v/>
      </c>
      <c r="BB48" s="193">
        <f>credit_sales_interest*BD48</f>
        <v/>
      </c>
      <c r="BC48" s="102">
        <f>IFERROR(IF($I$13&gt;0,$I48/$I$13,$S48/$S$13),0)</f>
        <v/>
      </c>
      <c r="BD48" s="102">
        <f>IFERROR($S48/$S$13,0)</f>
        <v/>
      </c>
      <c r="BE48" s="413" t="inlineStr">
        <is>
          <t>$</t>
        </is>
      </c>
    </row>
    <row r="49" ht="12" customFormat="1" customHeight="1" s="65">
      <c r="A49" s="43" t="n">
        <v>34</v>
      </c>
      <c r="B49" s="166" t="n"/>
      <c r="C49" s="166" t="n"/>
      <c r="D49" s="166" t="n"/>
      <c r="E49" s="162" t="n"/>
      <c r="F49" s="166" t="n"/>
      <c r="G49" s="162" t="n"/>
      <c r="H49" s="162" t="n"/>
      <c r="I49" s="189">
        <f>E49*G49</f>
        <v/>
      </c>
      <c r="J49" s="195" t="n"/>
      <c r="K49" s="162" t="n"/>
      <c r="L49" s="168" t="n"/>
      <c r="M49" s="75">
        <f>_xlfn.XLOOKUP(L49,list_vat[Страна],list_vat[Ставка НДС %],0,0)</f>
        <v/>
      </c>
      <c r="N49" s="162">
        <f>IFERROR(IF(L49="Китай",K49,K49/(1+M49)),0)</f>
        <v/>
      </c>
      <c r="O49" s="169" t="n"/>
      <c r="P49" s="76">
        <f>N49*(1-O49)</f>
        <v/>
      </c>
      <c r="Q49" s="162" t="n"/>
      <c r="R49" s="162">
        <f>IF(ISBLANK(Q49),"введи курс",P49/Q49)</f>
        <v/>
      </c>
      <c r="S49" s="196">
        <f>IF(AND(ISNUMBER(E49),ISNUMBER(Q49)),E49*R49,0)</f>
        <v/>
      </c>
      <c r="T49" s="192">
        <f>$BC49*V$11</f>
        <v/>
      </c>
      <c r="U49" s="76">
        <f>$BC49*W$11</f>
        <v/>
      </c>
      <c r="V49" s="193">
        <f>+SUM(T49:U49)</f>
        <v/>
      </c>
      <c r="W49" s="191" t="n"/>
      <c r="X49" s="170" t="n"/>
      <c r="Y49" s="76">
        <f>ROUND(IF(offer_incoterms="DDP",X49*(S49*(1+AW49)+T49),0),2)</f>
        <v/>
      </c>
      <c r="Z49" s="188" t="n"/>
      <c r="AA49" s="192">
        <f>IFERROR(AB49/E49,0)</f>
        <v/>
      </c>
      <c r="AB49" s="76">
        <f>ROUND(SUM(S49,V49,Y49:Z49,BA49:BB49),2)</f>
        <v/>
      </c>
      <c r="AC49" s="797" t="n"/>
      <c r="AD49" s="192">
        <f t="array" ref="AD49">IFERROR(ROUND((_xlfn.IFS(offer_sale_type="поставка",AB49,offer_sale_type="транзит",S49)*(1+AC49))/E49,2),0)</f>
        <v/>
      </c>
      <c r="AE49" s="76">
        <f>AD49*E49</f>
        <v/>
      </c>
      <c r="AF49" s="193">
        <f t="array" ref="AF49">IFERROR(ROUND(_xlfn.IFS(offer_sale_type="поставка",AB49,offer_sale_type="транзит",S49)*AC49,2),0)</f>
        <v/>
      </c>
      <c r="AG49" s="192">
        <f>$BD49*VLOOKUP($AG$3,$AF$4:$AG$7,2,FALSE)</f>
        <v/>
      </c>
      <c r="AH49" s="76">
        <f>SUM(AE49,AG49,AI49)*rate_forex_risk</f>
        <v/>
      </c>
      <c r="AI49" s="193">
        <f>IF(OR(seller_region="TR",offer_sale_type="экспорт"),0,rate_fin_comm)*SUM(AZ49,AZ49*AW49,T49)</f>
        <v/>
      </c>
      <c r="AJ49" s="118">
        <f>IFERROR(ROUND(SUM(AB49,AF49:AI49)/E49,2),0)</f>
        <v/>
      </c>
      <c r="AK49" s="76">
        <f>AJ49*E49</f>
        <v/>
      </c>
      <c r="AL49" s="174">
        <f>ROUND(IFERROR(AM49*E49,0),2)</f>
        <v/>
      </c>
      <c r="AM49" s="175">
        <f>ROUND(AJ49*(1+IF(offer_incoterms="DDP",IF((TODAY()+offer_turnaround_time)&gt;=helpsheet!$L$17,rate_vatRU_from_26,rate_vatRu_till_25),0)),2)</f>
        <v/>
      </c>
      <c r="AN49" s="192">
        <f>AL49-AK49</f>
        <v/>
      </c>
      <c r="AO49" s="76">
        <f>SUM(AY49,Y49:Z49,T49)*IF(AND(offer_incoterms="DDP",offer_sale_type&lt;&gt;"экспорт"),IF((TODAY()+offer_turnaround_time)&gt;=helpsheet!$L$17,rate_vatRU_from_26,rate_vatRu_till_25),0)</f>
        <v/>
      </c>
      <c r="AP49" s="193">
        <f>AN49-AO49</f>
        <v/>
      </c>
      <c r="AQ49" s="118">
        <f>IF(offer_sale_type="транзит",SUM(AF49:AI49,BA49,BB49),0)</f>
        <v/>
      </c>
      <c r="AR49" s="82">
        <f>HYPERLINK("https://www.alta.ru/tnved/code/")&amp;W49&amp;"/"</f>
        <v/>
      </c>
      <c r="AS49" s="157" t="n"/>
      <c r="AT49" s="162" t="n"/>
      <c r="AU49" s="76">
        <f>IF(ISBLANK(AT49),0,AJ49-AT49)</f>
        <v/>
      </c>
      <c r="AV49" s="157" t="n"/>
      <c r="AW49" s="75">
        <f>_xlfn.IFNA(VLOOKUP(L49,list_vat[],3,FALSE),0)</f>
        <v/>
      </c>
      <c r="AX49" s="76">
        <f>IFERROR(ROUND(S49*(1+AW49)/E49,2),0)</f>
        <v/>
      </c>
      <c r="AY49" s="76">
        <f>E49*AX49</f>
        <v/>
      </c>
      <c r="AZ49" s="192">
        <f>S49*(1+M49)</f>
        <v/>
      </c>
      <c r="BA49" s="76">
        <f>cost_fin_total*$BD49</f>
        <v/>
      </c>
      <c r="BB49" s="193">
        <f>credit_sales_interest*BD49</f>
        <v/>
      </c>
      <c r="BC49" s="102">
        <f>IFERROR(IF($I$13&gt;0,$I49/$I$13,$S49/$S$13),0)</f>
        <v/>
      </c>
      <c r="BD49" s="102">
        <f>IFERROR($S49/$S$13,0)</f>
        <v/>
      </c>
      <c r="BE49" s="413" t="inlineStr">
        <is>
          <t>$</t>
        </is>
      </c>
    </row>
    <row r="50" ht="12" customFormat="1" customHeight="1" s="65">
      <c r="A50" s="43" t="n">
        <v>35</v>
      </c>
      <c r="B50" s="166" t="n"/>
      <c r="C50" s="166" t="n"/>
      <c r="D50" s="166" t="n"/>
      <c r="E50" s="162" t="n"/>
      <c r="F50" s="166" t="n"/>
      <c r="G50" s="162" t="n"/>
      <c r="H50" s="162" t="n"/>
      <c r="I50" s="189">
        <f>E50*G50</f>
        <v/>
      </c>
      <c r="J50" s="195" t="n"/>
      <c r="K50" s="162" t="n"/>
      <c r="L50" s="168" t="n"/>
      <c r="M50" s="75">
        <f>_xlfn.XLOOKUP(L50,list_vat[Страна],list_vat[Ставка НДС %],0,0)</f>
        <v/>
      </c>
      <c r="N50" s="162">
        <f>IFERROR(IF(L50="Китай",K50,K50/(1+M50)),0)</f>
        <v/>
      </c>
      <c r="O50" s="169" t="n"/>
      <c r="P50" s="76">
        <f>N50*(1-O50)</f>
        <v/>
      </c>
      <c r="Q50" s="162" t="n"/>
      <c r="R50" s="162">
        <f>IF(ISBLANK(Q50),"введи курс",P50/Q50)</f>
        <v/>
      </c>
      <c r="S50" s="196">
        <f>IF(AND(ISNUMBER(E50),ISNUMBER(Q50)),E50*R50,0)</f>
        <v/>
      </c>
      <c r="T50" s="192">
        <f>$BC50*V$11</f>
        <v/>
      </c>
      <c r="U50" s="76">
        <f>$BC50*W$11</f>
        <v/>
      </c>
      <c r="V50" s="193">
        <f>+SUM(T50:U50)</f>
        <v/>
      </c>
      <c r="W50" s="191" t="n"/>
      <c r="X50" s="170" t="n"/>
      <c r="Y50" s="76">
        <f>ROUND(IF(offer_incoterms="DDP",X50*(S50*(1+AW50)+T50),0),2)</f>
        <v/>
      </c>
      <c r="Z50" s="188" t="n"/>
      <c r="AA50" s="192">
        <f>IFERROR(AB50/E50,0)</f>
        <v/>
      </c>
      <c r="AB50" s="76">
        <f>ROUND(SUM(S50,V50,Y50:Z50,BA50:BB50),2)</f>
        <v/>
      </c>
      <c r="AC50" s="797" t="n"/>
      <c r="AD50" s="192">
        <f t="array" ref="AD50">IFERROR(ROUND((_xlfn.IFS(offer_sale_type="поставка",AB50,offer_sale_type="транзит",S50)*(1+AC50))/E50,2),0)</f>
        <v/>
      </c>
      <c r="AE50" s="76">
        <f>AD50*E50</f>
        <v/>
      </c>
      <c r="AF50" s="193">
        <f t="array" ref="AF50">IFERROR(ROUND(_xlfn.IFS(offer_sale_type="поставка",AB50,offer_sale_type="транзит",S50)*AC50,2),0)</f>
        <v/>
      </c>
      <c r="AG50" s="192">
        <f>$BD50*VLOOKUP($AG$3,$AF$4:$AG$7,2,FALSE)</f>
        <v/>
      </c>
      <c r="AH50" s="76">
        <f>SUM(AE50,AG50,AI50)*rate_forex_risk</f>
        <v/>
      </c>
      <c r="AI50" s="193">
        <f>IF(OR(seller_region="TR",offer_sale_type="экспорт"),0,rate_fin_comm)*SUM(AZ50,AZ50*AW50,T50)</f>
        <v/>
      </c>
      <c r="AJ50" s="118">
        <f>IFERROR(ROUND(SUM(AB50,AF50:AI50)/E50,2),0)</f>
        <v/>
      </c>
      <c r="AK50" s="76">
        <f>AJ50*E50</f>
        <v/>
      </c>
      <c r="AL50" s="174">
        <f>ROUND(IFERROR(AM50*E50,0),2)</f>
        <v/>
      </c>
      <c r="AM50" s="175">
        <f>ROUND(AJ50*(1+IF(offer_incoterms="DDP",IF((TODAY()+offer_turnaround_time)&gt;=helpsheet!$L$17,rate_vatRU_from_26,rate_vatRu_till_25),0)),2)</f>
        <v/>
      </c>
      <c r="AN50" s="192">
        <f>AL50-AK50</f>
        <v/>
      </c>
      <c r="AO50" s="76">
        <f>SUM(AY50,Y50:Z50,T50)*IF(AND(offer_incoterms="DDP",offer_sale_type&lt;&gt;"экспорт"),IF((TODAY()+offer_turnaround_time)&gt;=helpsheet!$L$17,rate_vatRU_from_26,rate_vatRu_till_25),0)</f>
        <v/>
      </c>
      <c r="AP50" s="193">
        <f>AN50-AO50</f>
        <v/>
      </c>
      <c r="AQ50" s="118">
        <f>IF(offer_sale_type="транзит",SUM(AF50:AI50,BA50,BB50),0)</f>
        <v/>
      </c>
      <c r="AR50" s="82">
        <f>HYPERLINK("https://www.alta.ru/tnved/code/")&amp;W50&amp;"/"</f>
        <v/>
      </c>
      <c r="AS50" s="157" t="n"/>
      <c r="AT50" s="162" t="n"/>
      <c r="AU50" s="76">
        <f>IF(ISBLANK(AT50),0,AJ50-AT50)</f>
        <v/>
      </c>
      <c r="AV50" s="157" t="n"/>
      <c r="AW50" s="75">
        <f>_xlfn.IFNA(VLOOKUP(L50,list_vat[],3,FALSE),0)</f>
        <v/>
      </c>
      <c r="AX50" s="76">
        <f>IFERROR(ROUND(S50*(1+AW50)/E50,2),0)</f>
        <v/>
      </c>
      <c r="AY50" s="76">
        <f>E50*AX50</f>
        <v/>
      </c>
      <c r="AZ50" s="192">
        <f>S50*(1+M50)</f>
        <v/>
      </c>
      <c r="BA50" s="76">
        <f>cost_fin_total*$BD50</f>
        <v/>
      </c>
      <c r="BB50" s="193">
        <f>credit_sales_interest*BD50</f>
        <v/>
      </c>
      <c r="BC50" s="102">
        <f>IFERROR(IF($I$13&gt;0,$I50/$I$13,$S50/$S$13),0)</f>
        <v/>
      </c>
      <c r="BD50" s="102">
        <f>IFERROR($S50/$S$13,0)</f>
        <v/>
      </c>
      <c r="BE50" s="413" t="inlineStr">
        <is>
          <t>$</t>
        </is>
      </c>
    </row>
    <row r="51" ht="12" customFormat="1" customHeight="1" s="65">
      <c r="A51" s="43" t="n">
        <v>36</v>
      </c>
      <c r="B51" s="166" t="n"/>
      <c r="C51" s="166" t="n"/>
      <c r="D51" s="166" t="n"/>
      <c r="E51" s="162" t="n"/>
      <c r="F51" s="166" t="n"/>
      <c r="G51" s="162" t="n"/>
      <c r="H51" s="162" t="n"/>
      <c r="I51" s="189">
        <f>E51*G51</f>
        <v/>
      </c>
      <c r="J51" s="195" t="n"/>
      <c r="K51" s="162" t="n"/>
      <c r="L51" s="168" t="n"/>
      <c r="M51" s="75">
        <f>_xlfn.XLOOKUP(L51,list_vat[Страна],list_vat[Ставка НДС %],0,0)</f>
        <v/>
      </c>
      <c r="N51" s="162">
        <f>IFERROR(IF(L51="Китай",K51,K51/(1+M51)),0)</f>
        <v/>
      </c>
      <c r="O51" s="169" t="n"/>
      <c r="P51" s="76">
        <f>N51*(1-O51)</f>
        <v/>
      </c>
      <c r="Q51" s="162" t="n"/>
      <c r="R51" s="162">
        <f>IF(ISBLANK(Q51),"введи курс",P51/Q51)</f>
        <v/>
      </c>
      <c r="S51" s="196">
        <f>IF(AND(ISNUMBER(E51),ISNUMBER(Q51)),E51*R51,0)</f>
        <v/>
      </c>
      <c r="T51" s="192">
        <f>$BC51*V$11</f>
        <v/>
      </c>
      <c r="U51" s="76">
        <f>$BC51*W$11</f>
        <v/>
      </c>
      <c r="V51" s="193">
        <f>+SUM(T51:U51)</f>
        <v/>
      </c>
      <c r="W51" s="191" t="n"/>
      <c r="X51" s="170" t="n"/>
      <c r="Y51" s="76">
        <f>ROUND(IF(offer_incoterms="DDP",X51*(S51*(1+AW51)+T51),0),2)</f>
        <v/>
      </c>
      <c r="Z51" s="188" t="n"/>
      <c r="AA51" s="192">
        <f>IFERROR(AB51/E51,0)</f>
        <v/>
      </c>
      <c r="AB51" s="76">
        <f>ROUND(SUM(S51,V51,Y51:Z51,BA51:BB51),2)</f>
        <v/>
      </c>
      <c r="AC51" s="797" t="n"/>
      <c r="AD51" s="192">
        <f t="array" ref="AD51">IFERROR(ROUND((_xlfn.IFS(offer_sale_type="поставка",AB51,offer_sale_type="транзит",S51)*(1+AC51))/E51,2),0)</f>
        <v/>
      </c>
      <c r="AE51" s="76">
        <f>AD51*E51</f>
        <v/>
      </c>
      <c r="AF51" s="193">
        <f t="array" ref="AF51">IFERROR(ROUND(_xlfn.IFS(offer_sale_type="поставка",AB51,offer_sale_type="транзит",S51)*AC51,2),0)</f>
        <v/>
      </c>
      <c r="AG51" s="192">
        <f>$BD51*VLOOKUP($AG$3,$AF$4:$AG$7,2,FALSE)</f>
        <v/>
      </c>
      <c r="AH51" s="76">
        <f>SUM(AE51,AG51,AI51)*rate_forex_risk</f>
        <v/>
      </c>
      <c r="AI51" s="193">
        <f>IF(OR(seller_region="TR",offer_sale_type="экспорт"),0,rate_fin_comm)*SUM(AZ51,AZ51*AW51,T51)</f>
        <v/>
      </c>
      <c r="AJ51" s="118">
        <f>IFERROR(ROUND(SUM(AB51,AF51:AI51)/E51,2),0)</f>
        <v/>
      </c>
      <c r="AK51" s="76">
        <f>AJ51*E51</f>
        <v/>
      </c>
      <c r="AL51" s="174">
        <f>ROUND(IFERROR(AM51*E51,0),2)</f>
        <v/>
      </c>
      <c r="AM51" s="175">
        <f>ROUND(AJ51*(1+IF(offer_incoterms="DDP",IF((TODAY()+offer_turnaround_time)&gt;=helpsheet!$L$17,rate_vatRU_from_26,rate_vatRu_till_25),0)),2)</f>
        <v/>
      </c>
      <c r="AN51" s="192">
        <f>AL51-AK51</f>
        <v/>
      </c>
      <c r="AO51" s="76">
        <f>SUM(AY51,Y51:Z51,T51)*IF(AND(offer_incoterms="DDP",offer_sale_type&lt;&gt;"экспорт"),IF((TODAY()+offer_turnaround_time)&gt;=helpsheet!$L$17,rate_vatRU_from_26,rate_vatRu_till_25),0)</f>
        <v/>
      </c>
      <c r="AP51" s="193">
        <f>AN51-AO51</f>
        <v/>
      </c>
      <c r="AQ51" s="118">
        <f>IF(offer_sale_type="транзит",SUM(AF51:AI51,BA51,BB51),0)</f>
        <v/>
      </c>
      <c r="AR51" s="82">
        <f>HYPERLINK("https://www.alta.ru/tnved/code/")&amp;W51&amp;"/"</f>
        <v/>
      </c>
      <c r="AS51" s="157" t="n"/>
      <c r="AT51" s="162" t="n"/>
      <c r="AU51" s="76">
        <f>IF(ISBLANK(AT51),0,AJ51-AT51)</f>
        <v/>
      </c>
      <c r="AV51" s="157" t="n"/>
      <c r="AW51" s="75">
        <f>_xlfn.IFNA(VLOOKUP(L51,list_vat[],3,FALSE),0)</f>
        <v/>
      </c>
      <c r="AX51" s="76">
        <f>IFERROR(ROUND(S51*(1+AW51)/E51,2),0)</f>
        <v/>
      </c>
      <c r="AY51" s="76">
        <f>E51*AX51</f>
        <v/>
      </c>
      <c r="AZ51" s="192">
        <f>S51*(1+M51)</f>
        <v/>
      </c>
      <c r="BA51" s="76">
        <f>cost_fin_total*$BD51</f>
        <v/>
      </c>
      <c r="BB51" s="193">
        <f>credit_sales_interest*BD51</f>
        <v/>
      </c>
      <c r="BC51" s="102">
        <f>IFERROR(IF($I$13&gt;0,$I51/$I$13,$S51/$S$13),0)</f>
        <v/>
      </c>
      <c r="BD51" s="102">
        <f>IFERROR($S51/$S$13,0)</f>
        <v/>
      </c>
      <c r="BE51" s="413" t="inlineStr">
        <is>
          <t>$</t>
        </is>
      </c>
    </row>
    <row r="52" ht="12" customFormat="1" customHeight="1" s="65">
      <c r="A52" s="43" t="n">
        <v>37</v>
      </c>
      <c r="B52" s="166" t="n"/>
      <c r="C52" s="166" t="n"/>
      <c r="D52" s="166" t="n"/>
      <c r="E52" s="162" t="n"/>
      <c r="F52" s="166" t="n"/>
      <c r="G52" s="162" t="n"/>
      <c r="H52" s="162" t="n"/>
      <c r="I52" s="189">
        <f>E52*G52</f>
        <v/>
      </c>
      <c r="J52" s="195" t="n"/>
      <c r="K52" s="162" t="n"/>
      <c r="L52" s="168" t="n"/>
      <c r="M52" s="75">
        <f>_xlfn.XLOOKUP(L52,list_vat[Страна],list_vat[Ставка НДС %],0,0)</f>
        <v/>
      </c>
      <c r="N52" s="162">
        <f>IFERROR(IF(L52="Китай",K52,K52/(1+M52)),0)</f>
        <v/>
      </c>
      <c r="O52" s="169" t="n"/>
      <c r="P52" s="76">
        <f>N52*(1-O52)</f>
        <v/>
      </c>
      <c r="Q52" s="162" t="n"/>
      <c r="R52" s="162">
        <f>IF(ISBLANK(Q52),"введи курс",P52/Q52)</f>
        <v/>
      </c>
      <c r="S52" s="196">
        <f>IF(AND(ISNUMBER(E52),ISNUMBER(Q52)),E52*R52,0)</f>
        <v/>
      </c>
      <c r="T52" s="192">
        <f>$BC52*V$11</f>
        <v/>
      </c>
      <c r="U52" s="76">
        <f>$BC52*W$11</f>
        <v/>
      </c>
      <c r="V52" s="193">
        <f>+SUM(T52:U52)</f>
        <v/>
      </c>
      <c r="W52" s="191" t="n"/>
      <c r="X52" s="170" t="n"/>
      <c r="Y52" s="76">
        <f>ROUND(IF(offer_incoterms="DDP",X52*(S52*(1+AW52)+T52),0),2)</f>
        <v/>
      </c>
      <c r="Z52" s="188" t="n"/>
      <c r="AA52" s="192">
        <f>IFERROR(AB52/E52,0)</f>
        <v/>
      </c>
      <c r="AB52" s="76">
        <f>ROUND(SUM(S52,V52,Y52:Z52,BA52:BB52),2)</f>
        <v/>
      </c>
      <c r="AC52" s="797" t="n"/>
      <c r="AD52" s="192">
        <f t="array" ref="AD52">IFERROR(ROUND((_xlfn.IFS(offer_sale_type="поставка",AB52,offer_sale_type="транзит",S52)*(1+AC52))/E52,2),0)</f>
        <v/>
      </c>
      <c r="AE52" s="76">
        <f>AD52*E52</f>
        <v/>
      </c>
      <c r="AF52" s="193">
        <f t="array" ref="AF52">IFERROR(ROUND(_xlfn.IFS(offer_sale_type="поставка",AB52,offer_sale_type="транзит",S52)*AC52,2),0)</f>
        <v/>
      </c>
      <c r="AG52" s="192">
        <f>$BD52*VLOOKUP($AG$3,$AF$4:$AG$7,2,FALSE)</f>
        <v/>
      </c>
      <c r="AH52" s="76">
        <f>SUM(AE52,AG52,AI52)*rate_forex_risk</f>
        <v/>
      </c>
      <c r="AI52" s="193">
        <f>IF(OR(seller_region="TR",offer_sale_type="экспорт"),0,rate_fin_comm)*SUM(AZ52,AZ52*AW52,T52)</f>
        <v/>
      </c>
      <c r="AJ52" s="118">
        <f>IFERROR(ROUND(SUM(AB52,AF52:AI52)/E52,2),0)</f>
        <v/>
      </c>
      <c r="AK52" s="76">
        <f>AJ52*E52</f>
        <v/>
      </c>
      <c r="AL52" s="174">
        <f>ROUND(IFERROR(AM52*E52,0),2)</f>
        <v/>
      </c>
      <c r="AM52" s="175">
        <f>ROUND(AJ52*(1+IF(offer_incoterms="DDP",IF((TODAY()+offer_turnaround_time)&gt;=helpsheet!$L$17,rate_vatRU_from_26,rate_vatRu_till_25),0)),2)</f>
        <v/>
      </c>
      <c r="AN52" s="192">
        <f>AL52-AK52</f>
        <v/>
      </c>
      <c r="AO52" s="76">
        <f>SUM(AY52,Y52:Z52,T52)*IF(AND(offer_incoterms="DDP",offer_sale_type&lt;&gt;"экспорт"),IF((TODAY()+offer_turnaround_time)&gt;=helpsheet!$L$17,rate_vatRU_from_26,rate_vatRu_till_25),0)</f>
        <v/>
      </c>
      <c r="AP52" s="193">
        <f>AN52-AO52</f>
        <v/>
      </c>
      <c r="AQ52" s="118">
        <f>IF(offer_sale_type="транзит",SUM(AF52:AI52,BA52,BB52),0)</f>
        <v/>
      </c>
      <c r="AR52" s="82">
        <f>HYPERLINK("https://www.alta.ru/tnved/code/")&amp;W52&amp;"/"</f>
        <v/>
      </c>
      <c r="AS52" s="157" t="n"/>
      <c r="AT52" s="162" t="n"/>
      <c r="AU52" s="76">
        <f>IF(ISBLANK(AT52),0,AJ52-AT52)</f>
        <v/>
      </c>
      <c r="AV52" s="157" t="n"/>
      <c r="AW52" s="75">
        <f>_xlfn.IFNA(VLOOKUP(L52,list_vat[],3,FALSE),0)</f>
        <v/>
      </c>
      <c r="AX52" s="76">
        <f>IFERROR(ROUND(S52*(1+AW52)/E52,2),0)</f>
        <v/>
      </c>
      <c r="AY52" s="76">
        <f>E52*AX52</f>
        <v/>
      </c>
      <c r="AZ52" s="192">
        <f>S52*(1+M52)</f>
        <v/>
      </c>
      <c r="BA52" s="76">
        <f>cost_fin_total*$BD52</f>
        <v/>
      </c>
      <c r="BB52" s="193">
        <f>credit_sales_interest*BD52</f>
        <v/>
      </c>
      <c r="BC52" s="102">
        <f>IFERROR(IF($I$13&gt;0,$I52/$I$13,$S52/$S$13),0)</f>
        <v/>
      </c>
      <c r="BD52" s="102">
        <f>IFERROR($S52/$S$13,0)</f>
        <v/>
      </c>
      <c r="BE52" s="413" t="inlineStr">
        <is>
          <t>$</t>
        </is>
      </c>
    </row>
    <row r="53" ht="12" customFormat="1" customHeight="1" s="65">
      <c r="A53" s="43" t="n">
        <v>38</v>
      </c>
      <c r="B53" s="166" t="n"/>
      <c r="C53" s="166" t="n"/>
      <c r="D53" s="166" t="n"/>
      <c r="E53" s="162" t="n"/>
      <c r="F53" s="166" t="n"/>
      <c r="G53" s="162" t="n"/>
      <c r="H53" s="162" t="n"/>
      <c r="I53" s="189">
        <f>E53*G53</f>
        <v/>
      </c>
      <c r="J53" s="195" t="n"/>
      <c r="K53" s="162" t="n"/>
      <c r="L53" s="168" t="n"/>
      <c r="M53" s="75">
        <f>_xlfn.XLOOKUP(L53,list_vat[Страна],list_vat[Ставка НДС %],0,0)</f>
        <v/>
      </c>
      <c r="N53" s="162">
        <f>IFERROR(IF(L53="Китай",K53,K53/(1+M53)),0)</f>
        <v/>
      </c>
      <c r="O53" s="169" t="n"/>
      <c r="P53" s="76">
        <f>N53*(1-O53)</f>
        <v/>
      </c>
      <c r="Q53" s="162" t="n"/>
      <c r="R53" s="162">
        <f>IF(ISBLANK(Q53),"введи курс",P53/Q53)</f>
        <v/>
      </c>
      <c r="S53" s="196">
        <f>IF(AND(ISNUMBER(E53),ISNUMBER(Q53)),E53*R53,0)</f>
        <v/>
      </c>
      <c r="T53" s="192">
        <f>$BC53*V$11</f>
        <v/>
      </c>
      <c r="U53" s="76">
        <f>$BC53*W$11</f>
        <v/>
      </c>
      <c r="V53" s="193">
        <f>+SUM(T53:U53)</f>
        <v/>
      </c>
      <c r="W53" s="191" t="n"/>
      <c r="X53" s="170" t="n"/>
      <c r="Y53" s="76">
        <f>ROUND(IF(offer_incoterms="DDP",X53*(S53*(1+AW53)+T53),0),2)</f>
        <v/>
      </c>
      <c r="Z53" s="188" t="n"/>
      <c r="AA53" s="192">
        <f>IFERROR(AB53/E53,0)</f>
        <v/>
      </c>
      <c r="AB53" s="76">
        <f>ROUND(SUM(S53,V53,Y53:Z53,BA53:BB53),2)</f>
        <v/>
      </c>
      <c r="AC53" s="797" t="n"/>
      <c r="AD53" s="192">
        <f t="array" ref="AD53">IFERROR(ROUND((_xlfn.IFS(offer_sale_type="поставка",AB53,offer_sale_type="транзит",S53)*(1+AC53))/E53,2),0)</f>
        <v/>
      </c>
      <c r="AE53" s="76">
        <f>AD53*E53</f>
        <v/>
      </c>
      <c r="AF53" s="193">
        <f t="array" ref="AF53">IFERROR(ROUND(_xlfn.IFS(offer_sale_type="поставка",AB53,offer_sale_type="транзит",S53)*AC53,2),0)</f>
        <v/>
      </c>
      <c r="AG53" s="192">
        <f>$BD53*VLOOKUP($AG$3,$AF$4:$AG$7,2,FALSE)</f>
        <v/>
      </c>
      <c r="AH53" s="76">
        <f>SUM(AE53,AG53,AI53)*rate_forex_risk</f>
        <v/>
      </c>
      <c r="AI53" s="193">
        <f>IF(OR(seller_region="TR",offer_sale_type="экспорт"),0,rate_fin_comm)*SUM(AZ53,AZ53*AW53,T53)</f>
        <v/>
      </c>
      <c r="AJ53" s="118">
        <f>IFERROR(ROUND(SUM(AB53,AF53:AI53)/E53,2),0)</f>
        <v/>
      </c>
      <c r="AK53" s="76">
        <f>AJ53*E53</f>
        <v/>
      </c>
      <c r="AL53" s="174">
        <f>ROUND(IFERROR(AM53*E53,0),2)</f>
        <v/>
      </c>
      <c r="AM53" s="175">
        <f>ROUND(AJ53*(1+IF(offer_incoterms="DDP",IF((TODAY()+offer_turnaround_time)&gt;=helpsheet!$L$17,rate_vatRU_from_26,rate_vatRu_till_25),0)),2)</f>
        <v/>
      </c>
      <c r="AN53" s="192">
        <f>AL53-AK53</f>
        <v/>
      </c>
      <c r="AO53" s="76">
        <f>SUM(AY53,Y53:Z53,T53)*IF(AND(offer_incoterms="DDP",offer_sale_type&lt;&gt;"экспорт"),IF((TODAY()+offer_turnaround_time)&gt;=helpsheet!$L$17,rate_vatRU_from_26,rate_vatRu_till_25),0)</f>
        <v/>
      </c>
      <c r="AP53" s="193">
        <f>AN53-AO53</f>
        <v/>
      </c>
      <c r="AQ53" s="118">
        <f>IF(offer_sale_type="транзит",SUM(AF53:AI53,BA53,BB53),0)</f>
        <v/>
      </c>
      <c r="AR53" s="82">
        <f>HYPERLINK("https://www.alta.ru/tnved/code/")&amp;W53&amp;"/"</f>
        <v/>
      </c>
      <c r="AS53" s="157" t="n"/>
      <c r="AT53" s="162" t="n"/>
      <c r="AU53" s="76">
        <f>IF(ISBLANK(AT53),0,AJ53-AT53)</f>
        <v/>
      </c>
      <c r="AV53" s="157" t="n"/>
      <c r="AW53" s="75">
        <f>_xlfn.IFNA(VLOOKUP(L53,list_vat[],3,FALSE),0)</f>
        <v/>
      </c>
      <c r="AX53" s="76">
        <f>IFERROR(ROUND(S53*(1+AW53)/E53,2),0)</f>
        <v/>
      </c>
      <c r="AY53" s="76">
        <f>E53*AX53</f>
        <v/>
      </c>
      <c r="AZ53" s="192">
        <f>S53*(1+M53)</f>
        <v/>
      </c>
      <c r="BA53" s="76">
        <f>cost_fin_total*$BD53</f>
        <v/>
      </c>
      <c r="BB53" s="193">
        <f>credit_sales_interest*BD53</f>
        <v/>
      </c>
      <c r="BC53" s="102">
        <f>IFERROR(IF($I$13&gt;0,$I53/$I$13,$S53/$S$13),0)</f>
        <v/>
      </c>
      <c r="BD53" s="102">
        <f>IFERROR($S53/$S$13,0)</f>
        <v/>
      </c>
      <c r="BE53" s="413" t="inlineStr">
        <is>
          <t>$</t>
        </is>
      </c>
    </row>
    <row r="54" ht="12" customFormat="1" customHeight="1" s="65">
      <c r="A54" s="43" t="n">
        <v>39</v>
      </c>
      <c r="B54" s="166" t="n"/>
      <c r="C54" s="166" t="n"/>
      <c r="D54" s="166" t="n"/>
      <c r="E54" s="162" t="n"/>
      <c r="F54" s="166" t="n"/>
      <c r="G54" s="162" t="n"/>
      <c r="H54" s="162" t="n"/>
      <c r="I54" s="189">
        <f>E54*G54</f>
        <v/>
      </c>
      <c r="J54" s="195" t="n"/>
      <c r="K54" s="162" t="n"/>
      <c r="L54" s="168" t="n"/>
      <c r="M54" s="75">
        <f>_xlfn.XLOOKUP(L54,list_vat[Страна],list_vat[Ставка НДС %],0,0)</f>
        <v/>
      </c>
      <c r="N54" s="162">
        <f>IFERROR(IF(L54="Китай",K54,K54/(1+M54)),0)</f>
        <v/>
      </c>
      <c r="O54" s="169" t="n"/>
      <c r="P54" s="76">
        <f>N54*(1-O54)</f>
        <v/>
      </c>
      <c r="Q54" s="162" t="n"/>
      <c r="R54" s="162">
        <f>IF(ISBLANK(Q54),"введи курс",P54/Q54)</f>
        <v/>
      </c>
      <c r="S54" s="196">
        <f>IF(AND(ISNUMBER(E54),ISNUMBER(Q54)),E54*R54,0)</f>
        <v/>
      </c>
      <c r="T54" s="192">
        <f>$BC54*V$11</f>
        <v/>
      </c>
      <c r="U54" s="76">
        <f>$BC54*W$11</f>
        <v/>
      </c>
      <c r="V54" s="193">
        <f>+SUM(T54:U54)</f>
        <v/>
      </c>
      <c r="W54" s="191" t="n"/>
      <c r="X54" s="170" t="n"/>
      <c r="Y54" s="76">
        <f>ROUND(IF(offer_incoterms="DDP",X54*(S54*(1+AW54)+T54),0),2)</f>
        <v/>
      </c>
      <c r="Z54" s="188" t="n"/>
      <c r="AA54" s="192">
        <f>IFERROR(AB54/E54,0)</f>
        <v/>
      </c>
      <c r="AB54" s="76">
        <f>ROUND(SUM(S54,V54,Y54:Z54,BA54:BB54),2)</f>
        <v/>
      </c>
      <c r="AC54" s="797" t="n"/>
      <c r="AD54" s="192">
        <f t="array" ref="AD54">IFERROR(ROUND((_xlfn.IFS(offer_sale_type="поставка",AB54,offer_sale_type="транзит",S54)*(1+AC54))/E54,2),0)</f>
        <v/>
      </c>
      <c r="AE54" s="76">
        <f>AD54*E54</f>
        <v/>
      </c>
      <c r="AF54" s="193">
        <f t="array" ref="AF54">IFERROR(ROUND(_xlfn.IFS(offer_sale_type="поставка",AB54,offer_sale_type="транзит",S54)*AC54,2),0)</f>
        <v/>
      </c>
      <c r="AG54" s="192">
        <f>$BD54*VLOOKUP($AG$3,$AF$4:$AG$7,2,FALSE)</f>
        <v/>
      </c>
      <c r="AH54" s="76">
        <f>SUM(AE54,AG54,AI54)*rate_forex_risk</f>
        <v/>
      </c>
      <c r="AI54" s="193">
        <f>IF(OR(seller_region="TR",offer_sale_type="экспорт"),0,rate_fin_comm)*SUM(AZ54,AZ54*AW54,T54)</f>
        <v/>
      </c>
      <c r="AJ54" s="118">
        <f>IFERROR(ROUND(SUM(AB54,AF54:AI54)/E54,2),0)</f>
        <v/>
      </c>
      <c r="AK54" s="76">
        <f>AJ54*E54</f>
        <v/>
      </c>
      <c r="AL54" s="174">
        <f>ROUND(IFERROR(AM54*E54,0),2)</f>
        <v/>
      </c>
      <c r="AM54" s="175">
        <f>ROUND(AJ54*(1+IF(offer_incoterms="DDP",IF((TODAY()+offer_turnaround_time)&gt;=helpsheet!$L$17,rate_vatRU_from_26,rate_vatRu_till_25),0)),2)</f>
        <v/>
      </c>
      <c r="AN54" s="192">
        <f>AL54-AK54</f>
        <v/>
      </c>
      <c r="AO54" s="76">
        <f>SUM(AY54,Y54:Z54,T54)*IF(AND(offer_incoterms="DDP",offer_sale_type&lt;&gt;"экспорт"),IF((TODAY()+offer_turnaround_time)&gt;=helpsheet!$L$17,rate_vatRU_from_26,rate_vatRu_till_25),0)</f>
        <v/>
      </c>
      <c r="AP54" s="193">
        <f>AN54-AO54</f>
        <v/>
      </c>
      <c r="AQ54" s="118">
        <f>IF(offer_sale_type="транзит",SUM(AF54:AI54,BA54,BB54),0)</f>
        <v/>
      </c>
      <c r="AR54" s="82">
        <f>HYPERLINK("https://www.alta.ru/tnved/code/")&amp;W54&amp;"/"</f>
        <v/>
      </c>
      <c r="AS54" s="157" t="n"/>
      <c r="AT54" s="162" t="n"/>
      <c r="AU54" s="76">
        <f>IF(ISBLANK(AT54),0,AJ54-AT54)</f>
        <v/>
      </c>
      <c r="AV54" s="157" t="n"/>
      <c r="AW54" s="75">
        <f>_xlfn.IFNA(VLOOKUP(L54,list_vat[],3,FALSE),0)</f>
        <v/>
      </c>
      <c r="AX54" s="76">
        <f>IFERROR(ROUND(S54*(1+AW54)/E54,2),0)</f>
        <v/>
      </c>
      <c r="AY54" s="76">
        <f>E54*AX54</f>
        <v/>
      </c>
      <c r="AZ54" s="192">
        <f>S54*(1+M54)</f>
        <v/>
      </c>
      <c r="BA54" s="76">
        <f>cost_fin_total*$BD54</f>
        <v/>
      </c>
      <c r="BB54" s="193">
        <f>credit_sales_interest*BD54</f>
        <v/>
      </c>
      <c r="BC54" s="102">
        <f>IFERROR(IF($I$13&gt;0,$I54/$I$13,$S54/$S$13),0)</f>
        <v/>
      </c>
      <c r="BD54" s="102">
        <f>IFERROR($S54/$S$13,0)</f>
        <v/>
      </c>
      <c r="BE54" s="413" t="inlineStr">
        <is>
          <t>$</t>
        </is>
      </c>
    </row>
    <row r="55" ht="12" customFormat="1" customHeight="1" s="65">
      <c r="A55" s="43" t="n">
        <v>40</v>
      </c>
      <c r="B55" s="166" t="n"/>
      <c r="C55" s="166" t="n"/>
      <c r="D55" s="166" t="n"/>
      <c r="E55" s="162" t="n"/>
      <c r="F55" s="166" t="n"/>
      <c r="G55" s="162" t="n"/>
      <c r="H55" s="162" t="n"/>
      <c r="I55" s="189">
        <f>E55*G55</f>
        <v/>
      </c>
      <c r="J55" s="195" t="n"/>
      <c r="K55" s="162" t="n"/>
      <c r="L55" s="168" t="n"/>
      <c r="M55" s="75">
        <f>_xlfn.XLOOKUP(L55,list_vat[Страна],list_vat[Ставка НДС %],0,0)</f>
        <v/>
      </c>
      <c r="N55" s="162">
        <f>IFERROR(IF(L55="Китай",K55,K55/(1+M55)),0)</f>
        <v/>
      </c>
      <c r="O55" s="169" t="n"/>
      <c r="P55" s="76">
        <f>N55*(1-O55)</f>
        <v/>
      </c>
      <c r="Q55" s="162" t="n"/>
      <c r="R55" s="162">
        <f>IF(ISBLANK(Q55),"введи курс",P55/Q55)</f>
        <v/>
      </c>
      <c r="S55" s="196">
        <f>IF(AND(ISNUMBER(E55),ISNUMBER(Q55)),E55*R55,0)</f>
        <v/>
      </c>
      <c r="T55" s="192">
        <f>$BC55*V$11</f>
        <v/>
      </c>
      <c r="U55" s="76">
        <f>$BC55*W$11</f>
        <v/>
      </c>
      <c r="V55" s="193">
        <f>+SUM(T55:U55)</f>
        <v/>
      </c>
      <c r="W55" s="191" t="n"/>
      <c r="X55" s="170" t="n"/>
      <c r="Y55" s="76">
        <f>ROUND(IF(offer_incoterms="DDP",X55*(S55*(1+AW55)+T55),0),2)</f>
        <v/>
      </c>
      <c r="Z55" s="188" t="n"/>
      <c r="AA55" s="192">
        <f>IFERROR(AB55/E55,0)</f>
        <v/>
      </c>
      <c r="AB55" s="76">
        <f>ROUND(SUM(S55,V55,Y55:Z55,BA55:BB55),2)</f>
        <v/>
      </c>
      <c r="AC55" s="797" t="n"/>
      <c r="AD55" s="192">
        <f t="array" ref="AD55">IFERROR(ROUND((_xlfn.IFS(offer_sale_type="поставка",AB55,offer_sale_type="транзит",S55)*(1+AC55))/E55,2),0)</f>
        <v/>
      </c>
      <c r="AE55" s="76">
        <f>AD55*E55</f>
        <v/>
      </c>
      <c r="AF55" s="193">
        <f t="array" ref="AF55">IFERROR(ROUND(_xlfn.IFS(offer_sale_type="поставка",AB55,offer_sale_type="транзит",S55)*AC55,2),0)</f>
        <v/>
      </c>
      <c r="AG55" s="192">
        <f>$BD55*VLOOKUP($AG$3,$AF$4:$AG$7,2,FALSE)</f>
        <v/>
      </c>
      <c r="AH55" s="76">
        <f>SUM(AE55,AG55,AI55)*rate_forex_risk</f>
        <v/>
      </c>
      <c r="AI55" s="193">
        <f>IF(OR(seller_region="TR",offer_sale_type="экспорт"),0,rate_fin_comm)*SUM(AZ55,AZ55*AW55,T55)</f>
        <v/>
      </c>
      <c r="AJ55" s="118">
        <f>IFERROR(ROUND(SUM(AB55,AF55:AI55)/E55,2),0)</f>
        <v/>
      </c>
      <c r="AK55" s="76">
        <f>AJ55*E55</f>
        <v/>
      </c>
      <c r="AL55" s="174">
        <f>ROUND(IFERROR(AM55*E55,0),2)</f>
        <v/>
      </c>
      <c r="AM55" s="175">
        <f>ROUND(AJ55*(1+IF(offer_incoterms="DDP",IF((TODAY()+offer_turnaround_time)&gt;=helpsheet!$L$17,rate_vatRU_from_26,rate_vatRu_till_25),0)),2)</f>
        <v/>
      </c>
      <c r="AN55" s="192">
        <f>AL55-AK55</f>
        <v/>
      </c>
      <c r="AO55" s="76">
        <f>SUM(AY55,Y55:Z55,T55)*IF(AND(offer_incoterms="DDP",offer_sale_type&lt;&gt;"экспорт"),IF((TODAY()+offer_turnaround_time)&gt;=helpsheet!$L$17,rate_vatRU_from_26,rate_vatRu_till_25),0)</f>
        <v/>
      </c>
      <c r="AP55" s="193">
        <f>AN55-AO55</f>
        <v/>
      </c>
      <c r="AQ55" s="118">
        <f>IF(offer_sale_type="транзит",SUM(AF55:AI55,BA55,BB55),0)</f>
        <v/>
      </c>
      <c r="AR55" s="82">
        <f>HYPERLINK("https://www.alta.ru/tnved/code/")&amp;W55&amp;"/"</f>
        <v/>
      </c>
      <c r="AS55" s="157" t="n"/>
      <c r="AT55" s="162" t="n"/>
      <c r="AU55" s="76">
        <f>IF(ISBLANK(AT55),0,AJ55-AT55)</f>
        <v/>
      </c>
      <c r="AV55" s="157" t="n"/>
      <c r="AW55" s="75">
        <f>_xlfn.IFNA(VLOOKUP(L55,list_vat[],3,FALSE),0)</f>
        <v/>
      </c>
      <c r="AX55" s="76">
        <f>IFERROR(ROUND(S55*(1+AW55)/E55,2),0)</f>
        <v/>
      </c>
      <c r="AY55" s="76">
        <f>E55*AX55</f>
        <v/>
      </c>
      <c r="AZ55" s="192">
        <f>S55*(1+M55)</f>
        <v/>
      </c>
      <c r="BA55" s="76">
        <f>cost_fin_total*$BD55</f>
        <v/>
      </c>
      <c r="BB55" s="193">
        <f>credit_sales_interest*BD55</f>
        <v/>
      </c>
      <c r="BC55" s="102">
        <f>IFERROR(IF($I$13&gt;0,$I55/$I$13,$S55/$S$13),0)</f>
        <v/>
      </c>
      <c r="BD55" s="102">
        <f>IFERROR($S55/$S$13,0)</f>
        <v/>
      </c>
      <c r="BE55" s="413" t="inlineStr">
        <is>
          <t>$</t>
        </is>
      </c>
    </row>
    <row r="56" ht="12" customFormat="1" customHeight="1" s="65">
      <c r="A56" s="43" t="n">
        <v>41</v>
      </c>
      <c r="B56" s="166" t="n"/>
      <c r="C56" s="166" t="n"/>
      <c r="D56" s="166" t="n"/>
      <c r="E56" s="162" t="n"/>
      <c r="F56" s="166" t="n"/>
      <c r="G56" s="162" t="n"/>
      <c r="H56" s="162" t="n"/>
      <c r="I56" s="189">
        <f>E56*G56</f>
        <v/>
      </c>
      <c r="J56" s="195" t="n"/>
      <c r="K56" s="162" t="n"/>
      <c r="L56" s="168" t="n"/>
      <c r="M56" s="75">
        <f>_xlfn.XLOOKUP(L56,list_vat[Страна],list_vat[Ставка НДС %],0,0)</f>
        <v/>
      </c>
      <c r="N56" s="162">
        <f>IFERROR(IF(L56="Китай",K56,K56/(1+M56)),0)</f>
        <v/>
      </c>
      <c r="O56" s="169" t="n"/>
      <c r="P56" s="76">
        <f>N56*(1-O56)</f>
        <v/>
      </c>
      <c r="Q56" s="162" t="n"/>
      <c r="R56" s="162">
        <f>IF(ISBLANK(Q56),"введи курс",P56/Q56)</f>
        <v/>
      </c>
      <c r="S56" s="196">
        <f>IF(AND(ISNUMBER(E56),ISNUMBER(Q56)),E56*R56,0)</f>
        <v/>
      </c>
      <c r="T56" s="192">
        <f>$BC56*V$11</f>
        <v/>
      </c>
      <c r="U56" s="76">
        <f>$BC56*W$11</f>
        <v/>
      </c>
      <c r="V56" s="193">
        <f>+SUM(T56:U56)</f>
        <v/>
      </c>
      <c r="W56" s="191" t="n"/>
      <c r="X56" s="170" t="n"/>
      <c r="Y56" s="76">
        <f>ROUND(IF(offer_incoterms="DDP",X56*(S56*(1+AW56)+T56),0),2)</f>
        <v/>
      </c>
      <c r="Z56" s="188" t="n"/>
      <c r="AA56" s="192">
        <f>IFERROR(AB56/E56,0)</f>
        <v/>
      </c>
      <c r="AB56" s="76">
        <f>ROUND(SUM(S56,V56,Y56:Z56,BA56:BB56),2)</f>
        <v/>
      </c>
      <c r="AC56" s="797" t="n"/>
      <c r="AD56" s="192">
        <f t="array" ref="AD56">IFERROR(ROUND((_xlfn.IFS(offer_sale_type="поставка",AB56,offer_sale_type="транзит",S56)*(1+AC56))/E56,2),0)</f>
        <v/>
      </c>
      <c r="AE56" s="76">
        <f>AD56*E56</f>
        <v/>
      </c>
      <c r="AF56" s="193">
        <f t="array" ref="AF56">IFERROR(ROUND(_xlfn.IFS(offer_sale_type="поставка",AB56,offer_sale_type="транзит",S56)*AC56,2),0)</f>
        <v/>
      </c>
      <c r="AG56" s="192">
        <f>$BD56*VLOOKUP($AG$3,$AF$4:$AG$7,2,FALSE)</f>
        <v/>
      </c>
      <c r="AH56" s="76">
        <f>SUM(AE56,AG56,AI56)*rate_forex_risk</f>
        <v/>
      </c>
      <c r="AI56" s="193">
        <f>IF(OR(seller_region="TR",offer_sale_type="экспорт"),0,rate_fin_comm)*SUM(AZ56,AZ56*AW56,T56)</f>
        <v/>
      </c>
      <c r="AJ56" s="118">
        <f>IFERROR(ROUND(SUM(AB56,AF56:AI56)/E56,2),0)</f>
        <v/>
      </c>
      <c r="AK56" s="76">
        <f>AJ56*E56</f>
        <v/>
      </c>
      <c r="AL56" s="174">
        <f>ROUND(IFERROR(AM56*E56,0),2)</f>
        <v/>
      </c>
      <c r="AM56" s="175">
        <f>ROUND(AJ56*(1+IF(offer_incoterms="DDP",IF((TODAY()+offer_turnaround_time)&gt;=helpsheet!$L$17,rate_vatRU_from_26,rate_vatRu_till_25),0)),2)</f>
        <v/>
      </c>
      <c r="AN56" s="192">
        <f>AL56-AK56</f>
        <v/>
      </c>
      <c r="AO56" s="76">
        <f>SUM(AY56,Y56:Z56,T56)*IF(AND(offer_incoterms="DDP",offer_sale_type&lt;&gt;"экспорт"),IF((TODAY()+offer_turnaround_time)&gt;=helpsheet!$L$17,rate_vatRU_from_26,rate_vatRu_till_25),0)</f>
        <v/>
      </c>
      <c r="AP56" s="193">
        <f>AN56-AO56</f>
        <v/>
      </c>
      <c r="AQ56" s="118">
        <f>IF(offer_sale_type="транзит",SUM(AF56:AI56,BA56,BB56),0)</f>
        <v/>
      </c>
      <c r="AR56" s="82">
        <f>HYPERLINK("https://www.alta.ru/tnved/code/")&amp;W56&amp;"/"</f>
        <v/>
      </c>
      <c r="AS56" s="157" t="n"/>
      <c r="AT56" s="162" t="n"/>
      <c r="AU56" s="76">
        <f>IF(ISBLANK(AT56),0,AJ56-AT56)</f>
        <v/>
      </c>
      <c r="AV56" s="157" t="n"/>
      <c r="AW56" s="75">
        <f>_xlfn.IFNA(VLOOKUP(L56,list_vat[],3,FALSE),0)</f>
        <v/>
      </c>
      <c r="AX56" s="76">
        <f>IFERROR(ROUND(S56*(1+AW56)/E56,2),0)</f>
        <v/>
      </c>
      <c r="AY56" s="76">
        <f>E56*AX56</f>
        <v/>
      </c>
      <c r="AZ56" s="192">
        <f>S56*(1+M56)</f>
        <v/>
      </c>
      <c r="BA56" s="76">
        <f>cost_fin_total*$BD56</f>
        <v/>
      </c>
      <c r="BB56" s="193">
        <f>credit_sales_interest*BD56</f>
        <v/>
      </c>
      <c r="BC56" s="102">
        <f>IFERROR(IF($I$13&gt;0,$I56/$I$13,$S56/$S$13),0)</f>
        <v/>
      </c>
      <c r="BD56" s="102">
        <f>IFERROR($S56/$S$13,0)</f>
        <v/>
      </c>
      <c r="BE56" s="413" t="inlineStr">
        <is>
          <t>$</t>
        </is>
      </c>
    </row>
    <row r="57" ht="12" customFormat="1" customHeight="1" s="65">
      <c r="A57" s="43" t="n">
        <v>42</v>
      </c>
      <c r="B57" s="166" t="n"/>
      <c r="C57" s="166" t="n"/>
      <c r="D57" s="166" t="n"/>
      <c r="E57" s="162" t="n"/>
      <c r="F57" s="166" t="n"/>
      <c r="G57" s="162" t="n"/>
      <c r="H57" s="162" t="n"/>
      <c r="I57" s="189">
        <f>E57*G57</f>
        <v/>
      </c>
      <c r="J57" s="195" t="n"/>
      <c r="K57" s="162" t="n"/>
      <c r="L57" s="168" t="n"/>
      <c r="M57" s="75">
        <f>_xlfn.XLOOKUP(L57,list_vat[Страна],list_vat[Ставка НДС %],0,0)</f>
        <v/>
      </c>
      <c r="N57" s="162">
        <f>IFERROR(IF(L57="Китай",K57,K57/(1+M57)),0)</f>
        <v/>
      </c>
      <c r="O57" s="169" t="n"/>
      <c r="P57" s="76">
        <f>N57*(1-O57)</f>
        <v/>
      </c>
      <c r="Q57" s="162" t="n"/>
      <c r="R57" s="162">
        <f>IF(ISBLANK(Q57),"введи курс",P57/Q57)</f>
        <v/>
      </c>
      <c r="S57" s="196">
        <f>IF(AND(ISNUMBER(E57),ISNUMBER(Q57)),E57*R57,0)</f>
        <v/>
      </c>
      <c r="T57" s="192">
        <f>$BC57*V$11</f>
        <v/>
      </c>
      <c r="U57" s="76">
        <f>$BC57*W$11</f>
        <v/>
      </c>
      <c r="V57" s="193">
        <f>+SUM(T57:U57)</f>
        <v/>
      </c>
      <c r="W57" s="191" t="n"/>
      <c r="X57" s="170" t="n"/>
      <c r="Y57" s="76">
        <f>ROUND(IF(offer_incoterms="DDP",X57*(S57*(1+AW57)+T57),0),2)</f>
        <v/>
      </c>
      <c r="Z57" s="188" t="n"/>
      <c r="AA57" s="192">
        <f>IFERROR(AB57/E57,0)</f>
        <v/>
      </c>
      <c r="AB57" s="76">
        <f>ROUND(SUM(S57,V57,Y57:Z57,BA57:BB57),2)</f>
        <v/>
      </c>
      <c r="AC57" s="797" t="n"/>
      <c r="AD57" s="192">
        <f t="array" ref="AD57">IFERROR(ROUND((_xlfn.IFS(offer_sale_type="поставка",AB57,offer_sale_type="транзит",S57)*(1+AC57))/E57,2),0)</f>
        <v/>
      </c>
      <c r="AE57" s="76">
        <f>AD57*E57</f>
        <v/>
      </c>
      <c r="AF57" s="193">
        <f t="array" ref="AF57">IFERROR(ROUND(_xlfn.IFS(offer_sale_type="поставка",AB57,offer_sale_type="транзит",S57)*AC57,2),0)</f>
        <v/>
      </c>
      <c r="AG57" s="192">
        <f>$BD57*VLOOKUP($AG$3,$AF$4:$AG$7,2,FALSE)</f>
        <v/>
      </c>
      <c r="AH57" s="76">
        <f>SUM(AE57,AG57,AI57)*rate_forex_risk</f>
        <v/>
      </c>
      <c r="AI57" s="193">
        <f>IF(OR(seller_region="TR",offer_sale_type="экспорт"),0,rate_fin_comm)*SUM(AZ57,AZ57*AW57,T57)</f>
        <v/>
      </c>
      <c r="AJ57" s="118">
        <f>IFERROR(ROUND(SUM(AB57,AF57:AI57)/E57,2),0)</f>
        <v/>
      </c>
      <c r="AK57" s="76">
        <f>AJ57*E57</f>
        <v/>
      </c>
      <c r="AL57" s="174">
        <f>ROUND(IFERROR(AM57*E57,0),2)</f>
        <v/>
      </c>
      <c r="AM57" s="175">
        <f>ROUND(AJ57*(1+IF(offer_incoterms="DDP",IF((TODAY()+offer_turnaround_time)&gt;=helpsheet!$L$17,rate_vatRU_from_26,rate_vatRu_till_25),0)),2)</f>
        <v/>
      </c>
      <c r="AN57" s="192">
        <f>AL57-AK57</f>
        <v/>
      </c>
      <c r="AO57" s="76">
        <f>SUM(AY57,Y57:Z57,T57)*IF(AND(offer_incoterms="DDP",offer_sale_type&lt;&gt;"экспорт"),IF((TODAY()+offer_turnaround_time)&gt;=helpsheet!$L$17,rate_vatRU_from_26,rate_vatRu_till_25),0)</f>
        <v/>
      </c>
      <c r="AP57" s="193">
        <f>AN57-AO57</f>
        <v/>
      </c>
      <c r="AQ57" s="118">
        <f>IF(offer_sale_type="транзит",SUM(AF57:AI57,BA57,BB57),0)</f>
        <v/>
      </c>
      <c r="AR57" s="82">
        <f>HYPERLINK("https://www.alta.ru/tnved/code/")&amp;W57&amp;"/"</f>
        <v/>
      </c>
      <c r="AS57" s="157" t="n"/>
      <c r="AT57" s="162" t="n"/>
      <c r="AU57" s="76">
        <f>IF(ISBLANK(AT57),0,AJ57-AT57)</f>
        <v/>
      </c>
      <c r="AV57" s="157" t="n"/>
      <c r="AW57" s="75">
        <f>_xlfn.IFNA(VLOOKUP(L57,list_vat[],3,FALSE),0)</f>
        <v/>
      </c>
      <c r="AX57" s="76">
        <f>IFERROR(ROUND(S57*(1+AW57)/E57,2),0)</f>
        <v/>
      </c>
      <c r="AY57" s="76">
        <f>E57*AX57</f>
        <v/>
      </c>
      <c r="AZ57" s="192">
        <f>S57*(1+M57)</f>
        <v/>
      </c>
      <c r="BA57" s="76">
        <f>cost_fin_total*$BD57</f>
        <v/>
      </c>
      <c r="BB57" s="193">
        <f>credit_sales_interest*BD57</f>
        <v/>
      </c>
      <c r="BC57" s="102">
        <f>IFERROR(IF($I$13&gt;0,$I57/$I$13,$S57/$S$13),0)</f>
        <v/>
      </c>
      <c r="BD57" s="102">
        <f>IFERROR($S57/$S$13,0)</f>
        <v/>
      </c>
      <c r="BE57" s="413" t="inlineStr">
        <is>
          <t>$</t>
        </is>
      </c>
    </row>
    <row r="58" ht="12" customFormat="1" customHeight="1" s="65">
      <c r="A58" s="43" t="n">
        <v>43</v>
      </c>
      <c r="B58" s="166" t="n"/>
      <c r="C58" s="166" t="n"/>
      <c r="D58" s="166" t="n"/>
      <c r="E58" s="162" t="n"/>
      <c r="F58" s="166" t="n"/>
      <c r="G58" s="162" t="n"/>
      <c r="H58" s="162" t="n"/>
      <c r="I58" s="189">
        <f>E58*G58</f>
        <v/>
      </c>
      <c r="J58" s="195" t="n"/>
      <c r="K58" s="162" t="n"/>
      <c r="L58" s="168" t="n"/>
      <c r="M58" s="75">
        <f>_xlfn.XLOOKUP(L58,list_vat[Страна],list_vat[Ставка НДС %],0,0)</f>
        <v/>
      </c>
      <c r="N58" s="162">
        <f>IFERROR(IF(L58="Китай",K58,K58/(1+M58)),0)</f>
        <v/>
      </c>
      <c r="O58" s="169" t="n"/>
      <c r="P58" s="76">
        <f>N58*(1-O58)</f>
        <v/>
      </c>
      <c r="Q58" s="162" t="n"/>
      <c r="R58" s="162">
        <f>IF(ISBLANK(Q58),"введи курс",P58/Q58)</f>
        <v/>
      </c>
      <c r="S58" s="196">
        <f>IF(AND(ISNUMBER(E58),ISNUMBER(Q58)),E58*R58,0)</f>
        <v/>
      </c>
      <c r="T58" s="192">
        <f>$BC58*V$11</f>
        <v/>
      </c>
      <c r="U58" s="76">
        <f>$BC58*W$11</f>
        <v/>
      </c>
      <c r="V58" s="193">
        <f>+SUM(T58:U58)</f>
        <v/>
      </c>
      <c r="W58" s="191" t="n"/>
      <c r="X58" s="170" t="n"/>
      <c r="Y58" s="76">
        <f>ROUND(IF(offer_incoterms="DDP",X58*(S58*(1+AW58)+T58),0),2)</f>
        <v/>
      </c>
      <c r="Z58" s="188" t="n"/>
      <c r="AA58" s="192">
        <f>IFERROR(AB58/E58,0)</f>
        <v/>
      </c>
      <c r="AB58" s="76">
        <f>ROUND(SUM(S58,V58,Y58:Z58,BA58:BB58),2)</f>
        <v/>
      </c>
      <c r="AC58" s="797" t="n"/>
      <c r="AD58" s="192">
        <f t="array" ref="AD58">IFERROR(ROUND((_xlfn.IFS(offer_sale_type="поставка",AB58,offer_sale_type="транзит",S58)*(1+AC58))/E58,2),0)</f>
        <v/>
      </c>
      <c r="AE58" s="76">
        <f>AD58*E58</f>
        <v/>
      </c>
      <c r="AF58" s="193">
        <f t="array" ref="AF58">IFERROR(ROUND(_xlfn.IFS(offer_sale_type="поставка",AB58,offer_sale_type="транзит",S58)*AC58,2),0)</f>
        <v/>
      </c>
      <c r="AG58" s="192">
        <f>$BD58*VLOOKUP($AG$3,$AF$4:$AG$7,2,FALSE)</f>
        <v/>
      </c>
      <c r="AH58" s="76">
        <f>SUM(AE58,AG58,AI58)*rate_forex_risk</f>
        <v/>
      </c>
      <c r="AI58" s="193">
        <f>IF(OR(seller_region="TR",offer_sale_type="экспорт"),0,rate_fin_comm)*SUM(AZ58,AZ58*AW58,T58)</f>
        <v/>
      </c>
      <c r="AJ58" s="118">
        <f>IFERROR(ROUND(SUM(AB58,AF58:AI58)/E58,2),0)</f>
        <v/>
      </c>
      <c r="AK58" s="76">
        <f>AJ58*E58</f>
        <v/>
      </c>
      <c r="AL58" s="174">
        <f>ROUND(IFERROR(AM58*E58,0),2)</f>
        <v/>
      </c>
      <c r="AM58" s="175">
        <f>ROUND(AJ58*(1+IF(offer_incoterms="DDP",IF((TODAY()+offer_turnaround_time)&gt;=helpsheet!$L$17,rate_vatRU_from_26,rate_vatRu_till_25),0)),2)</f>
        <v/>
      </c>
      <c r="AN58" s="192">
        <f>AL58-AK58</f>
        <v/>
      </c>
      <c r="AO58" s="76">
        <f>SUM(AY58,Y58:Z58,T58)*IF(AND(offer_incoterms="DDP",offer_sale_type&lt;&gt;"экспорт"),IF((TODAY()+offer_turnaround_time)&gt;=helpsheet!$L$17,rate_vatRU_from_26,rate_vatRu_till_25),0)</f>
        <v/>
      </c>
      <c r="AP58" s="193">
        <f>AN58-AO58</f>
        <v/>
      </c>
      <c r="AQ58" s="118">
        <f>IF(offer_sale_type="транзит",SUM(AF58:AI58,BA58,BB58),0)</f>
        <v/>
      </c>
      <c r="AR58" s="82">
        <f>HYPERLINK("https://www.alta.ru/tnved/code/")&amp;W58&amp;"/"</f>
        <v/>
      </c>
      <c r="AS58" s="157" t="n"/>
      <c r="AT58" s="162" t="n"/>
      <c r="AU58" s="76">
        <f>IF(ISBLANK(AT58),0,AJ58-AT58)</f>
        <v/>
      </c>
      <c r="AV58" s="157" t="n"/>
      <c r="AW58" s="75">
        <f>_xlfn.IFNA(VLOOKUP(L58,list_vat[],3,FALSE),0)</f>
        <v/>
      </c>
      <c r="AX58" s="76">
        <f>IFERROR(ROUND(S58*(1+AW58)/E58,2),0)</f>
        <v/>
      </c>
      <c r="AY58" s="76">
        <f>E58*AX58</f>
        <v/>
      </c>
      <c r="AZ58" s="192">
        <f>S58*(1+M58)</f>
        <v/>
      </c>
      <c r="BA58" s="76">
        <f>cost_fin_total*$BD58</f>
        <v/>
      </c>
      <c r="BB58" s="193">
        <f>credit_sales_interest*BD58</f>
        <v/>
      </c>
      <c r="BC58" s="102">
        <f>IFERROR(IF($I$13&gt;0,$I58/$I$13,$S58/$S$13),0)</f>
        <v/>
      </c>
      <c r="BD58" s="102">
        <f>IFERROR($S58/$S$13,0)</f>
        <v/>
      </c>
      <c r="BE58" s="413" t="inlineStr">
        <is>
          <t>$</t>
        </is>
      </c>
    </row>
    <row r="59" ht="12" customFormat="1" customHeight="1" s="65">
      <c r="A59" s="43" t="n">
        <v>44</v>
      </c>
      <c r="B59" s="166" t="n"/>
      <c r="C59" s="166" t="n"/>
      <c r="D59" s="166" t="n"/>
      <c r="E59" s="162" t="n"/>
      <c r="F59" s="166" t="n"/>
      <c r="G59" s="162" t="n"/>
      <c r="H59" s="162" t="n"/>
      <c r="I59" s="189">
        <f>E59*G59</f>
        <v/>
      </c>
      <c r="J59" s="195" t="n"/>
      <c r="K59" s="162" t="n"/>
      <c r="L59" s="168" t="n"/>
      <c r="M59" s="75">
        <f>_xlfn.XLOOKUP(L59,list_vat[Страна],list_vat[Ставка НДС %],0,0)</f>
        <v/>
      </c>
      <c r="N59" s="162">
        <f>IFERROR(IF(L59="Китай",K59,K59/(1+M59)),0)</f>
        <v/>
      </c>
      <c r="O59" s="169" t="n"/>
      <c r="P59" s="76">
        <f>N59*(1-O59)</f>
        <v/>
      </c>
      <c r="Q59" s="162" t="n"/>
      <c r="R59" s="162">
        <f>IF(ISBLANK(Q59),"введи курс",P59/Q59)</f>
        <v/>
      </c>
      <c r="S59" s="196">
        <f>IF(AND(ISNUMBER(E59),ISNUMBER(Q59)),E59*R59,0)</f>
        <v/>
      </c>
      <c r="T59" s="192">
        <f>$BC59*V$11</f>
        <v/>
      </c>
      <c r="U59" s="76">
        <f>$BC59*W$11</f>
        <v/>
      </c>
      <c r="V59" s="193">
        <f>+SUM(T59:U59)</f>
        <v/>
      </c>
      <c r="W59" s="191" t="n"/>
      <c r="X59" s="170" t="n"/>
      <c r="Y59" s="76">
        <f>ROUND(IF(offer_incoterms="DDP",X59*(S59*(1+AW59)+T59),0),2)</f>
        <v/>
      </c>
      <c r="Z59" s="188" t="n"/>
      <c r="AA59" s="192">
        <f>IFERROR(AB59/E59,0)</f>
        <v/>
      </c>
      <c r="AB59" s="76">
        <f>ROUND(SUM(S59,V59,Y59:Z59,BA59:BB59),2)</f>
        <v/>
      </c>
      <c r="AC59" s="797" t="n"/>
      <c r="AD59" s="192">
        <f t="array" ref="AD59">IFERROR(ROUND((_xlfn.IFS(offer_sale_type="поставка",AB59,offer_sale_type="транзит",S59)*(1+AC59))/E59,2),0)</f>
        <v/>
      </c>
      <c r="AE59" s="76">
        <f>AD59*E59</f>
        <v/>
      </c>
      <c r="AF59" s="193">
        <f t="array" ref="AF59">IFERROR(ROUND(_xlfn.IFS(offer_sale_type="поставка",AB59,offer_sale_type="транзит",S59)*AC59,2),0)</f>
        <v/>
      </c>
      <c r="AG59" s="192">
        <f>$BD59*VLOOKUP($AG$3,$AF$4:$AG$7,2,FALSE)</f>
        <v/>
      </c>
      <c r="AH59" s="76">
        <f>SUM(AE59,AG59,AI59)*rate_forex_risk</f>
        <v/>
      </c>
      <c r="AI59" s="193">
        <f>IF(OR(seller_region="TR",offer_sale_type="экспорт"),0,rate_fin_comm)*SUM(AZ59,AZ59*AW59,T59)</f>
        <v/>
      </c>
      <c r="AJ59" s="118">
        <f>IFERROR(ROUND(SUM(AB59,AF59:AI59)/E59,2),0)</f>
        <v/>
      </c>
      <c r="AK59" s="76">
        <f>AJ59*E59</f>
        <v/>
      </c>
      <c r="AL59" s="174">
        <f>ROUND(IFERROR(AM59*E59,0),2)</f>
        <v/>
      </c>
      <c r="AM59" s="175">
        <f>ROUND(AJ59*(1+IF(offer_incoterms="DDP",IF((TODAY()+offer_turnaround_time)&gt;=helpsheet!$L$17,rate_vatRU_from_26,rate_vatRu_till_25),0)),2)</f>
        <v/>
      </c>
      <c r="AN59" s="192">
        <f>AL59-AK59</f>
        <v/>
      </c>
      <c r="AO59" s="76">
        <f>SUM(AY59,Y59:Z59,T59)*IF(AND(offer_incoterms="DDP",offer_sale_type&lt;&gt;"экспорт"),IF((TODAY()+offer_turnaround_time)&gt;=helpsheet!$L$17,rate_vatRU_from_26,rate_vatRu_till_25),0)</f>
        <v/>
      </c>
      <c r="AP59" s="193">
        <f>AN59-AO59</f>
        <v/>
      </c>
      <c r="AQ59" s="118">
        <f>IF(offer_sale_type="транзит",SUM(AF59:AI59,BA59,BB59),0)</f>
        <v/>
      </c>
      <c r="AR59" s="82">
        <f>HYPERLINK("https://www.alta.ru/tnved/code/")&amp;W59&amp;"/"</f>
        <v/>
      </c>
      <c r="AS59" s="157" t="n"/>
      <c r="AT59" s="162" t="n"/>
      <c r="AU59" s="76">
        <f>IF(ISBLANK(AT59),0,AJ59-AT59)</f>
        <v/>
      </c>
      <c r="AV59" s="157" t="n"/>
      <c r="AW59" s="75">
        <f>_xlfn.IFNA(VLOOKUP(L59,list_vat[],3,FALSE),0)</f>
        <v/>
      </c>
      <c r="AX59" s="76">
        <f>IFERROR(ROUND(S59*(1+AW59)/E59,2),0)</f>
        <v/>
      </c>
      <c r="AY59" s="76">
        <f>E59*AX59</f>
        <v/>
      </c>
      <c r="AZ59" s="192">
        <f>S59*(1+M59)</f>
        <v/>
      </c>
      <c r="BA59" s="76">
        <f>cost_fin_total*$BD59</f>
        <v/>
      </c>
      <c r="BB59" s="193">
        <f>credit_sales_interest*BD59</f>
        <v/>
      </c>
      <c r="BC59" s="102">
        <f>IFERROR(IF($I$13&gt;0,$I59/$I$13,$S59/$S$13),0)</f>
        <v/>
      </c>
      <c r="BD59" s="102">
        <f>IFERROR($S59/$S$13,0)</f>
        <v/>
      </c>
      <c r="BE59" s="413" t="inlineStr">
        <is>
          <t>$</t>
        </is>
      </c>
    </row>
    <row r="60" ht="12" customFormat="1" customHeight="1" s="65">
      <c r="A60" s="43" t="n">
        <v>45</v>
      </c>
      <c r="B60" s="166" t="n"/>
      <c r="C60" s="166" t="n"/>
      <c r="D60" s="166" t="n"/>
      <c r="E60" s="162" t="n"/>
      <c r="F60" s="166" t="n"/>
      <c r="G60" s="162" t="n"/>
      <c r="H60" s="162" t="n"/>
      <c r="I60" s="189">
        <f>E60*G60</f>
        <v/>
      </c>
      <c r="J60" s="195" t="n"/>
      <c r="K60" s="162" t="n"/>
      <c r="L60" s="168" t="n"/>
      <c r="M60" s="75">
        <f>_xlfn.XLOOKUP(L60,list_vat[Страна],list_vat[Ставка НДС %],0,0)</f>
        <v/>
      </c>
      <c r="N60" s="162">
        <f>IFERROR(IF(L60="Китай",K60,K60/(1+M60)),0)</f>
        <v/>
      </c>
      <c r="O60" s="169" t="n"/>
      <c r="P60" s="76">
        <f>N60*(1-O60)</f>
        <v/>
      </c>
      <c r="Q60" s="162" t="n"/>
      <c r="R60" s="162">
        <f>IF(ISBLANK(Q60),"введи курс",P60/Q60)</f>
        <v/>
      </c>
      <c r="S60" s="196">
        <f>IF(AND(ISNUMBER(E60),ISNUMBER(Q60)),E60*R60,0)</f>
        <v/>
      </c>
      <c r="T60" s="192">
        <f>$BC60*V$11</f>
        <v/>
      </c>
      <c r="U60" s="76">
        <f>$BC60*W$11</f>
        <v/>
      </c>
      <c r="V60" s="193">
        <f>+SUM(T60:U60)</f>
        <v/>
      </c>
      <c r="W60" s="191" t="n"/>
      <c r="X60" s="170" t="n"/>
      <c r="Y60" s="76">
        <f>ROUND(IF(offer_incoterms="DDP",X60*(S60*(1+AW60)+T60),0),2)</f>
        <v/>
      </c>
      <c r="Z60" s="188" t="n"/>
      <c r="AA60" s="192">
        <f>IFERROR(AB60/E60,0)</f>
        <v/>
      </c>
      <c r="AB60" s="76">
        <f>ROUND(SUM(S60,V60,Y60:Z60,BA60:BB60),2)</f>
        <v/>
      </c>
      <c r="AC60" s="797" t="n"/>
      <c r="AD60" s="192">
        <f t="array" ref="AD60">IFERROR(ROUND((_xlfn.IFS(offer_sale_type="поставка",AB60,offer_sale_type="транзит",S60)*(1+AC60))/E60,2),0)</f>
        <v/>
      </c>
      <c r="AE60" s="76">
        <f>AD60*E60</f>
        <v/>
      </c>
      <c r="AF60" s="193">
        <f t="array" ref="AF60">IFERROR(ROUND(_xlfn.IFS(offer_sale_type="поставка",AB60,offer_sale_type="транзит",S60)*AC60,2),0)</f>
        <v/>
      </c>
      <c r="AG60" s="192">
        <f>$BD60*VLOOKUP($AG$3,$AF$4:$AG$7,2,FALSE)</f>
        <v/>
      </c>
      <c r="AH60" s="76">
        <f>SUM(AE60,AG60,AI60)*rate_forex_risk</f>
        <v/>
      </c>
      <c r="AI60" s="193">
        <f>IF(OR(seller_region="TR",offer_sale_type="экспорт"),0,rate_fin_comm)*SUM(AZ60,AZ60*AW60,T60)</f>
        <v/>
      </c>
      <c r="AJ60" s="118">
        <f>IFERROR(ROUND(SUM(AB60,AF60:AI60)/E60,2),0)</f>
        <v/>
      </c>
      <c r="AK60" s="76">
        <f>AJ60*E60</f>
        <v/>
      </c>
      <c r="AL60" s="174">
        <f>ROUND(IFERROR(AM60*E60,0),2)</f>
        <v/>
      </c>
      <c r="AM60" s="175">
        <f>ROUND(AJ60*(1+IF(offer_incoterms="DDP",IF((TODAY()+offer_turnaround_time)&gt;=helpsheet!$L$17,rate_vatRU_from_26,rate_vatRu_till_25),0)),2)</f>
        <v/>
      </c>
      <c r="AN60" s="192">
        <f>AL60-AK60</f>
        <v/>
      </c>
      <c r="AO60" s="76">
        <f>SUM(AY60,Y60:Z60,T60)*IF(AND(offer_incoterms="DDP",offer_sale_type&lt;&gt;"экспорт"),IF((TODAY()+offer_turnaround_time)&gt;=helpsheet!$L$17,rate_vatRU_from_26,rate_vatRu_till_25),0)</f>
        <v/>
      </c>
      <c r="AP60" s="193">
        <f>AN60-AO60</f>
        <v/>
      </c>
      <c r="AQ60" s="118">
        <f>IF(offer_sale_type="транзит",SUM(AF60:AI60,BA60,BB60),0)</f>
        <v/>
      </c>
      <c r="AR60" s="82">
        <f>HYPERLINK("https://www.alta.ru/tnved/code/")&amp;W60&amp;"/"</f>
        <v/>
      </c>
      <c r="AS60" s="157" t="n"/>
      <c r="AT60" s="162" t="n"/>
      <c r="AU60" s="76">
        <f>IF(ISBLANK(AT60),0,AJ60-AT60)</f>
        <v/>
      </c>
      <c r="AV60" s="157" t="n"/>
      <c r="AW60" s="75">
        <f>_xlfn.IFNA(VLOOKUP(L60,list_vat[],3,FALSE),0)</f>
        <v/>
      </c>
      <c r="AX60" s="76">
        <f>IFERROR(ROUND(S60*(1+AW60)/E60,2),0)</f>
        <v/>
      </c>
      <c r="AY60" s="76">
        <f>E60*AX60</f>
        <v/>
      </c>
      <c r="AZ60" s="192">
        <f>S60*(1+M60)</f>
        <v/>
      </c>
      <c r="BA60" s="76">
        <f>cost_fin_total*$BD60</f>
        <v/>
      </c>
      <c r="BB60" s="193">
        <f>credit_sales_interest*BD60</f>
        <v/>
      </c>
      <c r="BC60" s="102">
        <f>IFERROR(IF($I$13&gt;0,$I60/$I$13,$S60/$S$13),0)</f>
        <v/>
      </c>
      <c r="BD60" s="102">
        <f>IFERROR($S60/$S$13,0)</f>
        <v/>
      </c>
      <c r="BE60" s="413" t="inlineStr">
        <is>
          <t>$</t>
        </is>
      </c>
    </row>
    <row r="61" ht="12" customFormat="1" customHeight="1" s="65">
      <c r="A61" s="43" t="n">
        <v>46</v>
      </c>
      <c r="B61" s="166" t="n"/>
      <c r="C61" s="166" t="n"/>
      <c r="D61" s="166" t="n"/>
      <c r="E61" s="162" t="n"/>
      <c r="F61" s="166" t="n"/>
      <c r="G61" s="162" t="n"/>
      <c r="H61" s="162" t="n"/>
      <c r="I61" s="189">
        <f>E61*G61</f>
        <v/>
      </c>
      <c r="J61" s="195" t="n"/>
      <c r="K61" s="162" t="n"/>
      <c r="L61" s="168" t="n"/>
      <c r="M61" s="75">
        <f>_xlfn.XLOOKUP(L61,list_vat[Страна],list_vat[Ставка НДС %],0,0)</f>
        <v/>
      </c>
      <c r="N61" s="162">
        <f>IFERROR(IF(L61="Китай",K61,K61/(1+M61)),0)</f>
        <v/>
      </c>
      <c r="O61" s="169" t="n"/>
      <c r="P61" s="76">
        <f>N61*(1-O61)</f>
        <v/>
      </c>
      <c r="Q61" s="162" t="n"/>
      <c r="R61" s="162">
        <f>IF(ISBLANK(Q61),"введи курс",P61/Q61)</f>
        <v/>
      </c>
      <c r="S61" s="196">
        <f>IF(AND(ISNUMBER(E61),ISNUMBER(Q61)),E61*R61,0)</f>
        <v/>
      </c>
      <c r="T61" s="192">
        <f>$BC61*V$11</f>
        <v/>
      </c>
      <c r="U61" s="76">
        <f>$BC61*W$11</f>
        <v/>
      </c>
      <c r="V61" s="193">
        <f>+SUM(T61:U61)</f>
        <v/>
      </c>
      <c r="W61" s="191" t="n"/>
      <c r="X61" s="170" t="n"/>
      <c r="Y61" s="76">
        <f>ROUND(IF(offer_incoterms="DDP",X61*(S61*(1+AW61)+T61),0),2)</f>
        <v/>
      </c>
      <c r="Z61" s="188" t="n"/>
      <c r="AA61" s="192">
        <f>IFERROR(AB61/E61,0)</f>
        <v/>
      </c>
      <c r="AB61" s="76">
        <f>ROUND(SUM(S61,V61,Y61:Z61,BA61:BB61),2)</f>
        <v/>
      </c>
      <c r="AC61" s="797" t="n"/>
      <c r="AD61" s="192">
        <f t="array" ref="AD61">IFERROR(ROUND((_xlfn.IFS(offer_sale_type="поставка",AB61,offer_sale_type="транзит",S61)*(1+AC61))/E61,2),0)</f>
        <v/>
      </c>
      <c r="AE61" s="76">
        <f>AD61*E61</f>
        <v/>
      </c>
      <c r="AF61" s="193">
        <f t="array" ref="AF61">IFERROR(ROUND(_xlfn.IFS(offer_sale_type="поставка",AB61,offer_sale_type="транзит",S61)*AC61,2),0)</f>
        <v/>
      </c>
      <c r="AG61" s="192">
        <f>$BD61*VLOOKUP($AG$3,$AF$4:$AG$7,2,FALSE)</f>
        <v/>
      </c>
      <c r="AH61" s="76">
        <f>SUM(AE61,AG61,AI61)*rate_forex_risk</f>
        <v/>
      </c>
      <c r="AI61" s="193">
        <f>IF(OR(seller_region="TR",offer_sale_type="экспорт"),0,rate_fin_comm)*SUM(AZ61,AZ61*AW61,T61)</f>
        <v/>
      </c>
      <c r="AJ61" s="118">
        <f>IFERROR(ROUND(SUM(AB61,AF61:AI61)/E61,2),0)</f>
        <v/>
      </c>
      <c r="AK61" s="76">
        <f>AJ61*E61</f>
        <v/>
      </c>
      <c r="AL61" s="174">
        <f>ROUND(IFERROR(AM61*E61,0),2)</f>
        <v/>
      </c>
      <c r="AM61" s="175">
        <f>ROUND(AJ61*(1+IF(offer_incoterms="DDP",IF((TODAY()+offer_turnaround_time)&gt;=helpsheet!$L$17,rate_vatRU_from_26,rate_vatRu_till_25),0)),2)</f>
        <v/>
      </c>
      <c r="AN61" s="192">
        <f>AL61-AK61</f>
        <v/>
      </c>
      <c r="AO61" s="76">
        <f>SUM(AY61,Y61:Z61,T61)*IF(AND(offer_incoterms="DDP",offer_sale_type&lt;&gt;"экспорт"),IF((TODAY()+offer_turnaround_time)&gt;=helpsheet!$L$17,rate_vatRU_from_26,rate_vatRu_till_25),0)</f>
        <v/>
      </c>
      <c r="AP61" s="193">
        <f>AN61-AO61</f>
        <v/>
      </c>
      <c r="AQ61" s="118">
        <f>IF(offer_sale_type="транзит",SUM(AF61:AI61,BA61,BB61),0)</f>
        <v/>
      </c>
      <c r="AR61" s="82">
        <f>HYPERLINK("https://www.alta.ru/tnved/code/")&amp;W61&amp;"/"</f>
        <v/>
      </c>
      <c r="AS61" s="157" t="n"/>
      <c r="AT61" s="162" t="n"/>
      <c r="AU61" s="76">
        <f>IF(ISBLANK(AT61),0,AJ61-AT61)</f>
        <v/>
      </c>
      <c r="AV61" s="157" t="n"/>
      <c r="AW61" s="75">
        <f>_xlfn.IFNA(VLOOKUP(L61,list_vat[],3,FALSE),0)</f>
        <v/>
      </c>
      <c r="AX61" s="76">
        <f>IFERROR(ROUND(S61*(1+AW61)/E61,2),0)</f>
        <v/>
      </c>
      <c r="AY61" s="76">
        <f>E61*AX61</f>
        <v/>
      </c>
      <c r="AZ61" s="192">
        <f>S61*(1+M61)</f>
        <v/>
      </c>
      <c r="BA61" s="76">
        <f>cost_fin_total*$BD61</f>
        <v/>
      </c>
      <c r="BB61" s="193">
        <f>credit_sales_interest*BD61</f>
        <v/>
      </c>
      <c r="BC61" s="102">
        <f>IFERROR(IF($I$13&gt;0,$I61/$I$13,$S61/$S$13),0)</f>
        <v/>
      </c>
      <c r="BD61" s="102">
        <f>IFERROR($S61/$S$13,0)</f>
        <v/>
      </c>
      <c r="BE61" s="413" t="inlineStr">
        <is>
          <t>$</t>
        </is>
      </c>
    </row>
    <row r="62" ht="12" customFormat="1" customHeight="1" s="65">
      <c r="A62" s="43" t="n">
        <v>47</v>
      </c>
      <c r="B62" s="166" t="n"/>
      <c r="C62" s="166" t="n"/>
      <c r="D62" s="166" t="n"/>
      <c r="E62" s="162" t="n"/>
      <c r="F62" s="166" t="n"/>
      <c r="G62" s="162" t="n"/>
      <c r="H62" s="162" t="n"/>
      <c r="I62" s="189">
        <f>E62*G62</f>
        <v/>
      </c>
      <c r="J62" s="195" t="n"/>
      <c r="K62" s="162" t="n"/>
      <c r="L62" s="168" t="n"/>
      <c r="M62" s="75">
        <f>_xlfn.XLOOKUP(L62,list_vat[Страна],list_vat[Ставка НДС %],0,0)</f>
        <v/>
      </c>
      <c r="N62" s="162">
        <f>IFERROR(IF(L62="Китай",K62,K62/(1+M62)),0)</f>
        <v/>
      </c>
      <c r="O62" s="169" t="n"/>
      <c r="P62" s="76">
        <f>N62*(1-O62)</f>
        <v/>
      </c>
      <c r="Q62" s="162" t="n"/>
      <c r="R62" s="162">
        <f>IF(ISBLANK(Q62),"введи курс",P62/Q62)</f>
        <v/>
      </c>
      <c r="S62" s="196">
        <f>IF(AND(ISNUMBER(E62),ISNUMBER(Q62)),E62*R62,0)</f>
        <v/>
      </c>
      <c r="T62" s="192">
        <f>$BC62*V$11</f>
        <v/>
      </c>
      <c r="U62" s="76">
        <f>$BC62*W$11</f>
        <v/>
      </c>
      <c r="V62" s="193">
        <f>+SUM(T62:U62)</f>
        <v/>
      </c>
      <c r="W62" s="191" t="n"/>
      <c r="X62" s="170" t="n"/>
      <c r="Y62" s="76">
        <f>ROUND(IF(offer_incoterms="DDP",X62*(S62*(1+AW62)+T62),0),2)</f>
        <v/>
      </c>
      <c r="Z62" s="188" t="n"/>
      <c r="AA62" s="192">
        <f>IFERROR(AB62/E62,0)</f>
        <v/>
      </c>
      <c r="AB62" s="76">
        <f>ROUND(SUM(S62,V62,Y62:Z62,BA62:BB62),2)</f>
        <v/>
      </c>
      <c r="AC62" s="797" t="n"/>
      <c r="AD62" s="192">
        <f t="array" ref="AD62">IFERROR(ROUND((_xlfn.IFS(offer_sale_type="поставка",AB62,offer_sale_type="транзит",S62)*(1+AC62))/E62,2),0)</f>
        <v/>
      </c>
      <c r="AE62" s="76">
        <f>AD62*E62</f>
        <v/>
      </c>
      <c r="AF62" s="193">
        <f t="array" ref="AF62">IFERROR(ROUND(_xlfn.IFS(offer_sale_type="поставка",AB62,offer_sale_type="транзит",S62)*AC62,2),0)</f>
        <v/>
      </c>
      <c r="AG62" s="192">
        <f>$BD62*VLOOKUP($AG$3,$AF$4:$AG$7,2,FALSE)</f>
        <v/>
      </c>
      <c r="AH62" s="76">
        <f>SUM(AE62,AG62,AI62)*rate_forex_risk</f>
        <v/>
      </c>
      <c r="AI62" s="193">
        <f>IF(OR(seller_region="TR",offer_sale_type="экспорт"),0,rate_fin_comm)*SUM(AZ62,AZ62*AW62,T62)</f>
        <v/>
      </c>
      <c r="AJ62" s="118">
        <f>IFERROR(ROUND(SUM(AB62,AF62:AI62)/E62,2),0)</f>
        <v/>
      </c>
      <c r="AK62" s="76">
        <f>AJ62*E62</f>
        <v/>
      </c>
      <c r="AL62" s="174">
        <f>ROUND(IFERROR(AM62*E62,0),2)</f>
        <v/>
      </c>
      <c r="AM62" s="175">
        <f>ROUND(AJ62*(1+IF(offer_incoterms="DDP",IF((TODAY()+offer_turnaround_time)&gt;=helpsheet!$L$17,rate_vatRU_from_26,rate_vatRu_till_25),0)),2)</f>
        <v/>
      </c>
      <c r="AN62" s="192">
        <f>AL62-AK62</f>
        <v/>
      </c>
      <c r="AO62" s="76">
        <f>SUM(AY62,Y62:Z62,T62)*IF(AND(offer_incoterms="DDP",offer_sale_type&lt;&gt;"экспорт"),IF((TODAY()+offer_turnaround_time)&gt;=helpsheet!$L$17,rate_vatRU_from_26,rate_vatRu_till_25),0)</f>
        <v/>
      </c>
      <c r="AP62" s="193">
        <f>AN62-AO62</f>
        <v/>
      </c>
      <c r="AQ62" s="118">
        <f>IF(offer_sale_type="транзит",SUM(AF62:AI62,BA62,BB62),0)</f>
        <v/>
      </c>
      <c r="AR62" s="82">
        <f>HYPERLINK("https://www.alta.ru/tnved/code/")&amp;W62&amp;"/"</f>
        <v/>
      </c>
      <c r="AS62" s="157" t="n"/>
      <c r="AT62" s="162" t="n"/>
      <c r="AU62" s="76">
        <f>IF(ISBLANK(AT62),0,AJ62-AT62)</f>
        <v/>
      </c>
      <c r="AV62" s="157" t="n"/>
      <c r="AW62" s="75">
        <f>_xlfn.IFNA(VLOOKUP(L62,list_vat[],3,FALSE),0)</f>
        <v/>
      </c>
      <c r="AX62" s="76">
        <f>IFERROR(ROUND(S62*(1+AW62)/E62,2),0)</f>
        <v/>
      </c>
      <c r="AY62" s="76">
        <f>E62*AX62</f>
        <v/>
      </c>
      <c r="AZ62" s="192">
        <f>S62*(1+M62)</f>
        <v/>
      </c>
      <c r="BA62" s="76">
        <f>cost_fin_total*$BD62</f>
        <v/>
      </c>
      <c r="BB62" s="193">
        <f>credit_sales_interest*BD62</f>
        <v/>
      </c>
      <c r="BC62" s="102">
        <f>IFERROR(IF($I$13&gt;0,$I62/$I$13,$S62/$S$13),0)</f>
        <v/>
      </c>
      <c r="BD62" s="102">
        <f>IFERROR($S62/$S$13,0)</f>
        <v/>
      </c>
      <c r="BE62" s="413" t="inlineStr">
        <is>
          <t>$</t>
        </is>
      </c>
    </row>
    <row r="63" ht="12" customFormat="1" customHeight="1" s="65">
      <c r="A63" s="43" t="n">
        <v>48</v>
      </c>
      <c r="B63" s="166" t="n"/>
      <c r="C63" s="166" t="n"/>
      <c r="D63" s="166" t="n"/>
      <c r="E63" s="162" t="n"/>
      <c r="F63" s="166" t="n"/>
      <c r="G63" s="162" t="n"/>
      <c r="H63" s="162" t="n"/>
      <c r="I63" s="189">
        <f>E63*G63</f>
        <v/>
      </c>
      <c r="J63" s="195" t="n"/>
      <c r="K63" s="162" t="n"/>
      <c r="L63" s="168" t="n"/>
      <c r="M63" s="75">
        <f>_xlfn.XLOOKUP(L63,list_vat[Страна],list_vat[Ставка НДС %],0,0)</f>
        <v/>
      </c>
      <c r="N63" s="162">
        <f>IFERROR(IF(L63="Китай",K63,K63/(1+M63)),0)</f>
        <v/>
      </c>
      <c r="O63" s="169" t="n"/>
      <c r="P63" s="76">
        <f>N63*(1-O63)</f>
        <v/>
      </c>
      <c r="Q63" s="162" t="n"/>
      <c r="R63" s="162">
        <f>IF(ISBLANK(Q63),"введи курс",P63/Q63)</f>
        <v/>
      </c>
      <c r="S63" s="196">
        <f>IF(AND(ISNUMBER(E63),ISNUMBER(Q63)),E63*R63,0)</f>
        <v/>
      </c>
      <c r="T63" s="192">
        <f>$BC63*V$11</f>
        <v/>
      </c>
      <c r="U63" s="76">
        <f>$BC63*W$11</f>
        <v/>
      </c>
      <c r="V63" s="193">
        <f>+SUM(T63:U63)</f>
        <v/>
      </c>
      <c r="W63" s="191" t="n"/>
      <c r="X63" s="170" t="n"/>
      <c r="Y63" s="76">
        <f>ROUND(IF(offer_incoterms="DDP",X63*(S63*(1+AW63)+T63),0),2)</f>
        <v/>
      </c>
      <c r="Z63" s="188" t="n"/>
      <c r="AA63" s="192">
        <f>IFERROR(AB63/E63,0)</f>
        <v/>
      </c>
      <c r="AB63" s="76">
        <f>ROUND(SUM(S63,V63,Y63:Z63,BA63:BB63),2)</f>
        <v/>
      </c>
      <c r="AC63" s="797" t="n"/>
      <c r="AD63" s="192">
        <f t="array" ref="AD63">IFERROR(ROUND((_xlfn.IFS(offer_sale_type="поставка",AB63,offer_sale_type="транзит",S63)*(1+AC63))/E63,2),0)</f>
        <v/>
      </c>
      <c r="AE63" s="76">
        <f>AD63*E63</f>
        <v/>
      </c>
      <c r="AF63" s="193">
        <f t="array" ref="AF63">IFERROR(ROUND(_xlfn.IFS(offer_sale_type="поставка",AB63,offer_sale_type="транзит",S63)*AC63,2),0)</f>
        <v/>
      </c>
      <c r="AG63" s="192">
        <f>$BD63*VLOOKUP($AG$3,$AF$4:$AG$7,2,FALSE)</f>
        <v/>
      </c>
      <c r="AH63" s="76">
        <f>SUM(AE63,AG63,AI63)*rate_forex_risk</f>
        <v/>
      </c>
      <c r="AI63" s="193">
        <f>IF(OR(seller_region="TR",offer_sale_type="экспорт"),0,rate_fin_comm)*SUM(AZ63,AZ63*AW63,T63)</f>
        <v/>
      </c>
      <c r="AJ63" s="118">
        <f>IFERROR(ROUND(SUM(AB63,AF63:AI63)/E63,2),0)</f>
        <v/>
      </c>
      <c r="AK63" s="76">
        <f>AJ63*E63</f>
        <v/>
      </c>
      <c r="AL63" s="174">
        <f>ROUND(IFERROR(AM63*E63,0),2)</f>
        <v/>
      </c>
      <c r="AM63" s="175">
        <f>ROUND(AJ63*(1+IF(offer_incoterms="DDP",IF((TODAY()+offer_turnaround_time)&gt;=helpsheet!$L$17,rate_vatRU_from_26,rate_vatRu_till_25),0)),2)</f>
        <v/>
      </c>
      <c r="AN63" s="192">
        <f>AL63-AK63</f>
        <v/>
      </c>
      <c r="AO63" s="76">
        <f>SUM(AY63,Y63:Z63,T63)*IF(AND(offer_incoterms="DDP",offer_sale_type&lt;&gt;"экспорт"),IF((TODAY()+offer_turnaround_time)&gt;=helpsheet!$L$17,rate_vatRU_from_26,rate_vatRu_till_25),0)</f>
        <v/>
      </c>
      <c r="AP63" s="193">
        <f>AN63-AO63</f>
        <v/>
      </c>
      <c r="AQ63" s="118">
        <f>IF(offer_sale_type="транзит",SUM(AF63:AI63,BA63,BB63),0)</f>
        <v/>
      </c>
      <c r="AR63" s="82">
        <f>HYPERLINK("https://www.alta.ru/tnved/code/")&amp;W63&amp;"/"</f>
        <v/>
      </c>
      <c r="AS63" s="157" t="n"/>
      <c r="AT63" s="162" t="n"/>
      <c r="AU63" s="76">
        <f>IF(ISBLANK(AT63),0,AJ63-AT63)</f>
        <v/>
      </c>
      <c r="AV63" s="157" t="n"/>
      <c r="AW63" s="75">
        <f>_xlfn.IFNA(VLOOKUP(L63,list_vat[],3,FALSE),0)</f>
        <v/>
      </c>
      <c r="AX63" s="76">
        <f>IFERROR(ROUND(S63*(1+AW63)/E63,2),0)</f>
        <v/>
      </c>
      <c r="AY63" s="76">
        <f>E63*AX63</f>
        <v/>
      </c>
      <c r="AZ63" s="192">
        <f>S63*(1+M63)</f>
        <v/>
      </c>
      <c r="BA63" s="76">
        <f>cost_fin_total*$BD63</f>
        <v/>
      </c>
      <c r="BB63" s="193">
        <f>credit_sales_interest*BD63</f>
        <v/>
      </c>
      <c r="BC63" s="102">
        <f>IFERROR(IF($I$13&gt;0,$I63/$I$13,$S63/$S$13),0)</f>
        <v/>
      </c>
      <c r="BD63" s="102">
        <f>IFERROR($S63/$S$13,0)</f>
        <v/>
      </c>
      <c r="BE63" s="413" t="inlineStr">
        <is>
          <t>$</t>
        </is>
      </c>
    </row>
    <row r="64" ht="12" customFormat="1" customHeight="1" s="65">
      <c r="A64" s="43" t="n">
        <v>49</v>
      </c>
      <c r="B64" s="166" t="n"/>
      <c r="C64" s="166" t="n"/>
      <c r="D64" s="166" t="n"/>
      <c r="E64" s="162" t="n"/>
      <c r="F64" s="166" t="n"/>
      <c r="G64" s="162" t="n"/>
      <c r="H64" s="162" t="n"/>
      <c r="I64" s="189">
        <f>E64*G64</f>
        <v/>
      </c>
      <c r="J64" s="195" t="n"/>
      <c r="K64" s="162" t="n"/>
      <c r="L64" s="168" t="n"/>
      <c r="M64" s="75">
        <f>_xlfn.XLOOKUP(L64,list_vat[Страна],list_vat[Ставка НДС %],0,0)</f>
        <v/>
      </c>
      <c r="N64" s="162">
        <f>IFERROR(IF(L64="Китай",K64,K64/(1+M64)),0)</f>
        <v/>
      </c>
      <c r="O64" s="169" t="n"/>
      <c r="P64" s="76">
        <f>N64*(1-O64)</f>
        <v/>
      </c>
      <c r="Q64" s="162" t="n"/>
      <c r="R64" s="162">
        <f>IF(ISBLANK(Q64),"введи курс",P64/Q64)</f>
        <v/>
      </c>
      <c r="S64" s="196">
        <f>IF(AND(ISNUMBER(E64),ISNUMBER(Q64)),E64*R64,0)</f>
        <v/>
      </c>
      <c r="T64" s="192">
        <f>$BC64*V$11</f>
        <v/>
      </c>
      <c r="U64" s="76">
        <f>$BC64*W$11</f>
        <v/>
      </c>
      <c r="V64" s="193">
        <f>+SUM(T64:U64)</f>
        <v/>
      </c>
      <c r="W64" s="191" t="n"/>
      <c r="X64" s="170" t="n"/>
      <c r="Y64" s="76">
        <f>ROUND(IF(offer_incoterms="DDP",X64*(S64*(1+AW64)+T64),0),2)</f>
        <v/>
      </c>
      <c r="Z64" s="188" t="n"/>
      <c r="AA64" s="192">
        <f>IFERROR(AB64/E64,0)</f>
        <v/>
      </c>
      <c r="AB64" s="76">
        <f>ROUND(SUM(S64,V64,Y64:Z64,BA64:BB64),2)</f>
        <v/>
      </c>
      <c r="AC64" s="797" t="n"/>
      <c r="AD64" s="192">
        <f t="array" ref="AD64">IFERROR(ROUND((_xlfn.IFS(offer_sale_type="поставка",AB64,offer_sale_type="транзит",S64)*(1+AC64))/E64,2),0)</f>
        <v/>
      </c>
      <c r="AE64" s="76">
        <f>AD64*E64</f>
        <v/>
      </c>
      <c r="AF64" s="193">
        <f t="array" ref="AF64">IFERROR(ROUND(_xlfn.IFS(offer_sale_type="поставка",AB64,offer_sale_type="транзит",S64)*AC64,2),0)</f>
        <v/>
      </c>
      <c r="AG64" s="192">
        <f>$BD64*VLOOKUP($AG$3,$AF$4:$AG$7,2,FALSE)</f>
        <v/>
      </c>
      <c r="AH64" s="76">
        <f>SUM(AE64,AG64,AI64)*rate_forex_risk</f>
        <v/>
      </c>
      <c r="AI64" s="193">
        <f>IF(OR(seller_region="TR",offer_sale_type="экспорт"),0,rate_fin_comm)*SUM(AZ64,AZ64*AW64,T64)</f>
        <v/>
      </c>
      <c r="AJ64" s="118">
        <f>IFERROR(ROUND(SUM(AB64,AF64:AI64)/E64,2),0)</f>
        <v/>
      </c>
      <c r="AK64" s="76">
        <f>AJ64*E64</f>
        <v/>
      </c>
      <c r="AL64" s="174">
        <f>ROUND(IFERROR(AM64*E64,0),2)</f>
        <v/>
      </c>
      <c r="AM64" s="175">
        <f>ROUND(AJ64*(1+IF(offer_incoterms="DDP",IF((TODAY()+offer_turnaround_time)&gt;=helpsheet!$L$17,rate_vatRU_from_26,rate_vatRu_till_25),0)),2)</f>
        <v/>
      </c>
      <c r="AN64" s="192">
        <f>AL64-AK64</f>
        <v/>
      </c>
      <c r="AO64" s="76">
        <f>SUM(AY64,Y64:Z64,T64)*IF(AND(offer_incoterms="DDP",offer_sale_type&lt;&gt;"экспорт"),IF((TODAY()+offer_turnaround_time)&gt;=helpsheet!$L$17,rate_vatRU_from_26,rate_vatRu_till_25),0)</f>
        <v/>
      </c>
      <c r="AP64" s="193">
        <f>AN64-AO64</f>
        <v/>
      </c>
      <c r="AQ64" s="118">
        <f>IF(offer_sale_type="транзит",SUM(AF64:AI64,BA64,BB64),0)</f>
        <v/>
      </c>
      <c r="AR64" s="82">
        <f>HYPERLINK("https://www.alta.ru/tnved/code/")&amp;W64&amp;"/"</f>
        <v/>
      </c>
      <c r="AS64" s="157" t="n"/>
      <c r="AT64" s="162" t="n"/>
      <c r="AU64" s="76">
        <f>IF(ISBLANK(AT64),0,AJ64-AT64)</f>
        <v/>
      </c>
      <c r="AV64" s="157" t="n"/>
      <c r="AW64" s="75">
        <f>_xlfn.IFNA(VLOOKUP(L64,list_vat[],3,FALSE),0)</f>
        <v/>
      </c>
      <c r="AX64" s="76">
        <f>IFERROR(ROUND(S64*(1+AW64)/E64,2),0)</f>
        <v/>
      </c>
      <c r="AY64" s="76">
        <f>E64*AX64</f>
        <v/>
      </c>
      <c r="AZ64" s="192">
        <f>S64*(1+M64)</f>
        <v/>
      </c>
      <c r="BA64" s="76">
        <f>cost_fin_total*$BD64</f>
        <v/>
      </c>
      <c r="BB64" s="193">
        <f>credit_sales_interest*BD64</f>
        <v/>
      </c>
      <c r="BC64" s="102">
        <f>IFERROR(IF($I$13&gt;0,$I64/$I$13,$S64/$S$13),0)</f>
        <v/>
      </c>
      <c r="BD64" s="102">
        <f>IFERROR($S64/$S$13,0)</f>
        <v/>
      </c>
      <c r="BE64" s="413" t="inlineStr">
        <is>
          <t>$</t>
        </is>
      </c>
    </row>
    <row r="65" ht="12" customFormat="1" customHeight="1" s="65">
      <c r="A65" s="43" t="n">
        <v>50</v>
      </c>
      <c r="B65" s="166" t="n"/>
      <c r="C65" s="166" t="n"/>
      <c r="D65" s="166" t="n"/>
      <c r="E65" s="162" t="n"/>
      <c r="F65" s="166" t="n"/>
      <c r="G65" s="162" t="n"/>
      <c r="H65" s="162" t="n"/>
      <c r="I65" s="189">
        <f>E65*G65</f>
        <v/>
      </c>
      <c r="J65" s="195" t="n"/>
      <c r="K65" s="162" t="n"/>
      <c r="L65" s="168" t="n"/>
      <c r="M65" s="75">
        <f>_xlfn.XLOOKUP(L65,list_vat[Страна],list_vat[Ставка НДС %],0,0)</f>
        <v/>
      </c>
      <c r="N65" s="162">
        <f>IFERROR(IF(L65="Китай",K65,K65/(1+M65)),0)</f>
        <v/>
      </c>
      <c r="O65" s="169" t="n"/>
      <c r="P65" s="76">
        <f>N65*(1-O65)</f>
        <v/>
      </c>
      <c r="Q65" s="162" t="n"/>
      <c r="R65" s="162">
        <f>IF(ISBLANK(Q65),"введи курс",P65/Q65)</f>
        <v/>
      </c>
      <c r="S65" s="196">
        <f>IF(AND(ISNUMBER(E65),ISNUMBER(Q65)),E65*R65,0)</f>
        <v/>
      </c>
      <c r="T65" s="192">
        <f>$BC65*V$11</f>
        <v/>
      </c>
      <c r="U65" s="76">
        <f>$BC65*W$11</f>
        <v/>
      </c>
      <c r="V65" s="193">
        <f>+SUM(T65:U65)</f>
        <v/>
      </c>
      <c r="W65" s="191" t="n"/>
      <c r="X65" s="170" t="n"/>
      <c r="Y65" s="76">
        <f>ROUND(IF(offer_incoterms="DDP",X65*(S65*(1+AW65)+T65),0),2)</f>
        <v/>
      </c>
      <c r="Z65" s="188" t="n"/>
      <c r="AA65" s="192">
        <f>IFERROR(AB65/E65,0)</f>
        <v/>
      </c>
      <c r="AB65" s="76">
        <f>ROUND(SUM(S65,V65,Y65:Z65,BA65:BB65),2)</f>
        <v/>
      </c>
      <c r="AC65" s="797" t="n"/>
      <c r="AD65" s="192">
        <f t="array" ref="AD65">IFERROR(ROUND((_xlfn.IFS(offer_sale_type="поставка",AB65,offer_sale_type="транзит",S65)*(1+AC65))/E65,2),0)</f>
        <v/>
      </c>
      <c r="AE65" s="76">
        <f>AD65*E65</f>
        <v/>
      </c>
      <c r="AF65" s="193">
        <f t="array" ref="AF65">IFERROR(ROUND(_xlfn.IFS(offer_sale_type="поставка",AB65,offer_sale_type="транзит",S65)*AC65,2),0)</f>
        <v/>
      </c>
      <c r="AG65" s="192">
        <f>$BD65*VLOOKUP($AG$3,$AF$4:$AG$7,2,FALSE)</f>
        <v/>
      </c>
      <c r="AH65" s="76">
        <f>SUM(AE65,AG65,AI65)*rate_forex_risk</f>
        <v/>
      </c>
      <c r="AI65" s="193">
        <f>IF(OR(seller_region="TR",offer_sale_type="экспорт"),0,rate_fin_comm)*SUM(AZ65,AZ65*AW65,T65)</f>
        <v/>
      </c>
      <c r="AJ65" s="118">
        <f>IFERROR(ROUND(SUM(AB65,AF65:AI65)/E65,2),0)</f>
        <v/>
      </c>
      <c r="AK65" s="76">
        <f>AJ65*E65</f>
        <v/>
      </c>
      <c r="AL65" s="174">
        <f>ROUND(IFERROR(AM65*E65,0),2)</f>
        <v/>
      </c>
      <c r="AM65" s="175">
        <f>ROUND(AJ65*(1+IF(offer_incoterms="DDP",IF((TODAY()+offer_turnaround_time)&gt;=helpsheet!$L$17,rate_vatRU_from_26,rate_vatRu_till_25),0)),2)</f>
        <v/>
      </c>
      <c r="AN65" s="192">
        <f>AL65-AK65</f>
        <v/>
      </c>
      <c r="AO65" s="76">
        <f>SUM(AY65,Y65:Z65,T65)*IF(AND(offer_incoterms="DDP",offer_sale_type&lt;&gt;"экспорт"),IF((TODAY()+offer_turnaround_time)&gt;=helpsheet!$L$17,rate_vatRU_from_26,rate_vatRu_till_25),0)</f>
        <v/>
      </c>
      <c r="AP65" s="193">
        <f>AN65-AO65</f>
        <v/>
      </c>
      <c r="AQ65" s="118">
        <f>IF(offer_sale_type="транзит",SUM(AF65:AI65,BA65,BB65),0)</f>
        <v/>
      </c>
      <c r="AR65" s="82">
        <f>HYPERLINK("https://www.alta.ru/tnved/code/")&amp;W65&amp;"/"</f>
        <v/>
      </c>
      <c r="AS65" s="157" t="n"/>
      <c r="AT65" s="162" t="n"/>
      <c r="AU65" s="76">
        <f>IF(ISBLANK(AT65),0,AJ65-AT65)</f>
        <v/>
      </c>
      <c r="AV65" s="157" t="n"/>
      <c r="AW65" s="75">
        <f>_xlfn.IFNA(VLOOKUP(L65,list_vat[],3,FALSE),0)</f>
        <v/>
      </c>
      <c r="AX65" s="76">
        <f>IFERROR(ROUND(S65*(1+AW65)/E65,2),0)</f>
        <v/>
      </c>
      <c r="AY65" s="76">
        <f>E65*AX65</f>
        <v/>
      </c>
      <c r="AZ65" s="192">
        <f>S65*(1+M65)</f>
        <v/>
      </c>
      <c r="BA65" s="76">
        <f>cost_fin_total*$BD65</f>
        <v/>
      </c>
      <c r="BB65" s="193">
        <f>credit_sales_interest*BD65</f>
        <v/>
      </c>
      <c r="BC65" s="102">
        <f>IFERROR(IF($I$13&gt;0,$I65/$I$13,$S65/$S$13),0)</f>
        <v/>
      </c>
      <c r="BD65" s="102">
        <f>IFERROR($S65/$S$13,0)</f>
        <v/>
      </c>
      <c r="BE65" s="413" t="inlineStr">
        <is>
          <t>$</t>
        </is>
      </c>
    </row>
    <row r="66" ht="12" customFormat="1" customHeight="1" s="65">
      <c r="A66" s="43" t="n">
        <v>51</v>
      </c>
      <c r="B66" s="166" t="n"/>
      <c r="C66" s="166" t="n"/>
      <c r="D66" s="166" t="n"/>
      <c r="E66" s="162" t="n"/>
      <c r="F66" s="166" t="n"/>
      <c r="G66" s="162" t="n"/>
      <c r="H66" s="162" t="n"/>
      <c r="I66" s="189">
        <f>E66*G66</f>
        <v/>
      </c>
      <c r="J66" s="195" t="n"/>
      <c r="K66" s="162" t="n"/>
      <c r="L66" s="168" t="n"/>
      <c r="M66" s="75">
        <f>_xlfn.XLOOKUP(L66,list_vat[Страна],list_vat[Ставка НДС %],0,0)</f>
        <v/>
      </c>
      <c r="N66" s="162">
        <f>IFERROR(IF(L66="Китай",K66,K66/(1+M66)),0)</f>
        <v/>
      </c>
      <c r="O66" s="169" t="n"/>
      <c r="P66" s="76">
        <f>N66*(1-O66)</f>
        <v/>
      </c>
      <c r="Q66" s="162" t="n"/>
      <c r="R66" s="162">
        <f>IF(ISBLANK(Q66),"введи курс",P66/Q66)</f>
        <v/>
      </c>
      <c r="S66" s="196">
        <f>IF(AND(ISNUMBER(E66),ISNUMBER(Q66)),E66*R66,0)</f>
        <v/>
      </c>
      <c r="T66" s="192">
        <f>$BC66*V$11</f>
        <v/>
      </c>
      <c r="U66" s="76">
        <f>$BC66*W$11</f>
        <v/>
      </c>
      <c r="V66" s="193">
        <f>+SUM(T66:U66)</f>
        <v/>
      </c>
      <c r="W66" s="191" t="n"/>
      <c r="X66" s="170" t="n"/>
      <c r="Y66" s="76">
        <f>ROUND(IF(offer_incoterms="DDP",X66*(S66*(1+AW66)+T66),0),2)</f>
        <v/>
      </c>
      <c r="Z66" s="188" t="n"/>
      <c r="AA66" s="192">
        <f>IFERROR(AB66/E66,0)</f>
        <v/>
      </c>
      <c r="AB66" s="76">
        <f>ROUND(SUM(S66,V66,Y66:Z66,BA66:BB66),2)</f>
        <v/>
      </c>
      <c r="AC66" s="797" t="n"/>
      <c r="AD66" s="192">
        <f t="array" ref="AD66">IFERROR(ROUND((_xlfn.IFS(offer_sale_type="поставка",AB66,offer_sale_type="транзит",S66)*(1+AC66))/E66,2),0)</f>
        <v/>
      </c>
      <c r="AE66" s="76">
        <f>AD66*E66</f>
        <v/>
      </c>
      <c r="AF66" s="193">
        <f t="array" ref="AF66">IFERROR(ROUND(_xlfn.IFS(offer_sale_type="поставка",AB66,offer_sale_type="транзит",S66)*AC66,2),0)</f>
        <v/>
      </c>
      <c r="AG66" s="192">
        <f>$BD66*VLOOKUP($AG$3,$AF$4:$AG$7,2,FALSE)</f>
        <v/>
      </c>
      <c r="AH66" s="76">
        <f>SUM(AE66,AG66,AI66)*rate_forex_risk</f>
        <v/>
      </c>
      <c r="AI66" s="193">
        <f>IF(OR(seller_region="TR",offer_sale_type="экспорт"),0,rate_fin_comm)*SUM(AZ66,AZ66*AW66,T66)</f>
        <v/>
      </c>
      <c r="AJ66" s="118">
        <f>IFERROR(ROUND(SUM(AB66,AF66:AI66)/E66,2),0)</f>
        <v/>
      </c>
      <c r="AK66" s="76">
        <f>AJ66*E66</f>
        <v/>
      </c>
      <c r="AL66" s="174">
        <f>ROUND(IFERROR(AM66*E66,0),2)</f>
        <v/>
      </c>
      <c r="AM66" s="175">
        <f>ROUND(AJ66*(1+IF(offer_incoterms="DDP",IF((TODAY()+offer_turnaround_time)&gt;=helpsheet!$L$17,rate_vatRU_from_26,rate_vatRu_till_25),0)),2)</f>
        <v/>
      </c>
      <c r="AN66" s="192">
        <f>AL66-AK66</f>
        <v/>
      </c>
      <c r="AO66" s="76">
        <f>SUM(AY66,Y66:Z66,T66)*IF(AND(offer_incoterms="DDP",offer_sale_type&lt;&gt;"экспорт"),IF((TODAY()+offer_turnaround_time)&gt;=helpsheet!$L$17,rate_vatRU_from_26,rate_vatRu_till_25),0)</f>
        <v/>
      </c>
      <c r="AP66" s="193">
        <f>AN66-AO66</f>
        <v/>
      </c>
      <c r="AQ66" s="118">
        <f>IF(offer_sale_type="транзит",SUM(AF66:AI66,BA66,BB66),0)</f>
        <v/>
      </c>
      <c r="AR66" s="82">
        <f>HYPERLINK("https://www.alta.ru/tnved/code/")&amp;W66&amp;"/"</f>
        <v/>
      </c>
      <c r="AS66" s="157" t="n"/>
      <c r="AT66" s="162" t="n"/>
      <c r="AU66" s="76">
        <f>IF(ISBLANK(AT66),0,AJ66-AT66)</f>
        <v/>
      </c>
      <c r="AV66" s="157" t="n"/>
      <c r="AW66" s="75">
        <f>_xlfn.IFNA(VLOOKUP(L66,list_vat[],3,FALSE),0)</f>
        <v/>
      </c>
      <c r="AX66" s="76">
        <f>IFERROR(ROUND(S66*(1+AW66)/E66,2),0)</f>
        <v/>
      </c>
      <c r="AY66" s="76">
        <f>E66*AX66</f>
        <v/>
      </c>
      <c r="AZ66" s="192">
        <f>S66*(1+M66)</f>
        <v/>
      </c>
      <c r="BA66" s="76">
        <f>cost_fin_total*$BD66</f>
        <v/>
      </c>
      <c r="BB66" s="193">
        <f>credit_sales_interest*BD66</f>
        <v/>
      </c>
      <c r="BC66" s="102">
        <f>IFERROR(IF($I$13&gt;0,$I66/$I$13,$S66/$S$13),0)</f>
        <v/>
      </c>
      <c r="BD66" s="102">
        <f>IFERROR($S66/$S$13,0)</f>
        <v/>
      </c>
      <c r="BE66" s="413" t="inlineStr">
        <is>
          <t>$</t>
        </is>
      </c>
    </row>
    <row r="67" ht="12" customFormat="1" customHeight="1" s="65">
      <c r="A67" s="43" t="n">
        <v>52</v>
      </c>
      <c r="B67" s="166" t="n"/>
      <c r="C67" s="166" t="n"/>
      <c r="D67" s="166" t="n"/>
      <c r="E67" s="162" t="n"/>
      <c r="F67" s="166" t="n"/>
      <c r="G67" s="162" t="n"/>
      <c r="H67" s="162" t="n"/>
      <c r="I67" s="189">
        <f>E67*G67</f>
        <v/>
      </c>
      <c r="J67" s="195" t="n"/>
      <c r="K67" s="162" t="n"/>
      <c r="L67" s="168" t="n"/>
      <c r="M67" s="75">
        <f>_xlfn.XLOOKUP(L67,list_vat[Страна],list_vat[Ставка НДС %],0,0)</f>
        <v/>
      </c>
      <c r="N67" s="162">
        <f>IFERROR(IF(L67="Китай",K67,K67/(1+M67)),0)</f>
        <v/>
      </c>
      <c r="O67" s="169" t="n"/>
      <c r="P67" s="76">
        <f>N67*(1-O67)</f>
        <v/>
      </c>
      <c r="Q67" s="162" t="n"/>
      <c r="R67" s="162">
        <f>IF(ISBLANK(Q67),"введи курс",P67/Q67)</f>
        <v/>
      </c>
      <c r="S67" s="196">
        <f>IF(AND(ISNUMBER(E67),ISNUMBER(Q67)),E67*R67,0)</f>
        <v/>
      </c>
      <c r="T67" s="192">
        <f>$BC67*V$11</f>
        <v/>
      </c>
      <c r="U67" s="76">
        <f>$BC67*W$11</f>
        <v/>
      </c>
      <c r="V67" s="193">
        <f>+SUM(T67:U67)</f>
        <v/>
      </c>
      <c r="W67" s="191" t="n"/>
      <c r="X67" s="170" t="n"/>
      <c r="Y67" s="76">
        <f>ROUND(IF(offer_incoterms="DDP",X67*(S67*(1+AW67)+T67),0),2)</f>
        <v/>
      </c>
      <c r="Z67" s="188" t="n"/>
      <c r="AA67" s="192">
        <f>IFERROR(AB67/E67,0)</f>
        <v/>
      </c>
      <c r="AB67" s="76">
        <f>ROUND(SUM(S67,V67,Y67:Z67,BA67:BB67),2)</f>
        <v/>
      </c>
      <c r="AC67" s="797" t="n"/>
      <c r="AD67" s="192">
        <f t="array" ref="AD67">IFERROR(ROUND((_xlfn.IFS(offer_sale_type="поставка",AB67,offer_sale_type="транзит",S67)*(1+AC67))/E67,2),0)</f>
        <v/>
      </c>
      <c r="AE67" s="76">
        <f>AD67*E67</f>
        <v/>
      </c>
      <c r="AF67" s="193">
        <f t="array" ref="AF67">IFERROR(ROUND(_xlfn.IFS(offer_sale_type="поставка",AB67,offer_sale_type="транзит",S67)*AC67,2),0)</f>
        <v/>
      </c>
      <c r="AG67" s="192">
        <f>$BD67*VLOOKUP($AG$3,$AF$4:$AG$7,2,FALSE)</f>
        <v/>
      </c>
      <c r="AH67" s="76">
        <f>SUM(AE67,AG67,AI67)*rate_forex_risk</f>
        <v/>
      </c>
      <c r="AI67" s="193">
        <f>IF(OR(seller_region="TR",offer_sale_type="экспорт"),0,rate_fin_comm)*SUM(AZ67,AZ67*AW67,T67)</f>
        <v/>
      </c>
      <c r="AJ67" s="118">
        <f>IFERROR(ROUND(SUM(AB67,AF67:AI67)/E67,2),0)</f>
        <v/>
      </c>
      <c r="AK67" s="76">
        <f>AJ67*E67</f>
        <v/>
      </c>
      <c r="AL67" s="174">
        <f>ROUND(IFERROR(AM67*E67,0),2)</f>
        <v/>
      </c>
      <c r="AM67" s="175">
        <f>ROUND(AJ67*(1+IF(offer_incoterms="DDP",IF((TODAY()+offer_turnaround_time)&gt;=helpsheet!$L$17,rate_vatRU_from_26,rate_vatRu_till_25),0)),2)</f>
        <v/>
      </c>
      <c r="AN67" s="192">
        <f>AL67-AK67</f>
        <v/>
      </c>
      <c r="AO67" s="76">
        <f>SUM(AY67,Y67:Z67,T67)*IF(AND(offer_incoterms="DDP",offer_sale_type&lt;&gt;"экспорт"),IF((TODAY()+offer_turnaround_time)&gt;=helpsheet!$L$17,rate_vatRU_from_26,rate_vatRu_till_25),0)</f>
        <v/>
      </c>
      <c r="AP67" s="193">
        <f>AN67-AO67</f>
        <v/>
      </c>
      <c r="AQ67" s="118">
        <f>IF(offer_sale_type="транзит",SUM(AF67:AI67,BA67,BB67),0)</f>
        <v/>
      </c>
      <c r="AR67" s="82">
        <f>HYPERLINK("https://www.alta.ru/tnved/code/")&amp;W67&amp;"/"</f>
        <v/>
      </c>
      <c r="AS67" s="157" t="n"/>
      <c r="AT67" s="162" t="n"/>
      <c r="AU67" s="76">
        <f>IF(ISBLANK(AT67),0,AJ67-AT67)</f>
        <v/>
      </c>
      <c r="AV67" s="157" t="n"/>
      <c r="AW67" s="75">
        <f>_xlfn.IFNA(VLOOKUP(L67,list_vat[],3,FALSE),0)</f>
        <v/>
      </c>
      <c r="AX67" s="76">
        <f>IFERROR(ROUND(S67*(1+AW67)/E67,2),0)</f>
        <v/>
      </c>
      <c r="AY67" s="76">
        <f>E67*AX67</f>
        <v/>
      </c>
      <c r="AZ67" s="192">
        <f>S67*(1+M67)</f>
        <v/>
      </c>
      <c r="BA67" s="76">
        <f>cost_fin_total*$BD67</f>
        <v/>
      </c>
      <c r="BB67" s="193">
        <f>credit_sales_interest*BD67</f>
        <v/>
      </c>
      <c r="BC67" s="102">
        <f>IFERROR(IF($I$13&gt;0,$I67/$I$13,$S67/$S$13),0)</f>
        <v/>
      </c>
      <c r="BD67" s="102">
        <f>IFERROR($S67/$S$13,0)</f>
        <v/>
      </c>
      <c r="BE67" s="413" t="inlineStr">
        <is>
          <t>$</t>
        </is>
      </c>
    </row>
    <row r="68" ht="12" customFormat="1" customHeight="1" s="65">
      <c r="A68" s="43" t="n">
        <v>53</v>
      </c>
      <c r="B68" s="166" t="n"/>
      <c r="C68" s="166" t="n"/>
      <c r="D68" s="166" t="n"/>
      <c r="E68" s="162" t="n"/>
      <c r="F68" s="166" t="n"/>
      <c r="G68" s="162" t="n"/>
      <c r="H68" s="162" t="n"/>
      <c r="I68" s="189">
        <f>E68*G68</f>
        <v/>
      </c>
      <c r="J68" s="195" t="n"/>
      <c r="K68" s="162" t="n"/>
      <c r="L68" s="168" t="n"/>
      <c r="M68" s="75">
        <f>_xlfn.XLOOKUP(L68,list_vat[Страна],list_vat[Ставка НДС %],0,0)</f>
        <v/>
      </c>
      <c r="N68" s="162">
        <f>IFERROR(IF(L68="Китай",K68,K68/(1+M68)),0)</f>
        <v/>
      </c>
      <c r="O68" s="169" t="n"/>
      <c r="P68" s="76">
        <f>N68*(1-O68)</f>
        <v/>
      </c>
      <c r="Q68" s="162" t="n"/>
      <c r="R68" s="162">
        <f>IF(ISBLANK(Q68),"введи курс",P68/Q68)</f>
        <v/>
      </c>
      <c r="S68" s="196">
        <f>IF(AND(ISNUMBER(E68),ISNUMBER(Q68)),E68*R68,0)</f>
        <v/>
      </c>
      <c r="T68" s="192">
        <f>$BC68*V$11</f>
        <v/>
      </c>
      <c r="U68" s="76">
        <f>$BC68*W$11</f>
        <v/>
      </c>
      <c r="V68" s="193">
        <f>+SUM(T68:U68)</f>
        <v/>
      </c>
      <c r="W68" s="191" t="n"/>
      <c r="X68" s="170" t="n"/>
      <c r="Y68" s="76">
        <f>ROUND(IF(offer_incoterms="DDP",X68*(S68*(1+AW68)+T68),0),2)</f>
        <v/>
      </c>
      <c r="Z68" s="188" t="n"/>
      <c r="AA68" s="192">
        <f>IFERROR(AB68/E68,0)</f>
        <v/>
      </c>
      <c r="AB68" s="76">
        <f>ROUND(SUM(S68,V68,Y68:Z68,BA68:BB68),2)</f>
        <v/>
      </c>
      <c r="AC68" s="797" t="n"/>
      <c r="AD68" s="192">
        <f t="array" ref="AD68">IFERROR(ROUND((_xlfn.IFS(offer_sale_type="поставка",AB68,offer_sale_type="транзит",S68)*(1+AC68))/E68,2),0)</f>
        <v/>
      </c>
      <c r="AE68" s="76">
        <f>AD68*E68</f>
        <v/>
      </c>
      <c r="AF68" s="193">
        <f t="array" ref="AF68">IFERROR(ROUND(_xlfn.IFS(offer_sale_type="поставка",AB68,offer_sale_type="транзит",S68)*AC68,2),0)</f>
        <v/>
      </c>
      <c r="AG68" s="192">
        <f>$BD68*VLOOKUP($AG$3,$AF$4:$AG$7,2,FALSE)</f>
        <v/>
      </c>
      <c r="AH68" s="76">
        <f>SUM(AE68,AG68,AI68)*rate_forex_risk</f>
        <v/>
      </c>
      <c r="AI68" s="193">
        <f>IF(OR(seller_region="TR",offer_sale_type="экспорт"),0,rate_fin_comm)*SUM(AZ68,AZ68*AW68,T68)</f>
        <v/>
      </c>
      <c r="AJ68" s="118">
        <f>IFERROR(ROUND(SUM(AB68,AF68:AI68)/E68,2),0)</f>
        <v/>
      </c>
      <c r="AK68" s="76">
        <f>AJ68*E68</f>
        <v/>
      </c>
      <c r="AL68" s="174">
        <f>ROUND(IFERROR(AM68*E68,0),2)</f>
        <v/>
      </c>
      <c r="AM68" s="175">
        <f>ROUND(AJ68*(1+IF(offer_incoterms="DDP",IF((TODAY()+offer_turnaround_time)&gt;=helpsheet!$L$17,rate_vatRU_from_26,rate_vatRu_till_25),0)),2)</f>
        <v/>
      </c>
      <c r="AN68" s="192">
        <f>AL68-AK68</f>
        <v/>
      </c>
      <c r="AO68" s="76">
        <f>SUM(AY68,Y68:Z68,T68)*IF(AND(offer_incoterms="DDP",offer_sale_type&lt;&gt;"экспорт"),IF((TODAY()+offer_turnaround_time)&gt;=helpsheet!$L$17,rate_vatRU_from_26,rate_vatRu_till_25),0)</f>
        <v/>
      </c>
      <c r="AP68" s="193">
        <f>AN68-AO68</f>
        <v/>
      </c>
      <c r="AQ68" s="118">
        <f>IF(offer_sale_type="транзит",SUM(AF68:AI68,BA68,BB68),0)</f>
        <v/>
      </c>
      <c r="AR68" s="82">
        <f>HYPERLINK("https://www.alta.ru/tnved/code/")&amp;W68&amp;"/"</f>
        <v/>
      </c>
      <c r="AS68" s="157" t="n"/>
      <c r="AT68" s="162" t="n"/>
      <c r="AU68" s="76">
        <f>IF(ISBLANK(AT68),0,AJ68-AT68)</f>
        <v/>
      </c>
      <c r="AV68" s="157" t="n"/>
      <c r="AW68" s="75">
        <f>_xlfn.IFNA(VLOOKUP(L68,list_vat[],3,FALSE),0)</f>
        <v/>
      </c>
      <c r="AX68" s="76">
        <f>IFERROR(ROUND(S68*(1+AW68)/E68,2),0)</f>
        <v/>
      </c>
      <c r="AY68" s="76">
        <f>E68*AX68</f>
        <v/>
      </c>
      <c r="AZ68" s="192">
        <f>S68*(1+M68)</f>
        <v/>
      </c>
      <c r="BA68" s="76">
        <f>cost_fin_total*$BD68</f>
        <v/>
      </c>
      <c r="BB68" s="193">
        <f>credit_sales_interest*BD68</f>
        <v/>
      </c>
      <c r="BC68" s="102">
        <f>IFERROR(IF($I$13&gt;0,$I68/$I$13,$S68/$S$13),0)</f>
        <v/>
      </c>
      <c r="BD68" s="102">
        <f>IFERROR($S68/$S$13,0)</f>
        <v/>
      </c>
      <c r="BE68" s="413" t="inlineStr">
        <is>
          <t>$</t>
        </is>
      </c>
    </row>
    <row r="69" ht="12" customFormat="1" customHeight="1" s="65">
      <c r="A69" s="43" t="n">
        <v>54</v>
      </c>
      <c r="B69" s="166" t="n"/>
      <c r="C69" s="166" t="n"/>
      <c r="D69" s="166" t="n"/>
      <c r="E69" s="162" t="n"/>
      <c r="F69" s="166" t="n"/>
      <c r="G69" s="162" t="n"/>
      <c r="H69" s="162" t="n"/>
      <c r="I69" s="189">
        <f>E69*G69</f>
        <v/>
      </c>
      <c r="J69" s="195" t="n"/>
      <c r="K69" s="162" t="n"/>
      <c r="L69" s="168" t="n"/>
      <c r="M69" s="75">
        <f>_xlfn.XLOOKUP(L69,list_vat[Страна],list_vat[Ставка НДС %],0,0)</f>
        <v/>
      </c>
      <c r="N69" s="162">
        <f>IFERROR(IF(L69="Китай",K69,K69/(1+M69)),0)</f>
        <v/>
      </c>
      <c r="O69" s="169" t="n"/>
      <c r="P69" s="76">
        <f>N69*(1-O69)</f>
        <v/>
      </c>
      <c r="Q69" s="162" t="n"/>
      <c r="R69" s="162">
        <f>IF(ISBLANK(Q69),"введи курс",P69/Q69)</f>
        <v/>
      </c>
      <c r="S69" s="196">
        <f>IF(AND(ISNUMBER(E69),ISNUMBER(Q69)),E69*R69,0)</f>
        <v/>
      </c>
      <c r="T69" s="192">
        <f>$BC69*V$11</f>
        <v/>
      </c>
      <c r="U69" s="76">
        <f>$BC69*W$11</f>
        <v/>
      </c>
      <c r="V69" s="193">
        <f>+SUM(T69:U69)</f>
        <v/>
      </c>
      <c r="W69" s="191" t="n"/>
      <c r="X69" s="170" t="n"/>
      <c r="Y69" s="76">
        <f>ROUND(IF(offer_incoterms="DDP",X69*(S69*(1+AW69)+T69),0),2)</f>
        <v/>
      </c>
      <c r="Z69" s="188" t="n"/>
      <c r="AA69" s="192">
        <f>IFERROR(AB69/E69,0)</f>
        <v/>
      </c>
      <c r="AB69" s="76">
        <f>ROUND(SUM(S69,V69,Y69:Z69,BA69:BB69),2)</f>
        <v/>
      </c>
      <c r="AC69" s="797" t="n"/>
      <c r="AD69" s="192">
        <f t="array" ref="AD69">IFERROR(ROUND((_xlfn.IFS(offer_sale_type="поставка",AB69,offer_sale_type="транзит",S69)*(1+AC69))/E69,2),0)</f>
        <v/>
      </c>
      <c r="AE69" s="76">
        <f>AD69*E69</f>
        <v/>
      </c>
      <c r="AF69" s="193">
        <f t="array" ref="AF69">IFERROR(ROUND(_xlfn.IFS(offer_sale_type="поставка",AB69,offer_sale_type="транзит",S69)*AC69,2),0)</f>
        <v/>
      </c>
      <c r="AG69" s="192">
        <f>$BD69*VLOOKUP($AG$3,$AF$4:$AG$7,2,FALSE)</f>
        <v/>
      </c>
      <c r="AH69" s="76">
        <f>SUM(AE69,AG69,AI69)*rate_forex_risk</f>
        <v/>
      </c>
      <c r="AI69" s="193">
        <f>IF(OR(seller_region="TR",offer_sale_type="экспорт"),0,rate_fin_comm)*SUM(AZ69,AZ69*AW69,T69)</f>
        <v/>
      </c>
      <c r="AJ69" s="118">
        <f>IFERROR(ROUND(SUM(AB69,AF69:AI69)/E69,2),0)</f>
        <v/>
      </c>
      <c r="AK69" s="76">
        <f>AJ69*E69</f>
        <v/>
      </c>
      <c r="AL69" s="174">
        <f>ROUND(IFERROR(AM69*E69,0),2)</f>
        <v/>
      </c>
      <c r="AM69" s="175">
        <f>ROUND(AJ69*(1+IF(offer_incoterms="DDP",IF((TODAY()+offer_turnaround_time)&gt;=helpsheet!$L$17,rate_vatRU_from_26,rate_vatRu_till_25),0)),2)</f>
        <v/>
      </c>
      <c r="AN69" s="192">
        <f>AL69-AK69</f>
        <v/>
      </c>
      <c r="AO69" s="76">
        <f>SUM(AY69,Y69:Z69,T69)*IF(AND(offer_incoterms="DDP",offer_sale_type&lt;&gt;"экспорт"),IF((TODAY()+offer_turnaround_time)&gt;=helpsheet!$L$17,rate_vatRU_from_26,rate_vatRu_till_25),0)</f>
        <v/>
      </c>
      <c r="AP69" s="193">
        <f>AN69-AO69</f>
        <v/>
      </c>
      <c r="AQ69" s="118">
        <f>IF(offer_sale_type="транзит",SUM(AF69:AI69,BA69,BB69),0)</f>
        <v/>
      </c>
      <c r="AR69" s="82">
        <f>HYPERLINK("https://www.alta.ru/tnved/code/")&amp;W69&amp;"/"</f>
        <v/>
      </c>
      <c r="AS69" s="157" t="n"/>
      <c r="AT69" s="162" t="n"/>
      <c r="AU69" s="76">
        <f>IF(ISBLANK(AT69),0,AJ69-AT69)</f>
        <v/>
      </c>
      <c r="AV69" s="157" t="n"/>
      <c r="AW69" s="75">
        <f>_xlfn.IFNA(VLOOKUP(L69,list_vat[],3,FALSE),0)</f>
        <v/>
      </c>
      <c r="AX69" s="76">
        <f>IFERROR(ROUND(S69*(1+AW69)/E69,2),0)</f>
        <v/>
      </c>
      <c r="AY69" s="76">
        <f>E69*AX69</f>
        <v/>
      </c>
      <c r="AZ69" s="192">
        <f>S69*(1+M69)</f>
        <v/>
      </c>
      <c r="BA69" s="76">
        <f>cost_fin_total*$BD69</f>
        <v/>
      </c>
      <c r="BB69" s="193">
        <f>credit_sales_interest*BD69</f>
        <v/>
      </c>
      <c r="BC69" s="102">
        <f>IFERROR(IF($I$13&gt;0,$I69/$I$13,$S69/$S$13),0)</f>
        <v/>
      </c>
      <c r="BD69" s="102">
        <f>IFERROR($S69/$S$13,0)</f>
        <v/>
      </c>
      <c r="BE69" s="413" t="inlineStr">
        <is>
          <t>$</t>
        </is>
      </c>
    </row>
    <row r="70" ht="12" customFormat="1" customHeight="1" s="65">
      <c r="A70" s="43" t="n">
        <v>55</v>
      </c>
      <c r="B70" s="166" t="n"/>
      <c r="C70" s="166" t="n"/>
      <c r="D70" s="166" t="n"/>
      <c r="E70" s="162" t="n"/>
      <c r="F70" s="166" t="n"/>
      <c r="G70" s="162" t="n"/>
      <c r="H70" s="162" t="n"/>
      <c r="I70" s="189">
        <f>E70*G70</f>
        <v/>
      </c>
      <c r="J70" s="195" t="n"/>
      <c r="K70" s="162" t="n"/>
      <c r="L70" s="168" t="n"/>
      <c r="M70" s="75">
        <f>_xlfn.XLOOKUP(L70,list_vat[Страна],list_vat[Ставка НДС %],0,0)</f>
        <v/>
      </c>
      <c r="N70" s="162">
        <f>IFERROR(IF(L70="Китай",K70,K70/(1+M70)),0)</f>
        <v/>
      </c>
      <c r="O70" s="169" t="n"/>
      <c r="P70" s="76">
        <f>N70*(1-O70)</f>
        <v/>
      </c>
      <c r="Q70" s="162" t="n"/>
      <c r="R70" s="162">
        <f>IF(ISBLANK(Q70),"введи курс",P70/Q70)</f>
        <v/>
      </c>
      <c r="S70" s="196">
        <f>IF(AND(ISNUMBER(E70),ISNUMBER(Q70)),E70*R70,0)</f>
        <v/>
      </c>
      <c r="T70" s="192">
        <f>$BC70*V$11</f>
        <v/>
      </c>
      <c r="U70" s="76">
        <f>$BC70*W$11</f>
        <v/>
      </c>
      <c r="V70" s="193">
        <f>+SUM(T70:U70)</f>
        <v/>
      </c>
      <c r="W70" s="191" t="n"/>
      <c r="X70" s="170" t="n"/>
      <c r="Y70" s="76">
        <f>ROUND(IF(offer_incoterms="DDP",X70*(S70*(1+AW70)+T70),0),2)</f>
        <v/>
      </c>
      <c r="Z70" s="188" t="n"/>
      <c r="AA70" s="192">
        <f>IFERROR(AB70/E70,0)</f>
        <v/>
      </c>
      <c r="AB70" s="76">
        <f>ROUND(SUM(S70,V70,Y70:Z70,BA70:BB70),2)</f>
        <v/>
      </c>
      <c r="AC70" s="797" t="n"/>
      <c r="AD70" s="192">
        <f t="array" ref="AD70">IFERROR(ROUND((_xlfn.IFS(offer_sale_type="поставка",AB70,offer_sale_type="транзит",S70)*(1+AC70))/E70,2),0)</f>
        <v/>
      </c>
      <c r="AE70" s="76">
        <f>AD70*E70</f>
        <v/>
      </c>
      <c r="AF70" s="193">
        <f t="array" ref="AF70">IFERROR(ROUND(_xlfn.IFS(offer_sale_type="поставка",AB70,offer_sale_type="транзит",S70)*AC70,2),0)</f>
        <v/>
      </c>
      <c r="AG70" s="192">
        <f>$BD70*VLOOKUP($AG$3,$AF$4:$AG$7,2,FALSE)</f>
        <v/>
      </c>
      <c r="AH70" s="76">
        <f>SUM(AE70,AG70,AI70)*rate_forex_risk</f>
        <v/>
      </c>
      <c r="AI70" s="193">
        <f>IF(OR(seller_region="TR",offer_sale_type="экспорт"),0,rate_fin_comm)*SUM(AZ70,AZ70*AW70,T70)</f>
        <v/>
      </c>
      <c r="AJ70" s="118">
        <f>IFERROR(ROUND(SUM(AB70,AF70:AI70)/E70,2),0)</f>
        <v/>
      </c>
      <c r="AK70" s="76">
        <f>AJ70*E70</f>
        <v/>
      </c>
      <c r="AL70" s="174">
        <f>ROUND(IFERROR(AM70*E70,0),2)</f>
        <v/>
      </c>
      <c r="AM70" s="175">
        <f>ROUND(AJ70*(1+IF(offer_incoterms="DDP",IF((TODAY()+offer_turnaround_time)&gt;=helpsheet!$L$17,rate_vatRU_from_26,rate_vatRu_till_25),0)),2)</f>
        <v/>
      </c>
      <c r="AN70" s="192">
        <f>AL70-AK70</f>
        <v/>
      </c>
      <c r="AO70" s="76">
        <f>SUM(AY70,Y70:Z70,T70)*IF(AND(offer_incoterms="DDP",offer_sale_type&lt;&gt;"экспорт"),IF((TODAY()+offer_turnaround_time)&gt;=helpsheet!$L$17,rate_vatRU_from_26,rate_vatRu_till_25),0)</f>
        <v/>
      </c>
      <c r="AP70" s="193">
        <f>AN70-AO70</f>
        <v/>
      </c>
      <c r="AQ70" s="118">
        <f>IF(offer_sale_type="транзит",SUM(AF70:AI70,BA70,BB70),0)</f>
        <v/>
      </c>
      <c r="AR70" s="82">
        <f>HYPERLINK("https://www.alta.ru/tnved/code/")&amp;W70&amp;"/"</f>
        <v/>
      </c>
      <c r="AS70" s="157" t="n"/>
      <c r="AT70" s="162" t="n"/>
      <c r="AU70" s="76">
        <f>IF(ISBLANK(AT70),0,AJ70-AT70)</f>
        <v/>
      </c>
      <c r="AV70" s="157" t="n"/>
      <c r="AW70" s="75">
        <f>_xlfn.IFNA(VLOOKUP(L70,list_vat[],3,FALSE),0)</f>
        <v/>
      </c>
      <c r="AX70" s="76">
        <f>IFERROR(ROUND(S70*(1+AW70)/E70,2),0)</f>
        <v/>
      </c>
      <c r="AY70" s="76">
        <f>E70*AX70</f>
        <v/>
      </c>
      <c r="AZ70" s="192">
        <f>S70*(1+M70)</f>
        <v/>
      </c>
      <c r="BA70" s="76">
        <f>cost_fin_total*$BD70</f>
        <v/>
      </c>
      <c r="BB70" s="193">
        <f>credit_sales_interest*BD70</f>
        <v/>
      </c>
      <c r="BC70" s="102">
        <f>IFERROR(IF($I$13&gt;0,$I70/$I$13,$S70/$S$13),0)</f>
        <v/>
      </c>
      <c r="BD70" s="102">
        <f>IFERROR($S70/$S$13,0)</f>
        <v/>
      </c>
      <c r="BE70" s="413" t="inlineStr">
        <is>
          <t>$</t>
        </is>
      </c>
    </row>
    <row r="71" ht="12" customFormat="1" customHeight="1" s="65">
      <c r="A71" s="43" t="n">
        <v>56</v>
      </c>
      <c r="B71" s="166" t="n"/>
      <c r="C71" s="166" t="n"/>
      <c r="D71" s="166" t="n"/>
      <c r="E71" s="162" t="n"/>
      <c r="F71" s="166" t="n"/>
      <c r="G71" s="162" t="n"/>
      <c r="H71" s="162" t="n"/>
      <c r="I71" s="189">
        <f>E71*G71</f>
        <v/>
      </c>
      <c r="J71" s="195" t="n"/>
      <c r="K71" s="162" t="n"/>
      <c r="L71" s="168" t="n"/>
      <c r="M71" s="75">
        <f>_xlfn.XLOOKUP(L71,list_vat[Страна],list_vat[Ставка НДС %],0,0)</f>
        <v/>
      </c>
      <c r="N71" s="162">
        <f>IFERROR(IF(L71="Китай",K71,K71/(1+M71)),0)</f>
        <v/>
      </c>
      <c r="O71" s="169" t="n"/>
      <c r="P71" s="76">
        <f>N71*(1-O71)</f>
        <v/>
      </c>
      <c r="Q71" s="162" t="n"/>
      <c r="R71" s="162">
        <f>IF(ISBLANK(Q71),"введи курс",P71/Q71)</f>
        <v/>
      </c>
      <c r="S71" s="196">
        <f>IF(AND(ISNUMBER(E71),ISNUMBER(Q71)),E71*R71,0)</f>
        <v/>
      </c>
      <c r="T71" s="192">
        <f>$BC71*V$11</f>
        <v/>
      </c>
      <c r="U71" s="76">
        <f>$BC71*W$11</f>
        <v/>
      </c>
      <c r="V71" s="193">
        <f>+SUM(T71:U71)</f>
        <v/>
      </c>
      <c r="W71" s="191" t="n"/>
      <c r="X71" s="170" t="n"/>
      <c r="Y71" s="76">
        <f>ROUND(IF(offer_incoterms="DDP",X71*(S71*(1+AW71)+T71),0),2)</f>
        <v/>
      </c>
      <c r="Z71" s="188" t="n"/>
      <c r="AA71" s="192">
        <f>IFERROR(AB71/E71,0)</f>
        <v/>
      </c>
      <c r="AB71" s="76">
        <f>ROUND(SUM(S71,V71,Y71:Z71,BA71:BB71),2)</f>
        <v/>
      </c>
      <c r="AC71" s="797" t="n"/>
      <c r="AD71" s="192">
        <f t="array" ref="AD71">IFERROR(ROUND((_xlfn.IFS(offer_sale_type="поставка",AB71,offer_sale_type="транзит",S71)*(1+AC71))/E71,2),0)</f>
        <v/>
      </c>
      <c r="AE71" s="76">
        <f>AD71*E71</f>
        <v/>
      </c>
      <c r="AF71" s="193">
        <f t="array" ref="AF71">IFERROR(ROUND(_xlfn.IFS(offer_sale_type="поставка",AB71,offer_sale_type="транзит",S71)*AC71,2),0)</f>
        <v/>
      </c>
      <c r="AG71" s="192">
        <f>$BD71*VLOOKUP($AG$3,$AF$4:$AG$7,2,FALSE)</f>
        <v/>
      </c>
      <c r="AH71" s="76">
        <f>SUM(AE71,AG71,AI71)*rate_forex_risk</f>
        <v/>
      </c>
      <c r="AI71" s="193">
        <f>IF(OR(seller_region="TR",offer_sale_type="экспорт"),0,rate_fin_comm)*SUM(AZ71,AZ71*AW71,T71)</f>
        <v/>
      </c>
      <c r="AJ71" s="118">
        <f>IFERROR(ROUND(SUM(AB71,AF71:AI71)/E71,2),0)</f>
        <v/>
      </c>
      <c r="AK71" s="76">
        <f>AJ71*E71</f>
        <v/>
      </c>
      <c r="AL71" s="174">
        <f>ROUND(IFERROR(AM71*E71,0),2)</f>
        <v/>
      </c>
      <c r="AM71" s="175">
        <f>ROUND(AJ71*(1+IF(offer_incoterms="DDP",IF((TODAY()+offer_turnaround_time)&gt;=helpsheet!$L$17,rate_vatRU_from_26,rate_vatRu_till_25),0)),2)</f>
        <v/>
      </c>
      <c r="AN71" s="192">
        <f>AL71-AK71</f>
        <v/>
      </c>
      <c r="AO71" s="76">
        <f>SUM(AY71,Y71:Z71,T71)*IF(AND(offer_incoterms="DDP",offer_sale_type&lt;&gt;"экспорт"),IF((TODAY()+offer_turnaround_time)&gt;=helpsheet!$L$17,rate_vatRU_from_26,rate_vatRu_till_25),0)</f>
        <v/>
      </c>
      <c r="AP71" s="193">
        <f>AN71-AO71</f>
        <v/>
      </c>
      <c r="AQ71" s="118">
        <f>IF(offer_sale_type="транзит",SUM(AF71:AI71,BA71,BB71),0)</f>
        <v/>
      </c>
      <c r="AR71" s="82">
        <f>HYPERLINK("https://www.alta.ru/tnved/code/")&amp;W71&amp;"/"</f>
        <v/>
      </c>
      <c r="AS71" s="157" t="n"/>
      <c r="AT71" s="162" t="n"/>
      <c r="AU71" s="76">
        <f>IF(ISBLANK(AT71),0,AJ71-AT71)</f>
        <v/>
      </c>
      <c r="AV71" s="157" t="n"/>
      <c r="AW71" s="75">
        <f>_xlfn.IFNA(VLOOKUP(L71,list_vat[],3,FALSE),0)</f>
        <v/>
      </c>
      <c r="AX71" s="76">
        <f>IFERROR(ROUND(S71*(1+AW71)/E71,2),0)</f>
        <v/>
      </c>
      <c r="AY71" s="76">
        <f>E71*AX71</f>
        <v/>
      </c>
      <c r="AZ71" s="192">
        <f>S71*(1+M71)</f>
        <v/>
      </c>
      <c r="BA71" s="76">
        <f>cost_fin_total*$BD71</f>
        <v/>
      </c>
      <c r="BB71" s="193">
        <f>credit_sales_interest*BD71</f>
        <v/>
      </c>
      <c r="BC71" s="102">
        <f>IFERROR(IF($I$13&gt;0,$I71/$I$13,$S71/$S$13),0)</f>
        <v/>
      </c>
      <c r="BD71" s="102">
        <f>IFERROR($S71/$S$13,0)</f>
        <v/>
      </c>
      <c r="BE71" s="413" t="inlineStr">
        <is>
          <t>$</t>
        </is>
      </c>
    </row>
    <row r="72" ht="12" customFormat="1" customHeight="1" s="65">
      <c r="A72" s="43" t="n">
        <v>57</v>
      </c>
      <c r="B72" s="166" t="n"/>
      <c r="C72" s="166" t="n"/>
      <c r="D72" s="166" t="n"/>
      <c r="E72" s="162" t="n"/>
      <c r="F72" s="166" t="n"/>
      <c r="G72" s="162" t="n"/>
      <c r="H72" s="162" t="n"/>
      <c r="I72" s="189">
        <f>E72*G72</f>
        <v/>
      </c>
      <c r="J72" s="195" t="n"/>
      <c r="K72" s="162" t="n"/>
      <c r="L72" s="168" t="n"/>
      <c r="M72" s="75">
        <f>_xlfn.XLOOKUP(L72,list_vat[Страна],list_vat[Ставка НДС %],0,0)</f>
        <v/>
      </c>
      <c r="N72" s="162">
        <f>IFERROR(IF(L72="Китай",K72,K72/(1+M72)),0)</f>
        <v/>
      </c>
      <c r="O72" s="169" t="n"/>
      <c r="P72" s="76">
        <f>N72*(1-O72)</f>
        <v/>
      </c>
      <c r="Q72" s="162" t="n"/>
      <c r="R72" s="162">
        <f>IF(ISBLANK(Q72),"введи курс",P72/Q72)</f>
        <v/>
      </c>
      <c r="S72" s="196">
        <f>IF(AND(ISNUMBER(E72),ISNUMBER(Q72)),E72*R72,0)</f>
        <v/>
      </c>
      <c r="T72" s="192">
        <f>$BC72*V$11</f>
        <v/>
      </c>
      <c r="U72" s="76">
        <f>$BC72*W$11</f>
        <v/>
      </c>
      <c r="V72" s="193">
        <f>+SUM(T72:U72)</f>
        <v/>
      </c>
      <c r="W72" s="191" t="n"/>
      <c r="X72" s="170" t="n"/>
      <c r="Y72" s="76">
        <f>ROUND(IF(offer_incoterms="DDP",X72*(S72*(1+AW72)+T72),0),2)</f>
        <v/>
      </c>
      <c r="Z72" s="188" t="n"/>
      <c r="AA72" s="192">
        <f>IFERROR(AB72/E72,0)</f>
        <v/>
      </c>
      <c r="AB72" s="76">
        <f>ROUND(SUM(S72,V72,Y72:Z72,BA72:BB72),2)</f>
        <v/>
      </c>
      <c r="AC72" s="797" t="n"/>
      <c r="AD72" s="192">
        <f t="array" ref="AD72">IFERROR(ROUND((_xlfn.IFS(offer_sale_type="поставка",AB72,offer_sale_type="транзит",S72)*(1+AC72))/E72,2),0)</f>
        <v/>
      </c>
      <c r="AE72" s="76">
        <f>AD72*E72</f>
        <v/>
      </c>
      <c r="AF72" s="193">
        <f t="array" ref="AF72">IFERROR(ROUND(_xlfn.IFS(offer_sale_type="поставка",AB72,offer_sale_type="транзит",S72)*AC72,2),0)</f>
        <v/>
      </c>
      <c r="AG72" s="192">
        <f>$BD72*VLOOKUP($AG$3,$AF$4:$AG$7,2,FALSE)</f>
        <v/>
      </c>
      <c r="AH72" s="76">
        <f>SUM(AE72,AG72,AI72)*rate_forex_risk</f>
        <v/>
      </c>
      <c r="AI72" s="193">
        <f>IF(OR(seller_region="TR",offer_sale_type="экспорт"),0,rate_fin_comm)*SUM(AZ72,AZ72*AW72,T72)</f>
        <v/>
      </c>
      <c r="AJ72" s="118">
        <f>IFERROR(ROUND(SUM(AB72,AF72:AI72)/E72,2),0)</f>
        <v/>
      </c>
      <c r="AK72" s="76">
        <f>AJ72*E72</f>
        <v/>
      </c>
      <c r="AL72" s="174">
        <f>ROUND(IFERROR(AM72*E72,0),2)</f>
        <v/>
      </c>
      <c r="AM72" s="175">
        <f>ROUND(AJ72*(1+IF(offer_incoterms="DDP",IF((TODAY()+offer_turnaround_time)&gt;=helpsheet!$L$17,rate_vatRU_from_26,rate_vatRu_till_25),0)),2)</f>
        <v/>
      </c>
      <c r="AN72" s="192">
        <f>AL72-AK72</f>
        <v/>
      </c>
      <c r="AO72" s="76">
        <f>SUM(AY72,Y72:Z72,T72)*IF(AND(offer_incoterms="DDP",offer_sale_type&lt;&gt;"экспорт"),IF((TODAY()+offer_turnaround_time)&gt;=helpsheet!$L$17,rate_vatRU_from_26,rate_vatRu_till_25),0)</f>
        <v/>
      </c>
      <c r="AP72" s="193">
        <f>AN72-AO72</f>
        <v/>
      </c>
      <c r="AQ72" s="118">
        <f>IF(offer_sale_type="транзит",SUM(AF72:AI72,BA72,BB72),0)</f>
        <v/>
      </c>
      <c r="AR72" s="82">
        <f>HYPERLINK("https://www.alta.ru/tnved/code/")&amp;W72&amp;"/"</f>
        <v/>
      </c>
      <c r="AS72" s="157" t="n"/>
      <c r="AT72" s="162" t="n"/>
      <c r="AU72" s="76">
        <f>IF(ISBLANK(AT72),0,AJ72-AT72)</f>
        <v/>
      </c>
      <c r="AV72" s="157" t="n"/>
      <c r="AW72" s="75">
        <f>_xlfn.IFNA(VLOOKUP(L72,list_vat[],3,FALSE),0)</f>
        <v/>
      </c>
      <c r="AX72" s="76">
        <f>IFERROR(ROUND(S72*(1+AW72)/E72,2),0)</f>
        <v/>
      </c>
      <c r="AY72" s="76">
        <f>E72*AX72</f>
        <v/>
      </c>
      <c r="AZ72" s="192">
        <f>S72*(1+M72)</f>
        <v/>
      </c>
      <c r="BA72" s="76">
        <f>cost_fin_total*$BD72</f>
        <v/>
      </c>
      <c r="BB72" s="193">
        <f>credit_sales_interest*BD72</f>
        <v/>
      </c>
      <c r="BC72" s="102">
        <f>IFERROR(IF($I$13&gt;0,$I72/$I$13,$S72/$S$13),0)</f>
        <v/>
      </c>
      <c r="BD72" s="102">
        <f>IFERROR($S72/$S$13,0)</f>
        <v/>
      </c>
      <c r="BE72" s="413" t="inlineStr">
        <is>
          <t>$</t>
        </is>
      </c>
    </row>
    <row r="73" ht="12" customFormat="1" customHeight="1" s="65">
      <c r="A73" s="43" t="n">
        <v>58</v>
      </c>
      <c r="B73" s="166" t="n"/>
      <c r="C73" s="166" t="n"/>
      <c r="D73" s="166" t="n"/>
      <c r="E73" s="162" t="n"/>
      <c r="F73" s="166" t="n"/>
      <c r="G73" s="162" t="n"/>
      <c r="H73" s="162" t="n"/>
      <c r="I73" s="189">
        <f>E73*G73</f>
        <v/>
      </c>
      <c r="J73" s="195" t="n"/>
      <c r="K73" s="162" t="n"/>
      <c r="L73" s="168" t="n"/>
      <c r="M73" s="75">
        <f>_xlfn.XLOOKUP(L73,list_vat[Страна],list_vat[Ставка НДС %],0,0)</f>
        <v/>
      </c>
      <c r="N73" s="162">
        <f>IFERROR(IF(L73="Китай",K73,K73/(1+M73)),0)</f>
        <v/>
      </c>
      <c r="O73" s="169" t="n"/>
      <c r="P73" s="76">
        <f>N73*(1-O73)</f>
        <v/>
      </c>
      <c r="Q73" s="162" t="n"/>
      <c r="R73" s="162">
        <f>IF(ISBLANK(Q73),"введи курс",P73/Q73)</f>
        <v/>
      </c>
      <c r="S73" s="196">
        <f>IF(AND(ISNUMBER(E73),ISNUMBER(Q73)),E73*R73,0)</f>
        <v/>
      </c>
      <c r="T73" s="192">
        <f>$BC73*V$11</f>
        <v/>
      </c>
      <c r="U73" s="76">
        <f>$BC73*W$11</f>
        <v/>
      </c>
      <c r="V73" s="193">
        <f>+SUM(T73:U73)</f>
        <v/>
      </c>
      <c r="W73" s="191" t="n"/>
      <c r="X73" s="170" t="n"/>
      <c r="Y73" s="76">
        <f>ROUND(IF(offer_incoterms="DDP",X73*(S73*(1+AW73)+T73),0),2)</f>
        <v/>
      </c>
      <c r="Z73" s="188" t="n"/>
      <c r="AA73" s="192">
        <f>IFERROR(AB73/E73,0)</f>
        <v/>
      </c>
      <c r="AB73" s="76">
        <f>ROUND(SUM(S73,V73,Y73:Z73,BA73:BB73),2)</f>
        <v/>
      </c>
      <c r="AC73" s="797" t="n"/>
      <c r="AD73" s="192">
        <f t="array" ref="AD73">IFERROR(ROUND((_xlfn.IFS(offer_sale_type="поставка",AB73,offer_sale_type="транзит",S73)*(1+AC73))/E73,2),0)</f>
        <v/>
      </c>
      <c r="AE73" s="76">
        <f>AD73*E73</f>
        <v/>
      </c>
      <c r="AF73" s="193">
        <f t="array" ref="AF73">IFERROR(ROUND(_xlfn.IFS(offer_sale_type="поставка",AB73,offer_sale_type="транзит",S73)*AC73,2),0)</f>
        <v/>
      </c>
      <c r="AG73" s="192">
        <f>$BD73*VLOOKUP($AG$3,$AF$4:$AG$7,2,FALSE)</f>
        <v/>
      </c>
      <c r="AH73" s="76">
        <f>SUM(AE73,AG73,AI73)*rate_forex_risk</f>
        <v/>
      </c>
      <c r="AI73" s="193">
        <f>IF(OR(seller_region="TR",offer_sale_type="экспорт"),0,rate_fin_comm)*SUM(AZ73,AZ73*AW73,T73)</f>
        <v/>
      </c>
      <c r="AJ73" s="118">
        <f>IFERROR(ROUND(SUM(AB73,AF73:AI73)/E73,2),0)</f>
        <v/>
      </c>
      <c r="AK73" s="76">
        <f>AJ73*E73</f>
        <v/>
      </c>
      <c r="AL73" s="174">
        <f>ROUND(IFERROR(AM73*E73,0),2)</f>
        <v/>
      </c>
      <c r="AM73" s="175">
        <f>ROUND(AJ73*(1+IF(offer_incoterms="DDP",IF((TODAY()+offer_turnaround_time)&gt;=helpsheet!$L$17,rate_vatRU_from_26,rate_vatRu_till_25),0)),2)</f>
        <v/>
      </c>
      <c r="AN73" s="192">
        <f>AL73-AK73</f>
        <v/>
      </c>
      <c r="AO73" s="76">
        <f>SUM(AY73,Y73:Z73,T73)*IF(AND(offer_incoterms="DDP",offer_sale_type&lt;&gt;"экспорт"),IF((TODAY()+offer_turnaround_time)&gt;=helpsheet!$L$17,rate_vatRU_from_26,rate_vatRu_till_25),0)</f>
        <v/>
      </c>
      <c r="AP73" s="193">
        <f>AN73-AO73</f>
        <v/>
      </c>
      <c r="AQ73" s="118">
        <f>IF(offer_sale_type="транзит",SUM(AF73:AI73,BA73,BB73),0)</f>
        <v/>
      </c>
      <c r="AR73" s="82">
        <f>HYPERLINK("https://www.alta.ru/tnved/code/")&amp;W73&amp;"/"</f>
        <v/>
      </c>
      <c r="AS73" s="157" t="n"/>
      <c r="AT73" s="162" t="n"/>
      <c r="AU73" s="76">
        <f>IF(ISBLANK(AT73),0,AJ73-AT73)</f>
        <v/>
      </c>
      <c r="AV73" s="157" t="n"/>
      <c r="AW73" s="75">
        <f>_xlfn.IFNA(VLOOKUP(L73,list_vat[],3,FALSE),0)</f>
        <v/>
      </c>
      <c r="AX73" s="76">
        <f>IFERROR(ROUND(S73*(1+AW73)/E73,2),0)</f>
        <v/>
      </c>
      <c r="AY73" s="76">
        <f>E73*AX73</f>
        <v/>
      </c>
      <c r="AZ73" s="192">
        <f>S73*(1+M73)</f>
        <v/>
      </c>
      <c r="BA73" s="76">
        <f>cost_fin_total*$BD73</f>
        <v/>
      </c>
      <c r="BB73" s="193">
        <f>credit_sales_interest*BD73</f>
        <v/>
      </c>
      <c r="BC73" s="102">
        <f>IFERROR(IF($I$13&gt;0,$I73/$I$13,$S73/$S$13),0)</f>
        <v/>
      </c>
      <c r="BD73" s="102">
        <f>IFERROR($S73/$S$13,0)</f>
        <v/>
      </c>
      <c r="BE73" s="413" t="inlineStr">
        <is>
          <t>$</t>
        </is>
      </c>
    </row>
    <row r="74" ht="12" customFormat="1" customHeight="1" s="65">
      <c r="A74" s="43" t="n">
        <v>59</v>
      </c>
      <c r="B74" s="166" t="n"/>
      <c r="C74" s="166" t="n"/>
      <c r="D74" s="166" t="n"/>
      <c r="E74" s="162" t="n"/>
      <c r="F74" s="166" t="n"/>
      <c r="G74" s="162" t="n"/>
      <c r="H74" s="162" t="n"/>
      <c r="I74" s="189">
        <f>E74*G74</f>
        <v/>
      </c>
      <c r="J74" s="195" t="n"/>
      <c r="K74" s="162" t="n"/>
      <c r="L74" s="168" t="n"/>
      <c r="M74" s="75">
        <f>_xlfn.XLOOKUP(L74,list_vat[Страна],list_vat[Ставка НДС %],0,0)</f>
        <v/>
      </c>
      <c r="N74" s="162">
        <f>IFERROR(IF(L74="Китай",K74,K74/(1+M74)),0)</f>
        <v/>
      </c>
      <c r="O74" s="169" t="n"/>
      <c r="P74" s="76">
        <f>N74*(1-O74)</f>
        <v/>
      </c>
      <c r="Q74" s="162" t="n"/>
      <c r="R74" s="162">
        <f>IF(ISBLANK(Q74),"введи курс",P74/Q74)</f>
        <v/>
      </c>
      <c r="S74" s="196">
        <f>IF(AND(ISNUMBER(E74),ISNUMBER(Q74)),E74*R74,0)</f>
        <v/>
      </c>
      <c r="T74" s="192">
        <f>$BC74*V$11</f>
        <v/>
      </c>
      <c r="U74" s="76">
        <f>$BC74*W$11</f>
        <v/>
      </c>
      <c r="V74" s="193">
        <f>+SUM(T74:U74)</f>
        <v/>
      </c>
      <c r="W74" s="191" t="n"/>
      <c r="X74" s="170" t="n"/>
      <c r="Y74" s="76">
        <f>ROUND(IF(offer_incoterms="DDP",X74*(S74*(1+AW74)+T74),0),2)</f>
        <v/>
      </c>
      <c r="Z74" s="188" t="n"/>
      <c r="AA74" s="192">
        <f>IFERROR(AB74/E74,0)</f>
        <v/>
      </c>
      <c r="AB74" s="76">
        <f>ROUND(SUM(S74,V74,Y74:Z74,BA74:BB74),2)</f>
        <v/>
      </c>
      <c r="AC74" s="797" t="n"/>
      <c r="AD74" s="192">
        <f t="array" ref="AD74">IFERROR(ROUND((_xlfn.IFS(offer_sale_type="поставка",AB74,offer_sale_type="транзит",S74)*(1+AC74))/E74,2),0)</f>
        <v/>
      </c>
      <c r="AE74" s="76">
        <f>AD74*E74</f>
        <v/>
      </c>
      <c r="AF74" s="193">
        <f t="array" ref="AF74">IFERROR(ROUND(_xlfn.IFS(offer_sale_type="поставка",AB74,offer_sale_type="транзит",S74)*AC74,2),0)</f>
        <v/>
      </c>
      <c r="AG74" s="192">
        <f>$BD74*VLOOKUP($AG$3,$AF$4:$AG$7,2,FALSE)</f>
        <v/>
      </c>
      <c r="AH74" s="76">
        <f>SUM(AE74,AG74,AI74)*rate_forex_risk</f>
        <v/>
      </c>
      <c r="AI74" s="193">
        <f>IF(OR(seller_region="TR",offer_sale_type="экспорт"),0,rate_fin_comm)*SUM(AZ74,AZ74*AW74,T74)</f>
        <v/>
      </c>
      <c r="AJ74" s="118">
        <f>IFERROR(ROUND(SUM(AB74,AF74:AI74)/E74,2),0)</f>
        <v/>
      </c>
      <c r="AK74" s="76">
        <f>AJ74*E74</f>
        <v/>
      </c>
      <c r="AL74" s="174">
        <f>ROUND(IFERROR(AM74*E74,0),2)</f>
        <v/>
      </c>
      <c r="AM74" s="175">
        <f>ROUND(AJ74*(1+IF(offer_incoterms="DDP",IF((TODAY()+offer_turnaround_time)&gt;=helpsheet!$L$17,rate_vatRU_from_26,rate_vatRu_till_25),0)),2)</f>
        <v/>
      </c>
      <c r="AN74" s="192">
        <f>AL74-AK74</f>
        <v/>
      </c>
      <c r="AO74" s="76">
        <f>SUM(AY74,Y74:Z74,T74)*IF(AND(offer_incoterms="DDP",offer_sale_type&lt;&gt;"экспорт"),IF((TODAY()+offer_turnaround_time)&gt;=helpsheet!$L$17,rate_vatRU_from_26,rate_vatRu_till_25),0)</f>
        <v/>
      </c>
      <c r="AP74" s="193">
        <f>AN74-AO74</f>
        <v/>
      </c>
      <c r="AQ74" s="118">
        <f>IF(offer_sale_type="транзит",SUM(AF74:AI74,BA74,BB74),0)</f>
        <v/>
      </c>
      <c r="AR74" s="82">
        <f>HYPERLINK("https://www.alta.ru/tnved/code/")&amp;W74&amp;"/"</f>
        <v/>
      </c>
      <c r="AS74" s="157" t="n"/>
      <c r="AT74" s="162" t="n"/>
      <c r="AU74" s="76">
        <f>IF(ISBLANK(AT74),0,AJ74-AT74)</f>
        <v/>
      </c>
      <c r="AV74" s="157" t="n"/>
      <c r="AW74" s="75">
        <f>_xlfn.IFNA(VLOOKUP(L74,list_vat[],3,FALSE),0)</f>
        <v/>
      </c>
      <c r="AX74" s="76">
        <f>IFERROR(ROUND(S74*(1+AW74)/E74,2),0)</f>
        <v/>
      </c>
      <c r="AY74" s="76">
        <f>E74*AX74</f>
        <v/>
      </c>
      <c r="AZ74" s="192">
        <f>S74*(1+M74)</f>
        <v/>
      </c>
      <c r="BA74" s="76">
        <f>cost_fin_total*$BD74</f>
        <v/>
      </c>
      <c r="BB74" s="193">
        <f>credit_sales_interest*BD74</f>
        <v/>
      </c>
      <c r="BC74" s="102">
        <f>IFERROR(IF($I$13&gt;0,$I74/$I$13,$S74/$S$13),0)</f>
        <v/>
      </c>
      <c r="BD74" s="102">
        <f>IFERROR($S74/$S$13,0)</f>
        <v/>
      </c>
      <c r="BE74" s="413" t="inlineStr">
        <is>
          <t>$</t>
        </is>
      </c>
    </row>
    <row r="75" ht="12" customFormat="1" customHeight="1" s="65">
      <c r="A75" s="43" t="n">
        <v>60</v>
      </c>
      <c r="B75" s="166" t="n"/>
      <c r="C75" s="166" t="n"/>
      <c r="D75" s="166" t="n"/>
      <c r="E75" s="162" t="n"/>
      <c r="F75" s="166" t="n"/>
      <c r="G75" s="162" t="n"/>
      <c r="H75" s="162" t="n"/>
      <c r="I75" s="189">
        <f>E75*G75</f>
        <v/>
      </c>
      <c r="J75" s="195" t="n"/>
      <c r="K75" s="162" t="n"/>
      <c r="L75" s="168" t="n"/>
      <c r="M75" s="75">
        <f>_xlfn.XLOOKUP(L75,list_vat[Страна],list_vat[Ставка НДС %],0,0)</f>
        <v/>
      </c>
      <c r="N75" s="162">
        <f>IFERROR(IF(L75="Китай",K75,K75/(1+M75)),0)</f>
        <v/>
      </c>
      <c r="O75" s="169" t="n"/>
      <c r="P75" s="76">
        <f>N75*(1-O75)</f>
        <v/>
      </c>
      <c r="Q75" s="162" t="n"/>
      <c r="R75" s="162">
        <f>IF(ISBLANK(Q75),"введи курс",P75/Q75)</f>
        <v/>
      </c>
      <c r="S75" s="196">
        <f>IF(AND(ISNUMBER(E75),ISNUMBER(Q75)),E75*R75,0)</f>
        <v/>
      </c>
      <c r="T75" s="192">
        <f>$BC75*V$11</f>
        <v/>
      </c>
      <c r="U75" s="76">
        <f>$BC75*W$11</f>
        <v/>
      </c>
      <c r="V75" s="193">
        <f>+SUM(T75:U75)</f>
        <v/>
      </c>
      <c r="W75" s="191" t="n"/>
      <c r="X75" s="170" t="n"/>
      <c r="Y75" s="76">
        <f>ROUND(IF(offer_incoterms="DDP",X75*(S75*(1+AW75)+T75),0),2)</f>
        <v/>
      </c>
      <c r="Z75" s="188" t="n"/>
      <c r="AA75" s="192">
        <f>IFERROR(AB75/E75,0)</f>
        <v/>
      </c>
      <c r="AB75" s="76">
        <f>ROUND(SUM(S75,V75,Y75:Z75,BA75:BB75),2)</f>
        <v/>
      </c>
      <c r="AC75" s="797" t="n"/>
      <c r="AD75" s="192">
        <f t="array" ref="AD75">IFERROR(ROUND((_xlfn.IFS(offer_sale_type="поставка",AB75,offer_sale_type="транзит",S75)*(1+AC75))/E75,2),0)</f>
        <v/>
      </c>
      <c r="AE75" s="76">
        <f>AD75*E75</f>
        <v/>
      </c>
      <c r="AF75" s="193">
        <f t="array" ref="AF75">IFERROR(ROUND(_xlfn.IFS(offer_sale_type="поставка",AB75,offer_sale_type="транзит",S75)*AC75,2),0)</f>
        <v/>
      </c>
      <c r="AG75" s="192">
        <f>$BD75*VLOOKUP($AG$3,$AF$4:$AG$7,2,FALSE)</f>
        <v/>
      </c>
      <c r="AH75" s="76">
        <f>SUM(AE75,AG75,AI75)*rate_forex_risk</f>
        <v/>
      </c>
      <c r="AI75" s="193">
        <f>IF(OR(seller_region="TR",offer_sale_type="экспорт"),0,rate_fin_comm)*SUM(AZ75,AZ75*AW75,T75)</f>
        <v/>
      </c>
      <c r="AJ75" s="118">
        <f>IFERROR(ROUND(SUM(AB75,AF75:AI75)/E75,2),0)</f>
        <v/>
      </c>
      <c r="AK75" s="76">
        <f>AJ75*E75</f>
        <v/>
      </c>
      <c r="AL75" s="174">
        <f>ROUND(IFERROR(AM75*E75,0),2)</f>
        <v/>
      </c>
      <c r="AM75" s="175">
        <f>ROUND(AJ75*(1+IF(offer_incoterms="DDP",IF((TODAY()+offer_turnaround_time)&gt;=helpsheet!$L$17,rate_vatRU_from_26,rate_vatRu_till_25),0)),2)</f>
        <v/>
      </c>
      <c r="AN75" s="192">
        <f>AL75-AK75</f>
        <v/>
      </c>
      <c r="AO75" s="76">
        <f>SUM(AY75,Y75:Z75,T75)*IF(AND(offer_incoterms="DDP",offer_sale_type&lt;&gt;"экспорт"),IF((TODAY()+offer_turnaround_time)&gt;=helpsheet!$L$17,rate_vatRU_from_26,rate_vatRu_till_25),0)</f>
        <v/>
      </c>
      <c r="AP75" s="193">
        <f>AN75-AO75</f>
        <v/>
      </c>
      <c r="AQ75" s="118">
        <f>IF(offer_sale_type="транзит",SUM(AF75:AI75,BA75,BB75),0)</f>
        <v/>
      </c>
      <c r="AR75" s="82">
        <f>HYPERLINK("https://www.alta.ru/tnved/code/")&amp;W75&amp;"/"</f>
        <v/>
      </c>
      <c r="AS75" s="157" t="n"/>
      <c r="AT75" s="162" t="n"/>
      <c r="AU75" s="76">
        <f>IF(ISBLANK(AT75),0,AJ75-AT75)</f>
        <v/>
      </c>
      <c r="AV75" s="157" t="n"/>
      <c r="AW75" s="75">
        <f>_xlfn.IFNA(VLOOKUP(L75,list_vat[],3,FALSE),0)</f>
        <v/>
      </c>
      <c r="AX75" s="76">
        <f>IFERROR(ROUND(S75*(1+AW75)/E75,2),0)</f>
        <v/>
      </c>
      <c r="AY75" s="76">
        <f>E75*AX75</f>
        <v/>
      </c>
      <c r="AZ75" s="192">
        <f>S75*(1+M75)</f>
        <v/>
      </c>
      <c r="BA75" s="76">
        <f>cost_fin_total*$BD75</f>
        <v/>
      </c>
      <c r="BB75" s="193">
        <f>credit_sales_interest*BD75</f>
        <v/>
      </c>
      <c r="BC75" s="102">
        <f>IFERROR(IF($I$13&gt;0,$I75/$I$13,$S75/$S$13),0)</f>
        <v/>
      </c>
      <c r="BD75" s="102">
        <f>IFERROR($S75/$S$13,0)</f>
        <v/>
      </c>
      <c r="BE75" s="413" t="inlineStr">
        <is>
          <t>$</t>
        </is>
      </c>
    </row>
    <row r="76" ht="12" customFormat="1" customHeight="1" s="65">
      <c r="A76" s="43" t="n">
        <v>61</v>
      </c>
      <c r="B76" s="166" t="n"/>
      <c r="C76" s="166" t="n"/>
      <c r="D76" s="166" t="n"/>
      <c r="E76" s="162" t="n"/>
      <c r="F76" s="166" t="n"/>
      <c r="G76" s="162" t="n"/>
      <c r="H76" s="162" t="n"/>
      <c r="I76" s="189">
        <f>E76*G76</f>
        <v/>
      </c>
      <c r="J76" s="195" t="n"/>
      <c r="K76" s="162" t="n"/>
      <c r="L76" s="168" t="n"/>
      <c r="M76" s="75">
        <f>_xlfn.XLOOKUP(L76,list_vat[Страна],list_vat[Ставка НДС %],0,0)</f>
        <v/>
      </c>
      <c r="N76" s="162">
        <f>IFERROR(IF(L76="Китай",K76,K76/(1+M76)),0)</f>
        <v/>
      </c>
      <c r="O76" s="169" t="n"/>
      <c r="P76" s="76">
        <f>N76*(1-O76)</f>
        <v/>
      </c>
      <c r="Q76" s="162" t="n"/>
      <c r="R76" s="162">
        <f>IF(ISBLANK(Q76),"введи курс",P76/Q76)</f>
        <v/>
      </c>
      <c r="S76" s="196">
        <f>IF(AND(ISNUMBER(E76),ISNUMBER(Q76)),E76*R76,0)</f>
        <v/>
      </c>
      <c r="T76" s="192">
        <f>$BC76*V$11</f>
        <v/>
      </c>
      <c r="U76" s="76">
        <f>$BC76*W$11</f>
        <v/>
      </c>
      <c r="V76" s="193">
        <f>+SUM(T76:U76)</f>
        <v/>
      </c>
      <c r="W76" s="191" t="n"/>
      <c r="X76" s="170" t="n"/>
      <c r="Y76" s="76">
        <f>ROUND(IF(offer_incoterms="DDP",X76*(S76*(1+AW76)+T76),0),2)</f>
        <v/>
      </c>
      <c r="Z76" s="188" t="n"/>
      <c r="AA76" s="192">
        <f>IFERROR(AB76/E76,0)</f>
        <v/>
      </c>
      <c r="AB76" s="76">
        <f>ROUND(SUM(S76,V76,Y76:Z76,BA76:BB76),2)</f>
        <v/>
      </c>
      <c r="AC76" s="797" t="n"/>
      <c r="AD76" s="192">
        <f t="array" ref="AD76">IFERROR(ROUND((_xlfn.IFS(offer_sale_type="поставка",AB76,offer_sale_type="транзит",S76)*(1+AC76))/E76,2),0)</f>
        <v/>
      </c>
      <c r="AE76" s="76">
        <f>AD76*E76</f>
        <v/>
      </c>
      <c r="AF76" s="193">
        <f t="array" ref="AF76">IFERROR(ROUND(_xlfn.IFS(offer_sale_type="поставка",AB76,offer_sale_type="транзит",S76)*AC76,2),0)</f>
        <v/>
      </c>
      <c r="AG76" s="192">
        <f>$BD76*VLOOKUP($AG$3,$AF$4:$AG$7,2,FALSE)</f>
        <v/>
      </c>
      <c r="AH76" s="76">
        <f>SUM(AE76,AG76,AI76)*rate_forex_risk</f>
        <v/>
      </c>
      <c r="AI76" s="193">
        <f>IF(OR(seller_region="TR",offer_sale_type="экспорт"),0,rate_fin_comm)*SUM(AZ76,AZ76*AW76,T76)</f>
        <v/>
      </c>
      <c r="AJ76" s="118">
        <f>IFERROR(ROUND(SUM(AB76,AF76:AI76)/E76,2),0)</f>
        <v/>
      </c>
      <c r="AK76" s="76">
        <f>AJ76*E76</f>
        <v/>
      </c>
      <c r="AL76" s="174">
        <f>ROUND(IFERROR(AM76*E76,0),2)</f>
        <v/>
      </c>
      <c r="AM76" s="175">
        <f>ROUND(AJ76*(1+IF(offer_incoterms="DDP",IF((TODAY()+offer_turnaround_time)&gt;=helpsheet!$L$17,rate_vatRU_from_26,rate_vatRu_till_25),0)),2)</f>
        <v/>
      </c>
      <c r="AN76" s="192">
        <f>AL76-AK76</f>
        <v/>
      </c>
      <c r="AO76" s="76">
        <f>SUM(AY76,Y76:Z76,T76)*IF(AND(offer_incoterms="DDP",offer_sale_type&lt;&gt;"экспорт"),IF((TODAY()+offer_turnaround_time)&gt;=helpsheet!$L$17,rate_vatRU_from_26,rate_vatRu_till_25),0)</f>
        <v/>
      </c>
      <c r="AP76" s="193">
        <f>AN76-AO76</f>
        <v/>
      </c>
      <c r="AQ76" s="118">
        <f>IF(offer_sale_type="транзит",SUM(AF76:AI76,BA76,BB76),0)</f>
        <v/>
      </c>
      <c r="AR76" s="82">
        <f>HYPERLINK("https://www.alta.ru/tnved/code/")&amp;W76&amp;"/"</f>
        <v/>
      </c>
      <c r="AS76" s="157" t="n"/>
      <c r="AT76" s="162" t="n"/>
      <c r="AU76" s="76">
        <f>IF(ISBLANK(AT76),0,AJ76-AT76)</f>
        <v/>
      </c>
      <c r="AV76" s="157" t="n"/>
      <c r="AW76" s="75">
        <f>_xlfn.IFNA(VLOOKUP(L76,list_vat[],3,FALSE),0)</f>
        <v/>
      </c>
      <c r="AX76" s="76">
        <f>IFERROR(ROUND(S76*(1+AW76)/E76,2),0)</f>
        <v/>
      </c>
      <c r="AY76" s="76">
        <f>E76*AX76</f>
        <v/>
      </c>
      <c r="AZ76" s="192">
        <f>S76*(1+M76)</f>
        <v/>
      </c>
      <c r="BA76" s="76">
        <f>cost_fin_total*$BD76</f>
        <v/>
      </c>
      <c r="BB76" s="193">
        <f>credit_sales_interest*BD76</f>
        <v/>
      </c>
      <c r="BC76" s="102">
        <f>IFERROR(IF($I$13&gt;0,$I76/$I$13,$S76/$S$13),0)</f>
        <v/>
      </c>
      <c r="BD76" s="102">
        <f>IFERROR($S76/$S$13,0)</f>
        <v/>
      </c>
      <c r="BE76" s="413" t="inlineStr">
        <is>
          <t>$</t>
        </is>
      </c>
    </row>
    <row r="77" ht="12" customFormat="1" customHeight="1" s="65">
      <c r="A77" s="43" t="n">
        <v>62</v>
      </c>
      <c r="B77" s="166" t="n"/>
      <c r="C77" s="166" t="n"/>
      <c r="D77" s="166" t="n"/>
      <c r="E77" s="162" t="n"/>
      <c r="F77" s="166" t="n"/>
      <c r="G77" s="162" t="n"/>
      <c r="H77" s="162" t="n"/>
      <c r="I77" s="189">
        <f>E77*G77</f>
        <v/>
      </c>
      <c r="J77" s="195" t="n"/>
      <c r="K77" s="162" t="n"/>
      <c r="L77" s="168" t="n"/>
      <c r="M77" s="75">
        <f>_xlfn.XLOOKUP(L77,list_vat[Страна],list_vat[Ставка НДС %],0,0)</f>
        <v/>
      </c>
      <c r="N77" s="162">
        <f>IFERROR(IF(L77="Китай",K77,K77/(1+M77)),0)</f>
        <v/>
      </c>
      <c r="O77" s="169" t="n"/>
      <c r="P77" s="76">
        <f>N77*(1-O77)</f>
        <v/>
      </c>
      <c r="Q77" s="162" t="n"/>
      <c r="R77" s="162">
        <f>IF(ISBLANK(Q77),"введи курс",P77/Q77)</f>
        <v/>
      </c>
      <c r="S77" s="196">
        <f>IF(AND(ISNUMBER(E77),ISNUMBER(Q77)),E77*R77,0)</f>
        <v/>
      </c>
      <c r="T77" s="192">
        <f>$BC77*V$11</f>
        <v/>
      </c>
      <c r="U77" s="76">
        <f>$BC77*W$11</f>
        <v/>
      </c>
      <c r="V77" s="193">
        <f>+SUM(T77:U77)</f>
        <v/>
      </c>
      <c r="W77" s="191" t="n"/>
      <c r="X77" s="170" t="n"/>
      <c r="Y77" s="76">
        <f>ROUND(IF(offer_incoterms="DDP",X77*(S77*(1+AW77)+T77),0),2)</f>
        <v/>
      </c>
      <c r="Z77" s="188" t="n"/>
      <c r="AA77" s="192">
        <f>IFERROR(AB77/E77,0)</f>
        <v/>
      </c>
      <c r="AB77" s="76">
        <f>ROUND(SUM(S77,V77,Y77:Z77,BA77:BB77),2)</f>
        <v/>
      </c>
      <c r="AC77" s="797" t="n"/>
      <c r="AD77" s="192">
        <f t="array" ref="AD77">IFERROR(ROUND((_xlfn.IFS(offer_sale_type="поставка",AB77,offer_sale_type="транзит",S77)*(1+AC77))/E77,2),0)</f>
        <v/>
      </c>
      <c r="AE77" s="76">
        <f>AD77*E77</f>
        <v/>
      </c>
      <c r="AF77" s="193">
        <f t="array" ref="AF77">IFERROR(ROUND(_xlfn.IFS(offer_sale_type="поставка",AB77,offer_sale_type="транзит",S77)*AC77,2),0)</f>
        <v/>
      </c>
      <c r="AG77" s="192">
        <f>$BD77*VLOOKUP($AG$3,$AF$4:$AG$7,2,FALSE)</f>
        <v/>
      </c>
      <c r="AH77" s="76">
        <f>SUM(AE77,AG77,AI77)*rate_forex_risk</f>
        <v/>
      </c>
      <c r="AI77" s="193">
        <f>IF(OR(seller_region="TR",offer_sale_type="экспорт"),0,rate_fin_comm)*SUM(AZ77,AZ77*AW77,T77)</f>
        <v/>
      </c>
      <c r="AJ77" s="118">
        <f>IFERROR(ROUND(SUM(AB77,AF77:AI77)/E77,2),0)</f>
        <v/>
      </c>
      <c r="AK77" s="76">
        <f>AJ77*E77</f>
        <v/>
      </c>
      <c r="AL77" s="174">
        <f>ROUND(IFERROR(AM77*E77,0),2)</f>
        <v/>
      </c>
      <c r="AM77" s="175">
        <f>ROUND(AJ77*(1+IF(offer_incoterms="DDP",IF((TODAY()+offer_turnaround_time)&gt;=helpsheet!$L$17,rate_vatRU_from_26,rate_vatRu_till_25),0)),2)</f>
        <v/>
      </c>
      <c r="AN77" s="192">
        <f>AL77-AK77</f>
        <v/>
      </c>
      <c r="AO77" s="76">
        <f>SUM(AY77,Y77:Z77,T77)*IF(AND(offer_incoterms="DDP",offer_sale_type&lt;&gt;"экспорт"),IF((TODAY()+offer_turnaround_time)&gt;=helpsheet!$L$17,rate_vatRU_from_26,rate_vatRu_till_25),0)</f>
        <v/>
      </c>
      <c r="AP77" s="193">
        <f>AN77-AO77</f>
        <v/>
      </c>
      <c r="AQ77" s="118">
        <f>IF(offer_sale_type="транзит",SUM(AF77:AI77,BA77,BB77),0)</f>
        <v/>
      </c>
      <c r="AR77" s="82">
        <f>HYPERLINK("https://www.alta.ru/tnved/code/")&amp;W77&amp;"/"</f>
        <v/>
      </c>
      <c r="AS77" s="157" t="n"/>
      <c r="AT77" s="162" t="n"/>
      <c r="AU77" s="76">
        <f>IF(ISBLANK(AT77),0,AJ77-AT77)</f>
        <v/>
      </c>
      <c r="AV77" s="157" t="n"/>
      <c r="AW77" s="75">
        <f>_xlfn.IFNA(VLOOKUP(L77,list_vat[],3,FALSE),0)</f>
        <v/>
      </c>
      <c r="AX77" s="76">
        <f>IFERROR(ROUND(S77*(1+AW77)/E77,2),0)</f>
        <v/>
      </c>
      <c r="AY77" s="76">
        <f>E77*AX77</f>
        <v/>
      </c>
      <c r="AZ77" s="192">
        <f>S77*(1+M77)</f>
        <v/>
      </c>
      <c r="BA77" s="76">
        <f>cost_fin_total*$BD77</f>
        <v/>
      </c>
      <c r="BB77" s="193">
        <f>credit_sales_interest*BD77</f>
        <v/>
      </c>
      <c r="BC77" s="102">
        <f>IFERROR(IF($I$13&gt;0,$I77/$I$13,$S77/$S$13),0)</f>
        <v/>
      </c>
      <c r="BD77" s="102">
        <f>IFERROR($S77/$S$13,0)</f>
        <v/>
      </c>
      <c r="BE77" s="413" t="inlineStr">
        <is>
          <t>$</t>
        </is>
      </c>
    </row>
    <row r="78" ht="12" customFormat="1" customHeight="1" s="65">
      <c r="A78" s="43" t="n">
        <v>63</v>
      </c>
      <c r="B78" s="166" t="n"/>
      <c r="C78" s="166" t="n"/>
      <c r="D78" s="166" t="n"/>
      <c r="E78" s="162" t="n"/>
      <c r="F78" s="166" t="n"/>
      <c r="G78" s="162" t="n"/>
      <c r="H78" s="162" t="n"/>
      <c r="I78" s="189">
        <f>E78*G78</f>
        <v/>
      </c>
      <c r="J78" s="195" t="n"/>
      <c r="K78" s="162" t="n"/>
      <c r="L78" s="168" t="n"/>
      <c r="M78" s="75">
        <f>_xlfn.XLOOKUP(L78,list_vat[Страна],list_vat[Ставка НДС %],0,0)</f>
        <v/>
      </c>
      <c r="N78" s="162">
        <f>IFERROR(IF(L78="Китай",K78,K78/(1+M78)),0)</f>
        <v/>
      </c>
      <c r="O78" s="169" t="n"/>
      <c r="P78" s="76">
        <f>N78*(1-O78)</f>
        <v/>
      </c>
      <c r="Q78" s="162" t="n"/>
      <c r="R78" s="162">
        <f>IF(ISBLANK(Q78),"введи курс",P78/Q78)</f>
        <v/>
      </c>
      <c r="S78" s="196">
        <f>IF(AND(ISNUMBER(E78),ISNUMBER(Q78)),E78*R78,0)</f>
        <v/>
      </c>
      <c r="T78" s="192">
        <f>$BC78*V$11</f>
        <v/>
      </c>
      <c r="U78" s="76">
        <f>$BC78*W$11</f>
        <v/>
      </c>
      <c r="V78" s="193">
        <f>+SUM(T78:U78)</f>
        <v/>
      </c>
      <c r="W78" s="191" t="n"/>
      <c r="X78" s="170" t="n"/>
      <c r="Y78" s="76">
        <f>ROUND(IF(offer_incoterms="DDP",X78*(S78*(1+AW78)+T78),0),2)</f>
        <v/>
      </c>
      <c r="Z78" s="188" t="n"/>
      <c r="AA78" s="192">
        <f>IFERROR(AB78/E78,0)</f>
        <v/>
      </c>
      <c r="AB78" s="76">
        <f>ROUND(SUM(S78,V78,Y78:Z78,BA78:BB78),2)</f>
        <v/>
      </c>
      <c r="AC78" s="797" t="n"/>
      <c r="AD78" s="192">
        <f t="array" ref="AD78">IFERROR(ROUND((_xlfn.IFS(offer_sale_type="поставка",AB78,offer_sale_type="транзит",S78)*(1+AC78))/E78,2),0)</f>
        <v/>
      </c>
      <c r="AE78" s="76">
        <f>AD78*E78</f>
        <v/>
      </c>
      <c r="AF78" s="193">
        <f t="array" ref="AF78">IFERROR(ROUND(_xlfn.IFS(offer_sale_type="поставка",AB78,offer_sale_type="транзит",S78)*AC78,2),0)</f>
        <v/>
      </c>
      <c r="AG78" s="192">
        <f>$BD78*VLOOKUP($AG$3,$AF$4:$AG$7,2,FALSE)</f>
        <v/>
      </c>
      <c r="AH78" s="76">
        <f>SUM(AE78,AG78,AI78)*rate_forex_risk</f>
        <v/>
      </c>
      <c r="AI78" s="193">
        <f>IF(OR(seller_region="TR",offer_sale_type="экспорт"),0,rate_fin_comm)*SUM(AZ78,AZ78*AW78,T78)</f>
        <v/>
      </c>
      <c r="AJ78" s="118">
        <f>IFERROR(ROUND(SUM(AB78,AF78:AI78)/E78,2),0)</f>
        <v/>
      </c>
      <c r="AK78" s="76">
        <f>AJ78*E78</f>
        <v/>
      </c>
      <c r="AL78" s="174">
        <f>ROUND(IFERROR(AM78*E78,0),2)</f>
        <v/>
      </c>
      <c r="AM78" s="175">
        <f>ROUND(AJ78*(1+IF(offer_incoterms="DDP",IF((TODAY()+offer_turnaround_time)&gt;=helpsheet!$L$17,rate_vatRU_from_26,rate_vatRu_till_25),0)),2)</f>
        <v/>
      </c>
      <c r="AN78" s="192">
        <f>AL78-AK78</f>
        <v/>
      </c>
      <c r="AO78" s="76">
        <f>SUM(AY78,Y78:Z78,T78)*IF(AND(offer_incoterms="DDP",offer_sale_type&lt;&gt;"экспорт"),IF((TODAY()+offer_turnaround_time)&gt;=helpsheet!$L$17,rate_vatRU_from_26,rate_vatRu_till_25),0)</f>
        <v/>
      </c>
      <c r="AP78" s="193">
        <f>AN78-AO78</f>
        <v/>
      </c>
      <c r="AQ78" s="118">
        <f>IF(offer_sale_type="транзит",SUM(AF78:AI78,BA78,BB78),0)</f>
        <v/>
      </c>
      <c r="AR78" s="82">
        <f>HYPERLINK("https://www.alta.ru/tnved/code/")&amp;W78&amp;"/"</f>
        <v/>
      </c>
      <c r="AS78" s="157" t="n"/>
      <c r="AT78" s="162" t="n"/>
      <c r="AU78" s="76">
        <f>IF(ISBLANK(AT78),0,AJ78-AT78)</f>
        <v/>
      </c>
      <c r="AV78" s="157" t="n"/>
      <c r="AW78" s="75">
        <f>_xlfn.IFNA(VLOOKUP(L78,list_vat[],3,FALSE),0)</f>
        <v/>
      </c>
      <c r="AX78" s="76">
        <f>IFERROR(ROUND(S78*(1+AW78)/E78,2),0)</f>
        <v/>
      </c>
      <c r="AY78" s="76">
        <f>E78*AX78</f>
        <v/>
      </c>
      <c r="AZ78" s="192">
        <f>S78*(1+M78)</f>
        <v/>
      </c>
      <c r="BA78" s="76">
        <f>cost_fin_total*$BD78</f>
        <v/>
      </c>
      <c r="BB78" s="193">
        <f>credit_sales_interest*BD78</f>
        <v/>
      </c>
      <c r="BC78" s="102">
        <f>IFERROR(IF($I$13&gt;0,$I78/$I$13,$S78/$S$13),0)</f>
        <v/>
      </c>
      <c r="BD78" s="102">
        <f>IFERROR($S78/$S$13,0)</f>
        <v/>
      </c>
      <c r="BE78" s="413" t="inlineStr">
        <is>
          <t>$</t>
        </is>
      </c>
    </row>
    <row r="79" ht="12" customFormat="1" customHeight="1" s="65">
      <c r="A79" s="43" t="n">
        <v>64</v>
      </c>
      <c r="B79" s="166" t="n"/>
      <c r="C79" s="166" t="n"/>
      <c r="D79" s="166" t="n"/>
      <c r="E79" s="162" t="n"/>
      <c r="F79" s="166" t="n"/>
      <c r="G79" s="162" t="n"/>
      <c r="H79" s="162" t="n"/>
      <c r="I79" s="189">
        <f>E79*G79</f>
        <v/>
      </c>
      <c r="J79" s="195" t="n"/>
      <c r="K79" s="162" t="n"/>
      <c r="L79" s="168" t="n"/>
      <c r="M79" s="75">
        <f>_xlfn.XLOOKUP(L79,list_vat[Страна],list_vat[Ставка НДС %],0,0)</f>
        <v/>
      </c>
      <c r="N79" s="162">
        <f>IFERROR(IF(L79="Китай",K79,K79/(1+M79)),0)</f>
        <v/>
      </c>
      <c r="O79" s="169" t="n"/>
      <c r="P79" s="76">
        <f>N79*(1-O79)</f>
        <v/>
      </c>
      <c r="Q79" s="162" t="n"/>
      <c r="R79" s="162">
        <f>IF(ISBLANK(Q79),"введи курс",P79/Q79)</f>
        <v/>
      </c>
      <c r="S79" s="196">
        <f>IF(AND(ISNUMBER(E79),ISNUMBER(Q79)),E79*R79,0)</f>
        <v/>
      </c>
      <c r="T79" s="192">
        <f>$BC79*V$11</f>
        <v/>
      </c>
      <c r="U79" s="76">
        <f>$BC79*W$11</f>
        <v/>
      </c>
      <c r="V79" s="193">
        <f>+SUM(T79:U79)</f>
        <v/>
      </c>
      <c r="W79" s="191" t="n"/>
      <c r="X79" s="170" t="n"/>
      <c r="Y79" s="76">
        <f>ROUND(IF(offer_incoterms="DDP",X79*(S79*(1+AW79)+T79),0),2)</f>
        <v/>
      </c>
      <c r="Z79" s="188" t="n"/>
      <c r="AA79" s="192">
        <f>IFERROR(AB79/E79,0)</f>
        <v/>
      </c>
      <c r="AB79" s="76">
        <f>ROUND(SUM(S79,V79,Y79:Z79,BA79:BB79),2)</f>
        <v/>
      </c>
      <c r="AC79" s="797" t="n"/>
      <c r="AD79" s="192">
        <f t="array" ref="AD79">IFERROR(ROUND((_xlfn.IFS(offer_sale_type="поставка",AB79,offer_sale_type="транзит",S79)*(1+AC79))/E79,2),0)</f>
        <v/>
      </c>
      <c r="AE79" s="76">
        <f>AD79*E79</f>
        <v/>
      </c>
      <c r="AF79" s="193">
        <f t="array" ref="AF79">IFERROR(ROUND(_xlfn.IFS(offer_sale_type="поставка",AB79,offer_sale_type="транзит",S79)*AC79,2),0)</f>
        <v/>
      </c>
      <c r="AG79" s="192">
        <f>$BD79*VLOOKUP($AG$3,$AF$4:$AG$7,2,FALSE)</f>
        <v/>
      </c>
      <c r="AH79" s="76">
        <f>SUM(AE79,AG79,AI79)*rate_forex_risk</f>
        <v/>
      </c>
      <c r="AI79" s="193">
        <f>IF(OR(seller_region="TR",offer_sale_type="экспорт"),0,rate_fin_comm)*SUM(AZ79,AZ79*AW79,T79)</f>
        <v/>
      </c>
      <c r="AJ79" s="118">
        <f>IFERROR(ROUND(SUM(AB79,AF79:AI79)/E79,2),0)</f>
        <v/>
      </c>
      <c r="AK79" s="76">
        <f>AJ79*E79</f>
        <v/>
      </c>
      <c r="AL79" s="174">
        <f>ROUND(IFERROR(AM79*E79,0),2)</f>
        <v/>
      </c>
      <c r="AM79" s="175">
        <f>ROUND(AJ79*(1+IF(offer_incoterms="DDP",IF((TODAY()+offer_turnaround_time)&gt;=helpsheet!$L$17,rate_vatRU_from_26,rate_vatRu_till_25),0)),2)</f>
        <v/>
      </c>
      <c r="AN79" s="192">
        <f>AL79-AK79</f>
        <v/>
      </c>
      <c r="AO79" s="76">
        <f>SUM(AY79,Y79:Z79,T79)*IF(AND(offer_incoterms="DDP",offer_sale_type&lt;&gt;"экспорт"),IF((TODAY()+offer_turnaround_time)&gt;=helpsheet!$L$17,rate_vatRU_from_26,rate_vatRu_till_25),0)</f>
        <v/>
      </c>
      <c r="AP79" s="193">
        <f>AN79-AO79</f>
        <v/>
      </c>
      <c r="AQ79" s="118">
        <f>IF(offer_sale_type="транзит",SUM(AF79:AI79,BA79,BB79),0)</f>
        <v/>
      </c>
      <c r="AR79" s="82">
        <f>HYPERLINK("https://www.alta.ru/tnved/code/")&amp;W79&amp;"/"</f>
        <v/>
      </c>
      <c r="AS79" s="157" t="n"/>
      <c r="AT79" s="162" t="n"/>
      <c r="AU79" s="76">
        <f>IF(ISBLANK(AT79),0,AJ79-AT79)</f>
        <v/>
      </c>
      <c r="AV79" s="157" t="n"/>
      <c r="AW79" s="75">
        <f>_xlfn.IFNA(VLOOKUP(L79,list_vat[],3,FALSE),0)</f>
        <v/>
      </c>
      <c r="AX79" s="76">
        <f>IFERROR(ROUND(S79*(1+AW79)/E79,2),0)</f>
        <v/>
      </c>
      <c r="AY79" s="76">
        <f>E79*AX79</f>
        <v/>
      </c>
      <c r="AZ79" s="192">
        <f>S79*(1+M79)</f>
        <v/>
      </c>
      <c r="BA79" s="76">
        <f>cost_fin_total*$BD79</f>
        <v/>
      </c>
      <c r="BB79" s="193">
        <f>credit_sales_interest*BD79</f>
        <v/>
      </c>
      <c r="BC79" s="102">
        <f>IFERROR(IF($I$13&gt;0,$I79/$I$13,$S79/$S$13),0)</f>
        <v/>
      </c>
      <c r="BD79" s="102">
        <f>IFERROR($S79/$S$13,0)</f>
        <v/>
      </c>
      <c r="BE79" s="413" t="inlineStr">
        <is>
          <t>$</t>
        </is>
      </c>
    </row>
    <row r="80" ht="12" customFormat="1" customHeight="1" s="65">
      <c r="A80" s="43" t="n">
        <v>65</v>
      </c>
      <c r="B80" s="166" t="n"/>
      <c r="C80" s="166" t="n"/>
      <c r="D80" s="166" t="n"/>
      <c r="E80" s="162" t="n"/>
      <c r="F80" s="166" t="n"/>
      <c r="G80" s="162" t="n"/>
      <c r="H80" s="162" t="n"/>
      <c r="I80" s="189">
        <f>E80*G80</f>
        <v/>
      </c>
      <c r="J80" s="195" t="n"/>
      <c r="K80" s="162" t="n"/>
      <c r="L80" s="168" t="n"/>
      <c r="M80" s="75">
        <f>_xlfn.XLOOKUP(L80,list_vat[Страна],list_vat[Ставка НДС %],0,0)</f>
        <v/>
      </c>
      <c r="N80" s="162">
        <f>IFERROR(IF(L80="Китай",K80,K80/(1+M80)),0)</f>
        <v/>
      </c>
      <c r="O80" s="169" t="n"/>
      <c r="P80" s="76">
        <f>N80*(1-O80)</f>
        <v/>
      </c>
      <c r="Q80" s="162" t="n"/>
      <c r="R80" s="162">
        <f>IF(ISBLANK(Q80),"введи курс",P80/Q80)</f>
        <v/>
      </c>
      <c r="S80" s="196">
        <f>IF(AND(ISNUMBER(E80),ISNUMBER(Q80)),E80*R80,0)</f>
        <v/>
      </c>
      <c r="T80" s="192">
        <f>$BC80*V$11</f>
        <v/>
      </c>
      <c r="U80" s="76">
        <f>$BC80*W$11</f>
        <v/>
      </c>
      <c r="V80" s="193">
        <f>+SUM(T80:U80)</f>
        <v/>
      </c>
      <c r="W80" s="191" t="n"/>
      <c r="X80" s="170" t="n"/>
      <c r="Y80" s="76">
        <f>ROUND(IF(offer_incoterms="DDP",X80*(S80*(1+AW80)+T80),0),2)</f>
        <v/>
      </c>
      <c r="Z80" s="188" t="n"/>
      <c r="AA80" s="192">
        <f>IFERROR(AB80/E80,0)</f>
        <v/>
      </c>
      <c r="AB80" s="76">
        <f>ROUND(SUM(S80,V80,Y80:Z80,BA80:BB80),2)</f>
        <v/>
      </c>
      <c r="AC80" s="797" t="n"/>
      <c r="AD80" s="192">
        <f t="array" ref="AD80">IFERROR(ROUND((_xlfn.IFS(offer_sale_type="поставка",AB80,offer_sale_type="транзит",S80)*(1+AC80))/E80,2),0)</f>
        <v/>
      </c>
      <c r="AE80" s="76">
        <f>AD80*E80</f>
        <v/>
      </c>
      <c r="AF80" s="193">
        <f t="array" ref="AF80">IFERROR(ROUND(_xlfn.IFS(offer_sale_type="поставка",AB80,offer_sale_type="транзит",S80)*AC80,2),0)</f>
        <v/>
      </c>
      <c r="AG80" s="192">
        <f>$BD80*VLOOKUP($AG$3,$AF$4:$AG$7,2,FALSE)</f>
        <v/>
      </c>
      <c r="AH80" s="76">
        <f>SUM(AE80,AG80,AI80)*rate_forex_risk</f>
        <v/>
      </c>
      <c r="AI80" s="193">
        <f>IF(OR(seller_region="TR",offer_sale_type="экспорт"),0,rate_fin_comm)*SUM(AZ80,AZ80*AW80,T80)</f>
        <v/>
      </c>
      <c r="AJ80" s="118">
        <f>IFERROR(ROUND(SUM(AB80,AF80:AI80)/E80,2),0)</f>
        <v/>
      </c>
      <c r="AK80" s="76">
        <f>AJ80*E80</f>
        <v/>
      </c>
      <c r="AL80" s="174">
        <f>ROUND(IFERROR(AM80*E80,0),2)</f>
        <v/>
      </c>
      <c r="AM80" s="175">
        <f>ROUND(AJ80*(1+IF(offer_incoterms="DDP",IF((TODAY()+offer_turnaround_time)&gt;=helpsheet!$L$17,rate_vatRU_from_26,rate_vatRu_till_25),0)),2)</f>
        <v/>
      </c>
      <c r="AN80" s="192">
        <f>AL80-AK80</f>
        <v/>
      </c>
      <c r="AO80" s="76">
        <f>SUM(AY80,Y80:Z80,T80)*IF(AND(offer_incoterms="DDP",offer_sale_type&lt;&gt;"экспорт"),IF((TODAY()+offer_turnaround_time)&gt;=helpsheet!$L$17,rate_vatRU_from_26,rate_vatRu_till_25),0)</f>
        <v/>
      </c>
      <c r="AP80" s="193">
        <f>AN80-AO80</f>
        <v/>
      </c>
      <c r="AQ80" s="118">
        <f>IF(offer_sale_type="транзит",SUM(AF80:AI80,BA80,BB80),0)</f>
        <v/>
      </c>
      <c r="AR80" s="82">
        <f>HYPERLINK("https://www.alta.ru/tnved/code/")&amp;W80&amp;"/"</f>
        <v/>
      </c>
      <c r="AS80" s="157" t="n"/>
      <c r="AT80" s="162" t="n"/>
      <c r="AU80" s="76">
        <f>IF(ISBLANK(AT80),0,AJ80-AT80)</f>
        <v/>
      </c>
      <c r="AV80" s="157" t="n"/>
      <c r="AW80" s="75">
        <f>_xlfn.IFNA(VLOOKUP(L80,list_vat[],3,FALSE),0)</f>
        <v/>
      </c>
      <c r="AX80" s="76">
        <f>IFERROR(ROUND(S80*(1+AW80)/E80,2),0)</f>
        <v/>
      </c>
      <c r="AY80" s="76">
        <f>E80*AX80</f>
        <v/>
      </c>
      <c r="AZ80" s="192">
        <f>S80*(1+M80)</f>
        <v/>
      </c>
      <c r="BA80" s="76">
        <f>cost_fin_total*$BD80</f>
        <v/>
      </c>
      <c r="BB80" s="193">
        <f>credit_sales_interest*BD80</f>
        <v/>
      </c>
      <c r="BC80" s="102">
        <f>IFERROR(IF($I$13&gt;0,$I80/$I$13,$S80/$S$13),0)</f>
        <v/>
      </c>
      <c r="BD80" s="102">
        <f>IFERROR($S80/$S$13,0)</f>
        <v/>
      </c>
      <c r="BE80" s="413" t="inlineStr">
        <is>
          <t>$</t>
        </is>
      </c>
    </row>
    <row r="81" ht="12" customFormat="1" customHeight="1" s="65">
      <c r="A81" s="43" t="n">
        <v>66</v>
      </c>
      <c r="B81" s="166" t="n"/>
      <c r="C81" s="166" t="n"/>
      <c r="D81" s="166" t="n"/>
      <c r="E81" s="162" t="n"/>
      <c r="F81" s="166" t="n"/>
      <c r="G81" s="162" t="n"/>
      <c r="H81" s="162" t="n"/>
      <c r="I81" s="189">
        <f>E81*G81</f>
        <v/>
      </c>
      <c r="J81" s="195" t="n"/>
      <c r="K81" s="162" t="n"/>
      <c r="L81" s="168" t="n"/>
      <c r="M81" s="75">
        <f>_xlfn.XLOOKUP(L81,list_vat[Страна],list_vat[Ставка НДС %],0,0)</f>
        <v/>
      </c>
      <c r="N81" s="162">
        <f>IFERROR(IF(L81="Китай",K81,K81/(1+M81)),0)</f>
        <v/>
      </c>
      <c r="O81" s="169" t="n"/>
      <c r="P81" s="76">
        <f>N81*(1-O81)</f>
        <v/>
      </c>
      <c r="Q81" s="162" t="n"/>
      <c r="R81" s="162">
        <f>IF(ISBLANK(Q81),"введи курс",P81/Q81)</f>
        <v/>
      </c>
      <c r="S81" s="196">
        <f>IF(AND(ISNUMBER(E81),ISNUMBER(Q81)),E81*R81,0)</f>
        <v/>
      </c>
      <c r="T81" s="192">
        <f>$BC81*V$11</f>
        <v/>
      </c>
      <c r="U81" s="76">
        <f>$BC81*W$11</f>
        <v/>
      </c>
      <c r="V81" s="193">
        <f>+SUM(T81:U81)</f>
        <v/>
      </c>
      <c r="W81" s="191" t="n"/>
      <c r="X81" s="170" t="n"/>
      <c r="Y81" s="76">
        <f>ROUND(IF(offer_incoterms="DDP",X81*(S81*(1+AW81)+T81),0),2)</f>
        <v/>
      </c>
      <c r="Z81" s="188" t="n"/>
      <c r="AA81" s="192">
        <f>IFERROR(AB81/E81,0)</f>
        <v/>
      </c>
      <c r="AB81" s="76">
        <f>ROUND(SUM(S81,V81,Y81:Z81,BA81:BB81),2)</f>
        <v/>
      </c>
      <c r="AC81" s="797" t="n"/>
      <c r="AD81" s="192">
        <f t="array" ref="AD81">IFERROR(ROUND((_xlfn.IFS(offer_sale_type="поставка",AB81,offer_sale_type="транзит",S81)*(1+AC81))/E81,2),0)</f>
        <v/>
      </c>
      <c r="AE81" s="76">
        <f>AD81*E81</f>
        <v/>
      </c>
      <c r="AF81" s="193">
        <f t="array" ref="AF81">IFERROR(ROUND(_xlfn.IFS(offer_sale_type="поставка",AB81,offer_sale_type="транзит",S81)*AC81,2),0)</f>
        <v/>
      </c>
      <c r="AG81" s="192">
        <f>$BD81*VLOOKUP($AG$3,$AF$4:$AG$7,2,FALSE)</f>
        <v/>
      </c>
      <c r="AH81" s="76">
        <f>SUM(AE81,AG81,AI81)*rate_forex_risk</f>
        <v/>
      </c>
      <c r="AI81" s="193">
        <f>IF(OR(seller_region="TR",offer_sale_type="экспорт"),0,rate_fin_comm)*SUM(AZ81,AZ81*AW81,T81)</f>
        <v/>
      </c>
      <c r="AJ81" s="118">
        <f>IFERROR(ROUND(SUM(AB81,AF81:AI81)/E81,2),0)</f>
        <v/>
      </c>
      <c r="AK81" s="76">
        <f>AJ81*E81</f>
        <v/>
      </c>
      <c r="AL81" s="174">
        <f>ROUND(IFERROR(AM81*E81,0),2)</f>
        <v/>
      </c>
      <c r="AM81" s="175">
        <f>ROUND(AJ81*(1+IF(offer_incoterms="DDP",IF((TODAY()+offer_turnaround_time)&gt;=helpsheet!$L$17,rate_vatRU_from_26,rate_vatRu_till_25),0)),2)</f>
        <v/>
      </c>
      <c r="AN81" s="192">
        <f>AL81-AK81</f>
        <v/>
      </c>
      <c r="AO81" s="76">
        <f>SUM(AY81,Y81:Z81,T81)*IF(AND(offer_incoterms="DDP",offer_sale_type&lt;&gt;"экспорт"),IF((TODAY()+offer_turnaround_time)&gt;=helpsheet!$L$17,rate_vatRU_from_26,rate_vatRu_till_25),0)</f>
        <v/>
      </c>
      <c r="AP81" s="193">
        <f>AN81-AO81</f>
        <v/>
      </c>
      <c r="AQ81" s="118">
        <f>IF(offer_sale_type="транзит",SUM(AF81:AI81,BA81,BB81),0)</f>
        <v/>
      </c>
      <c r="AR81" s="82">
        <f>HYPERLINK("https://www.alta.ru/tnved/code/")&amp;W81&amp;"/"</f>
        <v/>
      </c>
      <c r="AS81" s="157" t="n"/>
      <c r="AT81" s="162" t="n"/>
      <c r="AU81" s="76">
        <f>IF(ISBLANK(AT81),0,AJ81-AT81)</f>
        <v/>
      </c>
      <c r="AV81" s="157" t="n"/>
      <c r="AW81" s="75">
        <f>_xlfn.IFNA(VLOOKUP(L81,list_vat[],3,FALSE),0)</f>
        <v/>
      </c>
      <c r="AX81" s="76">
        <f>IFERROR(ROUND(S81*(1+AW81)/E81,2),0)</f>
        <v/>
      </c>
      <c r="AY81" s="76">
        <f>E81*AX81</f>
        <v/>
      </c>
      <c r="AZ81" s="192">
        <f>S81*(1+M81)</f>
        <v/>
      </c>
      <c r="BA81" s="76">
        <f>cost_fin_total*$BD81</f>
        <v/>
      </c>
      <c r="BB81" s="193">
        <f>credit_sales_interest*BD81</f>
        <v/>
      </c>
      <c r="BC81" s="102">
        <f>IFERROR(IF($I$13&gt;0,$I81/$I$13,$S81/$S$13),0)</f>
        <v/>
      </c>
      <c r="BD81" s="102">
        <f>IFERROR($S81/$S$13,0)</f>
        <v/>
      </c>
      <c r="BE81" s="413" t="inlineStr">
        <is>
          <t>$</t>
        </is>
      </c>
    </row>
    <row r="82" ht="12" customFormat="1" customHeight="1" s="65">
      <c r="A82" s="43" t="n">
        <v>67</v>
      </c>
      <c r="B82" s="166" t="n"/>
      <c r="C82" s="166" t="n"/>
      <c r="D82" s="166" t="n"/>
      <c r="E82" s="162" t="n"/>
      <c r="F82" s="166" t="n"/>
      <c r="G82" s="162" t="n"/>
      <c r="H82" s="162" t="n"/>
      <c r="I82" s="189">
        <f>E82*G82</f>
        <v/>
      </c>
      <c r="J82" s="195" t="n"/>
      <c r="K82" s="162" t="n"/>
      <c r="L82" s="168" t="n"/>
      <c r="M82" s="75">
        <f>_xlfn.XLOOKUP(L82,list_vat[Страна],list_vat[Ставка НДС %],0,0)</f>
        <v/>
      </c>
      <c r="N82" s="162">
        <f>IFERROR(IF(L82="Китай",K82,K82/(1+M82)),0)</f>
        <v/>
      </c>
      <c r="O82" s="169" t="n"/>
      <c r="P82" s="76">
        <f>N82*(1-O82)</f>
        <v/>
      </c>
      <c r="Q82" s="162" t="n"/>
      <c r="R82" s="162">
        <f>IF(ISBLANK(Q82),"введи курс",P82/Q82)</f>
        <v/>
      </c>
      <c r="S82" s="196">
        <f>IF(AND(ISNUMBER(E82),ISNUMBER(Q82)),E82*R82,0)</f>
        <v/>
      </c>
      <c r="T82" s="192">
        <f>$BC82*V$11</f>
        <v/>
      </c>
      <c r="U82" s="76">
        <f>$BC82*W$11</f>
        <v/>
      </c>
      <c r="V82" s="193">
        <f>+SUM(T82:U82)</f>
        <v/>
      </c>
      <c r="W82" s="191" t="n"/>
      <c r="X82" s="170" t="n"/>
      <c r="Y82" s="76">
        <f>ROUND(IF(offer_incoterms="DDP",X82*(S82*(1+AW82)+T82),0),2)</f>
        <v/>
      </c>
      <c r="Z82" s="188" t="n"/>
      <c r="AA82" s="192">
        <f>IFERROR(AB82/E82,0)</f>
        <v/>
      </c>
      <c r="AB82" s="76">
        <f>ROUND(SUM(S82,V82,Y82:Z82,BA82:BB82),2)</f>
        <v/>
      </c>
      <c r="AC82" s="797" t="n"/>
      <c r="AD82" s="192">
        <f t="array" ref="AD82">IFERROR(ROUND((_xlfn.IFS(offer_sale_type="поставка",AB82,offer_sale_type="транзит",S82)*(1+AC82))/E82,2),0)</f>
        <v/>
      </c>
      <c r="AE82" s="76">
        <f>AD82*E82</f>
        <v/>
      </c>
      <c r="AF82" s="193">
        <f t="array" ref="AF82">IFERROR(ROUND(_xlfn.IFS(offer_sale_type="поставка",AB82,offer_sale_type="транзит",S82)*AC82,2),0)</f>
        <v/>
      </c>
      <c r="AG82" s="192">
        <f>$BD82*VLOOKUP($AG$3,$AF$4:$AG$7,2,FALSE)</f>
        <v/>
      </c>
      <c r="AH82" s="76">
        <f>SUM(AE82,AG82,AI82)*rate_forex_risk</f>
        <v/>
      </c>
      <c r="AI82" s="193">
        <f>IF(OR(seller_region="TR",offer_sale_type="экспорт"),0,rate_fin_comm)*SUM(AZ82,AZ82*AW82,T82)</f>
        <v/>
      </c>
      <c r="AJ82" s="118">
        <f>IFERROR(ROUND(SUM(AB82,AF82:AI82)/E82,2),0)</f>
        <v/>
      </c>
      <c r="AK82" s="76">
        <f>AJ82*E82</f>
        <v/>
      </c>
      <c r="AL82" s="174">
        <f>ROUND(IFERROR(AM82*E82,0),2)</f>
        <v/>
      </c>
      <c r="AM82" s="175">
        <f>ROUND(AJ82*(1+IF(offer_incoterms="DDP",IF((TODAY()+offer_turnaround_time)&gt;=helpsheet!$L$17,rate_vatRU_from_26,rate_vatRu_till_25),0)),2)</f>
        <v/>
      </c>
      <c r="AN82" s="192">
        <f>AL82-AK82</f>
        <v/>
      </c>
      <c r="AO82" s="76">
        <f>SUM(AY82,Y82:Z82,T82)*IF(AND(offer_incoterms="DDP",offer_sale_type&lt;&gt;"экспорт"),IF((TODAY()+offer_turnaround_time)&gt;=helpsheet!$L$17,rate_vatRU_from_26,rate_vatRu_till_25),0)</f>
        <v/>
      </c>
      <c r="AP82" s="193">
        <f>AN82-AO82</f>
        <v/>
      </c>
      <c r="AQ82" s="118">
        <f>IF(offer_sale_type="транзит",SUM(AF82:AI82,BA82,BB82),0)</f>
        <v/>
      </c>
      <c r="AR82" s="82">
        <f>HYPERLINK("https://www.alta.ru/tnved/code/")&amp;W82&amp;"/"</f>
        <v/>
      </c>
      <c r="AS82" s="157" t="n"/>
      <c r="AT82" s="162" t="n"/>
      <c r="AU82" s="76">
        <f>IF(ISBLANK(AT82),0,AJ82-AT82)</f>
        <v/>
      </c>
      <c r="AV82" s="157" t="n"/>
      <c r="AW82" s="75">
        <f>_xlfn.IFNA(VLOOKUP(L82,list_vat[],3,FALSE),0)</f>
        <v/>
      </c>
      <c r="AX82" s="76">
        <f>IFERROR(ROUND(S82*(1+AW82)/E82,2),0)</f>
        <v/>
      </c>
      <c r="AY82" s="76">
        <f>E82*AX82</f>
        <v/>
      </c>
      <c r="AZ82" s="192">
        <f>S82*(1+M82)</f>
        <v/>
      </c>
      <c r="BA82" s="76">
        <f>cost_fin_total*$BD82</f>
        <v/>
      </c>
      <c r="BB82" s="193">
        <f>credit_sales_interest*BD82</f>
        <v/>
      </c>
      <c r="BC82" s="102">
        <f>IFERROR(IF($I$13&gt;0,$I82/$I$13,$S82/$S$13),0)</f>
        <v/>
      </c>
      <c r="BD82" s="102">
        <f>IFERROR($S82/$S$13,0)</f>
        <v/>
      </c>
      <c r="BE82" s="413" t="inlineStr">
        <is>
          <t>$</t>
        </is>
      </c>
    </row>
    <row r="83" ht="12" customFormat="1" customHeight="1" s="65">
      <c r="A83" s="43" t="n">
        <v>68</v>
      </c>
      <c r="B83" s="166" t="n"/>
      <c r="C83" s="166" t="n"/>
      <c r="D83" s="166" t="n"/>
      <c r="E83" s="162" t="n"/>
      <c r="F83" s="166" t="n"/>
      <c r="G83" s="162" t="n"/>
      <c r="H83" s="162" t="n"/>
      <c r="I83" s="189">
        <f>E83*G83</f>
        <v/>
      </c>
      <c r="J83" s="195" t="n"/>
      <c r="K83" s="162" t="n"/>
      <c r="L83" s="168" t="n"/>
      <c r="M83" s="75">
        <f>_xlfn.XLOOKUP(L83,list_vat[Страна],list_vat[Ставка НДС %],0,0)</f>
        <v/>
      </c>
      <c r="N83" s="162">
        <f>IFERROR(IF(L83="Китай",K83,K83/(1+M83)),0)</f>
        <v/>
      </c>
      <c r="O83" s="169" t="n"/>
      <c r="P83" s="76">
        <f>N83*(1-O83)</f>
        <v/>
      </c>
      <c r="Q83" s="162" t="n"/>
      <c r="R83" s="162">
        <f>IF(ISBLANK(Q83),"введи курс",P83/Q83)</f>
        <v/>
      </c>
      <c r="S83" s="196">
        <f>IF(AND(ISNUMBER(E83),ISNUMBER(Q83)),E83*R83,0)</f>
        <v/>
      </c>
      <c r="T83" s="192">
        <f>$BC83*V$11</f>
        <v/>
      </c>
      <c r="U83" s="76">
        <f>$BC83*W$11</f>
        <v/>
      </c>
      <c r="V83" s="193">
        <f>+SUM(T83:U83)</f>
        <v/>
      </c>
      <c r="W83" s="191" t="n"/>
      <c r="X83" s="170" t="n"/>
      <c r="Y83" s="76">
        <f>ROUND(IF(offer_incoterms="DDP",X83*(S83*(1+AW83)+T83),0),2)</f>
        <v/>
      </c>
      <c r="Z83" s="188" t="n"/>
      <c r="AA83" s="192">
        <f>IFERROR(AB83/E83,0)</f>
        <v/>
      </c>
      <c r="AB83" s="76">
        <f>ROUND(SUM(S83,V83,Y83:Z83,BA83:BB83),2)</f>
        <v/>
      </c>
      <c r="AC83" s="797" t="n"/>
      <c r="AD83" s="192">
        <f t="array" ref="AD83">IFERROR(ROUND((_xlfn.IFS(offer_sale_type="поставка",AB83,offer_sale_type="транзит",S83)*(1+AC83))/E83,2),0)</f>
        <v/>
      </c>
      <c r="AE83" s="76">
        <f>AD83*E83</f>
        <v/>
      </c>
      <c r="AF83" s="193">
        <f t="array" ref="AF83">IFERROR(ROUND(_xlfn.IFS(offer_sale_type="поставка",AB83,offer_sale_type="транзит",S83)*AC83,2),0)</f>
        <v/>
      </c>
      <c r="AG83" s="192">
        <f>$BD83*VLOOKUP($AG$3,$AF$4:$AG$7,2,FALSE)</f>
        <v/>
      </c>
      <c r="AH83" s="76">
        <f>SUM(AE83,AG83,AI83)*rate_forex_risk</f>
        <v/>
      </c>
      <c r="AI83" s="193">
        <f>IF(OR(seller_region="TR",offer_sale_type="экспорт"),0,rate_fin_comm)*SUM(AZ83,AZ83*AW83,T83)</f>
        <v/>
      </c>
      <c r="AJ83" s="118">
        <f>IFERROR(ROUND(SUM(AB83,AF83:AI83)/E83,2),0)</f>
        <v/>
      </c>
      <c r="AK83" s="76">
        <f>AJ83*E83</f>
        <v/>
      </c>
      <c r="AL83" s="174">
        <f>ROUND(IFERROR(AM83*E83,0),2)</f>
        <v/>
      </c>
      <c r="AM83" s="175">
        <f>ROUND(AJ83*(1+IF(offer_incoterms="DDP",IF((TODAY()+offer_turnaround_time)&gt;=helpsheet!$L$17,rate_vatRU_from_26,rate_vatRu_till_25),0)),2)</f>
        <v/>
      </c>
      <c r="AN83" s="192">
        <f>AL83-AK83</f>
        <v/>
      </c>
      <c r="AO83" s="76">
        <f>SUM(AY83,Y83:Z83,T83)*IF(AND(offer_incoterms="DDP",offer_sale_type&lt;&gt;"экспорт"),IF((TODAY()+offer_turnaround_time)&gt;=helpsheet!$L$17,rate_vatRU_from_26,rate_vatRu_till_25),0)</f>
        <v/>
      </c>
      <c r="AP83" s="193">
        <f>AN83-AO83</f>
        <v/>
      </c>
      <c r="AQ83" s="118">
        <f>IF(offer_sale_type="транзит",SUM(AF83:AI83,BA83,BB83),0)</f>
        <v/>
      </c>
      <c r="AR83" s="82">
        <f>HYPERLINK("https://www.alta.ru/tnved/code/")&amp;W83&amp;"/"</f>
        <v/>
      </c>
      <c r="AS83" s="157" t="n"/>
      <c r="AT83" s="162" t="n"/>
      <c r="AU83" s="76">
        <f>IF(ISBLANK(AT83),0,AJ83-AT83)</f>
        <v/>
      </c>
      <c r="AV83" s="157" t="n"/>
      <c r="AW83" s="75">
        <f>_xlfn.IFNA(VLOOKUP(L83,list_vat[],3,FALSE),0)</f>
        <v/>
      </c>
      <c r="AX83" s="76">
        <f>IFERROR(ROUND(S83*(1+AW83)/E83,2),0)</f>
        <v/>
      </c>
      <c r="AY83" s="76">
        <f>E83*AX83</f>
        <v/>
      </c>
      <c r="AZ83" s="192">
        <f>S83*(1+M83)</f>
        <v/>
      </c>
      <c r="BA83" s="76">
        <f>cost_fin_total*$BD83</f>
        <v/>
      </c>
      <c r="BB83" s="193">
        <f>credit_sales_interest*BD83</f>
        <v/>
      </c>
      <c r="BC83" s="102">
        <f>IFERROR(IF($I$13&gt;0,$I83/$I$13,$S83/$S$13),0)</f>
        <v/>
      </c>
      <c r="BD83" s="102">
        <f>IFERROR($S83/$S$13,0)</f>
        <v/>
      </c>
      <c r="BE83" s="413" t="inlineStr">
        <is>
          <t>$</t>
        </is>
      </c>
    </row>
    <row r="84" ht="12" customFormat="1" customHeight="1" s="65">
      <c r="A84" s="43" t="n">
        <v>69</v>
      </c>
      <c r="B84" s="166" t="n"/>
      <c r="C84" s="166" t="n"/>
      <c r="D84" s="166" t="n"/>
      <c r="E84" s="162" t="n"/>
      <c r="F84" s="166" t="n"/>
      <c r="G84" s="162" t="n"/>
      <c r="H84" s="162" t="n"/>
      <c r="I84" s="189">
        <f>E84*G84</f>
        <v/>
      </c>
      <c r="J84" s="195" t="n"/>
      <c r="K84" s="162" t="n"/>
      <c r="L84" s="168" t="n"/>
      <c r="M84" s="75">
        <f>_xlfn.XLOOKUP(L84,list_vat[Страна],list_vat[Ставка НДС %],0,0)</f>
        <v/>
      </c>
      <c r="N84" s="162">
        <f>IFERROR(IF(L84="Китай",K84,K84/(1+M84)),0)</f>
        <v/>
      </c>
      <c r="O84" s="169" t="n"/>
      <c r="P84" s="76">
        <f>N84*(1-O84)</f>
        <v/>
      </c>
      <c r="Q84" s="162" t="n"/>
      <c r="R84" s="162">
        <f>IF(ISBLANK(Q84),"введи курс",P84/Q84)</f>
        <v/>
      </c>
      <c r="S84" s="196">
        <f>IF(AND(ISNUMBER(E84),ISNUMBER(Q84)),E84*R84,0)</f>
        <v/>
      </c>
      <c r="T84" s="192">
        <f>$BC84*V$11</f>
        <v/>
      </c>
      <c r="U84" s="76">
        <f>$BC84*W$11</f>
        <v/>
      </c>
      <c r="V84" s="193">
        <f>+SUM(T84:U84)</f>
        <v/>
      </c>
      <c r="W84" s="191" t="n"/>
      <c r="X84" s="170" t="n"/>
      <c r="Y84" s="76">
        <f>ROUND(IF(offer_incoterms="DDP",X84*(S84*(1+AW84)+T84),0),2)</f>
        <v/>
      </c>
      <c r="Z84" s="188" t="n"/>
      <c r="AA84" s="192">
        <f>IFERROR(AB84/E84,0)</f>
        <v/>
      </c>
      <c r="AB84" s="76">
        <f>ROUND(SUM(S84,V84,Y84:Z84,BA84:BB84),2)</f>
        <v/>
      </c>
      <c r="AC84" s="797" t="n"/>
      <c r="AD84" s="192">
        <f t="array" ref="AD84">IFERROR(ROUND((_xlfn.IFS(offer_sale_type="поставка",AB84,offer_sale_type="транзит",S84)*(1+AC84))/E84,2),0)</f>
        <v/>
      </c>
      <c r="AE84" s="76">
        <f>AD84*E84</f>
        <v/>
      </c>
      <c r="AF84" s="193">
        <f t="array" ref="AF84">IFERROR(ROUND(_xlfn.IFS(offer_sale_type="поставка",AB84,offer_sale_type="транзит",S84)*AC84,2),0)</f>
        <v/>
      </c>
      <c r="AG84" s="192">
        <f>$BD84*VLOOKUP($AG$3,$AF$4:$AG$7,2,FALSE)</f>
        <v/>
      </c>
      <c r="AH84" s="76">
        <f>SUM(AE84,AG84,AI84)*rate_forex_risk</f>
        <v/>
      </c>
      <c r="AI84" s="193">
        <f>IF(OR(seller_region="TR",offer_sale_type="экспорт"),0,rate_fin_comm)*SUM(AZ84,AZ84*AW84,T84)</f>
        <v/>
      </c>
      <c r="AJ84" s="118">
        <f>IFERROR(ROUND(SUM(AB84,AF84:AI84)/E84,2),0)</f>
        <v/>
      </c>
      <c r="AK84" s="76">
        <f>AJ84*E84</f>
        <v/>
      </c>
      <c r="AL84" s="174">
        <f>ROUND(IFERROR(AM84*E84,0),2)</f>
        <v/>
      </c>
      <c r="AM84" s="175">
        <f>ROUND(AJ84*(1+IF(offer_incoterms="DDP",IF((TODAY()+offer_turnaround_time)&gt;=helpsheet!$L$17,rate_vatRU_from_26,rate_vatRu_till_25),0)),2)</f>
        <v/>
      </c>
      <c r="AN84" s="192">
        <f>AL84-AK84</f>
        <v/>
      </c>
      <c r="AO84" s="76">
        <f>SUM(AY84,Y84:Z84,T84)*IF(AND(offer_incoterms="DDP",offer_sale_type&lt;&gt;"экспорт"),IF((TODAY()+offer_turnaround_time)&gt;=helpsheet!$L$17,rate_vatRU_from_26,rate_vatRu_till_25),0)</f>
        <v/>
      </c>
      <c r="AP84" s="193">
        <f>AN84-AO84</f>
        <v/>
      </c>
      <c r="AQ84" s="118">
        <f>IF(offer_sale_type="транзит",SUM(AF84:AI84,BA84,BB84),0)</f>
        <v/>
      </c>
      <c r="AR84" s="82">
        <f>HYPERLINK("https://www.alta.ru/tnved/code/")&amp;W84&amp;"/"</f>
        <v/>
      </c>
      <c r="AS84" s="157" t="n"/>
      <c r="AT84" s="162" t="n"/>
      <c r="AU84" s="76">
        <f>IF(ISBLANK(AT84),0,AJ84-AT84)</f>
        <v/>
      </c>
      <c r="AV84" s="157" t="n"/>
      <c r="AW84" s="75">
        <f>_xlfn.IFNA(VLOOKUP(L84,list_vat[],3,FALSE),0)</f>
        <v/>
      </c>
      <c r="AX84" s="76">
        <f>IFERROR(ROUND(S84*(1+AW84)/E84,2),0)</f>
        <v/>
      </c>
      <c r="AY84" s="76">
        <f>E84*AX84</f>
        <v/>
      </c>
      <c r="AZ84" s="192">
        <f>S84*(1+M84)</f>
        <v/>
      </c>
      <c r="BA84" s="76">
        <f>cost_fin_total*$BD84</f>
        <v/>
      </c>
      <c r="BB84" s="193">
        <f>credit_sales_interest*BD84</f>
        <v/>
      </c>
      <c r="BC84" s="102">
        <f>IFERROR(IF($I$13&gt;0,$I84/$I$13,$S84/$S$13),0)</f>
        <v/>
      </c>
      <c r="BD84" s="102">
        <f>IFERROR($S84/$S$13,0)</f>
        <v/>
      </c>
      <c r="BE84" s="413" t="inlineStr">
        <is>
          <t>$</t>
        </is>
      </c>
    </row>
    <row r="85" ht="12" customFormat="1" customHeight="1" s="65">
      <c r="A85" s="43" t="n">
        <v>70</v>
      </c>
      <c r="B85" s="166" t="n"/>
      <c r="C85" s="166" t="n"/>
      <c r="D85" s="166" t="n"/>
      <c r="E85" s="162" t="n"/>
      <c r="F85" s="166" t="n"/>
      <c r="G85" s="162" t="n"/>
      <c r="H85" s="162" t="n"/>
      <c r="I85" s="189">
        <f>E85*G85</f>
        <v/>
      </c>
      <c r="J85" s="195" t="n"/>
      <c r="K85" s="162" t="n"/>
      <c r="L85" s="168" t="n"/>
      <c r="M85" s="75">
        <f>_xlfn.XLOOKUP(L85,list_vat[Страна],list_vat[Ставка НДС %],0,0)</f>
        <v/>
      </c>
      <c r="N85" s="162">
        <f>IFERROR(IF(L85="Китай",K85,K85/(1+M85)),0)</f>
        <v/>
      </c>
      <c r="O85" s="169" t="n"/>
      <c r="P85" s="76">
        <f>N85*(1-O85)</f>
        <v/>
      </c>
      <c r="Q85" s="162" t="n"/>
      <c r="R85" s="162">
        <f>IF(ISBLANK(Q85),"введи курс",P85/Q85)</f>
        <v/>
      </c>
      <c r="S85" s="196">
        <f>IF(AND(ISNUMBER(E85),ISNUMBER(Q85)),E85*R85,0)</f>
        <v/>
      </c>
      <c r="T85" s="192">
        <f>$BC85*V$11</f>
        <v/>
      </c>
      <c r="U85" s="76">
        <f>$BC85*W$11</f>
        <v/>
      </c>
      <c r="V85" s="193">
        <f>+SUM(T85:U85)</f>
        <v/>
      </c>
      <c r="W85" s="191" t="n"/>
      <c r="X85" s="170" t="n"/>
      <c r="Y85" s="76">
        <f>ROUND(IF(offer_incoterms="DDP",X85*(S85*(1+AW85)+T85),0),2)</f>
        <v/>
      </c>
      <c r="Z85" s="188" t="n"/>
      <c r="AA85" s="192">
        <f>IFERROR(AB85/E85,0)</f>
        <v/>
      </c>
      <c r="AB85" s="76">
        <f>ROUND(SUM(S85,V85,Y85:Z85,BA85:BB85),2)</f>
        <v/>
      </c>
      <c r="AC85" s="797" t="n"/>
      <c r="AD85" s="192">
        <f t="array" ref="AD85">IFERROR(ROUND((_xlfn.IFS(offer_sale_type="поставка",AB85,offer_sale_type="транзит",S85)*(1+AC85))/E85,2),0)</f>
        <v/>
      </c>
      <c r="AE85" s="76">
        <f>AD85*E85</f>
        <v/>
      </c>
      <c r="AF85" s="193">
        <f t="array" ref="AF85">IFERROR(ROUND(_xlfn.IFS(offer_sale_type="поставка",AB85,offer_sale_type="транзит",S85)*AC85,2),0)</f>
        <v/>
      </c>
      <c r="AG85" s="192">
        <f>$BD85*VLOOKUP($AG$3,$AF$4:$AG$7,2,FALSE)</f>
        <v/>
      </c>
      <c r="AH85" s="76">
        <f>SUM(AE85,AG85,AI85)*rate_forex_risk</f>
        <v/>
      </c>
      <c r="AI85" s="193">
        <f>IF(OR(seller_region="TR",offer_sale_type="экспорт"),0,rate_fin_comm)*SUM(AZ85,AZ85*AW85,T85)</f>
        <v/>
      </c>
      <c r="AJ85" s="118">
        <f>IFERROR(ROUND(SUM(AB85,AF85:AI85)/E85,2),0)</f>
        <v/>
      </c>
      <c r="AK85" s="76">
        <f>AJ85*E85</f>
        <v/>
      </c>
      <c r="AL85" s="174">
        <f>ROUND(IFERROR(AM85*E85,0),2)</f>
        <v/>
      </c>
      <c r="AM85" s="175">
        <f>ROUND(AJ85*(1+IF(offer_incoterms="DDP",IF((TODAY()+offer_turnaround_time)&gt;=helpsheet!$L$17,rate_vatRU_from_26,rate_vatRu_till_25),0)),2)</f>
        <v/>
      </c>
      <c r="AN85" s="192">
        <f>AL85-AK85</f>
        <v/>
      </c>
      <c r="AO85" s="76">
        <f>SUM(AY85,Y85:Z85,T85)*IF(AND(offer_incoterms="DDP",offer_sale_type&lt;&gt;"экспорт"),IF((TODAY()+offer_turnaround_time)&gt;=helpsheet!$L$17,rate_vatRU_from_26,rate_vatRu_till_25),0)</f>
        <v/>
      </c>
      <c r="AP85" s="193">
        <f>AN85-AO85</f>
        <v/>
      </c>
      <c r="AQ85" s="118">
        <f>IF(offer_sale_type="транзит",SUM(AF85:AI85,BA85,BB85),0)</f>
        <v/>
      </c>
      <c r="AR85" s="82">
        <f>HYPERLINK("https://www.alta.ru/tnved/code/")&amp;W85&amp;"/"</f>
        <v/>
      </c>
      <c r="AS85" s="157" t="n"/>
      <c r="AT85" s="162" t="n"/>
      <c r="AU85" s="76">
        <f>IF(ISBLANK(AT85),0,AJ85-AT85)</f>
        <v/>
      </c>
      <c r="AV85" s="157" t="n"/>
      <c r="AW85" s="75">
        <f>_xlfn.IFNA(VLOOKUP(L85,list_vat[],3,FALSE),0)</f>
        <v/>
      </c>
      <c r="AX85" s="76">
        <f>IFERROR(ROUND(S85*(1+AW85)/E85,2),0)</f>
        <v/>
      </c>
      <c r="AY85" s="76">
        <f>E85*AX85</f>
        <v/>
      </c>
      <c r="AZ85" s="192">
        <f>S85*(1+M85)</f>
        <v/>
      </c>
      <c r="BA85" s="76">
        <f>cost_fin_total*$BD85</f>
        <v/>
      </c>
      <c r="BB85" s="193">
        <f>credit_sales_interest*BD85</f>
        <v/>
      </c>
      <c r="BC85" s="102">
        <f>IFERROR(IF($I$13&gt;0,$I85/$I$13,$S85/$S$13),0)</f>
        <v/>
      </c>
      <c r="BD85" s="102">
        <f>IFERROR($S85/$S$13,0)</f>
        <v/>
      </c>
      <c r="BE85" s="413" t="inlineStr">
        <is>
          <t>$</t>
        </is>
      </c>
    </row>
    <row r="86" ht="12" customFormat="1" customHeight="1" s="65">
      <c r="A86" s="43" t="n">
        <v>71</v>
      </c>
      <c r="B86" s="166" t="n"/>
      <c r="C86" s="166" t="n"/>
      <c r="D86" s="166" t="n"/>
      <c r="E86" s="162" t="n"/>
      <c r="F86" s="166" t="n"/>
      <c r="G86" s="162" t="n"/>
      <c r="H86" s="162" t="n"/>
      <c r="I86" s="189">
        <f>E86*G86</f>
        <v/>
      </c>
      <c r="J86" s="195" t="n"/>
      <c r="K86" s="162" t="n"/>
      <c r="L86" s="168" t="n"/>
      <c r="M86" s="75">
        <f>_xlfn.XLOOKUP(L86,list_vat[Страна],list_vat[Ставка НДС %],0,0)</f>
        <v/>
      </c>
      <c r="N86" s="162">
        <f>IFERROR(IF(L86="Китай",K86,K86/(1+M86)),0)</f>
        <v/>
      </c>
      <c r="O86" s="169" t="n"/>
      <c r="P86" s="76">
        <f>N86*(1-O86)</f>
        <v/>
      </c>
      <c r="Q86" s="162" t="n"/>
      <c r="R86" s="162">
        <f>IF(ISBLANK(Q86),"введи курс",P86/Q86)</f>
        <v/>
      </c>
      <c r="S86" s="196">
        <f>IF(AND(ISNUMBER(E86),ISNUMBER(Q86)),E86*R86,0)</f>
        <v/>
      </c>
      <c r="T86" s="192">
        <f>$BC86*V$11</f>
        <v/>
      </c>
      <c r="U86" s="76">
        <f>$BC86*W$11</f>
        <v/>
      </c>
      <c r="V86" s="193">
        <f>+SUM(T86:U86)</f>
        <v/>
      </c>
      <c r="W86" s="191" t="n"/>
      <c r="X86" s="170" t="n"/>
      <c r="Y86" s="76">
        <f>ROUND(IF(offer_incoterms="DDP",X86*(S86*(1+AW86)+T86),0),2)</f>
        <v/>
      </c>
      <c r="Z86" s="188" t="n"/>
      <c r="AA86" s="192">
        <f>IFERROR(AB86/E86,0)</f>
        <v/>
      </c>
      <c r="AB86" s="76">
        <f>ROUND(SUM(S86,V86,Y86:Z86,BA86:BB86),2)</f>
        <v/>
      </c>
      <c r="AC86" s="797" t="n"/>
      <c r="AD86" s="192">
        <f t="array" ref="AD86">IFERROR(ROUND((_xlfn.IFS(offer_sale_type="поставка",AB86,offer_sale_type="транзит",S86)*(1+AC86))/E86,2),0)</f>
        <v/>
      </c>
      <c r="AE86" s="76">
        <f>AD86*E86</f>
        <v/>
      </c>
      <c r="AF86" s="193">
        <f t="array" ref="AF86">IFERROR(ROUND(_xlfn.IFS(offer_sale_type="поставка",AB86,offer_sale_type="транзит",S86)*AC86,2),0)</f>
        <v/>
      </c>
      <c r="AG86" s="192">
        <f>$BD86*VLOOKUP($AG$3,$AF$4:$AG$7,2,FALSE)</f>
        <v/>
      </c>
      <c r="AH86" s="76">
        <f>SUM(AE86,AG86,AI86)*rate_forex_risk</f>
        <v/>
      </c>
      <c r="AI86" s="193">
        <f>IF(OR(seller_region="TR",offer_sale_type="экспорт"),0,rate_fin_comm)*SUM(AZ86,AZ86*AW86,T86)</f>
        <v/>
      </c>
      <c r="AJ86" s="118">
        <f>IFERROR(ROUND(SUM(AB86,AF86:AI86)/E86,2),0)</f>
        <v/>
      </c>
      <c r="AK86" s="76">
        <f>AJ86*E86</f>
        <v/>
      </c>
      <c r="AL86" s="174">
        <f>ROUND(IFERROR(AM86*E86,0),2)</f>
        <v/>
      </c>
      <c r="AM86" s="175">
        <f>ROUND(AJ86*(1+IF(offer_incoterms="DDP",IF((TODAY()+offer_turnaround_time)&gt;=helpsheet!$L$17,rate_vatRU_from_26,rate_vatRu_till_25),0)),2)</f>
        <v/>
      </c>
      <c r="AN86" s="192">
        <f>AL86-AK86</f>
        <v/>
      </c>
      <c r="AO86" s="76">
        <f>SUM(AY86,Y86:Z86,T86)*IF(AND(offer_incoterms="DDP",offer_sale_type&lt;&gt;"экспорт"),IF((TODAY()+offer_turnaround_time)&gt;=helpsheet!$L$17,rate_vatRU_from_26,rate_vatRu_till_25),0)</f>
        <v/>
      </c>
      <c r="AP86" s="193">
        <f>AN86-AO86</f>
        <v/>
      </c>
      <c r="AQ86" s="118">
        <f>IF(offer_sale_type="транзит",SUM(AF86:AI86,BA86,BB86),0)</f>
        <v/>
      </c>
      <c r="AR86" s="82">
        <f>HYPERLINK("https://www.alta.ru/tnved/code/")&amp;W86&amp;"/"</f>
        <v/>
      </c>
      <c r="AS86" s="157" t="n"/>
      <c r="AT86" s="162" t="n"/>
      <c r="AU86" s="76">
        <f>IF(ISBLANK(AT86),0,AJ86-AT86)</f>
        <v/>
      </c>
      <c r="AV86" s="157" t="n"/>
      <c r="AW86" s="75">
        <f>_xlfn.IFNA(VLOOKUP(L86,list_vat[],3,FALSE),0)</f>
        <v/>
      </c>
      <c r="AX86" s="76">
        <f>IFERROR(ROUND(S86*(1+AW86)/E86,2),0)</f>
        <v/>
      </c>
      <c r="AY86" s="76">
        <f>E86*AX86</f>
        <v/>
      </c>
      <c r="AZ86" s="192">
        <f>S86*(1+M86)</f>
        <v/>
      </c>
      <c r="BA86" s="76">
        <f>cost_fin_total*$BD86</f>
        <v/>
      </c>
      <c r="BB86" s="193">
        <f>credit_sales_interest*BD86</f>
        <v/>
      </c>
      <c r="BC86" s="102">
        <f>IFERROR(IF($I$13&gt;0,$I86/$I$13,$S86/$S$13),0)</f>
        <v/>
      </c>
      <c r="BD86" s="102">
        <f>IFERROR($S86/$S$13,0)</f>
        <v/>
      </c>
      <c r="BE86" s="413" t="inlineStr">
        <is>
          <t>$</t>
        </is>
      </c>
    </row>
    <row r="87" ht="12" customFormat="1" customHeight="1" s="65">
      <c r="A87" s="43" t="n">
        <v>72</v>
      </c>
      <c r="B87" s="166" t="n"/>
      <c r="C87" s="166" t="n"/>
      <c r="D87" s="166" t="n"/>
      <c r="E87" s="162" t="n"/>
      <c r="F87" s="166" t="n"/>
      <c r="G87" s="162" t="n"/>
      <c r="H87" s="162" t="n"/>
      <c r="I87" s="189">
        <f>E87*G87</f>
        <v/>
      </c>
      <c r="J87" s="195" t="n"/>
      <c r="K87" s="162" t="n"/>
      <c r="L87" s="168" t="n"/>
      <c r="M87" s="75">
        <f>_xlfn.XLOOKUP(L87,list_vat[Страна],list_vat[Ставка НДС %],0,0)</f>
        <v/>
      </c>
      <c r="N87" s="162">
        <f>IFERROR(IF(L87="Китай",K87,K87/(1+M87)),0)</f>
        <v/>
      </c>
      <c r="O87" s="169" t="n"/>
      <c r="P87" s="76">
        <f>N87*(1-O87)</f>
        <v/>
      </c>
      <c r="Q87" s="162" t="n"/>
      <c r="R87" s="162">
        <f>IF(ISBLANK(Q87),"введи курс",P87/Q87)</f>
        <v/>
      </c>
      <c r="S87" s="196">
        <f>IF(AND(ISNUMBER(E87),ISNUMBER(Q87)),E87*R87,0)</f>
        <v/>
      </c>
      <c r="T87" s="192">
        <f>$BC87*V$11</f>
        <v/>
      </c>
      <c r="U87" s="76">
        <f>$BC87*W$11</f>
        <v/>
      </c>
      <c r="V87" s="193">
        <f>+SUM(T87:U87)</f>
        <v/>
      </c>
      <c r="W87" s="191" t="n"/>
      <c r="X87" s="170" t="n"/>
      <c r="Y87" s="76">
        <f>ROUND(IF(offer_incoterms="DDP",X87*(S87*(1+AW87)+T87),0),2)</f>
        <v/>
      </c>
      <c r="Z87" s="188" t="n"/>
      <c r="AA87" s="192">
        <f>IFERROR(AB87/E87,0)</f>
        <v/>
      </c>
      <c r="AB87" s="76">
        <f>ROUND(SUM(S87,V87,Y87:Z87,BA87:BB87),2)</f>
        <v/>
      </c>
      <c r="AC87" s="797" t="n"/>
      <c r="AD87" s="192">
        <f t="array" ref="AD87">IFERROR(ROUND((_xlfn.IFS(offer_sale_type="поставка",AB87,offer_sale_type="транзит",S87)*(1+AC87))/E87,2),0)</f>
        <v/>
      </c>
      <c r="AE87" s="76">
        <f>AD87*E87</f>
        <v/>
      </c>
      <c r="AF87" s="193">
        <f t="array" ref="AF87">IFERROR(ROUND(_xlfn.IFS(offer_sale_type="поставка",AB87,offer_sale_type="транзит",S87)*AC87,2),0)</f>
        <v/>
      </c>
      <c r="AG87" s="192">
        <f>$BD87*VLOOKUP($AG$3,$AF$4:$AG$7,2,FALSE)</f>
        <v/>
      </c>
      <c r="AH87" s="76">
        <f>SUM(AE87,AG87,AI87)*rate_forex_risk</f>
        <v/>
      </c>
      <c r="AI87" s="193">
        <f>IF(OR(seller_region="TR",offer_sale_type="экспорт"),0,rate_fin_comm)*SUM(AZ87,AZ87*AW87,T87)</f>
        <v/>
      </c>
      <c r="AJ87" s="118">
        <f>IFERROR(ROUND(SUM(AB87,AF87:AI87)/E87,2),0)</f>
        <v/>
      </c>
      <c r="AK87" s="76">
        <f>AJ87*E87</f>
        <v/>
      </c>
      <c r="AL87" s="174">
        <f>ROUND(IFERROR(AM87*E87,0),2)</f>
        <v/>
      </c>
      <c r="AM87" s="175">
        <f>ROUND(AJ87*(1+IF(offer_incoterms="DDP",IF((TODAY()+offer_turnaround_time)&gt;=helpsheet!$L$17,rate_vatRU_from_26,rate_vatRu_till_25),0)),2)</f>
        <v/>
      </c>
      <c r="AN87" s="192">
        <f>AL87-AK87</f>
        <v/>
      </c>
      <c r="AO87" s="76">
        <f>SUM(AY87,Y87:Z87,T87)*IF(AND(offer_incoterms="DDP",offer_sale_type&lt;&gt;"экспорт"),IF((TODAY()+offer_turnaround_time)&gt;=helpsheet!$L$17,rate_vatRU_from_26,rate_vatRu_till_25),0)</f>
        <v/>
      </c>
      <c r="AP87" s="193">
        <f>AN87-AO87</f>
        <v/>
      </c>
      <c r="AQ87" s="118">
        <f>IF(offer_sale_type="транзит",SUM(AF87:AI87,BA87,BB87),0)</f>
        <v/>
      </c>
      <c r="AR87" s="82">
        <f>HYPERLINK("https://www.alta.ru/tnved/code/")&amp;W87&amp;"/"</f>
        <v/>
      </c>
      <c r="AS87" s="157" t="n"/>
      <c r="AT87" s="162" t="n"/>
      <c r="AU87" s="76">
        <f>IF(ISBLANK(AT87),0,AJ87-AT87)</f>
        <v/>
      </c>
      <c r="AV87" s="157" t="n"/>
      <c r="AW87" s="75">
        <f>_xlfn.IFNA(VLOOKUP(L87,list_vat[],3,FALSE),0)</f>
        <v/>
      </c>
      <c r="AX87" s="76">
        <f>IFERROR(ROUND(S87*(1+AW87)/E87,2),0)</f>
        <v/>
      </c>
      <c r="AY87" s="76">
        <f>E87*AX87</f>
        <v/>
      </c>
      <c r="AZ87" s="192">
        <f>S87*(1+M87)</f>
        <v/>
      </c>
      <c r="BA87" s="76">
        <f>cost_fin_total*$BD87</f>
        <v/>
      </c>
      <c r="BB87" s="193">
        <f>credit_sales_interest*BD87</f>
        <v/>
      </c>
      <c r="BC87" s="102">
        <f>IFERROR(IF($I$13&gt;0,$I87/$I$13,$S87/$S$13),0)</f>
        <v/>
      </c>
      <c r="BD87" s="102">
        <f>IFERROR($S87/$S$13,0)</f>
        <v/>
      </c>
      <c r="BE87" s="413" t="inlineStr">
        <is>
          <t>$</t>
        </is>
      </c>
    </row>
    <row r="88" ht="12" customFormat="1" customHeight="1" s="65">
      <c r="A88" s="43" t="n">
        <v>73</v>
      </c>
      <c r="B88" s="166" t="n"/>
      <c r="C88" s="166" t="n"/>
      <c r="D88" s="166" t="n"/>
      <c r="E88" s="162" t="n"/>
      <c r="F88" s="166" t="n"/>
      <c r="G88" s="162" t="n"/>
      <c r="H88" s="162" t="n"/>
      <c r="I88" s="189">
        <f>E88*G88</f>
        <v/>
      </c>
      <c r="J88" s="195" t="n"/>
      <c r="K88" s="162" t="n"/>
      <c r="L88" s="168" t="n"/>
      <c r="M88" s="75">
        <f>_xlfn.XLOOKUP(L88,list_vat[Страна],list_vat[Ставка НДС %],0,0)</f>
        <v/>
      </c>
      <c r="N88" s="162">
        <f>IFERROR(IF(L88="Китай",K88,K88/(1+M88)),0)</f>
        <v/>
      </c>
      <c r="O88" s="169" t="n"/>
      <c r="P88" s="76">
        <f>N88*(1-O88)</f>
        <v/>
      </c>
      <c r="Q88" s="162" t="n"/>
      <c r="R88" s="162">
        <f>IF(ISBLANK(Q88),"введи курс",P88/Q88)</f>
        <v/>
      </c>
      <c r="S88" s="196">
        <f>IF(AND(ISNUMBER(E88),ISNUMBER(Q88)),E88*R88,0)</f>
        <v/>
      </c>
      <c r="T88" s="192">
        <f>$BC88*V$11</f>
        <v/>
      </c>
      <c r="U88" s="76">
        <f>$BC88*W$11</f>
        <v/>
      </c>
      <c r="V88" s="193">
        <f>+SUM(T88:U88)</f>
        <v/>
      </c>
      <c r="W88" s="191" t="n"/>
      <c r="X88" s="170" t="n"/>
      <c r="Y88" s="76">
        <f>ROUND(IF(offer_incoterms="DDP",X88*(S88*(1+AW88)+T88),0),2)</f>
        <v/>
      </c>
      <c r="Z88" s="188" t="n"/>
      <c r="AA88" s="192">
        <f>IFERROR(AB88/E88,0)</f>
        <v/>
      </c>
      <c r="AB88" s="76">
        <f>ROUND(SUM(S88,V88,Y88:Z88,BA88:BB88),2)</f>
        <v/>
      </c>
      <c r="AC88" s="797" t="n"/>
      <c r="AD88" s="192">
        <f t="array" ref="AD88">IFERROR(ROUND((_xlfn.IFS(offer_sale_type="поставка",AB88,offer_sale_type="транзит",S88)*(1+AC88))/E88,2),0)</f>
        <v/>
      </c>
      <c r="AE88" s="76">
        <f>AD88*E88</f>
        <v/>
      </c>
      <c r="AF88" s="193">
        <f t="array" ref="AF88">IFERROR(ROUND(_xlfn.IFS(offer_sale_type="поставка",AB88,offer_sale_type="транзит",S88)*AC88,2),0)</f>
        <v/>
      </c>
      <c r="AG88" s="192">
        <f>$BD88*VLOOKUP($AG$3,$AF$4:$AG$7,2,FALSE)</f>
        <v/>
      </c>
      <c r="AH88" s="76">
        <f>SUM(AE88,AG88,AI88)*rate_forex_risk</f>
        <v/>
      </c>
      <c r="AI88" s="193">
        <f>IF(OR(seller_region="TR",offer_sale_type="экспорт"),0,rate_fin_comm)*SUM(AZ88,AZ88*AW88,T88)</f>
        <v/>
      </c>
      <c r="AJ88" s="118">
        <f>IFERROR(ROUND(SUM(AB88,AF88:AI88)/E88,2),0)</f>
        <v/>
      </c>
      <c r="AK88" s="76">
        <f>AJ88*E88</f>
        <v/>
      </c>
      <c r="AL88" s="174">
        <f>ROUND(IFERROR(AM88*E88,0),2)</f>
        <v/>
      </c>
      <c r="AM88" s="175">
        <f>ROUND(AJ88*(1+IF(offer_incoterms="DDP",IF((TODAY()+offer_turnaround_time)&gt;=helpsheet!$L$17,rate_vatRU_from_26,rate_vatRu_till_25),0)),2)</f>
        <v/>
      </c>
      <c r="AN88" s="192">
        <f>AL88-AK88</f>
        <v/>
      </c>
      <c r="AO88" s="76">
        <f>SUM(AY88,Y88:Z88,T88)*IF(AND(offer_incoterms="DDP",offer_sale_type&lt;&gt;"экспорт"),IF((TODAY()+offer_turnaround_time)&gt;=helpsheet!$L$17,rate_vatRU_from_26,rate_vatRu_till_25),0)</f>
        <v/>
      </c>
      <c r="AP88" s="193">
        <f>AN88-AO88</f>
        <v/>
      </c>
      <c r="AQ88" s="118">
        <f>IF(offer_sale_type="транзит",SUM(AF88:AI88,BA88,BB88),0)</f>
        <v/>
      </c>
      <c r="AR88" s="82">
        <f>HYPERLINK("https://www.alta.ru/tnved/code/")&amp;W88&amp;"/"</f>
        <v/>
      </c>
      <c r="AS88" s="157" t="n"/>
      <c r="AT88" s="162" t="n"/>
      <c r="AU88" s="76">
        <f>IF(ISBLANK(AT88),0,AJ88-AT88)</f>
        <v/>
      </c>
      <c r="AV88" s="157" t="n"/>
      <c r="AW88" s="75">
        <f>_xlfn.IFNA(VLOOKUP(L88,list_vat[],3,FALSE),0)</f>
        <v/>
      </c>
      <c r="AX88" s="76">
        <f>IFERROR(ROUND(S88*(1+AW88)/E88,2),0)</f>
        <v/>
      </c>
      <c r="AY88" s="76">
        <f>E88*AX88</f>
        <v/>
      </c>
      <c r="AZ88" s="192">
        <f>S88*(1+M88)</f>
        <v/>
      </c>
      <c r="BA88" s="76">
        <f>cost_fin_total*$BD88</f>
        <v/>
      </c>
      <c r="BB88" s="193">
        <f>credit_sales_interest*BD88</f>
        <v/>
      </c>
      <c r="BC88" s="102">
        <f>IFERROR(IF($I$13&gt;0,$I88/$I$13,$S88/$S$13),0)</f>
        <v/>
      </c>
      <c r="BD88" s="102">
        <f>IFERROR($S88/$S$13,0)</f>
        <v/>
      </c>
      <c r="BE88" s="413" t="inlineStr">
        <is>
          <t>$</t>
        </is>
      </c>
    </row>
    <row r="89" ht="12" customFormat="1" customHeight="1" s="65">
      <c r="A89" s="43" t="n">
        <v>74</v>
      </c>
      <c r="B89" s="166" t="n"/>
      <c r="C89" s="166" t="n"/>
      <c r="D89" s="166" t="n"/>
      <c r="E89" s="162" t="n"/>
      <c r="F89" s="166" t="n"/>
      <c r="G89" s="162" t="n"/>
      <c r="H89" s="162" t="n"/>
      <c r="I89" s="189">
        <f>E89*G89</f>
        <v/>
      </c>
      <c r="J89" s="195" t="n"/>
      <c r="K89" s="162" t="n"/>
      <c r="L89" s="168" t="n"/>
      <c r="M89" s="75">
        <f>_xlfn.XLOOKUP(L89,list_vat[Страна],list_vat[Ставка НДС %],0,0)</f>
        <v/>
      </c>
      <c r="N89" s="162">
        <f>IFERROR(IF(L89="Китай",K89,K89/(1+M89)),0)</f>
        <v/>
      </c>
      <c r="O89" s="169" t="n"/>
      <c r="P89" s="76">
        <f>N89*(1-O89)</f>
        <v/>
      </c>
      <c r="Q89" s="162" t="n"/>
      <c r="R89" s="162">
        <f>IF(ISBLANK(Q89),"введи курс",P89/Q89)</f>
        <v/>
      </c>
      <c r="S89" s="196">
        <f>IF(AND(ISNUMBER(E89),ISNUMBER(Q89)),E89*R89,0)</f>
        <v/>
      </c>
      <c r="T89" s="192">
        <f>$BC89*V$11</f>
        <v/>
      </c>
      <c r="U89" s="76">
        <f>$BC89*W$11</f>
        <v/>
      </c>
      <c r="V89" s="193">
        <f>+SUM(T89:U89)</f>
        <v/>
      </c>
      <c r="W89" s="191" t="n"/>
      <c r="X89" s="170" t="n"/>
      <c r="Y89" s="76">
        <f>ROUND(IF(offer_incoterms="DDP",X89*(S89*(1+AW89)+T89),0),2)</f>
        <v/>
      </c>
      <c r="Z89" s="188" t="n"/>
      <c r="AA89" s="192">
        <f>IFERROR(AB89/E89,0)</f>
        <v/>
      </c>
      <c r="AB89" s="76">
        <f>ROUND(SUM(S89,V89,Y89:Z89,BA89:BB89),2)</f>
        <v/>
      </c>
      <c r="AC89" s="797" t="n"/>
      <c r="AD89" s="192">
        <f t="array" ref="AD89">IFERROR(ROUND((_xlfn.IFS(offer_sale_type="поставка",AB89,offer_sale_type="транзит",S89)*(1+AC89))/E89,2),0)</f>
        <v/>
      </c>
      <c r="AE89" s="76">
        <f>AD89*E89</f>
        <v/>
      </c>
      <c r="AF89" s="193">
        <f t="array" ref="AF89">IFERROR(ROUND(_xlfn.IFS(offer_sale_type="поставка",AB89,offer_sale_type="транзит",S89)*AC89,2),0)</f>
        <v/>
      </c>
      <c r="AG89" s="192">
        <f>$BD89*VLOOKUP($AG$3,$AF$4:$AG$7,2,FALSE)</f>
        <v/>
      </c>
      <c r="AH89" s="76">
        <f>SUM(AE89,AG89,AI89)*rate_forex_risk</f>
        <v/>
      </c>
      <c r="AI89" s="193">
        <f>IF(OR(seller_region="TR",offer_sale_type="экспорт"),0,rate_fin_comm)*SUM(AZ89,AZ89*AW89,T89)</f>
        <v/>
      </c>
      <c r="AJ89" s="118">
        <f>IFERROR(ROUND(SUM(AB89,AF89:AI89)/E89,2),0)</f>
        <v/>
      </c>
      <c r="AK89" s="76">
        <f>AJ89*E89</f>
        <v/>
      </c>
      <c r="AL89" s="174">
        <f>ROUND(IFERROR(AM89*E89,0),2)</f>
        <v/>
      </c>
      <c r="AM89" s="175">
        <f>ROUND(AJ89*(1+IF(offer_incoterms="DDP",IF((TODAY()+offer_turnaround_time)&gt;=helpsheet!$L$17,rate_vatRU_from_26,rate_vatRu_till_25),0)),2)</f>
        <v/>
      </c>
      <c r="AN89" s="192">
        <f>AL89-AK89</f>
        <v/>
      </c>
      <c r="AO89" s="76">
        <f>SUM(AY89,Y89:Z89,T89)*IF(AND(offer_incoterms="DDP",offer_sale_type&lt;&gt;"экспорт"),IF((TODAY()+offer_turnaround_time)&gt;=helpsheet!$L$17,rate_vatRU_from_26,rate_vatRu_till_25),0)</f>
        <v/>
      </c>
      <c r="AP89" s="193">
        <f>AN89-AO89</f>
        <v/>
      </c>
      <c r="AQ89" s="118">
        <f>IF(offer_sale_type="транзит",SUM(AF89:AI89,BA89,BB89),0)</f>
        <v/>
      </c>
      <c r="AR89" s="82">
        <f>HYPERLINK("https://www.alta.ru/tnved/code/")&amp;W89&amp;"/"</f>
        <v/>
      </c>
      <c r="AS89" s="157" t="n"/>
      <c r="AT89" s="162" t="n"/>
      <c r="AU89" s="76">
        <f>IF(ISBLANK(AT89),0,AJ89-AT89)</f>
        <v/>
      </c>
      <c r="AV89" s="157" t="n"/>
      <c r="AW89" s="75">
        <f>_xlfn.IFNA(VLOOKUP(L89,list_vat[],3,FALSE),0)</f>
        <v/>
      </c>
      <c r="AX89" s="76">
        <f>IFERROR(ROUND(S89*(1+AW89)/E89,2),0)</f>
        <v/>
      </c>
      <c r="AY89" s="76">
        <f>E89*AX89</f>
        <v/>
      </c>
      <c r="AZ89" s="192">
        <f>S89*(1+M89)</f>
        <v/>
      </c>
      <c r="BA89" s="76">
        <f>cost_fin_total*$BD89</f>
        <v/>
      </c>
      <c r="BB89" s="193">
        <f>credit_sales_interest*BD89</f>
        <v/>
      </c>
      <c r="BC89" s="102">
        <f>IFERROR(IF($I$13&gt;0,$I89/$I$13,$S89/$S$13),0)</f>
        <v/>
      </c>
      <c r="BD89" s="102">
        <f>IFERROR($S89/$S$13,0)</f>
        <v/>
      </c>
      <c r="BE89" s="413" t="inlineStr">
        <is>
          <t>$</t>
        </is>
      </c>
    </row>
    <row r="90" ht="12" customFormat="1" customHeight="1" s="65">
      <c r="A90" s="43" t="n">
        <v>75</v>
      </c>
      <c r="B90" s="166" t="n"/>
      <c r="C90" s="166" t="n"/>
      <c r="D90" s="166" t="n"/>
      <c r="E90" s="162" t="n"/>
      <c r="F90" s="166" t="n"/>
      <c r="G90" s="162" t="n"/>
      <c r="H90" s="162" t="n"/>
      <c r="I90" s="189">
        <f>E90*G90</f>
        <v/>
      </c>
      <c r="J90" s="195" t="n"/>
      <c r="K90" s="162" t="n"/>
      <c r="L90" s="168" t="n"/>
      <c r="M90" s="75">
        <f>_xlfn.XLOOKUP(L90,list_vat[Страна],list_vat[Ставка НДС %],0,0)</f>
        <v/>
      </c>
      <c r="N90" s="162">
        <f>IFERROR(IF(L90="Китай",K90,K90/(1+M90)),0)</f>
        <v/>
      </c>
      <c r="O90" s="169" t="n"/>
      <c r="P90" s="76">
        <f>N90*(1-O90)</f>
        <v/>
      </c>
      <c r="Q90" s="162" t="n"/>
      <c r="R90" s="162">
        <f>IF(ISBLANK(Q90),"введи курс",P90/Q90)</f>
        <v/>
      </c>
      <c r="S90" s="196">
        <f>IF(AND(ISNUMBER(E90),ISNUMBER(Q90)),E90*R90,0)</f>
        <v/>
      </c>
      <c r="T90" s="192">
        <f>$BC90*V$11</f>
        <v/>
      </c>
      <c r="U90" s="76">
        <f>$BC90*W$11</f>
        <v/>
      </c>
      <c r="V90" s="193">
        <f>+SUM(T90:U90)</f>
        <v/>
      </c>
      <c r="W90" s="191" t="n"/>
      <c r="X90" s="170" t="n"/>
      <c r="Y90" s="76">
        <f>ROUND(IF(offer_incoterms="DDP",X90*(S90*(1+AW90)+T90),0),2)</f>
        <v/>
      </c>
      <c r="Z90" s="188" t="n"/>
      <c r="AA90" s="192">
        <f>IFERROR(AB90/E90,0)</f>
        <v/>
      </c>
      <c r="AB90" s="76">
        <f>ROUND(SUM(S90,V90,Y90:Z90,BA90:BB90),2)</f>
        <v/>
      </c>
      <c r="AC90" s="797" t="n"/>
      <c r="AD90" s="192">
        <f t="array" ref="AD90">IFERROR(ROUND((_xlfn.IFS(offer_sale_type="поставка",AB90,offer_sale_type="транзит",S90)*(1+AC90))/E90,2),0)</f>
        <v/>
      </c>
      <c r="AE90" s="76">
        <f>AD90*E90</f>
        <v/>
      </c>
      <c r="AF90" s="193">
        <f t="array" ref="AF90">IFERROR(ROUND(_xlfn.IFS(offer_sale_type="поставка",AB90,offer_sale_type="транзит",S90)*AC90,2),0)</f>
        <v/>
      </c>
      <c r="AG90" s="192">
        <f>$BD90*VLOOKUP($AG$3,$AF$4:$AG$7,2,FALSE)</f>
        <v/>
      </c>
      <c r="AH90" s="76">
        <f>SUM(AE90,AG90,AI90)*rate_forex_risk</f>
        <v/>
      </c>
      <c r="AI90" s="193">
        <f>IF(OR(seller_region="TR",offer_sale_type="экспорт"),0,rate_fin_comm)*SUM(AZ90,AZ90*AW90,T90)</f>
        <v/>
      </c>
      <c r="AJ90" s="118">
        <f>IFERROR(ROUND(SUM(AB90,AF90:AI90)/E90,2),0)</f>
        <v/>
      </c>
      <c r="AK90" s="76">
        <f>AJ90*E90</f>
        <v/>
      </c>
      <c r="AL90" s="174">
        <f>ROUND(IFERROR(AM90*E90,0),2)</f>
        <v/>
      </c>
      <c r="AM90" s="175">
        <f>ROUND(AJ90*(1+IF(offer_incoterms="DDP",IF((TODAY()+offer_turnaround_time)&gt;=helpsheet!$L$17,rate_vatRU_from_26,rate_vatRu_till_25),0)),2)</f>
        <v/>
      </c>
      <c r="AN90" s="192">
        <f>AL90-AK90</f>
        <v/>
      </c>
      <c r="AO90" s="76">
        <f>SUM(AY90,Y90:Z90,T90)*IF(AND(offer_incoterms="DDP",offer_sale_type&lt;&gt;"экспорт"),IF((TODAY()+offer_turnaround_time)&gt;=helpsheet!$L$17,rate_vatRU_from_26,rate_vatRu_till_25),0)</f>
        <v/>
      </c>
      <c r="AP90" s="193">
        <f>AN90-AO90</f>
        <v/>
      </c>
      <c r="AQ90" s="118">
        <f>IF(offer_sale_type="транзит",SUM(AF90:AI90,BA90,BB90),0)</f>
        <v/>
      </c>
      <c r="AR90" s="82">
        <f>HYPERLINK("https://www.alta.ru/tnved/code/")&amp;W90&amp;"/"</f>
        <v/>
      </c>
      <c r="AS90" s="157" t="n"/>
      <c r="AT90" s="162" t="n"/>
      <c r="AU90" s="76">
        <f>IF(ISBLANK(AT90),0,AJ90-AT90)</f>
        <v/>
      </c>
      <c r="AV90" s="157" t="n"/>
      <c r="AW90" s="75">
        <f>_xlfn.IFNA(VLOOKUP(L90,list_vat[],3,FALSE),0)</f>
        <v/>
      </c>
      <c r="AX90" s="76">
        <f>IFERROR(ROUND(S90*(1+AW90)/E90,2),0)</f>
        <v/>
      </c>
      <c r="AY90" s="76">
        <f>E90*AX90</f>
        <v/>
      </c>
      <c r="AZ90" s="192">
        <f>S90*(1+M90)</f>
        <v/>
      </c>
      <c r="BA90" s="76">
        <f>cost_fin_total*$BD90</f>
        <v/>
      </c>
      <c r="BB90" s="193">
        <f>credit_sales_interest*BD90</f>
        <v/>
      </c>
      <c r="BC90" s="102">
        <f>IFERROR(IF($I$13&gt;0,$I90/$I$13,$S90/$S$13),0)</f>
        <v/>
      </c>
      <c r="BD90" s="102">
        <f>IFERROR($S90/$S$13,0)</f>
        <v/>
      </c>
      <c r="BE90" s="413" t="inlineStr">
        <is>
          <t>$</t>
        </is>
      </c>
    </row>
    <row r="91" ht="12" customFormat="1" customHeight="1" s="65">
      <c r="A91" s="43" t="n">
        <v>76</v>
      </c>
      <c r="B91" s="166" t="n"/>
      <c r="C91" s="166" t="n"/>
      <c r="D91" s="166" t="n"/>
      <c r="E91" s="162" t="n"/>
      <c r="F91" s="166" t="n"/>
      <c r="G91" s="162" t="n"/>
      <c r="H91" s="162" t="n"/>
      <c r="I91" s="189">
        <f>E91*G91</f>
        <v/>
      </c>
      <c r="J91" s="195" t="n"/>
      <c r="K91" s="162" t="n"/>
      <c r="L91" s="168" t="n"/>
      <c r="M91" s="75">
        <f>_xlfn.XLOOKUP(L91,list_vat[Страна],list_vat[Ставка НДС %],0,0)</f>
        <v/>
      </c>
      <c r="N91" s="162">
        <f>IFERROR(IF(L91="Китай",K91,K91/(1+M91)),0)</f>
        <v/>
      </c>
      <c r="O91" s="169" t="n"/>
      <c r="P91" s="76">
        <f>N91*(1-O91)</f>
        <v/>
      </c>
      <c r="Q91" s="162" t="n"/>
      <c r="R91" s="162">
        <f>IF(ISBLANK(Q91),"введи курс",P91/Q91)</f>
        <v/>
      </c>
      <c r="S91" s="196">
        <f>IF(AND(ISNUMBER(E91),ISNUMBER(Q91)),E91*R91,0)</f>
        <v/>
      </c>
      <c r="T91" s="192">
        <f>$BC91*V$11</f>
        <v/>
      </c>
      <c r="U91" s="76">
        <f>$BC91*W$11</f>
        <v/>
      </c>
      <c r="V91" s="193">
        <f>+SUM(T91:U91)</f>
        <v/>
      </c>
      <c r="W91" s="191" t="n"/>
      <c r="X91" s="170" t="n"/>
      <c r="Y91" s="76">
        <f>ROUND(IF(offer_incoterms="DDP",X91*(S91*(1+AW91)+T91),0),2)</f>
        <v/>
      </c>
      <c r="Z91" s="188" t="n"/>
      <c r="AA91" s="192">
        <f>IFERROR(AB91/E91,0)</f>
        <v/>
      </c>
      <c r="AB91" s="76">
        <f>ROUND(SUM(S91,V91,Y91:Z91,BA91:BB91),2)</f>
        <v/>
      </c>
      <c r="AC91" s="797" t="n"/>
      <c r="AD91" s="192">
        <f t="array" ref="AD91">IFERROR(ROUND((_xlfn.IFS(offer_sale_type="поставка",AB91,offer_sale_type="транзит",S91)*(1+AC91))/E91,2),0)</f>
        <v/>
      </c>
      <c r="AE91" s="76">
        <f>AD91*E91</f>
        <v/>
      </c>
      <c r="AF91" s="193">
        <f t="array" ref="AF91">IFERROR(ROUND(_xlfn.IFS(offer_sale_type="поставка",AB91,offer_sale_type="транзит",S91)*AC91,2),0)</f>
        <v/>
      </c>
      <c r="AG91" s="192">
        <f>$BD91*VLOOKUP($AG$3,$AF$4:$AG$7,2,FALSE)</f>
        <v/>
      </c>
      <c r="AH91" s="76">
        <f>SUM(AE91,AG91,AI91)*rate_forex_risk</f>
        <v/>
      </c>
      <c r="AI91" s="193">
        <f>IF(OR(seller_region="TR",offer_sale_type="экспорт"),0,rate_fin_comm)*SUM(AZ91,AZ91*AW91,T91)</f>
        <v/>
      </c>
      <c r="AJ91" s="118">
        <f>IFERROR(ROUND(SUM(AB91,AF91:AI91)/E91,2),0)</f>
        <v/>
      </c>
      <c r="AK91" s="76">
        <f>AJ91*E91</f>
        <v/>
      </c>
      <c r="AL91" s="174">
        <f>ROUND(IFERROR(AM91*E91,0),2)</f>
        <v/>
      </c>
      <c r="AM91" s="175">
        <f>ROUND(AJ91*(1+IF(offer_incoterms="DDP",IF((TODAY()+offer_turnaround_time)&gt;=helpsheet!$L$17,rate_vatRU_from_26,rate_vatRu_till_25),0)),2)</f>
        <v/>
      </c>
      <c r="AN91" s="192">
        <f>AL91-AK91</f>
        <v/>
      </c>
      <c r="AO91" s="76">
        <f>SUM(AY91,Y91:Z91,T91)*IF(AND(offer_incoterms="DDP",offer_sale_type&lt;&gt;"экспорт"),IF((TODAY()+offer_turnaround_time)&gt;=helpsheet!$L$17,rate_vatRU_from_26,rate_vatRu_till_25),0)</f>
        <v/>
      </c>
      <c r="AP91" s="193">
        <f>AN91-AO91</f>
        <v/>
      </c>
      <c r="AQ91" s="118">
        <f>IF(offer_sale_type="транзит",SUM(AF91:AI91,BA91,BB91),0)</f>
        <v/>
      </c>
      <c r="AR91" s="82">
        <f>HYPERLINK("https://www.alta.ru/tnved/code/")&amp;W91&amp;"/"</f>
        <v/>
      </c>
      <c r="AS91" s="157" t="n"/>
      <c r="AT91" s="162" t="n"/>
      <c r="AU91" s="76">
        <f>IF(ISBLANK(AT91),0,AJ91-AT91)</f>
        <v/>
      </c>
      <c r="AV91" s="157" t="n"/>
      <c r="AW91" s="75">
        <f>_xlfn.IFNA(VLOOKUP(L91,list_vat[],3,FALSE),0)</f>
        <v/>
      </c>
      <c r="AX91" s="76">
        <f>IFERROR(ROUND(S91*(1+AW91)/E91,2),0)</f>
        <v/>
      </c>
      <c r="AY91" s="76">
        <f>E91*AX91</f>
        <v/>
      </c>
      <c r="AZ91" s="192">
        <f>S91*(1+M91)</f>
        <v/>
      </c>
      <c r="BA91" s="76">
        <f>cost_fin_total*$BD91</f>
        <v/>
      </c>
      <c r="BB91" s="193">
        <f>credit_sales_interest*BD91</f>
        <v/>
      </c>
      <c r="BC91" s="102">
        <f>IFERROR(IF($I$13&gt;0,$I91/$I$13,$S91/$S$13),0)</f>
        <v/>
      </c>
      <c r="BD91" s="102">
        <f>IFERROR($S91/$S$13,0)</f>
        <v/>
      </c>
      <c r="BE91" s="413" t="inlineStr">
        <is>
          <t>$</t>
        </is>
      </c>
    </row>
    <row r="92" ht="12" customFormat="1" customHeight="1" s="65">
      <c r="A92" s="43" t="n">
        <v>77</v>
      </c>
      <c r="B92" s="166" t="n"/>
      <c r="C92" s="166" t="n"/>
      <c r="D92" s="166" t="n"/>
      <c r="E92" s="162" t="n"/>
      <c r="F92" s="166" t="n"/>
      <c r="G92" s="162" t="n"/>
      <c r="H92" s="162" t="n"/>
      <c r="I92" s="189">
        <f>E92*G92</f>
        <v/>
      </c>
      <c r="J92" s="195" t="n"/>
      <c r="K92" s="162" t="n"/>
      <c r="L92" s="168" t="n"/>
      <c r="M92" s="75">
        <f>_xlfn.XLOOKUP(L92,list_vat[Страна],list_vat[Ставка НДС %],0,0)</f>
        <v/>
      </c>
      <c r="N92" s="162">
        <f>IFERROR(IF(L92="Китай",K92,K92/(1+M92)),0)</f>
        <v/>
      </c>
      <c r="O92" s="169" t="n"/>
      <c r="P92" s="76">
        <f>N92*(1-O92)</f>
        <v/>
      </c>
      <c r="Q92" s="162" t="n"/>
      <c r="R92" s="162">
        <f>IF(ISBLANK(Q92),"введи курс",P92/Q92)</f>
        <v/>
      </c>
      <c r="S92" s="196">
        <f>IF(AND(ISNUMBER(E92),ISNUMBER(Q92)),E92*R92,0)</f>
        <v/>
      </c>
      <c r="T92" s="192">
        <f>$BC92*V$11</f>
        <v/>
      </c>
      <c r="U92" s="76">
        <f>$BC92*W$11</f>
        <v/>
      </c>
      <c r="V92" s="193">
        <f>+SUM(T92:U92)</f>
        <v/>
      </c>
      <c r="W92" s="191" t="n"/>
      <c r="X92" s="170" t="n"/>
      <c r="Y92" s="76">
        <f>ROUND(IF(offer_incoterms="DDP",X92*(S92*(1+AW92)+T92),0),2)</f>
        <v/>
      </c>
      <c r="Z92" s="188" t="n"/>
      <c r="AA92" s="192">
        <f>IFERROR(AB92/E92,0)</f>
        <v/>
      </c>
      <c r="AB92" s="76">
        <f>ROUND(SUM(S92,V92,Y92:Z92,BA92:BB92),2)</f>
        <v/>
      </c>
      <c r="AC92" s="797" t="n"/>
      <c r="AD92" s="192">
        <f t="array" ref="AD92">IFERROR(ROUND((_xlfn.IFS(offer_sale_type="поставка",AB92,offer_sale_type="транзит",S92)*(1+AC92))/E92,2),0)</f>
        <v/>
      </c>
      <c r="AE92" s="76">
        <f>AD92*E92</f>
        <v/>
      </c>
      <c r="AF92" s="193">
        <f t="array" ref="AF92">IFERROR(ROUND(_xlfn.IFS(offer_sale_type="поставка",AB92,offer_sale_type="транзит",S92)*AC92,2),0)</f>
        <v/>
      </c>
      <c r="AG92" s="192">
        <f>$BD92*VLOOKUP($AG$3,$AF$4:$AG$7,2,FALSE)</f>
        <v/>
      </c>
      <c r="AH92" s="76">
        <f>SUM(AE92,AG92,AI92)*rate_forex_risk</f>
        <v/>
      </c>
      <c r="AI92" s="193">
        <f>IF(OR(seller_region="TR",offer_sale_type="экспорт"),0,rate_fin_comm)*SUM(AZ92,AZ92*AW92,T92)</f>
        <v/>
      </c>
      <c r="AJ92" s="118">
        <f>IFERROR(ROUND(SUM(AB92,AF92:AI92)/E92,2),0)</f>
        <v/>
      </c>
      <c r="AK92" s="76">
        <f>AJ92*E92</f>
        <v/>
      </c>
      <c r="AL92" s="174">
        <f>ROUND(IFERROR(AM92*E92,0),2)</f>
        <v/>
      </c>
      <c r="AM92" s="175">
        <f>ROUND(AJ92*(1+IF(offer_incoterms="DDP",IF((TODAY()+offer_turnaround_time)&gt;=helpsheet!$L$17,rate_vatRU_from_26,rate_vatRu_till_25),0)),2)</f>
        <v/>
      </c>
      <c r="AN92" s="192">
        <f>AL92-AK92</f>
        <v/>
      </c>
      <c r="AO92" s="76">
        <f>SUM(AY92,Y92:Z92,T92)*IF(AND(offer_incoterms="DDP",offer_sale_type&lt;&gt;"экспорт"),IF((TODAY()+offer_turnaround_time)&gt;=helpsheet!$L$17,rate_vatRU_from_26,rate_vatRu_till_25),0)</f>
        <v/>
      </c>
      <c r="AP92" s="193">
        <f>AN92-AO92</f>
        <v/>
      </c>
      <c r="AQ92" s="118">
        <f>IF(offer_sale_type="транзит",SUM(AF92:AI92,BA92,BB92),0)</f>
        <v/>
      </c>
      <c r="AR92" s="82">
        <f>HYPERLINK("https://www.alta.ru/tnved/code/")&amp;W92&amp;"/"</f>
        <v/>
      </c>
      <c r="AS92" s="157" t="n"/>
      <c r="AT92" s="162" t="n"/>
      <c r="AU92" s="76">
        <f>IF(ISBLANK(AT92),0,AJ92-AT92)</f>
        <v/>
      </c>
      <c r="AV92" s="157" t="n"/>
      <c r="AW92" s="75">
        <f>_xlfn.IFNA(VLOOKUP(L92,list_vat[],3,FALSE),0)</f>
        <v/>
      </c>
      <c r="AX92" s="76">
        <f>IFERROR(ROUND(S92*(1+AW92)/E92,2),0)</f>
        <v/>
      </c>
      <c r="AY92" s="76">
        <f>E92*AX92</f>
        <v/>
      </c>
      <c r="AZ92" s="192">
        <f>S92*(1+M92)</f>
        <v/>
      </c>
      <c r="BA92" s="76">
        <f>cost_fin_total*$BD92</f>
        <v/>
      </c>
      <c r="BB92" s="193">
        <f>credit_sales_interest*BD92</f>
        <v/>
      </c>
      <c r="BC92" s="102">
        <f>IFERROR(IF($I$13&gt;0,$I92/$I$13,$S92/$S$13),0)</f>
        <v/>
      </c>
      <c r="BD92" s="102">
        <f>IFERROR($S92/$S$13,0)</f>
        <v/>
      </c>
      <c r="BE92" s="413" t="inlineStr">
        <is>
          <t>$</t>
        </is>
      </c>
    </row>
    <row r="93" ht="12" customFormat="1" customHeight="1" s="65">
      <c r="A93" s="43" t="n">
        <v>78</v>
      </c>
      <c r="B93" s="166" t="n"/>
      <c r="C93" s="166" t="n"/>
      <c r="D93" s="166" t="n"/>
      <c r="E93" s="162" t="n"/>
      <c r="F93" s="166" t="n"/>
      <c r="G93" s="162" t="n"/>
      <c r="H93" s="162" t="n"/>
      <c r="I93" s="189">
        <f>E93*G93</f>
        <v/>
      </c>
      <c r="J93" s="195" t="n"/>
      <c r="K93" s="162" t="n"/>
      <c r="L93" s="168" t="n"/>
      <c r="M93" s="75">
        <f>_xlfn.XLOOKUP(L93,list_vat[Страна],list_vat[Ставка НДС %],0,0)</f>
        <v/>
      </c>
      <c r="N93" s="162">
        <f>IFERROR(IF(L93="Китай",K93,K93/(1+M93)),0)</f>
        <v/>
      </c>
      <c r="O93" s="169" t="n"/>
      <c r="P93" s="76">
        <f>N93*(1-O93)</f>
        <v/>
      </c>
      <c r="Q93" s="162" t="n"/>
      <c r="R93" s="162">
        <f>IF(ISBLANK(Q93),"введи курс",P93/Q93)</f>
        <v/>
      </c>
      <c r="S93" s="196">
        <f>IF(AND(ISNUMBER(E93),ISNUMBER(Q93)),E93*R93,0)</f>
        <v/>
      </c>
      <c r="T93" s="192">
        <f>$BC93*V$11</f>
        <v/>
      </c>
      <c r="U93" s="76">
        <f>$BC93*W$11</f>
        <v/>
      </c>
      <c r="V93" s="193">
        <f>+SUM(T93:U93)</f>
        <v/>
      </c>
      <c r="W93" s="191" t="n"/>
      <c r="X93" s="170" t="n"/>
      <c r="Y93" s="76">
        <f>ROUND(IF(offer_incoterms="DDP",X93*(S93*(1+AW93)+T93),0),2)</f>
        <v/>
      </c>
      <c r="Z93" s="188" t="n"/>
      <c r="AA93" s="192">
        <f>IFERROR(AB93/E93,0)</f>
        <v/>
      </c>
      <c r="AB93" s="76">
        <f>ROUND(SUM(S93,V93,Y93:Z93,BA93:BB93),2)</f>
        <v/>
      </c>
      <c r="AC93" s="797" t="n"/>
      <c r="AD93" s="192">
        <f t="array" ref="AD93">IFERROR(ROUND((_xlfn.IFS(offer_sale_type="поставка",AB93,offer_sale_type="транзит",S93)*(1+AC93))/E93,2),0)</f>
        <v/>
      </c>
      <c r="AE93" s="76">
        <f>AD93*E93</f>
        <v/>
      </c>
      <c r="AF93" s="193">
        <f t="array" ref="AF93">IFERROR(ROUND(_xlfn.IFS(offer_sale_type="поставка",AB93,offer_sale_type="транзит",S93)*AC93,2),0)</f>
        <v/>
      </c>
      <c r="AG93" s="192">
        <f>$BD93*VLOOKUP($AG$3,$AF$4:$AG$7,2,FALSE)</f>
        <v/>
      </c>
      <c r="AH93" s="76">
        <f>SUM(AE93,AG93,AI93)*rate_forex_risk</f>
        <v/>
      </c>
      <c r="AI93" s="193">
        <f>IF(OR(seller_region="TR",offer_sale_type="экспорт"),0,rate_fin_comm)*SUM(AZ93,AZ93*AW93,T93)</f>
        <v/>
      </c>
      <c r="AJ93" s="118">
        <f>IFERROR(ROUND(SUM(AB93,AF93:AI93)/E93,2),0)</f>
        <v/>
      </c>
      <c r="AK93" s="76">
        <f>AJ93*E93</f>
        <v/>
      </c>
      <c r="AL93" s="174">
        <f>ROUND(IFERROR(AM93*E93,0),2)</f>
        <v/>
      </c>
      <c r="AM93" s="175">
        <f>ROUND(AJ93*(1+IF(offer_incoterms="DDP",IF((TODAY()+offer_turnaround_time)&gt;=helpsheet!$L$17,rate_vatRU_from_26,rate_vatRu_till_25),0)),2)</f>
        <v/>
      </c>
      <c r="AN93" s="192">
        <f>AL93-AK93</f>
        <v/>
      </c>
      <c r="AO93" s="76">
        <f>SUM(AY93,Y93:Z93,T93)*IF(AND(offer_incoterms="DDP",offer_sale_type&lt;&gt;"экспорт"),IF((TODAY()+offer_turnaround_time)&gt;=helpsheet!$L$17,rate_vatRU_from_26,rate_vatRu_till_25),0)</f>
        <v/>
      </c>
      <c r="AP93" s="193">
        <f>AN93-AO93</f>
        <v/>
      </c>
      <c r="AQ93" s="118">
        <f>IF(offer_sale_type="транзит",SUM(AF93:AI93,BA93,BB93),0)</f>
        <v/>
      </c>
      <c r="AR93" s="82">
        <f>HYPERLINK("https://www.alta.ru/tnved/code/")&amp;W93&amp;"/"</f>
        <v/>
      </c>
      <c r="AS93" s="157" t="n"/>
      <c r="AT93" s="162" t="n"/>
      <c r="AU93" s="76">
        <f>IF(ISBLANK(AT93),0,AJ93-AT93)</f>
        <v/>
      </c>
      <c r="AV93" s="157" t="n"/>
      <c r="AW93" s="75">
        <f>_xlfn.IFNA(VLOOKUP(L93,list_vat[],3,FALSE),0)</f>
        <v/>
      </c>
      <c r="AX93" s="76">
        <f>IFERROR(ROUND(S93*(1+AW93)/E93,2),0)</f>
        <v/>
      </c>
      <c r="AY93" s="76">
        <f>E93*AX93</f>
        <v/>
      </c>
      <c r="AZ93" s="192">
        <f>S93*(1+M93)</f>
        <v/>
      </c>
      <c r="BA93" s="76">
        <f>cost_fin_total*$BD93</f>
        <v/>
      </c>
      <c r="BB93" s="193">
        <f>credit_sales_interest*BD93</f>
        <v/>
      </c>
      <c r="BC93" s="102">
        <f>IFERROR(IF($I$13&gt;0,$I93/$I$13,$S93/$S$13),0)</f>
        <v/>
      </c>
      <c r="BD93" s="102">
        <f>IFERROR($S93/$S$13,0)</f>
        <v/>
      </c>
      <c r="BE93" s="413" t="inlineStr">
        <is>
          <t>$</t>
        </is>
      </c>
    </row>
    <row r="94" ht="12" customFormat="1" customHeight="1" s="65">
      <c r="A94" s="43" t="n">
        <v>79</v>
      </c>
      <c r="B94" s="166" t="n"/>
      <c r="C94" s="166" t="n"/>
      <c r="D94" s="166" t="n"/>
      <c r="E94" s="162" t="n"/>
      <c r="F94" s="166" t="n"/>
      <c r="G94" s="162" t="n"/>
      <c r="H94" s="162" t="n"/>
      <c r="I94" s="189">
        <f>E94*G94</f>
        <v/>
      </c>
      <c r="J94" s="195" t="n"/>
      <c r="K94" s="162" t="n"/>
      <c r="L94" s="168" t="n"/>
      <c r="M94" s="75">
        <f>_xlfn.XLOOKUP(L94,list_vat[Страна],list_vat[Ставка НДС %],0,0)</f>
        <v/>
      </c>
      <c r="N94" s="162">
        <f>IFERROR(IF(L94="Китай",K94,K94/(1+M94)),0)</f>
        <v/>
      </c>
      <c r="O94" s="169" t="n"/>
      <c r="P94" s="76">
        <f>N94*(1-O94)</f>
        <v/>
      </c>
      <c r="Q94" s="162" t="n"/>
      <c r="R94" s="162">
        <f>IF(ISBLANK(Q94),"введи курс",P94/Q94)</f>
        <v/>
      </c>
      <c r="S94" s="196">
        <f>IF(AND(ISNUMBER(E94),ISNUMBER(Q94)),E94*R94,0)</f>
        <v/>
      </c>
      <c r="T94" s="192">
        <f>$BC94*V$11</f>
        <v/>
      </c>
      <c r="U94" s="76">
        <f>$BC94*W$11</f>
        <v/>
      </c>
      <c r="V94" s="193">
        <f>+SUM(T94:U94)</f>
        <v/>
      </c>
      <c r="W94" s="191" t="n"/>
      <c r="X94" s="170" t="n"/>
      <c r="Y94" s="76">
        <f>ROUND(IF(offer_incoterms="DDP",X94*(S94*(1+AW94)+T94),0),2)</f>
        <v/>
      </c>
      <c r="Z94" s="188" t="n"/>
      <c r="AA94" s="192">
        <f>IFERROR(AB94/E94,0)</f>
        <v/>
      </c>
      <c r="AB94" s="76">
        <f>ROUND(SUM(S94,V94,Y94:Z94,BA94:BB94),2)</f>
        <v/>
      </c>
      <c r="AC94" s="797" t="n"/>
      <c r="AD94" s="192">
        <f t="array" ref="AD94">IFERROR(ROUND((_xlfn.IFS(offer_sale_type="поставка",AB94,offer_sale_type="транзит",S94)*(1+AC94))/E94,2),0)</f>
        <v/>
      </c>
      <c r="AE94" s="76">
        <f>AD94*E94</f>
        <v/>
      </c>
      <c r="AF94" s="193">
        <f t="array" ref="AF94">IFERROR(ROUND(_xlfn.IFS(offer_sale_type="поставка",AB94,offer_sale_type="транзит",S94)*AC94,2),0)</f>
        <v/>
      </c>
      <c r="AG94" s="192">
        <f>$BD94*VLOOKUP($AG$3,$AF$4:$AG$7,2,FALSE)</f>
        <v/>
      </c>
      <c r="AH94" s="76">
        <f>SUM(AE94,AG94,AI94)*rate_forex_risk</f>
        <v/>
      </c>
      <c r="AI94" s="193">
        <f>IF(OR(seller_region="TR",offer_sale_type="экспорт"),0,rate_fin_comm)*SUM(AZ94,AZ94*AW94,T94)</f>
        <v/>
      </c>
      <c r="AJ94" s="118">
        <f>IFERROR(ROUND(SUM(AB94,AF94:AI94)/E94,2),0)</f>
        <v/>
      </c>
      <c r="AK94" s="76">
        <f>AJ94*E94</f>
        <v/>
      </c>
      <c r="AL94" s="174">
        <f>ROUND(IFERROR(AM94*E94,0),2)</f>
        <v/>
      </c>
      <c r="AM94" s="175">
        <f>ROUND(AJ94*(1+IF(offer_incoterms="DDP",IF((TODAY()+offer_turnaround_time)&gt;=helpsheet!$L$17,rate_vatRU_from_26,rate_vatRu_till_25),0)),2)</f>
        <v/>
      </c>
      <c r="AN94" s="192">
        <f>AL94-AK94</f>
        <v/>
      </c>
      <c r="AO94" s="76">
        <f>SUM(AY94,Y94:Z94,T94)*IF(AND(offer_incoterms="DDP",offer_sale_type&lt;&gt;"экспорт"),IF((TODAY()+offer_turnaround_time)&gt;=helpsheet!$L$17,rate_vatRU_from_26,rate_vatRu_till_25),0)</f>
        <v/>
      </c>
      <c r="AP94" s="193">
        <f>AN94-AO94</f>
        <v/>
      </c>
      <c r="AQ94" s="118">
        <f>IF(offer_sale_type="транзит",SUM(AF94:AI94,BA94,BB94),0)</f>
        <v/>
      </c>
      <c r="AR94" s="82">
        <f>HYPERLINK("https://www.alta.ru/tnved/code/")&amp;W94&amp;"/"</f>
        <v/>
      </c>
      <c r="AS94" s="157" t="n"/>
      <c r="AT94" s="162" t="n"/>
      <c r="AU94" s="76">
        <f>IF(ISBLANK(AT94),0,AJ94-AT94)</f>
        <v/>
      </c>
      <c r="AV94" s="157" t="n"/>
      <c r="AW94" s="75">
        <f>_xlfn.IFNA(VLOOKUP(L94,list_vat[],3,FALSE),0)</f>
        <v/>
      </c>
      <c r="AX94" s="76">
        <f>IFERROR(ROUND(S94*(1+AW94)/E94,2),0)</f>
        <v/>
      </c>
      <c r="AY94" s="76">
        <f>E94*AX94</f>
        <v/>
      </c>
      <c r="AZ94" s="192">
        <f>S94*(1+M94)</f>
        <v/>
      </c>
      <c r="BA94" s="76">
        <f>cost_fin_total*$BD94</f>
        <v/>
      </c>
      <c r="BB94" s="193">
        <f>credit_sales_interest*BD94</f>
        <v/>
      </c>
      <c r="BC94" s="102">
        <f>IFERROR(IF($I$13&gt;0,$I94/$I$13,$S94/$S$13),0)</f>
        <v/>
      </c>
      <c r="BD94" s="102">
        <f>IFERROR($S94/$S$13,0)</f>
        <v/>
      </c>
      <c r="BE94" s="413" t="inlineStr">
        <is>
          <t>$</t>
        </is>
      </c>
    </row>
    <row r="95" ht="12" customFormat="1" customHeight="1" s="65">
      <c r="A95" s="43" t="n">
        <v>80</v>
      </c>
      <c r="B95" s="166" t="n"/>
      <c r="C95" s="166" t="n"/>
      <c r="D95" s="166" t="n"/>
      <c r="E95" s="162" t="n"/>
      <c r="F95" s="166" t="n"/>
      <c r="G95" s="162" t="n"/>
      <c r="H95" s="162" t="n"/>
      <c r="I95" s="189">
        <f>E95*G95</f>
        <v/>
      </c>
      <c r="J95" s="195" t="n"/>
      <c r="K95" s="162" t="n"/>
      <c r="L95" s="168" t="n"/>
      <c r="M95" s="75">
        <f>_xlfn.XLOOKUP(L95,list_vat[Страна],list_vat[Ставка НДС %],0,0)</f>
        <v/>
      </c>
      <c r="N95" s="162">
        <f>IFERROR(IF(L95="Китай",K95,K95/(1+M95)),0)</f>
        <v/>
      </c>
      <c r="O95" s="169" t="n"/>
      <c r="P95" s="76">
        <f>N95*(1-O95)</f>
        <v/>
      </c>
      <c r="Q95" s="162" t="n"/>
      <c r="R95" s="162">
        <f>IF(ISBLANK(Q95),"введи курс",P95/Q95)</f>
        <v/>
      </c>
      <c r="S95" s="196">
        <f>IF(AND(ISNUMBER(E95),ISNUMBER(Q95)),E95*R95,0)</f>
        <v/>
      </c>
      <c r="T95" s="192">
        <f>$BC95*V$11</f>
        <v/>
      </c>
      <c r="U95" s="76">
        <f>$BC95*W$11</f>
        <v/>
      </c>
      <c r="V95" s="193">
        <f>+SUM(T95:U95)</f>
        <v/>
      </c>
      <c r="W95" s="191" t="n"/>
      <c r="X95" s="170" t="n"/>
      <c r="Y95" s="76">
        <f>ROUND(IF(offer_incoterms="DDP",X95*(S95*(1+AW95)+T95),0),2)</f>
        <v/>
      </c>
      <c r="Z95" s="188" t="n"/>
      <c r="AA95" s="192">
        <f>IFERROR(AB95/E95,0)</f>
        <v/>
      </c>
      <c r="AB95" s="76">
        <f>ROUND(SUM(S95,V95,Y95:Z95,BA95:BB95),2)</f>
        <v/>
      </c>
      <c r="AC95" s="797" t="n"/>
      <c r="AD95" s="192">
        <f t="array" ref="AD95">IFERROR(ROUND((_xlfn.IFS(offer_sale_type="поставка",AB95,offer_sale_type="транзит",S95)*(1+AC95))/E95,2),0)</f>
        <v/>
      </c>
      <c r="AE95" s="76">
        <f>AD95*E95</f>
        <v/>
      </c>
      <c r="AF95" s="193">
        <f t="array" ref="AF95">IFERROR(ROUND(_xlfn.IFS(offer_sale_type="поставка",AB95,offer_sale_type="транзит",S95)*AC95,2),0)</f>
        <v/>
      </c>
      <c r="AG95" s="192">
        <f>$BD95*VLOOKUP($AG$3,$AF$4:$AG$7,2,FALSE)</f>
        <v/>
      </c>
      <c r="AH95" s="76">
        <f>SUM(AE95,AG95,AI95)*rate_forex_risk</f>
        <v/>
      </c>
      <c r="AI95" s="193">
        <f>IF(OR(seller_region="TR",offer_sale_type="экспорт"),0,rate_fin_comm)*SUM(AZ95,AZ95*AW95,T95)</f>
        <v/>
      </c>
      <c r="AJ95" s="118">
        <f>IFERROR(ROUND(SUM(AB95,AF95:AI95)/E95,2),0)</f>
        <v/>
      </c>
      <c r="AK95" s="76">
        <f>AJ95*E95</f>
        <v/>
      </c>
      <c r="AL95" s="174">
        <f>ROUND(IFERROR(AM95*E95,0),2)</f>
        <v/>
      </c>
      <c r="AM95" s="175">
        <f>ROUND(AJ95*(1+IF(offer_incoterms="DDP",IF((TODAY()+offer_turnaround_time)&gt;=helpsheet!$L$17,rate_vatRU_from_26,rate_vatRu_till_25),0)),2)</f>
        <v/>
      </c>
      <c r="AN95" s="192">
        <f>AL95-AK95</f>
        <v/>
      </c>
      <c r="AO95" s="76">
        <f>SUM(AY95,Y95:Z95,T95)*IF(AND(offer_incoterms="DDP",offer_sale_type&lt;&gt;"экспорт"),IF((TODAY()+offer_turnaround_time)&gt;=helpsheet!$L$17,rate_vatRU_from_26,rate_vatRu_till_25),0)</f>
        <v/>
      </c>
      <c r="AP95" s="193">
        <f>AN95-AO95</f>
        <v/>
      </c>
      <c r="AQ95" s="118">
        <f>IF(offer_sale_type="транзит",SUM(AF95:AI95,BA95,BB95),0)</f>
        <v/>
      </c>
      <c r="AR95" s="82">
        <f>HYPERLINK("https://www.alta.ru/tnved/code/")&amp;W95&amp;"/"</f>
        <v/>
      </c>
      <c r="AS95" s="157" t="n"/>
      <c r="AT95" s="162" t="n"/>
      <c r="AU95" s="76">
        <f>IF(ISBLANK(AT95),0,AJ95-AT95)</f>
        <v/>
      </c>
      <c r="AV95" s="157" t="n"/>
      <c r="AW95" s="75">
        <f>_xlfn.IFNA(VLOOKUP(L95,list_vat[],3,FALSE),0)</f>
        <v/>
      </c>
      <c r="AX95" s="76">
        <f>IFERROR(ROUND(S95*(1+AW95)/E95,2),0)</f>
        <v/>
      </c>
      <c r="AY95" s="76">
        <f>E95*AX95</f>
        <v/>
      </c>
      <c r="AZ95" s="192">
        <f>S95*(1+M95)</f>
        <v/>
      </c>
      <c r="BA95" s="76">
        <f>cost_fin_total*$BD95</f>
        <v/>
      </c>
      <c r="BB95" s="193">
        <f>credit_sales_interest*BD95</f>
        <v/>
      </c>
      <c r="BC95" s="102">
        <f>IFERROR(IF($I$13&gt;0,$I95/$I$13,$S95/$S$13),0)</f>
        <v/>
      </c>
      <c r="BD95" s="102">
        <f>IFERROR($S95/$S$13,0)</f>
        <v/>
      </c>
      <c r="BE95" s="413" t="inlineStr">
        <is>
          <t>$</t>
        </is>
      </c>
    </row>
    <row r="96" ht="12" customFormat="1" customHeight="1" s="65">
      <c r="A96" s="43" t="n">
        <v>81</v>
      </c>
      <c r="B96" s="166" t="n"/>
      <c r="C96" s="166" t="n"/>
      <c r="D96" s="166" t="n"/>
      <c r="E96" s="162" t="n"/>
      <c r="F96" s="166" t="n"/>
      <c r="G96" s="162" t="n"/>
      <c r="H96" s="162" t="n"/>
      <c r="I96" s="189">
        <f>E96*G96</f>
        <v/>
      </c>
      <c r="J96" s="195" t="n"/>
      <c r="K96" s="162" t="n"/>
      <c r="L96" s="168" t="n"/>
      <c r="M96" s="75">
        <f>_xlfn.XLOOKUP(L96,list_vat[Страна],list_vat[Ставка НДС %],0,0)</f>
        <v/>
      </c>
      <c r="N96" s="162">
        <f>IFERROR(IF(L96="Китай",K96,K96/(1+M96)),0)</f>
        <v/>
      </c>
      <c r="O96" s="169" t="n"/>
      <c r="P96" s="76">
        <f>N96*(1-O96)</f>
        <v/>
      </c>
      <c r="Q96" s="162" t="n"/>
      <c r="R96" s="162">
        <f>IF(ISBLANK(Q96),"введи курс",P96/Q96)</f>
        <v/>
      </c>
      <c r="S96" s="196">
        <f>IF(AND(ISNUMBER(E96),ISNUMBER(Q96)),E96*R96,0)</f>
        <v/>
      </c>
      <c r="T96" s="192">
        <f>$BC96*V$11</f>
        <v/>
      </c>
      <c r="U96" s="76">
        <f>$BC96*W$11</f>
        <v/>
      </c>
      <c r="V96" s="193">
        <f>+SUM(T96:U96)</f>
        <v/>
      </c>
      <c r="W96" s="191" t="n"/>
      <c r="X96" s="170" t="n"/>
      <c r="Y96" s="76">
        <f>ROUND(IF(offer_incoterms="DDP",X96*(S96*(1+AW96)+T96),0),2)</f>
        <v/>
      </c>
      <c r="Z96" s="188" t="n"/>
      <c r="AA96" s="192">
        <f>IFERROR(AB96/E96,0)</f>
        <v/>
      </c>
      <c r="AB96" s="76">
        <f>ROUND(SUM(S96,V96,Y96:Z96,BA96:BB96),2)</f>
        <v/>
      </c>
      <c r="AC96" s="797" t="n"/>
      <c r="AD96" s="192">
        <f t="array" ref="AD96">IFERROR(ROUND((_xlfn.IFS(offer_sale_type="поставка",AB96,offer_sale_type="транзит",S96)*(1+AC96))/E96,2),0)</f>
        <v/>
      </c>
      <c r="AE96" s="76">
        <f>AD96*E96</f>
        <v/>
      </c>
      <c r="AF96" s="193">
        <f t="array" ref="AF96">IFERROR(ROUND(_xlfn.IFS(offer_sale_type="поставка",AB96,offer_sale_type="транзит",S96)*AC96,2),0)</f>
        <v/>
      </c>
      <c r="AG96" s="192">
        <f>$BD96*VLOOKUP($AG$3,$AF$4:$AG$7,2,FALSE)</f>
        <v/>
      </c>
      <c r="AH96" s="76">
        <f>SUM(AE96,AG96,AI96)*rate_forex_risk</f>
        <v/>
      </c>
      <c r="AI96" s="193">
        <f>IF(OR(seller_region="TR",offer_sale_type="экспорт"),0,rate_fin_comm)*SUM(AZ96,AZ96*AW96,T96)</f>
        <v/>
      </c>
      <c r="AJ96" s="118">
        <f>IFERROR(ROUND(SUM(AB96,AF96:AI96)/E96,2),0)</f>
        <v/>
      </c>
      <c r="AK96" s="76">
        <f>AJ96*E96</f>
        <v/>
      </c>
      <c r="AL96" s="174">
        <f>ROUND(IFERROR(AM96*E96,0),2)</f>
        <v/>
      </c>
      <c r="AM96" s="175">
        <f>ROUND(AJ96*(1+IF(offer_incoterms="DDP",IF((TODAY()+offer_turnaround_time)&gt;=helpsheet!$L$17,rate_vatRU_from_26,rate_vatRu_till_25),0)),2)</f>
        <v/>
      </c>
      <c r="AN96" s="192">
        <f>AL96-AK96</f>
        <v/>
      </c>
      <c r="AO96" s="76">
        <f>SUM(AY96,Y96:Z96,T96)*IF(AND(offer_incoterms="DDP",offer_sale_type&lt;&gt;"экспорт"),IF((TODAY()+offer_turnaround_time)&gt;=helpsheet!$L$17,rate_vatRU_from_26,rate_vatRu_till_25),0)</f>
        <v/>
      </c>
      <c r="AP96" s="193">
        <f>AN96-AO96</f>
        <v/>
      </c>
      <c r="AQ96" s="118">
        <f>IF(offer_sale_type="транзит",SUM(AF96:AI96,BA96,BB96),0)</f>
        <v/>
      </c>
      <c r="AR96" s="82">
        <f>HYPERLINK("https://www.alta.ru/tnved/code/")&amp;W96&amp;"/"</f>
        <v/>
      </c>
      <c r="AS96" s="157" t="n"/>
      <c r="AT96" s="162" t="n"/>
      <c r="AU96" s="76">
        <f>IF(ISBLANK(AT96),0,AJ96-AT96)</f>
        <v/>
      </c>
      <c r="AV96" s="157" t="n"/>
      <c r="AW96" s="75">
        <f>_xlfn.IFNA(VLOOKUP(L96,list_vat[],3,FALSE),0)</f>
        <v/>
      </c>
      <c r="AX96" s="76">
        <f>IFERROR(ROUND(S96*(1+AW96)/E96,2),0)</f>
        <v/>
      </c>
      <c r="AY96" s="76">
        <f>E96*AX96</f>
        <v/>
      </c>
      <c r="AZ96" s="192">
        <f>S96*(1+M96)</f>
        <v/>
      </c>
      <c r="BA96" s="76">
        <f>cost_fin_total*$BD96</f>
        <v/>
      </c>
      <c r="BB96" s="193">
        <f>credit_sales_interest*BD96</f>
        <v/>
      </c>
      <c r="BC96" s="102">
        <f>IFERROR(IF($I$13&gt;0,$I96/$I$13,$S96/$S$13),0)</f>
        <v/>
      </c>
      <c r="BD96" s="102">
        <f>IFERROR($S96/$S$13,0)</f>
        <v/>
      </c>
      <c r="BE96" s="413" t="inlineStr">
        <is>
          <t>$</t>
        </is>
      </c>
    </row>
    <row r="97" ht="12" customFormat="1" customHeight="1" s="65">
      <c r="A97" s="43" t="n">
        <v>82</v>
      </c>
      <c r="B97" s="166" t="n"/>
      <c r="C97" s="166" t="n"/>
      <c r="D97" s="166" t="n"/>
      <c r="E97" s="162" t="n"/>
      <c r="F97" s="166" t="n"/>
      <c r="G97" s="162" t="n"/>
      <c r="H97" s="162" t="n"/>
      <c r="I97" s="189">
        <f>E97*G97</f>
        <v/>
      </c>
      <c r="J97" s="195" t="n"/>
      <c r="K97" s="162" t="n"/>
      <c r="L97" s="168" t="n"/>
      <c r="M97" s="75">
        <f>_xlfn.XLOOKUP(L97,list_vat[Страна],list_vat[Ставка НДС %],0,0)</f>
        <v/>
      </c>
      <c r="N97" s="162">
        <f>IFERROR(IF(L97="Китай",K97,K97/(1+M97)),0)</f>
        <v/>
      </c>
      <c r="O97" s="169" t="n"/>
      <c r="P97" s="76">
        <f>N97*(1-O97)</f>
        <v/>
      </c>
      <c r="Q97" s="162" t="n"/>
      <c r="R97" s="162">
        <f>IF(ISBLANK(Q97),"введи курс",P97/Q97)</f>
        <v/>
      </c>
      <c r="S97" s="196">
        <f>IF(AND(ISNUMBER(E97),ISNUMBER(Q97)),E97*R97,0)</f>
        <v/>
      </c>
      <c r="T97" s="192">
        <f>$BC97*V$11</f>
        <v/>
      </c>
      <c r="U97" s="76">
        <f>$BC97*W$11</f>
        <v/>
      </c>
      <c r="V97" s="193">
        <f>+SUM(T97:U97)</f>
        <v/>
      </c>
      <c r="W97" s="191" t="n"/>
      <c r="X97" s="170" t="n"/>
      <c r="Y97" s="76">
        <f>ROUND(IF(offer_incoterms="DDP",X97*(S97*(1+AW97)+T97),0),2)</f>
        <v/>
      </c>
      <c r="Z97" s="188" t="n"/>
      <c r="AA97" s="192">
        <f>IFERROR(AB97/E97,0)</f>
        <v/>
      </c>
      <c r="AB97" s="76">
        <f>ROUND(SUM(S97,V97,Y97:Z97,BA97:BB97),2)</f>
        <v/>
      </c>
      <c r="AC97" s="797" t="n"/>
      <c r="AD97" s="192">
        <f t="array" ref="AD97">IFERROR(ROUND((_xlfn.IFS(offer_sale_type="поставка",AB97,offer_sale_type="транзит",S97)*(1+AC97))/E97,2),0)</f>
        <v/>
      </c>
      <c r="AE97" s="76">
        <f>AD97*E97</f>
        <v/>
      </c>
      <c r="AF97" s="193">
        <f t="array" ref="AF97">IFERROR(ROUND(_xlfn.IFS(offer_sale_type="поставка",AB97,offer_sale_type="транзит",S97)*AC97,2),0)</f>
        <v/>
      </c>
      <c r="AG97" s="192">
        <f>$BD97*VLOOKUP($AG$3,$AF$4:$AG$7,2,FALSE)</f>
        <v/>
      </c>
      <c r="AH97" s="76">
        <f>SUM(AE97,AG97,AI97)*rate_forex_risk</f>
        <v/>
      </c>
      <c r="AI97" s="193">
        <f>IF(OR(seller_region="TR",offer_sale_type="экспорт"),0,rate_fin_comm)*SUM(AZ97,AZ97*AW97,T97)</f>
        <v/>
      </c>
      <c r="AJ97" s="118">
        <f>IFERROR(ROUND(SUM(AB97,AF97:AI97)/E97,2),0)</f>
        <v/>
      </c>
      <c r="AK97" s="76">
        <f>AJ97*E97</f>
        <v/>
      </c>
      <c r="AL97" s="174">
        <f>ROUND(IFERROR(AM97*E97,0),2)</f>
        <v/>
      </c>
      <c r="AM97" s="175">
        <f>ROUND(AJ97*(1+IF(offer_incoterms="DDP",IF((TODAY()+offer_turnaround_time)&gt;=helpsheet!$L$17,rate_vatRU_from_26,rate_vatRu_till_25),0)),2)</f>
        <v/>
      </c>
      <c r="AN97" s="192">
        <f>AL97-AK97</f>
        <v/>
      </c>
      <c r="AO97" s="76">
        <f>SUM(AY97,Y97:Z97,T97)*IF(AND(offer_incoterms="DDP",offer_sale_type&lt;&gt;"экспорт"),IF((TODAY()+offer_turnaround_time)&gt;=helpsheet!$L$17,rate_vatRU_from_26,rate_vatRu_till_25),0)</f>
        <v/>
      </c>
      <c r="AP97" s="193">
        <f>AN97-AO97</f>
        <v/>
      </c>
      <c r="AQ97" s="118">
        <f>IF(offer_sale_type="транзит",SUM(AF97:AI97,BA97,BB97),0)</f>
        <v/>
      </c>
      <c r="AR97" s="82">
        <f>HYPERLINK("https://www.alta.ru/tnved/code/")&amp;W97&amp;"/"</f>
        <v/>
      </c>
      <c r="AS97" s="157" t="n"/>
      <c r="AT97" s="162" t="n"/>
      <c r="AU97" s="76">
        <f>IF(ISBLANK(AT97),0,AJ97-AT97)</f>
        <v/>
      </c>
      <c r="AV97" s="157" t="n"/>
      <c r="AW97" s="75">
        <f>_xlfn.IFNA(VLOOKUP(L97,list_vat[],3,FALSE),0)</f>
        <v/>
      </c>
      <c r="AX97" s="76">
        <f>IFERROR(ROUND(S97*(1+AW97)/E97,2),0)</f>
        <v/>
      </c>
      <c r="AY97" s="76">
        <f>E97*AX97</f>
        <v/>
      </c>
      <c r="AZ97" s="192">
        <f>S97*(1+M97)</f>
        <v/>
      </c>
      <c r="BA97" s="76">
        <f>cost_fin_total*$BD97</f>
        <v/>
      </c>
      <c r="BB97" s="193">
        <f>credit_sales_interest*BD97</f>
        <v/>
      </c>
      <c r="BC97" s="102">
        <f>IFERROR(IF($I$13&gt;0,$I97/$I$13,$S97/$S$13),0)</f>
        <v/>
      </c>
      <c r="BD97" s="102">
        <f>IFERROR($S97/$S$13,0)</f>
        <v/>
      </c>
      <c r="BE97" s="413" t="inlineStr">
        <is>
          <t>$</t>
        </is>
      </c>
    </row>
    <row r="98" ht="12" customFormat="1" customHeight="1" s="65">
      <c r="A98" s="43" t="n">
        <v>83</v>
      </c>
      <c r="B98" s="166" t="n"/>
      <c r="C98" s="166" t="n"/>
      <c r="D98" s="166" t="n"/>
      <c r="E98" s="162" t="n"/>
      <c r="F98" s="166" t="n"/>
      <c r="G98" s="162" t="n"/>
      <c r="H98" s="162" t="n"/>
      <c r="I98" s="189">
        <f>E98*G98</f>
        <v/>
      </c>
      <c r="J98" s="195" t="n"/>
      <c r="K98" s="162" t="n"/>
      <c r="L98" s="168" t="n"/>
      <c r="M98" s="75">
        <f>_xlfn.XLOOKUP(L98,list_vat[Страна],list_vat[Ставка НДС %],0,0)</f>
        <v/>
      </c>
      <c r="N98" s="162">
        <f>IFERROR(IF(L98="Китай",K98,K98/(1+M98)),0)</f>
        <v/>
      </c>
      <c r="O98" s="169" t="n"/>
      <c r="P98" s="76">
        <f>N98*(1-O98)</f>
        <v/>
      </c>
      <c r="Q98" s="162" t="n"/>
      <c r="R98" s="162">
        <f>IF(ISBLANK(Q98),"введи курс",P98/Q98)</f>
        <v/>
      </c>
      <c r="S98" s="196">
        <f>IF(AND(ISNUMBER(E98),ISNUMBER(Q98)),E98*R98,0)</f>
        <v/>
      </c>
      <c r="T98" s="192">
        <f>$BC98*V$11</f>
        <v/>
      </c>
      <c r="U98" s="76">
        <f>$BC98*W$11</f>
        <v/>
      </c>
      <c r="V98" s="193">
        <f>+SUM(T98:U98)</f>
        <v/>
      </c>
      <c r="W98" s="191" t="n"/>
      <c r="X98" s="170" t="n"/>
      <c r="Y98" s="76">
        <f>ROUND(IF(offer_incoterms="DDP",X98*(S98*(1+AW98)+T98),0),2)</f>
        <v/>
      </c>
      <c r="Z98" s="188" t="n"/>
      <c r="AA98" s="192">
        <f>IFERROR(AB98/E98,0)</f>
        <v/>
      </c>
      <c r="AB98" s="76">
        <f>ROUND(SUM(S98,V98,Y98:Z98,BA98:BB98),2)</f>
        <v/>
      </c>
      <c r="AC98" s="797" t="n"/>
      <c r="AD98" s="192">
        <f t="array" ref="AD98">IFERROR(ROUND((_xlfn.IFS(offer_sale_type="поставка",AB98,offer_sale_type="транзит",S98)*(1+AC98))/E98,2),0)</f>
        <v/>
      </c>
      <c r="AE98" s="76">
        <f>AD98*E98</f>
        <v/>
      </c>
      <c r="AF98" s="193">
        <f t="array" ref="AF98">IFERROR(ROUND(_xlfn.IFS(offer_sale_type="поставка",AB98,offer_sale_type="транзит",S98)*AC98,2),0)</f>
        <v/>
      </c>
      <c r="AG98" s="192">
        <f>$BD98*VLOOKUP($AG$3,$AF$4:$AG$7,2,FALSE)</f>
        <v/>
      </c>
      <c r="AH98" s="76">
        <f>SUM(AE98,AG98,AI98)*rate_forex_risk</f>
        <v/>
      </c>
      <c r="AI98" s="193">
        <f>IF(OR(seller_region="TR",offer_sale_type="экспорт"),0,rate_fin_comm)*SUM(AZ98,AZ98*AW98,T98)</f>
        <v/>
      </c>
      <c r="AJ98" s="118">
        <f>IFERROR(ROUND(SUM(AB98,AF98:AI98)/E98,2),0)</f>
        <v/>
      </c>
      <c r="AK98" s="76">
        <f>AJ98*E98</f>
        <v/>
      </c>
      <c r="AL98" s="174">
        <f>ROUND(IFERROR(AM98*E98,0),2)</f>
        <v/>
      </c>
      <c r="AM98" s="175">
        <f>ROUND(AJ98*(1+IF(offer_incoterms="DDP",IF((TODAY()+offer_turnaround_time)&gt;=helpsheet!$L$17,rate_vatRU_from_26,rate_vatRu_till_25),0)),2)</f>
        <v/>
      </c>
      <c r="AN98" s="192">
        <f>AL98-AK98</f>
        <v/>
      </c>
      <c r="AO98" s="76">
        <f>SUM(AY98,Y98:Z98,T98)*IF(AND(offer_incoterms="DDP",offer_sale_type&lt;&gt;"экспорт"),IF((TODAY()+offer_turnaround_time)&gt;=helpsheet!$L$17,rate_vatRU_from_26,rate_vatRu_till_25),0)</f>
        <v/>
      </c>
      <c r="AP98" s="193">
        <f>AN98-AO98</f>
        <v/>
      </c>
      <c r="AQ98" s="118">
        <f>IF(offer_sale_type="транзит",SUM(AF98:AI98,BA98,BB98),0)</f>
        <v/>
      </c>
      <c r="AR98" s="82">
        <f>HYPERLINK("https://www.alta.ru/tnved/code/")&amp;W98&amp;"/"</f>
        <v/>
      </c>
      <c r="AS98" s="157" t="n"/>
      <c r="AT98" s="162" t="n"/>
      <c r="AU98" s="76">
        <f>IF(ISBLANK(AT98),0,AJ98-AT98)</f>
        <v/>
      </c>
      <c r="AV98" s="157" t="n"/>
      <c r="AW98" s="75">
        <f>_xlfn.IFNA(VLOOKUP(L98,list_vat[],3,FALSE),0)</f>
        <v/>
      </c>
      <c r="AX98" s="76">
        <f>IFERROR(ROUND(S98*(1+AW98)/E98,2),0)</f>
        <v/>
      </c>
      <c r="AY98" s="76">
        <f>E98*AX98</f>
        <v/>
      </c>
      <c r="AZ98" s="192">
        <f>S98*(1+M98)</f>
        <v/>
      </c>
      <c r="BA98" s="76">
        <f>cost_fin_total*$BD98</f>
        <v/>
      </c>
      <c r="BB98" s="193">
        <f>credit_sales_interest*BD98</f>
        <v/>
      </c>
      <c r="BC98" s="102">
        <f>IFERROR(IF($I$13&gt;0,$I98/$I$13,$S98/$S$13),0)</f>
        <v/>
      </c>
      <c r="BD98" s="102">
        <f>IFERROR($S98/$S$13,0)</f>
        <v/>
      </c>
      <c r="BE98" s="413" t="inlineStr">
        <is>
          <t>$</t>
        </is>
      </c>
    </row>
    <row r="99" ht="12" customFormat="1" customHeight="1" s="65">
      <c r="A99" s="43" t="n">
        <v>84</v>
      </c>
      <c r="B99" s="166" t="n"/>
      <c r="C99" s="166" t="n"/>
      <c r="D99" s="166" t="n"/>
      <c r="E99" s="162" t="n"/>
      <c r="F99" s="166" t="n"/>
      <c r="G99" s="162" t="n"/>
      <c r="H99" s="162" t="n"/>
      <c r="I99" s="189">
        <f>E99*G99</f>
        <v/>
      </c>
      <c r="J99" s="195" t="n"/>
      <c r="K99" s="162" t="n"/>
      <c r="L99" s="168" t="n"/>
      <c r="M99" s="75">
        <f>_xlfn.XLOOKUP(L99,list_vat[Страна],list_vat[Ставка НДС %],0,0)</f>
        <v/>
      </c>
      <c r="N99" s="162">
        <f>IFERROR(IF(L99="Китай",K99,K99/(1+M99)),0)</f>
        <v/>
      </c>
      <c r="O99" s="169" t="n"/>
      <c r="P99" s="76">
        <f>N99*(1-O99)</f>
        <v/>
      </c>
      <c r="Q99" s="162" t="n"/>
      <c r="R99" s="162">
        <f>IF(ISBLANK(Q99),"введи курс",P99/Q99)</f>
        <v/>
      </c>
      <c r="S99" s="196">
        <f>IF(AND(ISNUMBER(E99),ISNUMBER(Q99)),E99*R99,0)</f>
        <v/>
      </c>
      <c r="T99" s="192">
        <f>$BC99*V$11</f>
        <v/>
      </c>
      <c r="U99" s="76">
        <f>$BC99*W$11</f>
        <v/>
      </c>
      <c r="V99" s="193">
        <f>+SUM(T99:U99)</f>
        <v/>
      </c>
      <c r="W99" s="191" t="n"/>
      <c r="X99" s="170" t="n"/>
      <c r="Y99" s="76">
        <f>ROUND(IF(offer_incoterms="DDP",X99*(S99*(1+AW99)+T99),0),2)</f>
        <v/>
      </c>
      <c r="Z99" s="188" t="n"/>
      <c r="AA99" s="192">
        <f>IFERROR(AB99/E99,0)</f>
        <v/>
      </c>
      <c r="AB99" s="76">
        <f>ROUND(SUM(S99,V99,Y99:Z99,BA99:BB99),2)</f>
        <v/>
      </c>
      <c r="AC99" s="797" t="n"/>
      <c r="AD99" s="192">
        <f t="array" ref="AD99">IFERROR(ROUND((_xlfn.IFS(offer_sale_type="поставка",AB99,offer_sale_type="транзит",S99)*(1+AC99))/E99,2),0)</f>
        <v/>
      </c>
      <c r="AE99" s="76">
        <f>AD99*E99</f>
        <v/>
      </c>
      <c r="AF99" s="193">
        <f t="array" ref="AF99">IFERROR(ROUND(_xlfn.IFS(offer_sale_type="поставка",AB99,offer_sale_type="транзит",S99)*AC99,2),0)</f>
        <v/>
      </c>
      <c r="AG99" s="192">
        <f>$BD99*VLOOKUP($AG$3,$AF$4:$AG$7,2,FALSE)</f>
        <v/>
      </c>
      <c r="AH99" s="76">
        <f>SUM(AE99,AG99,AI99)*rate_forex_risk</f>
        <v/>
      </c>
      <c r="AI99" s="193">
        <f>IF(OR(seller_region="TR",offer_sale_type="экспорт"),0,rate_fin_comm)*SUM(AZ99,AZ99*AW99,T99)</f>
        <v/>
      </c>
      <c r="AJ99" s="118">
        <f>IFERROR(ROUND(SUM(AB99,AF99:AI99)/E99,2),0)</f>
        <v/>
      </c>
      <c r="AK99" s="76">
        <f>AJ99*E99</f>
        <v/>
      </c>
      <c r="AL99" s="174">
        <f>ROUND(IFERROR(AM99*E99,0),2)</f>
        <v/>
      </c>
      <c r="AM99" s="175">
        <f>ROUND(AJ99*(1+IF(offer_incoterms="DDP",IF((TODAY()+offer_turnaround_time)&gt;=helpsheet!$L$17,rate_vatRU_from_26,rate_vatRu_till_25),0)),2)</f>
        <v/>
      </c>
      <c r="AN99" s="192">
        <f>AL99-AK99</f>
        <v/>
      </c>
      <c r="AO99" s="76">
        <f>SUM(AY99,Y99:Z99,T99)*IF(AND(offer_incoterms="DDP",offer_sale_type&lt;&gt;"экспорт"),IF((TODAY()+offer_turnaround_time)&gt;=helpsheet!$L$17,rate_vatRU_from_26,rate_vatRu_till_25),0)</f>
        <v/>
      </c>
      <c r="AP99" s="193">
        <f>AN99-AO99</f>
        <v/>
      </c>
      <c r="AQ99" s="118">
        <f>IF(offer_sale_type="транзит",SUM(AF99:AI99,BA99,BB99),0)</f>
        <v/>
      </c>
      <c r="AR99" s="82">
        <f>HYPERLINK("https://www.alta.ru/tnved/code/")&amp;W99&amp;"/"</f>
        <v/>
      </c>
      <c r="AS99" s="157" t="n"/>
      <c r="AT99" s="162" t="n"/>
      <c r="AU99" s="76">
        <f>IF(ISBLANK(AT99),0,AJ99-AT99)</f>
        <v/>
      </c>
      <c r="AV99" s="157" t="n"/>
      <c r="AW99" s="75">
        <f>_xlfn.IFNA(VLOOKUP(L99,list_vat[],3,FALSE),0)</f>
        <v/>
      </c>
      <c r="AX99" s="76">
        <f>IFERROR(ROUND(S99*(1+AW99)/E99,2),0)</f>
        <v/>
      </c>
      <c r="AY99" s="76">
        <f>E99*AX99</f>
        <v/>
      </c>
      <c r="AZ99" s="192">
        <f>S99*(1+M99)</f>
        <v/>
      </c>
      <c r="BA99" s="76">
        <f>cost_fin_total*$BD99</f>
        <v/>
      </c>
      <c r="BB99" s="193">
        <f>credit_sales_interest*BD99</f>
        <v/>
      </c>
      <c r="BC99" s="102">
        <f>IFERROR(IF($I$13&gt;0,$I99/$I$13,$S99/$S$13),0)</f>
        <v/>
      </c>
      <c r="BD99" s="102">
        <f>IFERROR($S99/$S$13,0)</f>
        <v/>
      </c>
      <c r="BE99" s="413" t="inlineStr">
        <is>
          <t>$</t>
        </is>
      </c>
    </row>
    <row r="100" ht="12" customFormat="1" customHeight="1" s="65">
      <c r="A100" s="43" t="n">
        <v>85</v>
      </c>
      <c r="B100" s="166" t="n"/>
      <c r="C100" s="166" t="n"/>
      <c r="D100" s="166" t="n"/>
      <c r="E100" s="162" t="n"/>
      <c r="F100" s="166" t="n"/>
      <c r="G100" s="162" t="n"/>
      <c r="H100" s="162" t="n"/>
      <c r="I100" s="189">
        <f>E100*G100</f>
        <v/>
      </c>
      <c r="J100" s="195" t="n"/>
      <c r="K100" s="162" t="n"/>
      <c r="L100" s="168" t="n"/>
      <c r="M100" s="75">
        <f>_xlfn.XLOOKUP(L100,list_vat[Страна],list_vat[Ставка НДС %],0,0)</f>
        <v/>
      </c>
      <c r="N100" s="162">
        <f>IFERROR(IF(L100="Китай",K100,K100/(1+M100)),0)</f>
        <v/>
      </c>
      <c r="O100" s="169" t="n"/>
      <c r="P100" s="76">
        <f>N100*(1-O100)</f>
        <v/>
      </c>
      <c r="Q100" s="162" t="n"/>
      <c r="R100" s="162">
        <f>IF(ISBLANK(Q100),"введи курс",P100/Q100)</f>
        <v/>
      </c>
      <c r="S100" s="196">
        <f>IF(AND(ISNUMBER(E100),ISNUMBER(Q100)),E100*R100,0)</f>
        <v/>
      </c>
      <c r="T100" s="192">
        <f>$BC100*V$11</f>
        <v/>
      </c>
      <c r="U100" s="76">
        <f>$BC100*W$11</f>
        <v/>
      </c>
      <c r="V100" s="193">
        <f>+SUM(T100:U100)</f>
        <v/>
      </c>
      <c r="W100" s="191" t="n"/>
      <c r="X100" s="170" t="n"/>
      <c r="Y100" s="76">
        <f>ROUND(IF(offer_incoterms="DDP",X100*(S100*(1+AW100)+T100),0),2)</f>
        <v/>
      </c>
      <c r="Z100" s="188" t="n"/>
      <c r="AA100" s="192">
        <f>IFERROR(AB100/E100,0)</f>
        <v/>
      </c>
      <c r="AB100" s="76">
        <f>ROUND(SUM(S100,V100,Y100:Z100,BA100:BB100),2)</f>
        <v/>
      </c>
      <c r="AC100" s="797" t="n"/>
      <c r="AD100" s="192">
        <f t="array" ref="AD100">IFERROR(ROUND((_xlfn.IFS(offer_sale_type="поставка",AB100,offer_sale_type="транзит",S100)*(1+AC100))/E100,2),0)</f>
        <v/>
      </c>
      <c r="AE100" s="76">
        <f>AD100*E100</f>
        <v/>
      </c>
      <c r="AF100" s="193">
        <f t="array" ref="AF100">IFERROR(ROUND(_xlfn.IFS(offer_sale_type="поставка",AB100,offer_sale_type="транзит",S100)*AC100,2),0)</f>
        <v/>
      </c>
      <c r="AG100" s="192">
        <f>$BD100*VLOOKUP($AG$3,$AF$4:$AG$7,2,FALSE)</f>
        <v/>
      </c>
      <c r="AH100" s="76">
        <f>SUM(AE100,AG100,AI100)*rate_forex_risk</f>
        <v/>
      </c>
      <c r="AI100" s="193">
        <f>IF(OR(seller_region="TR",offer_sale_type="экспорт"),0,rate_fin_comm)*SUM(AZ100,AZ100*AW100,T100)</f>
        <v/>
      </c>
      <c r="AJ100" s="118">
        <f>IFERROR(ROUND(SUM(AB100,AF100:AI100)/E100,2),0)</f>
        <v/>
      </c>
      <c r="AK100" s="76">
        <f>AJ100*E100</f>
        <v/>
      </c>
      <c r="AL100" s="174">
        <f>ROUND(IFERROR(AM100*E100,0),2)</f>
        <v/>
      </c>
      <c r="AM100" s="175">
        <f>ROUND(AJ100*(1+IF(offer_incoterms="DDP",IF((TODAY()+offer_turnaround_time)&gt;=helpsheet!$L$17,rate_vatRU_from_26,rate_vatRu_till_25),0)),2)</f>
        <v/>
      </c>
      <c r="AN100" s="192">
        <f>AL100-AK100</f>
        <v/>
      </c>
      <c r="AO100" s="76">
        <f>SUM(AY100,Y100:Z100,T100)*IF(AND(offer_incoterms="DDP",offer_sale_type&lt;&gt;"экспорт"),IF((TODAY()+offer_turnaround_time)&gt;=helpsheet!$L$17,rate_vatRU_from_26,rate_vatRu_till_25),0)</f>
        <v/>
      </c>
      <c r="AP100" s="193">
        <f>AN100-AO100</f>
        <v/>
      </c>
      <c r="AQ100" s="118">
        <f>IF(offer_sale_type="транзит",SUM(AF100:AI100,BA100,BB100),0)</f>
        <v/>
      </c>
      <c r="AR100" s="82">
        <f>HYPERLINK("https://www.alta.ru/tnved/code/")&amp;W100&amp;"/"</f>
        <v/>
      </c>
      <c r="AS100" s="157" t="n"/>
      <c r="AT100" s="162" t="n"/>
      <c r="AU100" s="76">
        <f>IF(ISBLANK(AT100),0,AJ100-AT100)</f>
        <v/>
      </c>
      <c r="AV100" s="157" t="n"/>
      <c r="AW100" s="75">
        <f>_xlfn.IFNA(VLOOKUP(L100,list_vat[],3,FALSE),0)</f>
        <v/>
      </c>
      <c r="AX100" s="76">
        <f>IFERROR(ROUND(S100*(1+AW100)/E100,2),0)</f>
        <v/>
      </c>
      <c r="AY100" s="76">
        <f>E100*AX100</f>
        <v/>
      </c>
      <c r="AZ100" s="192">
        <f>S100*(1+M100)</f>
        <v/>
      </c>
      <c r="BA100" s="76">
        <f>cost_fin_total*$BD100</f>
        <v/>
      </c>
      <c r="BB100" s="193">
        <f>credit_sales_interest*BD100</f>
        <v/>
      </c>
      <c r="BC100" s="102">
        <f>IFERROR(IF($I$13&gt;0,$I100/$I$13,$S100/$S$13),0)</f>
        <v/>
      </c>
      <c r="BD100" s="102">
        <f>IFERROR($S100/$S$13,0)</f>
        <v/>
      </c>
      <c r="BE100" s="413" t="inlineStr">
        <is>
          <t>$</t>
        </is>
      </c>
    </row>
    <row r="101" ht="12" customFormat="1" customHeight="1" s="65">
      <c r="A101" s="43" t="n">
        <v>86</v>
      </c>
      <c r="B101" s="166" t="n"/>
      <c r="C101" s="166" t="n"/>
      <c r="D101" s="166" t="n"/>
      <c r="E101" s="162" t="n"/>
      <c r="F101" s="166" t="n"/>
      <c r="G101" s="162" t="n"/>
      <c r="H101" s="162" t="n"/>
      <c r="I101" s="189">
        <f>E101*G101</f>
        <v/>
      </c>
      <c r="J101" s="195" t="n"/>
      <c r="K101" s="162" t="n"/>
      <c r="L101" s="168" t="n"/>
      <c r="M101" s="75">
        <f>_xlfn.XLOOKUP(L101,list_vat[Страна],list_vat[Ставка НДС %],0,0)</f>
        <v/>
      </c>
      <c r="N101" s="162">
        <f>IFERROR(IF(L101="Китай",K101,K101/(1+M101)),0)</f>
        <v/>
      </c>
      <c r="O101" s="169" t="n"/>
      <c r="P101" s="76">
        <f>N101*(1-O101)</f>
        <v/>
      </c>
      <c r="Q101" s="162" t="n"/>
      <c r="R101" s="162">
        <f>IF(ISBLANK(Q101),"введи курс",P101/Q101)</f>
        <v/>
      </c>
      <c r="S101" s="196">
        <f>IF(AND(ISNUMBER(E101),ISNUMBER(Q101)),E101*R101,0)</f>
        <v/>
      </c>
      <c r="T101" s="192">
        <f>$BC101*V$11</f>
        <v/>
      </c>
      <c r="U101" s="76">
        <f>$BC101*W$11</f>
        <v/>
      </c>
      <c r="V101" s="193">
        <f>+SUM(T101:U101)</f>
        <v/>
      </c>
      <c r="W101" s="191" t="n"/>
      <c r="X101" s="170" t="n"/>
      <c r="Y101" s="76">
        <f>ROUND(IF(offer_incoterms="DDP",X101*(S101*(1+AW101)+T101),0),2)</f>
        <v/>
      </c>
      <c r="Z101" s="188" t="n"/>
      <c r="AA101" s="192">
        <f>IFERROR(AB101/E101,0)</f>
        <v/>
      </c>
      <c r="AB101" s="76">
        <f>ROUND(SUM(S101,V101,Y101:Z101,BA101:BB101),2)</f>
        <v/>
      </c>
      <c r="AC101" s="797" t="n"/>
      <c r="AD101" s="192">
        <f t="array" ref="AD101">IFERROR(ROUND((_xlfn.IFS(offer_sale_type="поставка",AB101,offer_sale_type="транзит",S101)*(1+AC101))/E101,2),0)</f>
        <v/>
      </c>
      <c r="AE101" s="76">
        <f>AD101*E101</f>
        <v/>
      </c>
      <c r="AF101" s="193">
        <f t="array" ref="AF101">IFERROR(ROUND(_xlfn.IFS(offer_sale_type="поставка",AB101,offer_sale_type="транзит",S101)*AC101,2),0)</f>
        <v/>
      </c>
      <c r="AG101" s="192">
        <f>$BD101*VLOOKUP($AG$3,$AF$4:$AG$7,2,FALSE)</f>
        <v/>
      </c>
      <c r="AH101" s="76">
        <f>SUM(AE101,AG101,AI101)*rate_forex_risk</f>
        <v/>
      </c>
      <c r="AI101" s="193">
        <f>IF(OR(seller_region="TR",offer_sale_type="экспорт"),0,rate_fin_comm)*SUM(AZ101,AZ101*AW101,T101)</f>
        <v/>
      </c>
      <c r="AJ101" s="118">
        <f>IFERROR(ROUND(SUM(AB101,AF101:AI101)/E101,2),0)</f>
        <v/>
      </c>
      <c r="AK101" s="76">
        <f>AJ101*E101</f>
        <v/>
      </c>
      <c r="AL101" s="174">
        <f>ROUND(IFERROR(AM101*E101,0),2)</f>
        <v/>
      </c>
      <c r="AM101" s="175">
        <f>ROUND(AJ101*(1+IF(offer_incoterms="DDP",IF((TODAY()+offer_turnaround_time)&gt;=helpsheet!$L$17,rate_vatRU_from_26,rate_vatRu_till_25),0)),2)</f>
        <v/>
      </c>
      <c r="AN101" s="192">
        <f>AL101-AK101</f>
        <v/>
      </c>
      <c r="AO101" s="76">
        <f>SUM(AY101,Y101:Z101,T101)*IF(AND(offer_incoterms="DDP",offer_sale_type&lt;&gt;"экспорт"),IF((TODAY()+offer_turnaround_time)&gt;=helpsheet!$L$17,rate_vatRU_from_26,rate_vatRu_till_25),0)</f>
        <v/>
      </c>
      <c r="AP101" s="193">
        <f>AN101-AO101</f>
        <v/>
      </c>
      <c r="AQ101" s="118">
        <f>IF(offer_sale_type="транзит",SUM(AF101:AI101,BA101,BB101),0)</f>
        <v/>
      </c>
      <c r="AR101" s="82">
        <f>HYPERLINK("https://www.alta.ru/tnved/code/")&amp;W101&amp;"/"</f>
        <v/>
      </c>
      <c r="AS101" s="157" t="n"/>
      <c r="AT101" s="162" t="n"/>
      <c r="AU101" s="76">
        <f>IF(ISBLANK(AT101),0,AJ101-AT101)</f>
        <v/>
      </c>
      <c r="AV101" s="157" t="n"/>
      <c r="AW101" s="75">
        <f>_xlfn.IFNA(VLOOKUP(L101,list_vat[],3,FALSE),0)</f>
        <v/>
      </c>
      <c r="AX101" s="76">
        <f>IFERROR(ROUND(S101*(1+AW101)/E101,2),0)</f>
        <v/>
      </c>
      <c r="AY101" s="76">
        <f>E101*AX101</f>
        <v/>
      </c>
      <c r="AZ101" s="192">
        <f>S101*(1+M101)</f>
        <v/>
      </c>
      <c r="BA101" s="76">
        <f>cost_fin_total*$BD101</f>
        <v/>
      </c>
      <c r="BB101" s="193">
        <f>credit_sales_interest*BD101</f>
        <v/>
      </c>
      <c r="BC101" s="102">
        <f>IFERROR(IF($I$13&gt;0,$I101/$I$13,$S101/$S$13),0)</f>
        <v/>
      </c>
      <c r="BD101" s="102">
        <f>IFERROR($S101/$S$13,0)</f>
        <v/>
      </c>
      <c r="BE101" s="413" t="inlineStr">
        <is>
          <t>$</t>
        </is>
      </c>
    </row>
    <row r="102" ht="12" customFormat="1" customHeight="1" s="65">
      <c r="A102" s="43" t="n">
        <v>87</v>
      </c>
      <c r="B102" s="166" t="n"/>
      <c r="C102" s="166" t="n"/>
      <c r="D102" s="166" t="n"/>
      <c r="E102" s="162" t="n"/>
      <c r="F102" s="166" t="n"/>
      <c r="G102" s="162" t="n"/>
      <c r="H102" s="162" t="n"/>
      <c r="I102" s="189">
        <f>E102*G102</f>
        <v/>
      </c>
      <c r="J102" s="195" t="n"/>
      <c r="K102" s="162" t="n"/>
      <c r="L102" s="168" t="n"/>
      <c r="M102" s="75">
        <f>_xlfn.XLOOKUP(L102,list_vat[Страна],list_vat[Ставка НДС %],0,0)</f>
        <v/>
      </c>
      <c r="N102" s="162">
        <f>IFERROR(IF(L102="Китай",K102,K102/(1+M102)),0)</f>
        <v/>
      </c>
      <c r="O102" s="169" t="n"/>
      <c r="P102" s="76">
        <f>N102*(1-O102)</f>
        <v/>
      </c>
      <c r="Q102" s="162" t="n"/>
      <c r="R102" s="162">
        <f>IF(ISBLANK(Q102),"введи курс",P102/Q102)</f>
        <v/>
      </c>
      <c r="S102" s="196">
        <f>IF(AND(ISNUMBER(E102),ISNUMBER(Q102)),E102*R102,0)</f>
        <v/>
      </c>
      <c r="T102" s="192">
        <f>$BC102*V$11</f>
        <v/>
      </c>
      <c r="U102" s="76">
        <f>$BC102*W$11</f>
        <v/>
      </c>
      <c r="V102" s="193">
        <f>+SUM(T102:U102)</f>
        <v/>
      </c>
      <c r="W102" s="191" t="n"/>
      <c r="X102" s="170" t="n"/>
      <c r="Y102" s="76">
        <f>ROUND(IF(offer_incoterms="DDP",X102*(S102*(1+AW102)+T102),0),2)</f>
        <v/>
      </c>
      <c r="Z102" s="188" t="n"/>
      <c r="AA102" s="192">
        <f>IFERROR(AB102/E102,0)</f>
        <v/>
      </c>
      <c r="AB102" s="76">
        <f>ROUND(SUM(S102,V102,Y102:Z102,BA102:BB102),2)</f>
        <v/>
      </c>
      <c r="AC102" s="797" t="n"/>
      <c r="AD102" s="192">
        <f t="array" ref="AD102">IFERROR(ROUND((_xlfn.IFS(offer_sale_type="поставка",AB102,offer_sale_type="транзит",S102)*(1+AC102))/E102,2),0)</f>
        <v/>
      </c>
      <c r="AE102" s="76">
        <f>AD102*E102</f>
        <v/>
      </c>
      <c r="AF102" s="193">
        <f t="array" ref="AF102">IFERROR(ROUND(_xlfn.IFS(offer_sale_type="поставка",AB102,offer_sale_type="транзит",S102)*AC102,2),0)</f>
        <v/>
      </c>
      <c r="AG102" s="192">
        <f>$BD102*VLOOKUP($AG$3,$AF$4:$AG$7,2,FALSE)</f>
        <v/>
      </c>
      <c r="AH102" s="76">
        <f>SUM(AE102,AG102,AI102)*rate_forex_risk</f>
        <v/>
      </c>
      <c r="AI102" s="193">
        <f>IF(OR(seller_region="TR",offer_sale_type="экспорт"),0,rate_fin_comm)*SUM(AZ102,AZ102*AW102,T102)</f>
        <v/>
      </c>
      <c r="AJ102" s="118">
        <f>IFERROR(ROUND(SUM(AB102,AF102:AI102)/E102,2),0)</f>
        <v/>
      </c>
      <c r="AK102" s="76">
        <f>AJ102*E102</f>
        <v/>
      </c>
      <c r="AL102" s="174">
        <f>ROUND(IFERROR(AM102*E102,0),2)</f>
        <v/>
      </c>
      <c r="AM102" s="175">
        <f>ROUND(AJ102*(1+IF(offer_incoterms="DDP",IF((TODAY()+offer_turnaround_time)&gt;=helpsheet!$L$17,rate_vatRU_from_26,rate_vatRu_till_25),0)),2)</f>
        <v/>
      </c>
      <c r="AN102" s="192">
        <f>AL102-AK102</f>
        <v/>
      </c>
      <c r="AO102" s="76">
        <f>SUM(AY102,Y102:Z102,T102)*IF(AND(offer_incoterms="DDP",offer_sale_type&lt;&gt;"экспорт"),IF((TODAY()+offer_turnaround_time)&gt;=helpsheet!$L$17,rate_vatRU_from_26,rate_vatRu_till_25),0)</f>
        <v/>
      </c>
      <c r="AP102" s="193">
        <f>AN102-AO102</f>
        <v/>
      </c>
      <c r="AQ102" s="118">
        <f>IF(offer_sale_type="транзит",SUM(AF102:AI102,BA102,BB102),0)</f>
        <v/>
      </c>
      <c r="AR102" s="82">
        <f>HYPERLINK("https://www.alta.ru/tnved/code/")&amp;W102&amp;"/"</f>
        <v/>
      </c>
      <c r="AS102" s="157" t="n"/>
      <c r="AT102" s="162" t="n"/>
      <c r="AU102" s="76">
        <f>IF(ISBLANK(AT102),0,AJ102-AT102)</f>
        <v/>
      </c>
      <c r="AV102" s="157" t="n"/>
      <c r="AW102" s="75">
        <f>_xlfn.IFNA(VLOOKUP(L102,list_vat[],3,FALSE),0)</f>
        <v/>
      </c>
      <c r="AX102" s="76">
        <f>IFERROR(ROUND(S102*(1+AW102)/E102,2),0)</f>
        <v/>
      </c>
      <c r="AY102" s="76">
        <f>E102*AX102</f>
        <v/>
      </c>
      <c r="AZ102" s="192">
        <f>S102*(1+M102)</f>
        <v/>
      </c>
      <c r="BA102" s="76">
        <f>cost_fin_total*$BD102</f>
        <v/>
      </c>
      <c r="BB102" s="193">
        <f>credit_sales_interest*BD102</f>
        <v/>
      </c>
      <c r="BC102" s="102">
        <f>IFERROR(IF($I$13&gt;0,$I102/$I$13,$S102/$S$13),0)</f>
        <v/>
      </c>
      <c r="BD102" s="102">
        <f>IFERROR($S102/$S$13,0)</f>
        <v/>
      </c>
      <c r="BE102" s="413" t="inlineStr">
        <is>
          <t>$</t>
        </is>
      </c>
    </row>
    <row r="103" ht="12" customFormat="1" customHeight="1" s="65">
      <c r="A103" s="43" t="n">
        <v>88</v>
      </c>
      <c r="B103" s="166" t="n"/>
      <c r="C103" s="166" t="n"/>
      <c r="D103" s="166" t="n"/>
      <c r="E103" s="162" t="n"/>
      <c r="F103" s="166" t="n"/>
      <c r="G103" s="162" t="n"/>
      <c r="H103" s="162" t="n"/>
      <c r="I103" s="189">
        <f>E103*G103</f>
        <v/>
      </c>
      <c r="J103" s="195" t="n"/>
      <c r="K103" s="162" t="n"/>
      <c r="L103" s="168" t="n"/>
      <c r="M103" s="75">
        <f>_xlfn.XLOOKUP(L103,list_vat[Страна],list_vat[Ставка НДС %],0,0)</f>
        <v/>
      </c>
      <c r="N103" s="162">
        <f>IFERROR(IF(L103="Китай",K103,K103/(1+M103)),0)</f>
        <v/>
      </c>
      <c r="O103" s="169" t="n"/>
      <c r="P103" s="76">
        <f>N103*(1-O103)</f>
        <v/>
      </c>
      <c r="Q103" s="162" t="n"/>
      <c r="R103" s="162">
        <f>IF(ISBLANK(Q103),"введи курс",P103/Q103)</f>
        <v/>
      </c>
      <c r="S103" s="196">
        <f>IF(AND(ISNUMBER(E103),ISNUMBER(Q103)),E103*R103,0)</f>
        <v/>
      </c>
      <c r="T103" s="192">
        <f>$BC103*V$11</f>
        <v/>
      </c>
      <c r="U103" s="76">
        <f>$BC103*W$11</f>
        <v/>
      </c>
      <c r="V103" s="193">
        <f>+SUM(T103:U103)</f>
        <v/>
      </c>
      <c r="W103" s="191" t="n"/>
      <c r="X103" s="170" t="n"/>
      <c r="Y103" s="76">
        <f>ROUND(IF(offer_incoterms="DDP",X103*(S103*(1+AW103)+T103),0),2)</f>
        <v/>
      </c>
      <c r="Z103" s="188" t="n"/>
      <c r="AA103" s="192">
        <f>IFERROR(AB103/E103,0)</f>
        <v/>
      </c>
      <c r="AB103" s="76">
        <f>ROUND(SUM(S103,V103,Y103:Z103,BA103:BB103),2)</f>
        <v/>
      </c>
      <c r="AC103" s="797" t="n"/>
      <c r="AD103" s="192">
        <f t="array" ref="AD103">IFERROR(ROUND((_xlfn.IFS(offer_sale_type="поставка",AB103,offer_sale_type="транзит",S103)*(1+AC103))/E103,2),0)</f>
        <v/>
      </c>
      <c r="AE103" s="76">
        <f>AD103*E103</f>
        <v/>
      </c>
      <c r="AF103" s="193">
        <f t="array" ref="AF103">IFERROR(ROUND(_xlfn.IFS(offer_sale_type="поставка",AB103,offer_sale_type="транзит",S103)*AC103,2),0)</f>
        <v/>
      </c>
      <c r="AG103" s="192">
        <f>$BD103*VLOOKUP($AG$3,$AF$4:$AG$7,2,FALSE)</f>
        <v/>
      </c>
      <c r="AH103" s="76">
        <f>SUM(AE103,AG103,AI103)*rate_forex_risk</f>
        <v/>
      </c>
      <c r="AI103" s="193">
        <f>IF(OR(seller_region="TR",offer_sale_type="экспорт"),0,rate_fin_comm)*SUM(AZ103,AZ103*AW103,T103)</f>
        <v/>
      </c>
      <c r="AJ103" s="118">
        <f>IFERROR(ROUND(SUM(AB103,AF103:AI103)/E103,2),0)</f>
        <v/>
      </c>
      <c r="AK103" s="76">
        <f>AJ103*E103</f>
        <v/>
      </c>
      <c r="AL103" s="174">
        <f>ROUND(IFERROR(AM103*E103,0),2)</f>
        <v/>
      </c>
      <c r="AM103" s="175">
        <f>ROUND(AJ103*(1+IF(offer_incoterms="DDP",IF((TODAY()+offer_turnaround_time)&gt;=helpsheet!$L$17,rate_vatRU_from_26,rate_vatRu_till_25),0)),2)</f>
        <v/>
      </c>
      <c r="AN103" s="192">
        <f>AL103-AK103</f>
        <v/>
      </c>
      <c r="AO103" s="76">
        <f>SUM(AY103,Y103:Z103,T103)*IF(AND(offer_incoterms="DDP",offer_sale_type&lt;&gt;"экспорт"),IF((TODAY()+offer_turnaround_time)&gt;=helpsheet!$L$17,rate_vatRU_from_26,rate_vatRu_till_25),0)</f>
        <v/>
      </c>
      <c r="AP103" s="193">
        <f>AN103-AO103</f>
        <v/>
      </c>
      <c r="AQ103" s="118">
        <f>IF(offer_sale_type="транзит",SUM(AF103:AI103,BA103,BB103),0)</f>
        <v/>
      </c>
      <c r="AR103" s="82">
        <f>HYPERLINK("https://www.alta.ru/tnved/code/")&amp;W103&amp;"/"</f>
        <v/>
      </c>
      <c r="AS103" s="157" t="n"/>
      <c r="AT103" s="162" t="n"/>
      <c r="AU103" s="76">
        <f>IF(ISBLANK(AT103),0,AJ103-AT103)</f>
        <v/>
      </c>
      <c r="AV103" s="157" t="n"/>
      <c r="AW103" s="75">
        <f>_xlfn.IFNA(VLOOKUP(L103,list_vat[],3,FALSE),0)</f>
        <v/>
      </c>
      <c r="AX103" s="76">
        <f>IFERROR(ROUND(S103*(1+AW103)/E103,2),0)</f>
        <v/>
      </c>
      <c r="AY103" s="76">
        <f>E103*AX103</f>
        <v/>
      </c>
      <c r="AZ103" s="192">
        <f>S103*(1+M103)</f>
        <v/>
      </c>
      <c r="BA103" s="76">
        <f>cost_fin_total*$BD103</f>
        <v/>
      </c>
      <c r="BB103" s="193">
        <f>credit_sales_interest*BD103</f>
        <v/>
      </c>
      <c r="BC103" s="102">
        <f>IFERROR(IF($I$13&gt;0,$I103/$I$13,$S103/$S$13),0)</f>
        <v/>
      </c>
      <c r="BD103" s="102">
        <f>IFERROR($S103/$S$13,0)</f>
        <v/>
      </c>
      <c r="BE103" s="413" t="inlineStr">
        <is>
          <t>$</t>
        </is>
      </c>
    </row>
    <row r="104" ht="12" customFormat="1" customHeight="1" s="65">
      <c r="A104" s="43" t="n">
        <v>89</v>
      </c>
      <c r="B104" s="166" t="n"/>
      <c r="C104" s="166" t="n"/>
      <c r="D104" s="166" t="n"/>
      <c r="E104" s="162" t="n"/>
      <c r="F104" s="166" t="n"/>
      <c r="G104" s="162" t="n"/>
      <c r="H104" s="162" t="n"/>
      <c r="I104" s="189">
        <f>E104*G104</f>
        <v/>
      </c>
      <c r="J104" s="195" t="n"/>
      <c r="K104" s="162" t="n"/>
      <c r="L104" s="168" t="n"/>
      <c r="M104" s="75">
        <f>_xlfn.XLOOKUP(L104,list_vat[Страна],list_vat[Ставка НДС %],0,0)</f>
        <v/>
      </c>
      <c r="N104" s="162">
        <f>IFERROR(IF(L104="Китай",K104,K104/(1+M104)),0)</f>
        <v/>
      </c>
      <c r="O104" s="169" t="n"/>
      <c r="P104" s="76">
        <f>N104*(1-O104)</f>
        <v/>
      </c>
      <c r="Q104" s="162" t="n"/>
      <c r="R104" s="162">
        <f>IF(ISBLANK(Q104),"введи курс",P104/Q104)</f>
        <v/>
      </c>
      <c r="S104" s="196">
        <f>IF(AND(ISNUMBER(E104),ISNUMBER(Q104)),E104*R104,0)</f>
        <v/>
      </c>
      <c r="T104" s="192">
        <f>$BC104*V$11</f>
        <v/>
      </c>
      <c r="U104" s="76">
        <f>$BC104*W$11</f>
        <v/>
      </c>
      <c r="V104" s="193">
        <f>+SUM(T104:U104)</f>
        <v/>
      </c>
      <c r="W104" s="191" t="n"/>
      <c r="X104" s="170" t="n"/>
      <c r="Y104" s="76">
        <f>ROUND(IF(offer_incoterms="DDP",X104*(S104*(1+AW104)+T104),0),2)</f>
        <v/>
      </c>
      <c r="Z104" s="188" t="n"/>
      <c r="AA104" s="192">
        <f>IFERROR(AB104/E104,0)</f>
        <v/>
      </c>
      <c r="AB104" s="76">
        <f>ROUND(SUM(S104,V104,Y104:Z104,BA104:BB104),2)</f>
        <v/>
      </c>
      <c r="AC104" s="797" t="n"/>
      <c r="AD104" s="192">
        <f t="array" ref="AD104">IFERROR(ROUND((_xlfn.IFS(offer_sale_type="поставка",AB104,offer_sale_type="транзит",S104)*(1+AC104))/E104,2),0)</f>
        <v/>
      </c>
      <c r="AE104" s="76">
        <f>AD104*E104</f>
        <v/>
      </c>
      <c r="AF104" s="193">
        <f t="array" ref="AF104">IFERROR(ROUND(_xlfn.IFS(offer_sale_type="поставка",AB104,offer_sale_type="транзит",S104)*AC104,2),0)</f>
        <v/>
      </c>
      <c r="AG104" s="192">
        <f>$BD104*VLOOKUP($AG$3,$AF$4:$AG$7,2,FALSE)</f>
        <v/>
      </c>
      <c r="AH104" s="76">
        <f>SUM(AE104,AG104,AI104)*rate_forex_risk</f>
        <v/>
      </c>
      <c r="AI104" s="193">
        <f>IF(OR(seller_region="TR",offer_sale_type="экспорт"),0,rate_fin_comm)*SUM(AZ104,AZ104*AW104,T104)</f>
        <v/>
      </c>
      <c r="AJ104" s="118">
        <f>IFERROR(ROUND(SUM(AB104,AF104:AI104)/E104,2),0)</f>
        <v/>
      </c>
      <c r="AK104" s="76">
        <f>AJ104*E104</f>
        <v/>
      </c>
      <c r="AL104" s="174">
        <f>ROUND(IFERROR(AM104*E104,0),2)</f>
        <v/>
      </c>
      <c r="AM104" s="175">
        <f>ROUND(AJ104*(1+IF(offer_incoterms="DDP",IF((TODAY()+offer_turnaround_time)&gt;=helpsheet!$L$17,rate_vatRU_from_26,rate_vatRu_till_25),0)),2)</f>
        <v/>
      </c>
      <c r="AN104" s="192">
        <f>AL104-AK104</f>
        <v/>
      </c>
      <c r="AO104" s="76">
        <f>SUM(AY104,Y104:Z104,T104)*IF(AND(offer_incoterms="DDP",offer_sale_type&lt;&gt;"экспорт"),IF((TODAY()+offer_turnaround_time)&gt;=helpsheet!$L$17,rate_vatRU_from_26,rate_vatRu_till_25),0)</f>
        <v/>
      </c>
      <c r="AP104" s="193">
        <f>AN104-AO104</f>
        <v/>
      </c>
      <c r="AQ104" s="118">
        <f>IF(offer_sale_type="транзит",SUM(AF104:AI104,BA104,BB104),0)</f>
        <v/>
      </c>
      <c r="AR104" s="82">
        <f>HYPERLINK("https://www.alta.ru/tnved/code/")&amp;W104&amp;"/"</f>
        <v/>
      </c>
      <c r="AS104" s="157" t="n"/>
      <c r="AT104" s="162" t="n"/>
      <c r="AU104" s="76">
        <f>IF(ISBLANK(AT104),0,AJ104-AT104)</f>
        <v/>
      </c>
      <c r="AV104" s="157" t="n"/>
      <c r="AW104" s="75">
        <f>_xlfn.IFNA(VLOOKUP(L104,list_vat[],3,FALSE),0)</f>
        <v/>
      </c>
      <c r="AX104" s="76">
        <f>IFERROR(ROUND(S104*(1+AW104)/E104,2),0)</f>
        <v/>
      </c>
      <c r="AY104" s="76">
        <f>E104*AX104</f>
        <v/>
      </c>
      <c r="AZ104" s="192">
        <f>S104*(1+M104)</f>
        <v/>
      </c>
      <c r="BA104" s="76">
        <f>cost_fin_total*$BD104</f>
        <v/>
      </c>
      <c r="BB104" s="193">
        <f>credit_sales_interest*BD104</f>
        <v/>
      </c>
      <c r="BC104" s="102">
        <f>IFERROR(IF($I$13&gt;0,$I104/$I$13,$S104/$S$13),0)</f>
        <v/>
      </c>
      <c r="BD104" s="102">
        <f>IFERROR($S104/$S$13,0)</f>
        <v/>
      </c>
      <c r="BE104" s="413" t="inlineStr">
        <is>
          <t>$</t>
        </is>
      </c>
    </row>
    <row r="105" ht="12" customFormat="1" customHeight="1" s="65">
      <c r="A105" s="43" t="n">
        <v>90</v>
      </c>
      <c r="B105" s="166" t="n"/>
      <c r="C105" s="166" t="n"/>
      <c r="D105" s="166" t="n"/>
      <c r="E105" s="162" t="n"/>
      <c r="F105" s="166" t="n"/>
      <c r="G105" s="162" t="n"/>
      <c r="H105" s="162" t="n"/>
      <c r="I105" s="189">
        <f>E105*G105</f>
        <v/>
      </c>
      <c r="J105" s="195" t="n"/>
      <c r="K105" s="162" t="n"/>
      <c r="L105" s="168" t="n"/>
      <c r="M105" s="75">
        <f>_xlfn.XLOOKUP(L105,list_vat[Страна],list_vat[Ставка НДС %],0,0)</f>
        <v/>
      </c>
      <c r="N105" s="162">
        <f>IFERROR(IF(L105="Китай",K105,K105/(1+M105)),0)</f>
        <v/>
      </c>
      <c r="O105" s="169" t="n"/>
      <c r="P105" s="76">
        <f>N105*(1-O105)</f>
        <v/>
      </c>
      <c r="Q105" s="162" t="n"/>
      <c r="R105" s="162">
        <f>IF(ISBLANK(Q105),"введи курс",P105/Q105)</f>
        <v/>
      </c>
      <c r="S105" s="196">
        <f>IF(AND(ISNUMBER(E105),ISNUMBER(Q105)),E105*R105,0)</f>
        <v/>
      </c>
      <c r="T105" s="192">
        <f>$BC105*V$11</f>
        <v/>
      </c>
      <c r="U105" s="76">
        <f>$BC105*W$11</f>
        <v/>
      </c>
      <c r="V105" s="193">
        <f>+SUM(T105:U105)</f>
        <v/>
      </c>
      <c r="W105" s="191" t="n"/>
      <c r="X105" s="170" t="n"/>
      <c r="Y105" s="76">
        <f>ROUND(IF(offer_incoterms="DDP",X105*(S105*(1+AW105)+T105),0),2)</f>
        <v/>
      </c>
      <c r="Z105" s="188" t="n"/>
      <c r="AA105" s="192">
        <f>IFERROR(AB105/E105,0)</f>
        <v/>
      </c>
      <c r="AB105" s="76">
        <f>ROUND(SUM(S105,V105,Y105:Z105,BA105:BB105),2)</f>
        <v/>
      </c>
      <c r="AC105" s="797" t="n"/>
      <c r="AD105" s="192">
        <f t="array" ref="AD105">IFERROR(ROUND((_xlfn.IFS(offer_sale_type="поставка",AB105,offer_sale_type="транзит",S105)*(1+AC105))/E105,2),0)</f>
        <v/>
      </c>
      <c r="AE105" s="76">
        <f>AD105*E105</f>
        <v/>
      </c>
      <c r="AF105" s="193">
        <f t="array" ref="AF105">IFERROR(ROUND(_xlfn.IFS(offer_sale_type="поставка",AB105,offer_sale_type="транзит",S105)*AC105,2),0)</f>
        <v/>
      </c>
      <c r="AG105" s="192">
        <f>$BD105*VLOOKUP($AG$3,$AF$4:$AG$7,2,FALSE)</f>
        <v/>
      </c>
      <c r="AH105" s="76">
        <f>SUM(AE105,AG105,AI105)*rate_forex_risk</f>
        <v/>
      </c>
      <c r="AI105" s="193">
        <f>IF(OR(seller_region="TR",offer_sale_type="экспорт"),0,rate_fin_comm)*SUM(AZ105,AZ105*AW105,T105)</f>
        <v/>
      </c>
      <c r="AJ105" s="118">
        <f>IFERROR(ROUND(SUM(AB105,AF105:AI105)/E105,2),0)</f>
        <v/>
      </c>
      <c r="AK105" s="76">
        <f>AJ105*E105</f>
        <v/>
      </c>
      <c r="AL105" s="174">
        <f>ROUND(IFERROR(AM105*E105,0),2)</f>
        <v/>
      </c>
      <c r="AM105" s="175">
        <f>ROUND(AJ105*(1+IF(offer_incoterms="DDP",IF((TODAY()+offer_turnaround_time)&gt;=helpsheet!$L$17,rate_vatRU_from_26,rate_vatRu_till_25),0)),2)</f>
        <v/>
      </c>
      <c r="AN105" s="192">
        <f>AL105-AK105</f>
        <v/>
      </c>
      <c r="AO105" s="76">
        <f>SUM(AY105,Y105:Z105,T105)*IF(AND(offer_incoterms="DDP",offer_sale_type&lt;&gt;"экспорт"),IF((TODAY()+offer_turnaround_time)&gt;=helpsheet!$L$17,rate_vatRU_from_26,rate_vatRu_till_25),0)</f>
        <v/>
      </c>
      <c r="AP105" s="193">
        <f>AN105-AO105</f>
        <v/>
      </c>
      <c r="AQ105" s="118">
        <f>IF(offer_sale_type="транзит",SUM(AF105:AI105,BA105,BB105),0)</f>
        <v/>
      </c>
      <c r="AR105" s="82">
        <f>HYPERLINK("https://www.alta.ru/tnved/code/")&amp;W105&amp;"/"</f>
        <v/>
      </c>
      <c r="AS105" s="157" t="n"/>
      <c r="AT105" s="162" t="n"/>
      <c r="AU105" s="76">
        <f>IF(ISBLANK(AT105),0,AJ105-AT105)</f>
        <v/>
      </c>
      <c r="AV105" s="157" t="n"/>
      <c r="AW105" s="75">
        <f>_xlfn.IFNA(VLOOKUP(L105,list_vat[],3,FALSE),0)</f>
        <v/>
      </c>
      <c r="AX105" s="76">
        <f>IFERROR(ROUND(S105*(1+AW105)/E105,2),0)</f>
        <v/>
      </c>
      <c r="AY105" s="76">
        <f>E105*AX105</f>
        <v/>
      </c>
      <c r="AZ105" s="192">
        <f>S105*(1+M105)</f>
        <v/>
      </c>
      <c r="BA105" s="76">
        <f>cost_fin_total*$BD105</f>
        <v/>
      </c>
      <c r="BB105" s="193">
        <f>credit_sales_interest*BD105</f>
        <v/>
      </c>
      <c r="BC105" s="102">
        <f>IFERROR(IF($I$13&gt;0,$I105/$I$13,$S105/$S$13),0)</f>
        <v/>
      </c>
      <c r="BD105" s="102">
        <f>IFERROR($S105/$S$13,0)</f>
        <v/>
      </c>
      <c r="BE105" s="413" t="inlineStr">
        <is>
          <t>$</t>
        </is>
      </c>
    </row>
    <row r="106" ht="12" customFormat="1" customHeight="1" s="65">
      <c r="A106" s="43" t="n">
        <v>91</v>
      </c>
      <c r="B106" s="166" t="n"/>
      <c r="C106" s="166" t="n"/>
      <c r="D106" s="166" t="n"/>
      <c r="E106" s="162" t="n"/>
      <c r="F106" s="166" t="n"/>
      <c r="G106" s="162" t="n"/>
      <c r="H106" s="162" t="n"/>
      <c r="I106" s="189">
        <f>E106*G106</f>
        <v/>
      </c>
      <c r="J106" s="195" t="n"/>
      <c r="K106" s="162" t="n"/>
      <c r="L106" s="168" t="n"/>
      <c r="M106" s="75">
        <f>_xlfn.XLOOKUP(L106,list_vat[Страна],list_vat[Ставка НДС %],0,0)</f>
        <v/>
      </c>
      <c r="N106" s="162">
        <f>IFERROR(IF(L106="Китай",K106,K106/(1+M106)),0)</f>
        <v/>
      </c>
      <c r="O106" s="169" t="n"/>
      <c r="P106" s="76">
        <f>N106*(1-O106)</f>
        <v/>
      </c>
      <c r="Q106" s="162" t="n"/>
      <c r="R106" s="162">
        <f>IF(ISBLANK(Q106),"введи курс",P106/Q106)</f>
        <v/>
      </c>
      <c r="S106" s="196">
        <f>IF(AND(ISNUMBER(E106),ISNUMBER(Q106)),E106*R106,0)</f>
        <v/>
      </c>
      <c r="T106" s="192">
        <f>$BC106*V$11</f>
        <v/>
      </c>
      <c r="U106" s="76">
        <f>$BC106*W$11</f>
        <v/>
      </c>
      <c r="V106" s="193">
        <f>+SUM(T106:U106)</f>
        <v/>
      </c>
      <c r="W106" s="191" t="n"/>
      <c r="X106" s="170" t="n"/>
      <c r="Y106" s="76">
        <f>ROUND(IF(offer_incoterms="DDP",X106*(S106*(1+AW106)+T106),0),2)</f>
        <v/>
      </c>
      <c r="Z106" s="188" t="n"/>
      <c r="AA106" s="192">
        <f>IFERROR(AB106/E106,0)</f>
        <v/>
      </c>
      <c r="AB106" s="76">
        <f>ROUND(SUM(S106,V106,Y106:Z106,BA106:BB106),2)</f>
        <v/>
      </c>
      <c r="AC106" s="797" t="n"/>
      <c r="AD106" s="192">
        <f t="array" ref="AD106">IFERROR(ROUND((_xlfn.IFS(offer_sale_type="поставка",AB106,offer_sale_type="транзит",S106)*(1+AC106))/E106,2),0)</f>
        <v/>
      </c>
      <c r="AE106" s="76">
        <f>AD106*E106</f>
        <v/>
      </c>
      <c r="AF106" s="193">
        <f t="array" ref="AF106">IFERROR(ROUND(_xlfn.IFS(offer_sale_type="поставка",AB106,offer_sale_type="транзит",S106)*AC106,2),0)</f>
        <v/>
      </c>
      <c r="AG106" s="192">
        <f>$BD106*VLOOKUP($AG$3,$AF$4:$AG$7,2,FALSE)</f>
        <v/>
      </c>
      <c r="AH106" s="76">
        <f>SUM(AE106,AG106,AI106)*rate_forex_risk</f>
        <v/>
      </c>
      <c r="AI106" s="193">
        <f>IF(OR(seller_region="TR",offer_sale_type="экспорт"),0,rate_fin_comm)*SUM(AZ106,AZ106*AW106,T106)</f>
        <v/>
      </c>
      <c r="AJ106" s="118">
        <f>IFERROR(ROUND(SUM(AB106,AF106:AI106)/E106,2),0)</f>
        <v/>
      </c>
      <c r="AK106" s="76">
        <f>AJ106*E106</f>
        <v/>
      </c>
      <c r="AL106" s="174">
        <f>ROUND(IFERROR(AM106*E106,0),2)</f>
        <v/>
      </c>
      <c r="AM106" s="175">
        <f>ROUND(AJ106*(1+IF(offer_incoterms="DDP",IF((TODAY()+offer_turnaround_time)&gt;=helpsheet!$L$17,rate_vatRU_from_26,rate_vatRu_till_25),0)),2)</f>
        <v/>
      </c>
      <c r="AN106" s="192">
        <f>AL106-AK106</f>
        <v/>
      </c>
      <c r="AO106" s="76">
        <f>SUM(AY106,Y106:Z106,T106)*IF(AND(offer_incoterms="DDP",offer_sale_type&lt;&gt;"экспорт"),IF((TODAY()+offer_turnaround_time)&gt;=helpsheet!$L$17,rate_vatRU_from_26,rate_vatRu_till_25),0)</f>
        <v/>
      </c>
      <c r="AP106" s="193">
        <f>AN106-AO106</f>
        <v/>
      </c>
      <c r="AQ106" s="118">
        <f>IF(offer_sale_type="транзит",SUM(AF106:AI106,BA106,BB106),0)</f>
        <v/>
      </c>
      <c r="AR106" s="82">
        <f>HYPERLINK("https://www.alta.ru/tnved/code/")&amp;W106&amp;"/"</f>
        <v/>
      </c>
      <c r="AS106" s="157" t="n"/>
      <c r="AT106" s="162" t="n"/>
      <c r="AU106" s="76">
        <f>IF(ISBLANK(AT106),0,AJ106-AT106)</f>
        <v/>
      </c>
      <c r="AV106" s="157" t="n"/>
      <c r="AW106" s="75">
        <f>_xlfn.IFNA(VLOOKUP(L106,list_vat[],3,FALSE),0)</f>
        <v/>
      </c>
      <c r="AX106" s="76">
        <f>IFERROR(ROUND(S106*(1+AW106)/E106,2),0)</f>
        <v/>
      </c>
      <c r="AY106" s="76">
        <f>E106*AX106</f>
        <v/>
      </c>
      <c r="AZ106" s="192">
        <f>S106*(1+M106)</f>
        <v/>
      </c>
      <c r="BA106" s="76">
        <f>cost_fin_total*$BD106</f>
        <v/>
      </c>
      <c r="BB106" s="193">
        <f>credit_sales_interest*BD106</f>
        <v/>
      </c>
      <c r="BC106" s="102">
        <f>IFERROR(IF($I$13&gt;0,$I106/$I$13,$S106/$S$13),0)</f>
        <v/>
      </c>
      <c r="BD106" s="102">
        <f>IFERROR($S106/$S$13,0)</f>
        <v/>
      </c>
      <c r="BE106" s="413" t="inlineStr">
        <is>
          <t>$</t>
        </is>
      </c>
    </row>
    <row r="107" ht="12" customFormat="1" customHeight="1" s="65">
      <c r="A107" s="43" t="n">
        <v>92</v>
      </c>
      <c r="B107" s="166" t="n"/>
      <c r="C107" s="166" t="n"/>
      <c r="D107" s="166" t="n"/>
      <c r="E107" s="162" t="n"/>
      <c r="F107" s="166" t="n"/>
      <c r="G107" s="162" t="n"/>
      <c r="H107" s="162" t="n"/>
      <c r="I107" s="189">
        <f>E107*G107</f>
        <v/>
      </c>
      <c r="J107" s="195" t="n"/>
      <c r="K107" s="162" t="n"/>
      <c r="L107" s="168" t="n"/>
      <c r="M107" s="75">
        <f>_xlfn.XLOOKUP(L107,list_vat[Страна],list_vat[Ставка НДС %],0,0)</f>
        <v/>
      </c>
      <c r="N107" s="162">
        <f>IFERROR(IF(L107="Китай",K107,K107/(1+M107)),0)</f>
        <v/>
      </c>
      <c r="O107" s="169" t="n"/>
      <c r="P107" s="76">
        <f>N107*(1-O107)</f>
        <v/>
      </c>
      <c r="Q107" s="162" t="n"/>
      <c r="R107" s="162">
        <f>IF(ISBLANK(Q107),"введи курс",P107/Q107)</f>
        <v/>
      </c>
      <c r="S107" s="196">
        <f>IF(AND(ISNUMBER(E107),ISNUMBER(Q107)),E107*R107,0)</f>
        <v/>
      </c>
      <c r="T107" s="192">
        <f>$BC107*V$11</f>
        <v/>
      </c>
      <c r="U107" s="76">
        <f>$BC107*W$11</f>
        <v/>
      </c>
      <c r="V107" s="193">
        <f>+SUM(T107:U107)</f>
        <v/>
      </c>
      <c r="W107" s="191" t="n"/>
      <c r="X107" s="170" t="n"/>
      <c r="Y107" s="76">
        <f>ROUND(IF(offer_incoterms="DDP",X107*(S107*(1+AW107)+T107),0),2)</f>
        <v/>
      </c>
      <c r="Z107" s="188" t="n"/>
      <c r="AA107" s="192">
        <f>IFERROR(AB107/E107,0)</f>
        <v/>
      </c>
      <c r="AB107" s="76">
        <f>ROUND(SUM(S107,V107,Y107:Z107,BA107:BB107),2)</f>
        <v/>
      </c>
      <c r="AC107" s="797" t="n"/>
      <c r="AD107" s="192">
        <f t="array" ref="AD107">IFERROR(ROUND((_xlfn.IFS(offer_sale_type="поставка",AB107,offer_sale_type="транзит",S107)*(1+AC107))/E107,2),0)</f>
        <v/>
      </c>
      <c r="AE107" s="76">
        <f>AD107*E107</f>
        <v/>
      </c>
      <c r="AF107" s="193">
        <f t="array" ref="AF107">IFERROR(ROUND(_xlfn.IFS(offer_sale_type="поставка",AB107,offer_sale_type="транзит",S107)*AC107,2),0)</f>
        <v/>
      </c>
      <c r="AG107" s="192">
        <f>$BD107*VLOOKUP($AG$3,$AF$4:$AG$7,2,FALSE)</f>
        <v/>
      </c>
      <c r="AH107" s="76">
        <f>SUM(AE107,AG107,AI107)*rate_forex_risk</f>
        <v/>
      </c>
      <c r="AI107" s="193">
        <f>IF(OR(seller_region="TR",offer_sale_type="экспорт"),0,rate_fin_comm)*SUM(AZ107,AZ107*AW107,T107)</f>
        <v/>
      </c>
      <c r="AJ107" s="118">
        <f>IFERROR(ROUND(SUM(AB107,AF107:AI107)/E107,2),0)</f>
        <v/>
      </c>
      <c r="AK107" s="76">
        <f>AJ107*E107</f>
        <v/>
      </c>
      <c r="AL107" s="174">
        <f>ROUND(IFERROR(AM107*E107,0),2)</f>
        <v/>
      </c>
      <c r="AM107" s="175">
        <f>ROUND(AJ107*(1+IF(offer_incoterms="DDP",IF((TODAY()+offer_turnaround_time)&gt;=helpsheet!$L$17,rate_vatRU_from_26,rate_vatRu_till_25),0)),2)</f>
        <v/>
      </c>
      <c r="AN107" s="192">
        <f>AL107-AK107</f>
        <v/>
      </c>
      <c r="AO107" s="76">
        <f>SUM(AY107,Y107:Z107,T107)*IF(AND(offer_incoterms="DDP",offer_sale_type&lt;&gt;"экспорт"),IF((TODAY()+offer_turnaround_time)&gt;=helpsheet!$L$17,rate_vatRU_from_26,rate_vatRu_till_25),0)</f>
        <v/>
      </c>
      <c r="AP107" s="193">
        <f>AN107-AO107</f>
        <v/>
      </c>
      <c r="AQ107" s="118">
        <f>IF(offer_sale_type="транзит",SUM(AF107:AI107,BA107,BB107),0)</f>
        <v/>
      </c>
      <c r="AR107" s="82">
        <f>HYPERLINK("https://www.alta.ru/tnved/code/")&amp;W107&amp;"/"</f>
        <v/>
      </c>
      <c r="AS107" s="157" t="n"/>
      <c r="AT107" s="162" t="n"/>
      <c r="AU107" s="76">
        <f>IF(ISBLANK(AT107),0,AJ107-AT107)</f>
        <v/>
      </c>
      <c r="AV107" s="157" t="n"/>
      <c r="AW107" s="75">
        <f>_xlfn.IFNA(VLOOKUP(L107,list_vat[],3,FALSE),0)</f>
        <v/>
      </c>
      <c r="AX107" s="76">
        <f>IFERROR(ROUND(S107*(1+AW107)/E107,2),0)</f>
        <v/>
      </c>
      <c r="AY107" s="76">
        <f>E107*AX107</f>
        <v/>
      </c>
      <c r="AZ107" s="192">
        <f>S107*(1+M107)</f>
        <v/>
      </c>
      <c r="BA107" s="76">
        <f>cost_fin_total*$BD107</f>
        <v/>
      </c>
      <c r="BB107" s="193">
        <f>credit_sales_interest*BD107</f>
        <v/>
      </c>
      <c r="BC107" s="102">
        <f>IFERROR(IF($I$13&gt;0,$I107/$I$13,$S107/$S$13),0)</f>
        <v/>
      </c>
      <c r="BD107" s="102">
        <f>IFERROR($S107/$S$13,0)</f>
        <v/>
      </c>
      <c r="BE107" s="413" t="inlineStr">
        <is>
          <t>$</t>
        </is>
      </c>
    </row>
    <row r="108" ht="12" customFormat="1" customHeight="1" s="65">
      <c r="A108" s="43" t="n">
        <v>93</v>
      </c>
      <c r="B108" s="166" t="n"/>
      <c r="C108" s="166" t="n"/>
      <c r="D108" s="166" t="n"/>
      <c r="E108" s="162" t="n"/>
      <c r="F108" s="166" t="n"/>
      <c r="G108" s="162" t="n"/>
      <c r="H108" s="162" t="n"/>
      <c r="I108" s="189">
        <f>E108*G108</f>
        <v/>
      </c>
      <c r="J108" s="195" t="n"/>
      <c r="K108" s="162" t="n"/>
      <c r="L108" s="168" t="n"/>
      <c r="M108" s="75">
        <f>_xlfn.XLOOKUP(L108,list_vat[Страна],list_vat[Ставка НДС %],0,0)</f>
        <v/>
      </c>
      <c r="N108" s="162">
        <f>IFERROR(IF(L108="Китай",K108,K108/(1+M108)),0)</f>
        <v/>
      </c>
      <c r="O108" s="169" t="n"/>
      <c r="P108" s="76">
        <f>N108*(1-O108)</f>
        <v/>
      </c>
      <c r="Q108" s="162" t="n"/>
      <c r="R108" s="162">
        <f>IF(ISBLANK(Q108),"введи курс",P108/Q108)</f>
        <v/>
      </c>
      <c r="S108" s="196">
        <f>IF(AND(ISNUMBER(E108),ISNUMBER(Q108)),E108*R108,0)</f>
        <v/>
      </c>
      <c r="T108" s="192">
        <f>$BC108*V$11</f>
        <v/>
      </c>
      <c r="U108" s="76">
        <f>$BC108*W$11</f>
        <v/>
      </c>
      <c r="V108" s="193">
        <f>+SUM(T108:U108)</f>
        <v/>
      </c>
      <c r="W108" s="191" t="n"/>
      <c r="X108" s="170" t="n"/>
      <c r="Y108" s="76">
        <f>ROUND(IF(offer_incoterms="DDP",X108*(S108*(1+AW108)+T108),0),2)</f>
        <v/>
      </c>
      <c r="Z108" s="188" t="n"/>
      <c r="AA108" s="192">
        <f>IFERROR(AB108/E108,0)</f>
        <v/>
      </c>
      <c r="AB108" s="76">
        <f>ROUND(SUM(S108,V108,Y108:Z108,BA108:BB108),2)</f>
        <v/>
      </c>
      <c r="AC108" s="797" t="n"/>
      <c r="AD108" s="192">
        <f t="array" ref="AD108">IFERROR(ROUND((_xlfn.IFS(offer_sale_type="поставка",AB108,offer_sale_type="транзит",S108)*(1+AC108))/E108,2),0)</f>
        <v/>
      </c>
      <c r="AE108" s="76">
        <f>AD108*E108</f>
        <v/>
      </c>
      <c r="AF108" s="193">
        <f t="array" ref="AF108">IFERROR(ROUND(_xlfn.IFS(offer_sale_type="поставка",AB108,offer_sale_type="транзит",S108)*AC108,2),0)</f>
        <v/>
      </c>
      <c r="AG108" s="192">
        <f>$BD108*VLOOKUP($AG$3,$AF$4:$AG$7,2,FALSE)</f>
        <v/>
      </c>
      <c r="AH108" s="76">
        <f>SUM(AE108,AG108,AI108)*rate_forex_risk</f>
        <v/>
      </c>
      <c r="AI108" s="193">
        <f>IF(OR(seller_region="TR",offer_sale_type="экспорт"),0,rate_fin_comm)*SUM(AZ108,AZ108*AW108,T108)</f>
        <v/>
      </c>
      <c r="AJ108" s="118">
        <f>IFERROR(ROUND(SUM(AB108,AF108:AI108)/E108,2),0)</f>
        <v/>
      </c>
      <c r="AK108" s="76">
        <f>AJ108*E108</f>
        <v/>
      </c>
      <c r="AL108" s="174">
        <f>ROUND(IFERROR(AM108*E108,0),2)</f>
        <v/>
      </c>
      <c r="AM108" s="175">
        <f>ROUND(AJ108*(1+IF(offer_incoterms="DDP",IF((TODAY()+offer_turnaround_time)&gt;=helpsheet!$L$17,rate_vatRU_from_26,rate_vatRu_till_25),0)),2)</f>
        <v/>
      </c>
      <c r="AN108" s="192">
        <f>AL108-AK108</f>
        <v/>
      </c>
      <c r="AO108" s="76">
        <f>SUM(AY108,Y108:Z108,T108)*IF(AND(offer_incoterms="DDP",offer_sale_type&lt;&gt;"экспорт"),IF((TODAY()+offer_turnaround_time)&gt;=helpsheet!$L$17,rate_vatRU_from_26,rate_vatRu_till_25),0)</f>
        <v/>
      </c>
      <c r="AP108" s="193">
        <f>AN108-AO108</f>
        <v/>
      </c>
      <c r="AQ108" s="118">
        <f>IF(offer_sale_type="транзит",SUM(AF108:AI108,BA108,BB108),0)</f>
        <v/>
      </c>
      <c r="AR108" s="82">
        <f>HYPERLINK("https://www.alta.ru/tnved/code/")&amp;W108&amp;"/"</f>
        <v/>
      </c>
      <c r="AS108" s="157" t="n"/>
      <c r="AT108" s="162" t="n"/>
      <c r="AU108" s="76">
        <f>IF(ISBLANK(AT108),0,AJ108-AT108)</f>
        <v/>
      </c>
      <c r="AV108" s="157" t="n"/>
      <c r="AW108" s="75">
        <f>_xlfn.IFNA(VLOOKUP(L108,list_vat[],3,FALSE),0)</f>
        <v/>
      </c>
      <c r="AX108" s="76">
        <f>IFERROR(ROUND(S108*(1+AW108)/E108,2),0)</f>
        <v/>
      </c>
      <c r="AY108" s="76">
        <f>E108*AX108</f>
        <v/>
      </c>
      <c r="AZ108" s="192">
        <f>S108*(1+M108)</f>
        <v/>
      </c>
      <c r="BA108" s="76">
        <f>cost_fin_total*$BD108</f>
        <v/>
      </c>
      <c r="BB108" s="193">
        <f>credit_sales_interest*BD108</f>
        <v/>
      </c>
      <c r="BC108" s="102">
        <f>IFERROR(IF($I$13&gt;0,$I108/$I$13,$S108/$S$13),0)</f>
        <v/>
      </c>
      <c r="BD108" s="102">
        <f>IFERROR($S108/$S$13,0)</f>
        <v/>
      </c>
      <c r="BE108" s="413" t="inlineStr">
        <is>
          <t>$</t>
        </is>
      </c>
    </row>
    <row r="109" ht="12" customFormat="1" customHeight="1" s="65">
      <c r="A109" s="43" t="n">
        <v>94</v>
      </c>
      <c r="B109" s="166" t="n"/>
      <c r="C109" s="166" t="n"/>
      <c r="D109" s="166" t="n"/>
      <c r="E109" s="162" t="n"/>
      <c r="F109" s="166" t="n"/>
      <c r="G109" s="162" t="n"/>
      <c r="H109" s="162" t="n"/>
      <c r="I109" s="189">
        <f>E109*G109</f>
        <v/>
      </c>
      <c r="J109" s="195" t="n"/>
      <c r="K109" s="162" t="n"/>
      <c r="L109" s="168" t="n"/>
      <c r="M109" s="75">
        <f>_xlfn.XLOOKUP(L109,list_vat[Страна],list_vat[Ставка НДС %],0,0)</f>
        <v/>
      </c>
      <c r="N109" s="162">
        <f>IFERROR(IF(L109="Китай",K109,K109/(1+M109)),0)</f>
        <v/>
      </c>
      <c r="O109" s="169" t="n"/>
      <c r="P109" s="76">
        <f>N109*(1-O109)</f>
        <v/>
      </c>
      <c r="Q109" s="162" t="n"/>
      <c r="R109" s="162">
        <f>IF(ISBLANK(Q109),"введи курс",P109/Q109)</f>
        <v/>
      </c>
      <c r="S109" s="196">
        <f>IF(AND(ISNUMBER(E109),ISNUMBER(Q109)),E109*R109,0)</f>
        <v/>
      </c>
      <c r="T109" s="192">
        <f>$BC109*V$11</f>
        <v/>
      </c>
      <c r="U109" s="76">
        <f>$BC109*W$11</f>
        <v/>
      </c>
      <c r="V109" s="193">
        <f>+SUM(T109:U109)</f>
        <v/>
      </c>
      <c r="W109" s="191" t="n"/>
      <c r="X109" s="170" t="n"/>
      <c r="Y109" s="76">
        <f>ROUND(IF(offer_incoterms="DDP",X109*(S109*(1+AW109)+T109),0),2)</f>
        <v/>
      </c>
      <c r="Z109" s="188" t="n"/>
      <c r="AA109" s="192">
        <f>IFERROR(AB109/E109,0)</f>
        <v/>
      </c>
      <c r="AB109" s="76">
        <f>ROUND(SUM(S109,V109,Y109:Z109,BA109:BB109),2)</f>
        <v/>
      </c>
      <c r="AC109" s="797" t="n"/>
      <c r="AD109" s="192">
        <f t="array" ref="AD109">IFERROR(ROUND((_xlfn.IFS(offer_sale_type="поставка",AB109,offer_sale_type="транзит",S109)*(1+AC109))/E109,2),0)</f>
        <v/>
      </c>
      <c r="AE109" s="76">
        <f>AD109*E109</f>
        <v/>
      </c>
      <c r="AF109" s="193">
        <f t="array" ref="AF109">IFERROR(ROUND(_xlfn.IFS(offer_sale_type="поставка",AB109,offer_sale_type="транзит",S109)*AC109,2),0)</f>
        <v/>
      </c>
      <c r="AG109" s="192">
        <f>$BD109*VLOOKUP($AG$3,$AF$4:$AG$7,2,FALSE)</f>
        <v/>
      </c>
      <c r="AH109" s="76">
        <f>SUM(AE109,AG109,AI109)*rate_forex_risk</f>
        <v/>
      </c>
      <c r="AI109" s="193">
        <f>IF(OR(seller_region="TR",offer_sale_type="экспорт"),0,rate_fin_comm)*SUM(AZ109,AZ109*AW109,T109)</f>
        <v/>
      </c>
      <c r="AJ109" s="118">
        <f>IFERROR(ROUND(SUM(AB109,AF109:AI109)/E109,2),0)</f>
        <v/>
      </c>
      <c r="AK109" s="76">
        <f>AJ109*E109</f>
        <v/>
      </c>
      <c r="AL109" s="174">
        <f>ROUND(IFERROR(AM109*E109,0),2)</f>
        <v/>
      </c>
      <c r="AM109" s="175">
        <f>ROUND(AJ109*(1+IF(offer_incoterms="DDP",IF((TODAY()+offer_turnaround_time)&gt;=helpsheet!$L$17,rate_vatRU_from_26,rate_vatRu_till_25),0)),2)</f>
        <v/>
      </c>
      <c r="AN109" s="192">
        <f>AL109-AK109</f>
        <v/>
      </c>
      <c r="AO109" s="76">
        <f>SUM(AY109,Y109:Z109,T109)*IF(AND(offer_incoterms="DDP",offer_sale_type&lt;&gt;"экспорт"),IF((TODAY()+offer_turnaround_time)&gt;=helpsheet!$L$17,rate_vatRU_from_26,rate_vatRu_till_25),0)</f>
        <v/>
      </c>
      <c r="AP109" s="193">
        <f>AN109-AO109</f>
        <v/>
      </c>
      <c r="AQ109" s="118">
        <f>IF(offer_sale_type="транзит",SUM(AF109:AI109,BA109,BB109),0)</f>
        <v/>
      </c>
      <c r="AR109" s="82">
        <f>HYPERLINK("https://www.alta.ru/tnved/code/")&amp;W109&amp;"/"</f>
        <v/>
      </c>
      <c r="AS109" s="157" t="n"/>
      <c r="AT109" s="162" t="n"/>
      <c r="AU109" s="76">
        <f>IF(ISBLANK(AT109),0,AJ109-AT109)</f>
        <v/>
      </c>
      <c r="AV109" s="157" t="n"/>
      <c r="AW109" s="75">
        <f>_xlfn.IFNA(VLOOKUP(L109,list_vat[],3,FALSE),0)</f>
        <v/>
      </c>
      <c r="AX109" s="76">
        <f>IFERROR(ROUND(S109*(1+AW109)/E109,2),0)</f>
        <v/>
      </c>
      <c r="AY109" s="76">
        <f>E109*AX109</f>
        <v/>
      </c>
      <c r="AZ109" s="192">
        <f>S109*(1+M109)</f>
        <v/>
      </c>
      <c r="BA109" s="76">
        <f>cost_fin_total*$BD109</f>
        <v/>
      </c>
      <c r="BB109" s="193">
        <f>credit_sales_interest*BD109</f>
        <v/>
      </c>
      <c r="BC109" s="102">
        <f>IFERROR(IF($I$13&gt;0,$I109/$I$13,$S109/$S$13),0)</f>
        <v/>
      </c>
      <c r="BD109" s="102">
        <f>IFERROR($S109/$S$13,0)</f>
        <v/>
      </c>
      <c r="BE109" s="413" t="inlineStr">
        <is>
          <t>$</t>
        </is>
      </c>
    </row>
    <row r="110" ht="12" customFormat="1" customHeight="1" s="65">
      <c r="A110" s="43" t="n">
        <v>95</v>
      </c>
      <c r="B110" s="166" t="n"/>
      <c r="C110" s="166" t="n"/>
      <c r="D110" s="166" t="n"/>
      <c r="E110" s="162" t="n"/>
      <c r="F110" s="166" t="n"/>
      <c r="G110" s="162" t="n"/>
      <c r="H110" s="162" t="n"/>
      <c r="I110" s="189">
        <f>E110*G110</f>
        <v/>
      </c>
      <c r="J110" s="195" t="n"/>
      <c r="K110" s="162" t="n"/>
      <c r="L110" s="168" t="n"/>
      <c r="M110" s="75">
        <f>_xlfn.XLOOKUP(L110,list_vat[Страна],list_vat[Ставка НДС %],0,0)</f>
        <v/>
      </c>
      <c r="N110" s="162">
        <f>IFERROR(IF(L110="Китай",K110,K110/(1+M110)),0)</f>
        <v/>
      </c>
      <c r="O110" s="169" t="n"/>
      <c r="P110" s="76">
        <f>N110*(1-O110)</f>
        <v/>
      </c>
      <c r="Q110" s="162" t="n"/>
      <c r="R110" s="162">
        <f>IF(ISBLANK(Q110),"введи курс",P110/Q110)</f>
        <v/>
      </c>
      <c r="S110" s="196">
        <f>IF(AND(ISNUMBER(E110),ISNUMBER(Q110)),E110*R110,0)</f>
        <v/>
      </c>
      <c r="T110" s="192">
        <f>$BC110*V$11</f>
        <v/>
      </c>
      <c r="U110" s="76">
        <f>$BC110*W$11</f>
        <v/>
      </c>
      <c r="V110" s="193">
        <f>+SUM(T110:U110)</f>
        <v/>
      </c>
      <c r="W110" s="191" t="n"/>
      <c r="X110" s="170" t="n"/>
      <c r="Y110" s="76">
        <f>ROUND(IF(offer_incoterms="DDP",X110*(S110*(1+AW110)+T110),0),2)</f>
        <v/>
      </c>
      <c r="Z110" s="188" t="n"/>
      <c r="AA110" s="192">
        <f>IFERROR(AB110/E110,0)</f>
        <v/>
      </c>
      <c r="AB110" s="76">
        <f>ROUND(SUM(S110,V110,Y110:Z110,BA110:BB110),2)</f>
        <v/>
      </c>
      <c r="AC110" s="797" t="n"/>
      <c r="AD110" s="192">
        <f t="array" ref="AD110">IFERROR(ROUND((_xlfn.IFS(offer_sale_type="поставка",AB110,offer_sale_type="транзит",S110)*(1+AC110))/E110,2),0)</f>
        <v/>
      </c>
      <c r="AE110" s="76">
        <f>AD110*E110</f>
        <v/>
      </c>
      <c r="AF110" s="193">
        <f t="array" ref="AF110">IFERROR(ROUND(_xlfn.IFS(offer_sale_type="поставка",AB110,offer_sale_type="транзит",S110)*AC110,2),0)</f>
        <v/>
      </c>
      <c r="AG110" s="192">
        <f>$BD110*VLOOKUP($AG$3,$AF$4:$AG$7,2,FALSE)</f>
        <v/>
      </c>
      <c r="AH110" s="76">
        <f>SUM(AE110,AG110,AI110)*rate_forex_risk</f>
        <v/>
      </c>
      <c r="AI110" s="193">
        <f>IF(OR(seller_region="TR",offer_sale_type="экспорт"),0,rate_fin_comm)*SUM(AZ110,AZ110*AW110,T110)</f>
        <v/>
      </c>
      <c r="AJ110" s="118">
        <f>IFERROR(ROUND(SUM(AB110,AF110:AI110)/E110,2),0)</f>
        <v/>
      </c>
      <c r="AK110" s="76">
        <f>AJ110*E110</f>
        <v/>
      </c>
      <c r="AL110" s="174">
        <f>ROUND(IFERROR(AM110*E110,0),2)</f>
        <v/>
      </c>
      <c r="AM110" s="175">
        <f>ROUND(AJ110*(1+IF(offer_incoterms="DDP",IF((TODAY()+offer_turnaround_time)&gt;=helpsheet!$L$17,rate_vatRU_from_26,rate_vatRu_till_25),0)),2)</f>
        <v/>
      </c>
      <c r="AN110" s="192">
        <f>AL110-AK110</f>
        <v/>
      </c>
      <c r="AO110" s="76">
        <f>SUM(AY110,Y110:Z110,T110)*IF(AND(offer_incoterms="DDP",offer_sale_type&lt;&gt;"экспорт"),IF((TODAY()+offer_turnaround_time)&gt;=helpsheet!$L$17,rate_vatRU_from_26,rate_vatRu_till_25),0)</f>
        <v/>
      </c>
      <c r="AP110" s="193">
        <f>AN110-AO110</f>
        <v/>
      </c>
      <c r="AQ110" s="118">
        <f>IF(offer_sale_type="транзит",SUM(AF110:AI110,BA110,BB110),0)</f>
        <v/>
      </c>
      <c r="AR110" s="82">
        <f>HYPERLINK("https://www.alta.ru/tnved/code/")&amp;W110&amp;"/"</f>
        <v/>
      </c>
      <c r="AS110" s="157" t="n"/>
      <c r="AT110" s="162" t="n"/>
      <c r="AU110" s="76">
        <f>IF(ISBLANK(AT110),0,AJ110-AT110)</f>
        <v/>
      </c>
      <c r="AV110" s="157" t="n"/>
      <c r="AW110" s="75">
        <f>_xlfn.IFNA(VLOOKUP(L110,list_vat[],3,FALSE),0)</f>
        <v/>
      </c>
      <c r="AX110" s="76">
        <f>IFERROR(ROUND(S110*(1+AW110)/E110,2),0)</f>
        <v/>
      </c>
      <c r="AY110" s="76">
        <f>E110*AX110</f>
        <v/>
      </c>
      <c r="AZ110" s="192">
        <f>S110*(1+M110)</f>
        <v/>
      </c>
      <c r="BA110" s="76">
        <f>cost_fin_total*$BD110</f>
        <v/>
      </c>
      <c r="BB110" s="193">
        <f>credit_sales_interest*BD110</f>
        <v/>
      </c>
      <c r="BC110" s="102">
        <f>IFERROR(IF($I$13&gt;0,$I110/$I$13,$S110/$S$13),0)</f>
        <v/>
      </c>
      <c r="BD110" s="102">
        <f>IFERROR($S110/$S$13,0)</f>
        <v/>
      </c>
      <c r="BE110" s="413" t="inlineStr">
        <is>
          <t>$</t>
        </is>
      </c>
    </row>
    <row r="111" ht="12" customFormat="1" customHeight="1" s="65">
      <c r="A111" s="43" t="n">
        <v>96</v>
      </c>
      <c r="B111" s="166" t="n"/>
      <c r="C111" s="166" t="n"/>
      <c r="D111" s="166" t="n"/>
      <c r="E111" s="162" t="n"/>
      <c r="F111" s="166" t="n"/>
      <c r="G111" s="162" t="n"/>
      <c r="H111" s="162" t="n"/>
      <c r="I111" s="189">
        <f>E111*G111</f>
        <v/>
      </c>
      <c r="J111" s="195" t="n"/>
      <c r="K111" s="162" t="n"/>
      <c r="L111" s="168" t="n"/>
      <c r="M111" s="75">
        <f>_xlfn.XLOOKUP(L111,list_vat[Страна],list_vat[Ставка НДС %],0,0)</f>
        <v/>
      </c>
      <c r="N111" s="162">
        <f>IFERROR(IF(L111="Китай",K111,K111/(1+M111)),0)</f>
        <v/>
      </c>
      <c r="O111" s="169" t="n"/>
      <c r="P111" s="76">
        <f>N111*(1-O111)</f>
        <v/>
      </c>
      <c r="Q111" s="162" t="n"/>
      <c r="R111" s="162">
        <f>IF(ISBLANK(Q111),"введи курс",P111/Q111)</f>
        <v/>
      </c>
      <c r="S111" s="196">
        <f>IF(AND(ISNUMBER(E111),ISNUMBER(Q111)),E111*R111,0)</f>
        <v/>
      </c>
      <c r="T111" s="192">
        <f>$BC111*V$11</f>
        <v/>
      </c>
      <c r="U111" s="76">
        <f>$BC111*W$11</f>
        <v/>
      </c>
      <c r="V111" s="193">
        <f>+SUM(T111:U111)</f>
        <v/>
      </c>
      <c r="W111" s="191" t="n"/>
      <c r="X111" s="170" t="n"/>
      <c r="Y111" s="76">
        <f>ROUND(IF(offer_incoterms="DDP",X111*(S111*(1+AW111)+T111),0),2)</f>
        <v/>
      </c>
      <c r="Z111" s="188" t="n"/>
      <c r="AA111" s="192">
        <f>IFERROR(AB111/E111,0)</f>
        <v/>
      </c>
      <c r="AB111" s="76">
        <f>ROUND(SUM(S111,V111,Y111:Z111,BA111:BB111),2)</f>
        <v/>
      </c>
      <c r="AC111" s="797" t="n"/>
      <c r="AD111" s="192">
        <f t="array" ref="AD111">IFERROR(ROUND((_xlfn.IFS(offer_sale_type="поставка",AB111,offer_sale_type="транзит",S111)*(1+AC111))/E111,2),0)</f>
        <v/>
      </c>
      <c r="AE111" s="76">
        <f>AD111*E111</f>
        <v/>
      </c>
      <c r="AF111" s="193">
        <f t="array" ref="AF111">IFERROR(ROUND(_xlfn.IFS(offer_sale_type="поставка",AB111,offer_sale_type="транзит",S111)*AC111,2),0)</f>
        <v/>
      </c>
      <c r="AG111" s="192">
        <f>$BD111*VLOOKUP($AG$3,$AF$4:$AG$7,2,FALSE)</f>
        <v/>
      </c>
      <c r="AH111" s="76">
        <f>SUM(AE111,AG111,AI111)*rate_forex_risk</f>
        <v/>
      </c>
      <c r="AI111" s="193">
        <f>IF(OR(seller_region="TR",offer_sale_type="экспорт"),0,rate_fin_comm)*SUM(AZ111,AZ111*AW111,T111)</f>
        <v/>
      </c>
      <c r="AJ111" s="118">
        <f>IFERROR(ROUND(SUM(AB111,AF111:AI111)/E111,2),0)</f>
        <v/>
      </c>
      <c r="AK111" s="76">
        <f>AJ111*E111</f>
        <v/>
      </c>
      <c r="AL111" s="174">
        <f>ROUND(IFERROR(AM111*E111,0),2)</f>
        <v/>
      </c>
      <c r="AM111" s="175">
        <f>ROUND(AJ111*(1+IF(offer_incoterms="DDP",IF((TODAY()+offer_turnaround_time)&gt;=helpsheet!$L$17,rate_vatRU_from_26,rate_vatRu_till_25),0)),2)</f>
        <v/>
      </c>
      <c r="AN111" s="192">
        <f>AL111-AK111</f>
        <v/>
      </c>
      <c r="AO111" s="76">
        <f>SUM(AY111,Y111:Z111,T111)*IF(AND(offer_incoterms="DDP",offer_sale_type&lt;&gt;"экспорт"),IF((TODAY()+offer_turnaround_time)&gt;=helpsheet!$L$17,rate_vatRU_from_26,rate_vatRu_till_25),0)</f>
        <v/>
      </c>
      <c r="AP111" s="193">
        <f>AN111-AO111</f>
        <v/>
      </c>
      <c r="AQ111" s="118">
        <f>IF(offer_sale_type="транзит",SUM(AF111:AI111,BA111,BB111),0)</f>
        <v/>
      </c>
      <c r="AR111" s="82">
        <f>HYPERLINK("https://www.alta.ru/tnved/code/")&amp;W111&amp;"/"</f>
        <v/>
      </c>
      <c r="AS111" s="157" t="n"/>
      <c r="AT111" s="162" t="n"/>
      <c r="AU111" s="76">
        <f>IF(ISBLANK(AT111),0,AJ111-AT111)</f>
        <v/>
      </c>
      <c r="AV111" s="157" t="n"/>
      <c r="AW111" s="75">
        <f>_xlfn.IFNA(VLOOKUP(L111,list_vat[],3,FALSE),0)</f>
        <v/>
      </c>
      <c r="AX111" s="76">
        <f>IFERROR(ROUND(S111*(1+AW111)/E111,2),0)</f>
        <v/>
      </c>
      <c r="AY111" s="76">
        <f>E111*AX111</f>
        <v/>
      </c>
      <c r="AZ111" s="192">
        <f>S111*(1+M111)</f>
        <v/>
      </c>
      <c r="BA111" s="76">
        <f>cost_fin_total*$BD111</f>
        <v/>
      </c>
      <c r="BB111" s="193">
        <f>credit_sales_interest*BD111</f>
        <v/>
      </c>
      <c r="BC111" s="102">
        <f>IFERROR(IF($I$13&gt;0,$I111/$I$13,$S111/$S$13),0)</f>
        <v/>
      </c>
      <c r="BD111" s="102">
        <f>IFERROR($S111/$S$13,0)</f>
        <v/>
      </c>
      <c r="BE111" s="413" t="inlineStr">
        <is>
          <t>$</t>
        </is>
      </c>
    </row>
    <row r="112" ht="12" customFormat="1" customHeight="1" s="65">
      <c r="A112" s="43" t="n">
        <v>97</v>
      </c>
      <c r="B112" s="166" t="n"/>
      <c r="C112" s="166" t="n"/>
      <c r="D112" s="166" t="n"/>
      <c r="E112" s="162" t="n"/>
      <c r="F112" s="166" t="n"/>
      <c r="G112" s="162" t="n"/>
      <c r="H112" s="162" t="n"/>
      <c r="I112" s="189">
        <f>E112*G112</f>
        <v/>
      </c>
      <c r="J112" s="195" t="n"/>
      <c r="K112" s="162" t="n"/>
      <c r="L112" s="168" t="n"/>
      <c r="M112" s="75">
        <f>_xlfn.XLOOKUP(L112,list_vat[Страна],list_vat[Ставка НДС %],0,0)</f>
        <v/>
      </c>
      <c r="N112" s="162">
        <f>IFERROR(IF(L112="Китай",K112,K112/(1+M112)),0)</f>
        <v/>
      </c>
      <c r="O112" s="169" t="n"/>
      <c r="P112" s="76">
        <f>N112*(1-O112)</f>
        <v/>
      </c>
      <c r="Q112" s="162" t="n"/>
      <c r="R112" s="162">
        <f>IF(ISBLANK(Q112),"введи курс",P112/Q112)</f>
        <v/>
      </c>
      <c r="S112" s="196">
        <f>IF(AND(ISNUMBER(E112),ISNUMBER(Q112)),E112*R112,0)</f>
        <v/>
      </c>
      <c r="T112" s="192">
        <f>$BC112*V$11</f>
        <v/>
      </c>
      <c r="U112" s="76">
        <f>$BC112*W$11</f>
        <v/>
      </c>
      <c r="V112" s="193">
        <f>+SUM(T112:U112)</f>
        <v/>
      </c>
      <c r="W112" s="191" t="n"/>
      <c r="X112" s="170" t="n"/>
      <c r="Y112" s="76">
        <f>ROUND(IF(offer_incoterms="DDP",X112*(S112*(1+AW112)+T112),0),2)</f>
        <v/>
      </c>
      <c r="Z112" s="188" t="n"/>
      <c r="AA112" s="192">
        <f>IFERROR(AB112/E112,0)</f>
        <v/>
      </c>
      <c r="AB112" s="76">
        <f>ROUND(SUM(S112,V112,Y112:Z112,BA112:BB112),2)</f>
        <v/>
      </c>
      <c r="AC112" s="797" t="n"/>
      <c r="AD112" s="192">
        <f t="array" ref="AD112">IFERROR(ROUND((_xlfn.IFS(offer_sale_type="поставка",AB112,offer_sale_type="транзит",S112)*(1+AC112))/E112,2),0)</f>
        <v/>
      </c>
      <c r="AE112" s="76">
        <f>AD112*E112</f>
        <v/>
      </c>
      <c r="AF112" s="193">
        <f t="array" ref="AF112">IFERROR(ROUND(_xlfn.IFS(offer_sale_type="поставка",AB112,offer_sale_type="транзит",S112)*AC112,2),0)</f>
        <v/>
      </c>
      <c r="AG112" s="192">
        <f>$BD112*VLOOKUP($AG$3,$AF$4:$AG$7,2,FALSE)</f>
        <v/>
      </c>
      <c r="AH112" s="76">
        <f>SUM(AE112,AG112,AI112)*rate_forex_risk</f>
        <v/>
      </c>
      <c r="AI112" s="193">
        <f>IF(OR(seller_region="TR",offer_sale_type="экспорт"),0,rate_fin_comm)*SUM(AZ112,AZ112*AW112,T112)</f>
        <v/>
      </c>
      <c r="AJ112" s="118">
        <f>IFERROR(ROUND(SUM(AB112,AF112:AI112)/E112,2),0)</f>
        <v/>
      </c>
      <c r="AK112" s="76">
        <f>AJ112*E112</f>
        <v/>
      </c>
      <c r="AL112" s="174">
        <f>ROUND(IFERROR(AM112*E112,0),2)</f>
        <v/>
      </c>
      <c r="AM112" s="175">
        <f>ROUND(AJ112*(1+IF(offer_incoterms="DDP",IF((TODAY()+offer_turnaround_time)&gt;=helpsheet!$L$17,rate_vatRU_from_26,rate_vatRu_till_25),0)),2)</f>
        <v/>
      </c>
      <c r="AN112" s="192">
        <f>AL112-AK112</f>
        <v/>
      </c>
      <c r="AO112" s="76">
        <f>SUM(AY112,Y112:Z112,T112)*IF(AND(offer_incoterms="DDP",offer_sale_type&lt;&gt;"экспорт"),IF((TODAY()+offer_turnaround_time)&gt;=helpsheet!$L$17,rate_vatRU_from_26,rate_vatRu_till_25),0)</f>
        <v/>
      </c>
      <c r="AP112" s="193">
        <f>AN112-AO112</f>
        <v/>
      </c>
      <c r="AQ112" s="118">
        <f>IF(offer_sale_type="транзит",SUM(AF112:AI112,BA112,BB112),0)</f>
        <v/>
      </c>
      <c r="AR112" s="82">
        <f>HYPERLINK("https://www.alta.ru/tnved/code/")&amp;W112&amp;"/"</f>
        <v/>
      </c>
      <c r="AS112" s="157" t="n"/>
      <c r="AT112" s="162" t="n"/>
      <c r="AU112" s="76">
        <f>IF(ISBLANK(AT112),0,AJ112-AT112)</f>
        <v/>
      </c>
      <c r="AV112" s="157" t="n"/>
      <c r="AW112" s="75">
        <f>_xlfn.IFNA(VLOOKUP(L112,list_vat[],3,FALSE),0)</f>
        <v/>
      </c>
      <c r="AX112" s="76">
        <f>IFERROR(ROUND(S112*(1+AW112)/E112,2),0)</f>
        <v/>
      </c>
      <c r="AY112" s="76">
        <f>E112*AX112</f>
        <v/>
      </c>
      <c r="AZ112" s="192">
        <f>S112*(1+M112)</f>
        <v/>
      </c>
      <c r="BA112" s="76">
        <f>cost_fin_total*$BD112</f>
        <v/>
      </c>
      <c r="BB112" s="193">
        <f>credit_sales_interest*BD112</f>
        <v/>
      </c>
      <c r="BC112" s="102">
        <f>IFERROR(IF($I$13&gt;0,$I112/$I$13,$S112/$S$13),0)</f>
        <v/>
      </c>
      <c r="BD112" s="102">
        <f>IFERROR($S112/$S$13,0)</f>
        <v/>
      </c>
      <c r="BE112" s="413" t="inlineStr">
        <is>
          <t>$</t>
        </is>
      </c>
    </row>
    <row r="113" ht="12" customFormat="1" customHeight="1" s="65">
      <c r="A113" s="43" t="n">
        <v>98</v>
      </c>
      <c r="B113" s="166" t="n"/>
      <c r="C113" s="166" t="n"/>
      <c r="D113" s="166" t="n"/>
      <c r="E113" s="162" t="n"/>
      <c r="F113" s="166" t="n"/>
      <c r="G113" s="162" t="n"/>
      <c r="H113" s="162" t="n"/>
      <c r="I113" s="189">
        <f>E113*G113</f>
        <v/>
      </c>
      <c r="J113" s="195" t="n"/>
      <c r="K113" s="162" t="n"/>
      <c r="L113" s="168" t="n"/>
      <c r="M113" s="75">
        <f>_xlfn.XLOOKUP(L113,list_vat[Страна],list_vat[Ставка НДС %],0,0)</f>
        <v/>
      </c>
      <c r="N113" s="162">
        <f>IFERROR(IF(L113="Китай",K113,K113/(1+M113)),0)</f>
        <v/>
      </c>
      <c r="O113" s="169" t="n"/>
      <c r="P113" s="76">
        <f>N113*(1-O113)</f>
        <v/>
      </c>
      <c r="Q113" s="162" t="n"/>
      <c r="R113" s="162">
        <f>IF(ISBLANK(Q113),"введи курс",P113/Q113)</f>
        <v/>
      </c>
      <c r="S113" s="196">
        <f>IF(AND(ISNUMBER(E113),ISNUMBER(Q113)),E113*R113,0)</f>
        <v/>
      </c>
      <c r="T113" s="192">
        <f>$BC113*V$11</f>
        <v/>
      </c>
      <c r="U113" s="76">
        <f>$BC113*W$11</f>
        <v/>
      </c>
      <c r="V113" s="193">
        <f>+SUM(T113:U113)</f>
        <v/>
      </c>
      <c r="W113" s="191" t="n"/>
      <c r="X113" s="170" t="n"/>
      <c r="Y113" s="76">
        <f>ROUND(IF(offer_incoterms="DDP",X113*(S113*(1+AW113)+T113),0),2)</f>
        <v/>
      </c>
      <c r="Z113" s="188" t="n"/>
      <c r="AA113" s="192">
        <f>IFERROR(AB113/E113,0)</f>
        <v/>
      </c>
      <c r="AB113" s="76">
        <f>ROUND(SUM(S113,V113,Y113:Z113,BA113:BB113),2)</f>
        <v/>
      </c>
      <c r="AC113" s="797" t="n"/>
      <c r="AD113" s="192">
        <f t="array" ref="AD113">IFERROR(ROUND((_xlfn.IFS(offer_sale_type="поставка",AB113,offer_sale_type="транзит",S113)*(1+AC113))/E113,2),0)</f>
        <v/>
      </c>
      <c r="AE113" s="76">
        <f>AD113*E113</f>
        <v/>
      </c>
      <c r="AF113" s="193">
        <f t="array" ref="AF113">IFERROR(ROUND(_xlfn.IFS(offer_sale_type="поставка",AB113,offer_sale_type="транзит",S113)*AC113,2),0)</f>
        <v/>
      </c>
      <c r="AG113" s="192">
        <f>$BD113*VLOOKUP($AG$3,$AF$4:$AG$7,2,FALSE)</f>
        <v/>
      </c>
      <c r="AH113" s="76">
        <f>SUM(AE113,AG113,AI113)*rate_forex_risk</f>
        <v/>
      </c>
      <c r="AI113" s="193">
        <f>IF(OR(seller_region="TR",offer_sale_type="экспорт"),0,rate_fin_comm)*SUM(AZ113,AZ113*AW113,T113)</f>
        <v/>
      </c>
      <c r="AJ113" s="118">
        <f>IFERROR(ROUND(SUM(AB113,AF113:AI113)/E113,2),0)</f>
        <v/>
      </c>
      <c r="AK113" s="76">
        <f>AJ113*E113</f>
        <v/>
      </c>
      <c r="AL113" s="174">
        <f>ROUND(IFERROR(AM113*E113,0),2)</f>
        <v/>
      </c>
      <c r="AM113" s="175">
        <f>ROUND(AJ113*(1+IF(offer_incoterms="DDP",IF((TODAY()+offer_turnaround_time)&gt;=helpsheet!$L$17,rate_vatRU_from_26,rate_vatRu_till_25),0)),2)</f>
        <v/>
      </c>
      <c r="AN113" s="192">
        <f>AL113-AK113</f>
        <v/>
      </c>
      <c r="AO113" s="76">
        <f>SUM(AY113,Y113:Z113,T113)*IF(AND(offer_incoterms="DDP",offer_sale_type&lt;&gt;"экспорт"),IF((TODAY()+offer_turnaround_time)&gt;=helpsheet!$L$17,rate_vatRU_from_26,rate_vatRu_till_25),0)</f>
        <v/>
      </c>
      <c r="AP113" s="193">
        <f>AN113-AO113</f>
        <v/>
      </c>
      <c r="AQ113" s="118">
        <f>IF(offer_sale_type="транзит",SUM(AF113:AI113,BA113,BB113),0)</f>
        <v/>
      </c>
      <c r="AR113" s="82">
        <f>HYPERLINK("https://www.alta.ru/tnved/code/")&amp;W113&amp;"/"</f>
        <v/>
      </c>
      <c r="AS113" s="157" t="n"/>
      <c r="AT113" s="162" t="n"/>
      <c r="AU113" s="76">
        <f>IF(ISBLANK(AT113),0,AJ113-AT113)</f>
        <v/>
      </c>
      <c r="AV113" s="157" t="n"/>
      <c r="AW113" s="75">
        <f>_xlfn.IFNA(VLOOKUP(L113,list_vat[],3,FALSE),0)</f>
        <v/>
      </c>
      <c r="AX113" s="76">
        <f>IFERROR(ROUND(S113*(1+AW113)/E113,2),0)</f>
        <v/>
      </c>
      <c r="AY113" s="76">
        <f>E113*AX113</f>
        <v/>
      </c>
      <c r="AZ113" s="192">
        <f>S113*(1+M113)</f>
        <v/>
      </c>
      <c r="BA113" s="76">
        <f>cost_fin_total*$BD113</f>
        <v/>
      </c>
      <c r="BB113" s="193">
        <f>credit_sales_interest*BD113</f>
        <v/>
      </c>
      <c r="BC113" s="102">
        <f>IFERROR(IF($I$13&gt;0,$I113/$I$13,$S113/$S$13),0)</f>
        <v/>
      </c>
      <c r="BD113" s="102">
        <f>IFERROR($S113/$S$13,0)</f>
        <v/>
      </c>
      <c r="BE113" s="413" t="inlineStr">
        <is>
          <t>$</t>
        </is>
      </c>
    </row>
    <row r="114" ht="12" customFormat="1" customHeight="1" s="65">
      <c r="A114" s="43" t="n">
        <v>99</v>
      </c>
      <c r="B114" s="166" t="n"/>
      <c r="C114" s="166" t="n"/>
      <c r="D114" s="166" t="n"/>
      <c r="E114" s="162" t="n"/>
      <c r="F114" s="166" t="n"/>
      <c r="G114" s="162" t="n"/>
      <c r="H114" s="162" t="n"/>
      <c r="I114" s="189">
        <f>E114*G114</f>
        <v/>
      </c>
      <c r="J114" s="195" t="n"/>
      <c r="K114" s="162" t="n"/>
      <c r="L114" s="168" t="n"/>
      <c r="M114" s="75">
        <f>_xlfn.XLOOKUP(L114,list_vat[Страна],list_vat[Ставка НДС %],0,0)</f>
        <v/>
      </c>
      <c r="N114" s="162">
        <f>IFERROR(IF(L114="Китай",K114,K114/(1+M114)),0)</f>
        <v/>
      </c>
      <c r="O114" s="169" t="n"/>
      <c r="P114" s="76">
        <f>N114*(1-O114)</f>
        <v/>
      </c>
      <c r="Q114" s="162" t="n"/>
      <c r="R114" s="162">
        <f>IF(ISBLANK(Q114),"введи курс",P114/Q114)</f>
        <v/>
      </c>
      <c r="S114" s="196">
        <f>IF(AND(ISNUMBER(E114),ISNUMBER(Q114)),E114*R114,0)</f>
        <v/>
      </c>
      <c r="T114" s="192">
        <f>$BC114*V$11</f>
        <v/>
      </c>
      <c r="U114" s="76">
        <f>$BC114*W$11</f>
        <v/>
      </c>
      <c r="V114" s="193">
        <f>+SUM(T114:U114)</f>
        <v/>
      </c>
      <c r="W114" s="191" t="n"/>
      <c r="X114" s="170" t="n"/>
      <c r="Y114" s="76">
        <f>ROUND(IF(offer_incoterms="DDP",X114*(S114*(1+AW114)+T114),0),2)</f>
        <v/>
      </c>
      <c r="Z114" s="188" t="n"/>
      <c r="AA114" s="192">
        <f>IFERROR(AB114/E114,0)</f>
        <v/>
      </c>
      <c r="AB114" s="76">
        <f>ROUND(SUM(S114,V114,Y114:Z114,BA114:BB114),2)</f>
        <v/>
      </c>
      <c r="AC114" s="797" t="n"/>
      <c r="AD114" s="192">
        <f t="array" ref="AD114">IFERROR(ROUND((_xlfn.IFS(offer_sale_type="поставка",AB114,offer_sale_type="транзит",S114)*(1+AC114))/E114,2),0)</f>
        <v/>
      </c>
      <c r="AE114" s="76">
        <f>AD114*E114</f>
        <v/>
      </c>
      <c r="AF114" s="193">
        <f t="array" ref="AF114">IFERROR(ROUND(_xlfn.IFS(offer_sale_type="поставка",AB114,offer_sale_type="транзит",S114)*AC114,2),0)</f>
        <v/>
      </c>
      <c r="AG114" s="192">
        <f>$BD114*VLOOKUP($AG$3,$AF$4:$AG$7,2,FALSE)</f>
        <v/>
      </c>
      <c r="AH114" s="76">
        <f>SUM(AE114,AG114,AI114)*rate_forex_risk</f>
        <v/>
      </c>
      <c r="AI114" s="193">
        <f>IF(OR(seller_region="TR",offer_sale_type="экспорт"),0,rate_fin_comm)*SUM(AZ114,AZ114*AW114,T114)</f>
        <v/>
      </c>
      <c r="AJ114" s="118">
        <f>IFERROR(ROUND(SUM(AB114,AF114:AI114)/E114,2),0)</f>
        <v/>
      </c>
      <c r="AK114" s="76">
        <f>AJ114*E114</f>
        <v/>
      </c>
      <c r="AL114" s="174">
        <f>ROUND(IFERROR(AM114*E114,0),2)</f>
        <v/>
      </c>
      <c r="AM114" s="175">
        <f>ROUND(AJ114*(1+IF(offer_incoterms="DDP",IF((TODAY()+offer_turnaround_time)&gt;=helpsheet!$L$17,rate_vatRU_from_26,rate_vatRu_till_25),0)),2)</f>
        <v/>
      </c>
      <c r="AN114" s="192">
        <f>AL114-AK114</f>
        <v/>
      </c>
      <c r="AO114" s="76">
        <f>SUM(AY114,Y114:Z114,T114)*IF(AND(offer_incoterms="DDP",offer_sale_type&lt;&gt;"экспорт"),IF((TODAY()+offer_turnaround_time)&gt;=helpsheet!$L$17,rate_vatRU_from_26,rate_vatRu_till_25),0)</f>
        <v/>
      </c>
      <c r="AP114" s="193">
        <f>AN114-AO114</f>
        <v/>
      </c>
      <c r="AQ114" s="118">
        <f>IF(offer_sale_type="транзит",SUM(AF114:AI114,BA114,BB114),0)</f>
        <v/>
      </c>
      <c r="AR114" s="82">
        <f>HYPERLINK("https://www.alta.ru/tnved/code/")&amp;W114&amp;"/"</f>
        <v/>
      </c>
      <c r="AS114" s="157" t="n"/>
      <c r="AT114" s="162" t="n"/>
      <c r="AU114" s="76">
        <f>IF(ISBLANK(AT114),0,AJ114-AT114)</f>
        <v/>
      </c>
      <c r="AV114" s="157" t="n"/>
      <c r="AW114" s="75">
        <f>_xlfn.IFNA(VLOOKUP(L114,list_vat[],3,FALSE),0)</f>
        <v/>
      </c>
      <c r="AX114" s="76">
        <f>IFERROR(ROUND(S114*(1+AW114)/E114,2),0)</f>
        <v/>
      </c>
      <c r="AY114" s="76">
        <f>E114*AX114</f>
        <v/>
      </c>
      <c r="AZ114" s="192">
        <f>S114*(1+M114)</f>
        <v/>
      </c>
      <c r="BA114" s="76">
        <f>cost_fin_total*$BD114</f>
        <v/>
      </c>
      <c r="BB114" s="193">
        <f>credit_sales_interest*BD114</f>
        <v/>
      </c>
      <c r="BC114" s="102">
        <f>IFERROR(IF($I$13&gt;0,$I114/$I$13,$S114/$S$13),0)</f>
        <v/>
      </c>
      <c r="BD114" s="102">
        <f>IFERROR($S114/$S$13,0)</f>
        <v/>
      </c>
      <c r="BE114" s="413" t="inlineStr">
        <is>
          <t>$</t>
        </is>
      </c>
    </row>
    <row r="115" ht="12" customFormat="1" customHeight="1" s="65">
      <c r="A115" s="43" t="n">
        <v>100</v>
      </c>
      <c r="B115" s="166" t="n"/>
      <c r="C115" s="166" t="n"/>
      <c r="D115" s="166" t="n"/>
      <c r="E115" s="162" t="n"/>
      <c r="F115" s="166" t="n"/>
      <c r="G115" s="162" t="n"/>
      <c r="H115" s="162" t="n"/>
      <c r="I115" s="189">
        <f>E115*G115</f>
        <v/>
      </c>
      <c r="J115" s="195" t="n"/>
      <c r="K115" s="162" t="n"/>
      <c r="L115" s="168" t="n"/>
      <c r="M115" s="75">
        <f>_xlfn.XLOOKUP(L115,list_vat[Страна],list_vat[Ставка НДС %],0,0)</f>
        <v/>
      </c>
      <c r="N115" s="162">
        <f>IFERROR(IF(L115="Китай",K115,K115/(1+M115)),0)</f>
        <v/>
      </c>
      <c r="O115" s="169" t="n"/>
      <c r="P115" s="76">
        <f>N115*(1-O115)</f>
        <v/>
      </c>
      <c r="Q115" s="162" t="n"/>
      <c r="R115" s="162">
        <f>IF(ISBLANK(Q115),"введи курс",P115/Q115)</f>
        <v/>
      </c>
      <c r="S115" s="196">
        <f>IF(AND(ISNUMBER(E115),ISNUMBER(Q115)),E115*R115,0)</f>
        <v/>
      </c>
      <c r="T115" s="192">
        <f>$BC115*V$11</f>
        <v/>
      </c>
      <c r="U115" s="76">
        <f>$BC115*W$11</f>
        <v/>
      </c>
      <c r="V115" s="193">
        <f>+SUM(T115:U115)</f>
        <v/>
      </c>
      <c r="W115" s="191" t="n"/>
      <c r="X115" s="170" t="n"/>
      <c r="Y115" s="76">
        <f>ROUND(IF(offer_incoterms="DDP",X115*(S115*(1+AW115)+T115),0),2)</f>
        <v/>
      </c>
      <c r="Z115" s="188" t="n"/>
      <c r="AA115" s="192">
        <f>IFERROR(AB115/E115,0)</f>
        <v/>
      </c>
      <c r="AB115" s="76">
        <f>ROUND(SUM(S115,V115,Y115:Z115,BA115:BB115),2)</f>
        <v/>
      </c>
      <c r="AC115" s="797" t="n"/>
      <c r="AD115" s="192">
        <f t="array" ref="AD115">IFERROR(ROUND((_xlfn.IFS(offer_sale_type="поставка",AB115,offer_sale_type="транзит",S115)*(1+AC115))/E115,2),0)</f>
        <v/>
      </c>
      <c r="AE115" s="76">
        <f>AD115*E115</f>
        <v/>
      </c>
      <c r="AF115" s="193">
        <f t="array" ref="AF115">IFERROR(ROUND(_xlfn.IFS(offer_sale_type="поставка",AB115,offer_sale_type="транзит",S115)*AC115,2),0)</f>
        <v/>
      </c>
      <c r="AG115" s="192">
        <f>$BD115*VLOOKUP($AG$3,$AF$4:$AG$7,2,FALSE)</f>
        <v/>
      </c>
      <c r="AH115" s="76">
        <f>SUM(AE115,AG115,AI115)*rate_forex_risk</f>
        <v/>
      </c>
      <c r="AI115" s="193">
        <f>IF(OR(seller_region="TR",offer_sale_type="экспорт"),0,rate_fin_comm)*SUM(AZ115,AZ115*AW115,T115)</f>
        <v/>
      </c>
      <c r="AJ115" s="118">
        <f>IFERROR(ROUND(SUM(AB115,AF115:AI115)/E115,2),0)</f>
        <v/>
      </c>
      <c r="AK115" s="76">
        <f>AJ115*E115</f>
        <v/>
      </c>
      <c r="AL115" s="174">
        <f>ROUND(IFERROR(AM115*E115,0),2)</f>
        <v/>
      </c>
      <c r="AM115" s="175">
        <f>ROUND(AJ115*(1+IF(offer_incoterms="DDP",IF((TODAY()+offer_turnaround_time)&gt;=helpsheet!$L$17,rate_vatRU_from_26,rate_vatRu_till_25),0)),2)</f>
        <v/>
      </c>
      <c r="AN115" s="192">
        <f>AL115-AK115</f>
        <v/>
      </c>
      <c r="AO115" s="76">
        <f>SUM(AY115,Y115:Z115,T115)*IF(AND(offer_incoterms="DDP",offer_sale_type&lt;&gt;"экспорт"),IF((TODAY()+offer_turnaround_time)&gt;=helpsheet!$L$17,rate_vatRU_from_26,rate_vatRu_till_25),0)</f>
        <v/>
      </c>
      <c r="AP115" s="193">
        <f>AN115-AO115</f>
        <v/>
      </c>
      <c r="AQ115" s="118">
        <f>IF(offer_sale_type="транзит",SUM(AF115:AI115,BA115,BB115),0)</f>
        <v/>
      </c>
      <c r="AR115" s="82">
        <f>HYPERLINK("https://www.alta.ru/tnved/code/")&amp;W115&amp;"/"</f>
        <v/>
      </c>
      <c r="AS115" s="157" t="n"/>
      <c r="AT115" s="162" t="n"/>
      <c r="AU115" s="76">
        <f>IF(ISBLANK(AT115),0,AJ115-AT115)</f>
        <v/>
      </c>
      <c r="AV115" s="157" t="n"/>
      <c r="AW115" s="75">
        <f>_xlfn.IFNA(VLOOKUP(L115,list_vat[],3,FALSE),0)</f>
        <v/>
      </c>
      <c r="AX115" s="76">
        <f>IFERROR(ROUND(S115*(1+AW115)/E115,2),0)</f>
        <v/>
      </c>
      <c r="AY115" s="76">
        <f>E115*AX115</f>
        <v/>
      </c>
      <c r="AZ115" s="192">
        <f>S115*(1+M115)</f>
        <v/>
      </c>
      <c r="BA115" s="76">
        <f>cost_fin_total*$BD115</f>
        <v/>
      </c>
      <c r="BB115" s="193">
        <f>credit_sales_interest*BD115</f>
        <v/>
      </c>
      <c r="BC115" s="102">
        <f>IFERROR(IF($I$13&gt;0,$I115/$I$13,$S115/$S$13),0)</f>
        <v/>
      </c>
      <c r="BD115" s="102">
        <f>IFERROR($S115/$S$13,0)</f>
        <v/>
      </c>
      <c r="BE115" s="413" t="inlineStr">
        <is>
          <t>$</t>
        </is>
      </c>
    </row>
    <row r="116" ht="12" customFormat="1" customHeight="1" s="65">
      <c r="A116" s="43" t="n">
        <v>101</v>
      </c>
      <c r="B116" s="166" t="n"/>
      <c r="C116" s="166" t="n"/>
      <c r="D116" s="166" t="n"/>
      <c r="E116" s="162" t="n"/>
      <c r="F116" s="166" t="n"/>
      <c r="G116" s="162" t="n"/>
      <c r="H116" s="162" t="n"/>
      <c r="I116" s="189">
        <f>E116*G116</f>
        <v/>
      </c>
      <c r="J116" s="195" t="n"/>
      <c r="K116" s="162" t="n"/>
      <c r="L116" s="168" t="n"/>
      <c r="M116" s="75">
        <f>_xlfn.XLOOKUP(L116,list_vat[Страна],list_vat[Ставка НДС %],0,0)</f>
        <v/>
      </c>
      <c r="N116" s="162">
        <f>IFERROR(IF(L116="Китай",K116,K116/(1+M116)),0)</f>
        <v/>
      </c>
      <c r="O116" s="169" t="n"/>
      <c r="P116" s="76">
        <f>N116*(1-O116)</f>
        <v/>
      </c>
      <c r="Q116" s="162" t="n"/>
      <c r="R116" s="162">
        <f>IF(ISBLANK(Q116),"введи курс",P116/Q116)</f>
        <v/>
      </c>
      <c r="S116" s="196">
        <f>IF(AND(ISNUMBER(E116),ISNUMBER(Q116)),E116*R116,0)</f>
        <v/>
      </c>
      <c r="T116" s="192">
        <f>$BC116*V$11</f>
        <v/>
      </c>
      <c r="U116" s="76">
        <f>$BC116*W$11</f>
        <v/>
      </c>
      <c r="V116" s="193">
        <f>+SUM(T116:U116)</f>
        <v/>
      </c>
      <c r="W116" s="191" t="n"/>
      <c r="X116" s="170" t="n"/>
      <c r="Y116" s="76">
        <f>ROUND(IF(offer_incoterms="DDP",X116*(S116*(1+AW116)+T116),0),2)</f>
        <v/>
      </c>
      <c r="Z116" s="188" t="n"/>
      <c r="AA116" s="192">
        <f>IFERROR(AB116/E116,0)</f>
        <v/>
      </c>
      <c r="AB116" s="76">
        <f>ROUND(SUM(S116,V116,Y116:Z116,BA116:BB116),2)</f>
        <v/>
      </c>
      <c r="AC116" s="797" t="n"/>
      <c r="AD116" s="192">
        <f t="array" ref="AD116">IFERROR(ROUND((_xlfn.IFS(offer_sale_type="поставка",AB116,offer_sale_type="транзит",S116)*(1+AC116))/E116,2),0)</f>
        <v/>
      </c>
      <c r="AE116" s="76">
        <f>AD116*E116</f>
        <v/>
      </c>
      <c r="AF116" s="193">
        <f t="array" ref="AF116">IFERROR(ROUND(_xlfn.IFS(offer_sale_type="поставка",AB116,offer_sale_type="транзит",S116)*AC116,2),0)</f>
        <v/>
      </c>
      <c r="AG116" s="192">
        <f>$BD116*VLOOKUP($AG$3,$AF$4:$AG$7,2,FALSE)</f>
        <v/>
      </c>
      <c r="AH116" s="76">
        <f>SUM(AE116,AG116,AI116)*rate_forex_risk</f>
        <v/>
      </c>
      <c r="AI116" s="193">
        <f>IF(OR(seller_region="TR",offer_sale_type="экспорт"),0,rate_fin_comm)*SUM(AZ116,AZ116*AW116,T116)</f>
        <v/>
      </c>
      <c r="AJ116" s="118">
        <f>IFERROR(ROUND(SUM(AB116,AF116:AI116)/E116,2),0)</f>
        <v/>
      </c>
      <c r="AK116" s="76">
        <f>AJ116*E116</f>
        <v/>
      </c>
      <c r="AL116" s="174">
        <f>ROUND(IFERROR(AM116*E116,0),2)</f>
        <v/>
      </c>
      <c r="AM116" s="175">
        <f>ROUND(AJ116*(1+IF(offer_incoterms="DDP",IF((TODAY()+offer_turnaround_time)&gt;=helpsheet!$L$17,rate_vatRU_from_26,rate_vatRu_till_25),0)),2)</f>
        <v/>
      </c>
      <c r="AN116" s="192">
        <f>AL116-AK116</f>
        <v/>
      </c>
      <c r="AO116" s="76">
        <f>SUM(AY116,Y116:Z116,T116)*IF(AND(offer_incoterms="DDP",offer_sale_type&lt;&gt;"экспорт"),IF((TODAY()+offer_turnaround_time)&gt;=helpsheet!$L$17,rate_vatRU_from_26,rate_vatRu_till_25),0)</f>
        <v/>
      </c>
      <c r="AP116" s="193">
        <f>AN116-AO116</f>
        <v/>
      </c>
      <c r="AQ116" s="118">
        <f>IF(offer_sale_type="транзит",SUM(AF116:AI116,BA116,BB116),0)</f>
        <v/>
      </c>
      <c r="AR116" s="82">
        <f>HYPERLINK("https://www.alta.ru/tnved/code/")&amp;W116&amp;"/"</f>
        <v/>
      </c>
      <c r="AS116" s="157" t="n"/>
      <c r="AT116" s="162" t="n"/>
      <c r="AU116" s="76">
        <f>IF(ISBLANK(AT116),0,AJ116-AT116)</f>
        <v/>
      </c>
      <c r="AV116" s="157" t="n"/>
      <c r="AW116" s="75">
        <f>_xlfn.IFNA(VLOOKUP(L116,list_vat[],3,FALSE),0)</f>
        <v/>
      </c>
      <c r="AX116" s="76">
        <f>IFERROR(ROUND(S116*(1+AW116)/E116,2),0)</f>
        <v/>
      </c>
      <c r="AY116" s="76">
        <f>E116*AX116</f>
        <v/>
      </c>
      <c r="AZ116" s="192">
        <f>S116*(1+M116)</f>
        <v/>
      </c>
      <c r="BA116" s="76">
        <f>cost_fin_total*$BD116</f>
        <v/>
      </c>
      <c r="BB116" s="193">
        <f>credit_sales_interest*BD116</f>
        <v/>
      </c>
      <c r="BC116" s="102">
        <f>IFERROR(IF($I$13&gt;0,$I116/$I$13,$S116/$S$13),0)</f>
        <v/>
      </c>
      <c r="BD116" s="102">
        <f>IFERROR($S116/$S$13,0)</f>
        <v/>
      </c>
      <c r="BE116" s="413" t="inlineStr">
        <is>
          <t>$</t>
        </is>
      </c>
    </row>
    <row r="117" ht="12" customFormat="1" customHeight="1" s="65">
      <c r="A117" s="43" t="n">
        <v>102</v>
      </c>
      <c r="B117" s="166" t="n"/>
      <c r="C117" s="166" t="n"/>
      <c r="D117" s="166" t="n"/>
      <c r="E117" s="162" t="n"/>
      <c r="F117" s="166" t="n"/>
      <c r="G117" s="162" t="n"/>
      <c r="H117" s="162" t="n"/>
      <c r="I117" s="189">
        <f>E117*G117</f>
        <v/>
      </c>
      <c r="J117" s="195" t="n"/>
      <c r="K117" s="162" t="n"/>
      <c r="L117" s="168" t="n"/>
      <c r="M117" s="75">
        <f>_xlfn.XLOOKUP(L117,list_vat[Страна],list_vat[Ставка НДС %],0,0)</f>
        <v/>
      </c>
      <c r="N117" s="162">
        <f>IFERROR(IF(L117="Китай",K117,K117/(1+M117)),0)</f>
        <v/>
      </c>
      <c r="O117" s="169" t="n"/>
      <c r="P117" s="76">
        <f>N117*(1-O117)</f>
        <v/>
      </c>
      <c r="Q117" s="162" t="n"/>
      <c r="R117" s="162">
        <f>IF(ISBLANK(Q117),"введи курс",P117/Q117)</f>
        <v/>
      </c>
      <c r="S117" s="196">
        <f>IF(AND(ISNUMBER(E117),ISNUMBER(Q117)),E117*R117,0)</f>
        <v/>
      </c>
      <c r="T117" s="192">
        <f>$BC117*V$11</f>
        <v/>
      </c>
      <c r="U117" s="76">
        <f>$BC117*W$11</f>
        <v/>
      </c>
      <c r="V117" s="193">
        <f>+SUM(T117:U117)</f>
        <v/>
      </c>
      <c r="W117" s="191" t="n"/>
      <c r="X117" s="170" t="n"/>
      <c r="Y117" s="76">
        <f>ROUND(IF(offer_incoterms="DDP",X117*(S117*(1+AW117)+T117),0),2)</f>
        <v/>
      </c>
      <c r="Z117" s="188" t="n"/>
      <c r="AA117" s="192">
        <f>IFERROR(AB117/E117,0)</f>
        <v/>
      </c>
      <c r="AB117" s="76">
        <f>ROUND(SUM(S117,V117,Y117:Z117,BA117:BB117),2)</f>
        <v/>
      </c>
      <c r="AC117" s="797" t="n"/>
      <c r="AD117" s="192">
        <f t="array" ref="AD117">IFERROR(ROUND((_xlfn.IFS(offer_sale_type="поставка",AB117,offer_sale_type="транзит",S117)*(1+AC117))/E117,2),0)</f>
        <v/>
      </c>
      <c r="AE117" s="76">
        <f>AD117*E117</f>
        <v/>
      </c>
      <c r="AF117" s="193">
        <f t="array" ref="AF117">IFERROR(ROUND(_xlfn.IFS(offer_sale_type="поставка",AB117,offer_sale_type="транзит",S117)*AC117,2),0)</f>
        <v/>
      </c>
      <c r="AG117" s="192">
        <f>$BD117*VLOOKUP($AG$3,$AF$4:$AG$7,2,FALSE)</f>
        <v/>
      </c>
      <c r="AH117" s="76">
        <f>SUM(AE117,AG117,AI117)*rate_forex_risk</f>
        <v/>
      </c>
      <c r="AI117" s="193">
        <f>IF(OR(seller_region="TR",offer_sale_type="экспорт"),0,rate_fin_comm)*SUM(AZ117,AZ117*AW117,T117)</f>
        <v/>
      </c>
      <c r="AJ117" s="118">
        <f>IFERROR(ROUND(SUM(AB117,AF117:AI117)/E117,2),0)</f>
        <v/>
      </c>
      <c r="AK117" s="76">
        <f>AJ117*E117</f>
        <v/>
      </c>
      <c r="AL117" s="174">
        <f>ROUND(IFERROR(AM117*E117,0),2)</f>
        <v/>
      </c>
      <c r="AM117" s="175">
        <f>ROUND(AJ117*(1+IF(offer_incoterms="DDP",IF((TODAY()+offer_turnaround_time)&gt;=helpsheet!$L$17,rate_vatRU_from_26,rate_vatRu_till_25),0)),2)</f>
        <v/>
      </c>
      <c r="AN117" s="192">
        <f>AL117-AK117</f>
        <v/>
      </c>
      <c r="AO117" s="76">
        <f>SUM(AY117,Y117:Z117,T117)*IF(AND(offer_incoterms="DDP",offer_sale_type&lt;&gt;"экспорт"),IF((TODAY()+offer_turnaround_time)&gt;=helpsheet!$L$17,rate_vatRU_from_26,rate_vatRu_till_25),0)</f>
        <v/>
      </c>
      <c r="AP117" s="193">
        <f>AN117-AO117</f>
        <v/>
      </c>
      <c r="AQ117" s="118">
        <f>IF(offer_sale_type="транзит",SUM(AF117:AI117,BA117,BB117),0)</f>
        <v/>
      </c>
      <c r="AR117" s="82">
        <f>HYPERLINK("https://www.alta.ru/tnved/code/")&amp;W117&amp;"/"</f>
        <v/>
      </c>
      <c r="AS117" s="157" t="n"/>
      <c r="AT117" s="162" t="n"/>
      <c r="AU117" s="76">
        <f>IF(ISBLANK(AT117),0,AJ117-AT117)</f>
        <v/>
      </c>
      <c r="AV117" s="157" t="n"/>
      <c r="AW117" s="75">
        <f>_xlfn.IFNA(VLOOKUP(L117,list_vat[],3,FALSE),0)</f>
        <v/>
      </c>
      <c r="AX117" s="76">
        <f>IFERROR(ROUND(S117*(1+AW117)/E117,2),0)</f>
        <v/>
      </c>
      <c r="AY117" s="76">
        <f>E117*AX117</f>
        <v/>
      </c>
      <c r="AZ117" s="192">
        <f>S117*(1+M117)</f>
        <v/>
      </c>
      <c r="BA117" s="76">
        <f>cost_fin_total*$BD117</f>
        <v/>
      </c>
      <c r="BB117" s="193">
        <f>credit_sales_interest*BD117</f>
        <v/>
      </c>
      <c r="BC117" s="102">
        <f>IFERROR(IF($I$13&gt;0,$I117/$I$13,$S117/$S$13),0)</f>
        <v/>
      </c>
      <c r="BD117" s="102">
        <f>IFERROR($S117/$S$13,0)</f>
        <v/>
      </c>
      <c r="BE117" s="413" t="inlineStr">
        <is>
          <t>$</t>
        </is>
      </c>
    </row>
    <row r="118" ht="12" customFormat="1" customHeight="1" s="65">
      <c r="A118" s="43" t="n">
        <v>103</v>
      </c>
      <c r="B118" s="166" t="n"/>
      <c r="C118" s="166" t="n"/>
      <c r="D118" s="166" t="n"/>
      <c r="E118" s="162" t="n"/>
      <c r="F118" s="166" t="n"/>
      <c r="G118" s="162" t="n"/>
      <c r="H118" s="162" t="n"/>
      <c r="I118" s="189">
        <f>E118*G118</f>
        <v/>
      </c>
      <c r="J118" s="195" t="n"/>
      <c r="K118" s="162" t="n"/>
      <c r="L118" s="168" t="n"/>
      <c r="M118" s="75">
        <f>_xlfn.XLOOKUP(L118,list_vat[Страна],list_vat[Ставка НДС %],0,0)</f>
        <v/>
      </c>
      <c r="N118" s="162">
        <f>IFERROR(IF(L118="Китай",K118,K118/(1+M118)),0)</f>
        <v/>
      </c>
      <c r="O118" s="169" t="n"/>
      <c r="P118" s="76">
        <f>N118*(1-O118)</f>
        <v/>
      </c>
      <c r="Q118" s="162" t="n"/>
      <c r="R118" s="162">
        <f>IF(ISBLANK(Q118),"введи курс",P118/Q118)</f>
        <v/>
      </c>
      <c r="S118" s="196">
        <f>IF(AND(ISNUMBER(E118),ISNUMBER(Q118)),E118*R118,0)</f>
        <v/>
      </c>
      <c r="T118" s="192">
        <f>$BC118*V$11</f>
        <v/>
      </c>
      <c r="U118" s="76">
        <f>$BC118*W$11</f>
        <v/>
      </c>
      <c r="V118" s="193">
        <f>+SUM(T118:U118)</f>
        <v/>
      </c>
      <c r="W118" s="191" t="n"/>
      <c r="X118" s="170" t="n"/>
      <c r="Y118" s="76">
        <f>ROUND(IF(offer_incoterms="DDP",X118*(S118*(1+AW118)+T118),0),2)</f>
        <v/>
      </c>
      <c r="Z118" s="188" t="n"/>
      <c r="AA118" s="192">
        <f>IFERROR(AB118/E118,0)</f>
        <v/>
      </c>
      <c r="AB118" s="76">
        <f>ROUND(SUM(S118,V118,Y118:Z118,BA118:BB118),2)</f>
        <v/>
      </c>
      <c r="AC118" s="797" t="n"/>
      <c r="AD118" s="192">
        <f t="array" ref="AD118">IFERROR(ROUND((_xlfn.IFS(offer_sale_type="поставка",AB118,offer_sale_type="транзит",S118)*(1+AC118))/E118,2),0)</f>
        <v/>
      </c>
      <c r="AE118" s="76">
        <f>AD118*E118</f>
        <v/>
      </c>
      <c r="AF118" s="193">
        <f t="array" ref="AF118">IFERROR(ROUND(_xlfn.IFS(offer_sale_type="поставка",AB118,offer_sale_type="транзит",S118)*AC118,2),0)</f>
        <v/>
      </c>
      <c r="AG118" s="192">
        <f>$BD118*VLOOKUP($AG$3,$AF$4:$AG$7,2,FALSE)</f>
        <v/>
      </c>
      <c r="AH118" s="76">
        <f>SUM(AE118,AG118,AI118)*rate_forex_risk</f>
        <v/>
      </c>
      <c r="AI118" s="193">
        <f>IF(OR(seller_region="TR",offer_sale_type="экспорт"),0,rate_fin_comm)*SUM(AZ118,AZ118*AW118,T118)</f>
        <v/>
      </c>
      <c r="AJ118" s="118">
        <f>IFERROR(ROUND(SUM(AB118,AF118:AI118)/E118,2),0)</f>
        <v/>
      </c>
      <c r="AK118" s="76">
        <f>AJ118*E118</f>
        <v/>
      </c>
      <c r="AL118" s="174">
        <f>ROUND(IFERROR(AM118*E118,0),2)</f>
        <v/>
      </c>
      <c r="AM118" s="175">
        <f>ROUND(AJ118*(1+IF(offer_incoterms="DDP",IF((TODAY()+offer_turnaround_time)&gt;=helpsheet!$L$17,rate_vatRU_from_26,rate_vatRu_till_25),0)),2)</f>
        <v/>
      </c>
      <c r="AN118" s="192">
        <f>AL118-AK118</f>
        <v/>
      </c>
      <c r="AO118" s="76">
        <f>SUM(AY118,Y118:Z118,T118)*IF(AND(offer_incoterms="DDP",offer_sale_type&lt;&gt;"экспорт"),IF((TODAY()+offer_turnaround_time)&gt;=helpsheet!$L$17,rate_vatRU_from_26,rate_vatRu_till_25),0)</f>
        <v/>
      </c>
      <c r="AP118" s="193">
        <f>AN118-AO118</f>
        <v/>
      </c>
      <c r="AQ118" s="118">
        <f>IF(offer_sale_type="транзит",SUM(AF118:AI118,BA118,BB118),0)</f>
        <v/>
      </c>
      <c r="AR118" s="82">
        <f>HYPERLINK("https://www.alta.ru/tnved/code/")&amp;W118&amp;"/"</f>
        <v/>
      </c>
      <c r="AS118" s="157" t="n"/>
      <c r="AT118" s="162" t="n"/>
      <c r="AU118" s="76">
        <f>IF(ISBLANK(AT118),0,AJ118-AT118)</f>
        <v/>
      </c>
      <c r="AV118" s="157" t="n"/>
      <c r="AW118" s="75">
        <f>_xlfn.IFNA(VLOOKUP(L118,list_vat[],3,FALSE),0)</f>
        <v/>
      </c>
      <c r="AX118" s="76">
        <f>IFERROR(ROUND(S118*(1+AW118)/E118,2),0)</f>
        <v/>
      </c>
      <c r="AY118" s="76">
        <f>E118*AX118</f>
        <v/>
      </c>
      <c r="AZ118" s="192">
        <f>S118*(1+M118)</f>
        <v/>
      </c>
      <c r="BA118" s="76">
        <f>cost_fin_total*$BD118</f>
        <v/>
      </c>
      <c r="BB118" s="193">
        <f>credit_sales_interest*BD118</f>
        <v/>
      </c>
      <c r="BC118" s="102">
        <f>IFERROR(IF($I$13&gt;0,$I118/$I$13,$S118/$S$13),0)</f>
        <v/>
      </c>
      <c r="BD118" s="102">
        <f>IFERROR($S118/$S$13,0)</f>
        <v/>
      </c>
      <c r="BE118" s="413" t="inlineStr">
        <is>
          <t>$</t>
        </is>
      </c>
    </row>
    <row r="119" ht="12" customFormat="1" customHeight="1" s="65">
      <c r="A119" s="43" t="n">
        <v>104</v>
      </c>
      <c r="B119" s="166" t="n"/>
      <c r="C119" s="166" t="n"/>
      <c r="D119" s="166" t="n"/>
      <c r="E119" s="162" t="n"/>
      <c r="F119" s="166" t="n"/>
      <c r="G119" s="162" t="n"/>
      <c r="H119" s="162" t="n"/>
      <c r="I119" s="189">
        <f>E119*G119</f>
        <v/>
      </c>
      <c r="J119" s="195" t="n"/>
      <c r="K119" s="162" t="n"/>
      <c r="L119" s="168" t="n"/>
      <c r="M119" s="75">
        <f>_xlfn.XLOOKUP(L119,list_vat[Страна],list_vat[Ставка НДС %],0,0)</f>
        <v/>
      </c>
      <c r="N119" s="162">
        <f>IFERROR(IF(L119="Китай",K119,K119/(1+M119)),0)</f>
        <v/>
      </c>
      <c r="O119" s="169" t="n"/>
      <c r="P119" s="76">
        <f>N119*(1-O119)</f>
        <v/>
      </c>
      <c r="Q119" s="162" t="n"/>
      <c r="R119" s="162">
        <f>IF(ISBLANK(Q119),"введи курс",P119/Q119)</f>
        <v/>
      </c>
      <c r="S119" s="196">
        <f>IF(AND(ISNUMBER(E119),ISNUMBER(Q119)),E119*R119,0)</f>
        <v/>
      </c>
      <c r="T119" s="192">
        <f>$BC119*V$11</f>
        <v/>
      </c>
      <c r="U119" s="76">
        <f>$BC119*W$11</f>
        <v/>
      </c>
      <c r="V119" s="193">
        <f>+SUM(T119:U119)</f>
        <v/>
      </c>
      <c r="W119" s="191" t="n"/>
      <c r="X119" s="170" t="n"/>
      <c r="Y119" s="76">
        <f>ROUND(IF(offer_incoterms="DDP",X119*(S119*(1+AW119)+T119),0),2)</f>
        <v/>
      </c>
      <c r="Z119" s="188" t="n"/>
      <c r="AA119" s="192">
        <f>IFERROR(AB119/E119,0)</f>
        <v/>
      </c>
      <c r="AB119" s="76">
        <f>ROUND(SUM(S119,V119,Y119:Z119,BA119:BB119),2)</f>
        <v/>
      </c>
      <c r="AC119" s="797" t="n"/>
      <c r="AD119" s="192">
        <f t="array" ref="AD119">IFERROR(ROUND((_xlfn.IFS(offer_sale_type="поставка",AB119,offer_sale_type="транзит",S119)*(1+AC119))/E119,2),0)</f>
        <v/>
      </c>
      <c r="AE119" s="76">
        <f>AD119*E119</f>
        <v/>
      </c>
      <c r="AF119" s="193">
        <f t="array" ref="AF119">IFERROR(ROUND(_xlfn.IFS(offer_sale_type="поставка",AB119,offer_sale_type="транзит",S119)*AC119,2),0)</f>
        <v/>
      </c>
      <c r="AG119" s="192">
        <f>$BD119*VLOOKUP($AG$3,$AF$4:$AG$7,2,FALSE)</f>
        <v/>
      </c>
      <c r="AH119" s="76">
        <f>SUM(AE119,AG119,AI119)*rate_forex_risk</f>
        <v/>
      </c>
      <c r="AI119" s="193">
        <f>IF(OR(seller_region="TR",offer_sale_type="экспорт"),0,rate_fin_comm)*SUM(AZ119,AZ119*AW119,T119)</f>
        <v/>
      </c>
      <c r="AJ119" s="118">
        <f>IFERROR(ROUND(SUM(AB119,AF119:AI119)/E119,2),0)</f>
        <v/>
      </c>
      <c r="AK119" s="76">
        <f>AJ119*E119</f>
        <v/>
      </c>
      <c r="AL119" s="174">
        <f>ROUND(IFERROR(AM119*E119,0),2)</f>
        <v/>
      </c>
      <c r="AM119" s="175">
        <f>ROUND(AJ119*(1+IF(offer_incoterms="DDP",IF((TODAY()+offer_turnaround_time)&gt;=helpsheet!$L$17,rate_vatRU_from_26,rate_vatRu_till_25),0)),2)</f>
        <v/>
      </c>
      <c r="AN119" s="192">
        <f>AL119-AK119</f>
        <v/>
      </c>
      <c r="AO119" s="76">
        <f>SUM(AY119,Y119:Z119,T119)*IF(AND(offer_incoterms="DDP",offer_sale_type&lt;&gt;"экспорт"),IF((TODAY()+offer_turnaround_time)&gt;=helpsheet!$L$17,rate_vatRU_from_26,rate_vatRu_till_25),0)</f>
        <v/>
      </c>
      <c r="AP119" s="193">
        <f>AN119-AO119</f>
        <v/>
      </c>
      <c r="AQ119" s="118">
        <f>IF(offer_sale_type="транзит",SUM(AF119:AI119,BA119,BB119),0)</f>
        <v/>
      </c>
      <c r="AR119" s="82">
        <f>HYPERLINK("https://www.alta.ru/tnved/code/")&amp;W119&amp;"/"</f>
        <v/>
      </c>
      <c r="AS119" s="157" t="n"/>
      <c r="AT119" s="162" t="n"/>
      <c r="AU119" s="76">
        <f>IF(ISBLANK(AT119),0,AJ119-AT119)</f>
        <v/>
      </c>
      <c r="AV119" s="157" t="n"/>
      <c r="AW119" s="75">
        <f>_xlfn.IFNA(VLOOKUP(L119,list_vat[],3,FALSE),0)</f>
        <v/>
      </c>
      <c r="AX119" s="76">
        <f>IFERROR(ROUND(S119*(1+AW119)/E119,2),0)</f>
        <v/>
      </c>
      <c r="AY119" s="76">
        <f>E119*AX119</f>
        <v/>
      </c>
      <c r="AZ119" s="192">
        <f>S119*(1+M119)</f>
        <v/>
      </c>
      <c r="BA119" s="76">
        <f>cost_fin_total*$BD119</f>
        <v/>
      </c>
      <c r="BB119" s="193">
        <f>credit_sales_interest*BD119</f>
        <v/>
      </c>
      <c r="BC119" s="102">
        <f>IFERROR(IF($I$13&gt;0,$I119/$I$13,$S119/$S$13),0)</f>
        <v/>
      </c>
      <c r="BD119" s="102">
        <f>IFERROR($S119/$S$13,0)</f>
        <v/>
      </c>
      <c r="BE119" s="413" t="inlineStr">
        <is>
          <t>$</t>
        </is>
      </c>
    </row>
    <row r="120" ht="12" customFormat="1" customHeight="1" s="65">
      <c r="A120" s="43" t="n">
        <v>105</v>
      </c>
      <c r="B120" s="166" t="n"/>
      <c r="C120" s="166" t="n"/>
      <c r="D120" s="166" t="n"/>
      <c r="E120" s="162" t="n"/>
      <c r="F120" s="166" t="n"/>
      <c r="G120" s="162" t="n"/>
      <c r="H120" s="162" t="n"/>
      <c r="I120" s="189">
        <f>E120*G120</f>
        <v/>
      </c>
      <c r="J120" s="195" t="n"/>
      <c r="K120" s="162" t="n"/>
      <c r="L120" s="168" t="n"/>
      <c r="M120" s="75">
        <f>_xlfn.XLOOKUP(L120,list_vat[Страна],list_vat[Ставка НДС %],0,0)</f>
        <v/>
      </c>
      <c r="N120" s="162">
        <f>IFERROR(IF(L120="Китай",K120,K120/(1+M120)),0)</f>
        <v/>
      </c>
      <c r="O120" s="169" t="n"/>
      <c r="P120" s="76">
        <f>N120*(1-O120)</f>
        <v/>
      </c>
      <c r="Q120" s="162" t="n"/>
      <c r="R120" s="162">
        <f>IF(ISBLANK(Q120),"введи курс",P120/Q120)</f>
        <v/>
      </c>
      <c r="S120" s="196">
        <f>IF(AND(ISNUMBER(E120),ISNUMBER(Q120)),E120*R120,0)</f>
        <v/>
      </c>
      <c r="T120" s="192">
        <f>$BC120*V$11</f>
        <v/>
      </c>
      <c r="U120" s="76">
        <f>$BC120*W$11</f>
        <v/>
      </c>
      <c r="V120" s="193">
        <f>+SUM(T120:U120)</f>
        <v/>
      </c>
      <c r="W120" s="191" t="n"/>
      <c r="X120" s="170" t="n"/>
      <c r="Y120" s="76">
        <f>ROUND(IF(offer_incoterms="DDP",X120*(S120*(1+AW120)+T120),0),2)</f>
        <v/>
      </c>
      <c r="Z120" s="188" t="n"/>
      <c r="AA120" s="192">
        <f>IFERROR(AB120/E120,0)</f>
        <v/>
      </c>
      <c r="AB120" s="76">
        <f>ROUND(SUM(S120,V120,Y120:Z120,BA120:BB120),2)</f>
        <v/>
      </c>
      <c r="AC120" s="797" t="n"/>
      <c r="AD120" s="192">
        <f t="array" ref="AD120">IFERROR(ROUND((_xlfn.IFS(offer_sale_type="поставка",AB120,offer_sale_type="транзит",S120)*(1+AC120))/E120,2),0)</f>
        <v/>
      </c>
      <c r="AE120" s="76">
        <f>AD120*E120</f>
        <v/>
      </c>
      <c r="AF120" s="193">
        <f t="array" ref="AF120">IFERROR(ROUND(_xlfn.IFS(offer_sale_type="поставка",AB120,offer_sale_type="транзит",S120)*AC120,2),0)</f>
        <v/>
      </c>
      <c r="AG120" s="192">
        <f>$BD120*VLOOKUP($AG$3,$AF$4:$AG$7,2,FALSE)</f>
        <v/>
      </c>
      <c r="AH120" s="76">
        <f>SUM(AE120,AG120,AI120)*rate_forex_risk</f>
        <v/>
      </c>
      <c r="AI120" s="193">
        <f>IF(OR(seller_region="TR",offer_sale_type="экспорт"),0,rate_fin_comm)*SUM(AZ120,AZ120*AW120,T120)</f>
        <v/>
      </c>
      <c r="AJ120" s="118">
        <f>IFERROR(ROUND(SUM(AB120,AF120:AI120)/E120,2),0)</f>
        <v/>
      </c>
      <c r="AK120" s="76">
        <f>AJ120*E120</f>
        <v/>
      </c>
      <c r="AL120" s="174">
        <f>ROUND(IFERROR(AM120*E120,0),2)</f>
        <v/>
      </c>
      <c r="AM120" s="175">
        <f>ROUND(AJ120*(1+IF(offer_incoterms="DDP",IF((TODAY()+offer_turnaround_time)&gt;=helpsheet!$L$17,rate_vatRU_from_26,rate_vatRu_till_25),0)),2)</f>
        <v/>
      </c>
      <c r="AN120" s="192">
        <f>AL120-AK120</f>
        <v/>
      </c>
      <c r="AO120" s="76">
        <f>SUM(AY120,Y120:Z120,T120)*IF(AND(offer_incoterms="DDP",offer_sale_type&lt;&gt;"экспорт"),IF((TODAY()+offer_turnaround_time)&gt;=helpsheet!$L$17,rate_vatRU_from_26,rate_vatRu_till_25),0)</f>
        <v/>
      </c>
      <c r="AP120" s="193">
        <f>AN120-AO120</f>
        <v/>
      </c>
      <c r="AQ120" s="118">
        <f>IF(offer_sale_type="транзит",SUM(AF120:AI120,BA120,BB120),0)</f>
        <v/>
      </c>
      <c r="AR120" s="82">
        <f>HYPERLINK("https://www.alta.ru/tnved/code/")&amp;W120&amp;"/"</f>
        <v/>
      </c>
      <c r="AS120" s="157" t="n"/>
      <c r="AT120" s="162" t="n"/>
      <c r="AU120" s="76">
        <f>IF(ISBLANK(AT120),0,AJ120-AT120)</f>
        <v/>
      </c>
      <c r="AV120" s="157" t="n"/>
      <c r="AW120" s="75">
        <f>_xlfn.IFNA(VLOOKUP(L120,list_vat[],3,FALSE),0)</f>
        <v/>
      </c>
      <c r="AX120" s="76">
        <f>IFERROR(ROUND(S120*(1+AW120)/E120,2),0)</f>
        <v/>
      </c>
      <c r="AY120" s="76">
        <f>E120*AX120</f>
        <v/>
      </c>
      <c r="AZ120" s="192">
        <f>S120*(1+M120)</f>
        <v/>
      </c>
      <c r="BA120" s="76">
        <f>cost_fin_total*$BD120</f>
        <v/>
      </c>
      <c r="BB120" s="193">
        <f>credit_sales_interest*BD120</f>
        <v/>
      </c>
      <c r="BC120" s="102">
        <f>IFERROR(IF($I$13&gt;0,$I120/$I$13,$S120/$S$13),0)</f>
        <v/>
      </c>
      <c r="BD120" s="102">
        <f>IFERROR($S120/$S$13,0)</f>
        <v/>
      </c>
      <c r="BE120" s="413" t="inlineStr">
        <is>
          <t>$</t>
        </is>
      </c>
    </row>
    <row r="121" ht="12" customFormat="1" customHeight="1" s="65">
      <c r="A121" s="43" t="n">
        <v>106</v>
      </c>
      <c r="B121" s="166" t="n"/>
      <c r="C121" s="166" t="n"/>
      <c r="D121" s="166" t="n"/>
      <c r="E121" s="162" t="n"/>
      <c r="F121" s="166" t="n"/>
      <c r="G121" s="162" t="n"/>
      <c r="H121" s="162" t="n"/>
      <c r="I121" s="189">
        <f>E121*G121</f>
        <v/>
      </c>
      <c r="J121" s="195" t="n"/>
      <c r="K121" s="162" t="n"/>
      <c r="L121" s="168" t="n"/>
      <c r="M121" s="75">
        <f>_xlfn.XLOOKUP(L121,list_vat[Страна],list_vat[Ставка НДС %],0,0)</f>
        <v/>
      </c>
      <c r="N121" s="162">
        <f>IFERROR(IF(L121="Китай",K121,K121/(1+M121)),0)</f>
        <v/>
      </c>
      <c r="O121" s="169" t="n"/>
      <c r="P121" s="76">
        <f>N121*(1-O121)</f>
        <v/>
      </c>
      <c r="Q121" s="162" t="n"/>
      <c r="R121" s="162">
        <f>IF(ISBLANK(Q121),"введи курс",P121/Q121)</f>
        <v/>
      </c>
      <c r="S121" s="196">
        <f>IF(AND(ISNUMBER(E121),ISNUMBER(Q121)),E121*R121,0)</f>
        <v/>
      </c>
      <c r="T121" s="192">
        <f>$BC121*V$11</f>
        <v/>
      </c>
      <c r="U121" s="76">
        <f>$BC121*W$11</f>
        <v/>
      </c>
      <c r="V121" s="193">
        <f>+SUM(T121:U121)</f>
        <v/>
      </c>
      <c r="W121" s="191" t="n"/>
      <c r="X121" s="170" t="n"/>
      <c r="Y121" s="76">
        <f>ROUND(IF(offer_incoterms="DDP",X121*(S121*(1+AW121)+T121),0),2)</f>
        <v/>
      </c>
      <c r="Z121" s="188" t="n"/>
      <c r="AA121" s="192">
        <f>IFERROR(AB121/E121,0)</f>
        <v/>
      </c>
      <c r="AB121" s="76">
        <f>ROUND(SUM(S121,V121,Y121:Z121,BA121:BB121),2)</f>
        <v/>
      </c>
      <c r="AC121" s="797" t="n"/>
      <c r="AD121" s="192">
        <f t="array" ref="AD121">IFERROR(ROUND((_xlfn.IFS(offer_sale_type="поставка",AB121,offer_sale_type="транзит",S121)*(1+AC121))/E121,2),0)</f>
        <v/>
      </c>
      <c r="AE121" s="76">
        <f>AD121*E121</f>
        <v/>
      </c>
      <c r="AF121" s="193">
        <f t="array" ref="AF121">IFERROR(ROUND(_xlfn.IFS(offer_sale_type="поставка",AB121,offer_sale_type="транзит",S121)*AC121,2),0)</f>
        <v/>
      </c>
      <c r="AG121" s="192">
        <f>$BD121*VLOOKUP($AG$3,$AF$4:$AG$7,2,FALSE)</f>
        <v/>
      </c>
      <c r="AH121" s="76">
        <f>SUM(AE121,AG121,AI121)*rate_forex_risk</f>
        <v/>
      </c>
      <c r="AI121" s="193">
        <f>IF(OR(seller_region="TR",offer_sale_type="экспорт"),0,rate_fin_comm)*SUM(AZ121,AZ121*AW121,T121)</f>
        <v/>
      </c>
      <c r="AJ121" s="118">
        <f>IFERROR(ROUND(SUM(AB121,AF121:AI121)/E121,2),0)</f>
        <v/>
      </c>
      <c r="AK121" s="76">
        <f>AJ121*E121</f>
        <v/>
      </c>
      <c r="AL121" s="174">
        <f>ROUND(IFERROR(AM121*E121,0),2)</f>
        <v/>
      </c>
      <c r="AM121" s="175">
        <f>ROUND(AJ121*(1+IF(offer_incoterms="DDP",IF((TODAY()+offer_turnaround_time)&gt;=helpsheet!$L$17,rate_vatRU_from_26,rate_vatRu_till_25),0)),2)</f>
        <v/>
      </c>
      <c r="AN121" s="192">
        <f>AL121-AK121</f>
        <v/>
      </c>
      <c r="AO121" s="76">
        <f>SUM(AY121,Y121:Z121,T121)*IF(AND(offer_incoterms="DDP",offer_sale_type&lt;&gt;"экспорт"),IF((TODAY()+offer_turnaround_time)&gt;=helpsheet!$L$17,rate_vatRU_from_26,rate_vatRu_till_25),0)</f>
        <v/>
      </c>
      <c r="AP121" s="193">
        <f>AN121-AO121</f>
        <v/>
      </c>
      <c r="AQ121" s="118">
        <f>IF(offer_sale_type="транзит",SUM(AF121:AI121,BA121,BB121),0)</f>
        <v/>
      </c>
      <c r="AR121" s="82">
        <f>HYPERLINK("https://www.alta.ru/tnved/code/")&amp;W121&amp;"/"</f>
        <v/>
      </c>
      <c r="AS121" s="157" t="n"/>
      <c r="AT121" s="162" t="n"/>
      <c r="AU121" s="76">
        <f>IF(ISBLANK(AT121),0,AJ121-AT121)</f>
        <v/>
      </c>
      <c r="AV121" s="157" t="n"/>
      <c r="AW121" s="75">
        <f>_xlfn.IFNA(VLOOKUP(L121,list_vat[],3,FALSE),0)</f>
        <v/>
      </c>
      <c r="AX121" s="76">
        <f>IFERROR(ROUND(S121*(1+AW121)/E121,2),0)</f>
        <v/>
      </c>
      <c r="AY121" s="76">
        <f>E121*AX121</f>
        <v/>
      </c>
      <c r="AZ121" s="192">
        <f>S121*(1+M121)</f>
        <v/>
      </c>
      <c r="BA121" s="76">
        <f>cost_fin_total*$BD121</f>
        <v/>
      </c>
      <c r="BB121" s="193">
        <f>credit_sales_interest*BD121</f>
        <v/>
      </c>
      <c r="BC121" s="102">
        <f>IFERROR(IF($I$13&gt;0,$I121/$I$13,$S121/$S$13),0)</f>
        <v/>
      </c>
      <c r="BD121" s="102">
        <f>IFERROR($S121/$S$13,0)</f>
        <v/>
      </c>
      <c r="BE121" s="413" t="inlineStr">
        <is>
          <t>$</t>
        </is>
      </c>
    </row>
    <row r="122" ht="12" customFormat="1" customHeight="1" s="65">
      <c r="A122" s="43" t="n">
        <v>107</v>
      </c>
      <c r="B122" s="166" t="n"/>
      <c r="C122" s="166" t="n"/>
      <c r="D122" s="166" t="n"/>
      <c r="E122" s="162" t="n"/>
      <c r="F122" s="166" t="n"/>
      <c r="G122" s="162" t="n"/>
      <c r="H122" s="162" t="n"/>
      <c r="I122" s="189">
        <f>E122*G122</f>
        <v/>
      </c>
      <c r="J122" s="195" t="n"/>
      <c r="K122" s="162" t="n"/>
      <c r="L122" s="168" t="n"/>
      <c r="M122" s="75">
        <f>_xlfn.XLOOKUP(L122,list_vat[Страна],list_vat[Ставка НДС %],0,0)</f>
        <v/>
      </c>
      <c r="N122" s="162">
        <f>IFERROR(IF(L122="Китай",K122,K122/(1+M122)),0)</f>
        <v/>
      </c>
      <c r="O122" s="169" t="n"/>
      <c r="P122" s="76">
        <f>N122*(1-O122)</f>
        <v/>
      </c>
      <c r="Q122" s="162" t="n"/>
      <c r="R122" s="162">
        <f>IF(ISBLANK(Q122),"введи курс",P122/Q122)</f>
        <v/>
      </c>
      <c r="S122" s="196">
        <f>IF(AND(ISNUMBER(E122),ISNUMBER(Q122)),E122*R122,0)</f>
        <v/>
      </c>
      <c r="T122" s="192">
        <f>$BC122*V$11</f>
        <v/>
      </c>
      <c r="U122" s="76">
        <f>$BC122*W$11</f>
        <v/>
      </c>
      <c r="V122" s="193">
        <f>+SUM(T122:U122)</f>
        <v/>
      </c>
      <c r="W122" s="191" t="n"/>
      <c r="X122" s="170" t="n"/>
      <c r="Y122" s="76">
        <f>ROUND(IF(offer_incoterms="DDP",X122*(S122*(1+AW122)+T122),0),2)</f>
        <v/>
      </c>
      <c r="Z122" s="188" t="n"/>
      <c r="AA122" s="192">
        <f>IFERROR(AB122/E122,0)</f>
        <v/>
      </c>
      <c r="AB122" s="76">
        <f>ROUND(SUM(S122,V122,Y122:Z122,BA122:BB122),2)</f>
        <v/>
      </c>
      <c r="AC122" s="797" t="n"/>
      <c r="AD122" s="192">
        <f t="array" ref="AD122">IFERROR(ROUND((_xlfn.IFS(offer_sale_type="поставка",AB122,offer_sale_type="транзит",S122)*(1+AC122))/E122,2),0)</f>
        <v/>
      </c>
      <c r="AE122" s="76">
        <f>AD122*E122</f>
        <v/>
      </c>
      <c r="AF122" s="193">
        <f t="array" ref="AF122">IFERROR(ROUND(_xlfn.IFS(offer_sale_type="поставка",AB122,offer_sale_type="транзит",S122)*AC122,2),0)</f>
        <v/>
      </c>
      <c r="AG122" s="192">
        <f>$BD122*VLOOKUP($AG$3,$AF$4:$AG$7,2,FALSE)</f>
        <v/>
      </c>
      <c r="AH122" s="76">
        <f>SUM(AE122,AG122,AI122)*rate_forex_risk</f>
        <v/>
      </c>
      <c r="AI122" s="193">
        <f>IF(OR(seller_region="TR",offer_sale_type="экспорт"),0,rate_fin_comm)*SUM(AZ122,AZ122*AW122,T122)</f>
        <v/>
      </c>
      <c r="AJ122" s="118">
        <f>IFERROR(ROUND(SUM(AB122,AF122:AI122)/E122,2),0)</f>
        <v/>
      </c>
      <c r="AK122" s="76">
        <f>AJ122*E122</f>
        <v/>
      </c>
      <c r="AL122" s="174">
        <f>ROUND(IFERROR(AM122*E122,0),2)</f>
        <v/>
      </c>
      <c r="AM122" s="175">
        <f>ROUND(AJ122*(1+IF(offer_incoterms="DDP",IF((TODAY()+offer_turnaround_time)&gt;=helpsheet!$L$17,rate_vatRU_from_26,rate_vatRu_till_25),0)),2)</f>
        <v/>
      </c>
      <c r="AN122" s="192">
        <f>AL122-AK122</f>
        <v/>
      </c>
      <c r="AO122" s="76">
        <f>SUM(AY122,Y122:Z122,T122)*IF(AND(offer_incoterms="DDP",offer_sale_type&lt;&gt;"экспорт"),IF((TODAY()+offer_turnaround_time)&gt;=helpsheet!$L$17,rate_vatRU_from_26,rate_vatRu_till_25),0)</f>
        <v/>
      </c>
      <c r="AP122" s="193">
        <f>AN122-AO122</f>
        <v/>
      </c>
      <c r="AQ122" s="118">
        <f>IF(offer_sale_type="транзит",SUM(AF122:AI122,BA122,BB122),0)</f>
        <v/>
      </c>
      <c r="AR122" s="82">
        <f>HYPERLINK("https://www.alta.ru/tnved/code/")&amp;W122&amp;"/"</f>
        <v/>
      </c>
      <c r="AS122" s="157" t="n"/>
      <c r="AT122" s="162" t="n"/>
      <c r="AU122" s="76">
        <f>IF(ISBLANK(AT122),0,AJ122-AT122)</f>
        <v/>
      </c>
      <c r="AV122" s="157" t="n"/>
      <c r="AW122" s="75">
        <f>_xlfn.IFNA(VLOOKUP(L122,list_vat[],3,FALSE),0)</f>
        <v/>
      </c>
      <c r="AX122" s="76">
        <f>IFERROR(ROUND(S122*(1+AW122)/E122,2),0)</f>
        <v/>
      </c>
      <c r="AY122" s="76">
        <f>E122*AX122</f>
        <v/>
      </c>
      <c r="AZ122" s="192">
        <f>S122*(1+M122)</f>
        <v/>
      </c>
      <c r="BA122" s="76">
        <f>cost_fin_total*$BD122</f>
        <v/>
      </c>
      <c r="BB122" s="193">
        <f>credit_sales_interest*BD122</f>
        <v/>
      </c>
      <c r="BC122" s="102">
        <f>IFERROR(IF($I$13&gt;0,$I122/$I$13,$S122/$S$13),0)</f>
        <v/>
      </c>
      <c r="BD122" s="102">
        <f>IFERROR($S122/$S$13,0)</f>
        <v/>
      </c>
      <c r="BE122" s="413" t="inlineStr">
        <is>
          <t>$</t>
        </is>
      </c>
    </row>
    <row r="123" ht="12" customFormat="1" customHeight="1" s="65">
      <c r="A123" s="43" t="n">
        <v>108</v>
      </c>
      <c r="B123" s="166" t="n"/>
      <c r="C123" s="166" t="n"/>
      <c r="D123" s="166" t="n"/>
      <c r="E123" s="162" t="n"/>
      <c r="F123" s="166" t="n"/>
      <c r="G123" s="162" t="n"/>
      <c r="H123" s="162" t="n"/>
      <c r="I123" s="189">
        <f>E123*G123</f>
        <v/>
      </c>
      <c r="J123" s="195" t="n"/>
      <c r="K123" s="162" t="n"/>
      <c r="L123" s="168" t="n"/>
      <c r="M123" s="75">
        <f>_xlfn.XLOOKUP(L123,list_vat[Страна],list_vat[Ставка НДС %],0,0)</f>
        <v/>
      </c>
      <c r="N123" s="162">
        <f>IFERROR(IF(L123="Китай",K123,K123/(1+M123)),0)</f>
        <v/>
      </c>
      <c r="O123" s="169" t="n"/>
      <c r="P123" s="76">
        <f>N123*(1-O123)</f>
        <v/>
      </c>
      <c r="Q123" s="162" t="n"/>
      <c r="R123" s="162">
        <f>IF(ISBLANK(Q123),"введи курс",P123/Q123)</f>
        <v/>
      </c>
      <c r="S123" s="196">
        <f>IF(AND(ISNUMBER(E123),ISNUMBER(Q123)),E123*R123,0)</f>
        <v/>
      </c>
      <c r="T123" s="192">
        <f>$BC123*V$11</f>
        <v/>
      </c>
      <c r="U123" s="76">
        <f>$BC123*W$11</f>
        <v/>
      </c>
      <c r="V123" s="193">
        <f>+SUM(T123:U123)</f>
        <v/>
      </c>
      <c r="W123" s="191" t="n"/>
      <c r="X123" s="170" t="n"/>
      <c r="Y123" s="76">
        <f>ROUND(IF(offer_incoterms="DDP",X123*(S123*(1+AW123)+T123),0),2)</f>
        <v/>
      </c>
      <c r="Z123" s="188" t="n"/>
      <c r="AA123" s="192">
        <f>IFERROR(AB123/E123,0)</f>
        <v/>
      </c>
      <c r="AB123" s="76">
        <f>ROUND(SUM(S123,V123,Y123:Z123,BA123:BB123),2)</f>
        <v/>
      </c>
      <c r="AC123" s="797" t="n"/>
      <c r="AD123" s="192">
        <f t="array" ref="AD123">IFERROR(ROUND((_xlfn.IFS(offer_sale_type="поставка",AB123,offer_sale_type="транзит",S123)*(1+AC123))/E123,2),0)</f>
        <v/>
      </c>
      <c r="AE123" s="76">
        <f>AD123*E123</f>
        <v/>
      </c>
      <c r="AF123" s="193">
        <f t="array" ref="AF123">IFERROR(ROUND(_xlfn.IFS(offer_sale_type="поставка",AB123,offer_sale_type="транзит",S123)*AC123,2),0)</f>
        <v/>
      </c>
      <c r="AG123" s="192">
        <f>$BD123*VLOOKUP($AG$3,$AF$4:$AG$7,2,FALSE)</f>
        <v/>
      </c>
      <c r="AH123" s="76">
        <f>SUM(AE123,AG123,AI123)*rate_forex_risk</f>
        <v/>
      </c>
      <c r="AI123" s="193">
        <f>IF(OR(seller_region="TR",offer_sale_type="экспорт"),0,rate_fin_comm)*SUM(AZ123,AZ123*AW123,T123)</f>
        <v/>
      </c>
      <c r="AJ123" s="118">
        <f>IFERROR(ROUND(SUM(AB123,AF123:AI123)/E123,2),0)</f>
        <v/>
      </c>
      <c r="AK123" s="76">
        <f>AJ123*E123</f>
        <v/>
      </c>
      <c r="AL123" s="174">
        <f>ROUND(IFERROR(AM123*E123,0),2)</f>
        <v/>
      </c>
      <c r="AM123" s="175">
        <f>ROUND(AJ123*(1+IF(offer_incoterms="DDP",IF((TODAY()+offer_turnaround_time)&gt;=helpsheet!$L$17,rate_vatRU_from_26,rate_vatRu_till_25),0)),2)</f>
        <v/>
      </c>
      <c r="AN123" s="192">
        <f>AL123-AK123</f>
        <v/>
      </c>
      <c r="AO123" s="76">
        <f>SUM(AY123,Y123:Z123,T123)*IF(AND(offer_incoterms="DDP",offer_sale_type&lt;&gt;"экспорт"),IF((TODAY()+offer_turnaround_time)&gt;=helpsheet!$L$17,rate_vatRU_from_26,rate_vatRu_till_25),0)</f>
        <v/>
      </c>
      <c r="AP123" s="193">
        <f>AN123-AO123</f>
        <v/>
      </c>
      <c r="AQ123" s="118">
        <f>IF(offer_sale_type="транзит",SUM(AF123:AI123,BA123,BB123),0)</f>
        <v/>
      </c>
      <c r="AR123" s="82">
        <f>HYPERLINK("https://www.alta.ru/tnved/code/")&amp;W123&amp;"/"</f>
        <v/>
      </c>
      <c r="AS123" s="157" t="n"/>
      <c r="AT123" s="162" t="n"/>
      <c r="AU123" s="76">
        <f>IF(ISBLANK(AT123),0,AJ123-AT123)</f>
        <v/>
      </c>
      <c r="AV123" s="157" t="n"/>
      <c r="AW123" s="75">
        <f>_xlfn.IFNA(VLOOKUP(L123,list_vat[],3,FALSE),0)</f>
        <v/>
      </c>
      <c r="AX123" s="76">
        <f>IFERROR(ROUND(S123*(1+AW123)/E123,2),0)</f>
        <v/>
      </c>
      <c r="AY123" s="76">
        <f>E123*AX123</f>
        <v/>
      </c>
      <c r="AZ123" s="192">
        <f>S123*(1+M123)</f>
        <v/>
      </c>
      <c r="BA123" s="76">
        <f>cost_fin_total*$BD123</f>
        <v/>
      </c>
      <c r="BB123" s="193">
        <f>credit_sales_interest*BD123</f>
        <v/>
      </c>
      <c r="BC123" s="102">
        <f>IFERROR(IF($I$13&gt;0,$I123/$I$13,$S123/$S$13),0)</f>
        <v/>
      </c>
      <c r="BD123" s="102">
        <f>IFERROR($S123/$S$13,0)</f>
        <v/>
      </c>
      <c r="BE123" s="413" t="inlineStr">
        <is>
          <t>$</t>
        </is>
      </c>
    </row>
    <row r="124" ht="12" customFormat="1" customHeight="1" s="65">
      <c r="A124" s="43" t="n">
        <v>109</v>
      </c>
      <c r="B124" s="166" t="n"/>
      <c r="C124" s="166" t="n"/>
      <c r="D124" s="166" t="n"/>
      <c r="E124" s="162" t="n"/>
      <c r="F124" s="166" t="n"/>
      <c r="G124" s="162" t="n"/>
      <c r="H124" s="162" t="n"/>
      <c r="I124" s="189">
        <f>E124*G124</f>
        <v/>
      </c>
      <c r="J124" s="195" t="n"/>
      <c r="K124" s="162" t="n"/>
      <c r="L124" s="168" t="n"/>
      <c r="M124" s="75">
        <f>_xlfn.XLOOKUP(L124,list_vat[Страна],list_vat[Ставка НДС %],0,0)</f>
        <v/>
      </c>
      <c r="N124" s="162">
        <f>IFERROR(IF(L124="Китай",K124,K124/(1+M124)),0)</f>
        <v/>
      </c>
      <c r="O124" s="169" t="n"/>
      <c r="P124" s="76">
        <f>N124*(1-O124)</f>
        <v/>
      </c>
      <c r="Q124" s="162" t="n"/>
      <c r="R124" s="162">
        <f>IF(ISBLANK(Q124),"введи курс",P124/Q124)</f>
        <v/>
      </c>
      <c r="S124" s="196">
        <f>IF(AND(ISNUMBER(E124),ISNUMBER(Q124)),E124*R124,0)</f>
        <v/>
      </c>
      <c r="T124" s="192">
        <f>$BC124*V$11</f>
        <v/>
      </c>
      <c r="U124" s="76">
        <f>$BC124*W$11</f>
        <v/>
      </c>
      <c r="V124" s="193">
        <f>+SUM(T124:U124)</f>
        <v/>
      </c>
      <c r="W124" s="191" t="n"/>
      <c r="X124" s="170" t="n"/>
      <c r="Y124" s="76">
        <f>ROUND(IF(offer_incoterms="DDP",X124*(S124*(1+AW124)+T124),0),2)</f>
        <v/>
      </c>
      <c r="Z124" s="188" t="n"/>
      <c r="AA124" s="192">
        <f>IFERROR(AB124/E124,0)</f>
        <v/>
      </c>
      <c r="AB124" s="76">
        <f>ROUND(SUM(S124,V124,Y124:Z124,BA124:BB124),2)</f>
        <v/>
      </c>
      <c r="AC124" s="797" t="n"/>
      <c r="AD124" s="192">
        <f t="array" ref="AD124">IFERROR(ROUND((_xlfn.IFS(offer_sale_type="поставка",AB124,offer_sale_type="транзит",S124)*(1+AC124))/E124,2),0)</f>
        <v/>
      </c>
      <c r="AE124" s="76">
        <f>AD124*E124</f>
        <v/>
      </c>
      <c r="AF124" s="193">
        <f t="array" ref="AF124">IFERROR(ROUND(_xlfn.IFS(offer_sale_type="поставка",AB124,offer_sale_type="транзит",S124)*AC124,2),0)</f>
        <v/>
      </c>
      <c r="AG124" s="192">
        <f>$BD124*VLOOKUP($AG$3,$AF$4:$AG$7,2,FALSE)</f>
        <v/>
      </c>
      <c r="AH124" s="76">
        <f>SUM(AE124,AG124,AI124)*rate_forex_risk</f>
        <v/>
      </c>
      <c r="AI124" s="193">
        <f>IF(OR(seller_region="TR",offer_sale_type="экспорт"),0,rate_fin_comm)*SUM(AZ124,AZ124*AW124,T124)</f>
        <v/>
      </c>
      <c r="AJ124" s="118">
        <f>IFERROR(ROUND(SUM(AB124,AF124:AI124)/E124,2),0)</f>
        <v/>
      </c>
      <c r="AK124" s="76">
        <f>AJ124*E124</f>
        <v/>
      </c>
      <c r="AL124" s="174">
        <f>ROUND(IFERROR(AM124*E124,0),2)</f>
        <v/>
      </c>
      <c r="AM124" s="175">
        <f>ROUND(AJ124*(1+IF(offer_incoterms="DDP",IF((TODAY()+offer_turnaround_time)&gt;=helpsheet!$L$17,rate_vatRU_from_26,rate_vatRu_till_25),0)),2)</f>
        <v/>
      </c>
      <c r="AN124" s="192">
        <f>AL124-AK124</f>
        <v/>
      </c>
      <c r="AO124" s="76">
        <f>SUM(AY124,Y124:Z124,T124)*IF(AND(offer_incoterms="DDP",offer_sale_type&lt;&gt;"экспорт"),IF((TODAY()+offer_turnaround_time)&gt;=helpsheet!$L$17,rate_vatRU_from_26,rate_vatRu_till_25),0)</f>
        <v/>
      </c>
      <c r="AP124" s="193">
        <f>AN124-AO124</f>
        <v/>
      </c>
      <c r="AQ124" s="118">
        <f>IF(offer_sale_type="транзит",SUM(AF124:AI124,BA124,BB124),0)</f>
        <v/>
      </c>
      <c r="AR124" s="82">
        <f>HYPERLINK("https://www.alta.ru/tnved/code/")&amp;W124&amp;"/"</f>
        <v/>
      </c>
      <c r="AS124" s="157" t="n"/>
      <c r="AT124" s="162" t="n"/>
      <c r="AU124" s="76">
        <f>IF(ISBLANK(AT124),0,AJ124-AT124)</f>
        <v/>
      </c>
      <c r="AV124" s="157" t="n"/>
      <c r="AW124" s="75">
        <f>_xlfn.IFNA(VLOOKUP(L124,list_vat[],3,FALSE),0)</f>
        <v/>
      </c>
      <c r="AX124" s="76">
        <f>IFERROR(ROUND(S124*(1+AW124)/E124,2),0)</f>
        <v/>
      </c>
      <c r="AY124" s="76">
        <f>E124*AX124</f>
        <v/>
      </c>
      <c r="AZ124" s="192">
        <f>S124*(1+M124)</f>
        <v/>
      </c>
      <c r="BA124" s="76">
        <f>cost_fin_total*$BD124</f>
        <v/>
      </c>
      <c r="BB124" s="193">
        <f>credit_sales_interest*BD124</f>
        <v/>
      </c>
      <c r="BC124" s="102">
        <f>IFERROR(IF($I$13&gt;0,$I124/$I$13,$S124/$S$13),0)</f>
        <v/>
      </c>
      <c r="BD124" s="102">
        <f>IFERROR($S124/$S$13,0)</f>
        <v/>
      </c>
      <c r="BE124" s="413" t="inlineStr">
        <is>
          <t>$</t>
        </is>
      </c>
    </row>
    <row r="125" ht="12" customFormat="1" customHeight="1" s="65">
      <c r="A125" s="43" t="n">
        <v>110</v>
      </c>
      <c r="B125" s="166" t="n"/>
      <c r="C125" s="166" t="n"/>
      <c r="D125" s="166" t="n"/>
      <c r="E125" s="162" t="n"/>
      <c r="F125" s="166" t="n"/>
      <c r="G125" s="162" t="n"/>
      <c r="H125" s="162" t="n"/>
      <c r="I125" s="189">
        <f>E125*G125</f>
        <v/>
      </c>
      <c r="J125" s="195" t="n"/>
      <c r="K125" s="162" t="n"/>
      <c r="L125" s="168" t="n"/>
      <c r="M125" s="75">
        <f>_xlfn.XLOOKUP(L125,list_vat[Страна],list_vat[Ставка НДС %],0,0)</f>
        <v/>
      </c>
      <c r="N125" s="162">
        <f>IFERROR(IF(L125="Китай",K125,K125/(1+M125)),0)</f>
        <v/>
      </c>
      <c r="O125" s="169" t="n"/>
      <c r="P125" s="76">
        <f>N125*(1-O125)</f>
        <v/>
      </c>
      <c r="Q125" s="162" t="n"/>
      <c r="R125" s="162">
        <f>IF(ISBLANK(Q125),"введи курс",P125/Q125)</f>
        <v/>
      </c>
      <c r="S125" s="196">
        <f>IF(AND(ISNUMBER(E125),ISNUMBER(Q125)),E125*R125,0)</f>
        <v/>
      </c>
      <c r="T125" s="192">
        <f>$BC125*V$11</f>
        <v/>
      </c>
      <c r="U125" s="76">
        <f>$BC125*W$11</f>
        <v/>
      </c>
      <c r="V125" s="193">
        <f>+SUM(T125:U125)</f>
        <v/>
      </c>
      <c r="W125" s="191" t="n"/>
      <c r="X125" s="170" t="n"/>
      <c r="Y125" s="76">
        <f>ROUND(IF(offer_incoterms="DDP",X125*(S125*(1+AW125)+T125),0),2)</f>
        <v/>
      </c>
      <c r="Z125" s="188" t="n"/>
      <c r="AA125" s="192">
        <f>IFERROR(AB125/E125,0)</f>
        <v/>
      </c>
      <c r="AB125" s="76">
        <f>ROUND(SUM(S125,V125,Y125:Z125,BA125:BB125),2)</f>
        <v/>
      </c>
      <c r="AC125" s="797" t="n"/>
      <c r="AD125" s="192">
        <f t="array" ref="AD125">IFERROR(ROUND((_xlfn.IFS(offer_sale_type="поставка",AB125,offer_sale_type="транзит",S125)*(1+AC125))/E125,2),0)</f>
        <v/>
      </c>
      <c r="AE125" s="76">
        <f>AD125*E125</f>
        <v/>
      </c>
      <c r="AF125" s="193">
        <f t="array" ref="AF125">IFERROR(ROUND(_xlfn.IFS(offer_sale_type="поставка",AB125,offer_sale_type="транзит",S125)*AC125,2),0)</f>
        <v/>
      </c>
      <c r="AG125" s="192">
        <f>$BD125*VLOOKUP($AG$3,$AF$4:$AG$7,2,FALSE)</f>
        <v/>
      </c>
      <c r="AH125" s="76">
        <f>SUM(AE125,AG125,AI125)*rate_forex_risk</f>
        <v/>
      </c>
      <c r="AI125" s="193">
        <f>IF(OR(seller_region="TR",offer_sale_type="экспорт"),0,rate_fin_comm)*SUM(AZ125,AZ125*AW125,T125)</f>
        <v/>
      </c>
      <c r="AJ125" s="118">
        <f>IFERROR(ROUND(SUM(AB125,AF125:AI125)/E125,2),0)</f>
        <v/>
      </c>
      <c r="AK125" s="76">
        <f>AJ125*E125</f>
        <v/>
      </c>
      <c r="AL125" s="174">
        <f>ROUND(IFERROR(AM125*E125,0),2)</f>
        <v/>
      </c>
      <c r="AM125" s="175">
        <f>ROUND(AJ125*(1+IF(offer_incoterms="DDP",IF((TODAY()+offer_turnaround_time)&gt;=helpsheet!$L$17,rate_vatRU_from_26,rate_vatRu_till_25),0)),2)</f>
        <v/>
      </c>
      <c r="AN125" s="192">
        <f>AL125-AK125</f>
        <v/>
      </c>
      <c r="AO125" s="76">
        <f>SUM(AY125,Y125:Z125,T125)*IF(AND(offer_incoterms="DDP",offer_sale_type&lt;&gt;"экспорт"),IF((TODAY()+offer_turnaround_time)&gt;=helpsheet!$L$17,rate_vatRU_from_26,rate_vatRu_till_25),0)</f>
        <v/>
      </c>
      <c r="AP125" s="193">
        <f>AN125-AO125</f>
        <v/>
      </c>
      <c r="AQ125" s="118">
        <f>IF(offer_sale_type="транзит",SUM(AF125:AI125,BA125,BB125),0)</f>
        <v/>
      </c>
      <c r="AR125" s="82">
        <f>HYPERLINK("https://www.alta.ru/tnved/code/")&amp;W125&amp;"/"</f>
        <v/>
      </c>
      <c r="AS125" s="157" t="n"/>
      <c r="AT125" s="162" t="n"/>
      <c r="AU125" s="76">
        <f>IF(ISBLANK(AT125),0,AJ125-AT125)</f>
        <v/>
      </c>
      <c r="AV125" s="157" t="n"/>
      <c r="AW125" s="75">
        <f>_xlfn.IFNA(VLOOKUP(L125,list_vat[],3,FALSE),0)</f>
        <v/>
      </c>
      <c r="AX125" s="76">
        <f>IFERROR(ROUND(S125*(1+AW125)/E125,2),0)</f>
        <v/>
      </c>
      <c r="AY125" s="76">
        <f>E125*AX125</f>
        <v/>
      </c>
      <c r="AZ125" s="192">
        <f>S125*(1+M125)</f>
        <v/>
      </c>
      <c r="BA125" s="76">
        <f>cost_fin_total*$BD125</f>
        <v/>
      </c>
      <c r="BB125" s="193">
        <f>credit_sales_interest*BD125</f>
        <v/>
      </c>
      <c r="BC125" s="102">
        <f>IFERROR(IF($I$13&gt;0,$I125/$I$13,$S125/$S$13),0)</f>
        <v/>
      </c>
      <c r="BD125" s="102">
        <f>IFERROR($S125/$S$13,0)</f>
        <v/>
      </c>
      <c r="BE125" s="413" t="inlineStr">
        <is>
          <t>$</t>
        </is>
      </c>
    </row>
    <row r="126" ht="12" customFormat="1" customHeight="1" s="65">
      <c r="A126" s="43" t="n">
        <v>111</v>
      </c>
      <c r="B126" s="166" t="n"/>
      <c r="C126" s="166" t="n"/>
      <c r="D126" s="166" t="n"/>
      <c r="E126" s="162" t="n"/>
      <c r="F126" s="166" t="n"/>
      <c r="G126" s="162" t="n"/>
      <c r="H126" s="162" t="n"/>
      <c r="I126" s="189">
        <f>E126*G126</f>
        <v/>
      </c>
      <c r="J126" s="195" t="n"/>
      <c r="K126" s="162" t="n"/>
      <c r="L126" s="168" t="n"/>
      <c r="M126" s="75">
        <f>_xlfn.XLOOKUP(L126,list_vat[Страна],list_vat[Ставка НДС %],0,0)</f>
        <v/>
      </c>
      <c r="N126" s="162">
        <f>IFERROR(IF(L126="Китай",K126,K126/(1+M126)),0)</f>
        <v/>
      </c>
      <c r="O126" s="169" t="n"/>
      <c r="P126" s="76">
        <f>N126*(1-O126)</f>
        <v/>
      </c>
      <c r="Q126" s="162" t="n"/>
      <c r="R126" s="162">
        <f>IF(ISBLANK(Q126),"введи курс",P126/Q126)</f>
        <v/>
      </c>
      <c r="S126" s="196">
        <f>IF(AND(ISNUMBER(E126),ISNUMBER(Q126)),E126*R126,0)</f>
        <v/>
      </c>
      <c r="T126" s="192">
        <f>$BC126*V$11</f>
        <v/>
      </c>
      <c r="U126" s="76">
        <f>$BC126*W$11</f>
        <v/>
      </c>
      <c r="V126" s="193">
        <f>+SUM(T126:U126)</f>
        <v/>
      </c>
      <c r="W126" s="191" t="n"/>
      <c r="X126" s="170" t="n"/>
      <c r="Y126" s="76">
        <f>ROUND(IF(offer_incoterms="DDP",X126*(S126*(1+AW126)+T126),0),2)</f>
        <v/>
      </c>
      <c r="Z126" s="188" t="n"/>
      <c r="AA126" s="192">
        <f>IFERROR(AB126/E126,0)</f>
        <v/>
      </c>
      <c r="AB126" s="76">
        <f>ROUND(SUM(S126,V126,Y126:Z126,BA126:BB126),2)</f>
        <v/>
      </c>
      <c r="AC126" s="797" t="n"/>
      <c r="AD126" s="192">
        <f t="array" ref="AD126">IFERROR(ROUND((_xlfn.IFS(offer_sale_type="поставка",AB126,offer_sale_type="транзит",S126)*(1+AC126))/E126,2),0)</f>
        <v/>
      </c>
      <c r="AE126" s="76">
        <f>AD126*E126</f>
        <v/>
      </c>
      <c r="AF126" s="193">
        <f t="array" ref="AF126">IFERROR(ROUND(_xlfn.IFS(offer_sale_type="поставка",AB126,offer_sale_type="транзит",S126)*AC126,2),0)</f>
        <v/>
      </c>
      <c r="AG126" s="192">
        <f>$BD126*VLOOKUP($AG$3,$AF$4:$AG$7,2,FALSE)</f>
        <v/>
      </c>
      <c r="AH126" s="76">
        <f>SUM(AE126,AG126,AI126)*rate_forex_risk</f>
        <v/>
      </c>
      <c r="AI126" s="193">
        <f>IF(OR(seller_region="TR",offer_sale_type="экспорт"),0,rate_fin_comm)*SUM(AZ126,AZ126*AW126,T126)</f>
        <v/>
      </c>
      <c r="AJ126" s="118">
        <f>IFERROR(ROUND(SUM(AB126,AF126:AI126)/E126,2),0)</f>
        <v/>
      </c>
      <c r="AK126" s="76">
        <f>AJ126*E126</f>
        <v/>
      </c>
      <c r="AL126" s="174">
        <f>ROUND(IFERROR(AM126*E126,0),2)</f>
        <v/>
      </c>
      <c r="AM126" s="175">
        <f>ROUND(AJ126*(1+IF(offer_incoterms="DDP",IF((TODAY()+offer_turnaround_time)&gt;=helpsheet!$L$17,rate_vatRU_from_26,rate_vatRu_till_25),0)),2)</f>
        <v/>
      </c>
      <c r="AN126" s="192">
        <f>AL126-AK126</f>
        <v/>
      </c>
      <c r="AO126" s="76">
        <f>SUM(AY126,Y126:Z126,T126)*IF(AND(offer_incoterms="DDP",offer_sale_type&lt;&gt;"экспорт"),IF((TODAY()+offer_turnaround_time)&gt;=helpsheet!$L$17,rate_vatRU_from_26,rate_vatRu_till_25),0)</f>
        <v/>
      </c>
      <c r="AP126" s="193">
        <f>AN126-AO126</f>
        <v/>
      </c>
      <c r="AQ126" s="118">
        <f>IF(offer_sale_type="транзит",SUM(AF126:AI126,BA126,BB126),0)</f>
        <v/>
      </c>
      <c r="AR126" s="82">
        <f>HYPERLINK("https://www.alta.ru/tnved/code/")&amp;W126&amp;"/"</f>
        <v/>
      </c>
      <c r="AS126" s="157" t="n"/>
      <c r="AT126" s="162" t="n"/>
      <c r="AU126" s="76">
        <f>IF(ISBLANK(AT126),0,AJ126-AT126)</f>
        <v/>
      </c>
      <c r="AV126" s="157" t="n"/>
      <c r="AW126" s="75">
        <f>_xlfn.IFNA(VLOOKUP(L126,list_vat[],3,FALSE),0)</f>
        <v/>
      </c>
      <c r="AX126" s="76">
        <f>IFERROR(ROUND(S126*(1+AW126)/E126,2),0)</f>
        <v/>
      </c>
      <c r="AY126" s="76">
        <f>E126*AX126</f>
        <v/>
      </c>
      <c r="AZ126" s="192">
        <f>S126*(1+M126)</f>
        <v/>
      </c>
      <c r="BA126" s="76">
        <f>cost_fin_total*$BD126</f>
        <v/>
      </c>
      <c r="BB126" s="193">
        <f>credit_sales_interest*BD126</f>
        <v/>
      </c>
      <c r="BC126" s="102">
        <f>IFERROR(IF($I$13&gt;0,$I126/$I$13,$S126/$S$13),0)</f>
        <v/>
      </c>
      <c r="BD126" s="102">
        <f>IFERROR($S126/$S$13,0)</f>
        <v/>
      </c>
      <c r="BE126" s="413" t="inlineStr">
        <is>
          <t>$</t>
        </is>
      </c>
    </row>
    <row r="127" ht="12" customFormat="1" customHeight="1" s="65">
      <c r="A127" s="43" t="n">
        <v>112</v>
      </c>
      <c r="B127" s="166" t="n"/>
      <c r="C127" s="166" t="n"/>
      <c r="D127" s="166" t="n"/>
      <c r="E127" s="162" t="n"/>
      <c r="F127" s="166" t="n"/>
      <c r="G127" s="162" t="n"/>
      <c r="H127" s="162" t="n"/>
      <c r="I127" s="189">
        <f>E127*G127</f>
        <v/>
      </c>
      <c r="J127" s="195" t="n"/>
      <c r="K127" s="162" t="n"/>
      <c r="L127" s="168" t="n"/>
      <c r="M127" s="75">
        <f>_xlfn.XLOOKUP(L127,list_vat[Страна],list_vat[Ставка НДС %],0,0)</f>
        <v/>
      </c>
      <c r="N127" s="162">
        <f>IFERROR(IF(L127="Китай",K127,K127/(1+M127)),0)</f>
        <v/>
      </c>
      <c r="O127" s="169" t="n"/>
      <c r="P127" s="76">
        <f>N127*(1-O127)</f>
        <v/>
      </c>
      <c r="Q127" s="162" t="n"/>
      <c r="R127" s="162">
        <f>IF(ISBLANK(Q127),"введи курс",P127/Q127)</f>
        <v/>
      </c>
      <c r="S127" s="196">
        <f>IF(AND(ISNUMBER(E127),ISNUMBER(Q127)),E127*R127,0)</f>
        <v/>
      </c>
      <c r="T127" s="192">
        <f>$BC127*V$11</f>
        <v/>
      </c>
      <c r="U127" s="76">
        <f>$BC127*W$11</f>
        <v/>
      </c>
      <c r="V127" s="193">
        <f>+SUM(T127:U127)</f>
        <v/>
      </c>
      <c r="W127" s="191" t="n"/>
      <c r="X127" s="170" t="n"/>
      <c r="Y127" s="76">
        <f>ROUND(IF(offer_incoterms="DDP",X127*(S127*(1+AW127)+T127),0),2)</f>
        <v/>
      </c>
      <c r="Z127" s="188" t="n"/>
      <c r="AA127" s="192">
        <f>IFERROR(AB127/E127,0)</f>
        <v/>
      </c>
      <c r="AB127" s="76">
        <f>ROUND(SUM(S127,V127,Y127:Z127,BA127:BB127),2)</f>
        <v/>
      </c>
      <c r="AC127" s="797" t="n"/>
      <c r="AD127" s="192">
        <f t="array" ref="AD127">IFERROR(ROUND((_xlfn.IFS(offer_sale_type="поставка",AB127,offer_sale_type="транзит",S127)*(1+AC127))/E127,2),0)</f>
        <v/>
      </c>
      <c r="AE127" s="76">
        <f>AD127*E127</f>
        <v/>
      </c>
      <c r="AF127" s="193">
        <f t="array" ref="AF127">IFERROR(ROUND(_xlfn.IFS(offer_sale_type="поставка",AB127,offer_sale_type="транзит",S127)*AC127,2),0)</f>
        <v/>
      </c>
      <c r="AG127" s="192">
        <f>$BD127*VLOOKUP($AG$3,$AF$4:$AG$7,2,FALSE)</f>
        <v/>
      </c>
      <c r="AH127" s="76">
        <f>SUM(AE127,AG127,AI127)*rate_forex_risk</f>
        <v/>
      </c>
      <c r="AI127" s="193">
        <f>IF(OR(seller_region="TR",offer_sale_type="экспорт"),0,rate_fin_comm)*SUM(AZ127,AZ127*AW127,T127)</f>
        <v/>
      </c>
      <c r="AJ127" s="118">
        <f>IFERROR(ROUND(SUM(AB127,AF127:AI127)/E127,2),0)</f>
        <v/>
      </c>
      <c r="AK127" s="76">
        <f>AJ127*E127</f>
        <v/>
      </c>
      <c r="AL127" s="174">
        <f>ROUND(IFERROR(AM127*E127,0),2)</f>
        <v/>
      </c>
      <c r="AM127" s="175">
        <f>ROUND(AJ127*(1+IF(offer_incoterms="DDP",IF((TODAY()+offer_turnaround_time)&gt;=helpsheet!$L$17,rate_vatRU_from_26,rate_vatRu_till_25),0)),2)</f>
        <v/>
      </c>
      <c r="AN127" s="192">
        <f>AL127-AK127</f>
        <v/>
      </c>
      <c r="AO127" s="76">
        <f>SUM(AY127,Y127:Z127,T127)*IF(AND(offer_incoterms="DDP",offer_sale_type&lt;&gt;"экспорт"),IF((TODAY()+offer_turnaround_time)&gt;=helpsheet!$L$17,rate_vatRU_from_26,rate_vatRu_till_25),0)</f>
        <v/>
      </c>
      <c r="AP127" s="193">
        <f>AN127-AO127</f>
        <v/>
      </c>
      <c r="AQ127" s="118">
        <f>IF(offer_sale_type="транзит",SUM(AF127:AI127,BA127,BB127),0)</f>
        <v/>
      </c>
      <c r="AR127" s="82">
        <f>HYPERLINK("https://www.alta.ru/tnved/code/")&amp;W127&amp;"/"</f>
        <v/>
      </c>
      <c r="AS127" s="157" t="n"/>
      <c r="AT127" s="162" t="n"/>
      <c r="AU127" s="76">
        <f>IF(ISBLANK(AT127),0,AJ127-AT127)</f>
        <v/>
      </c>
      <c r="AV127" s="157" t="n"/>
      <c r="AW127" s="75">
        <f>_xlfn.IFNA(VLOOKUP(L127,list_vat[],3,FALSE),0)</f>
        <v/>
      </c>
      <c r="AX127" s="76">
        <f>IFERROR(ROUND(S127*(1+AW127)/E127,2),0)</f>
        <v/>
      </c>
      <c r="AY127" s="76">
        <f>E127*AX127</f>
        <v/>
      </c>
      <c r="AZ127" s="192">
        <f>S127*(1+M127)</f>
        <v/>
      </c>
      <c r="BA127" s="76">
        <f>cost_fin_total*$BD127</f>
        <v/>
      </c>
      <c r="BB127" s="193">
        <f>credit_sales_interest*BD127</f>
        <v/>
      </c>
      <c r="BC127" s="102">
        <f>IFERROR(IF($I$13&gt;0,$I127/$I$13,$S127/$S$13),0)</f>
        <v/>
      </c>
      <c r="BD127" s="102">
        <f>IFERROR($S127/$S$13,0)</f>
        <v/>
      </c>
      <c r="BE127" s="413" t="inlineStr">
        <is>
          <t>$</t>
        </is>
      </c>
    </row>
    <row r="128" ht="12" customFormat="1" customHeight="1" s="65">
      <c r="A128" s="43" t="n">
        <v>113</v>
      </c>
      <c r="B128" s="166" t="n"/>
      <c r="C128" s="166" t="n"/>
      <c r="D128" s="166" t="n"/>
      <c r="E128" s="162" t="n"/>
      <c r="F128" s="166" t="n"/>
      <c r="G128" s="162" t="n"/>
      <c r="H128" s="162" t="n"/>
      <c r="I128" s="189">
        <f>E128*G128</f>
        <v/>
      </c>
      <c r="J128" s="195" t="n"/>
      <c r="K128" s="162" t="n"/>
      <c r="L128" s="168" t="n"/>
      <c r="M128" s="75">
        <f>_xlfn.XLOOKUP(L128,list_vat[Страна],list_vat[Ставка НДС %],0,0)</f>
        <v/>
      </c>
      <c r="N128" s="162">
        <f>IFERROR(IF(L128="Китай",K128,K128/(1+M128)),0)</f>
        <v/>
      </c>
      <c r="O128" s="169" t="n"/>
      <c r="P128" s="76">
        <f>N128*(1-O128)</f>
        <v/>
      </c>
      <c r="Q128" s="162" t="n"/>
      <c r="R128" s="162">
        <f>IF(ISBLANK(Q128),"введи курс",P128/Q128)</f>
        <v/>
      </c>
      <c r="S128" s="196">
        <f>IF(AND(ISNUMBER(E128),ISNUMBER(Q128)),E128*R128,0)</f>
        <v/>
      </c>
      <c r="T128" s="192">
        <f>$BC128*V$11</f>
        <v/>
      </c>
      <c r="U128" s="76">
        <f>$BC128*W$11</f>
        <v/>
      </c>
      <c r="V128" s="193">
        <f>+SUM(T128:U128)</f>
        <v/>
      </c>
      <c r="W128" s="191" t="n"/>
      <c r="X128" s="170" t="n"/>
      <c r="Y128" s="76">
        <f>ROUND(IF(offer_incoterms="DDP",X128*(S128*(1+AW128)+T128),0),2)</f>
        <v/>
      </c>
      <c r="Z128" s="188" t="n"/>
      <c r="AA128" s="192">
        <f>IFERROR(AB128/E128,0)</f>
        <v/>
      </c>
      <c r="AB128" s="76">
        <f>ROUND(SUM(S128,V128,Y128:Z128,BA128:BB128),2)</f>
        <v/>
      </c>
      <c r="AC128" s="797" t="n"/>
      <c r="AD128" s="192">
        <f t="array" ref="AD128">IFERROR(ROUND((_xlfn.IFS(offer_sale_type="поставка",AB128,offer_sale_type="транзит",S128)*(1+AC128))/E128,2),0)</f>
        <v/>
      </c>
      <c r="AE128" s="76">
        <f>AD128*E128</f>
        <v/>
      </c>
      <c r="AF128" s="193">
        <f t="array" ref="AF128">IFERROR(ROUND(_xlfn.IFS(offer_sale_type="поставка",AB128,offer_sale_type="транзит",S128)*AC128,2),0)</f>
        <v/>
      </c>
      <c r="AG128" s="192">
        <f>$BD128*VLOOKUP($AG$3,$AF$4:$AG$7,2,FALSE)</f>
        <v/>
      </c>
      <c r="AH128" s="76">
        <f>SUM(AE128,AG128,AI128)*rate_forex_risk</f>
        <v/>
      </c>
      <c r="AI128" s="193">
        <f>IF(OR(seller_region="TR",offer_sale_type="экспорт"),0,rate_fin_comm)*SUM(AZ128,AZ128*AW128,T128)</f>
        <v/>
      </c>
      <c r="AJ128" s="118">
        <f>IFERROR(ROUND(SUM(AB128,AF128:AI128)/E128,2),0)</f>
        <v/>
      </c>
      <c r="AK128" s="76">
        <f>AJ128*E128</f>
        <v/>
      </c>
      <c r="AL128" s="174">
        <f>ROUND(IFERROR(AM128*E128,0),2)</f>
        <v/>
      </c>
      <c r="AM128" s="175">
        <f>ROUND(AJ128*(1+IF(offer_incoterms="DDP",IF((TODAY()+offer_turnaround_time)&gt;=helpsheet!$L$17,rate_vatRU_from_26,rate_vatRu_till_25),0)),2)</f>
        <v/>
      </c>
      <c r="AN128" s="192">
        <f>AL128-AK128</f>
        <v/>
      </c>
      <c r="AO128" s="76">
        <f>SUM(AY128,Y128:Z128,T128)*IF(AND(offer_incoterms="DDP",offer_sale_type&lt;&gt;"экспорт"),IF((TODAY()+offer_turnaround_time)&gt;=helpsheet!$L$17,rate_vatRU_from_26,rate_vatRu_till_25),0)</f>
        <v/>
      </c>
      <c r="AP128" s="193">
        <f>AN128-AO128</f>
        <v/>
      </c>
      <c r="AQ128" s="118">
        <f>IF(offer_sale_type="транзит",SUM(AF128:AI128,BA128,BB128),0)</f>
        <v/>
      </c>
      <c r="AR128" s="82">
        <f>HYPERLINK("https://www.alta.ru/tnved/code/")&amp;W128&amp;"/"</f>
        <v/>
      </c>
      <c r="AS128" s="157" t="n"/>
      <c r="AT128" s="162" t="n"/>
      <c r="AU128" s="76">
        <f>IF(ISBLANK(AT128),0,AJ128-AT128)</f>
        <v/>
      </c>
      <c r="AV128" s="157" t="n"/>
      <c r="AW128" s="75">
        <f>_xlfn.IFNA(VLOOKUP(L128,list_vat[],3,FALSE),0)</f>
        <v/>
      </c>
      <c r="AX128" s="76">
        <f>IFERROR(ROUND(S128*(1+AW128)/E128,2),0)</f>
        <v/>
      </c>
      <c r="AY128" s="76">
        <f>E128*AX128</f>
        <v/>
      </c>
      <c r="AZ128" s="192">
        <f>S128*(1+M128)</f>
        <v/>
      </c>
      <c r="BA128" s="76">
        <f>cost_fin_total*$BD128</f>
        <v/>
      </c>
      <c r="BB128" s="193">
        <f>credit_sales_interest*BD128</f>
        <v/>
      </c>
      <c r="BC128" s="102">
        <f>IFERROR(IF($I$13&gt;0,$I128/$I$13,$S128/$S$13),0)</f>
        <v/>
      </c>
      <c r="BD128" s="102">
        <f>IFERROR($S128/$S$13,0)</f>
        <v/>
      </c>
      <c r="BE128" s="413" t="inlineStr">
        <is>
          <t>$</t>
        </is>
      </c>
    </row>
    <row r="129" ht="12" customFormat="1" customHeight="1" s="65">
      <c r="A129" s="43" t="n">
        <v>114</v>
      </c>
      <c r="B129" s="166" t="n"/>
      <c r="C129" s="166" t="n"/>
      <c r="D129" s="166" t="n"/>
      <c r="E129" s="162" t="n"/>
      <c r="F129" s="166" t="n"/>
      <c r="G129" s="162" t="n"/>
      <c r="H129" s="162" t="n"/>
      <c r="I129" s="189">
        <f>E129*G129</f>
        <v/>
      </c>
      <c r="J129" s="195" t="n"/>
      <c r="K129" s="162" t="n"/>
      <c r="L129" s="168" t="n"/>
      <c r="M129" s="75">
        <f>_xlfn.XLOOKUP(L129,list_vat[Страна],list_vat[Ставка НДС %],0,0)</f>
        <v/>
      </c>
      <c r="N129" s="162">
        <f>IFERROR(IF(L129="Китай",K129,K129/(1+M129)),0)</f>
        <v/>
      </c>
      <c r="O129" s="169" t="n"/>
      <c r="P129" s="76">
        <f>N129*(1-O129)</f>
        <v/>
      </c>
      <c r="Q129" s="162" t="n"/>
      <c r="R129" s="162">
        <f>IF(ISBLANK(Q129),"введи курс",P129/Q129)</f>
        <v/>
      </c>
      <c r="S129" s="196">
        <f>IF(AND(ISNUMBER(E129),ISNUMBER(Q129)),E129*R129,0)</f>
        <v/>
      </c>
      <c r="T129" s="192">
        <f>$BC129*V$11</f>
        <v/>
      </c>
      <c r="U129" s="76">
        <f>$BC129*W$11</f>
        <v/>
      </c>
      <c r="V129" s="193">
        <f>+SUM(T129:U129)</f>
        <v/>
      </c>
      <c r="W129" s="191" t="n"/>
      <c r="X129" s="170" t="n"/>
      <c r="Y129" s="76">
        <f>ROUND(IF(offer_incoterms="DDP",X129*(S129*(1+AW129)+T129),0),2)</f>
        <v/>
      </c>
      <c r="Z129" s="188" t="n"/>
      <c r="AA129" s="192">
        <f>IFERROR(AB129/E129,0)</f>
        <v/>
      </c>
      <c r="AB129" s="76">
        <f>ROUND(SUM(S129,V129,Y129:Z129,BA129:BB129),2)</f>
        <v/>
      </c>
      <c r="AC129" s="797" t="n"/>
      <c r="AD129" s="192">
        <f t="array" ref="AD129">IFERROR(ROUND((_xlfn.IFS(offer_sale_type="поставка",AB129,offer_sale_type="транзит",S129)*(1+AC129))/E129,2),0)</f>
        <v/>
      </c>
      <c r="AE129" s="76">
        <f>AD129*E129</f>
        <v/>
      </c>
      <c r="AF129" s="193">
        <f t="array" ref="AF129">IFERROR(ROUND(_xlfn.IFS(offer_sale_type="поставка",AB129,offer_sale_type="транзит",S129)*AC129,2),0)</f>
        <v/>
      </c>
      <c r="AG129" s="192">
        <f>$BD129*VLOOKUP($AG$3,$AF$4:$AG$7,2,FALSE)</f>
        <v/>
      </c>
      <c r="AH129" s="76">
        <f>SUM(AE129,AG129,AI129)*rate_forex_risk</f>
        <v/>
      </c>
      <c r="AI129" s="193">
        <f>IF(OR(seller_region="TR",offer_sale_type="экспорт"),0,rate_fin_comm)*SUM(AZ129,AZ129*AW129,T129)</f>
        <v/>
      </c>
      <c r="AJ129" s="118">
        <f>IFERROR(ROUND(SUM(AB129,AF129:AI129)/E129,2),0)</f>
        <v/>
      </c>
      <c r="AK129" s="76">
        <f>AJ129*E129</f>
        <v/>
      </c>
      <c r="AL129" s="174">
        <f>ROUND(IFERROR(AM129*E129,0),2)</f>
        <v/>
      </c>
      <c r="AM129" s="175">
        <f>ROUND(AJ129*(1+IF(offer_incoterms="DDP",IF((TODAY()+offer_turnaround_time)&gt;=helpsheet!$L$17,rate_vatRU_from_26,rate_vatRu_till_25),0)),2)</f>
        <v/>
      </c>
      <c r="AN129" s="192">
        <f>AL129-AK129</f>
        <v/>
      </c>
      <c r="AO129" s="76">
        <f>SUM(AY129,Y129:Z129,T129)*IF(AND(offer_incoterms="DDP",offer_sale_type&lt;&gt;"экспорт"),IF((TODAY()+offer_turnaround_time)&gt;=helpsheet!$L$17,rate_vatRU_from_26,rate_vatRu_till_25),0)</f>
        <v/>
      </c>
      <c r="AP129" s="193">
        <f>AN129-AO129</f>
        <v/>
      </c>
      <c r="AQ129" s="118">
        <f>IF(offer_sale_type="транзит",SUM(AF129:AI129,BA129,BB129),0)</f>
        <v/>
      </c>
      <c r="AR129" s="82">
        <f>HYPERLINK("https://www.alta.ru/tnved/code/")&amp;W129&amp;"/"</f>
        <v/>
      </c>
      <c r="AS129" s="157" t="n"/>
      <c r="AT129" s="162" t="n"/>
      <c r="AU129" s="76">
        <f>IF(ISBLANK(AT129),0,AJ129-AT129)</f>
        <v/>
      </c>
      <c r="AV129" s="157" t="n"/>
      <c r="AW129" s="75">
        <f>_xlfn.IFNA(VLOOKUP(L129,list_vat[],3,FALSE),0)</f>
        <v/>
      </c>
      <c r="AX129" s="76">
        <f>IFERROR(ROUND(S129*(1+AW129)/E129,2),0)</f>
        <v/>
      </c>
      <c r="AY129" s="76">
        <f>E129*AX129</f>
        <v/>
      </c>
      <c r="AZ129" s="192">
        <f>S129*(1+M129)</f>
        <v/>
      </c>
      <c r="BA129" s="76">
        <f>cost_fin_total*$BD129</f>
        <v/>
      </c>
      <c r="BB129" s="193">
        <f>credit_sales_interest*BD129</f>
        <v/>
      </c>
      <c r="BC129" s="102">
        <f>IFERROR(IF($I$13&gt;0,$I129/$I$13,$S129/$S$13),0)</f>
        <v/>
      </c>
      <c r="BD129" s="102">
        <f>IFERROR($S129/$S$13,0)</f>
        <v/>
      </c>
      <c r="BE129" s="413" t="inlineStr">
        <is>
          <t>$</t>
        </is>
      </c>
    </row>
    <row r="130" ht="12" customFormat="1" customHeight="1" s="65">
      <c r="A130" s="43" t="n">
        <v>115</v>
      </c>
      <c r="B130" s="166" t="n"/>
      <c r="C130" s="166" t="n"/>
      <c r="D130" s="166" t="n"/>
      <c r="E130" s="162" t="n"/>
      <c r="F130" s="166" t="n"/>
      <c r="G130" s="162" t="n"/>
      <c r="H130" s="162" t="n"/>
      <c r="I130" s="189">
        <f>E130*G130</f>
        <v/>
      </c>
      <c r="J130" s="195" t="n"/>
      <c r="K130" s="162" t="n"/>
      <c r="L130" s="168" t="n"/>
      <c r="M130" s="75">
        <f>_xlfn.XLOOKUP(L130,list_vat[Страна],list_vat[Ставка НДС %],0,0)</f>
        <v/>
      </c>
      <c r="N130" s="162">
        <f>IFERROR(IF(L130="Китай",K130,K130/(1+M130)),0)</f>
        <v/>
      </c>
      <c r="O130" s="169" t="n"/>
      <c r="P130" s="76">
        <f>N130*(1-O130)</f>
        <v/>
      </c>
      <c r="Q130" s="162" t="n"/>
      <c r="R130" s="162">
        <f>IF(ISBLANK(Q130),"введи курс",P130/Q130)</f>
        <v/>
      </c>
      <c r="S130" s="196">
        <f>IF(AND(ISNUMBER(E130),ISNUMBER(Q130)),E130*R130,0)</f>
        <v/>
      </c>
      <c r="T130" s="192">
        <f>$BC130*V$11</f>
        <v/>
      </c>
      <c r="U130" s="76">
        <f>$BC130*W$11</f>
        <v/>
      </c>
      <c r="V130" s="193">
        <f>+SUM(T130:U130)</f>
        <v/>
      </c>
      <c r="W130" s="191" t="n"/>
      <c r="X130" s="170" t="n"/>
      <c r="Y130" s="76">
        <f>ROUND(IF(offer_incoterms="DDP",X130*(S130*(1+AW130)+T130),0),2)</f>
        <v/>
      </c>
      <c r="Z130" s="188" t="n"/>
      <c r="AA130" s="192">
        <f>IFERROR(AB130/E130,0)</f>
        <v/>
      </c>
      <c r="AB130" s="76">
        <f>ROUND(SUM(S130,V130,Y130:Z130,BA130:BB130),2)</f>
        <v/>
      </c>
      <c r="AC130" s="797" t="n"/>
      <c r="AD130" s="192">
        <f t="array" ref="AD130">IFERROR(ROUND((_xlfn.IFS(offer_sale_type="поставка",AB130,offer_sale_type="транзит",S130)*(1+AC130))/E130,2),0)</f>
        <v/>
      </c>
      <c r="AE130" s="76">
        <f>AD130*E130</f>
        <v/>
      </c>
      <c r="AF130" s="193">
        <f t="array" ref="AF130">IFERROR(ROUND(_xlfn.IFS(offer_sale_type="поставка",AB130,offer_sale_type="транзит",S130)*AC130,2),0)</f>
        <v/>
      </c>
      <c r="AG130" s="192">
        <f>$BD130*VLOOKUP($AG$3,$AF$4:$AG$7,2,FALSE)</f>
        <v/>
      </c>
      <c r="AH130" s="76">
        <f>SUM(AE130,AG130,AI130)*rate_forex_risk</f>
        <v/>
      </c>
      <c r="AI130" s="193">
        <f>IF(OR(seller_region="TR",offer_sale_type="экспорт"),0,rate_fin_comm)*SUM(AZ130,AZ130*AW130,T130)</f>
        <v/>
      </c>
      <c r="AJ130" s="118">
        <f>IFERROR(ROUND(SUM(AB130,AF130:AI130)/E130,2),0)</f>
        <v/>
      </c>
      <c r="AK130" s="76">
        <f>AJ130*E130</f>
        <v/>
      </c>
      <c r="AL130" s="174">
        <f>ROUND(IFERROR(AM130*E130,0),2)</f>
        <v/>
      </c>
      <c r="AM130" s="175">
        <f>ROUND(AJ130*(1+IF(offer_incoterms="DDP",IF((TODAY()+offer_turnaround_time)&gt;=helpsheet!$L$17,rate_vatRU_from_26,rate_vatRu_till_25),0)),2)</f>
        <v/>
      </c>
      <c r="AN130" s="192">
        <f>AL130-AK130</f>
        <v/>
      </c>
      <c r="AO130" s="76">
        <f>SUM(AY130,Y130:Z130,T130)*IF(AND(offer_incoterms="DDP",offer_sale_type&lt;&gt;"экспорт"),IF((TODAY()+offer_turnaround_time)&gt;=helpsheet!$L$17,rate_vatRU_from_26,rate_vatRu_till_25),0)</f>
        <v/>
      </c>
      <c r="AP130" s="193">
        <f>AN130-AO130</f>
        <v/>
      </c>
      <c r="AQ130" s="118">
        <f>IF(offer_sale_type="транзит",SUM(AF130:AI130,BA130,BB130),0)</f>
        <v/>
      </c>
      <c r="AR130" s="82">
        <f>HYPERLINK("https://www.alta.ru/tnved/code/")&amp;W130&amp;"/"</f>
        <v/>
      </c>
      <c r="AS130" s="157" t="n"/>
      <c r="AT130" s="162" t="n"/>
      <c r="AU130" s="76">
        <f>IF(ISBLANK(AT130),0,AJ130-AT130)</f>
        <v/>
      </c>
      <c r="AV130" s="157" t="n"/>
      <c r="AW130" s="75">
        <f>_xlfn.IFNA(VLOOKUP(L130,list_vat[],3,FALSE),0)</f>
        <v/>
      </c>
      <c r="AX130" s="76">
        <f>IFERROR(ROUND(S130*(1+AW130)/E130,2),0)</f>
        <v/>
      </c>
      <c r="AY130" s="76">
        <f>E130*AX130</f>
        <v/>
      </c>
      <c r="AZ130" s="192">
        <f>S130*(1+M130)</f>
        <v/>
      </c>
      <c r="BA130" s="76">
        <f>cost_fin_total*$BD130</f>
        <v/>
      </c>
      <c r="BB130" s="193">
        <f>credit_sales_interest*BD130</f>
        <v/>
      </c>
      <c r="BC130" s="102">
        <f>IFERROR(IF($I$13&gt;0,$I130/$I$13,$S130/$S$13),0)</f>
        <v/>
      </c>
      <c r="BD130" s="102">
        <f>IFERROR($S130/$S$13,0)</f>
        <v/>
      </c>
      <c r="BE130" s="413" t="inlineStr">
        <is>
          <t>$</t>
        </is>
      </c>
    </row>
    <row r="131" ht="12" customFormat="1" customHeight="1" s="65">
      <c r="A131" s="43" t="n">
        <v>116</v>
      </c>
      <c r="B131" s="166" t="n"/>
      <c r="C131" s="166" t="n"/>
      <c r="D131" s="166" t="n"/>
      <c r="E131" s="162" t="n"/>
      <c r="F131" s="166" t="n"/>
      <c r="G131" s="162" t="n"/>
      <c r="H131" s="162" t="n"/>
      <c r="I131" s="189">
        <f>E131*G131</f>
        <v/>
      </c>
      <c r="J131" s="195" t="n"/>
      <c r="K131" s="162" t="n"/>
      <c r="L131" s="168" t="n"/>
      <c r="M131" s="75">
        <f>_xlfn.XLOOKUP(L131,list_vat[Страна],list_vat[Ставка НДС %],0,0)</f>
        <v/>
      </c>
      <c r="N131" s="162">
        <f>IFERROR(IF(L131="Китай",K131,K131/(1+M131)),0)</f>
        <v/>
      </c>
      <c r="O131" s="169" t="n"/>
      <c r="P131" s="76">
        <f>N131*(1-O131)</f>
        <v/>
      </c>
      <c r="Q131" s="162" t="n"/>
      <c r="R131" s="162">
        <f>IF(ISBLANK(Q131),"введи курс",P131/Q131)</f>
        <v/>
      </c>
      <c r="S131" s="196">
        <f>IF(AND(ISNUMBER(E131),ISNUMBER(Q131)),E131*R131,0)</f>
        <v/>
      </c>
      <c r="T131" s="192">
        <f>$BC131*V$11</f>
        <v/>
      </c>
      <c r="U131" s="76">
        <f>$BC131*W$11</f>
        <v/>
      </c>
      <c r="V131" s="193">
        <f>+SUM(T131:U131)</f>
        <v/>
      </c>
      <c r="W131" s="191" t="n"/>
      <c r="X131" s="170" t="n"/>
      <c r="Y131" s="76">
        <f>ROUND(IF(offer_incoterms="DDP",X131*(S131*(1+AW131)+T131),0),2)</f>
        <v/>
      </c>
      <c r="Z131" s="188" t="n"/>
      <c r="AA131" s="192">
        <f>IFERROR(AB131/E131,0)</f>
        <v/>
      </c>
      <c r="AB131" s="76">
        <f>ROUND(SUM(S131,V131,Y131:Z131,BA131:BB131),2)</f>
        <v/>
      </c>
      <c r="AC131" s="797" t="n"/>
      <c r="AD131" s="192">
        <f t="array" ref="AD131">IFERROR(ROUND((_xlfn.IFS(offer_sale_type="поставка",AB131,offer_sale_type="транзит",S131)*(1+AC131))/E131,2),0)</f>
        <v/>
      </c>
      <c r="AE131" s="76">
        <f>AD131*E131</f>
        <v/>
      </c>
      <c r="AF131" s="193">
        <f t="array" ref="AF131">IFERROR(ROUND(_xlfn.IFS(offer_sale_type="поставка",AB131,offer_sale_type="транзит",S131)*AC131,2),0)</f>
        <v/>
      </c>
      <c r="AG131" s="192">
        <f>$BD131*VLOOKUP($AG$3,$AF$4:$AG$7,2,FALSE)</f>
        <v/>
      </c>
      <c r="AH131" s="76">
        <f>SUM(AE131,AG131,AI131)*rate_forex_risk</f>
        <v/>
      </c>
      <c r="AI131" s="193">
        <f>IF(OR(seller_region="TR",offer_sale_type="экспорт"),0,rate_fin_comm)*SUM(AZ131,AZ131*AW131,T131)</f>
        <v/>
      </c>
      <c r="AJ131" s="118">
        <f>IFERROR(ROUND(SUM(AB131,AF131:AI131)/E131,2),0)</f>
        <v/>
      </c>
      <c r="AK131" s="76">
        <f>AJ131*E131</f>
        <v/>
      </c>
      <c r="AL131" s="174">
        <f>ROUND(IFERROR(AM131*E131,0),2)</f>
        <v/>
      </c>
      <c r="AM131" s="175">
        <f>ROUND(AJ131*(1+IF(offer_incoterms="DDP",IF((TODAY()+offer_turnaround_time)&gt;=helpsheet!$L$17,rate_vatRU_from_26,rate_vatRu_till_25),0)),2)</f>
        <v/>
      </c>
      <c r="AN131" s="192">
        <f>AL131-AK131</f>
        <v/>
      </c>
      <c r="AO131" s="76">
        <f>SUM(AY131,Y131:Z131,T131)*IF(AND(offer_incoterms="DDP",offer_sale_type&lt;&gt;"экспорт"),IF((TODAY()+offer_turnaround_time)&gt;=helpsheet!$L$17,rate_vatRU_from_26,rate_vatRu_till_25),0)</f>
        <v/>
      </c>
      <c r="AP131" s="193">
        <f>AN131-AO131</f>
        <v/>
      </c>
      <c r="AQ131" s="118">
        <f>IF(offer_sale_type="транзит",SUM(AF131:AI131,BA131,BB131),0)</f>
        <v/>
      </c>
      <c r="AR131" s="82">
        <f>HYPERLINK("https://www.alta.ru/tnved/code/")&amp;W131&amp;"/"</f>
        <v/>
      </c>
      <c r="AS131" s="157" t="n"/>
      <c r="AT131" s="162" t="n"/>
      <c r="AU131" s="76">
        <f>IF(ISBLANK(AT131),0,AJ131-AT131)</f>
        <v/>
      </c>
      <c r="AV131" s="157" t="n"/>
      <c r="AW131" s="75">
        <f>_xlfn.IFNA(VLOOKUP(L131,list_vat[],3,FALSE),0)</f>
        <v/>
      </c>
      <c r="AX131" s="76">
        <f>IFERROR(ROUND(S131*(1+AW131)/E131,2),0)</f>
        <v/>
      </c>
      <c r="AY131" s="76">
        <f>E131*AX131</f>
        <v/>
      </c>
      <c r="AZ131" s="192">
        <f>S131*(1+M131)</f>
        <v/>
      </c>
      <c r="BA131" s="76">
        <f>cost_fin_total*$BD131</f>
        <v/>
      </c>
      <c r="BB131" s="193">
        <f>credit_sales_interest*BD131</f>
        <v/>
      </c>
      <c r="BC131" s="102">
        <f>IFERROR(IF($I$13&gt;0,$I131/$I$13,$S131/$S$13),0)</f>
        <v/>
      </c>
      <c r="BD131" s="102">
        <f>IFERROR($S131/$S$13,0)</f>
        <v/>
      </c>
      <c r="BE131" s="413" t="inlineStr">
        <is>
          <t>$</t>
        </is>
      </c>
    </row>
    <row r="132" ht="12" customFormat="1" customHeight="1" s="65">
      <c r="A132" s="43" t="n">
        <v>117</v>
      </c>
      <c r="B132" s="166" t="n"/>
      <c r="C132" s="166" t="n"/>
      <c r="D132" s="166" t="n"/>
      <c r="E132" s="162" t="n"/>
      <c r="F132" s="166" t="n"/>
      <c r="G132" s="162" t="n"/>
      <c r="H132" s="162" t="n"/>
      <c r="I132" s="189">
        <f>E132*G132</f>
        <v/>
      </c>
      <c r="J132" s="195" t="n"/>
      <c r="K132" s="162" t="n"/>
      <c r="L132" s="168" t="n"/>
      <c r="M132" s="75">
        <f>_xlfn.XLOOKUP(L132,list_vat[Страна],list_vat[Ставка НДС %],0,0)</f>
        <v/>
      </c>
      <c r="N132" s="162">
        <f>IFERROR(IF(L132="Китай",K132,K132/(1+M132)),0)</f>
        <v/>
      </c>
      <c r="O132" s="169" t="n"/>
      <c r="P132" s="76">
        <f>N132*(1-O132)</f>
        <v/>
      </c>
      <c r="Q132" s="162" t="n"/>
      <c r="R132" s="162">
        <f>IF(ISBLANK(Q132),"введи курс",P132/Q132)</f>
        <v/>
      </c>
      <c r="S132" s="196">
        <f>IF(AND(ISNUMBER(E132),ISNUMBER(Q132)),E132*R132,0)</f>
        <v/>
      </c>
      <c r="T132" s="192">
        <f>$BC132*V$11</f>
        <v/>
      </c>
      <c r="U132" s="76">
        <f>$BC132*W$11</f>
        <v/>
      </c>
      <c r="V132" s="193">
        <f>+SUM(T132:U132)</f>
        <v/>
      </c>
      <c r="W132" s="191" t="n"/>
      <c r="X132" s="170" t="n"/>
      <c r="Y132" s="76">
        <f>ROUND(IF(offer_incoterms="DDP",X132*(S132*(1+AW132)+T132),0),2)</f>
        <v/>
      </c>
      <c r="Z132" s="188" t="n"/>
      <c r="AA132" s="192">
        <f>IFERROR(AB132/E132,0)</f>
        <v/>
      </c>
      <c r="AB132" s="76">
        <f>ROUND(SUM(S132,V132,Y132:Z132,BA132:BB132),2)</f>
        <v/>
      </c>
      <c r="AC132" s="797" t="n"/>
      <c r="AD132" s="192">
        <f t="array" ref="AD132">IFERROR(ROUND((_xlfn.IFS(offer_sale_type="поставка",AB132,offer_sale_type="транзит",S132)*(1+AC132))/E132,2),0)</f>
        <v/>
      </c>
      <c r="AE132" s="76">
        <f>AD132*E132</f>
        <v/>
      </c>
      <c r="AF132" s="193">
        <f t="array" ref="AF132">IFERROR(ROUND(_xlfn.IFS(offer_sale_type="поставка",AB132,offer_sale_type="транзит",S132)*AC132,2),0)</f>
        <v/>
      </c>
      <c r="AG132" s="192">
        <f>$BD132*VLOOKUP($AG$3,$AF$4:$AG$7,2,FALSE)</f>
        <v/>
      </c>
      <c r="AH132" s="76">
        <f>SUM(AE132,AG132,AI132)*rate_forex_risk</f>
        <v/>
      </c>
      <c r="AI132" s="193">
        <f>IF(OR(seller_region="TR",offer_sale_type="экспорт"),0,rate_fin_comm)*SUM(AZ132,AZ132*AW132,T132)</f>
        <v/>
      </c>
      <c r="AJ132" s="118">
        <f>IFERROR(ROUND(SUM(AB132,AF132:AI132)/E132,2),0)</f>
        <v/>
      </c>
      <c r="AK132" s="76">
        <f>AJ132*E132</f>
        <v/>
      </c>
      <c r="AL132" s="174">
        <f>ROUND(IFERROR(AM132*E132,0),2)</f>
        <v/>
      </c>
      <c r="AM132" s="175">
        <f>ROUND(AJ132*(1+IF(offer_incoterms="DDP",IF((TODAY()+offer_turnaround_time)&gt;=helpsheet!$L$17,rate_vatRU_from_26,rate_vatRu_till_25),0)),2)</f>
        <v/>
      </c>
      <c r="AN132" s="192">
        <f>AL132-AK132</f>
        <v/>
      </c>
      <c r="AO132" s="76">
        <f>SUM(AY132,Y132:Z132,T132)*IF(AND(offer_incoterms="DDP",offer_sale_type&lt;&gt;"экспорт"),IF((TODAY()+offer_turnaround_time)&gt;=helpsheet!$L$17,rate_vatRU_from_26,rate_vatRu_till_25),0)</f>
        <v/>
      </c>
      <c r="AP132" s="193">
        <f>AN132-AO132</f>
        <v/>
      </c>
      <c r="AQ132" s="118">
        <f>IF(offer_sale_type="транзит",SUM(AF132:AI132,BA132,BB132),0)</f>
        <v/>
      </c>
      <c r="AR132" s="82">
        <f>HYPERLINK("https://www.alta.ru/tnved/code/")&amp;W132&amp;"/"</f>
        <v/>
      </c>
      <c r="AS132" s="157" t="n"/>
      <c r="AT132" s="162" t="n"/>
      <c r="AU132" s="76">
        <f>IF(ISBLANK(AT132),0,AJ132-AT132)</f>
        <v/>
      </c>
      <c r="AV132" s="157" t="n"/>
      <c r="AW132" s="75">
        <f>_xlfn.IFNA(VLOOKUP(L132,list_vat[],3,FALSE),0)</f>
        <v/>
      </c>
      <c r="AX132" s="76">
        <f>IFERROR(ROUND(S132*(1+AW132)/E132,2),0)</f>
        <v/>
      </c>
      <c r="AY132" s="76">
        <f>E132*AX132</f>
        <v/>
      </c>
      <c r="AZ132" s="192">
        <f>S132*(1+M132)</f>
        <v/>
      </c>
      <c r="BA132" s="76">
        <f>cost_fin_total*$BD132</f>
        <v/>
      </c>
      <c r="BB132" s="193">
        <f>credit_sales_interest*BD132</f>
        <v/>
      </c>
      <c r="BC132" s="102">
        <f>IFERROR(IF($I$13&gt;0,$I132/$I$13,$S132/$S$13),0)</f>
        <v/>
      </c>
      <c r="BD132" s="102">
        <f>IFERROR($S132/$S$13,0)</f>
        <v/>
      </c>
      <c r="BE132" s="413" t="inlineStr">
        <is>
          <t>$</t>
        </is>
      </c>
    </row>
    <row r="133" ht="12" customFormat="1" customHeight="1" s="65">
      <c r="A133" s="43" t="n">
        <v>118</v>
      </c>
      <c r="B133" s="166" t="n"/>
      <c r="C133" s="166" t="n"/>
      <c r="D133" s="166" t="n"/>
      <c r="E133" s="162" t="n"/>
      <c r="F133" s="166" t="n"/>
      <c r="G133" s="162" t="n"/>
      <c r="H133" s="162" t="n"/>
      <c r="I133" s="189">
        <f>E133*G133</f>
        <v/>
      </c>
      <c r="J133" s="195" t="n"/>
      <c r="K133" s="162" t="n"/>
      <c r="L133" s="168" t="n"/>
      <c r="M133" s="75">
        <f>_xlfn.XLOOKUP(L133,list_vat[Страна],list_vat[Ставка НДС %],0,0)</f>
        <v/>
      </c>
      <c r="N133" s="162">
        <f>IFERROR(IF(L133="Китай",K133,K133/(1+M133)),0)</f>
        <v/>
      </c>
      <c r="O133" s="169" t="n"/>
      <c r="P133" s="76">
        <f>N133*(1-O133)</f>
        <v/>
      </c>
      <c r="Q133" s="162" t="n"/>
      <c r="R133" s="162">
        <f>IF(ISBLANK(Q133),"введи курс",P133/Q133)</f>
        <v/>
      </c>
      <c r="S133" s="196">
        <f>IF(AND(ISNUMBER(E133),ISNUMBER(Q133)),E133*R133,0)</f>
        <v/>
      </c>
      <c r="T133" s="192">
        <f>$BC133*V$11</f>
        <v/>
      </c>
      <c r="U133" s="76">
        <f>$BC133*W$11</f>
        <v/>
      </c>
      <c r="V133" s="193">
        <f>+SUM(T133:U133)</f>
        <v/>
      </c>
      <c r="W133" s="191" t="n"/>
      <c r="X133" s="170" t="n"/>
      <c r="Y133" s="76">
        <f>ROUND(IF(offer_incoterms="DDP",X133*(S133*(1+AW133)+T133),0),2)</f>
        <v/>
      </c>
      <c r="Z133" s="188" t="n"/>
      <c r="AA133" s="192">
        <f>IFERROR(AB133/E133,0)</f>
        <v/>
      </c>
      <c r="AB133" s="76">
        <f>ROUND(SUM(S133,V133,Y133:Z133,BA133:BB133),2)</f>
        <v/>
      </c>
      <c r="AC133" s="797" t="n"/>
      <c r="AD133" s="192">
        <f t="array" ref="AD133">IFERROR(ROUND((_xlfn.IFS(offer_sale_type="поставка",AB133,offer_sale_type="транзит",S133)*(1+AC133))/E133,2),0)</f>
        <v/>
      </c>
      <c r="AE133" s="76">
        <f>AD133*E133</f>
        <v/>
      </c>
      <c r="AF133" s="193">
        <f t="array" ref="AF133">IFERROR(ROUND(_xlfn.IFS(offer_sale_type="поставка",AB133,offer_sale_type="транзит",S133)*AC133,2),0)</f>
        <v/>
      </c>
      <c r="AG133" s="192">
        <f>$BD133*VLOOKUP($AG$3,$AF$4:$AG$7,2,FALSE)</f>
        <v/>
      </c>
      <c r="AH133" s="76">
        <f>SUM(AE133,AG133,AI133)*rate_forex_risk</f>
        <v/>
      </c>
      <c r="AI133" s="193">
        <f>IF(OR(seller_region="TR",offer_sale_type="экспорт"),0,rate_fin_comm)*SUM(AZ133,AZ133*AW133,T133)</f>
        <v/>
      </c>
      <c r="AJ133" s="118">
        <f>IFERROR(ROUND(SUM(AB133,AF133:AI133)/E133,2),0)</f>
        <v/>
      </c>
      <c r="AK133" s="76">
        <f>AJ133*E133</f>
        <v/>
      </c>
      <c r="AL133" s="174">
        <f>ROUND(IFERROR(AM133*E133,0),2)</f>
        <v/>
      </c>
      <c r="AM133" s="175">
        <f>ROUND(AJ133*(1+IF(offer_incoterms="DDP",IF((TODAY()+offer_turnaround_time)&gt;=helpsheet!$L$17,rate_vatRU_from_26,rate_vatRu_till_25),0)),2)</f>
        <v/>
      </c>
      <c r="AN133" s="192">
        <f>AL133-AK133</f>
        <v/>
      </c>
      <c r="AO133" s="76">
        <f>SUM(AY133,Y133:Z133,T133)*IF(AND(offer_incoterms="DDP",offer_sale_type&lt;&gt;"экспорт"),IF((TODAY()+offer_turnaround_time)&gt;=helpsheet!$L$17,rate_vatRU_from_26,rate_vatRu_till_25),0)</f>
        <v/>
      </c>
      <c r="AP133" s="193">
        <f>AN133-AO133</f>
        <v/>
      </c>
      <c r="AQ133" s="118">
        <f>IF(offer_sale_type="транзит",SUM(AF133:AI133,BA133,BB133),0)</f>
        <v/>
      </c>
      <c r="AR133" s="82">
        <f>HYPERLINK("https://www.alta.ru/tnved/code/")&amp;W133&amp;"/"</f>
        <v/>
      </c>
      <c r="AS133" s="157" t="n"/>
      <c r="AT133" s="162" t="n"/>
      <c r="AU133" s="76">
        <f>IF(ISBLANK(AT133),0,AJ133-AT133)</f>
        <v/>
      </c>
      <c r="AV133" s="157" t="n"/>
      <c r="AW133" s="75">
        <f>_xlfn.IFNA(VLOOKUP(L133,list_vat[],3,FALSE),0)</f>
        <v/>
      </c>
      <c r="AX133" s="76">
        <f>IFERROR(ROUND(S133*(1+AW133)/E133,2),0)</f>
        <v/>
      </c>
      <c r="AY133" s="76">
        <f>E133*AX133</f>
        <v/>
      </c>
      <c r="AZ133" s="192">
        <f>S133*(1+M133)</f>
        <v/>
      </c>
      <c r="BA133" s="76">
        <f>cost_fin_total*$BD133</f>
        <v/>
      </c>
      <c r="BB133" s="193">
        <f>credit_sales_interest*BD133</f>
        <v/>
      </c>
      <c r="BC133" s="102">
        <f>IFERROR(IF($I$13&gt;0,$I133/$I$13,$S133/$S$13),0)</f>
        <v/>
      </c>
      <c r="BD133" s="102">
        <f>IFERROR($S133/$S$13,0)</f>
        <v/>
      </c>
      <c r="BE133" s="413" t="inlineStr">
        <is>
          <t>$</t>
        </is>
      </c>
    </row>
    <row r="134" ht="12" customFormat="1" customHeight="1" s="65">
      <c r="A134" s="43" t="n">
        <v>119</v>
      </c>
      <c r="B134" s="166" t="n"/>
      <c r="C134" s="166" t="n"/>
      <c r="D134" s="166" t="n"/>
      <c r="E134" s="162" t="n"/>
      <c r="F134" s="166" t="n"/>
      <c r="G134" s="162" t="n"/>
      <c r="H134" s="162" t="n"/>
      <c r="I134" s="189">
        <f>E134*G134</f>
        <v/>
      </c>
      <c r="J134" s="195" t="n"/>
      <c r="K134" s="162" t="n"/>
      <c r="L134" s="168" t="n"/>
      <c r="M134" s="75">
        <f>_xlfn.XLOOKUP(L134,list_vat[Страна],list_vat[Ставка НДС %],0,0)</f>
        <v/>
      </c>
      <c r="N134" s="162">
        <f>IFERROR(IF(L134="Китай",K134,K134/(1+M134)),0)</f>
        <v/>
      </c>
      <c r="O134" s="169" t="n"/>
      <c r="P134" s="76">
        <f>N134*(1-O134)</f>
        <v/>
      </c>
      <c r="Q134" s="162" t="n"/>
      <c r="R134" s="162">
        <f>IF(ISBLANK(Q134),"введи курс",P134/Q134)</f>
        <v/>
      </c>
      <c r="S134" s="196">
        <f>IF(AND(ISNUMBER(E134),ISNUMBER(Q134)),E134*R134,0)</f>
        <v/>
      </c>
      <c r="T134" s="192">
        <f>$BC134*V$11</f>
        <v/>
      </c>
      <c r="U134" s="76">
        <f>$BC134*W$11</f>
        <v/>
      </c>
      <c r="V134" s="193">
        <f>+SUM(T134:U134)</f>
        <v/>
      </c>
      <c r="W134" s="191" t="n"/>
      <c r="X134" s="170" t="n"/>
      <c r="Y134" s="76">
        <f>ROUND(IF(offer_incoterms="DDP",X134*(S134*(1+AW134)+T134),0),2)</f>
        <v/>
      </c>
      <c r="Z134" s="188" t="n"/>
      <c r="AA134" s="192">
        <f>IFERROR(AB134/E134,0)</f>
        <v/>
      </c>
      <c r="AB134" s="76">
        <f>ROUND(SUM(S134,V134,Y134:Z134,BA134:BB134),2)</f>
        <v/>
      </c>
      <c r="AC134" s="797" t="n"/>
      <c r="AD134" s="192">
        <f t="array" ref="AD134">IFERROR(ROUND((_xlfn.IFS(offer_sale_type="поставка",AB134,offer_sale_type="транзит",S134)*(1+AC134))/E134,2),0)</f>
        <v/>
      </c>
      <c r="AE134" s="76">
        <f>AD134*E134</f>
        <v/>
      </c>
      <c r="AF134" s="193">
        <f t="array" ref="AF134">IFERROR(ROUND(_xlfn.IFS(offer_sale_type="поставка",AB134,offer_sale_type="транзит",S134)*AC134,2),0)</f>
        <v/>
      </c>
      <c r="AG134" s="192">
        <f>$BD134*VLOOKUP($AG$3,$AF$4:$AG$7,2,FALSE)</f>
        <v/>
      </c>
      <c r="AH134" s="76">
        <f>SUM(AE134,AG134,AI134)*rate_forex_risk</f>
        <v/>
      </c>
      <c r="AI134" s="193">
        <f>IF(OR(seller_region="TR",offer_sale_type="экспорт"),0,rate_fin_comm)*SUM(AZ134,AZ134*AW134,T134)</f>
        <v/>
      </c>
      <c r="AJ134" s="118">
        <f>IFERROR(ROUND(SUM(AB134,AF134:AI134)/E134,2),0)</f>
        <v/>
      </c>
      <c r="AK134" s="76">
        <f>AJ134*E134</f>
        <v/>
      </c>
      <c r="AL134" s="174">
        <f>ROUND(IFERROR(AM134*E134,0),2)</f>
        <v/>
      </c>
      <c r="AM134" s="175">
        <f>ROUND(AJ134*(1+IF(offer_incoterms="DDP",IF((TODAY()+offer_turnaround_time)&gt;=helpsheet!$L$17,rate_vatRU_from_26,rate_vatRu_till_25),0)),2)</f>
        <v/>
      </c>
      <c r="AN134" s="192">
        <f>AL134-AK134</f>
        <v/>
      </c>
      <c r="AO134" s="76">
        <f>SUM(AY134,Y134:Z134,T134)*IF(AND(offer_incoterms="DDP",offer_sale_type&lt;&gt;"экспорт"),IF((TODAY()+offer_turnaround_time)&gt;=helpsheet!$L$17,rate_vatRU_from_26,rate_vatRu_till_25),0)</f>
        <v/>
      </c>
      <c r="AP134" s="193">
        <f>AN134-AO134</f>
        <v/>
      </c>
      <c r="AQ134" s="118">
        <f>IF(offer_sale_type="транзит",SUM(AF134:AI134,BA134,BB134),0)</f>
        <v/>
      </c>
      <c r="AR134" s="82">
        <f>HYPERLINK("https://www.alta.ru/tnved/code/")&amp;W134&amp;"/"</f>
        <v/>
      </c>
      <c r="AS134" s="157" t="n"/>
      <c r="AT134" s="162" t="n"/>
      <c r="AU134" s="76">
        <f>IF(ISBLANK(AT134),0,AJ134-AT134)</f>
        <v/>
      </c>
      <c r="AV134" s="157" t="n"/>
      <c r="AW134" s="75">
        <f>_xlfn.IFNA(VLOOKUP(L134,list_vat[],3,FALSE),0)</f>
        <v/>
      </c>
      <c r="AX134" s="76">
        <f>IFERROR(ROUND(S134*(1+AW134)/E134,2),0)</f>
        <v/>
      </c>
      <c r="AY134" s="76">
        <f>E134*AX134</f>
        <v/>
      </c>
      <c r="AZ134" s="192">
        <f>S134*(1+M134)</f>
        <v/>
      </c>
      <c r="BA134" s="76">
        <f>cost_fin_total*$BD134</f>
        <v/>
      </c>
      <c r="BB134" s="193">
        <f>credit_sales_interest*BD134</f>
        <v/>
      </c>
      <c r="BC134" s="102">
        <f>IFERROR(IF($I$13&gt;0,$I134/$I$13,$S134/$S$13),0)</f>
        <v/>
      </c>
      <c r="BD134" s="102">
        <f>IFERROR($S134/$S$13,0)</f>
        <v/>
      </c>
      <c r="BE134" s="413" t="inlineStr">
        <is>
          <t>$</t>
        </is>
      </c>
    </row>
    <row r="135" ht="12" customFormat="1" customHeight="1" s="65">
      <c r="A135" s="43" t="n">
        <v>120</v>
      </c>
      <c r="B135" s="166" t="n"/>
      <c r="C135" s="166" t="n"/>
      <c r="D135" s="166" t="n"/>
      <c r="E135" s="162" t="n"/>
      <c r="F135" s="166" t="n"/>
      <c r="G135" s="162" t="n"/>
      <c r="H135" s="162" t="n"/>
      <c r="I135" s="189">
        <f>E135*G135</f>
        <v/>
      </c>
      <c r="J135" s="195" t="n"/>
      <c r="K135" s="162" t="n"/>
      <c r="L135" s="168" t="n"/>
      <c r="M135" s="75">
        <f>_xlfn.XLOOKUP(L135,list_vat[Страна],list_vat[Ставка НДС %],0,0)</f>
        <v/>
      </c>
      <c r="N135" s="162">
        <f>IFERROR(IF(L135="Китай",K135,K135/(1+M135)),0)</f>
        <v/>
      </c>
      <c r="O135" s="169" t="n"/>
      <c r="P135" s="76">
        <f>N135*(1-O135)</f>
        <v/>
      </c>
      <c r="Q135" s="162" t="n"/>
      <c r="R135" s="162">
        <f>IF(ISBLANK(Q135),"введи курс",P135/Q135)</f>
        <v/>
      </c>
      <c r="S135" s="196">
        <f>IF(AND(ISNUMBER(E135),ISNUMBER(Q135)),E135*R135,0)</f>
        <v/>
      </c>
      <c r="T135" s="192">
        <f>$BC135*V$11</f>
        <v/>
      </c>
      <c r="U135" s="76">
        <f>$BC135*W$11</f>
        <v/>
      </c>
      <c r="V135" s="193">
        <f>+SUM(T135:U135)</f>
        <v/>
      </c>
      <c r="W135" s="191" t="n"/>
      <c r="X135" s="170" t="n"/>
      <c r="Y135" s="76">
        <f>ROUND(IF(offer_incoterms="DDP",X135*(S135*(1+AW135)+T135),0),2)</f>
        <v/>
      </c>
      <c r="Z135" s="188" t="n"/>
      <c r="AA135" s="192">
        <f>IFERROR(AB135/E135,0)</f>
        <v/>
      </c>
      <c r="AB135" s="76">
        <f>ROUND(SUM(S135,V135,Y135:Z135,BA135:BB135),2)</f>
        <v/>
      </c>
      <c r="AC135" s="797" t="n"/>
      <c r="AD135" s="192">
        <f t="array" ref="AD135">IFERROR(ROUND((_xlfn.IFS(offer_sale_type="поставка",AB135,offer_sale_type="транзит",S135)*(1+AC135))/E135,2),0)</f>
        <v/>
      </c>
      <c r="AE135" s="76">
        <f>AD135*E135</f>
        <v/>
      </c>
      <c r="AF135" s="193">
        <f t="array" ref="AF135">IFERROR(ROUND(_xlfn.IFS(offer_sale_type="поставка",AB135,offer_sale_type="транзит",S135)*AC135,2),0)</f>
        <v/>
      </c>
      <c r="AG135" s="192">
        <f>$BD135*VLOOKUP($AG$3,$AF$4:$AG$7,2,FALSE)</f>
        <v/>
      </c>
      <c r="AH135" s="76">
        <f>SUM(AE135,AG135,AI135)*rate_forex_risk</f>
        <v/>
      </c>
      <c r="AI135" s="193">
        <f>IF(OR(seller_region="TR",offer_sale_type="экспорт"),0,rate_fin_comm)*SUM(AZ135,AZ135*AW135,T135)</f>
        <v/>
      </c>
      <c r="AJ135" s="118">
        <f>IFERROR(ROUND(SUM(AB135,AF135:AI135)/E135,2),0)</f>
        <v/>
      </c>
      <c r="AK135" s="76">
        <f>AJ135*E135</f>
        <v/>
      </c>
      <c r="AL135" s="174">
        <f>ROUND(IFERROR(AM135*E135,0),2)</f>
        <v/>
      </c>
      <c r="AM135" s="175">
        <f>ROUND(AJ135*(1+IF(offer_incoterms="DDP",IF((TODAY()+offer_turnaround_time)&gt;=helpsheet!$L$17,rate_vatRU_from_26,rate_vatRu_till_25),0)),2)</f>
        <v/>
      </c>
      <c r="AN135" s="192">
        <f>AL135-AK135</f>
        <v/>
      </c>
      <c r="AO135" s="76">
        <f>SUM(AY135,Y135:Z135,T135)*IF(AND(offer_incoterms="DDP",offer_sale_type&lt;&gt;"экспорт"),IF((TODAY()+offer_turnaround_time)&gt;=helpsheet!$L$17,rate_vatRU_from_26,rate_vatRu_till_25),0)</f>
        <v/>
      </c>
      <c r="AP135" s="193">
        <f>AN135-AO135</f>
        <v/>
      </c>
      <c r="AQ135" s="118">
        <f>IF(offer_sale_type="транзит",SUM(AF135:AI135,BA135,BB135),0)</f>
        <v/>
      </c>
      <c r="AR135" s="82">
        <f>HYPERLINK("https://www.alta.ru/tnved/code/")&amp;W135&amp;"/"</f>
        <v/>
      </c>
      <c r="AS135" s="157" t="n"/>
      <c r="AT135" s="162" t="n"/>
      <c r="AU135" s="76">
        <f>IF(ISBLANK(AT135),0,AJ135-AT135)</f>
        <v/>
      </c>
      <c r="AV135" s="157" t="n"/>
      <c r="AW135" s="75">
        <f>_xlfn.IFNA(VLOOKUP(L135,list_vat[],3,FALSE),0)</f>
        <v/>
      </c>
      <c r="AX135" s="76">
        <f>IFERROR(ROUND(S135*(1+AW135)/E135,2),0)</f>
        <v/>
      </c>
      <c r="AY135" s="76">
        <f>E135*AX135</f>
        <v/>
      </c>
      <c r="AZ135" s="192">
        <f>S135*(1+M135)</f>
        <v/>
      </c>
      <c r="BA135" s="76">
        <f>cost_fin_total*$BD135</f>
        <v/>
      </c>
      <c r="BB135" s="193">
        <f>credit_sales_interest*BD135</f>
        <v/>
      </c>
      <c r="BC135" s="102">
        <f>IFERROR(IF($I$13&gt;0,$I135/$I$13,$S135/$S$13),0)</f>
        <v/>
      </c>
      <c r="BD135" s="102">
        <f>IFERROR($S135/$S$13,0)</f>
        <v/>
      </c>
      <c r="BE135" s="413" t="inlineStr">
        <is>
          <t>$</t>
        </is>
      </c>
    </row>
    <row r="136" ht="12" customFormat="1" customHeight="1" s="65">
      <c r="A136" s="43" t="n">
        <v>121</v>
      </c>
      <c r="B136" s="166" t="n"/>
      <c r="C136" s="166" t="n"/>
      <c r="D136" s="166" t="n"/>
      <c r="E136" s="162" t="n"/>
      <c r="F136" s="166" t="n"/>
      <c r="G136" s="162" t="n"/>
      <c r="H136" s="162" t="n"/>
      <c r="I136" s="189">
        <f>E136*G136</f>
        <v/>
      </c>
      <c r="J136" s="195" t="n"/>
      <c r="K136" s="162" t="n"/>
      <c r="L136" s="168" t="n"/>
      <c r="M136" s="75">
        <f>_xlfn.XLOOKUP(L136,list_vat[Страна],list_vat[Ставка НДС %],0,0)</f>
        <v/>
      </c>
      <c r="N136" s="162">
        <f>IFERROR(IF(L136="Китай",K136,K136/(1+M136)),0)</f>
        <v/>
      </c>
      <c r="O136" s="169" t="n"/>
      <c r="P136" s="76">
        <f>N136*(1-O136)</f>
        <v/>
      </c>
      <c r="Q136" s="162" t="n"/>
      <c r="R136" s="162">
        <f>IF(ISBLANK(Q136),"введи курс",P136/Q136)</f>
        <v/>
      </c>
      <c r="S136" s="196">
        <f>IF(AND(ISNUMBER(E136),ISNUMBER(Q136)),E136*R136,0)</f>
        <v/>
      </c>
      <c r="T136" s="192">
        <f>$BC136*V$11</f>
        <v/>
      </c>
      <c r="U136" s="76">
        <f>$BC136*W$11</f>
        <v/>
      </c>
      <c r="V136" s="193">
        <f>+SUM(T136:U136)</f>
        <v/>
      </c>
      <c r="W136" s="191" t="n"/>
      <c r="X136" s="170" t="n"/>
      <c r="Y136" s="76">
        <f>ROUND(IF(offer_incoterms="DDP",X136*(S136*(1+AW136)+T136),0),2)</f>
        <v/>
      </c>
      <c r="Z136" s="188" t="n"/>
      <c r="AA136" s="192">
        <f>IFERROR(AB136/E136,0)</f>
        <v/>
      </c>
      <c r="AB136" s="76">
        <f>ROUND(SUM(S136,V136,Y136:Z136,BA136:BB136),2)</f>
        <v/>
      </c>
      <c r="AC136" s="797" t="n"/>
      <c r="AD136" s="192">
        <f t="array" ref="AD136">IFERROR(ROUND((_xlfn.IFS(offer_sale_type="поставка",AB136,offer_sale_type="транзит",S136)*(1+AC136))/E136,2),0)</f>
        <v/>
      </c>
      <c r="AE136" s="76">
        <f>AD136*E136</f>
        <v/>
      </c>
      <c r="AF136" s="193">
        <f t="array" ref="AF136">IFERROR(ROUND(_xlfn.IFS(offer_sale_type="поставка",AB136,offer_sale_type="транзит",S136)*AC136,2),0)</f>
        <v/>
      </c>
      <c r="AG136" s="192">
        <f>$BD136*VLOOKUP($AG$3,$AF$4:$AG$7,2,FALSE)</f>
        <v/>
      </c>
      <c r="AH136" s="76">
        <f>SUM(AE136,AG136,AI136)*rate_forex_risk</f>
        <v/>
      </c>
      <c r="AI136" s="193">
        <f>IF(OR(seller_region="TR",offer_sale_type="экспорт"),0,rate_fin_comm)*SUM(AZ136,AZ136*AW136,T136)</f>
        <v/>
      </c>
      <c r="AJ136" s="118">
        <f>IFERROR(ROUND(SUM(AB136,AF136:AI136)/E136,2),0)</f>
        <v/>
      </c>
      <c r="AK136" s="76">
        <f>AJ136*E136</f>
        <v/>
      </c>
      <c r="AL136" s="174">
        <f>ROUND(IFERROR(AM136*E136,0),2)</f>
        <v/>
      </c>
      <c r="AM136" s="175">
        <f>ROUND(AJ136*(1+IF(offer_incoterms="DDP",IF((TODAY()+offer_turnaround_time)&gt;=helpsheet!$L$17,rate_vatRU_from_26,rate_vatRu_till_25),0)),2)</f>
        <v/>
      </c>
      <c r="AN136" s="192">
        <f>AL136-AK136</f>
        <v/>
      </c>
      <c r="AO136" s="76">
        <f>SUM(AY136,Y136:Z136,T136)*IF(AND(offer_incoterms="DDP",offer_sale_type&lt;&gt;"экспорт"),IF((TODAY()+offer_turnaround_time)&gt;=helpsheet!$L$17,rate_vatRU_from_26,rate_vatRu_till_25),0)</f>
        <v/>
      </c>
      <c r="AP136" s="193">
        <f>AN136-AO136</f>
        <v/>
      </c>
      <c r="AQ136" s="118">
        <f>IF(offer_sale_type="транзит",SUM(AF136:AI136,BA136,BB136),0)</f>
        <v/>
      </c>
      <c r="AR136" s="82">
        <f>HYPERLINK("https://www.alta.ru/tnved/code/")&amp;W136&amp;"/"</f>
        <v/>
      </c>
      <c r="AS136" s="157" t="n"/>
      <c r="AT136" s="162" t="n"/>
      <c r="AU136" s="76">
        <f>IF(ISBLANK(AT136),0,AJ136-AT136)</f>
        <v/>
      </c>
      <c r="AV136" s="157" t="n"/>
      <c r="AW136" s="75">
        <f>_xlfn.IFNA(VLOOKUP(L136,list_vat[],3,FALSE),0)</f>
        <v/>
      </c>
      <c r="AX136" s="76">
        <f>IFERROR(ROUND(S136*(1+AW136)/E136,2),0)</f>
        <v/>
      </c>
      <c r="AY136" s="76">
        <f>E136*AX136</f>
        <v/>
      </c>
      <c r="AZ136" s="192">
        <f>S136*(1+M136)</f>
        <v/>
      </c>
      <c r="BA136" s="76">
        <f>cost_fin_total*$BD136</f>
        <v/>
      </c>
      <c r="BB136" s="193">
        <f>credit_sales_interest*BD136</f>
        <v/>
      </c>
      <c r="BC136" s="102">
        <f>IFERROR(IF($I$13&gt;0,$I136/$I$13,$S136/$S$13),0)</f>
        <v/>
      </c>
      <c r="BD136" s="102">
        <f>IFERROR($S136/$S$13,0)</f>
        <v/>
      </c>
      <c r="BE136" s="413" t="inlineStr">
        <is>
          <t>$</t>
        </is>
      </c>
    </row>
    <row r="137" ht="12" customFormat="1" customHeight="1" s="65">
      <c r="A137" s="43" t="n">
        <v>122</v>
      </c>
      <c r="B137" s="166" t="n"/>
      <c r="C137" s="166" t="n"/>
      <c r="D137" s="166" t="n"/>
      <c r="E137" s="162" t="n"/>
      <c r="F137" s="166" t="n"/>
      <c r="G137" s="162" t="n"/>
      <c r="H137" s="162" t="n"/>
      <c r="I137" s="189">
        <f>E137*G137</f>
        <v/>
      </c>
      <c r="J137" s="195" t="n"/>
      <c r="K137" s="162" t="n"/>
      <c r="L137" s="168" t="n"/>
      <c r="M137" s="75">
        <f>_xlfn.XLOOKUP(L137,list_vat[Страна],list_vat[Ставка НДС %],0,0)</f>
        <v/>
      </c>
      <c r="N137" s="162">
        <f>IFERROR(IF(L137="Китай",K137,K137/(1+M137)),0)</f>
        <v/>
      </c>
      <c r="O137" s="169" t="n"/>
      <c r="P137" s="76">
        <f>N137*(1-O137)</f>
        <v/>
      </c>
      <c r="Q137" s="162" t="n"/>
      <c r="R137" s="162">
        <f>IF(ISBLANK(Q137),"введи курс",P137/Q137)</f>
        <v/>
      </c>
      <c r="S137" s="196">
        <f>IF(AND(ISNUMBER(E137),ISNUMBER(Q137)),E137*R137,0)</f>
        <v/>
      </c>
      <c r="T137" s="192">
        <f>$BC137*V$11</f>
        <v/>
      </c>
      <c r="U137" s="76">
        <f>$BC137*W$11</f>
        <v/>
      </c>
      <c r="V137" s="193">
        <f>+SUM(T137:U137)</f>
        <v/>
      </c>
      <c r="W137" s="191" t="n"/>
      <c r="X137" s="170" t="n"/>
      <c r="Y137" s="76">
        <f>ROUND(IF(offer_incoterms="DDP",X137*(S137*(1+AW137)+T137),0),2)</f>
        <v/>
      </c>
      <c r="Z137" s="188" t="n"/>
      <c r="AA137" s="192">
        <f>IFERROR(AB137/E137,0)</f>
        <v/>
      </c>
      <c r="AB137" s="76">
        <f>ROUND(SUM(S137,V137,Y137:Z137,BA137:BB137),2)</f>
        <v/>
      </c>
      <c r="AC137" s="797" t="n"/>
      <c r="AD137" s="192">
        <f t="array" ref="AD137">IFERROR(ROUND((_xlfn.IFS(offer_sale_type="поставка",AB137,offer_sale_type="транзит",S137)*(1+AC137))/E137,2),0)</f>
        <v/>
      </c>
      <c r="AE137" s="76">
        <f>AD137*E137</f>
        <v/>
      </c>
      <c r="AF137" s="193">
        <f t="array" ref="AF137">IFERROR(ROUND(_xlfn.IFS(offer_sale_type="поставка",AB137,offer_sale_type="транзит",S137)*AC137,2),0)</f>
        <v/>
      </c>
      <c r="AG137" s="192">
        <f>$BD137*VLOOKUP($AG$3,$AF$4:$AG$7,2,FALSE)</f>
        <v/>
      </c>
      <c r="AH137" s="76">
        <f>SUM(AE137,AG137,AI137)*rate_forex_risk</f>
        <v/>
      </c>
      <c r="AI137" s="193">
        <f>IF(OR(seller_region="TR",offer_sale_type="экспорт"),0,rate_fin_comm)*SUM(AZ137,AZ137*AW137,T137)</f>
        <v/>
      </c>
      <c r="AJ137" s="118">
        <f>IFERROR(ROUND(SUM(AB137,AF137:AI137)/E137,2),0)</f>
        <v/>
      </c>
      <c r="AK137" s="76">
        <f>AJ137*E137</f>
        <v/>
      </c>
      <c r="AL137" s="174">
        <f>ROUND(IFERROR(AM137*E137,0),2)</f>
        <v/>
      </c>
      <c r="AM137" s="175">
        <f>ROUND(AJ137*(1+IF(offer_incoterms="DDP",IF((TODAY()+offer_turnaround_time)&gt;=helpsheet!$L$17,rate_vatRU_from_26,rate_vatRu_till_25),0)),2)</f>
        <v/>
      </c>
      <c r="AN137" s="192">
        <f>AL137-AK137</f>
        <v/>
      </c>
      <c r="AO137" s="76">
        <f>SUM(AY137,Y137:Z137,T137)*IF(AND(offer_incoterms="DDP",offer_sale_type&lt;&gt;"экспорт"),IF((TODAY()+offer_turnaround_time)&gt;=helpsheet!$L$17,rate_vatRU_from_26,rate_vatRu_till_25),0)</f>
        <v/>
      </c>
      <c r="AP137" s="193">
        <f>AN137-AO137</f>
        <v/>
      </c>
      <c r="AQ137" s="118">
        <f>IF(offer_sale_type="транзит",SUM(AF137:AI137,BA137,BB137),0)</f>
        <v/>
      </c>
      <c r="AR137" s="82">
        <f>HYPERLINK("https://www.alta.ru/tnved/code/")&amp;W137&amp;"/"</f>
        <v/>
      </c>
      <c r="AS137" s="157" t="n"/>
      <c r="AT137" s="162" t="n"/>
      <c r="AU137" s="76">
        <f>IF(ISBLANK(AT137),0,AJ137-AT137)</f>
        <v/>
      </c>
      <c r="AV137" s="157" t="n"/>
      <c r="AW137" s="75">
        <f>_xlfn.IFNA(VLOOKUP(L137,list_vat[],3,FALSE),0)</f>
        <v/>
      </c>
      <c r="AX137" s="76">
        <f>IFERROR(ROUND(S137*(1+AW137)/E137,2),0)</f>
        <v/>
      </c>
      <c r="AY137" s="76">
        <f>E137*AX137</f>
        <v/>
      </c>
      <c r="AZ137" s="192">
        <f>S137*(1+M137)</f>
        <v/>
      </c>
      <c r="BA137" s="76">
        <f>cost_fin_total*$BD137</f>
        <v/>
      </c>
      <c r="BB137" s="193">
        <f>credit_sales_interest*BD137</f>
        <v/>
      </c>
      <c r="BC137" s="102">
        <f>IFERROR(IF($I$13&gt;0,$I137/$I$13,$S137/$S$13),0)</f>
        <v/>
      </c>
      <c r="BD137" s="102">
        <f>IFERROR($S137/$S$13,0)</f>
        <v/>
      </c>
      <c r="BE137" s="413" t="inlineStr">
        <is>
          <t>$</t>
        </is>
      </c>
    </row>
    <row r="138" ht="12" customFormat="1" customHeight="1" s="65">
      <c r="A138" s="43" t="n">
        <v>123</v>
      </c>
      <c r="B138" s="166" t="n"/>
      <c r="C138" s="166" t="n"/>
      <c r="D138" s="166" t="n"/>
      <c r="E138" s="162" t="n"/>
      <c r="F138" s="166" t="n"/>
      <c r="G138" s="162" t="n"/>
      <c r="H138" s="162" t="n"/>
      <c r="I138" s="189">
        <f>E138*G138</f>
        <v/>
      </c>
      <c r="J138" s="195" t="n"/>
      <c r="K138" s="162" t="n"/>
      <c r="L138" s="168" t="n"/>
      <c r="M138" s="75">
        <f>_xlfn.XLOOKUP(L138,list_vat[Страна],list_vat[Ставка НДС %],0,0)</f>
        <v/>
      </c>
      <c r="N138" s="162">
        <f>IFERROR(IF(L138="Китай",K138,K138/(1+M138)),0)</f>
        <v/>
      </c>
      <c r="O138" s="169" t="n"/>
      <c r="P138" s="76">
        <f>N138*(1-O138)</f>
        <v/>
      </c>
      <c r="Q138" s="162" t="n"/>
      <c r="R138" s="162">
        <f>IF(ISBLANK(Q138),"введи курс",P138/Q138)</f>
        <v/>
      </c>
      <c r="S138" s="196">
        <f>IF(AND(ISNUMBER(E138),ISNUMBER(Q138)),E138*R138,0)</f>
        <v/>
      </c>
      <c r="T138" s="192">
        <f>$BC138*V$11</f>
        <v/>
      </c>
      <c r="U138" s="76">
        <f>$BC138*W$11</f>
        <v/>
      </c>
      <c r="V138" s="193">
        <f>+SUM(T138:U138)</f>
        <v/>
      </c>
      <c r="W138" s="191" t="n"/>
      <c r="X138" s="170" t="n"/>
      <c r="Y138" s="76">
        <f>ROUND(IF(offer_incoterms="DDP",X138*(S138*(1+AW138)+T138),0),2)</f>
        <v/>
      </c>
      <c r="Z138" s="188" t="n"/>
      <c r="AA138" s="192">
        <f>IFERROR(AB138/E138,0)</f>
        <v/>
      </c>
      <c r="AB138" s="76">
        <f>ROUND(SUM(S138,V138,Y138:Z138,BA138:BB138),2)</f>
        <v/>
      </c>
      <c r="AC138" s="797" t="n"/>
      <c r="AD138" s="192">
        <f t="array" ref="AD138">IFERROR(ROUND((_xlfn.IFS(offer_sale_type="поставка",AB138,offer_sale_type="транзит",S138)*(1+AC138))/E138,2),0)</f>
        <v/>
      </c>
      <c r="AE138" s="76">
        <f>AD138*E138</f>
        <v/>
      </c>
      <c r="AF138" s="193">
        <f t="array" ref="AF138">IFERROR(ROUND(_xlfn.IFS(offer_sale_type="поставка",AB138,offer_sale_type="транзит",S138)*AC138,2),0)</f>
        <v/>
      </c>
      <c r="AG138" s="192">
        <f>$BD138*VLOOKUP($AG$3,$AF$4:$AG$7,2,FALSE)</f>
        <v/>
      </c>
      <c r="AH138" s="76">
        <f>SUM(AE138,AG138,AI138)*rate_forex_risk</f>
        <v/>
      </c>
      <c r="AI138" s="193">
        <f>IF(OR(seller_region="TR",offer_sale_type="экспорт"),0,rate_fin_comm)*SUM(AZ138,AZ138*AW138,T138)</f>
        <v/>
      </c>
      <c r="AJ138" s="118">
        <f>IFERROR(ROUND(SUM(AB138,AF138:AI138)/E138,2),0)</f>
        <v/>
      </c>
      <c r="AK138" s="76">
        <f>AJ138*E138</f>
        <v/>
      </c>
      <c r="AL138" s="174">
        <f>ROUND(IFERROR(AM138*E138,0),2)</f>
        <v/>
      </c>
      <c r="AM138" s="175">
        <f>ROUND(AJ138*(1+IF(offer_incoterms="DDP",IF((TODAY()+offer_turnaround_time)&gt;=helpsheet!$L$17,rate_vatRU_from_26,rate_vatRu_till_25),0)),2)</f>
        <v/>
      </c>
      <c r="AN138" s="192">
        <f>AL138-AK138</f>
        <v/>
      </c>
      <c r="AO138" s="76">
        <f>SUM(AY138,Y138:Z138,T138)*IF(AND(offer_incoterms="DDP",offer_sale_type&lt;&gt;"экспорт"),IF((TODAY()+offer_turnaround_time)&gt;=helpsheet!$L$17,rate_vatRU_from_26,rate_vatRu_till_25),0)</f>
        <v/>
      </c>
      <c r="AP138" s="193">
        <f>AN138-AO138</f>
        <v/>
      </c>
      <c r="AQ138" s="118">
        <f>IF(offer_sale_type="транзит",SUM(AF138:AI138,BA138,BB138),0)</f>
        <v/>
      </c>
      <c r="AR138" s="82">
        <f>HYPERLINK("https://www.alta.ru/tnved/code/")&amp;W138&amp;"/"</f>
        <v/>
      </c>
      <c r="AS138" s="157" t="n"/>
      <c r="AT138" s="162" t="n"/>
      <c r="AU138" s="76">
        <f>IF(ISBLANK(AT138),0,AJ138-AT138)</f>
        <v/>
      </c>
      <c r="AV138" s="157" t="n"/>
      <c r="AW138" s="75">
        <f>_xlfn.IFNA(VLOOKUP(L138,list_vat[],3,FALSE),0)</f>
        <v/>
      </c>
      <c r="AX138" s="76">
        <f>IFERROR(ROUND(S138*(1+AW138)/E138,2),0)</f>
        <v/>
      </c>
      <c r="AY138" s="76">
        <f>E138*AX138</f>
        <v/>
      </c>
      <c r="AZ138" s="192">
        <f>S138*(1+M138)</f>
        <v/>
      </c>
      <c r="BA138" s="76">
        <f>cost_fin_total*$BD138</f>
        <v/>
      </c>
      <c r="BB138" s="193">
        <f>credit_sales_interest*BD138</f>
        <v/>
      </c>
      <c r="BC138" s="102">
        <f>IFERROR(IF($I$13&gt;0,$I138/$I$13,$S138/$S$13),0)</f>
        <v/>
      </c>
      <c r="BD138" s="102">
        <f>IFERROR($S138/$S$13,0)</f>
        <v/>
      </c>
      <c r="BE138" s="413" t="inlineStr">
        <is>
          <t>$</t>
        </is>
      </c>
    </row>
    <row r="139" ht="12" customFormat="1" customHeight="1" s="65">
      <c r="A139" s="43" t="n">
        <v>124</v>
      </c>
      <c r="B139" s="166" t="n"/>
      <c r="C139" s="166" t="n"/>
      <c r="D139" s="166" t="n"/>
      <c r="E139" s="162" t="n"/>
      <c r="F139" s="166" t="n"/>
      <c r="G139" s="162" t="n"/>
      <c r="H139" s="162" t="n"/>
      <c r="I139" s="189">
        <f>E139*G139</f>
        <v/>
      </c>
      <c r="J139" s="195" t="n"/>
      <c r="K139" s="162" t="n"/>
      <c r="L139" s="168" t="n"/>
      <c r="M139" s="75">
        <f>_xlfn.XLOOKUP(L139,list_vat[Страна],list_vat[Ставка НДС %],0,0)</f>
        <v/>
      </c>
      <c r="N139" s="162">
        <f>IFERROR(IF(L139="Китай",K139,K139/(1+M139)),0)</f>
        <v/>
      </c>
      <c r="O139" s="169" t="n"/>
      <c r="P139" s="76">
        <f>N139*(1-O139)</f>
        <v/>
      </c>
      <c r="Q139" s="162" t="n"/>
      <c r="R139" s="162">
        <f>IF(ISBLANK(Q139),"введи курс",P139/Q139)</f>
        <v/>
      </c>
      <c r="S139" s="196">
        <f>IF(AND(ISNUMBER(E139),ISNUMBER(Q139)),E139*R139,0)</f>
        <v/>
      </c>
      <c r="T139" s="192">
        <f>$BC139*V$11</f>
        <v/>
      </c>
      <c r="U139" s="76">
        <f>$BC139*W$11</f>
        <v/>
      </c>
      <c r="V139" s="193">
        <f>+SUM(T139:U139)</f>
        <v/>
      </c>
      <c r="W139" s="191" t="n"/>
      <c r="X139" s="170" t="n"/>
      <c r="Y139" s="76">
        <f>ROUND(IF(offer_incoterms="DDP",X139*(S139*(1+AW139)+T139),0),2)</f>
        <v/>
      </c>
      <c r="Z139" s="188" t="n"/>
      <c r="AA139" s="192">
        <f>IFERROR(AB139/E139,0)</f>
        <v/>
      </c>
      <c r="AB139" s="76">
        <f>ROUND(SUM(S139,V139,Y139:Z139,BA139:BB139),2)</f>
        <v/>
      </c>
      <c r="AC139" s="797" t="n"/>
      <c r="AD139" s="192">
        <f t="array" ref="AD139">IFERROR(ROUND((_xlfn.IFS(offer_sale_type="поставка",AB139,offer_sale_type="транзит",S139)*(1+AC139))/E139,2),0)</f>
        <v/>
      </c>
      <c r="AE139" s="76">
        <f>AD139*E139</f>
        <v/>
      </c>
      <c r="AF139" s="193">
        <f t="array" ref="AF139">IFERROR(ROUND(_xlfn.IFS(offer_sale_type="поставка",AB139,offer_sale_type="транзит",S139)*AC139,2),0)</f>
        <v/>
      </c>
      <c r="AG139" s="192">
        <f>$BD139*VLOOKUP($AG$3,$AF$4:$AG$7,2,FALSE)</f>
        <v/>
      </c>
      <c r="AH139" s="76">
        <f>SUM(AE139,AG139,AI139)*rate_forex_risk</f>
        <v/>
      </c>
      <c r="AI139" s="193">
        <f>IF(OR(seller_region="TR",offer_sale_type="экспорт"),0,rate_fin_comm)*SUM(AZ139,AZ139*AW139,T139)</f>
        <v/>
      </c>
      <c r="AJ139" s="118">
        <f>IFERROR(ROUND(SUM(AB139,AF139:AI139)/E139,2),0)</f>
        <v/>
      </c>
      <c r="AK139" s="76">
        <f>AJ139*E139</f>
        <v/>
      </c>
      <c r="AL139" s="174">
        <f>ROUND(IFERROR(AM139*E139,0),2)</f>
        <v/>
      </c>
      <c r="AM139" s="175">
        <f>ROUND(AJ139*(1+IF(offer_incoterms="DDP",IF((TODAY()+offer_turnaround_time)&gt;=helpsheet!$L$17,rate_vatRU_from_26,rate_vatRu_till_25),0)),2)</f>
        <v/>
      </c>
      <c r="AN139" s="192">
        <f>AL139-AK139</f>
        <v/>
      </c>
      <c r="AO139" s="76">
        <f>SUM(AY139,Y139:Z139,T139)*IF(AND(offer_incoterms="DDP",offer_sale_type&lt;&gt;"экспорт"),IF((TODAY()+offer_turnaround_time)&gt;=helpsheet!$L$17,rate_vatRU_from_26,rate_vatRu_till_25),0)</f>
        <v/>
      </c>
      <c r="AP139" s="193">
        <f>AN139-AO139</f>
        <v/>
      </c>
      <c r="AQ139" s="118">
        <f>IF(offer_sale_type="транзит",SUM(AF139:AI139,BA139,BB139),0)</f>
        <v/>
      </c>
      <c r="AR139" s="82">
        <f>HYPERLINK("https://www.alta.ru/tnved/code/")&amp;W139&amp;"/"</f>
        <v/>
      </c>
      <c r="AS139" s="157" t="n"/>
      <c r="AT139" s="162" t="n"/>
      <c r="AU139" s="76">
        <f>IF(ISBLANK(AT139),0,AJ139-AT139)</f>
        <v/>
      </c>
      <c r="AV139" s="157" t="n"/>
      <c r="AW139" s="75">
        <f>_xlfn.IFNA(VLOOKUP(L139,list_vat[],3,FALSE),0)</f>
        <v/>
      </c>
      <c r="AX139" s="76">
        <f>IFERROR(ROUND(S139*(1+AW139)/E139,2),0)</f>
        <v/>
      </c>
      <c r="AY139" s="76">
        <f>E139*AX139</f>
        <v/>
      </c>
      <c r="AZ139" s="192">
        <f>S139*(1+M139)</f>
        <v/>
      </c>
      <c r="BA139" s="76">
        <f>cost_fin_total*$BD139</f>
        <v/>
      </c>
      <c r="BB139" s="193">
        <f>credit_sales_interest*BD139</f>
        <v/>
      </c>
      <c r="BC139" s="102">
        <f>IFERROR(IF($I$13&gt;0,$I139/$I$13,$S139/$S$13),0)</f>
        <v/>
      </c>
      <c r="BD139" s="102">
        <f>IFERROR($S139/$S$13,0)</f>
        <v/>
      </c>
      <c r="BE139" s="413" t="inlineStr">
        <is>
          <t>$</t>
        </is>
      </c>
    </row>
    <row r="140" ht="12" customFormat="1" customHeight="1" s="65">
      <c r="A140" s="43" t="n">
        <v>125</v>
      </c>
      <c r="B140" s="166" t="n"/>
      <c r="C140" s="166" t="n"/>
      <c r="D140" s="166" t="n"/>
      <c r="E140" s="162" t="n"/>
      <c r="F140" s="166" t="n"/>
      <c r="G140" s="162" t="n"/>
      <c r="H140" s="162" t="n"/>
      <c r="I140" s="189">
        <f>E140*G140</f>
        <v/>
      </c>
      <c r="J140" s="195" t="n"/>
      <c r="K140" s="162" t="n"/>
      <c r="L140" s="168" t="n"/>
      <c r="M140" s="75">
        <f>_xlfn.XLOOKUP(L140,list_vat[Страна],list_vat[Ставка НДС %],0,0)</f>
        <v/>
      </c>
      <c r="N140" s="162">
        <f>IFERROR(IF(L140="Китай",K140,K140/(1+M140)),0)</f>
        <v/>
      </c>
      <c r="O140" s="169" t="n"/>
      <c r="P140" s="76">
        <f>N140*(1-O140)</f>
        <v/>
      </c>
      <c r="Q140" s="162" t="n"/>
      <c r="R140" s="162">
        <f>IF(ISBLANK(Q140),"введи курс",P140/Q140)</f>
        <v/>
      </c>
      <c r="S140" s="196">
        <f>IF(AND(ISNUMBER(E140),ISNUMBER(Q140)),E140*R140,0)</f>
        <v/>
      </c>
      <c r="T140" s="192">
        <f>$BC140*V$11</f>
        <v/>
      </c>
      <c r="U140" s="76">
        <f>$BC140*W$11</f>
        <v/>
      </c>
      <c r="V140" s="193">
        <f>+SUM(T140:U140)</f>
        <v/>
      </c>
      <c r="W140" s="191" t="n"/>
      <c r="X140" s="170" t="n"/>
      <c r="Y140" s="76">
        <f>ROUND(IF(offer_incoterms="DDP",X140*(S140*(1+AW140)+T140),0),2)</f>
        <v/>
      </c>
      <c r="Z140" s="188" t="n"/>
      <c r="AA140" s="192">
        <f>IFERROR(AB140/E140,0)</f>
        <v/>
      </c>
      <c r="AB140" s="76">
        <f>ROUND(SUM(S140,V140,Y140:Z140,BA140:BB140),2)</f>
        <v/>
      </c>
      <c r="AC140" s="797" t="n"/>
      <c r="AD140" s="192">
        <f t="array" ref="AD140">IFERROR(ROUND((_xlfn.IFS(offer_sale_type="поставка",AB140,offer_sale_type="транзит",S140)*(1+AC140))/E140,2),0)</f>
        <v/>
      </c>
      <c r="AE140" s="76">
        <f>AD140*E140</f>
        <v/>
      </c>
      <c r="AF140" s="193">
        <f t="array" ref="AF140">IFERROR(ROUND(_xlfn.IFS(offer_sale_type="поставка",AB140,offer_sale_type="транзит",S140)*AC140,2),0)</f>
        <v/>
      </c>
      <c r="AG140" s="192">
        <f>$BD140*VLOOKUP($AG$3,$AF$4:$AG$7,2,FALSE)</f>
        <v/>
      </c>
      <c r="AH140" s="76">
        <f>SUM(AE140,AG140,AI140)*rate_forex_risk</f>
        <v/>
      </c>
      <c r="AI140" s="193">
        <f>IF(OR(seller_region="TR",offer_sale_type="экспорт"),0,rate_fin_comm)*SUM(AZ140,AZ140*AW140,T140)</f>
        <v/>
      </c>
      <c r="AJ140" s="118">
        <f>IFERROR(ROUND(SUM(AB140,AF140:AI140)/E140,2),0)</f>
        <v/>
      </c>
      <c r="AK140" s="76">
        <f>AJ140*E140</f>
        <v/>
      </c>
      <c r="AL140" s="174">
        <f>ROUND(IFERROR(AM140*E140,0),2)</f>
        <v/>
      </c>
      <c r="AM140" s="175">
        <f>ROUND(AJ140*(1+IF(offer_incoterms="DDP",IF((TODAY()+offer_turnaround_time)&gt;=helpsheet!$L$17,rate_vatRU_from_26,rate_vatRu_till_25),0)),2)</f>
        <v/>
      </c>
      <c r="AN140" s="192">
        <f>AL140-AK140</f>
        <v/>
      </c>
      <c r="AO140" s="76">
        <f>SUM(AY140,Y140:Z140,T140)*IF(AND(offer_incoterms="DDP",offer_sale_type&lt;&gt;"экспорт"),IF((TODAY()+offer_turnaround_time)&gt;=helpsheet!$L$17,rate_vatRU_from_26,rate_vatRu_till_25),0)</f>
        <v/>
      </c>
      <c r="AP140" s="193">
        <f>AN140-AO140</f>
        <v/>
      </c>
      <c r="AQ140" s="118">
        <f>IF(offer_sale_type="транзит",SUM(AF140:AI140,BA140,BB140),0)</f>
        <v/>
      </c>
      <c r="AR140" s="82">
        <f>HYPERLINK("https://www.alta.ru/tnved/code/")&amp;W140&amp;"/"</f>
        <v/>
      </c>
      <c r="AS140" s="157" t="n"/>
      <c r="AT140" s="162" t="n"/>
      <c r="AU140" s="76">
        <f>IF(ISBLANK(AT140),0,AJ140-AT140)</f>
        <v/>
      </c>
      <c r="AV140" s="157" t="n"/>
      <c r="AW140" s="75">
        <f>_xlfn.IFNA(VLOOKUP(L140,list_vat[],3,FALSE),0)</f>
        <v/>
      </c>
      <c r="AX140" s="76">
        <f>IFERROR(ROUND(S140*(1+AW140)/E140,2),0)</f>
        <v/>
      </c>
      <c r="AY140" s="76">
        <f>E140*AX140</f>
        <v/>
      </c>
      <c r="AZ140" s="192">
        <f>S140*(1+M140)</f>
        <v/>
      </c>
      <c r="BA140" s="76">
        <f>cost_fin_total*$BD140</f>
        <v/>
      </c>
      <c r="BB140" s="193">
        <f>credit_sales_interest*BD140</f>
        <v/>
      </c>
      <c r="BC140" s="102">
        <f>IFERROR(IF($I$13&gt;0,$I140/$I$13,$S140/$S$13),0)</f>
        <v/>
      </c>
      <c r="BD140" s="102">
        <f>IFERROR($S140/$S$13,0)</f>
        <v/>
      </c>
      <c r="BE140" s="413" t="inlineStr">
        <is>
          <t>$</t>
        </is>
      </c>
    </row>
    <row r="141" ht="12" customFormat="1" customHeight="1" s="65">
      <c r="A141" s="43" t="n">
        <v>126</v>
      </c>
      <c r="B141" s="166" t="n"/>
      <c r="C141" s="166" t="n"/>
      <c r="D141" s="166" t="n"/>
      <c r="E141" s="162" t="n"/>
      <c r="F141" s="166" t="n"/>
      <c r="G141" s="162" t="n"/>
      <c r="H141" s="162" t="n"/>
      <c r="I141" s="189">
        <f>E141*G141</f>
        <v/>
      </c>
      <c r="J141" s="195" t="n"/>
      <c r="K141" s="162" t="n"/>
      <c r="L141" s="168" t="n"/>
      <c r="M141" s="75">
        <f>_xlfn.XLOOKUP(L141,list_vat[Страна],list_vat[Ставка НДС %],0,0)</f>
        <v/>
      </c>
      <c r="N141" s="162">
        <f>IFERROR(IF(L141="Китай",K141,K141/(1+M141)),0)</f>
        <v/>
      </c>
      <c r="O141" s="169" t="n"/>
      <c r="P141" s="76">
        <f>N141*(1-O141)</f>
        <v/>
      </c>
      <c r="Q141" s="162" t="n"/>
      <c r="R141" s="162">
        <f>IF(ISBLANK(Q141),"введи курс",P141/Q141)</f>
        <v/>
      </c>
      <c r="S141" s="196">
        <f>IF(AND(ISNUMBER(E141),ISNUMBER(Q141)),E141*R141,0)</f>
        <v/>
      </c>
      <c r="T141" s="192">
        <f>$BC141*V$11</f>
        <v/>
      </c>
      <c r="U141" s="76">
        <f>$BC141*W$11</f>
        <v/>
      </c>
      <c r="V141" s="193">
        <f>+SUM(T141:U141)</f>
        <v/>
      </c>
      <c r="W141" s="191" t="n"/>
      <c r="X141" s="170" t="n"/>
      <c r="Y141" s="76">
        <f>ROUND(IF(offer_incoterms="DDP",X141*(S141*(1+AW141)+T141),0),2)</f>
        <v/>
      </c>
      <c r="Z141" s="188" t="n"/>
      <c r="AA141" s="192">
        <f>IFERROR(AB141/E141,0)</f>
        <v/>
      </c>
      <c r="AB141" s="76">
        <f>ROUND(SUM(S141,V141,Y141:Z141,BA141:BB141),2)</f>
        <v/>
      </c>
      <c r="AC141" s="797" t="n"/>
      <c r="AD141" s="192">
        <f t="array" ref="AD141">IFERROR(ROUND((_xlfn.IFS(offer_sale_type="поставка",AB141,offer_sale_type="транзит",S141)*(1+AC141))/E141,2),0)</f>
        <v/>
      </c>
      <c r="AE141" s="76">
        <f>AD141*E141</f>
        <v/>
      </c>
      <c r="AF141" s="193">
        <f t="array" ref="AF141">IFERROR(ROUND(_xlfn.IFS(offer_sale_type="поставка",AB141,offer_sale_type="транзит",S141)*AC141,2),0)</f>
        <v/>
      </c>
      <c r="AG141" s="192">
        <f>$BD141*VLOOKUP($AG$3,$AF$4:$AG$7,2,FALSE)</f>
        <v/>
      </c>
      <c r="AH141" s="76">
        <f>SUM(AE141,AG141,AI141)*rate_forex_risk</f>
        <v/>
      </c>
      <c r="AI141" s="193">
        <f>IF(OR(seller_region="TR",offer_sale_type="экспорт"),0,rate_fin_comm)*SUM(AZ141,AZ141*AW141,T141)</f>
        <v/>
      </c>
      <c r="AJ141" s="118">
        <f>IFERROR(ROUND(SUM(AB141,AF141:AI141)/E141,2),0)</f>
        <v/>
      </c>
      <c r="AK141" s="76">
        <f>AJ141*E141</f>
        <v/>
      </c>
      <c r="AL141" s="174">
        <f>ROUND(IFERROR(AM141*E141,0),2)</f>
        <v/>
      </c>
      <c r="AM141" s="175">
        <f>ROUND(AJ141*(1+IF(offer_incoterms="DDP",IF((TODAY()+offer_turnaround_time)&gt;=helpsheet!$L$17,rate_vatRU_from_26,rate_vatRu_till_25),0)),2)</f>
        <v/>
      </c>
      <c r="AN141" s="192">
        <f>AL141-AK141</f>
        <v/>
      </c>
      <c r="AO141" s="76">
        <f>SUM(AY141,Y141:Z141,T141)*IF(AND(offer_incoterms="DDP",offer_sale_type&lt;&gt;"экспорт"),IF((TODAY()+offer_turnaround_time)&gt;=helpsheet!$L$17,rate_vatRU_from_26,rate_vatRu_till_25),0)</f>
        <v/>
      </c>
      <c r="AP141" s="193">
        <f>AN141-AO141</f>
        <v/>
      </c>
      <c r="AQ141" s="118">
        <f>IF(offer_sale_type="транзит",SUM(AF141:AI141,BA141,BB141),0)</f>
        <v/>
      </c>
      <c r="AR141" s="82">
        <f>HYPERLINK("https://www.alta.ru/tnved/code/")&amp;W141&amp;"/"</f>
        <v/>
      </c>
      <c r="AS141" s="157" t="n"/>
      <c r="AT141" s="162" t="n"/>
      <c r="AU141" s="76">
        <f>IF(ISBLANK(AT141),0,AJ141-AT141)</f>
        <v/>
      </c>
      <c r="AV141" s="157" t="n"/>
      <c r="AW141" s="75">
        <f>_xlfn.IFNA(VLOOKUP(L141,list_vat[],3,FALSE),0)</f>
        <v/>
      </c>
      <c r="AX141" s="76">
        <f>IFERROR(ROUND(S141*(1+AW141)/E141,2),0)</f>
        <v/>
      </c>
      <c r="AY141" s="76">
        <f>E141*AX141</f>
        <v/>
      </c>
      <c r="AZ141" s="192">
        <f>S141*(1+M141)</f>
        <v/>
      </c>
      <c r="BA141" s="76">
        <f>cost_fin_total*$BD141</f>
        <v/>
      </c>
      <c r="BB141" s="193">
        <f>credit_sales_interest*BD141</f>
        <v/>
      </c>
      <c r="BC141" s="102">
        <f>IFERROR(IF($I$13&gt;0,$I141/$I$13,$S141/$S$13),0)</f>
        <v/>
      </c>
      <c r="BD141" s="102">
        <f>IFERROR($S141/$S$13,0)</f>
        <v/>
      </c>
      <c r="BE141" s="413" t="inlineStr">
        <is>
          <t>$</t>
        </is>
      </c>
    </row>
    <row r="142" ht="12" customFormat="1" customHeight="1" s="65">
      <c r="A142" s="43" t="n">
        <v>127</v>
      </c>
      <c r="B142" s="166" t="n"/>
      <c r="C142" s="166" t="n"/>
      <c r="D142" s="166" t="n"/>
      <c r="E142" s="162" t="n"/>
      <c r="F142" s="166" t="n"/>
      <c r="G142" s="162" t="n"/>
      <c r="H142" s="162" t="n"/>
      <c r="I142" s="189">
        <f>E142*G142</f>
        <v/>
      </c>
      <c r="J142" s="195" t="n"/>
      <c r="K142" s="162" t="n"/>
      <c r="L142" s="168" t="n"/>
      <c r="M142" s="75">
        <f>_xlfn.XLOOKUP(L142,list_vat[Страна],list_vat[Ставка НДС %],0,0)</f>
        <v/>
      </c>
      <c r="N142" s="162">
        <f>IFERROR(IF(L142="Китай",K142,K142/(1+M142)),0)</f>
        <v/>
      </c>
      <c r="O142" s="169" t="n"/>
      <c r="P142" s="76">
        <f>N142*(1-O142)</f>
        <v/>
      </c>
      <c r="Q142" s="162" t="n"/>
      <c r="R142" s="162">
        <f>IF(ISBLANK(Q142),"введи курс",P142/Q142)</f>
        <v/>
      </c>
      <c r="S142" s="196">
        <f>IF(AND(ISNUMBER(E142),ISNUMBER(Q142)),E142*R142,0)</f>
        <v/>
      </c>
      <c r="T142" s="192">
        <f>$BC142*V$11</f>
        <v/>
      </c>
      <c r="U142" s="76">
        <f>$BC142*W$11</f>
        <v/>
      </c>
      <c r="V142" s="193">
        <f>+SUM(T142:U142)</f>
        <v/>
      </c>
      <c r="W142" s="191" t="n"/>
      <c r="X142" s="170" t="n"/>
      <c r="Y142" s="76">
        <f>ROUND(IF(offer_incoterms="DDP",X142*(S142*(1+AW142)+T142),0),2)</f>
        <v/>
      </c>
      <c r="Z142" s="188" t="n"/>
      <c r="AA142" s="192">
        <f>IFERROR(AB142/E142,0)</f>
        <v/>
      </c>
      <c r="AB142" s="76">
        <f>ROUND(SUM(S142,V142,Y142:Z142,BA142:BB142),2)</f>
        <v/>
      </c>
      <c r="AC142" s="797" t="n"/>
      <c r="AD142" s="192">
        <f t="array" ref="AD142">IFERROR(ROUND((_xlfn.IFS(offer_sale_type="поставка",AB142,offer_sale_type="транзит",S142)*(1+AC142))/E142,2),0)</f>
        <v/>
      </c>
      <c r="AE142" s="76">
        <f>AD142*E142</f>
        <v/>
      </c>
      <c r="AF142" s="193">
        <f t="array" ref="AF142">IFERROR(ROUND(_xlfn.IFS(offer_sale_type="поставка",AB142,offer_sale_type="транзит",S142)*AC142,2),0)</f>
        <v/>
      </c>
      <c r="AG142" s="192">
        <f>$BD142*VLOOKUP($AG$3,$AF$4:$AG$7,2,FALSE)</f>
        <v/>
      </c>
      <c r="AH142" s="76">
        <f>SUM(AE142,AG142,AI142)*rate_forex_risk</f>
        <v/>
      </c>
      <c r="AI142" s="193">
        <f>IF(OR(seller_region="TR",offer_sale_type="экспорт"),0,rate_fin_comm)*SUM(AZ142,AZ142*AW142,T142)</f>
        <v/>
      </c>
      <c r="AJ142" s="118">
        <f>IFERROR(ROUND(SUM(AB142,AF142:AI142)/E142,2),0)</f>
        <v/>
      </c>
      <c r="AK142" s="76">
        <f>AJ142*E142</f>
        <v/>
      </c>
      <c r="AL142" s="174">
        <f>ROUND(IFERROR(AM142*E142,0),2)</f>
        <v/>
      </c>
      <c r="AM142" s="175">
        <f>ROUND(AJ142*(1+IF(offer_incoterms="DDP",IF((TODAY()+offer_turnaround_time)&gt;=helpsheet!$L$17,rate_vatRU_from_26,rate_vatRu_till_25),0)),2)</f>
        <v/>
      </c>
      <c r="AN142" s="192">
        <f>AL142-AK142</f>
        <v/>
      </c>
      <c r="AO142" s="76">
        <f>SUM(AY142,Y142:Z142,T142)*IF(AND(offer_incoterms="DDP",offer_sale_type&lt;&gt;"экспорт"),IF((TODAY()+offer_turnaround_time)&gt;=helpsheet!$L$17,rate_vatRU_from_26,rate_vatRu_till_25),0)</f>
        <v/>
      </c>
      <c r="AP142" s="193">
        <f>AN142-AO142</f>
        <v/>
      </c>
      <c r="AQ142" s="118">
        <f>IF(offer_sale_type="транзит",SUM(AF142:AI142,BA142,BB142),0)</f>
        <v/>
      </c>
      <c r="AR142" s="82">
        <f>HYPERLINK("https://www.alta.ru/tnved/code/")&amp;W142&amp;"/"</f>
        <v/>
      </c>
      <c r="AS142" s="157" t="n"/>
      <c r="AT142" s="162" t="n"/>
      <c r="AU142" s="76">
        <f>IF(ISBLANK(AT142),0,AJ142-AT142)</f>
        <v/>
      </c>
      <c r="AV142" s="157" t="n"/>
      <c r="AW142" s="75">
        <f>_xlfn.IFNA(VLOOKUP(L142,list_vat[],3,FALSE),0)</f>
        <v/>
      </c>
      <c r="AX142" s="76">
        <f>IFERROR(ROUND(S142*(1+AW142)/E142,2),0)</f>
        <v/>
      </c>
      <c r="AY142" s="76">
        <f>E142*AX142</f>
        <v/>
      </c>
      <c r="AZ142" s="192">
        <f>S142*(1+M142)</f>
        <v/>
      </c>
      <c r="BA142" s="76">
        <f>cost_fin_total*$BD142</f>
        <v/>
      </c>
      <c r="BB142" s="193">
        <f>credit_sales_interest*BD142</f>
        <v/>
      </c>
      <c r="BC142" s="102">
        <f>IFERROR(IF($I$13&gt;0,$I142/$I$13,$S142/$S$13),0)</f>
        <v/>
      </c>
      <c r="BD142" s="102">
        <f>IFERROR($S142/$S$13,0)</f>
        <v/>
      </c>
      <c r="BE142" s="413" t="inlineStr">
        <is>
          <t>$</t>
        </is>
      </c>
    </row>
    <row r="143" ht="12" customFormat="1" customHeight="1" s="65">
      <c r="A143" s="43" t="n">
        <v>128</v>
      </c>
      <c r="B143" s="166" t="n"/>
      <c r="C143" s="166" t="n"/>
      <c r="D143" s="166" t="n"/>
      <c r="E143" s="162" t="n"/>
      <c r="F143" s="166" t="n"/>
      <c r="G143" s="162" t="n"/>
      <c r="H143" s="162" t="n"/>
      <c r="I143" s="189">
        <f>E143*G143</f>
        <v/>
      </c>
      <c r="J143" s="195" t="n"/>
      <c r="K143" s="162" t="n"/>
      <c r="L143" s="168" t="n"/>
      <c r="M143" s="75">
        <f>_xlfn.XLOOKUP(L143,list_vat[Страна],list_vat[Ставка НДС %],0,0)</f>
        <v/>
      </c>
      <c r="N143" s="162">
        <f>IFERROR(IF(L143="Китай",K143,K143/(1+M143)),0)</f>
        <v/>
      </c>
      <c r="O143" s="169" t="n"/>
      <c r="P143" s="76">
        <f>N143*(1-O143)</f>
        <v/>
      </c>
      <c r="Q143" s="162" t="n"/>
      <c r="R143" s="162">
        <f>IF(ISBLANK(Q143),"введи курс",P143/Q143)</f>
        <v/>
      </c>
      <c r="S143" s="196">
        <f>IF(AND(ISNUMBER(E143),ISNUMBER(Q143)),E143*R143,0)</f>
        <v/>
      </c>
      <c r="T143" s="192">
        <f>$BC143*V$11</f>
        <v/>
      </c>
      <c r="U143" s="76">
        <f>$BC143*W$11</f>
        <v/>
      </c>
      <c r="V143" s="193">
        <f>+SUM(T143:U143)</f>
        <v/>
      </c>
      <c r="W143" s="191" t="n"/>
      <c r="X143" s="170" t="n"/>
      <c r="Y143" s="76">
        <f>ROUND(IF(offer_incoterms="DDP",X143*(S143*(1+AW143)+T143),0),2)</f>
        <v/>
      </c>
      <c r="Z143" s="188" t="n"/>
      <c r="AA143" s="192">
        <f>IFERROR(AB143/E143,0)</f>
        <v/>
      </c>
      <c r="AB143" s="76">
        <f>ROUND(SUM(S143,V143,Y143:Z143,BA143:BB143),2)</f>
        <v/>
      </c>
      <c r="AC143" s="797" t="n"/>
      <c r="AD143" s="192">
        <f t="array" ref="AD143">IFERROR(ROUND((_xlfn.IFS(offer_sale_type="поставка",AB143,offer_sale_type="транзит",S143)*(1+AC143))/E143,2),0)</f>
        <v/>
      </c>
      <c r="AE143" s="76">
        <f>AD143*E143</f>
        <v/>
      </c>
      <c r="AF143" s="193">
        <f t="array" ref="AF143">IFERROR(ROUND(_xlfn.IFS(offer_sale_type="поставка",AB143,offer_sale_type="транзит",S143)*AC143,2),0)</f>
        <v/>
      </c>
      <c r="AG143" s="192">
        <f>$BD143*VLOOKUP($AG$3,$AF$4:$AG$7,2,FALSE)</f>
        <v/>
      </c>
      <c r="AH143" s="76">
        <f>SUM(AE143,AG143,AI143)*rate_forex_risk</f>
        <v/>
      </c>
      <c r="AI143" s="193">
        <f>IF(OR(seller_region="TR",offer_sale_type="экспорт"),0,rate_fin_comm)*SUM(AZ143,AZ143*AW143,T143)</f>
        <v/>
      </c>
      <c r="AJ143" s="118">
        <f>IFERROR(ROUND(SUM(AB143,AF143:AI143)/E143,2),0)</f>
        <v/>
      </c>
      <c r="AK143" s="76">
        <f>AJ143*E143</f>
        <v/>
      </c>
      <c r="AL143" s="174">
        <f>ROUND(IFERROR(AM143*E143,0),2)</f>
        <v/>
      </c>
      <c r="AM143" s="175">
        <f>ROUND(AJ143*(1+IF(offer_incoterms="DDP",IF((TODAY()+offer_turnaround_time)&gt;=helpsheet!$L$17,rate_vatRU_from_26,rate_vatRu_till_25),0)),2)</f>
        <v/>
      </c>
      <c r="AN143" s="192">
        <f>AL143-AK143</f>
        <v/>
      </c>
      <c r="AO143" s="76">
        <f>SUM(AY143,Y143:Z143,T143)*IF(AND(offer_incoterms="DDP",offer_sale_type&lt;&gt;"экспорт"),IF((TODAY()+offer_turnaround_time)&gt;=helpsheet!$L$17,rate_vatRU_from_26,rate_vatRu_till_25),0)</f>
        <v/>
      </c>
      <c r="AP143" s="193">
        <f>AN143-AO143</f>
        <v/>
      </c>
      <c r="AQ143" s="118">
        <f>IF(offer_sale_type="транзит",SUM(AF143:AI143,BA143,BB143),0)</f>
        <v/>
      </c>
      <c r="AR143" s="82">
        <f>HYPERLINK("https://www.alta.ru/tnved/code/")&amp;W143&amp;"/"</f>
        <v/>
      </c>
      <c r="AS143" s="157" t="n"/>
      <c r="AT143" s="162" t="n"/>
      <c r="AU143" s="76">
        <f>IF(ISBLANK(AT143),0,AJ143-AT143)</f>
        <v/>
      </c>
      <c r="AV143" s="157" t="n"/>
      <c r="AW143" s="75">
        <f>_xlfn.IFNA(VLOOKUP(L143,list_vat[],3,FALSE),0)</f>
        <v/>
      </c>
      <c r="AX143" s="76">
        <f>IFERROR(ROUND(S143*(1+AW143)/E143,2),0)</f>
        <v/>
      </c>
      <c r="AY143" s="76">
        <f>E143*AX143</f>
        <v/>
      </c>
      <c r="AZ143" s="192">
        <f>S143*(1+M143)</f>
        <v/>
      </c>
      <c r="BA143" s="76">
        <f>cost_fin_total*$BD143</f>
        <v/>
      </c>
      <c r="BB143" s="193">
        <f>credit_sales_interest*BD143</f>
        <v/>
      </c>
      <c r="BC143" s="102">
        <f>IFERROR(IF($I$13&gt;0,$I143/$I$13,$S143/$S$13),0)</f>
        <v/>
      </c>
      <c r="BD143" s="102">
        <f>IFERROR($S143/$S$13,0)</f>
        <v/>
      </c>
      <c r="BE143" s="413" t="inlineStr">
        <is>
          <t>$</t>
        </is>
      </c>
    </row>
    <row r="144" ht="12" customFormat="1" customHeight="1" s="65">
      <c r="A144" s="43" t="n">
        <v>129</v>
      </c>
      <c r="B144" s="166" t="n"/>
      <c r="C144" s="166" t="n"/>
      <c r="D144" s="166" t="n"/>
      <c r="E144" s="162" t="n"/>
      <c r="F144" s="166" t="n"/>
      <c r="G144" s="162" t="n"/>
      <c r="H144" s="162" t="n"/>
      <c r="I144" s="189">
        <f>E144*G144</f>
        <v/>
      </c>
      <c r="J144" s="195" t="n"/>
      <c r="K144" s="162" t="n"/>
      <c r="L144" s="168" t="n"/>
      <c r="M144" s="75">
        <f>_xlfn.XLOOKUP(L144,list_vat[Страна],list_vat[Ставка НДС %],0,0)</f>
        <v/>
      </c>
      <c r="N144" s="162">
        <f>IFERROR(IF(L144="Китай",K144,K144/(1+M144)),0)</f>
        <v/>
      </c>
      <c r="O144" s="169" t="n"/>
      <c r="P144" s="76">
        <f>N144*(1-O144)</f>
        <v/>
      </c>
      <c r="Q144" s="162" t="n"/>
      <c r="R144" s="162">
        <f>IF(ISBLANK(Q144),"введи курс",P144/Q144)</f>
        <v/>
      </c>
      <c r="S144" s="196">
        <f>IF(AND(ISNUMBER(E144),ISNUMBER(Q144)),E144*R144,0)</f>
        <v/>
      </c>
      <c r="T144" s="192">
        <f>$BC144*V$11</f>
        <v/>
      </c>
      <c r="U144" s="76">
        <f>$BC144*W$11</f>
        <v/>
      </c>
      <c r="V144" s="193">
        <f>+SUM(T144:U144)</f>
        <v/>
      </c>
      <c r="W144" s="191" t="n"/>
      <c r="X144" s="170" t="n"/>
      <c r="Y144" s="76">
        <f>ROUND(IF(offer_incoterms="DDP",X144*(S144*(1+AW144)+T144),0),2)</f>
        <v/>
      </c>
      <c r="Z144" s="188" t="n"/>
      <c r="AA144" s="192">
        <f>IFERROR(AB144/E144,0)</f>
        <v/>
      </c>
      <c r="AB144" s="76">
        <f>ROUND(SUM(S144,V144,Y144:Z144,BA144:BB144),2)</f>
        <v/>
      </c>
      <c r="AC144" s="797" t="n"/>
      <c r="AD144" s="192">
        <f t="array" ref="AD144">IFERROR(ROUND((_xlfn.IFS(offer_sale_type="поставка",AB144,offer_sale_type="транзит",S144)*(1+AC144))/E144,2),0)</f>
        <v/>
      </c>
      <c r="AE144" s="76">
        <f>AD144*E144</f>
        <v/>
      </c>
      <c r="AF144" s="193">
        <f t="array" ref="AF144">IFERROR(ROUND(_xlfn.IFS(offer_sale_type="поставка",AB144,offer_sale_type="транзит",S144)*AC144,2),0)</f>
        <v/>
      </c>
      <c r="AG144" s="192">
        <f>$BD144*VLOOKUP($AG$3,$AF$4:$AG$7,2,FALSE)</f>
        <v/>
      </c>
      <c r="AH144" s="76">
        <f>SUM(AE144,AG144,AI144)*rate_forex_risk</f>
        <v/>
      </c>
      <c r="AI144" s="193">
        <f>IF(OR(seller_region="TR",offer_sale_type="экспорт"),0,rate_fin_comm)*SUM(AZ144,AZ144*AW144,T144)</f>
        <v/>
      </c>
      <c r="AJ144" s="118">
        <f>IFERROR(ROUND(SUM(AB144,AF144:AI144)/E144,2),0)</f>
        <v/>
      </c>
      <c r="AK144" s="76">
        <f>AJ144*E144</f>
        <v/>
      </c>
      <c r="AL144" s="174">
        <f>ROUND(IFERROR(AM144*E144,0),2)</f>
        <v/>
      </c>
      <c r="AM144" s="175">
        <f>ROUND(AJ144*(1+IF(offer_incoterms="DDP",IF((TODAY()+offer_turnaround_time)&gt;=helpsheet!$L$17,rate_vatRU_from_26,rate_vatRu_till_25),0)),2)</f>
        <v/>
      </c>
      <c r="AN144" s="192">
        <f>AL144-AK144</f>
        <v/>
      </c>
      <c r="AO144" s="76">
        <f>SUM(AY144,Y144:Z144,T144)*IF(AND(offer_incoterms="DDP",offer_sale_type&lt;&gt;"экспорт"),IF((TODAY()+offer_turnaround_time)&gt;=helpsheet!$L$17,rate_vatRU_from_26,rate_vatRu_till_25),0)</f>
        <v/>
      </c>
      <c r="AP144" s="193">
        <f>AN144-AO144</f>
        <v/>
      </c>
      <c r="AQ144" s="118">
        <f>IF(offer_sale_type="транзит",SUM(AF144:AI144,BA144,BB144),0)</f>
        <v/>
      </c>
      <c r="AR144" s="82">
        <f>HYPERLINK("https://www.alta.ru/tnved/code/")&amp;W144&amp;"/"</f>
        <v/>
      </c>
      <c r="AS144" s="157" t="n"/>
      <c r="AT144" s="162" t="n"/>
      <c r="AU144" s="76">
        <f>IF(ISBLANK(AT144),0,AJ144-AT144)</f>
        <v/>
      </c>
      <c r="AV144" s="157" t="n"/>
      <c r="AW144" s="75">
        <f>_xlfn.IFNA(VLOOKUP(L144,list_vat[],3,FALSE),0)</f>
        <v/>
      </c>
      <c r="AX144" s="76">
        <f>IFERROR(ROUND(S144*(1+AW144)/E144,2),0)</f>
        <v/>
      </c>
      <c r="AY144" s="76">
        <f>E144*AX144</f>
        <v/>
      </c>
      <c r="AZ144" s="192">
        <f>S144*(1+M144)</f>
        <v/>
      </c>
      <c r="BA144" s="76">
        <f>cost_fin_total*$BD144</f>
        <v/>
      </c>
      <c r="BB144" s="193">
        <f>credit_sales_interest*BD144</f>
        <v/>
      </c>
      <c r="BC144" s="102">
        <f>IFERROR(IF($I$13&gt;0,$I144/$I$13,$S144/$S$13),0)</f>
        <v/>
      </c>
      <c r="BD144" s="102">
        <f>IFERROR($S144/$S$13,0)</f>
        <v/>
      </c>
      <c r="BE144" s="413" t="inlineStr">
        <is>
          <t>$</t>
        </is>
      </c>
    </row>
    <row r="145" ht="12" customFormat="1" customHeight="1" s="65">
      <c r="A145" s="43" t="n">
        <v>130</v>
      </c>
      <c r="B145" s="166" t="n"/>
      <c r="C145" s="166" t="n"/>
      <c r="D145" s="166" t="n"/>
      <c r="E145" s="162" t="n"/>
      <c r="F145" s="166" t="n"/>
      <c r="G145" s="162" t="n"/>
      <c r="H145" s="162" t="n"/>
      <c r="I145" s="189">
        <f>E145*G145</f>
        <v/>
      </c>
      <c r="J145" s="195" t="n"/>
      <c r="K145" s="162" t="n"/>
      <c r="L145" s="168" t="n"/>
      <c r="M145" s="75">
        <f>_xlfn.XLOOKUP(L145,list_vat[Страна],list_vat[Ставка НДС %],0,0)</f>
        <v/>
      </c>
      <c r="N145" s="162">
        <f>IFERROR(IF(L145="Китай",K145,K145/(1+M145)),0)</f>
        <v/>
      </c>
      <c r="O145" s="169" t="n"/>
      <c r="P145" s="76">
        <f>N145*(1-O145)</f>
        <v/>
      </c>
      <c r="Q145" s="162" t="n"/>
      <c r="R145" s="162">
        <f>IF(ISBLANK(Q145),"введи курс",P145/Q145)</f>
        <v/>
      </c>
      <c r="S145" s="196">
        <f>IF(AND(ISNUMBER(E145),ISNUMBER(Q145)),E145*R145,0)</f>
        <v/>
      </c>
      <c r="T145" s="192">
        <f>$BC145*V$11</f>
        <v/>
      </c>
      <c r="U145" s="76">
        <f>$BC145*W$11</f>
        <v/>
      </c>
      <c r="V145" s="193">
        <f>+SUM(T145:U145)</f>
        <v/>
      </c>
      <c r="W145" s="191" t="n"/>
      <c r="X145" s="170" t="n"/>
      <c r="Y145" s="76">
        <f>ROUND(IF(offer_incoterms="DDP",X145*(S145*(1+AW145)+T145),0),2)</f>
        <v/>
      </c>
      <c r="Z145" s="188" t="n"/>
      <c r="AA145" s="192">
        <f>IFERROR(AB145/E145,0)</f>
        <v/>
      </c>
      <c r="AB145" s="76">
        <f>ROUND(SUM(S145,V145,Y145:Z145,BA145:BB145),2)</f>
        <v/>
      </c>
      <c r="AC145" s="797" t="n"/>
      <c r="AD145" s="192">
        <f t="array" ref="AD145">IFERROR(ROUND((_xlfn.IFS(offer_sale_type="поставка",AB145,offer_sale_type="транзит",S145)*(1+AC145))/E145,2),0)</f>
        <v/>
      </c>
      <c r="AE145" s="76">
        <f>AD145*E145</f>
        <v/>
      </c>
      <c r="AF145" s="193">
        <f t="array" ref="AF145">IFERROR(ROUND(_xlfn.IFS(offer_sale_type="поставка",AB145,offer_sale_type="транзит",S145)*AC145,2),0)</f>
        <v/>
      </c>
      <c r="AG145" s="192">
        <f>$BD145*VLOOKUP($AG$3,$AF$4:$AG$7,2,FALSE)</f>
        <v/>
      </c>
      <c r="AH145" s="76">
        <f>SUM(AE145,AG145,AI145)*rate_forex_risk</f>
        <v/>
      </c>
      <c r="AI145" s="193">
        <f>IF(OR(seller_region="TR",offer_sale_type="экспорт"),0,rate_fin_comm)*SUM(AZ145,AZ145*AW145,T145)</f>
        <v/>
      </c>
      <c r="AJ145" s="118">
        <f>IFERROR(ROUND(SUM(AB145,AF145:AI145)/E145,2),0)</f>
        <v/>
      </c>
      <c r="AK145" s="76">
        <f>AJ145*E145</f>
        <v/>
      </c>
      <c r="AL145" s="174">
        <f>ROUND(IFERROR(AM145*E145,0),2)</f>
        <v/>
      </c>
      <c r="AM145" s="175">
        <f>ROUND(AJ145*(1+IF(offer_incoterms="DDP",IF((TODAY()+offer_turnaround_time)&gt;=helpsheet!$L$17,rate_vatRU_from_26,rate_vatRu_till_25),0)),2)</f>
        <v/>
      </c>
      <c r="AN145" s="192">
        <f>AL145-AK145</f>
        <v/>
      </c>
      <c r="AO145" s="76">
        <f>SUM(AY145,Y145:Z145,T145)*IF(AND(offer_incoterms="DDP",offer_sale_type&lt;&gt;"экспорт"),IF((TODAY()+offer_turnaround_time)&gt;=helpsheet!$L$17,rate_vatRU_from_26,rate_vatRu_till_25),0)</f>
        <v/>
      </c>
      <c r="AP145" s="193">
        <f>AN145-AO145</f>
        <v/>
      </c>
      <c r="AQ145" s="118">
        <f>IF(offer_sale_type="транзит",SUM(AF145:AI145,BA145,BB145),0)</f>
        <v/>
      </c>
      <c r="AR145" s="82">
        <f>HYPERLINK("https://www.alta.ru/tnved/code/")&amp;W145&amp;"/"</f>
        <v/>
      </c>
      <c r="AS145" s="157" t="n"/>
      <c r="AT145" s="162" t="n"/>
      <c r="AU145" s="76">
        <f>IF(ISBLANK(AT145),0,AJ145-AT145)</f>
        <v/>
      </c>
      <c r="AV145" s="157" t="n"/>
      <c r="AW145" s="75">
        <f>_xlfn.IFNA(VLOOKUP(L145,list_vat[],3,FALSE),0)</f>
        <v/>
      </c>
      <c r="AX145" s="76">
        <f>IFERROR(ROUND(S145*(1+AW145)/E145,2),0)</f>
        <v/>
      </c>
      <c r="AY145" s="76">
        <f>E145*AX145</f>
        <v/>
      </c>
      <c r="AZ145" s="192">
        <f>S145*(1+M145)</f>
        <v/>
      </c>
      <c r="BA145" s="76">
        <f>cost_fin_total*$BD145</f>
        <v/>
      </c>
      <c r="BB145" s="193">
        <f>credit_sales_interest*BD145</f>
        <v/>
      </c>
      <c r="BC145" s="102">
        <f>IFERROR(IF($I$13&gt;0,$I145/$I$13,$S145/$S$13),0)</f>
        <v/>
      </c>
      <c r="BD145" s="102">
        <f>IFERROR($S145/$S$13,0)</f>
        <v/>
      </c>
      <c r="BE145" s="413" t="inlineStr">
        <is>
          <t>$</t>
        </is>
      </c>
    </row>
    <row r="146" ht="12" customFormat="1" customHeight="1" s="65">
      <c r="A146" s="43" t="n">
        <v>131</v>
      </c>
      <c r="B146" s="166" t="n"/>
      <c r="C146" s="166" t="n"/>
      <c r="D146" s="166" t="n"/>
      <c r="E146" s="162" t="n"/>
      <c r="F146" s="166" t="n"/>
      <c r="G146" s="162" t="n"/>
      <c r="H146" s="162" t="n"/>
      <c r="I146" s="189">
        <f>E146*G146</f>
        <v/>
      </c>
      <c r="J146" s="195" t="n"/>
      <c r="K146" s="162" t="n"/>
      <c r="L146" s="168" t="n"/>
      <c r="M146" s="75">
        <f>_xlfn.XLOOKUP(L146,list_vat[Страна],list_vat[Ставка НДС %],0,0)</f>
        <v/>
      </c>
      <c r="N146" s="162">
        <f>IFERROR(IF(L146="Китай",K146,K146/(1+M146)),0)</f>
        <v/>
      </c>
      <c r="O146" s="169" t="n"/>
      <c r="P146" s="76">
        <f>N146*(1-O146)</f>
        <v/>
      </c>
      <c r="Q146" s="162" t="n"/>
      <c r="R146" s="162">
        <f>IF(ISBLANK(Q146),"введи курс",P146/Q146)</f>
        <v/>
      </c>
      <c r="S146" s="196">
        <f>IF(AND(ISNUMBER(E146),ISNUMBER(Q146)),E146*R146,0)</f>
        <v/>
      </c>
      <c r="T146" s="192">
        <f>$BC146*V$11</f>
        <v/>
      </c>
      <c r="U146" s="76">
        <f>$BC146*W$11</f>
        <v/>
      </c>
      <c r="V146" s="193">
        <f>+SUM(T146:U146)</f>
        <v/>
      </c>
      <c r="W146" s="191" t="n"/>
      <c r="X146" s="170" t="n"/>
      <c r="Y146" s="76">
        <f>ROUND(IF(offer_incoterms="DDP",X146*(S146*(1+AW146)+T146),0),2)</f>
        <v/>
      </c>
      <c r="Z146" s="188" t="n"/>
      <c r="AA146" s="192">
        <f>IFERROR(AB146/E146,0)</f>
        <v/>
      </c>
      <c r="AB146" s="76">
        <f>ROUND(SUM(S146,V146,Y146:Z146,BA146:BB146),2)</f>
        <v/>
      </c>
      <c r="AC146" s="797" t="n"/>
      <c r="AD146" s="192">
        <f t="array" ref="AD146">IFERROR(ROUND((_xlfn.IFS(offer_sale_type="поставка",AB146,offer_sale_type="транзит",S146)*(1+AC146))/E146,2),0)</f>
        <v/>
      </c>
      <c r="AE146" s="76">
        <f>AD146*E146</f>
        <v/>
      </c>
      <c r="AF146" s="193">
        <f t="array" ref="AF146">IFERROR(ROUND(_xlfn.IFS(offer_sale_type="поставка",AB146,offer_sale_type="транзит",S146)*AC146,2),0)</f>
        <v/>
      </c>
      <c r="AG146" s="192">
        <f>$BD146*VLOOKUP($AG$3,$AF$4:$AG$7,2,FALSE)</f>
        <v/>
      </c>
      <c r="AH146" s="76">
        <f>SUM(AE146,AG146,AI146)*rate_forex_risk</f>
        <v/>
      </c>
      <c r="AI146" s="193">
        <f>IF(OR(seller_region="TR",offer_sale_type="экспорт"),0,rate_fin_comm)*SUM(AZ146,AZ146*AW146,T146)</f>
        <v/>
      </c>
      <c r="AJ146" s="118">
        <f>IFERROR(ROUND(SUM(AB146,AF146:AI146)/E146,2),0)</f>
        <v/>
      </c>
      <c r="AK146" s="76">
        <f>AJ146*E146</f>
        <v/>
      </c>
      <c r="AL146" s="174">
        <f>ROUND(IFERROR(AM146*E146,0),2)</f>
        <v/>
      </c>
      <c r="AM146" s="175">
        <f>ROUND(AJ146*(1+IF(offer_incoterms="DDP",IF((TODAY()+offer_turnaround_time)&gt;=helpsheet!$L$17,rate_vatRU_from_26,rate_vatRu_till_25),0)),2)</f>
        <v/>
      </c>
      <c r="AN146" s="192">
        <f>AL146-AK146</f>
        <v/>
      </c>
      <c r="AO146" s="76">
        <f>SUM(AY146,Y146:Z146,T146)*IF(AND(offer_incoterms="DDP",offer_sale_type&lt;&gt;"экспорт"),IF((TODAY()+offer_turnaround_time)&gt;=helpsheet!$L$17,rate_vatRU_from_26,rate_vatRu_till_25),0)</f>
        <v/>
      </c>
      <c r="AP146" s="193">
        <f>AN146-AO146</f>
        <v/>
      </c>
      <c r="AQ146" s="118">
        <f>IF(offer_sale_type="транзит",SUM(AF146:AI146,BA146,BB146),0)</f>
        <v/>
      </c>
      <c r="AR146" s="82">
        <f>HYPERLINK("https://www.alta.ru/tnved/code/")&amp;W146&amp;"/"</f>
        <v/>
      </c>
      <c r="AS146" s="157" t="n"/>
      <c r="AT146" s="162" t="n"/>
      <c r="AU146" s="76">
        <f>IF(ISBLANK(AT146),0,AJ146-AT146)</f>
        <v/>
      </c>
      <c r="AV146" s="157" t="n"/>
      <c r="AW146" s="75">
        <f>_xlfn.IFNA(VLOOKUP(L146,list_vat[],3,FALSE),0)</f>
        <v/>
      </c>
      <c r="AX146" s="76">
        <f>IFERROR(ROUND(S146*(1+AW146)/E146,2),0)</f>
        <v/>
      </c>
      <c r="AY146" s="76">
        <f>E146*AX146</f>
        <v/>
      </c>
      <c r="AZ146" s="192">
        <f>S146*(1+M146)</f>
        <v/>
      </c>
      <c r="BA146" s="76">
        <f>cost_fin_total*$BD146</f>
        <v/>
      </c>
      <c r="BB146" s="193">
        <f>credit_sales_interest*BD146</f>
        <v/>
      </c>
      <c r="BC146" s="102">
        <f>IFERROR(IF($I$13&gt;0,$I146/$I$13,$S146/$S$13),0)</f>
        <v/>
      </c>
      <c r="BD146" s="102">
        <f>IFERROR($S146/$S$13,0)</f>
        <v/>
      </c>
      <c r="BE146" s="413" t="inlineStr">
        <is>
          <t>$</t>
        </is>
      </c>
    </row>
    <row r="147" ht="12" customFormat="1" customHeight="1" s="65">
      <c r="A147" s="43" t="n">
        <v>132</v>
      </c>
      <c r="B147" s="166" t="n"/>
      <c r="C147" s="166" t="n"/>
      <c r="D147" s="166" t="n"/>
      <c r="E147" s="162" t="n"/>
      <c r="F147" s="166" t="n"/>
      <c r="G147" s="162" t="n"/>
      <c r="H147" s="162" t="n"/>
      <c r="I147" s="189">
        <f>E147*G147</f>
        <v/>
      </c>
      <c r="J147" s="195" t="n"/>
      <c r="K147" s="162" t="n"/>
      <c r="L147" s="168" t="n"/>
      <c r="M147" s="75">
        <f>_xlfn.XLOOKUP(L147,list_vat[Страна],list_vat[Ставка НДС %],0,0)</f>
        <v/>
      </c>
      <c r="N147" s="162">
        <f>IFERROR(IF(L147="Китай",K147,K147/(1+M147)),0)</f>
        <v/>
      </c>
      <c r="O147" s="169" t="n"/>
      <c r="P147" s="76">
        <f>N147*(1-O147)</f>
        <v/>
      </c>
      <c r="Q147" s="162" t="n"/>
      <c r="R147" s="162">
        <f>IF(ISBLANK(Q147),"введи курс",P147/Q147)</f>
        <v/>
      </c>
      <c r="S147" s="196">
        <f>IF(AND(ISNUMBER(E147),ISNUMBER(Q147)),E147*R147,0)</f>
        <v/>
      </c>
      <c r="T147" s="192">
        <f>$BC147*V$11</f>
        <v/>
      </c>
      <c r="U147" s="76">
        <f>$BC147*W$11</f>
        <v/>
      </c>
      <c r="V147" s="193">
        <f>+SUM(T147:U147)</f>
        <v/>
      </c>
      <c r="W147" s="191" t="n"/>
      <c r="X147" s="170" t="n"/>
      <c r="Y147" s="76">
        <f>ROUND(IF(offer_incoterms="DDP",X147*(S147*(1+AW147)+T147),0),2)</f>
        <v/>
      </c>
      <c r="Z147" s="188" t="n"/>
      <c r="AA147" s="192">
        <f>IFERROR(AB147/E147,0)</f>
        <v/>
      </c>
      <c r="AB147" s="76">
        <f>ROUND(SUM(S147,V147,Y147:Z147,BA147:BB147),2)</f>
        <v/>
      </c>
      <c r="AC147" s="797" t="n"/>
      <c r="AD147" s="192">
        <f t="array" ref="AD147">IFERROR(ROUND((_xlfn.IFS(offer_sale_type="поставка",AB147,offer_sale_type="транзит",S147)*(1+AC147))/E147,2),0)</f>
        <v/>
      </c>
      <c r="AE147" s="76">
        <f>AD147*E147</f>
        <v/>
      </c>
      <c r="AF147" s="193">
        <f t="array" ref="AF147">IFERROR(ROUND(_xlfn.IFS(offer_sale_type="поставка",AB147,offer_sale_type="транзит",S147)*AC147,2),0)</f>
        <v/>
      </c>
      <c r="AG147" s="192">
        <f>$BD147*VLOOKUP($AG$3,$AF$4:$AG$7,2,FALSE)</f>
        <v/>
      </c>
      <c r="AH147" s="76">
        <f>SUM(AE147,AG147,AI147)*rate_forex_risk</f>
        <v/>
      </c>
      <c r="AI147" s="193">
        <f>IF(OR(seller_region="TR",offer_sale_type="экспорт"),0,rate_fin_comm)*SUM(AZ147,AZ147*AW147,T147)</f>
        <v/>
      </c>
      <c r="AJ147" s="118">
        <f>IFERROR(ROUND(SUM(AB147,AF147:AI147)/E147,2),0)</f>
        <v/>
      </c>
      <c r="AK147" s="76">
        <f>AJ147*E147</f>
        <v/>
      </c>
      <c r="AL147" s="174">
        <f>ROUND(IFERROR(AM147*E147,0),2)</f>
        <v/>
      </c>
      <c r="AM147" s="175">
        <f>ROUND(AJ147*(1+IF(offer_incoterms="DDP",IF((TODAY()+offer_turnaround_time)&gt;=helpsheet!$L$17,rate_vatRU_from_26,rate_vatRu_till_25),0)),2)</f>
        <v/>
      </c>
      <c r="AN147" s="192">
        <f>AL147-AK147</f>
        <v/>
      </c>
      <c r="AO147" s="76">
        <f>SUM(AY147,Y147:Z147,T147)*IF(AND(offer_incoterms="DDP",offer_sale_type&lt;&gt;"экспорт"),IF((TODAY()+offer_turnaround_time)&gt;=helpsheet!$L$17,rate_vatRU_from_26,rate_vatRu_till_25),0)</f>
        <v/>
      </c>
      <c r="AP147" s="193">
        <f>AN147-AO147</f>
        <v/>
      </c>
      <c r="AQ147" s="118">
        <f>IF(offer_sale_type="транзит",SUM(AF147:AI147,BA147,BB147),0)</f>
        <v/>
      </c>
      <c r="AR147" s="82">
        <f>HYPERLINK("https://www.alta.ru/tnved/code/")&amp;W147&amp;"/"</f>
        <v/>
      </c>
      <c r="AS147" s="157" t="n"/>
      <c r="AT147" s="162" t="n"/>
      <c r="AU147" s="76">
        <f>IF(ISBLANK(AT147),0,AJ147-AT147)</f>
        <v/>
      </c>
      <c r="AV147" s="157" t="n"/>
      <c r="AW147" s="75">
        <f>_xlfn.IFNA(VLOOKUP(L147,list_vat[],3,FALSE),0)</f>
        <v/>
      </c>
      <c r="AX147" s="76">
        <f>IFERROR(ROUND(S147*(1+AW147)/E147,2),0)</f>
        <v/>
      </c>
      <c r="AY147" s="76">
        <f>E147*AX147</f>
        <v/>
      </c>
      <c r="AZ147" s="192">
        <f>S147*(1+M147)</f>
        <v/>
      </c>
      <c r="BA147" s="76">
        <f>cost_fin_total*$BD147</f>
        <v/>
      </c>
      <c r="BB147" s="193">
        <f>credit_sales_interest*BD147</f>
        <v/>
      </c>
      <c r="BC147" s="102">
        <f>IFERROR(IF($I$13&gt;0,$I147/$I$13,$S147/$S$13),0)</f>
        <v/>
      </c>
      <c r="BD147" s="102">
        <f>IFERROR($S147/$S$13,0)</f>
        <v/>
      </c>
      <c r="BE147" s="413" t="inlineStr">
        <is>
          <t>$</t>
        </is>
      </c>
    </row>
    <row r="148" ht="12" customFormat="1" customHeight="1" s="65">
      <c r="A148" s="43" t="n">
        <v>133</v>
      </c>
      <c r="B148" s="166" t="n"/>
      <c r="C148" s="166" t="n"/>
      <c r="D148" s="166" t="n"/>
      <c r="E148" s="162" t="n"/>
      <c r="F148" s="166" t="n"/>
      <c r="G148" s="162" t="n"/>
      <c r="H148" s="162" t="n"/>
      <c r="I148" s="189">
        <f>E148*G148</f>
        <v/>
      </c>
      <c r="J148" s="195" t="n"/>
      <c r="K148" s="162" t="n"/>
      <c r="L148" s="168" t="n"/>
      <c r="M148" s="75">
        <f>_xlfn.XLOOKUP(L148,list_vat[Страна],list_vat[Ставка НДС %],0,0)</f>
        <v/>
      </c>
      <c r="N148" s="162">
        <f>IFERROR(IF(L148="Китай",K148,K148/(1+M148)),0)</f>
        <v/>
      </c>
      <c r="O148" s="169" t="n"/>
      <c r="P148" s="76">
        <f>N148*(1-O148)</f>
        <v/>
      </c>
      <c r="Q148" s="162" t="n"/>
      <c r="R148" s="162">
        <f>IF(ISBLANK(Q148),"введи курс",P148/Q148)</f>
        <v/>
      </c>
      <c r="S148" s="196">
        <f>IF(AND(ISNUMBER(E148),ISNUMBER(Q148)),E148*R148,0)</f>
        <v/>
      </c>
      <c r="T148" s="192">
        <f>$BC148*V$11</f>
        <v/>
      </c>
      <c r="U148" s="76">
        <f>$BC148*W$11</f>
        <v/>
      </c>
      <c r="V148" s="193">
        <f>+SUM(T148:U148)</f>
        <v/>
      </c>
      <c r="W148" s="191" t="n"/>
      <c r="X148" s="170" t="n"/>
      <c r="Y148" s="76">
        <f>ROUND(IF(offer_incoterms="DDP",X148*(S148*(1+AW148)+T148),0),2)</f>
        <v/>
      </c>
      <c r="Z148" s="188" t="n"/>
      <c r="AA148" s="192">
        <f>IFERROR(AB148/E148,0)</f>
        <v/>
      </c>
      <c r="AB148" s="76">
        <f>ROUND(SUM(S148,V148,Y148:Z148,BA148:BB148),2)</f>
        <v/>
      </c>
      <c r="AC148" s="797" t="n"/>
      <c r="AD148" s="192">
        <f t="array" ref="AD148">IFERROR(ROUND((_xlfn.IFS(offer_sale_type="поставка",AB148,offer_sale_type="транзит",S148)*(1+AC148))/E148,2),0)</f>
        <v/>
      </c>
      <c r="AE148" s="76">
        <f>AD148*E148</f>
        <v/>
      </c>
      <c r="AF148" s="193">
        <f t="array" ref="AF148">IFERROR(ROUND(_xlfn.IFS(offer_sale_type="поставка",AB148,offer_sale_type="транзит",S148)*AC148,2),0)</f>
        <v/>
      </c>
      <c r="AG148" s="192">
        <f>$BD148*VLOOKUP($AG$3,$AF$4:$AG$7,2,FALSE)</f>
        <v/>
      </c>
      <c r="AH148" s="76">
        <f>SUM(AE148,AG148,AI148)*rate_forex_risk</f>
        <v/>
      </c>
      <c r="AI148" s="193">
        <f>IF(OR(seller_region="TR",offer_sale_type="экспорт"),0,rate_fin_comm)*SUM(AZ148,AZ148*AW148,T148)</f>
        <v/>
      </c>
      <c r="AJ148" s="118">
        <f>IFERROR(ROUND(SUM(AB148,AF148:AI148)/E148,2),0)</f>
        <v/>
      </c>
      <c r="AK148" s="76">
        <f>AJ148*E148</f>
        <v/>
      </c>
      <c r="AL148" s="174">
        <f>ROUND(IFERROR(AM148*E148,0),2)</f>
        <v/>
      </c>
      <c r="AM148" s="175">
        <f>ROUND(AJ148*(1+IF(offer_incoterms="DDP",IF((TODAY()+offer_turnaround_time)&gt;=helpsheet!$L$17,rate_vatRU_from_26,rate_vatRu_till_25),0)),2)</f>
        <v/>
      </c>
      <c r="AN148" s="192">
        <f>AL148-AK148</f>
        <v/>
      </c>
      <c r="AO148" s="76">
        <f>SUM(AY148,Y148:Z148,T148)*IF(AND(offer_incoterms="DDP",offer_sale_type&lt;&gt;"экспорт"),IF((TODAY()+offer_turnaround_time)&gt;=helpsheet!$L$17,rate_vatRU_from_26,rate_vatRu_till_25),0)</f>
        <v/>
      </c>
      <c r="AP148" s="193">
        <f>AN148-AO148</f>
        <v/>
      </c>
      <c r="AQ148" s="118">
        <f>IF(offer_sale_type="транзит",SUM(AF148:AI148,BA148,BB148),0)</f>
        <v/>
      </c>
      <c r="AR148" s="82">
        <f>HYPERLINK("https://www.alta.ru/tnved/code/")&amp;W148&amp;"/"</f>
        <v/>
      </c>
      <c r="AS148" s="157" t="n"/>
      <c r="AT148" s="162" t="n"/>
      <c r="AU148" s="76">
        <f>IF(ISBLANK(AT148),0,AJ148-AT148)</f>
        <v/>
      </c>
      <c r="AV148" s="157" t="n"/>
      <c r="AW148" s="75">
        <f>_xlfn.IFNA(VLOOKUP(L148,list_vat[],3,FALSE),0)</f>
        <v/>
      </c>
      <c r="AX148" s="76">
        <f>IFERROR(ROUND(S148*(1+AW148)/E148,2),0)</f>
        <v/>
      </c>
      <c r="AY148" s="76">
        <f>E148*AX148</f>
        <v/>
      </c>
      <c r="AZ148" s="192">
        <f>S148*(1+M148)</f>
        <v/>
      </c>
      <c r="BA148" s="76">
        <f>cost_fin_total*$BD148</f>
        <v/>
      </c>
      <c r="BB148" s="193">
        <f>credit_sales_interest*BD148</f>
        <v/>
      </c>
      <c r="BC148" s="102">
        <f>IFERROR(IF($I$13&gt;0,$I148/$I$13,$S148/$S$13),0)</f>
        <v/>
      </c>
      <c r="BD148" s="102">
        <f>IFERROR($S148/$S$13,0)</f>
        <v/>
      </c>
      <c r="BE148" s="413" t="inlineStr">
        <is>
          <t>$</t>
        </is>
      </c>
    </row>
    <row r="149" ht="12" customFormat="1" customHeight="1" s="65">
      <c r="A149" s="43" t="n">
        <v>134</v>
      </c>
      <c r="B149" s="166" t="n"/>
      <c r="C149" s="166" t="n"/>
      <c r="D149" s="166" t="n"/>
      <c r="E149" s="162" t="n"/>
      <c r="F149" s="166" t="n"/>
      <c r="G149" s="162" t="n"/>
      <c r="H149" s="162" t="n"/>
      <c r="I149" s="189">
        <f>E149*G149</f>
        <v/>
      </c>
      <c r="J149" s="195" t="n"/>
      <c r="K149" s="162" t="n"/>
      <c r="L149" s="168" t="n"/>
      <c r="M149" s="75">
        <f>_xlfn.XLOOKUP(L149,list_vat[Страна],list_vat[Ставка НДС %],0,0)</f>
        <v/>
      </c>
      <c r="N149" s="162">
        <f>IFERROR(IF(L149="Китай",K149,K149/(1+M149)),0)</f>
        <v/>
      </c>
      <c r="O149" s="169" t="n"/>
      <c r="P149" s="76">
        <f>N149*(1-O149)</f>
        <v/>
      </c>
      <c r="Q149" s="162" t="n"/>
      <c r="R149" s="162">
        <f>IF(ISBLANK(Q149),"введи курс",P149/Q149)</f>
        <v/>
      </c>
      <c r="S149" s="196">
        <f>IF(AND(ISNUMBER(E149),ISNUMBER(Q149)),E149*R149,0)</f>
        <v/>
      </c>
      <c r="T149" s="192">
        <f>$BC149*V$11</f>
        <v/>
      </c>
      <c r="U149" s="76">
        <f>$BC149*W$11</f>
        <v/>
      </c>
      <c r="V149" s="193">
        <f>+SUM(T149:U149)</f>
        <v/>
      </c>
      <c r="W149" s="191" t="n"/>
      <c r="X149" s="170" t="n"/>
      <c r="Y149" s="76">
        <f>ROUND(IF(offer_incoterms="DDP",X149*(S149*(1+AW149)+T149),0),2)</f>
        <v/>
      </c>
      <c r="Z149" s="188" t="n"/>
      <c r="AA149" s="192">
        <f>IFERROR(AB149/E149,0)</f>
        <v/>
      </c>
      <c r="AB149" s="76">
        <f>ROUND(SUM(S149,V149,Y149:Z149,BA149:BB149),2)</f>
        <v/>
      </c>
      <c r="AC149" s="797" t="n"/>
      <c r="AD149" s="192">
        <f t="array" ref="AD149">IFERROR(ROUND((_xlfn.IFS(offer_sale_type="поставка",AB149,offer_sale_type="транзит",S149)*(1+AC149))/E149,2),0)</f>
        <v/>
      </c>
      <c r="AE149" s="76">
        <f>AD149*E149</f>
        <v/>
      </c>
      <c r="AF149" s="193">
        <f t="array" ref="AF149">IFERROR(ROUND(_xlfn.IFS(offer_sale_type="поставка",AB149,offer_sale_type="транзит",S149)*AC149,2),0)</f>
        <v/>
      </c>
      <c r="AG149" s="192">
        <f>$BD149*VLOOKUP($AG$3,$AF$4:$AG$7,2,FALSE)</f>
        <v/>
      </c>
      <c r="AH149" s="76">
        <f>SUM(AE149,AG149,AI149)*rate_forex_risk</f>
        <v/>
      </c>
      <c r="AI149" s="193">
        <f>IF(OR(seller_region="TR",offer_sale_type="экспорт"),0,rate_fin_comm)*SUM(AZ149,AZ149*AW149,T149)</f>
        <v/>
      </c>
      <c r="AJ149" s="118">
        <f>IFERROR(ROUND(SUM(AB149,AF149:AI149)/E149,2),0)</f>
        <v/>
      </c>
      <c r="AK149" s="76">
        <f>AJ149*E149</f>
        <v/>
      </c>
      <c r="AL149" s="174">
        <f>ROUND(IFERROR(AM149*E149,0),2)</f>
        <v/>
      </c>
      <c r="AM149" s="175">
        <f>ROUND(AJ149*(1+IF(offer_incoterms="DDP",IF((TODAY()+offer_turnaround_time)&gt;=helpsheet!$L$17,rate_vatRU_from_26,rate_vatRu_till_25),0)),2)</f>
        <v/>
      </c>
      <c r="AN149" s="192">
        <f>AL149-AK149</f>
        <v/>
      </c>
      <c r="AO149" s="76">
        <f>SUM(AY149,Y149:Z149,T149)*IF(AND(offer_incoterms="DDP",offer_sale_type&lt;&gt;"экспорт"),IF((TODAY()+offer_turnaround_time)&gt;=helpsheet!$L$17,rate_vatRU_from_26,rate_vatRu_till_25),0)</f>
        <v/>
      </c>
      <c r="AP149" s="193">
        <f>AN149-AO149</f>
        <v/>
      </c>
      <c r="AQ149" s="118">
        <f>IF(offer_sale_type="транзит",SUM(AF149:AI149,BA149,BB149),0)</f>
        <v/>
      </c>
      <c r="AR149" s="82">
        <f>HYPERLINK("https://www.alta.ru/tnved/code/")&amp;W149&amp;"/"</f>
        <v/>
      </c>
      <c r="AS149" s="157" t="n"/>
      <c r="AT149" s="162" t="n"/>
      <c r="AU149" s="76">
        <f>IF(ISBLANK(AT149),0,AJ149-AT149)</f>
        <v/>
      </c>
      <c r="AV149" s="157" t="n"/>
      <c r="AW149" s="75">
        <f>_xlfn.IFNA(VLOOKUP(L149,list_vat[],3,FALSE),0)</f>
        <v/>
      </c>
      <c r="AX149" s="76">
        <f>IFERROR(ROUND(S149*(1+AW149)/E149,2),0)</f>
        <v/>
      </c>
      <c r="AY149" s="76">
        <f>E149*AX149</f>
        <v/>
      </c>
      <c r="AZ149" s="192">
        <f>S149*(1+M149)</f>
        <v/>
      </c>
      <c r="BA149" s="76">
        <f>cost_fin_total*$BD149</f>
        <v/>
      </c>
      <c r="BB149" s="193">
        <f>credit_sales_interest*BD149</f>
        <v/>
      </c>
      <c r="BC149" s="102">
        <f>IFERROR(IF($I$13&gt;0,$I149/$I$13,$S149/$S$13),0)</f>
        <v/>
      </c>
      <c r="BD149" s="102">
        <f>IFERROR($S149/$S$13,0)</f>
        <v/>
      </c>
      <c r="BE149" s="413" t="inlineStr">
        <is>
          <t>$</t>
        </is>
      </c>
    </row>
    <row r="150" ht="12" customFormat="1" customHeight="1" s="65">
      <c r="A150" s="43" t="n">
        <v>135</v>
      </c>
      <c r="B150" s="166" t="n"/>
      <c r="C150" s="166" t="n"/>
      <c r="D150" s="166" t="n"/>
      <c r="E150" s="162" t="n"/>
      <c r="F150" s="166" t="n"/>
      <c r="G150" s="162" t="n"/>
      <c r="H150" s="162" t="n"/>
      <c r="I150" s="189">
        <f>E150*G150</f>
        <v/>
      </c>
      <c r="J150" s="195" t="n"/>
      <c r="K150" s="162" t="n"/>
      <c r="L150" s="168" t="n"/>
      <c r="M150" s="75">
        <f>_xlfn.XLOOKUP(L150,list_vat[Страна],list_vat[Ставка НДС %],0,0)</f>
        <v/>
      </c>
      <c r="N150" s="162">
        <f>IFERROR(IF(L150="Китай",K150,K150/(1+M150)),0)</f>
        <v/>
      </c>
      <c r="O150" s="169" t="n"/>
      <c r="P150" s="76">
        <f>N150*(1-O150)</f>
        <v/>
      </c>
      <c r="Q150" s="162" t="n"/>
      <c r="R150" s="162">
        <f>IF(ISBLANK(Q150),"введи курс",P150/Q150)</f>
        <v/>
      </c>
      <c r="S150" s="196">
        <f>IF(AND(ISNUMBER(E150),ISNUMBER(Q150)),E150*R150,0)</f>
        <v/>
      </c>
      <c r="T150" s="192">
        <f>$BC150*V$11</f>
        <v/>
      </c>
      <c r="U150" s="76">
        <f>$BC150*W$11</f>
        <v/>
      </c>
      <c r="V150" s="193">
        <f>+SUM(T150:U150)</f>
        <v/>
      </c>
      <c r="W150" s="191" t="n"/>
      <c r="X150" s="170" t="n"/>
      <c r="Y150" s="76">
        <f>ROUND(IF(offer_incoterms="DDP",X150*(S150*(1+AW150)+T150),0),2)</f>
        <v/>
      </c>
      <c r="Z150" s="188" t="n"/>
      <c r="AA150" s="192">
        <f>IFERROR(AB150/E150,0)</f>
        <v/>
      </c>
      <c r="AB150" s="76">
        <f>ROUND(SUM(S150,V150,Y150:Z150,BA150:BB150),2)</f>
        <v/>
      </c>
      <c r="AC150" s="797" t="n"/>
      <c r="AD150" s="192">
        <f t="array" ref="AD150">IFERROR(ROUND((_xlfn.IFS(offer_sale_type="поставка",AB150,offer_sale_type="транзит",S150)*(1+AC150))/E150,2),0)</f>
        <v/>
      </c>
      <c r="AE150" s="76">
        <f>AD150*E150</f>
        <v/>
      </c>
      <c r="AF150" s="193">
        <f t="array" ref="AF150">IFERROR(ROUND(_xlfn.IFS(offer_sale_type="поставка",AB150,offer_sale_type="транзит",S150)*AC150,2),0)</f>
        <v/>
      </c>
      <c r="AG150" s="192">
        <f>$BD150*VLOOKUP($AG$3,$AF$4:$AG$7,2,FALSE)</f>
        <v/>
      </c>
      <c r="AH150" s="76">
        <f>SUM(AE150,AG150,AI150)*rate_forex_risk</f>
        <v/>
      </c>
      <c r="AI150" s="193">
        <f>IF(OR(seller_region="TR",offer_sale_type="экспорт"),0,rate_fin_comm)*SUM(AZ150,AZ150*AW150,T150)</f>
        <v/>
      </c>
      <c r="AJ150" s="118">
        <f>IFERROR(ROUND(SUM(AB150,AF150:AI150)/E150,2),0)</f>
        <v/>
      </c>
      <c r="AK150" s="76">
        <f>AJ150*E150</f>
        <v/>
      </c>
      <c r="AL150" s="174">
        <f>ROUND(IFERROR(AM150*E150,0),2)</f>
        <v/>
      </c>
      <c r="AM150" s="175">
        <f>ROUND(AJ150*(1+IF(offer_incoterms="DDP",IF((TODAY()+offer_turnaround_time)&gt;=helpsheet!$L$17,rate_vatRU_from_26,rate_vatRu_till_25),0)),2)</f>
        <v/>
      </c>
      <c r="AN150" s="192">
        <f>AL150-AK150</f>
        <v/>
      </c>
      <c r="AO150" s="76">
        <f>SUM(AY150,Y150:Z150,T150)*IF(AND(offer_incoterms="DDP",offer_sale_type&lt;&gt;"экспорт"),IF((TODAY()+offer_turnaround_time)&gt;=helpsheet!$L$17,rate_vatRU_from_26,rate_vatRu_till_25),0)</f>
        <v/>
      </c>
      <c r="AP150" s="193">
        <f>AN150-AO150</f>
        <v/>
      </c>
      <c r="AQ150" s="118">
        <f>IF(offer_sale_type="транзит",SUM(AF150:AI150,BA150,BB150),0)</f>
        <v/>
      </c>
      <c r="AR150" s="82">
        <f>HYPERLINK("https://www.alta.ru/tnved/code/")&amp;W150&amp;"/"</f>
        <v/>
      </c>
      <c r="AS150" s="157" t="n"/>
      <c r="AT150" s="162" t="n"/>
      <c r="AU150" s="76">
        <f>IF(ISBLANK(AT150),0,AJ150-AT150)</f>
        <v/>
      </c>
      <c r="AV150" s="157" t="n"/>
      <c r="AW150" s="75">
        <f>_xlfn.IFNA(VLOOKUP(L150,list_vat[],3,FALSE),0)</f>
        <v/>
      </c>
      <c r="AX150" s="76">
        <f>IFERROR(ROUND(S150*(1+AW150)/E150,2),0)</f>
        <v/>
      </c>
      <c r="AY150" s="76">
        <f>E150*AX150</f>
        <v/>
      </c>
      <c r="AZ150" s="192">
        <f>S150*(1+M150)</f>
        <v/>
      </c>
      <c r="BA150" s="76">
        <f>cost_fin_total*$BD150</f>
        <v/>
      </c>
      <c r="BB150" s="193">
        <f>credit_sales_interest*BD150</f>
        <v/>
      </c>
      <c r="BC150" s="102">
        <f>IFERROR(IF($I$13&gt;0,$I150/$I$13,$S150/$S$13),0)</f>
        <v/>
      </c>
      <c r="BD150" s="102">
        <f>IFERROR($S150/$S$13,0)</f>
        <v/>
      </c>
      <c r="BE150" s="413" t="inlineStr">
        <is>
          <t>$</t>
        </is>
      </c>
    </row>
    <row r="151" ht="12" customFormat="1" customHeight="1" s="65">
      <c r="A151" s="43" t="n">
        <v>136</v>
      </c>
      <c r="B151" s="166" t="n"/>
      <c r="C151" s="166" t="n"/>
      <c r="D151" s="166" t="n"/>
      <c r="E151" s="162" t="n"/>
      <c r="F151" s="166" t="n"/>
      <c r="G151" s="162" t="n"/>
      <c r="H151" s="162" t="n"/>
      <c r="I151" s="189">
        <f>E151*G151</f>
        <v/>
      </c>
      <c r="J151" s="195" t="n"/>
      <c r="K151" s="162" t="n"/>
      <c r="L151" s="168" t="n"/>
      <c r="M151" s="75">
        <f>_xlfn.XLOOKUP(L151,list_vat[Страна],list_vat[Ставка НДС %],0,0)</f>
        <v/>
      </c>
      <c r="N151" s="162">
        <f>IFERROR(IF(L151="Китай",K151,K151/(1+M151)),0)</f>
        <v/>
      </c>
      <c r="O151" s="169" t="n"/>
      <c r="P151" s="76">
        <f>N151*(1-O151)</f>
        <v/>
      </c>
      <c r="Q151" s="162" t="n"/>
      <c r="R151" s="162">
        <f>IF(ISBLANK(Q151),"введи курс",P151/Q151)</f>
        <v/>
      </c>
      <c r="S151" s="196">
        <f>IF(AND(ISNUMBER(E151),ISNUMBER(Q151)),E151*R151,0)</f>
        <v/>
      </c>
      <c r="T151" s="192">
        <f>$BC151*V$11</f>
        <v/>
      </c>
      <c r="U151" s="76">
        <f>$BC151*W$11</f>
        <v/>
      </c>
      <c r="V151" s="193">
        <f>+SUM(T151:U151)</f>
        <v/>
      </c>
      <c r="W151" s="191" t="n"/>
      <c r="X151" s="170" t="n"/>
      <c r="Y151" s="76">
        <f>ROUND(IF(offer_incoterms="DDP",X151*(S151*(1+AW151)+T151),0),2)</f>
        <v/>
      </c>
      <c r="Z151" s="188" t="n"/>
      <c r="AA151" s="192">
        <f>IFERROR(AB151/E151,0)</f>
        <v/>
      </c>
      <c r="AB151" s="76">
        <f>ROUND(SUM(S151,V151,Y151:Z151,BA151:BB151),2)</f>
        <v/>
      </c>
      <c r="AC151" s="797" t="n"/>
      <c r="AD151" s="192">
        <f t="array" ref="AD151">IFERROR(ROUND((_xlfn.IFS(offer_sale_type="поставка",AB151,offer_sale_type="транзит",S151)*(1+AC151))/E151,2),0)</f>
        <v/>
      </c>
      <c r="AE151" s="76">
        <f>AD151*E151</f>
        <v/>
      </c>
      <c r="AF151" s="193">
        <f t="array" ref="AF151">IFERROR(ROUND(_xlfn.IFS(offer_sale_type="поставка",AB151,offer_sale_type="транзит",S151)*AC151,2),0)</f>
        <v/>
      </c>
      <c r="AG151" s="192">
        <f>$BD151*VLOOKUP($AG$3,$AF$4:$AG$7,2,FALSE)</f>
        <v/>
      </c>
      <c r="AH151" s="76">
        <f>SUM(AE151,AG151,AI151)*rate_forex_risk</f>
        <v/>
      </c>
      <c r="AI151" s="193">
        <f>IF(OR(seller_region="TR",offer_sale_type="экспорт"),0,rate_fin_comm)*SUM(AZ151,AZ151*AW151,T151)</f>
        <v/>
      </c>
      <c r="AJ151" s="118">
        <f>IFERROR(ROUND(SUM(AB151,AF151:AI151)/E151,2),0)</f>
        <v/>
      </c>
      <c r="AK151" s="76">
        <f>AJ151*E151</f>
        <v/>
      </c>
      <c r="AL151" s="174">
        <f>ROUND(IFERROR(AM151*E151,0),2)</f>
        <v/>
      </c>
      <c r="AM151" s="175">
        <f>ROUND(AJ151*(1+IF(offer_incoterms="DDP",IF((TODAY()+offer_turnaround_time)&gt;=helpsheet!$L$17,rate_vatRU_from_26,rate_vatRu_till_25),0)),2)</f>
        <v/>
      </c>
      <c r="AN151" s="192">
        <f>AL151-AK151</f>
        <v/>
      </c>
      <c r="AO151" s="76">
        <f>SUM(AY151,Y151:Z151,T151)*IF(AND(offer_incoterms="DDP",offer_sale_type&lt;&gt;"экспорт"),IF((TODAY()+offer_turnaround_time)&gt;=helpsheet!$L$17,rate_vatRU_from_26,rate_vatRu_till_25),0)</f>
        <v/>
      </c>
      <c r="AP151" s="193">
        <f>AN151-AO151</f>
        <v/>
      </c>
      <c r="AQ151" s="118">
        <f>IF(offer_sale_type="транзит",SUM(AF151:AI151,BA151,BB151),0)</f>
        <v/>
      </c>
      <c r="AR151" s="82">
        <f>HYPERLINK("https://www.alta.ru/tnved/code/")&amp;W151&amp;"/"</f>
        <v/>
      </c>
      <c r="AS151" s="157" t="n"/>
      <c r="AT151" s="162" t="n"/>
      <c r="AU151" s="76">
        <f>IF(ISBLANK(AT151),0,AJ151-AT151)</f>
        <v/>
      </c>
      <c r="AV151" s="157" t="n"/>
      <c r="AW151" s="75">
        <f>_xlfn.IFNA(VLOOKUP(L151,list_vat[],3,FALSE),0)</f>
        <v/>
      </c>
      <c r="AX151" s="76">
        <f>IFERROR(ROUND(S151*(1+AW151)/E151,2),0)</f>
        <v/>
      </c>
      <c r="AY151" s="76">
        <f>E151*AX151</f>
        <v/>
      </c>
      <c r="AZ151" s="192">
        <f>S151*(1+M151)</f>
        <v/>
      </c>
      <c r="BA151" s="76">
        <f>cost_fin_total*$BD151</f>
        <v/>
      </c>
      <c r="BB151" s="193">
        <f>credit_sales_interest*BD151</f>
        <v/>
      </c>
      <c r="BC151" s="102">
        <f>IFERROR(IF($I$13&gt;0,$I151/$I$13,$S151/$S$13),0)</f>
        <v/>
      </c>
      <c r="BD151" s="102">
        <f>IFERROR($S151/$S$13,0)</f>
        <v/>
      </c>
      <c r="BE151" s="413" t="inlineStr">
        <is>
          <t>$</t>
        </is>
      </c>
    </row>
    <row r="152" ht="12" customFormat="1" customHeight="1" s="65">
      <c r="A152" s="43" t="n">
        <v>137</v>
      </c>
      <c r="B152" s="166" t="n"/>
      <c r="C152" s="166" t="n"/>
      <c r="D152" s="166" t="n"/>
      <c r="E152" s="162" t="n"/>
      <c r="F152" s="166" t="n"/>
      <c r="G152" s="162" t="n"/>
      <c r="H152" s="162" t="n"/>
      <c r="I152" s="189">
        <f>E152*G152</f>
        <v/>
      </c>
      <c r="J152" s="195" t="n"/>
      <c r="K152" s="162" t="n"/>
      <c r="L152" s="168" t="n"/>
      <c r="M152" s="75">
        <f>_xlfn.XLOOKUP(L152,list_vat[Страна],list_vat[Ставка НДС %],0,0)</f>
        <v/>
      </c>
      <c r="N152" s="162">
        <f>IFERROR(IF(L152="Китай",K152,K152/(1+M152)),0)</f>
        <v/>
      </c>
      <c r="O152" s="169" t="n"/>
      <c r="P152" s="76">
        <f>N152*(1-O152)</f>
        <v/>
      </c>
      <c r="Q152" s="162" t="n"/>
      <c r="R152" s="162">
        <f>IF(ISBLANK(Q152),"введи курс",P152/Q152)</f>
        <v/>
      </c>
      <c r="S152" s="196">
        <f>IF(AND(ISNUMBER(E152),ISNUMBER(Q152)),E152*R152,0)</f>
        <v/>
      </c>
      <c r="T152" s="192">
        <f>$BC152*V$11</f>
        <v/>
      </c>
      <c r="U152" s="76">
        <f>$BC152*W$11</f>
        <v/>
      </c>
      <c r="V152" s="193">
        <f>+SUM(T152:U152)</f>
        <v/>
      </c>
      <c r="W152" s="191" t="n"/>
      <c r="X152" s="170" t="n"/>
      <c r="Y152" s="76">
        <f>ROUND(IF(offer_incoterms="DDP",X152*(S152*(1+AW152)+T152),0),2)</f>
        <v/>
      </c>
      <c r="Z152" s="188" t="n"/>
      <c r="AA152" s="192">
        <f>IFERROR(AB152/E152,0)</f>
        <v/>
      </c>
      <c r="AB152" s="76">
        <f>ROUND(SUM(S152,V152,Y152:Z152,BA152:BB152),2)</f>
        <v/>
      </c>
      <c r="AC152" s="797" t="n"/>
      <c r="AD152" s="192">
        <f t="array" ref="AD152">IFERROR(ROUND((_xlfn.IFS(offer_sale_type="поставка",AB152,offer_sale_type="транзит",S152)*(1+AC152))/E152,2),0)</f>
        <v/>
      </c>
      <c r="AE152" s="76">
        <f>AD152*E152</f>
        <v/>
      </c>
      <c r="AF152" s="193">
        <f t="array" ref="AF152">IFERROR(ROUND(_xlfn.IFS(offer_sale_type="поставка",AB152,offer_sale_type="транзит",S152)*AC152,2),0)</f>
        <v/>
      </c>
      <c r="AG152" s="192">
        <f>$BD152*VLOOKUP($AG$3,$AF$4:$AG$7,2,FALSE)</f>
        <v/>
      </c>
      <c r="AH152" s="76">
        <f>SUM(AE152,AG152,AI152)*rate_forex_risk</f>
        <v/>
      </c>
      <c r="AI152" s="193">
        <f>IF(OR(seller_region="TR",offer_sale_type="экспорт"),0,rate_fin_comm)*SUM(AZ152,AZ152*AW152,T152)</f>
        <v/>
      </c>
      <c r="AJ152" s="118">
        <f>IFERROR(ROUND(SUM(AB152,AF152:AI152)/E152,2),0)</f>
        <v/>
      </c>
      <c r="AK152" s="76">
        <f>AJ152*E152</f>
        <v/>
      </c>
      <c r="AL152" s="174">
        <f>ROUND(IFERROR(AM152*E152,0),2)</f>
        <v/>
      </c>
      <c r="AM152" s="175">
        <f>ROUND(AJ152*(1+IF(offer_incoterms="DDP",IF((TODAY()+offer_turnaround_time)&gt;=helpsheet!$L$17,rate_vatRU_from_26,rate_vatRu_till_25),0)),2)</f>
        <v/>
      </c>
      <c r="AN152" s="192">
        <f>AL152-AK152</f>
        <v/>
      </c>
      <c r="AO152" s="76">
        <f>SUM(AY152,Y152:Z152,T152)*IF(AND(offer_incoterms="DDP",offer_sale_type&lt;&gt;"экспорт"),IF((TODAY()+offer_turnaround_time)&gt;=helpsheet!$L$17,rate_vatRU_from_26,rate_vatRu_till_25),0)</f>
        <v/>
      </c>
      <c r="AP152" s="193">
        <f>AN152-AO152</f>
        <v/>
      </c>
      <c r="AQ152" s="118">
        <f>IF(offer_sale_type="транзит",SUM(AF152:AI152,BA152,BB152),0)</f>
        <v/>
      </c>
      <c r="AR152" s="82">
        <f>HYPERLINK("https://www.alta.ru/tnved/code/")&amp;W152&amp;"/"</f>
        <v/>
      </c>
      <c r="AS152" s="157" t="n"/>
      <c r="AT152" s="162" t="n"/>
      <c r="AU152" s="76">
        <f>IF(ISBLANK(AT152),0,AJ152-AT152)</f>
        <v/>
      </c>
      <c r="AV152" s="157" t="n"/>
      <c r="AW152" s="75">
        <f>_xlfn.IFNA(VLOOKUP(L152,list_vat[],3,FALSE),0)</f>
        <v/>
      </c>
      <c r="AX152" s="76">
        <f>IFERROR(ROUND(S152*(1+AW152)/E152,2),0)</f>
        <v/>
      </c>
      <c r="AY152" s="76">
        <f>E152*AX152</f>
        <v/>
      </c>
      <c r="AZ152" s="192">
        <f>S152*(1+M152)</f>
        <v/>
      </c>
      <c r="BA152" s="76">
        <f>cost_fin_total*$BD152</f>
        <v/>
      </c>
      <c r="BB152" s="193">
        <f>credit_sales_interest*BD152</f>
        <v/>
      </c>
      <c r="BC152" s="102">
        <f>IFERROR(IF($I$13&gt;0,$I152/$I$13,$S152/$S$13),0)</f>
        <v/>
      </c>
      <c r="BD152" s="102">
        <f>IFERROR($S152/$S$13,0)</f>
        <v/>
      </c>
      <c r="BE152" s="413" t="inlineStr">
        <is>
          <t>$</t>
        </is>
      </c>
    </row>
    <row r="153" ht="12" customFormat="1" customHeight="1" s="65">
      <c r="A153" s="43" t="n">
        <v>138</v>
      </c>
      <c r="B153" s="166" t="n"/>
      <c r="C153" s="166" t="n"/>
      <c r="D153" s="166" t="n"/>
      <c r="E153" s="162" t="n"/>
      <c r="F153" s="166" t="n"/>
      <c r="G153" s="162" t="n"/>
      <c r="H153" s="162" t="n"/>
      <c r="I153" s="189">
        <f>E153*G153</f>
        <v/>
      </c>
      <c r="J153" s="195" t="n"/>
      <c r="K153" s="162" t="n"/>
      <c r="L153" s="168" t="n"/>
      <c r="M153" s="75">
        <f>_xlfn.XLOOKUP(L153,list_vat[Страна],list_vat[Ставка НДС %],0,0)</f>
        <v/>
      </c>
      <c r="N153" s="162">
        <f>IFERROR(IF(L153="Китай",K153,K153/(1+M153)),0)</f>
        <v/>
      </c>
      <c r="O153" s="169" t="n"/>
      <c r="P153" s="76">
        <f>N153*(1-O153)</f>
        <v/>
      </c>
      <c r="Q153" s="162" t="n"/>
      <c r="R153" s="162">
        <f>IF(ISBLANK(Q153),"введи курс",P153/Q153)</f>
        <v/>
      </c>
      <c r="S153" s="196">
        <f>IF(AND(ISNUMBER(E153),ISNUMBER(Q153)),E153*R153,0)</f>
        <v/>
      </c>
      <c r="T153" s="192">
        <f>$BC153*V$11</f>
        <v/>
      </c>
      <c r="U153" s="76">
        <f>$BC153*W$11</f>
        <v/>
      </c>
      <c r="V153" s="193">
        <f>+SUM(T153:U153)</f>
        <v/>
      </c>
      <c r="W153" s="191" t="n"/>
      <c r="X153" s="170" t="n"/>
      <c r="Y153" s="76">
        <f>ROUND(IF(offer_incoterms="DDP",X153*(S153*(1+AW153)+T153),0),2)</f>
        <v/>
      </c>
      <c r="Z153" s="188" t="n"/>
      <c r="AA153" s="192">
        <f>IFERROR(AB153/E153,0)</f>
        <v/>
      </c>
      <c r="AB153" s="76">
        <f>ROUND(SUM(S153,V153,Y153:Z153,BA153:BB153),2)</f>
        <v/>
      </c>
      <c r="AC153" s="797" t="n"/>
      <c r="AD153" s="192">
        <f t="array" ref="AD153">IFERROR(ROUND((_xlfn.IFS(offer_sale_type="поставка",AB153,offer_sale_type="транзит",S153)*(1+AC153))/E153,2),0)</f>
        <v/>
      </c>
      <c r="AE153" s="76">
        <f>AD153*E153</f>
        <v/>
      </c>
      <c r="AF153" s="193">
        <f t="array" ref="AF153">IFERROR(ROUND(_xlfn.IFS(offer_sale_type="поставка",AB153,offer_sale_type="транзит",S153)*AC153,2),0)</f>
        <v/>
      </c>
      <c r="AG153" s="192">
        <f>$BD153*VLOOKUP($AG$3,$AF$4:$AG$7,2,FALSE)</f>
        <v/>
      </c>
      <c r="AH153" s="76">
        <f>SUM(AE153,AG153,AI153)*rate_forex_risk</f>
        <v/>
      </c>
      <c r="AI153" s="193">
        <f>IF(OR(seller_region="TR",offer_sale_type="экспорт"),0,rate_fin_comm)*SUM(AZ153,AZ153*AW153,T153)</f>
        <v/>
      </c>
      <c r="AJ153" s="118">
        <f>IFERROR(ROUND(SUM(AB153,AF153:AI153)/E153,2),0)</f>
        <v/>
      </c>
      <c r="AK153" s="76">
        <f>AJ153*E153</f>
        <v/>
      </c>
      <c r="AL153" s="174">
        <f>ROUND(IFERROR(AM153*E153,0),2)</f>
        <v/>
      </c>
      <c r="AM153" s="175">
        <f>ROUND(AJ153*(1+IF(offer_incoterms="DDP",IF((TODAY()+offer_turnaround_time)&gt;=helpsheet!$L$17,rate_vatRU_from_26,rate_vatRu_till_25),0)),2)</f>
        <v/>
      </c>
      <c r="AN153" s="192">
        <f>AL153-AK153</f>
        <v/>
      </c>
      <c r="AO153" s="76">
        <f>SUM(AY153,Y153:Z153,T153)*IF(AND(offer_incoterms="DDP",offer_sale_type&lt;&gt;"экспорт"),IF((TODAY()+offer_turnaround_time)&gt;=helpsheet!$L$17,rate_vatRU_from_26,rate_vatRu_till_25),0)</f>
        <v/>
      </c>
      <c r="AP153" s="193">
        <f>AN153-AO153</f>
        <v/>
      </c>
      <c r="AQ153" s="118">
        <f>IF(offer_sale_type="транзит",SUM(AF153:AI153,BA153,BB153),0)</f>
        <v/>
      </c>
      <c r="AR153" s="82">
        <f>HYPERLINK("https://www.alta.ru/tnved/code/")&amp;W153&amp;"/"</f>
        <v/>
      </c>
      <c r="AS153" s="157" t="n"/>
      <c r="AT153" s="162" t="n"/>
      <c r="AU153" s="76">
        <f>IF(ISBLANK(AT153),0,AJ153-AT153)</f>
        <v/>
      </c>
      <c r="AV153" s="157" t="n"/>
      <c r="AW153" s="75">
        <f>_xlfn.IFNA(VLOOKUP(L153,list_vat[],3,FALSE),0)</f>
        <v/>
      </c>
      <c r="AX153" s="76">
        <f>IFERROR(ROUND(S153*(1+AW153)/E153,2),0)</f>
        <v/>
      </c>
      <c r="AY153" s="76">
        <f>E153*AX153</f>
        <v/>
      </c>
      <c r="AZ153" s="192">
        <f>S153*(1+M153)</f>
        <v/>
      </c>
      <c r="BA153" s="76">
        <f>cost_fin_total*$BD153</f>
        <v/>
      </c>
      <c r="BB153" s="193">
        <f>credit_sales_interest*BD153</f>
        <v/>
      </c>
      <c r="BC153" s="102">
        <f>IFERROR(IF($I$13&gt;0,$I153/$I$13,$S153/$S$13),0)</f>
        <v/>
      </c>
      <c r="BD153" s="102">
        <f>IFERROR($S153/$S$13,0)</f>
        <v/>
      </c>
      <c r="BE153" s="413" t="inlineStr">
        <is>
          <t>$</t>
        </is>
      </c>
    </row>
    <row r="154" ht="12" customFormat="1" customHeight="1" s="65">
      <c r="A154" s="43" t="n">
        <v>139</v>
      </c>
      <c r="B154" s="166" t="n"/>
      <c r="C154" s="166" t="n"/>
      <c r="D154" s="166" t="n"/>
      <c r="E154" s="162" t="n"/>
      <c r="F154" s="166" t="n"/>
      <c r="G154" s="162" t="n"/>
      <c r="H154" s="162" t="n"/>
      <c r="I154" s="189">
        <f>E154*G154</f>
        <v/>
      </c>
      <c r="J154" s="195" t="n"/>
      <c r="K154" s="162" t="n"/>
      <c r="L154" s="168" t="n"/>
      <c r="M154" s="75">
        <f>_xlfn.XLOOKUP(L154,list_vat[Страна],list_vat[Ставка НДС %],0,0)</f>
        <v/>
      </c>
      <c r="N154" s="162">
        <f>IFERROR(IF(L154="Китай",K154,K154/(1+M154)),0)</f>
        <v/>
      </c>
      <c r="O154" s="169" t="n"/>
      <c r="P154" s="76">
        <f>N154*(1-O154)</f>
        <v/>
      </c>
      <c r="Q154" s="162" t="n"/>
      <c r="R154" s="162">
        <f>IF(ISBLANK(Q154),"введи курс",P154/Q154)</f>
        <v/>
      </c>
      <c r="S154" s="196">
        <f>IF(AND(ISNUMBER(E154),ISNUMBER(Q154)),E154*R154,0)</f>
        <v/>
      </c>
      <c r="T154" s="192">
        <f>$BC154*V$11</f>
        <v/>
      </c>
      <c r="U154" s="76">
        <f>$BC154*W$11</f>
        <v/>
      </c>
      <c r="V154" s="193">
        <f>+SUM(T154:U154)</f>
        <v/>
      </c>
      <c r="W154" s="191" t="n"/>
      <c r="X154" s="170" t="n"/>
      <c r="Y154" s="76">
        <f>ROUND(IF(offer_incoterms="DDP",X154*(S154*(1+AW154)+T154),0),2)</f>
        <v/>
      </c>
      <c r="Z154" s="188" t="n"/>
      <c r="AA154" s="192">
        <f>IFERROR(AB154/E154,0)</f>
        <v/>
      </c>
      <c r="AB154" s="76">
        <f>ROUND(SUM(S154,V154,Y154:Z154,BA154:BB154),2)</f>
        <v/>
      </c>
      <c r="AC154" s="797" t="n"/>
      <c r="AD154" s="192">
        <f t="array" ref="AD154">IFERROR(ROUND((_xlfn.IFS(offer_sale_type="поставка",AB154,offer_sale_type="транзит",S154)*(1+AC154))/E154,2),0)</f>
        <v/>
      </c>
      <c r="AE154" s="76">
        <f>AD154*E154</f>
        <v/>
      </c>
      <c r="AF154" s="193">
        <f t="array" ref="AF154">IFERROR(ROUND(_xlfn.IFS(offer_sale_type="поставка",AB154,offer_sale_type="транзит",S154)*AC154,2),0)</f>
        <v/>
      </c>
      <c r="AG154" s="192">
        <f>$BD154*VLOOKUP($AG$3,$AF$4:$AG$7,2,FALSE)</f>
        <v/>
      </c>
      <c r="AH154" s="76">
        <f>SUM(AE154,AG154,AI154)*rate_forex_risk</f>
        <v/>
      </c>
      <c r="AI154" s="193">
        <f>IF(OR(seller_region="TR",offer_sale_type="экспорт"),0,rate_fin_comm)*SUM(AZ154,AZ154*AW154,T154)</f>
        <v/>
      </c>
      <c r="AJ154" s="118">
        <f>IFERROR(ROUND(SUM(AB154,AF154:AI154)/E154,2),0)</f>
        <v/>
      </c>
      <c r="AK154" s="76">
        <f>AJ154*E154</f>
        <v/>
      </c>
      <c r="AL154" s="174">
        <f>ROUND(IFERROR(AM154*E154,0),2)</f>
        <v/>
      </c>
      <c r="AM154" s="175">
        <f>ROUND(AJ154*(1+IF(offer_incoterms="DDP",IF((TODAY()+offer_turnaround_time)&gt;=helpsheet!$L$17,rate_vatRU_from_26,rate_vatRu_till_25),0)),2)</f>
        <v/>
      </c>
      <c r="AN154" s="192">
        <f>AL154-AK154</f>
        <v/>
      </c>
      <c r="AO154" s="76">
        <f>SUM(AY154,Y154:Z154,T154)*IF(AND(offer_incoterms="DDP",offer_sale_type&lt;&gt;"экспорт"),IF((TODAY()+offer_turnaround_time)&gt;=helpsheet!$L$17,rate_vatRU_from_26,rate_vatRu_till_25),0)</f>
        <v/>
      </c>
      <c r="AP154" s="193">
        <f>AN154-AO154</f>
        <v/>
      </c>
      <c r="AQ154" s="118">
        <f>IF(offer_sale_type="транзит",SUM(AF154:AI154,BA154,BB154),0)</f>
        <v/>
      </c>
      <c r="AR154" s="82">
        <f>HYPERLINK("https://www.alta.ru/tnved/code/")&amp;W154&amp;"/"</f>
        <v/>
      </c>
      <c r="AS154" s="157" t="n"/>
      <c r="AT154" s="162" t="n"/>
      <c r="AU154" s="76">
        <f>IF(ISBLANK(AT154),0,AJ154-AT154)</f>
        <v/>
      </c>
      <c r="AV154" s="157" t="n"/>
      <c r="AW154" s="75">
        <f>_xlfn.IFNA(VLOOKUP(L154,list_vat[],3,FALSE),0)</f>
        <v/>
      </c>
      <c r="AX154" s="76">
        <f>IFERROR(ROUND(S154*(1+AW154)/E154,2),0)</f>
        <v/>
      </c>
      <c r="AY154" s="76">
        <f>E154*AX154</f>
        <v/>
      </c>
      <c r="AZ154" s="192">
        <f>S154*(1+M154)</f>
        <v/>
      </c>
      <c r="BA154" s="76">
        <f>cost_fin_total*$BD154</f>
        <v/>
      </c>
      <c r="BB154" s="193">
        <f>credit_sales_interest*BD154</f>
        <v/>
      </c>
      <c r="BC154" s="102">
        <f>IFERROR(IF($I$13&gt;0,$I154/$I$13,$S154/$S$13),0)</f>
        <v/>
      </c>
      <c r="BD154" s="102">
        <f>IFERROR($S154/$S$13,0)</f>
        <v/>
      </c>
      <c r="BE154" s="413" t="inlineStr">
        <is>
          <t>$</t>
        </is>
      </c>
    </row>
    <row r="155" ht="12" customFormat="1" customHeight="1" s="65">
      <c r="A155" s="43" t="n">
        <v>140</v>
      </c>
      <c r="B155" s="166" t="n"/>
      <c r="C155" s="166" t="n"/>
      <c r="D155" s="166" t="n"/>
      <c r="E155" s="162" t="n"/>
      <c r="F155" s="166" t="n"/>
      <c r="G155" s="162" t="n"/>
      <c r="H155" s="162" t="n"/>
      <c r="I155" s="189">
        <f>E155*G155</f>
        <v/>
      </c>
      <c r="J155" s="195" t="n"/>
      <c r="K155" s="162" t="n"/>
      <c r="L155" s="168" t="n"/>
      <c r="M155" s="75">
        <f>_xlfn.XLOOKUP(L155,list_vat[Страна],list_vat[Ставка НДС %],0,0)</f>
        <v/>
      </c>
      <c r="N155" s="162">
        <f>IFERROR(IF(L155="Китай",K155,K155/(1+M155)),0)</f>
        <v/>
      </c>
      <c r="O155" s="169" t="n"/>
      <c r="P155" s="76">
        <f>N155*(1-O155)</f>
        <v/>
      </c>
      <c r="Q155" s="162" t="n"/>
      <c r="R155" s="162">
        <f>IF(ISBLANK(Q155),"введи курс",P155/Q155)</f>
        <v/>
      </c>
      <c r="S155" s="196">
        <f>IF(AND(ISNUMBER(E155),ISNUMBER(Q155)),E155*R155,0)</f>
        <v/>
      </c>
      <c r="T155" s="192">
        <f>$BC155*V$11</f>
        <v/>
      </c>
      <c r="U155" s="76">
        <f>$BC155*W$11</f>
        <v/>
      </c>
      <c r="V155" s="193">
        <f>+SUM(T155:U155)</f>
        <v/>
      </c>
      <c r="W155" s="191" t="n"/>
      <c r="X155" s="170" t="n"/>
      <c r="Y155" s="76">
        <f>ROUND(IF(offer_incoterms="DDP",X155*(S155*(1+AW155)+T155),0),2)</f>
        <v/>
      </c>
      <c r="Z155" s="188" t="n"/>
      <c r="AA155" s="192">
        <f>IFERROR(AB155/E155,0)</f>
        <v/>
      </c>
      <c r="AB155" s="76">
        <f>ROUND(SUM(S155,V155,Y155:Z155,BA155:BB155),2)</f>
        <v/>
      </c>
      <c r="AC155" s="797" t="n"/>
      <c r="AD155" s="192">
        <f t="array" ref="AD155">IFERROR(ROUND((_xlfn.IFS(offer_sale_type="поставка",AB155,offer_sale_type="транзит",S155)*(1+AC155))/E155,2),0)</f>
        <v/>
      </c>
      <c r="AE155" s="76">
        <f>AD155*E155</f>
        <v/>
      </c>
      <c r="AF155" s="193">
        <f t="array" ref="AF155">IFERROR(ROUND(_xlfn.IFS(offer_sale_type="поставка",AB155,offer_sale_type="транзит",S155)*AC155,2),0)</f>
        <v/>
      </c>
      <c r="AG155" s="192">
        <f>$BD155*VLOOKUP($AG$3,$AF$4:$AG$7,2,FALSE)</f>
        <v/>
      </c>
      <c r="AH155" s="76">
        <f>SUM(AE155,AG155,AI155)*rate_forex_risk</f>
        <v/>
      </c>
      <c r="AI155" s="193">
        <f>IF(OR(seller_region="TR",offer_sale_type="экспорт"),0,rate_fin_comm)*SUM(AZ155,AZ155*AW155,T155)</f>
        <v/>
      </c>
      <c r="AJ155" s="118">
        <f>IFERROR(ROUND(SUM(AB155,AF155:AI155)/E155,2),0)</f>
        <v/>
      </c>
      <c r="AK155" s="76">
        <f>AJ155*E155</f>
        <v/>
      </c>
      <c r="AL155" s="174">
        <f>ROUND(IFERROR(AM155*E155,0),2)</f>
        <v/>
      </c>
      <c r="AM155" s="175">
        <f>ROUND(AJ155*(1+IF(offer_incoterms="DDP",IF((TODAY()+offer_turnaround_time)&gt;=helpsheet!$L$17,rate_vatRU_from_26,rate_vatRu_till_25),0)),2)</f>
        <v/>
      </c>
      <c r="AN155" s="192">
        <f>AL155-AK155</f>
        <v/>
      </c>
      <c r="AO155" s="76">
        <f>SUM(AY155,Y155:Z155,T155)*IF(AND(offer_incoterms="DDP",offer_sale_type&lt;&gt;"экспорт"),IF((TODAY()+offer_turnaround_time)&gt;=helpsheet!$L$17,rate_vatRU_from_26,rate_vatRu_till_25),0)</f>
        <v/>
      </c>
      <c r="AP155" s="193">
        <f>AN155-AO155</f>
        <v/>
      </c>
      <c r="AQ155" s="118">
        <f>IF(offer_sale_type="транзит",SUM(AF155:AI155,BA155,BB155),0)</f>
        <v/>
      </c>
      <c r="AR155" s="82">
        <f>HYPERLINK("https://www.alta.ru/tnved/code/")&amp;W155&amp;"/"</f>
        <v/>
      </c>
      <c r="AS155" s="157" t="n"/>
      <c r="AT155" s="162" t="n"/>
      <c r="AU155" s="76">
        <f>IF(ISBLANK(AT155),0,AJ155-AT155)</f>
        <v/>
      </c>
      <c r="AV155" s="157" t="n"/>
      <c r="AW155" s="75">
        <f>_xlfn.IFNA(VLOOKUP(L155,list_vat[],3,FALSE),0)</f>
        <v/>
      </c>
      <c r="AX155" s="76">
        <f>IFERROR(ROUND(S155*(1+AW155)/E155,2),0)</f>
        <v/>
      </c>
      <c r="AY155" s="76">
        <f>E155*AX155</f>
        <v/>
      </c>
      <c r="AZ155" s="192">
        <f>S155*(1+M155)</f>
        <v/>
      </c>
      <c r="BA155" s="76">
        <f>cost_fin_total*$BD155</f>
        <v/>
      </c>
      <c r="BB155" s="193">
        <f>credit_sales_interest*BD155</f>
        <v/>
      </c>
      <c r="BC155" s="102">
        <f>IFERROR(IF($I$13&gt;0,$I155/$I$13,$S155/$S$13),0)</f>
        <v/>
      </c>
      <c r="BD155" s="102">
        <f>IFERROR($S155/$S$13,0)</f>
        <v/>
      </c>
      <c r="BE155" s="413" t="inlineStr">
        <is>
          <t>$</t>
        </is>
      </c>
    </row>
    <row r="156" ht="12" customFormat="1" customHeight="1" s="65">
      <c r="A156" s="43" t="n">
        <v>141</v>
      </c>
      <c r="B156" s="166" t="n"/>
      <c r="C156" s="166" t="n"/>
      <c r="D156" s="166" t="n"/>
      <c r="E156" s="162" t="n"/>
      <c r="F156" s="166" t="n"/>
      <c r="G156" s="162" t="n"/>
      <c r="H156" s="162" t="n"/>
      <c r="I156" s="189">
        <f>E156*G156</f>
        <v/>
      </c>
      <c r="J156" s="195" t="n"/>
      <c r="K156" s="162" t="n"/>
      <c r="L156" s="168" t="n"/>
      <c r="M156" s="75">
        <f>_xlfn.XLOOKUP(L156,list_vat[Страна],list_vat[Ставка НДС %],0,0)</f>
        <v/>
      </c>
      <c r="N156" s="162">
        <f>IFERROR(IF(L156="Китай",K156,K156/(1+M156)),0)</f>
        <v/>
      </c>
      <c r="O156" s="169" t="n"/>
      <c r="P156" s="76">
        <f>N156*(1-O156)</f>
        <v/>
      </c>
      <c r="Q156" s="162" t="n"/>
      <c r="R156" s="162">
        <f>IF(ISBLANK(Q156),"введи курс",P156/Q156)</f>
        <v/>
      </c>
      <c r="S156" s="196">
        <f>IF(AND(ISNUMBER(E156),ISNUMBER(Q156)),E156*R156,0)</f>
        <v/>
      </c>
      <c r="T156" s="192">
        <f>$BC156*V$11</f>
        <v/>
      </c>
      <c r="U156" s="76">
        <f>$BC156*W$11</f>
        <v/>
      </c>
      <c r="V156" s="193">
        <f>+SUM(T156:U156)</f>
        <v/>
      </c>
      <c r="W156" s="191" t="n"/>
      <c r="X156" s="170" t="n"/>
      <c r="Y156" s="76">
        <f>ROUND(IF(offer_incoterms="DDP",X156*(S156*(1+AW156)+T156),0),2)</f>
        <v/>
      </c>
      <c r="Z156" s="188" t="n"/>
      <c r="AA156" s="192">
        <f>IFERROR(AB156/E156,0)</f>
        <v/>
      </c>
      <c r="AB156" s="76">
        <f>ROUND(SUM(S156,V156,Y156:Z156,BA156:BB156),2)</f>
        <v/>
      </c>
      <c r="AC156" s="797" t="n"/>
      <c r="AD156" s="192">
        <f t="array" ref="AD156">IFERROR(ROUND((_xlfn.IFS(offer_sale_type="поставка",AB156,offer_sale_type="транзит",S156)*(1+AC156))/E156,2),0)</f>
        <v/>
      </c>
      <c r="AE156" s="76">
        <f>AD156*E156</f>
        <v/>
      </c>
      <c r="AF156" s="193">
        <f t="array" ref="AF156">IFERROR(ROUND(_xlfn.IFS(offer_sale_type="поставка",AB156,offer_sale_type="транзит",S156)*AC156,2),0)</f>
        <v/>
      </c>
      <c r="AG156" s="192">
        <f>$BD156*VLOOKUP($AG$3,$AF$4:$AG$7,2,FALSE)</f>
        <v/>
      </c>
      <c r="AH156" s="76">
        <f>SUM(AE156,AG156,AI156)*rate_forex_risk</f>
        <v/>
      </c>
      <c r="AI156" s="193">
        <f>IF(OR(seller_region="TR",offer_sale_type="экспорт"),0,rate_fin_comm)*SUM(AZ156,AZ156*AW156,T156)</f>
        <v/>
      </c>
      <c r="AJ156" s="118">
        <f>IFERROR(ROUND(SUM(AB156,AF156:AI156)/E156,2),0)</f>
        <v/>
      </c>
      <c r="AK156" s="76">
        <f>AJ156*E156</f>
        <v/>
      </c>
      <c r="AL156" s="174">
        <f>ROUND(IFERROR(AM156*E156,0),2)</f>
        <v/>
      </c>
      <c r="AM156" s="175">
        <f>ROUND(AJ156*(1+IF(offer_incoterms="DDP",IF((TODAY()+offer_turnaround_time)&gt;=helpsheet!$L$17,rate_vatRU_from_26,rate_vatRu_till_25),0)),2)</f>
        <v/>
      </c>
      <c r="AN156" s="192">
        <f>AL156-AK156</f>
        <v/>
      </c>
      <c r="AO156" s="76">
        <f>SUM(AY156,Y156:Z156,T156)*IF(AND(offer_incoterms="DDP",offer_sale_type&lt;&gt;"экспорт"),IF((TODAY()+offer_turnaround_time)&gt;=helpsheet!$L$17,rate_vatRU_from_26,rate_vatRu_till_25),0)</f>
        <v/>
      </c>
      <c r="AP156" s="193">
        <f>AN156-AO156</f>
        <v/>
      </c>
      <c r="AQ156" s="118">
        <f>IF(offer_sale_type="транзит",SUM(AF156:AI156,BA156,BB156),0)</f>
        <v/>
      </c>
      <c r="AR156" s="82">
        <f>HYPERLINK("https://www.alta.ru/tnved/code/")&amp;W156&amp;"/"</f>
        <v/>
      </c>
      <c r="AS156" s="157" t="n"/>
      <c r="AT156" s="162" t="n"/>
      <c r="AU156" s="76">
        <f>IF(ISBLANK(AT156),0,AJ156-AT156)</f>
        <v/>
      </c>
      <c r="AV156" s="157" t="n"/>
      <c r="AW156" s="75">
        <f>_xlfn.IFNA(VLOOKUP(L156,list_vat[],3,FALSE),0)</f>
        <v/>
      </c>
      <c r="AX156" s="76">
        <f>IFERROR(ROUND(S156*(1+AW156)/E156,2),0)</f>
        <v/>
      </c>
      <c r="AY156" s="76">
        <f>E156*AX156</f>
        <v/>
      </c>
      <c r="AZ156" s="192">
        <f>S156*(1+M156)</f>
        <v/>
      </c>
      <c r="BA156" s="76">
        <f>cost_fin_total*$BD156</f>
        <v/>
      </c>
      <c r="BB156" s="193">
        <f>credit_sales_interest*BD156</f>
        <v/>
      </c>
      <c r="BC156" s="102">
        <f>IFERROR(IF($I$13&gt;0,$I156/$I$13,$S156/$S$13),0)</f>
        <v/>
      </c>
      <c r="BD156" s="102">
        <f>IFERROR($S156/$S$13,0)</f>
        <v/>
      </c>
      <c r="BE156" s="413" t="inlineStr">
        <is>
          <t>$</t>
        </is>
      </c>
    </row>
    <row r="157" ht="12" customFormat="1" customHeight="1" s="65">
      <c r="A157" s="43" t="n">
        <v>142</v>
      </c>
      <c r="B157" s="166" t="n"/>
      <c r="C157" s="166" t="n"/>
      <c r="D157" s="166" t="n"/>
      <c r="E157" s="162" t="n"/>
      <c r="F157" s="166" t="n"/>
      <c r="G157" s="162" t="n"/>
      <c r="H157" s="162" t="n"/>
      <c r="I157" s="189">
        <f>E157*G157</f>
        <v/>
      </c>
      <c r="J157" s="195" t="n"/>
      <c r="K157" s="162" t="n"/>
      <c r="L157" s="168" t="n"/>
      <c r="M157" s="75">
        <f>_xlfn.XLOOKUP(L157,list_vat[Страна],list_vat[Ставка НДС %],0,0)</f>
        <v/>
      </c>
      <c r="N157" s="162">
        <f>IFERROR(IF(L157="Китай",K157,K157/(1+M157)),0)</f>
        <v/>
      </c>
      <c r="O157" s="169" t="n"/>
      <c r="P157" s="76">
        <f>N157*(1-O157)</f>
        <v/>
      </c>
      <c r="Q157" s="162" t="n"/>
      <c r="R157" s="162">
        <f>IF(ISBLANK(Q157),"введи курс",P157/Q157)</f>
        <v/>
      </c>
      <c r="S157" s="196">
        <f>IF(AND(ISNUMBER(E157),ISNUMBER(Q157)),E157*R157,0)</f>
        <v/>
      </c>
      <c r="T157" s="192">
        <f>$BC157*V$11</f>
        <v/>
      </c>
      <c r="U157" s="76">
        <f>$BC157*W$11</f>
        <v/>
      </c>
      <c r="V157" s="193">
        <f>+SUM(T157:U157)</f>
        <v/>
      </c>
      <c r="W157" s="191" t="n"/>
      <c r="X157" s="170" t="n"/>
      <c r="Y157" s="76">
        <f>ROUND(IF(offer_incoterms="DDP",X157*(S157*(1+AW157)+T157),0),2)</f>
        <v/>
      </c>
      <c r="Z157" s="188" t="n"/>
      <c r="AA157" s="192">
        <f>IFERROR(AB157/E157,0)</f>
        <v/>
      </c>
      <c r="AB157" s="76">
        <f>ROUND(SUM(S157,V157,Y157:Z157,BA157:BB157),2)</f>
        <v/>
      </c>
      <c r="AC157" s="797" t="n"/>
      <c r="AD157" s="192">
        <f t="array" ref="AD157">IFERROR(ROUND((_xlfn.IFS(offer_sale_type="поставка",AB157,offer_sale_type="транзит",S157)*(1+AC157))/E157,2),0)</f>
        <v/>
      </c>
      <c r="AE157" s="76">
        <f>AD157*E157</f>
        <v/>
      </c>
      <c r="AF157" s="193">
        <f t="array" ref="AF157">IFERROR(ROUND(_xlfn.IFS(offer_sale_type="поставка",AB157,offer_sale_type="транзит",S157)*AC157,2),0)</f>
        <v/>
      </c>
      <c r="AG157" s="192">
        <f>$BD157*VLOOKUP($AG$3,$AF$4:$AG$7,2,FALSE)</f>
        <v/>
      </c>
      <c r="AH157" s="76">
        <f>SUM(AE157,AG157,AI157)*rate_forex_risk</f>
        <v/>
      </c>
      <c r="AI157" s="193">
        <f>IF(OR(seller_region="TR",offer_sale_type="экспорт"),0,rate_fin_comm)*SUM(AZ157,AZ157*AW157,T157)</f>
        <v/>
      </c>
      <c r="AJ157" s="118">
        <f>IFERROR(ROUND(SUM(AB157,AF157:AI157)/E157,2),0)</f>
        <v/>
      </c>
      <c r="AK157" s="76">
        <f>AJ157*E157</f>
        <v/>
      </c>
      <c r="AL157" s="174">
        <f>ROUND(IFERROR(AM157*E157,0),2)</f>
        <v/>
      </c>
      <c r="AM157" s="175">
        <f>ROUND(AJ157*(1+IF(offer_incoterms="DDP",IF((TODAY()+offer_turnaround_time)&gt;=helpsheet!$L$17,rate_vatRU_from_26,rate_vatRu_till_25),0)),2)</f>
        <v/>
      </c>
      <c r="AN157" s="192">
        <f>AL157-AK157</f>
        <v/>
      </c>
      <c r="AO157" s="76">
        <f>SUM(AY157,Y157:Z157,T157)*IF(AND(offer_incoterms="DDP",offer_sale_type&lt;&gt;"экспорт"),IF((TODAY()+offer_turnaround_time)&gt;=helpsheet!$L$17,rate_vatRU_from_26,rate_vatRu_till_25),0)</f>
        <v/>
      </c>
      <c r="AP157" s="193">
        <f>AN157-AO157</f>
        <v/>
      </c>
      <c r="AQ157" s="118">
        <f>IF(offer_sale_type="транзит",SUM(AF157:AI157,BA157,BB157),0)</f>
        <v/>
      </c>
      <c r="AR157" s="82">
        <f>HYPERLINK("https://www.alta.ru/tnved/code/")&amp;W157&amp;"/"</f>
        <v/>
      </c>
      <c r="AS157" s="157" t="n"/>
      <c r="AT157" s="162" t="n"/>
      <c r="AU157" s="76">
        <f>IF(ISBLANK(AT157),0,AJ157-AT157)</f>
        <v/>
      </c>
      <c r="AV157" s="157" t="n"/>
      <c r="AW157" s="75">
        <f>_xlfn.IFNA(VLOOKUP(L157,list_vat[],3,FALSE),0)</f>
        <v/>
      </c>
      <c r="AX157" s="76">
        <f>IFERROR(ROUND(S157*(1+AW157)/E157,2),0)</f>
        <v/>
      </c>
      <c r="AY157" s="76">
        <f>E157*AX157</f>
        <v/>
      </c>
      <c r="AZ157" s="192">
        <f>S157*(1+M157)</f>
        <v/>
      </c>
      <c r="BA157" s="76">
        <f>cost_fin_total*$BD157</f>
        <v/>
      </c>
      <c r="BB157" s="193">
        <f>credit_sales_interest*BD157</f>
        <v/>
      </c>
      <c r="BC157" s="102">
        <f>IFERROR(IF($I$13&gt;0,$I157/$I$13,$S157/$S$13),0)</f>
        <v/>
      </c>
      <c r="BD157" s="102">
        <f>IFERROR($S157/$S$13,0)</f>
        <v/>
      </c>
      <c r="BE157" s="413" t="inlineStr">
        <is>
          <t>$</t>
        </is>
      </c>
    </row>
    <row r="158" ht="12" customFormat="1" customHeight="1" s="65">
      <c r="A158" s="43" t="n">
        <v>143</v>
      </c>
      <c r="B158" s="166" t="n"/>
      <c r="C158" s="166" t="n"/>
      <c r="D158" s="166" t="n"/>
      <c r="E158" s="162" t="n"/>
      <c r="F158" s="166" t="n"/>
      <c r="G158" s="162" t="n"/>
      <c r="H158" s="162" t="n"/>
      <c r="I158" s="189">
        <f>E158*G158</f>
        <v/>
      </c>
      <c r="J158" s="195" t="n"/>
      <c r="K158" s="162" t="n"/>
      <c r="L158" s="168" t="n"/>
      <c r="M158" s="75">
        <f>_xlfn.XLOOKUP(L158,list_vat[Страна],list_vat[Ставка НДС %],0,0)</f>
        <v/>
      </c>
      <c r="N158" s="162">
        <f>IFERROR(IF(L158="Китай",K158,K158/(1+M158)),0)</f>
        <v/>
      </c>
      <c r="O158" s="169" t="n"/>
      <c r="P158" s="76">
        <f>N158*(1-O158)</f>
        <v/>
      </c>
      <c r="Q158" s="162" t="n"/>
      <c r="R158" s="162">
        <f>IF(ISBLANK(Q158),"введи курс",P158/Q158)</f>
        <v/>
      </c>
      <c r="S158" s="196">
        <f>IF(AND(ISNUMBER(E158),ISNUMBER(Q158)),E158*R158,0)</f>
        <v/>
      </c>
      <c r="T158" s="192">
        <f>$BC158*V$11</f>
        <v/>
      </c>
      <c r="U158" s="76">
        <f>$BC158*W$11</f>
        <v/>
      </c>
      <c r="V158" s="193">
        <f>+SUM(T158:U158)</f>
        <v/>
      </c>
      <c r="W158" s="191" t="n"/>
      <c r="X158" s="170" t="n"/>
      <c r="Y158" s="76">
        <f>ROUND(IF(offer_incoterms="DDP",X158*(S158*(1+AW158)+T158),0),2)</f>
        <v/>
      </c>
      <c r="Z158" s="188" t="n"/>
      <c r="AA158" s="192">
        <f>IFERROR(AB158/E158,0)</f>
        <v/>
      </c>
      <c r="AB158" s="76">
        <f>ROUND(SUM(S158,V158,Y158:Z158,BA158:BB158),2)</f>
        <v/>
      </c>
      <c r="AC158" s="797" t="n"/>
      <c r="AD158" s="192">
        <f t="array" ref="AD158">IFERROR(ROUND((_xlfn.IFS(offer_sale_type="поставка",AB158,offer_sale_type="транзит",S158)*(1+AC158))/E158,2),0)</f>
        <v/>
      </c>
      <c r="AE158" s="76">
        <f>AD158*E158</f>
        <v/>
      </c>
      <c r="AF158" s="193">
        <f t="array" ref="AF158">IFERROR(ROUND(_xlfn.IFS(offer_sale_type="поставка",AB158,offer_sale_type="транзит",S158)*AC158,2),0)</f>
        <v/>
      </c>
      <c r="AG158" s="192">
        <f>$BD158*VLOOKUP($AG$3,$AF$4:$AG$7,2,FALSE)</f>
        <v/>
      </c>
      <c r="AH158" s="76">
        <f>SUM(AE158,AG158,AI158)*rate_forex_risk</f>
        <v/>
      </c>
      <c r="AI158" s="193">
        <f>IF(OR(seller_region="TR",offer_sale_type="экспорт"),0,rate_fin_comm)*SUM(AZ158,AZ158*AW158,T158)</f>
        <v/>
      </c>
      <c r="AJ158" s="118">
        <f>IFERROR(ROUND(SUM(AB158,AF158:AI158)/E158,2),0)</f>
        <v/>
      </c>
      <c r="AK158" s="76">
        <f>AJ158*E158</f>
        <v/>
      </c>
      <c r="AL158" s="174">
        <f>ROUND(IFERROR(AM158*E158,0),2)</f>
        <v/>
      </c>
      <c r="AM158" s="175">
        <f>ROUND(AJ158*(1+IF(offer_incoterms="DDP",IF((TODAY()+offer_turnaround_time)&gt;=helpsheet!$L$17,rate_vatRU_from_26,rate_vatRu_till_25),0)),2)</f>
        <v/>
      </c>
      <c r="AN158" s="192">
        <f>AL158-AK158</f>
        <v/>
      </c>
      <c r="AO158" s="76">
        <f>SUM(AY158,Y158:Z158,T158)*IF(AND(offer_incoterms="DDP",offer_sale_type&lt;&gt;"экспорт"),IF((TODAY()+offer_turnaround_time)&gt;=helpsheet!$L$17,rate_vatRU_from_26,rate_vatRu_till_25),0)</f>
        <v/>
      </c>
      <c r="AP158" s="193">
        <f>AN158-AO158</f>
        <v/>
      </c>
      <c r="AQ158" s="118">
        <f>IF(offer_sale_type="транзит",SUM(AF158:AI158,BA158,BB158),0)</f>
        <v/>
      </c>
      <c r="AR158" s="82">
        <f>HYPERLINK("https://www.alta.ru/tnved/code/")&amp;W158&amp;"/"</f>
        <v/>
      </c>
      <c r="AS158" s="157" t="n"/>
      <c r="AT158" s="162" t="n"/>
      <c r="AU158" s="76">
        <f>IF(ISBLANK(AT158),0,AJ158-AT158)</f>
        <v/>
      </c>
      <c r="AV158" s="157" t="n"/>
      <c r="AW158" s="75">
        <f>_xlfn.IFNA(VLOOKUP(L158,list_vat[],3,FALSE),0)</f>
        <v/>
      </c>
      <c r="AX158" s="76">
        <f>IFERROR(ROUND(S158*(1+AW158)/E158,2),0)</f>
        <v/>
      </c>
      <c r="AY158" s="76">
        <f>E158*AX158</f>
        <v/>
      </c>
      <c r="AZ158" s="192">
        <f>S158*(1+M158)</f>
        <v/>
      </c>
      <c r="BA158" s="76">
        <f>cost_fin_total*$BD158</f>
        <v/>
      </c>
      <c r="BB158" s="193">
        <f>credit_sales_interest*BD158</f>
        <v/>
      </c>
      <c r="BC158" s="102">
        <f>IFERROR(IF($I$13&gt;0,$I158/$I$13,$S158/$S$13),0)</f>
        <v/>
      </c>
      <c r="BD158" s="102">
        <f>IFERROR($S158/$S$13,0)</f>
        <v/>
      </c>
      <c r="BE158" s="413" t="inlineStr">
        <is>
          <t>$</t>
        </is>
      </c>
    </row>
    <row r="159" ht="12" customFormat="1" customHeight="1" s="65">
      <c r="A159" s="43" t="n">
        <v>144</v>
      </c>
      <c r="B159" s="166" t="n"/>
      <c r="C159" s="166" t="n"/>
      <c r="D159" s="166" t="n"/>
      <c r="E159" s="162" t="n"/>
      <c r="F159" s="166" t="n"/>
      <c r="G159" s="162" t="n"/>
      <c r="H159" s="162" t="n"/>
      <c r="I159" s="189">
        <f>E159*G159</f>
        <v/>
      </c>
      <c r="J159" s="195" t="n"/>
      <c r="K159" s="162" t="n"/>
      <c r="L159" s="168" t="n"/>
      <c r="M159" s="75">
        <f>_xlfn.XLOOKUP(L159,list_vat[Страна],list_vat[Ставка НДС %],0,0)</f>
        <v/>
      </c>
      <c r="N159" s="162">
        <f>IFERROR(IF(L159="Китай",K159,K159/(1+M159)),0)</f>
        <v/>
      </c>
      <c r="O159" s="169" t="n"/>
      <c r="P159" s="76">
        <f>N159*(1-O159)</f>
        <v/>
      </c>
      <c r="Q159" s="162" t="n"/>
      <c r="R159" s="162">
        <f>IF(ISBLANK(Q159),"введи курс",P159/Q159)</f>
        <v/>
      </c>
      <c r="S159" s="196">
        <f>IF(AND(ISNUMBER(E159),ISNUMBER(Q159)),E159*R159,0)</f>
        <v/>
      </c>
      <c r="T159" s="192">
        <f>$BC159*V$11</f>
        <v/>
      </c>
      <c r="U159" s="76">
        <f>$BC159*W$11</f>
        <v/>
      </c>
      <c r="V159" s="193">
        <f>+SUM(T159:U159)</f>
        <v/>
      </c>
      <c r="W159" s="191" t="n"/>
      <c r="X159" s="170" t="n"/>
      <c r="Y159" s="76">
        <f>ROUND(IF(offer_incoterms="DDP",X159*(S159*(1+AW159)+T159),0),2)</f>
        <v/>
      </c>
      <c r="Z159" s="188" t="n"/>
      <c r="AA159" s="192">
        <f>IFERROR(AB159/E159,0)</f>
        <v/>
      </c>
      <c r="AB159" s="76">
        <f>ROUND(SUM(S159,V159,Y159:Z159,BA159:BB159),2)</f>
        <v/>
      </c>
      <c r="AC159" s="797" t="n"/>
      <c r="AD159" s="192">
        <f t="array" ref="AD159">IFERROR(ROUND((_xlfn.IFS(offer_sale_type="поставка",AB159,offer_sale_type="транзит",S159)*(1+AC159))/E159,2),0)</f>
        <v/>
      </c>
      <c r="AE159" s="76">
        <f>AD159*E159</f>
        <v/>
      </c>
      <c r="AF159" s="193">
        <f t="array" ref="AF159">IFERROR(ROUND(_xlfn.IFS(offer_sale_type="поставка",AB159,offer_sale_type="транзит",S159)*AC159,2),0)</f>
        <v/>
      </c>
      <c r="AG159" s="192">
        <f>$BD159*VLOOKUP($AG$3,$AF$4:$AG$7,2,FALSE)</f>
        <v/>
      </c>
      <c r="AH159" s="76">
        <f>SUM(AE159,AG159,AI159)*rate_forex_risk</f>
        <v/>
      </c>
      <c r="AI159" s="193">
        <f>IF(OR(seller_region="TR",offer_sale_type="экспорт"),0,rate_fin_comm)*SUM(AZ159,AZ159*AW159,T159)</f>
        <v/>
      </c>
      <c r="AJ159" s="118">
        <f>IFERROR(ROUND(SUM(AB159,AF159:AI159)/E159,2),0)</f>
        <v/>
      </c>
      <c r="AK159" s="76">
        <f>AJ159*E159</f>
        <v/>
      </c>
      <c r="AL159" s="174">
        <f>ROUND(IFERROR(AM159*E159,0),2)</f>
        <v/>
      </c>
      <c r="AM159" s="175">
        <f>ROUND(AJ159*(1+IF(offer_incoterms="DDP",IF((TODAY()+offer_turnaround_time)&gt;=helpsheet!$L$17,rate_vatRU_from_26,rate_vatRu_till_25),0)),2)</f>
        <v/>
      </c>
      <c r="AN159" s="192">
        <f>AL159-AK159</f>
        <v/>
      </c>
      <c r="AO159" s="76">
        <f>SUM(AY159,Y159:Z159,T159)*IF(AND(offer_incoterms="DDP",offer_sale_type&lt;&gt;"экспорт"),IF((TODAY()+offer_turnaround_time)&gt;=helpsheet!$L$17,rate_vatRU_from_26,rate_vatRu_till_25),0)</f>
        <v/>
      </c>
      <c r="AP159" s="193">
        <f>AN159-AO159</f>
        <v/>
      </c>
      <c r="AQ159" s="118">
        <f>IF(offer_sale_type="транзит",SUM(AF159:AI159,BA159,BB159),0)</f>
        <v/>
      </c>
      <c r="AR159" s="82">
        <f>HYPERLINK("https://www.alta.ru/tnved/code/")&amp;W159&amp;"/"</f>
        <v/>
      </c>
      <c r="AS159" s="157" t="n"/>
      <c r="AT159" s="162" t="n"/>
      <c r="AU159" s="76">
        <f>IF(ISBLANK(AT159),0,AJ159-AT159)</f>
        <v/>
      </c>
      <c r="AV159" s="157" t="n"/>
      <c r="AW159" s="75">
        <f>_xlfn.IFNA(VLOOKUP(L159,list_vat[],3,FALSE),0)</f>
        <v/>
      </c>
      <c r="AX159" s="76">
        <f>IFERROR(ROUND(S159*(1+AW159)/E159,2),0)</f>
        <v/>
      </c>
      <c r="AY159" s="76">
        <f>E159*AX159</f>
        <v/>
      </c>
      <c r="AZ159" s="192">
        <f>S159*(1+M159)</f>
        <v/>
      </c>
      <c r="BA159" s="76">
        <f>cost_fin_total*$BD159</f>
        <v/>
      </c>
      <c r="BB159" s="193">
        <f>credit_sales_interest*BD159</f>
        <v/>
      </c>
      <c r="BC159" s="102">
        <f>IFERROR(IF($I$13&gt;0,$I159/$I$13,$S159/$S$13),0)</f>
        <v/>
      </c>
      <c r="BD159" s="102">
        <f>IFERROR($S159/$S$13,0)</f>
        <v/>
      </c>
      <c r="BE159" s="413" t="inlineStr">
        <is>
          <t>$</t>
        </is>
      </c>
    </row>
    <row r="160" ht="12" customFormat="1" customHeight="1" s="65">
      <c r="A160" s="43" t="n">
        <v>145</v>
      </c>
      <c r="B160" s="166" t="n"/>
      <c r="C160" s="166" t="n"/>
      <c r="D160" s="166" t="n"/>
      <c r="E160" s="162" t="n"/>
      <c r="F160" s="166" t="n"/>
      <c r="G160" s="162" t="n"/>
      <c r="H160" s="162" t="n"/>
      <c r="I160" s="189">
        <f>E160*G160</f>
        <v/>
      </c>
      <c r="J160" s="195" t="n"/>
      <c r="K160" s="162" t="n"/>
      <c r="L160" s="168" t="n"/>
      <c r="M160" s="75">
        <f>_xlfn.XLOOKUP(L160,list_vat[Страна],list_vat[Ставка НДС %],0,0)</f>
        <v/>
      </c>
      <c r="N160" s="162">
        <f>IFERROR(IF(L160="Китай",K160,K160/(1+M160)),0)</f>
        <v/>
      </c>
      <c r="O160" s="169" t="n"/>
      <c r="P160" s="76">
        <f>N160*(1-O160)</f>
        <v/>
      </c>
      <c r="Q160" s="162" t="n"/>
      <c r="R160" s="162">
        <f>IF(ISBLANK(Q160),"введи курс",P160/Q160)</f>
        <v/>
      </c>
      <c r="S160" s="196">
        <f>IF(AND(ISNUMBER(E160),ISNUMBER(Q160)),E160*R160,0)</f>
        <v/>
      </c>
      <c r="T160" s="192">
        <f>$BC160*V$11</f>
        <v/>
      </c>
      <c r="U160" s="76">
        <f>$BC160*W$11</f>
        <v/>
      </c>
      <c r="V160" s="193">
        <f>+SUM(T160:U160)</f>
        <v/>
      </c>
      <c r="W160" s="191" t="n"/>
      <c r="X160" s="170" t="n"/>
      <c r="Y160" s="76">
        <f>ROUND(IF(offer_incoterms="DDP",X160*(S160*(1+AW160)+T160),0),2)</f>
        <v/>
      </c>
      <c r="Z160" s="188" t="n"/>
      <c r="AA160" s="192">
        <f>IFERROR(AB160/E160,0)</f>
        <v/>
      </c>
      <c r="AB160" s="76">
        <f>ROUND(SUM(S160,V160,Y160:Z160,BA160:BB160),2)</f>
        <v/>
      </c>
      <c r="AC160" s="797" t="n"/>
      <c r="AD160" s="192">
        <f t="array" ref="AD160">IFERROR(ROUND((_xlfn.IFS(offer_sale_type="поставка",AB160,offer_sale_type="транзит",S160)*(1+AC160))/E160,2),0)</f>
        <v/>
      </c>
      <c r="AE160" s="76">
        <f>AD160*E160</f>
        <v/>
      </c>
      <c r="AF160" s="193">
        <f t="array" ref="AF160">IFERROR(ROUND(_xlfn.IFS(offer_sale_type="поставка",AB160,offer_sale_type="транзит",S160)*AC160,2),0)</f>
        <v/>
      </c>
      <c r="AG160" s="192">
        <f>$BD160*VLOOKUP($AG$3,$AF$4:$AG$7,2,FALSE)</f>
        <v/>
      </c>
      <c r="AH160" s="76">
        <f>SUM(AE160,AG160,AI160)*rate_forex_risk</f>
        <v/>
      </c>
      <c r="AI160" s="193">
        <f>IF(OR(seller_region="TR",offer_sale_type="экспорт"),0,rate_fin_comm)*SUM(AZ160,AZ160*AW160,T160)</f>
        <v/>
      </c>
      <c r="AJ160" s="118">
        <f>IFERROR(ROUND(SUM(AB160,AF160:AI160)/E160,2),0)</f>
        <v/>
      </c>
      <c r="AK160" s="76">
        <f>AJ160*E160</f>
        <v/>
      </c>
      <c r="AL160" s="174">
        <f>ROUND(IFERROR(AM160*E160,0),2)</f>
        <v/>
      </c>
      <c r="AM160" s="175">
        <f>ROUND(AJ160*(1+IF(offer_incoterms="DDP",IF((TODAY()+offer_turnaround_time)&gt;=helpsheet!$L$17,rate_vatRU_from_26,rate_vatRu_till_25),0)),2)</f>
        <v/>
      </c>
      <c r="AN160" s="192">
        <f>AL160-AK160</f>
        <v/>
      </c>
      <c r="AO160" s="76">
        <f>SUM(AY160,Y160:Z160,T160)*IF(AND(offer_incoterms="DDP",offer_sale_type&lt;&gt;"экспорт"),IF((TODAY()+offer_turnaround_time)&gt;=helpsheet!$L$17,rate_vatRU_from_26,rate_vatRu_till_25),0)</f>
        <v/>
      </c>
      <c r="AP160" s="193">
        <f>AN160-AO160</f>
        <v/>
      </c>
      <c r="AQ160" s="118">
        <f>IF(offer_sale_type="транзит",SUM(AF160:AI160,BA160,BB160),0)</f>
        <v/>
      </c>
      <c r="AR160" s="82">
        <f>HYPERLINK("https://www.alta.ru/tnved/code/")&amp;W160&amp;"/"</f>
        <v/>
      </c>
      <c r="AS160" s="157" t="n"/>
      <c r="AT160" s="162" t="n"/>
      <c r="AU160" s="76">
        <f>IF(ISBLANK(AT160),0,AJ160-AT160)</f>
        <v/>
      </c>
      <c r="AV160" s="157" t="n"/>
      <c r="AW160" s="75">
        <f>_xlfn.IFNA(VLOOKUP(L160,list_vat[],3,FALSE),0)</f>
        <v/>
      </c>
      <c r="AX160" s="76">
        <f>IFERROR(ROUND(S160*(1+AW160)/E160,2),0)</f>
        <v/>
      </c>
      <c r="AY160" s="76">
        <f>E160*AX160</f>
        <v/>
      </c>
      <c r="AZ160" s="192">
        <f>S160*(1+M160)</f>
        <v/>
      </c>
      <c r="BA160" s="76">
        <f>cost_fin_total*$BD160</f>
        <v/>
      </c>
      <c r="BB160" s="193">
        <f>credit_sales_interest*BD160</f>
        <v/>
      </c>
      <c r="BC160" s="102">
        <f>IFERROR(IF($I$13&gt;0,$I160/$I$13,$S160/$S$13),0)</f>
        <v/>
      </c>
      <c r="BD160" s="102">
        <f>IFERROR($S160/$S$13,0)</f>
        <v/>
      </c>
      <c r="BE160" s="413" t="inlineStr">
        <is>
          <t>$</t>
        </is>
      </c>
    </row>
    <row r="161" ht="12" customFormat="1" customHeight="1" s="65">
      <c r="A161" s="43" t="n">
        <v>146</v>
      </c>
      <c r="B161" s="166" t="n"/>
      <c r="C161" s="166" t="n"/>
      <c r="D161" s="166" t="n"/>
      <c r="E161" s="162" t="n"/>
      <c r="F161" s="166" t="n"/>
      <c r="G161" s="162" t="n"/>
      <c r="H161" s="162" t="n"/>
      <c r="I161" s="189">
        <f>E161*G161</f>
        <v/>
      </c>
      <c r="J161" s="195" t="n"/>
      <c r="K161" s="162" t="n"/>
      <c r="L161" s="168" t="n"/>
      <c r="M161" s="75">
        <f>_xlfn.XLOOKUP(L161,list_vat[Страна],list_vat[Ставка НДС %],0,0)</f>
        <v/>
      </c>
      <c r="N161" s="162">
        <f>IFERROR(IF(L161="Китай",K161,K161/(1+M161)),0)</f>
        <v/>
      </c>
      <c r="O161" s="169" t="n"/>
      <c r="P161" s="76">
        <f>N161*(1-O161)</f>
        <v/>
      </c>
      <c r="Q161" s="162" t="n"/>
      <c r="R161" s="162">
        <f>IF(ISBLANK(Q161),"введи курс",P161/Q161)</f>
        <v/>
      </c>
      <c r="S161" s="196">
        <f>IF(AND(ISNUMBER(E161),ISNUMBER(Q161)),E161*R161,0)</f>
        <v/>
      </c>
      <c r="T161" s="192">
        <f>$BC161*V$11</f>
        <v/>
      </c>
      <c r="U161" s="76">
        <f>$BC161*W$11</f>
        <v/>
      </c>
      <c r="V161" s="193">
        <f>+SUM(T161:U161)</f>
        <v/>
      </c>
      <c r="W161" s="191" t="n"/>
      <c r="X161" s="170" t="n"/>
      <c r="Y161" s="76">
        <f>ROUND(IF(offer_incoterms="DDP",X161*(S161*(1+AW161)+T161),0),2)</f>
        <v/>
      </c>
      <c r="Z161" s="188" t="n"/>
      <c r="AA161" s="192">
        <f>IFERROR(AB161/E161,0)</f>
        <v/>
      </c>
      <c r="AB161" s="76">
        <f>ROUND(SUM(S161,V161,Y161:Z161,BA161:BB161),2)</f>
        <v/>
      </c>
      <c r="AC161" s="797" t="n"/>
      <c r="AD161" s="192">
        <f t="array" ref="AD161">IFERROR(ROUND((_xlfn.IFS(offer_sale_type="поставка",AB161,offer_sale_type="транзит",S161)*(1+AC161))/E161,2),0)</f>
        <v/>
      </c>
      <c r="AE161" s="76">
        <f>AD161*E161</f>
        <v/>
      </c>
      <c r="AF161" s="193">
        <f t="array" ref="AF161">IFERROR(ROUND(_xlfn.IFS(offer_sale_type="поставка",AB161,offer_sale_type="транзит",S161)*AC161,2),0)</f>
        <v/>
      </c>
      <c r="AG161" s="192">
        <f>$BD161*VLOOKUP($AG$3,$AF$4:$AG$7,2,FALSE)</f>
        <v/>
      </c>
      <c r="AH161" s="76">
        <f>SUM(AE161,AG161,AI161)*rate_forex_risk</f>
        <v/>
      </c>
      <c r="AI161" s="193">
        <f>IF(OR(seller_region="TR",offer_sale_type="экспорт"),0,rate_fin_comm)*SUM(AZ161,AZ161*AW161,T161)</f>
        <v/>
      </c>
      <c r="AJ161" s="118">
        <f>IFERROR(ROUND(SUM(AB161,AF161:AI161)/E161,2),0)</f>
        <v/>
      </c>
      <c r="AK161" s="76">
        <f>AJ161*E161</f>
        <v/>
      </c>
      <c r="AL161" s="174">
        <f>ROUND(IFERROR(AM161*E161,0),2)</f>
        <v/>
      </c>
      <c r="AM161" s="175">
        <f>ROUND(AJ161*(1+IF(offer_incoterms="DDP",IF((TODAY()+offer_turnaround_time)&gt;=helpsheet!$L$17,rate_vatRU_from_26,rate_vatRu_till_25),0)),2)</f>
        <v/>
      </c>
      <c r="AN161" s="192">
        <f>AL161-AK161</f>
        <v/>
      </c>
      <c r="AO161" s="76">
        <f>SUM(AY161,Y161:Z161,T161)*IF(AND(offer_incoterms="DDP",offer_sale_type&lt;&gt;"экспорт"),IF((TODAY()+offer_turnaround_time)&gt;=helpsheet!$L$17,rate_vatRU_from_26,rate_vatRu_till_25),0)</f>
        <v/>
      </c>
      <c r="AP161" s="193">
        <f>AN161-AO161</f>
        <v/>
      </c>
      <c r="AQ161" s="118">
        <f>IF(offer_sale_type="транзит",SUM(AF161:AI161,BA161,BB161),0)</f>
        <v/>
      </c>
      <c r="AR161" s="82">
        <f>HYPERLINK("https://www.alta.ru/tnved/code/")&amp;W161&amp;"/"</f>
        <v/>
      </c>
      <c r="AS161" s="157" t="n"/>
      <c r="AT161" s="162" t="n"/>
      <c r="AU161" s="76">
        <f>IF(ISBLANK(AT161),0,AJ161-AT161)</f>
        <v/>
      </c>
      <c r="AV161" s="157" t="n"/>
      <c r="AW161" s="75">
        <f>_xlfn.IFNA(VLOOKUP(L161,list_vat[],3,FALSE),0)</f>
        <v/>
      </c>
      <c r="AX161" s="76">
        <f>IFERROR(ROUND(S161*(1+AW161)/E161,2),0)</f>
        <v/>
      </c>
      <c r="AY161" s="76">
        <f>E161*AX161</f>
        <v/>
      </c>
      <c r="AZ161" s="192">
        <f>S161*(1+M161)</f>
        <v/>
      </c>
      <c r="BA161" s="76">
        <f>cost_fin_total*$BD161</f>
        <v/>
      </c>
      <c r="BB161" s="193">
        <f>credit_sales_interest*BD161</f>
        <v/>
      </c>
      <c r="BC161" s="102">
        <f>IFERROR(IF($I$13&gt;0,$I161/$I$13,$S161/$S$13),0)</f>
        <v/>
      </c>
      <c r="BD161" s="102">
        <f>IFERROR($S161/$S$13,0)</f>
        <v/>
      </c>
      <c r="BE161" s="413" t="inlineStr">
        <is>
          <t>$</t>
        </is>
      </c>
    </row>
    <row r="162" ht="12" customFormat="1" customHeight="1" s="65">
      <c r="A162" s="43" t="n">
        <v>147</v>
      </c>
      <c r="B162" s="166" t="n"/>
      <c r="C162" s="166" t="n"/>
      <c r="D162" s="166" t="n"/>
      <c r="E162" s="162" t="n"/>
      <c r="F162" s="166" t="n"/>
      <c r="G162" s="162" t="n"/>
      <c r="H162" s="162" t="n"/>
      <c r="I162" s="189">
        <f>E162*G162</f>
        <v/>
      </c>
      <c r="J162" s="195" t="n"/>
      <c r="K162" s="162" t="n"/>
      <c r="L162" s="168" t="n"/>
      <c r="M162" s="75">
        <f>_xlfn.XLOOKUP(L162,list_vat[Страна],list_vat[Ставка НДС %],0,0)</f>
        <v/>
      </c>
      <c r="N162" s="162">
        <f>IFERROR(IF(L162="Китай",K162,K162/(1+M162)),0)</f>
        <v/>
      </c>
      <c r="O162" s="169" t="n"/>
      <c r="P162" s="76">
        <f>N162*(1-O162)</f>
        <v/>
      </c>
      <c r="Q162" s="162" t="n"/>
      <c r="R162" s="162">
        <f>IF(ISBLANK(Q162),"введи курс",P162/Q162)</f>
        <v/>
      </c>
      <c r="S162" s="196">
        <f>IF(AND(ISNUMBER(E162),ISNUMBER(Q162)),E162*R162,0)</f>
        <v/>
      </c>
      <c r="T162" s="192">
        <f>$BC162*V$11</f>
        <v/>
      </c>
      <c r="U162" s="76">
        <f>$BC162*W$11</f>
        <v/>
      </c>
      <c r="V162" s="193">
        <f>+SUM(T162:U162)</f>
        <v/>
      </c>
      <c r="W162" s="191" t="n"/>
      <c r="X162" s="170" t="n"/>
      <c r="Y162" s="76">
        <f>ROUND(IF(offer_incoterms="DDP",X162*(S162*(1+AW162)+T162),0),2)</f>
        <v/>
      </c>
      <c r="Z162" s="188" t="n"/>
      <c r="AA162" s="192">
        <f>IFERROR(AB162/E162,0)</f>
        <v/>
      </c>
      <c r="AB162" s="76">
        <f>ROUND(SUM(S162,V162,Y162:Z162,BA162:BB162),2)</f>
        <v/>
      </c>
      <c r="AC162" s="797" t="n"/>
      <c r="AD162" s="192">
        <f t="array" ref="AD162">IFERROR(ROUND((_xlfn.IFS(offer_sale_type="поставка",AB162,offer_sale_type="транзит",S162)*(1+AC162))/E162,2),0)</f>
        <v/>
      </c>
      <c r="AE162" s="76">
        <f>AD162*E162</f>
        <v/>
      </c>
      <c r="AF162" s="193">
        <f t="array" ref="AF162">IFERROR(ROUND(_xlfn.IFS(offer_sale_type="поставка",AB162,offer_sale_type="транзит",S162)*AC162,2),0)</f>
        <v/>
      </c>
      <c r="AG162" s="192">
        <f>$BD162*VLOOKUP($AG$3,$AF$4:$AG$7,2,FALSE)</f>
        <v/>
      </c>
      <c r="AH162" s="76">
        <f>SUM(AE162,AG162,AI162)*rate_forex_risk</f>
        <v/>
      </c>
      <c r="AI162" s="193">
        <f>IF(OR(seller_region="TR",offer_sale_type="экспорт"),0,rate_fin_comm)*SUM(AZ162,AZ162*AW162,T162)</f>
        <v/>
      </c>
      <c r="AJ162" s="118">
        <f>IFERROR(ROUND(SUM(AB162,AF162:AI162)/E162,2),0)</f>
        <v/>
      </c>
      <c r="AK162" s="76">
        <f>AJ162*E162</f>
        <v/>
      </c>
      <c r="AL162" s="174">
        <f>ROUND(IFERROR(AM162*E162,0),2)</f>
        <v/>
      </c>
      <c r="AM162" s="175">
        <f>ROUND(AJ162*(1+IF(offer_incoterms="DDP",IF((TODAY()+offer_turnaround_time)&gt;=helpsheet!$L$17,rate_vatRU_from_26,rate_vatRu_till_25),0)),2)</f>
        <v/>
      </c>
      <c r="AN162" s="192">
        <f>AL162-AK162</f>
        <v/>
      </c>
      <c r="AO162" s="76">
        <f>SUM(AY162,Y162:Z162,T162)*IF(AND(offer_incoterms="DDP",offer_sale_type&lt;&gt;"экспорт"),IF((TODAY()+offer_turnaround_time)&gt;=helpsheet!$L$17,rate_vatRU_from_26,rate_vatRu_till_25),0)</f>
        <v/>
      </c>
      <c r="AP162" s="193">
        <f>AN162-AO162</f>
        <v/>
      </c>
      <c r="AQ162" s="118">
        <f>IF(offer_sale_type="транзит",SUM(AF162:AI162,BA162,BB162),0)</f>
        <v/>
      </c>
      <c r="AR162" s="82">
        <f>HYPERLINK("https://www.alta.ru/tnved/code/")&amp;W162&amp;"/"</f>
        <v/>
      </c>
      <c r="AS162" s="157" t="n"/>
      <c r="AT162" s="162" t="n"/>
      <c r="AU162" s="76">
        <f>IF(ISBLANK(AT162),0,AJ162-AT162)</f>
        <v/>
      </c>
      <c r="AV162" s="157" t="n"/>
      <c r="AW162" s="75">
        <f>_xlfn.IFNA(VLOOKUP(L162,list_vat[],3,FALSE),0)</f>
        <v/>
      </c>
      <c r="AX162" s="76">
        <f>IFERROR(ROUND(S162*(1+AW162)/E162,2),0)</f>
        <v/>
      </c>
      <c r="AY162" s="76">
        <f>E162*AX162</f>
        <v/>
      </c>
      <c r="AZ162" s="192">
        <f>S162*(1+M162)</f>
        <v/>
      </c>
      <c r="BA162" s="76">
        <f>cost_fin_total*$BD162</f>
        <v/>
      </c>
      <c r="BB162" s="193">
        <f>credit_sales_interest*BD162</f>
        <v/>
      </c>
      <c r="BC162" s="102">
        <f>IFERROR(IF($I$13&gt;0,$I162/$I$13,$S162/$S$13),0)</f>
        <v/>
      </c>
      <c r="BD162" s="102">
        <f>IFERROR($S162/$S$13,0)</f>
        <v/>
      </c>
      <c r="BE162" s="413" t="inlineStr">
        <is>
          <t>$</t>
        </is>
      </c>
    </row>
    <row r="163" ht="12" customFormat="1" customHeight="1" s="65">
      <c r="A163" s="43" t="n">
        <v>148</v>
      </c>
      <c r="B163" s="166" t="n"/>
      <c r="C163" s="166" t="n"/>
      <c r="D163" s="166" t="n"/>
      <c r="E163" s="162" t="n"/>
      <c r="F163" s="166" t="n"/>
      <c r="G163" s="162" t="n"/>
      <c r="H163" s="162" t="n"/>
      <c r="I163" s="189">
        <f>E163*G163</f>
        <v/>
      </c>
      <c r="J163" s="195" t="n"/>
      <c r="K163" s="162" t="n"/>
      <c r="L163" s="168" t="n"/>
      <c r="M163" s="75">
        <f>_xlfn.XLOOKUP(L163,list_vat[Страна],list_vat[Ставка НДС %],0,0)</f>
        <v/>
      </c>
      <c r="N163" s="162">
        <f>IFERROR(IF(L163="Китай",K163,K163/(1+M163)),0)</f>
        <v/>
      </c>
      <c r="O163" s="169" t="n"/>
      <c r="P163" s="76">
        <f>N163*(1-O163)</f>
        <v/>
      </c>
      <c r="Q163" s="162" t="n"/>
      <c r="R163" s="162">
        <f>IF(ISBLANK(Q163),"введи курс",P163/Q163)</f>
        <v/>
      </c>
      <c r="S163" s="196">
        <f>IF(AND(ISNUMBER(E163),ISNUMBER(Q163)),E163*R163,0)</f>
        <v/>
      </c>
      <c r="T163" s="192">
        <f>$BC163*V$11</f>
        <v/>
      </c>
      <c r="U163" s="76">
        <f>$BC163*W$11</f>
        <v/>
      </c>
      <c r="V163" s="193">
        <f>+SUM(T163:U163)</f>
        <v/>
      </c>
      <c r="W163" s="191" t="n"/>
      <c r="X163" s="170" t="n"/>
      <c r="Y163" s="76">
        <f>ROUND(IF(offer_incoterms="DDP",X163*(S163*(1+AW163)+T163),0),2)</f>
        <v/>
      </c>
      <c r="Z163" s="188" t="n"/>
      <c r="AA163" s="192">
        <f>IFERROR(AB163/E163,0)</f>
        <v/>
      </c>
      <c r="AB163" s="76">
        <f>ROUND(SUM(S163,V163,Y163:Z163,BA163:BB163),2)</f>
        <v/>
      </c>
      <c r="AC163" s="797" t="n"/>
      <c r="AD163" s="192">
        <f t="array" ref="AD163">IFERROR(ROUND((_xlfn.IFS(offer_sale_type="поставка",AB163,offer_sale_type="транзит",S163)*(1+AC163))/E163,2),0)</f>
        <v/>
      </c>
      <c r="AE163" s="76">
        <f>AD163*E163</f>
        <v/>
      </c>
      <c r="AF163" s="193">
        <f t="array" ref="AF163">IFERROR(ROUND(_xlfn.IFS(offer_sale_type="поставка",AB163,offer_sale_type="транзит",S163)*AC163,2),0)</f>
        <v/>
      </c>
      <c r="AG163" s="192">
        <f>$BD163*VLOOKUP($AG$3,$AF$4:$AG$7,2,FALSE)</f>
        <v/>
      </c>
      <c r="AH163" s="76">
        <f>SUM(AE163,AG163,AI163)*rate_forex_risk</f>
        <v/>
      </c>
      <c r="AI163" s="193">
        <f>IF(OR(seller_region="TR",offer_sale_type="экспорт"),0,rate_fin_comm)*SUM(AZ163,AZ163*AW163,T163)</f>
        <v/>
      </c>
      <c r="AJ163" s="118">
        <f>IFERROR(ROUND(SUM(AB163,AF163:AI163)/E163,2),0)</f>
        <v/>
      </c>
      <c r="AK163" s="76">
        <f>AJ163*E163</f>
        <v/>
      </c>
      <c r="AL163" s="174">
        <f>ROUND(IFERROR(AM163*E163,0),2)</f>
        <v/>
      </c>
      <c r="AM163" s="175">
        <f>ROUND(AJ163*(1+IF(offer_incoterms="DDP",IF((TODAY()+offer_turnaround_time)&gt;=helpsheet!$L$17,rate_vatRU_from_26,rate_vatRu_till_25),0)),2)</f>
        <v/>
      </c>
      <c r="AN163" s="192">
        <f>AL163-AK163</f>
        <v/>
      </c>
      <c r="AO163" s="76">
        <f>SUM(AY163,Y163:Z163,T163)*IF(AND(offer_incoterms="DDP",offer_sale_type&lt;&gt;"экспорт"),IF((TODAY()+offer_turnaround_time)&gt;=helpsheet!$L$17,rate_vatRU_from_26,rate_vatRu_till_25),0)</f>
        <v/>
      </c>
      <c r="AP163" s="193">
        <f>AN163-AO163</f>
        <v/>
      </c>
      <c r="AQ163" s="118">
        <f>IF(offer_sale_type="транзит",SUM(AF163:AI163,BA163,BB163),0)</f>
        <v/>
      </c>
      <c r="AR163" s="82">
        <f>HYPERLINK("https://www.alta.ru/tnved/code/")&amp;W163&amp;"/"</f>
        <v/>
      </c>
      <c r="AS163" s="157" t="n"/>
      <c r="AT163" s="162" t="n"/>
      <c r="AU163" s="76">
        <f>IF(ISBLANK(AT163),0,AJ163-AT163)</f>
        <v/>
      </c>
      <c r="AV163" s="157" t="n"/>
      <c r="AW163" s="75">
        <f>_xlfn.IFNA(VLOOKUP(L163,list_vat[],3,FALSE),0)</f>
        <v/>
      </c>
      <c r="AX163" s="76">
        <f>IFERROR(ROUND(S163*(1+AW163)/E163,2),0)</f>
        <v/>
      </c>
      <c r="AY163" s="76">
        <f>E163*AX163</f>
        <v/>
      </c>
      <c r="AZ163" s="192">
        <f>S163*(1+M163)</f>
        <v/>
      </c>
      <c r="BA163" s="76">
        <f>cost_fin_total*$BD163</f>
        <v/>
      </c>
      <c r="BB163" s="193">
        <f>credit_sales_interest*BD163</f>
        <v/>
      </c>
      <c r="BC163" s="102">
        <f>IFERROR(IF($I$13&gt;0,$I163/$I$13,$S163/$S$13),0)</f>
        <v/>
      </c>
      <c r="BD163" s="102">
        <f>IFERROR($S163/$S$13,0)</f>
        <v/>
      </c>
      <c r="BE163" s="413" t="inlineStr">
        <is>
          <t>$</t>
        </is>
      </c>
    </row>
    <row r="164" ht="12" customFormat="1" customHeight="1" s="65">
      <c r="A164" s="43" t="n">
        <v>149</v>
      </c>
      <c r="B164" s="166" t="n"/>
      <c r="C164" s="166" t="n"/>
      <c r="D164" s="166" t="n"/>
      <c r="E164" s="162" t="n"/>
      <c r="F164" s="166" t="n"/>
      <c r="G164" s="162" t="n"/>
      <c r="H164" s="162" t="n"/>
      <c r="I164" s="189">
        <f>E164*G164</f>
        <v/>
      </c>
      <c r="J164" s="195" t="n"/>
      <c r="K164" s="162" t="n"/>
      <c r="L164" s="168" t="n"/>
      <c r="M164" s="75">
        <f>_xlfn.XLOOKUP(L164,list_vat[Страна],list_vat[Ставка НДС %],0,0)</f>
        <v/>
      </c>
      <c r="N164" s="162">
        <f>IFERROR(IF(L164="Китай",K164,K164/(1+M164)),0)</f>
        <v/>
      </c>
      <c r="O164" s="169" t="n"/>
      <c r="P164" s="76">
        <f>N164*(1-O164)</f>
        <v/>
      </c>
      <c r="Q164" s="162" t="n"/>
      <c r="R164" s="162">
        <f>IF(ISBLANK(Q164),"введи курс",P164/Q164)</f>
        <v/>
      </c>
      <c r="S164" s="196">
        <f>IF(AND(ISNUMBER(E164),ISNUMBER(Q164)),E164*R164,0)</f>
        <v/>
      </c>
      <c r="T164" s="192">
        <f>$BC164*V$11</f>
        <v/>
      </c>
      <c r="U164" s="76">
        <f>$BC164*W$11</f>
        <v/>
      </c>
      <c r="V164" s="193">
        <f>+SUM(T164:U164)</f>
        <v/>
      </c>
      <c r="W164" s="191" t="n"/>
      <c r="X164" s="170" t="n"/>
      <c r="Y164" s="76">
        <f>ROUND(IF(offer_incoterms="DDP",X164*(S164*(1+AW164)+T164),0),2)</f>
        <v/>
      </c>
      <c r="Z164" s="188" t="n"/>
      <c r="AA164" s="192">
        <f>IFERROR(AB164/E164,0)</f>
        <v/>
      </c>
      <c r="AB164" s="76">
        <f>ROUND(SUM(S164,V164,Y164:Z164,BA164:BB164),2)</f>
        <v/>
      </c>
      <c r="AC164" s="797" t="n"/>
      <c r="AD164" s="192">
        <f t="array" ref="AD164">IFERROR(ROUND((_xlfn.IFS(offer_sale_type="поставка",AB164,offer_sale_type="транзит",S164)*(1+AC164))/E164,2),0)</f>
        <v/>
      </c>
      <c r="AE164" s="76">
        <f>AD164*E164</f>
        <v/>
      </c>
      <c r="AF164" s="193">
        <f t="array" ref="AF164">IFERROR(ROUND(_xlfn.IFS(offer_sale_type="поставка",AB164,offer_sale_type="транзит",S164)*AC164,2),0)</f>
        <v/>
      </c>
      <c r="AG164" s="192">
        <f>$BD164*VLOOKUP($AG$3,$AF$4:$AG$7,2,FALSE)</f>
        <v/>
      </c>
      <c r="AH164" s="76">
        <f>SUM(AE164,AG164,AI164)*rate_forex_risk</f>
        <v/>
      </c>
      <c r="AI164" s="193">
        <f>IF(OR(seller_region="TR",offer_sale_type="экспорт"),0,rate_fin_comm)*SUM(AZ164,AZ164*AW164,T164)</f>
        <v/>
      </c>
      <c r="AJ164" s="118">
        <f>IFERROR(ROUND(SUM(AB164,AF164:AI164)/E164,2),0)</f>
        <v/>
      </c>
      <c r="AK164" s="76">
        <f>AJ164*E164</f>
        <v/>
      </c>
      <c r="AL164" s="174">
        <f>ROUND(IFERROR(AM164*E164,0),2)</f>
        <v/>
      </c>
      <c r="AM164" s="175">
        <f>ROUND(AJ164*(1+IF(offer_incoterms="DDP",IF((TODAY()+offer_turnaround_time)&gt;=helpsheet!$L$17,rate_vatRU_from_26,rate_vatRu_till_25),0)),2)</f>
        <v/>
      </c>
      <c r="AN164" s="192">
        <f>AL164-AK164</f>
        <v/>
      </c>
      <c r="AO164" s="76">
        <f>SUM(AY164,Y164:Z164,T164)*IF(AND(offer_incoterms="DDP",offer_sale_type&lt;&gt;"экспорт"),IF((TODAY()+offer_turnaround_time)&gt;=helpsheet!$L$17,rate_vatRU_from_26,rate_vatRu_till_25),0)</f>
        <v/>
      </c>
      <c r="AP164" s="193">
        <f>AN164-AO164</f>
        <v/>
      </c>
      <c r="AQ164" s="118">
        <f>IF(offer_sale_type="транзит",SUM(AF164:AI164,BA164,BB164),0)</f>
        <v/>
      </c>
      <c r="AR164" s="82">
        <f>HYPERLINK("https://www.alta.ru/tnved/code/")&amp;W164&amp;"/"</f>
        <v/>
      </c>
      <c r="AS164" s="157" t="n"/>
      <c r="AT164" s="162" t="n"/>
      <c r="AU164" s="76">
        <f>IF(ISBLANK(AT164),0,AJ164-AT164)</f>
        <v/>
      </c>
      <c r="AV164" s="157" t="n"/>
      <c r="AW164" s="75">
        <f>_xlfn.IFNA(VLOOKUP(L164,list_vat[],3,FALSE),0)</f>
        <v/>
      </c>
      <c r="AX164" s="76">
        <f>IFERROR(ROUND(S164*(1+AW164)/E164,2),0)</f>
        <v/>
      </c>
      <c r="AY164" s="76">
        <f>E164*AX164</f>
        <v/>
      </c>
      <c r="AZ164" s="192">
        <f>S164*(1+M164)</f>
        <v/>
      </c>
      <c r="BA164" s="76">
        <f>cost_fin_total*$BD164</f>
        <v/>
      </c>
      <c r="BB164" s="193">
        <f>credit_sales_interest*BD164</f>
        <v/>
      </c>
      <c r="BC164" s="102">
        <f>IFERROR(IF($I$13&gt;0,$I164/$I$13,$S164/$S$13),0)</f>
        <v/>
      </c>
      <c r="BD164" s="102">
        <f>IFERROR($S164/$S$13,0)</f>
        <v/>
      </c>
      <c r="BE164" s="413" t="inlineStr">
        <is>
          <t>$</t>
        </is>
      </c>
    </row>
    <row r="165" ht="12" customFormat="1" customHeight="1" s="65">
      <c r="A165" s="43" t="n">
        <v>150</v>
      </c>
      <c r="B165" s="166" t="n"/>
      <c r="C165" s="166" t="n"/>
      <c r="D165" s="166" t="n"/>
      <c r="E165" s="162" t="n"/>
      <c r="F165" s="166" t="n"/>
      <c r="G165" s="162" t="n"/>
      <c r="H165" s="162" t="n"/>
      <c r="I165" s="189">
        <f>E165*G165</f>
        <v/>
      </c>
      <c r="J165" s="195" t="n"/>
      <c r="K165" s="162" t="n"/>
      <c r="L165" s="168" t="n"/>
      <c r="M165" s="75">
        <f>_xlfn.XLOOKUP(L165,list_vat[Страна],list_vat[Ставка НДС %],0,0)</f>
        <v/>
      </c>
      <c r="N165" s="162">
        <f>IFERROR(IF(L165="Китай",K165,K165/(1+M165)),0)</f>
        <v/>
      </c>
      <c r="O165" s="169" t="n"/>
      <c r="P165" s="76">
        <f>N165*(1-O165)</f>
        <v/>
      </c>
      <c r="Q165" s="162" t="n"/>
      <c r="R165" s="162">
        <f>IF(ISBLANK(Q165),"введи курс",P165/Q165)</f>
        <v/>
      </c>
      <c r="S165" s="196">
        <f>IF(AND(ISNUMBER(E165),ISNUMBER(Q165)),E165*R165,0)</f>
        <v/>
      </c>
      <c r="T165" s="192">
        <f>$BC165*V$11</f>
        <v/>
      </c>
      <c r="U165" s="76">
        <f>$BC165*W$11</f>
        <v/>
      </c>
      <c r="V165" s="193">
        <f>+SUM(T165:U165)</f>
        <v/>
      </c>
      <c r="W165" s="191" t="n"/>
      <c r="X165" s="170" t="n"/>
      <c r="Y165" s="76">
        <f>ROUND(IF(offer_incoterms="DDP",X165*(S165*(1+AW165)+T165),0),2)</f>
        <v/>
      </c>
      <c r="Z165" s="188" t="n"/>
      <c r="AA165" s="192">
        <f>IFERROR(AB165/E165,0)</f>
        <v/>
      </c>
      <c r="AB165" s="76">
        <f>ROUND(SUM(S165,V165,Y165:Z165,BA165:BB165),2)</f>
        <v/>
      </c>
      <c r="AC165" s="797" t="n"/>
      <c r="AD165" s="192">
        <f t="array" ref="AD165">IFERROR(ROUND((_xlfn.IFS(offer_sale_type="поставка",AB165,offer_sale_type="транзит",S165)*(1+AC165))/E165,2),0)</f>
        <v/>
      </c>
      <c r="AE165" s="76">
        <f>AD165*E165</f>
        <v/>
      </c>
      <c r="AF165" s="193">
        <f t="array" ref="AF165">IFERROR(ROUND(_xlfn.IFS(offer_sale_type="поставка",AB165,offer_sale_type="транзит",S165)*AC165,2),0)</f>
        <v/>
      </c>
      <c r="AG165" s="192">
        <f>$BD165*VLOOKUP($AG$3,$AF$4:$AG$7,2,FALSE)</f>
        <v/>
      </c>
      <c r="AH165" s="76">
        <f>SUM(AE165,AG165,AI165)*rate_forex_risk</f>
        <v/>
      </c>
      <c r="AI165" s="193">
        <f>IF(OR(seller_region="TR",offer_sale_type="экспорт"),0,rate_fin_comm)*SUM(AZ165,AZ165*AW165,T165)</f>
        <v/>
      </c>
      <c r="AJ165" s="118">
        <f>IFERROR(ROUND(SUM(AB165,AF165:AI165)/E165,2),0)</f>
        <v/>
      </c>
      <c r="AK165" s="76">
        <f>AJ165*E165</f>
        <v/>
      </c>
      <c r="AL165" s="174">
        <f>ROUND(IFERROR(AM165*E165,0),2)</f>
        <v/>
      </c>
      <c r="AM165" s="175">
        <f>ROUND(AJ165*(1+IF(offer_incoterms="DDP",IF((TODAY()+offer_turnaround_time)&gt;=helpsheet!$L$17,rate_vatRU_from_26,rate_vatRu_till_25),0)),2)</f>
        <v/>
      </c>
      <c r="AN165" s="192">
        <f>AL165-AK165</f>
        <v/>
      </c>
      <c r="AO165" s="76">
        <f>SUM(AY165,Y165:Z165,T165)*IF(AND(offer_incoterms="DDP",offer_sale_type&lt;&gt;"экспорт"),IF((TODAY()+offer_turnaround_time)&gt;=helpsheet!$L$17,rate_vatRU_from_26,rate_vatRu_till_25),0)</f>
        <v/>
      </c>
      <c r="AP165" s="193">
        <f>AN165-AO165</f>
        <v/>
      </c>
      <c r="AQ165" s="118">
        <f>IF(offer_sale_type="транзит",SUM(AF165:AI165,BA165,BB165),0)</f>
        <v/>
      </c>
      <c r="AR165" s="82">
        <f>HYPERLINK("https://www.alta.ru/tnved/code/")&amp;W165&amp;"/"</f>
        <v/>
      </c>
      <c r="AS165" s="157" t="n"/>
      <c r="AT165" s="162" t="n"/>
      <c r="AU165" s="76">
        <f>IF(ISBLANK(AT165),0,AJ165-AT165)</f>
        <v/>
      </c>
      <c r="AV165" s="157" t="n"/>
      <c r="AW165" s="75">
        <f>_xlfn.IFNA(VLOOKUP(L165,list_vat[],3,FALSE),0)</f>
        <v/>
      </c>
      <c r="AX165" s="76">
        <f>IFERROR(ROUND(S165*(1+AW165)/E165,2),0)</f>
        <v/>
      </c>
      <c r="AY165" s="76">
        <f>E165*AX165</f>
        <v/>
      </c>
      <c r="AZ165" s="192">
        <f>S165*(1+M165)</f>
        <v/>
      </c>
      <c r="BA165" s="76">
        <f>cost_fin_total*$BD165</f>
        <v/>
      </c>
      <c r="BB165" s="193">
        <f>credit_sales_interest*BD165</f>
        <v/>
      </c>
      <c r="BC165" s="102">
        <f>IFERROR(IF($I$13&gt;0,$I165/$I$13,$S165/$S$13),0)</f>
        <v/>
      </c>
      <c r="BD165" s="102">
        <f>IFERROR($S165/$S$13,0)</f>
        <v/>
      </c>
      <c r="BE165" s="413" t="inlineStr">
        <is>
          <t>$</t>
        </is>
      </c>
    </row>
    <row r="166" ht="12" customFormat="1" customHeight="1" s="65">
      <c r="A166" s="43" t="n">
        <v>151</v>
      </c>
      <c r="B166" s="166" t="n"/>
      <c r="C166" s="166" t="n"/>
      <c r="D166" s="166" t="n"/>
      <c r="E166" s="162" t="n"/>
      <c r="F166" s="166" t="n"/>
      <c r="G166" s="162" t="n"/>
      <c r="H166" s="162" t="n"/>
      <c r="I166" s="189">
        <f>E166*G166</f>
        <v/>
      </c>
      <c r="J166" s="195" t="n"/>
      <c r="K166" s="162" t="n"/>
      <c r="L166" s="168" t="n"/>
      <c r="M166" s="75">
        <f>_xlfn.XLOOKUP(L166,list_vat[Страна],list_vat[Ставка НДС %],0,0)</f>
        <v/>
      </c>
      <c r="N166" s="162">
        <f>IFERROR(IF(L166="Китай",K166,K166/(1+M166)),0)</f>
        <v/>
      </c>
      <c r="O166" s="169" t="n"/>
      <c r="P166" s="76">
        <f>N166*(1-O166)</f>
        <v/>
      </c>
      <c r="Q166" s="162" t="n"/>
      <c r="R166" s="162">
        <f>IF(ISBLANK(Q166),"введи курс",P166/Q166)</f>
        <v/>
      </c>
      <c r="S166" s="196">
        <f>IF(AND(ISNUMBER(E166),ISNUMBER(Q166)),E166*R166,0)</f>
        <v/>
      </c>
      <c r="T166" s="192">
        <f>$BC166*V$11</f>
        <v/>
      </c>
      <c r="U166" s="76">
        <f>$BC166*W$11</f>
        <v/>
      </c>
      <c r="V166" s="193">
        <f>+SUM(T166:U166)</f>
        <v/>
      </c>
      <c r="W166" s="191" t="n"/>
      <c r="X166" s="170" t="n"/>
      <c r="Y166" s="76">
        <f>ROUND(IF(offer_incoterms="DDP",X166*(S166*(1+AW166)+T166),0),2)</f>
        <v/>
      </c>
      <c r="Z166" s="188" t="n"/>
      <c r="AA166" s="192">
        <f>IFERROR(AB166/E166,0)</f>
        <v/>
      </c>
      <c r="AB166" s="76">
        <f>ROUND(SUM(S166,V166,Y166:Z166,BA166:BB166),2)</f>
        <v/>
      </c>
      <c r="AC166" s="797" t="n"/>
      <c r="AD166" s="192">
        <f t="array" ref="AD166">IFERROR(ROUND((_xlfn.IFS(offer_sale_type="поставка",AB166,offer_sale_type="транзит",S166)*(1+AC166))/E166,2),0)</f>
        <v/>
      </c>
      <c r="AE166" s="76">
        <f>AD166*E166</f>
        <v/>
      </c>
      <c r="AF166" s="193">
        <f t="array" ref="AF166">IFERROR(ROUND(_xlfn.IFS(offer_sale_type="поставка",AB166,offer_sale_type="транзит",S166)*AC166,2),0)</f>
        <v/>
      </c>
      <c r="AG166" s="192">
        <f>$BD166*VLOOKUP($AG$3,$AF$4:$AG$7,2,FALSE)</f>
        <v/>
      </c>
      <c r="AH166" s="76">
        <f>SUM(AE166,AG166,AI166)*rate_forex_risk</f>
        <v/>
      </c>
      <c r="AI166" s="193">
        <f>IF(OR(seller_region="TR",offer_sale_type="экспорт"),0,rate_fin_comm)*SUM(AZ166,AZ166*AW166,T166)</f>
        <v/>
      </c>
      <c r="AJ166" s="118">
        <f>IFERROR(ROUND(SUM(AB166,AF166:AI166)/E166,2),0)</f>
        <v/>
      </c>
      <c r="AK166" s="76">
        <f>AJ166*E166</f>
        <v/>
      </c>
      <c r="AL166" s="174">
        <f>ROUND(IFERROR(AM166*E166,0),2)</f>
        <v/>
      </c>
      <c r="AM166" s="175">
        <f>ROUND(AJ166*(1+IF(offer_incoterms="DDP",IF((TODAY()+offer_turnaround_time)&gt;=helpsheet!$L$17,rate_vatRU_from_26,rate_vatRu_till_25),0)),2)</f>
        <v/>
      </c>
      <c r="AN166" s="192">
        <f>AL166-AK166</f>
        <v/>
      </c>
      <c r="AO166" s="76">
        <f>SUM(AY166,Y166:Z166,T166)*IF(AND(offer_incoterms="DDP",offer_sale_type&lt;&gt;"экспорт"),IF((TODAY()+offer_turnaround_time)&gt;=helpsheet!$L$17,rate_vatRU_from_26,rate_vatRu_till_25),0)</f>
        <v/>
      </c>
      <c r="AP166" s="193">
        <f>AN166-AO166</f>
        <v/>
      </c>
      <c r="AQ166" s="118">
        <f>IF(offer_sale_type="транзит",SUM(AF166:AI166,BA166,BB166),0)</f>
        <v/>
      </c>
      <c r="AR166" s="82">
        <f>HYPERLINK("https://www.alta.ru/tnved/code/")&amp;W166&amp;"/"</f>
        <v/>
      </c>
      <c r="AS166" s="157" t="n"/>
      <c r="AT166" s="162" t="n"/>
      <c r="AU166" s="76">
        <f>IF(ISBLANK(AT166),0,AJ166-AT166)</f>
        <v/>
      </c>
      <c r="AV166" s="157" t="n"/>
      <c r="AW166" s="75">
        <f>_xlfn.IFNA(VLOOKUP(L166,list_vat[],3,FALSE),0)</f>
        <v/>
      </c>
      <c r="AX166" s="76">
        <f>IFERROR(ROUND(S166*(1+AW166)/E166,2),0)</f>
        <v/>
      </c>
      <c r="AY166" s="76">
        <f>E166*AX166</f>
        <v/>
      </c>
      <c r="AZ166" s="192">
        <f>S166*(1+M166)</f>
        <v/>
      </c>
      <c r="BA166" s="76">
        <f>cost_fin_total*$BD166</f>
        <v/>
      </c>
      <c r="BB166" s="193">
        <f>credit_sales_interest*BD166</f>
        <v/>
      </c>
      <c r="BC166" s="102">
        <f>IFERROR(IF($I$13&gt;0,$I166/$I$13,$S166/$S$13),0)</f>
        <v/>
      </c>
      <c r="BD166" s="102">
        <f>IFERROR($S166/$S$13,0)</f>
        <v/>
      </c>
      <c r="BE166" s="413" t="inlineStr">
        <is>
          <t>$</t>
        </is>
      </c>
    </row>
    <row r="167" ht="12" customFormat="1" customHeight="1" s="65">
      <c r="A167" s="43" t="n">
        <v>152</v>
      </c>
      <c r="B167" s="166" t="n"/>
      <c r="C167" s="166" t="n"/>
      <c r="D167" s="166" t="n"/>
      <c r="E167" s="162" t="n"/>
      <c r="F167" s="166" t="n"/>
      <c r="G167" s="162" t="n"/>
      <c r="H167" s="162" t="n"/>
      <c r="I167" s="189">
        <f>E167*G167</f>
        <v/>
      </c>
      <c r="J167" s="195" t="n"/>
      <c r="K167" s="162" t="n"/>
      <c r="L167" s="168" t="n"/>
      <c r="M167" s="75">
        <f>_xlfn.XLOOKUP(L167,list_vat[Страна],list_vat[Ставка НДС %],0,0)</f>
        <v/>
      </c>
      <c r="N167" s="162">
        <f>IFERROR(IF(L167="Китай",K167,K167/(1+M167)),0)</f>
        <v/>
      </c>
      <c r="O167" s="169" t="n"/>
      <c r="P167" s="76">
        <f>N167*(1-O167)</f>
        <v/>
      </c>
      <c r="Q167" s="162" t="n"/>
      <c r="R167" s="162">
        <f>IF(ISBLANK(Q167),"введи курс",P167/Q167)</f>
        <v/>
      </c>
      <c r="S167" s="196">
        <f>IF(AND(ISNUMBER(E167),ISNUMBER(Q167)),E167*R167,0)</f>
        <v/>
      </c>
      <c r="T167" s="192">
        <f>$BC167*V$11</f>
        <v/>
      </c>
      <c r="U167" s="76">
        <f>$BC167*W$11</f>
        <v/>
      </c>
      <c r="V167" s="193">
        <f>+SUM(T167:U167)</f>
        <v/>
      </c>
      <c r="W167" s="191" t="n"/>
      <c r="X167" s="170" t="n"/>
      <c r="Y167" s="76">
        <f>ROUND(IF(offer_incoterms="DDP",X167*(S167*(1+AW167)+T167),0),2)</f>
        <v/>
      </c>
      <c r="Z167" s="188" t="n"/>
      <c r="AA167" s="192">
        <f>IFERROR(AB167/E167,0)</f>
        <v/>
      </c>
      <c r="AB167" s="76">
        <f>ROUND(SUM(S167,V167,Y167:Z167,BA167:BB167),2)</f>
        <v/>
      </c>
      <c r="AC167" s="797" t="n"/>
      <c r="AD167" s="192">
        <f t="array" ref="AD167">IFERROR(ROUND((_xlfn.IFS(offer_sale_type="поставка",AB167,offer_sale_type="транзит",S167)*(1+AC167))/E167,2),0)</f>
        <v/>
      </c>
      <c r="AE167" s="76">
        <f>AD167*E167</f>
        <v/>
      </c>
      <c r="AF167" s="193">
        <f t="array" ref="AF167">IFERROR(ROUND(_xlfn.IFS(offer_sale_type="поставка",AB167,offer_sale_type="транзит",S167)*AC167,2),0)</f>
        <v/>
      </c>
      <c r="AG167" s="192">
        <f>$BD167*VLOOKUP($AG$3,$AF$4:$AG$7,2,FALSE)</f>
        <v/>
      </c>
      <c r="AH167" s="76">
        <f>SUM(AE167,AG167,AI167)*rate_forex_risk</f>
        <v/>
      </c>
      <c r="AI167" s="193">
        <f>IF(OR(seller_region="TR",offer_sale_type="экспорт"),0,rate_fin_comm)*SUM(AZ167,AZ167*AW167,T167)</f>
        <v/>
      </c>
      <c r="AJ167" s="118">
        <f>IFERROR(ROUND(SUM(AB167,AF167:AI167)/E167,2),0)</f>
        <v/>
      </c>
      <c r="AK167" s="76">
        <f>AJ167*E167</f>
        <v/>
      </c>
      <c r="AL167" s="174">
        <f>ROUND(IFERROR(AM167*E167,0),2)</f>
        <v/>
      </c>
      <c r="AM167" s="175">
        <f>ROUND(AJ167*(1+IF(offer_incoterms="DDP",IF((TODAY()+offer_turnaround_time)&gt;=helpsheet!$L$17,rate_vatRU_from_26,rate_vatRu_till_25),0)),2)</f>
        <v/>
      </c>
      <c r="AN167" s="192">
        <f>AL167-AK167</f>
        <v/>
      </c>
      <c r="AO167" s="76">
        <f>SUM(AY167,Y167:Z167,T167)*IF(AND(offer_incoterms="DDP",offer_sale_type&lt;&gt;"экспорт"),IF((TODAY()+offer_turnaround_time)&gt;=helpsheet!$L$17,rate_vatRU_from_26,rate_vatRu_till_25),0)</f>
        <v/>
      </c>
      <c r="AP167" s="193">
        <f>AN167-AO167</f>
        <v/>
      </c>
      <c r="AQ167" s="118">
        <f>IF(offer_sale_type="транзит",SUM(AF167:AI167,BA167,BB167),0)</f>
        <v/>
      </c>
      <c r="AR167" s="82">
        <f>HYPERLINK("https://www.alta.ru/tnved/code/")&amp;W167&amp;"/"</f>
        <v/>
      </c>
      <c r="AS167" s="157" t="n"/>
      <c r="AT167" s="162" t="n"/>
      <c r="AU167" s="76">
        <f>IF(ISBLANK(AT167),0,AJ167-AT167)</f>
        <v/>
      </c>
      <c r="AV167" s="157" t="n"/>
      <c r="AW167" s="75">
        <f>_xlfn.IFNA(VLOOKUP(L167,list_vat[],3,FALSE),0)</f>
        <v/>
      </c>
      <c r="AX167" s="76">
        <f>IFERROR(ROUND(S167*(1+AW167)/E167,2),0)</f>
        <v/>
      </c>
      <c r="AY167" s="76">
        <f>E167*AX167</f>
        <v/>
      </c>
      <c r="AZ167" s="192">
        <f>S167*(1+M167)</f>
        <v/>
      </c>
      <c r="BA167" s="76">
        <f>cost_fin_total*$BD167</f>
        <v/>
      </c>
      <c r="BB167" s="193">
        <f>credit_sales_interest*BD167</f>
        <v/>
      </c>
      <c r="BC167" s="102">
        <f>IFERROR(IF($I$13&gt;0,$I167/$I$13,$S167/$S$13),0)</f>
        <v/>
      </c>
      <c r="BD167" s="102">
        <f>IFERROR($S167/$S$13,0)</f>
        <v/>
      </c>
      <c r="BE167" s="413" t="inlineStr">
        <is>
          <t>$</t>
        </is>
      </c>
    </row>
    <row r="168" ht="12" customFormat="1" customHeight="1" s="65">
      <c r="A168" s="43" t="n">
        <v>153</v>
      </c>
      <c r="B168" s="166" t="n"/>
      <c r="C168" s="166" t="n"/>
      <c r="D168" s="166" t="n"/>
      <c r="E168" s="162" t="n"/>
      <c r="F168" s="166" t="n"/>
      <c r="G168" s="162" t="n"/>
      <c r="H168" s="162" t="n"/>
      <c r="I168" s="189">
        <f>E168*G168</f>
        <v/>
      </c>
      <c r="J168" s="195" t="n"/>
      <c r="K168" s="162" t="n"/>
      <c r="L168" s="168" t="n"/>
      <c r="M168" s="75">
        <f>_xlfn.XLOOKUP(L168,list_vat[Страна],list_vat[Ставка НДС %],0,0)</f>
        <v/>
      </c>
      <c r="N168" s="162">
        <f>IFERROR(IF(L168="Китай",K168,K168/(1+M168)),0)</f>
        <v/>
      </c>
      <c r="O168" s="169" t="n"/>
      <c r="P168" s="76">
        <f>N168*(1-O168)</f>
        <v/>
      </c>
      <c r="Q168" s="162" t="n"/>
      <c r="R168" s="162">
        <f>IF(ISBLANK(Q168),"введи курс",P168/Q168)</f>
        <v/>
      </c>
      <c r="S168" s="196">
        <f>IF(AND(ISNUMBER(E168),ISNUMBER(Q168)),E168*R168,0)</f>
        <v/>
      </c>
      <c r="T168" s="192">
        <f>$BC168*V$11</f>
        <v/>
      </c>
      <c r="U168" s="76">
        <f>$BC168*W$11</f>
        <v/>
      </c>
      <c r="V168" s="193">
        <f>+SUM(T168:U168)</f>
        <v/>
      </c>
      <c r="W168" s="191" t="n"/>
      <c r="X168" s="170" t="n"/>
      <c r="Y168" s="76">
        <f>ROUND(IF(offer_incoterms="DDP",X168*(S168*(1+AW168)+T168),0),2)</f>
        <v/>
      </c>
      <c r="Z168" s="188" t="n"/>
      <c r="AA168" s="192">
        <f>IFERROR(AB168/E168,0)</f>
        <v/>
      </c>
      <c r="AB168" s="76">
        <f>ROUND(SUM(S168,V168,Y168:Z168,BA168:BB168),2)</f>
        <v/>
      </c>
      <c r="AC168" s="797" t="n"/>
      <c r="AD168" s="192">
        <f t="array" ref="AD168">IFERROR(ROUND((_xlfn.IFS(offer_sale_type="поставка",AB168,offer_sale_type="транзит",S168)*(1+AC168))/E168,2),0)</f>
        <v/>
      </c>
      <c r="AE168" s="76">
        <f>AD168*E168</f>
        <v/>
      </c>
      <c r="AF168" s="193">
        <f t="array" ref="AF168">IFERROR(ROUND(_xlfn.IFS(offer_sale_type="поставка",AB168,offer_sale_type="транзит",S168)*AC168,2),0)</f>
        <v/>
      </c>
      <c r="AG168" s="192">
        <f>$BD168*VLOOKUP($AG$3,$AF$4:$AG$7,2,FALSE)</f>
        <v/>
      </c>
      <c r="AH168" s="76">
        <f>SUM(AE168,AG168,AI168)*rate_forex_risk</f>
        <v/>
      </c>
      <c r="AI168" s="193">
        <f>IF(OR(seller_region="TR",offer_sale_type="экспорт"),0,rate_fin_comm)*SUM(AZ168,AZ168*AW168,T168)</f>
        <v/>
      </c>
      <c r="AJ168" s="118">
        <f>IFERROR(ROUND(SUM(AB168,AF168:AI168)/E168,2),0)</f>
        <v/>
      </c>
      <c r="AK168" s="76">
        <f>AJ168*E168</f>
        <v/>
      </c>
      <c r="AL168" s="174">
        <f>ROUND(IFERROR(AM168*E168,0),2)</f>
        <v/>
      </c>
      <c r="AM168" s="175">
        <f>ROUND(AJ168*(1+IF(offer_incoterms="DDP",IF((TODAY()+offer_turnaround_time)&gt;=helpsheet!$L$17,rate_vatRU_from_26,rate_vatRu_till_25),0)),2)</f>
        <v/>
      </c>
      <c r="AN168" s="192">
        <f>AL168-AK168</f>
        <v/>
      </c>
      <c r="AO168" s="76">
        <f>SUM(AY168,Y168:Z168,T168)*IF(AND(offer_incoterms="DDP",offer_sale_type&lt;&gt;"экспорт"),IF((TODAY()+offer_turnaround_time)&gt;=helpsheet!$L$17,rate_vatRU_from_26,rate_vatRu_till_25),0)</f>
        <v/>
      </c>
      <c r="AP168" s="193">
        <f>AN168-AO168</f>
        <v/>
      </c>
      <c r="AQ168" s="118">
        <f>IF(offer_sale_type="транзит",SUM(AF168:AI168,BA168,BB168),0)</f>
        <v/>
      </c>
      <c r="AR168" s="82">
        <f>HYPERLINK("https://www.alta.ru/tnved/code/")&amp;W168&amp;"/"</f>
        <v/>
      </c>
      <c r="AS168" s="157" t="n"/>
      <c r="AT168" s="162" t="n"/>
      <c r="AU168" s="76">
        <f>IF(ISBLANK(AT168),0,AJ168-AT168)</f>
        <v/>
      </c>
      <c r="AV168" s="157" t="n"/>
      <c r="AW168" s="75">
        <f>_xlfn.IFNA(VLOOKUP(L168,list_vat[],3,FALSE),0)</f>
        <v/>
      </c>
      <c r="AX168" s="76">
        <f>IFERROR(ROUND(S168*(1+AW168)/E168,2),0)</f>
        <v/>
      </c>
      <c r="AY168" s="76">
        <f>E168*AX168</f>
        <v/>
      </c>
      <c r="AZ168" s="192">
        <f>S168*(1+M168)</f>
        <v/>
      </c>
      <c r="BA168" s="76">
        <f>cost_fin_total*$BD168</f>
        <v/>
      </c>
      <c r="BB168" s="193">
        <f>credit_sales_interest*BD168</f>
        <v/>
      </c>
      <c r="BC168" s="102">
        <f>IFERROR(IF($I$13&gt;0,$I168/$I$13,$S168/$S$13),0)</f>
        <v/>
      </c>
      <c r="BD168" s="102">
        <f>IFERROR($S168/$S$13,0)</f>
        <v/>
      </c>
      <c r="BE168" s="413" t="inlineStr">
        <is>
          <t>$</t>
        </is>
      </c>
    </row>
    <row r="169" ht="12" customFormat="1" customHeight="1" s="65">
      <c r="A169" s="43" t="n">
        <v>154</v>
      </c>
      <c r="B169" s="166" t="n"/>
      <c r="C169" s="166" t="n"/>
      <c r="D169" s="166" t="n"/>
      <c r="E169" s="162" t="n"/>
      <c r="F169" s="166" t="n"/>
      <c r="G169" s="162" t="n"/>
      <c r="H169" s="162" t="n"/>
      <c r="I169" s="189">
        <f>E169*G169</f>
        <v/>
      </c>
      <c r="J169" s="195" t="n"/>
      <c r="K169" s="162" t="n"/>
      <c r="L169" s="168" t="n"/>
      <c r="M169" s="75">
        <f>_xlfn.XLOOKUP(L169,list_vat[Страна],list_vat[Ставка НДС %],0,0)</f>
        <v/>
      </c>
      <c r="N169" s="162">
        <f>IFERROR(IF(L169="Китай",K169,K169/(1+M169)),0)</f>
        <v/>
      </c>
      <c r="O169" s="169" t="n"/>
      <c r="P169" s="76">
        <f>N169*(1-O169)</f>
        <v/>
      </c>
      <c r="Q169" s="162" t="n"/>
      <c r="R169" s="162">
        <f>IF(ISBLANK(Q169),"введи курс",P169/Q169)</f>
        <v/>
      </c>
      <c r="S169" s="196">
        <f>IF(AND(ISNUMBER(E169),ISNUMBER(Q169)),E169*R169,0)</f>
        <v/>
      </c>
      <c r="T169" s="192">
        <f>$BC169*V$11</f>
        <v/>
      </c>
      <c r="U169" s="76">
        <f>$BC169*W$11</f>
        <v/>
      </c>
      <c r="V169" s="193">
        <f>+SUM(T169:U169)</f>
        <v/>
      </c>
      <c r="W169" s="191" t="n"/>
      <c r="X169" s="170" t="n"/>
      <c r="Y169" s="76">
        <f>ROUND(IF(offer_incoterms="DDP",X169*(S169*(1+AW169)+T169),0),2)</f>
        <v/>
      </c>
      <c r="Z169" s="188" t="n"/>
      <c r="AA169" s="192">
        <f>IFERROR(AB169/E169,0)</f>
        <v/>
      </c>
      <c r="AB169" s="76">
        <f>ROUND(SUM(S169,V169,Y169:Z169,BA169:BB169),2)</f>
        <v/>
      </c>
      <c r="AC169" s="797" t="n"/>
      <c r="AD169" s="192">
        <f t="array" ref="AD169">IFERROR(ROUND((_xlfn.IFS(offer_sale_type="поставка",AB169,offer_sale_type="транзит",S169)*(1+AC169))/E169,2),0)</f>
        <v/>
      </c>
      <c r="AE169" s="76">
        <f>AD169*E169</f>
        <v/>
      </c>
      <c r="AF169" s="193">
        <f t="array" ref="AF169">IFERROR(ROUND(_xlfn.IFS(offer_sale_type="поставка",AB169,offer_sale_type="транзит",S169)*AC169,2),0)</f>
        <v/>
      </c>
      <c r="AG169" s="192">
        <f>$BD169*VLOOKUP($AG$3,$AF$4:$AG$7,2,FALSE)</f>
        <v/>
      </c>
      <c r="AH169" s="76">
        <f>SUM(AE169,AG169,AI169)*rate_forex_risk</f>
        <v/>
      </c>
      <c r="AI169" s="193">
        <f>IF(OR(seller_region="TR",offer_sale_type="экспорт"),0,rate_fin_comm)*SUM(AZ169,AZ169*AW169,T169)</f>
        <v/>
      </c>
      <c r="AJ169" s="118">
        <f>IFERROR(ROUND(SUM(AB169,AF169:AI169)/E169,2),0)</f>
        <v/>
      </c>
      <c r="AK169" s="76">
        <f>AJ169*E169</f>
        <v/>
      </c>
      <c r="AL169" s="174">
        <f>ROUND(IFERROR(AM169*E169,0),2)</f>
        <v/>
      </c>
      <c r="AM169" s="175">
        <f>ROUND(AJ169*(1+IF(offer_incoterms="DDP",IF((TODAY()+offer_turnaround_time)&gt;=helpsheet!$L$17,rate_vatRU_from_26,rate_vatRu_till_25),0)),2)</f>
        <v/>
      </c>
      <c r="AN169" s="192">
        <f>AL169-AK169</f>
        <v/>
      </c>
      <c r="AO169" s="76">
        <f>SUM(AY169,Y169:Z169,T169)*IF(AND(offer_incoterms="DDP",offer_sale_type&lt;&gt;"экспорт"),IF((TODAY()+offer_turnaround_time)&gt;=helpsheet!$L$17,rate_vatRU_from_26,rate_vatRu_till_25),0)</f>
        <v/>
      </c>
      <c r="AP169" s="193">
        <f>AN169-AO169</f>
        <v/>
      </c>
      <c r="AQ169" s="118">
        <f>IF(offer_sale_type="транзит",SUM(AF169:AI169,BA169,BB169),0)</f>
        <v/>
      </c>
      <c r="AR169" s="82">
        <f>HYPERLINK("https://www.alta.ru/tnved/code/")&amp;W169&amp;"/"</f>
        <v/>
      </c>
      <c r="AS169" s="157" t="n"/>
      <c r="AT169" s="162" t="n"/>
      <c r="AU169" s="76">
        <f>IF(ISBLANK(AT169),0,AJ169-AT169)</f>
        <v/>
      </c>
      <c r="AV169" s="157" t="n"/>
      <c r="AW169" s="75">
        <f>_xlfn.IFNA(VLOOKUP(L169,list_vat[],3,FALSE),0)</f>
        <v/>
      </c>
      <c r="AX169" s="76">
        <f>IFERROR(ROUND(S169*(1+AW169)/E169,2),0)</f>
        <v/>
      </c>
      <c r="AY169" s="76">
        <f>E169*AX169</f>
        <v/>
      </c>
      <c r="AZ169" s="192">
        <f>S169*(1+M169)</f>
        <v/>
      </c>
      <c r="BA169" s="76">
        <f>cost_fin_total*$BD169</f>
        <v/>
      </c>
      <c r="BB169" s="193">
        <f>credit_sales_interest*BD169</f>
        <v/>
      </c>
      <c r="BC169" s="102">
        <f>IFERROR(IF($I$13&gt;0,$I169/$I$13,$S169/$S$13),0)</f>
        <v/>
      </c>
      <c r="BD169" s="102">
        <f>IFERROR($S169/$S$13,0)</f>
        <v/>
      </c>
      <c r="BE169" s="413" t="inlineStr">
        <is>
          <t>$</t>
        </is>
      </c>
    </row>
    <row r="170" ht="12" customFormat="1" customHeight="1" s="65">
      <c r="A170" s="43" t="n">
        <v>155</v>
      </c>
      <c r="B170" s="166" t="n"/>
      <c r="C170" s="166" t="n"/>
      <c r="D170" s="166" t="n"/>
      <c r="E170" s="162" t="n"/>
      <c r="F170" s="166" t="n"/>
      <c r="G170" s="162" t="n"/>
      <c r="H170" s="162" t="n"/>
      <c r="I170" s="189">
        <f>E170*G170</f>
        <v/>
      </c>
      <c r="J170" s="195" t="n"/>
      <c r="K170" s="162" t="n"/>
      <c r="L170" s="168" t="n"/>
      <c r="M170" s="75">
        <f>_xlfn.XLOOKUP(L170,list_vat[Страна],list_vat[Ставка НДС %],0,0)</f>
        <v/>
      </c>
      <c r="N170" s="162">
        <f>IFERROR(IF(L170="Китай",K170,K170/(1+M170)),0)</f>
        <v/>
      </c>
      <c r="O170" s="169" t="n"/>
      <c r="P170" s="76">
        <f>N170*(1-O170)</f>
        <v/>
      </c>
      <c r="Q170" s="162" t="n"/>
      <c r="R170" s="162">
        <f>IF(ISBLANK(Q170),"введи курс",P170/Q170)</f>
        <v/>
      </c>
      <c r="S170" s="196">
        <f>IF(AND(ISNUMBER(E170),ISNUMBER(Q170)),E170*R170,0)</f>
        <v/>
      </c>
      <c r="T170" s="192">
        <f>$BC170*V$11</f>
        <v/>
      </c>
      <c r="U170" s="76">
        <f>$BC170*W$11</f>
        <v/>
      </c>
      <c r="V170" s="193">
        <f>+SUM(T170:U170)</f>
        <v/>
      </c>
      <c r="W170" s="191" t="n"/>
      <c r="X170" s="170" t="n"/>
      <c r="Y170" s="76">
        <f>ROUND(IF(offer_incoterms="DDP",X170*(S170*(1+AW170)+T170),0),2)</f>
        <v/>
      </c>
      <c r="Z170" s="188" t="n"/>
      <c r="AA170" s="192">
        <f>IFERROR(AB170/E170,0)</f>
        <v/>
      </c>
      <c r="AB170" s="76">
        <f>ROUND(SUM(S170,V170,Y170:Z170,BA170:BB170),2)</f>
        <v/>
      </c>
      <c r="AC170" s="797" t="n"/>
      <c r="AD170" s="192">
        <f t="array" ref="AD170">IFERROR(ROUND((_xlfn.IFS(offer_sale_type="поставка",AB170,offer_sale_type="транзит",S170)*(1+AC170))/E170,2),0)</f>
        <v/>
      </c>
      <c r="AE170" s="76">
        <f>AD170*E170</f>
        <v/>
      </c>
      <c r="AF170" s="193">
        <f t="array" ref="AF170">IFERROR(ROUND(_xlfn.IFS(offer_sale_type="поставка",AB170,offer_sale_type="транзит",S170)*AC170,2),0)</f>
        <v/>
      </c>
      <c r="AG170" s="192">
        <f>$BD170*VLOOKUP($AG$3,$AF$4:$AG$7,2,FALSE)</f>
        <v/>
      </c>
      <c r="AH170" s="76">
        <f>SUM(AE170,AG170,AI170)*rate_forex_risk</f>
        <v/>
      </c>
      <c r="AI170" s="193">
        <f>IF(OR(seller_region="TR",offer_sale_type="экспорт"),0,rate_fin_comm)*SUM(AZ170,AZ170*AW170,T170)</f>
        <v/>
      </c>
      <c r="AJ170" s="118">
        <f>IFERROR(ROUND(SUM(AB170,AF170:AI170)/E170,2),0)</f>
        <v/>
      </c>
      <c r="AK170" s="76">
        <f>AJ170*E170</f>
        <v/>
      </c>
      <c r="AL170" s="174">
        <f>ROUND(IFERROR(AM170*E170,0),2)</f>
        <v/>
      </c>
      <c r="AM170" s="175">
        <f>ROUND(AJ170*(1+IF(offer_incoterms="DDP",IF((TODAY()+offer_turnaround_time)&gt;=helpsheet!$L$17,rate_vatRU_from_26,rate_vatRu_till_25),0)),2)</f>
        <v/>
      </c>
      <c r="AN170" s="192">
        <f>AL170-AK170</f>
        <v/>
      </c>
      <c r="AO170" s="76">
        <f>SUM(AY170,Y170:Z170,T170)*IF(AND(offer_incoterms="DDP",offer_sale_type&lt;&gt;"экспорт"),IF((TODAY()+offer_turnaround_time)&gt;=helpsheet!$L$17,rate_vatRU_from_26,rate_vatRu_till_25),0)</f>
        <v/>
      </c>
      <c r="AP170" s="193">
        <f>AN170-AO170</f>
        <v/>
      </c>
      <c r="AQ170" s="118">
        <f>IF(offer_sale_type="транзит",SUM(AF170:AI170,BA170,BB170),0)</f>
        <v/>
      </c>
      <c r="AR170" s="82">
        <f>HYPERLINK("https://www.alta.ru/tnved/code/")&amp;W170&amp;"/"</f>
        <v/>
      </c>
      <c r="AS170" s="157" t="n"/>
      <c r="AT170" s="162" t="n"/>
      <c r="AU170" s="76">
        <f>IF(ISBLANK(AT170),0,AJ170-AT170)</f>
        <v/>
      </c>
      <c r="AV170" s="157" t="n"/>
      <c r="AW170" s="75">
        <f>_xlfn.IFNA(VLOOKUP(L170,list_vat[],3,FALSE),0)</f>
        <v/>
      </c>
      <c r="AX170" s="76">
        <f>IFERROR(ROUND(S170*(1+AW170)/E170,2),0)</f>
        <v/>
      </c>
      <c r="AY170" s="76">
        <f>E170*AX170</f>
        <v/>
      </c>
      <c r="AZ170" s="192">
        <f>S170*(1+M170)</f>
        <v/>
      </c>
      <c r="BA170" s="76">
        <f>cost_fin_total*$BD170</f>
        <v/>
      </c>
      <c r="BB170" s="193">
        <f>credit_sales_interest*BD170</f>
        <v/>
      </c>
      <c r="BC170" s="102">
        <f>IFERROR(IF($I$13&gt;0,$I170/$I$13,$S170/$S$13),0)</f>
        <v/>
      </c>
      <c r="BD170" s="102">
        <f>IFERROR($S170/$S$13,0)</f>
        <v/>
      </c>
      <c r="BE170" s="413" t="inlineStr">
        <is>
          <t>$</t>
        </is>
      </c>
    </row>
    <row r="171" ht="12" customFormat="1" customHeight="1" s="65">
      <c r="A171" s="43" t="n">
        <v>156</v>
      </c>
      <c r="B171" s="166" t="n"/>
      <c r="C171" s="166" t="n"/>
      <c r="D171" s="166" t="n"/>
      <c r="E171" s="162" t="n"/>
      <c r="F171" s="166" t="n"/>
      <c r="G171" s="162" t="n"/>
      <c r="H171" s="162" t="n"/>
      <c r="I171" s="189">
        <f>E171*G171</f>
        <v/>
      </c>
      <c r="J171" s="195" t="n"/>
      <c r="K171" s="162" t="n"/>
      <c r="L171" s="168" t="n"/>
      <c r="M171" s="75">
        <f>_xlfn.XLOOKUP(L171,list_vat[Страна],list_vat[Ставка НДС %],0,0)</f>
        <v/>
      </c>
      <c r="N171" s="162">
        <f>IFERROR(IF(L171="Китай",K171,K171/(1+M171)),0)</f>
        <v/>
      </c>
      <c r="O171" s="169" t="n"/>
      <c r="P171" s="76">
        <f>N171*(1-O171)</f>
        <v/>
      </c>
      <c r="Q171" s="162" t="n"/>
      <c r="R171" s="162">
        <f>IF(ISBLANK(Q171),"введи курс",P171/Q171)</f>
        <v/>
      </c>
      <c r="S171" s="196">
        <f>IF(AND(ISNUMBER(E171),ISNUMBER(Q171)),E171*R171,0)</f>
        <v/>
      </c>
      <c r="T171" s="192">
        <f>$BC171*V$11</f>
        <v/>
      </c>
      <c r="U171" s="76">
        <f>$BC171*W$11</f>
        <v/>
      </c>
      <c r="V171" s="193">
        <f>+SUM(T171:U171)</f>
        <v/>
      </c>
      <c r="W171" s="191" t="n"/>
      <c r="X171" s="170" t="n"/>
      <c r="Y171" s="76">
        <f>ROUND(IF(offer_incoterms="DDP",X171*(S171*(1+AW171)+T171),0),2)</f>
        <v/>
      </c>
      <c r="Z171" s="188" t="n"/>
      <c r="AA171" s="192">
        <f>IFERROR(AB171/E171,0)</f>
        <v/>
      </c>
      <c r="AB171" s="76">
        <f>ROUND(SUM(S171,V171,Y171:Z171,BA171:BB171),2)</f>
        <v/>
      </c>
      <c r="AC171" s="797" t="n"/>
      <c r="AD171" s="192">
        <f t="array" ref="AD171">IFERROR(ROUND((_xlfn.IFS(offer_sale_type="поставка",AB171,offer_sale_type="транзит",S171)*(1+AC171))/E171,2),0)</f>
        <v/>
      </c>
      <c r="AE171" s="76">
        <f>AD171*E171</f>
        <v/>
      </c>
      <c r="AF171" s="193">
        <f t="array" ref="AF171">IFERROR(ROUND(_xlfn.IFS(offer_sale_type="поставка",AB171,offer_sale_type="транзит",S171)*AC171,2),0)</f>
        <v/>
      </c>
      <c r="AG171" s="192">
        <f>$BD171*VLOOKUP($AG$3,$AF$4:$AG$7,2,FALSE)</f>
        <v/>
      </c>
      <c r="AH171" s="76">
        <f>SUM(AE171,AG171,AI171)*rate_forex_risk</f>
        <v/>
      </c>
      <c r="AI171" s="193">
        <f>IF(OR(seller_region="TR",offer_sale_type="экспорт"),0,rate_fin_comm)*SUM(AZ171,AZ171*AW171,T171)</f>
        <v/>
      </c>
      <c r="AJ171" s="118">
        <f>IFERROR(ROUND(SUM(AB171,AF171:AI171)/E171,2),0)</f>
        <v/>
      </c>
      <c r="AK171" s="76">
        <f>AJ171*E171</f>
        <v/>
      </c>
      <c r="AL171" s="174">
        <f>ROUND(IFERROR(AM171*E171,0),2)</f>
        <v/>
      </c>
      <c r="AM171" s="175">
        <f>ROUND(AJ171*(1+IF(offer_incoterms="DDP",IF((TODAY()+offer_turnaround_time)&gt;=helpsheet!$L$17,rate_vatRU_from_26,rate_vatRu_till_25),0)),2)</f>
        <v/>
      </c>
      <c r="AN171" s="192">
        <f>AL171-AK171</f>
        <v/>
      </c>
      <c r="AO171" s="76">
        <f>SUM(AY171,Y171:Z171,T171)*IF(AND(offer_incoterms="DDP",offer_sale_type&lt;&gt;"экспорт"),IF((TODAY()+offer_turnaround_time)&gt;=helpsheet!$L$17,rate_vatRU_from_26,rate_vatRu_till_25),0)</f>
        <v/>
      </c>
      <c r="AP171" s="193">
        <f>AN171-AO171</f>
        <v/>
      </c>
      <c r="AQ171" s="118">
        <f>IF(offer_sale_type="транзит",SUM(AF171:AI171,BA171,BB171),0)</f>
        <v/>
      </c>
      <c r="AR171" s="82">
        <f>HYPERLINK("https://www.alta.ru/tnved/code/")&amp;W171&amp;"/"</f>
        <v/>
      </c>
      <c r="AS171" s="157" t="n"/>
      <c r="AT171" s="162" t="n"/>
      <c r="AU171" s="76">
        <f>IF(ISBLANK(AT171),0,AJ171-AT171)</f>
        <v/>
      </c>
      <c r="AV171" s="157" t="n"/>
      <c r="AW171" s="75">
        <f>_xlfn.IFNA(VLOOKUP(L171,list_vat[],3,FALSE),0)</f>
        <v/>
      </c>
      <c r="AX171" s="76">
        <f>IFERROR(ROUND(S171*(1+AW171)/E171,2),0)</f>
        <v/>
      </c>
      <c r="AY171" s="76">
        <f>E171*AX171</f>
        <v/>
      </c>
      <c r="AZ171" s="192">
        <f>S171*(1+M171)</f>
        <v/>
      </c>
      <c r="BA171" s="76">
        <f>cost_fin_total*$BD171</f>
        <v/>
      </c>
      <c r="BB171" s="193">
        <f>credit_sales_interest*BD171</f>
        <v/>
      </c>
      <c r="BC171" s="102">
        <f>IFERROR(IF($I$13&gt;0,$I171/$I$13,$S171/$S$13),0)</f>
        <v/>
      </c>
      <c r="BD171" s="102">
        <f>IFERROR($S171/$S$13,0)</f>
        <v/>
      </c>
      <c r="BE171" s="413" t="inlineStr">
        <is>
          <t>$</t>
        </is>
      </c>
    </row>
    <row r="172" ht="12" customFormat="1" customHeight="1" s="65">
      <c r="A172" s="43" t="n">
        <v>157</v>
      </c>
      <c r="B172" s="166" t="n"/>
      <c r="C172" s="166" t="n"/>
      <c r="D172" s="166" t="n"/>
      <c r="E172" s="162" t="n"/>
      <c r="F172" s="166" t="n"/>
      <c r="G172" s="162" t="n"/>
      <c r="H172" s="162" t="n"/>
      <c r="I172" s="189">
        <f>E172*G172</f>
        <v/>
      </c>
      <c r="J172" s="195" t="n"/>
      <c r="K172" s="162" t="n"/>
      <c r="L172" s="168" t="n"/>
      <c r="M172" s="75">
        <f>_xlfn.XLOOKUP(L172,list_vat[Страна],list_vat[Ставка НДС %],0,0)</f>
        <v/>
      </c>
      <c r="N172" s="162">
        <f>IFERROR(IF(L172="Китай",K172,K172/(1+M172)),0)</f>
        <v/>
      </c>
      <c r="O172" s="169" t="n"/>
      <c r="P172" s="76">
        <f>N172*(1-O172)</f>
        <v/>
      </c>
      <c r="Q172" s="162" t="n"/>
      <c r="R172" s="162">
        <f>IF(ISBLANK(Q172),"введи курс",P172/Q172)</f>
        <v/>
      </c>
      <c r="S172" s="196">
        <f>IF(AND(ISNUMBER(E172),ISNUMBER(Q172)),E172*R172,0)</f>
        <v/>
      </c>
      <c r="T172" s="192">
        <f>$BC172*V$11</f>
        <v/>
      </c>
      <c r="U172" s="76">
        <f>$BC172*W$11</f>
        <v/>
      </c>
      <c r="V172" s="193">
        <f>+SUM(T172:U172)</f>
        <v/>
      </c>
      <c r="W172" s="191" t="n"/>
      <c r="X172" s="170" t="n"/>
      <c r="Y172" s="76">
        <f>ROUND(IF(offer_incoterms="DDP",X172*(S172*(1+AW172)+T172),0),2)</f>
        <v/>
      </c>
      <c r="Z172" s="188" t="n"/>
      <c r="AA172" s="192">
        <f>IFERROR(AB172/E172,0)</f>
        <v/>
      </c>
      <c r="AB172" s="76">
        <f>ROUND(SUM(S172,V172,Y172:Z172,BA172:BB172),2)</f>
        <v/>
      </c>
      <c r="AC172" s="797" t="n"/>
      <c r="AD172" s="192">
        <f t="array" ref="AD172">IFERROR(ROUND((_xlfn.IFS(offer_sale_type="поставка",AB172,offer_sale_type="транзит",S172)*(1+AC172))/E172,2),0)</f>
        <v/>
      </c>
      <c r="AE172" s="76">
        <f>AD172*E172</f>
        <v/>
      </c>
      <c r="AF172" s="193">
        <f t="array" ref="AF172">IFERROR(ROUND(_xlfn.IFS(offer_sale_type="поставка",AB172,offer_sale_type="транзит",S172)*AC172,2),0)</f>
        <v/>
      </c>
      <c r="AG172" s="192">
        <f>$BD172*VLOOKUP($AG$3,$AF$4:$AG$7,2,FALSE)</f>
        <v/>
      </c>
      <c r="AH172" s="76">
        <f>SUM(AE172,AG172,AI172)*rate_forex_risk</f>
        <v/>
      </c>
      <c r="AI172" s="193">
        <f>IF(OR(seller_region="TR",offer_sale_type="экспорт"),0,rate_fin_comm)*SUM(AZ172,AZ172*AW172,T172)</f>
        <v/>
      </c>
      <c r="AJ172" s="118">
        <f>IFERROR(ROUND(SUM(AB172,AF172:AI172)/E172,2),0)</f>
        <v/>
      </c>
      <c r="AK172" s="76">
        <f>AJ172*E172</f>
        <v/>
      </c>
      <c r="AL172" s="174">
        <f>ROUND(IFERROR(AM172*E172,0),2)</f>
        <v/>
      </c>
      <c r="AM172" s="175">
        <f>ROUND(AJ172*(1+IF(offer_incoterms="DDP",IF((TODAY()+offer_turnaround_time)&gt;=helpsheet!$L$17,rate_vatRU_from_26,rate_vatRu_till_25),0)),2)</f>
        <v/>
      </c>
      <c r="AN172" s="192">
        <f>AL172-AK172</f>
        <v/>
      </c>
      <c r="AO172" s="76">
        <f>SUM(AY172,Y172:Z172,T172)*IF(AND(offer_incoterms="DDP",offer_sale_type&lt;&gt;"экспорт"),IF((TODAY()+offer_turnaround_time)&gt;=helpsheet!$L$17,rate_vatRU_from_26,rate_vatRu_till_25),0)</f>
        <v/>
      </c>
      <c r="AP172" s="193">
        <f>AN172-AO172</f>
        <v/>
      </c>
      <c r="AQ172" s="118">
        <f>IF(offer_sale_type="транзит",SUM(AF172:AI172,BA172,BB172),0)</f>
        <v/>
      </c>
      <c r="AR172" s="82">
        <f>HYPERLINK("https://www.alta.ru/tnved/code/")&amp;W172&amp;"/"</f>
        <v/>
      </c>
      <c r="AS172" s="157" t="n"/>
      <c r="AT172" s="162" t="n"/>
      <c r="AU172" s="76">
        <f>IF(ISBLANK(AT172),0,AJ172-AT172)</f>
        <v/>
      </c>
      <c r="AV172" s="157" t="n"/>
      <c r="AW172" s="75">
        <f>_xlfn.IFNA(VLOOKUP(L172,list_vat[],3,FALSE),0)</f>
        <v/>
      </c>
      <c r="AX172" s="76">
        <f>IFERROR(ROUND(S172*(1+AW172)/E172,2),0)</f>
        <v/>
      </c>
      <c r="AY172" s="76">
        <f>E172*AX172</f>
        <v/>
      </c>
      <c r="AZ172" s="192">
        <f>S172*(1+M172)</f>
        <v/>
      </c>
      <c r="BA172" s="76">
        <f>cost_fin_total*$BD172</f>
        <v/>
      </c>
      <c r="BB172" s="193">
        <f>credit_sales_interest*BD172</f>
        <v/>
      </c>
      <c r="BC172" s="102">
        <f>IFERROR(IF($I$13&gt;0,$I172/$I$13,$S172/$S$13),0)</f>
        <v/>
      </c>
      <c r="BD172" s="102">
        <f>IFERROR($S172/$S$13,0)</f>
        <v/>
      </c>
      <c r="BE172" s="413" t="inlineStr">
        <is>
          <t>$</t>
        </is>
      </c>
    </row>
    <row r="173" ht="12" customFormat="1" customHeight="1" s="65">
      <c r="A173" s="43" t="n">
        <v>158</v>
      </c>
      <c r="B173" s="166" t="n"/>
      <c r="C173" s="166" t="n"/>
      <c r="D173" s="166" t="n"/>
      <c r="E173" s="162" t="n"/>
      <c r="F173" s="166" t="n"/>
      <c r="G173" s="162" t="n"/>
      <c r="H173" s="162" t="n"/>
      <c r="I173" s="189">
        <f>E173*G173</f>
        <v/>
      </c>
      <c r="J173" s="195" t="n"/>
      <c r="K173" s="162" t="n"/>
      <c r="L173" s="168" t="n"/>
      <c r="M173" s="75">
        <f>_xlfn.XLOOKUP(L173,list_vat[Страна],list_vat[Ставка НДС %],0,0)</f>
        <v/>
      </c>
      <c r="N173" s="162">
        <f>IFERROR(IF(L173="Китай",K173,K173/(1+M173)),0)</f>
        <v/>
      </c>
      <c r="O173" s="169" t="n"/>
      <c r="P173" s="76">
        <f>N173*(1-O173)</f>
        <v/>
      </c>
      <c r="Q173" s="162" t="n"/>
      <c r="R173" s="162">
        <f>IF(ISBLANK(Q173),"введи курс",P173/Q173)</f>
        <v/>
      </c>
      <c r="S173" s="196">
        <f>IF(AND(ISNUMBER(E173),ISNUMBER(Q173)),E173*R173,0)</f>
        <v/>
      </c>
      <c r="T173" s="192">
        <f>$BC173*V$11</f>
        <v/>
      </c>
      <c r="U173" s="76">
        <f>$BC173*W$11</f>
        <v/>
      </c>
      <c r="V173" s="193">
        <f>+SUM(T173:U173)</f>
        <v/>
      </c>
      <c r="W173" s="191" t="n"/>
      <c r="X173" s="170" t="n"/>
      <c r="Y173" s="76">
        <f>ROUND(IF(offer_incoterms="DDP",X173*(S173*(1+AW173)+T173),0),2)</f>
        <v/>
      </c>
      <c r="Z173" s="188" t="n"/>
      <c r="AA173" s="192">
        <f>IFERROR(AB173/E173,0)</f>
        <v/>
      </c>
      <c r="AB173" s="76">
        <f>ROUND(SUM(S173,V173,Y173:Z173,BA173:BB173),2)</f>
        <v/>
      </c>
      <c r="AC173" s="797" t="n"/>
      <c r="AD173" s="192">
        <f t="array" ref="AD173">IFERROR(ROUND((_xlfn.IFS(offer_sale_type="поставка",AB173,offer_sale_type="транзит",S173)*(1+AC173))/E173,2),0)</f>
        <v/>
      </c>
      <c r="AE173" s="76">
        <f>AD173*E173</f>
        <v/>
      </c>
      <c r="AF173" s="193">
        <f t="array" ref="AF173">IFERROR(ROUND(_xlfn.IFS(offer_sale_type="поставка",AB173,offer_sale_type="транзит",S173)*AC173,2),0)</f>
        <v/>
      </c>
      <c r="AG173" s="192">
        <f>$BD173*VLOOKUP($AG$3,$AF$4:$AG$7,2,FALSE)</f>
        <v/>
      </c>
      <c r="AH173" s="76">
        <f>SUM(AE173,AG173,AI173)*rate_forex_risk</f>
        <v/>
      </c>
      <c r="AI173" s="193">
        <f>IF(OR(seller_region="TR",offer_sale_type="экспорт"),0,rate_fin_comm)*SUM(AZ173,AZ173*AW173,T173)</f>
        <v/>
      </c>
      <c r="AJ173" s="118">
        <f>IFERROR(ROUND(SUM(AB173,AF173:AI173)/E173,2),0)</f>
        <v/>
      </c>
      <c r="AK173" s="76">
        <f>AJ173*E173</f>
        <v/>
      </c>
      <c r="AL173" s="174">
        <f>ROUND(IFERROR(AM173*E173,0),2)</f>
        <v/>
      </c>
      <c r="AM173" s="175">
        <f>ROUND(AJ173*(1+IF(offer_incoterms="DDP",IF((TODAY()+offer_turnaround_time)&gt;=helpsheet!$L$17,rate_vatRU_from_26,rate_vatRu_till_25),0)),2)</f>
        <v/>
      </c>
      <c r="AN173" s="192">
        <f>AL173-AK173</f>
        <v/>
      </c>
      <c r="AO173" s="76">
        <f>SUM(AY173,Y173:Z173,T173)*IF(AND(offer_incoterms="DDP",offer_sale_type&lt;&gt;"экспорт"),IF((TODAY()+offer_turnaround_time)&gt;=helpsheet!$L$17,rate_vatRU_from_26,rate_vatRu_till_25),0)</f>
        <v/>
      </c>
      <c r="AP173" s="193">
        <f>AN173-AO173</f>
        <v/>
      </c>
      <c r="AQ173" s="118">
        <f>IF(offer_sale_type="транзит",SUM(AF173:AI173,BA173,BB173),0)</f>
        <v/>
      </c>
      <c r="AR173" s="82">
        <f>HYPERLINK("https://www.alta.ru/tnved/code/")&amp;W173&amp;"/"</f>
        <v/>
      </c>
      <c r="AS173" s="157" t="n"/>
      <c r="AT173" s="162" t="n"/>
      <c r="AU173" s="76">
        <f>IF(ISBLANK(AT173),0,AJ173-AT173)</f>
        <v/>
      </c>
      <c r="AV173" s="157" t="n"/>
      <c r="AW173" s="75">
        <f>_xlfn.IFNA(VLOOKUP(L173,list_vat[],3,FALSE),0)</f>
        <v/>
      </c>
      <c r="AX173" s="76">
        <f>IFERROR(ROUND(S173*(1+AW173)/E173,2),0)</f>
        <v/>
      </c>
      <c r="AY173" s="76">
        <f>E173*AX173</f>
        <v/>
      </c>
      <c r="AZ173" s="192">
        <f>S173*(1+M173)</f>
        <v/>
      </c>
      <c r="BA173" s="76">
        <f>cost_fin_total*$BD173</f>
        <v/>
      </c>
      <c r="BB173" s="193">
        <f>credit_sales_interest*BD173</f>
        <v/>
      </c>
      <c r="BC173" s="102">
        <f>IFERROR(IF($I$13&gt;0,$I173/$I$13,$S173/$S$13),0)</f>
        <v/>
      </c>
      <c r="BD173" s="102">
        <f>IFERROR($S173/$S$13,0)</f>
        <v/>
      </c>
      <c r="BE173" s="413" t="inlineStr">
        <is>
          <t>$</t>
        </is>
      </c>
    </row>
    <row r="174" ht="12" customFormat="1" customHeight="1" s="65">
      <c r="A174" s="43" t="n">
        <v>159</v>
      </c>
      <c r="B174" s="166" t="n"/>
      <c r="C174" s="166" t="n"/>
      <c r="D174" s="166" t="n"/>
      <c r="E174" s="162" t="n"/>
      <c r="F174" s="166" t="n"/>
      <c r="G174" s="162" t="n"/>
      <c r="H174" s="162" t="n"/>
      <c r="I174" s="189">
        <f>E174*G174</f>
        <v/>
      </c>
      <c r="J174" s="195" t="n"/>
      <c r="K174" s="162" t="n"/>
      <c r="L174" s="168" t="n"/>
      <c r="M174" s="75">
        <f>_xlfn.XLOOKUP(L174,list_vat[Страна],list_vat[Ставка НДС %],0,0)</f>
        <v/>
      </c>
      <c r="N174" s="162">
        <f>IFERROR(IF(L174="Китай",K174,K174/(1+M174)),0)</f>
        <v/>
      </c>
      <c r="O174" s="169" t="n"/>
      <c r="P174" s="76">
        <f>N174*(1-O174)</f>
        <v/>
      </c>
      <c r="Q174" s="162" t="n"/>
      <c r="R174" s="162">
        <f>IF(ISBLANK(Q174),"введи курс",P174/Q174)</f>
        <v/>
      </c>
      <c r="S174" s="196">
        <f>IF(AND(ISNUMBER(E174),ISNUMBER(Q174)),E174*R174,0)</f>
        <v/>
      </c>
      <c r="T174" s="192">
        <f>$BC174*V$11</f>
        <v/>
      </c>
      <c r="U174" s="76">
        <f>$BC174*W$11</f>
        <v/>
      </c>
      <c r="V174" s="193">
        <f>+SUM(T174:U174)</f>
        <v/>
      </c>
      <c r="W174" s="191" t="n"/>
      <c r="X174" s="170" t="n"/>
      <c r="Y174" s="76">
        <f>ROUND(IF(offer_incoterms="DDP",X174*(S174*(1+AW174)+T174),0),2)</f>
        <v/>
      </c>
      <c r="Z174" s="188" t="n"/>
      <c r="AA174" s="192">
        <f>IFERROR(AB174/E174,0)</f>
        <v/>
      </c>
      <c r="AB174" s="76">
        <f>ROUND(SUM(S174,V174,Y174:Z174,BA174:BB174),2)</f>
        <v/>
      </c>
      <c r="AC174" s="797" t="n"/>
      <c r="AD174" s="192">
        <f t="array" ref="AD174">IFERROR(ROUND((_xlfn.IFS(offer_sale_type="поставка",AB174,offer_sale_type="транзит",S174)*(1+AC174))/E174,2),0)</f>
        <v/>
      </c>
      <c r="AE174" s="76">
        <f>AD174*E174</f>
        <v/>
      </c>
      <c r="AF174" s="193">
        <f t="array" ref="AF174">IFERROR(ROUND(_xlfn.IFS(offer_sale_type="поставка",AB174,offer_sale_type="транзит",S174)*AC174,2),0)</f>
        <v/>
      </c>
      <c r="AG174" s="192">
        <f>$BD174*VLOOKUP($AG$3,$AF$4:$AG$7,2,FALSE)</f>
        <v/>
      </c>
      <c r="AH174" s="76">
        <f>SUM(AE174,AG174,AI174)*rate_forex_risk</f>
        <v/>
      </c>
      <c r="AI174" s="193">
        <f>IF(OR(seller_region="TR",offer_sale_type="экспорт"),0,rate_fin_comm)*SUM(AZ174,AZ174*AW174,T174)</f>
        <v/>
      </c>
      <c r="AJ174" s="118">
        <f>IFERROR(ROUND(SUM(AB174,AF174:AI174)/E174,2),0)</f>
        <v/>
      </c>
      <c r="AK174" s="76">
        <f>AJ174*E174</f>
        <v/>
      </c>
      <c r="AL174" s="174">
        <f>ROUND(IFERROR(AM174*E174,0),2)</f>
        <v/>
      </c>
      <c r="AM174" s="175">
        <f>ROUND(AJ174*(1+IF(offer_incoterms="DDP",IF((TODAY()+offer_turnaround_time)&gt;=helpsheet!$L$17,rate_vatRU_from_26,rate_vatRu_till_25),0)),2)</f>
        <v/>
      </c>
      <c r="AN174" s="192">
        <f>AL174-AK174</f>
        <v/>
      </c>
      <c r="AO174" s="76">
        <f>SUM(AY174,Y174:Z174,T174)*IF(AND(offer_incoterms="DDP",offer_sale_type&lt;&gt;"экспорт"),IF((TODAY()+offer_turnaround_time)&gt;=helpsheet!$L$17,rate_vatRU_from_26,rate_vatRu_till_25),0)</f>
        <v/>
      </c>
      <c r="AP174" s="193">
        <f>AN174-AO174</f>
        <v/>
      </c>
      <c r="AQ174" s="118">
        <f>IF(offer_sale_type="транзит",SUM(AF174:AI174,BA174,BB174),0)</f>
        <v/>
      </c>
      <c r="AR174" s="82">
        <f>HYPERLINK("https://www.alta.ru/tnved/code/")&amp;W174&amp;"/"</f>
        <v/>
      </c>
      <c r="AS174" s="157" t="n"/>
      <c r="AT174" s="162" t="n"/>
      <c r="AU174" s="76">
        <f>IF(ISBLANK(AT174),0,AJ174-AT174)</f>
        <v/>
      </c>
      <c r="AV174" s="157" t="n"/>
      <c r="AW174" s="75">
        <f>_xlfn.IFNA(VLOOKUP(L174,list_vat[],3,FALSE),0)</f>
        <v/>
      </c>
      <c r="AX174" s="76">
        <f>IFERROR(ROUND(S174*(1+AW174)/E174,2),0)</f>
        <v/>
      </c>
      <c r="AY174" s="76">
        <f>E174*AX174</f>
        <v/>
      </c>
      <c r="AZ174" s="192">
        <f>S174*(1+M174)</f>
        <v/>
      </c>
      <c r="BA174" s="76">
        <f>cost_fin_total*$BD174</f>
        <v/>
      </c>
      <c r="BB174" s="193">
        <f>credit_sales_interest*BD174</f>
        <v/>
      </c>
      <c r="BC174" s="102">
        <f>IFERROR(IF($I$13&gt;0,$I174/$I$13,$S174/$S$13),0)</f>
        <v/>
      </c>
      <c r="BD174" s="102">
        <f>IFERROR($S174/$S$13,0)</f>
        <v/>
      </c>
      <c r="BE174" s="413" t="inlineStr">
        <is>
          <t>$</t>
        </is>
      </c>
    </row>
    <row r="175" ht="12" customFormat="1" customHeight="1" s="65">
      <c r="A175" s="43" t="n">
        <v>160</v>
      </c>
      <c r="B175" s="166" t="n"/>
      <c r="C175" s="166" t="n"/>
      <c r="D175" s="166" t="n"/>
      <c r="E175" s="162" t="n"/>
      <c r="F175" s="166" t="n"/>
      <c r="G175" s="162" t="n"/>
      <c r="H175" s="162" t="n"/>
      <c r="I175" s="189">
        <f>E175*G175</f>
        <v/>
      </c>
      <c r="J175" s="195" t="n"/>
      <c r="K175" s="162" t="n"/>
      <c r="L175" s="168" t="n"/>
      <c r="M175" s="75">
        <f>_xlfn.XLOOKUP(L175,list_vat[Страна],list_vat[Ставка НДС %],0,0)</f>
        <v/>
      </c>
      <c r="N175" s="162">
        <f>IFERROR(IF(L175="Китай",K175,K175/(1+M175)),0)</f>
        <v/>
      </c>
      <c r="O175" s="169" t="n"/>
      <c r="P175" s="76">
        <f>N175*(1-O175)</f>
        <v/>
      </c>
      <c r="Q175" s="162" t="n"/>
      <c r="R175" s="162">
        <f>IF(ISBLANK(Q175),"введи курс",P175/Q175)</f>
        <v/>
      </c>
      <c r="S175" s="196">
        <f>IF(AND(ISNUMBER(E175),ISNUMBER(Q175)),E175*R175,0)</f>
        <v/>
      </c>
      <c r="T175" s="192">
        <f>$BC175*V$11</f>
        <v/>
      </c>
      <c r="U175" s="76">
        <f>$BC175*W$11</f>
        <v/>
      </c>
      <c r="V175" s="193">
        <f>+SUM(T175:U175)</f>
        <v/>
      </c>
      <c r="W175" s="191" t="n"/>
      <c r="X175" s="170" t="n"/>
      <c r="Y175" s="76">
        <f>ROUND(IF(offer_incoterms="DDP",X175*(S175*(1+AW175)+T175),0),2)</f>
        <v/>
      </c>
      <c r="Z175" s="188" t="n"/>
      <c r="AA175" s="192">
        <f>IFERROR(AB175/E175,0)</f>
        <v/>
      </c>
      <c r="AB175" s="76">
        <f>ROUND(SUM(S175,V175,Y175:Z175,BA175:BB175),2)</f>
        <v/>
      </c>
      <c r="AC175" s="797" t="n"/>
      <c r="AD175" s="192">
        <f t="array" ref="AD175">IFERROR(ROUND((_xlfn.IFS(offer_sale_type="поставка",AB175,offer_sale_type="транзит",S175)*(1+AC175))/E175,2),0)</f>
        <v/>
      </c>
      <c r="AE175" s="76">
        <f>AD175*E175</f>
        <v/>
      </c>
      <c r="AF175" s="193">
        <f t="array" ref="AF175">IFERROR(ROUND(_xlfn.IFS(offer_sale_type="поставка",AB175,offer_sale_type="транзит",S175)*AC175,2),0)</f>
        <v/>
      </c>
      <c r="AG175" s="192">
        <f>$BD175*VLOOKUP($AG$3,$AF$4:$AG$7,2,FALSE)</f>
        <v/>
      </c>
      <c r="AH175" s="76">
        <f>SUM(AE175,AG175,AI175)*rate_forex_risk</f>
        <v/>
      </c>
      <c r="AI175" s="193">
        <f>IF(OR(seller_region="TR",offer_sale_type="экспорт"),0,rate_fin_comm)*SUM(AZ175,AZ175*AW175,T175)</f>
        <v/>
      </c>
      <c r="AJ175" s="118">
        <f>IFERROR(ROUND(SUM(AB175,AF175:AI175)/E175,2),0)</f>
        <v/>
      </c>
      <c r="AK175" s="76">
        <f>AJ175*E175</f>
        <v/>
      </c>
      <c r="AL175" s="174">
        <f>ROUND(IFERROR(AM175*E175,0),2)</f>
        <v/>
      </c>
      <c r="AM175" s="175">
        <f>ROUND(AJ175*(1+IF(offer_incoterms="DDP",IF((TODAY()+offer_turnaround_time)&gt;=helpsheet!$L$17,rate_vatRU_from_26,rate_vatRu_till_25),0)),2)</f>
        <v/>
      </c>
      <c r="AN175" s="192">
        <f>AL175-AK175</f>
        <v/>
      </c>
      <c r="AO175" s="76">
        <f>SUM(AY175,Y175:Z175,T175)*IF(AND(offer_incoterms="DDP",offer_sale_type&lt;&gt;"экспорт"),IF((TODAY()+offer_turnaround_time)&gt;=helpsheet!$L$17,rate_vatRU_from_26,rate_vatRu_till_25),0)</f>
        <v/>
      </c>
      <c r="AP175" s="193">
        <f>AN175-AO175</f>
        <v/>
      </c>
      <c r="AQ175" s="118">
        <f>IF(offer_sale_type="транзит",SUM(AF175:AI175,BA175,BB175),0)</f>
        <v/>
      </c>
      <c r="AR175" s="82">
        <f>HYPERLINK("https://www.alta.ru/tnved/code/")&amp;W175&amp;"/"</f>
        <v/>
      </c>
      <c r="AS175" s="157" t="n"/>
      <c r="AT175" s="162" t="n"/>
      <c r="AU175" s="76">
        <f>IF(ISBLANK(AT175),0,AJ175-AT175)</f>
        <v/>
      </c>
      <c r="AV175" s="157" t="n"/>
      <c r="AW175" s="75">
        <f>_xlfn.IFNA(VLOOKUP(L175,list_vat[],3,FALSE),0)</f>
        <v/>
      </c>
      <c r="AX175" s="76">
        <f>IFERROR(ROUND(S175*(1+AW175)/E175,2),0)</f>
        <v/>
      </c>
      <c r="AY175" s="76">
        <f>E175*AX175</f>
        <v/>
      </c>
      <c r="AZ175" s="192">
        <f>S175*(1+M175)</f>
        <v/>
      </c>
      <c r="BA175" s="76">
        <f>cost_fin_total*$BD175</f>
        <v/>
      </c>
      <c r="BB175" s="193">
        <f>credit_sales_interest*BD175</f>
        <v/>
      </c>
      <c r="BC175" s="102">
        <f>IFERROR(IF($I$13&gt;0,$I175/$I$13,$S175/$S$13),0)</f>
        <v/>
      </c>
      <c r="BD175" s="102">
        <f>IFERROR($S175/$S$13,0)</f>
        <v/>
      </c>
      <c r="BE175" s="413" t="inlineStr">
        <is>
          <t>$</t>
        </is>
      </c>
    </row>
    <row r="176" ht="12" customFormat="1" customHeight="1" s="65">
      <c r="A176" s="43" t="n">
        <v>161</v>
      </c>
      <c r="B176" s="166" t="n"/>
      <c r="C176" s="166" t="n"/>
      <c r="D176" s="166" t="n"/>
      <c r="E176" s="162" t="n"/>
      <c r="F176" s="166" t="n"/>
      <c r="G176" s="162" t="n"/>
      <c r="H176" s="162" t="n"/>
      <c r="I176" s="189">
        <f>E176*G176</f>
        <v/>
      </c>
      <c r="J176" s="195" t="n"/>
      <c r="K176" s="162" t="n"/>
      <c r="L176" s="168" t="n"/>
      <c r="M176" s="75">
        <f>_xlfn.XLOOKUP(L176,list_vat[Страна],list_vat[Ставка НДС %],0,0)</f>
        <v/>
      </c>
      <c r="N176" s="162">
        <f>IFERROR(IF(L176="Китай",K176,K176/(1+M176)),0)</f>
        <v/>
      </c>
      <c r="O176" s="169" t="n"/>
      <c r="P176" s="76">
        <f>N176*(1-O176)</f>
        <v/>
      </c>
      <c r="Q176" s="162" t="n"/>
      <c r="R176" s="162">
        <f>IF(ISBLANK(Q176),"введи курс",P176/Q176)</f>
        <v/>
      </c>
      <c r="S176" s="196">
        <f>IF(AND(ISNUMBER(E176),ISNUMBER(Q176)),E176*R176,0)</f>
        <v/>
      </c>
      <c r="T176" s="192">
        <f>$BC176*V$11</f>
        <v/>
      </c>
      <c r="U176" s="76">
        <f>$BC176*W$11</f>
        <v/>
      </c>
      <c r="V176" s="193">
        <f>+SUM(T176:U176)</f>
        <v/>
      </c>
      <c r="W176" s="191" t="n"/>
      <c r="X176" s="170" t="n"/>
      <c r="Y176" s="76">
        <f>ROUND(IF(offer_incoterms="DDP",X176*(S176*(1+AW176)+T176),0),2)</f>
        <v/>
      </c>
      <c r="Z176" s="188" t="n"/>
      <c r="AA176" s="192">
        <f>IFERROR(AB176/E176,0)</f>
        <v/>
      </c>
      <c r="AB176" s="76">
        <f>ROUND(SUM(S176,V176,Y176:Z176,BA176:BB176),2)</f>
        <v/>
      </c>
      <c r="AC176" s="797" t="n"/>
      <c r="AD176" s="192">
        <f t="array" ref="AD176">IFERROR(ROUND((_xlfn.IFS(offer_sale_type="поставка",AB176,offer_sale_type="транзит",S176)*(1+AC176))/E176,2),0)</f>
        <v/>
      </c>
      <c r="AE176" s="76">
        <f>AD176*E176</f>
        <v/>
      </c>
      <c r="AF176" s="193">
        <f t="array" ref="AF176">IFERROR(ROUND(_xlfn.IFS(offer_sale_type="поставка",AB176,offer_sale_type="транзит",S176)*AC176,2),0)</f>
        <v/>
      </c>
      <c r="AG176" s="192">
        <f>$BD176*VLOOKUP($AG$3,$AF$4:$AG$7,2,FALSE)</f>
        <v/>
      </c>
      <c r="AH176" s="76">
        <f>SUM(AE176,AG176,AI176)*rate_forex_risk</f>
        <v/>
      </c>
      <c r="AI176" s="193">
        <f>IF(OR(seller_region="TR",offer_sale_type="экспорт"),0,rate_fin_comm)*SUM(AZ176,AZ176*AW176,T176)</f>
        <v/>
      </c>
      <c r="AJ176" s="118">
        <f>IFERROR(ROUND(SUM(AB176,AF176:AI176)/E176,2),0)</f>
        <v/>
      </c>
      <c r="AK176" s="76">
        <f>AJ176*E176</f>
        <v/>
      </c>
      <c r="AL176" s="174">
        <f>ROUND(IFERROR(AM176*E176,0),2)</f>
        <v/>
      </c>
      <c r="AM176" s="175">
        <f>ROUND(AJ176*(1+IF(offer_incoterms="DDP",IF((TODAY()+offer_turnaround_time)&gt;=helpsheet!$L$17,rate_vatRU_from_26,rate_vatRu_till_25),0)),2)</f>
        <v/>
      </c>
      <c r="AN176" s="192">
        <f>AL176-AK176</f>
        <v/>
      </c>
      <c r="AO176" s="76">
        <f>SUM(AY176,Y176:Z176,T176)*IF(AND(offer_incoterms="DDP",offer_sale_type&lt;&gt;"экспорт"),IF((TODAY()+offer_turnaround_time)&gt;=helpsheet!$L$17,rate_vatRU_from_26,rate_vatRu_till_25),0)</f>
        <v/>
      </c>
      <c r="AP176" s="193">
        <f>AN176-AO176</f>
        <v/>
      </c>
      <c r="AQ176" s="118">
        <f>IF(offer_sale_type="транзит",SUM(AF176:AI176,BA176,BB176),0)</f>
        <v/>
      </c>
      <c r="AR176" s="82">
        <f>HYPERLINK("https://www.alta.ru/tnved/code/")&amp;W176&amp;"/"</f>
        <v/>
      </c>
      <c r="AS176" s="157" t="n"/>
      <c r="AT176" s="162" t="n"/>
      <c r="AU176" s="76">
        <f>IF(ISBLANK(AT176),0,AJ176-AT176)</f>
        <v/>
      </c>
      <c r="AV176" s="157" t="n"/>
      <c r="AW176" s="75">
        <f>_xlfn.IFNA(VLOOKUP(L176,list_vat[],3,FALSE),0)</f>
        <v/>
      </c>
      <c r="AX176" s="76">
        <f>IFERROR(ROUND(S176*(1+AW176)/E176,2),0)</f>
        <v/>
      </c>
      <c r="AY176" s="76">
        <f>E176*AX176</f>
        <v/>
      </c>
      <c r="AZ176" s="192">
        <f>S176*(1+M176)</f>
        <v/>
      </c>
      <c r="BA176" s="76">
        <f>cost_fin_total*$BD176</f>
        <v/>
      </c>
      <c r="BB176" s="193">
        <f>credit_sales_interest*BD176</f>
        <v/>
      </c>
      <c r="BC176" s="102">
        <f>IFERROR(IF($I$13&gt;0,$I176/$I$13,$S176/$S$13),0)</f>
        <v/>
      </c>
      <c r="BD176" s="102">
        <f>IFERROR($S176/$S$13,0)</f>
        <v/>
      </c>
      <c r="BE176" s="413" t="inlineStr">
        <is>
          <t>$</t>
        </is>
      </c>
    </row>
    <row r="177" ht="12" customFormat="1" customHeight="1" s="65">
      <c r="A177" s="43" t="n">
        <v>162</v>
      </c>
      <c r="B177" s="166" t="n"/>
      <c r="C177" s="166" t="n"/>
      <c r="D177" s="166" t="n"/>
      <c r="E177" s="162" t="n"/>
      <c r="F177" s="166" t="n"/>
      <c r="G177" s="162" t="n"/>
      <c r="H177" s="162" t="n"/>
      <c r="I177" s="189">
        <f>E177*G177</f>
        <v/>
      </c>
      <c r="J177" s="195" t="n"/>
      <c r="K177" s="162" t="n"/>
      <c r="L177" s="168" t="n"/>
      <c r="M177" s="75">
        <f>_xlfn.XLOOKUP(L177,list_vat[Страна],list_vat[Ставка НДС %],0,0)</f>
        <v/>
      </c>
      <c r="N177" s="162">
        <f>IFERROR(IF(L177="Китай",K177,K177/(1+M177)),0)</f>
        <v/>
      </c>
      <c r="O177" s="169" t="n"/>
      <c r="P177" s="76">
        <f>N177*(1-O177)</f>
        <v/>
      </c>
      <c r="Q177" s="162" t="n"/>
      <c r="R177" s="162">
        <f>IF(ISBLANK(Q177),"введи курс",P177/Q177)</f>
        <v/>
      </c>
      <c r="S177" s="196">
        <f>IF(AND(ISNUMBER(E177),ISNUMBER(Q177)),E177*R177,0)</f>
        <v/>
      </c>
      <c r="T177" s="192">
        <f>$BC177*V$11</f>
        <v/>
      </c>
      <c r="U177" s="76">
        <f>$BC177*W$11</f>
        <v/>
      </c>
      <c r="V177" s="193">
        <f>+SUM(T177:U177)</f>
        <v/>
      </c>
      <c r="W177" s="191" t="n"/>
      <c r="X177" s="170" t="n"/>
      <c r="Y177" s="76">
        <f>ROUND(IF(offer_incoterms="DDP",X177*(S177*(1+AW177)+T177),0),2)</f>
        <v/>
      </c>
      <c r="Z177" s="188" t="n"/>
      <c r="AA177" s="192">
        <f>IFERROR(AB177/E177,0)</f>
        <v/>
      </c>
      <c r="AB177" s="76">
        <f>ROUND(SUM(S177,V177,Y177:Z177,BA177:BB177),2)</f>
        <v/>
      </c>
      <c r="AC177" s="797" t="n"/>
      <c r="AD177" s="192">
        <f t="array" ref="AD177">IFERROR(ROUND((_xlfn.IFS(offer_sale_type="поставка",AB177,offer_sale_type="транзит",S177)*(1+AC177))/E177,2),0)</f>
        <v/>
      </c>
      <c r="AE177" s="76">
        <f>AD177*E177</f>
        <v/>
      </c>
      <c r="AF177" s="193">
        <f t="array" ref="AF177">IFERROR(ROUND(_xlfn.IFS(offer_sale_type="поставка",AB177,offer_sale_type="транзит",S177)*AC177,2),0)</f>
        <v/>
      </c>
      <c r="AG177" s="192">
        <f>$BD177*VLOOKUP($AG$3,$AF$4:$AG$7,2,FALSE)</f>
        <v/>
      </c>
      <c r="AH177" s="76">
        <f>SUM(AE177,AG177,AI177)*rate_forex_risk</f>
        <v/>
      </c>
      <c r="AI177" s="193">
        <f>IF(OR(seller_region="TR",offer_sale_type="экспорт"),0,rate_fin_comm)*SUM(AZ177,AZ177*AW177,T177)</f>
        <v/>
      </c>
      <c r="AJ177" s="118">
        <f>IFERROR(ROUND(SUM(AB177,AF177:AI177)/E177,2),0)</f>
        <v/>
      </c>
      <c r="AK177" s="76">
        <f>AJ177*E177</f>
        <v/>
      </c>
      <c r="AL177" s="174">
        <f>ROUND(IFERROR(AM177*E177,0),2)</f>
        <v/>
      </c>
      <c r="AM177" s="175">
        <f>ROUND(AJ177*(1+IF(offer_incoterms="DDP",IF((TODAY()+offer_turnaround_time)&gt;=helpsheet!$L$17,rate_vatRU_from_26,rate_vatRu_till_25),0)),2)</f>
        <v/>
      </c>
      <c r="AN177" s="192">
        <f>AL177-AK177</f>
        <v/>
      </c>
      <c r="AO177" s="76">
        <f>SUM(AY177,Y177:Z177,T177)*IF(AND(offer_incoterms="DDP",offer_sale_type&lt;&gt;"экспорт"),IF((TODAY()+offer_turnaround_time)&gt;=helpsheet!$L$17,rate_vatRU_from_26,rate_vatRu_till_25),0)</f>
        <v/>
      </c>
      <c r="AP177" s="193">
        <f>AN177-AO177</f>
        <v/>
      </c>
      <c r="AQ177" s="118">
        <f>IF(offer_sale_type="транзит",SUM(AF177:AI177,BA177,BB177),0)</f>
        <v/>
      </c>
      <c r="AR177" s="82">
        <f>HYPERLINK("https://www.alta.ru/tnved/code/")&amp;W177&amp;"/"</f>
        <v/>
      </c>
      <c r="AS177" s="157" t="n"/>
      <c r="AT177" s="162" t="n"/>
      <c r="AU177" s="76">
        <f>IF(ISBLANK(AT177),0,AJ177-AT177)</f>
        <v/>
      </c>
      <c r="AV177" s="157" t="n"/>
      <c r="AW177" s="75">
        <f>_xlfn.IFNA(VLOOKUP(L177,list_vat[],3,FALSE),0)</f>
        <v/>
      </c>
      <c r="AX177" s="76">
        <f>IFERROR(ROUND(S177*(1+AW177)/E177,2),0)</f>
        <v/>
      </c>
      <c r="AY177" s="76">
        <f>E177*AX177</f>
        <v/>
      </c>
      <c r="AZ177" s="192">
        <f>S177*(1+M177)</f>
        <v/>
      </c>
      <c r="BA177" s="76">
        <f>cost_fin_total*$BD177</f>
        <v/>
      </c>
      <c r="BB177" s="193">
        <f>credit_sales_interest*BD177</f>
        <v/>
      </c>
      <c r="BC177" s="102">
        <f>IFERROR(IF($I$13&gt;0,$I177/$I$13,$S177/$S$13),0)</f>
        <v/>
      </c>
      <c r="BD177" s="102">
        <f>IFERROR($S177/$S$13,0)</f>
        <v/>
      </c>
      <c r="BE177" s="413" t="inlineStr">
        <is>
          <t>$</t>
        </is>
      </c>
    </row>
    <row r="178" ht="12" customFormat="1" customHeight="1" s="65">
      <c r="A178" s="43" t="n">
        <v>163</v>
      </c>
      <c r="B178" s="166" t="n"/>
      <c r="C178" s="166" t="n"/>
      <c r="D178" s="166" t="n"/>
      <c r="E178" s="162" t="n"/>
      <c r="F178" s="166" t="n"/>
      <c r="G178" s="162" t="n"/>
      <c r="H178" s="162" t="n"/>
      <c r="I178" s="189">
        <f>E178*G178</f>
        <v/>
      </c>
      <c r="J178" s="195" t="n"/>
      <c r="K178" s="162" t="n"/>
      <c r="L178" s="168" t="n"/>
      <c r="M178" s="75">
        <f>_xlfn.XLOOKUP(L178,list_vat[Страна],list_vat[Ставка НДС %],0,0)</f>
        <v/>
      </c>
      <c r="N178" s="162">
        <f>IFERROR(IF(L178="Китай",K178,K178/(1+M178)),0)</f>
        <v/>
      </c>
      <c r="O178" s="169" t="n"/>
      <c r="P178" s="76">
        <f>N178*(1-O178)</f>
        <v/>
      </c>
      <c r="Q178" s="162" t="n"/>
      <c r="R178" s="162">
        <f>IF(ISBLANK(Q178),"введи курс",P178/Q178)</f>
        <v/>
      </c>
      <c r="S178" s="196">
        <f>IF(AND(ISNUMBER(E178),ISNUMBER(Q178)),E178*R178,0)</f>
        <v/>
      </c>
      <c r="T178" s="192">
        <f>$BC178*V$11</f>
        <v/>
      </c>
      <c r="U178" s="76">
        <f>$BC178*W$11</f>
        <v/>
      </c>
      <c r="V178" s="193">
        <f>+SUM(T178:U178)</f>
        <v/>
      </c>
      <c r="W178" s="191" t="n"/>
      <c r="X178" s="170" t="n"/>
      <c r="Y178" s="76">
        <f>ROUND(IF(offer_incoterms="DDP",X178*(S178*(1+AW178)+T178),0),2)</f>
        <v/>
      </c>
      <c r="Z178" s="188" t="n"/>
      <c r="AA178" s="192">
        <f>IFERROR(AB178/E178,0)</f>
        <v/>
      </c>
      <c r="AB178" s="76">
        <f>ROUND(SUM(S178,V178,Y178:Z178,BA178:BB178),2)</f>
        <v/>
      </c>
      <c r="AC178" s="797" t="n"/>
      <c r="AD178" s="192">
        <f t="array" ref="AD178">IFERROR(ROUND((_xlfn.IFS(offer_sale_type="поставка",AB178,offer_sale_type="транзит",S178)*(1+AC178))/E178,2),0)</f>
        <v/>
      </c>
      <c r="AE178" s="76">
        <f>AD178*E178</f>
        <v/>
      </c>
      <c r="AF178" s="193">
        <f t="array" ref="AF178">IFERROR(ROUND(_xlfn.IFS(offer_sale_type="поставка",AB178,offer_sale_type="транзит",S178)*AC178,2),0)</f>
        <v/>
      </c>
      <c r="AG178" s="192">
        <f>$BD178*VLOOKUP($AG$3,$AF$4:$AG$7,2,FALSE)</f>
        <v/>
      </c>
      <c r="AH178" s="76">
        <f>SUM(AE178,AG178,AI178)*rate_forex_risk</f>
        <v/>
      </c>
      <c r="AI178" s="193">
        <f>IF(OR(seller_region="TR",offer_sale_type="экспорт"),0,rate_fin_comm)*SUM(AZ178,AZ178*AW178,T178)</f>
        <v/>
      </c>
      <c r="AJ178" s="118">
        <f>IFERROR(ROUND(SUM(AB178,AF178:AI178)/E178,2),0)</f>
        <v/>
      </c>
      <c r="AK178" s="76">
        <f>AJ178*E178</f>
        <v/>
      </c>
      <c r="AL178" s="174">
        <f>ROUND(IFERROR(AM178*E178,0),2)</f>
        <v/>
      </c>
      <c r="AM178" s="175">
        <f>ROUND(AJ178*(1+IF(offer_incoterms="DDP",IF((TODAY()+offer_turnaround_time)&gt;=helpsheet!$L$17,rate_vatRU_from_26,rate_vatRu_till_25),0)),2)</f>
        <v/>
      </c>
      <c r="AN178" s="192">
        <f>AL178-AK178</f>
        <v/>
      </c>
      <c r="AO178" s="76">
        <f>SUM(AY178,Y178:Z178,T178)*IF(AND(offer_incoterms="DDP",offer_sale_type&lt;&gt;"экспорт"),IF((TODAY()+offer_turnaround_time)&gt;=helpsheet!$L$17,rate_vatRU_from_26,rate_vatRu_till_25),0)</f>
        <v/>
      </c>
      <c r="AP178" s="193">
        <f>AN178-AO178</f>
        <v/>
      </c>
      <c r="AQ178" s="118">
        <f>IF(offer_sale_type="транзит",SUM(AF178:AI178,BA178,BB178),0)</f>
        <v/>
      </c>
      <c r="AR178" s="82">
        <f>HYPERLINK("https://www.alta.ru/tnved/code/")&amp;W178&amp;"/"</f>
        <v/>
      </c>
      <c r="AS178" s="157" t="n"/>
      <c r="AT178" s="162" t="n"/>
      <c r="AU178" s="76">
        <f>IF(ISBLANK(AT178),0,AJ178-AT178)</f>
        <v/>
      </c>
      <c r="AV178" s="157" t="n"/>
      <c r="AW178" s="75">
        <f>_xlfn.IFNA(VLOOKUP(L178,list_vat[],3,FALSE),0)</f>
        <v/>
      </c>
      <c r="AX178" s="76">
        <f>IFERROR(ROUND(S178*(1+AW178)/E178,2),0)</f>
        <v/>
      </c>
      <c r="AY178" s="76">
        <f>E178*AX178</f>
        <v/>
      </c>
      <c r="AZ178" s="192">
        <f>S178*(1+M178)</f>
        <v/>
      </c>
      <c r="BA178" s="76">
        <f>cost_fin_total*$BD178</f>
        <v/>
      </c>
      <c r="BB178" s="193">
        <f>credit_sales_interest*BD178</f>
        <v/>
      </c>
      <c r="BC178" s="102">
        <f>IFERROR(IF($I$13&gt;0,$I178/$I$13,$S178/$S$13),0)</f>
        <v/>
      </c>
      <c r="BD178" s="102">
        <f>IFERROR($S178/$S$13,0)</f>
        <v/>
      </c>
      <c r="BE178" s="413" t="inlineStr">
        <is>
          <t>$</t>
        </is>
      </c>
    </row>
    <row r="179" ht="12" customFormat="1" customHeight="1" s="65">
      <c r="A179" s="43" t="n">
        <v>164</v>
      </c>
      <c r="B179" s="166" t="n"/>
      <c r="C179" s="166" t="n"/>
      <c r="D179" s="166" t="n"/>
      <c r="E179" s="162" t="n"/>
      <c r="F179" s="166" t="n"/>
      <c r="G179" s="162" t="n"/>
      <c r="H179" s="162" t="n"/>
      <c r="I179" s="189">
        <f>E179*G179</f>
        <v/>
      </c>
      <c r="J179" s="195" t="n"/>
      <c r="K179" s="162" t="n"/>
      <c r="L179" s="168" t="n"/>
      <c r="M179" s="75">
        <f>_xlfn.XLOOKUP(L179,list_vat[Страна],list_vat[Ставка НДС %],0,0)</f>
        <v/>
      </c>
      <c r="N179" s="162">
        <f>IFERROR(IF(L179="Китай",K179,K179/(1+M179)),0)</f>
        <v/>
      </c>
      <c r="O179" s="169" t="n"/>
      <c r="P179" s="76">
        <f>N179*(1-O179)</f>
        <v/>
      </c>
      <c r="Q179" s="162" t="n"/>
      <c r="R179" s="162">
        <f>IF(ISBLANK(Q179),"введи курс",P179/Q179)</f>
        <v/>
      </c>
      <c r="S179" s="196">
        <f>IF(AND(ISNUMBER(E179),ISNUMBER(Q179)),E179*R179,0)</f>
        <v/>
      </c>
      <c r="T179" s="192">
        <f>$BC179*V$11</f>
        <v/>
      </c>
      <c r="U179" s="76">
        <f>$BC179*W$11</f>
        <v/>
      </c>
      <c r="V179" s="193">
        <f>+SUM(T179:U179)</f>
        <v/>
      </c>
      <c r="W179" s="191" t="n"/>
      <c r="X179" s="170" t="n"/>
      <c r="Y179" s="76">
        <f>ROUND(IF(offer_incoterms="DDP",X179*(S179*(1+AW179)+T179),0),2)</f>
        <v/>
      </c>
      <c r="Z179" s="188" t="n"/>
      <c r="AA179" s="192">
        <f>IFERROR(AB179/E179,0)</f>
        <v/>
      </c>
      <c r="AB179" s="76">
        <f>ROUND(SUM(S179,V179,Y179:Z179,BA179:BB179),2)</f>
        <v/>
      </c>
      <c r="AC179" s="797" t="n"/>
      <c r="AD179" s="192">
        <f t="array" ref="AD179">IFERROR(ROUND((_xlfn.IFS(offer_sale_type="поставка",AB179,offer_sale_type="транзит",S179)*(1+AC179))/E179,2),0)</f>
        <v/>
      </c>
      <c r="AE179" s="76">
        <f>AD179*E179</f>
        <v/>
      </c>
      <c r="AF179" s="193">
        <f t="array" ref="AF179">IFERROR(ROUND(_xlfn.IFS(offer_sale_type="поставка",AB179,offer_sale_type="транзит",S179)*AC179,2),0)</f>
        <v/>
      </c>
      <c r="AG179" s="192">
        <f>$BD179*VLOOKUP($AG$3,$AF$4:$AG$7,2,FALSE)</f>
        <v/>
      </c>
      <c r="AH179" s="76">
        <f>SUM(AE179,AG179,AI179)*rate_forex_risk</f>
        <v/>
      </c>
      <c r="AI179" s="193">
        <f>IF(OR(seller_region="TR",offer_sale_type="экспорт"),0,rate_fin_comm)*SUM(AZ179,AZ179*AW179,T179)</f>
        <v/>
      </c>
      <c r="AJ179" s="118">
        <f>IFERROR(ROUND(SUM(AB179,AF179:AI179)/E179,2),0)</f>
        <v/>
      </c>
      <c r="AK179" s="76">
        <f>AJ179*E179</f>
        <v/>
      </c>
      <c r="AL179" s="174">
        <f>ROUND(IFERROR(AM179*E179,0),2)</f>
        <v/>
      </c>
      <c r="AM179" s="175">
        <f>ROUND(AJ179*(1+IF(offer_incoterms="DDP",IF((TODAY()+offer_turnaround_time)&gt;=helpsheet!$L$17,rate_vatRU_from_26,rate_vatRu_till_25),0)),2)</f>
        <v/>
      </c>
      <c r="AN179" s="192">
        <f>AL179-AK179</f>
        <v/>
      </c>
      <c r="AO179" s="76">
        <f>SUM(AY179,Y179:Z179,T179)*IF(AND(offer_incoterms="DDP",offer_sale_type&lt;&gt;"экспорт"),IF((TODAY()+offer_turnaround_time)&gt;=helpsheet!$L$17,rate_vatRU_from_26,rate_vatRu_till_25),0)</f>
        <v/>
      </c>
      <c r="AP179" s="193">
        <f>AN179-AO179</f>
        <v/>
      </c>
      <c r="AQ179" s="118">
        <f>IF(offer_sale_type="транзит",SUM(AF179:AI179,BA179,BB179),0)</f>
        <v/>
      </c>
      <c r="AR179" s="82">
        <f>HYPERLINK("https://www.alta.ru/tnved/code/")&amp;W179&amp;"/"</f>
        <v/>
      </c>
      <c r="AS179" s="157" t="n"/>
      <c r="AT179" s="162" t="n"/>
      <c r="AU179" s="76">
        <f>IF(ISBLANK(AT179),0,AJ179-AT179)</f>
        <v/>
      </c>
      <c r="AV179" s="157" t="n"/>
      <c r="AW179" s="75">
        <f>_xlfn.IFNA(VLOOKUP(L179,list_vat[],3,FALSE),0)</f>
        <v/>
      </c>
      <c r="AX179" s="76">
        <f>IFERROR(ROUND(S179*(1+AW179)/E179,2),0)</f>
        <v/>
      </c>
      <c r="AY179" s="76">
        <f>E179*AX179</f>
        <v/>
      </c>
      <c r="AZ179" s="192">
        <f>S179*(1+M179)</f>
        <v/>
      </c>
      <c r="BA179" s="76">
        <f>cost_fin_total*$BD179</f>
        <v/>
      </c>
      <c r="BB179" s="193">
        <f>credit_sales_interest*BD179</f>
        <v/>
      </c>
      <c r="BC179" s="102">
        <f>IFERROR(IF($I$13&gt;0,$I179/$I$13,$S179/$S$13),0)</f>
        <v/>
      </c>
      <c r="BD179" s="102">
        <f>IFERROR($S179/$S$13,0)</f>
        <v/>
      </c>
      <c r="BE179" s="413" t="inlineStr">
        <is>
          <t>$</t>
        </is>
      </c>
    </row>
    <row r="180" ht="12" customFormat="1" customHeight="1" s="65">
      <c r="A180" s="43" t="n">
        <v>165</v>
      </c>
      <c r="B180" s="166" t="n"/>
      <c r="C180" s="166" t="n"/>
      <c r="D180" s="166" t="n"/>
      <c r="E180" s="162" t="n"/>
      <c r="F180" s="166" t="n"/>
      <c r="G180" s="162" t="n"/>
      <c r="H180" s="162" t="n"/>
      <c r="I180" s="189">
        <f>E180*G180</f>
        <v/>
      </c>
      <c r="J180" s="195" t="n"/>
      <c r="K180" s="162" t="n"/>
      <c r="L180" s="168" t="n"/>
      <c r="M180" s="75">
        <f>_xlfn.XLOOKUP(L180,list_vat[Страна],list_vat[Ставка НДС %],0,0)</f>
        <v/>
      </c>
      <c r="N180" s="162">
        <f>IFERROR(IF(L180="Китай",K180,K180/(1+M180)),0)</f>
        <v/>
      </c>
      <c r="O180" s="169" t="n"/>
      <c r="P180" s="76">
        <f>N180*(1-O180)</f>
        <v/>
      </c>
      <c r="Q180" s="162" t="n"/>
      <c r="R180" s="162">
        <f>IF(ISBLANK(Q180),"введи курс",P180/Q180)</f>
        <v/>
      </c>
      <c r="S180" s="196">
        <f>IF(AND(ISNUMBER(E180),ISNUMBER(Q180)),E180*R180,0)</f>
        <v/>
      </c>
      <c r="T180" s="192">
        <f>$BC180*V$11</f>
        <v/>
      </c>
      <c r="U180" s="76">
        <f>$BC180*W$11</f>
        <v/>
      </c>
      <c r="V180" s="193">
        <f>+SUM(T180:U180)</f>
        <v/>
      </c>
      <c r="W180" s="191" t="n"/>
      <c r="X180" s="170" t="n"/>
      <c r="Y180" s="76">
        <f>ROUND(IF(offer_incoterms="DDP",X180*(S180*(1+AW180)+T180),0),2)</f>
        <v/>
      </c>
      <c r="Z180" s="188" t="n"/>
      <c r="AA180" s="192">
        <f>IFERROR(AB180/E180,0)</f>
        <v/>
      </c>
      <c r="AB180" s="76">
        <f>ROUND(SUM(S180,V180,Y180:Z180,BA180:BB180),2)</f>
        <v/>
      </c>
      <c r="AC180" s="797" t="n"/>
      <c r="AD180" s="192">
        <f t="array" ref="AD180">IFERROR(ROUND((_xlfn.IFS(offer_sale_type="поставка",AB180,offer_sale_type="транзит",S180)*(1+AC180))/E180,2),0)</f>
        <v/>
      </c>
      <c r="AE180" s="76">
        <f>AD180*E180</f>
        <v/>
      </c>
      <c r="AF180" s="193">
        <f t="array" ref="AF180">IFERROR(ROUND(_xlfn.IFS(offer_sale_type="поставка",AB180,offer_sale_type="транзит",S180)*AC180,2),0)</f>
        <v/>
      </c>
      <c r="AG180" s="192">
        <f>$BD180*VLOOKUP($AG$3,$AF$4:$AG$7,2,FALSE)</f>
        <v/>
      </c>
      <c r="AH180" s="76">
        <f>SUM(AE180,AG180,AI180)*rate_forex_risk</f>
        <v/>
      </c>
      <c r="AI180" s="193">
        <f>IF(OR(seller_region="TR",offer_sale_type="экспорт"),0,rate_fin_comm)*SUM(AZ180,AZ180*AW180,T180)</f>
        <v/>
      </c>
      <c r="AJ180" s="118">
        <f>IFERROR(ROUND(SUM(AB180,AF180:AI180)/E180,2),0)</f>
        <v/>
      </c>
      <c r="AK180" s="76">
        <f>AJ180*E180</f>
        <v/>
      </c>
      <c r="AL180" s="174">
        <f>ROUND(IFERROR(AM180*E180,0),2)</f>
        <v/>
      </c>
      <c r="AM180" s="175">
        <f>ROUND(AJ180*(1+IF(offer_incoterms="DDP",IF((TODAY()+offer_turnaround_time)&gt;=helpsheet!$L$17,rate_vatRU_from_26,rate_vatRu_till_25),0)),2)</f>
        <v/>
      </c>
      <c r="AN180" s="192">
        <f>AL180-AK180</f>
        <v/>
      </c>
      <c r="AO180" s="76">
        <f>SUM(AY180,Y180:Z180,T180)*IF(AND(offer_incoterms="DDP",offer_sale_type&lt;&gt;"экспорт"),IF((TODAY()+offer_turnaround_time)&gt;=helpsheet!$L$17,rate_vatRU_from_26,rate_vatRu_till_25),0)</f>
        <v/>
      </c>
      <c r="AP180" s="193">
        <f>AN180-AO180</f>
        <v/>
      </c>
      <c r="AQ180" s="118">
        <f>IF(offer_sale_type="транзит",SUM(AF180:AI180,BA180,BB180),0)</f>
        <v/>
      </c>
      <c r="AR180" s="82">
        <f>HYPERLINK("https://www.alta.ru/tnved/code/")&amp;W180&amp;"/"</f>
        <v/>
      </c>
      <c r="AS180" s="157" t="n"/>
      <c r="AT180" s="162" t="n"/>
      <c r="AU180" s="76">
        <f>IF(ISBLANK(AT180),0,AJ180-AT180)</f>
        <v/>
      </c>
      <c r="AV180" s="157" t="n"/>
      <c r="AW180" s="75">
        <f>_xlfn.IFNA(VLOOKUP(L180,list_vat[],3,FALSE),0)</f>
        <v/>
      </c>
      <c r="AX180" s="76">
        <f>IFERROR(ROUND(S180*(1+AW180)/E180,2),0)</f>
        <v/>
      </c>
      <c r="AY180" s="76">
        <f>E180*AX180</f>
        <v/>
      </c>
      <c r="AZ180" s="192">
        <f>S180*(1+M180)</f>
        <v/>
      </c>
      <c r="BA180" s="76">
        <f>cost_fin_total*$BD180</f>
        <v/>
      </c>
      <c r="BB180" s="193">
        <f>credit_sales_interest*BD180</f>
        <v/>
      </c>
      <c r="BC180" s="102">
        <f>IFERROR(IF($I$13&gt;0,$I180/$I$13,$S180/$S$13),0)</f>
        <v/>
      </c>
      <c r="BD180" s="102">
        <f>IFERROR($S180/$S$13,0)</f>
        <v/>
      </c>
      <c r="BE180" s="413" t="inlineStr">
        <is>
          <t>$</t>
        </is>
      </c>
    </row>
    <row r="181" ht="12" customFormat="1" customHeight="1" s="65">
      <c r="A181" s="43" t="n">
        <v>166</v>
      </c>
      <c r="B181" s="166" t="n"/>
      <c r="C181" s="166" t="n"/>
      <c r="D181" s="166" t="n"/>
      <c r="E181" s="162" t="n"/>
      <c r="F181" s="166" t="n"/>
      <c r="G181" s="162" t="n"/>
      <c r="H181" s="162" t="n"/>
      <c r="I181" s="189">
        <f>E181*G181</f>
        <v/>
      </c>
      <c r="J181" s="195" t="n"/>
      <c r="K181" s="162" t="n"/>
      <c r="L181" s="168" t="n"/>
      <c r="M181" s="75">
        <f>_xlfn.XLOOKUP(L181,list_vat[Страна],list_vat[Ставка НДС %],0,0)</f>
        <v/>
      </c>
      <c r="N181" s="162">
        <f>IFERROR(IF(L181="Китай",K181,K181/(1+M181)),0)</f>
        <v/>
      </c>
      <c r="O181" s="169" t="n"/>
      <c r="P181" s="76">
        <f>N181*(1-O181)</f>
        <v/>
      </c>
      <c r="Q181" s="162" t="n"/>
      <c r="R181" s="162">
        <f>IF(ISBLANK(Q181),"введи курс",P181/Q181)</f>
        <v/>
      </c>
      <c r="S181" s="196">
        <f>IF(AND(ISNUMBER(E181),ISNUMBER(Q181)),E181*R181,0)</f>
        <v/>
      </c>
      <c r="T181" s="192">
        <f>$BC181*V$11</f>
        <v/>
      </c>
      <c r="U181" s="76">
        <f>$BC181*W$11</f>
        <v/>
      </c>
      <c r="V181" s="193">
        <f>+SUM(T181:U181)</f>
        <v/>
      </c>
      <c r="W181" s="191" t="n"/>
      <c r="X181" s="170" t="n"/>
      <c r="Y181" s="76">
        <f>ROUND(IF(offer_incoterms="DDP",X181*(S181*(1+AW181)+T181),0),2)</f>
        <v/>
      </c>
      <c r="Z181" s="188" t="n"/>
      <c r="AA181" s="192">
        <f>IFERROR(AB181/E181,0)</f>
        <v/>
      </c>
      <c r="AB181" s="76">
        <f>ROUND(SUM(S181,V181,Y181:Z181,BA181:BB181),2)</f>
        <v/>
      </c>
      <c r="AC181" s="797" t="n"/>
      <c r="AD181" s="192">
        <f t="array" ref="AD181">IFERROR(ROUND((_xlfn.IFS(offer_sale_type="поставка",AB181,offer_sale_type="транзит",S181)*(1+AC181))/E181,2),0)</f>
        <v/>
      </c>
      <c r="AE181" s="76">
        <f>AD181*E181</f>
        <v/>
      </c>
      <c r="AF181" s="193">
        <f t="array" ref="AF181">IFERROR(ROUND(_xlfn.IFS(offer_sale_type="поставка",AB181,offer_sale_type="транзит",S181)*AC181,2),0)</f>
        <v/>
      </c>
      <c r="AG181" s="192">
        <f>$BD181*VLOOKUP($AG$3,$AF$4:$AG$7,2,FALSE)</f>
        <v/>
      </c>
      <c r="AH181" s="76">
        <f>SUM(AE181,AG181,AI181)*rate_forex_risk</f>
        <v/>
      </c>
      <c r="AI181" s="193">
        <f>IF(OR(seller_region="TR",offer_sale_type="экспорт"),0,rate_fin_comm)*SUM(AZ181,AZ181*AW181,T181)</f>
        <v/>
      </c>
      <c r="AJ181" s="118">
        <f>IFERROR(ROUND(SUM(AB181,AF181:AI181)/E181,2),0)</f>
        <v/>
      </c>
      <c r="AK181" s="76">
        <f>AJ181*E181</f>
        <v/>
      </c>
      <c r="AL181" s="174">
        <f>ROUND(IFERROR(AM181*E181,0),2)</f>
        <v/>
      </c>
      <c r="AM181" s="175">
        <f>ROUND(AJ181*(1+IF(offer_incoterms="DDP",IF((TODAY()+offer_turnaround_time)&gt;=helpsheet!$L$17,rate_vatRU_from_26,rate_vatRu_till_25),0)),2)</f>
        <v/>
      </c>
      <c r="AN181" s="192">
        <f>AL181-AK181</f>
        <v/>
      </c>
      <c r="AO181" s="76">
        <f>SUM(AY181,Y181:Z181,T181)*IF(AND(offer_incoterms="DDP",offer_sale_type&lt;&gt;"экспорт"),IF((TODAY()+offer_turnaround_time)&gt;=helpsheet!$L$17,rate_vatRU_from_26,rate_vatRu_till_25),0)</f>
        <v/>
      </c>
      <c r="AP181" s="193">
        <f>AN181-AO181</f>
        <v/>
      </c>
      <c r="AQ181" s="118">
        <f>IF(offer_sale_type="транзит",SUM(AF181:AI181,BA181,BB181),0)</f>
        <v/>
      </c>
      <c r="AR181" s="82">
        <f>HYPERLINK("https://www.alta.ru/tnved/code/")&amp;W181&amp;"/"</f>
        <v/>
      </c>
      <c r="AS181" s="157" t="n"/>
      <c r="AT181" s="162" t="n"/>
      <c r="AU181" s="76">
        <f>IF(ISBLANK(AT181),0,AJ181-AT181)</f>
        <v/>
      </c>
      <c r="AV181" s="157" t="n"/>
      <c r="AW181" s="75">
        <f>_xlfn.IFNA(VLOOKUP(L181,list_vat[],3,FALSE),0)</f>
        <v/>
      </c>
      <c r="AX181" s="76">
        <f>IFERROR(ROUND(S181*(1+AW181)/E181,2),0)</f>
        <v/>
      </c>
      <c r="AY181" s="76">
        <f>E181*AX181</f>
        <v/>
      </c>
      <c r="AZ181" s="192">
        <f>S181*(1+M181)</f>
        <v/>
      </c>
      <c r="BA181" s="76">
        <f>cost_fin_total*$BD181</f>
        <v/>
      </c>
      <c r="BB181" s="193">
        <f>credit_sales_interest*BD181</f>
        <v/>
      </c>
      <c r="BC181" s="102">
        <f>IFERROR(IF($I$13&gt;0,$I181/$I$13,$S181/$S$13),0)</f>
        <v/>
      </c>
      <c r="BD181" s="102">
        <f>IFERROR($S181/$S$13,0)</f>
        <v/>
      </c>
      <c r="BE181" s="413" t="inlineStr">
        <is>
          <t>$</t>
        </is>
      </c>
    </row>
    <row r="182" ht="12" customFormat="1" customHeight="1" s="65">
      <c r="A182" s="43" t="n">
        <v>167</v>
      </c>
      <c r="B182" s="166" t="n"/>
      <c r="C182" s="166" t="n"/>
      <c r="D182" s="166" t="n"/>
      <c r="E182" s="162" t="n"/>
      <c r="F182" s="166" t="n"/>
      <c r="G182" s="162" t="n"/>
      <c r="H182" s="162" t="n"/>
      <c r="I182" s="189">
        <f>E182*G182</f>
        <v/>
      </c>
      <c r="J182" s="195" t="n"/>
      <c r="K182" s="162" t="n"/>
      <c r="L182" s="168" t="n"/>
      <c r="M182" s="75">
        <f>_xlfn.XLOOKUP(L182,list_vat[Страна],list_vat[Ставка НДС %],0,0)</f>
        <v/>
      </c>
      <c r="N182" s="162">
        <f>IFERROR(IF(L182="Китай",K182,K182/(1+M182)),0)</f>
        <v/>
      </c>
      <c r="O182" s="169" t="n"/>
      <c r="P182" s="76">
        <f>N182*(1-O182)</f>
        <v/>
      </c>
      <c r="Q182" s="162" t="n"/>
      <c r="R182" s="162">
        <f>IF(ISBLANK(Q182),"введи курс",P182/Q182)</f>
        <v/>
      </c>
      <c r="S182" s="196">
        <f>IF(AND(ISNUMBER(E182),ISNUMBER(Q182)),E182*R182,0)</f>
        <v/>
      </c>
      <c r="T182" s="192">
        <f>$BC182*V$11</f>
        <v/>
      </c>
      <c r="U182" s="76">
        <f>$BC182*W$11</f>
        <v/>
      </c>
      <c r="V182" s="193">
        <f>+SUM(T182:U182)</f>
        <v/>
      </c>
      <c r="W182" s="191" t="n"/>
      <c r="X182" s="170" t="n"/>
      <c r="Y182" s="76">
        <f>ROUND(IF(offer_incoterms="DDP",X182*(S182*(1+AW182)+T182),0),2)</f>
        <v/>
      </c>
      <c r="Z182" s="188" t="n"/>
      <c r="AA182" s="192">
        <f>IFERROR(AB182/E182,0)</f>
        <v/>
      </c>
      <c r="AB182" s="76">
        <f>ROUND(SUM(S182,V182,Y182:Z182,BA182:BB182),2)</f>
        <v/>
      </c>
      <c r="AC182" s="797" t="n"/>
      <c r="AD182" s="192">
        <f t="array" ref="AD182">IFERROR(ROUND((_xlfn.IFS(offer_sale_type="поставка",AB182,offer_sale_type="транзит",S182)*(1+AC182))/E182,2),0)</f>
        <v/>
      </c>
      <c r="AE182" s="76">
        <f>AD182*E182</f>
        <v/>
      </c>
      <c r="AF182" s="193">
        <f t="array" ref="AF182">IFERROR(ROUND(_xlfn.IFS(offer_sale_type="поставка",AB182,offer_sale_type="транзит",S182)*AC182,2),0)</f>
        <v/>
      </c>
      <c r="AG182" s="192">
        <f>$BD182*VLOOKUP($AG$3,$AF$4:$AG$7,2,FALSE)</f>
        <v/>
      </c>
      <c r="AH182" s="76">
        <f>SUM(AE182,AG182,AI182)*rate_forex_risk</f>
        <v/>
      </c>
      <c r="AI182" s="193">
        <f>IF(OR(seller_region="TR",offer_sale_type="экспорт"),0,rate_fin_comm)*SUM(AZ182,AZ182*AW182,T182)</f>
        <v/>
      </c>
      <c r="AJ182" s="118">
        <f>IFERROR(ROUND(SUM(AB182,AF182:AI182)/E182,2),0)</f>
        <v/>
      </c>
      <c r="AK182" s="76">
        <f>AJ182*E182</f>
        <v/>
      </c>
      <c r="AL182" s="174">
        <f>ROUND(IFERROR(AM182*E182,0),2)</f>
        <v/>
      </c>
      <c r="AM182" s="175">
        <f>ROUND(AJ182*(1+IF(offer_incoterms="DDP",IF((TODAY()+offer_turnaround_time)&gt;=helpsheet!$L$17,rate_vatRU_from_26,rate_vatRu_till_25),0)),2)</f>
        <v/>
      </c>
      <c r="AN182" s="192">
        <f>AL182-AK182</f>
        <v/>
      </c>
      <c r="AO182" s="76">
        <f>SUM(AY182,Y182:Z182,T182)*IF(AND(offer_incoterms="DDP",offer_sale_type&lt;&gt;"экспорт"),IF((TODAY()+offer_turnaround_time)&gt;=helpsheet!$L$17,rate_vatRU_from_26,rate_vatRu_till_25),0)</f>
        <v/>
      </c>
      <c r="AP182" s="193">
        <f>AN182-AO182</f>
        <v/>
      </c>
      <c r="AQ182" s="118">
        <f>IF(offer_sale_type="транзит",SUM(AF182:AI182,BA182,BB182),0)</f>
        <v/>
      </c>
      <c r="AR182" s="82">
        <f>HYPERLINK("https://www.alta.ru/tnved/code/")&amp;W182&amp;"/"</f>
        <v/>
      </c>
      <c r="AS182" s="157" t="n"/>
      <c r="AT182" s="162" t="n"/>
      <c r="AU182" s="76">
        <f>IF(ISBLANK(AT182),0,AJ182-AT182)</f>
        <v/>
      </c>
      <c r="AV182" s="157" t="n"/>
      <c r="AW182" s="75">
        <f>_xlfn.IFNA(VLOOKUP(L182,list_vat[],3,FALSE),0)</f>
        <v/>
      </c>
      <c r="AX182" s="76">
        <f>IFERROR(ROUND(S182*(1+AW182)/E182,2),0)</f>
        <v/>
      </c>
      <c r="AY182" s="76">
        <f>E182*AX182</f>
        <v/>
      </c>
      <c r="AZ182" s="192">
        <f>S182*(1+M182)</f>
        <v/>
      </c>
      <c r="BA182" s="76">
        <f>cost_fin_total*$BD182</f>
        <v/>
      </c>
      <c r="BB182" s="193">
        <f>credit_sales_interest*BD182</f>
        <v/>
      </c>
      <c r="BC182" s="102">
        <f>IFERROR(IF($I$13&gt;0,$I182/$I$13,$S182/$S$13),0)</f>
        <v/>
      </c>
      <c r="BD182" s="102">
        <f>IFERROR($S182/$S$13,0)</f>
        <v/>
      </c>
      <c r="BE182" s="413" t="inlineStr">
        <is>
          <t>$</t>
        </is>
      </c>
    </row>
    <row r="183" ht="12" customFormat="1" customHeight="1" s="65">
      <c r="A183" s="43" t="n">
        <v>168</v>
      </c>
      <c r="B183" s="166" t="n"/>
      <c r="C183" s="166" t="n"/>
      <c r="D183" s="166" t="n"/>
      <c r="E183" s="162" t="n"/>
      <c r="F183" s="166" t="n"/>
      <c r="G183" s="162" t="n"/>
      <c r="H183" s="162" t="n"/>
      <c r="I183" s="189">
        <f>E183*G183</f>
        <v/>
      </c>
      <c r="J183" s="195" t="n"/>
      <c r="K183" s="162" t="n"/>
      <c r="L183" s="168" t="n"/>
      <c r="M183" s="75">
        <f>_xlfn.XLOOKUP(L183,list_vat[Страна],list_vat[Ставка НДС %],0,0)</f>
        <v/>
      </c>
      <c r="N183" s="162">
        <f>IFERROR(IF(L183="Китай",K183,K183/(1+M183)),0)</f>
        <v/>
      </c>
      <c r="O183" s="169" t="n"/>
      <c r="P183" s="76">
        <f>N183*(1-O183)</f>
        <v/>
      </c>
      <c r="Q183" s="162" t="n"/>
      <c r="R183" s="162">
        <f>IF(ISBLANK(Q183),"введи курс",P183/Q183)</f>
        <v/>
      </c>
      <c r="S183" s="196">
        <f>IF(AND(ISNUMBER(E183),ISNUMBER(Q183)),E183*R183,0)</f>
        <v/>
      </c>
      <c r="T183" s="192">
        <f>$BC183*V$11</f>
        <v/>
      </c>
      <c r="U183" s="76">
        <f>$BC183*W$11</f>
        <v/>
      </c>
      <c r="V183" s="193">
        <f>+SUM(T183:U183)</f>
        <v/>
      </c>
      <c r="W183" s="191" t="n"/>
      <c r="X183" s="170" t="n"/>
      <c r="Y183" s="76">
        <f>ROUND(IF(offer_incoterms="DDP",X183*(S183*(1+AW183)+T183),0),2)</f>
        <v/>
      </c>
      <c r="Z183" s="188" t="n"/>
      <c r="AA183" s="192">
        <f>IFERROR(AB183/E183,0)</f>
        <v/>
      </c>
      <c r="AB183" s="76">
        <f>ROUND(SUM(S183,V183,Y183:Z183,BA183:BB183),2)</f>
        <v/>
      </c>
      <c r="AC183" s="797" t="n"/>
      <c r="AD183" s="192">
        <f t="array" ref="AD183">IFERROR(ROUND((_xlfn.IFS(offer_sale_type="поставка",AB183,offer_sale_type="транзит",S183)*(1+AC183))/E183,2),0)</f>
        <v/>
      </c>
      <c r="AE183" s="76">
        <f>AD183*E183</f>
        <v/>
      </c>
      <c r="AF183" s="193">
        <f t="array" ref="AF183">IFERROR(ROUND(_xlfn.IFS(offer_sale_type="поставка",AB183,offer_sale_type="транзит",S183)*AC183,2),0)</f>
        <v/>
      </c>
      <c r="AG183" s="192">
        <f>$BD183*VLOOKUP($AG$3,$AF$4:$AG$7,2,FALSE)</f>
        <v/>
      </c>
      <c r="AH183" s="76">
        <f>SUM(AE183,AG183,AI183)*rate_forex_risk</f>
        <v/>
      </c>
      <c r="AI183" s="193">
        <f>IF(OR(seller_region="TR",offer_sale_type="экспорт"),0,rate_fin_comm)*SUM(AZ183,AZ183*AW183,T183)</f>
        <v/>
      </c>
      <c r="AJ183" s="118">
        <f>IFERROR(ROUND(SUM(AB183,AF183:AI183)/E183,2),0)</f>
        <v/>
      </c>
      <c r="AK183" s="76">
        <f>AJ183*E183</f>
        <v/>
      </c>
      <c r="AL183" s="174">
        <f>ROUND(IFERROR(AM183*E183,0),2)</f>
        <v/>
      </c>
      <c r="AM183" s="175">
        <f>ROUND(AJ183*(1+IF(offer_incoterms="DDP",IF((TODAY()+offer_turnaround_time)&gt;=helpsheet!$L$17,rate_vatRU_from_26,rate_vatRu_till_25),0)),2)</f>
        <v/>
      </c>
      <c r="AN183" s="192">
        <f>AL183-AK183</f>
        <v/>
      </c>
      <c r="AO183" s="76">
        <f>SUM(AY183,Y183:Z183,T183)*IF(AND(offer_incoterms="DDP",offer_sale_type&lt;&gt;"экспорт"),IF((TODAY()+offer_turnaround_time)&gt;=helpsheet!$L$17,rate_vatRU_from_26,rate_vatRu_till_25),0)</f>
        <v/>
      </c>
      <c r="AP183" s="193">
        <f>AN183-AO183</f>
        <v/>
      </c>
      <c r="AQ183" s="118">
        <f>IF(offer_sale_type="транзит",SUM(AF183:AI183,BA183,BB183),0)</f>
        <v/>
      </c>
      <c r="AR183" s="82">
        <f>HYPERLINK("https://www.alta.ru/tnved/code/")&amp;W183&amp;"/"</f>
        <v/>
      </c>
      <c r="AS183" s="157" t="n"/>
      <c r="AT183" s="162" t="n"/>
      <c r="AU183" s="76">
        <f>IF(ISBLANK(AT183),0,AJ183-AT183)</f>
        <v/>
      </c>
      <c r="AV183" s="157" t="n"/>
      <c r="AW183" s="75">
        <f>_xlfn.IFNA(VLOOKUP(L183,list_vat[],3,FALSE),0)</f>
        <v/>
      </c>
      <c r="AX183" s="76">
        <f>IFERROR(ROUND(S183*(1+AW183)/E183,2),0)</f>
        <v/>
      </c>
      <c r="AY183" s="76">
        <f>E183*AX183</f>
        <v/>
      </c>
      <c r="AZ183" s="192">
        <f>S183*(1+M183)</f>
        <v/>
      </c>
      <c r="BA183" s="76">
        <f>cost_fin_total*$BD183</f>
        <v/>
      </c>
      <c r="BB183" s="193">
        <f>credit_sales_interest*BD183</f>
        <v/>
      </c>
      <c r="BC183" s="102">
        <f>IFERROR(IF($I$13&gt;0,$I183/$I$13,$S183/$S$13),0)</f>
        <v/>
      </c>
      <c r="BD183" s="102">
        <f>IFERROR($S183/$S$13,0)</f>
        <v/>
      </c>
      <c r="BE183" s="413" t="inlineStr">
        <is>
          <t>$</t>
        </is>
      </c>
    </row>
    <row r="184" ht="12" customFormat="1" customHeight="1" s="65">
      <c r="A184" s="43" t="n">
        <v>169</v>
      </c>
      <c r="B184" s="166" t="n"/>
      <c r="C184" s="166" t="n"/>
      <c r="D184" s="166" t="n"/>
      <c r="E184" s="162" t="n"/>
      <c r="F184" s="166" t="n"/>
      <c r="G184" s="162" t="n"/>
      <c r="H184" s="162" t="n"/>
      <c r="I184" s="189">
        <f>E184*G184</f>
        <v/>
      </c>
      <c r="J184" s="195" t="n"/>
      <c r="K184" s="162" t="n"/>
      <c r="L184" s="168" t="n"/>
      <c r="M184" s="75">
        <f>_xlfn.XLOOKUP(L184,list_vat[Страна],list_vat[Ставка НДС %],0,0)</f>
        <v/>
      </c>
      <c r="N184" s="162">
        <f>IFERROR(IF(L184="Китай",K184,K184/(1+M184)),0)</f>
        <v/>
      </c>
      <c r="O184" s="169" t="n"/>
      <c r="P184" s="76">
        <f>N184*(1-O184)</f>
        <v/>
      </c>
      <c r="Q184" s="162" t="n"/>
      <c r="R184" s="162">
        <f>IF(ISBLANK(Q184),"введи курс",P184/Q184)</f>
        <v/>
      </c>
      <c r="S184" s="196">
        <f>IF(AND(ISNUMBER(E184),ISNUMBER(Q184)),E184*R184,0)</f>
        <v/>
      </c>
      <c r="T184" s="192">
        <f>$BC184*V$11</f>
        <v/>
      </c>
      <c r="U184" s="76">
        <f>$BC184*W$11</f>
        <v/>
      </c>
      <c r="V184" s="193">
        <f>+SUM(T184:U184)</f>
        <v/>
      </c>
      <c r="W184" s="191" t="n"/>
      <c r="X184" s="170" t="n"/>
      <c r="Y184" s="76">
        <f>ROUND(IF(offer_incoterms="DDP",X184*(S184*(1+AW184)+T184),0),2)</f>
        <v/>
      </c>
      <c r="Z184" s="188" t="n"/>
      <c r="AA184" s="192">
        <f>IFERROR(AB184/E184,0)</f>
        <v/>
      </c>
      <c r="AB184" s="76">
        <f>ROUND(SUM(S184,V184,Y184:Z184,BA184:BB184),2)</f>
        <v/>
      </c>
      <c r="AC184" s="797" t="n"/>
      <c r="AD184" s="192">
        <f t="array" ref="AD184">IFERROR(ROUND((_xlfn.IFS(offer_sale_type="поставка",AB184,offer_sale_type="транзит",S184)*(1+AC184))/E184,2),0)</f>
        <v/>
      </c>
      <c r="AE184" s="76">
        <f>AD184*E184</f>
        <v/>
      </c>
      <c r="AF184" s="193">
        <f t="array" ref="AF184">IFERROR(ROUND(_xlfn.IFS(offer_sale_type="поставка",AB184,offer_sale_type="транзит",S184)*AC184,2),0)</f>
        <v/>
      </c>
      <c r="AG184" s="192">
        <f>$BD184*VLOOKUP($AG$3,$AF$4:$AG$7,2,FALSE)</f>
        <v/>
      </c>
      <c r="AH184" s="76">
        <f>SUM(AE184,AG184,AI184)*rate_forex_risk</f>
        <v/>
      </c>
      <c r="AI184" s="193">
        <f>IF(OR(seller_region="TR",offer_sale_type="экспорт"),0,rate_fin_comm)*SUM(AZ184,AZ184*AW184,T184)</f>
        <v/>
      </c>
      <c r="AJ184" s="118">
        <f>IFERROR(ROUND(SUM(AB184,AF184:AI184)/E184,2),0)</f>
        <v/>
      </c>
      <c r="AK184" s="76">
        <f>AJ184*E184</f>
        <v/>
      </c>
      <c r="AL184" s="174">
        <f>ROUND(IFERROR(AM184*E184,0),2)</f>
        <v/>
      </c>
      <c r="AM184" s="175">
        <f>ROUND(AJ184*(1+IF(offer_incoterms="DDP",IF((TODAY()+offer_turnaround_time)&gt;=helpsheet!$L$17,rate_vatRU_from_26,rate_vatRu_till_25),0)),2)</f>
        <v/>
      </c>
      <c r="AN184" s="192">
        <f>AL184-AK184</f>
        <v/>
      </c>
      <c r="AO184" s="76">
        <f>SUM(AY184,Y184:Z184,T184)*IF(AND(offer_incoterms="DDP",offer_sale_type&lt;&gt;"экспорт"),IF((TODAY()+offer_turnaround_time)&gt;=helpsheet!$L$17,rate_vatRU_from_26,rate_vatRu_till_25),0)</f>
        <v/>
      </c>
      <c r="AP184" s="193">
        <f>AN184-AO184</f>
        <v/>
      </c>
      <c r="AQ184" s="118">
        <f>IF(offer_sale_type="транзит",SUM(AF184:AI184,BA184,BB184),0)</f>
        <v/>
      </c>
      <c r="AR184" s="82">
        <f>HYPERLINK("https://www.alta.ru/tnved/code/")&amp;W184&amp;"/"</f>
        <v/>
      </c>
      <c r="AS184" s="157" t="n"/>
      <c r="AT184" s="162" t="n"/>
      <c r="AU184" s="76">
        <f>IF(ISBLANK(AT184),0,AJ184-AT184)</f>
        <v/>
      </c>
      <c r="AV184" s="157" t="n"/>
      <c r="AW184" s="75">
        <f>_xlfn.IFNA(VLOOKUP(L184,list_vat[],3,FALSE),0)</f>
        <v/>
      </c>
      <c r="AX184" s="76">
        <f>IFERROR(ROUND(S184*(1+AW184)/E184,2),0)</f>
        <v/>
      </c>
      <c r="AY184" s="76">
        <f>E184*AX184</f>
        <v/>
      </c>
      <c r="AZ184" s="192">
        <f>S184*(1+M184)</f>
        <v/>
      </c>
      <c r="BA184" s="76">
        <f>cost_fin_total*$BD184</f>
        <v/>
      </c>
      <c r="BB184" s="193">
        <f>credit_sales_interest*BD184</f>
        <v/>
      </c>
      <c r="BC184" s="102">
        <f>IFERROR(IF($I$13&gt;0,$I184/$I$13,$S184/$S$13),0)</f>
        <v/>
      </c>
      <c r="BD184" s="102">
        <f>IFERROR($S184/$S$13,0)</f>
        <v/>
      </c>
      <c r="BE184" s="413" t="inlineStr">
        <is>
          <t>$</t>
        </is>
      </c>
    </row>
    <row r="185" ht="12" customFormat="1" customHeight="1" s="65">
      <c r="A185" s="43" t="n">
        <v>170</v>
      </c>
      <c r="B185" s="166" t="n"/>
      <c r="C185" s="166" t="n"/>
      <c r="D185" s="166" t="n"/>
      <c r="E185" s="162" t="n"/>
      <c r="F185" s="166" t="n"/>
      <c r="G185" s="162" t="n"/>
      <c r="H185" s="162" t="n"/>
      <c r="I185" s="189">
        <f>E185*G185</f>
        <v/>
      </c>
      <c r="J185" s="195" t="n"/>
      <c r="K185" s="162" t="n"/>
      <c r="L185" s="168" t="n"/>
      <c r="M185" s="75">
        <f>_xlfn.XLOOKUP(L185,list_vat[Страна],list_vat[Ставка НДС %],0,0)</f>
        <v/>
      </c>
      <c r="N185" s="162">
        <f>IFERROR(IF(L185="Китай",K185,K185/(1+M185)),0)</f>
        <v/>
      </c>
      <c r="O185" s="169" t="n"/>
      <c r="P185" s="76">
        <f>N185*(1-O185)</f>
        <v/>
      </c>
      <c r="Q185" s="162" t="n"/>
      <c r="R185" s="162">
        <f>IF(ISBLANK(Q185),"введи курс",P185/Q185)</f>
        <v/>
      </c>
      <c r="S185" s="196">
        <f>IF(AND(ISNUMBER(E185),ISNUMBER(Q185)),E185*R185,0)</f>
        <v/>
      </c>
      <c r="T185" s="192">
        <f>$BC185*V$11</f>
        <v/>
      </c>
      <c r="U185" s="76">
        <f>$BC185*W$11</f>
        <v/>
      </c>
      <c r="V185" s="193">
        <f>+SUM(T185:U185)</f>
        <v/>
      </c>
      <c r="W185" s="191" t="n"/>
      <c r="X185" s="170" t="n"/>
      <c r="Y185" s="76">
        <f>ROUND(IF(offer_incoterms="DDP",X185*(S185*(1+AW185)+T185),0),2)</f>
        <v/>
      </c>
      <c r="Z185" s="188" t="n"/>
      <c r="AA185" s="192">
        <f>IFERROR(AB185/E185,0)</f>
        <v/>
      </c>
      <c r="AB185" s="76">
        <f>ROUND(SUM(S185,V185,Y185:Z185,BA185:BB185),2)</f>
        <v/>
      </c>
      <c r="AC185" s="797" t="n"/>
      <c r="AD185" s="192">
        <f t="array" ref="AD185">IFERROR(ROUND((_xlfn.IFS(offer_sale_type="поставка",AB185,offer_sale_type="транзит",S185)*(1+AC185))/E185,2),0)</f>
        <v/>
      </c>
      <c r="AE185" s="76">
        <f>AD185*E185</f>
        <v/>
      </c>
      <c r="AF185" s="193">
        <f t="array" ref="AF185">IFERROR(ROUND(_xlfn.IFS(offer_sale_type="поставка",AB185,offer_sale_type="транзит",S185)*AC185,2),0)</f>
        <v/>
      </c>
      <c r="AG185" s="192">
        <f>$BD185*VLOOKUP($AG$3,$AF$4:$AG$7,2,FALSE)</f>
        <v/>
      </c>
      <c r="AH185" s="76">
        <f>SUM(AE185,AG185,AI185)*rate_forex_risk</f>
        <v/>
      </c>
      <c r="AI185" s="193">
        <f>IF(OR(seller_region="TR",offer_sale_type="экспорт"),0,rate_fin_comm)*SUM(AZ185,AZ185*AW185,T185)</f>
        <v/>
      </c>
      <c r="AJ185" s="118">
        <f>IFERROR(ROUND(SUM(AB185,AF185:AI185)/E185,2),0)</f>
        <v/>
      </c>
      <c r="AK185" s="76">
        <f>AJ185*E185</f>
        <v/>
      </c>
      <c r="AL185" s="174">
        <f>ROUND(IFERROR(AM185*E185,0),2)</f>
        <v/>
      </c>
      <c r="AM185" s="175">
        <f>ROUND(AJ185*(1+IF(offer_incoterms="DDP",IF((TODAY()+offer_turnaround_time)&gt;=helpsheet!$L$17,rate_vatRU_from_26,rate_vatRu_till_25),0)),2)</f>
        <v/>
      </c>
      <c r="AN185" s="192">
        <f>AL185-AK185</f>
        <v/>
      </c>
      <c r="AO185" s="76">
        <f>SUM(AY185,Y185:Z185,T185)*IF(AND(offer_incoterms="DDP",offer_sale_type&lt;&gt;"экспорт"),IF((TODAY()+offer_turnaround_time)&gt;=helpsheet!$L$17,rate_vatRU_from_26,rate_vatRu_till_25),0)</f>
        <v/>
      </c>
      <c r="AP185" s="193">
        <f>AN185-AO185</f>
        <v/>
      </c>
      <c r="AQ185" s="118">
        <f>IF(offer_sale_type="транзит",SUM(AF185:AI185,BA185,BB185),0)</f>
        <v/>
      </c>
      <c r="AR185" s="82">
        <f>HYPERLINK("https://www.alta.ru/tnved/code/")&amp;W185&amp;"/"</f>
        <v/>
      </c>
      <c r="AS185" s="157" t="n"/>
      <c r="AT185" s="162" t="n"/>
      <c r="AU185" s="76">
        <f>IF(ISBLANK(AT185),0,AJ185-AT185)</f>
        <v/>
      </c>
      <c r="AV185" s="157" t="n"/>
      <c r="AW185" s="75">
        <f>_xlfn.IFNA(VLOOKUP(L185,list_vat[],3,FALSE),0)</f>
        <v/>
      </c>
      <c r="AX185" s="76">
        <f>IFERROR(ROUND(S185*(1+AW185)/E185,2),0)</f>
        <v/>
      </c>
      <c r="AY185" s="76">
        <f>E185*AX185</f>
        <v/>
      </c>
      <c r="AZ185" s="192">
        <f>S185*(1+M185)</f>
        <v/>
      </c>
      <c r="BA185" s="76">
        <f>cost_fin_total*$BD185</f>
        <v/>
      </c>
      <c r="BB185" s="193">
        <f>credit_sales_interest*BD185</f>
        <v/>
      </c>
      <c r="BC185" s="102">
        <f>IFERROR(IF($I$13&gt;0,$I185/$I$13,$S185/$S$13),0)</f>
        <v/>
      </c>
      <c r="BD185" s="102">
        <f>IFERROR($S185/$S$13,0)</f>
        <v/>
      </c>
      <c r="BE185" s="413" t="inlineStr">
        <is>
          <t>$</t>
        </is>
      </c>
    </row>
    <row r="186" ht="12" customFormat="1" customHeight="1" s="65">
      <c r="A186" s="43" t="n">
        <v>171</v>
      </c>
      <c r="B186" s="166" t="n"/>
      <c r="C186" s="166" t="n"/>
      <c r="D186" s="166" t="n"/>
      <c r="E186" s="162" t="n"/>
      <c r="F186" s="166" t="n"/>
      <c r="G186" s="162" t="n"/>
      <c r="H186" s="162" t="n"/>
      <c r="I186" s="189">
        <f>E186*G186</f>
        <v/>
      </c>
      <c r="J186" s="195" t="n"/>
      <c r="K186" s="162" t="n"/>
      <c r="L186" s="168" t="n"/>
      <c r="M186" s="75">
        <f>_xlfn.XLOOKUP(L186,list_vat[Страна],list_vat[Ставка НДС %],0,0)</f>
        <v/>
      </c>
      <c r="N186" s="162">
        <f>IFERROR(IF(L186="Китай",K186,K186/(1+M186)),0)</f>
        <v/>
      </c>
      <c r="O186" s="169" t="n"/>
      <c r="P186" s="76">
        <f>N186*(1-O186)</f>
        <v/>
      </c>
      <c r="Q186" s="162" t="n"/>
      <c r="R186" s="162">
        <f>IF(ISBLANK(Q186),"введи курс",P186/Q186)</f>
        <v/>
      </c>
      <c r="S186" s="196">
        <f>IF(AND(ISNUMBER(E186),ISNUMBER(Q186)),E186*R186,0)</f>
        <v/>
      </c>
      <c r="T186" s="192">
        <f>$BC186*V$11</f>
        <v/>
      </c>
      <c r="U186" s="76">
        <f>$BC186*W$11</f>
        <v/>
      </c>
      <c r="V186" s="193">
        <f>+SUM(T186:U186)</f>
        <v/>
      </c>
      <c r="W186" s="191" t="n"/>
      <c r="X186" s="170" t="n"/>
      <c r="Y186" s="76">
        <f>ROUND(IF(offer_incoterms="DDP",X186*(S186*(1+AW186)+T186),0),2)</f>
        <v/>
      </c>
      <c r="Z186" s="188" t="n"/>
      <c r="AA186" s="192">
        <f>IFERROR(AB186/E186,0)</f>
        <v/>
      </c>
      <c r="AB186" s="76">
        <f>ROUND(SUM(S186,V186,Y186:Z186,BA186:BB186),2)</f>
        <v/>
      </c>
      <c r="AC186" s="797" t="n"/>
      <c r="AD186" s="192">
        <f t="array" ref="AD186">IFERROR(ROUND((_xlfn.IFS(offer_sale_type="поставка",AB186,offer_sale_type="транзит",S186)*(1+AC186))/E186,2),0)</f>
        <v/>
      </c>
      <c r="AE186" s="76">
        <f>AD186*E186</f>
        <v/>
      </c>
      <c r="AF186" s="193">
        <f t="array" ref="AF186">IFERROR(ROUND(_xlfn.IFS(offer_sale_type="поставка",AB186,offer_sale_type="транзит",S186)*AC186,2),0)</f>
        <v/>
      </c>
      <c r="AG186" s="192">
        <f>$BD186*VLOOKUP($AG$3,$AF$4:$AG$7,2,FALSE)</f>
        <v/>
      </c>
      <c r="AH186" s="76">
        <f>SUM(AE186,AG186,AI186)*rate_forex_risk</f>
        <v/>
      </c>
      <c r="AI186" s="193">
        <f>IF(OR(seller_region="TR",offer_sale_type="экспорт"),0,rate_fin_comm)*SUM(AZ186,AZ186*AW186,T186)</f>
        <v/>
      </c>
      <c r="AJ186" s="118">
        <f>IFERROR(ROUND(SUM(AB186,AF186:AI186)/E186,2),0)</f>
        <v/>
      </c>
      <c r="AK186" s="76">
        <f>AJ186*E186</f>
        <v/>
      </c>
      <c r="AL186" s="174">
        <f>ROUND(IFERROR(AM186*E186,0),2)</f>
        <v/>
      </c>
      <c r="AM186" s="175">
        <f>ROUND(AJ186*(1+IF(offer_incoterms="DDP",IF((TODAY()+offer_turnaround_time)&gt;=helpsheet!$L$17,rate_vatRU_from_26,rate_vatRu_till_25),0)),2)</f>
        <v/>
      </c>
      <c r="AN186" s="192">
        <f>AL186-AK186</f>
        <v/>
      </c>
      <c r="AO186" s="76">
        <f>SUM(AY186,Y186:Z186,T186)*IF(AND(offer_incoterms="DDP",offer_sale_type&lt;&gt;"экспорт"),IF((TODAY()+offer_turnaround_time)&gt;=helpsheet!$L$17,rate_vatRU_from_26,rate_vatRu_till_25),0)</f>
        <v/>
      </c>
      <c r="AP186" s="193">
        <f>AN186-AO186</f>
        <v/>
      </c>
      <c r="AQ186" s="118">
        <f>IF(offer_sale_type="транзит",SUM(AF186:AI186,BA186,BB186),0)</f>
        <v/>
      </c>
      <c r="AR186" s="82">
        <f>HYPERLINK("https://www.alta.ru/tnved/code/")&amp;W186&amp;"/"</f>
        <v/>
      </c>
      <c r="AS186" s="157" t="n"/>
      <c r="AT186" s="162" t="n"/>
      <c r="AU186" s="76">
        <f>IF(ISBLANK(AT186),0,AJ186-AT186)</f>
        <v/>
      </c>
      <c r="AV186" s="157" t="n"/>
      <c r="AW186" s="75">
        <f>_xlfn.IFNA(VLOOKUP(L186,list_vat[],3,FALSE),0)</f>
        <v/>
      </c>
      <c r="AX186" s="76">
        <f>IFERROR(ROUND(S186*(1+AW186)/E186,2),0)</f>
        <v/>
      </c>
      <c r="AY186" s="76">
        <f>E186*AX186</f>
        <v/>
      </c>
      <c r="AZ186" s="192">
        <f>S186*(1+M186)</f>
        <v/>
      </c>
      <c r="BA186" s="76">
        <f>cost_fin_total*$BD186</f>
        <v/>
      </c>
      <c r="BB186" s="193">
        <f>credit_sales_interest*BD186</f>
        <v/>
      </c>
      <c r="BC186" s="102">
        <f>IFERROR(IF($I$13&gt;0,$I186/$I$13,$S186/$S$13),0)</f>
        <v/>
      </c>
      <c r="BD186" s="102">
        <f>IFERROR($S186/$S$13,0)</f>
        <v/>
      </c>
      <c r="BE186" s="413" t="inlineStr">
        <is>
          <t>$</t>
        </is>
      </c>
    </row>
    <row r="187" ht="12" customFormat="1" customHeight="1" s="65">
      <c r="A187" s="43" t="n">
        <v>172</v>
      </c>
      <c r="B187" s="166" t="n"/>
      <c r="C187" s="166" t="n"/>
      <c r="D187" s="166" t="n"/>
      <c r="E187" s="162" t="n"/>
      <c r="F187" s="166" t="n"/>
      <c r="G187" s="162" t="n"/>
      <c r="H187" s="162" t="n"/>
      <c r="I187" s="189">
        <f>E187*G187</f>
        <v/>
      </c>
      <c r="J187" s="195" t="n"/>
      <c r="K187" s="162" t="n"/>
      <c r="L187" s="168" t="n"/>
      <c r="M187" s="75">
        <f>_xlfn.XLOOKUP(L187,list_vat[Страна],list_vat[Ставка НДС %],0,0)</f>
        <v/>
      </c>
      <c r="N187" s="162">
        <f>IFERROR(IF(L187="Китай",K187,K187/(1+M187)),0)</f>
        <v/>
      </c>
      <c r="O187" s="169" t="n"/>
      <c r="P187" s="76">
        <f>N187*(1-O187)</f>
        <v/>
      </c>
      <c r="Q187" s="162" t="n"/>
      <c r="R187" s="162">
        <f>IF(ISBLANK(Q187),"введи курс",P187/Q187)</f>
        <v/>
      </c>
      <c r="S187" s="196">
        <f>IF(AND(ISNUMBER(E187),ISNUMBER(Q187)),E187*R187,0)</f>
        <v/>
      </c>
      <c r="T187" s="192">
        <f>$BC187*V$11</f>
        <v/>
      </c>
      <c r="U187" s="76">
        <f>$BC187*W$11</f>
        <v/>
      </c>
      <c r="V187" s="193">
        <f>+SUM(T187:U187)</f>
        <v/>
      </c>
      <c r="W187" s="191" t="n"/>
      <c r="X187" s="170" t="n"/>
      <c r="Y187" s="76">
        <f>ROUND(IF(offer_incoterms="DDP",X187*(S187*(1+AW187)+T187),0),2)</f>
        <v/>
      </c>
      <c r="Z187" s="188" t="n"/>
      <c r="AA187" s="192">
        <f>IFERROR(AB187/E187,0)</f>
        <v/>
      </c>
      <c r="AB187" s="76">
        <f>ROUND(SUM(S187,V187,Y187:Z187,BA187:BB187),2)</f>
        <v/>
      </c>
      <c r="AC187" s="797" t="n"/>
      <c r="AD187" s="192">
        <f t="array" ref="AD187">IFERROR(ROUND((_xlfn.IFS(offer_sale_type="поставка",AB187,offer_sale_type="транзит",S187)*(1+AC187))/E187,2),0)</f>
        <v/>
      </c>
      <c r="AE187" s="76">
        <f>AD187*E187</f>
        <v/>
      </c>
      <c r="AF187" s="193">
        <f t="array" ref="AF187">IFERROR(ROUND(_xlfn.IFS(offer_sale_type="поставка",AB187,offer_sale_type="транзит",S187)*AC187,2),0)</f>
        <v/>
      </c>
      <c r="AG187" s="192">
        <f>$BD187*VLOOKUP($AG$3,$AF$4:$AG$7,2,FALSE)</f>
        <v/>
      </c>
      <c r="AH187" s="76">
        <f>SUM(AE187,AG187,AI187)*rate_forex_risk</f>
        <v/>
      </c>
      <c r="AI187" s="193">
        <f>IF(OR(seller_region="TR",offer_sale_type="экспорт"),0,rate_fin_comm)*SUM(AZ187,AZ187*AW187,T187)</f>
        <v/>
      </c>
      <c r="AJ187" s="118">
        <f>IFERROR(ROUND(SUM(AB187,AF187:AI187)/E187,2),0)</f>
        <v/>
      </c>
      <c r="AK187" s="76">
        <f>AJ187*E187</f>
        <v/>
      </c>
      <c r="AL187" s="174">
        <f>ROUND(IFERROR(AM187*E187,0),2)</f>
        <v/>
      </c>
      <c r="AM187" s="175">
        <f>ROUND(AJ187*(1+IF(offer_incoterms="DDP",IF((TODAY()+offer_turnaround_time)&gt;=helpsheet!$L$17,rate_vatRU_from_26,rate_vatRu_till_25),0)),2)</f>
        <v/>
      </c>
      <c r="AN187" s="192">
        <f>AL187-AK187</f>
        <v/>
      </c>
      <c r="AO187" s="76">
        <f>SUM(AY187,Y187:Z187,T187)*IF(AND(offer_incoterms="DDP",offer_sale_type&lt;&gt;"экспорт"),IF((TODAY()+offer_turnaround_time)&gt;=helpsheet!$L$17,rate_vatRU_from_26,rate_vatRu_till_25),0)</f>
        <v/>
      </c>
      <c r="AP187" s="193">
        <f>AN187-AO187</f>
        <v/>
      </c>
      <c r="AQ187" s="118">
        <f>IF(offer_sale_type="транзит",SUM(AF187:AI187,BA187,BB187),0)</f>
        <v/>
      </c>
      <c r="AR187" s="82">
        <f>HYPERLINK("https://www.alta.ru/tnved/code/")&amp;W187&amp;"/"</f>
        <v/>
      </c>
      <c r="AS187" s="157" t="n"/>
      <c r="AT187" s="162" t="n"/>
      <c r="AU187" s="76">
        <f>IF(ISBLANK(AT187),0,AJ187-AT187)</f>
        <v/>
      </c>
      <c r="AV187" s="157" t="n"/>
      <c r="AW187" s="75">
        <f>_xlfn.IFNA(VLOOKUP(L187,list_vat[],3,FALSE),0)</f>
        <v/>
      </c>
      <c r="AX187" s="76">
        <f>IFERROR(ROUND(S187*(1+AW187)/E187,2),0)</f>
        <v/>
      </c>
      <c r="AY187" s="76">
        <f>E187*AX187</f>
        <v/>
      </c>
      <c r="AZ187" s="192">
        <f>S187*(1+M187)</f>
        <v/>
      </c>
      <c r="BA187" s="76">
        <f>cost_fin_total*$BD187</f>
        <v/>
      </c>
      <c r="BB187" s="193">
        <f>credit_sales_interest*BD187</f>
        <v/>
      </c>
      <c r="BC187" s="102">
        <f>IFERROR(IF($I$13&gt;0,$I187/$I$13,$S187/$S$13),0)</f>
        <v/>
      </c>
      <c r="BD187" s="102">
        <f>IFERROR($S187/$S$13,0)</f>
        <v/>
      </c>
      <c r="BE187" s="413" t="inlineStr">
        <is>
          <t>$</t>
        </is>
      </c>
    </row>
    <row r="188" ht="12" customFormat="1" customHeight="1" s="65">
      <c r="A188" s="43" t="n">
        <v>173</v>
      </c>
      <c r="B188" s="166" t="n"/>
      <c r="C188" s="166" t="n"/>
      <c r="D188" s="166" t="n"/>
      <c r="E188" s="162" t="n"/>
      <c r="F188" s="166" t="n"/>
      <c r="G188" s="162" t="n"/>
      <c r="H188" s="162" t="n"/>
      <c r="I188" s="189">
        <f>E188*G188</f>
        <v/>
      </c>
      <c r="J188" s="195" t="n"/>
      <c r="K188" s="162" t="n"/>
      <c r="L188" s="168" t="n"/>
      <c r="M188" s="75">
        <f>_xlfn.XLOOKUP(L188,list_vat[Страна],list_vat[Ставка НДС %],0,0)</f>
        <v/>
      </c>
      <c r="N188" s="162">
        <f>IFERROR(IF(L188="Китай",K188,K188/(1+M188)),0)</f>
        <v/>
      </c>
      <c r="O188" s="169" t="n"/>
      <c r="P188" s="76">
        <f>N188*(1-O188)</f>
        <v/>
      </c>
      <c r="Q188" s="162" t="n"/>
      <c r="R188" s="162">
        <f>IF(ISBLANK(Q188),"введи курс",P188/Q188)</f>
        <v/>
      </c>
      <c r="S188" s="196">
        <f>IF(AND(ISNUMBER(E188),ISNUMBER(Q188)),E188*R188,0)</f>
        <v/>
      </c>
      <c r="T188" s="192">
        <f>$BC188*V$11</f>
        <v/>
      </c>
      <c r="U188" s="76">
        <f>$BC188*W$11</f>
        <v/>
      </c>
      <c r="V188" s="193">
        <f>+SUM(T188:U188)</f>
        <v/>
      </c>
      <c r="W188" s="191" t="n"/>
      <c r="X188" s="170" t="n"/>
      <c r="Y188" s="76">
        <f>ROUND(IF(offer_incoterms="DDP",X188*(S188*(1+AW188)+T188),0),2)</f>
        <v/>
      </c>
      <c r="Z188" s="188" t="n"/>
      <c r="AA188" s="192">
        <f>IFERROR(AB188/E188,0)</f>
        <v/>
      </c>
      <c r="AB188" s="76">
        <f>ROUND(SUM(S188,V188,Y188:Z188,BA188:BB188),2)</f>
        <v/>
      </c>
      <c r="AC188" s="797" t="n"/>
      <c r="AD188" s="192">
        <f t="array" ref="AD188">IFERROR(ROUND((_xlfn.IFS(offer_sale_type="поставка",AB188,offer_sale_type="транзит",S188)*(1+AC188))/E188,2),0)</f>
        <v/>
      </c>
      <c r="AE188" s="76">
        <f>AD188*E188</f>
        <v/>
      </c>
      <c r="AF188" s="193">
        <f t="array" ref="AF188">IFERROR(ROUND(_xlfn.IFS(offer_sale_type="поставка",AB188,offer_sale_type="транзит",S188)*AC188,2),0)</f>
        <v/>
      </c>
      <c r="AG188" s="192">
        <f>$BD188*VLOOKUP($AG$3,$AF$4:$AG$7,2,FALSE)</f>
        <v/>
      </c>
      <c r="AH188" s="76">
        <f>SUM(AE188,AG188,AI188)*rate_forex_risk</f>
        <v/>
      </c>
      <c r="AI188" s="193">
        <f>IF(OR(seller_region="TR",offer_sale_type="экспорт"),0,rate_fin_comm)*SUM(AZ188,AZ188*AW188,T188)</f>
        <v/>
      </c>
      <c r="AJ188" s="118">
        <f>IFERROR(ROUND(SUM(AB188,AF188:AI188)/E188,2),0)</f>
        <v/>
      </c>
      <c r="AK188" s="76">
        <f>AJ188*E188</f>
        <v/>
      </c>
      <c r="AL188" s="174">
        <f>ROUND(IFERROR(AM188*E188,0),2)</f>
        <v/>
      </c>
      <c r="AM188" s="175">
        <f>ROUND(AJ188*(1+IF(offer_incoterms="DDP",IF((TODAY()+offer_turnaround_time)&gt;=helpsheet!$L$17,rate_vatRU_from_26,rate_vatRu_till_25),0)),2)</f>
        <v/>
      </c>
      <c r="AN188" s="192">
        <f>AL188-AK188</f>
        <v/>
      </c>
      <c r="AO188" s="76">
        <f>SUM(AY188,Y188:Z188,T188)*IF(AND(offer_incoterms="DDP",offer_sale_type&lt;&gt;"экспорт"),IF((TODAY()+offer_turnaround_time)&gt;=helpsheet!$L$17,rate_vatRU_from_26,rate_vatRu_till_25),0)</f>
        <v/>
      </c>
      <c r="AP188" s="193">
        <f>AN188-AO188</f>
        <v/>
      </c>
      <c r="AQ188" s="118">
        <f>IF(offer_sale_type="транзит",SUM(AF188:AI188,BA188,BB188),0)</f>
        <v/>
      </c>
      <c r="AR188" s="82">
        <f>HYPERLINK("https://www.alta.ru/tnved/code/")&amp;W188&amp;"/"</f>
        <v/>
      </c>
      <c r="AS188" s="157" t="n"/>
      <c r="AT188" s="162" t="n"/>
      <c r="AU188" s="76">
        <f>IF(ISBLANK(AT188),0,AJ188-AT188)</f>
        <v/>
      </c>
      <c r="AV188" s="157" t="n"/>
      <c r="AW188" s="75">
        <f>_xlfn.IFNA(VLOOKUP(L188,list_vat[],3,FALSE),0)</f>
        <v/>
      </c>
      <c r="AX188" s="76">
        <f>IFERROR(ROUND(S188*(1+AW188)/E188,2),0)</f>
        <v/>
      </c>
      <c r="AY188" s="76">
        <f>E188*AX188</f>
        <v/>
      </c>
      <c r="AZ188" s="192">
        <f>S188*(1+M188)</f>
        <v/>
      </c>
      <c r="BA188" s="76">
        <f>cost_fin_total*$BD188</f>
        <v/>
      </c>
      <c r="BB188" s="193">
        <f>credit_sales_interest*BD188</f>
        <v/>
      </c>
      <c r="BC188" s="102">
        <f>IFERROR(IF($I$13&gt;0,$I188/$I$13,$S188/$S$13),0)</f>
        <v/>
      </c>
      <c r="BD188" s="102">
        <f>IFERROR($S188/$S$13,0)</f>
        <v/>
      </c>
      <c r="BE188" s="413" t="inlineStr">
        <is>
          <t>$</t>
        </is>
      </c>
    </row>
    <row r="189" ht="12" customFormat="1" customHeight="1" s="65">
      <c r="A189" s="43" t="n">
        <v>174</v>
      </c>
      <c r="B189" s="166" t="n"/>
      <c r="C189" s="166" t="n"/>
      <c r="D189" s="166" t="n"/>
      <c r="E189" s="162" t="n"/>
      <c r="F189" s="166" t="n"/>
      <c r="G189" s="162" t="n"/>
      <c r="H189" s="162" t="n"/>
      <c r="I189" s="189">
        <f>E189*G189</f>
        <v/>
      </c>
      <c r="J189" s="195" t="n"/>
      <c r="K189" s="162" t="n"/>
      <c r="L189" s="168" t="n"/>
      <c r="M189" s="75">
        <f>_xlfn.XLOOKUP(L189,list_vat[Страна],list_vat[Ставка НДС %],0,0)</f>
        <v/>
      </c>
      <c r="N189" s="162">
        <f>IFERROR(IF(L189="Китай",K189,K189/(1+M189)),0)</f>
        <v/>
      </c>
      <c r="O189" s="169" t="n"/>
      <c r="P189" s="76">
        <f>N189*(1-O189)</f>
        <v/>
      </c>
      <c r="Q189" s="162" t="n"/>
      <c r="R189" s="162">
        <f>IF(ISBLANK(Q189),"введи курс",P189/Q189)</f>
        <v/>
      </c>
      <c r="S189" s="196">
        <f>IF(AND(ISNUMBER(E189),ISNUMBER(Q189)),E189*R189,0)</f>
        <v/>
      </c>
      <c r="T189" s="192">
        <f>$BC189*V$11</f>
        <v/>
      </c>
      <c r="U189" s="76">
        <f>$BC189*W$11</f>
        <v/>
      </c>
      <c r="V189" s="193">
        <f>+SUM(T189:U189)</f>
        <v/>
      </c>
      <c r="W189" s="191" t="n"/>
      <c r="X189" s="170" t="n"/>
      <c r="Y189" s="76">
        <f>ROUND(IF(offer_incoterms="DDP",X189*(S189*(1+AW189)+T189),0),2)</f>
        <v/>
      </c>
      <c r="Z189" s="188" t="n"/>
      <c r="AA189" s="192">
        <f>IFERROR(AB189/E189,0)</f>
        <v/>
      </c>
      <c r="AB189" s="76">
        <f>ROUND(SUM(S189,V189,Y189:Z189,BA189:BB189),2)</f>
        <v/>
      </c>
      <c r="AC189" s="797" t="n"/>
      <c r="AD189" s="192">
        <f t="array" ref="AD189">IFERROR(ROUND((_xlfn.IFS(offer_sale_type="поставка",AB189,offer_sale_type="транзит",S189)*(1+AC189))/E189,2),0)</f>
        <v/>
      </c>
      <c r="AE189" s="76">
        <f>AD189*E189</f>
        <v/>
      </c>
      <c r="AF189" s="193">
        <f t="array" ref="AF189">IFERROR(ROUND(_xlfn.IFS(offer_sale_type="поставка",AB189,offer_sale_type="транзит",S189)*AC189,2),0)</f>
        <v/>
      </c>
      <c r="AG189" s="192">
        <f>$BD189*VLOOKUP($AG$3,$AF$4:$AG$7,2,FALSE)</f>
        <v/>
      </c>
      <c r="AH189" s="76">
        <f>SUM(AE189,AG189,AI189)*rate_forex_risk</f>
        <v/>
      </c>
      <c r="AI189" s="193">
        <f>IF(OR(seller_region="TR",offer_sale_type="экспорт"),0,rate_fin_comm)*SUM(AZ189,AZ189*AW189,T189)</f>
        <v/>
      </c>
      <c r="AJ189" s="118">
        <f>IFERROR(ROUND(SUM(AB189,AF189:AI189)/E189,2),0)</f>
        <v/>
      </c>
      <c r="AK189" s="76">
        <f>AJ189*E189</f>
        <v/>
      </c>
      <c r="AL189" s="174">
        <f>ROUND(IFERROR(AM189*E189,0),2)</f>
        <v/>
      </c>
      <c r="AM189" s="175">
        <f>ROUND(AJ189*(1+IF(offer_incoterms="DDP",IF((TODAY()+offer_turnaround_time)&gt;=helpsheet!$L$17,rate_vatRU_from_26,rate_vatRu_till_25),0)),2)</f>
        <v/>
      </c>
      <c r="AN189" s="192">
        <f>AL189-AK189</f>
        <v/>
      </c>
      <c r="AO189" s="76">
        <f>SUM(AY189,Y189:Z189,T189)*IF(AND(offer_incoterms="DDP",offer_sale_type&lt;&gt;"экспорт"),IF((TODAY()+offer_turnaround_time)&gt;=helpsheet!$L$17,rate_vatRU_from_26,rate_vatRu_till_25),0)</f>
        <v/>
      </c>
      <c r="AP189" s="193">
        <f>AN189-AO189</f>
        <v/>
      </c>
      <c r="AQ189" s="118">
        <f>IF(offer_sale_type="транзит",SUM(AF189:AI189,BA189,BB189),0)</f>
        <v/>
      </c>
      <c r="AR189" s="82">
        <f>HYPERLINK("https://www.alta.ru/tnved/code/")&amp;W189&amp;"/"</f>
        <v/>
      </c>
      <c r="AS189" s="157" t="n"/>
      <c r="AT189" s="162" t="n"/>
      <c r="AU189" s="76">
        <f>IF(ISBLANK(AT189),0,AJ189-AT189)</f>
        <v/>
      </c>
      <c r="AV189" s="157" t="n"/>
      <c r="AW189" s="75">
        <f>_xlfn.IFNA(VLOOKUP(L189,list_vat[],3,FALSE),0)</f>
        <v/>
      </c>
      <c r="AX189" s="76">
        <f>IFERROR(ROUND(S189*(1+AW189)/E189,2),0)</f>
        <v/>
      </c>
      <c r="AY189" s="76">
        <f>E189*AX189</f>
        <v/>
      </c>
      <c r="AZ189" s="192">
        <f>S189*(1+M189)</f>
        <v/>
      </c>
      <c r="BA189" s="76">
        <f>cost_fin_total*$BD189</f>
        <v/>
      </c>
      <c r="BB189" s="193">
        <f>credit_sales_interest*BD189</f>
        <v/>
      </c>
      <c r="BC189" s="102">
        <f>IFERROR(IF($I$13&gt;0,$I189/$I$13,$S189/$S$13),0)</f>
        <v/>
      </c>
      <c r="BD189" s="102">
        <f>IFERROR($S189/$S$13,0)</f>
        <v/>
      </c>
      <c r="BE189" s="413" t="inlineStr">
        <is>
          <t>$</t>
        </is>
      </c>
    </row>
    <row r="190" ht="12" customFormat="1" customHeight="1" s="65">
      <c r="A190" s="43" t="n">
        <v>175</v>
      </c>
      <c r="B190" s="166" t="n"/>
      <c r="C190" s="166" t="n"/>
      <c r="D190" s="166" t="n"/>
      <c r="E190" s="162" t="n"/>
      <c r="F190" s="166" t="n"/>
      <c r="G190" s="162" t="n"/>
      <c r="H190" s="162" t="n"/>
      <c r="I190" s="189">
        <f>E190*G190</f>
        <v/>
      </c>
      <c r="J190" s="195" t="n"/>
      <c r="K190" s="162" t="n"/>
      <c r="L190" s="168" t="n"/>
      <c r="M190" s="75">
        <f>_xlfn.XLOOKUP(L190,list_vat[Страна],list_vat[Ставка НДС %],0,0)</f>
        <v/>
      </c>
      <c r="N190" s="162">
        <f>IFERROR(IF(L190="Китай",K190,K190/(1+M190)),0)</f>
        <v/>
      </c>
      <c r="O190" s="169" t="n"/>
      <c r="P190" s="76">
        <f>N190*(1-O190)</f>
        <v/>
      </c>
      <c r="Q190" s="162" t="n"/>
      <c r="R190" s="162">
        <f>IF(ISBLANK(Q190),"введи курс",P190/Q190)</f>
        <v/>
      </c>
      <c r="S190" s="196">
        <f>IF(AND(ISNUMBER(E190),ISNUMBER(Q190)),E190*R190,0)</f>
        <v/>
      </c>
      <c r="T190" s="192">
        <f>$BC190*V$11</f>
        <v/>
      </c>
      <c r="U190" s="76">
        <f>$BC190*W$11</f>
        <v/>
      </c>
      <c r="V190" s="193">
        <f>+SUM(T190:U190)</f>
        <v/>
      </c>
      <c r="W190" s="191" t="n"/>
      <c r="X190" s="170" t="n"/>
      <c r="Y190" s="76">
        <f>ROUND(IF(offer_incoterms="DDP",X190*(S190*(1+AW190)+T190),0),2)</f>
        <v/>
      </c>
      <c r="Z190" s="188" t="n"/>
      <c r="AA190" s="192">
        <f>IFERROR(AB190/E190,0)</f>
        <v/>
      </c>
      <c r="AB190" s="76">
        <f>ROUND(SUM(S190,V190,Y190:Z190,BA190:BB190),2)</f>
        <v/>
      </c>
      <c r="AC190" s="797" t="n"/>
      <c r="AD190" s="192">
        <f t="array" ref="AD190">IFERROR(ROUND((_xlfn.IFS(offer_sale_type="поставка",AB190,offer_sale_type="транзит",S190)*(1+AC190))/E190,2),0)</f>
        <v/>
      </c>
      <c r="AE190" s="76">
        <f>AD190*E190</f>
        <v/>
      </c>
      <c r="AF190" s="193">
        <f t="array" ref="AF190">IFERROR(ROUND(_xlfn.IFS(offer_sale_type="поставка",AB190,offer_sale_type="транзит",S190)*AC190,2),0)</f>
        <v/>
      </c>
      <c r="AG190" s="192">
        <f>$BD190*VLOOKUP($AG$3,$AF$4:$AG$7,2,FALSE)</f>
        <v/>
      </c>
      <c r="AH190" s="76">
        <f>SUM(AE190,AG190,AI190)*rate_forex_risk</f>
        <v/>
      </c>
      <c r="AI190" s="193">
        <f>IF(OR(seller_region="TR",offer_sale_type="экспорт"),0,rate_fin_comm)*SUM(AZ190,AZ190*AW190,T190)</f>
        <v/>
      </c>
      <c r="AJ190" s="118">
        <f>IFERROR(ROUND(SUM(AB190,AF190:AI190)/E190,2),0)</f>
        <v/>
      </c>
      <c r="AK190" s="76">
        <f>AJ190*E190</f>
        <v/>
      </c>
      <c r="AL190" s="174">
        <f>ROUND(IFERROR(AM190*E190,0),2)</f>
        <v/>
      </c>
      <c r="AM190" s="175">
        <f>ROUND(AJ190*(1+IF(offer_incoterms="DDP",IF((TODAY()+offer_turnaround_time)&gt;=helpsheet!$L$17,rate_vatRU_from_26,rate_vatRu_till_25),0)),2)</f>
        <v/>
      </c>
      <c r="AN190" s="192">
        <f>AL190-AK190</f>
        <v/>
      </c>
      <c r="AO190" s="76">
        <f>SUM(AY190,Y190:Z190,T190)*IF(AND(offer_incoterms="DDP",offer_sale_type&lt;&gt;"экспорт"),IF((TODAY()+offer_turnaround_time)&gt;=helpsheet!$L$17,rate_vatRU_from_26,rate_vatRu_till_25),0)</f>
        <v/>
      </c>
      <c r="AP190" s="193">
        <f>AN190-AO190</f>
        <v/>
      </c>
      <c r="AQ190" s="118">
        <f>IF(offer_sale_type="транзит",SUM(AF190:AI190,BA190,BB190),0)</f>
        <v/>
      </c>
      <c r="AR190" s="82">
        <f>HYPERLINK("https://www.alta.ru/tnved/code/")&amp;W190&amp;"/"</f>
        <v/>
      </c>
      <c r="AS190" s="157" t="n"/>
      <c r="AT190" s="162" t="n"/>
      <c r="AU190" s="76">
        <f>IF(ISBLANK(AT190),0,AJ190-AT190)</f>
        <v/>
      </c>
      <c r="AV190" s="157" t="n"/>
      <c r="AW190" s="75">
        <f>_xlfn.IFNA(VLOOKUP(L190,list_vat[],3,FALSE),0)</f>
        <v/>
      </c>
      <c r="AX190" s="76">
        <f>IFERROR(ROUND(S190*(1+AW190)/E190,2),0)</f>
        <v/>
      </c>
      <c r="AY190" s="76">
        <f>E190*AX190</f>
        <v/>
      </c>
      <c r="AZ190" s="192">
        <f>S190*(1+M190)</f>
        <v/>
      </c>
      <c r="BA190" s="76">
        <f>cost_fin_total*$BD190</f>
        <v/>
      </c>
      <c r="BB190" s="193">
        <f>credit_sales_interest*BD190</f>
        <v/>
      </c>
      <c r="BC190" s="102">
        <f>IFERROR(IF($I$13&gt;0,$I190/$I$13,$S190/$S$13),0)</f>
        <v/>
      </c>
      <c r="BD190" s="102">
        <f>IFERROR($S190/$S$13,0)</f>
        <v/>
      </c>
      <c r="BE190" s="413" t="inlineStr">
        <is>
          <t>$</t>
        </is>
      </c>
    </row>
    <row r="191" ht="12" customFormat="1" customHeight="1" s="65">
      <c r="A191" s="43" t="n">
        <v>176</v>
      </c>
      <c r="B191" s="166" t="n"/>
      <c r="C191" s="166" t="n"/>
      <c r="D191" s="166" t="n"/>
      <c r="E191" s="162" t="n"/>
      <c r="F191" s="166" t="n"/>
      <c r="G191" s="162" t="n"/>
      <c r="H191" s="162" t="n"/>
      <c r="I191" s="189">
        <f>E191*G191</f>
        <v/>
      </c>
      <c r="J191" s="195" t="n"/>
      <c r="K191" s="162" t="n"/>
      <c r="L191" s="168" t="n"/>
      <c r="M191" s="75">
        <f>_xlfn.XLOOKUP(L191,list_vat[Страна],list_vat[Ставка НДС %],0,0)</f>
        <v/>
      </c>
      <c r="N191" s="162">
        <f>IFERROR(IF(L191="Китай",K191,K191/(1+M191)),0)</f>
        <v/>
      </c>
      <c r="O191" s="169" t="n"/>
      <c r="P191" s="76">
        <f>N191*(1-O191)</f>
        <v/>
      </c>
      <c r="Q191" s="162" t="n"/>
      <c r="R191" s="162">
        <f>IF(ISBLANK(Q191),"введи курс",P191/Q191)</f>
        <v/>
      </c>
      <c r="S191" s="196">
        <f>IF(AND(ISNUMBER(E191),ISNUMBER(Q191)),E191*R191,0)</f>
        <v/>
      </c>
      <c r="T191" s="192">
        <f>$BC191*V$11</f>
        <v/>
      </c>
      <c r="U191" s="76">
        <f>$BC191*W$11</f>
        <v/>
      </c>
      <c r="V191" s="193">
        <f>+SUM(T191:U191)</f>
        <v/>
      </c>
      <c r="W191" s="191" t="n"/>
      <c r="X191" s="170" t="n"/>
      <c r="Y191" s="76">
        <f>ROUND(IF(offer_incoterms="DDP",X191*(S191*(1+AW191)+T191),0),2)</f>
        <v/>
      </c>
      <c r="Z191" s="188" t="n"/>
      <c r="AA191" s="192">
        <f>IFERROR(AB191/E191,0)</f>
        <v/>
      </c>
      <c r="AB191" s="76">
        <f>ROUND(SUM(S191,V191,Y191:Z191,BA191:BB191),2)</f>
        <v/>
      </c>
      <c r="AC191" s="797" t="n"/>
      <c r="AD191" s="192">
        <f t="array" ref="AD191">IFERROR(ROUND((_xlfn.IFS(offer_sale_type="поставка",AB191,offer_sale_type="транзит",S191)*(1+AC191))/E191,2),0)</f>
        <v/>
      </c>
      <c r="AE191" s="76">
        <f>AD191*E191</f>
        <v/>
      </c>
      <c r="AF191" s="193">
        <f t="array" ref="AF191">IFERROR(ROUND(_xlfn.IFS(offer_sale_type="поставка",AB191,offer_sale_type="транзит",S191)*AC191,2),0)</f>
        <v/>
      </c>
      <c r="AG191" s="192">
        <f>$BD191*VLOOKUP($AG$3,$AF$4:$AG$7,2,FALSE)</f>
        <v/>
      </c>
      <c r="AH191" s="76">
        <f>SUM(AE191,AG191,AI191)*rate_forex_risk</f>
        <v/>
      </c>
      <c r="AI191" s="193">
        <f>IF(OR(seller_region="TR",offer_sale_type="экспорт"),0,rate_fin_comm)*SUM(AZ191,AZ191*AW191,T191)</f>
        <v/>
      </c>
      <c r="AJ191" s="118">
        <f>IFERROR(ROUND(SUM(AB191,AF191:AI191)/E191,2),0)</f>
        <v/>
      </c>
      <c r="AK191" s="76">
        <f>AJ191*E191</f>
        <v/>
      </c>
      <c r="AL191" s="174">
        <f>ROUND(IFERROR(AM191*E191,0),2)</f>
        <v/>
      </c>
      <c r="AM191" s="175">
        <f>ROUND(AJ191*(1+IF(offer_incoterms="DDP",IF((TODAY()+offer_turnaround_time)&gt;=helpsheet!$L$17,rate_vatRU_from_26,rate_vatRu_till_25),0)),2)</f>
        <v/>
      </c>
      <c r="AN191" s="192">
        <f>AL191-AK191</f>
        <v/>
      </c>
      <c r="AO191" s="76">
        <f>SUM(AY191,Y191:Z191,T191)*IF(AND(offer_incoterms="DDP",offer_sale_type&lt;&gt;"экспорт"),IF((TODAY()+offer_turnaround_time)&gt;=helpsheet!$L$17,rate_vatRU_from_26,rate_vatRu_till_25),0)</f>
        <v/>
      </c>
      <c r="AP191" s="193">
        <f>AN191-AO191</f>
        <v/>
      </c>
      <c r="AQ191" s="118">
        <f>IF(offer_sale_type="транзит",SUM(AF191:AI191,BA191,BB191),0)</f>
        <v/>
      </c>
      <c r="AR191" s="82">
        <f>HYPERLINK("https://www.alta.ru/tnved/code/")&amp;W191&amp;"/"</f>
        <v/>
      </c>
      <c r="AS191" s="157" t="n"/>
      <c r="AT191" s="162" t="n"/>
      <c r="AU191" s="76">
        <f>IF(ISBLANK(AT191),0,AJ191-AT191)</f>
        <v/>
      </c>
      <c r="AV191" s="157" t="n"/>
      <c r="AW191" s="75">
        <f>_xlfn.IFNA(VLOOKUP(L191,list_vat[],3,FALSE),0)</f>
        <v/>
      </c>
      <c r="AX191" s="76">
        <f>IFERROR(ROUND(S191*(1+AW191)/E191,2),0)</f>
        <v/>
      </c>
      <c r="AY191" s="76">
        <f>E191*AX191</f>
        <v/>
      </c>
      <c r="AZ191" s="192">
        <f>S191*(1+M191)</f>
        <v/>
      </c>
      <c r="BA191" s="76">
        <f>cost_fin_total*$BD191</f>
        <v/>
      </c>
      <c r="BB191" s="193">
        <f>credit_sales_interest*BD191</f>
        <v/>
      </c>
      <c r="BC191" s="102">
        <f>IFERROR(IF($I$13&gt;0,$I191/$I$13,$S191/$S$13),0)</f>
        <v/>
      </c>
      <c r="BD191" s="102">
        <f>IFERROR($S191/$S$13,0)</f>
        <v/>
      </c>
      <c r="BE191" s="413" t="inlineStr">
        <is>
          <t>$</t>
        </is>
      </c>
    </row>
    <row r="192" ht="12" customFormat="1" customHeight="1" s="65">
      <c r="A192" s="43" t="n">
        <v>177</v>
      </c>
      <c r="B192" s="166" t="n"/>
      <c r="C192" s="166" t="n"/>
      <c r="D192" s="166" t="n"/>
      <c r="E192" s="162" t="n"/>
      <c r="F192" s="166" t="n"/>
      <c r="G192" s="162" t="n"/>
      <c r="H192" s="162" t="n"/>
      <c r="I192" s="189">
        <f>E192*G192</f>
        <v/>
      </c>
      <c r="J192" s="195" t="n"/>
      <c r="K192" s="162" t="n"/>
      <c r="L192" s="168" t="n"/>
      <c r="M192" s="75">
        <f>_xlfn.XLOOKUP(L192,list_vat[Страна],list_vat[Ставка НДС %],0,0)</f>
        <v/>
      </c>
      <c r="N192" s="162">
        <f>IFERROR(IF(L192="Китай",K192,K192/(1+M192)),0)</f>
        <v/>
      </c>
      <c r="O192" s="169" t="n"/>
      <c r="P192" s="76">
        <f>N192*(1-O192)</f>
        <v/>
      </c>
      <c r="Q192" s="162" t="n"/>
      <c r="R192" s="162">
        <f>IF(ISBLANK(Q192),"введи курс",P192/Q192)</f>
        <v/>
      </c>
      <c r="S192" s="196">
        <f>IF(AND(ISNUMBER(E192),ISNUMBER(Q192)),E192*R192,0)</f>
        <v/>
      </c>
      <c r="T192" s="192">
        <f>$BC192*V$11</f>
        <v/>
      </c>
      <c r="U192" s="76">
        <f>$BC192*W$11</f>
        <v/>
      </c>
      <c r="V192" s="193">
        <f>+SUM(T192:U192)</f>
        <v/>
      </c>
      <c r="W192" s="191" t="n"/>
      <c r="X192" s="170" t="n"/>
      <c r="Y192" s="76">
        <f>ROUND(IF(offer_incoterms="DDP",X192*(S192*(1+AW192)+T192),0),2)</f>
        <v/>
      </c>
      <c r="Z192" s="188" t="n"/>
      <c r="AA192" s="192">
        <f>IFERROR(AB192/E192,0)</f>
        <v/>
      </c>
      <c r="AB192" s="76">
        <f>ROUND(SUM(S192,V192,Y192:Z192,BA192:BB192),2)</f>
        <v/>
      </c>
      <c r="AC192" s="797" t="n"/>
      <c r="AD192" s="192">
        <f t="array" ref="AD192">IFERROR(ROUND((_xlfn.IFS(offer_sale_type="поставка",AB192,offer_sale_type="транзит",S192)*(1+AC192))/E192,2),0)</f>
        <v/>
      </c>
      <c r="AE192" s="76">
        <f>AD192*E192</f>
        <v/>
      </c>
      <c r="AF192" s="193">
        <f t="array" ref="AF192">IFERROR(ROUND(_xlfn.IFS(offer_sale_type="поставка",AB192,offer_sale_type="транзит",S192)*AC192,2),0)</f>
        <v/>
      </c>
      <c r="AG192" s="192">
        <f>$BD192*VLOOKUP($AG$3,$AF$4:$AG$7,2,FALSE)</f>
        <v/>
      </c>
      <c r="AH192" s="76">
        <f>SUM(AE192,AG192,AI192)*rate_forex_risk</f>
        <v/>
      </c>
      <c r="AI192" s="193">
        <f>IF(OR(seller_region="TR",offer_sale_type="экспорт"),0,rate_fin_comm)*SUM(AZ192,AZ192*AW192,T192)</f>
        <v/>
      </c>
      <c r="AJ192" s="118">
        <f>IFERROR(ROUND(SUM(AB192,AF192:AI192)/E192,2),0)</f>
        <v/>
      </c>
      <c r="AK192" s="76">
        <f>AJ192*E192</f>
        <v/>
      </c>
      <c r="AL192" s="174">
        <f>ROUND(IFERROR(AM192*E192,0),2)</f>
        <v/>
      </c>
      <c r="AM192" s="175">
        <f>ROUND(AJ192*(1+IF(offer_incoterms="DDP",IF((TODAY()+offer_turnaround_time)&gt;=helpsheet!$L$17,rate_vatRU_from_26,rate_vatRu_till_25),0)),2)</f>
        <v/>
      </c>
      <c r="AN192" s="192">
        <f>AL192-AK192</f>
        <v/>
      </c>
      <c r="AO192" s="76">
        <f>SUM(AY192,Y192:Z192,T192)*IF(AND(offer_incoterms="DDP",offer_sale_type&lt;&gt;"экспорт"),IF((TODAY()+offer_turnaround_time)&gt;=helpsheet!$L$17,rate_vatRU_from_26,rate_vatRu_till_25),0)</f>
        <v/>
      </c>
      <c r="AP192" s="193">
        <f>AN192-AO192</f>
        <v/>
      </c>
      <c r="AQ192" s="118">
        <f>IF(offer_sale_type="транзит",SUM(AF192:AI192,BA192,BB192),0)</f>
        <v/>
      </c>
      <c r="AR192" s="82">
        <f>HYPERLINK("https://www.alta.ru/tnved/code/")&amp;W192&amp;"/"</f>
        <v/>
      </c>
      <c r="AS192" s="157" t="n"/>
      <c r="AT192" s="162" t="n"/>
      <c r="AU192" s="76">
        <f>IF(ISBLANK(AT192),0,AJ192-AT192)</f>
        <v/>
      </c>
      <c r="AV192" s="157" t="n"/>
      <c r="AW192" s="75">
        <f>_xlfn.IFNA(VLOOKUP(L192,list_vat[],3,FALSE),0)</f>
        <v/>
      </c>
      <c r="AX192" s="76">
        <f>IFERROR(ROUND(S192*(1+AW192)/E192,2),0)</f>
        <v/>
      </c>
      <c r="AY192" s="76">
        <f>E192*AX192</f>
        <v/>
      </c>
      <c r="AZ192" s="192">
        <f>S192*(1+M192)</f>
        <v/>
      </c>
      <c r="BA192" s="76">
        <f>cost_fin_total*$BD192</f>
        <v/>
      </c>
      <c r="BB192" s="193">
        <f>credit_sales_interest*BD192</f>
        <v/>
      </c>
      <c r="BC192" s="102">
        <f>IFERROR(IF($I$13&gt;0,$I192/$I$13,$S192/$S$13),0)</f>
        <v/>
      </c>
      <c r="BD192" s="102">
        <f>IFERROR($S192/$S$13,0)</f>
        <v/>
      </c>
      <c r="BE192" s="413" t="inlineStr">
        <is>
          <t>$</t>
        </is>
      </c>
    </row>
    <row r="193" ht="12" customFormat="1" customHeight="1" s="65">
      <c r="A193" s="43" t="n">
        <v>178</v>
      </c>
      <c r="B193" s="166" t="n"/>
      <c r="C193" s="166" t="n"/>
      <c r="D193" s="166" t="n"/>
      <c r="E193" s="162" t="n"/>
      <c r="F193" s="166" t="n"/>
      <c r="G193" s="162" t="n"/>
      <c r="H193" s="162" t="n"/>
      <c r="I193" s="189">
        <f>E193*G193</f>
        <v/>
      </c>
      <c r="J193" s="195" t="n"/>
      <c r="K193" s="162" t="n"/>
      <c r="L193" s="168" t="n"/>
      <c r="M193" s="75">
        <f>_xlfn.XLOOKUP(L193,list_vat[Страна],list_vat[Ставка НДС %],0,0)</f>
        <v/>
      </c>
      <c r="N193" s="162">
        <f>IFERROR(IF(L193="Китай",K193,K193/(1+M193)),0)</f>
        <v/>
      </c>
      <c r="O193" s="169" t="n"/>
      <c r="P193" s="76">
        <f>N193*(1-O193)</f>
        <v/>
      </c>
      <c r="Q193" s="162" t="n"/>
      <c r="R193" s="162">
        <f>IF(ISBLANK(Q193),"введи курс",P193/Q193)</f>
        <v/>
      </c>
      <c r="S193" s="196">
        <f>IF(AND(ISNUMBER(E193),ISNUMBER(Q193)),E193*R193,0)</f>
        <v/>
      </c>
      <c r="T193" s="192">
        <f>$BC193*V$11</f>
        <v/>
      </c>
      <c r="U193" s="76">
        <f>$BC193*W$11</f>
        <v/>
      </c>
      <c r="V193" s="193">
        <f>+SUM(T193:U193)</f>
        <v/>
      </c>
      <c r="W193" s="191" t="n"/>
      <c r="X193" s="170" t="n"/>
      <c r="Y193" s="76">
        <f>ROUND(IF(offer_incoterms="DDP",X193*(S193*(1+AW193)+T193),0),2)</f>
        <v/>
      </c>
      <c r="Z193" s="188" t="n"/>
      <c r="AA193" s="192">
        <f>IFERROR(AB193/E193,0)</f>
        <v/>
      </c>
      <c r="AB193" s="76">
        <f>ROUND(SUM(S193,V193,Y193:Z193,BA193:BB193),2)</f>
        <v/>
      </c>
      <c r="AC193" s="797" t="n"/>
      <c r="AD193" s="192">
        <f t="array" ref="AD193">IFERROR(ROUND((_xlfn.IFS(offer_sale_type="поставка",AB193,offer_sale_type="транзит",S193)*(1+AC193))/E193,2),0)</f>
        <v/>
      </c>
      <c r="AE193" s="76">
        <f>AD193*E193</f>
        <v/>
      </c>
      <c r="AF193" s="193">
        <f t="array" ref="AF193">IFERROR(ROUND(_xlfn.IFS(offer_sale_type="поставка",AB193,offer_sale_type="транзит",S193)*AC193,2),0)</f>
        <v/>
      </c>
      <c r="AG193" s="192">
        <f>$BD193*VLOOKUP($AG$3,$AF$4:$AG$7,2,FALSE)</f>
        <v/>
      </c>
      <c r="AH193" s="76">
        <f>SUM(AE193,AG193,AI193)*rate_forex_risk</f>
        <v/>
      </c>
      <c r="AI193" s="193">
        <f>IF(OR(seller_region="TR",offer_sale_type="экспорт"),0,rate_fin_comm)*SUM(AZ193,AZ193*AW193,T193)</f>
        <v/>
      </c>
      <c r="AJ193" s="118">
        <f>IFERROR(ROUND(SUM(AB193,AF193:AI193)/E193,2),0)</f>
        <v/>
      </c>
      <c r="AK193" s="76">
        <f>AJ193*E193</f>
        <v/>
      </c>
      <c r="AL193" s="174">
        <f>ROUND(IFERROR(AM193*E193,0),2)</f>
        <v/>
      </c>
      <c r="AM193" s="175">
        <f>ROUND(AJ193*(1+IF(offer_incoterms="DDP",IF((TODAY()+offer_turnaround_time)&gt;=helpsheet!$L$17,rate_vatRU_from_26,rate_vatRu_till_25),0)),2)</f>
        <v/>
      </c>
      <c r="AN193" s="192">
        <f>AL193-AK193</f>
        <v/>
      </c>
      <c r="AO193" s="76">
        <f>SUM(AY193,Y193:Z193,T193)*IF(AND(offer_incoterms="DDP",offer_sale_type&lt;&gt;"экспорт"),IF((TODAY()+offer_turnaround_time)&gt;=helpsheet!$L$17,rate_vatRU_from_26,rate_vatRu_till_25),0)</f>
        <v/>
      </c>
      <c r="AP193" s="193">
        <f>AN193-AO193</f>
        <v/>
      </c>
      <c r="AQ193" s="118">
        <f>IF(offer_sale_type="транзит",SUM(AF193:AI193,BA193,BB193),0)</f>
        <v/>
      </c>
      <c r="AR193" s="82">
        <f>HYPERLINK("https://www.alta.ru/tnved/code/")&amp;W193&amp;"/"</f>
        <v/>
      </c>
      <c r="AS193" s="157" t="n"/>
      <c r="AT193" s="162" t="n"/>
      <c r="AU193" s="76">
        <f>IF(ISBLANK(AT193),0,AJ193-AT193)</f>
        <v/>
      </c>
      <c r="AV193" s="157" t="n"/>
      <c r="AW193" s="75">
        <f>_xlfn.IFNA(VLOOKUP(L193,list_vat[],3,FALSE),0)</f>
        <v/>
      </c>
      <c r="AX193" s="76">
        <f>IFERROR(ROUND(S193*(1+AW193)/E193,2),0)</f>
        <v/>
      </c>
      <c r="AY193" s="76">
        <f>E193*AX193</f>
        <v/>
      </c>
      <c r="AZ193" s="192">
        <f>S193*(1+M193)</f>
        <v/>
      </c>
      <c r="BA193" s="76">
        <f>cost_fin_total*$BD193</f>
        <v/>
      </c>
      <c r="BB193" s="193">
        <f>credit_sales_interest*BD193</f>
        <v/>
      </c>
      <c r="BC193" s="102">
        <f>IFERROR(IF($I$13&gt;0,$I193/$I$13,$S193/$S$13),0)</f>
        <v/>
      </c>
      <c r="BD193" s="102">
        <f>IFERROR($S193/$S$13,0)</f>
        <v/>
      </c>
      <c r="BE193" s="413" t="inlineStr">
        <is>
          <t>$</t>
        </is>
      </c>
    </row>
    <row r="194" ht="12" customFormat="1" customHeight="1" s="65">
      <c r="A194" s="43" t="n">
        <v>179</v>
      </c>
      <c r="B194" s="166" t="n"/>
      <c r="C194" s="166" t="n"/>
      <c r="D194" s="166" t="n"/>
      <c r="E194" s="162" t="n"/>
      <c r="F194" s="166" t="n"/>
      <c r="G194" s="162" t="n"/>
      <c r="H194" s="162" t="n"/>
      <c r="I194" s="189">
        <f>E194*G194</f>
        <v/>
      </c>
      <c r="J194" s="195" t="n"/>
      <c r="K194" s="162" t="n"/>
      <c r="L194" s="168" t="n"/>
      <c r="M194" s="75">
        <f>_xlfn.XLOOKUP(L194,list_vat[Страна],list_vat[Ставка НДС %],0,0)</f>
        <v/>
      </c>
      <c r="N194" s="162">
        <f>IFERROR(IF(L194="Китай",K194,K194/(1+M194)),0)</f>
        <v/>
      </c>
      <c r="O194" s="169" t="n"/>
      <c r="P194" s="76">
        <f>N194*(1-O194)</f>
        <v/>
      </c>
      <c r="Q194" s="162" t="n"/>
      <c r="R194" s="162">
        <f>IF(ISBLANK(Q194),"введи курс",P194/Q194)</f>
        <v/>
      </c>
      <c r="S194" s="196">
        <f>IF(AND(ISNUMBER(E194),ISNUMBER(Q194)),E194*R194,0)</f>
        <v/>
      </c>
      <c r="T194" s="192">
        <f>$BC194*V$11</f>
        <v/>
      </c>
      <c r="U194" s="76">
        <f>$BC194*W$11</f>
        <v/>
      </c>
      <c r="V194" s="193">
        <f>+SUM(T194:U194)</f>
        <v/>
      </c>
      <c r="W194" s="191" t="n"/>
      <c r="X194" s="170" t="n"/>
      <c r="Y194" s="76">
        <f>ROUND(IF(offer_incoterms="DDP",X194*(S194*(1+AW194)+T194),0),2)</f>
        <v/>
      </c>
      <c r="Z194" s="188" t="n"/>
      <c r="AA194" s="192">
        <f>IFERROR(AB194/E194,0)</f>
        <v/>
      </c>
      <c r="AB194" s="76">
        <f>ROUND(SUM(S194,V194,Y194:Z194,BA194:BB194),2)</f>
        <v/>
      </c>
      <c r="AC194" s="797" t="n"/>
      <c r="AD194" s="192">
        <f t="array" ref="AD194">IFERROR(ROUND((_xlfn.IFS(offer_sale_type="поставка",AB194,offer_sale_type="транзит",S194)*(1+AC194))/E194,2),0)</f>
        <v/>
      </c>
      <c r="AE194" s="76">
        <f>AD194*E194</f>
        <v/>
      </c>
      <c r="AF194" s="193">
        <f t="array" ref="AF194">IFERROR(ROUND(_xlfn.IFS(offer_sale_type="поставка",AB194,offer_sale_type="транзит",S194)*AC194,2),0)</f>
        <v/>
      </c>
      <c r="AG194" s="192">
        <f>$BD194*VLOOKUP($AG$3,$AF$4:$AG$7,2,FALSE)</f>
        <v/>
      </c>
      <c r="AH194" s="76">
        <f>SUM(AE194,AG194,AI194)*rate_forex_risk</f>
        <v/>
      </c>
      <c r="AI194" s="193">
        <f>IF(OR(seller_region="TR",offer_sale_type="экспорт"),0,rate_fin_comm)*SUM(AZ194,AZ194*AW194,T194)</f>
        <v/>
      </c>
      <c r="AJ194" s="118">
        <f>IFERROR(ROUND(SUM(AB194,AF194:AI194)/E194,2),0)</f>
        <v/>
      </c>
      <c r="AK194" s="76">
        <f>AJ194*E194</f>
        <v/>
      </c>
      <c r="AL194" s="174">
        <f>ROUND(IFERROR(AM194*E194,0),2)</f>
        <v/>
      </c>
      <c r="AM194" s="175">
        <f>ROUND(AJ194*(1+IF(offer_incoterms="DDP",IF((TODAY()+offer_turnaround_time)&gt;=helpsheet!$L$17,rate_vatRU_from_26,rate_vatRu_till_25),0)),2)</f>
        <v/>
      </c>
      <c r="AN194" s="192">
        <f>AL194-AK194</f>
        <v/>
      </c>
      <c r="AO194" s="76">
        <f>SUM(AY194,Y194:Z194,T194)*IF(AND(offer_incoterms="DDP",offer_sale_type&lt;&gt;"экспорт"),IF((TODAY()+offer_turnaround_time)&gt;=helpsheet!$L$17,rate_vatRU_from_26,rate_vatRu_till_25),0)</f>
        <v/>
      </c>
      <c r="AP194" s="193">
        <f>AN194-AO194</f>
        <v/>
      </c>
      <c r="AQ194" s="118">
        <f>IF(offer_sale_type="транзит",SUM(AF194:AI194,BA194,BB194),0)</f>
        <v/>
      </c>
      <c r="AR194" s="82">
        <f>HYPERLINK("https://www.alta.ru/tnved/code/")&amp;W194&amp;"/"</f>
        <v/>
      </c>
      <c r="AS194" s="157" t="n"/>
      <c r="AT194" s="162" t="n"/>
      <c r="AU194" s="76">
        <f>IF(ISBLANK(AT194),0,AJ194-AT194)</f>
        <v/>
      </c>
      <c r="AV194" s="157" t="n"/>
      <c r="AW194" s="75">
        <f>_xlfn.IFNA(VLOOKUP(L194,list_vat[],3,FALSE),0)</f>
        <v/>
      </c>
      <c r="AX194" s="76">
        <f>IFERROR(ROUND(S194*(1+AW194)/E194,2),0)</f>
        <v/>
      </c>
      <c r="AY194" s="76">
        <f>E194*AX194</f>
        <v/>
      </c>
      <c r="AZ194" s="192">
        <f>S194*(1+M194)</f>
        <v/>
      </c>
      <c r="BA194" s="76">
        <f>cost_fin_total*$BD194</f>
        <v/>
      </c>
      <c r="BB194" s="193">
        <f>credit_sales_interest*BD194</f>
        <v/>
      </c>
      <c r="BC194" s="102">
        <f>IFERROR(IF($I$13&gt;0,$I194/$I$13,$S194/$S$13),0)</f>
        <v/>
      </c>
      <c r="BD194" s="102">
        <f>IFERROR($S194/$S$13,0)</f>
        <v/>
      </c>
      <c r="BE194" s="413" t="inlineStr">
        <is>
          <t>$</t>
        </is>
      </c>
    </row>
    <row r="195" ht="12" customFormat="1" customHeight="1" s="65">
      <c r="A195" s="43" t="n">
        <v>180</v>
      </c>
      <c r="B195" s="166" t="n"/>
      <c r="C195" s="166" t="n"/>
      <c r="D195" s="166" t="n"/>
      <c r="E195" s="162" t="n"/>
      <c r="F195" s="166" t="n"/>
      <c r="G195" s="162" t="n"/>
      <c r="H195" s="162" t="n"/>
      <c r="I195" s="189">
        <f>E195*G195</f>
        <v/>
      </c>
      <c r="J195" s="195" t="n"/>
      <c r="K195" s="162" t="n"/>
      <c r="L195" s="168" t="n"/>
      <c r="M195" s="75">
        <f>_xlfn.XLOOKUP(L195,list_vat[Страна],list_vat[Ставка НДС %],0,0)</f>
        <v/>
      </c>
      <c r="N195" s="162">
        <f>IFERROR(IF(L195="Китай",K195,K195/(1+M195)),0)</f>
        <v/>
      </c>
      <c r="O195" s="169" t="n"/>
      <c r="P195" s="76">
        <f>N195*(1-O195)</f>
        <v/>
      </c>
      <c r="Q195" s="162" t="n"/>
      <c r="R195" s="162">
        <f>IF(ISBLANK(Q195),"введи курс",P195/Q195)</f>
        <v/>
      </c>
      <c r="S195" s="196">
        <f>IF(AND(ISNUMBER(E195),ISNUMBER(Q195)),E195*R195,0)</f>
        <v/>
      </c>
      <c r="T195" s="192">
        <f>$BC195*V$11</f>
        <v/>
      </c>
      <c r="U195" s="76">
        <f>$BC195*W$11</f>
        <v/>
      </c>
      <c r="V195" s="193">
        <f>+SUM(T195:U195)</f>
        <v/>
      </c>
      <c r="W195" s="191" t="n"/>
      <c r="X195" s="170" t="n"/>
      <c r="Y195" s="76">
        <f>ROUND(IF(offer_incoterms="DDP",X195*(S195*(1+AW195)+T195),0),2)</f>
        <v/>
      </c>
      <c r="Z195" s="188" t="n"/>
      <c r="AA195" s="192">
        <f>IFERROR(AB195/E195,0)</f>
        <v/>
      </c>
      <c r="AB195" s="76">
        <f>ROUND(SUM(S195,V195,Y195:Z195,BA195:BB195),2)</f>
        <v/>
      </c>
      <c r="AC195" s="797" t="n"/>
      <c r="AD195" s="192">
        <f t="array" ref="AD195">IFERROR(ROUND((_xlfn.IFS(offer_sale_type="поставка",AB195,offer_sale_type="транзит",S195)*(1+AC195))/E195,2),0)</f>
        <v/>
      </c>
      <c r="AE195" s="76">
        <f>AD195*E195</f>
        <v/>
      </c>
      <c r="AF195" s="193">
        <f t="array" ref="AF195">IFERROR(ROUND(_xlfn.IFS(offer_sale_type="поставка",AB195,offer_sale_type="транзит",S195)*AC195,2),0)</f>
        <v/>
      </c>
      <c r="AG195" s="192">
        <f>$BD195*VLOOKUP($AG$3,$AF$4:$AG$7,2,FALSE)</f>
        <v/>
      </c>
      <c r="AH195" s="76">
        <f>SUM(AE195,AG195,AI195)*rate_forex_risk</f>
        <v/>
      </c>
      <c r="AI195" s="193">
        <f>IF(OR(seller_region="TR",offer_sale_type="экспорт"),0,rate_fin_comm)*SUM(AZ195,AZ195*AW195,T195)</f>
        <v/>
      </c>
      <c r="AJ195" s="118">
        <f>IFERROR(ROUND(SUM(AB195,AF195:AI195)/E195,2),0)</f>
        <v/>
      </c>
      <c r="AK195" s="76">
        <f>AJ195*E195</f>
        <v/>
      </c>
      <c r="AL195" s="174">
        <f>ROUND(IFERROR(AM195*E195,0),2)</f>
        <v/>
      </c>
      <c r="AM195" s="175">
        <f>ROUND(AJ195*(1+IF(offer_incoterms="DDP",IF((TODAY()+offer_turnaround_time)&gt;=helpsheet!$L$17,rate_vatRU_from_26,rate_vatRu_till_25),0)),2)</f>
        <v/>
      </c>
      <c r="AN195" s="192">
        <f>AL195-AK195</f>
        <v/>
      </c>
      <c r="AO195" s="76">
        <f>SUM(AY195,Y195:Z195,T195)*IF(AND(offer_incoterms="DDP",offer_sale_type&lt;&gt;"экспорт"),IF((TODAY()+offer_turnaround_time)&gt;=helpsheet!$L$17,rate_vatRU_from_26,rate_vatRu_till_25),0)</f>
        <v/>
      </c>
      <c r="AP195" s="193">
        <f>AN195-AO195</f>
        <v/>
      </c>
      <c r="AQ195" s="118">
        <f>IF(offer_sale_type="транзит",SUM(AF195:AI195,BA195,BB195),0)</f>
        <v/>
      </c>
      <c r="AR195" s="82">
        <f>HYPERLINK("https://www.alta.ru/tnved/code/")&amp;W195&amp;"/"</f>
        <v/>
      </c>
      <c r="AS195" s="157" t="n"/>
      <c r="AT195" s="162" t="n"/>
      <c r="AU195" s="76">
        <f>IF(ISBLANK(AT195),0,AJ195-AT195)</f>
        <v/>
      </c>
      <c r="AV195" s="157" t="n"/>
      <c r="AW195" s="75">
        <f>_xlfn.IFNA(VLOOKUP(L195,list_vat[],3,FALSE),0)</f>
        <v/>
      </c>
      <c r="AX195" s="76">
        <f>IFERROR(ROUND(S195*(1+AW195)/E195,2),0)</f>
        <v/>
      </c>
      <c r="AY195" s="76">
        <f>E195*AX195</f>
        <v/>
      </c>
      <c r="AZ195" s="192">
        <f>S195*(1+M195)</f>
        <v/>
      </c>
      <c r="BA195" s="76">
        <f>cost_fin_total*$BD195</f>
        <v/>
      </c>
      <c r="BB195" s="193">
        <f>credit_sales_interest*BD195</f>
        <v/>
      </c>
      <c r="BC195" s="102">
        <f>IFERROR(IF($I$13&gt;0,$I195/$I$13,$S195/$S$13),0)</f>
        <v/>
      </c>
      <c r="BD195" s="102">
        <f>IFERROR($S195/$S$13,0)</f>
        <v/>
      </c>
      <c r="BE195" s="413" t="inlineStr">
        <is>
          <t>$</t>
        </is>
      </c>
    </row>
    <row r="196" ht="12" customFormat="1" customHeight="1" s="65">
      <c r="A196" s="43" t="n">
        <v>181</v>
      </c>
      <c r="B196" s="166" t="n"/>
      <c r="C196" s="166" t="n"/>
      <c r="D196" s="166" t="n"/>
      <c r="E196" s="162" t="n"/>
      <c r="F196" s="166" t="n"/>
      <c r="G196" s="162" t="n"/>
      <c r="H196" s="162" t="n"/>
      <c r="I196" s="189">
        <f>E196*G196</f>
        <v/>
      </c>
      <c r="J196" s="195" t="n"/>
      <c r="K196" s="162" t="n"/>
      <c r="L196" s="168" t="n"/>
      <c r="M196" s="75">
        <f>_xlfn.XLOOKUP(L196,list_vat[Страна],list_vat[Ставка НДС %],0,0)</f>
        <v/>
      </c>
      <c r="N196" s="162">
        <f>IFERROR(IF(L196="Китай",K196,K196/(1+M196)),0)</f>
        <v/>
      </c>
      <c r="O196" s="169" t="n"/>
      <c r="P196" s="76">
        <f>N196*(1-O196)</f>
        <v/>
      </c>
      <c r="Q196" s="162" t="n"/>
      <c r="R196" s="162">
        <f>IF(ISBLANK(Q196),"введи курс",P196/Q196)</f>
        <v/>
      </c>
      <c r="S196" s="196">
        <f>IF(AND(ISNUMBER(E196),ISNUMBER(Q196)),E196*R196,0)</f>
        <v/>
      </c>
      <c r="T196" s="192">
        <f>$BC196*V$11</f>
        <v/>
      </c>
      <c r="U196" s="76">
        <f>$BC196*W$11</f>
        <v/>
      </c>
      <c r="V196" s="193">
        <f>+SUM(T196:U196)</f>
        <v/>
      </c>
      <c r="W196" s="191" t="n"/>
      <c r="X196" s="170" t="n"/>
      <c r="Y196" s="76">
        <f>ROUND(IF(offer_incoterms="DDP",X196*(S196*(1+AW196)+T196),0),2)</f>
        <v/>
      </c>
      <c r="Z196" s="188" t="n"/>
      <c r="AA196" s="192">
        <f>IFERROR(AB196/E196,0)</f>
        <v/>
      </c>
      <c r="AB196" s="76">
        <f>ROUND(SUM(S196,V196,Y196:Z196,BA196:BB196),2)</f>
        <v/>
      </c>
      <c r="AC196" s="797" t="n"/>
      <c r="AD196" s="192">
        <f t="array" ref="AD196">IFERROR(ROUND((_xlfn.IFS(offer_sale_type="поставка",AB196,offer_sale_type="транзит",S196)*(1+AC196))/E196,2),0)</f>
        <v/>
      </c>
      <c r="AE196" s="76">
        <f>AD196*E196</f>
        <v/>
      </c>
      <c r="AF196" s="193">
        <f t="array" ref="AF196">IFERROR(ROUND(_xlfn.IFS(offer_sale_type="поставка",AB196,offer_sale_type="транзит",S196)*AC196,2),0)</f>
        <v/>
      </c>
      <c r="AG196" s="192">
        <f>$BD196*VLOOKUP($AG$3,$AF$4:$AG$7,2,FALSE)</f>
        <v/>
      </c>
      <c r="AH196" s="76">
        <f>SUM(AE196,AG196,AI196)*rate_forex_risk</f>
        <v/>
      </c>
      <c r="AI196" s="193">
        <f>IF(OR(seller_region="TR",offer_sale_type="экспорт"),0,rate_fin_comm)*SUM(AZ196,AZ196*AW196,T196)</f>
        <v/>
      </c>
      <c r="AJ196" s="118">
        <f>IFERROR(ROUND(SUM(AB196,AF196:AI196)/E196,2),0)</f>
        <v/>
      </c>
      <c r="AK196" s="76">
        <f>AJ196*E196</f>
        <v/>
      </c>
      <c r="AL196" s="174">
        <f>ROUND(IFERROR(AM196*E196,0),2)</f>
        <v/>
      </c>
      <c r="AM196" s="175">
        <f>ROUND(AJ196*(1+IF(offer_incoterms="DDP",IF((TODAY()+offer_turnaround_time)&gt;=helpsheet!$L$17,rate_vatRU_from_26,rate_vatRu_till_25),0)),2)</f>
        <v/>
      </c>
      <c r="AN196" s="192">
        <f>AL196-AK196</f>
        <v/>
      </c>
      <c r="AO196" s="76">
        <f>SUM(AY196,Y196:Z196,T196)*IF(AND(offer_incoterms="DDP",offer_sale_type&lt;&gt;"экспорт"),IF((TODAY()+offer_turnaround_time)&gt;=helpsheet!$L$17,rate_vatRU_from_26,rate_vatRu_till_25),0)</f>
        <v/>
      </c>
      <c r="AP196" s="193">
        <f>AN196-AO196</f>
        <v/>
      </c>
      <c r="AQ196" s="118">
        <f>IF(offer_sale_type="транзит",SUM(AF196:AI196,BA196,BB196),0)</f>
        <v/>
      </c>
      <c r="AR196" s="82">
        <f>HYPERLINK("https://www.alta.ru/tnved/code/")&amp;W196&amp;"/"</f>
        <v/>
      </c>
      <c r="AS196" s="157" t="n"/>
      <c r="AT196" s="162" t="n"/>
      <c r="AU196" s="76">
        <f>IF(ISBLANK(AT196),0,AJ196-AT196)</f>
        <v/>
      </c>
      <c r="AV196" s="157" t="n"/>
      <c r="AW196" s="75">
        <f>_xlfn.IFNA(VLOOKUP(L196,list_vat[],3,FALSE),0)</f>
        <v/>
      </c>
      <c r="AX196" s="76">
        <f>IFERROR(ROUND(S196*(1+AW196)/E196,2),0)</f>
        <v/>
      </c>
      <c r="AY196" s="76">
        <f>E196*AX196</f>
        <v/>
      </c>
      <c r="AZ196" s="192">
        <f>S196*(1+M196)</f>
        <v/>
      </c>
      <c r="BA196" s="76">
        <f>cost_fin_total*$BD196</f>
        <v/>
      </c>
      <c r="BB196" s="193">
        <f>credit_sales_interest*BD196</f>
        <v/>
      </c>
      <c r="BC196" s="102">
        <f>IFERROR(IF($I$13&gt;0,$I196/$I$13,$S196/$S$13),0)</f>
        <v/>
      </c>
      <c r="BD196" s="102">
        <f>IFERROR($S196/$S$13,0)</f>
        <v/>
      </c>
      <c r="BE196" s="413" t="inlineStr">
        <is>
          <t>$</t>
        </is>
      </c>
    </row>
    <row r="197" ht="12" customFormat="1" customHeight="1" s="65">
      <c r="A197" s="43" t="n">
        <v>182</v>
      </c>
      <c r="B197" s="166" t="n"/>
      <c r="C197" s="166" t="n"/>
      <c r="D197" s="166" t="n"/>
      <c r="E197" s="162" t="n"/>
      <c r="F197" s="166" t="n"/>
      <c r="G197" s="162" t="n"/>
      <c r="H197" s="162" t="n"/>
      <c r="I197" s="189">
        <f>E197*G197</f>
        <v/>
      </c>
      <c r="J197" s="195" t="n"/>
      <c r="K197" s="162" t="n"/>
      <c r="L197" s="168" t="n"/>
      <c r="M197" s="75">
        <f>_xlfn.XLOOKUP(L197,list_vat[Страна],list_vat[Ставка НДС %],0,0)</f>
        <v/>
      </c>
      <c r="N197" s="162">
        <f>IFERROR(IF(L197="Китай",K197,K197/(1+M197)),0)</f>
        <v/>
      </c>
      <c r="O197" s="169" t="n"/>
      <c r="P197" s="76">
        <f>N197*(1-O197)</f>
        <v/>
      </c>
      <c r="Q197" s="162" t="n"/>
      <c r="R197" s="162">
        <f>IF(ISBLANK(Q197),"введи курс",P197/Q197)</f>
        <v/>
      </c>
      <c r="S197" s="196">
        <f>IF(AND(ISNUMBER(E197),ISNUMBER(Q197)),E197*R197,0)</f>
        <v/>
      </c>
      <c r="T197" s="192">
        <f>$BC197*V$11</f>
        <v/>
      </c>
      <c r="U197" s="76">
        <f>$BC197*W$11</f>
        <v/>
      </c>
      <c r="V197" s="193">
        <f>+SUM(T197:U197)</f>
        <v/>
      </c>
      <c r="W197" s="191" t="n"/>
      <c r="X197" s="170" t="n"/>
      <c r="Y197" s="76">
        <f>ROUND(IF(offer_incoterms="DDP",X197*(S197*(1+AW197)+T197),0),2)</f>
        <v/>
      </c>
      <c r="Z197" s="188" t="n"/>
      <c r="AA197" s="192">
        <f>IFERROR(AB197/E197,0)</f>
        <v/>
      </c>
      <c r="AB197" s="76">
        <f>ROUND(SUM(S197,V197,Y197:Z197,BA197:BB197),2)</f>
        <v/>
      </c>
      <c r="AC197" s="797" t="n"/>
      <c r="AD197" s="192">
        <f t="array" ref="AD197">IFERROR(ROUND((_xlfn.IFS(offer_sale_type="поставка",AB197,offer_sale_type="транзит",S197)*(1+AC197))/E197,2),0)</f>
        <v/>
      </c>
      <c r="AE197" s="76">
        <f>AD197*E197</f>
        <v/>
      </c>
      <c r="AF197" s="193">
        <f t="array" ref="AF197">IFERROR(ROUND(_xlfn.IFS(offer_sale_type="поставка",AB197,offer_sale_type="транзит",S197)*AC197,2),0)</f>
        <v/>
      </c>
      <c r="AG197" s="192">
        <f>$BD197*VLOOKUP($AG$3,$AF$4:$AG$7,2,FALSE)</f>
        <v/>
      </c>
      <c r="AH197" s="76">
        <f>SUM(AE197,AG197,AI197)*rate_forex_risk</f>
        <v/>
      </c>
      <c r="AI197" s="193">
        <f>IF(OR(seller_region="TR",offer_sale_type="экспорт"),0,rate_fin_comm)*SUM(AZ197,AZ197*AW197,T197)</f>
        <v/>
      </c>
      <c r="AJ197" s="118">
        <f>IFERROR(ROUND(SUM(AB197,AF197:AI197)/E197,2),0)</f>
        <v/>
      </c>
      <c r="AK197" s="76">
        <f>AJ197*E197</f>
        <v/>
      </c>
      <c r="AL197" s="174">
        <f>ROUND(IFERROR(AM197*E197,0),2)</f>
        <v/>
      </c>
      <c r="AM197" s="175">
        <f>ROUND(AJ197*(1+IF(offer_incoterms="DDP",IF((TODAY()+offer_turnaround_time)&gt;=helpsheet!$L$17,rate_vatRU_from_26,rate_vatRu_till_25),0)),2)</f>
        <v/>
      </c>
      <c r="AN197" s="192">
        <f>AL197-AK197</f>
        <v/>
      </c>
      <c r="AO197" s="76">
        <f>SUM(AY197,Y197:Z197,T197)*IF(AND(offer_incoterms="DDP",offer_sale_type&lt;&gt;"экспорт"),IF((TODAY()+offer_turnaround_time)&gt;=helpsheet!$L$17,rate_vatRU_from_26,rate_vatRu_till_25),0)</f>
        <v/>
      </c>
      <c r="AP197" s="193">
        <f>AN197-AO197</f>
        <v/>
      </c>
      <c r="AQ197" s="118">
        <f>IF(offer_sale_type="транзит",SUM(AF197:AI197,BA197,BB197),0)</f>
        <v/>
      </c>
      <c r="AR197" s="82">
        <f>HYPERLINK("https://www.alta.ru/tnved/code/")&amp;W197&amp;"/"</f>
        <v/>
      </c>
      <c r="AS197" s="157" t="n"/>
      <c r="AT197" s="162" t="n"/>
      <c r="AU197" s="76">
        <f>IF(ISBLANK(AT197),0,AJ197-AT197)</f>
        <v/>
      </c>
      <c r="AV197" s="157" t="n"/>
      <c r="AW197" s="75">
        <f>_xlfn.IFNA(VLOOKUP(L197,list_vat[],3,FALSE),0)</f>
        <v/>
      </c>
      <c r="AX197" s="76">
        <f>IFERROR(ROUND(S197*(1+AW197)/E197,2),0)</f>
        <v/>
      </c>
      <c r="AY197" s="76">
        <f>E197*AX197</f>
        <v/>
      </c>
      <c r="AZ197" s="192">
        <f>S197*(1+M197)</f>
        <v/>
      </c>
      <c r="BA197" s="76">
        <f>cost_fin_total*$BD197</f>
        <v/>
      </c>
      <c r="BB197" s="193">
        <f>credit_sales_interest*BD197</f>
        <v/>
      </c>
      <c r="BC197" s="102">
        <f>IFERROR(IF($I$13&gt;0,$I197/$I$13,$S197/$S$13),0)</f>
        <v/>
      </c>
      <c r="BD197" s="102">
        <f>IFERROR($S197/$S$13,0)</f>
        <v/>
      </c>
      <c r="BE197" s="413" t="inlineStr">
        <is>
          <t>$</t>
        </is>
      </c>
    </row>
    <row r="198" ht="12" customFormat="1" customHeight="1" s="65">
      <c r="A198" s="43" t="n">
        <v>183</v>
      </c>
      <c r="B198" s="166" t="n"/>
      <c r="C198" s="166" t="n"/>
      <c r="D198" s="166" t="n"/>
      <c r="E198" s="162" t="n"/>
      <c r="F198" s="166" t="n"/>
      <c r="G198" s="162" t="n"/>
      <c r="H198" s="162" t="n"/>
      <c r="I198" s="189">
        <f>E198*G198</f>
        <v/>
      </c>
      <c r="J198" s="195" t="n"/>
      <c r="K198" s="162" t="n"/>
      <c r="L198" s="168" t="n"/>
      <c r="M198" s="75">
        <f>_xlfn.XLOOKUP(L198,list_vat[Страна],list_vat[Ставка НДС %],0,0)</f>
        <v/>
      </c>
      <c r="N198" s="162">
        <f>IFERROR(IF(L198="Китай",K198,K198/(1+M198)),0)</f>
        <v/>
      </c>
      <c r="O198" s="169" t="n"/>
      <c r="P198" s="76">
        <f>N198*(1-O198)</f>
        <v/>
      </c>
      <c r="Q198" s="162" t="n"/>
      <c r="R198" s="162">
        <f>IF(ISBLANK(Q198),"введи курс",P198/Q198)</f>
        <v/>
      </c>
      <c r="S198" s="196">
        <f>IF(AND(ISNUMBER(E198),ISNUMBER(Q198)),E198*R198,0)</f>
        <v/>
      </c>
      <c r="T198" s="192">
        <f>$BC198*V$11</f>
        <v/>
      </c>
      <c r="U198" s="76">
        <f>$BC198*W$11</f>
        <v/>
      </c>
      <c r="V198" s="193">
        <f>+SUM(T198:U198)</f>
        <v/>
      </c>
      <c r="W198" s="191" t="n"/>
      <c r="X198" s="170" t="n"/>
      <c r="Y198" s="76">
        <f>ROUND(IF(offer_incoterms="DDP",X198*(S198*(1+AW198)+T198),0),2)</f>
        <v/>
      </c>
      <c r="Z198" s="188" t="n"/>
      <c r="AA198" s="192">
        <f>IFERROR(AB198/E198,0)</f>
        <v/>
      </c>
      <c r="AB198" s="76">
        <f>ROUND(SUM(S198,V198,Y198:Z198,BA198:BB198),2)</f>
        <v/>
      </c>
      <c r="AC198" s="797" t="n"/>
      <c r="AD198" s="192">
        <f t="array" ref="AD198">IFERROR(ROUND((_xlfn.IFS(offer_sale_type="поставка",AB198,offer_sale_type="транзит",S198)*(1+AC198))/E198,2),0)</f>
        <v/>
      </c>
      <c r="AE198" s="76">
        <f>AD198*E198</f>
        <v/>
      </c>
      <c r="AF198" s="193">
        <f t="array" ref="AF198">IFERROR(ROUND(_xlfn.IFS(offer_sale_type="поставка",AB198,offer_sale_type="транзит",S198)*AC198,2),0)</f>
        <v/>
      </c>
      <c r="AG198" s="192">
        <f>$BD198*VLOOKUP($AG$3,$AF$4:$AG$7,2,FALSE)</f>
        <v/>
      </c>
      <c r="AH198" s="76">
        <f>SUM(AE198,AG198,AI198)*rate_forex_risk</f>
        <v/>
      </c>
      <c r="AI198" s="193">
        <f>IF(OR(seller_region="TR",offer_sale_type="экспорт"),0,rate_fin_comm)*SUM(AZ198,AZ198*AW198,T198)</f>
        <v/>
      </c>
      <c r="AJ198" s="118">
        <f>IFERROR(ROUND(SUM(AB198,AF198:AI198)/E198,2),0)</f>
        <v/>
      </c>
      <c r="AK198" s="76">
        <f>AJ198*E198</f>
        <v/>
      </c>
      <c r="AL198" s="174">
        <f>ROUND(IFERROR(AM198*E198,0),2)</f>
        <v/>
      </c>
      <c r="AM198" s="175">
        <f>ROUND(AJ198*(1+IF(offer_incoterms="DDP",IF((TODAY()+offer_turnaround_time)&gt;=helpsheet!$L$17,rate_vatRU_from_26,rate_vatRu_till_25),0)),2)</f>
        <v/>
      </c>
      <c r="AN198" s="192">
        <f>AL198-AK198</f>
        <v/>
      </c>
      <c r="AO198" s="76">
        <f>SUM(AY198,Y198:Z198,T198)*IF(AND(offer_incoterms="DDP",offer_sale_type&lt;&gt;"экспорт"),IF((TODAY()+offer_turnaround_time)&gt;=helpsheet!$L$17,rate_vatRU_from_26,rate_vatRu_till_25),0)</f>
        <v/>
      </c>
      <c r="AP198" s="193">
        <f>AN198-AO198</f>
        <v/>
      </c>
      <c r="AQ198" s="118">
        <f>IF(offer_sale_type="транзит",SUM(AF198:AI198,BA198,BB198),0)</f>
        <v/>
      </c>
      <c r="AR198" s="82">
        <f>HYPERLINK("https://www.alta.ru/tnved/code/")&amp;W198&amp;"/"</f>
        <v/>
      </c>
      <c r="AS198" s="157" t="n"/>
      <c r="AT198" s="162" t="n"/>
      <c r="AU198" s="76">
        <f>IF(ISBLANK(AT198),0,AJ198-AT198)</f>
        <v/>
      </c>
      <c r="AV198" s="157" t="n"/>
      <c r="AW198" s="75">
        <f>_xlfn.IFNA(VLOOKUP(L198,list_vat[],3,FALSE),0)</f>
        <v/>
      </c>
      <c r="AX198" s="76">
        <f>IFERROR(ROUND(S198*(1+AW198)/E198,2),0)</f>
        <v/>
      </c>
      <c r="AY198" s="76">
        <f>E198*AX198</f>
        <v/>
      </c>
      <c r="AZ198" s="192">
        <f>S198*(1+M198)</f>
        <v/>
      </c>
      <c r="BA198" s="76">
        <f>cost_fin_total*$BD198</f>
        <v/>
      </c>
      <c r="BB198" s="193">
        <f>credit_sales_interest*BD198</f>
        <v/>
      </c>
      <c r="BC198" s="102">
        <f>IFERROR(IF($I$13&gt;0,$I198/$I$13,$S198/$S$13),0)</f>
        <v/>
      </c>
      <c r="BD198" s="102">
        <f>IFERROR($S198/$S$13,0)</f>
        <v/>
      </c>
      <c r="BE198" s="413" t="inlineStr">
        <is>
          <t>$</t>
        </is>
      </c>
    </row>
    <row r="199" ht="12" customFormat="1" customHeight="1" s="65">
      <c r="A199" s="43" t="n">
        <v>184</v>
      </c>
      <c r="B199" s="166" t="n"/>
      <c r="C199" s="166" t="n"/>
      <c r="D199" s="166" t="n"/>
      <c r="E199" s="162" t="n"/>
      <c r="F199" s="166" t="n"/>
      <c r="G199" s="162" t="n"/>
      <c r="H199" s="162" t="n"/>
      <c r="I199" s="189">
        <f>E199*G199</f>
        <v/>
      </c>
      <c r="J199" s="195" t="n"/>
      <c r="K199" s="162" t="n"/>
      <c r="L199" s="168" t="n"/>
      <c r="M199" s="75">
        <f>_xlfn.XLOOKUP(L199,list_vat[Страна],list_vat[Ставка НДС %],0,0)</f>
        <v/>
      </c>
      <c r="N199" s="162">
        <f>IFERROR(IF(L199="Китай",K199,K199/(1+M199)),0)</f>
        <v/>
      </c>
      <c r="O199" s="169" t="n"/>
      <c r="P199" s="76">
        <f>N199*(1-O199)</f>
        <v/>
      </c>
      <c r="Q199" s="162" t="n"/>
      <c r="R199" s="162">
        <f>IF(ISBLANK(Q199),"введи курс",P199/Q199)</f>
        <v/>
      </c>
      <c r="S199" s="196">
        <f>IF(AND(ISNUMBER(E199),ISNUMBER(Q199)),E199*R199,0)</f>
        <v/>
      </c>
      <c r="T199" s="192">
        <f>$BC199*V$11</f>
        <v/>
      </c>
      <c r="U199" s="76">
        <f>$BC199*W$11</f>
        <v/>
      </c>
      <c r="V199" s="193">
        <f>+SUM(T199:U199)</f>
        <v/>
      </c>
      <c r="W199" s="191" t="n"/>
      <c r="X199" s="170" t="n"/>
      <c r="Y199" s="76">
        <f>ROUND(IF(offer_incoterms="DDP",X199*(S199*(1+AW199)+T199),0),2)</f>
        <v/>
      </c>
      <c r="Z199" s="188" t="n"/>
      <c r="AA199" s="192">
        <f>IFERROR(AB199/E199,0)</f>
        <v/>
      </c>
      <c r="AB199" s="76">
        <f>ROUND(SUM(S199,V199,Y199:Z199,BA199:BB199),2)</f>
        <v/>
      </c>
      <c r="AC199" s="797" t="n"/>
      <c r="AD199" s="192">
        <f t="array" ref="AD199">IFERROR(ROUND((_xlfn.IFS(offer_sale_type="поставка",AB199,offer_sale_type="транзит",S199)*(1+AC199))/E199,2),0)</f>
        <v/>
      </c>
      <c r="AE199" s="76">
        <f>AD199*E199</f>
        <v/>
      </c>
      <c r="AF199" s="193">
        <f t="array" ref="AF199">IFERROR(ROUND(_xlfn.IFS(offer_sale_type="поставка",AB199,offer_sale_type="транзит",S199)*AC199,2),0)</f>
        <v/>
      </c>
      <c r="AG199" s="192">
        <f>$BD199*VLOOKUP($AG$3,$AF$4:$AG$7,2,FALSE)</f>
        <v/>
      </c>
      <c r="AH199" s="76">
        <f>SUM(AE199,AG199,AI199)*rate_forex_risk</f>
        <v/>
      </c>
      <c r="AI199" s="193">
        <f>IF(OR(seller_region="TR",offer_sale_type="экспорт"),0,rate_fin_comm)*SUM(AZ199,AZ199*AW199,T199)</f>
        <v/>
      </c>
      <c r="AJ199" s="118">
        <f>IFERROR(ROUND(SUM(AB199,AF199:AI199)/E199,2),0)</f>
        <v/>
      </c>
      <c r="AK199" s="76">
        <f>AJ199*E199</f>
        <v/>
      </c>
      <c r="AL199" s="174">
        <f>ROUND(IFERROR(AM199*E199,0),2)</f>
        <v/>
      </c>
      <c r="AM199" s="175">
        <f>ROUND(AJ199*(1+IF(offer_incoterms="DDP",IF((TODAY()+offer_turnaround_time)&gt;=helpsheet!$L$17,rate_vatRU_from_26,rate_vatRu_till_25),0)),2)</f>
        <v/>
      </c>
      <c r="AN199" s="192">
        <f>AL199-AK199</f>
        <v/>
      </c>
      <c r="AO199" s="76">
        <f>SUM(AY199,Y199:Z199,T199)*IF(AND(offer_incoterms="DDP",offer_sale_type&lt;&gt;"экспорт"),IF((TODAY()+offer_turnaround_time)&gt;=helpsheet!$L$17,rate_vatRU_from_26,rate_vatRu_till_25),0)</f>
        <v/>
      </c>
      <c r="AP199" s="193">
        <f>AN199-AO199</f>
        <v/>
      </c>
      <c r="AQ199" s="118">
        <f>IF(offer_sale_type="транзит",SUM(AF199:AI199,BA199,BB199),0)</f>
        <v/>
      </c>
      <c r="AR199" s="82">
        <f>HYPERLINK("https://www.alta.ru/tnved/code/")&amp;W199&amp;"/"</f>
        <v/>
      </c>
      <c r="AS199" s="157" t="n"/>
      <c r="AT199" s="162" t="n"/>
      <c r="AU199" s="76">
        <f>IF(ISBLANK(AT199),0,AJ199-AT199)</f>
        <v/>
      </c>
      <c r="AV199" s="157" t="n"/>
      <c r="AW199" s="75">
        <f>_xlfn.IFNA(VLOOKUP(L199,list_vat[],3,FALSE),0)</f>
        <v/>
      </c>
      <c r="AX199" s="76">
        <f>IFERROR(ROUND(S199*(1+AW199)/E199,2),0)</f>
        <v/>
      </c>
      <c r="AY199" s="76">
        <f>E199*AX199</f>
        <v/>
      </c>
      <c r="AZ199" s="192">
        <f>S199*(1+M199)</f>
        <v/>
      </c>
      <c r="BA199" s="76">
        <f>cost_fin_total*$BD199</f>
        <v/>
      </c>
      <c r="BB199" s="193">
        <f>credit_sales_interest*BD199</f>
        <v/>
      </c>
      <c r="BC199" s="102">
        <f>IFERROR(IF($I$13&gt;0,$I199/$I$13,$S199/$S$13),0)</f>
        <v/>
      </c>
      <c r="BD199" s="102">
        <f>IFERROR($S199/$S$13,0)</f>
        <v/>
      </c>
      <c r="BE199" s="413" t="inlineStr">
        <is>
          <t>$</t>
        </is>
      </c>
    </row>
    <row r="200" ht="12" customFormat="1" customHeight="1" s="65">
      <c r="A200" s="43" t="n">
        <v>185</v>
      </c>
      <c r="B200" s="166" t="n"/>
      <c r="C200" s="166" t="n"/>
      <c r="D200" s="166" t="n"/>
      <c r="E200" s="162" t="n"/>
      <c r="F200" s="166" t="n"/>
      <c r="G200" s="162" t="n"/>
      <c r="H200" s="162" t="n"/>
      <c r="I200" s="189">
        <f>E200*G200</f>
        <v/>
      </c>
      <c r="J200" s="195" t="n"/>
      <c r="K200" s="162" t="n"/>
      <c r="L200" s="168" t="n"/>
      <c r="M200" s="75">
        <f>_xlfn.XLOOKUP(L200,list_vat[Страна],list_vat[Ставка НДС %],0,0)</f>
        <v/>
      </c>
      <c r="N200" s="162">
        <f>IFERROR(IF(L200="Китай",K200,K200/(1+M200)),0)</f>
        <v/>
      </c>
      <c r="O200" s="169" t="n"/>
      <c r="P200" s="76">
        <f>N200*(1-O200)</f>
        <v/>
      </c>
      <c r="Q200" s="162" t="n"/>
      <c r="R200" s="162">
        <f>IF(ISBLANK(Q200),"введи курс",P200/Q200)</f>
        <v/>
      </c>
      <c r="S200" s="196">
        <f>IF(AND(ISNUMBER(E200),ISNUMBER(Q200)),E200*R200,0)</f>
        <v/>
      </c>
      <c r="T200" s="192">
        <f>$BC200*V$11</f>
        <v/>
      </c>
      <c r="U200" s="76">
        <f>$BC200*W$11</f>
        <v/>
      </c>
      <c r="V200" s="193">
        <f>+SUM(T200:U200)</f>
        <v/>
      </c>
      <c r="W200" s="191" t="n"/>
      <c r="X200" s="170" t="n"/>
      <c r="Y200" s="76">
        <f>ROUND(IF(offer_incoterms="DDP",X200*(S200*(1+AW200)+T200),0),2)</f>
        <v/>
      </c>
      <c r="Z200" s="188" t="n"/>
      <c r="AA200" s="192">
        <f>IFERROR(AB200/E200,0)</f>
        <v/>
      </c>
      <c r="AB200" s="76">
        <f>ROUND(SUM(S200,V200,Y200:Z200,BA200:BB200),2)</f>
        <v/>
      </c>
      <c r="AC200" s="797" t="n"/>
      <c r="AD200" s="192">
        <f t="array" ref="AD200">IFERROR(ROUND((_xlfn.IFS(offer_sale_type="поставка",AB200,offer_sale_type="транзит",S200)*(1+AC200))/E200,2),0)</f>
        <v/>
      </c>
      <c r="AE200" s="76">
        <f>AD200*E200</f>
        <v/>
      </c>
      <c r="AF200" s="193">
        <f t="array" ref="AF200">IFERROR(ROUND(_xlfn.IFS(offer_sale_type="поставка",AB200,offer_sale_type="транзит",S200)*AC200,2),0)</f>
        <v/>
      </c>
      <c r="AG200" s="192">
        <f>$BD200*VLOOKUP($AG$3,$AF$4:$AG$7,2,FALSE)</f>
        <v/>
      </c>
      <c r="AH200" s="76">
        <f>SUM(AE200,AG200,AI200)*rate_forex_risk</f>
        <v/>
      </c>
      <c r="AI200" s="193">
        <f>IF(OR(seller_region="TR",offer_sale_type="экспорт"),0,rate_fin_comm)*SUM(AZ200,AZ200*AW200,T200)</f>
        <v/>
      </c>
      <c r="AJ200" s="118">
        <f>IFERROR(ROUND(SUM(AB200,AF200:AI200)/E200,2),0)</f>
        <v/>
      </c>
      <c r="AK200" s="76">
        <f>AJ200*E200</f>
        <v/>
      </c>
      <c r="AL200" s="174">
        <f>ROUND(IFERROR(AM200*E200,0),2)</f>
        <v/>
      </c>
      <c r="AM200" s="175">
        <f>ROUND(AJ200*(1+IF(offer_incoterms="DDP",IF((TODAY()+offer_turnaround_time)&gt;=helpsheet!$L$17,rate_vatRU_from_26,rate_vatRu_till_25),0)),2)</f>
        <v/>
      </c>
      <c r="AN200" s="192">
        <f>AL200-AK200</f>
        <v/>
      </c>
      <c r="AO200" s="76">
        <f>SUM(AY200,Y200:Z200,T200)*IF(AND(offer_incoterms="DDP",offer_sale_type&lt;&gt;"экспорт"),IF((TODAY()+offer_turnaround_time)&gt;=helpsheet!$L$17,rate_vatRU_from_26,rate_vatRu_till_25),0)</f>
        <v/>
      </c>
      <c r="AP200" s="193">
        <f>AN200-AO200</f>
        <v/>
      </c>
      <c r="AQ200" s="118">
        <f>IF(offer_sale_type="транзит",SUM(AF200:AI200,BA200,BB200),0)</f>
        <v/>
      </c>
      <c r="AR200" s="82">
        <f>HYPERLINK("https://www.alta.ru/tnved/code/")&amp;W200&amp;"/"</f>
        <v/>
      </c>
      <c r="AS200" s="157" t="n"/>
      <c r="AT200" s="162" t="n"/>
      <c r="AU200" s="76">
        <f>IF(ISBLANK(AT200),0,AJ200-AT200)</f>
        <v/>
      </c>
      <c r="AV200" s="157" t="n"/>
      <c r="AW200" s="75">
        <f>_xlfn.IFNA(VLOOKUP(L200,list_vat[],3,FALSE),0)</f>
        <v/>
      </c>
      <c r="AX200" s="76">
        <f>IFERROR(ROUND(S200*(1+AW200)/E200,2),0)</f>
        <v/>
      </c>
      <c r="AY200" s="76">
        <f>E200*AX200</f>
        <v/>
      </c>
      <c r="AZ200" s="192">
        <f>S200*(1+M200)</f>
        <v/>
      </c>
      <c r="BA200" s="76">
        <f>cost_fin_total*$BD200</f>
        <v/>
      </c>
      <c r="BB200" s="193">
        <f>credit_sales_interest*BD200</f>
        <v/>
      </c>
      <c r="BC200" s="102">
        <f>IFERROR(IF($I$13&gt;0,$I200/$I$13,$S200/$S$13),0)</f>
        <v/>
      </c>
      <c r="BD200" s="102">
        <f>IFERROR($S200/$S$13,0)</f>
        <v/>
      </c>
      <c r="BE200" s="413" t="inlineStr">
        <is>
          <t>$</t>
        </is>
      </c>
    </row>
    <row r="201" ht="12" customFormat="1" customHeight="1" s="65">
      <c r="A201" s="43" t="n">
        <v>186</v>
      </c>
      <c r="B201" s="166" t="n"/>
      <c r="C201" s="166" t="n"/>
      <c r="D201" s="166" t="n"/>
      <c r="E201" s="162" t="n"/>
      <c r="F201" s="166" t="n"/>
      <c r="G201" s="162" t="n"/>
      <c r="H201" s="162" t="n"/>
      <c r="I201" s="189">
        <f>E201*G201</f>
        <v/>
      </c>
      <c r="J201" s="195" t="n"/>
      <c r="K201" s="162" t="n"/>
      <c r="L201" s="168" t="n"/>
      <c r="M201" s="75">
        <f>_xlfn.XLOOKUP(L201,list_vat[Страна],list_vat[Ставка НДС %],0,0)</f>
        <v/>
      </c>
      <c r="N201" s="162">
        <f>IFERROR(IF(L201="Китай",K201,K201/(1+M201)),0)</f>
        <v/>
      </c>
      <c r="O201" s="169" t="n"/>
      <c r="P201" s="76">
        <f>N201*(1-O201)</f>
        <v/>
      </c>
      <c r="Q201" s="162" t="n"/>
      <c r="R201" s="162">
        <f>IF(ISBLANK(Q201),"введи курс",P201/Q201)</f>
        <v/>
      </c>
      <c r="S201" s="196">
        <f>IF(AND(ISNUMBER(E201),ISNUMBER(Q201)),E201*R201,0)</f>
        <v/>
      </c>
      <c r="T201" s="192">
        <f>$BC201*V$11</f>
        <v/>
      </c>
      <c r="U201" s="76">
        <f>$BC201*W$11</f>
        <v/>
      </c>
      <c r="V201" s="193">
        <f>+SUM(T201:U201)</f>
        <v/>
      </c>
      <c r="W201" s="191" t="n"/>
      <c r="X201" s="170" t="n"/>
      <c r="Y201" s="76">
        <f>ROUND(IF(offer_incoterms="DDP",X201*(S201*(1+AW201)+T201),0),2)</f>
        <v/>
      </c>
      <c r="Z201" s="188" t="n"/>
      <c r="AA201" s="192">
        <f>IFERROR(AB201/E201,0)</f>
        <v/>
      </c>
      <c r="AB201" s="76">
        <f>ROUND(SUM(S201,V201,Y201:Z201,BA201:BB201),2)</f>
        <v/>
      </c>
      <c r="AC201" s="797" t="n"/>
      <c r="AD201" s="192">
        <f t="array" ref="AD201">IFERROR(ROUND((_xlfn.IFS(offer_sale_type="поставка",AB201,offer_sale_type="транзит",S201)*(1+AC201))/E201,2),0)</f>
        <v/>
      </c>
      <c r="AE201" s="76">
        <f>AD201*E201</f>
        <v/>
      </c>
      <c r="AF201" s="193">
        <f t="array" ref="AF201">IFERROR(ROUND(_xlfn.IFS(offer_sale_type="поставка",AB201,offer_sale_type="транзит",S201)*AC201,2),0)</f>
        <v/>
      </c>
      <c r="AG201" s="192">
        <f>$BD201*VLOOKUP($AG$3,$AF$4:$AG$7,2,FALSE)</f>
        <v/>
      </c>
      <c r="AH201" s="76">
        <f>SUM(AE201,AG201,AI201)*rate_forex_risk</f>
        <v/>
      </c>
      <c r="AI201" s="193">
        <f>IF(OR(seller_region="TR",offer_sale_type="экспорт"),0,rate_fin_comm)*SUM(AZ201,AZ201*AW201,T201)</f>
        <v/>
      </c>
      <c r="AJ201" s="118">
        <f>IFERROR(ROUND(SUM(AB201,AF201:AI201)/E201,2),0)</f>
        <v/>
      </c>
      <c r="AK201" s="76">
        <f>AJ201*E201</f>
        <v/>
      </c>
      <c r="AL201" s="174">
        <f>ROUND(IFERROR(AM201*E201,0),2)</f>
        <v/>
      </c>
      <c r="AM201" s="175">
        <f>ROUND(AJ201*(1+IF(offer_incoterms="DDP",IF((TODAY()+offer_turnaround_time)&gt;=helpsheet!$L$17,rate_vatRU_from_26,rate_vatRu_till_25),0)),2)</f>
        <v/>
      </c>
      <c r="AN201" s="192">
        <f>AL201-AK201</f>
        <v/>
      </c>
      <c r="AO201" s="76">
        <f>SUM(AY201,Y201:Z201,T201)*IF(AND(offer_incoterms="DDP",offer_sale_type&lt;&gt;"экспорт"),IF((TODAY()+offer_turnaround_time)&gt;=helpsheet!$L$17,rate_vatRU_from_26,rate_vatRu_till_25),0)</f>
        <v/>
      </c>
      <c r="AP201" s="193">
        <f>AN201-AO201</f>
        <v/>
      </c>
      <c r="AQ201" s="118">
        <f>IF(offer_sale_type="транзит",SUM(AF201:AI201,BA201,BB201),0)</f>
        <v/>
      </c>
      <c r="AR201" s="82">
        <f>HYPERLINK("https://www.alta.ru/tnved/code/")&amp;W201&amp;"/"</f>
        <v/>
      </c>
      <c r="AS201" s="157" t="n"/>
      <c r="AT201" s="162" t="n"/>
      <c r="AU201" s="76">
        <f>IF(ISBLANK(AT201),0,AJ201-AT201)</f>
        <v/>
      </c>
      <c r="AV201" s="157" t="n"/>
      <c r="AW201" s="75">
        <f>_xlfn.IFNA(VLOOKUP(L201,list_vat[],3,FALSE),0)</f>
        <v/>
      </c>
      <c r="AX201" s="76">
        <f>IFERROR(ROUND(S201*(1+AW201)/E201,2),0)</f>
        <v/>
      </c>
      <c r="AY201" s="76">
        <f>E201*AX201</f>
        <v/>
      </c>
      <c r="AZ201" s="192">
        <f>S201*(1+M201)</f>
        <v/>
      </c>
      <c r="BA201" s="76">
        <f>cost_fin_total*$BD201</f>
        <v/>
      </c>
      <c r="BB201" s="193">
        <f>credit_sales_interest*BD201</f>
        <v/>
      </c>
      <c r="BC201" s="102">
        <f>IFERROR(IF($I$13&gt;0,$I201/$I$13,$S201/$S$13),0)</f>
        <v/>
      </c>
      <c r="BD201" s="102">
        <f>IFERROR($S201/$S$13,0)</f>
        <v/>
      </c>
      <c r="BE201" s="413" t="inlineStr">
        <is>
          <t>$</t>
        </is>
      </c>
    </row>
    <row r="202" ht="12" customFormat="1" customHeight="1" s="65">
      <c r="A202" s="43" t="n">
        <v>187</v>
      </c>
      <c r="B202" s="166" t="n"/>
      <c r="C202" s="166" t="n"/>
      <c r="D202" s="166" t="n"/>
      <c r="E202" s="162" t="n"/>
      <c r="F202" s="166" t="n"/>
      <c r="G202" s="162" t="n"/>
      <c r="H202" s="162" t="n"/>
      <c r="I202" s="189">
        <f>E202*G202</f>
        <v/>
      </c>
      <c r="J202" s="195" t="n"/>
      <c r="K202" s="162" t="n"/>
      <c r="L202" s="168" t="n"/>
      <c r="M202" s="75">
        <f>_xlfn.XLOOKUP(L202,list_vat[Страна],list_vat[Ставка НДС %],0,0)</f>
        <v/>
      </c>
      <c r="N202" s="162">
        <f>IFERROR(IF(L202="Китай",K202,K202/(1+M202)),0)</f>
        <v/>
      </c>
      <c r="O202" s="169" t="n"/>
      <c r="P202" s="76">
        <f>N202*(1-O202)</f>
        <v/>
      </c>
      <c r="Q202" s="162" t="n"/>
      <c r="R202" s="162">
        <f>IF(ISBLANK(Q202),"введи курс",P202/Q202)</f>
        <v/>
      </c>
      <c r="S202" s="196">
        <f>IF(AND(ISNUMBER(E202),ISNUMBER(Q202)),E202*R202,0)</f>
        <v/>
      </c>
      <c r="T202" s="192">
        <f>$BC202*V$11</f>
        <v/>
      </c>
      <c r="U202" s="76">
        <f>$BC202*W$11</f>
        <v/>
      </c>
      <c r="V202" s="193">
        <f>+SUM(T202:U202)</f>
        <v/>
      </c>
      <c r="W202" s="191" t="n"/>
      <c r="X202" s="170" t="n"/>
      <c r="Y202" s="76">
        <f>ROUND(IF(offer_incoterms="DDP",X202*(S202*(1+AW202)+T202),0),2)</f>
        <v/>
      </c>
      <c r="Z202" s="188" t="n"/>
      <c r="AA202" s="192">
        <f>IFERROR(AB202/E202,0)</f>
        <v/>
      </c>
      <c r="AB202" s="76">
        <f>ROUND(SUM(S202,V202,Y202:Z202,BA202:BB202),2)</f>
        <v/>
      </c>
      <c r="AC202" s="797" t="n"/>
      <c r="AD202" s="192">
        <f t="array" ref="AD202">IFERROR(ROUND((_xlfn.IFS(offer_sale_type="поставка",AB202,offer_sale_type="транзит",S202)*(1+AC202))/E202,2),0)</f>
        <v/>
      </c>
      <c r="AE202" s="76">
        <f>AD202*E202</f>
        <v/>
      </c>
      <c r="AF202" s="193">
        <f t="array" ref="AF202">IFERROR(ROUND(_xlfn.IFS(offer_sale_type="поставка",AB202,offer_sale_type="транзит",S202)*AC202,2),0)</f>
        <v/>
      </c>
      <c r="AG202" s="192">
        <f>$BD202*VLOOKUP($AG$3,$AF$4:$AG$7,2,FALSE)</f>
        <v/>
      </c>
      <c r="AH202" s="76">
        <f>SUM(AE202,AG202,AI202)*rate_forex_risk</f>
        <v/>
      </c>
      <c r="AI202" s="193">
        <f>IF(OR(seller_region="TR",offer_sale_type="экспорт"),0,rate_fin_comm)*SUM(AZ202,AZ202*AW202,T202)</f>
        <v/>
      </c>
      <c r="AJ202" s="118">
        <f>IFERROR(ROUND(SUM(AB202,AF202:AI202)/E202,2),0)</f>
        <v/>
      </c>
      <c r="AK202" s="76">
        <f>AJ202*E202</f>
        <v/>
      </c>
      <c r="AL202" s="174">
        <f>ROUND(IFERROR(AM202*E202,0),2)</f>
        <v/>
      </c>
      <c r="AM202" s="175">
        <f>ROUND(AJ202*(1+IF(offer_incoterms="DDP",IF((TODAY()+offer_turnaround_time)&gt;=helpsheet!$L$17,rate_vatRU_from_26,rate_vatRu_till_25),0)),2)</f>
        <v/>
      </c>
      <c r="AN202" s="192">
        <f>AL202-AK202</f>
        <v/>
      </c>
      <c r="AO202" s="76">
        <f>SUM(AY202,Y202:Z202,T202)*IF(AND(offer_incoterms="DDP",offer_sale_type&lt;&gt;"экспорт"),IF((TODAY()+offer_turnaround_time)&gt;=helpsheet!$L$17,rate_vatRU_from_26,rate_vatRu_till_25),0)</f>
        <v/>
      </c>
      <c r="AP202" s="193">
        <f>AN202-AO202</f>
        <v/>
      </c>
      <c r="AQ202" s="118">
        <f>IF(offer_sale_type="транзит",SUM(AF202:AI202,BA202,BB202),0)</f>
        <v/>
      </c>
      <c r="AR202" s="82">
        <f>HYPERLINK("https://www.alta.ru/tnved/code/")&amp;W202&amp;"/"</f>
        <v/>
      </c>
      <c r="AS202" s="157" t="n"/>
      <c r="AT202" s="162" t="n"/>
      <c r="AU202" s="76">
        <f>IF(ISBLANK(AT202),0,AJ202-AT202)</f>
        <v/>
      </c>
      <c r="AV202" s="157" t="n"/>
      <c r="AW202" s="75">
        <f>_xlfn.IFNA(VLOOKUP(L202,list_vat[],3,FALSE),0)</f>
        <v/>
      </c>
      <c r="AX202" s="76">
        <f>IFERROR(ROUND(S202*(1+AW202)/E202,2),0)</f>
        <v/>
      </c>
      <c r="AY202" s="76">
        <f>E202*AX202</f>
        <v/>
      </c>
      <c r="AZ202" s="192">
        <f>S202*(1+M202)</f>
        <v/>
      </c>
      <c r="BA202" s="76">
        <f>cost_fin_total*$BD202</f>
        <v/>
      </c>
      <c r="BB202" s="193">
        <f>credit_sales_interest*BD202</f>
        <v/>
      </c>
      <c r="BC202" s="102">
        <f>IFERROR(IF($I$13&gt;0,$I202/$I$13,$S202/$S$13),0)</f>
        <v/>
      </c>
      <c r="BD202" s="102">
        <f>IFERROR($S202/$S$13,0)</f>
        <v/>
      </c>
      <c r="BE202" s="413" t="inlineStr">
        <is>
          <t>$</t>
        </is>
      </c>
    </row>
    <row r="203" ht="12" customFormat="1" customHeight="1" s="65">
      <c r="A203" s="43" t="n">
        <v>188</v>
      </c>
      <c r="B203" s="166" t="n"/>
      <c r="C203" s="166" t="n"/>
      <c r="D203" s="166" t="n"/>
      <c r="E203" s="162" t="n"/>
      <c r="F203" s="166" t="n"/>
      <c r="G203" s="162" t="n"/>
      <c r="H203" s="162" t="n"/>
      <c r="I203" s="189">
        <f>E203*G203</f>
        <v/>
      </c>
      <c r="J203" s="195" t="n"/>
      <c r="K203" s="162" t="n"/>
      <c r="L203" s="168" t="n"/>
      <c r="M203" s="75">
        <f>_xlfn.XLOOKUP(L203,list_vat[Страна],list_vat[Ставка НДС %],0,0)</f>
        <v/>
      </c>
      <c r="N203" s="162">
        <f>IFERROR(IF(L203="Китай",K203,K203/(1+M203)),0)</f>
        <v/>
      </c>
      <c r="O203" s="169" t="n"/>
      <c r="P203" s="76">
        <f>N203*(1-O203)</f>
        <v/>
      </c>
      <c r="Q203" s="162" t="n"/>
      <c r="R203" s="162">
        <f>IF(ISBLANK(Q203),"введи курс",P203/Q203)</f>
        <v/>
      </c>
      <c r="S203" s="196">
        <f>IF(AND(ISNUMBER(E203),ISNUMBER(Q203)),E203*R203,0)</f>
        <v/>
      </c>
      <c r="T203" s="192">
        <f>$BC203*V$11</f>
        <v/>
      </c>
      <c r="U203" s="76">
        <f>$BC203*W$11</f>
        <v/>
      </c>
      <c r="V203" s="193">
        <f>+SUM(T203:U203)</f>
        <v/>
      </c>
      <c r="W203" s="191" t="n"/>
      <c r="X203" s="170" t="n"/>
      <c r="Y203" s="76">
        <f>ROUND(IF(offer_incoterms="DDP",X203*(S203*(1+AW203)+T203),0),2)</f>
        <v/>
      </c>
      <c r="Z203" s="188" t="n"/>
      <c r="AA203" s="192">
        <f>IFERROR(AB203/E203,0)</f>
        <v/>
      </c>
      <c r="AB203" s="76">
        <f>ROUND(SUM(S203,V203,Y203:Z203,BA203:BB203),2)</f>
        <v/>
      </c>
      <c r="AC203" s="797" t="n"/>
      <c r="AD203" s="192">
        <f t="array" ref="AD203">IFERROR(ROUND((_xlfn.IFS(offer_sale_type="поставка",AB203,offer_sale_type="транзит",S203)*(1+AC203))/E203,2),0)</f>
        <v/>
      </c>
      <c r="AE203" s="76">
        <f>AD203*E203</f>
        <v/>
      </c>
      <c r="AF203" s="193">
        <f t="array" ref="AF203">IFERROR(ROUND(_xlfn.IFS(offer_sale_type="поставка",AB203,offer_sale_type="транзит",S203)*AC203,2),0)</f>
        <v/>
      </c>
      <c r="AG203" s="192">
        <f>$BD203*VLOOKUP($AG$3,$AF$4:$AG$7,2,FALSE)</f>
        <v/>
      </c>
      <c r="AH203" s="76">
        <f>SUM(AE203,AG203,AI203)*rate_forex_risk</f>
        <v/>
      </c>
      <c r="AI203" s="193">
        <f>IF(OR(seller_region="TR",offer_sale_type="экспорт"),0,rate_fin_comm)*SUM(AZ203,AZ203*AW203,T203)</f>
        <v/>
      </c>
      <c r="AJ203" s="118">
        <f>IFERROR(ROUND(SUM(AB203,AF203:AI203)/E203,2),0)</f>
        <v/>
      </c>
      <c r="AK203" s="76">
        <f>AJ203*E203</f>
        <v/>
      </c>
      <c r="AL203" s="174">
        <f>ROUND(IFERROR(AM203*E203,0),2)</f>
        <v/>
      </c>
      <c r="AM203" s="175">
        <f>ROUND(AJ203*(1+IF(offer_incoterms="DDP",IF((TODAY()+offer_turnaround_time)&gt;=helpsheet!$L$17,rate_vatRU_from_26,rate_vatRu_till_25),0)),2)</f>
        <v/>
      </c>
      <c r="AN203" s="192">
        <f>AL203-AK203</f>
        <v/>
      </c>
      <c r="AO203" s="76">
        <f>SUM(AY203,Y203:Z203,T203)*IF(AND(offer_incoterms="DDP",offer_sale_type&lt;&gt;"экспорт"),IF((TODAY()+offer_turnaround_time)&gt;=helpsheet!$L$17,rate_vatRU_from_26,rate_vatRu_till_25),0)</f>
        <v/>
      </c>
      <c r="AP203" s="193">
        <f>AN203-AO203</f>
        <v/>
      </c>
      <c r="AQ203" s="118">
        <f>IF(offer_sale_type="транзит",SUM(AF203:AI203,BA203,BB203),0)</f>
        <v/>
      </c>
      <c r="AR203" s="82">
        <f>HYPERLINK("https://www.alta.ru/tnved/code/")&amp;W203&amp;"/"</f>
        <v/>
      </c>
      <c r="AS203" s="157" t="n"/>
      <c r="AT203" s="162" t="n"/>
      <c r="AU203" s="76">
        <f>IF(ISBLANK(AT203),0,AJ203-AT203)</f>
        <v/>
      </c>
      <c r="AV203" s="157" t="n"/>
      <c r="AW203" s="75">
        <f>_xlfn.IFNA(VLOOKUP(L203,list_vat[],3,FALSE),0)</f>
        <v/>
      </c>
      <c r="AX203" s="76">
        <f>IFERROR(ROUND(S203*(1+AW203)/E203,2),0)</f>
        <v/>
      </c>
      <c r="AY203" s="76">
        <f>E203*AX203</f>
        <v/>
      </c>
      <c r="AZ203" s="192">
        <f>S203*(1+M203)</f>
        <v/>
      </c>
      <c r="BA203" s="76">
        <f>cost_fin_total*$BD203</f>
        <v/>
      </c>
      <c r="BB203" s="193">
        <f>credit_sales_interest*BD203</f>
        <v/>
      </c>
      <c r="BC203" s="102">
        <f>IFERROR(IF($I$13&gt;0,$I203/$I$13,$S203/$S$13),0)</f>
        <v/>
      </c>
      <c r="BD203" s="102">
        <f>IFERROR($S203/$S$13,0)</f>
        <v/>
      </c>
      <c r="BE203" s="413" t="inlineStr">
        <is>
          <t>$</t>
        </is>
      </c>
    </row>
    <row r="204" ht="12" customFormat="1" customHeight="1" s="65">
      <c r="A204" s="43" t="n">
        <v>189</v>
      </c>
      <c r="B204" s="166" t="n"/>
      <c r="C204" s="166" t="n"/>
      <c r="D204" s="166" t="n"/>
      <c r="E204" s="162" t="n"/>
      <c r="F204" s="166" t="n"/>
      <c r="G204" s="162" t="n"/>
      <c r="H204" s="162" t="n"/>
      <c r="I204" s="189">
        <f>E204*G204</f>
        <v/>
      </c>
      <c r="J204" s="195" t="n"/>
      <c r="K204" s="162" t="n"/>
      <c r="L204" s="168" t="n"/>
      <c r="M204" s="75">
        <f>_xlfn.XLOOKUP(L204,list_vat[Страна],list_vat[Ставка НДС %],0,0)</f>
        <v/>
      </c>
      <c r="N204" s="162">
        <f>IFERROR(IF(L204="Китай",K204,K204/(1+M204)),0)</f>
        <v/>
      </c>
      <c r="O204" s="169" t="n"/>
      <c r="P204" s="76">
        <f>N204*(1-O204)</f>
        <v/>
      </c>
      <c r="Q204" s="162" t="n"/>
      <c r="R204" s="162">
        <f>IF(ISBLANK(Q204),"введи курс",P204/Q204)</f>
        <v/>
      </c>
      <c r="S204" s="196">
        <f>IF(AND(ISNUMBER(E204),ISNUMBER(Q204)),E204*R204,0)</f>
        <v/>
      </c>
      <c r="T204" s="192">
        <f>$BC204*V$11</f>
        <v/>
      </c>
      <c r="U204" s="76">
        <f>$BC204*W$11</f>
        <v/>
      </c>
      <c r="V204" s="193">
        <f>+SUM(T204:U204)</f>
        <v/>
      </c>
      <c r="W204" s="191" t="n"/>
      <c r="X204" s="170" t="n"/>
      <c r="Y204" s="76">
        <f>ROUND(IF(offer_incoterms="DDP",X204*(S204*(1+AW204)+T204),0),2)</f>
        <v/>
      </c>
      <c r="Z204" s="188" t="n"/>
      <c r="AA204" s="192">
        <f>IFERROR(AB204/E204,0)</f>
        <v/>
      </c>
      <c r="AB204" s="76">
        <f>ROUND(SUM(S204,V204,Y204:Z204,BA204:BB204),2)</f>
        <v/>
      </c>
      <c r="AC204" s="797" t="n"/>
      <c r="AD204" s="192">
        <f t="array" ref="AD204">IFERROR(ROUND((_xlfn.IFS(offer_sale_type="поставка",AB204,offer_sale_type="транзит",S204)*(1+AC204))/E204,2),0)</f>
        <v/>
      </c>
      <c r="AE204" s="76">
        <f>AD204*E204</f>
        <v/>
      </c>
      <c r="AF204" s="193">
        <f t="array" ref="AF204">IFERROR(ROUND(_xlfn.IFS(offer_sale_type="поставка",AB204,offer_sale_type="транзит",S204)*AC204,2),0)</f>
        <v/>
      </c>
      <c r="AG204" s="192">
        <f>$BD204*VLOOKUP($AG$3,$AF$4:$AG$7,2,FALSE)</f>
        <v/>
      </c>
      <c r="AH204" s="76">
        <f>SUM(AE204,AG204,AI204)*rate_forex_risk</f>
        <v/>
      </c>
      <c r="AI204" s="193">
        <f>IF(OR(seller_region="TR",offer_sale_type="экспорт"),0,rate_fin_comm)*SUM(AZ204,AZ204*AW204,T204)</f>
        <v/>
      </c>
      <c r="AJ204" s="118">
        <f>IFERROR(ROUND(SUM(AB204,AF204:AI204)/E204,2),0)</f>
        <v/>
      </c>
      <c r="AK204" s="76">
        <f>AJ204*E204</f>
        <v/>
      </c>
      <c r="AL204" s="174">
        <f>ROUND(IFERROR(AM204*E204,0),2)</f>
        <v/>
      </c>
      <c r="AM204" s="175">
        <f>ROUND(AJ204*(1+IF(offer_incoterms="DDP",IF((TODAY()+offer_turnaround_time)&gt;=helpsheet!$L$17,rate_vatRU_from_26,rate_vatRu_till_25),0)),2)</f>
        <v/>
      </c>
      <c r="AN204" s="192">
        <f>AL204-AK204</f>
        <v/>
      </c>
      <c r="AO204" s="76">
        <f>SUM(AY204,Y204:Z204,T204)*IF(AND(offer_incoterms="DDP",offer_sale_type&lt;&gt;"экспорт"),IF((TODAY()+offer_turnaround_time)&gt;=helpsheet!$L$17,rate_vatRU_from_26,rate_vatRu_till_25),0)</f>
        <v/>
      </c>
      <c r="AP204" s="193">
        <f>AN204-AO204</f>
        <v/>
      </c>
      <c r="AQ204" s="118">
        <f>IF(offer_sale_type="транзит",SUM(AF204:AI204,BA204,BB204),0)</f>
        <v/>
      </c>
      <c r="AR204" s="82">
        <f>HYPERLINK("https://www.alta.ru/tnved/code/")&amp;W204&amp;"/"</f>
        <v/>
      </c>
      <c r="AS204" s="157" t="n"/>
      <c r="AT204" s="162" t="n"/>
      <c r="AU204" s="76">
        <f>IF(ISBLANK(AT204),0,AJ204-AT204)</f>
        <v/>
      </c>
      <c r="AV204" s="157" t="n"/>
      <c r="AW204" s="75">
        <f>_xlfn.IFNA(VLOOKUP(L204,list_vat[],3,FALSE),0)</f>
        <v/>
      </c>
      <c r="AX204" s="76">
        <f>IFERROR(ROUND(S204*(1+AW204)/E204,2),0)</f>
        <v/>
      </c>
      <c r="AY204" s="76">
        <f>E204*AX204</f>
        <v/>
      </c>
      <c r="AZ204" s="192">
        <f>S204*(1+M204)</f>
        <v/>
      </c>
      <c r="BA204" s="76">
        <f>cost_fin_total*$BD204</f>
        <v/>
      </c>
      <c r="BB204" s="193">
        <f>credit_sales_interest*BD204</f>
        <v/>
      </c>
      <c r="BC204" s="102">
        <f>IFERROR(IF($I$13&gt;0,$I204/$I$13,$S204/$S$13),0)</f>
        <v/>
      </c>
      <c r="BD204" s="102">
        <f>IFERROR($S204/$S$13,0)</f>
        <v/>
      </c>
      <c r="BE204" s="413" t="inlineStr">
        <is>
          <t>$</t>
        </is>
      </c>
    </row>
    <row r="205" ht="12" customFormat="1" customHeight="1" s="65">
      <c r="A205" s="43" t="n">
        <v>190</v>
      </c>
      <c r="B205" s="166" t="n"/>
      <c r="C205" s="166" t="n"/>
      <c r="D205" s="166" t="n"/>
      <c r="E205" s="162" t="n"/>
      <c r="F205" s="166" t="n"/>
      <c r="G205" s="162" t="n"/>
      <c r="H205" s="162" t="n"/>
      <c r="I205" s="189">
        <f>E205*G205</f>
        <v/>
      </c>
      <c r="J205" s="195" t="n"/>
      <c r="K205" s="162" t="n"/>
      <c r="L205" s="168" t="n"/>
      <c r="M205" s="75">
        <f>_xlfn.XLOOKUP(L205,list_vat[Страна],list_vat[Ставка НДС %],0,0)</f>
        <v/>
      </c>
      <c r="N205" s="162">
        <f>IFERROR(IF(L205="Китай",K205,K205/(1+M205)),0)</f>
        <v/>
      </c>
      <c r="O205" s="169" t="n"/>
      <c r="P205" s="76">
        <f>N205*(1-O205)</f>
        <v/>
      </c>
      <c r="Q205" s="162" t="n"/>
      <c r="R205" s="162">
        <f>IF(ISBLANK(Q205),"введи курс",P205/Q205)</f>
        <v/>
      </c>
      <c r="S205" s="196">
        <f>IF(AND(ISNUMBER(E205),ISNUMBER(Q205)),E205*R205,0)</f>
        <v/>
      </c>
      <c r="T205" s="192">
        <f>$BC205*V$11</f>
        <v/>
      </c>
      <c r="U205" s="76">
        <f>$BC205*W$11</f>
        <v/>
      </c>
      <c r="V205" s="193">
        <f>+SUM(T205:U205)</f>
        <v/>
      </c>
      <c r="W205" s="191" t="n"/>
      <c r="X205" s="170" t="n"/>
      <c r="Y205" s="76">
        <f>ROUND(IF(offer_incoterms="DDP",X205*(S205*(1+AW205)+T205),0),2)</f>
        <v/>
      </c>
      <c r="Z205" s="188" t="n"/>
      <c r="AA205" s="192">
        <f>IFERROR(AB205/E205,0)</f>
        <v/>
      </c>
      <c r="AB205" s="76">
        <f>ROUND(SUM(S205,V205,Y205:Z205,BA205:BB205),2)</f>
        <v/>
      </c>
      <c r="AC205" s="797" t="n"/>
      <c r="AD205" s="192">
        <f t="array" ref="AD205">IFERROR(ROUND((_xlfn.IFS(offer_sale_type="поставка",AB205,offer_sale_type="транзит",S205)*(1+AC205))/E205,2),0)</f>
        <v/>
      </c>
      <c r="AE205" s="76">
        <f>AD205*E205</f>
        <v/>
      </c>
      <c r="AF205" s="193">
        <f t="array" ref="AF205">IFERROR(ROUND(_xlfn.IFS(offer_sale_type="поставка",AB205,offer_sale_type="транзит",S205)*AC205,2),0)</f>
        <v/>
      </c>
      <c r="AG205" s="192">
        <f>$BD205*VLOOKUP($AG$3,$AF$4:$AG$7,2,FALSE)</f>
        <v/>
      </c>
      <c r="AH205" s="76">
        <f>SUM(AE205,AG205,AI205)*rate_forex_risk</f>
        <v/>
      </c>
      <c r="AI205" s="193">
        <f>IF(OR(seller_region="TR",offer_sale_type="экспорт"),0,rate_fin_comm)*SUM(AZ205,AZ205*AW205,T205)</f>
        <v/>
      </c>
      <c r="AJ205" s="118">
        <f>IFERROR(ROUND(SUM(AB205,AF205:AI205)/E205,2),0)</f>
        <v/>
      </c>
      <c r="AK205" s="76">
        <f>AJ205*E205</f>
        <v/>
      </c>
      <c r="AL205" s="174">
        <f>ROUND(IFERROR(AM205*E205,0),2)</f>
        <v/>
      </c>
      <c r="AM205" s="175">
        <f>ROUND(AJ205*(1+IF(offer_incoterms="DDP",IF((TODAY()+offer_turnaround_time)&gt;=helpsheet!$L$17,rate_vatRU_from_26,rate_vatRu_till_25),0)),2)</f>
        <v/>
      </c>
      <c r="AN205" s="192">
        <f>AL205-AK205</f>
        <v/>
      </c>
      <c r="AO205" s="76">
        <f>SUM(AY205,Y205:Z205,T205)*IF(AND(offer_incoterms="DDP",offer_sale_type&lt;&gt;"экспорт"),IF((TODAY()+offer_turnaround_time)&gt;=helpsheet!$L$17,rate_vatRU_from_26,rate_vatRu_till_25),0)</f>
        <v/>
      </c>
      <c r="AP205" s="193">
        <f>AN205-AO205</f>
        <v/>
      </c>
      <c r="AQ205" s="118">
        <f>IF(offer_sale_type="транзит",SUM(AF205:AI205,BA205,BB205),0)</f>
        <v/>
      </c>
      <c r="AR205" s="82">
        <f>HYPERLINK("https://www.alta.ru/tnved/code/")&amp;W205&amp;"/"</f>
        <v/>
      </c>
      <c r="AS205" s="157" t="n"/>
      <c r="AT205" s="162" t="n"/>
      <c r="AU205" s="76">
        <f>IF(ISBLANK(AT205),0,AJ205-AT205)</f>
        <v/>
      </c>
      <c r="AV205" s="157" t="n"/>
      <c r="AW205" s="75">
        <f>_xlfn.IFNA(VLOOKUP(L205,list_vat[],3,FALSE),0)</f>
        <v/>
      </c>
      <c r="AX205" s="76">
        <f>IFERROR(ROUND(S205*(1+AW205)/E205,2),0)</f>
        <v/>
      </c>
      <c r="AY205" s="76">
        <f>E205*AX205</f>
        <v/>
      </c>
      <c r="AZ205" s="192">
        <f>S205*(1+M205)</f>
        <v/>
      </c>
      <c r="BA205" s="76">
        <f>cost_fin_total*$BD205</f>
        <v/>
      </c>
      <c r="BB205" s="193">
        <f>credit_sales_interest*BD205</f>
        <v/>
      </c>
      <c r="BC205" s="102">
        <f>IFERROR(IF($I$13&gt;0,$I205/$I$13,$S205/$S$13),0)</f>
        <v/>
      </c>
      <c r="BD205" s="102">
        <f>IFERROR($S205/$S$13,0)</f>
        <v/>
      </c>
      <c r="BE205" s="413" t="inlineStr">
        <is>
          <t>$</t>
        </is>
      </c>
    </row>
    <row r="206" ht="12" customFormat="1" customHeight="1" s="65">
      <c r="A206" s="43" t="n">
        <v>191</v>
      </c>
      <c r="B206" s="166" t="n"/>
      <c r="C206" s="166" t="n"/>
      <c r="D206" s="166" t="n"/>
      <c r="E206" s="162" t="n"/>
      <c r="F206" s="166" t="n"/>
      <c r="G206" s="162" t="n"/>
      <c r="H206" s="162" t="n"/>
      <c r="I206" s="189">
        <f>E206*G206</f>
        <v/>
      </c>
      <c r="J206" s="195" t="n"/>
      <c r="K206" s="162" t="n"/>
      <c r="L206" s="168" t="n"/>
      <c r="M206" s="75">
        <f>_xlfn.XLOOKUP(L206,list_vat[Страна],list_vat[Ставка НДС %],0,0)</f>
        <v/>
      </c>
      <c r="N206" s="162">
        <f>IFERROR(IF(L206="Китай",K206,K206/(1+M206)),0)</f>
        <v/>
      </c>
      <c r="O206" s="169" t="n"/>
      <c r="P206" s="76">
        <f>N206*(1-O206)</f>
        <v/>
      </c>
      <c r="Q206" s="162" t="n"/>
      <c r="R206" s="162">
        <f>IF(ISBLANK(Q206),"введи курс",P206/Q206)</f>
        <v/>
      </c>
      <c r="S206" s="196">
        <f>IF(AND(ISNUMBER(E206),ISNUMBER(Q206)),E206*R206,0)</f>
        <v/>
      </c>
      <c r="T206" s="192">
        <f>$BC206*V$11</f>
        <v/>
      </c>
      <c r="U206" s="76">
        <f>$BC206*W$11</f>
        <v/>
      </c>
      <c r="V206" s="193">
        <f>+SUM(T206:U206)</f>
        <v/>
      </c>
      <c r="W206" s="191" t="n"/>
      <c r="X206" s="170" t="n"/>
      <c r="Y206" s="76">
        <f>ROUND(IF(offer_incoterms="DDP",X206*(S206*(1+AW206)+T206),0),2)</f>
        <v/>
      </c>
      <c r="Z206" s="188" t="n"/>
      <c r="AA206" s="192">
        <f>IFERROR(AB206/E206,0)</f>
        <v/>
      </c>
      <c r="AB206" s="76">
        <f>ROUND(SUM(S206,V206,Y206:Z206,BA206:BB206),2)</f>
        <v/>
      </c>
      <c r="AC206" s="797" t="n"/>
      <c r="AD206" s="192">
        <f t="array" ref="AD206">IFERROR(ROUND((_xlfn.IFS(offer_sale_type="поставка",AB206,offer_sale_type="транзит",S206)*(1+AC206))/E206,2),0)</f>
        <v/>
      </c>
      <c r="AE206" s="76">
        <f>AD206*E206</f>
        <v/>
      </c>
      <c r="AF206" s="193">
        <f t="array" ref="AF206">IFERROR(ROUND(_xlfn.IFS(offer_sale_type="поставка",AB206,offer_sale_type="транзит",S206)*AC206,2),0)</f>
        <v/>
      </c>
      <c r="AG206" s="192">
        <f>$BD206*VLOOKUP($AG$3,$AF$4:$AG$7,2,FALSE)</f>
        <v/>
      </c>
      <c r="AH206" s="76">
        <f>SUM(AE206,AG206,AI206)*rate_forex_risk</f>
        <v/>
      </c>
      <c r="AI206" s="193">
        <f>IF(OR(seller_region="TR",offer_sale_type="экспорт"),0,rate_fin_comm)*SUM(AZ206,AZ206*AW206,T206)</f>
        <v/>
      </c>
      <c r="AJ206" s="118">
        <f>IFERROR(ROUND(SUM(AB206,AF206:AI206)/E206,2),0)</f>
        <v/>
      </c>
      <c r="AK206" s="76">
        <f>AJ206*E206</f>
        <v/>
      </c>
      <c r="AL206" s="174">
        <f>ROUND(IFERROR(AM206*E206,0),2)</f>
        <v/>
      </c>
      <c r="AM206" s="175">
        <f>ROUND(AJ206*(1+IF(offer_incoterms="DDP",IF((TODAY()+offer_turnaround_time)&gt;=helpsheet!$L$17,rate_vatRU_from_26,rate_vatRu_till_25),0)),2)</f>
        <v/>
      </c>
      <c r="AN206" s="192">
        <f>AL206-AK206</f>
        <v/>
      </c>
      <c r="AO206" s="76">
        <f>SUM(AY206,Y206:Z206,T206)*IF(AND(offer_incoterms="DDP",offer_sale_type&lt;&gt;"экспорт"),IF((TODAY()+offer_turnaround_time)&gt;=helpsheet!$L$17,rate_vatRU_from_26,rate_vatRu_till_25),0)</f>
        <v/>
      </c>
      <c r="AP206" s="193">
        <f>AN206-AO206</f>
        <v/>
      </c>
      <c r="AQ206" s="118">
        <f>IF(offer_sale_type="транзит",SUM(AF206:AI206,BA206,BB206),0)</f>
        <v/>
      </c>
      <c r="AR206" s="82">
        <f>HYPERLINK("https://www.alta.ru/tnved/code/")&amp;W206&amp;"/"</f>
        <v/>
      </c>
      <c r="AS206" s="157" t="n"/>
      <c r="AT206" s="162" t="n"/>
      <c r="AU206" s="76">
        <f>IF(ISBLANK(AT206),0,AJ206-AT206)</f>
        <v/>
      </c>
      <c r="AV206" s="157" t="n"/>
      <c r="AW206" s="75">
        <f>_xlfn.IFNA(VLOOKUP(L206,list_vat[],3,FALSE),0)</f>
        <v/>
      </c>
      <c r="AX206" s="76">
        <f>IFERROR(ROUND(S206*(1+AW206)/E206,2),0)</f>
        <v/>
      </c>
      <c r="AY206" s="76">
        <f>E206*AX206</f>
        <v/>
      </c>
      <c r="AZ206" s="192">
        <f>S206*(1+M206)</f>
        <v/>
      </c>
      <c r="BA206" s="76">
        <f>cost_fin_total*$BD206</f>
        <v/>
      </c>
      <c r="BB206" s="193">
        <f>credit_sales_interest*BD206</f>
        <v/>
      </c>
      <c r="BC206" s="102">
        <f>IFERROR(IF($I$13&gt;0,$I206/$I$13,$S206/$S$13),0)</f>
        <v/>
      </c>
      <c r="BD206" s="102">
        <f>IFERROR($S206/$S$13,0)</f>
        <v/>
      </c>
      <c r="BE206" s="413" t="inlineStr">
        <is>
          <t>$</t>
        </is>
      </c>
    </row>
    <row r="207" ht="12" customFormat="1" customHeight="1" s="65">
      <c r="A207" s="43" t="n">
        <v>192</v>
      </c>
      <c r="B207" s="166" t="n"/>
      <c r="C207" s="166" t="n"/>
      <c r="D207" s="166" t="n"/>
      <c r="E207" s="162" t="n"/>
      <c r="F207" s="166" t="n"/>
      <c r="G207" s="162" t="n"/>
      <c r="H207" s="162" t="n"/>
      <c r="I207" s="189">
        <f>E207*G207</f>
        <v/>
      </c>
      <c r="J207" s="195" t="n"/>
      <c r="K207" s="162" t="n"/>
      <c r="L207" s="168" t="n"/>
      <c r="M207" s="75">
        <f>_xlfn.XLOOKUP(L207,list_vat[Страна],list_vat[Ставка НДС %],0,0)</f>
        <v/>
      </c>
      <c r="N207" s="162">
        <f>IFERROR(IF(L207="Китай",K207,K207/(1+M207)),0)</f>
        <v/>
      </c>
      <c r="O207" s="169" t="n"/>
      <c r="P207" s="76">
        <f>N207*(1-O207)</f>
        <v/>
      </c>
      <c r="Q207" s="162" t="n"/>
      <c r="R207" s="162">
        <f>IF(ISBLANK(Q207),"введи курс",P207/Q207)</f>
        <v/>
      </c>
      <c r="S207" s="196">
        <f>IF(AND(ISNUMBER(E207),ISNUMBER(Q207)),E207*R207,0)</f>
        <v/>
      </c>
      <c r="T207" s="192">
        <f>$BC207*V$11</f>
        <v/>
      </c>
      <c r="U207" s="76">
        <f>$BC207*W$11</f>
        <v/>
      </c>
      <c r="V207" s="193">
        <f>+SUM(T207:U207)</f>
        <v/>
      </c>
      <c r="W207" s="191" t="n"/>
      <c r="X207" s="170" t="n"/>
      <c r="Y207" s="76">
        <f>ROUND(IF(offer_incoterms="DDP",X207*(S207*(1+AW207)+T207),0),2)</f>
        <v/>
      </c>
      <c r="Z207" s="188" t="n"/>
      <c r="AA207" s="192">
        <f>IFERROR(AB207/E207,0)</f>
        <v/>
      </c>
      <c r="AB207" s="76">
        <f>ROUND(SUM(S207,V207,Y207:Z207,BA207:BB207),2)</f>
        <v/>
      </c>
      <c r="AC207" s="797" t="n"/>
      <c r="AD207" s="192">
        <f t="array" ref="AD207">IFERROR(ROUND((_xlfn.IFS(offer_sale_type="поставка",AB207,offer_sale_type="транзит",S207)*(1+AC207))/E207,2),0)</f>
        <v/>
      </c>
      <c r="AE207" s="76">
        <f>AD207*E207</f>
        <v/>
      </c>
      <c r="AF207" s="193">
        <f t="array" ref="AF207">IFERROR(ROUND(_xlfn.IFS(offer_sale_type="поставка",AB207,offer_sale_type="транзит",S207)*AC207,2),0)</f>
        <v/>
      </c>
      <c r="AG207" s="192">
        <f>$BD207*VLOOKUP($AG$3,$AF$4:$AG$7,2,FALSE)</f>
        <v/>
      </c>
      <c r="AH207" s="76">
        <f>SUM(AE207,AG207,AI207)*rate_forex_risk</f>
        <v/>
      </c>
      <c r="AI207" s="193">
        <f>IF(OR(seller_region="TR",offer_sale_type="экспорт"),0,rate_fin_comm)*SUM(AZ207,AZ207*AW207,T207)</f>
        <v/>
      </c>
      <c r="AJ207" s="118">
        <f>IFERROR(ROUND(SUM(AB207,AF207:AI207)/E207,2),0)</f>
        <v/>
      </c>
      <c r="AK207" s="76">
        <f>AJ207*E207</f>
        <v/>
      </c>
      <c r="AL207" s="174">
        <f>ROUND(IFERROR(AM207*E207,0),2)</f>
        <v/>
      </c>
      <c r="AM207" s="175">
        <f>ROUND(AJ207*(1+IF(offer_incoterms="DDP",IF((TODAY()+offer_turnaround_time)&gt;=helpsheet!$L$17,rate_vatRU_from_26,rate_vatRu_till_25),0)),2)</f>
        <v/>
      </c>
      <c r="AN207" s="192">
        <f>AL207-AK207</f>
        <v/>
      </c>
      <c r="AO207" s="76">
        <f>SUM(AY207,Y207:Z207,T207)*IF(AND(offer_incoterms="DDP",offer_sale_type&lt;&gt;"экспорт"),IF((TODAY()+offer_turnaround_time)&gt;=helpsheet!$L$17,rate_vatRU_from_26,rate_vatRu_till_25),0)</f>
        <v/>
      </c>
      <c r="AP207" s="193">
        <f>AN207-AO207</f>
        <v/>
      </c>
      <c r="AQ207" s="118">
        <f>IF(offer_sale_type="транзит",SUM(AF207:AI207,BA207,BB207),0)</f>
        <v/>
      </c>
      <c r="AR207" s="82">
        <f>HYPERLINK("https://www.alta.ru/tnved/code/")&amp;W207&amp;"/"</f>
        <v/>
      </c>
      <c r="AS207" s="157" t="n"/>
      <c r="AT207" s="162" t="n"/>
      <c r="AU207" s="76">
        <f>IF(ISBLANK(AT207),0,AJ207-AT207)</f>
        <v/>
      </c>
      <c r="AV207" s="157" t="n"/>
      <c r="AW207" s="75">
        <f>_xlfn.IFNA(VLOOKUP(L207,list_vat[],3,FALSE),0)</f>
        <v/>
      </c>
      <c r="AX207" s="76">
        <f>IFERROR(ROUND(S207*(1+AW207)/E207,2),0)</f>
        <v/>
      </c>
      <c r="AY207" s="76">
        <f>E207*AX207</f>
        <v/>
      </c>
      <c r="AZ207" s="192">
        <f>S207*(1+M207)</f>
        <v/>
      </c>
      <c r="BA207" s="76">
        <f>cost_fin_total*$BD207</f>
        <v/>
      </c>
      <c r="BB207" s="193">
        <f>credit_sales_interest*BD207</f>
        <v/>
      </c>
      <c r="BC207" s="102">
        <f>IFERROR(IF($I$13&gt;0,$I207/$I$13,$S207/$S$13),0)</f>
        <v/>
      </c>
      <c r="BD207" s="102">
        <f>IFERROR($S207/$S$13,0)</f>
        <v/>
      </c>
      <c r="BE207" s="413" t="inlineStr">
        <is>
          <t>$</t>
        </is>
      </c>
    </row>
    <row r="208" ht="12" customFormat="1" customHeight="1" s="65">
      <c r="A208" s="43" t="n">
        <v>193</v>
      </c>
      <c r="B208" s="166" t="n"/>
      <c r="C208" s="166" t="n"/>
      <c r="D208" s="166" t="n"/>
      <c r="E208" s="162" t="n"/>
      <c r="F208" s="166" t="n"/>
      <c r="G208" s="162" t="n"/>
      <c r="H208" s="162" t="n"/>
      <c r="I208" s="189">
        <f>E208*G208</f>
        <v/>
      </c>
      <c r="J208" s="195" t="n"/>
      <c r="K208" s="162" t="n"/>
      <c r="L208" s="168" t="n"/>
      <c r="M208" s="75">
        <f>_xlfn.XLOOKUP(L208,list_vat[Страна],list_vat[Ставка НДС %],0,0)</f>
        <v/>
      </c>
      <c r="N208" s="162">
        <f>IFERROR(IF(L208="Китай",K208,K208/(1+M208)),0)</f>
        <v/>
      </c>
      <c r="O208" s="169" t="n"/>
      <c r="P208" s="76">
        <f>N208*(1-O208)</f>
        <v/>
      </c>
      <c r="Q208" s="162" t="n"/>
      <c r="R208" s="162">
        <f>IF(ISBLANK(Q208),"введи курс",P208/Q208)</f>
        <v/>
      </c>
      <c r="S208" s="196">
        <f>IF(AND(ISNUMBER(E208),ISNUMBER(Q208)),E208*R208,0)</f>
        <v/>
      </c>
      <c r="T208" s="192">
        <f>$BC208*V$11</f>
        <v/>
      </c>
      <c r="U208" s="76">
        <f>$BC208*W$11</f>
        <v/>
      </c>
      <c r="V208" s="193">
        <f>+SUM(T208:U208)</f>
        <v/>
      </c>
      <c r="W208" s="191" t="n"/>
      <c r="X208" s="170" t="n"/>
      <c r="Y208" s="76">
        <f>ROUND(IF(offer_incoterms="DDP",X208*(S208*(1+AW208)+T208),0),2)</f>
        <v/>
      </c>
      <c r="Z208" s="188" t="n"/>
      <c r="AA208" s="192">
        <f>IFERROR(AB208/E208,0)</f>
        <v/>
      </c>
      <c r="AB208" s="76">
        <f>ROUND(SUM(S208,V208,Y208:Z208,BA208:BB208),2)</f>
        <v/>
      </c>
      <c r="AC208" s="797" t="n"/>
      <c r="AD208" s="192">
        <f t="array" ref="AD208">IFERROR(ROUND((_xlfn.IFS(offer_sale_type="поставка",AB208,offer_sale_type="транзит",S208)*(1+AC208))/E208,2),0)</f>
        <v/>
      </c>
      <c r="AE208" s="76">
        <f>AD208*E208</f>
        <v/>
      </c>
      <c r="AF208" s="193">
        <f t="array" ref="AF208">IFERROR(ROUND(_xlfn.IFS(offer_sale_type="поставка",AB208,offer_sale_type="транзит",S208)*AC208,2),0)</f>
        <v/>
      </c>
      <c r="AG208" s="192">
        <f>$BD208*VLOOKUP($AG$3,$AF$4:$AG$7,2,FALSE)</f>
        <v/>
      </c>
      <c r="AH208" s="76">
        <f>SUM(AE208,AG208,AI208)*rate_forex_risk</f>
        <v/>
      </c>
      <c r="AI208" s="193">
        <f>IF(OR(seller_region="TR",offer_sale_type="экспорт"),0,rate_fin_comm)*SUM(AZ208,AZ208*AW208,T208)</f>
        <v/>
      </c>
      <c r="AJ208" s="118">
        <f>IFERROR(ROUND(SUM(AB208,AF208:AI208)/E208,2),0)</f>
        <v/>
      </c>
      <c r="AK208" s="76">
        <f>AJ208*E208</f>
        <v/>
      </c>
      <c r="AL208" s="174">
        <f>ROUND(IFERROR(AM208*E208,0),2)</f>
        <v/>
      </c>
      <c r="AM208" s="175">
        <f>ROUND(AJ208*(1+IF(offer_incoterms="DDP",IF((TODAY()+offer_turnaround_time)&gt;=helpsheet!$L$17,rate_vatRU_from_26,rate_vatRu_till_25),0)),2)</f>
        <v/>
      </c>
      <c r="AN208" s="192">
        <f>AL208-AK208</f>
        <v/>
      </c>
      <c r="AO208" s="76">
        <f>SUM(AY208,Y208:Z208,T208)*IF(AND(offer_incoterms="DDP",offer_sale_type&lt;&gt;"экспорт"),IF((TODAY()+offer_turnaround_time)&gt;=helpsheet!$L$17,rate_vatRU_from_26,rate_vatRu_till_25),0)</f>
        <v/>
      </c>
      <c r="AP208" s="193">
        <f>AN208-AO208</f>
        <v/>
      </c>
      <c r="AQ208" s="118">
        <f>IF(offer_sale_type="транзит",SUM(AF208:AI208,BA208,BB208),0)</f>
        <v/>
      </c>
      <c r="AR208" s="82">
        <f>HYPERLINK("https://www.alta.ru/tnved/code/")&amp;W208&amp;"/"</f>
        <v/>
      </c>
      <c r="AS208" s="157" t="n"/>
      <c r="AT208" s="162" t="n"/>
      <c r="AU208" s="76">
        <f>IF(ISBLANK(AT208),0,AJ208-AT208)</f>
        <v/>
      </c>
      <c r="AV208" s="157" t="n"/>
      <c r="AW208" s="75">
        <f>_xlfn.IFNA(VLOOKUP(L208,list_vat[],3,FALSE),0)</f>
        <v/>
      </c>
      <c r="AX208" s="76">
        <f>IFERROR(ROUND(S208*(1+AW208)/E208,2),0)</f>
        <v/>
      </c>
      <c r="AY208" s="76">
        <f>E208*AX208</f>
        <v/>
      </c>
      <c r="AZ208" s="192">
        <f>S208*(1+M208)</f>
        <v/>
      </c>
      <c r="BA208" s="76">
        <f>cost_fin_total*$BD208</f>
        <v/>
      </c>
      <c r="BB208" s="193">
        <f>credit_sales_interest*BD208</f>
        <v/>
      </c>
      <c r="BC208" s="102">
        <f>IFERROR(IF($I$13&gt;0,$I208/$I$13,$S208/$S$13),0)</f>
        <v/>
      </c>
      <c r="BD208" s="102">
        <f>IFERROR($S208/$S$13,0)</f>
        <v/>
      </c>
      <c r="BE208" s="413" t="inlineStr">
        <is>
          <t>$</t>
        </is>
      </c>
    </row>
    <row r="209" ht="12" customFormat="1" customHeight="1" s="65">
      <c r="A209" s="43" t="n">
        <v>194</v>
      </c>
      <c r="B209" s="166" t="n"/>
      <c r="C209" s="166" t="n"/>
      <c r="D209" s="166" t="n"/>
      <c r="E209" s="162" t="n"/>
      <c r="F209" s="166" t="n"/>
      <c r="G209" s="162" t="n"/>
      <c r="H209" s="162" t="n"/>
      <c r="I209" s="189">
        <f>E209*G209</f>
        <v/>
      </c>
      <c r="J209" s="195" t="n"/>
      <c r="K209" s="162" t="n"/>
      <c r="L209" s="168" t="n"/>
      <c r="M209" s="75">
        <f>_xlfn.XLOOKUP(L209,list_vat[Страна],list_vat[Ставка НДС %],0,0)</f>
        <v/>
      </c>
      <c r="N209" s="162">
        <f>IFERROR(IF(L209="Китай",K209,K209/(1+M209)),0)</f>
        <v/>
      </c>
      <c r="O209" s="169" t="n"/>
      <c r="P209" s="76">
        <f>N209*(1-O209)</f>
        <v/>
      </c>
      <c r="Q209" s="162" t="n"/>
      <c r="R209" s="162">
        <f>IF(ISBLANK(Q209),"введи курс",P209/Q209)</f>
        <v/>
      </c>
      <c r="S209" s="196">
        <f>IF(AND(ISNUMBER(E209),ISNUMBER(Q209)),E209*R209,0)</f>
        <v/>
      </c>
      <c r="T209" s="192">
        <f>$BC209*V$11</f>
        <v/>
      </c>
      <c r="U209" s="76">
        <f>$BC209*W$11</f>
        <v/>
      </c>
      <c r="V209" s="193">
        <f>+SUM(T209:U209)</f>
        <v/>
      </c>
      <c r="W209" s="191" t="n"/>
      <c r="X209" s="170" t="n"/>
      <c r="Y209" s="76">
        <f>ROUND(IF(offer_incoterms="DDP",X209*(S209*(1+AW209)+T209),0),2)</f>
        <v/>
      </c>
      <c r="Z209" s="188" t="n"/>
      <c r="AA209" s="192">
        <f>IFERROR(AB209/E209,0)</f>
        <v/>
      </c>
      <c r="AB209" s="76">
        <f>ROUND(SUM(S209,V209,Y209:Z209,BA209:BB209),2)</f>
        <v/>
      </c>
      <c r="AC209" s="797" t="n"/>
      <c r="AD209" s="192">
        <f t="array" ref="AD209">IFERROR(ROUND((_xlfn.IFS(offer_sale_type="поставка",AB209,offer_sale_type="транзит",S209)*(1+AC209))/E209,2),0)</f>
        <v/>
      </c>
      <c r="AE209" s="76">
        <f>AD209*E209</f>
        <v/>
      </c>
      <c r="AF209" s="193">
        <f t="array" ref="AF209">IFERROR(ROUND(_xlfn.IFS(offer_sale_type="поставка",AB209,offer_sale_type="транзит",S209)*AC209,2),0)</f>
        <v/>
      </c>
      <c r="AG209" s="192">
        <f>$BD209*VLOOKUP($AG$3,$AF$4:$AG$7,2,FALSE)</f>
        <v/>
      </c>
      <c r="AH209" s="76">
        <f>SUM(AE209,AG209,AI209)*rate_forex_risk</f>
        <v/>
      </c>
      <c r="AI209" s="193">
        <f>IF(OR(seller_region="TR",offer_sale_type="экспорт"),0,rate_fin_comm)*SUM(AZ209,AZ209*AW209,T209)</f>
        <v/>
      </c>
      <c r="AJ209" s="118">
        <f>IFERROR(ROUND(SUM(AB209,AF209:AI209)/E209,2),0)</f>
        <v/>
      </c>
      <c r="AK209" s="76">
        <f>AJ209*E209</f>
        <v/>
      </c>
      <c r="AL209" s="174">
        <f>ROUND(IFERROR(AM209*E209,0),2)</f>
        <v/>
      </c>
      <c r="AM209" s="175">
        <f>ROUND(AJ209*(1+IF(offer_incoterms="DDP",IF((TODAY()+offer_turnaround_time)&gt;=helpsheet!$L$17,rate_vatRU_from_26,rate_vatRu_till_25),0)),2)</f>
        <v/>
      </c>
      <c r="AN209" s="192">
        <f>AL209-AK209</f>
        <v/>
      </c>
      <c r="AO209" s="76">
        <f>SUM(AY209,Y209:Z209,T209)*IF(AND(offer_incoterms="DDP",offer_sale_type&lt;&gt;"экспорт"),IF((TODAY()+offer_turnaround_time)&gt;=helpsheet!$L$17,rate_vatRU_from_26,rate_vatRu_till_25),0)</f>
        <v/>
      </c>
      <c r="AP209" s="193">
        <f>AN209-AO209</f>
        <v/>
      </c>
      <c r="AQ209" s="118">
        <f>IF(offer_sale_type="транзит",SUM(AF209:AI209,BA209,BB209),0)</f>
        <v/>
      </c>
      <c r="AR209" s="82">
        <f>HYPERLINK("https://www.alta.ru/tnved/code/")&amp;W209&amp;"/"</f>
        <v/>
      </c>
      <c r="AS209" s="157" t="n"/>
      <c r="AT209" s="162" t="n"/>
      <c r="AU209" s="76">
        <f>IF(ISBLANK(AT209),0,AJ209-AT209)</f>
        <v/>
      </c>
      <c r="AV209" s="157" t="n"/>
      <c r="AW209" s="75">
        <f>_xlfn.IFNA(VLOOKUP(L209,list_vat[],3,FALSE),0)</f>
        <v/>
      </c>
      <c r="AX209" s="76">
        <f>IFERROR(ROUND(S209*(1+AW209)/E209,2),0)</f>
        <v/>
      </c>
      <c r="AY209" s="76">
        <f>E209*AX209</f>
        <v/>
      </c>
      <c r="AZ209" s="192">
        <f>S209*(1+M209)</f>
        <v/>
      </c>
      <c r="BA209" s="76">
        <f>cost_fin_total*$BD209</f>
        <v/>
      </c>
      <c r="BB209" s="193">
        <f>credit_sales_interest*BD209</f>
        <v/>
      </c>
      <c r="BC209" s="102">
        <f>IFERROR(IF($I$13&gt;0,$I209/$I$13,$S209/$S$13),0)</f>
        <v/>
      </c>
      <c r="BD209" s="102">
        <f>IFERROR($S209/$S$13,0)</f>
        <v/>
      </c>
      <c r="BE209" s="413" t="inlineStr">
        <is>
          <t>$</t>
        </is>
      </c>
    </row>
    <row r="210" ht="12" customFormat="1" customHeight="1" s="65">
      <c r="A210" s="43" t="n">
        <v>195</v>
      </c>
      <c r="B210" s="166" t="n"/>
      <c r="C210" s="166" t="n"/>
      <c r="D210" s="166" t="n"/>
      <c r="E210" s="162" t="n"/>
      <c r="F210" s="166" t="n"/>
      <c r="G210" s="162" t="n"/>
      <c r="H210" s="162" t="n"/>
      <c r="I210" s="189">
        <f>E210*G210</f>
        <v/>
      </c>
      <c r="J210" s="195" t="n"/>
      <c r="K210" s="162" t="n"/>
      <c r="L210" s="168" t="n"/>
      <c r="M210" s="75">
        <f>_xlfn.XLOOKUP(L210,list_vat[Страна],list_vat[Ставка НДС %],0,0)</f>
        <v/>
      </c>
      <c r="N210" s="162">
        <f>IFERROR(IF(L210="Китай",K210,K210/(1+M210)),0)</f>
        <v/>
      </c>
      <c r="O210" s="169" t="n"/>
      <c r="P210" s="76">
        <f>N210*(1-O210)</f>
        <v/>
      </c>
      <c r="Q210" s="162" t="n"/>
      <c r="R210" s="162">
        <f>IF(ISBLANK(Q210),"введи курс",P210/Q210)</f>
        <v/>
      </c>
      <c r="S210" s="196">
        <f>IF(AND(ISNUMBER(E210),ISNUMBER(Q210)),E210*R210,0)</f>
        <v/>
      </c>
      <c r="T210" s="192">
        <f>$BC210*V$11</f>
        <v/>
      </c>
      <c r="U210" s="76">
        <f>$BC210*W$11</f>
        <v/>
      </c>
      <c r="V210" s="193">
        <f>+SUM(T210:U210)</f>
        <v/>
      </c>
      <c r="W210" s="191" t="n"/>
      <c r="X210" s="170" t="n"/>
      <c r="Y210" s="76">
        <f>ROUND(IF(offer_incoterms="DDP",X210*(S210*(1+AW210)+T210),0),2)</f>
        <v/>
      </c>
      <c r="Z210" s="188" t="n"/>
      <c r="AA210" s="192">
        <f>IFERROR(AB210/E210,0)</f>
        <v/>
      </c>
      <c r="AB210" s="76">
        <f>ROUND(SUM(S210,V210,Y210:Z210,BA210:BB210),2)</f>
        <v/>
      </c>
      <c r="AC210" s="797" t="n"/>
      <c r="AD210" s="192">
        <f t="array" ref="AD210">IFERROR(ROUND((_xlfn.IFS(offer_sale_type="поставка",AB210,offer_sale_type="транзит",S210)*(1+AC210))/E210,2),0)</f>
        <v/>
      </c>
      <c r="AE210" s="76">
        <f>AD210*E210</f>
        <v/>
      </c>
      <c r="AF210" s="193">
        <f t="array" ref="AF210">IFERROR(ROUND(_xlfn.IFS(offer_sale_type="поставка",AB210,offer_sale_type="транзит",S210)*AC210,2),0)</f>
        <v/>
      </c>
      <c r="AG210" s="192">
        <f>$BD210*VLOOKUP($AG$3,$AF$4:$AG$7,2,FALSE)</f>
        <v/>
      </c>
      <c r="AH210" s="76">
        <f>SUM(AE210,AG210,AI210)*rate_forex_risk</f>
        <v/>
      </c>
      <c r="AI210" s="193">
        <f>IF(OR(seller_region="TR",offer_sale_type="экспорт"),0,rate_fin_comm)*SUM(AZ210,AZ210*AW210,T210)</f>
        <v/>
      </c>
      <c r="AJ210" s="118">
        <f>IFERROR(ROUND(SUM(AB210,AF210:AI210)/E210,2),0)</f>
        <v/>
      </c>
      <c r="AK210" s="76">
        <f>AJ210*E210</f>
        <v/>
      </c>
      <c r="AL210" s="174">
        <f>ROUND(IFERROR(AM210*E210,0),2)</f>
        <v/>
      </c>
      <c r="AM210" s="175">
        <f>ROUND(AJ210*(1+IF(offer_incoterms="DDP",IF((TODAY()+offer_turnaround_time)&gt;=helpsheet!$L$17,rate_vatRU_from_26,rate_vatRu_till_25),0)),2)</f>
        <v/>
      </c>
      <c r="AN210" s="192">
        <f>AL210-AK210</f>
        <v/>
      </c>
      <c r="AO210" s="76">
        <f>SUM(AY210,Y210:Z210,T210)*IF(AND(offer_incoterms="DDP",offer_sale_type&lt;&gt;"экспорт"),IF((TODAY()+offer_turnaround_time)&gt;=helpsheet!$L$17,rate_vatRU_from_26,rate_vatRu_till_25),0)</f>
        <v/>
      </c>
      <c r="AP210" s="193">
        <f>AN210-AO210</f>
        <v/>
      </c>
      <c r="AQ210" s="118">
        <f>IF(offer_sale_type="транзит",SUM(AF210:AI210,BA210,BB210),0)</f>
        <v/>
      </c>
      <c r="AR210" s="82">
        <f>HYPERLINK("https://www.alta.ru/tnved/code/")&amp;W210&amp;"/"</f>
        <v/>
      </c>
      <c r="AS210" s="157" t="n"/>
      <c r="AT210" s="162" t="n"/>
      <c r="AU210" s="76">
        <f>IF(ISBLANK(AT210),0,AJ210-AT210)</f>
        <v/>
      </c>
      <c r="AV210" s="157" t="n"/>
      <c r="AW210" s="75">
        <f>_xlfn.IFNA(VLOOKUP(L210,list_vat[],3,FALSE),0)</f>
        <v/>
      </c>
      <c r="AX210" s="76">
        <f>IFERROR(ROUND(S210*(1+AW210)/E210,2),0)</f>
        <v/>
      </c>
      <c r="AY210" s="76">
        <f>E210*AX210</f>
        <v/>
      </c>
      <c r="AZ210" s="192">
        <f>S210*(1+M210)</f>
        <v/>
      </c>
      <c r="BA210" s="76">
        <f>cost_fin_total*$BD210</f>
        <v/>
      </c>
      <c r="BB210" s="193">
        <f>credit_sales_interest*BD210</f>
        <v/>
      </c>
      <c r="BC210" s="102">
        <f>IFERROR(IF($I$13&gt;0,$I210/$I$13,$S210/$S$13),0)</f>
        <v/>
      </c>
      <c r="BD210" s="102">
        <f>IFERROR($S210/$S$13,0)</f>
        <v/>
      </c>
      <c r="BE210" s="413" t="inlineStr">
        <is>
          <t>$</t>
        </is>
      </c>
    </row>
    <row r="211" ht="12" customFormat="1" customHeight="1" s="65">
      <c r="A211" s="43" t="n">
        <v>196</v>
      </c>
      <c r="B211" s="166" t="n"/>
      <c r="C211" s="166" t="n"/>
      <c r="D211" s="166" t="n"/>
      <c r="E211" s="162" t="n"/>
      <c r="F211" s="166" t="n"/>
      <c r="G211" s="162" t="n"/>
      <c r="H211" s="162" t="n"/>
      <c r="I211" s="189">
        <f>E211*G211</f>
        <v/>
      </c>
      <c r="J211" s="195" t="n"/>
      <c r="K211" s="162" t="n"/>
      <c r="L211" s="168" t="n"/>
      <c r="M211" s="75">
        <f>_xlfn.XLOOKUP(L211,list_vat[Страна],list_vat[Ставка НДС %],0,0)</f>
        <v/>
      </c>
      <c r="N211" s="162">
        <f>IFERROR(IF(L211="Китай",K211,K211/(1+M211)),0)</f>
        <v/>
      </c>
      <c r="O211" s="169" t="n"/>
      <c r="P211" s="76">
        <f>N211*(1-O211)</f>
        <v/>
      </c>
      <c r="Q211" s="162" t="n"/>
      <c r="R211" s="162">
        <f>IF(ISBLANK(Q211),"введи курс",P211/Q211)</f>
        <v/>
      </c>
      <c r="S211" s="196">
        <f>IF(AND(ISNUMBER(E211),ISNUMBER(Q211)),E211*R211,0)</f>
        <v/>
      </c>
      <c r="T211" s="192">
        <f>$BC211*V$11</f>
        <v/>
      </c>
      <c r="U211" s="76">
        <f>$BC211*W$11</f>
        <v/>
      </c>
      <c r="V211" s="193">
        <f>+SUM(T211:U211)</f>
        <v/>
      </c>
      <c r="W211" s="191" t="n"/>
      <c r="X211" s="170" t="n"/>
      <c r="Y211" s="76">
        <f>ROUND(IF(offer_incoterms="DDP",X211*(S211*(1+AW211)+T211),0),2)</f>
        <v/>
      </c>
      <c r="Z211" s="188" t="n"/>
      <c r="AA211" s="192">
        <f>IFERROR(AB211/E211,0)</f>
        <v/>
      </c>
      <c r="AB211" s="76">
        <f>ROUND(SUM(S211,V211,Y211:Z211,BA211:BB211),2)</f>
        <v/>
      </c>
      <c r="AC211" s="797" t="n"/>
      <c r="AD211" s="192">
        <f t="array" ref="AD211">IFERROR(ROUND((_xlfn.IFS(offer_sale_type="поставка",AB211,offer_sale_type="транзит",S211)*(1+AC211))/E211,2),0)</f>
        <v/>
      </c>
      <c r="AE211" s="76">
        <f>AD211*E211</f>
        <v/>
      </c>
      <c r="AF211" s="193">
        <f t="array" ref="AF211">IFERROR(ROUND(_xlfn.IFS(offer_sale_type="поставка",AB211,offer_sale_type="транзит",S211)*AC211,2),0)</f>
        <v/>
      </c>
      <c r="AG211" s="192">
        <f>$BD211*VLOOKUP($AG$3,$AF$4:$AG$7,2,FALSE)</f>
        <v/>
      </c>
      <c r="AH211" s="76">
        <f>SUM(AE211,AG211,AI211)*rate_forex_risk</f>
        <v/>
      </c>
      <c r="AI211" s="193">
        <f>IF(OR(seller_region="TR",offer_sale_type="экспорт"),0,rate_fin_comm)*SUM(AZ211,AZ211*AW211,T211)</f>
        <v/>
      </c>
      <c r="AJ211" s="118">
        <f>IFERROR(ROUND(SUM(AB211,AF211:AI211)/E211,2),0)</f>
        <v/>
      </c>
      <c r="AK211" s="76">
        <f>AJ211*E211</f>
        <v/>
      </c>
      <c r="AL211" s="174">
        <f>ROUND(IFERROR(AM211*E211,0),2)</f>
        <v/>
      </c>
      <c r="AM211" s="175">
        <f>ROUND(AJ211*(1+IF(offer_incoterms="DDP",IF((TODAY()+offer_turnaround_time)&gt;=helpsheet!$L$17,rate_vatRU_from_26,rate_vatRu_till_25),0)),2)</f>
        <v/>
      </c>
      <c r="AN211" s="192">
        <f>AL211-AK211</f>
        <v/>
      </c>
      <c r="AO211" s="76">
        <f>SUM(AY211,Y211:Z211,T211)*IF(AND(offer_incoterms="DDP",offer_sale_type&lt;&gt;"экспорт"),IF((TODAY()+offer_turnaround_time)&gt;=helpsheet!$L$17,rate_vatRU_from_26,rate_vatRu_till_25),0)</f>
        <v/>
      </c>
      <c r="AP211" s="193">
        <f>AN211-AO211</f>
        <v/>
      </c>
      <c r="AQ211" s="118">
        <f>IF(offer_sale_type="транзит",SUM(AF211:AI211,BA211,BB211),0)</f>
        <v/>
      </c>
      <c r="AR211" s="82">
        <f>HYPERLINK("https://www.alta.ru/tnved/code/")&amp;W211&amp;"/"</f>
        <v/>
      </c>
      <c r="AS211" s="157" t="n"/>
      <c r="AT211" s="162" t="n"/>
      <c r="AU211" s="76">
        <f>IF(ISBLANK(AT211),0,AJ211-AT211)</f>
        <v/>
      </c>
      <c r="AV211" s="157" t="n"/>
      <c r="AW211" s="75">
        <f>_xlfn.IFNA(VLOOKUP(L211,list_vat[],3,FALSE),0)</f>
        <v/>
      </c>
      <c r="AX211" s="76">
        <f>IFERROR(ROUND(S211*(1+AW211)/E211,2),0)</f>
        <v/>
      </c>
      <c r="AY211" s="76">
        <f>E211*AX211</f>
        <v/>
      </c>
      <c r="AZ211" s="192">
        <f>S211*(1+M211)</f>
        <v/>
      </c>
      <c r="BA211" s="76">
        <f>cost_fin_total*$BD211</f>
        <v/>
      </c>
      <c r="BB211" s="193">
        <f>credit_sales_interest*BD211</f>
        <v/>
      </c>
      <c r="BC211" s="102">
        <f>IFERROR(IF($I$13&gt;0,$I211/$I$13,$S211/$S$13),0)</f>
        <v/>
      </c>
      <c r="BD211" s="102">
        <f>IFERROR($S211/$S$13,0)</f>
        <v/>
      </c>
      <c r="BE211" s="413" t="inlineStr">
        <is>
          <t>$</t>
        </is>
      </c>
    </row>
    <row r="212" ht="12" customFormat="1" customHeight="1" s="65">
      <c r="A212" s="43" t="n">
        <v>197</v>
      </c>
      <c r="B212" s="166" t="n"/>
      <c r="C212" s="166" t="n"/>
      <c r="D212" s="166" t="n"/>
      <c r="E212" s="162" t="n"/>
      <c r="F212" s="166" t="n"/>
      <c r="G212" s="162" t="n"/>
      <c r="H212" s="162" t="n"/>
      <c r="I212" s="189">
        <f>E212*G212</f>
        <v/>
      </c>
      <c r="J212" s="195" t="n"/>
      <c r="K212" s="162" t="n"/>
      <c r="L212" s="168" t="n"/>
      <c r="M212" s="75">
        <f>_xlfn.XLOOKUP(L212,list_vat[Страна],list_vat[Ставка НДС %],0,0)</f>
        <v/>
      </c>
      <c r="N212" s="162">
        <f>IFERROR(IF(L212="Китай",K212,K212/(1+M212)),0)</f>
        <v/>
      </c>
      <c r="O212" s="169" t="n"/>
      <c r="P212" s="76">
        <f>N212*(1-O212)</f>
        <v/>
      </c>
      <c r="Q212" s="162" t="n"/>
      <c r="R212" s="162">
        <f>IF(ISBLANK(Q212),"введи курс",P212/Q212)</f>
        <v/>
      </c>
      <c r="S212" s="196">
        <f>IF(AND(ISNUMBER(E212),ISNUMBER(Q212)),E212*R212,0)</f>
        <v/>
      </c>
      <c r="T212" s="192">
        <f>$BC212*V$11</f>
        <v/>
      </c>
      <c r="U212" s="76">
        <f>$BC212*W$11</f>
        <v/>
      </c>
      <c r="V212" s="193">
        <f>+SUM(T212:U212)</f>
        <v/>
      </c>
      <c r="W212" s="191" t="n"/>
      <c r="X212" s="170" t="n"/>
      <c r="Y212" s="76">
        <f>ROUND(IF(offer_incoterms="DDP",X212*(S212*(1+AW212)+T212),0),2)</f>
        <v/>
      </c>
      <c r="Z212" s="188" t="n"/>
      <c r="AA212" s="192">
        <f>IFERROR(AB212/E212,0)</f>
        <v/>
      </c>
      <c r="AB212" s="76">
        <f>ROUND(SUM(S212,V212,Y212:Z212,BA212:BB212),2)</f>
        <v/>
      </c>
      <c r="AC212" s="797" t="n"/>
      <c r="AD212" s="192">
        <f t="array" ref="AD212">IFERROR(ROUND((_xlfn.IFS(offer_sale_type="поставка",AB212,offer_sale_type="транзит",S212)*(1+AC212))/E212,2),0)</f>
        <v/>
      </c>
      <c r="AE212" s="76">
        <f>AD212*E212</f>
        <v/>
      </c>
      <c r="AF212" s="193">
        <f t="array" ref="AF212">IFERROR(ROUND(_xlfn.IFS(offer_sale_type="поставка",AB212,offer_sale_type="транзит",S212)*AC212,2),0)</f>
        <v/>
      </c>
      <c r="AG212" s="192">
        <f>$BD212*VLOOKUP($AG$3,$AF$4:$AG$7,2,FALSE)</f>
        <v/>
      </c>
      <c r="AH212" s="76">
        <f>SUM(AE212,AG212,AI212)*rate_forex_risk</f>
        <v/>
      </c>
      <c r="AI212" s="193">
        <f>IF(OR(seller_region="TR",offer_sale_type="экспорт"),0,rate_fin_comm)*SUM(AZ212,AZ212*AW212,T212)</f>
        <v/>
      </c>
      <c r="AJ212" s="118">
        <f>IFERROR(ROUND(SUM(AB212,AF212:AI212)/E212,2),0)</f>
        <v/>
      </c>
      <c r="AK212" s="76">
        <f>AJ212*E212</f>
        <v/>
      </c>
      <c r="AL212" s="174">
        <f>ROUND(IFERROR(AM212*E212,0),2)</f>
        <v/>
      </c>
      <c r="AM212" s="175">
        <f>ROUND(AJ212*(1+IF(offer_incoterms="DDP",IF((TODAY()+offer_turnaround_time)&gt;=helpsheet!$L$17,rate_vatRU_from_26,rate_vatRu_till_25),0)),2)</f>
        <v/>
      </c>
      <c r="AN212" s="192">
        <f>AL212-AK212</f>
        <v/>
      </c>
      <c r="AO212" s="76">
        <f>SUM(AY212,Y212:Z212,T212)*IF(AND(offer_incoterms="DDP",offer_sale_type&lt;&gt;"экспорт"),IF((TODAY()+offer_turnaround_time)&gt;=helpsheet!$L$17,rate_vatRU_from_26,rate_vatRu_till_25),0)</f>
        <v/>
      </c>
      <c r="AP212" s="193">
        <f>AN212-AO212</f>
        <v/>
      </c>
      <c r="AQ212" s="118">
        <f>IF(offer_sale_type="транзит",SUM(AF212:AI212,BA212,BB212),0)</f>
        <v/>
      </c>
      <c r="AR212" s="82">
        <f>HYPERLINK("https://www.alta.ru/tnved/code/")&amp;W212&amp;"/"</f>
        <v/>
      </c>
      <c r="AS212" s="157" t="n"/>
      <c r="AT212" s="162" t="n"/>
      <c r="AU212" s="76">
        <f>IF(ISBLANK(AT212),0,AJ212-AT212)</f>
        <v/>
      </c>
      <c r="AV212" s="157" t="n"/>
      <c r="AW212" s="75">
        <f>_xlfn.IFNA(VLOOKUP(L212,list_vat[],3,FALSE),0)</f>
        <v/>
      </c>
      <c r="AX212" s="76">
        <f>IFERROR(ROUND(S212*(1+AW212)/E212,2),0)</f>
        <v/>
      </c>
      <c r="AY212" s="76">
        <f>E212*AX212</f>
        <v/>
      </c>
      <c r="AZ212" s="192">
        <f>S212*(1+M212)</f>
        <v/>
      </c>
      <c r="BA212" s="76">
        <f>cost_fin_total*$BD212</f>
        <v/>
      </c>
      <c r="BB212" s="193">
        <f>credit_sales_interest*BD212</f>
        <v/>
      </c>
      <c r="BC212" s="102">
        <f>IFERROR(IF($I$13&gt;0,$I212/$I$13,$S212/$S$13),0)</f>
        <v/>
      </c>
      <c r="BD212" s="102">
        <f>IFERROR($S212/$S$13,0)</f>
        <v/>
      </c>
      <c r="BE212" s="413" t="inlineStr">
        <is>
          <t>$</t>
        </is>
      </c>
    </row>
    <row r="213" ht="12" customFormat="1" customHeight="1" s="65">
      <c r="A213" s="43" t="n">
        <v>198</v>
      </c>
      <c r="B213" s="166" t="n"/>
      <c r="C213" s="166" t="n"/>
      <c r="D213" s="166" t="n"/>
      <c r="E213" s="162" t="n"/>
      <c r="F213" s="166" t="n"/>
      <c r="G213" s="162" t="n"/>
      <c r="H213" s="162" t="n"/>
      <c r="I213" s="189">
        <f>E213*G213</f>
        <v/>
      </c>
      <c r="J213" s="195" t="n"/>
      <c r="K213" s="162" t="n"/>
      <c r="L213" s="168" t="n"/>
      <c r="M213" s="75">
        <f>_xlfn.XLOOKUP(L213,list_vat[Страна],list_vat[Ставка НДС %],0,0)</f>
        <v/>
      </c>
      <c r="N213" s="162">
        <f>IFERROR(IF(L213="Китай",K213,K213/(1+M213)),0)</f>
        <v/>
      </c>
      <c r="O213" s="169" t="n"/>
      <c r="P213" s="76">
        <f>N213*(1-O213)</f>
        <v/>
      </c>
      <c r="Q213" s="162" t="n"/>
      <c r="R213" s="162">
        <f>IF(ISBLANK(Q213),"введи курс",P213/Q213)</f>
        <v/>
      </c>
      <c r="S213" s="196">
        <f>IF(AND(ISNUMBER(E213),ISNUMBER(Q213)),E213*R213,0)</f>
        <v/>
      </c>
      <c r="T213" s="192">
        <f>$BC213*V$11</f>
        <v/>
      </c>
      <c r="U213" s="76">
        <f>$BC213*W$11</f>
        <v/>
      </c>
      <c r="V213" s="193">
        <f>+SUM(T213:U213)</f>
        <v/>
      </c>
      <c r="W213" s="191" t="n"/>
      <c r="X213" s="170" t="n"/>
      <c r="Y213" s="76">
        <f>ROUND(IF(offer_incoterms="DDP",X213*(S213*(1+AW213)+T213),0),2)</f>
        <v/>
      </c>
      <c r="Z213" s="188" t="n"/>
      <c r="AA213" s="192">
        <f>IFERROR(AB213/E213,0)</f>
        <v/>
      </c>
      <c r="AB213" s="76">
        <f>ROUND(SUM(S213,V213,Y213:Z213,BA213:BB213),2)</f>
        <v/>
      </c>
      <c r="AC213" s="797" t="n"/>
      <c r="AD213" s="192">
        <f t="array" ref="AD213">IFERROR(ROUND((_xlfn.IFS(offer_sale_type="поставка",AB213,offer_sale_type="транзит",S213)*(1+AC213))/E213,2),0)</f>
        <v/>
      </c>
      <c r="AE213" s="76">
        <f>AD213*E213</f>
        <v/>
      </c>
      <c r="AF213" s="193">
        <f t="array" ref="AF213">IFERROR(ROUND(_xlfn.IFS(offer_sale_type="поставка",AB213,offer_sale_type="транзит",S213)*AC213,2),0)</f>
        <v/>
      </c>
      <c r="AG213" s="192">
        <f>$BD213*VLOOKUP($AG$3,$AF$4:$AG$7,2,FALSE)</f>
        <v/>
      </c>
      <c r="AH213" s="76">
        <f>SUM(AE213,AG213,AI213)*rate_forex_risk</f>
        <v/>
      </c>
      <c r="AI213" s="193">
        <f>IF(OR(seller_region="TR",offer_sale_type="экспорт"),0,rate_fin_comm)*SUM(AZ213,AZ213*AW213,T213)</f>
        <v/>
      </c>
      <c r="AJ213" s="118">
        <f>IFERROR(ROUND(SUM(AB213,AF213:AI213)/E213,2),0)</f>
        <v/>
      </c>
      <c r="AK213" s="76">
        <f>AJ213*E213</f>
        <v/>
      </c>
      <c r="AL213" s="174">
        <f>ROUND(IFERROR(AM213*E213,0),2)</f>
        <v/>
      </c>
      <c r="AM213" s="175">
        <f>ROUND(AJ213*(1+IF(offer_incoterms="DDP",IF((TODAY()+offer_turnaround_time)&gt;=helpsheet!$L$17,rate_vatRU_from_26,rate_vatRu_till_25),0)),2)</f>
        <v/>
      </c>
      <c r="AN213" s="192">
        <f>AL213-AK213</f>
        <v/>
      </c>
      <c r="AO213" s="76">
        <f>SUM(AY213,Y213:Z213,T213)*IF(AND(offer_incoterms="DDP",offer_sale_type&lt;&gt;"экспорт"),IF((TODAY()+offer_turnaround_time)&gt;=helpsheet!$L$17,rate_vatRU_from_26,rate_vatRu_till_25),0)</f>
        <v/>
      </c>
      <c r="AP213" s="193">
        <f>AN213-AO213</f>
        <v/>
      </c>
      <c r="AQ213" s="118">
        <f>IF(offer_sale_type="транзит",SUM(AF213:AI213,BA213,BB213),0)</f>
        <v/>
      </c>
      <c r="AR213" s="82">
        <f>HYPERLINK("https://www.alta.ru/tnved/code/")&amp;W213&amp;"/"</f>
        <v/>
      </c>
      <c r="AS213" s="157" t="n"/>
      <c r="AT213" s="162" t="n"/>
      <c r="AU213" s="76">
        <f>IF(ISBLANK(AT213),0,AJ213-AT213)</f>
        <v/>
      </c>
      <c r="AV213" s="157" t="n"/>
      <c r="AW213" s="75">
        <f>_xlfn.IFNA(VLOOKUP(L213,list_vat[],3,FALSE),0)</f>
        <v/>
      </c>
      <c r="AX213" s="76">
        <f>IFERROR(ROUND(S213*(1+AW213)/E213,2),0)</f>
        <v/>
      </c>
      <c r="AY213" s="76">
        <f>E213*AX213</f>
        <v/>
      </c>
      <c r="AZ213" s="192">
        <f>S213*(1+M213)</f>
        <v/>
      </c>
      <c r="BA213" s="76">
        <f>cost_fin_total*$BD213</f>
        <v/>
      </c>
      <c r="BB213" s="193">
        <f>credit_sales_interest*BD213</f>
        <v/>
      </c>
      <c r="BC213" s="102">
        <f>IFERROR(IF($I$13&gt;0,$I213/$I$13,$S213/$S$13),0)</f>
        <v/>
      </c>
      <c r="BD213" s="102">
        <f>IFERROR($S213/$S$13,0)</f>
        <v/>
      </c>
      <c r="BE213" s="413" t="inlineStr">
        <is>
          <t>$</t>
        </is>
      </c>
    </row>
    <row r="214" ht="12" customFormat="1" customHeight="1" s="65">
      <c r="A214" s="43" t="n">
        <v>199</v>
      </c>
      <c r="B214" s="166" t="n"/>
      <c r="C214" s="166" t="n"/>
      <c r="D214" s="166" t="n"/>
      <c r="E214" s="162" t="n"/>
      <c r="F214" s="166" t="n"/>
      <c r="G214" s="162" t="n"/>
      <c r="H214" s="162" t="n"/>
      <c r="I214" s="189">
        <f>E214*G214</f>
        <v/>
      </c>
      <c r="J214" s="195" t="n"/>
      <c r="K214" s="162" t="n"/>
      <c r="L214" s="168" t="n"/>
      <c r="M214" s="75">
        <f>_xlfn.XLOOKUP(L214,list_vat[Страна],list_vat[Ставка НДС %],0,0)</f>
        <v/>
      </c>
      <c r="N214" s="162">
        <f>IFERROR(IF(L214="Китай",K214,K214/(1+M214)),0)</f>
        <v/>
      </c>
      <c r="O214" s="169" t="n"/>
      <c r="P214" s="76">
        <f>N214*(1-O214)</f>
        <v/>
      </c>
      <c r="Q214" s="162" t="n"/>
      <c r="R214" s="162">
        <f>IF(ISBLANK(Q214),"введи курс",P214/Q214)</f>
        <v/>
      </c>
      <c r="S214" s="196">
        <f>IF(AND(ISNUMBER(E214),ISNUMBER(Q214)),E214*R214,0)</f>
        <v/>
      </c>
      <c r="T214" s="192">
        <f>$BC214*V$11</f>
        <v/>
      </c>
      <c r="U214" s="76">
        <f>$BC214*W$11</f>
        <v/>
      </c>
      <c r="V214" s="193">
        <f>+SUM(T214:U214)</f>
        <v/>
      </c>
      <c r="W214" s="191" t="n"/>
      <c r="X214" s="170" t="n"/>
      <c r="Y214" s="76">
        <f>ROUND(IF(offer_incoterms="DDP",X214*(S214*(1+AW214)+T214),0),2)</f>
        <v/>
      </c>
      <c r="Z214" s="188" t="n"/>
      <c r="AA214" s="192">
        <f>IFERROR(AB214/E214,0)</f>
        <v/>
      </c>
      <c r="AB214" s="76">
        <f>ROUND(SUM(S214,V214,Y214:Z214,BA214:BB214),2)</f>
        <v/>
      </c>
      <c r="AC214" s="797" t="n"/>
      <c r="AD214" s="192">
        <f t="array" ref="AD214">IFERROR(ROUND((_xlfn.IFS(offer_sale_type="поставка",AB214,offer_sale_type="транзит",S214)*(1+AC214))/E214,2),0)</f>
        <v/>
      </c>
      <c r="AE214" s="76">
        <f>AD214*E214</f>
        <v/>
      </c>
      <c r="AF214" s="193">
        <f t="array" ref="AF214">IFERROR(ROUND(_xlfn.IFS(offer_sale_type="поставка",AB214,offer_sale_type="транзит",S214)*AC214,2),0)</f>
        <v/>
      </c>
      <c r="AG214" s="192">
        <f>$BD214*VLOOKUP($AG$3,$AF$4:$AG$7,2,FALSE)</f>
        <v/>
      </c>
      <c r="AH214" s="76">
        <f>SUM(AE214,AG214,AI214)*rate_forex_risk</f>
        <v/>
      </c>
      <c r="AI214" s="193">
        <f>IF(OR(seller_region="TR",offer_sale_type="экспорт"),0,rate_fin_comm)*SUM(AZ214,AZ214*AW214,T214)</f>
        <v/>
      </c>
      <c r="AJ214" s="118">
        <f>IFERROR(ROUND(SUM(AB214,AF214:AI214)/E214,2),0)</f>
        <v/>
      </c>
      <c r="AK214" s="76">
        <f>AJ214*E214</f>
        <v/>
      </c>
      <c r="AL214" s="174">
        <f>ROUND(IFERROR(AM214*E214,0),2)</f>
        <v/>
      </c>
      <c r="AM214" s="175">
        <f>ROUND(AJ214*(1+IF(offer_incoterms="DDP",IF((TODAY()+offer_turnaround_time)&gt;=helpsheet!$L$17,rate_vatRU_from_26,rate_vatRu_till_25),0)),2)</f>
        <v/>
      </c>
      <c r="AN214" s="192">
        <f>AL214-AK214</f>
        <v/>
      </c>
      <c r="AO214" s="76">
        <f>SUM(AY214,Y214:Z214,T214)*IF(AND(offer_incoterms="DDP",offer_sale_type&lt;&gt;"экспорт"),IF((TODAY()+offer_turnaround_time)&gt;=helpsheet!$L$17,rate_vatRU_from_26,rate_vatRu_till_25),0)</f>
        <v/>
      </c>
      <c r="AP214" s="193">
        <f>AN214-AO214</f>
        <v/>
      </c>
      <c r="AQ214" s="118">
        <f>IF(offer_sale_type="транзит",SUM(AF214:AI214,BA214,BB214),0)</f>
        <v/>
      </c>
      <c r="AR214" s="82">
        <f>HYPERLINK("https://www.alta.ru/tnved/code/")&amp;W214&amp;"/"</f>
        <v/>
      </c>
      <c r="AS214" s="157" t="n"/>
      <c r="AT214" s="162" t="n"/>
      <c r="AU214" s="76">
        <f>IF(ISBLANK(AT214),0,AJ214-AT214)</f>
        <v/>
      </c>
      <c r="AV214" s="157" t="n"/>
      <c r="AW214" s="75">
        <f>_xlfn.IFNA(VLOOKUP(L214,list_vat[],3,FALSE),0)</f>
        <v/>
      </c>
      <c r="AX214" s="76">
        <f>IFERROR(ROUND(S214*(1+AW214)/E214,2),0)</f>
        <v/>
      </c>
      <c r="AY214" s="76">
        <f>E214*AX214</f>
        <v/>
      </c>
      <c r="AZ214" s="192">
        <f>S214*(1+M214)</f>
        <v/>
      </c>
      <c r="BA214" s="76">
        <f>cost_fin_total*$BD214</f>
        <v/>
      </c>
      <c r="BB214" s="193">
        <f>credit_sales_interest*BD214</f>
        <v/>
      </c>
      <c r="BC214" s="102">
        <f>IFERROR(IF($I$13&gt;0,$I214/$I$13,$S214/$S$13),0)</f>
        <v/>
      </c>
      <c r="BD214" s="102">
        <f>IFERROR($S214/$S$13,0)</f>
        <v/>
      </c>
      <c r="BE214" s="413" t="inlineStr">
        <is>
          <t>$</t>
        </is>
      </c>
    </row>
    <row r="215" ht="12" customFormat="1" customHeight="1" s="65">
      <c r="A215" s="43" t="n">
        <v>200</v>
      </c>
      <c r="B215" s="166" t="n"/>
      <c r="C215" s="166" t="n"/>
      <c r="D215" s="166" t="n"/>
      <c r="E215" s="162" t="n"/>
      <c r="F215" s="166" t="n"/>
      <c r="G215" s="162" t="n"/>
      <c r="H215" s="162" t="n"/>
      <c r="I215" s="189">
        <f>E215*G215</f>
        <v/>
      </c>
      <c r="J215" s="195" t="n"/>
      <c r="K215" s="162" t="n"/>
      <c r="L215" s="168" t="n"/>
      <c r="M215" s="75">
        <f>_xlfn.XLOOKUP(L215,list_vat[Страна],list_vat[Ставка НДС %],0,0)</f>
        <v/>
      </c>
      <c r="N215" s="162">
        <f>IFERROR(IF(L215="Китай",K215,K215/(1+M215)),0)</f>
        <v/>
      </c>
      <c r="O215" s="169" t="n"/>
      <c r="P215" s="76">
        <f>N215*(1-O215)</f>
        <v/>
      </c>
      <c r="Q215" s="162" t="n"/>
      <c r="R215" s="162">
        <f>IF(ISBLANK(Q215),"введи курс",P215/Q215)</f>
        <v/>
      </c>
      <c r="S215" s="196">
        <f>IF(AND(ISNUMBER(E215),ISNUMBER(Q215)),E215*R215,0)</f>
        <v/>
      </c>
      <c r="T215" s="192">
        <f>$BC215*V$11</f>
        <v/>
      </c>
      <c r="U215" s="76">
        <f>$BC215*W$11</f>
        <v/>
      </c>
      <c r="V215" s="193">
        <f>+SUM(T215:U215)</f>
        <v/>
      </c>
      <c r="W215" s="191" t="n"/>
      <c r="X215" s="170" t="n"/>
      <c r="Y215" s="76">
        <f>ROUND(IF(offer_incoterms="DDP",X215*(S215*(1+AW215)+T215),0),2)</f>
        <v/>
      </c>
      <c r="Z215" s="188" t="n"/>
      <c r="AA215" s="192">
        <f>IFERROR(AB215/E215,0)</f>
        <v/>
      </c>
      <c r="AB215" s="76">
        <f>ROUND(SUM(S215,V215,Y215:Z215,BA215:BB215),2)</f>
        <v/>
      </c>
      <c r="AC215" s="797" t="n"/>
      <c r="AD215" s="192">
        <f t="array" ref="AD215">IFERROR(ROUND((_xlfn.IFS(offer_sale_type="поставка",AB215,offer_sale_type="транзит",S215)*(1+AC215))/E215,2),0)</f>
        <v/>
      </c>
      <c r="AE215" s="76">
        <f>AD215*E215</f>
        <v/>
      </c>
      <c r="AF215" s="193">
        <f t="array" ref="AF215">IFERROR(ROUND(_xlfn.IFS(offer_sale_type="поставка",AB215,offer_sale_type="транзит",S215)*AC215,2),0)</f>
        <v/>
      </c>
      <c r="AG215" s="192">
        <f>$BD215*VLOOKUP($AG$3,$AF$4:$AG$7,2,FALSE)</f>
        <v/>
      </c>
      <c r="AH215" s="76">
        <f>SUM(AE215,AG215,AI215)*rate_forex_risk</f>
        <v/>
      </c>
      <c r="AI215" s="193">
        <f>IF(OR(seller_region="TR",offer_sale_type="экспорт"),0,rate_fin_comm)*SUM(AZ215,AZ215*AW215,T215)</f>
        <v/>
      </c>
      <c r="AJ215" s="118">
        <f>IFERROR(ROUND(SUM(AB215,AF215:AI215)/E215,2),0)</f>
        <v/>
      </c>
      <c r="AK215" s="76">
        <f>AJ215*E215</f>
        <v/>
      </c>
      <c r="AL215" s="174">
        <f>ROUND(IFERROR(AM215*E215,0),2)</f>
        <v/>
      </c>
      <c r="AM215" s="175">
        <f>ROUND(AJ215*(1+IF(offer_incoterms="DDP",IF((TODAY()+offer_turnaround_time)&gt;=helpsheet!$L$17,rate_vatRU_from_26,rate_vatRu_till_25),0)),2)</f>
        <v/>
      </c>
      <c r="AN215" s="192">
        <f>AL215-AK215</f>
        <v/>
      </c>
      <c r="AO215" s="76">
        <f>SUM(AY215,Y215:Z215,T215)*IF(AND(offer_incoterms="DDP",offer_sale_type&lt;&gt;"экспорт"),IF((TODAY()+offer_turnaround_time)&gt;=helpsheet!$L$17,rate_vatRU_from_26,rate_vatRu_till_25),0)</f>
        <v/>
      </c>
      <c r="AP215" s="193">
        <f>AN215-AO215</f>
        <v/>
      </c>
      <c r="AQ215" s="118">
        <f>IF(offer_sale_type="транзит",SUM(AF215:AI215,BA215,BB215),0)</f>
        <v/>
      </c>
      <c r="AR215" s="82">
        <f>HYPERLINK("https://www.alta.ru/tnved/code/")&amp;W215&amp;"/"</f>
        <v/>
      </c>
      <c r="AS215" s="157" t="n"/>
      <c r="AT215" s="162" t="n"/>
      <c r="AU215" s="76">
        <f>IF(ISBLANK(AT215),0,AJ215-AT215)</f>
        <v/>
      </c>
      <c r="AV215" s="157" t="n"/>
      <c r="AW215" s="75">
        <f>_xlfn.IFNA(VLOOKUP(L215,list_vat[],3,FALSE),0)</f>
        <v/>
      </c>
      <c r="AX215" s="76">
        <f>IFERROR(ROUND(S215*(1+AW215)/E215,2),0)</f>
        <v/>
      </c>
      <c r="AY215" s="76">
        <f>E215*AX215</f>
        <v/>
      </c>
      <c r="AZ215" s="192">
        <f>S215*(1+M215)</f>
        <v/>
      </c>
      <c r="BA215" s="76">
        <f>cost_fin_total*$BD215</f>
        <v/>
      </c>
      <c r="BB215" s="193">
        <f>credit_sales_interest*BD215</f>
        <v/>
      </c>
      <c r="BC215" s="102">
        <f>IFERROR(IF($I$13&gt;0,$I215/$I$13,$S215/$S$13),0)</f>
        <v/>
      </c>
      <c r="BD215" s="102">
        <f>IFERROR($S215/$S$13,0)</f>
        <v/>
      </c>
      <c r="BE215" s="413" t="inlineStr">
        <is>
          <t>$</t>
        </is>
      </c>
    </row>
    <row r="216" ht="12" customFormat="1" customHeight="1" s="65">
      <c r="A216" s="43" t="n">
        <v>201</v>
      </c>
      <c r="B216" s="166" t="n"/>
      <c r="C216" s="166" t="n"/>
      <c r="D216" s="166" t="n"/>
      <c r="E216" s="162" t="n"/>
      <c r="F216" s="166" t="n"/>
      <c r="G216" s="162" t="n"/>
      <c r="H216" s="162" t="n"/>
      <c r="I216" s="189">
        <f>E216*G216</f>
        <v/>
      </c>
      <c r="J216" s="195" t="n"/>
      <c r="K216" s="162" t="n"/>
      <c r="L216" s="168" t="n"/>
      <c r="M216" s="75">
        <f>_xlfn.XLOOKUP(L216,list_vat[Страна],list_vat[Ставка НДС %],0,0)</f>
        <v/>
      </c>
      <c r="N216" s="162">
        <f>IFERROR(IF(L216="Китай",K216,K216/(1+M216)),0)</f>
        <v/>
      </c>
      <c r="O216" s="169" t="n"/>
      <c r="P216" s="76">
        <f>N216*(1-O216)</f>
        <v/>
      </c>
      <c r="Q216" s="162" t="n"/>
      <c r="R216" s="162">
        <f>IF(ISBLANK(Q216),"введи курс",P216/Q216)</f>
        <v/>
      </c>
      <c r="S216" s="196">
        <f>IF(AND(ISNUMBER(E216),ISNUMBER(Q216)),E216*R216,0)</f>
        <v/>
      </c>
      <c r="T216" s="192">
        <f>$BC216*V$11</f>
        <v/>
      </c>
      <c r="U216" s="76">
        <f>$BC216*W$11</f>
        <v/>
      </c>
      <c r="V216" s="193">
        <f>+SUM(T216:U216)</f>
        <v/>
      </c>
      <c r="W216" s="191" t="n"/>
      <c r="X216" s="170" t="n"/>
      <c r="Y216" s="76">
        <f>ROUND(IF(offer_incoterms="DDP",X216*(S216*(1+AW216)+T216),0),2)</f>
        <v/>
      </c>
      <c r="Z216" s="188" t="n"/>
      <c r="AA216" s="192">
        <f>IFERROR(AB216/E216,0)</f>
        <v/>
      </c>
      <c r="AB216" s="76">
        <f>ROUND(SUM(S216,V216,Y216:Z216,BA216:BB216),2)</f>
        <v/>
      </c>
      <c r="AC216" s="797" t="n"/>
      <c r="AD216" s="192">
        <f t="array" ref="AD216">IFERROR(ROUND((_xlfn.IFS(offer_sale_type="поставка",AB216,offer_sale_type="транзит",S216)*(1+AC216))/E216,2),0)</f>
        <v/>
      </c>
      <c r="AE216" s="76">
        <f>AD216*E216</f>
        <v/>
      </c>
      <c r="AF216" s="193">
        <f t="array" ref="AF216">IFERROR(ROUND(_xlfn.IFS(offer_sale_type="поставка",AB216,offer_sale_type="транзит",S216)*AC216,2),0)</f>
        <v/>
      </c>
      <c r="AG216" s="192">
        <f>$BD216*VLOOKUP($AG$3,$AF$4:$AG$7,2,FALSE)</f>
        <v/>
      </c>
      <c r="AH216" s="76">
        <f>SUM(AE216,AG216,AI216)*rate_forex_risk</f>
        <v/>
      </c>
      <c r="AI216" s="193">
        <f>IF(OR(seller_region="TR",offer_sale_type="экспорт"),0,rate_fin_comm)*SUM(AZ216,AZ216*AW216,T216)</f>
        <v/>
      </c>
      <c r="AJ216" s="118">
        <f>IFERROR(ROUND(SUM(AB216,AF216:AI216)/E216,2),0)</f>
        <v/>
      </c>
      <c r="AK216" s="76">
        <f>AJ216*E216</f>
        <v/>
      </c>
      <c r="AL216" s="174">
        <f>ROUND(IFERROR(AM216*E216,0),2)</f>
        <v/>
      </c>
      <c r="AM216" s="175">
        <f>ROUND(AJ216*(1+IF(offer_incoterms="DDP",IF((TODAY()+offer_turnaround_time)&gt;=helpsheet!$L$17,rate_vatRU_from_26,rate_vatRu_till_25),0)),2)</f>
        <v/>
      </c>
      <c r="AN216" s="192">
        <f>AL216-AK216</f>
        <v/>
      </c>
      <c r="AO216" s="76">
        <f>SUM(AY216,Y216:Z216,T216)*IF(AND(offer_incoterms="DDP",offer_sale_type&lt;&gt;"экспорт"),IF((TODAY()+offer_turnaround_time)&gt;=helpsheet!$L$17,rate_vatRU_from_26,rate_vatRu_till_25),0)</f>
        <v/>
      </c>
      <c r="AP216" s="193">
        <f>AN216-AO216</f>
        <v/>
      </c>
      <c r="AQ216" s="118">
        <f>IF(offer_sale_type="транзит",SUM(AF216:AI216,BA216,BB216),0)</f>
        <v/>
      </c>
      <c r="AR216" s="82">
        <f>HYPERLINK("https://www.alta.ru/tnved/code/")&amp;W216&amp;"/"</f>
        <v/>
      </c>
      <c r="AS216" s="157" t="n"/>
      <c r="AT216" s="162" t="n"/>
      <c r="AU216" s="76">
        <f>IF(ISBLANK(AT216),0,AJ216-AT216)</f>
        <v/>
      </c>
      <c r="AV216" s="157" t="n"/>
      <c r="AW216" s="75">
        <f>_xlfn.IFNA(VLOOKUP(L216,list_vat[],3,FALSE),0)</f>
        <v/>
      </c>
      <c r="AX216" s="76">
        <f>IFERROR(ROUND(S216*(1+AW216)/E216,2),0)</f>
        <v/>
      </c>
      <c r="AY216" s="76">
        <f>E216*AX216</f>
        <v/>
      </c>
      <c r="AZ216" s="192">
        <f>S216*(1+M216)</f>
        <v/>
      </c>
      <c r="BA216" s="76">
        <f>cost_fin_total*$BD216</f>
        <v/>
      </c>
      <c r="BB216" s="193">
        <f>credit_sales_interest*BD216</f>
        <v/>
      </c>
      <c r="BC216" s="102">
        <f>IFERROR(IF($I$13&gt;0,$I216/$I$13,$S216/$S$13),0)</f>
        <v/>
      </c>
      <c r="BD216" s="102">
        <f>IFERROR($S216/$S$13,0)</f>
        <v/>
      </c>
      <c r="BE216" s="413" t="inlineStr">
        <is>
          <t>$</t>
        </is>
      </c>
    </row>
    <row r="217" ht="12" customFormat="1" customHeight="1" s="65">
      <c r="A217" s="43" t="n">
        <v>202</v>
      </c>
      <c r="B217" s="166" t="n"/>
      <c r="C217" s="166" t="n"/>
      <c r="D217" s="166" t="n"/>
      <c r="E217" s="162" t="n"/>
      <c r="F217" s="166" t="n"/>
      <c r="G217" s="162" t="n"/>
      <c r="H217" s="162" t="n"/>
      <c r="I217" s="189">
        <f>E217*G217</f>
        <v/>
      </c>
      <c r="J217" s="195" t="n"/>
      <c r="K217" s="162" t="n"/>
      <c r="L217" s="168" t="n"/>
      <c r="M217" s="75">
        <f>_xlfn.XLOOKUP(L217,list_vat[Страна],list_vat[Ставка НДС %],0,0)</f>
        <v/>
      </c>
      <c r="N217" s="162">
        <f>IFERROR(IF(L217="Китай",K217,K217/(1+M217)),0)</f>
        <v/>
      </c>
      <c r="O217" s="169" t="n"/>
      <c r="P217" s="76">
        <f>N217*(1-O217)</f>
        <v/>
      </c>
      <c r="Q217" s="162" t="n"/>
      <c r="R217" s="162">
        <f>IF(ISBLANK(Q217),"введи курс",P217/Q217)</f>
        <v/>
      </c>
      <c r="S217" s="196">
        <f>IF(AND(ISNUMBER(E217),ISNUMBER(Q217)),E217*R217,0)</f>
        <v/>
      </c>
      <c r="T217" s="192">
        <f>$BC217*V$11</f>
        <v/>
      </c>
      <c r="U217" s="76">
        <f>$BC217*W$11</f>
        <v/>
      </c>
      <c r="V217" s="193">
        <f>+SUM(T217:U217)</f>
        <v/>
      </c>
      <c r="W217" s="191" t="n"/>
      <c r="X217" s="170" t="n"/>
      <c r="Y217" s="76">
        <f>ROUND(IF(offer_incoterms="DDP",X217*(S217*(1+AW217)+T217),0),2)</f>
        <v/>
      </c>
      <c r="Z217" s="188" t="n"/>
      <c r="AA217" s="192">
        <f>IFERROR(AB217/E217,0)</f>
        <v/>
      </c>
      <c r="AB217" s="76">
        <f>ROUND(SUM(S217,V217,Y217:Z217,BA217:BB217),2)</f>
        <v/>
      </c>
      <c r="AC217" s="797" t="n"/>
      <c r="AD217" s="192">
        <f t="array" ref="AD217">IFERROR(ROUND((_xlfn.IFS(offer_sale_type="поставка",AB217,offer_sale_type="транзит",S217)*(1+AC217))/E217,2),0)</f>
        <v/>
      </c>
      <c r="AE217" s="76">
        <f>AD217*E217</f>
        <v/>
      </c>
      <c r="AF217" s="193">
        <f t="array" ref="AF217">IFERROR(ROUND(_xlfn.IFS(offer_sale_type="поставка",AB217,offer_sale_type="транзит",S217)*AC217,2),0)</f>
        <v/>
      </c>
      <c r="AG217" s="192">
        <f>$BD217*VLOOKUP($AG$3,$AF$4:$AG$7,2,FALSE)</f>
        <v/>
      </c>
      <c r="AH217" s="76">
        <f>SUM(AE217,AG217,AI217)*rate_forex_risk</f>
        <v/>
      </c>
      <c r="AI217" s="193">
        <f>IF(OR(seller_region="TR",offer_sale_type="экспорт"),0,rate_fin_comm)*SUM(AZ217,AZ217*AW217,T217)</f>
        <v/>
      </c>
      <c r="AJ217" s="118">
        <f>IFERROR(ROUND(SUM(AB217,AF217:AI217)/E217,2),0)</f>
        <v/>
      </c>
      <c r="AK217" s="76">
        <f>AJ217*E217</f>
        <v/>
      </c>
      <c r="AL217" s="174">
        <f>ROUND(IFERROR(AM217*E217,0),2)</f>
        <v/>
      </c>
      <c r="AM217" s="175">
        <f>ROUND(AJ217*(1+IF(offer_incoterms="DDP",IF((TODAY()+offer_turnaround_time)&gt;=helpsheet!$L$17,rate_vatRU_from_26,rate_vatRu_till_25),0)),2)</f>
        <v/>
      </c>
      <c r="AN217" s="192">
        <f>AL217-AK217</f>
        <v/>
      </c>
      <c r="AO217" s="76">
        <f>SUM(AY217,Y217:Z217,T217)*IF(AND(offer_incoterms="DDP",offer_sale_type&lt;&gt;"экспорт"),IF((TODAY()+offer_turnaround_time)&gt;=helpsheet!$L$17,rate_vatRU_from_26,rate_vatRu_till_25),0)</f>
        <v/>
      </c>
      <c r="AP217" s="193">
        <f>AN217-AO217</f>
        <v/>
      </c>
      <c r="AQ217" s="118">
        <f>IF(offer_sale_type="транзит",SUM(AF217:AI217,BA217,BB217),0)</f>
        <v/>
      </c>
      <c r="AR217" s="82">
        <f>HYPERLINK("https://www.alta.ru/tnved/code/")&amp;W217&amp;"/"</f>
        <v/>
      </c>
      <c r="AS217" s="157" t="n"/>
      <c r="AT217" s="162" t="n"/>
      <c r="AU217" s="76">
        <f>IF(ISBLANK(AT217),0,AJ217-AT217)</f>
        <v/>
      </c>
      <c r="AV217" s="157" t="n"/>
      <c r="AW217" s="75">
        <f>_xlfn.IFNA(VLOOKUP(L217,list_vat[],3,FALSE),0)</f>
        <v/>
      </c>
      <c r="AX217" s="76">
        <f>IFERROR(ROUND(S217*(1+AW217)/E217,2),0)</f>
        <v/>
      </c>
      <c r="AY217" s="76">
        <f>E217*AX217</f>
        <v/>
      </c>
      <c r="AZ217" s="192">
        <f>S217*(1+M217)</f>
        <v/>
      </c>
      <c r="BA217" s="76">
        <f>cost_fin_total*$BD217</f>
        <v/>
      </c>
      <c r="BB217" s="193">
        <f>credit_sales_interest*BD217</f>
        <v/>
      </c>
      <c r="BC217" s="102">
        <f>IFERROR(IF($I$13&gt;0,$I217/$I$13,$S217/$S$13),0)</f>
        <v/>
      </c>
      <c r="BD217" s="102">
        <f>IFERROR($S217/$S$13,0)</f>
        <v/>
      </c>
      <c r="BE217" s="413" t="inlineStr">
        <is>
          <t>$</t>
        </is>
      </c>
    </row>
    <row r="218" ht="12" customFormat="1" customHeight="1" s="65">
      <c r="A218" s="43" t="n">
        <v>203</v>
      </c>
      <c r="B218" s="166" t="n"/>
      <c r="C218" s="166" t="n"/>
      <c r="D218" s="166" t="n"/>
      <c r="E218" s="162" t="n"/>
      <c r="F218" s="166" t="n"/>
      <c r="G218" s="162" t="n"/>
      <c r="H218" s="162" t="n"/>
      <c r="I218" s="189">
        <f>E218*G218</f>
        <v/>
      </c>
      <c r="J218" s="195" t="n"/>
      <c r="K218" s="162" t="n"/>
      <c r="L218" s="168" t="n"/>
      <c r="M218" s="75">
        <f>_xlfn.XLOOKUP(L218,list_vat[Страна],list_vat[Ставка НДС %],0,0)</f>
        <v/>
      </c>
      <c r="N218" s="162">
        <f>IFERROR(IF(L218="Китай",K218,K218/(1+M218)),0)</f>
        <v/>
      </c>
      <c r="O218" s="169" t="n"/>
      <c r="P218" s="76">
        <f>N218*(1-O218)</f>
        <v/>
      </c>
      <c r="Q218" s="162" t="n"/>
      <c r="R218" s="162">
        <f>IF(ISBLANK(Q218),"введи курс",P218/Q218)</f>
        <v/>
      </c>
      <c r="S218" s="196">
        <f>IF(AND(ISNUMBER(E218),ISNUMBER(Q218)),E218*R218,0)</f>
        <v/>
      </c>
      <c r="T218" s="192">
        <f>$BC218*V$11</f>
        <v/>
      </c>
      <c r="U218" s="76">
        <f>$BC218*W$11</f>
        <v/>
      </c>
      <c r="V218" s="193">
        <f>+SUM(T218:U218)</f>
        <v/>
      </c>
      <c r="W218" s="191" t="n"/>
      <c r="X218" s="170" t="n"/>
      <c r="Y218" s="76">
        <f>ROUND(IF(offer_incoterms="DDP",X218*(S218*(1+AW218)+T218),0),2)</f>
        <v/>
      </c>
      <c r="Z218" s="188" t="n"/>
      <c r="AA218" s="192">
        <f>IFERROR(AB218/E218,0)</f>
        <v/>
      </c>
      <c r="AB218" s="76">
        <f>ROUND(SUM(S218,V218,Y218:Z218,BA218:BB218),2)</f>
        <v/>
      </c>
      <c r="AC218" s="797" t="n"/>
      <c r="AD218" s="192">
        <f t="array" ref="AD218">IFERROR(ROUND((_xlfn.IFS(offer_sale_type="поставка",AB218,offer_sale_type="транзит",S218)*(1+AC218))/E218,2),0)</f>
        <v/>
      </c>
      <c r="AE218" s="76">
        <f>AD218*E218</f>
        <v/>
      </c>
      <c r="AF218" s="193">
        <f t="array" ref="AF218">IFERROR(ROUND(_xlfn.IFS(offer_sale_type="поставка",AB218,offer_sale_type="транзит",S218)*AC218,2),0)</f>
        <v/>
      </c>
      <c r="AG218" s="192">
        <f>$BD218*VLOOKUP($AG$3,$AF$4:$AG$7,2,FALSE)</f>
        <v/>
      </c>
      <c r="AH218" s="76">
        <f>SUM(AE218,AG218,AI218)*rate_forex_risk</f>
        <v/>
      </c>
      <c r="AI218" s="193">
        <f>IF(OR(seller_region="TR",offer_sale_type="экспорт"),0,rate_fin_comm)*SUM(AZ218,AZ218*AW218,T218)</f>
        <v/>
      </c>
      <c r="AJ218" s="118">
        <f>IFERROR(ROUND(SUM(AB218,AF218:AI218)/E218,2),0)</f>
        <v/>
      </c>
      <c r="AK218" s="76">
        <f>AJ218*E218</f>
        <v/>
      </c>
      <c r="AL218" s="174">
        <f>ROUND(IFERROR(AM218*E218,0),2)</f>
        <v/>
      </c>
      <c r="AM218" s="175">
        <f>ROUND(AJ218*(1+IF(offer_incoterms="DDP",IF((TODAY()+offer_turnaround_time)&gt;=helpsheet!$L$17,rate_vatRU_from_26,rate_vatRu_till_25),0)),2)</f>
        <v/>
      </c>
      <c r="AN218" s="192">
        <f>AL218-AK218</f>
        <v/>
      </c>
      <c r="AO218" s="76">
        <f>SUM(AY218,Y218:Z218,T218)*IF(AND(offer_incoterms="DDP",offer_sale_type&lt;&gt;"экспорт"),IF((TODAY()+offer_turnaround_time)&gt;=helpsheet!$L$17,rate_vatRU_from_26,rate_vatRu_till_25),0)</f>
        <v/>
      </c>
      <c r="AP218" s="193">
        <f>AN218-AO218</f>
        <v/>
      </c>
      <c r="AQ218" s="118">
        <f>IF(offer_sale_type="транзит",SUM(AF218:AI218,BA218,BB218),0)</f>
        <v/>
      </c>
      <c r="AR218" s="82">
        <f>HYPERLINK("https://www.alta.ru/tnved/code/")&amp;W218&amp;"/"</f>
        <v/>
      </c>
      <c r="AS218" s="157" t="n"/>
      <c r="AT218" s="162" t="n"/>
      <c r="AU218" s="76">
        <f>IF(ISBLANK(AT218),0,AJ218-AT218)</f>
        <v/>
      </c>
      <c r="AV218" s="157" t="n"/>
      <c r="AW218" s="75">
        <f>_xlfn.IFNA(VLOOKUP(L218,list_vat[],3,FALSE),0)</f>
        <v/>
      </c>
      <c r="AX218" s="76">
        <f>IFERROR(ROUND(S218*(1+AW218)/E218,2),0)</f>
        <v/>
      </c>
      <c r="AY218" s="76">
        <f>E218*AX218</f>
        <v/>
      </c>
      <c r="AZ218" s="192">
        <f>S218*(1+M218)</f>
        <v/>
      </c>
      <c r="BA218" s="76">
        <f>cost_fin_total*$BD218</f>
        <v/>
      </c>
      <c r="BB218" s="193">
        <f>credit_sales_interest*BD218</f>
        <v/>
      </c>
      <c r="BC218" s="102">
        <f>IFERROR(IF($I$13&gt;0,$I218/$I$13,$S218/$S$13),0)</f>
        <v/>
      </c>
      <c r="BD218" s="102">
        <f>IFERROR($S218/$S$13,0)</f>
        <v/>
      </c>
      <c r="BE218" s="413" t="inlineStr">
        <is>
          <t>$</t>
        </is>
      </c>
    </row>
    <row r="219" ht="12" customFormat="1" customHeight="1" s="65">
      <c r="A219" s="43" t="n">
        <v>204</v>
      </c>
      <c r="B219" s="166" t="n"/>
      <c r="C219" s="166" t="n"/>
      <c r="D219" s="166" t="n"/>
      <c r="E219" s="162" t="n"/>
      <c r="F219" s="166" t="n"/>
      <c r="G219" s="162" t="n"/>
      <c r="H219" s="162" t="n"/>
      <c r="I219" s="189">
        <f>E219*G219</f>
        <v/>
      </c>
      <c r="J219" s="195" t="n"/>
      <c r="K219" s="162" t="n"/>
      <c r="L219" s="168" t="n"/>
      <c r="M219" s="75">
        <f>_xlfn.XLOOKUP(L219,list_vat[Страна],list_vat[Ставка НДС %],0,0)</f>
        <v/>
      </c>
      <c r="N219" s="162">
        <f>IFERROR(IF(L219="Китай",K219,K219/(1+M219)),0)</f>
        <v/>
      </c>
      <c r="O219" s="169" t="n"/>
      <c r="P219" s="76">
        <f>N219*(1-O219)</f>
        <v/>
      </c>
      <c r="Q219" s="162" t="n"/>
      <c r="R219" s="162">
        <f>IF(ISBLANK(Q219),"введи курс",P219/Q219)</f>
        <v/>
      </c>
      <c r="S219" s="196">
        <f>IF(AND(ISNUMBER(E219),ISNUMBER(Q219)),E219*R219,0)</f>
        <v/>
      </c>
      <c r="T219" s="192">
        <f>$BC219*V$11</f>
        <v/>
      </c>
      <c r="U219" s="76">
        <f>$BC219*W$11</f>
        <v/>
      </c>
      <c r="V219" s="193">
        <f>+SUM(T219:U219)</f>
        <v/>
      </c>
      <c r="W219" s="191" t="n"/>
      <c r="X219" s="170" t="n"/>
      <c r="Y219" s="76">
        <f>ROUND(IF(offer_incoterms="DDP",X219*(S219*(1+AW219)+T219),0),2)</f>
        <v/>
      </c>
      <c r="Z219" s="188" t="n"/>
      <c r="AA219" s="192">
        <f>IFERROR(AB219/E219,0)</f>
        <v/>
      </c>
      <c r="AB219" s="76">
        <f>ROUND(SUM(S219,V219,Y219:Z219,BA219:BB219),2)</f>
        <v/>
      </c>
      <c r="AC219" s="797" t="n"/>
      <c r="AD219" s="192">
        <f t="array" ref="AD219">IFERROR(ROUND((_xlfn.IFS(offer_sale_type="поставка",AB219,offer_sale_type="транзит",S219)*(1+AC219))/E219,2),0)</f>
        <v/>
      </c>
      <c r="AE219" s="76">
        <f>AD219*E219</f>
        <v/>
      </c>
      <c r="AF219" s="193">
        <f t="array" ref="AF219">IFERROR(ROUND(_xlfn.IFS(offer_sale_type="поставка",AB219,offer_sale_type="транзит",S219)*AC219,2),0)</f>
        <v/>
      </c>
      <c r="AG219" s="192">
        <f>$BD219*VLOOKUP($AG$3,$AF$4:$AG$7,2,FALSE)</f>
        <v/>
      </c>
      <c r="AH219" s="76">
        <f>SUM(AE219,AG219,AI219)*rate_forex_risk</f>
        <v/>
      </c>
      <c r="AI219" s="193">
        <f>IF(OR(seller_region="TR",offer_sale_type="экспорт"),0,rate_fin_comm)*SUM(AZ219,AZ219*AW219,T219)</f>
        <v/>
      </c>
      <c r="AJ219" s="118">
        <f>IFERROR(ROUND(SUM(AB219,AF219:AI219)/E219,2),0)</f>
        <v/>
      </c>
      <c r="AK219" s="76">
        <f>AJ219*E219</f>
        <v/>
      </c>
      <c r="AL219" s="174">
        <f>ROUND(IFERROR(AM219*E219,0),2)</f>
        <v/>
      </c>
      <c r="AM219" s="175">
        <f>ROUND(AJ219*(1+IF(offer_incoterms="DDP",IF((TODAY()+offer_turnaround_time)&gt;=helpsheet!$L$17,rate_vatRU_from_26,rate_vatRu_till_25),0)),2)</f>
        <v/>
      </c>
      <c r="AN219" s="192">
        <f>AL219-AK219</f>
        <v/>
      </c>
      <c r="AO219" s="76">
        <f>SUM(AY219,Y219:Z219,T219)*IF(AND(offer_incoterms="DDP",offer_sale_type&lt;&gt;"экспорт"),IF((TODAY()+offer_turnaround_time)&gt;=helpsheet!$L$17,rate_vatRU_from_26,rate_vatRu_till_25),0)</f>
        <v/>
      </c>
      <c r="AP219" s="193">
        <f>AN219-AO219</f>
        <v/>
      </c>
      <c r="AQ219" s="118">
        <f>IF(offer_sale_type="транзит",SUM(AF219:AI219,BA219,BB219),0)</f>
        <v/>
      </c>
      <c r="AR219" s="82">
        <f>HYPERLINK("https://www.alta.ru/tnved/code/")&amp;W219&amp;"/"</f>
        <v/>
      </c>
      <c r="AS219" s="157" t="n"/>
      <c r="AT219" s="162" t="n"/>
      <c r="AU219" s="76">
        <f>IF(ISBLANK(AT219),0,AJ219-AT219)</f>
        <v/>
      </c>
      <c r="AV219" s="157" t="n"/>
      <c r="AW219" s="75">
        <f>_xlfn.IFNA(VLOOKUP(L219,list_vat[],3,FALSE),0)</f>
        <v/>
      </c>
      <c r="AX219" s="76">
        <f>IFERROR(ROUND(S219*(1+AW219)/E219,2),0)</f>
        <v/>
      </c>
      <c r="AY219" s="76">
        <f>E219*AX219</f>
        <v/>
      </c>
      <c r="AZ219" s="192">
        <f>S219*(1+M219)</f>
        <v/>
      </c>
      <c r="BA219" s="76">
        <f>cost_fin_total*$BD219</f>
        <v/>
      </c>
      <c r="BB219" s="193">
        <f>credit_sales_interest*BD219</f>
        <v/>
      </c>
      <c r="BC219" s="102">
        <f>IFERROR(IF($I$13&gt;0,$I219/$I$13,$S219/$S$13),0)</f>
        <v/>
      </c>
      <c r="BD219" s="102">
        <f>IFERROR($S219/$S$13,0)</f>
        <v/>
      </c>
      <c r="BE219" s="413" t="inlineStr">
        <is>
          <t>$</t>
        </is>
      </c>
    </row>
    <row r="220" ht="12" customFormat="1" customHeight="1" s="65">
      <c r="A220" s="43" t="n">
        <v>205</v>
      </c>
      <c r="B220" s="166" t="n"/>
      <c r="C220" s="166" t="n"/>
      <c r="D220" s="166" t="n"/>
      <c r="E220" s="162" t="n"/>
      <c r="F220" s="166" t="n"/>
      <c r="G220" s="162" t="n"/>
      <c r="H220" s="162" t="n"/>
      <c r="I220" s="189">
        <f>E220*G220</f>
        <v/>
      </c>
      <c r="J220" s="195" t="n"/>
      <c r="K220" s="162" t="n"/>
      <c r="L220" s="168" t="n"/>
      <c r="M220" s="75">
        <f>_xlfn.XLOOKUP(L220,list_vat[Страна],list_vat[Ставка НДС %],0,0)</f>
        <v/>
      </c>
      <c r="N220" s="162">
        <f>IFERROR(IF(L220="Китай",K220,K220/(1+M220)),0)</f>
        <v/>
      </c>
      <c r="O220" s="169" t="n"/>
      <c r="P220" s="76">
        <f>N220*(1-O220)</f>
        <v/>
      </c>
      <c r="Q220" s="162" t="n"/>
      <c r="R220" s="162">
        <f>IF(ISBLANK(Q220),"введи курс",P220/Q220)</f>
        <v/>
      </c>
      <c r="S220" s="196">
        <f>IF(AND(ISNUMBER(E220),ISNUMBER(Q220)),E220*R220,0)</f>
        <v/>
      </c>
      <c r="T220" s="192">
        <f>$BC220*V$11</f>
        <v/>
      </c>
      <c r="U220" s="76">
        <f>$BC220*W$11</f>
        <v/>
      </c>
      <c r="V220" s="193">
        <f>+SUM(T220:U220)</f>
        <v/>
      </c>
      <c r="W220" s="191" t="n"/>
      <c r="X220" s="170" t="n"/>
      <c r="Y220" s="76">
        <f>ROUND(IF(offer_incoterms="DDP",X220*(S220*(1+AW220)+T220),0),2)</f>
        <v/>
      </c>
      <c r="Z220" s="188" t="n"/>
      <c r="AA220" s="192">
        <f>IFERROR(AB220/E220,0)</f>
        <v/>
      </c>
      <c r="AB220" s="76">
        <f>ROUND(SUM(S220,V220,Y220:Z220,BA220:BB220),2)</f>
        <v/>
      </c>
      <c r="AC220" s="797" t="n"/>
      <c r="AD220" s="192">
        <f t="array" ref="AD220">IFERROR(ROUND((_xlfn.IFS(offer_sale_type="поставка",AB220,offer_sale_type="транзит",S220)*(1+AC220))/E220,2),0)</f>
        <v/>
      </c>
      <c r="AE220" s="76">
        <f>AD220*E220</f>
        <v/>
      </c>
      <c r="AF220" s="193">
        <f t="array" ref="AF220">IFERROR(ROUND(_xlfn.IFS(offer_sale_type="поставка",AB220,offer_sale_type="транзит",S220)*AC220,2),0)</f>
        <v/>
      </c>
      <c r="AG220" s="192">
        <f>$BD220*VLOOKUP($AG$3,$AF$4:$AG$7,2,FALSE)</f>
        <v/>
      </c>
      <c r="AH220" s="76">
        <f>SUM(AE220,AG220,AI220)*rate_forex_risk</f>
        <v/>
      </c>
      <c r="AI220" s="193">
        <f>IF(OR(seller_region="TR",offer_sale_type="экспорт"),0,rate_fin_comm)*SUM(AZ220,AZ220*AW220,T220)</f>
        <v/>
      </c>
      <c r="AJ220" s="118">
        <f>IFERROR(ROUND(SUM(AB220,AF220:AI220)/E220,2),0)</f>
        <v/>
      </c>
      <c r="AK220" s="76">
        <f>AJ220*E220</f>
        <v/>
      </c>
      <c r="AL220" s="174">
        <f>ROUND(IFERROR(AM220*E220,0),2)</f>
        <v/>
      </c>
      <c r="AM220" s="175">
        <f>ROUND(AJ220*(1+IF(offer_incoterms="DDP",IF((TODAY()+offer_turnaround_time)&gt;=helpsheet!$L$17,rate_vatRU_from_26,rate_vatRu_till_25),0)),2)</f>
        <v/>
      </c>
      <c r="AN220" s="192">
        <f>AL220-AK220</f>
        <v/>
      </c>
      <c r="AO220" s="76">
        <f>SUM(AY220,Y220:Z220,T220)*IF(AND(offer_incoterms="DDP",offer_sale_type&lt;&gt;"экспорт"),IF((TODAY()+offer_turnaround_time)&gt;=helpsheet!$L$17,rate_vatRU_from_26,rate_vatRu_till_25),0)</f>
        <v/>
      </c>
      <c r="AP220" s="193">
        <f>AN220-AO220</f>
        <v/>
      </c>
      <c r="AQ220" s="118">
        <f>IF(offer_sale_type="транзит",SUM(AF220:AI220,BA220,BB220),0)</f>
        <v/>
      </c>
      <c r="AR220" s="82">
        <f>HYPERLINK("https://www.alta.ru/tnved/code/")&amp;W220&amp;"/"</f>
        <v/>
      </c>
      <c r="AS220" s="157" t="n"/>
      <c r="AT220" s="162" t="n"/>
      <c r="AU220" s="76">
        <f>IF(ISBLANK(AT220),0,AJ220-AT220)</f>
        <v/>
      </c>
      <c r="AV220" s="157" t="n"/>
      <c r="AW220" s="75">
        <f>_xlfn.IFNA(VLOOKUP(L220,list_vat[],3,FALSE),0)</f>
        <v/>
      </c>
      <c r="AX220" s="76">
        <f>IFERROR(ROUND(S220*(1+AW220)/E220,2),0)</f>
        <v/>
      </c>
      <c r="AY220" s="76">
        <f>E220*AX220</f>
        <v/>
      </c>
      <c r="AZ220" s="192">
        <f>S220*(1+M220)</f>
        <v/>
      </c>
      <c r="BA220" s="76">
        <f>cost_fin_total*$BD220</f>
        <v/>
      </c>
      <c r="BB220" s="193">
        <f>credit_sales_interest*BD220</f>
        <v/>
      </c>
      <c r="BC220" s="102">
        <f>IFERROR(IF($I$13&gt;0,$I220/$I$13,$S220/$S$13),0)</f>
        <v/>
      </c>
      <c r="BD220" s="102">
        <f>IFERROR($S220/$S$13,0)</f>
        <v/>
      </c>
      <c r="BE220" s="413" t="inlineStr">
        <is>
          <t>$</t>
        </is>
      </c>
    </row>
    <row r="221" ht="12" customFormat="1" customHeight="1" s="65">
      <c r="A221" s="43" t="n">
        <v>206</v>
      </c>
      <c r="B221" s="166" t="n"/>
      <c r="C221" s="166" t="n"/>
      <c r="D221" s="166" t="n"/>
      <c r="E221" s="162" t="n"/>
      <c r="F221" s="166" t="n"/>
      <c r="G221" s="162" t="n"/>
      <c r="H221" s="162" t="n"/>
      <c r="I221" s="189">
        <f>E221*G221</f>
        <v/>
      </c>
      <c r="J221" s="195" t="n"/>
      <c r="K221" s="162" t="n"/>
      <c r="L221" s="168" t="n"/>
      <c r="M221" s="75">
        <f>_xlfn.XLOOKUP(L221,list_vat[Страна],list_vat[Ставка НДС %],0,0)</f>
        <v/>
      </c>
      <c r="N221" s="162">
        <f>IFERROR(IF(L221="Китай",K221,K221/(1+M221)),0)</f>
        <v/>
      </c>
      <c r="O221" s="169" t="n"/>
      <c r="P221" s="76">
        <f>N221*(1-O221)</f>
        <v/>
      </c>
      <c r="Q221" s="162" t="n"/>
      <c r="R221" s="162">
        <f>IF(ISBLANK(Q221),"введи курс",P221/Q221)</f>
        <v/>
      </c>
      <c r="S221" s="196">
        <f>IF(AND(ISNUMBER(E221),ISNUMBER(Q221)),E221*R221,0)</f>
        <v/>
      </c>
      <c r="T221" s="192">
        <f>$BC221*V$11</f>
        <v/>
      </c>
      <c r="U221" s="76">
        <f>$BC221*W$11</f>
        <v/>
      </c>
      <c r="V221" s="193">
        <f>+SUM(T221:U221)</f>
        <v/>
      </c>
      <c r="W221" s="191" t="n"/>
      <c r="X221" s="170" t="n"/>
      <c r="Y221" s="76">
        <f>ROUND(IF(offer_incoterms="DDP",X221*(S221*(1+AW221)+T221),0),2)</f>
        <v/>
      </c>
      <c r="Z221" s="188" t="n"/>
      <c r="AA221" s="192">
        <f>IFERROR(AB221/E221,0)</f>
        <v/>
      </c>
      <c r="AB221" s="76">
        <f>ROUND(SUM(S221,V221,Y221:Z221,BA221:BB221),2)</f>
        <v/>
      </c>
      <c r="AC221" s="797" t="n"/>
      <c r="AD221" s="192">
        <f t="array" ref="AD221">IFERROR(ROUND((_xlfn.IFS(offer_sale_type="поставка",AB221,offer_sale_type="транзит",S221)*(1+AC221))/E221,2),0)</f>
        <v/>
      </c>
      <c r="AE221" s="76">
        <f>AD221*E221</f>
        <v/>
      </c>
      <c r="AF221" s="193">
        <f t="array" ref="AF221">IFERROR(ROUND(_xlfn.IFS(offer_sale_type="поставка",AB221,offer_sale_type="транзит",S221)*AC221,2),0)</f>
        <v/>
      </c>
      <c r="AG221" s="192">
        <f>$BD221*VLOOKUP($AG$3,$AF$4:$AG$7,2,FALSE)</f>
        <v/>
      </c>
      <c r="AH221" s="76">
        <f>SUM(AE221,AG221,AI221)*rate_forex_risk</f>
        <v/>
      </c>
      <c r="AI221" s="193">
        <f>IF(OR(seller_region="TR",offer_sale_type="экспорт"),0,rate_fin_comm)*SUM(AZ221,AZ221*AW221,T221)</f>
        <v/>
      </c>
      <c r="AJ221" s="118">
        <f>IFERROR(ROUND(SUM(AB221,AF221:AI221)/E221,2),0)</f>
        <v/>
      </c>
      <c r="AK221" s="76">
        <f>AJ221*E221</f>
        <v/>
      </c>
      <c r="AL221" s="174">
        <f>ROUND(IFERROR(AM221*E221,0),2)</f>
        <v/>
      </c>
      <c r="AM221" s="175">
        <f>ROUND(AJ221*(1+IF(offer_incoterms="DDP",IF((TODAY()+offer_turnaround_time)&gt;=helpsheet!$L$17,rate_vatRU_from_26,rate_vatRu_till_25),0)),2)</f>
        <v/>
      </c>
      <c r="AN221" s="192">
        <f>AL221-AK221</f>
        <v/>
      </c>
      <c r="AO221" s="76">
        <f>SUM(AY221,Y221:Z221,T221)*IF(AND(offer_incoterms="DDP",offer_sale_type&lt;&gt;"экспорт"),IF((TODAY()+offer_turnaround_time)&gt;=helpsheet!$L$17,rate_vatRU_from_26,rate_vatRu_till_25),0)</f>
        <v/>
      </c>
      <c r="AP221" s="193">
        <f>AN221-AO221</f>
        <v/>
      </c>
      <c r="AQ221" s="118">
        <f>IF(offer_sale_type="транзит",SUM(AF221:AI221,BA221,BB221),0)</f>
        <v/>
      </c>
      <c r="AR221" s="82">
        <f>HYPERLINK("https://www.alta.ru/tnved/code/")&amp;W221&amp;"/"</f>
        <v/>
      </c>
      <c r="AS221" s="157" t="n"/>
      <c r="AT221" s="162" t="n"/>
      <c r="AU221" s="76">
        <f>IF(ISBLANK(AT221),0,AJ221-AT221)</f>
        <v/>
      </c>
      <c r="AV221" s="157" t="n"/>
      <c r="AW221" s="75">
        <f>_xlfn.IFNA(VLOOKUP(L221,list_vat[],3,FALSE),0)</f>
        <v/>
      </c>
      <c r="AX221" s="76">
        <f>IFERROR(ROUND(S221*(1+AW221)/E221,2),0)</f>
        <v/>
      </c>
      <c r="AY221" s="76">
        <f>E221*AX221</f>
        <v/>
      </c>
      <c r="AZ221" s="192">
        <f>S221*(1+M221)</f>
        <v/>
      </c>
      <c r="BA221" s="76">
        <f>cost_fin_total*$BD221</f>
        <v/>
      </c>
      <c r="BB221" s="193">
        <f>credit_sales_interest*BD221</f>
        <v/>
      </c>
      <c r="BC221" s="102">
        <f>IFERROR(IF($I$13&gt;0,$I221/$I$13,$S221/$S$13),0)</f>
        <v/>
      </c>
      <c r="BD221" s="102">
        <f>IFERROR($S221/$S$13,0)</f>
        <v/>
      </c>
      <c r="BE221" s="413" t="inlineStr">
        <is>
          <t>$</t>
        </is>
      </c>
    </row>
    <row r="222" ht="12" customFormat="1" customHeight="1" s="65">
      <c r="A222" s="43" t="n">
        <v>207</v>
      </c>
      <c r="B222" s="166" t="n"/>
      <c r="C222" s="166" t="n"/>
      <c r="D222" s="166" t="n"/>
      <c r="E222" s="162" t="n"/>
      <c r="F222" s="166" t="n"/>
      <c r="G222" s="162" t="n"/>
      <c r="H222" s="162" t="n"/>
      <c r="I222" s="189">
        <f>E222*G222</f>
        <v/>
      </c>
      <c r="J222" s="195" t="n"/>
      <c r="K222" s="162" t="n"/>
      <c r="L222" s="168" t="n"/>
      <c r="M222" s="75">
        <f>_xlfn.XLOOKUP(L222,list_vat[Страна],list_vat[Ставка НДС %],0,0)</f>
        <v/>
      </c>
      <c r="N222" s="162">
        <f>IFERROR(IF(L222="Китай",K222,K222/(1+M222)),0)</f>
        <v/>
      </c>
      <c r="O222" s="169" t="n"/>
      <c r="P222" s="76">
        <f>N222*(1-O222)</f>
        <v/>
      </c>
      <c r="Q222" s="162" t="n"/>
      <c r="R222" s="162">
        <f>IF(ISBLANK(Q222),"введи курс",P222/Q222)</f>
        <v/>
      </c>
      <c r="S222" s="196">
        <f>IF(AND(ISNUMBER(E222),ISNUMBER(Q222)),E222*R222,0)</f>
        <v/>
      </c>
      <c r="T222" s="192">
        <f>$BC222*V$11</f>
        <v/>
      </c>
      <c r="U222" s="76">
        <f>$BC222*W$11</f>
        <v/>
      </c>
      <c r="V222" s="193">
        <f>+SUM(T222:U222)</f>
        <v/>
      </c>
      <c r="W222" s="191" t="n"/>
      <c r="X222" s="170" t="n"/>
      <c r="Y222" s="76">
        <f>ROUND(IF(offer_incoterms="DDP",X222*(S222*(1+AW222)+T222),0),2)</f>
        <v/>
      </c>
      <c r="Z222" s="188" t="n"/>
      <c r="AA222" s="192">
        <f>IFERROR(AB222/E222,0)</f>
        <v/>
      </c>
      <c r="AB222" s="76">
        <f>ROUND(SUM(S222,V222,Y222:Z222,BA222:BB222),2)</f>
        <v/>
      </c>
      <c r="AC222" s="797" t="n"/>
      <c r="AD222" s="192">
        <f t="array" ref="AD222">IFERROR(ROUND((_xlfn.IFS(offer_sale_type="поставка",AB222,offer_sale_type="транзит",S222)*(1+AC222))/E222,2),0)</f>
        <v/>
      </c>
      <c r="AE222" s="76">
        <f>AD222*E222</f>
        <v/>
      </c>
      <c r="AF222" s="193">
        <f t="array" ref="AF222">IFERROR(ROUND(_xlfn.IFS(offer_sale_type="поставка",AB222,offer_sale_type="транзит",S222)*AC222,2),0)</f>
        <v/>
      </c>
      <c r="AG222" s="192">
        <f>$BD222*VLOOKUP($AG$3,$AF$4:$AG$7,2,FALSE)</f>
        <v/>
      </c>
      <c r="AH222" s="76">
        <f>SUM(AE222,AG222,AI222)*rate_forex_risk</f>
        <v/>
      </c>
      <c r="AI222" s="193">
        <f>IF(OR(seller_region="TR",offer_sale_type="экспорт"),0,rate_fin_comm)*SUM(AZ222,AZ222*AW222,T222)</f>
        <v/>
      </c>
      <c r="AJ222" s="118">
        <f>IFERROR(ROUND(SUM(AB222,AF222:AI222)/E222,2),0)</f>
        <v/>
      </c>
      <c r="AK222" s="76">
        <f>AJ222*E222</f>
        <v/>
      </c>
      <c r="AL222" s="174">
        <f>ROUND(IFERROR(AM222*E222,0),2)</f>
        <v/>
      </c>
      <c r="AM222" s="175">
        <f>ROUND(AJ222*(1+IF(offer_incoterms="DDP",IF((TODAY()+offer_turnaround_time)&gt;=helpsheet!$L$17,rate_vatRU_from_26,rate_vatRu_till_25),0)),2)</f>
        <v/>
      </c>
      <c r="AN222" s="192">
        <f>AL222-AK222</f>
        <v/>
      </c>
      <c r="AO222" s="76">
        <f>SUM(AY222,Y222:Z222,T222)*IF(AND(offer_incoterms="DDP",offer_sale_type&lt;&gt;"экспорт"),IF((TODAY()+offer_turnaround_time)&gt;=helpsheet!$L$17,rate_vatRU_from_26,rate_vatRu_till_25),0)</f>
        <v/>
      </c>
      <c r="AP222" s="193">
        <f>AN222-AO222</f>
        <v/>
      </c>
      <c r="AQ222" s="118">
        <f>IF(offer_sale_type="транзит",SUM(AF222:AI222,BA222,BB222),0)</f>
        <v/>
      </c>
      <c r="AR222" s="82">
        <f>HYPERLINK("https://www.alta.ru/tnved/code/")&amp;W222&amp;"/"</f>
        <v/>
      </c>
      <c r="AS222" s="157" t="n"/>
      <c r="AT222" s="162" t="n"/>
      <c r="AU222" s="76">
        <f>IF(ISBLANK(AT222),0,AJ222-AT222)</f>
        <v/>
      </c>
      <c r="AV222" s="157" t="n"/>
      <c r="AW222" s="75">
        <f>_xlfn.IFNA(VLOOKUP(L222,list_vat[],3,FALSE),0)</f>
        <v/>
      </c>
      <c r="AX222" s="76">
        <f>IFERROR(ROUND(S222*(1+AW222)/E222,2),0)</f>
        <v/>
      </c>
      <c r="AY222" s="76">
        <f>E222*AX222</f>
        <v/>
      </c>
      <c r="AZ222" s="192">
        <f>S222*(1+M222)</f>
        <v/>
      </c>
      <c r="BA222" s="76">
        <f>cost_fin_total*$BD222</f>
        <v/>
      </c>
      <c r="BB222" s="193">
        <f>credit_sales_interest*BD222</f>
        <v/>
      </c>
      <c r="BC222" s="102">
        <f>IFERROR(IF($I$13&gt;0,$I222/$I$13,$S222/$S$13),0)</f>
        <v/>
      </c>
      <c r="BD222" s="102">
        <f>IFERROR($S222/$S$13,0)</f>
        <v/>
      </c>
      <c r="BE222" s="413" t="inlineStr">
        <is>
          <t>$</t>
        </is>
      </c>
    </row>
    <row r="223" ht="12" customFormat="1" customHeight="1" s="65">
      <c r="A223" s="43" t="n">
        <v>208</v>
      </c>
      <c r="B223" s="166" t="n"/>
      <c r="C223" s="166" t="n"/>
      <c r="D223" s="166" t="n"/>
      <c r="E223" s="162" t="n"/>
      <c r="F223" s="166" t="n"/>
      <c r="G223" s="162" t="n"/>
      <c r="H223" s="162" t="n"/>
      <c r="I223" s="189">
        <f>E223*G223</f>
        <v/>
      </c>
      <c r="J223" s="195" t="n"/>
      <c r="K223" s="162" t="n"/>
      <c r="L223" s="168" t="n"/>
      <c r="M223" s="75">
        <f>_xlfn.XLOOKUP(L223,list_vat[Страна],list_vat[Ставка НДС %],0,0)</f>
        <v/>
      </c>
      <c r="N223" s="162">
        <f>IFERROR(IF(L223="Китай",K223,K223/(1+M223)),0)</f>
        <v/>
      </c>
      <c r="O223" s="169" t="n"/>
      <c r="P223" s="76">
        <f>N223*(1-O223)</f>
        <v/>
      </c>
      <c r="Q223" s="162" t="n"/>
      <c r="R223" s="162">
        <f>IF(ISBLANK(Q223),"введи курс",P223/Q223)</f>
        <v/>
      </c>
      <c r="S223" s="196">
        <f>IF(AND(ISNUMBER(E223),ISNUMBER(Q223)),E223*R223,0)</f>
        <v/>
      </c>
      <c r="T223" s="192">
        <f>$BC223*V$11</f>
        <v/>
      </c>
      <c r="U223" s="76">
        <f>$BC223*W$11</f>
        <v/>
      </c>
      <c r="V223" s="193">
        <f>+SUM(T223:U223)</f>
        <v/>
      </c>
      <c r="W223" s="191" t="n"/>
      <c r="X223" s="170" t="n"/>
      <c r="Y223" s="76">
        <f>ROUND(IF(offer_incoterms="DDP",X223*(S223*(1+AW223)+T223),0),2)</f>
        <v/>
      </c>
      <c r="Z223" s="188" t="n"/>
      <c r="AA223" s="192">
        <f>IFERROR(AB223/E223,0)</f>
        <v/>
      </c>
      <c r="AB223" s="76">
        <f>ROUND(SUM(S223,V223,Y223:Z223,BA223:BB223),2)</f>
        <v/>
      </c>
      <c r="AC223" s="797" t="n"/>
      <c r="AD223" s="192">
        <f t="array" ref="AD223">IFERROR(ROUND((_xlfn.IFS(offer_sale_type="поставка",AB223,offer_sale_type="транзит",S223)*(1+AC223))/E223,2),0)</f>
        <v/>
      </c>
      <c r="AE223" s="76">
        <f>AD223*E223</f>
        <v/>
      </c>
      <c r="AF223" s="193">
        <f t="array" ref="AF223">IFERROR(ROUND(_xlfn.IFS(offer_sale_type="поставка",AB223,offer_sale_type="транзит",S223)*AC223,2),0)</f>
        <v/>
      </c>
      <c r="AG223" s="192">
        <f>$BD223*VLOOKUP($AG$3,$AF$4:$AG$7,2,FALSE)</f>
        <v/>
      </c>
      <c r="AH223" s="76">
        <f>SUM(AE223,AG223,AI223)*rate_forex_risk</f>
        <v/>
      </c>
      <c r="AI223" s="193">
        <f>IF(OR(seller_region="TR",offer_sale_type="экспорт"),0,rate_fin_comm)*SUM(AZ223,AZ223*AW223,T223)</f>
        <v/>
      </c>
      <c r="AJ223" s="118">
        <f>IFERROR(ROUND(SUM(AB223,AF223:AI223)/E223,2),0)</f>
        <v/>
      </c>
      <c r="AK223" s="76">
        <f>AJ223*E223</f>
        <v/>
      </c>
      <c r="AL223" s="174">
        <f>ROUND(IFERROR(AM223*E223,0),2)</f>
        <v/>
      </c>
      <c r="AM223" s="175">
        <f>ROUND(AJ223*(1+IF(offer_incoterms="DDP",IF((TODAY()+offer_turnaround_time)&gt;=helpsheet!$L$17,rate_vatRU_from_26,rate_vatRu_till_25),0)),2)</f>
        <v/>
      </c>
      <c r="AN223" s="192">
        <f>AL223-AK223</f>
        <v/>
      </c>
      <c r="AO223" s="76">
        <f>SUM(AY223,Y223:Z223,T223)*IF(AND(offer_incoterms="DDP",offer_sale_type&lt;&gt;"экспорт"),IF((TODAY()+offer_turnaround_time)&gt;=helpsheet!$L$17,rate_vatRU_from_26,rate_vatRu_till_25),0)</f>
        <v/>
      </c>
      <c r="AP223" s="193">
        <f>AN223-AO223</f>
        <v/>
      </c>
      <c r="AQ223" s="118">
        <f>IF(offer_sale_type="транзит",SUM(AF223:AI223,BA223,BB223),0)</f>
        <v/>
      </c>
      <c r="AR223" s="82">
        <f>HYPERLINK("https://www.alta.ru/tnved/code/")&amp;W223&amp;"/"</f>
        <v/>
      </c>
      <c r="AS223" s="157" t="n"/>
      <c r="AT223" s="162" t="n"/>
      <c r="AU223" s="76">
        <f>IF(ISBLANK(AT223),0,AJ223-AT223)</f>
        <v/>
      </c>
      <c r="AV223" s="157" t="n"/>
      <c r="AW223" s="75">
        <f>_xlfn.IFNA(VLOOKUP(L223,list_vat[],3,FALSE),0)</f>
        <v/>
      </c>
      <c r="AX223" s="76">
        <f>IFERROR(ROUND(S223*(1+AW223)/E223,2),0)</f>
        <v/>
      </c>
      <c r="AY223" s="76">
        <f>E223*AX223</f>
        <v/>
      </c>
      <c r="AZ223" s="192">
        <f>S223*(1+M223)</f>
        <v/>
      </c>
      <c r="BA223" s="76">
        <f>cost_fin_total*$BD223</f>
        <v/>
      </c>
      <c r="BB223" s="193">
        <f>credit_sales_interest*BD223</f>
        <v/>
      </c>
      <c r="BC223" s="102">
        <f>IFERROR(IF($I$13&gt;0,$I223/$I$13,$S223/$S$13),0)</f>
        <v/>
      </c>
      <c r="BD223" s="102">
        <f>IFERROR($S223/$S$13,0)</f>
        <v/>
      </c>
      <c r="BE223" s="413" t="inlineStr">
        <is>
          <t>$</t>
        </is>
      </c>
    </row>
    <row r="224" ht="12" customFormat="1" customHeight="1" s="65">
      <c r="A224" s="43" t="n">
        <v>209</v>
      </c>
      <c r="B224" s="166" t="n"/>
      <c r="C224" s="166" t="n"/>
      <c r="D224" s="166" t="n"/>
      <c r="E224" s="162" t="n"/>
      <c r="F224" s="166" t="n"/>
      <c r="G224" s="162" t="n"/>
      <c r="H224" s="162" t="n"/>
      <c r="I224" s="189">
        <f>E224*G224</f>
        <v/>
      </c>
      <c r="J224" s="195" t="n"/>
      <c r="K224" s="162" t="n"/>
      <c r="L224" s="168" t="n"/>
      <c r="M224" s="75">
        <f>_xlfn.XLOOKUP(L224,list_vat[Страна],list_vat[Ставка НДС %],0,0)</f>
        <v/>
      </c>
      <c r="N224" s="162">
        <f>IFERROR(IF(L224="Китай",K224,K224/(1+M224)),0)</f>
        <v/>
      </c>
      <c r="O224" s="169" t="n"/>
      <c r="P224" s="76">
        <f>N224*(1-O224)</f>
        <v/>
      </c>
      <c r="Q224" s="162" t="n"/>
      <c r="R224" s="162">
        <f>IF(ISBLANK(Q224),"введи курс",P224/Q224)</f>
        <v/>
      </c>
      <c r="S224" s="196">
        <f>IF(AND(ISNUMBER(E224),ISNUMBER(Q224)),E224*R224,0)</f>
        <v/>
      </c>
      <c r="T224" s="192">
        <f>$BC224*V$11</f>
        <v/>
      </c>
      <c r="U224" s="76">
        <f>$BC224*W$11</f>
        <v/>
      </c>
      <c r="V224" s="193">
        <f>+SUM(T224:U224)</f>
        <v/>
      </c>
      <c r="W224" s="191" t="n"/>
      <c r="X224" s="170" t="n"/>
      <c r="Y224" s="76">
        <f>ROUND(IF(offer_incoterms="DDP",X224*(S224*(1+AW224)+T224),0),2)</f>
        <v/>
      </c>
      <c r="Z224" s="188" t="n"/>
      <c r="AA224" s="192">
        <f>IFERROR(AB224/E224,0)</f>
        <v/>
      </c>
      <c r="AB224" s="76">
        <f>ROUND(SUM(S224,V224,Y224:Z224,BA224:BB224),2)</f>
        <v/>
      </c>
      <c r="AC224" s="797" t="n"/>
      <c r="AD224" s="192">
        <f t="array" ref="AD224">IFERROR(ROUND((_xlfn.IFS(offer_sale_type="поставка",AB224,offer_sale_type="транзит",S224)*(1+AC224))/E224,2),0)</f>
        <v/>
      </c>
      <c r="AE224" s="76">
        <f>AD224*E224</f>
        <v/>
      </c>
      <c r="AF224" s="193">
        <f t="array" ref="AF224">IFERROR(ROUND(_xlfn.IFS(offer_sale_type="поставка",AB224,offer_sale_type="транзит",S224)*AC224,2),0)</f>
        <v/>
      </c>
      <c r="AG224" s="192">
        <f>$BD224*VLOOKUP($AG$3,$AF$4:$AG$7,2,FALSE)</f>
        <v/>
      </c>
      <c r="AH224" s="76">
        <f>SUM(AE224,AG224,AI224)*rate_forex_risk</f>
        <v/>
      </c>
      <c r="AI224" s="193">
        <f>IF(OR(seller_region="TR",offer_sale_type="экспорт"),0,rate_fin_comm)*SUM(AZ224,AZ224*AW224,T224)</f>
        <v/>
      </c>
      <c r="AJ224" s="118">
        <f>IFERROR(ROUND(SUM(AB224,AF224:AI224)/E224,2),0)</f>
        <v/>
      </c>
      <c r="AK224" s="76">
        <f>AJ224*E224</f>
        <v/>
      </c>
      <c r="AL224" s="174">
        <f>ROUND(IFERROR(AM224*E224,0),2)</f>
        <v/>
      </c>
      <c r="AM224" s="175">
        <f>ROUND(AJ224*(1+IF(offer_incoterms="DDP",IF((TODAY()+offer_turnaround_time)&gt;=helpsheet!$L$17,rate_vatRU_from_26,rate_vatRu_till_25),0)),2)</f>
        <v/>
      </c>
      <c r="AN224" s="192">
        <f>AL224-AK224</f>
        <v/>
      </c>
      <c r="AO224" s="76">
        <f>SUM(AY224,Y224:Z224,T224)*IF(AND(offer_incoterms="DDP",offer_sale_type&lt;&gt;"экспорт"),IF((TODAY()+offer_turnaround_time)&gt;=helpsheet!$L$17,rate_vatRU_from_26,rate_vatRu_till_25),0)</f>
        <v/>
      </c>
      <c r="AP224" s="193">
        <f>AN224-AO224</f>
        <v/>
      </c>
      <c r="AQ224" s="118">
        <f>IF(offer_sale_type="транзит",SUM(AF224:AI224,BA224,BB224),0)</f>
        <v/>
      </c>
      <c r="AR224" s="82">
        <f>HYPERLINK("https://www.alta.ru/tnved/code/")&amp;W224&amp;"/"</f>
        <v/>
      </c>
      <c r="AS224" s="157" t="n"/>
      <c r="AT224" s="162" t="n"/>
      <c r="AU224" s="76">
        <f>IF(ISBLANK(AT224),0,AJ224-AT224)</f>
        <v/>
      </c>
      <c r="AV224" s="157" t="n"/>
      <c r="AW224" s="75">
        <f>_xlfn.IFNA(VLOOKUP(L224,list_vat[],3,FALSE),0)</f>
        <v/>
      </c>
      <c r="AX224" s="76">
        <f>IFERROR(ROUND(S224*(1+AW224)/E224,2),0)</f>
        <v/>
      </c>
      <c r="AY224" s="76">
        <f>E224*AX224</f>
        <v/>
      </c>
      <c r="AZ224" s="192">
        <f>S224*(1+M224)</f>
        <v/>
      </c>
      <c r="BA224" s="76">
        <f>cost_fin_total*$BD224</f>
        <v/>
      </c>
      <c r="BB224" s="193">
        <f>credit_sales_interest*BD224</f>
        <v/>
      </c>
      <c r="BC224" s="102">
        <f>IFERROR(IF($I$13&gt;0,$I224/$I$13,$S224/$S$13),0)</f>
        <v/>
      </c>
      <c r="BD224" s="102">
        <f>IFERROR($S224/$S$13,0)</f>
        <v/>
      </c>
      <c r="BE224" s="413" t="inlineStr">
        <is>
          <t>$</t>
        </is>
      </c>
    </row>
    <row r="225" ht="12" customFormat="1" customHeight="1" s="65">
      <c r="A225" s="43" t="n">
        <v>210</v>
      </c>
      <c r="B225" s="166" t="n"/>
      <c r="C225" s="166" t="n"/>
      <c r="D225" s="166" t="n"/>
      <c r="E225" s="162" t="n"/>
      <c r="F225" s="166" t="n"/>
      <c r="G225" s="162" t="n"/>
      <c r="H225" s="162" t="n"/>
      <c r="I225" s="189">
        <f>E225*G225</f>
        <v/>
      </c>
      <c r="J225" s="195" t="n"/>
      <c r="K225" s="162" t="n"/>
      <c r="L225" s="168" t="n"/>
      <c r="M225" s="75">
        <f>_xlfn.XLOOKUP(L225,list_vat[Страна],list_vat[Ставка НДС %],0,0)</f>
        <v/>
      </c>
      <c r="N225" s="162">
        <f>IFERROR(IF(L225="Китай",K225,K225/(1+M225)),0)</f>
        <v/>
      </c>
      <c r="O225" s="169" t="n"/>
      <c r="P225" s="76">
        <f>N225*(1-O225)</f>
        <v/>
      </c>
      <c r="Q225" s="162" t="n"/>
      <c r="R225" s="162">
        <f>IF(ISBLANK(Q225),"введи курс",P225/Q225)</f>
        <v/>
      </c>
      <c r="S225" s="196">
        <f>IF(AND(ISNUMBER(E225),ISNUMBER(Q225)),E225*R225,0)</f>
        <v/>
      </c>
      <c r="T225" s="192">
        <f>$BC225*V$11</f>
        <v/>
      </c>
      <c r="U225" s="76">
        <f>$BC225*W$11</f>
        <v/>
      </c>
      <c r="V225" s="193">
        <f>+SUM(T225:U225)</f>
        <v/>
      </c>
      <c r="W225" s="191" t="n"/>
      <c r="X225" s="170" t="n"/>
      <c r="Y225" s="76">
        <f>ROUND(IF(offer_incoterms="DDP",X225*(S225*(1+AW225)+T225),0),2)</f>
        <v/>
      </c>
      <c r="Z225" s="188" t="n"/>
      <c r="AA225" s="192">
        <f>IFERROR(AB225/E225,0)</f>
        <v/>
      </c>
      <c r="AB225" s="76">
        <f>ROUND(SUM(S225,V225,Y225:Z225,BA225:BB225),2)</f>
        <v/>
      </c>
      <c r="AC225" s="797" t="n"/>
      <c r="AD225" s="192">
        <f t="array" ref="AD225">IFERROR(ROUND((_xlfn.IFS(offer_sale_type="поставка",AB225,offer_sale_type="транзит",S225)*(1+AC225))/E225,2),0)</f>
        <v/>
      </c>
      <c r="AE225" s="76">
        <f>AD225*E225</f>
        <v/>
      </c>
      <c r="AF225" s="193">
        <f t="array" ref="AF225">IFERROR(ROUND(_xlfn.IFS(offer_sale_type="поставка",AB225,offer_sale_type="транзит",S225)*AC225,2),0)</f>
        <v/>
      </c>
      <c r="AG225" s="192">
        <f>$BD225*VLOOKUP($AG$3,$AF$4:$AG$7,2,FALSE)</f>
        <v/>
      </c>
      <c r="AH225" s="76">
        <f>SUM(AE225,AG225,AI225)*rate_forex_risk</f>
        <v/>
      </c>
      <c r="AI225" s="193">
        <f>IF(OR(seller_region="TR",offer_sale_type="экспорт"),0,rate_fin_comm)*SUM(AZ225,AZ225*AW225,T225)</f>
        <v/>
      </c>
      <c r="AJ225" s="118">
        <f>IFERROR(ROUND(SUM(AB225,AF225:AI225)/E225,2),0)</f>
        <v/>
      </c>
      <c r="AK225" s="76">
        <f>AJ225*E225</f>
        <v/>
      </c>
      <c r="AL225" s="174">
        <f>ROUND(IFERROR(AM225*E225,0),2)</f>
        <v/>
      </c>
      <c r="AM225" s="175">
        <f>ROUND(AJ225*(1+IF(offer_incoterms="DDP",IF((TODAY()+offer_turnaround_time)&gt;=helpsheet!$L$17,rate_vatRU_from_26,rate_vatRu_till_25),0)),2)</f>
        <v/>
      </c>
      <c r="AN225" s="192">
        <f>AL225-AK225</f>
        <v/>
      </c>
      <c r="AO225" s="76">
        <f>SUM(AY225,Y225:Z225,T225)*IF(AND(offer_incoterms="DDP",offer_sale_type&lt;&gt;"экспорт"),IF((TODAY()+offer_turnaround_time)&gt;=helpsheet!$L$17,rate_vatRU_from_26,rate_vatRu_till_25),0)</f>
        <v/>
      </c>
      <c r="AP225" s="193">
        <f>AN225-AO225</f>
        <v/>
      </c>
      <c r="AQ225" s="118">
        <f>IF(offer_sale_type="транзит",SUM(AF225:AI225,BA225,BB225),0)</f>
        <v/>
      </c>
      <c r="AR225" s="82">
        <f>HYPERLINK("https://www.alta.ru/tnved/code/")&amp;W225&amp;"/"</f>
        <v/>
      </c>
      <c r="AS225" s="157" t="n"/>
      <c r="AT225" s="162" t="n"/>
      <c r="AU225" s="76">
        <f>IF(ISBLANK(AT225),0,AJ225-AT225)</f>
        <v/>
      </c>
      <c r="AV225" s="157" t="n"/>
      <c r="AW225" s="75">
        <f>_xlfn.IFNA(VLOOKUP(L225,list_vat[],3,FALSE),0)</f>
        <v/>
      </c>
      <c r="AX225" s="76">
        <f>IFERROR(ROUND(S225*(1+AW225)/E225,2),0)</f>
        <v/>
      </c>
      <c r="AY225" s="76">
        <f>E225*AX225</f>
        <v/>
      </c>
      <c r="AZ225" s="192">
        <f>S225*(1+M225)</f>
        <v/>
      </c>
      <c r="BA225" s="76">
        <f>cost_fin_total*$BD225</f>
        <v/>
      </c>
      <c r="BB225" s="193">
        <f>credit_sales_interest*BD225</f>
        <v/>
      </c>
      <c r="BC225" s="102">
        <f>IFERROR(IF($I$13&gt;0,$I225/$I$13,$S225/$S$13),0)</f>
        <v/>
      </c>
      <c r="BD225" s="102">
        <f>IFERROR($S225/$S$13,0)</f>
        <v/>
      </c>
      <c r="BE225" s="413" t="inlineStr">
        <is>
          <t>$</t>
        </is>
      </c>
    </row>
    <row r="226" ht="12" customFormat="1" customHeight="1" s="65">
      <c r="A226" s="43" t="n">
        <v>211</v>
      </c>
      <c r="B226" s="166" t="n"/>
      <c r="C226" s="166" t="n"/>
      <c r="D226" s="166" t="n"/>
      <c r="E226" s="162" t="n"/>
      <c r="F226" s="166" t="n"/>
      <c r="G226" s="162" t="n"/>
      <c r="H226" s="162" t="n"/>
      <c r="I226" s="189">
        <f>E226*G226</f>
        <v/>
      </c>
      <c r="J226" s="195" t="n"/>
      <c r="K226" s="162" t="n"/>
      <c r="L226" s="168" t="n"/>
      <c r="M226" s="75">
        <f>_xlfn.XLOOKUP(L226,list_vat[Страна],list_vat[Ставка НДС %],0,0)</f>
        <v/>
      </c>
      <c r="N226" s="162">
        <f>IFERROR(IF(L226="Китай",K226,K226/(1+M226)),0)</f>
        <v/>
      </c>
      <c r="O226" s="169" t="n"/>
      <c r="P226" s="76">
        <f>N226*(1-O226)</f>
        <v/>
      </c>
      <c r="Q226" s="162" t="n"/>
      <c r="R226" s="162">
        <f>IF(ISBLANK(Q226),"введи курс",P226/Q226)</f>
        <v/>
      </c>
      <c r="S226" s="196">
        <f>IF(AND(ISNUMBER(E226),ISNUMBER(Q226)),E226*R226,0)</f>
        <v/>
      </c>
      <c r="T226" s="192">
        <f>$BC226*V$11</f>
        <v/>
      </c>
      <c r="U226" s="76">
        <f>$BC226*W$11</f>
        <v/>
      </c>
      <c r="V226" s="193">
        <f>+SUM(T226:U226)</f>
        <v/>
      </c>
      <c r="W226" s="191" t="n"/>
      <c r="X226" s="170" t="n"/>
      <c r="Y226" s="76">
        <f>ROUND(IF(offer_incoterms="DDP",X226*(S226*(1+AW226)+T226),0),2)</f>
        <v/>
      </c>
      <c r="Z226" s="188" t="n"/>
      <c r="AA226" s="192">
        <f>IFERROR(AB226/E226,0)</f>
        <v/>
      </c>
      <c r="AB226" s="76">
        <f>ROUND(SUM(S226,V226,Y226:Z226,BA226:BB226),2)</f>
        <v/>
      </c>
      <c r="AC226" s="797" t="n"/>
      <c r="AD226" s="192">
        <f t="array" ref="AD226">IFERROR(ROUND((_xlfn.IFS(offer_sale_type="поставка",AB226,offer_sale_type="транзит",S226)*(1+AC226))/E226,2),0)</f>
        <v/>
      </c>
      <c r="AE226" s="76">
        <f>AD226*E226</f>
        <v/>
      </c>
      <c r="AF226" s="193">
        <f t="array" ref="AF226">IFERROR(ROUND(_xlfn.IFS(offer_sale_type="поставка",AB226,offer_sale_type="транзит",S226)*AC226,2),0)</f>
        <v/>
      </c>
      <c r="AG226" s="192">
        <f>$BD226*VLOOKUP($AG$3,$AF$4:$AG$7,2,FALSE)</f>
        <v/>
      </c>
      <c r="AH226" s="76">
        <f>SUM(AE226,AG226,AI226)*rate_forex_risk</f>
        <v/>
      </c>
      <c r="AI226" s="193">
        <f>IF(OR(seller_region="TR",offer_sale_type="экспорт"),0,rate_fin_comm)*SUM(AZ226,AZ226*AW226,T226)</f>
        <v/>
      </c>
      <c r="AJ226" s="118">
        <f>IFERROR(ROUND(SUM(AB226,AF226:AI226)/E226,2),0)</f>
        <v/>
      </c>
      <c r="AK226" s="76">
        <f>AJ226*E226</f>
        <v/>
      </c>
      <c r="AL226" s="174">
        <f>ROUND(IFERROR(AM226*E226,0),2)</f>
        <v/>
      </c>
      <c r="AM226" s="175">
        <f>ROUND(AJ226*(1+IF(offer_incoterms="DDP",IF((TODAY()+offer_turnaround_time)&gt;=helpsheet!$L$17,rate_vatRU_from_26,rate_vatRu_till_25),0)),2)</f>
        <v/>
      </c>
      <c r="AN226" s="192">
        <f>AL226-AK226</f>
        <v/>
      </c>
      <c r="AO226" s="76">
        <f>SUM(AY226,Y226:Z226,T226)*IF(AND(offer_incoterms="DDP",offer_sale_type&lt;&gt;"экспорт"),IF((TODAY()+offer_turnaround_time)&gt;=helpsheet!$L$17,rate_vatRU_from_26,rate_vatRu_till_25),0)</f>
        <v/>
      </c>
      <c r="AP226" s="193">
        <f>AN226-AO226</f>
        <v/>
      </c>
      <c r="AQ226" s="118">
        <f>IF(offer_sale_type="транзит",SUM(AF226:AI226,BA226,BB226),0)</f>
        <v/>
      </c>
      <c r="AR226" s="82">
        <f>HYPERLINK("https://www.alta.ru/tnved/code/")&amp;W226&amp;"/"</f>
        <v/>
      </c>
      <c r="AS226" s="157" t="n"/>
      <c r="AT226" s="162" t="n"/>
      <c r="AU226" s="76">
        <f>IF(ISBLANK(AT226),0,AJ226-AT226)</f>
        <v/>
      </c>
      <c r="AV226" s="157" t="n"/>
      <c r="AW226" s="75">
        <f>_xlfn.IFNA(VLOOKUP(L226,list_vat[],3,FALSE),0)</f>
        <v/>
      </c>
      <c r="AX226" s="76">
        <f>IFERROR(ROUND(S226*(1+AW226)/E226,2),0)</f>
        <v/>
      </c>
      <c r="AY226" s="76">
        <f>E226*AX226</f>
        <v/>
      </c>
      <c r="AZ226" s="192">
        <f>S226*(1+M226)</f>
        <v/>
      </c>
      <c r="BA226" s="76">
        <f>cost_fin_total*$BD226</f>
        <v/>
      </c>
      <c r="BB226" s="193">
        <f>credit_sales_interest*BD226</f>
        <v/>
      </c>
      <c r="BC226" s="102">
        <f>IFERROR(IF($I$13&gt;0,$I226/$I$13,$S226/$S$13),0)</f>
        <v/>
      </c>
      <c r="BD226" s="102">
        <f>IFERROR($S226/$S$13,0)</f>
        <v/>
      </c>
      <c r="BE226" s="413" t="inlineStr">
        <is>
          <t>$</t>
        </is>
      </c>
    </row>
    <row r="227" ht="12" customFormat="1" customHeight="1" s="65">
      <c r="A227" s="43" t="n">
        <v>212</v>
      </c>
      <c r="B227" s="166" t="n"/>
      <c r="C227" s="166" t="n"/>
      <c r="D227" s="166" t="n"/>
      <c r="E227" s="162" t="n"/>
      <c r="F227" s="166" t="n"/>
      <c r="G227" s="162" t="n"/>
      <c r="H227" s="162" t="n"/>
      <c r="I227" s="189">
        <f>E227*G227</f>
        <v/>
      </c>
      <c r="J227" s="195" t="n"/>
      <c r="K227" s="162" t="n"/>
      <c r="L227" s="168" t="n"/>
      <c r="M227" s="75">
        <f>_xlfn.XLOOKUP(L227,list_vat[Страна],list_vat[Ставка НДС %],0,0)</f>
        <v/>
      </c>
      <c r="N227" s="162">
        <f>IFERROR(IF(L227="Китай",K227,K227/(1+M227)),0)</f>
        <v/>
      </c>
      <c r="O227" s="169" t="n"/>
      <c r="P227" s="76">
        <f>N227*(1-O227)</f>
        <v/>
      </c>
      <c r="Q227" s="162" t="n"/>
      <c r="R227" s="162">
        <f>IF(ISBLANK(Q227),"введи курс",P227/Q227)</f>
        <v/>
      </c>
      <c r="S227" s="196">
        <f>IF(AND(ISNUMBER(E227),ISNUMBER(Q227)),E227*R227,0)</f>
        <v/>
      </c>
      <c r="T227" s="192">
        <f>$BC227*V$11</f>
        <v/>
      </c>
      <c r="U227" s="76">
        <f>$BC227*W$11</f>
        <v/>
      </c>
      <c r="V227" s="193">
        <f>+SUM(T227:U227)</f>
        <v/>
      </c>
      <c r="W227" s="191" t="n"/>
      <c r="X227" s="170" t="n"/>
      <c r="Y227" s="76">
        <f>ROUND(IF(offer_incoterms="DDP",X227*(S227*(1+AW227)+T227),0),2)</f>
        <v/>
      </c>
      <c r="Z227" s="188" t="n"/>
      <c r="AA227" s="192">
        <f>IFERROR(AB227/E227,0)</f>
        <v/>
      </c>
      <c r="AB227" s="76">
        <f>ROUND(SUM(S227,V227,Y227:Z227,BA227:BB227),2)</f>
        <v/>
      </c>
      <c r="AC227" s="797" t="n"/>
      <c r="AD227" s="192">
        <f t="array" ref="AD227">IFERROR(ROUND((_xlfn.IFS(offer_sale_type="поставка",AB227,offer_sale_type="транзит",S227)*(1+AC227))/E227,2),0)</f>
        <v/>
      </c>
      <c r="AE227" s="76">
        <f>AD227*E227</f>
        <v/>
      </c>
      <c r="AF227" s="193">
        <f t="array" ref="AF227">IFERROR(ROUND(_xlfn.IFS(offer_sale_type="поставка",AB227,offer_sale_type="транзит",S227)*AC227,2),0)</f>
        <v/>
      </c>
      <c r="AG227" s="192">
        <f>$BD227*VLOOKUP($AG$3,$AF$4:$AG$7,2,FALSE)</f>
        <v/>
      </c>
      <c r="AH227" s="76">
        <f>SUM(AE227,AG227,AI227)*rate_forex_risk</f>
        <v/>
      </c>
      <c r="AI227" s="193">
        <f>IF(OR(seller_region="TR",offer_sale_type="экспорт"),0,rate_fin_comm)*SUM(AZ227,AZ227*AW227,T227)</f>
        <v/>
      </c>
      <c r="AJ227" s="118">
        <f>IFERROR(ROUND(SUM(AB227,AF227:AI227)/E227,2),0)</f>
        <v/>
      </c>
      <c r="AK227" s="76">
        <f>AJ227*E227</f>
        <v/>
      </c>
      <c r="AL227" s="174">
        <f>ROUND(IFERROR(AM227*E227,0),2)</f>
        <v/>
      </c>
      <c r="AM227" s="175">
        <f>ROUND(AJ227*(1+IF(offer_incoterms="DDP",IF((TODAY()+offer_turnaround_time)&gt;=helpsheet!$L$17,rate_vatRU_from_26,rate_vatRu_till_25),0)),2)</f>
        <v/>
      </c>
      <c r="AN227" s="192">
        <f>AL227-AK227</f>
        <v/>
      </c>
      <c r="AO227" s="76">
        <f>SUM(AY227,Y227:Z227,T227)*IF(AND(offer_incoterms="DDP",offer_sale_type&lt;&gt;"экспорт"),IF((TODAY()+offer_turnaround_time)&gt;=helpsheet!$L$17,rate_vatRU_from_26,rate_vatRu_till_25),0)</f>
        <v/>
      </c>
      <c r="AP227" s="193">
        <f>AN227-AO227</f>
        <v/>
      </c>
      <c r="AQ227" s="118">
        <f>IF(offer_sale_type="транзит",SUM(AF227:AI227,BA227,BB227),0)</f>
        <v/>
      </c>
      <c r="AR227" s="82">
        <f>HYPERLINK("https://www.alta.ru/tnved/code/")&amp;W227&amp;"/"</f>
        <v/>
      </c>
      <c r="AS227" s="157" t="n"/>
      <c r="AT227" s="162" t="n"/>
      <c r="AU227" s="76">
        <f>IF(ISBLANK(AT227),0,AJ227-AT227)</f>
        <v/>
      </c>
      <c r="AV227" s="157" t="n"/>
      <c r="AW227" s="75">
        <f>_xlfn.IFNA(VLOOKUP(L227,list_vat[],3,FALSE),0)</f>
        <v/>
      </c>
      <c r="AX227" s="76">
        <f>IFERROR(ROUND(S227*(1+AW227)/E227,2),0)</f>
        <v/>
      </c>
      <c r="AY227" s="76">
        <f>E227*AX227</f>
        <v/>
      </c>
      <c r="AZ227" s="192">
        <f>S227*(1+M227)</f>
        <v/>
      </c>
      <c r="BA227" s="76">
        <f>cost_fin_total*$BD227</f>
        <v/>
      </c>
      <c r="BB227" s="193">
        <f>credit_sales_interest*BD227</f>
        <v/>
      </c>
      <c r="BC227" s="102">
        <f>IFERROR(IF($I$13&gt;0,$I227/$I$13,$S227/$S$13),0)</f>
        <v/>
      </c>
      <c r="BD227" s="102">
        <f>IFERROR($S227/$S$13,0)</f>
        <v/>
      </c>
      <c r="BE227" s="413" t="inlineStr">
        <is>
          <t>$</t>
        </is>
      </c>
    </row>
    <row r="228" ht="12" customFormat="1" customHeight="1" s="65">
      <c r="A228" s="43" t="n">
        <v>213</v>
      </c>
      <c r="B228" s="166" t="n"/>
      <c r="C228" s="166" t="n"/>
      <c r="D228" s="166" t="n"/>
      <c r="E228" s="162" t="n"/>
      <c r="F228" s="166" t="n"/>
      <c r="G228" s="162" t="n"/>
      <c r="H228" s="162" t="n"/>
      <c r="I228" s="189">
        <f>E228*G228</f>
        <v/>
      </c>
      <c r="J228" s="195" t="n"/>
      <c r="K228" s="162" t="n"/>
      <c r="L228" s="168" t="n"/>
      <c r="M228" s="75">
        <f>_xlfn.XLOOKUP(L228,list_vat[Страна],list_vat[Ставка НДС %],0,0)</f>
        <v/>
      </c>
      <c r="N228" s="162">
        <f>IFERROR(IF(L228="Китай",K228,K228/(1+M228)),0)</f>
        <v/>
      </c>
      <c r="O228" s="169" t="n"/>
      <c r="P228" s="76">
        <f>N228*(1-O228)</f>
        <v/>
      </c>
      <c r="Q228" s="162" t="n"/>
      <c r="R228" s="162">
        <f>IF(ISBLANK(Q228),"введи курс",P228/Q228)</f>
        <v/>
      </c>
      <c r="S228" s="196">
        <f>IF(AND(ISNUMBER(E228),ISNUMBER(Q228)),E228*R228,0)</f>
        <v/>
      </c>
      <c r="T228" s="192">
        <f>$BC228*V$11</f>
        <v/>
      </c>
      <c r="U228" s="76">
        <f>$BC228*W$11</f>
        <v/>
      </c>
      <c r="V228" s="193">
        <f>+SUM(T228:U228)</f>
        <v/>
      </c>
      <c r="W228" s="191" t="n"/>
      <c r="X228" s="170" t="n"/>
      <c r="Y228" s="76">
        <f>ROUND(IF(offer_incoterms="DDP",X228*(S228*(1+AW228)+T228),0),2)</f>
        <v/>
      </c>
      <c r="Z228" s="188" t="n"/>
      <c r="AA228" s="192">
        <f>IFERROR(AB228/E228,0)</f>
        <v/>
      </c>
      <c r="AB228" s="76">
        <f>ROUND(SUM(S228,V228,Y228:Z228,BA228:BB228),2)</f>
        <v/>
      </c>
      <c r="AC228" s="797" t="n"/>
      <c r="AD228" s="192">
        <f t="array" ref="AD228">IFERROR(ROUND((_xlfn.IFS(offer_sale_type="поставка",AB228,offer_sale_type="транзит",S228)*(1+AC228))/E228,2),0)</f>
        <v/>
      </c>
      <c r="AE228" s="76">
        <f>AD228*E228</f>
        <v/>
      </c>
      <c r="AF228" s="193">
        <f t="array" ref="AF228">IFERROR(ROUND(_xlfn.IFS(offer_sale_type="поставка",AB228,offer_sale_type="транзит",S228)*AC228,2),0)</f>
        <v/>
      </c>
      <c r="AG228" s="192">
        <f>$BD228*VLOOKUP($AG$3,$AF$4:$AG$7,2,FALSE)</f>
        <v/>
      </c>
      <c r="AH228" s="76">
        <f>SUM(AE228,AG228,AI228)*rate_forex_risk</f>
        <v/>
      </c>
      <c r="AI228" s="193">
        <f>IF(OR(seller_region="TR",offer_sale_type="экспорт"),0,rate_fin_comm)*SUM(AZ228,AZ228*AW228,T228)</f>
        <v/>
      </c>
      <c r="AJ228" s="118">
        <f>IFERROR(ROUND(SUM(AB228,AF228:AI228)/E228,2),0)</f>
        <v/>
      </c>
      <c r="AK228" s="76">
        <f>AJ228*E228</f>
        <v/>
      </c>
      <c r="AL228" s="174">
        <f>ROUND(IFERROR(AM228*E228,0),2)</f>
        <v/>
      </c>
      <c r="AM228" s="175">
        <f>ROUND(AJ228*(1+IF(offer_incoterms="DDP",IF((TODAY()+offer_turnaround_time)&gt;=helpsheet!$L$17,rate_vatRU_from_26,rate_vatRu_till_25),0)),2)</f>
        <v/>
      </c>
      <c r="AN228" s="192">
        <f>AL228-AK228</f>
        <v/>
      </c>
      <c r="AO228" s="76">
        <f>SUM(AY228,Y228:Z228,T228)*IF(AND(offer_incoterms="DDP",offer_sale_type&lt;&gt;"экспорт"),IF((TODAY()+offer_turnaround_time)&gt;=helpsheet!$L$17,rate_vatRU_from_26,rate_vatRu_till_25),0)</f>
        <v/>
      </c>
      <c r="AP228" s="193">
        <f>AN228-AO228</f>
        <v/>
      </c>
      <c r="AQ228" s="118">
        <f>IF(offer_sale_type="транзит",SUM(AF228:AI228,BA228,BB228),0)</f>
        <v/>
      </c>
      <c r="AR228" s="82">
        <f>HYPERLINK("https://www.alta.ru/tnved/code/")&amp;W228&amp;"/"</f>
        <v/>
      </c>
      <c r="AS228" s="157" t="n"/>
      <c r="AT228" s="162" t="n"/>
      <c r="AU228" s="76">
        <f>IF(ISBLANK(AT228),0,AJ228-AT228)</f>
        <v/>
      </c>
      <c r="AV228" s="157" t="n"/>
      <c r="AW228" s="75">
        <f>_xlfn.IFNA(VLOOKUP(L228,list_vat[],3,FALSE),0)</f>
        <v/>
      </c>
      <c r="AX228" s="76">
        <f>IFERROR(ROUND(S228*(1+AW228)/E228,2),0)</f>
        <v/>
      </c>
      <c r="AY228" s="76">
        <f>E228*AX228</f>
        <v/>
      </c>
      <c r="AZ228" s="192">
        <f>S228*(1+M228)</f>
        <v/>
      </c>
      <c r="BA228" s="76">
        <f>cost_fin_total*$BD228</f>
        <v/>
      </c>
      <c r="BB228" s="193">
        <f>credit_sales_interest*BD228</f>
        <v/>
      </c>
      <c r="BC228" s="102">
        <f>IFERROR(IF($I$13&gt;0,$I228/$I$13,$S228/$S$13),0)</f>
        <v/>
      </c>
      <c r="BD228" s="102">
        <f>IFERROR($S228/$S$13,0)</f>
        <v/>
      </c>
      <c r="BE228" s="413" t="inlineStr">
        <is>
          <t>$</t>
        </is>
      </c>
    </row>
    <row r="229" ht="12" customFormat="1" customHeight="1" s="65">
      <c r="A229" s="43" t="n">
        <v>214</v>
      </c>
      <c r="B229" s="166" t="n"/>
      <c r="C229" s="166" t="n"/>
      <c r="D229" s="166" t="n"/>
      <c r="E229" s="162" t="n"/>
      <c r="F229" s="166" t="n"/>
      <c r="G229" s="162" t="n"/>
      <c r="H229" s="162" t="n"/>
      <c r="I229" s="189">
        <f>E229*G229</f>
        <v/>
      </c>
      <c r="J229" s="195" t="n"/>
      <c r="K229" s="162" t="n"/>
      <c r="L229" s="168" t="n"/>
      <c r="M229" s="75">
        <f>_xlfn.XLOOKUP(L229,list_vat[Страна],list_vat[Ставка НДС %],0,0)</f>
        <v/>
      </c>
      <c r="N229" s="162">
        <f>IFERROR(IF(L229="Китай",K229,K229/(1+M229)),0)</f>
        <v/>
      </c>
      <c r="O229" s="169" t="n"/>
      <c r="P229" s="76">
        <f>N229*(1-O229)</f>
        <v/>
      </c>
      <c r="Q229" s="162" t="n"/>
      <c r="R229" s="162">
        <f>IF(ISBLANK(Q229),"введи курс",P229/Q229)</f>
        <v/>
      </c>
      <c r="S229" s="196">
        <f>IF(AND(ISNUMBER(E229),ISNUMBER(Q229)),E229*R229,0)</f>
        <v/>
      </c>
      <c r="T229" s="192">
        <f>$BC229*V$11</f>
        <v/>
      </c>
      <c r="U229" s="76">
        <f>$BC229*W$11</f>
        <v/>
      </c>
      <c r="V229" s="193">
        <f>+SUM(T229:U229)</f>
        <v/>
      </c>
      <c r="W229" s="191" t="n"/>
      <c r="X229" s="170" t="n"/>
      <c r="Y229" s="76">
        <f>ROUND(IF(offer_incoterms="DDP",X229*(S229*(1+AW229)+T229),0),2)</f>
        <v/>
      </c>
      <c r="Z229" s="188" t="n"/>
      <c r="AA229" s="192">
        <f>IFERROR(AB229/E229,0)</f>
        <v/>
      </c>
      <c r="AB229" s="76">
        <f>ROUND(SUM(S229,V229,Y229:Z229,BA229:BB229),2)</f>
        <v/>
      </c>
      <c r="AC229" s="797" t="n"/>
      <c r="AD229" s="192">
        <f t="array" ref="AD229">IFERROR(ROUND((_xlfn.IFS(offer_sale_type="поставка",AB229,offer_sale_type="транзит",S229)*(1+AC229))/E229,2),0)</f>
        <v/>
      </c>
      <c r="AE229" s="76">
        <f>AD229*E229</f>
        <v/>
      </c>
      <c r="AF229" s="193">
        <f t="array" ref="AF229">IFERROR(ROUND(_xlfn.IFS(offer_sale_type="поставка",AB229,offer_sale_type="транзит",S229)*AC229,2),0)</f>
        <v/>
      </c>
      <c r="AG229" s="192">
        <f>$BD229*VLOOKUP($AG$3,$AF$4:$AG$7,2,FALSE)</f>
        <v/>
      </c>
      <c r="AH229" s="76">
        <f>SUM(AE229,AG229,AI229)*rate_forex_risk</f>
        <v/>
      </c>
      <c r="AI229" s="193">
        <f>IF(OR(seller_region="TR",offer_sale_type="экспорт"),0,rate_fin_comm)*SUM(AZ229,AZ229*AW229,T229)</f>
        <v/>
      </c>
      <c r="AJ229" s="118">
        <f>IFERROR(ROUND(SUM(AB229,AF229:AI229)/E229,2),0)</f>
        <v/>
      </c>
      <c r="AK229" s="76">
        <f>AJ229*E229</f>
        <v/>
      </c>
      <c r="AL229" s="174">
        <f>ROUND(IFERROR(AM229*E229,0),2)</f>
        <v/>
      </c>
      <c r="AM229" s="175">
        <f>ROUND(AJ229*(1+IF(offer_incoterms="DDP",IF((TODAY()+offer_turnaround_time)&gt;=helpsheet!$L$17,rate_vatRU_from_26,rate_vatRu_till_25),0)),2)</f>
        <v/>
      </c>
      <c r="AN229" s="192">
        <f>AL229-AK229</f>
        <v/>
      </c>
      <c r="AO229" s="76">
        <f>SUM(AY229,Y229:Z229,T229)*IF(AND(offer_incoterms="DDP",offer_sale_type&lt;&gt;"экспорт"),IF((TODAY()+offer_turnaround_time)&gt;=helpsheet!$L$17,rate_vatRU_from_26,rate_vatRu_till_25),0)</f>
        <v/>
      </c>
      <c r="AP229" s="193">
        <f>AN229-AO229</f>
        <v/>
      </c>
      <c r="AQ229" s="118">
        <f>IF(offer_sale_type="транзит",SUM(AF229:AI229,BA229,BB229),0)</f>
        <v/>
      </c>
      <c r="AR229" s="82">
        <f>HYPERLINK("https://www.alta.ru/tnved/code/")&amp;W229&amp;"/"</f>
        <v/>
      </c>
      <c r="AS229" s="157" t="n"/>
      <c r="AT229" s="162" t="n"/>
      <c r="AU229" s="76">
        <f>IF(ISBLANK(AT229),0,AJ229-AT229)</f>
        <v/>
      </c>
      <c r="AV229" s="157" t="n"/>
      <c r="AW229" s="75">
        <f>_xlfn.IFNA(VLOOKUP(L229,list_vat[],3,FALSE),0)</f>
        <v/>
      </c>
      <c r="AX229" s="76">
        <f>IFERROR(ROUND(S229*(1+AW229)/E229,2),0)</f>
        <v/>
      </c>
      <c r="AY229" s="76">
        <f>E229*AX229</f>
        <v/>
      </c>
      <c r="AZ229" s="192">
        <f>S229*(1+M229)</f>
        <v/>
      </c>
      <c r="BA229" s="76">
        <f>cost_fin_total*$BD229</f>
        <v/>
      </c>
      <c r="BB229" s="193">
        <f>credit_sales_interest*BD229</f>
        <v/>
      </c>
      <c r="BC229" s="102">
        <f>IFERROR(IF($I$13&gt;0,$I229/$I$13,$S229/$S$13),0)</f>
        <v/>
      </c>
      <c r="BD229" s="102">
        <f>IFERROR($S229/$S$13,0)</f>
        <v/>
      </c>
      <c r="BE229" s="413" t="inlineStr">
        <is>
          <t>$</t>
        </is>
      </c>
    </row>
    <row r="230" ht="12" customFormat="1" customHeight="1" s="65">
      <c r="A230" s="43" t="n">
        <v>215</v>
      </c>
      <c r="B230" s="166" t="n"/>
      <c r="C230" s="166" t="n"/>
      <c r="D230" s="166" t="n"/>
      <c r="E230" s="162" t="n"/>
      <c r="F230" s="166" t="n"/>
      <c r="G230" s="162" t="n"/>
      <c r="H230" s="162" t="n"/>
      <c r="I230" s="189">
        <f>E230*G230</f>
        <v/>
      </c>
      <c r="J230" s="195" t="n"/>
      <c r="K230" s="162" t="n"/>
      <c r="L230" s="168" t="n"/>
      <c r="M230" s="75">
        <f>_xlfn.XLOOKUP(L230,list_vat[Страна],list_vat[Ставка НДС %],0,0)</f>
        <v/>
      </c>
      <c r="N230" s="162">
        <f>IFERROR(IF(L230="Китай",K230,K230/(1+M230)),0)</f>
        <v/>
      </c>
      <c r="O230" s="169" t="n"/>
      <c r="P230" s="76">
        <f>N230*(1-O230)</f>
        <v/>
      </c>
      <c r="Q230" s="162" t="n"/>
      <c r="R230" s="162">
        <f>IF(ISBLANK(Q230),"введи курс",P230/Q230)</f>
        <v/>
      </c>
      <c r="S230" s="196">
        <f>IF(AND(ISNUMBER(E230),ISNUMBER(Q230)),E230*R230,0)</f>
        <v/>
      </c>
      <c r="T230" s="192">
        <f>$BC230*V$11</f>
        <v/>
      </c>
      <c r="U230" s="76">
        <f>$BC230*W$11</f>
        <v/>
      </c>
      <c r="V230" s="193">
        <f>+SUM(T230:U230)</f>
        <v/>
      </c>
      <c r="W230" s="191" t="n"/>
      <c r="X230" s="170" t="n"/>
      <c r="Y230" s="76">
        <f>ROUND(IF(offer_incoterms="DDP",X230*(S230*(1+AW230)+T230),0),2)</f>
        <v/>
      </c>
      <c r="Z230" s="188" t="n"/>
      <c r="AA230" s="192">
        <f>IFERROR(AB230/E230,0)</f>
        <v/>
      </c>
      <c r="AB230" s="76">
        <f>ROUND(SUM(S230,V230,Y230:Z230,BA230:BB230),2)</f>
        <v/>
      </c>
      <c r="AC230" s="797" t="n"/>
      <c r="AD230" s="192">
        <f t="array" ref="AD230">IFERROR(ROUND((_xlfn.IFS(offer_sale_type="поставка",AB230,offer_sale_type="транзит",S230)*(1+AC230))/E230,2),0)</f>
        <v/>
      </c>
      <c r="AE230" s="76">
        <f>AD230*E230</f>
        <v/>
      </c>
      <c r="AF230" s="193">
        <f t="array" ref="AF230">IFERROR(ROUND(_xlfn.IFS(offer_sale_type="поставка",AB230,offer_sale_type="транзит",S230)*AC230,2),0)</f>
        <v/>
      </c>
      <c r="AG230" s="192">
        <f>$BD230*VLOOKUP($AG$3,$AF$4:$AG$7,2,FALSE)</f>
        <v/>
      </c>
      <c r="AH230" s="76">
        <f>SUM(AE230,AG230,AI230)*rate_forex_risk</f>
        <v/>
      </c>
      <c r="AI230" s="193">
        <f>IF(OR(seller_region="TR",offer_sale_type="экспорт"),0,rate_fin_comm)*SUM(AZ230,AZ230*AW230,T230)</f>
        <v/>
      </c>
      <c r="AJ230" s="118">
        <f>IFERROR(ROUND(SUM(AB230,AF230:AI230)/E230,2),0)</f>
        <v/>
      </c>
      <c r="AK230" s="76">
        <f>AJ230*E230</f>
        <v/>
      </c>
      <c r="AL230" s="174">
        <f>ROUND(IFERROR(AM230*E230,0),2)</f>
        <v/>
      </c>
      <c r="AM230" s="175">
        <f>ROUND(AJ230*(1+IF(offer_incoterms="DDP",IF((TODAY()+offer_turnaround_time)&gt;=helpsheet!$L$17,rate_vatRU_from_26,rate_vatRu_till_25),0)),2)</f>
        <v/>
      </c>
      <c r="AN230" s="192">
        <f>AL230-AK230</f>
        <v/>
      </c>
      <c r="AO230" s="76">
        <f>SUM(AY230,Y230:Z230,T230)*IF(AND(offer_incoterms="DDP",offer_sale_type&lt;&gt;"экспорт"),IF((TODAY()+offer_turnaround_time)&gt;=helpsheet!$L$17,rate_vatRU_from_26,rate_vatRu_till_25),0)</f>
        <v/>
      </c>
      <c r="AP230" s="193">
        <f>AN230-AO230</f>
        <v/>
      </c>
      <c r="AQ230" s="118">
        <f>IF(offer_sale_type="транзит",SUM(AF230:AI230,BA230,BB230),0)</f>
        <v/>
      </c>
      <c r="AR230" s="82">
        <f>HYPERLINK("https://www.alta.ru/tnved/code/")&amp;W230&amp;"/"</f>
        <v/>
      </c>
      <c r="AS230" s="157" t="n"/>
      <c r="AT230" s="162" t="n"/>
      <c r="AU230" s="76">
        <f>IF(ISBLANK(AT230),0,AJ230-AT230)</f>
        <v/>
      </c>
      <c r="AV230" s="157" t="n"/>
      <c r="AW230" s="75">
        <f>_xlfn.IFNA(VLOOKUP(L230,list_vat[],3,FALSE),0)</f>
        <v/>
      </c>
      <c r="AX230" s="76">
        <f>IFERROR(ROUND(S230*(1+AW230)/E230,2),0)</f>
        <v/>
      </c>
      <c r="AY230" s="76">
        <f>E230*AX230</f>
        <v/>
      </c>
      <c r="AZ230" s="192">
        <f>S230*(1+M230)</f>
        <v/>
      </c>
      <c r="BA230" s="76">
        <f>cost_fin_total*$BD230</f>
        <v/>
      </c>
      <c r="BB230" s="193">
        <f>credit_sales_interest*BD230</f>
        <v/>
      </c>
      <c r="BC230" s="102">
        <f>IFERROR(IF($I$13&gt;0,$I230/$I$13,$S230/$S$13),0)</f>
        <v/>
      </c>
      <c r="BD230" s="102">
        <f>IFERROR($S230/$S$13,0)</f>
        <v/>
      </c>
      <c r="BE230" s="413" t="inlineStr">
        <is>
          <t>$</t>
        </is>
      </c>
    </row>
    <row r="231" ht="12" customFormat="1" customHeight="1" s="65">
      <c r="A231" s="43" t="n">
        <v>216</v>
      </c>
      <c r="B231" s="166" t="n"/>
      <c r="C231" s="166" t="n"/>
      <c r="D231" s="166" t="n"/>
      <c r="E231" s="162" t="n"/>
      <c r="F231" s="166" t="n"/>
      <c r="G231" s="162" t="n"/>
      <c r="H231" s="162" t="n"/>
      <c r="I231" s="189">
        <f>E231*G231</f>
        <v/>
      </c>
      <c r="J231" s="195" t="n"/>
      <c r="K231" s="162" t="n"/>
      <c r="L231" s="168" t="n"/>
      <c r="M231" s="75">
        <f>_xlfn.XLOOKUP(L231,list_vat[Страна],list_vat[Ставка НДС %],0,0)</f>
        <v/>
      </c>
      <c r="N231" s="162">
        <f>IFERROR(IF(L231="Китай",K231,K231/(1+M231)),0)</f>
        <v/>
      </c>
      <c r="O231" s="169" t="n"/>
      <c r="P231" s="76">
        <f>N231*(1-O231)</f>
        <v/>
      </c>
      <c r="Q231" s="162" t="n"/>
      <c r="R231" s="162">
        <f>IF(ISBLANK(Q231),"введи курс",P231/Q231)</f>
        <v/>
      </c>
      <c r="S231" s="196">
        <f>IF(AND(ISNUMBER(E231),ISNUMBER(Q231)),E231*R231,0)</f>
        <v/>
      </c>
      <c r="T231" s="192">
        <f>$BC231*V$11</f>
        <v/>
      </c>
      <c r="U231" s="76">
        <f>$BC231*W$11</f>
        <v/>
      </c>
      <c r="V231" s="193">
        <f>+SUM(T231:U231)</f>
        <v/>
      </c>
      <c r="W231" s="191" t="n"/>
      <c r="X231" s="170" t="n"/>
      <c r="Y231" s="76">
        <f>ROUND(IF(offer_incoterms="DDP",X231*(S231*(1+AW231)+T231),0),2)</f>
        <v/>
      </c>
      <c r="Z231" s="188" t="n"/>
      <c r="AA231" s="192">
        <f>IFERROR(AB231/E231,0)</f>
        <v/>
      </c>
      <c r="AB231" s="76">
        <f>ROUND(SUM(S231,V231,Y231:Z231,BA231:BB231),2)</f>
        <v/>
      </c>
      <c r="AC231" s="797" t="n"/>
      <c r="AD231" s="192">
        <f t="array" ref="AD231">IFERROR(ROUND((_xlfn.IFS(offer_sale_type="поставка",AB231,offer_sale_type="транзит",S231)*(1+AC231))/E231,2),0)</f>
        <v/>
      </c>
      <c r="AE231" s="76">
        <f>AD231*E231</f>
        <v/>
      </c>
      <c r="AF231" s="193">
        <f t="array" ref="AF231">IFERROR(ROUND(_xlfn.IFS(offer_sale_type="поставка",AB231,offer_sale_type="транзит",S231)*AC231,2),0)</f>
        <v/>
      </c>
      <c r="AG231" s="192">
        <f>$BD231*VLOOKUP($AG$3,$AF$4:$AG$7,2,FALSE)</f>
        <v/>
      </c>
      <c r="AH231" s="76">
        <f>SUM(AE231,AG231,AI231)*rate_forex_risk</f>
        <v/>
      </c>
      <c r="AI231" s="193">
        <f>IF(OR(seller_region="TR",offer_sale_type="экспорт"),0,rate_fin_comm)*SUM(AZ231,AZ231*AW231,T231)</f>
        <v/>
      </c>
      <c r="AJ231" s="118">
        <f>IFERROR(ROUND(SUM(AB231,AF231:AI231)/E231,2),0)</f>
        <v/>
      </c>
      <c r="AK231" s="76">
        <f>AJ231*E231</f>
        <v/>
      </c>
      <c r="AL231" s="174">
        <f>ROUND(IFERROR(AM231*E231,0),2)</f>
        <v/>
      </c>
      <c r="AM231" s="175">
        <f>ROUND(AJ231*(1+IF(offer_incoterms="DDP",IF((TODAY()+offer_turnaround_time)&gt;=helpsheet!$L$17,rate_vatRU_from_26,rate_vatRu_till_25),0)),2)</f>
        <v/>
      </c>
      <c r="AN231" s="192">
        <f>AL231-AK231</f>
        <v/>
      </c>
      <c r="AO231" s="76">
        <f>SUM(AY231,Y231:Z231,T231)*IF(AND(offer_incoterms="DDP",offer_sale_type&lt;&gt;"экспорт"),IF((TODAY()+offer_turnaround_time)&gt;=helpsheet!$L$17,rate_vatRU_from_26,rate_vatRu_till_25),0)</f>
        <v/>
      </c>
      <c r="AP231" s="193">
        <f>AN231-AO231</f>
        <v/>
      </c>
      <c r="AQ231" s="118">
        <f>IF(offer_sale_type="транзит",SUM(AF231:AI231,BA231,BB231),0)</f>
        <v/>
      </c>
      <c r="AR231" s="82">
        <f>HYPERLINK("https://www.alta.ru/tnved/code/")&amp;W231&amp;"/"</f>
        <v/>
      </c>
      <c r="AS231" s="157" t="n"/>
      <c r="AT231" s="162" t="n"/>
      <c r="AU231" s="76">
        <f>IF(ISBLANK(AT231),0,AJ231-AT231)</f>
        <v/>
      </c>
      <c r="AV231" s="157" t="n"/>
      <c r="AW231" s="75">
        <f>_xlfn.IFNA(VLOOKUP(L231,list_vat[],3,FALSE),0)</f>
        <v/>
      </c>
      <c r="AX231" s="76">
        <f>IFERROR(ROUND(S231*(1+AW231)/E231,2),0)</f>
        <v/>
      </c>
      <c r="AY231" s="76">
        <f>E231*AX231</f>
        <v/>
      </c>
      <c r="AZ231" s="192">
        <f>S231*(1+M231)</f>
        <v/>
      </c>
      <c r="BA231" s="76">
        <f>cost_fin_total*$BD231</f>
        <v/>
      </c>
      <c r="BB231" s="193">
        <f>credit_sales_interest*BD231</f>
        <v/>
      </c>
      <c r="BC231" s="102">
        <f>IFERROR(IF($I$13&gt;0,$I231/$I$13,$S231/$S$13),0)</f>
        <v/>
      </c>
      <c r="BD231" s="102">
        <f>IFERROR($S231/$S$13,0)</f>
        <v/>
      </c>
      <c r="BE231" s="413" t="inlineStr">
        <is>
          <t>$</t>
        </is>
      </c>
    </row>
    <row r="232" ht="12" customFormat="1" customHeight="1" s="65">
      <c r="A232" s="43" t="n">
        <v>217</v>
      </c>
      <c r="B232" s="166" t="n"/>
      <c r="C232" s="166" t="n"/>
      <c r="D232" s="166" t="n"/>
      <c r="E232" s="162" t="n"/>
      <c r="F232" s="166" t="n"/>
      <c r="G232" s="162" t="n"/>
      <c r="H232" s="162" t="n"/>
      <c r="I232" s="189">
        <f>E232*G232</f>
        <v/>
      </c>
      <c r="J232" s="195" t="n"/>
      <c r="K232" s="162" t="n"/>
      <c r="L232" s="168" t="n"/>
      <c r="M232" s="75">
        <f>_xlfn.XLOOKUP(L232,list_vat[Страна],list_vat[Ставка НДС %],0,0)</f>
        <v/>
      </c>
      <c r="N232" s="162">
        <f>IFERROR(IF(L232="Китай",K232,K232/(1+M232)),0)</f>
        <v/>
      </c>
      <c r="O232" s="169" t="n"/>
      <c r="P232" s="76">
        <f>N232*(1-O232)</f>
        <v/>
      </c>
      <c r="Q232" s="162" t="n"/>
      <c r="R232" s="162">
        <f>IF(ISBLANK(Q232),"введи курс",P232/Q232)</f>
        <v/>
      </c>
      <c r="S232" s="196">
        <f>IF(AND(ISNUMBER(E232),ISNUMBER(Q232)),E232*R232,0)</f>
        <v/>
      </c>
      <c r="T232" s="192">
        <f>$BC232*V$11</f>
        <v/>
      </c>
      <c r="U232" s="76">
        <f>$BC232*W$11</f>
        <v/>
      </c>
      <c r="V232" s="193">
        <f>+SUM(T232:U232)</f>
        <v/>
      </c>
      <c r="W232" s="191" t="n"/>
      <c r="X232" s="170" t="n"/>
      <c r="Y232" s="76">
        <f>ROUND(IF(offer_incoterms="DDP",X232*(S232*(1+AW232)+T232),0),2)</f>
        <v/>
      </c>
      <c r="Z232" s="188" t="n"/>
      <c r="AA232" s="192">
        <f>IFERROR(AB232/E232,0)</f>
        <v/>
      </c>
      <c r="AB232" s="76">
        <f>ROUND(SUM(S232,V232,Y232:Z232,BA232:BB232),2)</f>
        <v/>
      </c>
      <c r="AC232" s="797" t="n"/>
      <c r="AD232" s="192">
        <f t="array" ref="AD232">IFERROR(ROUND((_xlfn.IFS(offer_sale_type="поставка",AB232,offer_sale_type="транзит",S232)*(1+AC232))/E232,2),0)</f>
        <v/>
      </c>
      <c r="AE232" s="76">
        <f>AD232*E232</f>
        <v/>
      </c>
      <c r="AF232" s="193">
        <f t="array" ref="AF232">IFERROR(ROUND(_xlfn.IFS(offer_sale_type="поставка",AB232,offer_sale_type="транзит",S232)*AC232,2),0)</f>
        <v/>
      </c>
      <c r="AG232" s="192">
        <f>$BD232*VLOOKUP($AG$3,$AF$4:$AG$7,2,FALSE)</f>
        <v/>
      </c>
      <c r="AH232" s="76">
        <f>SUM(AE232,AG232,AI232)*rate_forex_risk</f>
        <v/>
      </c>
      <c r="AI232" s="193">
        <f>IF(OR(seller_region="TR",offer_sale_type="экспорт"),0,rate_fin_comm)*SUM(AZ232,AZ232*AW232,T232)</f>
        <v/>
      </c>
      <c r="AJ232" s="118">
        <f>IFERROR(ROUND(SUM(AB232,AF232:AI232)/E232,2),0)</f>
        <v/>
      </c>
      <c r="AK232" s="76">
        <f>AJ232*E232</f>
        <v/>
      </c>
      <c r="AL232" s="174">
        <f>ROUND(IFERROR(AM232*E232,0),2)</f>
        <v/>
      </c>
      <c r="AM232" s="175">
        <f>ROUND(AJ232*(1+IF(offer_incoterms="DDP",IF((TODAY()+offer_turnaround_time)&gt;=helpsheet!$L$17,rate_vatRU_from_26,rate_vatRu_till_25),0)),2)</f>
        <v/>
      </c>
      <c r="AN232" s="192">
        <f>AL232-AK232</f>
        <v/>
      </c>
      <c r="AO232" s="76">
        <f>SUM(AY232,Y232:Z232,T232)*IF(AND(offer_incoterms="DDP",offer_sale_type&lt;&gt;"экспорт"),IF((TODAY()+offer_turnaround_time)&gt;=helpsheet!$L$17,rate_vatRU_from_26,rate_vatRu_till_25),0)</f>
        <v/>
      </c>
      <c r="AP232" s="193">
        <f>AN232-AO232</f>
        <v/>
      </c>
      <c r="AQ232" s="118">
        <f>IF(offer_sale_type="транзит",SUM(AF232:AI232,BA232,BB232),0)</f>
        <v/>
      </c>
      <c r="AR232" s="82">
        <f>HYPERLINK("https://www.alta.ru/tnved/code/")&amp;W232&amp;"/"</f>
        <v/>
      </c>
      <c r="AS232" s="157" t="n"/>
      <c r="AT232" s="162" t="n"/>
      <c r="AU232" s="76">
        <f>IF(ISBLANK(AT232),0,AJ232-AT232)</f>
        <v/>
      </c>
      <c r="AV232" s="157" t="n"/>
      <c r="AW232" s="75">
        <f>_xlfn.IFNA(VLOOKUP(L232,list_vat[],3,FALSE),0)</f>
        <v/>
      </c>
      <c r="AX232" s="76">
        <f>IFERROR(ROUND(S232*(1+AW232)/E232,2),0)</f>
        <v/>
      </c>
      <c r="AY232" s="76">
        <f>E232*AX232</f>
        <v/>
      </c>
      <c r="AZ232" s="192">
        <f>S232*(1+M232)</f>
        <v/>
      </c>
      <c r="BA232" s="76">
        <f>cost_fin_total*$BD232</f>
        <v/>
      </c>
      <c r="BB232" s="193">
        <f>credit_sales_interest*BD232</f>
        <v/>
      </c>
      <c r="BC232" s="102">
        <f>IFERROR(IF($I$13&gt;0,$I232/$I$13,$S232/$S$13),0)</f>
        <v/>
      </c>
      <c r="BD232" s="102">
        <f>IFERROR($S232/$S$13,0)</f>
        <v/>
      </c>
      <c r="BE232" s="413" t="inlineStr">
        <is>
          <t>$</t>
        </is>
      </c>
    </row>
    <row r="233" ht="12" customFormat="1" customHeight="1" s="65">
      <c r="A233" s="43" t="n">
        <v>218</v>
      </c>
      <c r="B233" s="166" t="n"/>
      <c r="C233" s="166" t="n"/>
      <c r="D233" s="166" t="n"/>
      <c r="E233" s="162" t="n"/>
      <c r="F233" s="166" t="n"/>
      <c r="G233" s="162" t="n"/>
      <c r="H233" s="162" t="n"/>
      <c r="I233" s="189">
        <f>E233*G233</f>
        <v/>
      </c>
      <c r="J233" s="195" t="n"/>
      <c r="K233" s="162" t="n"/>
      <c r="L233" s="168" t="n"/>
      <c r="M233" s="75">
        <f>_xlfn.XLOOKUP(L233,list_vat[Страна],list_vat[Ставка НДС %],0,0)</f>
        <v/>
      </c>
      <c r="N233" s="162">
        <f>IFERROR(IF(L233="Китай",K233,K233/(1+M233)),0)</f>
        <v/>
      </c>
      <c r="O233" s="169" t="n"/>
      <c r="P233" s="76">
        <f>N233*(1-O233)</f>
        <v/>
      </c>
      <c r="Q233" s="162" t="n"/>
      <c r="R233" s="162">
        <f>IF(ISBLANK(Q233),"введи курс",P233/Q233)</f>
        <v/>
      </c>
      <c r="S233" s="196">
        <f>IF(AND(ISNUMBER(E233),ISNUMBER(Q233)),E233*R233,0)</f>
        <v/>
      </c>
      <c r="T233" s="192">
        <f>$BC233*V$11</f>
        <v/>
      </c>
      <c r="U233" s="76">
        <f>$BC233*W$11</f>
        <v/>
      </c>
      <c r="V233" s="193">
        <f>+SUM(T233:U233)</f>
        <v/>
      </c>
      <c r="W233" s="191" t="n"/>
      <c r="X233" s="170" t="n"/>
      <c r="Y233" s="76">
        <f>ROUND(IF(offer_incoterms="DDP",X233*(S233*(1+AW233)+T233),0),2)</f>
        <v/>
      </c>
      <c r="Z233" s="188" t="n"/>
      <c r="AA233" s="192">
        <f>IFERROR(AB233/E233,0)</f>
        <v/>
      </c>
      <c r="AB233" s="76">
        <f>ROUND(SUM(S233,V233,Y233:Z233,BA233:BB233),2)</f>
        <v/>
      </c>
      <c r="AC233" s="797" t="n"/>
      <c r="AD233" s="192">
        <f t="array" ref="AD233">IFERROR(ROUND((_xlfn.IFS(offer_sale_type="поставка",AB233,offer_sale_type="транзит",S233)*(1+AC233))/E233,2),0)</f>
        <v/>
      </c>
      <c r="AE233" s="76">
        <f>AD233*E233</f>
        <v/>
      </c>
      <c r="AF233" s="193">
        <f t="array" ref="AF233">IFERROR(ROUND(_xlfn.IFS(offer_sale_type="поставка",AB233,offer_sale_type="транзит",S233)*AC233,2),0)</f>
        <v/>
      </c>
      <c r="AG233" s="192">
        <f>$BD233*VLOOKUP($AG$3,$AF$4:$AG$7,2,FALSE)</f>
        <v/>
      </c>
      <c r="AH233" s="76">
        <f>SUM(AE233,AG233,AI233)*rate_forex_risk</f>
        <v/>
      </c>
      <c r="AI233" s="193">
        <f>IF(OR(seller_region="TR",offer_sale_type="экспорт"),0,rate_fin_comm)*SUM(AZ233,AZ233*AW233,T233)</f>
        <v/>
      </c>
      <c r="AJ233" s="118">
        <f>IFERROR(ROUND(SUM(AB233,AF233:AI233)/E233,2),0)</f>
        <v/>
      </c>
      <c r="AK233" s="76">
        <f>AJ233*E233</f>
        <v/>
      </c>
      <c r="AL233" s="174">
        <f>ROUND(IFERROR(AM233*E233,0),2)</f>
        <v/>
      </c>
      <c r="AM233" s="175">
        <f>ROUND(AJ233*(1+IF(offer_incoterms="DDP",IF((TODAY()+offer_turnaround_time)&gt;=helpsheet!$L$17,rate_vatRU_from_26,rate_vatRu_till_25),0)),2)</f>
        <v/>
      </c>
      <c r="AN233" s="192">
        <f>AL233-AK233</f>
        <v/>
      </c>
      <c r="AO233" s="76">
        <f>SUM(AY233,Y233:Z233,T233)*IF(AND(offer_incoterms="DDP",offer_sale_type&lt;&gt;"экспорт"),IF((TODAY()+offer_turnaround_time)&gt;=helpsheet!$L$17,rate_vatRU_from_26,rate_vatRu_till_25),0)</f>
        <v/>
      </c>
      <c r="AP233" s="193">
        <f>AN233-AO233</f>
        <v/>
      </c>
      <c r="AQ233" s="118">
        <f>IF(offer_sale_type="транзит",SUM(AF233:AI233,BA233,BB233),0)</f>
        <v/>
      </c>
      <c r="AR233" s="82">
        <f>HYPERLINK("https://www.alta.ru/tnved/code/")&amp;W233&amp;"/"</f>
        <v/>
      </c>
      <c r="AS233" s="157" t="n"/>
      <c r="AT233" s="162" t="n"/>
      <c r="AU233" s="76">
        <f>IF(ISBLANK(AT233),0,AJ233-AT233)</f>
        <v/>
      </c>
      <c r="AV233" s="157" t="n"/>
      <c r="AW233" s="75">
        <f>_xlfn.IFNA(VLOOKUP(L233,list_vat[],3,FALSE),0)</f>
        <v/>
      </c>
      <c r="AX233" s="76">
        <f>IFERROR(ROUND(S233*(1+AW233)/E233,2),0)</f>
        <v/>
      </c>
      <c r="AY233" s="76">
        <f>E233*AX233</f>
        <v/>
      </c>
      <c r="AZ233" s="192">
        <f>S233*(1+M233)</f>
        <v/>
      </c>
      <c r="BA233" s="76">
        <f>cost_fin_total*$BD233</f>
        <v/>
      </c>
      <c r="BB233" s="193">
        <f>credit_sales_interest*BD233</f>
        <v/>
      </c>
      <c r="BC233" s="102">
        <f>IFERROR(IF($I$13&gt;0,$I233/$I$13,$S233/$S$13),0)</f>
        <v/>
      </c>
      <c r="BD233" s="102">
        <f>IFERROR($S233/$S$13,0)</f>
        <v/>
      </c>
      <c r="BE233" s="413" t="inlineStr">
        <is>
          <t>$</t>
        </is>
      </c>
    </row>
    <row r="234" ht="12" customFormat="1" customHeight="1" s="65">
      <c r="A234" s="43" t="n">
        <v>219</v>
      </c>
      <c r="B234" s="166" t="n"/>
      <c r="C234" s="166" t="n"/>
      <c r="D234" s="166" t="n"/>
      <c r="E234" s="162" t="n"/>
      <c r="F234" s="166" t="n"/>
      <c r="G234" s="162" t="n"/>
      <c r="H234" s="162" t="n"/>
      <c r="I234" s="189">
        <f>E234*G234</f>
        <v/>
      </c>
      <c r="J234" s="195" t="n"/>
      <c r="K234" s="162" t="n"/>
      <c r="L234" s="168" t="n"/>
      <c r="M234" s="75">
        <f>_xlfn.XLOOKUP(L234,list_vat[Страна],list_vat[Ставка НДС %],0,0)</f>
        <v/>
      </c>
      <c r="N234" s="162">
        <f>IFERROR(IF(L234="Китай",K234,K234/(1+M234)),0)</f>
        <v/>
      </c>
      <c r="O234" s="169" t="n"/>
      <c r="P234" s="76">
        <f>N234*(1-O234)</f>
        <v/>
      </c>
      <c r="Q234" s="162" t="n"/>
      <c r="R234" s="162">
        <f>IF(ISBLANK(Q234),"введи курс",P234/Q234)</f>
        <v/>
      </c>
      <c r="S234" s="196">
        <f>IF(AND(ISNUMBER(E234),ISNUMBER(Q234)),E234*R234,0)</f>
        <v/>
      </c>
      <c r="T234" s="192">
        <f>$BC234*V$11</f>
        <v/>
      </c>
      <c r="U234" s="76">
        <f>$BC234*W$11</f>
        <v/>
      </c>
      <c r="V234" s="193">
        <f>+SUM(T234:U234)</f>
        <v/>
      </c>
      <c r="W234" s="191" t="n"/>
      <c r="X234" s="170" t="n"/>
      <c r="Y234" s="76">
        <f>ROUND(IF(offer_incoterms="DDP",X234*(S234*(1+AW234)+T234),0),2)</f>
        <v/>
      </c>
      <c r="Z234" s="188" t="n"/>
      <c r="AA234" s="192">
        <f>IFERROR(AB234/E234,0)</f>
        <v/>
      </c>
      <c r="AB234" s="76">
        <f>ROUND(SUM(S234,V234,Y234:Z234,BA234:BB234),2)</f>
        <v/>
      </c>
      <c r="AC234" s="797" t="n"/>
      <c r="AD234" s="192">
        <f t="array" ref="AD234">IFERROR(ROUND((_xlfn.IFS(offer_sale_type="поставка",AB234,offer_sale_type="транзит",S234)*(1+AC234))/E234,2),0)</f>
        <v/>
      </c>
      <c r="AE234" s="76">
        <f>AD234*E234</f>
        <v/>
      </c>
      <c r="AF234" s="193">
        <f t="array" ref="AF234">IFERROR(ROUND(_xlfn.IFS(offer_sale_type="поставка",AB234,offer_sale_type="транзит",S234)*AC234,2),0)</f>
        <v/>
      </c>
      <c r="AG234" s="192">
        <f>$BD234*VLOOKUP($AG$3,$AF$4:$AG$7,2,FALSE)</f>
        <v/>
      </c>
      <c r="AH234" s="76">
        <f>SUM(AE234,AG234,AI234)*rate_forex_risk</f>
        <v/>
      </c>
      <c r="AI234" s="193">
        <f>IF(OR(seller_region="TR",offer_sale_type="экспорт"),0,rate_fin_comm)*SUM(AZ234,AZ234*AW234,T234)</f>
        <v/>
      </c>
      <c r="AJ234" s="118">
        <f>IFERROR(ROUND(SUM(AB234,AF234:AI234)/E234,2),0)</f>
        <v/>
      </c>
      <c r="AK234" s="76">
        <f>AJ234*E234</f>
        <v/>
      </c>
      <c r="AL234" s="174">
        <f>ROUND(IFERROR(AM234*E234,0),2)</f>
        <v/>
      </c>
      <c r="AM234" s="175">
        <f>ROUND(AJ234*(1+IF(offer_incoterms="DDP",IF((TODAY()+offer_turnaround_time)&gt;=helpsheet!$L$17,rate_vatRU_from_26,rate_vatRu_till_25),0)),2)</f>
        <v/>
      </c>
      <c r="AN234" s="192">
        <f>AL234-AK234</f>
        <v/>
      </c>
      <c r="AO234" s="76">
        <f>SUM(AY234,Y234:Z234,T234)*IF(AND(offer_incoterms="DDP",offer_sale_type&lt;&gt;"экспорт"),IF((TODAY()+offer_turnaround_time)&gt;=helpsheet!$L$17,rate_vatRU_from_26,rate_vatRu_till_25),0)</f>
        <v/>
      </c>
      <c r="AP234" s="193">
        <f>AN234-AO234</f>
        <v/>
      </c>
      <c r="AQ234" s="118">
        <f>IF(offer_sale_type="транзит",SUM(AF234:AI234,BA234,BB234),0)</f>
        <v/>
      </c>
      <c r="AR234" s="82">
        <f>HYPERLINK("https://www.alta.ru/tnved/code/")&amp;W234&amp;"/"</f>
        <v/>
      </c>
      <c r="AS234" s="157" t="n"/>
      <c r="AT234" s="162" t="n"/>
      <c r="AU234" s="76">
        <f>IF(ISBLANK(AT234),0,AJ234-AT234)</f>
        <v/>
      </c>
      <c r="AV234" s="157" t="n"/>
      <c r="AW234" s="75">
        <f>_xlfn.IFNA(VLOOKUP(L234,list_vat[],3,FALSE),0)</f>
        <v/>
      </c>
      <c r="AX234" s="76">
        <f>IFERROR(ROUND(S234*(1+AW234)/E234,2),0)</f>
        <v/>
      </c>
      <c r="AY234" s="76">
        <f>E234*AX234</f>
        <v/>
      </c>
      <c r="AZ234" s="192">
        <f>S234*(1+M234)</f>
        <v/>
      </c>
      <c r="BA234" s="76">
        <f>cost_fin_total*$BD234</f>
        <v/>
      </c>
      <c r="BB234" s="193">
        <f>credit_sales_interest*BD234</f>
        <v/>
      </c>
      <c r="BC234" s="102">
        <f>IFERROR(IF($I$13&gt;0,$I234/$I$13,$S234/$S$13),0)</f>
        <v/>
      </c>
      <c r="BD234" s="102">
        <f>IFERROR($S234/$S$13,0)</f>
        <v/>
      </c>
      <c r="BE234" s="413" t="inlineStr">
        <is>
          <t>$</t>
        </is>
      </c>
    </row>
    <row r="235" ht="12" customFormat="1" customHeight="1" s="65">
      <c r="A235" s="43" t="n">
        <v>220</v>
      </c>
      <c r="B235" s="166" t="n"/>
      <c r="C235" s="166" t="n"/>
      <c r="D235" s="166" t="n"/>
      <c r="E235" s="162" t="n"/>
      <c r="F235" s="166" t="n"/>
      <c r="G235" s="162" t="n"/>
      <c r="H235" s="162" t="n"/>
      <c r="I235" s="189">
        <f>E235*G235</f>
        <v/>
      </c>
      <c r="J235" s="195" t="n"/>
      <c r="K235" s="162" t="n"/>
      <c r="L235" s="168" t="n"/>
      <c r="M235" s="75">
        <f>_xlfn.XLOOKUP(L235,list_vat[Страна],list_vat[Ставка НДС %],0,0)</f>
        <v/>
      </c>
      <c r="N235" s="162">
        <f>IFERROR(IF(L235="Китай",K235,K235/(1+M235)),0)</f>
        <v/>
      </c>
      <c r="O235" s="169" t="n"/>
      <c r="P235" s="76">
        <f>N235*(1-O235)</f>
        <v/>
      </c>
      <c r="Q235" s="162" t="n"/>
      <c r="R235" s="162">
        <f>IF(ISBLANK(Q235),"введи курс",P235/Q235)</f>
        <v/>
      </c>
      <c r="S235" s="196">
        <f>IF(AND(ISNUMBER(E235),ISNUMBER(Q235)),E235*R235,0)</f>
        <v/>
      </c>
      <c r="T235" s="192">
        <f>$BC235*V$11</f>
        <v/>
      </c>
      <c r="U235" s="76">
        <f>$BC235*W$11</f>
        <v/>
      </c>
      <c r="V235" s="193">
        <f>+SUM(T235:U235)</f>
        <v/>
      </c>
      <c r="W235" s="191" t="n"/>
      <c r="X235" s="170" t="n"/>
      <c r="Y235" s="76">
        <f>ROUND(IF(offer_incoterms="DDP",X235*(S235*(1+AW235)+T235),0),2)</f>
        <v/>
      </c>
      <c r="Z235" s="188" t="n"/>
      <c r="AA235" s="192">
        <f>IFERROR(AB235/E235,0)</f>
        <v/>
      </c>
      <c r="AB235" s="76">
        <f>ROUND(SUM(S235,V235,Y235:Z235,BA235:BB235),2)</f>
        <v/>
      </c>
      <c r="AC235" s="797" t="n"/>
      <c r="AD235" s="192">
        <f t="array" ref="AD235">IFERROR(ROUND((_xlfn.IFS(offer_sale_type="поставка",AB235,offer_sale_type="транзит",S235)*(1+AC235))/E235,2),0)</f>
        <v/>
      </c>
      <c r="AE235" s="76">
        <f>AD235*E235</f>
        <v/>
      </c>
      <c r="AF235" s="193">
        <f t="array" ref="AF235">IFERROR(ROUND(_xlfn.IFS(offer_sale_type="поставка",AB235,offer_sale_type="транзит",S235)*AC235,2),0)</f>
        <v/>
      </c>
      <c r="AG235" s="192">
        <f>$BD235*VLOOKUP($AG$3,$AF$4:$AG$7,2,FALSE)</f>
        <v/>
      </c>
      <c r="AH235" s="76">
        <f>SUM(AE235,AG235,AI235)*rate_forex_risk</f>
        <v/>
      </c>
      <c r="AI235" s="193">
        <f>IF(OR(seller_region="TR",offer_sale_type="экспорт"),0,rate_fin_comm)*SUM(AZ235,AZ235*AW235,T235)</f>
        <v/>
      </c>
      <c r="AJ235" s="118">
        <f>IFERROR(ROUND(SUM(AB235,AF235:AI235)/E235,2),0)</f>
        <v/>
      </c>
      <c r="AK235" s="76">
        <f>AJ235*E235</f>
        <v/>
      </c>
      <c r="AL235" s="174">
        <f>ROUND(IFERROR(AM235*E235,0),2)</f>
        <v/>
      </c>
      <c r="AM235" s="175">
        <f>ROUND(AJ235*(1+IF(offer_incoterms="DDP",IF((TODAY()+offer_turnaround_time)&gt;=helpsheet!$L$17,rate_vatRU_from_26,rate_vatRu_till_25),0)),2)</f>
        <v/>
      </c>
      <c r="AN235" s="192">
        <f>AL235-AK235</f>
        <v/>
      </c>
      <c r="AO235" s="76">
        <f>SUM(AY235,Y235:Z235,T235)*IF(AND(offer_incoterms="DDP",offer_sale_type&lt;&gt;"экспорт"),IF((TODAY()+offer_turnaround_time)&gt;=helpsheet!$L$17,rate_vatRU_from_26,rate_vatRu_till_25),0)</f>
        <v/>
      </c>
      <c r="AP235" s="193">
        <f>AN235-AO235</f>
        <v/>
      </c>
      <c r="AQ235" s="118">
        <f>IF(offer_sale_type="транзит",SUM(AF235:AI235,BA235,BB235),0)</f>
        <v/>
      </c>
      <c r="AR235" s="82">
        <f>HYPERLINK("https://www.alta.ru/tnved/code/")&amp;W235&amp;"/"</f>
        <v/>
      </c>
      <c r="AS235" s="157" t="n"/>
      <c r="AT235" s="162" t="n"/>
      <c r="AU235" s="76">
        <f>IF(ISBLANK(AT235),0,AJ235-AT235)</f>
        <v/>
      </c>
      <c r="AV235" s="157" t="n"/>
      <c r="AW235" s="75">
        <f>_xlfn.IFNA(VLOOKUP(L235,list_vat[],3,FALSE),0)</f>
        <v/>
      </c>
      <c r="AX235" s="76">
        <f>IFERROR(ROUND(S235*(1+AW235)/E235,2),0)</f>
        <v/>
      </c>
      <c r="AY235" s="76">
        <f>E235*AX235</f>
        <v/>
      </c>
      <c r="AZ235" s="192">
        <f>S235*(1+M235)</f>
        <v/>
      </c>
      <c r="BA235" s="76">
        <f>cost_fin_total*$BD235</f>
        <v/>
      </c>
      <c r="BB235" s="193">
        <f>credit_sales_interest*BD235</f>
        <v/>
      </c>
      <c r="BC235" s="102">
        <f>IFERROR(IF($I$13&gt;0,$I235/$I$13,$S235/$S$13),0)</f>
        <v/>
      </c>
      <c r="BD235" s="102">
        <f>IFERROR($S235/$S$13,0)</f>
        <v/>
      </c>
      <c r="BE235" s="413" t="inlineStr">
        <is>
          <t>$</t>
        </is>
      </c>
    </row>
    <row r="236" ht="12" customFormat="1" customHeight="1" s="65">
      <c r="A236" s="43" t="n">
        <v>221</v>
      </c>
      <c r="B236" s="166" t="n"/>
      <c r="C236" s="166" t="n"/>
      <c r="D236" s="166" t="n"/>
      <c r="E236" s="162" t="n"/>
      <c r="F236" s="166" t="n"/>
      <c r="G236" s="162" t="n"/>
      <c r="H236" s="162" t="n"/>
      <c r="I236" s="189">
        <f>E236*G236</f>
        <v/>
      </c>
      <c r="J236" s="195" t="n"/>
      <c r="K236" s="162" t="n"/>
      <c r="L236" s="168" t="n"/>
      <c r="M236" s="75">
        <f>_xlfn.XLOOKUP(L236,list_vat[Страна],list_vat[Ставка НДС %],0,0)</f>
        <v/>
      </c>
      <c r="N236" s="162">
        <f>IFERROR(IF(L236="Китай",K236,K236/(1+M236)),0)</f>
        <v/>
      </c>
      <c r="O236" s="169" t="n"/>
      <c r="P236" s="76">
        <f>N236*(1-O236)</f>
        <v/>
      </c>
      <c r="Q236" s="162" t="n"/>
      <c r="R236" s="162">
        <f>IF(ISBLANK(Q236),"введи курс",P236/Q236)</f>
        <v/>
      </c>
      <c r="S236" s="196">
        <f>IF(AND(ISNUMBER(E236),ISNUMBER(Q236)),E236*R236,0)</f>
        <v/>
      </c>
      <c r="T236" s="192">
        <f>$BC236*V$11</f>
        <v/>
      </c>
      <c r="U236" s="76">
        <f>$BC236*W$11</f>
        <v/>
      </c>
      <c r="V236" s="193">
        <f>+SUM(T236:U236)</f>
        <v/>
      </c>
      <c r="W236" s="191" t="n"/>
      <c r="X236" s="170" t="n"/>
      <c r="Y236" s="76">
        <f>ROUND(IF(offer_incoterms="DDP",X236*(S236*(1+AW236)+T236),0),2)</f>
        <v/>
      </c>
      <c r="Z236" s="188" t="n"/>
      <c r="AA236" s="192">
        <f>IFERROR(AB236/E236,0)</f>
        <v/>
      </c>
      <c r="AB236" s="76">
        <f>ROUND(SUM(S236,V236,Y236:Z236,BA236:BB236),2)</f>
        <v/>
      </c>
      <c r="AC236" s="797" t="n"/>
      <c r="AD236" s="192">
        <f t="array" ref="AD236">IFERROR(ROUND((_xlfn.IFS(offer_sale_type="поставка",AB236,offer_sale_type="транзит",S236)*(1+AC236))/E236,2),0)</f>
        <v/>
      </c>
      <c r="AE236" s="76">
        <f>AD236*E236</f>
        <v/>
      </c>
      <c r="AF236" s="193">
        <f t="array" ref="AF236">IFERROR(ROUND(_xlfn.IFS(offer_sale_type="поставка",AB236,offer_sale_type="транзит",S236)*AC236,2),0)</f>
        <v/>
      </c>
      <c r="AG236" s="192">
        <f>$BD236*VLOOKUP($AG$3,$AF$4:$AG$7,2,FALSE)</f>
        <v/>
      </c>
      <c r="AH236" s="76">
        <f>SUM(AE236,AG236,AI236)*rate_forex_risk</f>
        <v/>
      </c>
      <c r="AI236" s="193">
        <f>IF(OR(seller_region="TR",offer_sale_type="экспорт"),0,rate_fin_comm)*SUM(AZ236,AZ236*AW236,T236)</f>
        <v/>
      </c>
      <c r="AJ236" s="118">
        <f>IFERROR(ROUND(SUM(AB236,AF236:AI236)/E236,2),0)</f>
        <v/>
      </c>
      <c r="AK236" s="76">
        <f>AJ236*E236</f>
        <v/>
      </c>
      <c r="AL236" s="174">
        <f>ROUND(IFERROR(AM236*E236,0),2)</f>
        <v/>
      </c>
      <c r="AM236" s="175">
        <f>ROUND(AJ236*(1+IF(offer_incoterms="DDP",IF((TODAY()+offer_turnaround_time)&gt;=helpsheet!$L$17,rate_vatRU_from_26,rate_vatRu_till_25),0)),2)</f>
        <v/>
      </c>
      <c r="AN236" s="192">
        <f>AL236-AK236</f>
        <v/>
      </c>
      <c r="AO236" s="76">
        <f>SUM(AY236,Y236:Z236,T236)*IF(AND(offer_incoterms="DDP",offer_sale_type&lt;&gt;"экспорт"),IF((TODAY()+offer_turnaround_time)&gt;=helpsheet!$L$17,rate_vatRU_from_26,rate_vatRu_till_25),0)</f>
        <v/>
      </c>
      <c r="AP236" s="193">
        <f>AN236-AO236</f>
        <v/>
      </c>
      <c r="AQ236" s="118">
        <f>IF(offer_sale_type="транзит",SUM(AF236:AI236,BA236,BB236),0)</f>
        <v/>
      </c>
      <c r="AR236" s="82">
        <f>HYPERLINK("https://www.alta.ru/tnved/code/")&amp;W236&amp;"/"</f>
        <v/>
      </c>
      <c r="AS236" s="157" t="n"/>
      <c r="AT236" s="162" t="n"/>
      <c r="AU236" s="76">
        <f>IF(ISBLANK(AT236),0,AJ236-AT236)</f>
        <v/>
      </c>
      <c r="AV236" s="157" t="n"/>
      <c r="AW236" s="75">
        <f>_xlfn.IFNA(VLOOKUP(L236,list_vat[],3,FALSE),0)</f>
        <v/>
      </c>
      <c r="AX236" s="76">
        <f>IFERROR(ROUND(S236*(1+AW236)/E236,2),0)</f>
        <v/>
      </c>
      <c r="AY236" s="76">
        <f>E236*AX236</f>
        <v/>
      </c>
      <c r="AZ236" s="192">
        <f>S236*(1+M236)</f>
        <v/>
      </c>
      <c r="BA236" s="76">
        <f>cost_fin_total*$BD236</f>
        <v/>
      </c>
      <c r="BB236" s="193">
        <f>credit_sales_interest*BD236</f>
        <v/>
      </c>
      <c r="BC236" s="102">
        <f>IFERROR(IF($I$13&gt;0,$I236/$I$13,$S236/$S$13),0)</f>
        <v/>
      </c>
      <c r="BD236" s="102">
        <f>IFERROR($S236/$S$13,0)</f>
        <v/>
      </c>
      <c r="BE236" s="413" t="inlineStr">
        <is>
          <t>$</t>
        </is>
      </c>
    </row>
    <row r="237" ht="12" customFormat="1" customHeight="1" s="65">
      <c r="A237" s="43" t="n">
        <v>222</v>
      </c>
      <c r="B237" s="166" t="n"/>
      <c r="C237" s="166" t="n"/>
      <c r="D237" s="166" t="n"/>
      <c r="E237" s="162" t="n"/>
      <c r="F237" s="166" t="n"/>
      <c r="G237" s="162" t="n"/>
      <c r="H237" s="162" t="n"/>
      <c r="I237" s="189">
        <f>E237*G237</f>
        <v/>
      </c>
      <c r="J237" s="195" t="n"/>
      <c r="K237" s="162" t="n"/>
      <c r="L237" s="168" t="n"/>
      <c r="M237" s="75">
        <f>_xlfn.XLOOKUP(L237,list_vat[Страна],list_vat[Ставка НДС %],0,0)</f>
        <v/>
      </c>
      <c r="N237" s="162">
        <f>IFERROR(IF(L237="Китай",K237,K237/(1+M237)),0)</f>
        <v/>
      </c>
      <c r="O237" s="169" t="n"/>
      <c r="P237" s="76">
        <f>N237*(1-O237)</f>
        <v/>
      </c>
      <c r="Q237" s="162" t="n"/>
      <c r="R237" s="162">
        <f>IF(ISBLANK(Q237),"введи курс",P237/Q237)</f>
        <v/>
      </c>
      <c r="S237" s="196">
        <f>IF(AND(ISNUMBER(E237),ISNUMBER(Q237)),E237*R237,0)</f>
        <v/>
      </c>
      <c r="T237" s="192">
        <f>$BC237*V$11</f>
        <v/>
      </c>
      <c r="U237" s="76">
        <f>$BC237*W$11</f>
        <v/>
      </c>
      <c r="V237" s="193">
        <f>+SUM(T237:U237)</f>
        <v/>
      </c>
      <c r="W237" s="191" t="n"/>
      <c r="X237" s="170" t="n"/>
      <c r="Y237" s="76">
        <f>ROUND(IF(offer_incoterms="DDP",X237*(S237*(1+AW237)+T237),0),2)</f>
        <v/>
      </c>
      <c r="Z237" s="188" t="n"/>
      <c r="AA237" s="192">
        <f>IFERROR(AB237/E237,0)</f>
        <v/>
      </c>
      <c r="AB237" s="76">
        <f>ROUND(SUM(S237,V237,Y237:Z237,BA237:BB237),2)</f>
        <v/>
      </c>
      <c r="AC237" s="797" t="n"/>
      <c r="AD237" s="192">
        <f t="array" ref="AD237">IFERROR(ROUND((_xlfn.IFS(offer_sale_type="поставка",AB237,offer_sale_type="транзит",S237)*(1+AC237))/E237,2),0)</f>
        <v/>
      </c>
      <c r="AE237" s="76">
        <f>AD237*E237</f>
        <v/>
      </c>
      <c r="AF237" s="193">
        <f t="array" ref="AF237">IFERROR(ROUND(_xlfn.IFS(offer_sale_type="поставка",AB237,offer_sale_type="транзит",S237)*AC237,2),0)</f>
        <v/>
      </c>
      <c r="AG237" s="192">
        <f>$BD237*VLOOKUP($AG$3,$AF$4:$AG$7,2,FALSE)</f>
        <v/>
      </c>
      <c r="AH237" s="76">
        <f>SUM(AE237,AG237,AI237)*rate_forex_risk</f>
        <v/>
      </c>
      <c r="AI237" s="193">
        <f>IF(OR(seller_region="TR",offer_sale_type="экспорт"),0,rate_fin_comm)*SUM(AZ237,AZ237*AW237,T237)</f>
        <v/>
      </c>
      <c r="AJ237" s="118">
        <f>IFERROR(ROUND(SUM(AB237,AF237:AI237)/E237,2),0)</f>
        <v/>
      </c>
      <c r="AK237" s="76">
        <f>AJ237*E237</f>
        <v/>
      </c>
      <c r="AL237" s="174">
        <f>ROUND(IFERROR(AM237*E237,0),2)</f>
        <v/>
      </c>
      <c r="AM237" s="175">
        <f>ROUND(AJ237*(1+IF(offer_incoterms="DDP",IF((TODAY()+offer_turnaround_time)&gt;=helpsheet!$L$17,rate_vatRU_from_26,rate_vatRu_till_25),0)),2)</f>
        <v/>
      </c>
      <c r="AN237" s="192">
        <f>AL237-AK237</f>
        <v/>
      </c>
      <c r="AO237" s="76">
        <f>SUM(AY237,Y237:Z237,T237)*IF(AND(offer_incoterms="DDP",offer_sale_type&lt;&gt;"экспорт"),IF((TODAY()+offer_turnaround_time)&gt;=helpsheet!$L$17,rate_vatRU_from_26,rate_vatRu_till_25),0)</f>
        <v/>
      </c>
      <c r="AP237" s="193">
        <f>AN237-AO237</f>
        <v/>
      </c>
      <c r="AQ237" s="118">
        <f>IF(offer_sale_type="транзит",SUM(AF237:AI237,BA237,BB237),0)</f>
        <v/>
      </c>
      <c r="AR237" s="82">
        <f>HYPERLINK("https://www.alta.ru/tnved/code/")&amp;W237&amp;"/"</f>
        <v/>
      </c>
      <c r="AS237" s="157" t="n"/>
      <c r="AT237" s="162" t="n"/>
      <c r="AU237" s="76">
        <f>IF(ISBLANK(AT237),0,AJ237-AT237)</f>
        <v/>
      </c>
      <c r="AV237" s="157" t="n"/>
      <c r="AW237" s="75">
        <f>_xlfn.IFNA(VLOOKUP(L237,list_vat[],3,FALSE),0)</f>
        <v/>
      </c>
      <c r="AX237" s="76">
        <f>IFERROR(ROUND(S237*(1+AW237)/E237,2),0)</f>
        <v/>
      </c>
      <c r="AY237" s="76">
        <f>E237*AX237</f>
        <v/>
      </c>
      <c r="AZ237" s="192">
        <f>S237*(1+M237)</f>
        <v/>
      </c>
      <c r="BA237" s="76">
        <f>cost_fin_total*$BD237</f>
        <v/>
      </c>
      <c r="BB237" s="193">
        <f>credit_sales_interest*BD237</f>
        <v/>
      </c>
      <c r="BC237" s="102">
        <f>IFERROR(IF($I$13&gt;0,$I237/$I$13,$S237/$S$13),0)</f>
        <v/>
      </c>
      <c r="BD237" s="102">
        <f>IFERROR($S237/$S$13,0)</f>
        <v/>
      </c>
      <c r="BE237" s="413" t="inlineStr">
        <is>
          <t>$</t>
        </is>
      </c>
    </row>
    <row r="238" ht="12" customFormat="1" customHeight="1" s="65">
      <c r="A238" s="43" t="n">
        <v>223</v>
      </c>
      <c r="B238" s="166" t="n"/>
      <c r="C238" s="166" t="n"/>
      <c r="D238" s="166" t="n"/>
      <c r="E238" s="162" t="n"/>
      <c r="F238" s="166" t="n"/>
      <c r="G238" s="162" t="n"/>
      <c r="H238" s="162" t="n"/>
      <c r="I238" s="189">
        <f>E238*G238</f>
        <v/>
      </c>
      <c r="J238" s="195" t="n"/>
      <c r="K238" s="162" t="n"/>
      <c r="L238" s="168" t="n"/>
      <c r="M238" s="75">
        <f>_xlfn.XLOOKUP(L238,list_vat[Страна],list_vat[Ставка НДС %],0,0)</f>
        <v/>
      </c>
      <c r="N238" s="162">
        <f>IFERROR(IF(L238="Китай",K238,K238/(1+M238)),0)</f>
        <v/>
      </c>
      <c r="O238" s="169" t="n"/>
      <c r="P238" s="76">
        <f>N238*(1-O238)</f>
        <v/>
      </c>
      <c r="Q238" s="162" t="n"/>
      <c r="R238" s="162">
        <f>IF(ISBLANK(Q238),"введи курс",P238/Q238)</f>
        <v/>
      </c>
      <c r="S238" s="196">
        <f>IF(AND(ISNUMBER(E238),ISNUMBER(Q238)),E238*R238,0)</f>
        <v/>
      </c>
      <c r="T238" s="192">
        <f>$BC238*V$11</f>
        <v/>
      </c>
      <c r="U238" s="76">
        <f>$BC238*W$11</f>
        <v/>
      </c>
      <c r="V238" s="193">
        <f>+SUM(T238:U238)</f>
        <v/>
      </c>
      <c r="W238" s="191" t="n"/>
      <c r="X238" s="170" t="n"/>
      <c r="Y238" s="76">
        <f>ROUND(IF(offer_incoterms="DDP",X238*(S238*(1+AW238)+T238),0),2)</f>
        <v/>
      </c>
      <c r="Z238" s="188" t="n"/>
      <c r="AA238" s="192">
        <f>IFERROR(AB238/E238,0)</f>
        <v/>
      </c>
      <c r="AB238" s="76">
        <f>ROUND(SUM(S238,V238,Y238:Z238,BA238:BB238),2)</f>
        <v/>
      </c>
      <c r="AC238" s="797" t="n"/>
      <c r="AD238" s="192">
        <f t="array" ref="AD238">IFERROR(ROUND((_xlfn.IFS(offer_sale_type="поставка",AB238,offer_sale_type="транзит",S238)*(1+AC238))/E238,2),0)</f>
        <v/>
      </c>
      <c r="AE238" s="76">
        <f>AD238*E238</f>
        <v/>
      </c>
      <c r="AF238" s="193">
        <f t="array" ref="AF238">IFERROR(ROUND(_xlfn.IFS(offer_sale_type="поставка",AB238,offer_sale_type="транзит",S238)*AC238,2),0)</f>
        <v/>
      </c>
      <c r="AG238" s="192">
        <f>$BD238*VLOOKUP($AG$3,$AF$4:$AG$7,2,FALSE)</f>
        <v/>
      </c>
      <c r="AH238" s="76">
        <f>SUM(AE238,AG238,AI238)*rate_forex_risk</f>
        <v/>
      </c>
      <c r="AI238" s="193">
        <f>IF(OR(seller_region="TR",offer_sale_type="экспорт"),0,rate_fin_comm)*SUM(AZ238,AZ238*AW238,T238)</f>
        <v/>
      </c>
      <c r="AJ238" s="118">
        <f>IFERROR(ROUND(SUM(AB238,AF238:AI238)/E238,2),0)</f>
        <v/>
      </c>
      <c r="AK238" s="76">
        <f>AJ238*E238</f>
        <v/>
      </c>
      <c r="AL238" s="174">
        <f>ROUND(IFERROR(AM238*E238,0),2)</f>
        <v/>
      </c>
      <c r="AM238" s="175">
        <f>ROUND(AJ238*(1+IF(offer_incoterms="DDP",IF((TODAY()+offer_turnaround_time)&gt;=helpsheet!$L$17,rate_vatRU_from_26,rate_vatRu_till_25),0)),2)</f>
        <v/>
      </c>
      <c r="AN238" s="192">
        <f>AL238-AK238</f>
        <v/>
      </c>
      <c r="AO238" s="76">
        <f>SUM(AY238,Y238:Z238,T238)*IF(AND(offer_incoterms="DDP",offer_sale_type&lt;&gt;"экспорт"),IF((TODAY()+offer_turnaround_time)&gt;=helpsheet!$L$17,rate_vatRU_from_26,rate_vatRu_till_25),0)</f>
        <v/>
      </c>
      <c r="AP238" s="193">
        <f>AN238-AO238</f>
        <v/>
      </c>
      <c r="AQ238" s="118">
        <f>IF(offer_sale_type="транзит",SUM(AF238:AI238,BA238,BB238),0)</f>
        <v/>
      </c>
      <c r="AR238" s="82">
        <f>HYPERLINK("https://www.alta.ru/tnved/code/")&amp;W238&amp;"/"</f>
        <v/>
      </c>
      <c r="AS238" s="157" t="n"/>
      <c r="AT238" s="162" t="n"/>
      <c r="AU238" s="76">
        <f>IF(ISBLANK(AT238),0,AJ238-AT238)</f>
        <v/>
      </c>
      <c r="AV238" s="157" t="n"/>
      <c r="AW238" s="75">
        <f>_xlfn.IFNA(VLOOKUP(L238,list_vat[],3,FALSE),0)</f>
        <v/>
      </c>
      <c r="AX238" s="76">
        <f>IFERROR(ROUND(S238*(1+AW238)/E238,2),0)</f>
        <v/>
      </c>
      <c r="AY238" s="76">
        <f>E238*AX238</f>
        <v/>
      </c>
      <c r="AZ238" s="192">
        <f>S238*(1+M238)</f>
        <v/>
      </c>
      <c r="BA238" s="76">
        <f>cost_fin_total*$BD238</f>
        <v/>
      </c>
      <c r="BB238" s="193">
        <f>credit_sales_interest*BD238</f>
        <v/>
      </c>
      <c r="BC238" s="102">
        <f>IFERROR(IF($I$13&gt;0,$I238/$I$13,$S238/$S$13),0)</f>
        <v/>
      </c>
      <c r="BD238" s="102">
        <f>IFERROR($S238/$S$13,0)</f>
        <v/>
      </c>
      <c r="BE238" s="413" t="inlineStr">
        <is>
          <t>$</t>
        </is>
      </c>
    </row>
    <row r="239" ht="12" customFormat="1" customHeight="1" s="65">
      <c r="A239" s="43" t="n">
        <v>224</v>
      </c>
      <c r="B239" s="166" t="n"/>
      <c r="C239" s="166" t="n"/>
      <c r="D239" s="166" t="n"/>
      <c r="E239" s="162" t="n"/>
      <c r="F239" s="166" t="n"/>
      <c r="G239" s="162" t="n"/>
      <c r="H239" s="162" t="n"/>
      <c r="I239" s="189">
        <f>E239*G239</f>
        <v/>
      </c>
      <c r="J239" s="195" t="n"/>
      <c r="K239" s="162" t="n"/>
      <c r="L239" s="168" t="n"/>
      <c r="M239" s="75">
        <f>_xlfn.XLOOKUP(L239,list_vat[Страна],list_vat[Ставка НДС %],0,0)</f>
        <v/>
      </c>
      <c r="N239" s="162">
        <f>IFERROR(IF(L239="Китай",K239,K239/(1+M239)),0)</f>
        <v/>
      </c>
      <c r="O239" s="169" t="n"/>
      <c r="P239" s="76">
        <f>N239*(1-O239)</f>
        <v/>
      </c>
      <c r="Q239" s="162" t="n"/>
      <c r="R239" s="162">
        <f>IF(ISBLANK(Q239),"введи курс",P239/Q239)</f>
        <v/>
      </c>
      <c r="S239" s="196">
        <f>IF(AND(ISNUMBER(E239),ISNUMBER(Q239)),E239*R239,0)</f>
        <v/>
      </c>
      <c r="T239" s="192">
        <f>$BC239*V$11</f>
        <v/>
      </c>
      <c r="U239" s="76">
        <f>$BC239*W$11</f>
        <v/>
      </c>
      <c r="V239" s="193">
        <f>+SUM(T239:U239)</f>
        <v/>
      </c>
      <c r="W239" s="191" t="n"/>
      <c r="X239" s="170" t="n"/>
      <c r="Y239" s="76">
        <f>ROUND(IF(offer_incoterms="DDP",X239*(S239*(1+AW239)+T239),0),2)</f>
        <v/>
      </c>
      <c r="Z239" s="188" t="n"/>
      <c r="AA239" s="192">
        <f>IFERROR(AB239/E239,0)</f>
        <v/>
      </c>
      <c r="AB239" s="76">
        <f>ROUND(SUM(S239,V239,Y239:Z239,BA239:BB239),2)</f>
        <v/>
      </c>
      <c r="AC239" s="797" t="n"/>
      <c r="AD239" s="192">
        <f t="array" ref="AD239">IFERROR(ROUND((_xlfn.IFS(offer_sale_type="поставка",AB239,offer_sale_type="транзит",S239)*(1+AC239))/E239,2),0)</f>
        <v/>
      </c>
      <c r="AE239" s="76">
        <f>AD239*E239</f>
        <v/>
      </c>
      <c r="AF239" s="193">
        <f t="array" ref="AF239">IFERROR(ROUND(_xlfn.IFS(offer_sale_type="поставка",AB239,offer_sale_type="транзит",S239)*AC239,2),0)</f>
        <v/>
      </c>
      <c r="AG239" s="192">
        <f>$BD239*VLOOKUP($AG$3,$AF$4:$AG$7,2,FALSE)</f>
        <v/>
      </c>
      <c r="AH239" s="76">
        <f>SUM(AE239,AG239,AI239)*rate_forex_risk</f>
        <v/>
      </c>
      <c r="AI239" s="193">
        <f>IF(OR(seller_region="TR",offer_sale_type="экспорт"),0,rate_fin_comm)*SUM(AZ239,AZ239*AW239,T239)</f>
        <v/>
      </c>
      <c r="AJ239" s="118">
        <f>IFERROR(ROUND(SUM(AB239,AF239:AI239)/E239,2),0)</f>
        <v/>
      </c>
      <c r="AK239" s="76">
        <f>AJ239*E239</f>
        <v/>
      </c>
      <c r="AL239" s="174">
        <f>ROUND(IFERROR(AM239*E239,0),2)</f>
        <v/>
      </c>
      <c r="AM239" s="175">
        <f>ROUND(AJ239*(1+IF(offer_incoterms="DDP",IF((TODAY()+offer_turnaround_time)&gt;=helpsheet!$L$17,rate_vatRU_from_26,rate_vatRu_till_25),0)),2)</f>
        <v/>
      </c>
      <c r="AN239" s="192">
        <f>AL239-AK239</f>
        <v/>
      </c>
      <c r="AO239" s="76">
        <f>SUM(AY239,Y239:Z239,T239)*IF(AND(offer_incoterms="DDP",offer_sale_type&lt;&gt;"экспорт"),IF((TODAY()+offer_turnaround_time)&gt;=helpsheet!$L$17,rate_vatRU_from_26,rate_vatRu_till_25),0)</f>
        <v/>
      </c>
      <c r="AP239" s="193">
        <f>AN239-AO239</f>
        <v/>
      </c>
      <c r="AQ239" s="118">
        <f>IF(offer_sale_type="транзит",SUM(AF239:AI239,BA239,BB239),0)</f>
        <v/>
      </c>
      <c r="AR239" s="82">
        <f>HYPERLINK("https://www.alta.ru/tnved/code/")&amp;W239&amp;"/"</f>
        <v/>
      </c>
      <c r="AS239" s="157" t="n"/>
      <c r="AT239" s="162" t="n"/>
      <c r="AU239" s="76">
        <f>IF(ISBLANK(AT239),0,AJ239-AT239)</f>
        <v/>
      </c>
      <c r="AV239" s="157" t="n"/>
      <c r="AW239" s="75">
        <f>_xlfn.IFNA(VLOOKUP(L239,list_vat[],3,FALSE),0)</f>
        <v/>
      </c>
      <c r="AX239" s="76">
        <f>IFERROR(ROUND(S239*(1+AW239)/E239,2),0)</f>
        <v/>
      </c>
      <c r="AY239" s="76">
        <f>E239*AX239</f>
        <v/>
      </c>
      <c r="AZ239" s="192">
        <f>S239*(1+M239)</f>
        <v/>
      </c>
      <c r="BA239" s="76">
        <f>cost_fin_total*$BD239</f>
        <v/>
      </c>
      <c r="BB239" s="193">
        <f>credit_sales_interest*BD239</f>
        <v/>
      </c>
      <c r="BC239" s="102">
        <f>IFERROR(IF($I$13&gt;0,$I239/$I$13,$S239/$S$13),0)</f>
        <v/>
      </c>
      <c r="BD239" s="102">
        <f>IFERROR($S239/$S$13,0)</f>
        <v/>
      </c>
      <c r="BE239" s="413" t="inlineStr">
        <is>
          <t>$</t>
        </is>
      </c>
    </row>
    <row r="240" ht="12" customFormat="1" customHeight="1" s="65">
      <c r="A240" s="43" t="n">
        <v>225</v>
      </c>
      <c r="B240" s="166" t="n"/>
      <c r="C240" s="166" t="n"/>
      <c r="D240" s="166" t="n"/>
      <c r="E240" s="162" t="n"/>
      <c r="F240" s="166" t="n"/>
      <c r="G240" s="162" t="n"/>
      <c r="H240" s="162" t="n"/>
      <c r="I240" s="189">
        <f>E240*G240</f>
        <v/>
      </c>
      <c r="J240" s="195" t="n"/>
      <c r="K240" s="162" t="n"/>
      <c r="L240" s="168" t="n"/>
      <c r="M240" s="75">
        <f>_xlfn.XLOOKUP(L240,list_vat[Страна],list_vat[Ставка НДС %],0,0)</f>
        <v/>
      </c>
      <c r="N240" s="162">
        <f>IFERROR(IF(L240="Китай",K240,K240/(1+M240)),0)</f>
        <v/>
      </c>
      <c r="O240" s="169" t="n"/>
      <c r="P240" s="76">
        <f>N240*(1-O240)</f>
        <v/>
      </c>
      <c r="Q240" s="162" t="n"/>
      <c r="R240" s="162">
        <f>IF(ISBLANK(Q240),"введи курс",P240/Q240)</f>
        <v/>
      </c>
      <c r="S240" s="196">
        <f>IF(AND(ISNUMBER(E240),ISNUMBER(Q240)),E240*R240,0)</f>
        <v/>
      </c>
      <c r="T240" s="192">
        <f>$BC240*V$11</f>
        <v/>
      </c>
      <c r="U240" s="76">
        <f>$BC240*W$11</f>
        <v/>
      </c>
      <c r="V240" s="193">
        <f>+SUM(T240:U240)</f>
        <v/>
      </c>
      <c r="W240" s="191" t="n"/>
      <c r="X240" s="170" t="n"/>
      <c r="Y240" s="76">
        <f>ROUND(IF(offer_incoterms="DDP",X240*(S240*(1+AW240)+T240),0),2)</f>
        <v/>
      </c>
      <c r="Z240" s="188" t="n"/>
      <c r="AA240" s="192">
        <f>IFERROR(AB240/E240,0)</f>
        <v/>
      </c>
      <c r="AB240" s="76">
        <f>ROUND(SUM(S240,V240,Y240:Z240,BA240:BB240),2)</f>
        <v/>
      </c>
      <c r="AC240" s="797" t="n"/>
      <c r="AD240" s="192">
        <f t="array" ref="AD240">IFERROR(ROUND((_xlfn.IFS(offer_sale_type="поставка",AB240,offer_sale_type="транзит",S240)*(1+AC240))/E240,2),0)</f>
        <v/>
      </c>
      <c r="AE240" s="76">
        <f>AD240*E240</f>
        <v/>
      </c>
      <c r="AF240" s="193">
        <f t="array" ref="AF240">IFERROR(ROUND(_xlfn.IFS(offer_sale_type="поставка",AB240,offer_sale_type="транзит",S240)*AC240,2),0)</f>
        <v/>
      </c>
      <c r="AG240" s="192">
        <f>$BD240*VLOOKUP($AG$3,$AF$4:$AG$7,2,FALSE)</f>
        <v/>
      </c>
      <c r="AH240" s="76">
        <f>SUM(AE240,AG240,AI240)*rate_forex_risk</f>
        <v/>
      </c>
      <c r="AI240" s="193">
        <f>IF(OR(seller_region="TR",offer_sale_type="экспорт"),0,rate_fin_comm)*SUM(AZ240,AZ240*AW240,T240)</f>
        <v/>
      </c>
      <c r="AJ240" s="118">
        <f>IFERROR(ROUND(SUM(AB240,AF240:AI240)/E240,2),0)</f>
        <v/>
      </c>
      <c r="AK240" s="76">
        <f>AJ240*E240</f>
        <v/>
      </c>
      <c r="AL240" s="174">
        <f>ROUND(IFERROR(AM240*E240,0),2)</f>
        <v/>
      </c>
      <c r="AM240" s="175">
        <f>ROUND(AJ240*(1+IF(offer_incoterms="DDP",IF((TODAY()+offer_turnaround_time)&gt;=helpsheet!$L$17,rate_vatRU_from_26,rate_vatRu_till_25),0)),2)</f>
        <v/>
      </c>
      <c r="AN240" s="192">
        <f>AL240-AK240</f>
        <v/>
      </c>
      <c r="AO240" s="76">
        <f>SUM(AY240,Y240:Z240,T240)*IF(AND(offer_incoterms="DDP",offer_sale_type&lt;&gt;"экспорт"),IF((TODAY()+offer_turnaround_time)&gt;=helpsheet!$L$17,rate_vatRU_from_26,rate_vatRu_till_25),0)</f>
        <v/>
      </c>
      <c r="AP240" s="193">
        <f>AN240-AO240</f>
        <v/>
      </c>
      <c r="AQ240" s="118">
        <f>IF(offer_sale_type="транзит",SUM(AF240:AI240,BA240,BB240),0)</f>
        <v/>
      </c>
      <c r="AR240" s="82">
        <f>HYPERLINK("https://www.alta.ru/tnved/code/")&amp;W240&amp;"/"</f>
        <v/>
      </c>
      <c r="AS240" s="157" t="n"/>
      <c r="AT240" s="162" t="n"/>
      <c r="AU240" s="76">
        <f>IF(ISBLANK(AT240),0,AJ240-AT240)</f>
        <v/>
      </c>
      <c r="AV240" s="157" t="n"/>
      <c r="AW240" s="75">
        <f>_xlfn.IFNA(VLOOKUP(L240,list_vat[],3,FALSE),0)</f>
        <v/>
      </c>
      <c r="AX240" s="76">
        <f>IFERROR(ROUND(S240*(1+AW240)/E240,2),0)</f>
        <v/>
      </c>
      <c r="AY240" s="76">
        <f>E240*AX240</f>
        <v/>
      </c>
      <c r="AZ240" s="192">
        <f>S240*(1+M240)</f>
        <v/>
      </c>
      <c r="BA240" s="76">
        <f>cost_fin_total*$BD240</f>
        <v/>
      </c>
      <c r="BB240" s="193">
        <f>credit_sales_interest*BD240</f>
        <v/>
      </c>
      <c r="BC240" s="102">
        <f>IFERROR(IF($I$13&gt;0,$I240/$I$13,$S240/$S$13),0)</f>
        <v/>
      </c>
      <c r="BD240" s="102">
        <f>IFERROR($S240/$S$13,0)</f>
        <v/>
      </c>
      <c r="BE240" s="413" t="inlineStr">
        <is>
          <t>$</t>
        </is>
      </c>
    </row>
    <row r="241" ht="12" customFormat="1" customHeight="1" s="65">
      <c r="A241" s="43" t="n">
        <v>226</v>
      </c>
      <c r="B241" s="166" t="n"/>
      <c r="C241" s="166" t="n"/>
      <c r="D241" s="166" t="n"/>
      <c r="E241" s="162" t="n"/>
      <c r="F241" s="166" t="n"/>
      <c r="G241" s="162" t="n"/>
      <c r="H241" s="162" t="n"/>
      <c r="I241" s="189">
        <f>E241*G241</f>
        <v/>
      </c>
      <c r="J241" s="195" t="n"/>
      <c r="K241" s="162" t="n"/>
      <c r="L241" s="168" t="n"/>
      <c r="M241" s="75">
        <f>_xlfn.XLOOKUP(L241,list_vat[Страна],list_vat[Ставка НДС %],0,0)</f>
        <v/>
      </c>
      <c r="N241" s="162">
        <f>IFERROR(IF(L241="Китай",K241,K241/(1+M241)),0)</f>
        <v/>
      </c>
      <c r="O241" s="169" t="n"/>
      <c r="P241" s="76">
        <f>N241*(1-O241)</f>
        <v/>
      </c>
      <c r="Q241" s="162" t="n"/>
      <c r="R241" s="162">
        <f>IF(ISBLANK(Q241),"введи курс",P241/Q241)</f>
        <v/>
      </c>
      <c r="S241" s="196">
        <f>IF(AND(ISNUMBER(E241),ISNUMBER(Q241)),E241*R241,0)</f>
        <v/>
      </c>
      <c r="T241" s="192">
        <f>$BC241*V$11</f>
        <v/>
      </c>
      <c r="U241" s="76">
        <f>$BC241*W$11</f>
        <v/>
      </c>
      <c r="V241" s="193">
        <f>+SUM(T241:U241)</f>
        <v/>
      </c>
      <c r="W241" s="191" t="n"/>
      <c r="X241" s="170" t="n"/>
      <c r="Y241" s="76">
        <f>ROUND(IF(offer_incoterms="DDP",X241*(S241*(1+AW241)+T241),0),2)</f>
        <v/>
      </c>
      <c r="Z241" s="188" t="n"/>
      <c r="AA241" s="192">
        <f>IFERROR(AB241/E241,0)</f>
        <v/>
      </c>
      <c r="AB241" s="76">
        <f>ROUND(SUM(S241,V241,Y241:Z241,BA241:BB241),2)</f>
        <v/>
      </c>
      <c r="AC241" s="797" t="n"/>
      <c r="AD241" s="192">
        <f t="array" ref="AD241">IFERROR(ROUND((_xlfn.IFS(offer_sale_type="поставка",AB241,offer_sale_type="транзит",S241)*(1+AC241))/E241,2),0)</f>
        <v/>
      </c>
      <c r="AE241" s="76">
        <f>AD241*E241</f>
        <v/>
      </c>
      <c r="AF241" s="193">
        <f t="array" ref="AF241">IFERROR(ROUND(_xlfn.IFS(offer_sale_type="поставка",AB241,offer_sale_type="транзит",S241)*AC241,2),0)</f>
        <v/>
      </c>
      <c r="AG241" s="192">
        <f>$BD241*VLOOKUP($AG$3,$AF$4:$AG$7,2,FALSE)</f>
        <v/>
      </c>
      <c r="AH241" s="76">
        <f>SUM(AE241,AG241,AI241)*rate_forex_risk</f>
        <v/>
      </c>
      <c r="AI241" s="193">
        <f>IF(OR(seller_region="TR",offer_sale_type="экспорт"),0,rate_fin_comm)*SUM(AZ241,AZ241*AW241,T241)</f>
        <v/>
      </c>
      <c r="AJ241" s="118">
        <f>IFERROR(ROUND(SUM(AB241,AF241:AI241)/E241,2),0)</f>
        <v/>
      </c>
      <c r="AK241" s="76">
        <f>AJ241*E241</f>
        <v/>
      </c>
      <c r="AL241" s="174">
        <f>ROUND(IFERROR(AM241*E241,0),2)</f>
        <v/>
      </c>
      <c r="AM241" s="175">
        <f>ROUND(AJ241*(1+IF(offer_incoterms="DDP",IF((TODAY()+offer_turnaround_time)&gt;=helpsheet!$L$17,rate_vatRU_from_26,rate_vatRu_till_25),0)),2)</f>
        <v/>
      </c>
      <c r="AN241" s="192">
        <f>AL241-AK241</f>
        <v/>
      </c>
      <c r="AO241" s="76">
        <f>SUM(AY241,Y241:Z241,T241)*IF(AND(offer_incoterms="DDP",offer_sale_type&lt;&gt;"экспорт"),IF((TODAY()+offer_turnaround_time)&gt;=helpsheet!$L$17,rate_vatRU_from_26,rate_vatRu_till_25),0)</f>
        <v/>
      </c>
      <c r="AP241" s="193">
        <f>AN241-AO241</f>
        <v/>
      </c>
      <c r="AQ241" s="118">
        <f>IF(offer_sale_type="транзит",SUM(AF241:AI241,BA241,BB241),0)</f>
        <v/>
      </c>
      <c r="AR241" s="82">
        <f>HYPERLINK("https://www.alta.ru/tnved/code/")&amp;W241&amp;"/"</f>
        <v/>
      </c>
      <c r="AS241" s="157" t="n"/>
      <c r="AT241" s="162" t="n"/>
      <c r="AU241" s="76">
        <f>IF(ISBLANK(AT241),0,AJ241-AT241)</f>
        <v/>
      </c>
      <c r="AV241" s="157" t="n"/>
      <c r="AW241" s="75">
        <f>_xlfn.IFNA(VLOOKUP(L241,list_vat[],3,FALSE),0)</f>
        <v/>
      </c>
      <c r="AX241" s="76">
        <f>IFERROR(ROUND(S241*(1+AW241)/E241,2),0)</f>
        <v/>
      </c>
      <c r="AY241" s="76">
        <f>E241*AX241</f>
        <v/>
      </c>
      <c r="AZ241" s="192">
        <f>S241*(1+M241)</f>
        <v/>
      </c>
      <c r="BA241" s="76">
        <f>cost_fin_total*$BD241</f>
        <v/>
      </c>
      <c r="BB241" s="193">
        <f>credit_sales_interest*BD241</f>
        <v/>
      </c>
      <c r="BC241" s="102">
        <f>IFERROR(IF($I$13&gt;0,$I241/$I$13,$S241/$S$13),0)</f>
        <v/>
      </c>
      <c r="BD241" s="102">
        <f>IFERROR($S241/$S$13,0)</f>
        <v/>
      </c>
      <c r="BE241" s="413" t="inlineStr">
        <is>
          <t>$</t>
        </is>
      </c>
    </row>
    <row r="242" ht="12" customFormat="1" customHeight="1" s="65">
      <c r="A242" s="43" t="n">
        <v>227</v>
      </c>
      <c r="B242" s="166" t="n"/>
      <c r="C242" s="166" t="n"/>
      <c r="D242" s="166" t="n"/>
      <c r="E242" s="162" t="n"/>
      <c r="F242" s="166" t="n"/>
      <c r="G242" s="162" t="n"/>
      <c r="H242" s="162" t="n"/>
      <c r="I242" s="189">
        <f>E242*G242</f>
        <v/>
      </c>
      <c r="J242" s="195" t="n"/>
      <c r="K242" s="162" t="n"/>
      <c r="L242" s="168" t="n"/>
      <c r="M242" s="75">
        <f>_xlfn.XLOOKUP(L242,list_vat[Страна],list_vat[Ставка НДС %],0,0)</f>
        <v/>
      </c>
      <c r="N242" s="162">
        <f>IFERROR(IF(L242="Китай",K242,K242/(1+M242)),0)</f>
        <v/>
      </c>
      <c r="O242" s="169" t="n"/>
      <c r="P242" s="76">
        <f>N242*(1-O242)</f>
        <v/>
      </c>
      <c r="Q242" s="162" t="n"/>
      <c r="R242" s="162">
        <f>IF(ISBLANK(Q242),"введи курс",P242/Q242)</f>
        <v/>
      </c>
      <c r="S242" s="196">
        <f>IF(AND(ISNUMBER(E242),ISNUMBER(Q242)),E242*R242,0)</f>
        <v/>
      </c>
      <c r="T242" s="192">
        <f>$BC242*V$11</f>
        <v/>
      </c>
      <c r="U242" s="76">
        <f>$BC242*W$11</f>
        <v/>
      </c>
      <c r="V242" s="193">
        <f>+SUM(T242:U242)</f>
        <v/>
      </c>
      <c r="W242" s="191" t="n"/>
      <c r="X242" s="170" t="n"/>
      <c r="Y242" s="76">
        <f>ROUND(IF(offer_incoterms="DDP",X242*(S242*(1+AW242)+T242),0),2)</f>
        <v/>
      </c>
      <c r="Z242" s="188" t="n"/>
      <c r="AA242" s="192">
        <f>IFERROR(AB242/E242,0)</f>
        <v/>
      </c>
      <c r="AB242" s="76">
        <f>ROUND(SUM(S242,V242,Y242:Z242,BA242:BB242),2)</f>
        <v/>
      </c>
      <c r="AC242" s="797" t="n"/>
      <c r="AD242" s="192">
        <f t="array" ref="AD242">IFERROR(ROUND((_xlfn.IFS(offer_sale_type="поставка",AB242,offer_sale_type="транзит",S242)*(1+AC242))/E242,2),0)</f>
        <v/>
      </c>
      <c r="AE242" s="76">
        <f>AD242*E242</f>
        <v/>
      </c>
      <c r="AF242" s="193">
        <f t="array" ref="AF242">IFERROR(ROUND(_xlfn.IFS(offer_sale_type="поставка",AB242,offer_sale_type="транзит",S242)*AC242,2),0)</f>
        <v/>
      </c>
      <c r="AG242" s="192">
        <f>$BD242*VLOOKUP($AG$3,$AF$4:$AG$7,2,FALSE)</f>
        <v/>
      </c>
      <c r="AH242" s="76">
        <f>SUM(AE242,AG242,AI242)*rate_forex_risk</f>
        <v/>
      </c>
      <c r="AI242" s="193">
        <f>IF(OR(seller_region="TR",offer_sale_type="экспорт"),0,rate_fin_comm)*SUM(AZ242,AZ242*AW242,T242)</f>
        <v/>
      </c>
      <c r="AJ242" s="118">
        <f>IFERROR(ROUND(SUM(AB242,AF242:AI242)/E242,2),0)</f>
        <v/>
      </c>
      <c r="AK242" s="76">
        <f>AJ242*E242</f>
        <v/>
      </c>
      <c r="AL242" s="174">
        <f>ROUND(IFERROR(AM242*E242,0),2)</f>
        <v/>
      </c>
      <c r="AM242" s="175">
        <f>ROUND(AJ242*(1+IF(offer_incoterms="DDP",IF((TODAY()+offer_turnaround_time)&gt;=helpsheet!$L$17,rate_vatRU_from_26,rate_vatRu_till_25),0)),2)</f>
        <v/>
      </c>
      <c r="AN242" s="192">
        <f>AL242-AK242</f>
        <v/>
      </c>
      <c r="AO242" s="76">
        <f>SUM(AY242,Y242:Z242,T242)*IF(AND(offer_incoterms="DDP",offer_sale_type&lt;&gt;"экспорт"),IF((TODAY()+offer_turnaround_time)&gt;=helpsheet!$L$17,rate_vatRU_from_26,rate_vatRu_till_25),0)</f>
        <v/>
      </c>
      <c r="AP242" s="193">
        <f>AN242-AO242</f>
        <v/>
      </c>
      <c r="AQ242" s="118">
        <f>IF(offer_sale_type="транзит",SUM(AF242:AI242,BA242,BB242),0)</f>
        <v/>
      </c>
      <c r="AR242" s="82">
        <f>HYPERLINK("https://www.alta.ru/tnved/code/")&amp;W242&amp;"/"</f>
        <v/>
      </c>
      <c r="AS242" s="157" t="n"/>
      <c r="AT242" s="162" t="n"/>
      <c r="AU242" s="76">
        <f>IF(ISBLANK(AT242),0,AJ242-AT242)</f>
        <v/>
      </c>
      <c r="AV242" s="157" t="n"/>
      <c r="AW242" s="75">
        <f>_xlfn.IFNA(VLOOKUP(L242,list_vat[],3,FALSE),0)</f>
        <v/>
      </c>
      <c r="AX242" s="76">
        <f>IFERROR(ROUND(S242*(1+AW242)/E242,2),0)</f>
        <v/>
      </c>
      <c r="AY242" s="76">
        <f>E242*AX242</f>
        <v/>
      </c>
      <c r="AZ242" s="192">
        <f>S242*(1+M242)</f>
        <v/>
      </c>
      <c r="BA242" s="76">
        <f>cost_fin_total*$BD242</f>
        <v/>
      </c>
      <c r="BB242" s="193">
        <f>credit_sales_interest*BD242</f>
        <v/>
      </c>
      <c r="BC242" s="102">
        <f>IFERROR(IF($I$13&gt;0,$I242/$I$13,$S242/$S$13),0)</f>
        <v/>
      </c>
      <c r="BD242" s="102">
        <f>IFERROR($S242/$S$13,0)</f>
        <v/>
      </c>
      <c r="BE242" s="413" t="inlineStr">
        <is>
          <t>$</t>
        </is>
      </c>
    </row>
    <row r="243" ht="12" customFormat="1" customHeight="1" s="65">
      <c r="A243" s="43" t="n">
        <v>228</v>
      </c>
      <c r="B243" s="166" t="n"/>
      <c r="C243" s="166" t="n"/>
      <c r="D243" s="166" t="n"/>
      <c r="E243" s="162" t="n"/>
      <c r="F243" s="166" t="n"/>
      <c r="G243" s="162" t="n"/>
      <c r="H243" s="162" t="n"/>
      <c r="I243" s="189">
        <f>E243*G243</f>
        <v/>
      </c>
      <c r="J243" s="195" t="n"/>
      <c r="K243" s="162" t="n"/>
      <c r="L243" s="168" t="n"/>
      <c r="M243" s="75">
        <f>_xlfn.XLOOKUP(L243,list_vat[Страна],list_vat[Ставка НДС %],0,0)</f>
        <v/>
      </c>
      <c r="N243" s="162">
        <f>IFERROR(IF(L243="Китай",K243,K243/(1+M243)),0)</f>
        <v/>
      </c>
      <c r="O243" s="169" t="n"/>
      <c r="P243" s="76">
        <f>N243*(1-O243)</f>
        <v/>
      </c>
      <c r="Q243" s="162" t="n"/>
      <c r="R243" s="162">
        <f>IF(ISBLANK(Q243),"введи курс",P243/Q243)</f>
        <v/>
      </c>
      <c r="S243" s="196">
        <f>IF(AND(ISNUMBER(E243),ISNUMBER(Q243)),E243*R243,0)</f>
        <v/>
      </c>
      <c r="T243" s="192">
        <f>$BC243*V$11</f>
        <v/>
      </c>
      <c r="U243" s="76">
        <f>$BC243*W$11</f>
        <v/>
      </c>
      <c r="V243" s="193">
        <f>+SUM(T243:U243)</f>
        <v/>
      </c>
      <c r="W243" s="191" t="n"/>
      <c r="X243" s="170" t="n"/>
      <c r="Y243" s="76">
        <f>ROUND(IF(offer_incoterms="DDP",X243*(S243*(1+AW243)+T243),0),2)</f>
        <v/>
      </c>
      <c r="Z243" s="188" t="n"/>
      <c r="AA243" s="192">
        <f>IFERROR(AB243/E243,0)</f>
        <v/>
      </c>
      <c r="AB243" s="76">
        <f>ROUND(SUM(S243,V243,Y243:Z243,BA243:BB243),2)</f>
        <v/>
      </c>
      <c r="AC243" s="797" t="n"/>
      <c r="AD243" s="192">
        <f t="array" ref="AD243">IFERROR(ROUND((_xlfn.IFS(offer_sale_type="поставка",AB243,offer_sale_type="транзит",S243)*(1+AC243))/E243,2),0)</f>
        <v/>
      </c>
      <c r="AE243" s="76">
        <f>AD243*E243</f>
        <v/>
      </c>
      <c r="AF243" s="193">
        <f t="array" ref="AF243">IFERROR(ROUND(_xlfn.IFS(offer_sale_type="поставка",AB243,offer_sale_type="транзит",S243)*AC243,2),0)</f>
        <v/>
      </c>
      <c r="AG243" s="192">
        <f>$BD243*VLOOKUP($AG$3,$AF$4:$AG$7,2,FALSE)</f>
        <v/>
      </c>
      <c r="AH243" s="76">
        <f>SUM(AE243,AG243,AI243)*rate_forex_risk</f>
        <v/>
      </c>
      <c r="AI243" s="193">
        <f>IF(OR(seller_region="TR",offer_sale_type="экспорт"),0,rate_fin_comm)*SUM(AZ243,AZ243*AW243,T243)</f>
        <v/>
      </c>
      <c r="AJ243" s="118">
        <f>IFERROR(ROUND(SUM(AB243,AF243:AI243)/E243,2),0)</f>
        <v/>
      </c>
      <c r="AK243" s="76">
        <f>AJ243*E243</f>
        <v/>
      </c>
      <c r="AL243" s="174">
        <f>ROUND(IFERROR(AM243*E243,0),2)</f>
        <v/>
      </c>
      <c r="AM243" s="175">
        <f>ROUND(AJ243*(1+IF(offer_incoterms="DDP",IF((TODAY()+offer_turnaround_time)&gt;=helpsheet!$L$17,rate_vatRU_from_26,rate_vatRu_till_25),0)),2)</f>
        <v/>
      </c>
      <c r="AN243" s="192">
        <f>AL243-AK243</f>
        <v/>
      </c>
      <c r="AO243" s="76">
        <f>SUM(AY243,Y243:Z243,T243)*IF(AND(offer_incoterms="DDP",offer_sale_type&lt;&gt;"экспорт"),IF((TODAY()+offer_turnaround_time)&gt;=helpsheet!$L$17,rate_vatRU_from_26,rate_vatRu_till_25),0)</f>
        <v/>
      </c>
      <c r="AP243" s="193">
        <f>AN243-AO243</f>
        <v/>
      </c>
      <c r="AQ243" s="118">
        <f>IF(offer_sale_type="транзит",SUM(AF243:AI243,BA243,BB243),0)</f>
        <v/>
      </c>
      <c r="AR243" s="82">
        <f>HYPERLINK("https://www.alta.ru/tnved/code/")&amp;W243&amp;"/"</f>
        <v/>
      </c>
      <c r="AS243" s="157" t="n"/>
      <c r="AT243" s="162" t="n"/>
      <c r="AU243" s="76">
        <f>IF(ISBLANK(AT243),0,AJ243-AT243)</f>
        <v/>
      </c>
      <c r="AV243" s="157" t="n"/>
      <c r="AW243" s="75">
        <f>_xlfn.IFNA(VLOOKUP(L243,list_vat[],3,FALSE),0)</f>
        <v/>
      </c>
      <c r="AX243" s="76">
        <f>IFERROR(ROUND(S243*(1+AW243)/E243,2),0)</f>
        <v/>
      </c>
      <c r="AY243" s="76">
        <f>E243*AX243</f>
        <v/>
      </c>
      <c r="AZ243" s="192">
        <f>S243*(1+M243)</f>
        <v/>
      </c>
      <c r="BA243" s="76">
        <f>cost_fin_total*$BD243</f>
        <v/>
      </c>
      <c r="BB243" s="193">
        <f>credit_sales_interest*BD243</f>
        <v/>
      </c>
      <c r="BC243" s="102">
        <f>IFERROR(IF($I$13&gt;0,$I243/$I$13,$S243/$S$13),0)</f>
        <v/>
      </c>
      <c r="BD243" s="102">
        <f>IFERROR($S243/$S$13,0)</f>
        <v/>
      </c>
      <c r="BE243" s="413" t="inlineStr">
        <is>
          <t>$</t>
        </is>
      </c>
    </row>
    <row r="244" ht="12" customFormat="1" customHeight="1" s="65">
      <c r="A244" s="43" t="n">
        <v>229</v>
      </c>
      <c r="B244" s="166" t="n"/>
      <c r="C244" s="166" t="n"/>
      <c r="D244" s="166" t="n"/>
      <c r="E244" s="162" t="n"/>
      <c r="F244" s="166" t="n"/>
      <c r="G244" s="162" t="n"/>
      <c r="H244" s="162" t="n"/>
      <c r="I244" s="189">
        <f>E244*G244</f>
        <v/>
      </c>
      <c r="J244" s="195" t="n"/>
      <c r="K244" s="162" t="n"/>
      <c r="L244" s="168" t="n"/>
      <c r="M244" s="75">
        <f>_xlfn.XLOOKUP(L244,list_vat[Страна],list_vat[Ставка НДС %],0,0)</f>
        <v/>
      </c>
      <c r="N244" s="162">
        <f>IFERROR(IF(L244="Китай",K244,K244/(1+M244)),0)</f>
        <v/>
      </c>
      <c r="O244" s="169" t="n"/>
      <c r="P244" s="76">
        <f>N244*(1-O244)</f>
        <v/>
      </c>
      <c r="Q244" s="162" t="n"/>
      <c r="R244" s="162">
        <f>IF(ISBLANK(Q244),"введи курс",P244/Q244)</f>
        <v/>
      </c>
      <c r="S244" s="196">
        <f>IF(AND(ISNUMBER(E244),ISNUMBER(Q244)),E244*R244,0)</f>
        <v/>
      </c>
      <c r="T244" s="192">
        <f>$BC244*V$11</f>
        <v/>
      </c>
      <c r="U244" s="76">
        <f>$BC244*W$11</f>
        <v/>
      </c>
      <c r="V244" s="193">
        <f>+SUM(T244:U244)</f>
        <v/>
      </c>
      <c r="W244" s="191" t="n"/>
      <c r="X244" s="170" t="n"/>
      <c r="Y244" s="76">
        <f>ROUND(IF(offer_incoterms="DDP",X244*(S244*(1+AW244)+T244),0),2)</f>
        <v/>
      </c>
      <c r="Z244" s="188" t="n"/>
      <c r="AA244" s="192">
        <f>IFERROR(AB244/E244,0)</f>
        <v/>
      </c>
      <c r="AB244" s="76">
        <f>ROUND(SUM(S244,V244,Y244:Z244,BA244:BB244),2)</f>
        <v/>
      </c>
      <c r="AC244" s="797" t="n"/>
      <c r="AD244" s="192">
        <f t="array" ref="AD244">IFERROR(ROUND((_xlfn.IFS(offer_sale_type="поставка",AB244,offer_sale_type="транзит",S244)*(1+AC244))/E244,2),0)</f>
        <v/>
      </c>
      <c r="AE244" s="76">
        <f>AD244*E244</f>
        <v/>
      </c>
      <c r="AF244" s="193">
        <f t="array" ref="AF244">IFERROR(ROUND(_xlfn.IFS(offer_sale_type="поставка",AB244,offer_sale_type="транзит",S244)*AC244,2),0)</f>
        <v/>
      </c>
      <c r="AG244" s="192">
        <f>$BD244*VLOOKUP($AG$3,$AF$4:$AG$7,2,FALSE)</f>
        <v/>
      </c>
      <c r="AH244" s="76">
        <f>SUM(AE244,AG244,AI244)*rate_forex_risk</f>
        <v/>
      </c>
      <c r="AI244" s="193">
        <f>IF(OR(seller_region="TR",offer_sale_type="экспорт"),0,rate_fin_comm)*SUM(AZ244,AZ244*AW244,T244)</f>
        <v/>
      </c>
      <c r="AJ244" s="118">
        <f>IFERROR(ROUND(SUM(AB244,AF244:AI244)/E244,2),0)</f>
        <v/>
      </c>
      <c r="AK244" s="76">
        <f>AJ244*E244</f>
        <v/>
      </c>
      <c r="AL244" s="174">
        <f>ROUND(IFERROR(AM244*E244,0),2)</f>
        <v/>
      </c>
      <c r="AM244" s="175">
        <f>ROUND(AJ244*(1+IF(offer_incoterms="DDP",IF((TODAY()+offer_turnaround_time)&gt;=helpsheet!$L$17,rate_vatRU_from_26,rate_vatRu_till_25),0)),2)</f>
        <v/>
      </c>
      <c r="AN244" s="192">
        <f>AL244-AK244</f>
        <v/>
      </c>
      <c r="AO244" s="76">
        <f>SUM(AY244,Y244:Z244,T244)*IF(AND(offer_incoterms="DDP",offer_sale_type&lt;&gt;"экспорт"),IF((TODAY()+offer_turnaround_time)&gt;=helpsheet!$L$17,rate_vatRU_from_26,rate_vatRu_till_25),0)</f>
        <v/>
      </c>
      <c r="AP244" s="193">
        <f>AN244-AO244</f>
        <v/>
      </c>
      <c r="AQ244" s="118">
        <f>IF(offer_sale_type="транзит",SUM(AF244:AI244,BA244,BB244),0)</f>
        <v/>
      </c>
      <c r="AR244" s="82">
        <f>HYPERLINK("https://www.alta.ru/tnved/code/")&amp;W244&amp;"/"</f>
        <v/>
      </c>
      <c r="AS244" s="157" t="n"/>
      <c r="AT244" s="162" t="n"/>
      <c r="AU244" s="76">
        <f>IF(ISBLANK(AT244),0,AJ244-AT244)</f>
        <v/>
      </c>
      <c r="AV244" s="157" t="n"/>
      <c r="AW244" s="75">
        <f>_xlfn.IFNA(VLOOKUP(L244,list_vat[],3,FALSE),0)</f>
        <v/>
      </c>
      <c r="AX244" s="76">
        <f>IFERROR(ROUND(S244*(1+AW244)/E244,2),0)</f>
        <v/>
      </c>
      <c r="AY244" s="76">
        <f>E244*AX244</f>
        <v/>
      </c>
      <c r="AZ244" s="192">
        <f>S244*(1+M244)</f>
        <v/>
      </c>
      <c r="BA244" s="76">
        <f>cost_fin_total*$BD244</f>
        <v/>
      </c>
      <c r="BB244" s="193">
        <f>credit_sales_interest*BD244</f>
        <v/>
      </c>
      <c r="BC244" s="102">
        <f>IFERROR(IF($I$13&gt;0,$I244/$I$13,$S244/$S$13),0)</f>
        <v/>
      </c>
      <c r="BD244" s="102">
        <f>IFERROR($S244/$S$13,0)</f>
        <v/>
      </c>
      <c r="BE244" s="413" t="inlineStr">
        <is>
          <t>$</t>
        </is>
      </c>
    </row>
    <row r="245" ht="12" customFormat="1" customHeight="1" s="65">
      <c r="A245" s="43" t="n">
        <v>230</v>
      </c>
      <c r="B245" s="166" t="n"/>
      <c r="C245" s="166" t="n"/>
      <c r="D245" s="166" t="n"/>
      <c r="E245" s="162" t="n"/>
      <c r="F245" s="166" t="n"/>
      <c r="G245" s="162" t="n"/>
      <c r="H245" s="162" t="n"/>
      <c r="I245" s="189">
        <f>E245*G245</f>
        <v/>
      </c>
      <c r="J245" s="195" t="n"/>
      <c r="K245" s="162" t="n"/>
      <c r="L245" s="168" t="n"/>
      <c r="M245" s="75">
        <f>_xlfn.XLOOKUP(L245,list_vat[Страна],list_vat[Ставка НДС %],0,0)</f>
        <v/>
      </c>
      <c r="N245" s="162">
        <f>IFERROR(IF(L245="Китай",K245,K245/(1+M245)),0)</f>
        <v/>
      </c>
      <c r="O245" s="169" t="n"/>
      <c r="P245" s="76">
        <f>N245*(1-O245)</f>
        <v/>
      </c>
      <c r="Q245" s="162" t="n"/>
      <c r="R245" s="162">
        <f>IF(ISBLANK(Q245),"введи курс",P245/Q245)</f>
        <v/>
      </c>
      <c r="S245" s="196">
        <f>IF(AND(ISNUMBER(E245),ISNUMBER(Q245)),E245*R245,0)</f>
        <v/>
      </c>
      <c r="T245" s="192">
        <f>$BC245*V$11</f>
        <v/>
      </c>
      <c r="U245" s="76">
        <f>$BC245*W$11</f>
        <v/>
      </c>
      <c r="V245" s="193">
        <f>+SUM(T245:U245)</f>
        <v/>
      </c>
      <c r="W245" s="191" t="n"/>
      <c r="X245" s="170" t="n"/>
      <c r="Y245" s="76">
        <f>ROUND(IF(offer_incoterms="DDP",X245*(S245*(1+AW245)+T245),0),2)</f>
        <v/>
      </c>
      <c r="Z245" s="188" t="n"/>
      <c r="AA245" s="192">
        <f>IFERROR(AB245/E245,0)</f>
        <v/>
      </c>
      <c r="AB245" s="76">
        <f>ROUND(SUM(S245,V245,Y245:Z245,BA245:BB245),2)</f>
        <v/>
      </c>
      <c r="AC245" s="797" t="n"/>
      <c r="AD245" s="192">
        <f t="array" ref="AD245">IFERROR(ROUND((_xlfn.IFS(offer_sale_type="поставка",AB245,offer_sale_type="транзит",S245)*(1+AC245))/E245,2),0)</f>
        <v/>
      </c>
      <c r="AE245" s="76">
        <f>AD245*E245</f>
        <v/>
      </c>
      <c r="AF245" s="193">
        <f t="array" ref="AF245">IFERROR(ROUND(_xlfn.IFS(offer_sale_type="поставка",AB245,offer_sale_type="транзит",S245)*AC245,2),0)</f>
        <v/>
      </c>
      <c r="AG245" s="192">
        <f>$BD245*VLOOKUP($AG$3,$AF$4:$AG$7,2,FALSE)</f>
        <v/>
      </c>
      <c r="AH245" s="76">
        <f>SUM(AE245,AG245,AI245)*rate_forex_risk</f>
        <v/>
      </c>
      <c r="AI245" s="193">
        <f>IF(OR(seller_region="TR",offer_sale_type="экспорт"),0,rate_fin_comm)*SUM(AZ245,AZ245*AW245,T245)</f>
        <v/>
      </c>
      <c r="AJ245" s="118">
        <f>IFERROR(ROUND(SUM(AB245,AF245:AI245)/E245,2),0)</f>
        <v/>
      </c>
      <c r="AK245" s="76">
        <f>AJ245*E245</f>
        <v/>
      </c>
      <c r="AL245" s="174">
        <f>ROUND(IFERROR(AM245*E245,0),2)</f>
        <v/>
      </c>
      <c r="AM245" s="175">
        <f>ROUND(AJ245*(1+IF(offer_incoterms="DDP",IF((TODAY()+offer_turnaround_time)&gt;=helpsheet!$L$17,rate_vatRU_from_26,rate_vatRu_till_25),0)),2)</f>
        <v/>
      </c>
      <c r="AN245" s="192">
        <f>AL245-AK245</f>
        <v/>
      </c>
      <c r="AO245" s="76">
        <f>SUM(AY245,Y245:Z245,T245)*IF(AND(offer_incoterms="DDP",offer_sale_type&lt;&gt;"экспорт"),IF((TODAY()+offer_turnaround_time)&gt;=helpsheet!$L$17,rate_vatRU_from_26,rate_vatRu_till_25),0)</f>
        <v/>
      </c>
      <c r="AP245" s="193">
        <f>AN245-AO245</f>
        <v/>
      </c>
      <c r="AQ245" s="118">
        <f>IF(offer_sale_type="транзит",SUM(AF245:AI245,BA245,BB245),0)</f>
        <v/>
      </c>
      <c r="AR245" s="82">
        <f>HYPERLINK("https://www.alta.ru/tnved/code/")&amp;W245&amp;"/"</f>
        <v/>
      </c>
      <c r="AS245" s="157" t="n"/>
      <c r="AT245" s="162" t="n"/>
      <c r="AU245" s="76">
        <f>IF(ISBLANK(AT245),0,AJ245-AT245)</f>
        <v/>
      </c>
      <c r="AV245" s="157" t="n"/>
      <c r="AW245" s="75">
        <f>_xlfn.IFNA(VLOOKUP(L245,list_vat[],3,FALSE),0)</f>
        <v/>
      </c>
      <c r="AX245" s="76">
        <f>IFERROR(ROUND(S245*(1+AW245)/E245,2),0)</f>
        <v/>
      </c>
      <c r="AY245" s="76">
        <f>E245*AX245</f>
        <v/>
      </c>
      <c r="AZ245" s="192">
        <f>S245*(1+M245)</f>
        <v/>
      </c>
      <c r="BA245" s="76">
        <f>cost_fin_total*$BD245</f>
        <v/>
      </c>
      <c r="BB245" s="193">
        <f>credit_sales_interest*BD245</f>
        <v/>
      </c>
      <c r="BC245" s="102">
        <f>IFERROR(IF($I$13&gt;0,$I245/$I$13,$S245/$S$13),0)</f>
        <v/>
      </c>
      <c r="BD245" s="102">
        <f>IFERROR($S245/$S$13,0)</f>
        <v/>
      </c>
      <c r="BE245" s="413" t="inlineStr">
        <is>
          <t>$</t>
        </is>
      </c>
    </row>
    <row r="246" ht="12" customFormat="1" customHeight="1" s="65">
      <c r="A246" s="43" t="n">
        <v>231</v>
      </c>
      <c r="B246" s="166" t="n"/>
      <c r="C246" s="166" t="n"/>
      <c r="D246" s="166" t="n"/>
      <c r="E246" s="162" t="n"/>
      <c r="F246" s="166" t="n"/>
      <c r="G246" s="162" t="n"/>
      <c r="H246" s="162" t="n"/>
      <c r="I246" s="189">
        <f>E246*G246</f>
        <v/>
      </c>
      <c r="J246" s="195" t="n"/>
      <c r="K246" s="162" t="n"/>
      <c r="L246" s="168" t="n"/>
      <c r="M246" s="75">
        <f>_xlfn.XLOOKUP(L246,list_vat[Страна],list_vat[Ставка НДС %],0,0)</f>
        <v/>
      </c>
      <c r="N246" s="162">
        <f>IFERROR(IF(L246="Китай",K246,K246/(1+M246)),0)</f>
        <v/>
      </c>
      <c r="O246" s="169" t="n"/>
      <c r="P246" s="76">
        <f>N246*(1-O246)</f>
        <v/>
      </c>
      <c r="Q246" s="162" t="n"/>
      <c r="R246" s="162">
        <f>IF(ISBLANK(Q246),"введи курс",P246/Q246)</f>
        <v/>
      </c>
      <c r="S246" s="196">
        <f>IF(AND(ISNUMBER(E246),ISNUMBER(Q246)),E246*R246,0)</f>
        <v/>
      </c>
      <c r="T246" s="192">
        <f>$BC246*V$11</f>
        <v/>
      </c>
      <c r="U246" s="76">
        <f>$BC246*W$11</f>
        <v/>
      </c>
      <c r="V246" s="193">
        <f>+SUM(T246:U246)</f>
        <v/>
      </c>
      <c r="W246" s="191" t="n"/>
      <c r="X246" s="170" t="n"/>
      <c r="Y246" s="76">
        <f>ROUND(IF(offer_incoterms="DDP",X246*(S246*(1+AW246)+T246),0),2)</f>
        <v/>
      </c>
      <c r="Z246" s="188" t="n"/>
      <c r="AA246" s="192">
        <f>IFERROR(AB246/E246,0)</f>
        <v/>
      </c>
      <c r="AB246" s="76">
        <f>ROUND(SUM(S246,V246,Y246:Z246,BA246:BB246),2)</f>
        <v/>
      </c>
      <c r="AC246" s="797" t="n"/>
      <c r="AD246" s="192">
        <f t="array" ref="AD246">IFERROR(ROUND((_xlfn.IFS(offer_sale_type="поставка",AB246,offer_sale_type="транзит",S246)*(1+AC246))/E246,2),0)</f>
        <v/>
      </c>
      <c r="AE246" s="76">
        <f>AD246*E246</f>
        <v/>
      </c>
      <c r="AF246" s="193">
        <f t="array" ref="AF246">IFERROR(ROUND(_xlfn.IFS(offer_sale_type="поставка",AB246,offer_sale_type="транзит",S246)*AC246,2),0)</f>
        <v/>
      </c>
      <c r="AG246" s="192">
        <f>$BD246*VLOOKUP($AG$3,$AF$4:$AG$7,2,FALSE)</f>
        <v/>
      </c>
      <c r="AH246" s="76">
        <f>SUM(AE246,AG246,AI246)*rate_forex_risk</f>
        <v/>
      </c>
      <c r="AI246" s="193">
        <f>IF(OR(seller_region="TR",offer_sale_type="экспорт"),0,rate_fin_comm)*SUM(AZ246,AZ246*AW246,T246)</f>
        <v/>
      </c>
      <c r="AJ246" s="118">
        <f>IFERROR(ROUND(SUM(AB246,AF246:AI246)/E246,2),0)</f>
        <v/>
      </c>
      <c r="AK246" s="76">
        <f>AJ246*E246</f>
        <v/>
      </c>
      <c r="AL246" s="174">
        <f>ROUND(IFERROR(AM246*E246,0),2)</f>
        <v/>
      </c>
      <c r="AM246" s="175">
        <f>ROUND(AJ246*(1+IF(offer_incoterms="DDP",IF((TODAY()+offer_turnaround_time)&gt;=helpsheet!$L$17,rate_vatRU_from_26,rate_vatRu_till_25),0)),2)</f>
        <v/>
      </c>
      <c r="AN246" s="192">
        <f>AL246-AK246</f>
        <v/>
      </c>
      <c r="AO246" s="76">
        <f>SUM(AY246,Y246:Z246,T246)*IF(AND(offer_incoterms="DDP",offer_sale_type&lt;&gt;"экспорт"),IF((TODAY()+offer_turnaround_time)&gt;=helpsheet!$L$17,rate_vatRU_from_26,rate_vatRu_till_25),0)</f>
        <v/>
      </c>
      <c r="AP246" s="193">
        <f>AN246-AO246</f>
        <v/>
      </c>
      <c r="AQ246" s="118">
        <f>IF(offer_sale_type="транзит",SUM(AF246:AI246,BA246,BB246),0)</f>
        <v/>
      </c>
      <c r="AR246" s="82">
        <f>HYPERLINK("https://www.alta.ru/tnved/code/")&amp;W246&amp;"/"</f>
        <v/>
      </c>
      <c r="AS246" s="157" t="n"/>
      <c r="AT246" s="162" t="n"/>
      <c r="AU246" s="76">
        <f>IF(ISBLANK(AT246),0,AJ246-AT246)</f>
        <v/>
      </c>
      <c r="AV246" s="157" t="n"/>
      <c r="AW246" s="75">
        <f>_xlfn.IFNA(VLOOKUP(L246,list_vat[],3,FALSE),0)</f>
        <v/>
      </c>
      <c r="AX246" s="76">
        <f>IFERROR(ROUND(S246*(1+AW246)/E246,2),0)</f>
        <v/>
      </c>
      <c r="AY246" s="76">
        <f>E246*AX246</f>
        <v/>
      </c>
      <c r="AZ246" s="192">
        <f>S246*(1+M246)</f>
        <v/>
      </c>
      <c r="BA246" s="76">
        <f>cost_fin_total*$BD246</f>
        <v/>
      </c>
      <c r="BB246" s="193">
        <f>credit_sales_interest*BD246</f>
        <v/>
      </c>
      <c r="BC246" s="102">
        <f>IFERROR(IF($I$13&gt;0,$I246/$I$13,$S246/$S$13),0)</f>
        <v/>
      </c>
      <c r="BD246" s="102">
        <f>IFERROR($S246/$S$13,0)</f>
        <v/>
      </c>
      <c r="BE246" s="413" t="inlineStr">
        <is>
          <t>$</t>
        </is>
      </c>
    </row>
    <row r="247" ht="12" customFormat="1" customHeight="1" s="65">
      <c r="A247" s="43" t="n">
        <v>232</v>
      </c>
      <c r="B247" s="166" t="n"/>
      <c r="C247" s="166" t="n"/>
      <c r="D247" s="166" t="n"/>
      <c r="E247" s="162" t="n"/>
      <c r="F247" s="166" t="n"/>
      <c r="G247" s="162" t="n"/>
      <c r="H247" s="162" t="n"/>
      <c r="I247" s="189">
        <f>E247*G247</f>
        <v/>
      </c>
      <c r="J247" s="195" t="n"/>
      <c r="K247" s="162" t="n"/>
      <c r="L247" s="168" t="n"/>
      <c r="M247" s="75">
        <f>_xlfn.XLOOKUP(L247,list_vat[Страна],list_vat[Ставка НДС %],0,0)</f>
        <v/>
      </c>
      <c r="N247" s="162">
        <f>IFERROR(IF(L247="Китай",K247,K247/(1+M247)),0)</f>
        <v/>
      </c>
      <c r="O247" s="169" t="n"/>
      <c r="P247" s="76">
        <f>N247*(1-O247)</f>
        <v/>
      </c>
      <c r="Q247" s="162" t="n"/>
      <c r="R247" s="162">
        <f>IF(ISBLANK(Q247),"введи курс",P247/Q247)</f>
        <v/>
      </c>
      <c r="S247" s="196">
        <f>IF(AND(ISNUMBER(E247),ISNUMBER(Q247)),E247*R247,0)</f>
        <v/>
      </c>
      <c r="T247" s="192">
        <f>$BC247*V$11</f>
        <v/>
      </c>
      <c r="U247" s="76">
        <f>$BC247*W$11</f>
        <v/>
      </c>
      <c r="V247" s="193">
        <f>+SUM(T247:U247)</f>
        <v/>
      </c>
      <c r="W247" s="191" t="n"/>
      <c r="X247" s="170" t="n"/>
      <c r="Y247" s="76">
        <f>ROUND(IF(offer_incoterms="DDP",X247*(S247*(1+AW247)+T247),0),2)</f>
        <v/>
      </c>
      <c r="Z247" s="188" t="n"/>
      <c r="AA247" s="192">
        <f>IFERROR(AB247/E247,0)</f>
        <v/>
      </c>
      <c r="AB247" s="76">
        <f>ROUND(SUM(S247,V247,Y247:Z247,BA247:BB247),2)</f>
        <v/>
      </c>
      <c r="AC247" s="797" t="n"/>
      <c r="AD247" s="192">
        <f t="array" ref="AD247">IFERROR(ROUND((_xlfn.IFS(offer_sale_type="поставка",AB247,offer_sale_type="транзит",S247)*(1+AC247))/E247,2),0)</f>
        <v/>
      </c>
      <c r="AE247" s="76">
        <f>AD247*E247</f>
        <v/>
      </c>
      <c r="AF247" s="193">
        <f t="array" ref="AF247">IFERROR(ROUND(_xlfn.IFS(offer_sale_type="поставка",AB247,offer_sale_type="транзит",S247)*AC247,2),0)</f>
        <v/>
      </c>
      <c r="AG247" s="192">
        <f>$BD247*VLOOKUP($AG$3,$AF$4:$AG$7,2,FALSE)</f>
        <v/>
      </c>
      <c r="AH247" s="76">
        <f>SUM(AE247,AG247,AI247)*rate_forex_risk</f>
        <v/>
      </c>
      <c r="AI247" s="193">
        <f>IF(OR(seller_region="TR",offer_sale_type="экспорт"),0,rate_fin_comm)*SUM(AZ247,AZ247*AW247,T247)</f>
        <v/>
      </c>
      <c r="AJ247" s="118">
        <f>IFERROR(ROUND(SUM(AB247,AF247:AI247)/E247,2),0)</f>
        <v/>
      </c>
      <c r="AK247" s="76">
        <f>AJ247*E247</f>
        <v/>
      </c>
      <c r="AL247" s="174">
        <f>ROUND(IFERROR(AM247*E247,0),2)</f>
        <v/>
      </c>
      <c r="AM247" s="175">
        <f>ROUND(AJ247*(1+IF(offer_incoterms="DDP",IF((TODAY()+offer_turnaround_time)&gt;=helpsheet!$L$17,rate_vatRU_from_26,rate_vatRu_till_25),0)),2)</f>
        <v/>
      </c>
      <c r="AN247" s="192">
        <f>AL247-AK247</f>
        <v/>
      </c>
      <c r="AO247" s="76">
        <f>SUM(AY247,Y247:Z247,T247)*IF(AND(offer_incoterms="DDP",offer_sale_type&lt;&gt;"экспорт"),IF((TODAY()+offer_turnaround_time)&gt;=helpsheet!$L$17,rate_vatRU_from_26,rate_vatRu_till_25),0)</f>
        <v/>
      </c>
      <c r="AP247" s="193">
        <f>AN247-AO247</f>
        <v/>
      </c>
      <c r="AQ247" s="118">
        <f>IF(offer_sale_type="транзит",SUM(AF247:AI247,BA247,BB247),0)</f>
        <v/>
      </c>
      <c r="AR247" s="82">
        <f>HYPERLINK("https://www.alta.ru/tnved/code/")&amp;W247&amp;"/"</f>
        <v/>
      </c>
      <c r="AS247" s="157" t="n"/>
      <c r="AT247" s="162" t="n"/>
      <c r="AU247" s="76">
        <f>IF(ISBLANK(AT247),0,AJ247-AT247)</f>
        <v/>
      </c>
      <c r="AV247" s="157" t="n"/>
      <c r="AW247" s="75">
        <f>_xlfn.IFNA(VLOOKUP(L247,list_vat[],3,FALSE),0)</f>
        <v/>
      </c>
      <c r="AX247" s="76">
        <f>IFERROR(ROUND(S247*(1+AW247)/E247,2),0)</f>
        <v/>
      </c>
      <c r="AY247" s="76">
        <f>E247*AX247</f>
        <v/>
      </c>
      <c r="AZ247" s="192">
        <f>S247*(1+M247)</f>
        <v/>
      </c>
      <c r="BA247" s="76">
        <f>cost_fin_total*$BD247</f>
        <v/>
      </c>
      <c r="BB247" s="193">
        <f>credit_sales_interest*BD247</f>
        <v/>
      </c>
      <c r="BC247" s="102">
        <f>IFERROR(IF($I$13&gt;0,$I247/$I$13,$S247/$S$13),0)</f>
        <v/>
      </c>
      <c r="BD247" s="102">
        <f>IFERROR($S247/$S$13,0)</f>
        <v/>
      </c>
      <c r="BE247" s="413" t="inlineStr">
        <is>
          <t>$</t>
        </is>
      </c>
    </row>
    <row r="248" ht="12" customFormat="1" customHeight="1" s="65">
      <c r="A248" s="43" t="n">
        <v>233</v>
      </c>
      <c r="B248" s="166" t="n"/>
      <c r="C248" s="166" t="n"/>
      <c r="D248" s="166" t="n"/>
      <c r="E248" s="162" t="n"/>
      <c r="F248" s="166" t="n"/>
      <c r="G248" s="162" t="n"/>
      <c r="H248" s="162" t="n"/>
      <c r="I248" s="189">
        <f>E248*G248</f>
        <v/>
      </c>
      <c r="J248" s="195" t="n"/>
      <c r="K248" s="162" t="n"/>
      <c r="L248" s="168" t="n"/>
      <c r="M248" s="75">
        <f>_xlfn.XLOOKUP(L248,list_vat[Страна],list_vat[Ставка НДС %],0,0)</f>
        <v/>
      </c>
      <c r="N248" s="162">
        <f>IFERROR(IF(L248="Китай",K248,K248/(1+M248)),0)</f>
        <v/>
      </c>
      <c r="O248" s="169" t="n"/>
      <c r="P248" s="76">
        <f>N248*(1-O248)</f>
        <v/>
      </c>
      <c r="Q248" s="162" t="n"/>
      <c r="R248" s="162">
        <f>IF(ISBLANK(Q248),"введи курс",P248/Q248)</f>
        <v/>
      </c>
      <c r="S248" s="196">
        <f>IF(AND(ISNUMBER(E248),ISNUMBER(Q248)),E248*R248,0)</f>
        <v/>
      </c>
      <c r="T248" s="192">
        <f>$BC248*V$11</f>
        <v/>
      </c>
      <c r="U248" s="76">
        <f>$BC248*W$11</f>
        <v/>
      </c>
      <c r="V248" s="193">
        <f>+SUM(T248:U248)</f>
        <v/>
      </c>
      <c r="W248" s="191" t="n"/>
      <c r="X248" s="170" t="n"/>
      <c r="Y248" s="76">
        <f>ROUND(IF(offer_incoterms="DDP",X248*(S248*(1+AW248)+T248),0),2)</f>
        <v/>
      </c>
      <c r="Z248" s="188" t="n"/>
      <c r="AA248" s="192">
        <f>IFERROR(AB248/E248,0)</f>
        <v/>
      </c>
      <c r="AB248" s="76">
        <f>ROUND(SUM(S248,V248,Y248:Z248,BA248:BB248),2)</f>
        <v/>
      </c>
      <c r="AC248" s="797" t="n"/>
      <c r="AD248" s="192">
        <f t="array" ref="AD248">IFERROR(ROUND((_xlfn.IFS(offer_sale_type="поставка",AB248,offer_sale_type="транзит",S248)*(1+AC248))/E248,2),0)</f>
        <v/>
      </c>
      <c r="AE248" s="76">
        <f>AD248*E248</f>
        <v/>
      </c>
      <c r="AF248" s="193">
        <f t="array" ref="AF248">IFERROR(ROUND(_xlfn.IFS(offer_sale_type="поставка",AB248,offer_sale_type="транзит",S248)*AC248,2),0)</f>
        <v/>
      </c>
      <c r="AG248" s="192">
        <f>$BD248*VLOOKUP($AG$3,$AF$4:$AG$7,2,FALSE)</f>
        <v/>
      </c>
      <c r="AH248" s="76">
        <f>SUM(AE248,AG248,AI248)*rate_forex_risk</f>
        <v/>
      </c>
      <c r="AI248" s="193">
        <f>IF(OR(seller_region="TR",offer_sale_type="экспорт"),0,rate_fin_comm)*SUM(AZ248,AZ248*AW248,T248)</f>
        <v/>
      </c>
      <c r="AJ248" s="118">
        <f>IFERROR(ROUND(SUM(AB248,AF248:AI248)/E248,2),0)</f>
        <v/>
      </c>
      <c r="AK248" s="76">
        <f>AJ248*E248</f>
        <v/>
      </c>
      <c r="AL248" s="174">
        <f>ROUND(IFERROR(AM248*E248,0),2)</f>
        <v/>
      </c>
      <c r="AM248" s="175">
        <f>ROUND(AJ248*(1+IF(offer_incoterms="DDP",IF((TODAY()+offer_turnaround_time)&gt;=helpsheet!$L$17,rate_vatRU_from_26,rate_vatRu_till_25),0)),2)</f>
        <v/>
      </c>
      <c r="AN248" s="192">
        <f>AL248-AK248</f>
        <v/>
      </c>
      <c r="AO248" s="76">
        <f>SUM(AY248,Y248:Z248,T248)*IF(AND(offer_incoterms="DDP",offer_sale_type&lt;&gt;"экспорт"),IF((TODAY()+offer_turnaround_time)&gt;=helpsheet!$L$17,rate_vatRU_from_26,rate_vatRu_till_25),0)</f>
        <v/>
      </c>
      <c r="AP248" s="193">
        <f>AN248-AO248</f>
        <v/>
      </c>
      <c r="AQ248" s="118">
        <f>IF(offer_sale_type="транзит",SUM(AF248:AI248,BA248,BB248),0)</f>
        <v/>
      </c>
      <c r="AR248" s="82">
        <f>HYPERLINK("https://www.alta.ru/tnved/code/")&amp;W248&amp;"/"</f>
        <v/>
      </c>
      <c r="AS248" s="157" t="n"/>
      <c r="AT248" s="162" t="n"/>
      <c r="AU248" s="76">
        <f>IF(ISBLANK(AT248),0,AJ248-AT248)</f>
        <v/>
      </c>
      <c r="AV248" s="157" t="n"/>
      <c r="AW248" s="75">
        <f>_xlfn.IFNA(VLOOKUP(L248,list_vat[],3,FALSE),0)</f>
        <v/>
      </c>
      <c r="AX248" s="76">
        <f>IFERROR(ROUND(S248*(1+AW248)/E248,2),0)</f>
        <v/>
      </c>
      <c r="AY248" s="76">
        <f>E248*AX248</f>
        <v/>
      </c>
      <c r="AZ248" s="192">
        <f>S248*(1+M248)</f>
        <v/>
      </c>
      <c r="BA248" s="76">
        <f>cost_fin_total*$BD248</f>
        <v/>
      </c>
      <c r="BB248" s="193">
        <f>credit_sales_interest*BD248</f>
        <v/>
      </c>
      <c r="BC248" s="102">
        <f>IFERROR(IF($I$13&gt;0,$I248/$I$13,$S248/$S$13),0)</f>
        <v/>
      </c>
      <c r="BD248" s="102">
        <f>IFERROR($S248/$S$13,0)</f>
        <v/>
      </c>
      <c r="BE248" s="413" t="inlineStr">
        <is>
          <t>$</t>
        </is>
      </c>
    </row>
    <row r="249" ht="12" customFormat="1" customHeight="1" s="65">
      <c r="A249" s="43" t="n">
        <v>234</v>
      </c>
      <c r="B249" s="166" t="n"/>
      <c r="C249" s="166" t="n"/>
      <c r="D249" s="166" t="n"/>
      <c r="E249" s="162" t="n"/>
      <c r="F249" s="166" t="n"/>
      <c r="G249" s="162" t="n"/>
      <c r="H249" s="162" t="n"/>
      <c r="I249" s="189">
        <f>E249*G249</f>
        <v/>
      </c>
      <c r="J249" s="195" t="n"/>
      <c r="K249" s="162" t="n"/>
      <c r="L249" s="168" t="n"/>
      <c r="M249" s="75">
        <f>_xlfn.XLOOKUP(L249,list_vat[Страна],list_vat[Ставка НДС %],0,0)</f>
        <v/>
      </c>
      <c r="N249" s="162">
        <f>IFERROR(IF(L249="Китай",K249,K249/(1+M249)),0)</f>
        <v/>
      </c>
      <c r="O249" s="169" t="n"/>
      <c r="P249" s="76">
        <f>N249*(1-O249)</f>
        <v/>
      </c>
      <c r="Q249" s="162" t="n"/>
      <c r="R249" s="162">
        <f>IF(ISBLANK(Q249),"введи курс",P249/Q249)</f>
        <v/>
      </c>
      <c r="S249" s="196">
        <f>IF(AND(ISNUMBER(E249),ISNUMBER(Q249)),E249*R249,0)</f>
        <v/>
      </c>
      <c r="T249" s="192">
        <f>$BC249*V$11</f>
        <v/>
      </c>
      <c r="U249" s="76">
        <f>$BC249*W$11</f>
        <v/>
      </c>
      <c r="V249" s="193">
        <f>+SUM(T249:U249)</f>
        <v/>
      </c>
      <c r="W249" s="191" t="n"/>
      <c r="X249" s="170" t="n"/>
      <c r="Y249" s="76">
        <f>ROUND(IF(offer_incoterms="DDP",X249*(S249*(1+AW249)+T249),0),2)</f>
        <v/>
      </c>
      <c r="Z249" s="188" t="n"/>
      <c r="AA249" s="192">
        <f>IFERROR(AB249/E249,0)</f>
        <v/>
      </c>
      <c r="AB249" s="76">
        <f>ROUND(SUM(S249,V249,Y249:Z249,BA249:BB249),2)</f>
        <v/>
      </c>
      <c r="AC249" s="797" t="n"/>
      <c r="AD249" s="192">
        <f t="array" ref="AD249">IFERROR(ROUND((_xlfn.IFS(offer_sale_type="поставка",AB249,offer_sale_type="транзит",S249)*(1+AC249))/E249,2),0)</f>
        <v/>
      </c>
      <c r="AE249" s="76">
        <f>AD249*E249</f>
        <v/>
      </c>
      <c r="AF249" s="193">
        <f t="array" ref="AF249">IFERROR(ROUND(_xlfn.IFS(offer_sale_type="поставка",AB249,offer_sale_type="транзит",S249)*AC249,2),0)</f>
        <v/>
      </c>
      <c r="AG249" s="192">
        <f>$BD249*VLOOKUP($AG$3,$AF$4:$AG$7,2,FALSE)</f>
        <v/>
      </c>
      <c r="AH249" s="76">
        <f>SUM(AE249,AG249,AI249)*rate_forex_risk</f>
        <v/>
      </c>
      <c r="AI249" s="193">
        <f>IF(OR(seller_region="TR",offer_sale_type="экспорт"),0,rate_fin_comm)*SUM(AZ249,AZ249*AW249,T249)</f>
        <v/>
      </c>
      <c r="AJ249" s="118">
        <f>IFERROR(ROUND(SUM(AB249,AF249:AI249)/E249,2),0)</f>
        <v/>
      </c>
      <c r="AK249" s="76">
        <f>AJ249*E249</f>
        <v/>
      </c>
      <c r="AL249" s="174">
        <f>ROUND(IFERROR(AM249*E249,0),2)</f>
        <v/>
      </c>
      <c r="AM249" s="175">
        <f>ROUND(AJ249*(1+IF(offer_incoterms="DDP",IF((TODAY()+offer_turnaround_time)&gt;=helpsheet!$L$17,rate_vatRU_from_26,rate_vatRu_till_25),0)),2)</f>
        <v/>
      </c>
      <c r="AN249" s="192">
        <f>AL249-AK249</f>
        <v/>
      </c>
      <c r="AO249" s="76">
        <f>SUM(AY249,Y249:Z249,T249)*IF(AND(offer_incoterms="DDP",offer_sale_type&lt;&gt;"экспорт"),IF((TODAY()+offer_turnaround_time)&gt;=helpsheet!$L$17,rate_vatRU_from_26,rate_vatRu_till_25),0)</f>
        <v/>
      </c>
      <c r="AP249" s="193">
        <f>AN249-AO249</f>
        <v/>
      </c>
      <c r="AQ249" s="118">
        <f>IF(offer_sale_type="транзит",SUM(AF249:AI249,BA249,BB249),0)</f>
        <v/>
      </c>
      <c r="AR249" s="82">
        <f>HYPERLINK("https://www.alta.ru/tnved/code/")&amp;W249&amp;"/"</f>
        <v/>
      </c>
      <c r="AS249" s="157" t="n"/>
      <c r="AT249" s="162" t="n"/>
      <c r="AU249" s="76">
        <f>IF(ISBLANK(AT249),0,AJ249-AT249)</f>
        <v/>
      </c>
      <c r="AV249" s="157" t="n"/>
      <c r="AW249" s="75">
        <f>_xlfn.IFNA(VLOOKUP(L249,list_vat[],3,FALSE),0)</f>
        <v/>
      </c>
      <c r="AX249" s="76">
        <f>IFERROR(ROUND(S249*(1+AW249)/E249,2),0)</f>
        <v/>
      </c>
      <c r="AY249" s="76">
        <f>E249*AX249</f>
        <v/>
      </c>
      <c r="AZ249" s="192">
        <f>S249*(1+M249)</f>
        <v/>
      </c>
      <c r="BA249" s="76">
        <f>cost_fin_total*$BD249</f>
        <v/>
      </c>
      <c r="BB249" s="193">
        <f>credit_sales_interest*BD249</f>
        <v/>
      </c>
      <c r="BC249" s="102">
        <f>IFERROR(IF($I$13&gt;0,$I249/$I$13,$S249/$S$13),0)</f>
        <v/>
      </c>
      <c r="BD249" s="102">
        <f>IFERROR($S249/$S$13,0)</f>
        <v/>
      </c>
      <c r="BE249" s="413" t="inlineStr">
        <is>
          <t>$</t>
        </is>
      </c>
    </row>
    <row r="250" ht="12" customFormat="1" customHeight="1" s="65">
      <c r="A250" s="43" t="n">
        <v>235</v>
      </c>
      <c r="B250" s="166" t="n"/>
      <c r="C250" s="166" t="n"/>
      <c r="D250" s="166" t="n"/>
      <c r="E250" s="162" t="n"/>
      <c r="F250" s="166" t="n"/>
      <c r="G250" s="162" t="n"/>
      <c r="H250" s="162" t="n"/>
      <c r="I250" s="189">
        <f>E250*G250</f>
        <v/>
      </c>
      <c r="J250" s="195" t="n"/>
      <c r="K250" s="162" t="n"/>
      <c r="L250" s="168" t="n"/>
      <c r="M250" s="75">
        <f>_xlfn.XLOOKUP(L250,list_vat[Страна],list_vat[Ставка НДС %],0,0)</f>
        <v/>
      </c>
      <c r="N250" s="162">
        <f>IFERROR(IF(L250="Китай",K250,K250/(1+M250)),0)</f>
        <v/>
      </c>
      <c r="O250" s="169" t="n"/>
      <c r="P250" s="76">
        <f>N250*(1-O250)</f>
        <v/>
      </c>
      <c r="Q250" s="162" t="n"/>
      <c r="R250" s="162">
        <f>IF(ISBLANK(Q250),"введи курс",P250/Q250)</f>
        <v/>
      </c>
      <c r="S250" s="196">
        <f>IF(AND(ISNUMBER(E250),ISNUMBER(Q250)),E250*R250,0)</f>
        <v/>
      </c>
      <c r="T250" s="192">
        <f>$BC250*V$11</f>
        <v/>
      </c>
      <c r="U250" s="76">
        <f>$BC250*W$11</f>
        <v/>
      </c>
      <c r="V250" s="193">
        <f>+SUM(T250:U250)</f>
        <v/>
      </c>
      <c r="W250" s="191" t="n"/>
      <c r="X250" s="170" t="n"/>
      <c r="Y250" s="76">
        <f>ROUND(IF(offer_incoterms="DDP",X250*(S250*(1+AW250)+T250),0),2)</f>
        <v/>
      </c>
      <c r="Z250" s="188" t="n"/>
      <c r="AA250" s="192">
        <f>IFERROR(AB250/E250,0)</f>
        <v/>
      </c>
      <c r="AB250" s="76">
        <f>ROUND(SUM(S250,V250,Y250:Z250,BA250:BB250),2)</f>
        <v/>
      </c>
      <c r="AC250" s="797" t="n"/>
      <c r="AD250" s="192">
        <f t="array" ref="AD250">IFERROR(ROUND((_xlfn.IFS(offer_sale_type="поставка",AB250,offer_sale_type="транзит",S250)*(1+AC250))/E250,2),0)</f>
        <v/>
      </c>
      <c r="AE250" s="76">
        <f>AD250*E250</f>
        <v/>
      </c>
      <c r="AF250" s="193">
        <f t="array" ref="AF250">IFERROR(ROUND(_xlfn.IFS(offer_sale_type="поставка",AB250,offer_sale_type="транзит",S250)*AC250,2),0)</f>
        <v/>
      </c>
      <c r="AG250" s="192">
        <f>$BD250*VLOOKUP($AG$3,$AF$4:$AG$7,2,FALSE)</f>
        <v/>
      </c>
      <c r="AH250" s="76">
        <f>SUM(AE250,AG250,AI250)*rate_forex_risk</f>
        <v/>
      </c>
      <c r="AI250" s="193">
        <f>IF(OR(seller_region="TR",offer_sale_type="экспорт"),0,rate_fin_comm)*SUM(AZ250,AZ250*AW250,T250)</f>
        <v/>
      </c>
      <c r="AJ250" s="118">
        <f>IFERROR(ROUND(SUM(AB250,AF250:AI250)/E250,2),0)</f>
        <v/>
      </c>
      <c r="AK250" s="76">
        <f>AJ250*E250</f>
        <v/>
      </c>
      <c r="AL250" s="174">
        <f>ROUND(IFERROR(AM250*E250,0),2)</f>
        <v/>
      </c>
      <c r="AM250" s="175">
        <f>ROUND(AJ250*(1+IF(offer_incoterms="DDP",IF((TODAY()+offer_turnaround_time)&gt;=helpsheet!$L$17,rate_vatRU_from_26,rate_vatRu_till_25),0)),2)</f>
        <v/>
      </c>
      <c r="AN250" s="192">
        <f>AL250-AK250</f>
        <v/>
      </c>
      <c r="AO250" s="76">
        <f>SUM(AY250,Y250:Z250,T250)*IF(AND(offer_incoterms="DDP",offer_sale_type&lt;&gt;"экспорт"),IF((TODAY()+offer_turnaround_time)&gt;=helpsheet!$L$17,rate_vatRU_from_26,rate_vatRu_till_25),0)</f>
        <v/>
      </c>
      <c r="AP250" s="193">
        <f>AN250-AO250</f>
        <v/>
      </c>
      <c r="AQ250" s="118">
        <f>IF(offer_sale_type="транзит",SUM(AF250:AI250,BA250,BB250),0)</f>
        <v/>
      </c>
      <c r="AR250" s="82">
        <f>HYPERLINK("https://www.alta.ru/tnved/code/")&amp;W250&amp;"/"</f>
        <v/>
      </c>
      <c r="AS250" s="157" t="n"/>
      <c r="AT250" s="162" t="n"/>
      <c r="AU250" s="76">
        <f>IF(ISBLANK(AT250),0,AJ250-AT250)</f>
        <v/>
      </c>
      <c r="AV250" s="157" t="n"/>
      <c r="AW250" s="75">
        <f>_xlfn.IFNA(VLOOKUP(L250,list_vat[],3,FALSE),0)</f>
        <v/>
      </c>
      <c r="AX250" s="76">
        <f>IFERROR(ROUND(S250*(1+AW250)/E250,2),0)</f>
        <v/>
      </c>
      <c r="AY250" s="76">
        <f>E250*AX250</f>
        <v/>
      </c>
      <c r="AZ250" s="192">
        <f>S250*(1+M250)</f>
        <v/>
      </c>
      <c r="BA250" s="76">
        <f>cost_fin_total*$BD250</f>
        <v/>
      </c>
      <c r="BB250" s="193">
        <f>credit_sales_interest*BD250</f>
        <v/>
      </c>
      <c r="BC250" s="102">
        <f>IFERROR(IF($I$13&gt;0,$I250/$I$13,$S250/$S$13),0)</f>
        <v/>
      </c>
      <c r="BD250" s="102">
        <f>IFERROR($S250/$S$13,0)</f>
        <v/>
      </c>
      <c r="BE250" s="413" t="inlineStr">
        <is>
          <t>$</t>
        </is>
      </c>
    </row>
    <row r="251" ht="12" customFormat="1" customHeight="1" s="65">
      <c r="A251" s="43" t="n">
        <v>236</v>
      </c>
      <c r="B251" s="166" t="n"/>
      <c r="C251" s="166" t="n"/>
      <c r="D251" s="166" t="n"/>
      <c r="E251" s="162" t="n"/>
      <c r="F251" s="166" t="n"/>
      <c r="G251" s="162" t="n"/>
      <c r="H251" s="162" t="n"/>
      <c r="I251" s="189">
        <f>E251*G251</f>
        <v/>
      </c>
      <c r="J251" s="195" t="n"/>
      <c r="K251" s="162" t="n"/>
      <c r="L251" s="168" t="n"/>
      <c r="M251" s="75">
        <f>_xlfn.XLOOKUP(L251,list_vat[Страна],list_vat[Ставка НДС %],0,0)</f>
        <v/>
      </c>
      <c r="N251" s="162">
        <f>IFERROR(IF(L251="Китай",K251,K251/(1+M251)),0)</f>
        <v/>
      </c>
      <c r="O251" s="169" t="n"/>
      <c r="P251" s="76">
        <f>N251*(1-O251)</f>
        <v/>
      </c>
      <c r="Q251" s="162" t="n"/>
      <c r="R251" s="162">
        <f>IF(ISBLANK(Q251),"введи курс",P251/Q251)</f>
        <v/>
      </c>
      <c r="S251" s="196">
        <f>IF(AND(ISNUMBER(E251),ISNUMBER(Q251)),E251*R251,0)</f>
        <v/>
      </c>
      <c r="T251" s="192">
        <f>$BC251*V$11</f>
        <v/>
      </c>
      <c r="U251" s="76">
        <f>$BC251*W$11</f>
        <v/>
      </c>
      <c r="V251" s="193">
        <f>+SUM(T251:U251)</f>
        <v/>
      </c>
      <c r="W251" s="191" t="n"/>
      <c r="X251" s="170" t="n"/>
      <c r="Y251" s="76">
        <f>ROUND(IF(offer_incoterms="DDP",X251*(S251*(1+AW251)+T251),0),2)</f>
        <v/>
      </c>
      <c r="Z251" s="188" t="n"/>
      <c r="AA251" s="192">
        <f>IFERROR(AB251/E251,0)</f>
        <v/>
      </c>
      <c r="AB251" s="76">
        <f>ROUND(SUM(S251,V251,Y251:Z251,BA251:BB251),2)</f>
        <v/>
      </c>
      <c r="AC251" s="797" t="n"/>
      <c r="AD251" s="192">
        <f t="array" ref="AD251">IFERROR(ROUND((_xlfn.IFS(offer_sale_type="поставка",AB251,offer_sale_type="транзит",S251)*(1+AC251))/E251,2),0)</f>
        <v/>
      </c>
      <c r="AE251" s="76">
        <f>AD251*E251</f>
        <v/>
      </c>
      <c r="AF251" s="193">
        <f t="array" ref="AF251">IFERROR(ROUND(_xlfn.IFS(offer_sale_type="поставка",AB251,offer_sale_type="транзит",S251)*AC251,2),0)</f>
        <v/>
      </c>
      <c r="AG251" s="192">
        <f>$BD251*VLOOKUP($AG$3,$AF$4:$AG$7,2,FALSE)</f>
        <v/>
      </c>
      <c r="AH251" s="76">
        <f>SUM(AE251,AG251,AI251)*rate_forex_risk</f>
        <v/>
      </c>
      <c r="AI251" s="193">
        <f>IF(OR(seller_region="TR",offer_sale_type="экспорт"),0,rate_fin_comm)*SUM(AZ251,AZ251*AW251,T251)</f>
        <v/>
      </c>
      <c r="AJ251" s="118">
        <f>IFERROR(ROUND(SUM(AB251,AF251:AI251)/E251,2),0)</f>
        <v/>
      </c>
      <c r="AK251" s="76">
        <f>AJ251*E251</f>
        <v/>
      </c>
      <c r="AL251" s="174">
        <f>ROUND(IFERROR(AM251*E251,0),2)</f>
        <v/>
      </c>
      <c r="AM251" s="175">
        <f>ROUND(AJ251*(1+IF(offer_incoterms="DDP",IF((TODAY()+offer_turnaround_time)&gt;=helpsheet!$L$17,rate_vatRU_from_26,rate_vatRu_till_25),0)),2)</f>
        <v/>
      </c>
      <c r="AN251" s="192">
        <f>AL251-AK251</f>
        <v/>
      </c>
      <c r="AO251" s="76">
        <f>SUM(AY251,Y251:Z251,T251)*IF(AND(offer_incoterms="DDP",offer_sale_type&lt;&gt;"экспорт"),IF((TODAY()+offer_turnaround_time)&gt;=helpsheet!$L$17,rate_vatRU_from_26,rate_vatRu_till_25),0)</f>
        <v/>
      </c>
      <c r="AP251" s="193">
        <f>AN251-AO251</f>
        <v/>
      </c>
      <c r="AQ251" s="118">
        <f>IF(offer_sale_type="транзит",SUM(AF251:AI251,BA251,BB251),0)</f>
        <v/>
      </c>
      <c r="AR251" s="82">
        <f>HYPERLINK("https://www.alta.ru/tnved/code/")&amp;W251&amp;"/"</f>
        <v/>
      </c>
      <c r="AS251" s="157" t="n"/>
      <c r="AT251" s="162" t="n"/>
      <c r="AU251" s="76">
        <f>IF(ISBLANK(AT251),0,AJ251-AT251)</f>
        <v/>
      </c>
      <c r="AV251" s="157" t="n"/>
      <c r="AW251" s="75">
        <f>_xlfn.IFNA(VLOOKUP(L251,list_vat[],3,FALSE),0)</f>
        <v/>
      </c>
      <c r="AX251" s="76">
        <f>IFERROR(ROUND(S251*(1+AW251)/E251,2),0)</f>
        <v/>
      </c>
      <c r="AY251" s="76">
        <f>E251*AX251</f>
        <v/>
      </c>
      <c r="AZ251" s="192">
        <f>S251*(1+M251)</f>
        <v/>
      </c>
      <c r="BA251" s="76">
        <f>cost_fin_total*$BD251</f>
        <v/>
      </c>
      <c r="BB251" s="193">
        <f>credit_sales_interest*BD251</f>
        <v/>
      </c>
      <c r="BC251" s="102">
        <f>IFERROR(IF($I$13&gt;0,$I251/$I$13,$S251/$S$13),0)</f>
        <v/>
      </c>
      <c r="BD251" s="102">
        <f>IFERROR($S251/$S$13,0)</f>
        <v/>
      </c>
      <c r="BE251" s="413" t="inlineStr">
        <is>
          <t>$</t>
        </is>
      </c>
    </row>
    <row r="252" ht="12" customFormat="1" customHeight="1" s="65">
      <c r="A252" s="43" t="n">
        <v>237</v>
      </c>
      <c r="B252" s="166" t="n"/>
      <c r="C252" s="166" t="n"/>
      <c r="D252" s="166" t="n"/>
      <c r="E252" s="162" t="n"/>
      <c r="F252" s="166" t="n"/>
      <c r="G252" s="162" t="n"/>
      <c r="H252" s="162" t="n"/>
      <c r="I252" s="189">
        <f>E252*G252</f>
        <v/>
      </c>
      <c r="J252" s="195" t="n"/>
      <c r="K252" s="162" t="n"/>
      <c r="L252" s="168" t="n"/>
      <c r="M252" s="75">
        <f>_xlfn.XLOOKUP(L252,list_vat[Страна],list_vat[Ставка НДС %],0,0)</f>
        <v/>
      </c>
      <c r="N252" s="162">
        <f>IFERROR(IF(L252="Китай",K252,K252/(1+M252)),0)</f>
        <v/>
      </c>
      <c r="O252" s="169" t="n"/>
      <c r="P252" s="76">
        <f>N252*(1-O252)</f>
        <v/>
      </c>
      <c r="Q252" s="162" t="n"/>
      <c r="R252" s="162">
        <f>IF(ISBLANK(Q252),"введи курс",P252/Q252)</f>
        <v/>
      </c>
      <c r="S252" s="196">
        <f>IF(AND(ISNUMBER(E252),ISNUMBER(Q252)),E252*R252,0)</f>
        <v/>
      </c>
      <c r="T252" s="192">
        <f>$BC252*V$11</f>
        <v/>
      </c>
      <c r="U252" s="76">
        <f>$BC252*W$11</f>
        <v/>
      </c>
      <c r="V252" s="193">
        <f>+SUM(T252:U252)</f>
        <v/>
      </c>
      <c r="W252" s="191" t="n"/>
      <c r="X252" s="170" t="n"/>
      <c r="Y252" s="76">
        <f>ROUND(IF(offer_incoterms="DDP",X252*(S252*(1+AW252)+T252),0),2)</f>
        <v/>
      </c>
      <c r="Z252" s="188" t="n"/>
      <c r="AA252" s="192">
        <f>IFERROR(AB252/E252,0)</f>
        <v/>
      </c>
      <c r="AB252" s="76">
        <f>ROUND(SUM(S252,V252,Y252:Z252,BA252:BB252),2)</f>
        <v/>
      </c>
      <c r="AC252" s="797" t="n"/>
      <c r="AD252" s="192">
        <f t="array" ref="AD252">IFERROR(ROUND((_xlfn.IFS(offer_sale_type="поставка",AB252,offer_sale_type="транзит",S252)*(1+AC252))/E252,2),0)</f>
        <v/>
      </c>
      <c r="AE252" s="76">
        <f>AD252*E252</f>
        <v/>
      </c>
      <c r="AF252" s="193">
        <f t="array" ref="AF252">IFERROR(ROUND(_xlfn.IFS(offer_sale_type="поставка",AB252,offer_sale_type="транзит",S252)*AC252,2),0)</f>
        <v/>
      </c>
      <c r="AG252" s="192">
        <f>$BD252*VLOOKUP($AG$3,$AF$4:$AG$7,2,FALSE)</f>
        <v/>
      </c>
      <c r="AH252" s="76">
        <f>SUM(AE252,AG252,AI252)*rate_forex_risk</f>
        <v/>
      </c>
      <c r="AI252" s="193">
        <f>IF(OR(seller_region="TR",offer_sale_type="экспорт"),0,rate_fin_comm)*SUM(AZ252,AZ252*AW252,T252)</f>
        <v/>
      </c>
      <c r="AJ252" s="118">
        <f>IFERROR(ROUND(SUM(AB252,AF252:AI252)/E252,2),0)</f>
        <v/>
      </c>
      <c r="AK252" s="76">
        <f>AJ252*E252</f>
        <v/>
      </c>
      <c r="AL252" s="174">
        <f>ROUND(IFERROR(AM252*E252,0),2)</f>
        <v/>
      </c>
      <c r="AM252" s="175">
        <f>ROUND(AJ252*(1+IF(offer_incoterms="DDP",IF((TODAY()+offer_turnaround_time)&gt;=helpsheet!$L$17,rate_vatRU_from_26,rate_vatRu_till_25),0)),2)</f>
        <v/>
      </c>
      <c r="AN252" s="192">
        <f>AL252-AK252</f>
        <v/>
      </c>
      <c r="AO252" s="76">
        <f>SUM(AY252,Y252:Z252,T252)*IF(AND(offer_incoterms="DDP",offer_sale_type&lt;&gt;"экспорт"),IF((TODAY()+offer_turnaround_time)&gt;=helpsheet!$L$17,rate_vatRU_from_26,rate_vatRu_till_25),0)</f>
        <v/>
      </c>
      <c r="AP252" s="193">
        <f>AN252-AO252</f>
        <v/>
      </c>
      <c r="AQ252" s="118">
        <f>IF(offer_sale_type="транзит",SUM(AF252:AI252,BA252,BB252),0)</f>
        <v/>
      </c>
      <c r="AR252" s="82">
        <f>HYPERLINK("https://www.alta.ru/tnved/code/")&amp;W252&amp;"/"</f>
        <v/>
      </c>
      <c r="AS252" s="157" t="n"/>
      <c r="AT252" s="162" t="n"/>
      <c r="AU252" s="76">
        <f>IF(ISBLANK(AT252),0,AJ252-AT252)</f>
        <v/>
      </c>
      <c r="AV252" s="157" t="n"/>
      <c r="AW252" s="75">
        <f>_xlfn.IFNA(VLOOKUP(L252,list_vat[],3,FALSE),0)</f>
        <v/>
      </c>
      <c r="AX252" s="76">
        <f>IFERROR(ROUND(S252*(1+AW252)/E252,2),0)</f>
        <v/>
      </c>
      <c r="AY252" s="76">
        <f>E252*AX252</f>
        <v/>
      </c>
      <c r="AZ252" s="192">
        <f>S252*(1+M252)</f>
        <v/>
      </c>
      <c r="BA252" s="76">
        <f>cost_fin_total*$BD252</f>
        <v/>
      </c>
      <c r="BB252" s="193">
        <f>credit_sales_interest*BD252</f>
        <v/>
      </c>
      <c r="BC252" s="102">
        <f>IFERROR(IF($I$13&gt;0,$I252/$I$13,$S252/$S$13),0)</f>
        <v/>
      </c>
      <c r="BD252" s="102">
        <f>IFERROR($S252/$S$13,0)</f>
        <v/>
      </c>
      <c r="BE252" s="413" t="inlineStr">
        <is>
          <t>$</t>
        </is>
      </c>
    </row>
    <row r="253" ht="12" customFormat="1" customHeight="1" s="65">
      <c r="A253" s="43" t="n">
        <v>238</v>
      </c>
      <c r="B253" s="166" t="n"/>
      <c r="C253" s="166" t="n"/>
      <c r="D253" s="166" t="n"/>
      <c r="E253" s="162" t="n"/>
      <c r="F253" s="166" t="n"/>
      <c r="G253" s="162" t="n"/>
      <c r="H253" s="162" t="n"/>
      <c r="I253" s="189">
        <f>E253*G253</f>
        <v/>
      </c>
      <c r="J253" s="195" t="n"/>
      <c r="K253" s="162" t="n"/>
      <c r="L253" s="168" t="n"/>
      <c r="M253" s="75">
        <f>_xlfn.XLOOKUP(L253,list_vat[Страна],list_vat[Ставка НДС %],0,0)</f>
        <v/>
      </c>
      <c r="N253" s="162">
        <f>IFERROR(IF(L253="Китай",K253,K253/(1+M253)),0)</f>
        <v/>
      </c>
      <c r="O253" s="169" t="n"/>
      <c r="P253" s="76">
        <f>N253*(1-O253)</f>
        <v/>
      </c>
      <c r="Q253" s="162" t="n"/>
      <c r="R253" s="162">
        <f>IF(ISBLANK(Q253),"введи курс",P253/Q253)</f>
        <v/>
      </c>
      <c r="S253" s="196">
        <f>IF(AND(ISNUMBER(E253),ISNUMBER(Q253)),E253*R253,0)</f>
        <v/>
      </c>
      <c r="T253" s="192">
        <f>$BC253*V$11</f>
        <v/>
      </c>
      <c r="U253" s="76">
        <f>$BC253*W$11</f>
        <v/>
      </c>
      <c r="V253" s="193">
        <f>+SUM(T253:U253)</f>
        <v/>
      </c>
      <c r="W253" s="191" t="n"/>
      <c r="X253" s="170" t="n"/>
      <c r="Y253" s="76">
        <f>ROUND(IF(offer_incoterms="DDP",X253*(S253*(1+AW253)+T253),0),2)</f>
        <v/>
      </c>
      <c r="Z253" s="188" t="n"/>
      <c r="AA253" s="192">
        <f>IFERROR(AB253/E253,0)</f>
        <v/>
      </c>
      <c r="AB253" s="76">
        <f>ROUND(SUM(S253,V253,Y253:Z253,BA253:BB253),2)</f>
        <v/>
      </c>
      <c r="AC253" s="797" t="n"/>
      <c r="AD253" s="192">
        <f t="array" ref="AD253">IFERROR(ROUND((_xlfn.IFS(offer_sale_type="поставка",AB253,offer_sale_type="транзит",S253)*(1+AC253))/E253,2),0)</f>
        <v/>
      </c>
      <c r="AE253" s="76">
        <f>AD253*E253</f>
        <v/>
      </c>
      <c r="AF253" s="193">
        <f t="array" ref="AF253">IFERROR(ROUND(_xlfn.IFS(offer_sale_type="поставка",AB253,offer_sale_type="транзит",S253)*AC253,2),0)</f>
        <v/>
      </c>
      <c r="AG253" s="192">
        <f>$BD253*VLOOKUP($AG$3,$AF$4:$AG$7,2,FALSE)</f>
        <v/>
      </c>
      <c r="AH253" s="76">
        <f>SUM(AE253,AG253,AI253)*rate_forex_risk</f>
        <v/>
      </c>
      <c r="AI253" s="193">
        <f>IF(OR(seller_region="TR",offer_sale_type="экспорт"),0,rate_fin_comm)*SUM(AZ253,AZ253*AW253,T253)</f>
        <v/>
      </c>
      <c r="AJ253" s="118">
        <f>IFERROR(ROUND(SUM(AB253,AF253:AI253)/E253,2),0)</f>
        <v/>
      </c>
      <c r="AK253" s="76">
        <f>AJ253*E253</f>
        <v/>
      </c>
      <c r="AL253" s="174">
        <f>ROUND(IFERROR(AM253*E253,0),2)</f>
        <v/>
      </c>
      <c r="AM253" s="175">
        <f>ROUND(AJ253*(1+IF(offer_incoterms="DDP",IF((TODAY()+offer_turnaround_time)&gt;=helpsheet!$L$17,rate_vatRU_from_26,rate_vatRu_till_25),0)),2)</f>
        <v/>
      </c>
      <c r="AN253" s="192">
        <f>AL253-AK253</f>
        <v/>
      </c>
      <c r="AO253" s="76">
        <f>SUM(AY253,Y253:Z253,T253)*IF(AND(offer_incoterms="DDP",offer_sale_type&lt;&gt;"экспорт"),IF((TODAY()+offer_turnaround_time)&gt;=helpsheet!$L$17,rate_vatRU_from_26,rate_vatRu_till_25),0)</f>
        <v/>
      </c>
      <c r="AP253" s="193">
        <f>AN253-AO253</f>
        <v/>
      </c>
      <c r="AQ253" s="118">
        <f>IF(offer_sale_type="транзит",SUM(AF253:AI253,BA253,BB253),0)</f>
        <v/>
      </c>
      <c r="AR253" s="82">
        <f>HYPERLINK("https://www.alta.ru/tnved/code/")&amp;W253&amp;"/"</f>
        <v/>
      </c>
      <c r="AS253" s="157" t="n"/>
      <c r="AT253" s="162" t="n"/>
      <c r="AU253" s="76">
        <f>IF(ISBLANK(AT253),0,AJ253-AT253)</f>
        <v/>
      </c>
      <c r="AV253" s="157" t="n"/>
      <c r="AW253" s="75">
        <f>_xlfn.IFNA(VLOOKUP(L253,list_vat[],3,FALSE),0)</f>
        <v/>
      </c>
      <c r="AX253" s="76">
        <f>IFERROR(ROUND(S253*(1+AW253)/E253,2),0)</f>
        <v/>
      </c>
      <c r="AY253" s="76">
        <f>E253*AX253</f>
        <v/>
      </c>
      <c r="AZ253" s="192">
        <f>S253*(1+M253)</f>
        <v/>
      </c>
      <c r="BA253" s="76">
        <f>cost_fin_total*$BD253</f>
        <v/>
      </c>
      <c r="BB253" s="193">
        <f>credit_sales_interest*BD253</f>
        <v/>
      </c>
      <c r="BC253" s="102">
        <f>IFERROR(IF($I$13&gt;0,$I253/$I$13,$S253/$S$13),0)</f>
        <v/>
      </c>
      <c r="BD253" s="102">
        <f>IFERROR($S253/$S$13,0)</f>
        <v/>
      </c>
      <c r="BE253" s="413" t="inlineStr">
        <is>
          <t>$</t>
        </is>
      </c>
    </row>
    <row r="254" ht="12" customFormat="1" customHeight="1" s="65">
      <c r="A254" s="43" t="n">
        <v>239</v>
      </c>
      <c r="B254" s="166" t="n"/>
      <c r="C254" s="166" t="n"/>
      <c r="D254" s="166" t="n"/>
      <c r="E254" s="162" t="n"/>
      <c r="F254" s="166" t="n"/>
      <c r="G254" s="162" t="n"/>
      <c r="H254" s="162" t="n"/>
      <c r="I254" s="189">
        <f>E254*G254</f>
        <v/>
      </c>
      <c r="J254" s="195" t="n"/>
      <c r="K254" s="162" t="n"/>
      <c r="L254" s="168" t="n"/>
      <c r="M254" s="75">
        <f>_xlfn.XLOOKUP(L254,list_vat[Страна],list_vat[Ставка НДС %],0,0)</f>
        <v/>
      </c>
      <c r="N254" s="162">
        <f>IFERROR(IF(L254="Китай",K254,K254/(1+M254)),0)</f>
        <v/>
      </c>
      <c r="O254" s="169" t="n"/>
      <c r="P254" s="76">
        <f>N254*(1-O254)</f>
        <v/>
      </c>
      <c r="Q254" s="162" t="n"/>
      <c r="R254" s="162">
        <f>IF(ISBLANK(Q254),"введи курс",P254/Q254)</f>
        <v/>
      </c>
      <c r="S254" s="196">
        <f>IF(AND(ISNUMBER(E254),ISNUMBER(Q254)),E254*R254,0)</f>
        <v/>
      </c>
      <c r="T254" s="192">
        <f>$BC254*V$11</f>
        <v/>
      </c>
      <c r="U254" s="76">
        <f>$BC254*W$11</f>
        <v/>
      </c>
      <c r="V254" s="193">
        <f>+SUM(T254:U254)</f>
        <v/>
      </c>
      <c r="W254" s="191" t="n"/>
      <c r="X254" s="170" t="n"/>
      <c r="Y254" s="76">
        <f>ROUND(IF(offer_incoterms="DDP",X254*(S254*(1+AW254)+T254),0),2)</f>
        <v/>
      </c>
      <c r="Z254" s="188" t="n"/>
      <c r="AA254" s="192">
        <f>IFERROR(AB254/E254,0)</f>
        <v/>
      </c>
      <c r="AB254" s="76">
        <f>ROUND(SUM(S254,V254,Y254:Z254,BA254:BB254),2)</f>
        <v/>
      </c>
      <c r="AC254" s="797" t="n"/>
      <c r="AD254" s="192">
        <f t="array" ref="AD254">IFERROR(ROUND((_xlfn.IFS(offer_sale_type="поставка",AB254,offer_sale_type="транзит",S254)*(1+AC254))/E254,2),0)</f>
        <v/>
      </c>
      <c r="AE254" s="76">
        <f>AD254*E254</f>
        <v/>
      </c>
      <c r="AF254" s="193">
        <f t="array" ref="AF254">IFERROR(ROUND(_xlfn.IFS(offer_sale_type="поставка",AB254,offer_sale_type="транзит",S254)*AC254,2),0)</f>
        <v/>
      </c>
      <c r="AG254" s="192">
        <f>$BD254*VLOOKUP($AG$3,$AF$4:$AG$7,2,FALSE)</f>
        <v/>
      </c>
      <c r="AH254" s="76">
        <f>SUM(AE254,AG254,AI254)*rate_forex_risk</f>
        <v/>
      </c>
      <c r="AI254" s="193">
        <f>IF(OR(seller_region="TR",offer_sale_type="экспорт"),0,rate_fin_comm)*SUM(AZ254,AZ254*AW254,T254)</f>
        <v/>
      </c>
      <c r="AJ254" s="118">
        <f>IFERROR(ROUND(SUM(AB254,AF254:AI254)/E254,2),0)</f>
        <v/>
      </c>
      <c r="AK254" s="76">
        <f>AJ254*E254</f>
        <v/>
      </c>
      <c r="AL254" s="174">
        <f>ROUND(IFERROR(AM254*E254,0),2)</f>
        <v/>
      </c>
      <c r="AM254" s="175">
        <f>ROUND(AJ254*(1+IF(offer_incoterms="DDP",IF((TODAY()+offer_turnaround_time)&gt;=helpsheet!$L$17,rate_vatRU_from_26,rate_vatRu_till_25),0)),2)</f>
        <v/>
      </c>
      <c r="AN254" s="192">
        <f>AL254-AK254</f>
        <v/>
      </c>
      <c r="AO254" s="76">
        <f>SUM(AY254,Y254:Z254,T254)*IF(AND(offer_incoterms="DDP",offer_sale_type&lt;&gt;"экспорт"),IF((TODAY()+offer_turnaround_time)&gt;=helpsheet!$L$17,rate_vatRU_from_26,rate_vatRu_till_25),0)</f>
        <v/>
      </c>
      <c r="AP254" s="193">
        <f>AN254-AO254</f>
        <v/>
      </c>
      <c r="AQ254" s="118">
        <f>IF(offer_sale_type="транзит",SUM(AF254:AI254,BA254,BB254),0)</f>
        <v/>
      </c>
      <c r="AR254" s="82">
        <f>HYPERLINK("https://www.alta.ru/tnved/code/")&amp;W254&amp;"/"</f>
        <v/>
      </c>
      <c r="AS254" s="157" t="n"/>
      <c r="AT254" s="162" t="n"/>
      <c r="AU254" s="76">
        <f>IF(ISBLANK(AT254),0,AJ254-AT254)</f>
        <v/>
      </c>
      <c r="AV254" s="157" t="n"/>
      <c r="AW254" s="75">
        <f>_xlfn.IFNA(VLOOKUP(L254,list_vat[],3,FALSE),0)</f>
        <v/>
      </c>
      <c r="AX254" s="76">
        <f>IFERROR(ROUND(S254*(1+AW254)/E254,2),0)</f>
        <v/>
      </c>
      <c r="AY254" s="76">
        <f>E254*AX254</f>
        <v/>
      </c>
      <c r="AZ254" s="192">
        <f>S254*(1+M254)</f>
        <v/>
      </c>
      <c r="BA254" s="76">
        <f>cost_fin_total*$BD254</f>
        <v/>
      </c>
      <c r="BB254" s="193">
        <f>credit_sales_interest*BD254</f>
        <v/>
      </c>
      <c r="BC254" s="102">
        <f>IFERROR(IF($I$13&gt;0,$I254/$I$13,$S254/$S$13),0)</f>
        <v/>
      </c>
      <c r="BD254" s="102">
        <f>IFERROR($S254/$S$13,0)</f>
        <v/>
      </c>
      <c r="BE254" s="413" t="inlineStr">
        <is>
          <t>$</t>
        </is>
      </c>
    </row>
    <row r="255" ht="12" customFormat="1" customHeight="1" s="65">
      <c r="A255" s="43" t="n">
        <v>240</v>
      </c>
      <c r="B255" s="166" t="n"/>
      <c r="C255" s="166" t="n"/>
      <c r="D255" s="166" t="n"/>
      <c r="E255" s="162" t="n"/>
      <c r="F255" s="166" t="n"/>
      <c r="G255" s="162" t="n"/>
      <c r="H255" s="162" t="n"/>
      <c r="I255" s="189">
        <f>E255*G255</f>
        <v/>
      </c>
      <c r="J255" s="195" t="n"/>
      <c r="K255" s="162" t="n"/>
      <c r="L255" s="168" t="n"/>
      <c r="M255" s="75">
        <f>_xlfn.XLOOKUP(L255,list_vat[Страна],list_vat[Ставка НДС %],0,0)</f>
        <v/>
      </c>
      <c r="N255" s="162">
        <f>IFERROR(IF(L255="Китай",K255,K255/(1+M255)),0)</f>
        <v/>
      </c>
      <c r="O255" s="169" t="n"/>
      <c r="P255" s="76">
        <f>N255*(1-O255)</f>
        <v/>
      </c>
      <c r="Q255" s="162" t="n"/>
      <c r="R255" s="162">
        <f>IF(ISBLANK(Q255),"введи курс",P255/Q255)</f>
        <v/>
      </c>
      <c r="S255" s="196">
        <f>IF(AND(ISNUMBER(E255),ISNUMBER(Q255)),E255*R255,0)</f>
        <v/>
      </c>
      <c r="T255" s="192">
        <f>$BC255*V$11</f>
        <v/>
      </c>
      <c r="U255" s="76">
        <f>$BC255*W$11</f>
        <v/>
      </c>
      <c r="V255" s="193">
        <f>+SUM(T255:U255)</f>
        <v/>
      </c>
      <c r="W255" s="191" t="n"/>
      <c r="X255" s="170" t="n"/>
      <c r="Y255" s="76">
        <f>ROUND(IF(offer_incoterms="DDP",X255*(S255*(1+AW255)+T255),0),2)</f>
        <v/>
      </c>
      <c r="Z255" s="188" t="n"/>
      <c r="AA255" s="192">
        <f>IFERROR(AB255/E255,0)</f>
        <v/>
      </c>
      <c r="AB255" s="76">
        <f>ROUND(SUM(S255,V255,Y255:Z255,BA255:BB255),2)</f>
        <v/>
      </c>
      <c r="AC255" s="797" t="n"/>
      <c r="AD255" s="192">
        <f t="array" ref="AD255">IFERROR(ROUND((_xlfn.IFS(offer_sale_type="поставка",AB255,offer_sale_type="транзит",S255)*(1+AC255))/E255,2),0)</f>
        <v/>
      </c>
      <c r="AE255" s="76">
        <f>AD255*E255</f>
        <v/>
      </c>
      <c r="AF255" s="193">
        <f t="array" ref="AF255">IFERROR(ROUND(_xlfn.IFS(offer_sale_type="поставка",AB255,offer_sale_type="транзит",S255)*AC255,2),0)</f>
        <v/>
      </c>
      <c r="AG255" s="192">
        <f>$BD255*VLOOKUP($AG$3,$AF$4:$AG$7,2,FALSE)</f>
        <v/>
      </c>
      <c r="AH255" s="76">
        <f>SUM(AE255,AG255,AI255)*rate_forex_risk</f>
        <v/>
      </c>
      <c r="AI255" s="193">
        <f>IF(OR(seller_region="TR",offer_sale_type="экспорт"),0,rate_fin_comm)*SUM(AZ255,AZ255*AW255,T255)</f>
        <v/>
      </c>
      <c r="AJ255" s="118">
        <f>IFERROR(ROUND(SUM(AB255,AF255:AI255)/E255,2),0)</f>
        <v/>
      </c>
      <c r="AK255" s="76">
        <f>AJ255*E255</f>
        <v/>
      </c>
      <c r="AL255" s="174">
        <f>ROUND(IFERROR(AM255*E255,0),2)</f>
        <v/>
      </c>
      <c r="AM255" s="175">
        <f>ROUND(AJ255*(1+IF(offer_incoterms="DDP",IF((TODAY()+offer_turnaround_time)&gt;=helpsheet!$L$17,rate_vatRU_from_26,rate_vatRu_till_25),0)),2)</f>
        <v/>
      </c>
      <c r="AN255" s="192">
        <f>AL255-AK255</f>
        <v/>
      </c>
      <c r="AO255" s="76">
        <f>SUM(AY255,Y255:Z255,T255)*IF(AND(offer_incoterms="DDP",offer_sale_type&lt;&gt;"экспорт"),IF((TODAY()+offer_turnaround_time)&gt;=helpsheet!$L$17,rate_vatRU_from_26,rate_vatRu_till_25),0)</f>
        <v/>
      </c>
      <c r="AP255" s="193">
        <f>AN255-AO255</f>
        <v/>
      </c>
      <c r="AQ255" s="118">
        <f>IF(offer_sale_type="транзит",SUM(AF255:AI255,BA255,BB255),0)</f>
        <v/>
      </c>
      <c r="AR255" s="82">
        <f>HYPERLINK("https://www.alta.ru/tnved/code/")&amp;W255&amp;"/"</f>
        <v/>
      </c>
      <c r="AS255" s="157" t="n"/>
      <c r="AT255" s="162" t="n"/>
      <c r="AU255" s="76">
        <f>IF(ISBLANK(AT255),0,AJ255-AT255)</f>
        <v/>
      </c>
      <c r="AV255" s="157" t="n"/>
      <c r="AW255" s="75">
        <f>_xlfn.IFNA(VLOOKUP(L255,list_vat[],3,FALSE),0)</f>
        <v/>
      </c>
      <c r="AX255" s="76">
        <f>IFERROR(ROUND(S255*(1+AW255)/E255,2),0)</f>
        <v/>
      </c>
      <c r="AY255" s="76">
        <f>E255*AX255</f>
        <v/>
      </c>
      <c r="AZ255" s="192">
        <f>S255*(1+M255)</f>
        <v/>
      </c>
      <c r="BA255" s="76">
        <f>cost_fin_total*$BD255</f>
        <v/>
      </c>
      <c r="BB255" s="193">
        <f>credit_sales_interest*BD255</f>
        <v/>
      </c>
      <c r="BC255" s="102">
        <f>IFERROR(IF($I$13&gt;0,$I255/$I$13,$S255/$S$13),0)</f>
        <v/>
      </c>
      <c r="BD255" s="102">
        <f>IFERROR($S255/$S$13,0)</f>
        <v/>
      </c>
      <c r="BE255" s="413" t="inlineStr">
        <is>
          <t>$</t>
        </is>
      </c>
    </row>
    <row r="256" ht="12" customFormat="1" customHeight="1" s="65">
      <c r="A256" s="43" t="n">
        <v>241</v>
      </c>
      <c r="B256" s="166" t="n"/>
      <c r="C256" s="166" t="n"/>
      <c r="D256" s="166" t="n"/>
      <c r="E256" s="162" t="n"/>
      <c r="F256" s="166" t="n"/>
      <c r="G256" s="162" t="n"/>
      <c r="H256" s="162" t="n"/>
      <c r="I256" s="189">
        <f>E256*G256</f>
        <v/>
      </c>
      <c r="J256" s="195" t="n"/>
      <c r="K256" s="162" t="n"/>
      <c r="L256" s="168" t="n"/>
      <c r="M256" s="75">
        <f>_xlfn.XLOOKUP(L256,list_vat[Страна],list_vat[Ставка НДС %],0,0)</f>
        <v/>
      </c>
      <c r="N256" s="162">
        <f>IFERROR(IF(L256="Китай",K256,K256/(1+M256)),0)</f>
        <v/>
      </c>
      <c r="O256" s="169" t="n"/>
      <c r="P256" s="76">
        <f>N256*(1-O256)</f>
        <v/>
      </c>
      <c r="Q256" s="162" t="n"/>
      <c r="R256" s="162">
        <f>IF(ISBLANK(Q256),"введи курс",P256/Q256)</f>
        <v/>
      </c>
      <c r="S256" s="196">
        <f>IF(AND(ISNUMBER(E256),ISNUMBER(Q256)),E256*R256,0)</f>
        <v/>
      </c>
      <c r="T256" s="192">
        <f>$BC256*V$11</f>
        <v/>
      </c>
      <c r="U256" s="76">
        <f>$BC256*W$11</f>
        <v/>
      </c>
      <c r="V256" s="193">
        <f>+SUM(T256:U256)</f>
        <v/>
      </c>
      <c r="W256" s="191" t="n"/>
      <c r="X256" s="170" t="n"/>
      <c r="Y256" s="76">
        <f>ROUND(IF(offer_incoterms="DDP",X256*(S256*(1+AW256)+T256),0),2)</f>
        <v/>
      </c>
      <c r="Z256" s="188" t="n"/>
      <c r="AA256" s="192">
        <f>IFERROR(AB256/E256,0)</f>
        <v/>
      </c>
      <c r="AB256" s="76">
        <f>ROUND(SUM(S256,V256,Y256:Z256,BA256:BB256),2)</f>
        <v/>
      </c>
      <c r="AC256" s="797" t="n"/>
      <c r="AD256" s="192">
        <f t="array" ref="AD256">IFERROR(ROUND((_xlfn.IFS(offer_sale_type="поставка",AB256,offer_sale_type="транзит",S256)*(1+AC256))/E256,2),0)</f>
        <v/>
      </c>
      <c r="AE256" s="76">
        <f>AD256*E256</f>
        <v/>
      </c>
      <c r="AF256" s="193">
        <f t="array" ref="AF256">IFERROR(ROUND(_xlfn.IFS(offer_sale_type="поставка",AB256,offer_sale_type="транзит",S256)*AC256,2),0)</f>
        <v/>
      </c>
      <c r="AG256" s="192">
        <f>$BD256*VLOOKUP($AG$3,$AF$4:$AG$7,2,FALSE)</f>
        <v/>
      </c>
      <c r="AH256" s="76">
        <f>SUM(AE256,AG256,AI256)*rate_forex_risk</f>
        <v/>
      </c>
      <c r="AI256" s="193">
        <f>IF(OR(seller_region="TR",offer_sale_type="экспорт"),0,rate_fin_comm)*SUM(AZ256,AZ256*AW256,T256)</f>
        <v/>
      </c>
      <c r="AJ256" s="118">
        <f>IFERROR(ROUND(SUM(AB256,AF256:AI256)/E256,2),0)</f>
        <v/>
      </c>
      <c r="AK256" s="76">
        <f>AJ256*E256</f>
        <v/>
      </c>
      <c r="AL256" s="174">
        <f>ROUND(IFERROR(AM256*E256,0),2)</f>
        <v/>
      </c>
      <c r="AM256" s="175">
        <f>ROUND(AJ256*(1+IF(offer_incoterms="DDP",IF((TODAY()+offer_turnaround_time)&gt;=helpsheet!$L$17,rate_vatRU_from_26,rate_vatRu_till_25),0)),2)</f>
        <v/>
      </c>
      <c r="AN256" s="192">
        <f>AL256-AK256</f>
        <v/>
      </c>
      <c r="AO256" s="76">
        <f>SUM(AY256,Y256:Z256,T256)*IF(AND(offer_incoterms="DDP",offer_sale_type&lt;&gt;"экспорт"),IF((TODAY()+offer_turnaround_time)&gt;=helpsheet!$L$17,rate_vatRU_from_26,rate_vatRu_till_25),0)</f>
        <v/>
      </c>
      <c r="AP256" s="193">
        <f>AN256-AO256</f>
        <v/>
      </c>
      <c r="AQ256" s="118">
        <f>IF(offer_sale_type="транзит",SUM(AF256:AI256,BA256,BB256),0)</f>
        <v/>
      </c>
      <c r="AR256" s="82">
        <f>HYPERLINK("https://www.alta.ru/tnved/code/")&amp;W256&amp;"/"</f>
        <v/>
      </c>
      <c r="AS256" s="157" t="n"/>
      <c r="AT256" s="162" t="n"/>
      <c r="AU256" s="76">
        <f>IF(ISBLANK(AT256),0,AJ256-AT256)</f>
        <v/>
      </c>
      <c r="AV256" s="157" t="n"/>
      <c r="AW256" s="75">
        <f>_xlfn.IFNA(VLOOKUP(L256,list_vat[],3,FALSE),0)</f>
        <v/>
      </c>
      <c r="AX256" s="76">
        <f>IFERROR(ROUND(S256*(1+AW256)/E256,2),0)</f>
        <v/>
      </c>
      <c r="AY256" s="76">
        <f>E256*AX256</f>
        <v/>
      </c>
      <c r="AZ256" s="192">
        <f>S256*(1+M256)</f>
        <v/>
      </c>
      <c r="BA256" s="76">
        <f>cost_fin_total*$BD256</f>
        <v/>
      </c>
      <c r="BB256" s="193">
        <f>credit_sales_interest*BD256</f>
        <v/>
      </c>
      <c r="BC256" s="102">
        <f>IFERROR(IF($I$13&gt;0,$I256/$I$13,$S256/$S$13),0)</f>
        <v/>
      </c>
      <c r="BD256" s="102">
        <f>IFERROR($S256/$S$13,0)</f>
        <v/>
      </c>
      <c r="BE256" s="413" t="inlineStr">
        <is>
          <t>$</t>
        </is>
      </c>
    </row>
    <row r="257" ht="12" customFormat="1" customHeight="1" s="65">
      <c r="A257" s="43" t="n">
        <v>242</v>
      </c>
      <c r="B257" s="166" t="n"/>
      <c r="C257" s="166" t="n"/>
      <c r="D257" s="166" t="n"/>
      <c r="E257" s="162" t="n"/>
      <c r="F257" s="166" t="n"/>
      <c r="G257" s="162" t="n"/>
      <c r="H257" s="162" t="n"/>
      <c r="I257" s="189">
        <f>E257*G257</f>
        <v/>
      </c>
      <c r="J257" s="195" t="n"/>
      <c r="K257" s="162" t="n"/>
      <c r="L257" s="168" t="n"/>
      <c r="M257" s="75">
        <f>_xlfn.XLOOKUP(L257,list_vat[Страна],list_vat[Ставка НДС %],0,0)</f>
        <v/>
      </c>
      <c r="N257" s="162">
        <f>IFERROR(IF(L257="Китай",K257,K257/(1+M257)),0)</f>
        <v/>
      </c>
      <c r="O257" s="169" t="n"/>
      <c r="P257" s="76">
        <f>N257*(1-O257)</f>
        <v/>
      </c>
      <c r="Q257" s="162" t="n"/>
      <c r="R257" s="162">
        <f>IF(ISBLANK(Q257),"введи курс",P257/Q257)</f>
        <v/>
      </c>
      <c r="S257" s="196">
        <f>IF(AND(ISNUMBER(E257),ISNUMBER(Q257)),E257*R257,0)</f>
        <v/>
      </c>
      <c r="T257" s="192">
        <f>$BC257*V$11</f>
        <v/>
      </c>
      <c r="U257" s="76">
        <f>$BC257*W$11</f>
        <v/>
      </c>
      <c r="V257" s="193">
        <f>+SUM(T257:U257)</f>
        <v/>
      </c>
      <c r="W257" s="191" t="n"/>
      <c r="X257" s="170" t="n"/>
      <c r="Y257" s="76">
        <f>ROUND(IF(offer_incoterms="DDP",X257*(S257*(1+AW257)+T257),0),2)</f>
        <v/>
      </c>
      <c r="Z257" s="188" t="n"/>
      <c r="AA257" s="192">
        <f>IFERROR(AB257/E257,0)</f>
        <v/>
      </c>
      <c r="AB257" s="76">
        <f>ROUND(SUM(S257,V257,Y257:Z257,BA257:BB257),2)</f>
        <v/>
      </c>
      <c r="AC257" s="797" t="n"/>
      <c r="AD257" s="192">
        <f t="array" ref="AD257">IFERROR(ROUND((_xlfn.IFS(offer_sale_type="поставка",AB257,offer_sale_type="транзит",S257)*(1+AC257))/E257,2),0)</f>
        <v/>
      </c>
      <c r="AE257" s="76">
        <f>AD257*E257</f>
        <v/>
      </c>
      <c r="AF257" s="193">
        <f t="array" ref="AF257">IFERROR(ROUND(_xlfn.IFS(offer_sale_type="поставка",AB257,offer_sale_type="транзит",S257)*AC257,2),0)</f>
        <v/>
      </c>
      <c r="AG257" s="192">
        <f>$BD257*VLOOKUP($AG$3,$AF$4:$AG$7,2,FALSE)</f>
        <v/>
      </c>
      <c r="AH257" s="76">
        <f>SUM(AE257,AG257,AI257)*rate_forex_risk</f>
        <v/>
      </c>
      <c r="AI257" s="193">
        <f>IF(OR(seller_region="TR",offer_sale_type="экспорт"),0,rate_fin_comm)*SUM(AZ257,AZ257*AW257,T257)</f>
        <v/>
      </c>
      <c r="AJ257" s="118">
        <f>IFERROR(ROUND(SUM(AB257,AF257:AI257)/E257,2),0)</f>
        <v/>
      </c>
      <c r="AK257" s="76">
        <f>AJ257*E257</f>
        <v/>
      </c>
      <c r="AL257" s="174">
        <f>ROUND(IFERROR(AM257*E257,0),2)</f>
        <v/>
      </c>
      <c r="AM257" s="175">
        <f>ROUND(AJ257*(1+IF(offer_incoterms="DDP",IF((TODAY()+offer_turnaround_time)&gt;=helpsheet!$L$17,rate_vatRU_from_26,rate_vatRu_till_25),0)),2)</f>
        <v/>
      </c>
      <c r="AN257" s="192">
        <f>AL257-AK257</f>
        <v/>
      </c>
      <c r="AO257" s="76">
        <f>SUM(AY257,Y257:Z257,T257)*IF(AND(offer_incoterms="DDP",offer_sale_type&lt;&gt;"экспорт"),IF((TODAY()+offer_turnaround_time)&gt;=helpsheet!$L$17,rate_vatRU_from_26,rate_vatRu_till_25),0)</f>
        <v/>
      </c>
      <c r="AP257" s="193">
        <f>AN257-AO257</f>
        <v/>
      </c>
      <c r="AQ257" s="118">
        <f>IF(offer_sale_type="транзит",SUM(AF257:AI257,BA257,BB257),0)</f>
        <v/>
      </c>
      <c r="AR257" s="82">
        <f>HYPERLINK("https://www.alta.ru/tnved/code/")&amp;W257&amp;"/"</f>
        <v/>
      </c>
      <c r="AS257" s="157" t="n"/>
      <c r="AT257" s="162" t="n"/>
      <c r="AU257" s="76">
        <f>IF(ISBLANK(AT257),0,AJ257-AT257)</f>
        <v/>
      </c>
      <c r="AV257" s="157" t="n"/>
      <c r="AW257" s="75">
        <f>_xlfn.IFNA(VLOOKUP(L257,list_vat[],3,FALSE),0)</f>
        <v/>
      </c>
      <c r="AX257" s="76">
        <f>IFERROR(ROUND(S257*(1+AW257)/E257,2),0)</f>
        <v/>
      </c>
      <c r="AY257" s="76">
        <f>E257*AX257</f>
        <v/>
      </c>
      <c r="AZ257" s="192">
        <f>S257*(1+M257)</f>
        <v/>
      </c>
      <c r="BA257" s="76">
        <f>cost_fin_total*$BD257</f>
        <v/>
      </c>
      <c r="BB257" s="193">
        <f>credit_sales_interest*BD257</f>
        <v/>
      </c>
      <c r="BC257" s="102">
        <f>IFERROR(IF($I$13&gt;0,$I257/$I$13,$S257/$S$13),0)</f>
        <v/>
      </c>
      <c r="BD257" s="102">
        <f>IFERROR($S257/$S$13,0)</f>
        <v/>
      </c>
      <c r="BE257" s="413" t="inlineStr">
        <is>
          <t>$</t>
        </is>
      </c>
    </row>
    <row r="258" ht="12" customFormat="1" customHeight="1" s="65">
      <c r="A258" s="43" t="n">
        <v>243</v>
      </c>
      <c r="B258" s="166" t="n"/>
      <c r="C258" s="166" t="n"/>
      <c r="D258" s="166" t="n"/>
      <c r="E258" s="162" t="n"/>
      <c r="F258" s="166" t="n"/>
      <c r="G258" s="162" t="n"/>
      <c r="H258" s="162" t="n"/>
      <c r="I258" s="189">
        <f>E258*G258</f>
        <v/>
      </c>
      <c r="J258" s="195" t="n"/>
      <c r="K258" s="162" t="n"/>
      <c r="L258" s="168" t="n"/>
      <c r="M258" s="75">
        <f>_xlfn.XLOOKUP(L258,list_vat[Страна],list_vat[Ставка НДС %],0,0)</f>
        <v/>
      </c>
      <c r="N258" s="162">
        <f>IFERROR(IF(L258="Китай",K258,K258/(1+M258)),0)</f>
        <v/>
      </c>
      <c r="O258" s="169" t="n"/>
      <c r="P258" s="76">
        <f>N258*(1-O258)</f>
        <v/>
      </c>
      <c r="Q258" s="162" t="n"/>
      <c r="R258" s="162">
        <f>IF(ISBLANK(Q258),"введи курс",P258/Q258)</f>
        <v/>
      </c>
      <c r="S258" s="196">
        <f>IF(AND(ISNUMBER(E258),ISNUMBER(Q258)),E258*R258,0)</f>
        <v/>
      </c>
      <c r="T258" s="192">
        <f>$BC258*V$11</f>
        <v/>
      </c>
      <c r="U258" s="76">
        <f>$BC258*W$11</f>
        <v/>
      </c>
      <c r="V258" s="193">
        <f>+SUM(T258:U258)</f>
        <v/>
      </c>
      <c r="W258" s="191" t="n"/>
      <c r="X258" s="170" t="n"/>
      <c r="Y258" s="76">
        <f>ROUND(IF(offer_incoterms="DDP",X258*(S258*(1+AW258)+T258),0),2)</f>
        <v/>
      </c>
      <c r="Z258" s="188" t="n"/>
      <c r="AA258" s="192">
        <f>IFERROR(AB258/E258,0)</f>
        <v/>
      </c>
      <c r="AB258" s="76">
        <f>ROUND(SUM(S258,V258,Y258:Z258,BA258:BB258),2)</f>
        <v/>
      </c>
      <c r="AC258" s="797" t="n"/>
      <c r="AD258" s="192">
        <f t="array" ref="AD258">IFERROR(ROUND((_xlfn.IFS(offer_sale_type="поставка",AB258,offer_sale_type="транзит",S258)*(1+AC258))/E258,2),0)</f>
        <v/>
      </c>
      <c r="AE258" s="76">
        <f>AD258*E258</f>
        <v/>
      </c>
      <c r="AF258" s="193">
        <f t="array" ref="AF258">IFERROR(ROUND(_xlfn.IFS(offer_sale_type="поставка",AB258,offer_sale_type="транзит",S258)*AC258,2),0)</f>
        <v/>
      </c>
      <c r="AG258" s="192">
        <f>$BD258*VLOOKUP($AG$3,$AF$4:$AG$7,2,FALSE)</f>
        <v/>
      </c>
      <c r="AH258" s="76">
        <f>SUM(AE258,AG258,AI258)*rate_forex_risk</f>
        <v/>
      </c>
      <c r="AI258" s="193">
        <f>IF(OR(seller_region="TR",offer_sale_type="экспорт"),0,rate_fin_comm)*SUM(AZ258,AZ258*AW258,T258)</f>
        <v/>
      </c>
      <c r="AJ258" s="118">
        <f>IFERROR(ROUND(SUM(AB258,AF258:AI258)/E258,2),0)</f>
        <v/>
      </c>
      <c r="AK258" s="76">
        <f>AJ258*E258</f>
        <v/>
      </c>
      <c r="AL258" s="174">
        <f>ROUND(IFERROR(AM258*E258,0),2)</f>
        <v/>
      </c>
      <c r="AM258" s="175">
        <f>ROUND(AJ258*(1+IF(offer_incoterms="DDP",IF((TODAY()+offer_turnaround_time)&gt;=helpsheet!$L$17,rate_vatRU_from_26,rate_vatRu_till_25),0)),2)</f>
        <v/>
      </c>
      <c r="AN258" s="192">
        <f>AL258-AK258</f>
        <v/>
      </c>
      <c r="AO258" s="76">
        <f>SUM(AY258,Y258:Z258,T258)*IF(AND(offer_incoterms="DDP",offer_sale_type&lt;&gt;"экспорт"),IF((TODAY()+offer_turnaround_time)&gt;=helpsheet!$L$17,rate_vatRU_from_26,rate_vatRu_till_25),0)</f>
        <v/>
      </c>
      <c r="AP258" s="193">
        <f>AN258-AO258</f>
        <v/>
      </c>
      <c r="AQ258" s="118">
        <f>IF(offer_sale_type="транзит",SUM(AF258:AI258,BA258,BB258),0)</f>
        <v/>
      </c>
      <c r="AR258" s="82">
        <f>HYPERLINK("https://www.alta.ru/tnved/code/")&amp;W258&amp;"/"</f>
        <v/>
      </c>
      <c r="AS258" s="157" t="n"/>
      <c r="AT258" s="162" t="n"/>
      <c r="AU258" s="76">
        <f>IF(ISBLANK(AT258),0,AJ258-AT258)</f>
        <v/>
      </c>
      <c r="AV258" s="157" t="n"/>
      <c r="AW258" s="75">
        <f>_xlfn.IFNA(VLOOKUP(L258,list_vat[],3,FALSE),0)</f>
        <v/>
      </c>
      <c r="AX258" s="76">
        <f>IFERROR(ROUND(S258*(1+AW258)/E258,2),0)</f>
        <v/>
      </c>
      <c r="AY258" s="76">
        <f>E258*AX258</f>
        <v/>
      </c>
      <c r="AZ258" s="192">
        <f>S258*(1+M258)</f>
        <v/>
      </c>
      <c r="BA258" s="76">
        <f>cost_fin_total*$BD258</f>
        <v/>
      </c>
      <c r="BB258" s="193">
        <f>credit_sales_interest*BD258</f>
        <v/>
      </c>
      <c r="BC258" s="102">
        <f>IFERROR(IF($I$13&gt;0,$I258/$I$13,$S258/$S$13),0)</f>
        <v/>
      </c>
      <c r="BD258" s="102">
        <f>IFERROR($S258/$S$13,0)</f>
        <v/>
      </c>
      <c r="BE258" s="413" t="inlineStr">
        <is>
          <t>$</t>
        </is>
      </c>
    </row>
    <row r="259" ht="12" customFormat="1" customHeight="1" s="65">
      <c r="A259" s="43" t="n">
        <v>244</v>
      </c>
      <c r="B259" s="166" t="n"/>
      <c r="C259" s="166" t="n"/>
      <c r="D259" s="166" t="n"/>
      <c r="E259" s="162" t="n"/>
      <c r="F259" s="166" t="n"/>
      <c r="G259" s="162" t="n"/>
      <c r="H259" s="162" t="n"/>
      <c r="I259" s="189">
        <f>E259*G259</f>
        <v/>
      </c>
      <c r="J259" s="195" t="n"/>
      <c r="K259" s="162" t="n"/>
      <c r="L259" s="168" t="n"/>
      <c r="M259" s="75">
        <f>_xlfn.XLOOKUP(L259,list_vat[Страна],list_vat[Ставка НДС %],0,0)</f>
        <v/>
      </c>
      <c r="N259" s="162">
        <f>IFERROR(IF(L259="Китай",K259,K259/(1+M259)),0)</f>
        <v/>
      </c>
      <c r="O259" s="169" t="n"/>
      <c r="P259" s="76">
        <f>N259*(1-O259)</f>
        <v/>
      </c>
      <c r="Q259" s="162" t="n"/>
      <c r="R259" s="162">
        <f>IF(ISBLANK(Q259),"введи курс",P259/Q259)</f>
        <v/>
      </c>
      <c r="S259" s="196">
        <f>IF(AND(ISNUMBER(E259),ISNUMBER(Q259)),E259*R259,0)</f>
        <v/>
      </c>
      <c r="T259" s="192">
        <f>$BC259*V$11</f>
        <v/>
      </c>
      <c r="U259" s="76">
        <f>$BC259*W$11</f>
        <v/>
      </c>
      <c r="V259" s="193">
        <f>+SUM(T259:U259)</f>
        <v/>
      </c>
      <c r="W259" s="191" t="n"/>
      <c r="X259" s="170" t="n"/>
      <c r="Y259" s="76">
        <f>ROUND(IF(offer_incoterms="DDP",X259*(S259*(1+AW259)+T259),0),2)</f>
        <v/>
      </c>
      <c r="Z259" s="188" t="n"/>
      <c r="AA259" s="192">
        <f>IFERROR(AB259/E259,0)</f>
        <v/>
      </c>
      <c r="AB259" s="76">
        <f>ROUND(SUM(S259,V259,Y259:Z259,BA259:BB259),2)</f>
        <v/>
      </c>
      <c r="AC259" s="797" t="n"/>
      <c r="AD259" s="192">
        <f t="array" ref="AD259">IFERROR(ROUND((_xlfn.IFS(offer_sale_type="поставка",AB259,offer_sale_type="транзит",S259)*(1+AC259))/E259,2),0)</f>
        <v/>
      </c>
      <c r="AE259" s="76">
        <f>AD259*E259</f>
        <v/>
      </c>
      <c r="AF259" s="193">
        <f t="array" ref="AF259">IFERROR(ROUND(_xlfn.IFS(offer_sale_type="поставка",AB259,offer_sale_type="транзит",S259)*AC259,2),0)</f>
        <v/>
      </c>
      <c r="AG259" s="192">
        <f>$BD259*VLOOKUP($AG$3,$AF$4:$AG$7,2,FALSE)</f>
        <v/>
      </c>
      <c r="AH259" s="76">
        <f>SUM(AE259,AG259,AI259)*rate_forex_risk</f>
        <v/>
      </c>
      <c r="AI259" s="193">
        <f>IF(OR(seller_region="TR",offer_sale_type="экспорт"),0,rate_fin_comm)*SUM(AZ259,AZ259*AW259,T259)</f>
        <v/>
      </c>
      <c r="AJ259" s="118">
        <f>IFERROR(ROUND(SUM(AB259,AF259:AI259)/E259,2),0)</f>
        <v/>
      </c>
      <c r="AK259" s="76">
        <f>AJ259*E259</f>
        <v/>
      </c>
      <c r="AL259" s="174">
        <f>ROUND(IFERROR(AM259*E259,0),2)</f>
        <v/>
      </c>
      <c r="AM259" s="175">
        <f>ROUND(AJ259*(1+IF(offer_incoterms="DDP",IF((TODAY()+offer_turnaround_time)&gt;=helpsheet!$L$17,rate_vatRU_from_26,rate_vatRu_till_25),0)),2)</f>
        <v/>
      </c>
      <c r="AN259" s="192">
        <f>AL259-AK259</f>
        <v/>
      </c>
      <c r="AO259" s="76">
        <f>SUM(AY259,Y259:Z259,T259)*IF(AND(offer_incoterms="DDP",offer_sale_type&lt;&gt;"экспорт"),IF((TODAY()+offer_turnaround_time)&gt;=helpsheet!$L$17,rate_vatRU_from_26,rate_vatRu_till_25),0)</f>
        <v/>
      </c>
      <c r="AP259" s="193">
        <f>AN259-AO259</f>
        <v/>
      </c>
      <c r="AQ259" s="118">
        <f>IF(offer_sale_type="транзит",SUM(AF259:AI259,BA259,BB259),0)</f>
        <v/>
      </c>
      <c r="AR259" s="82">
        <f>HYPERLINK("https://www.alta.ru/tnved/code/")&amp;W259&amp;"/"</f>
        <v/>
      </c>
      <c r="AS259" s="157" t="n"/>
      <c r="AT259" s="162" t="n"/>
      <c r="AU259" s="76">
        <f>IF(ISBLANK(AT259),0,AJ259-AT259)</f>
        <v/>
      </c>
      <c r="AV259" s="157" t="n"/>
      <c r="AW259" s="75">
        <f>_xlfn.IFNA(VLOOKUP(L259,list_vat[],3,FALSE),0)</f>
        <v/>
      </c>
      <c r="AX259" s="76">
        <f>IFERROR(ROUND(S259*(1+AW259)/E259,2),0)</f>
        <v/>
      </c>
      <c r="AY259" s="76">
        <f>E259*AX259</f>
        <v/>
      </c>
      <c r="AZ259" s="192">
        <f>S259*(1+M259)</f>
        <v/>
      </c>
      <c r="BA259" s="76">
        <f>cost_fin_total*$BD259</f>
        <v/>
      </c>
      <c r="BB259" s="193">
        <f>credit_sales_interest*BD259</f>
        <v/>
      </c>
      <c r="BC259" s="102">
        <f>IFERROR(IF($I$13&gt;0,$I259/$I$13,$S259/$S$13),0)</f>
        <v/>
      </c>
      <c r="BD259" s="102">
        <f>IFERROR($S259/$S$13,0)</f>
        <v/>
      </c>
      <c r="BE259" s="413" t="inlineStr">
        <is>
          <t>$</t>
        </is>
      </c>
    </row>
    <row r="260" ht="12" customFormat="1" customHeight="1" s="65">
      <c r="A260" s="43" t="n">
        <v>245</v>
      </c>
      <c r="B260" s="166" t="n"/>
      <c r="C260" s="166" t="n"/>
      <c r="D260" s="166" t="n"/>
      <c r="E260" s="162" t="n"/>
      <c r="F260" s="166" t="n"/>
      <c r="G260" s="162" t="n"/>
      <c r="H260" s="162" t="n"/>
      <c r="I260" s="189">
        <f>E260*G260</f>
        <v/>
      </c>
      <c r="J260" s="195" t="n"/>
      <c r="K260" s="162" t="n"/>
      <c r="L260" s="168" t="n"/>
      <c r="M260" s="75">
        <f>_xlfn.XLOOKUP(L260,list_vat[Страна],list_vat[Ставка НДС %],0,0)</f>
        <v/>
      </c>
      <c r="N260" s="162">
        <f>IFERROR(IF(L260="Китай",K260,K260/(1+M260)),0)</f>
        <v/>
      </c>
      <c r="O260" s="169" t="n"/>
      <c r="P260" s="76">
        <f>N260*(1-O260)</f>
        <v/>
      </c>
      <c r="Q260" s="162" t="n"/>
      <c r="R260" s="162">
        <f>IF(ISBLANK(Q260),"введи курс",P260/Q260)</f>
        <v/>
      </c>
      <c r="S260" s="196">
        <f>IF(AND(ISNUMBER(E260),ISNUMBER(Q260)),E260*R260,0)</f>
        <v/>
      </c>
      <c r="T260" s="192">
        <f>$BC260*V$11</f>
        <v/>
      </c>
      <c r="U260" s="76">
        <f>$BC260*W$11</f>
        <v/>
      </c>
      <c r="V260" s="193">
        <f>+SUM(T260:U260)</f>
        <v/>
      </c>
      <c r="W260" s="191" t="n"/>
      <c r="X260" s="170" t="n"/>
      <c r="Y260" s="76">
        <f>ROUND(IF(offer_incoterms="DDP",X260*(S260*(1+AW260)+T260),0),2)</f>
        <v/>
      </c>
      <c r="Z260" s="188" t="n"/>
      <c r="AA260" s="192">
        <f>IFERROR(AB260/E260,0)</f>
        <v/>
      </c>
      <c r="AB260" s="76">
        <f>ROUND(SUM(S260,V260,Y260:Z260,BA260:BB260),2)</f>
        <v/>
      </c>
      <c r="AC260" s="797" t="n"/>
      <c r="AD260" s="192">
        <f t="array" ref="AD260">IFERROR(ROUND((_xlfn.IFS(offer_sale_type="поставка",AB260,offer_sale_type="транзит",S260)*(1+AC260))/E260,2),0)</f>
        <v/>
      </c>
      <c r="AE260" s="76">
        <f>AD260*E260</f>
        <v/>
      </c>
      <c r="AF260" s="193">
        <f t="array" ref="AF260">IFERROR(ROUND(_xlfn.IFS(offer_sale_type="поставка",AB260,offer_sale_type="транзит",S260)*AC260,2),0)</f>
        <v/>
      </c>
      <c r="AG260" s="192">
        <f>$BD260*VLOOKUP($AG$3,$AF$4:$AG$7,2,FALSE)</f>
        <v/>
      </c>
      <c r="AH260" s="76">
        <f>SUM(AE260,AG260,AI260)*rate_forex_risk</f>
        <v/>
      </c>
      <c r="AI260" s="193">
        <f>IF(OR(seller_region="TR",offer_sale_type="экспорт"),0,rate_fin_comm)*SUM(AZ260,AZ260*AW260,T260)</f>
        <v/>
      </c>
      <c r="AJ260" s="118">
        <f>IFERROR(ROUND(SUM(AB260,AF260:AI260)/E260,2),0)</f>
        <v/>
      </c>
      <c r="AK260" s="76">
        <f>AJ260*E260</f>
        <v/>
      </c>
      <c r="AL260" s="174">
        <f>ROUND(IFERROR(AM260*E260,0),2)</f>
        <v/>
      </c>
      <c r="AM260" s="175">
        <f>ROUND(AJ260*(1+IF(offer_incoterms="DDP",IF((TODAY()+offer_turnaround_time)&gt;=helpsheet!$L$17,rate_vatRU_from_26,rate_vatRu_till_25),0)),2)</f>
        <v/>
      </c>
      <c r="AN260" s="192">
        <f>AL260-AK260</f>
        <v/>
      </c>
      <c r="AO260" s="76">
        <f>SUM(AY260,Y260:Z260,T260)*IF(AND(offer_incoterms="DDP",offer_sale_type&lt;&gt;"экспорт"),IF((TODAY()+offer_turnaround_time)&gt;=helpsheet!$L$17,rate_vatRU_from_26,rate_vatRu_till_25),0)</f>
        <v/>
      </c>
      <c r="AP260" s="193">
        <f>AN260-AO260</f>
        <v/>
      </c>
      <c r="AQ260" s="118">
        <f>IF(offer_sale_type="транзит",SUM(AF260:AI260,BA260,BB260),0)</f>
        <v/>
      </c>
      <c r="AR260" s="82">
        <f>HYPERLINK("https://www.alta.ru/tnved/code/")&amp;W260&amp;"/"</f>
        <v/>
      </c>
      <c r="AS260" s="157" t="n"/>
      <c r="AT260" s="162" t="n"/>
      <c r="AU260" s="76">
        <f>IF(ISBLANK(AT260),0,AJ260-AT260)</f>
        <v/>
      </c>
      <c r="AV260" s="157" t="n"/>
      <c r="AW260" s="75">
        <f>_xlfn.IFNA(VLOOKUP(L260,list_vat[],3,FALSE),0)</f>
        <v/>
      </c>
      <c r="AX260" s="76">
        <f>IFERROR(ROUND(S260*(1+AW260)/E260,2),0)</f>
        <v/>
      </c>
      <c r="AY260" s="76">
        <f>E260*AX260</f>
        <v/>
      </c>
      <c r="AZ260" s="192">
        <f>S260*(1+M260)</f>
        <v/>
      </c>
      <c r="BA260" s="76">
        <f>cost_fin_total*$BD260</f>
        <v/>
      </c>
      <c r="BB260" s="193">
        <f>credit_sales_interest*BD260</f>
        <v/>
      </c>
      <c r="BC260" s="102">
        <f>IFERROR(IF($I$13&gt;0,$I260/$I$13,$S260/$S$13),0)</f>
        <v/>
      </c>
      <c r="BD260" s="102">
        <f>IFERROR($S260/$S$13,0)</f>
        <v/>
      </c>
      <c r="BE260" s="413" t="inlineStr">
        <is>
          <t>$</t>
        </is>
      </c>
    </row>
    <row r="261" ht="12" customFormat="1" customHeight="1" s="65">
      <c r="A261" s="43" t="n">
        <v>246</v>
      </c>
      <c r="B261" s="166" t="n"/>
      <c r="C261" s="166" t="n"/>
      <c r="D261" s="166" t="n"/>
      <c r="E261" s="162" t="n"/>
      <c r="F261" s="166" t="n"/>
      <c r="G261" s="162" t="n"/>
      <c r="H261" s="162" t="n"/>
      <c r="I261" s="189">
        <f>E261*G261</f>
        <v/>
      </c>
      <c r="J261" s="195" t="n"/>
      <c r="K261" s="162" t="n"/>
      <c r="L261" s="168" t="n"/>
      <c r="M261" s="75">
        <f>_xlfn.XLOOKUP(L261,list_vat[Страна],list_vat[Ставка НДС %],0,0)</f>
        <v/>
      </c>
      <c r="N261" s="162">
        <f>IFERROR(IF(L261="Китай",K261,K261/(1+M261)),0)</f>
        <v/>
      </c>
      <c r="O261" s="169" t="n"/>
      <c r="P261" s="76">
        <f>N261*(1-O261)</f>
        <v/>
      </c>
      <c r="Q261" s="162" t="n"/>
      <c r="R261" s="162">
        <f>IF(ISBLANK(Q261),"введи курс",P261/Q261)</f>
        <v/>
      </c>
      <c r="S261" s="196">
        <f>IF(AND(ISNUMBER(E261),ISNUMBER(Q261)),E261*R261,0)</f>
        <v/>
      </c>
      <c r="T261" s="192">
        <f>$BC261*V$11</f>
        <v/>
      </c>
      <c r="U261" s="76">
        <f>$BC261*W$11</f>
        <v/>
      </c>
      <c r="V261" s="193">
        <f>+SUM(T261:U261)</f>
        <v/>
      </c>
      <c r="W261" s="191" t="n"/>
      <c r="X261" s="170" t="n"/>
      <c r="Y261" s="76">
        <f>ROUND(IF(offer_incoterms="DDP",X261*(S261*(1+AW261)+T261),0),2)</f>
        <v/>
      </c>
      <c r="Z261" s="188" t="n"/>
      <c r="AA261" s="192">
        <f>IFERROR(AB261/E261,0)</f>
        <v/>
      </c>
      <c r="AB261" s="76">
        <f>ROUND(SUM(S261,V261,Y261:Z261,BA261:BB261),2)</f>
        <v/>
      </c>
      <c r="AC261" s="797" t="n"/>
      <c r="AD261" s="192">
        <f t="array" ref="AD261">IFERROR(ROUND((_xlfn.IFS(offer_sale_type="поставка",AB261,offer_sale_type="транзит",S261)*(1+AC261))/E261,2),0)</f>
        <v/>
      </c>
      <c r="AE261" s="76">
        <f>AD261*E261</f>
        <v/>
      </c>
      <c r="AF261" s="193">
        <f t="array" ref="AF261">IFERROR(ROUND(_xlfn.IFS(offer_sale_type="поставка",AB261,offer_sale_type="транзит",S261)*AC261,2),0)</f>
        <v/>
      </c>
      <c r="AG261" s="192">
        <f>$BD261*VLOOKUP($AG$3,$AF$4:$AG$7,2,FALSE)</f>
        <v/>
      </c>
      <c r="AH261" s="76">
        <f>SUM(AE261,AG261,AI261)*rate_forex_risk</f>
        <v/>
      </c>
      <c r="AI261" s="193">
        <f>IF(OR(seller_region="TR",offer_sale_type="экспорт"),0,rate_fin_comm)*SUM(AZ261,AZ261*AW261,T261)</f>
        <v/>
      </c>
      <c r="AJ261" s="118">
        <f>IFERROR(ROUND(SUM(AB261,AF261:AI261)/E261,2),0)</f>
        <v/>
      </c>
      <c r="AK261" s="76">
        <f>AJ261*E261</f>
        <v/>
      </c>
      <c r="AL261" s="174">
        <f>ROUND(IFERROR(AM261*E261,0),2)</f>
        <v/>
      </c>
      <c r="AM261" s="175">
        <f>ROUND(AJ261*(1+IF(offer_incoterms="DDP",IF((TODAY()+offer_turnaround_time)&gt;=helpsheet!$L$17,rate_vatRU_from_26,rate_vatRu_till_25),0)),2)</f>
        <v/>
      </c>
      <c r="AN261" s="192">
        <f>AL261-AK261</f>
        <v/>
      </c>
      <c r="AO261" s="76">
        <f>SUM(AY261,Y261:Z261,T261)*IF(AND(offer_incoterms="DDP",offer_sale_type&lt;&gt;"экспорт"),IF((TODAY()+offer_turnaround_time)&gt;=helpsheet!$L$17,rate_vatRU_from_26,rate_vatRu_till_25),0)</f>
        <v/>
      </c>
      <c r="AP261" s="193">
        <f>AN261-AO261</f>
        <v/>
      </c>
      <c r="AQ261" s="118">
        <f>IF(offer_sale_type="транзит",SUM(AF261:AI261,BA261,BB261),0)</f>
        <v/>
      </c>
      <c r="AR261" s="82">
        <f>HYPERLINK("https://www.alta.ru/tnved/code/")&amp;W261&amp;"/"</f>
        <v/>
      </c>
      <c r="AS261" s="157" t="n"/>
      <c r="AT261" s="162" t="n"/>
      <c r="AU261" s="76">
        <f>IF(ISBLANK(AT261),0,AJ261-AT261)</f>
        <v/>
      </c>
      <c r="AV261" s="157" t="n"/>
      <c r="AW261" s="75">
        <f>_xlfn.IFNA(VLOOKUP(L261,list_vat[],3,FALSE),0)</f>
        <v/>
      </c>
      <c r="AX261" s="76">
        <f>IFERROR(ROUND(S261*(1+AW261)/E261,2),0)</f>
        <v/>
      </c>
      <c r="AY261" s="76">
        <f>E261*AX261</f>
        <v/>
      </c>
      <c r="AZ261" s="192">
        <f>S261*(1+M261)</f>
        <v/>
      </c>
      <c r="BA261" s="76">
        <f>cost_fin_total*$BD261</f>
        <v/>
      </c>
      <c r="BB261" s="193">
        <f>credit_sales_interest*BD261</f>
        <v/>
      </c>
      <c r="BC261" s="102">
        <f>IFERROR(IF($I$13&gt;0,$I261/$I$13,$S261/$S$13),0)</f>
        <v/>
      </c>
      <c r="BD261" s="102">
        <f>IFERROR($S261/$S$13,0)</f>
        <v/>
      </c>
      <c r="BE261" s="413" t="inlineStr">
        <is>
          <t>$</t>
        </is>
      </c>
    </row>
    <row r="262" ht="12" customFormat="1" customHeight="1" s="65">
      <c r="A262" s="43" t="n">
        <v>247</v>
      </c>
      <c r="B262" s="166" t="n"/>
      <c r="C262" s="166" t="n"/>
      <c r="D262" s="166" t="n"/>
      <c r="E262" s="162" t="n"/>
      <c r="F262" s="166" t="n"/>
      <c r="G262" s="162" t="n"/>
      <c r="H262" s="162" t="n"/>
      <c r="I262" s="189">
        <f>E262*G262</f>
        <v/>
      </c>
      <c r="J262" s="195" t="n"/>
      <c r="K262" s="162" t="n"/>
      <c r="L262" s="168" t="n"/>
      <c r="M262" s="75">
        <f>_xlfn.XLOOKUP(L262,list_vat[Страна],list_vat[Ставка НДС %],0,0)</f>
        <v/>
      </c>
      <c r="N262" s="162">
        <f>IFERROR(IF(L262="Китай",K262,K262/(1+M262)),0)</f>
        <v/>
      </c>
      <c r="O262" s="169" t="n"/>
      <c r="P262" s="76">
        <f>N262*(1-O262)</f>
        <v/>
      </c>
      <c r="Q262" s="162" t="n"/>
      <c r="R262" s="162">
        <f>IF(ISBLANK(Q262),"введи курс",P262/Q262)</f>
        <v/>
      </c>
      <c r="S262" s="196">
        <f>IF(AND(ISNUMBER(E262),ISNUMBER(Q262)),E262*R262,0)</f>
        <v/>
      </c>
      <c r="T262" s="192">
        <f>$BC262*V$11</f>
        <v/>
      </c>
      <c r="U262" s="76">
        <f>$BC262*W$11</f>
        <v/>
      </c>
      <c r="V262" s="193">
        <f>+SUM(T262:U262)</f>
        <v/>
      </c>
      <c r="W262" s="191" t="n"/>
      <c r="X262" s="170" t="n"/>
      <c r="Y262" s="76">
        <f>ROUND(IF(offer_incoterms="DDP",X262*(S262*(1+AW262)+T262),0),2)</f>
        <v/>
      </c>
      <c r="Z262" s="188" t="n"/>
      <c r="AA262" s="192">
        <f>IFERROR(AB262/E262,0)</f>
        <v/>
      </c>
      <c r="AB262" s="76">
        <f>ROUND(SUM(S262,V262,Y262:Z262,BA262:BB262),2)</f>
        <v/>
      </c>
      <c r="AC262" s="797" t="n"/>
      <c r="AD262" s="192">
        <f t="array" ref="AD262">IFERROR(ROUND((_xlfn.IFS(offer_sale_type="поставка",AB262,offer_sale_type="транзит",S262)*(1+AC262))/E262,2),0)</f>
        <v/>
      </c>
      <c r="AE262" s="76">
        <f>AD262*E262</f>
        <v/>
      </c>
      <c r="AF262" s="193">
        <f t="array" ref="AF262">IFERROR(ROUND(_xlfn.IFS(offer_sale_type="поставка",AB262,offer_sale_type="транзит",S262)*AC262,2),0)</f>
        <v/>
      </c>
      <c r="AG262" s="192">
        <f>$BD262*VLOOKUP($AG$3,$AF$4:$AG$7,2,FALSE)</f>
        <v/>
      </c>
      <c r="AH262" s="76">
        <f>SUM(AE262,AG262,AI262)*rate_forex_risk</f>
        <v/>
      </c>
      <c r="AI262" s="193">
        <f>IF(OR(seller_region="TR",offer_sale_type="экспорт"),0,rate_fin_comm)*SUM(AZ262,AZ262*AW262,T262)</f>
        <v/>
      </c>
      <c r="AJ262" s="118">
        <f>IFERROR(ROUND(SUM(AB262,AF262:AI262)/E262,2),0)</f>
        <v/>
      </c>
      <c r="AK262" s="76">
        <f>AJ262*E262</f>
        <v/>
      </c>
      <c r="AL262" s="174">
        <f>ROUND(IFERROR(AM262*E262,0),2)</f>
        <v/>
      </c>
      <c r="AM262" s="175">
        <f>ROUND(AJ262*(1+IF(offer_incoterms="DDP",IF((TODAY()+offer_turnaround_time)&gt;=helpsheet!$L$17,rate_vatRU_from_26,rate_vatRu_till_25),0)),2)</f>
        <v/>
      </c>
      <c r="AN262" s="192">
        <f>AL262-AK262</f>
        <v/>
      </c>
      <c r="AO262" s="76">
        <f>SUM(AY262,Y262:Z262,T262)*IF(AND(offer_incoterms="DDP",offer_sale_type&lt;&gt;"экспорт"),IF((TODAY()+offer_turnaround_time)&gt;=helpsheet!$L$17,rate_vatRU_from_26,rate_vatRu_till_25),0)</f>
        <v/>
      </c>
      <c r="AP262" s="193">
        <f>AN262-AO262</f>
        <v/>
      </c>
      <c r="AQ262" s="118">
        <f>IF(offer_sale_type="транзит",SUM(AF262:AI262,BA262,BB262),0)</f>
        <v/>
      </c>
      <c r="AR262" s="82">
        <f>HYPERLINK("https://www.alta.ru/tnved/code/")&amp;W262&amp;"/"</f>
        <v/>
      </c>
      <c r="AS262" s="157" t="n"/>
      <c r="AT262" s="162" t="n"/>
      <c r="AU262" s="76">
        <f>IF(ISBLANK(AT262),0,AJ262-AT262)</f>
        <v/>
      </c>
      <c r="AV262" s="157" t="n"/>
      <c r="AW262" s="75">
        <f>_xlfn.IFNA(VLOOKUP(L262,list_vat[],3,FALSE),0)</f>
        <v/>
      </c>
      <c r="AX262" s="76">
        <f>IFERROR(ROUND(S262*(1+AW262)/E262,2),0)</f>
        <v/>
      </c>
      <c r="AY262" s="76">
        <f>E262*AX262</f>
        <v/>
      </c>
      <c r="AZ262" s="192">
        <f>S262*(1+M262)</f>
        <v/>
      </c>
      <c r="BA262" s="76">
        <f>cost_fin_total*$BD262</f>
        <v/>
      </c>
      <c r="BB262" s="193">
        <f>credit_sales_interest*BD262</f>
        <v/>
      </c>
      <c r="BC262" s="102">
        <f>IFERROR(IF($I$13&gt;0,$I262/$I$13,$S262/$S$13),0)</f>
        <v/>
      </c>
      <c r="BD262" s="102">
        <f>IFERROR($S262/$S$13,0)</f>
        <v/>
      </c>
      <c r="BE262" s="413" t="inlineStr">
        <is>
          <t>$</t>
        </is>
      </c>
    </row>
    <row r="263" ht="12" customFormat="1" customHeight="1" s="65">
      <c r="A263" s="43" t="n">
        <v>248</v>
      </c>
      <c r="B263" s="166" t="n"/>
      <c r="C263" s="166" t="n"/>
      <c r="D263" s="166" t="n"/>
      <c r="E263" s="162" t="n"/>
      <c r="F263" s="166" t="n"/>
      <c r="G263" s="162" t="n"/>
      <c r="H263" s="162" t="n"/>
      <c r="I263" s="189">
        <f>E263*G263</f>
        <v/>
      </c>
      <c r="J263" s="195" t="n"/>
      <c r="K263" s="162" t="n"/>
      <c r="L263" s="168" t="n"/>
      <c r="M263" s="75">
        <f>_xlfn.XLOOKUP(L263,list_vat[Страна],list_vat[Ставка НДС %],0,0)</f>
        <v/>
      </c>
      <c r="N263" s="162">
        <f>IFERROR(IF(L263="Китай",K263,K263/(1+M263)),0)</f>
        <v/>
      </c>
      <c r="O263" s="169" t="n"/>
      <c r="P263" s="76">
        <f>N263*(1-O263)</f>
        <v/>
      </c>
      <c r="Q263" s="162" t="n"/>
      <c r="R263" s="162">
        <f>IF(ISBLANK(Q263),"введи курс",P263/Q263)</f>
        <v/>
      </c>
      <c r="S263" s="196">
        <f>IF(AND(ISNUMBER(E263),ISNUMBER(Q263)),E263*R263,0)</f>
        <v/>
      </c>
      <c r="T263" s="192">
        <f>$BC263*V$11</f>
        <v/>
      </c>
      <c r="U263" s="76">
        <f>$BC263*W$11</f>
        <v/>
      </c>
      <c r="V263" s="193">
        <f>+SUM(T263:U263)</f>
        <v/>
      </c>
      <c r="W263" s="191" t="n"/>
      <c r="X263" s="170" t="n"/>
      <c r="Y263" s="76">
        <f>ROUND(IF(offer_incoterms="DDP",X263*(S263*(1+AW263)+T263),0),2)</f>
        <v/>
      </c>
      <c r="Z263" s="188" t="n"/>
      <c r="AA263" s="192">
        <f>IFERROR(AB263/E263,0)</f>
        <v/>
      </c>
      <c r="AB263" s="76">
        <f>ROUND(SUM(S263,V263,Y263:Z263,BA263:BB263),2)</f>
        <v/>
      </c>
      <c r="AC263" s="797" t="n"/>
      <c r="AD263" s="192">
        <f t="array" ref="AD263">IFERROR(ROUND((_xlfn.IFS(offer_sale_type="поставка",AB263,offer_sale_type="транзит",S263)*(1+AC263))/E263,2),0)</f>
        <v/>
      </c>
      <c r="AE263" s="76">
        <f>AD263*E263</f>
        <v/>
      </c>
      <c r="AF263" s="193">
        <f t="array" ref="AF263">IFERROR(ROUND(_xlfn.IFS(offer_sale_type="поставка",AB263,offer_sale_type="транзит",S263)*AC263,2),0)</f>
        <v/>
      </c>
      <c r="AG263" s="192">
        <f>$BD263*VLOOKUP($AG$3,$AF$4:$AG$7,2,FALSE)</f>
        <v/>
      </c>
      <c r="AH263" s="76">
        <f>SUM(AE263,AG263,AI263)*rate_forex_risk</f>
        <v/>
      </c>
      <c r="AI263" s="193">
        <f>IF(OR(seller_region="TR",offer_sale_type="экспорт"),0,rate_fin_comm)*SUM(AZ263,AZ263*AW263,T263)</f>
        <v/>
      </c>
      <c r="AJ263" s="118">
        <f>IFERROR(ROUND(SUM(AB263,AF263:AI263)/E263,2),0)</f>
        <v/>
      </c>
      <c r="AK263" s="76">
        <f>AJ263*E263</f>
        <v/>
      </c>
      <c r="AL263" s="174">
        <f>ROUND(IFERROR(AM263*E263,0),2)</f>
        <v/>
      </c>
      <c r="AM263" s="175">
        <f>ROUND(AJ263*(1+IF(offer_incoterms="DDP",IF((TODAY()+offer_turnaround_time)&gt;=helpsheet!$L$17,rate_vatRU_from_26,rate_vatRu_till_25),0)),2)</f>
        <v/>
      </c>
      <c r="AN263" s="192">
        <f>AL263-AK263</f>
        <v/>
      </c>
      <c r="AO263" s="76">
        <f>SUM(AY263,Y263:Z263,T263)*IF(AND(offer_incoterms="DDP",offer_sale_type&lt;&gt;"экспорт"),IF((TODAY()+offer_turnaround_time)&gt;=helpsheet!$L$17,rate_vatRU_from_26,rate_vatRu_till_25),0)</f>
        <v/>
      </c>
      <c r="AP263" s="193">
        <f>AN263-AO263</f>
        <v/>
      </c>
      <c r="AQ263" s="118">
        <f>IF(offer_sale_type="транзит",SUM(AF263:AI263,BA263,BB263),0)</f>
        <v/>
      </c>
      <c r="AR263" s="82">
        <f>HYPERLINK("https://www.alta.ru/tnved/code/")&amp;W263&amp;"/"</f>
        <v/>
      </c>
      <c r="AS263" s="157" t="n"/>
      <c r="AT263" s="162" t="n"/>
      <c r="AU263" s="76">
        <f>IF(ISBLANK(AT263),0,AJ263-AT263)</f>
        <v/>
      </c>
      <c r="AV263" s="157" t="n"/>
      <c r="AW263" s="75">
        <f>_xlfn.IFNA(VLOOKUP(L263,list_vat[],3,FALSE),0)</f>
        <v/>
      </c>
      <c r="AX263" s="76">
        <f>IFERROR(ROUND(S263*(1+AW263)/E263,2),0)</f>
        <v/>
      </c>
      <c r="AY263" s="76">
        <f>E263*AX263</f>
        <v/>
      </c>
      <c r="AZ263" s="192">
        <f>S263*(1+M263)</f>
        <v/>
      </c>
      <c r="BA263" s="76">
        <f>cost_fin_total*$BD263</f>
        <v/>
      </c>
      <c r="BB263" s="193">
        <f>credit_sales_interest*BD263</f>
        <v/>
      </c>
      <c r="BC263" s="102">
        <f>IFERROR(IF($I$13&gt;0,$I263/$I$13,$S263/$S$13),0)</f>
        <v/>
      </c>
      <c r="BD263" s="102">
        <f>IFERROR($S263/$S$13,0)</f>
        <v/>
      </c>
      <c r="BE263" s="413" t="inlineStr">
        <is>
          <t>$</t>
        </is>
      </c>
    </row>
    <row r="264" ht="12" customFormat="1" customHeight="1" s="65">
      <c r="A264" s="43" t="n">
        <v>249</v>
      </c>
      <c r="B264" s="166" t="n"/>
      <c r="C264" s="166" t="n"/>
      <c r="D264" s="166" t="n"/>
      <c r="E264" s="162" t="n"/>
      <c r="F264" s="166" t="n"/>
      <c r="G264" s="162" t="n"/>
      <c r="H264" s="162" t="n"/>
      <c r="I264" s="189">
        <f>E264*G264</f>
        <v/>
      </c>
      <c r="J264" s="195" t="n"/>
      <c r="K264" s="162" t="n"/>
      <c r="L264" s="168" t="n"/>
      <c r="M264" s="75">
        <f>_xlfn.XLOOKUP(L264,list_vat[Страна],list_vat[Ставка НДС %],0,0)</f>
        <v/>
      </c>
      <c r="N264" s="162">
        <f>IFERROR(IF(L264="Китай",K264,K264/(1+M264)),0)</f>
        <v/>
      </c>
      <c r="O264" s="169" t="n"/>
      <c r="P264" s="76">
        <f>N264*(1-O264)</f>
        <v/>
      </c>
      <c r="Q264" s="162" t="n"/>
      <c r="R264" s="162">
        <f>IF(ISBLANK(Q264),"введи курс",P264/Q264)</f>
        <v/>
      </c>
      <c r="S264" s="196">
        <f>IF(AND(ISNUMBER(E264),ISNUMBER(Q264)),E264*R264,0)</f>
        <v/>
      </c>
      <c r="T264" s="192">
        <f>$BC264*V$11</f>
        <v/>
      </c>
      <c r="U264" s="76">
        <f>$BC264*W$11</f>
        <v/>
      </c>
      <c r="V264" s="193">
        <f>+SUM(T264:U264)</f>
        <v/>
      </c>
      <c r="W264" s="191" t="n"/>
      <c r="X264" s="170" t="n"/>
      <c r="Y264" s="76">
        <f>ROUND(IF(offer_incoterms="DDP",X264*(S264*(1+AW264)+T264),0),2)</f>
        <v/>
      </c>
      <c r="Z264" s="188" t="n"/>
      <c r="AA264" s="192">
        <f>IFERROR(AB264/E264,0)</f>
        <v/>
      </c>
      <c r="AB264" s="76">
        <f>ROUND(SUM(S264,V264,Y264:Z264,BA264:BB264),2)</f>
        <v/>
      </c>
      <c r="AC264" s="797" t="n"/>
      <c r="AD264" s="192">
        <f t="array" ref="AD264">IFERROR(ROUND((_xlfn.IFS(offer_sale_type="поставка",AB264,offer_sale_type="транзит",S264)*(1+AC264))/E264,2),0)</f>
        <v/>
      </c>
      <c r="AE264" s="76">
        <f>AD264*E264</f>
        <v/>
      </c>
      <c r="AF264" s="193">
        <f t="array" ref="AF264">IFERROR(ROUND(_xlfn.IFS(offer_sale_type="поставка",AB264,offer_sale_type="транзит",S264)*AC264,2),0)</f>
        <v/>
      </c>
      <c r="AG264" s="192">
        <f>$BD264*VLOOKUP($AG$3,$AF$4:$AG$7,2,FALSE)</f>
        <v/>
      </c>
      <c r="AH264" s="76">
        <f>SUM(AE264,AG264,AI264)*rate_forex_risk</f>
        <v/>
      </c>
      <c r="AI264" s="193">
        <f>IF(OR(seller_region="TR",offer_sale_type="экспорт"),0,rate_fin_comm)*SUM(AZ264,AZ264*AW264,T264)</f>
        <v/>
      </c>
      <c r="AJ264" s="118">
        <f>IFERROR(ROUND(SUM(AB264,AF264:AI264)/E264,2),0)</f>
        <v/>
      </c>
      <c r="AK264" s="76">
        <f>AJ264*E264</f>
        <v/>
      </c>
      <c r="AL264" s="174">
        <f>ROUND(IFERROR(AM264*E264,0),2)</f>
        <v/>
      </c>
      <c r="AM264" s="175">
        <f>ROUND(AJ264*(1+IF(offer_incoterms="DDP",IF((TODAY()+offer_turnaround_time)&gt;=helpsheet!$L$17,rate_vatRU_from_26,rate_vatRu_till_25),0)),2)</f>
        <v/>
      </c>
      <c r="AN264" s="192">
        <f>AL264-AK264</f>
        <v/>
      </c>
      <c r="AO264" s="76">
        <f>SUM(AY264,Y264:Z264,T264)*IF(AND(offer_incoterms="DDP",offer_sale_type&lt;&gt;"экспорт"),IF((TODAY()+offer_turnaround_time)&gt;=helpsheet!$L$17,rate_vatRU_from_26,rate_vatRu_till_25),0)</f>
        <v/>
      </c>
      <c r="AP264" s="193">
        <f>AN264-AO264</f>
        <v/>
      </c>
      <c r="AQ264" s="118">
        <f>IF(offer_sale_type="транзит",SUM(AF264:AI264,BA264,BB264),0)</f>
        <v/>
      </c>
      <c r="AR264" s="82">
        <f>HYPERLINK("https://www.alta.ru/tnved/code/")&amp;W264&amp;"/"</f>
        <v/>
      </c>
      <c r="AS264" s="157" t="n"/>
      <c r="AT264" s="162" t="n"/>
      <c r="AU264" s="76">
        <f>IF(ISBLANK(AT264),0,AJ264-AT264)</f>
        <v/>
      </c>
      <c r="AV264" s="157" t="n"/>
      <c r="AW264" s="75">
        <f>_xlfn.IFNA(VLOOKUP(L264,list_vat[],3,FALSE),0)</f>
        <v/>
      </c>
      <c r="AX264" s="76">
        <f>IFERROR(ROUND(S264*(1+AW264)/E264,2),0)</f>
        <v/>
      </c>
      <c r="AY264" s="76">
        <f>E264*AX264</f>
        <v/>
      </c>
      <c r="AZ264" s="192">
        <f>S264*(1+M264)</f>
        <v/>
      </c>
      <c r="BA264" s="76">
        <f>cost_fin_total*$BD264</f>
        <v/>
      </c>
      <c r="BB264" s="193">
        <f>credit_sales_interest*BD264</f>
        <v/>
      </c>
      <c r="BC264" s="102">
        <f>IFERROR(IF($I$13&gt;0,$I264/$I$13,$S264/$S$13),0)</f>
        <v/>
      </c>
      <c r="BD264" s="102">
        <f>IFERROR($S264/$S$13,0)</f>
        <v/>
      </c>
      <c r="BE264" s="413" t="inlineStr">
        <is>
          <t>$</t>
        </is>
      </c>
    </row>
    <row r="265" ht="12" customFormat="1" customHeight="1" s="65">
      <c r="A265" s="43" t="n">
        <v>250</v>
      </c>
      <c r="B265" s="166" t="n"/>
      <c r="C265" s="166" t="n"/>
      <c r="D265" s="166" t="n"/>
      <c r="E265" s="162" t="n"/>
      <c r="F265" s="166" t="n"/>
      <c r="G265" s="162" t="n"/>
      <c r="H265" s="162" t="n"/>
      <c r="I265" s="189">
        <f>E265*G265</f>
        <v/>
      </c>
      <c r="J265" s="195" t="n"/>
      <c r="K265" s="162" t="n"/>
      <c r="L265" s="168" t="n"/>
      <c r="M265" s="75">
        <f>_xlfn.XLOOKUP(L265,list_vat[Страна],list_vat[Ставка НДС %],0,0)</f>
        <v/>
      </c>
      <c r="N265" s="162">
        <f>IFERROR(IF(L265="Китай",K265,K265/(1+M265)),0)</f>
        <v/>
      </c>
      <c r="O265" s="169" t="n"/>
      <c r="P265" s="76">
        <f>N265*(1-O265)</f>
        <v/>
      </c>
      <c r="Q265" s="162" t="n"/>
      <c r="R265" s="162">
        <f>IF(ISBLANK(Q265),"введи курс",P265/Q265)</f>
        <v/>
      </c>
      <c r="S265" s="196">
        <f>IF(AND(ISNUMBER(E265),ISNUMBER(Q265)),E265*R265,0)</f>
        <v/>
      </c>
      <c r="T265" s="192">
        <f>$BC265*V$11</f>
        <v/>
      </c>
      <c r="U265" s="76">
        <f>$BC265*W$11</f>
        <v/>
      </c>
      <c r="V265" s="193">
        <f>+SUM(T265:U265)</f>
        <v/>
      </c>
      <c r="W265" s="191" t="n"/>
      <c r="X265" s="170" t="n"/>
      <c r="Y265" s="76">
        <f>ROUND(IF(offer_incoterms="DDP",X265*(S265*(1+AW265)+T265),0),2)</f>
        <v/>
      </c>
      <c r="Z265" s="188" t="n"/>
      <c r="AA265" s="192">
        <f>IFERROR(AB265/E265,0)</f>
        <v/>
      </c>
      <c r="AB265" s="76">
        <f>ROUND(SUM(S265,V265,Y265:Z265,BA265:BB265),2)</f>
        <v/>
      </c>
      <c r="AC265" s="797" t="n"/>
      <c r="AD265" s="192">
        <f t="array" ref="AD265">IFERROR(ROUND((_xlfn.IFS(offer_sale_type="поставка",AB265,offer_sale_type="транзит",S265)*(1+AC265))/E265,2),0)</f>
        <v/>
      </c>
      <c r="AE265" s="76">
        <f>AD265*E265</f>
        <v/>
      </c>
      <c r="AF265" s="193">
        <f t="array" ref="AF265">IFERROR(ROUND(_xlfn.IFS(offer_sale_type="поставка",AB265,offer_sale_type="транзит",S265)*AC265,2),0)</f>
        <v/>
      </c>
      <c r="AG265" s="192">
        <f>$BD265*VLOOKUP($AG$3,$AF$4:$AG$7,2,FALSE)</f>
        <v/>
      </c>
      <c r="AH265" s="76">
        <f>SUM(AE265,AG265,AI265)*rate_forex_risk</f>
        <v/>
      </c>
      <c r="AI265" s="193">
        <f>IF(OR(seller_region="TR",offer_sale_type="экспорт"),0,rate_fin_comm)*SUM(AZ265,AZ265*AW265,T265)</f>
        <v/>
      </c>
      <c r="AJ265" s="118">
        <f>IFERROR(ROUND(SUM(AB265,AF265:AI265)/E265,2),0)</f>
        <v/>
      </c>
      <c r="AK265" s="76">
        <f>AJ265*E265</f>
        <v/>
      </c>
      <c r="AL265" s="174">
        <f>ROUND(IFERROR(AM265*E265,0),2)</f>
        <v/>
      </c>
      <c r="AM265" s="175">
        <f>ROUND(AJ265*(1+IF(offer_incoterms="DDP",IF((TODAY()+offer_turnaround_time)&gt;=helpsheet!$L$17,rate_vatRU_from_26,rate_vatRu_till_25),0)),2)</f>
        <v/>
      </c>
      <c r="AN265" s="192">
        <f>AL265-AK265</f>
        <v/>
      </c>
      <c r="AO265" s="76">
        <f>SUM(AY265,Y265:Z265,T265)*IF(AND(offer_incoterms="DDP",offer_sale_type&lt;&gt;"экспорт"),IF((TODAY()+offer_turnaround_time)&gt;=helpsheet!$L$17,rate_vatRU_from_26,rate_vatRu_till_25),0)</f>
        <v/>
      </c>
      <c r="AP265" s="193">
        <f>AN265-AO265</f>
        <v/>
      </c>
      <c r="AQ265" s="118">
        <f>IF(offer_sale_type="транзит",SUM(AF265:AI265,BA265,BB265),0)</f>
        <v/>
      </c>
      <c r="AR265" s="82">
        <f>HYPERLINK("https://www.alta.ru/tnved/code/")&amp;W265&amp;"/"</f>
        <v/>
      </c>
      <c r="AS265" s="157" t="n"/>
      <c r="AT265" s="162" t="n"/>
      <c r="AU265" s="76">
        <f>IF(ISBLANK(AT265),0,AJ265-AT265)</f>
        <v/>
      </c>
      <c r="AV265" s="157" t="n"/>
      <c r="AW265" s="75">
        <f>_xlfn.IFNA(VLOOKUP(L265,list_vat[],3,FALSE),0)</f>
        <v/>
      </c>
      <c r="AX265" s="76">
        <f>IFERROR(ROUND(S265*(1+AW265)/E265,2),0)</f>
        <v/>
      </c>
      <c r="AY265" s="76">
        <f>E265*AX265</f>
        <v/>
      </c>
      <c r="AZ265" s="192">
        <f>S265*(1+M265)</f>
        <v/>
      </c>
      <c r="BA265" s="76">
        <f>cost_fin_total*$BD265</f>
        <v/>
      </c>
      <c r="BB265" s="193">
        <f>credit_sales_interest*BD265</f>
        <v/>
      </c>
      <c r="BC265" s="102">
        <f>IFERROR(IF($I$13&gt;0,$I265/$I$13,$S265/$S$13),0)</f>
        <v/>
      </c>
      <c r="BD265" s="102">
        <f>IFERROR($S265/$S$13,0)</f>
        <v/>
      </c>
      <c r="BE265" s="413" t="inlineStr">
        <is>
          <t>$</t>
        </is>
      </c>
    </row>
    <row r="266" ht="12" customFormat="1" customHeight="1" s="65">
      <c r="A266" s="43" t="n">
        <v>251</v>
      </c>
      <c r="B266" s="166" t="n"/>
      <c r="C266" s="166" t="n"/>
      <c r="D266" s="166" t="n"/>
      <c r="E266" s="162" t="n"/>
      <c r="F266" s="166" t="n"/>
      <c r="G266" s="162" t="n"/>
      <c r="H266" s="162" t="n"/>
      <c r="I266" s="189">
        <f>E266*G266</f>
        <v/>
      </c>
      <c r="J266" s="195" t="n"/>
      <c r="K266" s="162" t="n"/>
      <c r="L266" s="168" t="n"/>
      <c r="M266" s="75">
        <f>_xlfn.XLOOKUP(L266,list_vat[Страна],list_vat[Ставка НДС %],0,0)</f>
        <v/>
      </c>
      <c r="N266" s="162">
        <f>IFERROR(IF(L266="Китай",K266,K266/(1+M266)),0)</f>
        <v/>
      </c>
      <c r="O266" s="169" t="n"/>
      <c r="P266" s="76">
        <f>N266*(1-O266)</f>
        <v/>
      </c>
      <c r="Q266" s="162" t="n"/>
      <c r="R266" s="162">
        <f>IF(ISBLANK(Q266),"введи курс",P266/Q266)</f>
        <v/>
      </c>
      <c r="S266" s="196">
        <f>IF(AND(ISNUMBER(E266),ISNUMBER(Q266)),E266*R266,0)</f>
        <v/>
      </c>
      <c r="T266" s="192">
        <f>$BC266*V$11</f>
        <v/>
      </c>
      <c r="U266" s="76">
        <f>$BC266*W$11</f>
        <v/>
      </c>
      <c r="V266" s="193">
        <f>+SUM(T266:U266)</f>
        <v/>
      </c>
      <c r="W266" s="191" t="n"/>
      <c r="X266" s="170" t="n"/>
      <c r="Y266" s="76">
        <f>ROUND(IF(offer_incoterms="DDP",X266*(S266*(1+AW266)+T266),0),2)</f>
        <v/>
      </c>
      <c r="Z266" s="188" t="n"/>
      <c r="AA266" s="192">
        <f>IFERROR(AB266/E266,0)</f>
        <v/>
      </c>
      <c r="AB266" s="76">
        <f>ROUND(SUM(S266,V266,Y266:Z266,BA266:BB266),2)</f>
        <v/>
      </c>
      <c r="AC266" s="797" t="n"/>
      <c r="AD266" s="192">
        <f t="array" ref="AD266">IFERROR(ROUND((_xlfn.IFS(offer_sale_type="поставка",AB266,offer_sale_type="транзит",S266)*(1+AC266))/E266,2),0)</f>
        <v/>
      </c>
      <c r="AE266" s="76">
        <f>AD266*E266</f>
        <v/>
      </c>
      <c r="AF266" s="193">
        <f t="array" ref="AF266">IFERROR(ROUND(_xlfn.IFS(offer_sale_type="поставка",AB266,offer_sale_type="транзит",S266)*AC266,2),0)</f>
        <v/>
      </c>
      <c r="AG266" s="192">
        <f>$BD266*VLOOKUP($AG$3,$AF$4:$AG$7,2,FALSE)</f>
        <v/>
      </c>
      <c r="AH266" s="76">
        <f>SUM(AE266,AG266,AI266)*rate_forex_risk</f>
        <v/>
      </c>
      <c r="AI266" s="193">
        <f>IF(OR(seller_region="TR",offer_sale_type="экспорт"),0,rate_fin_comm)*SUM(AZ266,AZ266*AW266,T266)</f>
        <v/>
      </c>
      <c r="AJ266" s="118">
        <f>IFERROR(ROUND(SUM(AB266,AF266:AI266)/E266,2),0)</f>
        <v/>
      </c>
      <c r="AK266" s="76">
        <f>AJ266*E266</f>
        <v/>
      </c>
      <c r="AL266" s="174">
        <f>ROUND(IFERROR(AM266*E266,0),2)</f>
        <v/>
      </c>
      <c r="AM266" s="175">
        <f>ROUND(AJ266*(1+IF(offer_incoterms="DDP",IF((TODAY()+offer_turnaround_time)&gt;=helpsheet!$L$17,rate_vatRU_from_26,rate_vatRu_till_25),0)),2)</f>
        <v/>
      </c>
      <c r="AN266" s="192">
        <f>AL266-AK266</f>
        <v/>
      </c>
      <c r="AO266" s="76">
        <f>SUM(AY266,Y266:Z266,T266)*IF(AND(offer_incoterms="DDP",offer_sale_type&lt;&gt;"экспорт"),IF((TODAY()+offer_turnaround_time)&gt;=helpsheet!$L$17,rate_vatRU_from_26,rate_vatRu_till_25),0)</f>
        <v/>
      </c>
      <c r="AP266" s="193">
        <f>AN266-AO266</f>
        <v/>
      </c>
      <c r="AQ266" s="118">
        <f>IF(offer_sale_type="транзит",SUM(AF266:AI266,BA266,BB266),0)</f>
        <v/>
      </c>
      <c r="AR266" s="82">
        <f>HYPERLINK("https://www.alta.ru/tnved/code/")&amp;W266&amp;"/"</f>
        <v/>
      </c>
      <c r="AS266" s="157" t="n"/>
      <c r="AT266" s="162" t="n"/>
      <c r="AU266" s="76">
        <f>IF(ISBLANK(AT266),0,AJ266-AT266)</f>
        <v/>
      </c>
      <c r="AV266" s="157" t="n"/>
      <c r="AW266" s="75">
        <f>_xlfn.IFNA(VLOOKUP(L266,list_vat[],3,FALSE),0)</f>
        <v/>
      </c>
      <c r="AX266" s="76">
        <f>IFERROR(ROUND(S266*(1+AW266)/E266,2),0)</f>
        <v/>
      </c>
      <c r="AY266" s="76">
        <f>E266*AX266</f>
        <v/>
      </c>
      <c r="AZ266" s="192">
        <f>S266*(1+M266)</f>
        <v/>
      </c>
      <c r="BA266" s="76">
        <f>cost_fin_total*$BD266</f>
        <v/>
      </c>
      <c r="BB266" s="193">
        <f>credit_sales_interest*BD266</f>
        <v/>
      </c>
      <c r="BC266" s="102">
        <f>IFERROR(IF($I$13&gt;0,$I266/$I$13,$S266/$S$13),0)</f>
        <v/>
      </c>
      <c r="BD266" s="102">
        <f>IFERROR($S266/$S$13,0)</f>
        <v/>
      </c>
      <c r="BE266" s="413" t="inlineStr">
        <is>
          <t>$</t>
        </is>
      </c>
    </row>
    <row r="267" ht="12" customFormat="1" customHeight="1" s="65">
      <c r="A267" s="43" t="n">
        <v>252</v>
      </c>
      <c r="B267" s="166" t="n"/>
      <c r="C267" s="166" t="n"/>
      <c r="D267" s="166" t="n"/>
      <c r="E267" s="162" t="n"/>
      <c r="F267" s="166" t="n"/>
      <c r="G267" s="162" t="n"/>
      <c r="H267" s="162" t="n"/>
      <c r="I267" s="189">
        <f>E267*G267</f>
        <v/>
      </c>
      <c r="J267" s="195" t="n"/>
      <c r="K267" s="162" t="n"/>
      <c r="L267" s="168" t="n"/>
      <c r="M267" s="75">
        <f>_xlfn.XLOOKUP(L267,list_vat[Страна],list_vat[Ставка НДС %],0,0)</f>
        <v/>
      </c>
      <c r="N267" s="162">
        <f>IFERROR(IF(L267="Китай",K267,K267/(1+M267)),0)</f>
        <v/>
      </c>
      <c r="O267" s="169" t="n"/>
      <c r="P267" s="76">
        <f>N267*(1-O267)</f>
        <v/>
      </c>
      <c r="Q267" s="162" t="n"/>
      <c r="R267" s="162">
        <f>IF(ISBLANK(Q267),"введи курс",P267/Q267)</f>
        <v/>
      </c>
      <c r="S267" s="196">
        <f>IF(AND(ISNUMBER(E267),ISNUMBER(Q267)),E267*R267,0)</f>
        <v/>
      </c>
      <c r="T267" s="192">
        <f>$BC267*V$11</f>
        <v/>
      </c>
      <c r="U267" s="76">
        <f>$BC267*W$11</f>
        <v/>
      </c>
      <c r="V267" s="193">
        <f>+SUM(T267:U267)</f>
        <v/>
      </c>
      <c r="W267" s="191" t="n"/>
      <c r="X267" s="170" t="n"/>
      <c r="Y267" s="76">
        <f>ROUND(IF(offer_incoterms="DDP",X267*(S267*(1+AW267)+T267),0),2)</f>
        <v/>
      </c>
      <c r="Z267" s="188" t="n"/>
      <c r="AA267" s="192">
        <f>IFERROR(AB267/E267,0)</f>
        <v/>
      </c>
      <c r="AB267" s="76">
        <f>ROUND(SUM(S267,V267,Y267:Z267,BA267:BB267),2)</f>
        <v/>
      </c>
      <c r="AC267" s="797" t="n"/>
      <c r="AD267" s="192">
        <f t="array" ref="AD267">IFERROR(ROUND((_xlfn.IFS(offer_sale_type="поставка",AB267,offer_sale_type="транзит",S267)*(1+AC267))/E267,2),0)</f>
        <v/>
      </c>
      <c r="AE267" s="76">
        <f>AD267*E267</f>
        <v/>
      </c>
      <c r="AF267" s="193">
        <f t="array" ref="AF267">IFERROR(ROUND(_xlfn.IFS(offer_sale_type="поставка",AB267,offer_sale_type="транзит",S267)*AC267,2),0)</f>
        <v/>
      </c>
      <c r="AG267" s="192">
        <f>$BD267*VLOOKUP($AG$3,$AF$4:$AG$7,2,FALSE)</f>
        <v/>
      </c>
      <c r="AH267" s="76">
        <f>SUM(AE267,AG267,AI267)*rate_forex_risk</f>
        <v/>
      </c>
      <c r="AI267" s="193">
        <f>IF(OR(seller_region="TR",offer_sale_type="экспорт"),0,rate_fin_comm)*SUM(AZ267,AZ267*AW267,T267)</f>
        <v/>
      </c>
      <c r="AJ267" s="118">
        <f>IFERROR(ROUND(SUM(AB267,AF267:AI267)/E267,2),0)</f>
        <v/>
      </c>
      <c r="AK267" s="76">
        <f>AJ267*E267</f>
        <v/>
      </c>
      <c r="AL267" s="174">
        <f>ROUND(IFERROR(AM267*E267,0),2)</f>
        <v/>
      </c>
      <c r="AM267" s="175">
        <f>ROUND(AJ267*(1+IF(offer_incoterms="DDP",IF((TODAY()+offer_turnaround_time)&gt;=helpsheet!$L$17,rate_vatRU_from_26,rate_vatRu_till_25),0)),2)</f>
        <v/>
      </c>
      <c r="AN267" s="192">
        <f>AL267-AK267</f>
        <v/>
      </c>
      <c r="AO267" s="76">
        <f>SUM(AY267,Y267:Z267,T267)*IF(AND(offer_incoterms="DDP",offer_sale_type&lt;&gt;"экспорт"),IF((TODAY()+offer_turnaround_time)&gt;=helpsheet!$L$17,rate_vatRU_from_26,rate_vatRu_till_25),0)</f>
        <v/>
      </c>
      <c r="AP267" s="193">
        <f>AN267-AO267</f>
        <v/>
      </c>
      <c r="AQ267" s="118">
        <f>IF(offer_sale_type="транзит",SUM(AF267:AI267,BA267,BB267),0)</f>
        <v/>
      </c>
      <c r="AR267" s="82">
        <f>HYPERLINK("https://www.alta.ru/tnved/code/")&amp;W267&amp;"/"</f>
        <v/>
      </c>
      <c r="AS267" s="157" t="n"/>
      <c r="AT267" s="162" t="n"/>
      <c r="AU267" s="76">
        <f>IF(ISBLANK(AT267),0,AJ267-AT267)</f>
        <v/>
      </c>
      <c r="AV267" s="157" t="n"/>
      <c r="AW267" s="75">
        <f>_xlfn.IFNA(VLOOKUP(L267,list_vat[],3,FALSE),0)</f>
        <v/>
      </c>
      <c r="AX267" s="76">
        <f>IFERROR(ROUND(S267*(1+AW267)/E267,2),0)</f>
        <v/>
      </c>
      <c r="AY267" s="76">
        <f>E267*AX267</f>
        <v/>
      </c>
      <c r="AZ267" s="192">
        <f>S267*(1+M267)</f>
        <v/>
      </c>
      <c r="BA267" s="76">
        <f>cost_fin_total*$BD267</f>
        <v/>
      </c>
      <c r="BB267" s="193">
        <f>credit_sales_interest*BD267</f>
        <v/>
      </c>
      <c r="BC267" s="102">
        <f>IFERROR(IF($I$13&gt;0,$I267/$I$13,$S267/$S$13),0)</f>
        <v/>
      </c>
      <c r="BD267" s="102">
        <f>IFERROR($S267/$S$13,0)</f>
        <v/>
      </c>
      <c r="BE267" s="413" t="inlineStr">
        <is>
          <t>$</t>
        </is>
      </c>
    </row>
    <row r="268" ht="12" customFormat="1" customHeight="1" s="65">
      <c r="A268" s="43" t="n">
        <v>253</v>
      </c>
      <c r="B268" s="166" t="n"/>
      <c r="C268" s="166" t="n"/>
      <c r="D268" s="166" t="n"/>
      <c r="E268" s="162" t="n"/>
      <c r="F268" s="166" t="n"/>
      <c r="G268" s="162" t="n"/>
      <c r="H268" s="162" t="n"/>
      <c r="I268" s="189">
        <f>E268*G268</f>
        <v/>
      </c>
      <c r="J268" s="195" t="n"/>
      <c r="K268" s="162" t="n"/>
      <c r="L268" s="168" t="n"/>
      <c r="M268" s="75">
        <f>_xlfn.XLOOKUP(L268,list_vat[Страна],list_vat[Ставка НДС %],0,0)</f>
        <v/>
      </c>
      <c r="N268" s="162">
        <f>IFERROR(IF(L268="Китай",K268,K268/(1+M268)),0)</f>
        <v/>
      </c>
      <c r="O268" s="169" t="n"/>
      <c r="P268" s="76">
        <f>N268*(1-O268)</f>
        <v/>
      </c>
      <c r="Q268" s="162" t="n"/>
      <c r="R268" s="162">
        <f>IF(ISBLANK(Q268),"введи курс",P268/Q268)</f>
        <v/>
      </c>
      <c r="S268" s="196">
        <f>IF(AND(ISNUMBER(E268),ISNUMBER(Q268)),E268*R268,0)</f>
        <v/>
      </c>
      <c r="T268" s="192">
        <f>$BC268*V$11</f>
        <v/>
      </c>
      <c r="U268" s="76">
        <f>$BC268*W$11</f>
        <v/>
      </c>
      <c r="V268" s="193">
        <f>+SUM(T268:U268)</f>
        <v/>
      </c>
      <c r="W268" s="191" t="n"/>
      <c r="X268" s="170" t="n"/>
      <c r="Y268" s="76">
        <f>ROUND(IF(offer_incoterms="DDP",X268*(S268*(1+AW268)+T268),0),2)</f>
        <v/>
      </c>
      <c r="Z268" s="188" t="n"/>
      <c r="AA268" s="192">
        <f>IFERROR(AB268/E268,0)</f>
        <v/>
      </c>
      <c r="AB268" s="76">
        <f>ROUND(SUM(S268,V268,Y268:Z268,BA268:BB268),2)</f>
        <v/>
      </c>
      <c r="AC268" s="797" t="n"/>
      <c r="AD268" s="192">
        <f t="array" ref="AD268">IFERROR(ROUND((_xlfn.IFS(offer_sale_type="поставка",AB268,offer_sale_type="транзит",S268)*(1+AC268))/E268,2),0)</f>
        <v/>
      </c>
      <c r="AE268" s="76">
        <f>AD268*E268</f>
        <v/>
      </c>
      <c r="AF268" s="193">
        <f t="array" ref="AF268">IFERROR(ROUND(_xlfn.IFS(offer_sale_type="поставка",AB268,offer_sale_type="транзит",S268)*AC268,2),0)</f>
        <v/>
      </c>
      <c r="AG268" s="192">
        <f>$BD268*VLOOKUP($AG$3,$AF$4:$AG$7,2,FALSE)</f>
        <v/>
      </c>
      <c r="AH268" s="76">
        <f>SUM(AE268,AG268,AI268)*rate_forex_risk</f>
        <v/>
      </c>
      <c r="AI268" s="193">
        <f>IF(OR(seller_region="TR",offer_sale_type="экспорт"),0,rate_fin_comm)*SUM(AZ268,AZ268*AW268,T268)</f>
        <v/>
      </c>
      <c r="AJ268" s="118">
        <f>IFERROR(ROUND(SUM(AB268,AF268:AI268)/E268,2),0)</f>
        <v/>
      </c>
      <c r="AK268" s="76">
        <f>AJ268*E268</f>
        <v/>
      </c>
      <c r="AL268" s="174">
        <f>ROUND(IFERROR(AM268*E268,0),2)</f>
        <v/>
      </c>
      <c r="AM268" s="175">
        <f>ROUND(AJ268*(1+IF(offer_incoterms="DDP",IF((TODAY()+offer_turnaround_time)&gt;=helpsheet!$L$17,rate_vatRU_from_26,rate_vatRu_till_25),0)),2)</f>
        <v/>
      </c>
      <c r="AN268" s="192">
        <f>AL268-AK268</f>
        <v/>
      </c>
      <c r="AO268" s="76">
        <f>SUM(AY268,Y268:Z268,T268)*IF(AND(offer_incoterms="DDP",offer_sale_type&lt;&gt;"экспорт"),IF((TODAY()+offer_turnaround_time)&gt;=helpsheet!$L$17,rate_vatRU_from_26,rate_vatRu_till_25),0)</f>
        <v/>
      </c>
      <c r="AP268" s="193">
        <f>AN268-AO268</f>
        <v/>
      </c>
      <c r="AQ268" s="118">
        <f>IF(offer_sale_type="транзит",SUM(AF268:AI268,BA268,BB268),0)</f>
        <v/>
      </c>
      <c r="AR268" s="82">
        <f>HYPERLINK("https://www.alta.ru/tnved/code/")&amp;W268&amp;"/"</f>
        <v/>
      </c>
      <c r="AS268" s="157" t="n"/>
      <c r="AT268" s="162" t="n"/>
      <c r="AU268" s="76">
        <f>IF(ISBLANK(AT268),0,AJ268-AT268)</f>
        <v/>
      </c>
      <c r="AV268" s="157" t="n"/>
      <c r="AW268" s="75">
        <f>_xlfn.IFNA(VLOOKUP(L268,list_vat[],3,FALSE),0)</f>
        <v/>
      </c>
      <c r="AX268" s="76">
        <f>IFERROR(ROUND(S268*(1+AW268)/E268,2),0)</f>
        <v/>
      </c>
      <c r="AY268" s="76">
        <f>E268*AX268</f>
        <v/>
      </c>
      <c r="AZ268" s="192">
        <f>S268*(1+M268)</f>
        <v/>
      </c>
      <c r="BA268" s="76">
        <f>cost_fin_total*$BD268</f>
        <v/>
      </c>
      <c r="BB268" s="193">
        <f>credit_sales_interest*BD268</f>
        <v/>
      </c>
      <c r="BC268" s="102">
        <f>IFERROR(IF($I$13&gt;0,$I268/$I$13,$S268/$S$13),0)</f>
        <v/>
      </c>
      <c r="BD268" s="102">
        <f>IFERROR($S268/$S$13,0)</f>
        <v/>
      </c>
      <c r="BE268" s="413" t="inlineStr">
        <is>
          <t>$</t>
        </is>
      </c>
    </row>
    <row r="269" ht="12" customFormat="1" customHeight="1" s="65">
      <c r="A269" s="43" t="n">
        <v>254</v>
      </c>
      <c r="B269" s="166" t="n"/>
      <c r="C269" s="166" t="n"/>
      <c r="D269" s="166" t="n"/>
      <c r="E269" s="162" t="n"/>
      <c r="F269" s="166" t="n"/>
      <c r="G269" s="162" t="n"/>
      <c r="H269" s="162" t="n"/>
      <c r="I269" s="189">
        <f>E269*G269</f>
        <v/>
      </c>
      <c r="J269" s="195" t="n"/>
      <c r="K269" s="162" t="n"/>
      <c r="L269" s="168" t="n"/>
      <c r="M269" s="75">
        <f>_xlfn.XLOOKUP(L269,list_vat[Страна],list_vat[Ставка НДС %],0,0)</f>
        <v/>
      </c>
      <c r="N269" s="162">
        <f>IFERROR(IF(L269="Китай",K269,K269/(1+M269)),0)</f>
        <v/>
      </c>
      <c r="O269" s="169" t="n"/>
      <c r="P269" s="76">
        <f>N269*(1-O269)</f>
        <v/>
      </c>
      <c r="Q269" s="162" t="n"/>
      <c r="R269" s="162">
        <f>IF(ISBLANK(Q269),"введи курс",P269/Q269)</f>
        <v/>
      </c>
      <c r="S269" s="196">
        <f>IF(AND(ISNUMBER(E269),ISNUMBER(Q269)),E269*R269,0)</f>
        <v/>
      </c>
      <c r="T269" s="192">
        <f>$BC269*V$11</f>
        <v/>
      </c>
      <c r="U269" s="76">
        <f>$BC269*W$11</f>
        <v/>
      </c>
      <c r="V269" s="193">
        <f>+SUM(T269:U269)</f>
        <v/>
      </c>
      <c r="W269" s="191" t="n"/>
      <c r="X269" s="170" t="n"/>
      <c r="Y269" s="76">
        <f>ROUND(IF(offer_incoterms="DDP",X269*(S269*(1+AW269)+T269),0),2)</f>
        <v/>
      </c>
      <c r="Z269" s="188" t="n"/>
      <c r="AA269" s="192">
        <f>IFERROR(AB269/E269,0)</f>
        <v/>
      </c>
      <c r="AB269" s="76">
        <f>ROUND(SUM(S269,V269,Y269:Z269,BA269:BB269),2)</f>
        <v/>
      </c>
      <c r="AC269" s="797" t="n"/>
      <c r="AD269" s="192">
        <f t="array" ref="AD269">IFERROR(ROUND((_xlfn.IFS(offer_sale_type="поставка",AB269,offer_sale_type="транзит",S269)*(1+AC269))/E269,2),0)</f>
        <v/>
      </c>
      <c r="AE269" s="76">
        <f>AD269*E269</f>
        <v/>
      </c>
      <c r="AF269" s="193">
        <f t="array" ref="AF269">IFERROR(ROUND(_xlfn.IFS(offer_sale_type="поставка",AB269,offer_sale_type="транзит",S269)*AC269,2),0)</f>
        <v/>
      </c>
      <c r="AG269" s="192">
        <f>$BD269*VLOOKUP($AG$3,$AF$4:$AG$7,2,FALSE)</f>
        <v/>
      </c>
      <c r="AH269" s="76">
        <f>SUM(AE269,AG269,AI269)*rate_forex_risk</f>
        <v/>
      </c>
      <c r="AI269" s="193">
        <f>IF(OR(seller_region="TR",offer_sale_type="экспорт"),0,rate_fin_comm)*SUM(AZ269,AZ269*AW269,T269)</f>
        <v/>
      </c>
      <c r="AJ269" s="118">
        <f>IFERROR(ROUND(SUM(AB269,AF269:AI269)/E269,2),0)</f>
        <v/>
      </c>
      <c r="AK269" s="76">
        <f>AJ269*E269</f>
        <v/>
      </c>
      <c r="AL269" s="174">
        <f>ROUND(IFERROR(AM269*E269,0),2)</f>
        <v/>
      </c>
      <c r="AM269" s="175">
        <f>ROUND(AJ269*(1+IF(offer_incoterms="DDP",IF((TODAY()+offer_turnaround_time)&gt;=helpsheet!$L$17,rate_vatRU_from_26,rate_vatRu_till_25),0)),2)</f>
        <v/>
      </c>
      <c r="AN269" s="192">
        <f>AL269-AK269</f>
        <v/>
      </c>
      <c r="AO269" s="76">
        <f>SUM(AY269,Y269:Z269,T269)*IF(AND(offer_incoterms="DDP",offer_sale_type&lt;&gt;"экспорт"),IF((TODAY()+offer_turnaround_time)&gt;=helpsheet!$L$17,rate_vatRU_from_26,rate_vatRu_till_25),0)</f>
        <v/>
      </c>
      <c r="AP269" s="193">
        <f>AN269-AO269</f>
        <v/>
      </c>
      <c r="AQ269" s="118">
        <f>IF(offer_sale_type="транзит",SUM(AF269:AI269,BA269,BB269),0)</f>
        <v/>
      </c>
      <c r="AR269" s="82">
        <f>HYPERLINK("https://www.alta.ru/tnved/code/")&amp;W269&amp;"/"</f>
        <v/>
      </c>
      <c r="AS269" s="157" t="n"/>
      <c r="AT269" s="162" t="n"/>
      <c r="AU269" s="76">
        <f>IF(ISBLANK(AT269),0,AJ269-AT269)</f>
        <v/>
      </c>
      <c r="AV269" s="157" t="n"/>
      <c r="AW269" s="75">
        <f>_xlfn.IFNA(VLOOKUP(L269,list_vat[],3,FALSE),0)</f>
        <v/>
      </c>
      <c r="AX269" s="76">
        <f>IFERROR(ROUND(S269*(1+AW269)/E269,2),0)</f>
        <v/>
      </c>
      <c r="AY269" s="76">
        <f>E269*AX269</f>
        <v/>
      </c>
      <c r="AZ269" s="192">
        <f>S269*(1+M269)</f>
        <v/>
      </c>
      <c r="BA269" s="76">
        <f>cost_fin_total*$BD269</f>
        <v/>
      </c>
      <c r="BB269" s="193">
        <f>credit_sales_interest*BD269</f>
        <v/>
      </c>
      <c r="BC269" s="102">
        <f>IFERROR(IF($I$13&gt;0,$I269/$I$13,$S269/$S$13),0)</f>
        <v/>
      </c>
      <c r="BD269" s="102">
        <f>IFERROR($S269/$S$13,0)</f>
        <v/>
      </c>
      <c r="BE269" s="413" t="inlineStr">
        <is>
          <t>$</t>
        </is>
      </c>
    </row>
    <row r="270" ht="12" customFormat="1" customHeight="1" s="65">
      <c r="A270" s="43" t="n">
        <v>255</v>
      </c>
      <c r="B270" s="166" t="n"/>
      <c r="C270" s="166" t="n"/>
      <c r="D270" s="166" t="n"/>
      <c r="E270" s="162" t="n"/>
      <c r="F270" s="166" t="n"/>
      <c r="G270" s="162" t="n"/>
      <c r="H270" s="162" t="n"/>
      <c r="I270" s="189">
        <f>E270*G270</f>
        <v/>
      </c>
      <c r="J270" s="195" t="n"/>
      <c r="K270" s="162" t="n"/>
      <c r="L270" s="168" t="n"/>
      <c r="M270" s="75">
        <f>_xlfn.XLOOKUP(L270,list_vat[Страна],list_vat[Ставка НДС %],0,0)</f>
        <v/>
      </c>
      <c r="N270" s="162">
        <f>IFERROR(IF(L270="Китай",K270,K270/(1+M270)),0)</f>
        <v/>
      </c>
      <c r="O270" s="169" t="n"/>
      <c r="P270" s="76">
        <f>N270*(1-O270)</f>
        <v/>
      </c>
      <c r="Q270" s="162" t="n"/>
      <c r="R270" s="162">
        <f>IF(ISBLANK(Q270),"введи курс",P270/Q270)</f>
        <v/>
      </c>
      <c r="S270" s="196">
        <f>IF(AND(ISNUMBER(E270),ISNUMBER(Q270)),E270*R270,0)</f>
        <v/>
      </c>
      <c r="T270" s="192">
        <f>$BC270*V$11</f>
        <v/>
      </c>
      <c r="U270" s="76">
        <f>$BC270*W$11</f>
        <v/>
      </c>
      <c r="V270" s="193">
        <f>+SUM(T270:U270)</f>
        <v/>
      </c>
      <c r="W270" s="191" t="n"/>
      <c r="X270" s="170" t="n"/>
      <c r="Y270" s="76">
        <f>ROUND(IF(offer_incoterms="DDP",X270*(S270*(1+AW270)+T270),0),2)</f>
        <v/>
      </c>
      <c r="Z270" s="188" t="n"/>
      <c r="AA270" s="192">
        <f>IFERROR(AB270/E270,0)</f>
        <v/>
      </c>
      <c r="AB270" s="76">
        <f>ROUND(SUM(S270,V270,Y270:Z270,BA270:BB270),2)</f>
        <v/>
      </c>
      <c r="AC270" s="797" t="n"/>
      <c r="AD270" s="192">
        <f t="array" ref="AD270">IFERROR(ROUND((_xlfn.IFS(offer_sale_type="поставка",AB270,offer_sale_type="транзит",S270)*(1+AC270))/E270,2),0)</f>
        <v/>
      </c>
      <c r="AE270" s="76">
        <f>AD270*E270</f>
        <v/>
      </c>
      <c r="AF270" s="193">
        <f t="array" ref="AF270">IFERROR(ROUND(_xlfn.IFS(offer_sale_type="поставка",AB270,offer_sale_type="транзит",S270)*AC270,2),0)</f>
        <v/>
      </c>
      <c r="AG270" s="192">
        <f>$BD270*VLOOKUP($AG$3,$AF$4:$AG$7,2,FALSE)</f>
        <v/>
      </c>
      <c r="AH270" s="76">
        <f>SUM(AE270,AG270,AI270)*rate_forex_risk</f>
        <v/>
      </c>
      <c r="AI270" s="193">
        <f>IF(OR(seller_region="TR",offer_sale_type="экспорт"),0,rate_fin_comm)*SUM(AZ270,AZ270*AW270,T270)</f>
        <v/>
      </c>
      <c r="AJ270" s="118">
        <f>IFERROR(ROUND(SUM(AB270,AF270:AI270)/E270,2),0)</f>
        <v/>
      </c>
      <c r="AK270" s="76">
        <f>AJ270*E270</f>
        <v/>
      </c>
      <c r="AL270" s="174">
        <f>ROUND(IFERROR(AM270*E270,0),2)</f>
        <v/>
      </c>
      <c r="AM270" s="175">
        <f>ROUND(AJ270*(1+IF(offer_incoterms="DDP",IF((TODAY()+offer_turnaround_time)&gt;=helpsheet!$L$17,rate_vatRU_from_26,rate_vatRu_till_25),0)),2)</f>
        <v/>
      </c>
      <c r="AN270" s="192">
        <f>AL270-AK270</f>
        <v/>
      </c>
      <c r="AO270" s="76">
        <f>SUM(AY270,Y270:Z270,T270)*IF(AND(offer_incoterms="DDP",offer_sale_type&lt;&gt;"экспорт"),IF((TODAY()+offer_turnaround_time)&gt;=helpsheet!$L$17,rate_vatRU_from_26,rate_vatRu_till_25),0)</f>
        <v/>
      </c>
      <c r="AP270" s="193">
        <f>AN270-AO270</f>
        <v/>
      </c>
      <c r="AQ270" s="118">
        <f>IF(offer_sale_type="транзит",SUM(AF270:AI270,BA270,BB270),0)</f>
        <v/>
      </c>
      <c r="AR270" s="82">
        <f>HYPERLINK("https://www.alta.ru/tnved/code/")&amp;W270&amp;"/"</f>
        <v/>
      </c>
      <c r="AS270" s="157" t="n"/>
      <c r="AT270" s="162" t="n"/>
      <c r="AU270" s="76">
        <f>IF(ISBLANK(AT270),0,AJ270-AT270)</f>
        <v/>
      </c>
      <c r="AV270" s="157" t="n"/>
      <c r="AW270" s="75">
        <f>_xlfn.IFNA(VLOOKUP(L270,list_vat[],3,FALSE),0)</f>
        <v/>
      </c>
      <c r="AX270" s="76">
        <f>IFERROR(ROUND(S270*(1+AW270)/E270,2),0)</f>
        <v/>
      </c>
      <c r="AY270" s="76">
        <f>E270*AX270</f>
        <v/>
      </c>
      <c r="AZ270" s="192">
        <f>S270*(1+M270)</f>
        <v/>
      </c>
      <c r="BA270" s="76">
        <f>cost_fin_total*$BD270</f>
        <v/>
      </c>
      <c r="BB270" s="193">
        <f>credit_sales_interest*BD270</f>
        <v/>
      </c>
      <c r="BC270" s="102">
        <f>IFERROR(IF($I$13&gt;0,$I270/$I$13,$S270/$S$13),0)</f>
        <v/>
      </c>
      <c r="BD270" s="102">
        <f>IFERROR($S270/$S$13,0)</f>
        <v/>
      </c>
      <c r="BE270" s="413" t="inlineStr">
        <is>
          <t>$</t>
        </is>
      </c>
    </row>
    <row r="271" ht="12" customFormat="1" customHeight="1" s="65">
      <c r="A271" s="43" t="n">
        <v>256</v>
      </c>
      <c r="B271" s="166" t="n"/>
      <c r="C271" s="166" t="n"/>
      <c r="D271" s="166" t="n"/>
      <c r="E271" s="162" t="n"/>
      <c r="F271" s="166" t="n"/>
      <c r="G271" s="162" t="n"/>
      <c r="H271" s="162" t="n"/>
      <c r="I271" s="189">
        <f>E271*G271</f>
        <v/>
      </c>
      <c r="J271" s="195" t="n"/>
      <c r="K271" s="162" t="n"/>
      <c r="L271" s="168" t="n"/>
      <c r="M271" s="75">
        <f>_xlfn.XLOOKUP(L271,list_vat[Страна],list_vat[Ставка НДС %],0,0)</f>
        <v/>
      </c>
      <c r="N271" s="162">
        <f>IFERROR(IF(L271="Китай",K271,K271/(1+M271)),0)</f>
        <v/>
      </c>
      <c r="O271" s="169" t="n"/>
      <c r="P271" s="76">
        <f>N271*(1-O271)</f>
        <v/>
      </c>
      <c r="Q271" s="162" t="n"/>
      <c r="R271" s="162">
        <f>IF(ISBLANK(Q271),"введи курс",P271/Q271)</f>
        <v/>
      </c>
      <c r="S271" s="196">
        <f>IF(AND(ISNUMBER(E271),ISNUMBER(Q271)),E271*R271,0)</f>
        <v/>
      </c>
      <c r="T271" s="192">
        <f>$BC271*V$11</f>
        <v/>
      </c>
      <c r="U271" s="76">
        <f>$BC271*W$11</f>
        <v/>
      </c>
      <c r="V271" s="193">
        <f>+SUM(T271:U271)</f>
        <v/>
      </c>
      <c r="W271" s="191" t="n"/>
      <c r="X271" s="170" t="n"/>
      <c r="Y271" s="76">
        <f>ROUND(IF(offer_incoterms="DDP",X271*(S271*(1+AW271)+T271),0),2)</f>
        <v/>
      </c>
      <c r="Z271" s="188" t="n"/>
      <c r="AA271" s="192">
        <f>IFERROR(AB271/E271,0)</f>
        <v/>
      </c>
      <c r="AB271" s="76">
        <f>ROUND(SUM(S271,V271,Y271:Z271,BA271:BB271),2)</f>
        <v/>
      </c>
      <c r="AC271" s="797" t="n"/>
      <c r="AD271" s="192">
        <f t="array" ref="AD271">IFERROR(ROUND((_xlfn.IFS(offer_sale_type="поставка",AB271,offer_sale_type="транзит",S271)*(1+AC271))/E271,2),0)</f>
        <v/>
      </c>
      <c r="AE271" s="76">
        <f>AD271*E271</f>
        <v/>
      </c>
      <c r="AF271" s="193">
        <f t="array" ref="AF271">IFERROR(ROUND(_xlfn.IFS(offer_sale_type="поставка",AB271,offer_sale_type="транзит",S271)*AC271,2),0)</f>
        <v/>
      </c>
      <c r="AG271" s="192">
        <f>$BD271*VLOOKUP($AG$3,$AF$4:$AG$7,2,FALSE)</f>
        <v/>
      </c>
      <c r="AH271" s="76">
        <f>SUM(AE271,AG271,AI271)*rate_forex_risk</f>
        <v/>
      </c>
      <c r="AI271" s="193">
        <f>IF(OR(seller_region="TR",offer_sale_type="экспорт"),0,rate_fin_comm)*SUM(AZ271,AZ271*AW271,T271)</f>
        <v/>
      </c>
      <c r="AJ271" s="118">
        <f>IFERROR(ROUND(SUM(AB271,AF271:AI271)/E271,2),0)</f>
        <v/>
      </c>
      <c r="AK271" s="76">
        <f>AJ271*E271</f>
        <v/>
      </c>
      <c r="AL271" s="174">
        <f>ROUND(IFERROR(AM271*E271,0),2)</f>
        <v/>
      </c>
      <c r="AM271" s="175">
        <f>ROUND(AJ271*(1+IF(offer_incoterms="DDP",IF((TODAY()+offer_turnaround_time)&gt;=helpsheet!$L$17,rate_vatRU_from_26,rate_vatRu_till_25),0)),2)</f>
        <v/>
      </c>
      <c r="AN271" s="192">
        <f>AL271-AK271</f>
        <v/>
      </c>
      <c r="AO271" s="76">
        <f>SUM(AY271,Y271:Z271,T271)*IF(AND(offer_incoterms="DDP",offer_sale_type&lt;&gt;"экспорт"),IF((TODAY()+offer_turnaround_time)&gt;=helpsheet!$L$17,rate_vatRU_from_26,rate_vatRu_till_25),0)</f>
        <v/>
      </c>
      <c r="AP271" s="193">
        <f>AN271-AO271</f>
        <v/>
      </c>
      <c r="AQ271" s="118">
        <f>IF(offer_sale_type="транзит",SUM(AF271:AI271,BA271,BB271),0)</f>
        <v/>
      </c>
      <c r="AR271" s="82">
        <f>HYPERLINK("https://www.alta.ru/tnved/code/")&amp;W271&amp;"/"</f>
        <v/>
      </c>
      <c r="AS271" s="157" t="n"/>
      <c r="AT271" s="162" t="n"/>
      <c r="AU271" s="76">
        <f>IF(ISBLANK(AT271),0,AJ271-AT271)</f>
        <v/>
      </c>
      <c r="AV271" s="157" t="n"/>
      <c r="AW271" s="75">
        <f>_xlfn.IFNA(VLOOKUP(L271,list_vat[],3,FALSE),0)</f>
        <v/>
      </c>
      <c r="AX271" s="76">
        <f>IFERROR(ROUND(S271*(1+AW271)/E271,2),0)</f>
        <v/>
      </c>
      <c r="AY271" s="76">
        <f>E271*AX271</f>
        <v/>
      </c>
      <c r="AZ271" s="192">
        <f>S271*(1+M271)</f>
        <v/>
      </c>
      <c r="BA271" s="76">
        <f>cost_fin_total*$BD271</f>
        <v/>
      </c>
      <c r="BB271" s="193">
        <f>credit_sales_interest*BD271</f>
        <v/>
      </c>
      <c r="BC271" s="102">
        <f>IFERROR(IF($I$13&gt;0,$I271/$I$13,$S271/$S$13),0)</f>
        <v/>
      </c>
      <c r="BD271" s="102">
        <f>IFERROR($S271/$S$13,0)</f>
        <v/>
      </c>
      <c r="BE271" s="413" t="inlineStr">
        <is>
          <t>$</t>
        </is>
      </c>
    </row>
    <row r="272" ht="12" customFormat="1" customHeight="1" s="65">
      <c r="A272" s="43" t="n">
        <v>257</v>
      </c>
      <c r="B272" s="166" t="n"/>
      <c r="C272" s="166" t="n"/>
      <c r="D272" s="166" t="n"/>
      <c r="E272" s="162" t="n"/>
      <c r="F272" s="166" t="n"/>
      <c r="G272" s="162" t="n"/>
      <c r="H272" s="162" t="n"/>
      <c r="I272" s="189">
        <f>E272*G272</f>
        <v/>
      </c>
      <c r="J272" s="195" t="n"/>
      <c r="K272" s="162" t="n"/>
      <c r="L272" s="168" t="n"/>
      <c r="M272" s="75">
        <f>_xlfn.XLOOKUP(L272,list_vat[Страна],list_vat[Ставка НДС %],0,0)</f>
        <v/>
      </c>
      <c r="N272" s="162">
        <f>IFERROR(IF(L272="Китай",K272,K272/(1+M272)),0)</f>
        <v/>
      </c>
      <c r="O272" s="169" t="n"/>
      <c r="P272" s="76">
        <f>N272*(1-O272)</f>
        <v/>
      </c>
      <c r="Q272" s="162" t="n"/>
      <c r="R272" s="162">
        <f>IF(ISBLANK(Q272),"введи курс",P272/Q272)</f>
        <v/>
      </c>
      <c r="S272" s="196">
        <f>IF(AND(ISNUMBER(E272),ISNUMBER(Q272)),E272*R272,0)</f>
        <v/>
      </c>
      <c r="T272" s="192">
        <f>$BC272*V$11</f>
        <v/>
      </c>
      <c r="U272" s="76">
        <f>$BC272*W$11</f>
        <v/>
      </c>
      <c r="V272" s="193">
        <f>+SUM(T272:U272)</f>
        <v/>
      </c>
      <c r="W272" s="191" t="n"/>
      <c r="X272" s="170" t="n"/>
      <c r="Y272" s="76">
        <f>ROUND(IF(offer_incoterms="DDP",X272*(S272*(1+AW272)+T272),0),2)</f>
        <v/>
      </c>
      <c r="Z272" s="188" t="n"/>
      <c r="AA272" s="192">
        <f>IFERROR(AB272/E272,0)</f>
        <v/>
      </c>
      <c r="AB272" s="76">
        <f>ROUND(SUM(S272,V272,Y272:Z272,BA272:BB272),2)</f>
        <v/>
      </c>
      <c r="AC272" s="797" t="n"/>
      <c r="AD272" s="192">
        <f t="array" ref="AD272">IFERROR(ROUND((_xlfn.IFS(offer_sale_type="поставка",AB272,offer_sale_type="транзит",S272)*(1+AC272))/E272,2),0)</f>
        <v/>
      </c>
      <c r="AE272" s="76">
        <f>AD272*E272</f>
        <v/>
      </c>
      <c r="AF272" s="193">
        <f t="array" ref="AF272">IFERROR(ROUND(_xlfn.IFS(offer_sale_type="поставка",AB272,offer_sale_type="транзит",S272)*AC272,2),0)</f>
        <v/>
      </c>
      <c r="AG272" s="192">
        <f>$BD272*VLOOKUP($AG$3,$AF$4:$AG$7,2,FALSE)</f>
        <v/>
      </c>
      <c r="AH272" s="76">
        <f>SUM(AE272,AG272,AI272)*rate_forex_risk</f>
        <v/>
      </c>
      <c r="AI272" s="193">
        <f>IF(OR(seller_region="TR",offer_sale_type="экспорт"),0,rate_fin_comm)*SUM(AZ272,AZ272*AW272,T272)</f>
        <v/>
      </c>
      <c r="AJ272" s="118">
        <f>IFERROR(ROUND(SUM(AB272,AF272:AI272)/E272,2),0)</f>
        <v/>
      </c>
      <c r="AK272" s="76">
        <f>AJ272*E272</f>
        <v/>
      </c>
      <c r="AL272" s="174">
        <f>ROUND(IFERROR(AM272*E272,0),2)</f>
        <v/>
      </c>
      <c r="AM272" s="175">
        <f>ROUND(AJ272*(1+IF(offer_incoterms="DDP",IF((TODAY()+offer_turnaround_time)&gt;=helpsheet!$L$17,rate_vatRU_from_26,rate_vatRu_till_25),0)),2)</f>
        <v/>
      </c>
      <c r="AN272" s="192">
        <f>AL272-AK272</f>
        <v/>
      </c>
      <c r="AO272" s="76">
        <f>SUM(AY272,Y272:Z272,T272)*IF(AND(offer_incoterms="DDP",offer_sale_type&lt;&gt;"экспорт"),IF((TODAY()+offer_turnaround_time)&gt;=helpsheet!$L$17,rate_vatRU_from_26,rate_vatRu_till_25),0)</f>
        <v/>
      </c>
      <c r="AP272" s="193">
        <f>AN272-AO272</f>
        <v/>
      </c>
      <c r="AQ272" s="118">
        <f>IF(offer_sale_type="транзит",SUM(AF272:AI272,BA272,BB272),0)</f>
        <v/>
      </c>
      <c r="AR272" s="82">
        <f>HYPERLINK("https://www.alta.ru/tnved/code/")&amp;W272&amp;"/"</f>
        <v/>
      </c>
      <c r="AS272" s="157" t="n"/>
      <c r="AT272" s="162" t="n"/>
      <c r="AU272" s="76">
        <f>IF(ISBLANK(AT272),0,AJ272-AT272)</f>
        <v/>
      </c>
      <c r="AV272" s="157" t="n"/>
      <c r="AW272" s="75">
        <f>_xlfn.IFNA(VLOOKUP(L272,list_vat[],3,FALSE),0)</f>
        <v/>
      </c>
      <c r="AX272" s="76">
        <f>IFERROR(ROUND(S272*(1+AW272)/E272,2),0)</f>
        <v/>
      </c>
      <c r="AY272" s="76">
        <f>E272*AX272</f>
        <v/>
      </c>
      <c r="AZ272" s="192">
        <f>S272*(1+M272)</f>
        <v/>
      </c>
      <c r="BA272" s="76">
        <f>cost_fin_total*$BD272</f>
        <v/>
      </c>
      <c r="BB272" s="193">
        <f>credit_sales_interest*BD272</f>
        <v/>
      </c>
      <c r="BC272" s="102">
        <f>IFERROR(IF($I$13&gt;0,$I272/$I$13,$S272/$S$13),0)</f>
        <v/>
      </c>
      <c r="BD272" s="102">
        <f>IFERROR($S272/$S$13,0)</f>
        <v/>
      </c>
      <c r="BE272" s="413" t="inlineStr">
        <is>
          <t>$</t>
        </is>
      </c>
    </row>
    <row r="273" ht="12" customFormat="1" customHeight="1" s="65">
      <c r="A273" s="43" t="n">
        <v>258</v>
      </c>
      <c r="B273" s="166" t="n"/>
      <c r="C273" s="166" t="n"/>
      <c r="D273" s="166" t="n"/>
      <c r="E273" s="162" t="n"/>
      <c r="F273" s="166" t="n"/>
      <c r="G273" s="162" t="n"/>
      <c r="H273" s="162" t="n"/>
      <c r="I273" s="189">
        <f>E273*G273</f>
        <v/>
      </c>
      <c r="J273" s="195" t="n"/>
      <c r="K273" s="162" t="n"/>
      <c r="L273" s="168" t="n"/>
      <c r="M273" s="75">
        <f>_xlfn.XLOOKUP(L273,list_vat[Страна],list_vat[Ставка НДС %],0,0)</f>
        <v/>
      </c>
      <c r="N273" s="162">
        <f>IFERROR(IF(L273="Китай",K273,K273/(1+M273)),0)</f>
        <v/>
      </c>
      <c r="O273" s="169" t="n"/>
      <c r="P273" s="76">
        <f>N273*(1-O273)</f>
        <v/>
      </c>
      <c r="Q273" s="162" t="n"/>
      <c r="R273" s="162">
        <f>IF(ISBLANK(Q273),"введи курс",P273/Q273)</f>
        <v/>
      </c>
      <c r="S273" s="196">
        <f>IF(AND(ISNUMBER(E273),ISNUMBER(Q273)),E273*R273,0)</f>
        <v/>
      </c>
      <c r="T273" s="192">
        <f>$BC273*V$11</f>
        <v/>
      </c>
      <c r="U273" s="76">
        <f>$BC273*W$11</f>
        <v/>
      </c>
      <c r="V273" s="193">
        <f>+SUM(T273:U273)</f>
        <v/>
      </c>
      <c r="W273" s="191" t="n"/>
      <c r="X273" s="170" t="n"/>
      <c r="Y273" s="76">
        <f>ROUND(IF(offer_incoterms="DDP",X273*(S273*(1+AW273)+T273),0),2)</f>
        <v/>
      </c>
      <c r="Z273" s="188" t="n"/>
      <c r="AA273" s="192">
        <f>IFERROR(AB273/E273,0)</f>
        <v/>
      </c>
      <c r="AB273" s="76">
        <f>ROUND(SUM(S273,V273,Y273:Z273,BA273:BB273),2)</f>
        <v/>
      </c>
      <c r="AC273" s="797" t="n"/>
      <c r="AD273" s="192">
        <f t="array" ref="AD273">IFERROR(ROUND((_xlfn.IFS(offer_sale_type="поставка",AB273,offer_sale_type="транзит",S273)*(1+AC273))/E273,2),0)</f>
        <v/>
      </c>
      <c r="AE273" s="76">
        <f>AD273*E273</f>
        <v/>
      </c>
      <c r="AF273" s="193">
        <f t="array" ref="AF273">IFERROR(ROUND(_xlfn.IFS(offer_sale_type="поставка",AB273,offer_sale_type="транзит",S273)*AC273,2),0)</f>
        <v/>
      </c>
      <c r="AG273" s="192">
        <f>$BD273*VLOOKUP($AG$3,$AF$4:$AG$7,2,FALSE)</f>
        <v/>
      </c>
      <c r="AH273" s="76">
        <f>SUM(AE273,AG273,AI273)*rate_forex_risk</f>
        <v/>
      </c>
      <c r="AI273" s="193">
        <f>IF(OR(seller_region="TR",offer_sale_type="экспорт"),0,rate_fin_comm)*SUM(AZ273,AZ273*AW273,T273)</f>
        <v/>
      </c>
      <c r="AJ273" s="118">
        <f>IFERROR(ROUND(SUM(AB273,AF273:AI273)/E273,2),0)</f>
        <v/>
      </c>
      <c r="AK273" s="76">
        <f>AJ273*E273</f>
        <v/>
      </c>
      <c r="AL273" s="174">
        <f>ROUND(IFERROR(AM273*E273,0),2)</f>
        <v/>
      </c>
      <c r="AM273" s="175">
        <f>ROUND(AJ273*(1+IF(offer_incoterms="DDP",IF((TODAY()+offer_turnaround_time)&gt;=helpsheet!$L$17,rate_vatRU_from_26,rate_vatRu_till_25),0)),2)</f>
        <v/>
      </c>
      <c r="AN273" s="192">
        <f>AL273-AK273</f>
        <v/>
      </c>
      <c r="AO273" s="76">
        <f>SUM(AY273,Y273:Z273,T273)*IF(AND(offer_incoterms="DDP",offer_sale_type&lt;&gt;"экспорт"),IF((TODAY()+offer_turnaround_time)&gt;=helpsheet!$L$17,rate_vatRU_from_26,rate_vatRu_till_25),0)</f>
        <v/>
      </c>
      <c r="AP273" s="193">
        <f>AN273-AO273</f>
        <v/>
      </c>
      <c r="AQ273" s="118">
        <f>IF(offer_sale_type="транзит",SUM(AF273:AI273,BA273,BB273),0)</f>
        <v/>
      </c>
      <c r="AR273" s="82">
        <f>HYPERLINK("https://www.alta.ru/tnved/code/")&amp;W273&amp;"/"</f>
        <v/>
      </c>
      <c r="AS273" s="157" t="n"/>
      <c r="AT273" s="162" t="n"/>
      <c r="AU273" s="76">
        <f>IF(ISBLANK(AT273),0,AJ273-AT273)</f>
        <v/>
      </c>
      <c r="AV273" s="157" t="n"/>
      <c r="AW273" s="75">
        <f>_xlfn.IFNA(VLOOKUP(L273,list_vat[],3,FALSE),0)</f>
        <v/>
      </c>
      <c r="AX273" s="76">
        <f>IFERROR(ROUND(S273*(1+AW273)/E273,2),0)</f>
        <v/>
      </c>
      <c r="AY273" s="76">
        <f>E273*AX273</f>
        <v/>
      </c>
      <c r="AZ273" s="192">
        <f>S273*(1+M273)</f>
        <v/>
      </c>
      <c r="BA273" s="76">
        <f>cost_fin_total*$BD273</f>
        <v/>
      </c>
      <c r="BB273" s="193">
        <f>credit_sales_interest*BD273</f>
        <v/>
      </c>
      <c r="BC273" s="102">
        <f>IFERROR(IF($I$13&gt;0,$I273/$I$13,$S273/$S$13),0)</f>
        <v/>
      </c>
      <c r="BD273" s="102">
        <f>IFERROR($S273/$S$13,0)</f>
        <v/>
      </c>
      <c r="BE273" s="413" t="inlineStr">
        <is>
          <t>$</t>
        </is>
      </c>
    </row>
    <row r="274" ht="12" customFormat="1" customHeight="1" s="65">
      <c r="A274" s="43" t="n">
        <v>259</v>
      </c>
      <c r="B274" s="166" t="n"/>
      <c r="C274" s="166" t="n"/>
      <c r="D274" s="166" t="n"/>
      <c r="E274" s="162" t="n"/>
      <c r="F274" s="166" t="n"/>
      <c r="G274" s="162" t="n"/>
      <c r="H274" s="162" t="n"/>
      <c r="I274" s="189">
        <f>E274*G274</f>
        <v/>
      </c>
      <c r="J274" s="195" t="n"/>
      <c r="K274" s="162" t="n"/>
      <c r="L274" s="168" t="n"/>
      <c r="M274" s="75">
        <f>_xlfn.XLOOKUP(L274,list_vat[Страна],list_vat[Ставка НДС %],0,0)</f>
        <v/>
      </c>
      <c r="N274" s="162">
        <f>IFERROR(IF(L274="Китай",K274,K274/(1+M274)),0)</f>
        <v/>
      </c>
      <c r="O274" s="169" t="n"/>
      <c r="P274" s="76">
        <f>N274*(1-O274)</f>
        <v/>
      </c>
      <c r="Q274" s="162" t="n"/>
      <c r="R274" s="162">
        <f>IF(ISBLANK(Q274),"введи курс",P274/Q274)</f>
        <v/>
      </c>
      <c r="S274" s="196">
        <f>IF(AND(ISNUMBER(E274),ISNUMBER(Q274)),E274*R274,0)</f>
        <v/>
      </c>
      <c r="T274" s="192">
        <f>$BC274*V$11</f>
        <v/>
      </c>
      <c r="U274" s="76">
        <f>$BC274*W$11</f>
        <v/>
      </c>
      <c r="V274" s="193">
        <f>+SUM(T274:U274)</f>
        <v/>
      </c>
      <c r="W274" s="191" t="n"/>
      <c r="X274" s="170" t="n"/>
      <c r="Y274" s="76">
        <f>ROUND(IF(offer_incoterms="DDP",X274*(S274*(1+AW274)+T274),0),2)</f>
        <v/>
      </c>
      <c r="Z274" s="188" t="n"/>
      <c r="AA274" s="192">
        <f>IFERROR(AB274/E274,0)</f>
        <v/>
      </c>
      <c r="AB274" s="76">
        <f>ROUND(SUM(S274,V274,Y274:Z274,BA274:BB274),2)</f>
        <v/>
      </c>
      <c r="AC274" s="797" t="n"/>
      <c r="AD274" s="192">
        <f t="array" ref="AD274">IFERROR(ROUND((_xlfn.IFS(offer_sale_type="поставка",AB274,offer_sale_type="транзит",S274)*(1+AC274))/E274,2),0)</f>
        <v/>
      </c>
      <c r="AE274" s="76">
        <f>AD274*E274</f>
        <v/>
      </c>
      <c r="AF274" s="193">
        <f t="array" ref="AF274">IFERROR(ROUND(_xlfn.IFS(offer_sale_type="поставка",AB274,offer_sale_type="транзит",S274)*AC274,2),0)</f>
        <v/>
      </c>
      <c r="AG274" s="192">
        <f>$BD274*VLOOKUP($AG$3,$AF$4:$AG$7,2,FALSE)</f>
        <v/>
      </c>
      <c r="AH274" s="76">
        <f>SUM(AE274,AG274,AI274)*rate_forex_risk</f>
        <v/>
      </c>
      <c r="AI274" s="193">
        <f>IF(OR(seller_region="TR",offer_sale_type="экспорт"),0,rate_fin_comm)*SUM(AZ274,AZ274*AW274,T274)</f>
        <v/>
      </c>
      <c r="AJ274" s="118">
        <f>IFERROR(ROUND(SUM(AB274,AF274:AI274)/E274,2),0)</f>
        <v/>
      </c>
      <c r="AK274" s="76">
        <f>AJ274*E274</f>
        <v/>
      </c>
      <c r="AL274" s="174">
        <f>ROUND(IFERROR(AM274*E274,0),2)</f>
        <v/>
      </c>
      <c r="AM274" s="175">
        <f>ROUND(AJ274*(1+IF(offer_incoterms="DDP",IF((TODAY()+offer_turnaround_time)&gt;=helpsheet!$L$17,rate_vatRU_from_26,rate_vatRu_till_25),0)),2)</f>
        <v/>
      </c>
      <c r="AN274" s="192">
        <f>AL274-AK274</f>
        <v/>
      </c>
      <c r="AO274" s="76">
        <f>SUM(AY274,Y274:Z274,T274)*IF(AND(offer_incoterms="DDP",offer_sale_type&lt;&gt;"экспорт"),IF((TODAY()+offer_turnaround_time)&gt;=helpsheet!$L$17,rate_vatRU_from_26,rate_vatRu_till_25),0)</f>
        <v/>
      </c>
      <c r="AP274" s="193">
        <f>AN274-AO274</f>
        <v/>
      </c>
      <c r="AQ274" s="118">
        <f>IF(offer_sale_type="транзит",SUM(AF274:AI274,BA274,BB274),0)</f>
        <v/>
      </c>
      <c r="AR274" s="82">
        <f>HYPERLINK("https://www.alta.ru/tnved/code/")&amp;W274&amp;"/"</f>
        <v/>
      </c>
      <c r="AS274" s="157" t="n"/>
      <c r="AT274" s="162" t="n"/>
      <c r="AU274" s="76">
        <f>IF(ISBLANK(AT274),0,AJ274-AT274)</f>
        <v/>
      </c>
      <c r="AV274" s="157" t="n"/>
      <c r="AW274" s="75">
        <f>_xlfn.IFNA(VLOOKUP(L274,list_vat[],3,FALSE),0)</f>
        <v/>
      </c>
      <c r="AX274" s="76">
        <f>IFERROR(ROUND(S274*(1+AW274)/E274,2),0)</f>
        <v/>
      </c>
      <c r="AY274" s="76">
        <f>E274*AX274</f>
        <v/>
      </c>
      <c r="AZ274" s="192">
        <f>S274*(1+M274)</f>
        <v/>
      </c>
      <c r="BA274" s="76">
        <f>cost_fin_total*$BD274</f>
        <v/>
      </c>
      <c r="BB274" s="193">
        <f>credit_sales_interest*BD274</f>
        <v/>
      </c>
      <c r="BC274" s="102">
        <f>IFERROR(IF($I$13&gt;0,$I274/$I$13,$S274/$S$13),0)</f>
        <v/>
      </c>
      <c r="BD274" s="102">
        <f>IFERROR($S274/$S$13,0)</f>
        <v/>
      </c>
      <c r="BE274" s="413" t="inlineStr">
        <is>
          <t>$</t>
        </is>
      </c>
    </row>
    <row r="275" ht="12" customFormat="1" customHeight="1" s="65">
      <c r="A275" s="43" t="n">
        <v>260</v>
      </c>
      <c r="B275" s="166" t="n"/>
      <c r="C275" s="166" t="n"/>
      <c r="D275" s="166" t="n"/>
      <c r="E275" s="162" t="n"/>
      <c r="F275" s="166" t="n"/>
      <c r="G275" s="162" t="n"/>
      <c r="H275" s="162" t="n"/>
      <c r="I275" s="189">
        <f>E275*G275</f>
        <v/>
      </c>
      <c r="J275" s="195" t="n"/>
      <c r="K275" s="162" t="n"/>
      <c r="L275" s="168" t="n"/>
      <c r="M275" s="75">
        <f>_xlfn.XLOOKUP(L275,list_vat[Страна],list_vat[Ставка НДС %],0,0)</f>
        <v/>
      </c>
      <c r="N275" s="162">
        <f>IFERROR(IF(L275="Китай",K275,K275/(1+M275)),0)</f>
        <v/>
      </c>
      <c r="O275" s="169" t="n"/>
      <c r="P275" s="76">
        <f>N275*(1-O275)</f>
        <v/>
      </c>
      <c r="Q275" s="162" t="n"/>
      <c r="R275" s="162">
        <f>IF(ISBLANK(Q275),"введи курс",P275/Q275)</f>
        <v/>
      </c>
      <c r="S275" s="196">
        <f>IF(AND(ISNUMBER(E275),ISNUMBER(Q275)),E275*R275,0)</f>
        <v/>
      </c>
      <c r="T275" s="192">
        <f>$BC275*V$11</f>
        <v/>
      </c>
      <c r="U275" s="76">
        <f>$BC275*W$11</f>
        <v/>
      </c>
      <c r="V275" s="193">
        <f>+SUM(T275:U275)</f>
        <v/>
      </c>
      <c r="W275" s="191" t="n"/>
      <c r="X275" s="170" t="n"/>
      <c r="Y275" s="76">
        <f>ROUND(IF(offer_incoterms="DDP",X275*(S275*(1+AW275)+T275),0),2)</f>
        <v/>
      </c>
      <c r="Z275" s="188" t="n"/>
      <c r="AA275" s="192">
        <f>IFERROR(AB275/E275,0)</f>
        <v/>
      </c>
      <c r="AB275" s="76">
        <f>ROUND(SUM(S275,V275,Y275:Z275,BA275:BB275),2)</f>
        <v/>
      </c>
      <c r="AC275" s="797" t="n"/>
      <c r="AD275" s="192">
        <f t="array" ref="AD275">IFERROR(ROUND((_xlfn.IFS(offer_sale_type="поставка",AB275,offer_sale_type="транзит",S275)*(1+AC275))/E275,2),0)</f>
        <v/>
      </c>
      <c r="AE275" s="76">
        <f>AD275*E275</f>
        <v/>
      </c>
      <c r="AF275" s="193">
        <f t="array" ref="AF275">IFERROR(ROUND(_xlfn.IFS(offer_sale_type="поставка",AB275,offer_sale_type="транзит",S275)*AC275,2),0)</f>
        <v/>
      </c>
      <c r="AG275" s="192">
        <f>$BD275*VLOOKUP($AG$3,$AF$4:$AG$7,2,FALSE)</f>
        <v/>
      </c>
      <c r="AH275" s="76">
        <f>SUM(AE275,AG275,AI275)*rate_forex_risk</f>
        <v/>
      </c>
      <c r="AI275" s="193">
        <f>IF(OR(seller_region="TR",offer_sale_type="экспорт"),0,rate_fin_comm)*SUM(AZ275,AZ275*AW275,T275)</f>
        <v/>
      </c>
      <c r="AJ275" s="118">
        <f>IFERROR(ROUND(SUM(AB275,AF275:AI275)/E275,2),0)</f>
        <v/>
      </c>
      <c r="AK275" s="76">
        <f>AJ275*E275</f>
        <v/>
      </c>
      <c r="AL275" s="174">
        <f>ROUND(IFERROR(AM275*E275,0),2)</f>
        <v/>
      </c>
      <c r="AM275" s="175">
        <f>ROUND(AJ275*(1+IF(offer_incoterms="DDP",IF((TODAY()+offer_turnaround_time)&gt;=helpsheet!$L$17,rate_vatRU_from_26,rate_vatRu_till_25),0)),2)</f>
        <v/>
      </c>
      <c r="AN275" s="192">
        <f>AL275-AK275</f>
        <v/>
      </c>
      <c r="AO275" s="76">
        <f>SUM(AY275,Y275:Z275,T275)*IF(AND(offer_incoterms="DDP",offer_sale_type&lt;&gt;"экспорт"),IF((TODAY()+offer_turnaround_time)&gt;=helpsheet!$L$17,rate_vatRU_from_26,rate_vatRu_till_25),0)</f>
        <v/>
      </c>
      <c r="AP275" s="193">
        <f>AN275-AO275</f>
        <v/>
      </c>
      <c r="AQ275" s="118">
        <f>IF(offer_sale_type="транзит",SUM(AF275:AI275,BA275,BB275),0)</f>
        <v/>
      </c>
      <c r="AR275" s="82">
        <f>HYPERLINK("https://www.alta.ru/tnved/code/")&amp;W275&amp;"/"</f>
        <v/>
      </c>
      <c r="AS275" s="157" t="n"/>
      <c r="AT275" s="162" t="n"/>
      <c r="AU275" s="76">
        <f>IF(ISBLANK(AT275),0,AJ275-AT275)</f>
        <v/>
      </c>
      <c r="AV275" s="157" t="n"/>
      <c r="AW275" s="75">
        <f>_xlfn.IFNA(VLOOKUP(L275,list_vat[],3,FALSE),0)</f>
        <v/>
      </c>
      <c r="AX275" s="76">
        <f>IFERROR(ROUND(S275*(1+AW275)/E275,2),0)</f>
        <v/>
      </c>
      <c r="AY275" s="76">
        <f>E275*AX275</f>
        <v/>
      </c>
      <c r="AZ275" s="192">
        <f>S275*(1+M275)</f>
        <v/>
      </c>
      <c r="BA275" s="76">
        <f>cost_fin_total*$BD275</f>
        <v/>
      </c>
      <c r="BB275" s="193">
        <f>credit_sales_interest*BD275</f>
        <v/>
      </c>
      <c r="BC275" s="102">
        <f>IFERROR(IF($I$13&gt;0,$I275/$I$13,$S275/$S$13),0)</f>
        <v/>
      </c>
      <c r="BD275" s="102">
        <f>IFERROR($S275/$S$13,0)</f>
        <v/>
      </c>
      <c r="BE275" s="413" t="inlineStr">
        <is>
          <t>$</t>
        </is>
      </c>
    </row>
    <row r="276" ht="12" customFormat="1" customHeight="1" s="65">
      <c r="A276" s="43" t="n">
        <v>261</v>
      </c>
      <c r="B276" s="166" t="n"/>
      <c r="C276" s="166" t="n"/>
      <c r="D276" s="166" t="n"/>
      <c r="E276" s="162" t="n"/>
      <c r="F276" s="166" t="n"/>
      <c r="G276" s="162" t="n"/>
      <c r="H276" s="162" t="n"/>
      <c r="I276" s="189">
        <f>E276*G276</f>
        <v/>
      </c>
      <c r="J276" s="195" t="n"/>
      <c r="K276" s="162" t="n"/>
      <c r="L276" s="168" t="n"/>
      <c r="M276" s="75">
        <f>_xlfn.XLOOKUP(L276,list_vat[Страна],list_vat[Ставка НДС %],0,0)</f>
        <v/>
      </c>
      <c r="N276" s="162">
        <f>IFERROR(IF(L276="Китай",K276,K276/(1+M276)),0)</f>
        <v/>
      </c>
      <c r="O276" s="169" t="n"/>
      <c r="P276" s="76">
        <f>N276*(1-O276)</f>
        <v/>
      </c>
      <c r="Q276" s="162" t="n"/>
      <c r="R276" s="162">
        <f>IF(ISBLANK(Q276),"введи курс",P276/Q276)</f>
        <v/>
      </c>
      <c r="S276" s="196">
        <f>IF(AND(ISNUMBER(E276),ISNUMBER(Q276)),E276*R276,0)</f>
        <v/>
      </c>
      <c r="T276" s="192">
        <f>$BC276*V$11</f>
        <v/>
      </c>
      <c r="U276" s="76">
        <f>$BC276*W$11</f>
        <v/>
      </c>
      <c r="V276" s="193">
        <f>+SUM(T276:U276)</f>
        <v/>
      </c>
      <c r="W276" s="191" t="n"/>
      <c r="X276" s="170" t="n"/>
      <c r="Y276" s="76">
        <f>ROUND(IF(offer_incoterms="DDP",X276*(S276*(1+AW276)+T276),0),2)</f>
        <v/>
      </c>
      <c r="Z276" s="188" t="n"/>
      <c r="AA276" s="192">
        <f>IFERROR(AB276/E276,0)</f>
        <v/>
      </c>
      <c r="AB276" s="76">
        <f>ROUND(SUM(S276,V276,Y276:Z276,BA276:BB276),2)</f>
        <v/>
      </c>
      <c r="AC276" s="797" t="n"/>
      <c r="AD276" s="192">
        <f t="array" ref="AD276">IFERROR(ROUND((_xlfn.IFS(offer_sale_type="поставка",AB276,offer_sale_type="транзит",S276)*(1+AC276))/E276,2),0)</f>
        <v/>
      </c>
      <c r="AE276" s="76">
        <f>AD276*E276</f>
        <v/>
      </c>
      <c r="AF276" s="193">
        <f t="array" ref="AF276">IFERROR(ROUND(_xlfn.IFS(offer_sale_type="поставка",AB276,offer_sale_type="транзит",S276)*AC276,2),0)</f>
        <v/>
      </c>
      <c r="AG276" s="192">
        <f>$BD276*VLOOKUP($AG$3,$AF$4:$AG$7,2,FALSE)</f>
        <v/>
      </c>
      <c r="AH276" s="76">
        <f>SUM(AE276,AG276,AI276)*rate_forex_risk</f>
        <v/>
      </c>
      <c r="AI276" s="193">
        <f>IF(OR(seller_region="TR",offer_sale_type="экспорт"),0,rate_fin_comm)*SUM(AZ276,AZ276*AW276,T276)</f>
        <v/>
      </c>
      <c r="AJ276" s="118">
        <f>IFERROR(ROUND(SUM(AB276,AF276:AI276)/E276,2),0)</f>
        <v/>
      </c>
      <c r="AK276" s="76">
        <f>AJ276*E276</f>
        <v/>
      </c>
      <c r="AL276" s="174">
        <f>ROUND(IFERROR(AM276*E276,0),2)</f>
        <v/>
      </c>
      <c r="AM276" s="175">
        <f>ROUND(AJ276*(1+IF(offer_incoterms="DDP",IF((TODAY()+offer_turnaround_time)&gt;=helpsheet!$L$17,rate_vatRU_from_26,rate_vatRu_till_25),0)),2)</f>
        <v/>
      </c>
      <c r="AN276" s="192">
        <f>AL276-AK276</f>
        <v/>
      </c>
      <c r="AO276" s="76">
        <f>SUM(AY276,Y276:Z276,T276)*IF(AND(offer_incoterms="DDP",offer_sale_type&lt;&gt;"экспорт"),IF((TODAY()+offer_turnaround_time)&gt;=helpsheet!$L$17,rate_vatRU_from_26,rate_vatRu_till_25),0)</f>
        <v/>
      </c>
      <c r="AP276" s="193">
        <f>AN276-AO276</f>
        <v/>
      </c>
      <c r="AQ276" s="118">
        <f>IF(offer_sale_type="транзит",SUM(AF276:AI276,BA276,BB276),0)</f>
        <v/>
      </c>
      <c r="AR276" s="82">
        <f>HYPERLINK("https://www.alta.ru/tnved/code/")&amp;W276&amp;"/"</f>
        <v/>
      </c>
      <c r="AS276" s="157" t="n"/>
      <c r="AT276" s="162" t="n"/>
      <c r="AU276" s="76">
        <f>IF(ISBLANK(AT276),0,AJ276-AT276)</f>
        <v/>
      </c>
      <c r="AV276" s="157" t="n"/>
      <c r="AW276" s="75">
        <f>_xlfn.IFNA(VLOOKUP(L276,list_vat[],3,FALSE),0)</f>
        <v/>
      </c>
      <c r="AX276" s="76">
        <f>IFERROR(ROUND(S276*(1+AW276)/E276,2),0)</f>
        <v/>
      </c>
      <c r="AY276" s="76">
        <f>E276*AX276</f>
        <v/>
      </c>
      <c r="AZ276" s="192">
        <f>S276*(1+M276)</f>
        <v/>
      </c>
      <c r="BA276" s="76">
        <f>cost_fin_total*$BD276</f>
        <v/>
      </c>
      <c r="BB276" s="193">
        <f>credit_sales_interest*BD276</f>
        <v/>
      </c>
      <c r="BC276" s="102">
        <f>IFERROR(IF($I$13&gt;0,$I276/$I$13,$S276/$S$13),0)</f>
        <v/>
      </c>
      <c r="BD276" s="102">
        <f>IFERROR($S276/$S$13,0)</f>
        <v/>
      </c>
      <c r="BE276" s="413" t="inlineStr">
        <is>
          <t>$</t>
        </is>
      </c>
    </row>
    <row r="277" ht="12" customFormat="1" customHeight="1" s="65">
      <c r="A277" s="43" t="n">
        <v>262</v>
      </c>
      <c r="B277" s="166" t="n"/>
      <c r="C277" s="166" t="n"/>
      <c r="D277" s="166" t="n"/>
      <c r="E277" s="162" t="n"/>
      <c r="F277" s="166" t="n"/>
      <c r="G277" s="162" t="n"/>
      <c r="H277" s="162" t="n"/>
      <c r="I277" s="189">
        <f>E277*G277</f>
        <v/>
      </c>
      <c r="J277" s="195" t="n"/>
      <c r="K277" s="162" t="n"/>
      <c r="L277" s="168" t="n"/>
      <c r="M277" s="75">
        <f>_xlfn.XLOOKUP(L277,list_vat[Страна],list_vat[Ставка НДС %],0,0)</f>
        <v/>
      </c>
      <c r="N277" s="162">
        <f>IFERROR(IF(L277="Китай",K277,K277/(1+M277)),0)</f>
        <v/>
      </c>
      <c r="O277" s="169" t="n"/>
      <c r="P277" s="76">
        <f>N277*(1-O277)</f>
        <v/>
      </c>
      <c r="Q277" s="162" t="n"/>
      <c r="R277" s="162">
        <f>IF(ISBLANK(Q277),"введи курс",P277/Q277)</f>
        <v/>
      </c>
      <c r="S277" s="196">
        <f>IF(AND(ISNUMBER(E277),ISNUMBER(Q277)),E277*R277,0)</f>
        <v/>
      </c>
      <c r="T277" s="192">
        <f>$BC277*V$11</f>
        <v/>
      </c>
      <c r="U277" s="76">
        <f>$BC277*W$11</f>
        <v/>
      </c>
      <c r="V277" s="193">
        <f>+SUM(T277:U277)</f>
        <v/>
      </c>
      <c r="W277" s="191" t="n"/>
      <c r="X277" s="170" t="n"/>
      <c r="Y277" s="76">
        <f>ROUND(IF(offer_incoterms="DDP",X277*(S277*(1+AW277)+T277),0),2)</f>
        <v/>
      </c>
      <c r="Z277" s="188" t="n"/>
      <c r="AA277" s="192">
        <f>IFERROR(AB277/E277,0)</f>
        <v/>
      </c>
      <c r="AB277" s="76">
        <f>ROUND(SUM(S277,V277,Y277:Z277,BA277:BB277),2)</f>
        <v/>
      </c>
      <c r="AC277" s="797" t="n"/>
      <c r="AD277" s="192">
        <f t="array" ref="AD277">IFERROR(ROUND((_xlfn.IFS(offer_sale_type="поставка",AB277,offer_sale_type="транзит",S277)*(1+AC277))/E277,2),0)</f>
        <v/>
      </c>
      <c r="AE277" s="76">
        <f>AD277*E277</f>
        <v/>
      </c>
      <c r="AF277" s="193">
        <f t="array" ref="AF277">IFERROR(ROUND(_xlfn.IFS(offer_sale_type="поставка",AB277,offer_sale_type="транзит",S277)*AC277,2),0)</f>
        <v/>
      </c>
      <c r="AG277" s="192">
        <f>$BD277*VLOOKUP($AG$3,$AF$4:$AG$7,2,FALSE)</f>
        <v/>
      </c>
      <c r="AH277" s="76">
        <f>SUM(AE277,AG277,AI277)*rate_forex_risk</f>
        <v/>
      </c>
      <c r="AI277" s="193">
        <f>IF(OR(seller_region="TR",offer_sale_type="экспорт"),0,rate_fin_comm)*SUM(AZ277,AZ277*AW277,T277)</f>
        <v/>
      </c>
      <c r="AJ277" s="118">
        <f>IFERROR(ROUND(SUM(AB277,AF277:AI277)/E277,2),0)</f>
        <v/>
      </c>
      <c r="AK277" s="76">
        <f>AJ277*E277</f>
        <v/>
      </c>
      <c r="AL277" s="174">
        <f>ROUND(IFERROR(AM277*E277,0),2)</f>
        <v/>
      </c>
      <c r="AM277" s="175">
        <f>ROUND(AJ277*(1+IF(offer_incoterms="DDP",IF((TODAY()+offer_turnaround_time)&gt;=helpsheet!$L$17,rate_vatRU_from_26,rate_vatRu_till_25),0)),2)</f>
        <v/>
      </c>
      <c r="AN277" s="192">
        <f>AL277-AK277</f>
        <v/>
      </c>
      <c r="AO277" s="76">
        <f>SUM(AY277,Y277:Z277,T277)*IF(AND(offer_incoterms="DDP",offer_sale_type&lt;&gt;"экспорт"),IF((TODAY()+offer_turnaround_time)&gt;=helpsheet!$L$17,rate_vatRU_from_26,rate_vatRu_till_25),0)</f>
        <v/>
      </c>
      <c r="AP277" s="193">
        <f>AN277-AO277</f>
        <v/>
      </c>
      <c r="AQ277" s="118">
        <f>IF(offer_sale_type="транзит",SUM(AF277:AI277,BA277,BB277),0)</f>
        <v/>
      </c>
      <c r="AR277" s="82">
        <f>HYPERLINK("https://www.alta.ru/tnved/code/")&amp;W277&amp;"/"</f>
        <v/>
      </c>
      <c r="AS277" s="157" t="n"/>
      <c r="AT277" s="162" t="n"/>
      <c r="AU277" s="76">
        <f>IF(ISBLANK(AT277),0,AJ277-AT277)</f>
        <v/>
      </c>
      <c r="AV277" s="157" t="n"/>
      <c r="AW277" s="75">
        <f>_xlfn.IFNA(VLOOKUP(L277,list_vat[],3,FALSE),0)</f>
        <v/>
      </c>
      <c r="AX277" s="76">
        <f>IFERROR(ROUND(S277*(1+AW277)/E277,2),0)</f>
        <v/>
      </c>
      <c r="AY277" s="76">
        <f>E277*AX277</f>
        <v/>
      </c>
      <c r="AZ277" s="192">
        <f>S277*(1+M277)</f>
        <v/>
      </c>
      <c r="BA277" s="76">
        <f>cost_fin_total*$BD277</f>
        <v/>
      </c>
      <c r="BB277" s="193">
        <f>credit_sales_interest*BD277</f>
        <v/>
      </c>
      <c r="BC277" s="102">
        <f>IFERROR(IF($I$13&gt;0,$I277/$I$13,$S277/$S$13),0)</f>
        <v/>
      </c>
      <c r="BD277" s="102">
        <f>IFERROR($S277/$S$13,0)</f>
        <v/>
      </c>
      <c r="BE277" s="413" t="inlineStr">
        <is>
          <t>$</t>
        </is>
      </c>
    </row>
    <row r="278" ht="12" customFormat="1" customHeight="1" s="65">
      <c r="A278" s="43" t="n">
        <v>263</v>
      </c>
      <c r="B278" s="166" t="n"/>
      <c r="C278" s="166" t="n"/>
      <c r="D278" s="166" t="n"/>
      <c r="E278" s="162" t="n"/>
      <c r="F278" s="166" t="n"/>
      <c r="G278" s="162" t="n"/>
      <c r="H278" s="162" t="n"/>
      <c r="I278" s="189">
        <f>E278*G278</f>
        <v/>
      </c>
      <c r="J278" s="195" t="n"/>
      <c r="K278" s="162" t="n"/>
      <c r="L278" s="168" t="n"/>
      <c r="M278" s="75">
        <f>_xlfn.XLOOKUP(L278,list_vat[Страна],list_vat[Ставка НДС %],0,0)</f>
        <v/>
      </c>
      <c r="N278" s="162">
        <f>IFERROR(IF(L278="Китай",K278,K278/(1+M278)),0)</f>
        <v/>
      </c>
      <c r="O278" s="169" t="n"/>
      <c r="P278" s="76">
        <f>N278*(1-O278)</f>
        <v/>
      </c>
      <c r="Q278" s="162" t="n"/>
      <c r="R278" s="162">
        <f>IF(ISBLANK(Q278),"введи курс",P278/Q278)</f>
        <v/>
      </c>
      <c r="S278" s="196">
        <f>IF(AND(ISNUMBER(E278),ISNUMBER(Q278)),E278*R278,0)</f>
        <v/>
      </c>
      <c r="T278" s="192">
        <f>$BC278*V$11</f>
        <v/>
      </c>
      <c r="U278" s="76">
        <f>$BC278*W$11</f>
        <v/>
      </c>
      <c r="V278" s="193">
        <f>+SUM(T278:U278)</f>
        <v/>
      </c>
      <c r="W278" s="191" t="n"/>
      <c r="X278" s="170" t="n"/>
      <c r="Y278" s="76">
        <f>ROUND(IF(offer_incoterms="DDP",X278*(S278*(1+AW278)+T278),0),2)</f>
        <v/>
      </c>
      <c r="Z278" s="188" t="n"/>
      <c r="AA278" s="192">
        <f>IFERROR(AB278/E278,0)</f>
        <v/>
      </c>
      <c r="AB278" s="76">
        <f>ROUND(SUM(S278,V278,Y278:Z278,BA278:BB278),2)</f>
        <v/>
      </c>
      <c r="AC278" s="797" t="n"/>
      <c r="AD278" s="192">
        <f t="array" ref="AD278">IFERROR(ROUND((_xlfn.IFS(offer_sale_type="поставка",AB278,offer_sale_type="транзит",S278)*(1+AC278))/E278,2),0)</f>
        <v/>
      </c>
      <c r="AE278" s="76">
        <f>AD278*E278</f>
        <v/>
      </c>
      <c r="AF278" s="193">
        <f t="array" ref="AF278">IFERROR(ROUND(_xlfn.IFS(offer_sale_type="поставка",AB278,offer_sale_type="транзит",S278)*AC278,2),0)</f>
        <v/>
      </c>
      <c r="AG278" s="192">
        <f>$BD278*VLOOKUP($AG$3,$AF$4:$AG$7,2,FALSE)</f>
        <v/>
      </c>
      <c r="AH278" s="76">
        <f>SUM(AE278,AG278,AI278)*rate_forex_risk</f>
        <v/>
      </c>
      <c r="AI278" s="193">
        <f>IF(OR(seller_region="TR",offer_sale_type="экспорт"),0,rate_fin_comm)*SUM(AZ278,AZ278*AW278,T278)</f>
        <v/>
      </c>
      <c r="AJ278" s="118">
        <f>IFERROR(ROUND(SUM(AB278,AF278:AI278)/E278,2),0)</f>
        <v/>
      </c>
      <c r="AK278" s="76">
        <f>AJ278*E278</f>
        <v/>
      </c>
      <c r="AL278" s="174">
        <f>ROUND(IFERROR(AM278*E278,0),2)</f>
        <v/>
      </c>
      <c r="AM278" s="175">
        <f>ROUND(AJ278*(1+IF(offer_incoterms="DDP",IF((TODAY()+offer_turnaround_time)&gt;=helpsheet!$L$17,rate_vatRU_from_26,rate_vatRu_till_25),0)),2)</f>
        <v/>
      </c>
      <c r="AN278" s="192">
        <f>AL278-AK278</f>
        <v/>
      </c>
      <c r="AO278" s="76">
        <f>SUM(AY278,Y278:Z278,T278)*IF(AND(offer_incoterms="DDP",offer_sale_type&lt;&gt;"экспорт"),IF((TODAY()+offer_turnaround_time)&gt;=helpsheet!$L$17,rate_vatRU_from_26,rate_vatRu_till_25),0)</f>
        <v/>
      </c>
      <c r="AP278" s="193">
        <f>AN278-AO278</f>
        <v/>
      </c>
      <c r="AQ278" s="118">
        <f>IF(offer_sale_type="транзит",SUM(AF278:AI278,BA278,BB278),0)</f>
        <v/>
      </c>
      <c r="AR278" s="82">
        <f>HYPERLINK("https://www.alta.ru/tnved/code/")&amp;W278&amp;"/"</f>
        <v/>
      </c>
      <c r="AS278" s="157" t="n"/>
      <c r="AT278" s="162" t="n"/>
      <c r="AU278" s="76">
        <f>IF(ISBLANK(AT278),0,AJ278-AT278)</f>
        <v/>
      </c>
      <c r="AV278" s="157" t="n"/>
      <c r="AW278" s="75">
        <f>_xlfn.IFNA(VLOOKUP(L278,list_vat[],3,FALSE),0)</f>
        <v/>
      </c>
      <c r="AX278" s="76">
        <f>IFERROR(ROUND(S278*(1+AW278)/E278,2),0)</f>
        <v/>
      </c>
      <c r="AY278" s="76">
        <f>E278*AX278</f>
        <v/>
      </c>
      <c r="AZ278" s="192">
        <f>S278*(1+M278)</f>
        <v/>
      </c>
      <c r="BA278" s="76">
        <f>cost_fin_total*$BD278</f>
        <v/>
      </c>
      <c r="BB278" s="193">
        <f>credit_sales_interest*BD278</f>
        <v/>
      </c>
      <c r="BC278" s="102">
        <f>IFERROR(IF($I$13&gt;0,$I278/$I$13,$S278/$S$13),0)</f>
        <v/>
      </c>
      <c r="BD278" s="102">
        <f>IFERROR($S278/$S$13,0)</f>
        <v/>
      </c>
      <c r="BE278" s="413" t="inlineStr">
        <is>
          <t>$</t>
        </is>
      </c>
    </row>
    <row r="279" ht="12" customFormat="1" customHeight="1" s="65">
      <c r="A279" s="43" t="n">
        <v>264</v>
      </c>
      <c r="B279" s="166" t="n"/>
      <c r="C279" s="166" t="n"/>
      <c r="D279" s="166" t="n"/>
      <c r="E279" s="162" t="n"/>
      <c r="F279" s="166" t="n"/>
      <c r="G279" s="162" t="n"/>
      <c r="H279" s="162" t="n"/>
      <c r="I279" s="189">
        <f>E279*G279</f>
        <v/>
      </c>
      <c r="J279" s="195" t="n"/>
      <c r="K279" s="162" t="n"/>
      <c r="L279" s="168" t="n"/>
      <c r="M279" s="75">
        <f>_xlfn.XLOOKUP(L279,list_vat[Страна],list_vat[Ставка НДС %],0,0)</f>
        <v/>
      </c>
      <c r="N279" s="162">
        <f>IFERROR(IF(L279="Китай",K279,K279/(1+M279)),0)</f>
        <v/>
      </c>
      <c r="O279" s="169" t="n"/>
      <c r="P279" s="76">
        <f>N279*(1-O279)</f>
        <v/>
      </c>
      <c r="Q279" s="162" t="n"/>
      <c r="R279" s="162">
        <f>IF(ISBLANK(Q279),"введи курс",P279/Q279)</f>
        <v/>
      </c>
      <c r="S279" s="196">
        <f>IF(AND(ISNUMBER(E279),ISNUMBER(Q279)),E279*R279,0)</f>
        <v/>
      </c>
      <c r="T279" s="192">
        <f>$BC279*V$11</f>
        <v/>
      </c>
      <c r="U279" s="76">
        <f>$BC279*W$11</f>
        <v/>
      </c>
      <c r="V279" s="193">
        <f>+SUM(T279:U279)</f>
        <v/>
      </c>
      <c r="W279" s="191" t="n"/>
      <c r="X279" s="170" t="n"/>
      <c r="Y279" s="76">
        <f>ROUND(IF(offer_incoterms="DDP",X279*(S279*(1+AW279)+T279),0),2)</f>
        <v/>
      </c>
      <c r="Z279" s="188" t="n"/>
      <c r="AA279" s="192">
        <f>IFERROR(AB279/E279,0)</f>
        <v/>
      </c>
      <c r="AB279" s="76">
        <f>ROUND(SUM(S279,V279,Y279:Z279,BA279:BB279),2)</f>
        <v/>
      </c>
      <c r="AC279" s="797" t="n"/>
      <c r="AD279" s="192">
        <f t="array" ref="AD279">IFERROR(ROUND((_xlfn.IFS(offer_sale_type="поставка",AB279,offer_sale_type="транзит",S279)*(1+AC279))/E279,2),0)</f>
        <v/>
      </c>
      <c r="AE279" s="76">
        <f>AD279*E279</f>
        <v/>
      </c>
      <c r="AF279" s="193">
        <f t="array" ref="AF279">IFERROR(ROUND(_xlfn.IFS(offer_sale_type="поставка",AB279,offer_sale_type="транзит",S279)*AC279,2),0)</f>
        <v/>
      </c>
      <c r="AG279" s="192">
        <f>$BD279*VLOOKUP($AG$3,$AF$4:$AG$7,2,FALSE)</f>
        <v/>
      </c>
      <c r="AH279" s="76">
        <f>SUM(AE279,AG279,AI279)*rate_forex_risk</f>
        <v/>
      </c>
      <c r="AI279" s="193">
        <f>IF(OR(seller_region="TR",offer_sale_type="экспорт"),0,rate_fin_comm)*SUM(AZ279,AZ279*AW279,T279)</f>
        <v/>
      </c>
      <c r="AJ279" s="118">
        <f>IFERROR(ROUND(SUM(AB279,AF279:AI279)/E279,2),0)</f>
        <v/>
      </c>
      <c r="AK279" s="76">
        <f>AJ279*E279</f>
        <v/>
      </c>
      <c r="AL279" s="174">
        <f>ROUND(IFERROR(AM279*E279,0),2)</f>
        <v/>
      </c>
      <c r="AM279" s="175">
        <f>ROUND(AJ279*(1+IF(offer_incoterms="DDP",IF((TODAY()+offer_turnaround_time)&gt;=helpsheet!$L$17,rate_vatRU_from_26,rate_vatRu_till_25),0)),2)</f>
        <v/>
      </c>
      <c r="AN279" s="192">
        <f>AL279-AK279</f>
        <v/>
      </c>
      <c r="AO279" s="76">
        <f>SUM(AY279,Y279:Z279,T279)*IF(AND(offer_incoterms="DDP",offer_sale_type&lt;&gt;"экспорт"),IF((TODAY()+offer_turnaround_time)&gt;=helpsheet!$L$17,rate_vatRU_from_26,rate_vatRu_till_25),0)</f>
        <v/>
      </c>
      <c r="AP279" s="193">
        <f>AN279-AO279</f>
        <v/>
      </c>
      <c r="AQ279" s="118">
        <f>IF(offer_sale_type="транзит",SUM(AF279:AI279,BA279,BB279),0)</f>
        <v/>
      </c>
      <c r="AR279" s="82">
        <f>HYPERLINK("https://www.alta.ru/tnved/code/")&amp;W279&amp;"/"</f>
        <v/>
      </c>
      <c r="AS279" s="157" t="n"/>
      <c r="AT279" s="162" t="n"/>
      <c r="AU279" s="76">
        <f>IF(ISBLANK(AT279),0,AJ279-AT279)</f>
        <v/>
      </c>
      <c r="AV279" s="157" t="n"/>
      <c r="AW279" s="75">
        <f>_xlfn.IFNA(VLOOKUP(L279,list_vat[],3,FALSE),0)</f>
        <v/>
      </c>
      <c r="AX279" s="76">
        <f>IFERROR(ROUND(S279*(1+AW279)/E279,2),0)</f>
        <v/>
      </c>
      <c r="AY279" s="76">
        <f>E279*AX279</f>
        <v/>
      </c>
      <c r="AZ279" s="192">
        <f>S279*(1+M279)</f>
        <v/>
      </c>
      <c r="BA279" s="76">
        <f>cost_fin_total*$BD279</f>
        <v/>
      </c>
      <c r="BB279" s="193">
        <f>credit_sales_interest*BD279</f>
        <v/>
      </c>
      <c r="BC279" s="102">
        <f>IFERROR(IF($I$13&gt;0,$I279/$I$13,$S279/$S$13),0)</f>
        <v/>
      </c>
      <c r="BD279" s="102">
        <f>IFERROR($S279/$S$13,0)</f>
        <v/>
      </c>
      <c r="BE279" s="413" t="inlineStr">
        <is>
          <t>$</t>
        </is>
      </c>
    </row>
    <row r="280" ht="12" customFormat="1" customHeight="1" s="65">
      <c r="A280" s="43" t="n">
        <v>265</v>
      </c>
      <c r="B280" s="166" t="n"/>
      <c r="C280" s="166" t="n"/>
      <c r="D280" s="166" t="n"/>
      <c r="E280" s="162" t="n"/>
      <c r="F280" s="166" t="n"/>
      <c r="G280" s="162" t="n"/>
      <c r="H280" s="162" t="n"/>
      <c r="I280" s="189">
        <f>E280*G280</f>
        <v/>
      </c>
      <c r="J280" s="195" t="n"/>
      <c r="K280" s="162" t="n"/>
      <c r="L280" s="168" t="n"/>
      <c r="M280" s="75">
        <f>_xlfn.XLOOKUP(L280,list_vat[Страна],list_vat[Ставка НДС %],0,0)</f>
        <v/>
      </c>
      <c r="N280" s="162">
        <f>IFERROR(IF(L280="Китай",K280,K280/(1+M280)),0)</f>
        <v/>
      </c>
      <c r="O280" s="169" t="n"/>
      <c r="P280" s="76">
        <f>N280*(1-O280)</f>
        <v/>
      </c>
      <c r="Q280" s="162" t="n"/>
      <c r="R280" s="162">
        <f>IF(ISBLANK(Q280),"введи курс",P280/Q280)</f>
        <v/>
      </c>
      <c r="S280" s="196">
        <f>IF(AND(ISNUMBER(E280),ISNUMBER(Q280)),E280*R280,0)</f>
        <v/>
      </c>
      <c r="T280" s="192">
        <f>$BC280*V$11</f>
        <v/>
      </c>
      <c r="U280" s="76">
        <f>$BC280*W$11</f>
        <v/>
      </c>
      <c r="V280" s="193">
        <f>+SUM(T280:U280)</f>
        <v/>
      </c>
      <c r="W280" s="191" t="n"/>
      <c r="X280" s="170" t="n"/>
      <c r="Y280" s="76">
        <f>ROUND(IF(offer_incoterms="DDP",X280*(S280*(1+AW280)+T280),0),2)</f>
        <v/>
      </c>
      <c r="Z280" s="188" t="n"/>
      <c r="AA280" s="192">
        <f>IFERROR(AB280/E280,0)</f>
        <v/>
      </c>
      <c r="AB280" s="76">
        <f>ROUND(SUM(S280,V280,Y280:Z280,BA280:BB280),2)</f>
        <v/>
      </c>
      <c r="AC280" s="797" t="n"/>
      <c r="AD280" s="192">
        <f t="array" ref="AD280">IFERROR(ROUND((_xlfn.IFS(offer_sale_type="поставка",AB280,offer_sale_type="транзит",S280)*(1+AC280))/E280,2),0)</f>
        <v/>
      </c>
      <c r="AE280" s="76">
        <f>AD280*E280</f>
        <v/>
      </c>
      <c r="AF280" s="193">
        <f t="array" ref="AF280">IFERROR(ROUND(_xlfn.IFS(offer_sale_type="поставка",AB280,offer_sale_type="транзит",S280)*AC280,2),0)</f>
        <v/>
      </c>
      <c r="AG280" s="192">
        <f>$BD280*VLOOKUP($AG$3,$AF$4:$AG$7,2,FALSE)</f>
        <v/>
      </c>
      <c r="AH280" s="76">
        <f>SUM(AE280,AG280,AI280)*rate_forex_risk</f>
        <v/>
      </c>
      <c r="AI280" s="193">
        <f>IF(OR(seller_region="TR",offer_sale_type="экспорт"),0,rate_fin_comm)*SUM(AZ280,AZ280*AW280,T280)</f>
        <v/>
      </c>
      <c r="AJ280" s="118">
        <f>IFERROR(ROUND(SUM(AB280,AF280:AI280)/E280,2),0)</f>
        <v/>
      </c>
      <c r="AK280" s="76">
        <f>AJ280*E280</f>
        <v/>
      </c>
      <c r="AL280" s="174">
        <f>ROUND(IFERROR(AM280*E280,0),2)</f>
        <v/>
      </c>
      <c r="AM280" s="175">
        <f>ROUND(AJ280*(1+IF(offer_incoterms="DDP",IF((TODAY()+offer_turnaround_time)&gt;=helpsheet!$L$17,rate_vatRU_from_26,rate_vatRu_till_25),0)),2)</f>
        <v/>
      </c>
      <c r="AN280" s="192">
        <f>AL280-AK280</f>
        <v/>
      </c>
      <c r="AO280" s="76">
        <f>SUM(AY280,Y280:Z280,T280)*IF(AND(offer_incoterms="DDP",offer_sale_type&lt;&gt;"экспорт"),IF((TODAY()+offer_turnaround_time)&gt;=helpsheet!$L$17,rate_vatRU_from_26,rate_vatRu_till_25),0)</f>
        <v/>
      </c>
      <c r="AP280" s="193">
        <f>AN280-AO280</f>
        <v/>
      </c>
      <c r="AQ280" s="118">
        <f>IF(offer_sale_type="транзит",SUM(AF280:AI280,BA280,BB280),0)</f>
        <v/>
      </c>
      <c r="AR280" s="82">
        <f>HYPERLINK("https://www.alta.ru/tnved/code/")&amp;W280&amp;"/"</f>
        <v/>
      </c>
      <c r="AS280" s="157" t="n"/>
      <c r="AT280" s="162" t="n"/>
      <c r="AU280" s="76">
        <f>IF(ISBLANK(AT280),0,AJ280-AT280)</f>
        <v/>
      </c>
      <c r="AV280" s="157" t="n"/>
      <c r="AW280" s="75">
        <f>_xlfn.IFNA(VLOOKUP(L280,list_vat[],3,FALSE),0)</f>
        <v/>
      </c>
      <c r="AX280" s="76">
        <f>IFERROR(ROUND(S280*(1+AW280)/E280,2),0)</f>
        <v/>
      </c>
      <c r="AY280" s="76">
        <f>E280*AX280</f>
        <v/>
      </c>
      <c r="AZ280" s="192">
        <f>S280*(1+M280)</f>
        <v/>
      </c>
      <c r="BA280" s="76">
        <f>cost_fin_total*$BD280</f>
        <v/>
      </c>
      <c r="BB280" s="193">
        <f>credit_sales_interest*BD280</f>
        <v/>
      </c>
      <c r="BC280" s="102">
        <f>IFERROR(IF($I$13&gt;0,$I280/$I$13,$S280/$S$13),0)</f>
        <v/>
      </c>
      <c r="BD280" s="102">
        <f>IFERROR($S280/$S$13,0)</f>
        <v/>
      </c>
      <c r="BE280" s="413" t="inlineStr">
        <is>
          <t>$</t>
        </is>
      </c>
    </row>
    <row r="281" ht="12" customFormat="1" customHeight="1" s="65">
      <c r="A281" s="43" t="n">
        <v>266</v>
      </c>
      <c r="B281" s="166" t="n"/>
      <c r="C281" s="166" t="n"/>
      <c r="D281" s="166" t="n"/>
      <c r="E281" s="162" t="n"/>
      <c r="F281" s="166" t="n"/>
      <c r="G281" s="162" t="n"/>
      <c r="H281" s="162" t="n"/>
      <c r="I281" s="189">
        <f>E281*G281</f>
        <v/>
      </c>
      <c r="J281" s="195" t="n"/>
      <c r="K281" s="162" t="n"/>
      <c r="L281" s="168" t="n"/>
      <c r="M281" s="75">
        <f>_xlfn.XLOOKUP(L281,list_vat[Страна],list_vat[Ставка НДС %],0,0)</f>
        <v/>
      </c>
      <c r="N281" s="162">
        <f>IFERROR(IF(L281="Китай",K281,K281/(1+M281)),0)</f>
        <v/>
      </c>
      <c r="O281" s="169" t="n"/>
      <c r="P281" s="76">
        <f>N281*(1-O281)</f>
        <v/>
      </c>
      <c r="Q281" s="162" t="n"/>
      <c r="R281" s="162">
        <f>IF(ISBLANK(Q281),"введи курс",P281/Q281)</f>
        <v/>
      </c>
      <c r="S281" s="196">
        <f>IF(AND(ISNUMBER(E281),ISNUMBER(Q281)),E281*R281,0)</f>
        <v/>
      </c>
      <c r="T281" s="192">
        <f>$BC281*V$11</f>
        <v/>
      </c>
      <c r="U281" s="76">
        <f>$BC281*W$11</f>
        <v/>
      </c>
      <c r="V281" s="193">
        <f>+SUM(T281:U281)</f>
        <v/>
      </c>
      <c r="W281" s="191" t="n"/>
      <c r="X281" s="170" t="n"/>
      <c r="Y281" s="76">
        <f>ROUND(IF(offer_incoterms="DDP",X281*(S281*(1+AW281)+T281),0),2)</f>
        <v/>
      </c>
      <c r="Z281" s="188" t="n"/>
      <c r="AA281" s="192">
        <f>IFERROR(AB281/E281,0)</f>
        <v/>
      </c>
      <c r="AB281" s="76">
        <f>ROUND(SUM(S281,V281,Y281:Z281,BA281:BB281),2)</f>
        <v/>
      </c>
      <c r="AC281" s="797" t="n"/>
      <c r="AD281" s="192">
        <f t="array" ref="AD281">IFERROR(ROUND((_xlfn.IFS(offer_sale_type="поставка",AB281,offer_sale_type="транзит",S281)*(1+AC281))/E281,2),0)</f>
        <v/>
      </c>
      <c r="AE281" s="76">
        <f>AD281*E281</f>
        <v/>
      </c>
      <c r="AF281" s="193">
        <f t="array" ref="AF281">IFERROR(ROUND(_xlfn.IFS(offer_sale_type="поставка",AB281,offer_sale_type="транзит",S281)*AC281,2),0)</f>
        <v/>
      </c>
      <c r="AG281" s="192">
        <f>$BD281*VLOOKUP($AG$3,$AF$4:$AG$7,2,FALSE)</f>
        <v/>
      </c>
      <c r="AH281" s="76">
        <f>SUM(AE281,AG281,AI281)*rate_forex_risk</f>
        <v/>
      </c>
      <c r="AI281" s="193">
        <f>IF(OR(seller_region="TR",offer_sale_type="экспорт"),0,rate_fin_comm)*SUM(AZ281,AZ281*AW281,T281)</f>
        <v/>
      </c>
      <c r="AJ281" s="118">
        <f>IFERROR(ROUND(SUM(AB281,AF281:AI281)/E281,2),0)</f>
        <v/>
      </c>
      <c r="AK281" s="76">
        <f>AJ281*E281</f>
        <v/>
      </c>
      <c r="AL281" s="174">
        <f>ROUND(IFERROR(AM281*E281,0),2)</f>
        <v/>
      </c>
      <c r="AM281" s="175">
        <f>ROUND(AJ281*(1+IF(offer_incoterms="DDP",IF((TODAY()+offer_turnaround_time)&gt;=helpsheet!$L$17,rate_vatRU_from_26,rate_vatRu_till_25),0)),2)</f>
        <v/>
      </c>
      <c r="AN281" s="192">
        <f>AL281-AK281</f>
        <v/>
      </c>
      <c r="AO281" s="76">
        <f>SUM(AY281,Y281:Z281,T281)*IF(AND(offer_incoterms="DDP",offer_sale_type&lt;&gt;"экспорт"),IF((TODAY()+offer_turnaround_time)&gt;=helpsheet!$L$17,rate_vatRU_from_26,rate_vatRu_till_25),0)</f>
        <v/>
      </c>
      <c r="AP281" s="193">
        <f>AN281-AO281</f>
        <v/>
      </c>
      <c r="AQ281" s="118">
        <f>IF(offer_sale_type="транзит",SUM(AF281:AI281,BA281,BB281),0)</f>
        <v/>
      </c>
      <c r="AR281" s="82">
        <f>HYPERLINK("https://www.alta.ru/tnved/code/")&amp;W281&amp;"/"</f>
        <v/>
      </c>
      <c r="AS281" s="157" t="n"/>
      <c r="AT281" s="162" t="n"/>
      <c r="AU281" s="76">
        <f>IF(ISBLANK(AT281),0,AJ281-AT281)</f>
        <v/>
      </c>
      <c r="AV281" s="157" t="n"/>
      <c r="AW281" s="75">
        <f>_xlfn.IFNA(VLOOKUP(L281,list_vat[],3,FALSE),0)</f>
        <v/>
      </c>
      <c r="AX281" s="76">
        <f>IFERROR(ROUND(S281*(1+AW281)/E281,2),0)</f>
        <v/>
      </c>
      <c r="AY281" s="76">
        <f>E281*AX281</f>
        <v/>
      </c>
      <c r="AZ281" s="192">
        <f>S281*(1+M281)</f>
        <v/>
      </c>
      <c r="BA281" s="76">
        <f>cost_fin_total*$BD281</f>
        <v/>
      </c>
      <c r="BB281" s="193">
        <f>credit_sales_interest*BD281</f>
        <v/>
      </c>
      <c r="BC281" s="102">
        <f>IFERROR(IF($I$13&gt;0,$I281/$I$13,$S281/$S$13),0)</f>
        <v/>
      </c>
      <c r="BD281" s="102">
        <f>IFERROR($S281/$S$13,0)</f>
        <v/>
      </c>
      <c r="BE281" s="413" t="inlineStr">
        <is>
          <t>$</t>
        </is>
      </c>
    </row>
    <row r="282" ht="12" customFormat="1" customHeight="1" s="65">
      <c r="A282" s="43" t="n">
        <v>267</v>
      </c>
      <c r="B282" s="166" t="n"/>
      <c r="C282" s="166" t="n"/>
      <c r="D282" s="166" t="n"/>
      <c r="E282" s="162" t="n"/>
      <c r="F282" s="166" t="n"/>
      <c r="G282" s="162" t="n"/>
      <c r="H282" s="162" t="n"/>
      <c r="I282" s="189">
        <f>E282*G282</f>
        <v/>
      </c>
      <c r="J282" s="195" t="n"/>
      <c r="K282" s="162" t="n"/>
      <c r="L282" s="168" t="n"/>
      <c r="M282" s="75">
        <f>_xlfn.XLOOKUP(L282,list_vat[Страна],list_vat[Ставка НДС %],0,0)</f>
        <v/>
      </c>
      <c r="N282" s="162">
        <f>IFERROR(IF(L282="Китай",K282,K282/(1+M282)),0)</f>
        <v/>
      </c>
      <c r="O282" s="169" t="n"/>
      <c r="P282" s="76">
        <f>N282*(1-O282)</f>
        <v/>
      </c>
      <c r="Q282" s="162" t="n"/>
      <c r="R282" s="162">
        <f>IF(ISBLANK(Q282),"введи курс",P282/Q282)</f>
        <v/>
      </c>
      <c r="S282" s="196">
        <f>IF(AND(ISNUMBER(E282),ISNUMBER(Q282)),E282*R282,0)</f>
        <v/>
      </c>
      <c r="T282" s="192">
        <f>$BC282*V$11</f>
        <v/>
      </c>
      <c r="U282" s="76">
        <f>$BC282*W$11</f>
        <v/>
      </c>
      <c r="V282" s="193">
        <f>+SUM(T282:U282)</f>
        <v/>
      </c>
      <c r="W282" s="191" t="n"/>
      <c r="X282" s="170" t="n"/>
      <c r="Y282" s="76">
        <f>ROUND(IF(offer_incoterms="DDP",X282*(S282*(1+AW282)+T282),0),2)</f>
        <v/>
      </c>
      <c r="Z282" s="188" t="n"/>
      <c r="AA282" s="192">
        <f>IFERROR(AB282/E282,0)</f>
        <v/>
      </c>
      <c r="AB282" s="76">
        <f>ROUND(SUM(S282,V282,Y282:Z282,BA282:BB282),2)</f>
        <v/>
      </c>
      <c r="AC282" s="797" t="n"/>
      <c r="AD282" s="192">
        <f t="array" ref="AD282">IFERROR(ROUND((_xlfn.IFS(offer_sale_type="поставка",AB282,offer_sale_type="транзит",S282)*(1+AC282))/E282,2),0)</f>
        <v/>
      </c>
      <c r="AE282" s="76">
        <f>AD282*E282</f>
        <v/>
      </c>
      <c r="AF282" s="193">
        <f t="array" ref="AF282">IFERROR(ROUND(_xlfn.IFS(offer_sale_type="поставка",AB282,offer_sale_type="транзит",S282)*AC282,2),0)</f>
        <v/>
      </c>
      <c r="AG282" s="192">
        <f>$BD282*VLOOKUP($AG$3,$AF$4:$AG$7,2,FALSE)</f>
        <v/>
      </c>
      <c r="AH282" s="76">
        <f>SUM(AE282,AG282,AI282)*rate_forex_risk</f>
        <v/>
      </c>
      <c r="AI282" s="193">
        <f>IF(OR(seller_region="TR",offer_sale_type="экспорт"),0,rate_fin_comm)*SUM(AZ282,AZ282*AW282,T282)</f>
        <v/>
      </c>
      <c r="AJ282" s="118">
        <f>IFERROR(ROUND(SUM(AB282,AF282:AI282)/E282,2),0)</f>
        <v/>
      </c>
      <c r="AK282" s="76">
        <f>AJ282*E282</f>
        <v/>
      </c>
      <c r="AL282" s="174">
        <f>ROUND(IFERROR(AM282*E282,0),2)</f>
        <v/>
      </c>
      <c r="AM282" s="175">
        <f>ROUND(AJ282*(1+IF(offer_incoterms="DDP",IF((TODAY()+offer_turnaround_time)&gt;=helpsheet!$L$17,rate_vatRU_from_26,rate_vatRu_till_25),0)),2)</f>
        <v/>
      </c>
      <c r="AN282" s="192">
        <f>AL282-AK282</f>
        <v/>
      </c>
      <c r="AO282" s="76">
        <f>SUM(AY282,Y282:Z282,T282)*IF(AND(offer_incoterms="DDP",offer_sale_type&lt;&gt;"экспорт"),IF((TODAY()+offer_turnaround_time)&gt;=helpsheet!$L$17,rate_vatRU_from_26,rate_vatRu_till_25),0)</f>
        <v/>
      </c>
      <c r="AP282" s="193">
        <f>AN282-AO282</f>
        <v/>
      </c>
      <c r="AQ282" s="118">
        <f>IF(offer_sale_type="транзит",SUM(AF282:AI282,BA282,BB282),0)</f>
        <v/>
      </c>
      <c r="AR282" s="82">
        <f>HYPERLINK("https://www.alta.ru/tnved/code/")&amp;W282&amp;"/"</f>
        <v/>
      </c>
      <c r="AS282" s="157" t="n"/>
      <c r="AT282" s="162" t="n"/>
      <c r="AU282" s="76">
        <f>IF(ISBLANK(AT282),0,AJ282-AT282)</f>
        <v/>
      </c>
      <c r="AV282" s="157" t="n"/>
      <c r="AW282" s="75">
        <f>_xlfn.IFNA(VLOOKUP(L282,list_vat[],3,FALSE),0)</f>
        <v/>
      </c>
      <c r="AX282" s="76">
        <f>IFERROR(ROUND(S282*(1+AW282)/E282,2),0)</f>
        <v/>
      </c>
      <c r="AY282" s="76">
        <f>E282*AX282</f>
        <v/>
      </c>
      <c r="AZ282" s="192">
        <f>S282*(1+M282)</f>
        <v/>
      </c>
      <c r="BA282" s="76">
        <f>cost_fin_total*$BD282</f>
        <v/>
      </c>
      <c r="BB282" s="193">
        <f>credit_sales_interest*BD282</f>
        <v/>
      </c>
      <c r="BC282" s="102">
        <f>IFERROR(IF($I$13&gt;0,$I282/$I$13,$S282/$S$13),0)</f>
        <v/>
      </c>
      <c r="BD282" s="102">
        <f>IFERROR($S282/$S$13,0)</f>
        <v/>
      </c>
      <c r="BE282" s="413" t="inlineStr">
        <is>
          <t>$</t>
        </is>
      </c>
    </row>
    <row r="283" ht="12" customFormat="1" customHeight="1" s="65">
      <c r="A283" s="43" t="n">
        <v>268</v>
      </c>
      <c r="B283" s="166" t="n"/>
      <c r="C283" s="166" t="n"/>
      <c r="D283" s="166" t="n"/>
      <c r="E283" s="162" t="n"/>
      <c r="F283" s="166" t="n"/>
      <c r="G283" s="162" t="n"/>
      <c r="H283" s="162" t="n"/>
      <c r="I283" s="189">
        <f>E283*G283</f>
        <v/>
      </c>
      <c r="J283" s="195" t="n"/>
      <c r="K283" s="162" t="n"/>
      <c r="L283" s="168" t="n"/>
      <c r="M283" s="75">
        <f>_xlfn.XLOOKUP(L283,list_vat[Страна],list_vat[Ставка НДС %],0,0)</f>
        <v/>
      </c>
      <c r="N283" s="162">
        <f>IFERROR(IF(L283="Китай",K283,K283/(1+M283)),0)</f>
        <v/>
      </c>
      <c r="O283" s="169" t="n"/>
      <c r="P283" s="76">
        <f>N283*(1-O283)</f>
        <v/>
      </c>
      <c r="Q283" s="162" t="n"/>
      <c r="R283" s="162">
        <f>IF(ISBLANK(Q283),"введи курс",P283/Q283)</f>
        <v/>
      </c>
      <c r="S283" s="196">
        <f>IF(AND(ISNUMBER(E283),ISNUMBER(Q283)),E283*R283,0)</f>
        <v/>
      </c>
      <c r="T283" s="192">
        <f>$BC283*V$11</f>
        <v/>
      </c>
      <c r="U283" s="76">
        <f>$BC283*W$11</f>
        <v/>
      </c>
      <c r="V283" s="193">
        <f>+SUM(T283:U283)</f>
        <v/>
      </c>
      <c r="W283" s="191" t="n"/>
      <c r="X283" s="170" t="n"/>
      <c r="Y283" s="76">
        <f>ROUND(IF(offer_incoterms="DDP",X283*(S283*(1+AW283)+T283),0),2)</f>
        <v/>
      </c>
      <c r="Z283" s="188" t="n"/>
      <c r="AA283" s="192">
        <f>IFERROR(AB283/E283,0)</f>
        <v/>
      </c>
      <c r="AB283" s="76">
        <f>ROUND(SUM(S283,V283,Y283:Z283,BA283:BB283),2)</f>
        <v/>
      </c>
      <c r="AC283" s="797" t="n"/>
      <c r="AD283" s="192">
        <f t="array" ref="AD283">IFERROR(ROUND((_xlfn.IFS(offer_sale_type="поставка",AB283,offer_sale_type="транзит",S283)*(1+AC283))/E283,2),0)</f>
        <v/>
      </c>
      <c r="AE283" s="76">
        <f>AD283*E283</f>
        <v/>
      </c>
      <c r="AF283" s="193">
        <f t="array" ref="AF283">IFERROR(ROUND(_xlfn.IFS(offer_sale_type="поставка",AB283,offer_sale_type="транзит",S283)*AC283,2),0)</f>
        <v/>
      </c>
      <c r="AG283" s="192">
        <f>$BD283*VLOOKUP($AG$3,$AF$4:$AG$7,2,FALSE)</f>
        <v/>
      </c>
      <c r="AH283" s="76">
        <f>SUM(AE283,AG283,AI283)*rate_forex_risk</f>
        <v/>
      </c>
      <c r="AI283" s="193">
        <f>IF(OR(seller_region="TR",offer_sale_type="экспорт"),0,rate_fin_comm)*SUM(AZ283,AZ283*AW283,T283)</f>
        <v/>
      </c>
      <c r="AJ283" s="118">
        <f>IFERROR(ROUND(SUM(AB283,AF283:AI283)/E283,2),0)</f>
        <v/>
      </c>
      <c r="AK283" s="76">
        <f>AJ283*E283</f>
        <v/>
      </c>
      <c r="AL283" s="174">
        <f>ROUND(IFERROR(AM283*E283,0),2)</f>
        <v/>
      </c>
      <c r="AM283" s="175">
        <f>ROUND(AJ283*(1+IF(offer_incoterms="DDP",IF((TODAY()+offer_turnaround_time)&gt;=helpsheet!$L$17,rate_vatRU_from_26,rate_vatRu_till_25),0)),2)</f>
        <v/>
      </c>
      <c r="AN283" s="192">
        <f>AL283-AK283</f>
        <v/>
      </c>
      <c r="AO283" s="76">
        <f>SUM(AY283,Y283:Z283,T283)*IF(AND(offer_incoterms="DDP",offer_sale_type&lt;&gt;"экспорт"),IF((TODAY()+offer_turnaround_time)&gt;=helpsheet!$L$17,rate_vatRU_from_26,rate_vatRu_till_25),0)</f>
        <v/>
      </c>
      <c r="AP283" s="193">
        <f>AN283-AO283</f>
        <v/>
      </c>
      <c r="AQ283" s="118">
        <f>IF(offer_sale_type="транзит",SUM(AF283:AI283,BA283,BB283),0)</f>
        <v/>
      </c>
      <c r="AR283" s="82">
        <f>HYPERLINK("https://www.alta.ru/tnved/code/")&amp;W283&amp;"/"</f>
        <v/>
      </c>
      <c r="AS283" s="157" t="n"/>
      <c r="AT283" s="162" t="n"/>
      <c r="AU283" s="76">
        <f>IF(ISBLANK(AT283),0,AJ283-AT283)</f>
        <v/>
      </c>
      <c r="AV283" s="157" t="n"/>
      <c r="AW283" s="75">
        <f>_xlfn.IFNA(VLOOKUP(L283,list_vat[],3,FALSE),0)</f>
        <v/>
      </c>
      <c r="AX283" s="76">
        <f>IFERROR(ROUND(S283*(1+AW283)/E283,2),0)</f>
        <v/>
      </c>
      <c r="AY283" s="76">
        <f>E283*AX283</f>
        <v/>
      </c>
      <c r="AZ283" s="192">
        <f>S283*(1+M283)</f>
        <v/>
      </c>
      <c r="BA283" s="76">
        <f>cost_fin_total*$BD283</f>
        <v/>
      </c>
      <c r="BB283" s="193">
        <f>credit_sales_interest*BD283</f>
        <v/>
      </c>
      <c r="BC283" s="102">
        <f>IFERROR(IF($I$13&gt;0,$I283/$I$13,$S283/$S$13),0)</f>
        <v/>
      </c>
      <c r="BD283" s="102">
        <f>IFERROR($S283/$S$13,0)</f>
        <v/>
      </c>
      <c r="BE283" s="413" t="inlineStr">
        <is>
          <t>$</t>
        </is>
      </c>
    </row>
    <row r="284" ht="12" customFormat="1" customHeight="1" s="65">
      <c r="A284" s="43" t="n">
        <v>269</v>
      </c>
      <c r="B284" s="166" t="n"/>
      <c r="C284" s="166" t="n"/>
      <c r="D284" s="166" t="n"/>
      <c r="E284" s="162" t="n"/>
      <c r="F284" s="166" t="n"/>
      <c r="G284" s="162" t="n"/>
      <c r="H284" s="162" t="n"/>
      <c r="I284" s="189">
        <f>E284*G284</f>
        <v/>
      </c>
      <c r="J284" s="195" t="n"/>
      <c r="K284" s="162" t="n"/>
      <c r="L284" s="168" t="n"/>
      <c r="M284" s="75">
        <f>_xlfn.XLOOKUP(L284,list_vat[Страна],list_vat[Ставка НДС %],0,0)</f>
        <v/>
      </c>
      <c r="N284" s="162">
        <f>IFERROR(IF(L284="Китай",K284,K284/(1+M284)),0)</f>
        <v/>
      </c>
      <c r="O284" s="169" t="n"/>
      <c r="P284" s="76">
        <f>N284*(1-O284)</f>
        <v/>
      </c>
      <c r="Q284" s="162" t="n"/>
      <c r="R284" s="162">
        <f>IF(ISBLANK(Q284),"введи курс",P284/Q284)</f>
        <v/>
      </c>
      <c r="S284" s="196">
        <f>IF(AND(ISNUMBER(E284),ISNUMBER(Q284)),E284*R284,0)</f>
        <v/>
      </c>
      <c r="T284" s="192">
        <f>$BC284*V$11</f>
        <v/>
      </c>
      <c r="U284" s="76">
        <f>$BC284*W$11</f>
        <v/>
      </c>
      <c r="V284" s="193">
        <f>+SUM(T284:U284)</f>
        <v/>
      </c>
      <c r="W284" s="191" t="n"/>
      <c r="X284" s="170" t="n"/>
      <c r="Y284" s="76">
        <f>ROUND(IF(offer_incoterms="DDP",X284*(S284*(1+AW284)+T284),0),2)</f>
        <v/>
      </c>
      <c r="Z284" s="188" t="n"/>
      <c r="AA284" s="192">
        <f>IFERROR(AB284/E284,0)</f>
        <v/>
      </c>
      <c r="AB284" s="76">
        <f>ROUND(SUM(S284,V284,Y284:Z284,BA284:BB284),2)</f>
        <v/>
      </c>
      <c r="AC284" s="797" t="n"/>
      <c r="AD284" s="192">
        <f t="array" ref="AD284">IFERROR(ROUND((_xlfn.IFS(offer_sale_type="поставка",AB284,offer_sale_type="транзит",S284)*(1+AC284))/E284,2),0)</f>
        <v/>
      </c>
      <c r="AE284" s="76">
        <f>AD284*E284</f>
        <v/>
      </c>
      <c r="AF284" s="193">
        <f t="array" ref="AF284">IFERROR(ROUND(_xlfn.IFS(offer_sale_type="поставка",AB284,offer_sale_type="транзит",S284)*AC284,2),0)</f>
        <v/>
      </c>
      <c r="AG284" s="192">
        <f>$BD284*VLOOKUP($AG$3,$AF$4:$AG$7,2,FALSE)</f>
        <v/>
      </c>
      <c r="AH284" s="76">
        <f>SUM(AE284,AG284,AI284)*rate_forex_risk</f>
        <v/>
      </c>
      <c r="AI284" s="193">
        <f>IF(OR(seller_region="TR",offer_sale_type="экспорт"),0,rate_fin_comm)*SUM(AZ284,AZ284*AW284,T284)</f>
        <v/>
      </c>
      <c r="AJ284" s="118">
        <f>IFERROR(ROUND(SUM(AB284,AF284:AI284)/E284,2),0)</f>
        <v/>
      </c>
      <c r="AK284" s="76">
        <f>AJ284*E284</f>
        <v/>
      </c>
      <c r="AL284" s="174">
        <f>ROUND(IFERROR(AM284*E284,0),2)</f>
        <v/>
      </c>
      <c r="AM284" s="175">
        <f>ROUND(AJ284*(1+IF(offer_incoterms="DDP",IF((TODAY()+offer_turnaround_time)&gt;=helpsheet!$L$17,rate_vatRU_from_26,rate_vatRu_till_25),0)),2)</f>
        <v/>
      </c>
      <c r="AN284" s="192">
        <f>AL284-AK284</f>
        <v/>
      </c>
      <c r="AO284" s="76">
        <f>SUM(AY284,Y284:Z284,T284)*IF(AND(offer_incoterms="DDP",offer_sale_type&lt;&gt;"экспорт"),IF((TODAY()+offer_turnaround_time)&gt;=helpsheet!$L$17,rate_vatRU_from_26,rate_vatRu_till_25),0)</f>
        <v/>
      </c>
      <c r="AP284" s="193">
        <f>AN284-AO284</f>
        <v/>
      </c>
      <c r="AQ284" s="118">
        <f>IF(offer_sale_type="транзит",SUM(AF284:AI284,BA284,BB284),0)</f>
        <v/>
      </c>
      <c r="AR284" s="82">
        <f>HYPERLINK("https://www.alta.ru/tnved/code/")&amp;W284&amp;"/"</f>
        <v/>
      </c>
      <c r="AS284" s="157" t="n"/>
      <c r="AT284" s="162" t="n"/>
      <c r="AU284" s="76">
        <f>IF(ISBLANK(AT284),0,AJ284-AT284)</f>
        <v/>
      </c>
      <c r="AV284" s="157" t="n"/>
      <c r="AW284" s="75">
        <f>_xlfn.IFNA(VLOOKUP(L284,list_vat[],3,FALSE),0)</f>
        <v/>
      </c>
      <c r="AX284" s="76">
        <f>IFERROR(ROUND(S284*(1+AW284)/E284,2),0)</f>
        <v/>
      </c>
      <c r="AY284" s="76">
        <f>E284*AX284</f>
        <v/>
      </c>
      <c r="AZ284" s="192">
        <f>S284*(1+M284)</f>
        <v/>
      </c>
      <c r="BA284" s="76">
        <f>cost_fin_total*$BD284</f>
        <v/>
      </c>
      <c r="BB284" s="193">
        <f>credit_sales_interest*BD284</f>
        <v/>
      </c>
      <c r="BC284" s="102">
        <f>IFERROR(IF($I$13&gt;0,$I284/$I$13,$S284/$S$13),0)</f>
        <v/>
      </c>
      <c r="BD284" s="102">
        <f>IFERROR($S284/$S$13,0)</f>
        <v/>
      </c>
      <c r="BE284" s="413" t="inlineStr">
        <is>
          <t>$</t>
        </is>
      </c>
    </row>
    <row r="285" ht="12" customFormat="1" customHeight="1" s="65">
      <c r="A285" s="43" t="n">
        <v>270</v>
      </c>
      <c r="B285" s="166" t="n"/>
      <c r="C285" s="166" t="n"/>
      <c r="D285" s="166" t="n"/>
      <c r="E285" s="162" t="n"/>
      <c r="F285" s="166" t="n"/>
      <c r="G285" s="162" t="n"/>
      <c r="H285" s="162" t="n"/>
      <c r="I285" s="189">
        <f>E285*G285</f>
        <v/>
      </c>
      <c r="J285" s="195" t="n"/>
      <c r="K285" s="162" t="n"/>
      <c r="L285" s="168" t="n"/>
      <c r="M285" s="75">
        <f>_xlfn.XLOOKUP(L285,list_vat[Страна],list_vat[Ставка НДС %],0,0)</f>
        <v/>
      </c>
      <c r="N285" s="162">
        <f>IFERROR(IF(L285="Китай",K285,K285/(1+M285)),0)</f>
        <v/>
      </c>
      <c r="O285" s="169" t="n"/>
      <c r="P285" s="76">
        <f>N285*(1-O285)</f>
        <v/>
      </c>
      <c r="Q285" s="162" t="n"/>
      <c r="R285" s="162">
        <f>IF(ISBLANK(Q285),"введи курс",P285/Q285)</f>
        <v/>
      </c>
      <c r="S285" s="196">
        <f>IF(AND(ISNUMBER(E285),ISNUMBER(Q285)),E285*R285,0)</f>
        <v/>
      </c>
      <c r="T285" s="192">
        <f>$BC285*V$11</f>
        <v/>
      </c>
      <c r="U285" s="76">
        <f>$BC285*W$11</f>
        <v/>
      </c>
      <c r="V285" s="193">
        <f>+SUM(T285:U285)</f>
        <v/>
      </c>
      <c r="W285" s="191" t="n"/>
      <c r="X285" s="170" t="n"/>
      <c r="Y285" s="76">
        <f>ROUND(IF(offer_incoterms="DDP",X285*(S285*(1+AW285)+T285),0),2)</f>
        <v/>
      </c>
      <c r="Z285" s="188" t="n"/>
      <c r="AA285" s="192">
        <f>IFERROR(AB285/E285,0)</f>
        <v/>
      </c>
      <c r="AB285" s="76">
        <f>ROUND(SUM(S285,V285,Y285:Z285,BA285:BB285),2)</f>
        <v/>
      </c>
      <c r="AC285" s="797" t="n"/>
      <c r="AD285" s="192">
        <f t="array" ref="AD285">IFERROR(ROUND((_xlfn.IFS(offer_sale_type="поставка",AB285,offer_sale_type="транзит",S285)*(1+AC285))/E285,2),0)</f>
        <v/>
      </c>
      <c r="AE285" s="76">
        <f>AD285*E285</f>
        <v/>
      </c>
      <c r="AF285" s="193">
        <f t="array" ref="AF285">IFERROR(ROUND(_xlfn.IFS(offer_sale_type="поставка",AB285,offer_sale_type="транзит",S285)*AC285,2),0)</f>
        <v/>
      </c>
      <c r="AG285" s="192">
        <f>$BD285*VLOOKUP($AG$3,$AF$4:$AG$7,2,FALSE)</f>
        <v/>
      </c>
      <c r="AH285" s="76">
        <f>SUM(AE285,AG285,AI285)*rate_forex_risk</f>
        <v/>
      </c>
      <c r="AI285" s="193">
        <f>IF(OR(seller_region="TR",offer_sale_type="экспорт"),0,rate_fin_comm)*SUM(AZ285,AZ285*AW285,T285)</f>
        <v/>
      </c>
      <c r="AJ285" s="118">
        <f>IFERROR(ROUND(SUM(AB285,AF285:AI285)/E285,2),0)</f>
        <v/>
      </c>
      <c r="AK285" s="76">
        <f>AJ285*E285</f>
        <v/>
      </c>
      <c r="AL285" s="174">
        <f>ROUND(IFERROR(AM285*E285,0),2)</f>
        <v/>
      </c>
      <c r="AM285" s="175">
        <f>ROUND(AJ285*(1+IF(offer_incoterms="DDP",IF((TODAY()+offer_turnaround_time)&gt;=helpsheet!$L$17,rate_vatRU_from_26,rate_vatRu_till_25),0)),2)</f>
        <v/>
      </c>
      <c r="AN285" s="192">
        <f>AL285-AK285</f>
        <v/>
      </c>
      <c r="AO285" s="76">
        <f>SUM(AY285,Y285:Z285,T285)*IF(AND(offer_incoterms="DDP",offer_sale_type&lt;&gt;"экспорт"),IF((TODAY()+offer_turnaround_time)&gt;=helpsheet!$L$17,rate_vatRU_from_26,rate_vatRu_till_25),0)</f>
        <v/>
      </c>
      <c r="AP285" s="193">
        <f>AN285-AO285</f>
        <v/>
      </c>
      <c r="AQ285" s="118">
        <f>IF(offer_sale_type="транзит",SUM(AF285:AI285,BA285,BB285),0)</f>
        <v/>
      </c>
      <c r="AR285" s="82">
        <f>HYPERLINK("https://www.alta.ru/tnved/code/")&amp;W285&amp;"/"</f>
        <v/>
      </c>
      <c r="AS285" s="157" t="n"/>
      <c r="AT285" s="162" t="n"/>
      <c r="AU285" s="76">
        <f>IF(ISBLANK(AT285),0,AJ285-AT285)</f>
        <v/>
      </c>
      <c r="AV285" s="157" t="n"/>
      <c r="AW285" s="75">
        <f>_xlfn.IFNA(VLOOKUP(L285,list_vat[],3,FALSE),0)</f>
        <v/>
      </c>
      <c r="AX285" s="76">
        <f>IFERROR(ROUND(S285*(1+AW285)/E285,2),0)</f>
        <v/>
      </c>
      <c r="AY285" s="76">
        <f>E285*AX285</f>
        <v/>
      </c>
      <c r="AZ285" s="192">
        <f>S285*(1+M285)</f>
        <v/>
      </c>
      <c r="BA285" s="76">
        <f>cost_fin_total*$BD285</f>
        <v/>
      </c>
      <c r="BB285" s="193">
        <f>credit_sales_interest*BD285</f>
        <v/>
      </c>
      <c r="BC285" s="102">
        <f>IFERROR(IF($I$13&gt;0,$I285/$I$13,$S285/$S$13),0)</f>
        <v/>
      </c>
      <c r="BD285" s="102">
        <f>IFERROR($S285/$S$13,0)</f>
        <v/>
      </c>
      <c r="BE285" s="413" t="inlineStr">
        <is>
          <t>$</t>
        </is>
      </c>
    </row>
    <row r="286" ht="12" customFormat="1" customHeight="1" s="65">
      <c r="A286" s="43" t="n">
        <v>271</v>
      </c>
      <c r="B286" s="166" t="n"/>
      <c r="C286" s="166" t="n"/>
      <c r="D286" s="166" t="n"/>
      <c r="E286" s="162" t="n"/>
      <c r="F286" s="166" t="n"/>
      <c r="G286" s="162" t="n"/>
      <c r="H286" s="162" t="n"/>
      <c r="I286" s="189">
        <f>E286*G286</f>
        <v/>
      </c>
      <c r="J286" s="195" t="n"/>
      <c r="K286" s="162" t="n"/>
      <c r="L286" s="168" t="n"/>
      <c r="M286" s="75">
        <f>_xlfn.XLOOKUP(L286,list_vat[Страна],list_vat[Ставка НДС %],0,0)</f>
        <v/>
      </c>
      <c r="N286" s="162">
        <f>IFERROR(IF(L286="Китай",K286,K286/(1+M286)),0)</f>
        <v/>
      </c>
      <c r="O286" s="169" t="n"/>
      <c r="P286" s="76">
        <f>N286*(1-O286)</f>
        <v/>
      </c>
      <c r="Q286" s="162" t="n"/>
      <c r="R286" s="162">
        <f>IF(ISBLANK(Q286),"введи курс",P286/Q286)</f>
        <v/>
      </c>
      <c r="S286" s="196">
        <f>IF(AND(ISNUMBER(E286),ISNUMBER(Q286)),E286*R286,0)</f>
        <v/>
      </c>
      <c r="T286" s="192">
        <f>$BC286*V$11</f>
        <v/>
      </c>
      <c r="U286" s="76">
        <f>$BC286*W$11</f>
        <v/>
      </c>
      <c r="V286" s="193">
        <f>+SUM(T286:U286)</f>
        <v/>
      </c>
      <c r="W286" s="191" t="n"/>
      <c r="X286" s="170" t="n"/>
      <c r="Y286" s="76">
        <f>ROUND(IF(offer_incoterms="DDP",X286*(S286*(1+AW286)+T286),0),2)</f>
        <v/>
      </c>
      <c r="Z286" s="188" t="n"/>
      <c r="AA286" s="192">
        <f>IFERROR(AB286/E286,0)</f>
        <v/>
      </c>
      <c r="AB286" s="76">
        <f>ROUND(SUM(S286,V286,Y286:Z286,BA286:BB286),2)</f>
        <v/>
      </c>
      <c r="AC286" s="797" t="n"/>
      <c r="AD286" s="192">
        <f t="array" ref="AD286">IFERROR(ROUND((_xlfn.IFS(offer_sale_type="поставка",AB286,offer_sale_type="транзит",S286)*(1+AC286))/E286,2),0)</f>
        <v/>
      </c>
      <c r="AE286" s="76">
        <f>AD286*E286</f>
        <v/>
      </c>
      <c r="AF286" s="193">
        <f t="array" ref="AF286">IFERROR(ROUND(_xlfn.IFS(offer_sale_type="поставка",AB286,offer_sale_type="транзит",S286)*AC286,2),0)</f>
        <v/>
      </c>
      <c r="AG286" s="192">
        <f>$BD286*VLOOKUP($AG$3,$AF$4:$AG$7,2,FALSE)</f>
        <v/>
      </c>
      <c r="AH286" s="76">
        <f>SUM(AE286,AG286,AI286)*rate_forex_risk</f>
        <v/>
      </c>
      <c r="AI286" s="193">
        <f>IF(OR(seller_region="TR",offer_sale_type="экспорт"),0,rate_fin_comm)*SUM(AZ286,AZ286*AW286,T286)</f>
        <v/>
      </c>
      <c r="AJ286" s="118">
        <f>IFERROR(ROUND(SUM(AB286,AF286:AI286)/E286,2),0)</f>
        <v/>
      </c>
      <c r="AK286" s="76">
        <f>AJ286*E286</f>
        <v/>
      </c>
      <c r="AL286" s="174">
        <f>ROUND(IFERROR(AM286*E286,0),2)</f>
        <v/>
      </c>
      <c r="AM286" s="175">
        <f>ROUND(AJ286*(1+IF(offer_incoterms="DDP",IF((TODAY()+offer_turnaround_time)&gt;=helpsheet!$L$17,rate_vatRU_from_26,rate_vatRu_till_25),0)),2)</f>
        <v/>
      </c>
      <c r="AN286" s="192">
        <f>AL286-AK286</f>
        <v/>
      </c>
      <c r="AO286" s="76">
        <f>SUM(AY286,Y286:Z286,T286)*IF(AND(offer_incoterms="DDP",offer_sale_type&lt;&gt;"экспорт"),IF((TODAY()+offer_turnaround_time)&gt;=helpsheet!$L$17,rate_vatRU_from_26,rate_vatRu_till_25),0)</f>
        <v/>
      </c>
      <c r="AP286" s="193">
        <f>AN286-AO286</f>
        <v/>
      </c>
      <c r="AQ286" s="118">
        <f>IF(offer_sale_type="транзит",SUM(AF286:AI286,BA286,BB286),0)</f>
        <v/>
      </c>
      <c r="AR286" s="82">
        <f>HYPERLINK("https://www.alta.ru/tnved/code/")&amp;W286&amp;"/"</f>
        <v/>
      </c>
      <c r="AS286" s="157" t="n"/>
      <c r="AT286" s="162" t="n"/>
      <c r="AU286" s="76">
        <f>IF(ISBLANK(AT286),0,AJ286-AT286)</f>
        <v/>
      </c>
      <c r="AV286" s="157" t="n"/>
      <c r="AW286" s="75">
        <f>_xlfn.IFNA(VLOOKUP(L286,list_vat[],3,FALSE),0)</f>
        <v/>
      </c>
      <c r="AX286" s="76">
        <f>IFERROR(ROUND(S286*(1+AW286)/E286,2),0)</f>
        <v/>
      </c>
      <c r="AY286" s="76">
        <f>E286*AX286</f>
        <v/>
      </c>
      <c r="AZ286" s="192">
        <f>S286*(1+M286)</f>
        <v/>
      </c>
      <c r="BA286" s="76">
        <f>cost_fin_total*$BD286</f>
        <v/>
      </c>
      <c r="BB286" s="193">
        <f>credit_sales_interest*BD286</f>
        <v/>
      </c>
      <c r="BC286" s="102">
        <f>IFERROR(IF($I$13&gt;0,$I286/$I$13,$S286/$S$13),0)</f>
        <v/>
      </c>
      <c r="BD286" s="102">
        <f>IFERROR($S286/$S$13,0)</f>
        <v/>
      </c>
      <c r="BE286" s="413" t="inlineStr">
        <is>
          <t>$</t>
        </is>
      </c>
    </row>
    <row r="287" ht="12" customFormat="1" customHeight="1" s="65">
      <c r="A287" s="43" t="n">
        <v>272</v>
      </c>
      <c r="B287" s="166" t="n"/>
      <c r="C287" s="166" t="n"/>
      <c r="D287" s="166" t="n"/>
      <c r="E287" s="162" t="n"/>
      <c r="F287" s="166" t="n"/>
      <c r="G287" s="162" t="n"/>
      <c r="H287" s="162" t="n"/>
      <c r="I287" s="189">
        <f>E287*G287</f>
        <v/>
      </c>
      <c r="J287" s="195" t="n"/>
      <c r="K287" s="162" t="n"/>
      <c r="L287" s="168" t="n"/>
      <c r="M287" s="75">
        <f>_xlfn.XLOOKUP(L287,list_vat[Страна],list_vat[Ставка НДС %],0,0)</f>
        <v/>
      </c>
      <c r="N287" s="162">
        <f>IFERROR(IF(L287="Китай",K287,K287/(1+M287)),0)</f>
        <v/>
      </c>
      <c r="O287" s="169" t="n"/>
      <c r="P287" s="76">
        <f>N287*(1-O287)</f>
        <v/>
      </c>
      <c r="Q287" s="162" t="n"/>
      <c r="R287" s="162">
        <f>IF(ISBLANK(Q287),"введи курс",P287/Q287)</f>
        <v/>
      </c>
      <c r="S287" s="196">
        <f>IF(AND(ISNUMBER(E287),ISNUMBER(Q287)),E287*R287,0)</f>
        <v/>
      </c>
      <c r="T287" s="192">
        <f>$BC287*V$11</f>
        <v/>
      </c>
      <c r="U287" s="76">
        <f>$BC287*W$11</f>
        <v/>
      </c>
      <c r="V287" s="193">
        <f>+SUM(T287:U287)</f>
        <v/>
      </c>
      <c r="W287" s="191" t="n"/>
      <c r="X287" s="170" t="n"/>
      <c r="Y287" s="76">
        <f>ROUND(IF(offer_incoterms="DDP",X287*(S287*(1+AW287)+T287),0),2)</f>
        <v/>
      </c>
      <c r="Z287" s="188" t="n"/>
      <c r="AA287" s="192">
        <f>IFERROR(AB287/E287,0)</f>
        <v/>
      </c>
      <c r="AB287" s="76">
        <f>ROUND(SUM(S287,V287,Y287:Z287,BA287:BB287),2)</f>
        <v/>
      </c>
      <c r="AC287" s="797" t="n"/>
      <c r="AD287" s="192">
        <f t="array" ref="AD287">IFERROR(ROUND((_xlfn.IFS(offer_sale_type="поставка",AB287,offer_sale_type="транзит",S287)*(1+AC287))/E287,2),0)</f>
        <v/>
      </c>
      <c r="AE287" s="76">
        <f>AD287*E287</f>
        <v/>
      </c>
      <c r="AF287" s="193">
        <f t="array" ref="AF287">IFERROR(ROUND(_xlfn.IFS(offer_sale_type="поставка",AB287,offer_sale_type="транзит",S287)*AC287,2),0)</f>
        <v/>
      </c>
      <c r="AG287" s="192">
        <f>$BD287*VLOOKUP($AG$3,$AF$4:$AG$7,2,FALSE)</f>
        <v/>
      </c>
      <c r="AH287" s="76">
        <f>SUM(AE287,AG287,AI287)*rate_forex_risk</f>
        <v/>
      </c>
      <c r="AI287" s="193">
        <f>IF(OR(seller_region="TR",offer_sale_type="экспорт"),0,rate_fin_comm)*SUM(AZ287,AZ287*AW287,T287)</f>
        <v/>
      </c>
      <c r="AJ287" s="118">
        <f>IFERROR(ROUND(SUM(AB287,AF287:AI287)/E287,2),0)</f>
        <v/>
      </c>
      <c r="AK287" s="76">
        <f>AJ287*E287</f>
        <v/>
      </c>
      <c r="AL287" s="174">
        <f>ROUND(IFERROR(AM287*E287,0),2)</f>
        <v/>
      </c>
      <c r="AM287" s="175">
        <f>ROUND(AJ287*(1+IF(offer_incoterms="DDP",IF((TODAY()+offer_turnaround_time)&gt;=helpsheet!$L$17,rate_vatRU_from_26,rate_vatRu_till_25),0)),2)</f>
        <v/>
      </c>
      <c r="AN287" s="192">
        <f>AL287-AK287</f>
        <v/>
      </c>
      <c r="AO287" s="76">
        <f>SUM(AY287,Y287:Z287,T287)*IF(AND(offer_incoterms="DDP",offer_sale_type&lt;&gt;"экспорт"),IF((TODAY()+offer_turnaround_time)&gt;=helpsheet!$L$17,rate_vatRU_from_26,rate_vatRu_till_25),0)</f>
        <v/>
      </c>
      <c r="AP287" s="193">
        <f>AN287-AO287</f>
        <v/>
      </c>
      <c r="AQ287" s="118">
        <f>IF(offer_sale_type="транзит",SUM(AF287:AI287,BA287,BB287),0)</f>
        <v/>
      </c>
      <c r="AR287" s="82">
        <f>HYPERLINK("https://www.alta.ru/tnved/code/")&amp;W287&amp;"/"</f>
        <v/>
      </c>
      <c r="AS287" s="157" t="n"/>
      <c r="AT287" s="162" t="n"/>
      <c r="AU287" s="76">
        <f>IF(ISBLANK(AT287),0,AJ287-AT287)</f>
        <v/>
      </c>
      <c r="AV287" s="157" t="n"/>
      <c r="AW287" s="75">
        <f>_xlfn.IFNA(VLOOKUP(L287,list_vat[],3,FALSE),0)</f>
        <v/>
      </c>
      <c r="AX287" s="76">
        <f>IFERROR(ROUND(S287*(1+AW287)/E287,2),0)</f>
        <v/>
      </c>
      <c r="AY287" s="76">
        <f>E287*AX287</f>
        <v/>
      </c>
      <c r="AZ287" s="192">
        <f>S287*(1+M287)</f>
        <v/>
      </c>
      <c r="BA287" s="76">
        <f>cost_fin_total*$BD287</f>
        <v/>
      </c>
      <c r="BB287" s="193">
        <f>credit_sales_interest*BD287</f>
        <v/>
      </c>
      <c r="BC287" s="102">
        <f>IFERROR(IF($I$13&gt;0,$I287/$I$13,$S287/$S$13),0)</f>
        <v/>
      </c>
      <c r="BD287" s="102">
        <f>IFERROR($S287/$S$13,0)</f>
        <v/>
      </c>
      <c r="BE287" s="413" t="inlineStr">
        <is>
          <t>$</t>
        </is>
      </c>
    </row>
    <row r="288" ht="12" customFormat="1" customHeight="1" s="65">
      <c r="A288" s="43" t="n">
        <v>273</v>
      </c>
      <c r="B288" s="166" t="n"/>
      <c r="C288" s="166" t="n"/>
      <c r="D288" s="166" t="n"/>
      <c r="E288" s="162" t="n"/>
      <c r="F288" s="166" t="n"/>
      <c r="G288" s="162" t="n"/>
      <c r="H288" s="162" t="n"/>
      <c r="I288" s="189">
        <f>E288*G288</f>
        <v/>
      </c>
      <c r="J288" s="195" t="n"/>
      <c r="K288" s="162" t="n"/>
      <c r="L288" s="168" t="n"/>
      <c r="M288" s="75">
        <f>_xlfn.XLOOKUP(L288,list_vat[Страна],list_vat[Ставка НДС %],0,0)</f>
        <v/>
      </c>
      <c r="N288" s="162">
        <f>IFERROR(IF(L288="Китай",K288,K288/(1+M288)),0)</f>
        <v/>
      </c>
      <c r="O288" s="169" t="n"/>
      <c r="P288" s="76">
        <f>N288*(1-O288)</f>
        <v/>
      </c>
      <c r="Q288" s="162" t="n"/>
      <c r="R288" s="162">
        <f>IF(ISBLANK(Q288),"введи курс",P288/Q288)</f>
        <v/>
      </c>
      <c r="S288" s="196">
        <f>IF(AND(ISNUMBER(E288),ISNUMBER(Q288)),E288*R288,0)</f>
        <v/>
      </c>
      <c r="T288" s="192">
        <f>$BC288*V$11</f>
        <v/>
      </c>
      <c r="U288" s="76">
        <f>$BC288*W$11</f>
        <v/>
      </c>
      <c r="V288" s="193">
        <f>+SUM(T288:U288)</f>
        <v/>
      </c>
      <c r="W288" s="191" t="n"/>
      <c r="X288" s="170" t="n"/>
      <c r="Y288" s="76">
        <f>ROUND(IF(offer_incoterms="DDP",X288*(S288*(1+AW288)+T288),0),2)</f>
        <v/>
      </c>
      <c r="Z288" s="188" t="n"/>
      <c r="AA288" s="192">
        <f>IFERROR(AB288/E288,0)</f>
        <v/>
      </c>
      <c r="AB288" s="76">
        <f>ROUND(SUM(S288,V288,Y288:Z288,BA288:BB288),2)</f>
        <v/>
      </c>
      <c r="AC288" s="797" t="n"/>
      <c r="AD288" s="192">
        <f t="array" ref="AD288">IFERROR(ROUND((_xlfn.IFS(offer_sale_type="поставка",AB288,offer_sale_type="транзит",S288)*(1+AC288))/E288,2),0)</f>
        <v/>
      </c>
      <c r="AE288" s="76">
        <f>AD288*E288</f>
        <v/>
      </c>
      <c r="AF288" s="193">
        <f t="array" ref="AF288">IFERROR(ROUND(_xlfn.IFS(offer_sale_type="поставка",AB288,offer_sale_type="транзит",S288)*AC288,2),0)</f>
        <v/>
      </c>
      <c r="AG288" s="192">
        <f>$BD288*VLOOKUP($AG$3,$AF$4:$AG$7,2,FALSE)</f>
        <v/>
      </c>
      <c r="AH288" s="76">
        <f>SUM(AE288,AG288,AI288)*rate_forex_risk</f>
        <v/>
      </c>
      <c r="AI288" s="193">
        <f>IF(OR(seller_region="TR",offer_sale_type="экспорт"),0,rate_fin_comm)*SUM(AZ288,AZ288*AW288,T288)</f>
        <v/>
      </c>
      <c r="AJ288" s="118">
        <f>IFERROR(ROUND(SUM(AB288,AF288:AI288)/E288,2),0)</f>
        <v/>
      </c>
      <c r="AK288" s="76">
        <f>AJ288*E288</f>
        <v/>
      </c>
      <c r="AL288" s="174">
        <f>ROUND(IFERROR(AM288*E288,0),2)</f>
        <v/>
      </c>
      <c r="AM288" s="175">
        <f>ROUND(AJ288*(1+IF(offer_incoterms="DDP",IF((TODAY()+offer_turnaround_time)&gt;=helpsheet!$L$17,rate_vatRU_from_26,rate_vatRu_till_25),0)),2)</f>
        <v/>
      </c>
      <c r="AN288" s="192">
        <f>AL288-AK288</f>
        <v/>
      </c>
      <c r="AO288" s="76">
        <f>SUM(AY288,Y288:Z288,T288)*IF(AND(offer_incoterms="DDP",offer_sale_type&lt;&gt;"экспорт"),IF((TODAY()+offer_turnaround_time)&gt;=helpsheet!$L$17,rate_vatRU_from_26,rate_vatRu_till_25),0)</f>
        <v/>
      </c>
      <c r="AP288" s="193">
        <f>AN288-AO288</f>
        <v/>
      </c>
      <c r="AQ288" s="118">
        <f>IF(offer_sale_type="транзит",SUM(AF288:AI288,BA288,BB288),0)</f>
        <v/>
      </c>
      <c r="AR288" s="82">
        <f>HYPERLINK("https://www.alta.ru/tnved/code/")&amp;W288&amp;"/"</f>
        <v/>
      </c>
      <c r="AS288" s="157" t="n"/>
      <c r="AT288" s="162" t="n"/>
      <c r="AU288" s="76">
        <f>IF(ISBLANK(AT288),0,AJ288-AT288)</f>
        <v/>
      </c>
      <c r="AV288" s="157" t="n"/>
      <c r="AW288" s="75">
        <f>_xlfn.IFNA(VLOOKUP(L288,list_vat[],3,FALSE),0)</f>
        <v/>
      </c>
      <c r="AX288" s="76">
        <f>IFERROR(ROUND(S288*(1+AW288)/E288,2),0)</f>
        <v/>
      </c>
      <c r="AY288" s="76">
        <f>E288*AX288</f>
        <v/>
      </c>
      <c r="AZ288" s="192">
        <f>S288*(1+M288)</f>
        <v/>
      </c>
      <c r="BA288" s="76">
        <f>cost_fin_total*$BD288</f>
        <v/>
      </c>
      <c r="BB288" s="193">
        <f>credit_sales_interest*BD288</f>
        <v/>
      </c>
      <c r="BC288" s="102">
        <f>IFERROR(IF($I$13&gt;0,$I288/$I$13,$S288/$S$13),0)</f>
        <v/>
      </c>
      <c r="BD288" s="102">
        <f>IFERROR($S288/$S$13,0)</f>
        <v/>
      </c>
      <c r="BE288" s="413" t="inlineStr">
        <is>
          <t>$</t>
        </is>
      </c>
    </row>
    <row r="289" ht="12" customFormat="1" customHeight="1" s="65">
      <c r="A289" s="43" t="n">
        <v>274</v>
      </c>
      <c r="B289" s="166" t="n"/>
      <c r="C289" s="166" t="n"/>
      <c r="D289" s="166" t="n"/>
      <c r="E289" s="162" t="n"/>
      <c r="F289" s="166" t="n"/>
      <c r="G289" s="162" t="n"/>
      <c r="H289" s="162" t="n"/>
      <c r="I289" s="189">
        <f>E289*G289</f>
        <v/>
      </c>
      <c r="J289" s="195" t="n"/>
      <c r="K289" s="162" t="n"/>
      <c r="L289" s="168" t="n"/>
      <c r="M289" s="75">
        <f>_xlfn.XLOOKUP(L289,list_vat[Страна],list_vat[Ставка НДС %],0,0)</f>
        <v/>
      </c>
      <c r="N289" s="162">
        <f>IFERROR(IF(L289="Китай",K289,K289/(1+M289)),0)</f>
        <v/>
      </c>
      <c r="O289" s="169" t="n"/>
      <c r="P289" s="76">
        <f>N289*(1-O289)</f>
        <v/>
      </c>
      <c r="Q289" s="162" t="n"/>
      <c r="R289" s="162">
        <f>IF(ISBLANK(Q289),"введи курс",P289/Q289)</f>
        <v/>
      </c>
      <c r="S289" s="196">
        <f>IF(AND(ISNUMBER(E289),ISNUMBER(Q289)),E289*R289,0)</f>
        <v/>
      </c>
      <c r="T289" s="192">
        <f>$BC289*V$11</f>
        <v/>
      </c>
      <c r="U289" s="76">
        <f>$BC289*W$11</f>
        <v/>
      </c>
      <c r="V289" s="193">
        <f>+SUM(T289:U289)</f>
        <v/>
      </c>
      <c r="W289" s="191" t="n"/>
      <c r="X289" s="170" t="n"/>
      <c r="Y289" s="76">
        <f>ROUND(IF(offer_incoterms="DDP",X289*(S289*(1+AW289)+T289),0),2)</f>
        <v/>
      </c>
      <c r="Z289" s="188" t="n"/>
      <c r="AA289" s="192">
        <f>IFERROR(AB289/E289,0)</f>
        <v/>
      </c>
      <c r="AB289" s="76">
        <f>ROUND(SUM(S289,V289,Y289:Z289,BA289:BB289),2)</f>
        <v/>
      </c>
      <c r="AC289" s="797" t="n"/>
      <c r="AD289" s="192">
        <f t="array" ref="AD289">IFERROR(ROUND((_xlfn.IFS(offer_sale_type="поставка",AB289,offer_sale_type="транзит",S289)*(1+AC289))/E289,2),0)</f>
        <v/>
      </c>
      <c r="AE289" s="76">
        <f>AD289*E289</f>
        <v/>
      </c>
      <c r="AF289" s="193">
        <f t="array" ref="AF289">IFERROR(ROUND(_xlfn.IFS(offer_sale_type="поставка",AB289,offer_sale_type="транзит",S289)*AC289,2),0)</f>
        <v/>
      </c>
      <c r="AG289" s="192">
        <f>$BD289*VLOOKUP($AG$3,$AF$4:$AG$7,2,FALSE)</f>
        <v/>
      </c>
      <c r="AH289" s="76">
        <f>SUM(AE289,AG289,AI289)*rate_forex_risk</f>
        <v/>
      </c>
      <c r="AI289" s="193">
        <f>IF(OR(seller_region="TR",offer_sale_type="экспорт"),0,rate_fin_comm)*SUM(AZ289,AZ289*AW289,T289)</f>
        <v/>
      </c>
      <c r="AJ289" s="118">
        <f>IFERROR(ROUND(SUM(AB289,AF289:AI289)/E289,2),0)</f>
        <v/>
      </c>
      <c r="AK289" s="76">
        <f>AJ289*E289</f>
        <v/>
      </c>
      <c r="AL289" s="174">
        <f>ROUND(IFERROR(AM289*E289,0),2)</f>
        <v/>
      </c>
      <c r="AM289" s="175">
        <f>ROUND(AJ289*(1+IF(offer_incoterms="DDP",IF((TODAY()+offer_turnaround_time)&gt;=helpsheet!$L$17,rate_vatRU_from_26,rate_vatRu_till_25),0)),2)</f>
        <v/>
      </c>
      <c r="AN289" s="192">
        <f>AL289-AK289</f>
        <v/>
      </c>
      <c r="AO289" s="76">
        <f>SUM(AY289,Y289:Z289,T289)*IF(AND(offer_incoterms="DDP",offer_sale_type&lt;&gt;"экспорт"),IF((TODAY()+offer_turnaround_time)&gt;=helpsheet!$L$17,rate_vatRU_from_26,rate_vatRu_till_25),0)</f>
        <v/>
      </c>
      <c r="AP289" s="193">
        <f>AN289-AO289</f>
        <v/>
      </c>
      <c r="AQ289" s="118">
        <f>IF(offer_sale_type="транзит",SUM(AF289:AI289,BA289,BB289),0)</f>
        <v/>
      </c>
      <c r="AR289" s="82">
        <f>HYPERLINK("https://www.alta.ru/tnved/code/")&amp;W289&amp;"/"</f>
        <v/>
      </c>
      <c r="AS289" s="157" t="n"/>
      <c r="AT289" s="162" t="n"/>
      <c r="AU289" s="76">
        <f>IF(ISBLANK(AT289),0,AJ289-AT289)</f>
        <v/>
      </c>
      <c r="AV289" s="157" t="n"/>
      <c r="AW289" s="75">
        <f>_xlfn.IFNA(VLOOKUP(L289,list_vat[],3,FALSE),0)</f>
        <v/>
      </c>
      <c r="AX289" s="76">
        <f>IFERROR(ROUND(S289*(1+AW289)/E289,2),0)</f>
        <v/>
      </c>
      <c r="AY289" s="76">
        <f>E289*AX289</f>
        <v/>
      </c>
      <c r="AZ289" s="192">
        <f>S289*(1+M289)</f>
        <v/>
      </c>
      <c r="BA289" s="76">
        <f>cost_fin_total*$BD289</f>
        <v/>
      </c>
      <c r="BB289" s="193">
        <f>credit_sales_interest*BD289</f>
        <v/>
      </c>
      <c r="BC289" s="102">
        <f>IFERROR(IF($I$13&gt;0,$I289/$I$13,$S289/$S$13),0)</f>
        <v/>
      </c>
      <c r="BD289" s="102">
        <f>IFERROR($S289/$S$13,0)</f>
        <v/>
      </c>
      <c r="BE289" s="413" t="inlineStr">
        <is>
          <t>$</t>
        </is>
      </c>
    </row>
    <row r="290" ht="12" customFormat="1" customHeight="1" s="65">
      <c r="A290" s="43" t="n">
        <v>275</v>
      </c>
      <c r="B290" s="166" t="n"/>
      <c r="C290" s="166" t="n"/>
      <c r="D290" s="166" t="n"/>
      <c r="E290" s="162" t="n"/>
      <c r="F290" s="166" t="n"/>
      <c r="G290" s="162" t="n"/>
      <c r="H290" s="162" t="n"/>
      <c r="I290" s="189">
        <f>E290*G290</f>
        <v/>
      </c>
      <c r="J290" s="195" t="n"/>
      <c r="K290" s="162" t="n"/>
      <c r="L290" s="168" t="n"/>
      <c r="M290" s="75">
        <f>_xlfn.XLOOKUP(L290,list_vat[Страна],list_vat[Ставка НДС %],0,0)</f>
        <v/>
      </c>
      <c r="N290" s="162">
        <f>IFERROR(IF(L290="Китай",K290,K290/(1+M290)),0)</f>
        <v/>
      </c>
      <c r="O290" s="169" t="n"/>
      <c r="P290" s="76">
        <f>N290*(1-O290)</f>
        <v/>
      </c>
      <c r="Q290" s="162" t="n"/>
      <c r="R290" s="162">
        <f>IF(ISBLANK(Q290),"введи курс",P290/Q290)</f>
        <v/>
      </c>
      <c r="S290" s="196">
        <f>IF(AND(ISNUMBER(E290),ISNUMBER(Q290)),E290*R290,0)</f>
        <v/>
      </c>
      <c r="T290" s="192">
        <f>$BC290*V$11</f>
        <v/>
      </c>
      <c r="U290" s="76">
        <f>$BC290*W$11</f>
        <v/>
      </c>
      <c r="V290" s="193">
        <f>+SUM(T290:U290)</f>
        <v/>
      </c>
      <c r="W290" s="191" t="n"/>
      <c r="X290" s="170" t="n"/>
      <c r="Y290" s="76">
        <f>ROUND(IF(offer_incoterms="DDP",X290*(S290*(1+AW290)+T290),0),2)</f>
        <v/>
      </c>
      <c r="Z290" s="188" t="n"/>
      <c r="AA290" s="192">
        <f>IFERROR(AB290/E290,0)</f>
        <v/>
      </c>
      <c r="AB290" s="76">
        <f>ROUND(SUM(S290,V290,Y290:Z290,BA290:BB290),2)</f>
        <v/>
      </c>
      <c r="AC290" s="797" t="n"/>
      <c r="AD290" s="192">
        <f t="array" ref="AD290">IFERROR(ROUND((_xlfn.IFS(offer_sale_type="поставка",AB290,offer_sale_type="транзит",S290)*(1+AC290))/E290,2),0)</f>
        <v/>
      </c>
      <c r="AE290" s="76">
        <f>AD290*E290</f>
        <v/>
      </c>
      <c r="AF290" s="193">
        <f t="array" ref="AF290">IFERROR(ROUND(_xlfn.IFS(offer_sale_type="поставка",AB290,offer_sale_type="транзит",S290)*AC290,2),0)</f>
        <v/>
      </c>
      <c r="AG290" s="192">
        <f>$BD290*VLOOKUP($AG$3,$AF$4:$AG$7,2,FALSE)</f>
        <v/>
      </c>
      <c r="AH290" s="76">
        <f>SUM(AE290,AG290,AI290)*rate_forex_risk</f>
        <v/>
      </c>
      <c r="AI290" s="193">
        <f>IF(OR(seller_region="TR",offer_sale_type="экспорт"),0,rate_fin_comm)*SUM(AZ290,AZ290*AW290,T290)</f>
        <v/>
      </c>
      <c r="AJ290" s="118">
        <f>IFERROR(ROUND(SUM(AB290,AF290:AI290)/E290,2),0)</f>
        <v/>
      </c>
      <c r="AK290" s="76">
        <f>AJ290*E290</f>
        <v/>
      </c>
      <c r="AL290" s="174">
        <f>ROUND(IFERROR(AM290*E290,0),2)</f>
        <v/>
      </c>
      <c r="AM290" s="175">
        <f>ROUND(AJ290*(1+IF(offer_incoterms="DDP",IF((TODAY()+offer_turnaround_time)&gt;=helpsheet!$L$17,rate_vatRU_from_26,rate_vatRu_till_25),0)),2)</f>
        <v/>
      </c>
      <c r="AN290" s="192">
        <f>AL290-AK290</f>
        <v/>
      </c>
      <c r="AO290" s="76">
        <f>SUM(AY290,Y290:Z290,T290)*IF(AND(offer_incoterms="DDP",offer_sale_type&lt;&gt;"экспорт"),IF((TODAY()+offer_turnaround_time)&gt;=helpsheet!$L$17,rate_vatRU_from_26,rate_vatRu_till_25),0)</f>
        <v/>
      </c>
      <c r="AP290" s="193">
        <f>AN290-AO290</f>
        <v/>
      </c>
      <c r="AQ290" s="118">
        <f>IF(offer_sale_type="транзит",SUM(AF290:AI290,BA290,BB290),0)</f>
        <v/>
      </c>
      <c r="AR290" s="82">
        <f>HYPERLINK("https://www.alta.ru/tnved/code/")&amp;W290&amp;"/"</f>
        <v/>
      </c>
      <c r="AS290" s="157" t="n"/>
      <c r="AT290" s="162" t="n"/>
      <c r="AU290" s="76">
        <f>IF(ISBLANK(AT290),0,AJ290-AT290)</f>
        <v/>
      </c>
      <c r="AV290" s="157" t="n"/>
      <c r="AW290" s="75">
        <f>_xlfn.IFNA(VLOOKUP(L290,list_vat[],3,FALSE),0)</f>
        <v/>
      </c>
      <c r="AX290" s="76">
        <f>IFERROR(ROUND(S290*(1+AW290)/E290,2),0)</f>
        <v/>
      </c>
      <c r="AY290" s="76">
        <f>E290*AX290</f>
        <v/>
      </c>
      <c r="AZ290" s="192">
        <f>S290*(1+M290)</f>
        <v/>
      </c>
      <c r="BA290" s="76">
        <f>cost_fin_total*$BD290</f>
        <v/>
      </c>
      <c r="BB290" s="193">
        <f>credit_sales_interest*BD290</f>
        <v/>
      </c>
      <c r="BC290" s="102">
        <f>IFERROR(IF($I$13&gt;0,$I290/$I$13,$S290/$S$13),0)</f>
        <v/>
      </c>
      <c r="BD290" s="102">
        <f>IFERROR($S290/$S$13,0)</f>
        <v/>
      </c>
      <c r="BE290" s="413" t="inlineStr">
        <is>
          <t>$</t>
        </is>
      </c>
    </row>
    <row r="291" ht="12" customFormat="1" customHeight="1" s="65">
      <c r="A291" s="43" t="n">
        <v>276</v>
      </c>
      <c r="B291" s="166" t="n"/>
      <c r="C291" s="166" t="n"/>
      <c r="D291" s="166" t="n"/>
      <c r="E291" s="162" t="n"/>
      <c r="F291" s="166" t="n"/>
      <c r="G291" s="162" t="n"/>
      <c r="H291" s="162" t="n"/>
      <c r="I291" s="189">
        <f>E291*G291</f>
        <v/>
      </c>
      <c r="J291" s="195" t="n"/>
      <c r="K291" s="162" t="n"/>
      <c r="L291" s="168" t="n"/>
      <c r="M291" s="75">
        <f>_xlfn.XLOOKUP(L291,list_vat[Страна],list_vat[Ставка НДС %],0,0)</f>
        <v/>
      </c>
      <c r="N291" s="162">
        <f>IFERROR(IF(L291="Китай",K291,K291/(1+M291)),0)</f>
        <v/>
      </c>
      <c r="O291" s="169" t="n"/>
      <c r="P291" s="76">
        <f>N291*(1-O291)</f>
        <v/>
      </c>
      <c r="Q291" s="162" t="n"/>
      <c r="R291" s="162">
        <f>IF(ISBLANK(Q291),"введи курс",P291/Q291)</f>
        <v/>
      </c>
      <c r="S291" s="196">
        <f>IF(AND(ISNUMBER(E291),ISNUMBER(Q291)),E291*R291,0)</f>
        <v/>
      </c>
      <c r="T291" s="192">
        <f>$BC291*V$11</f>
        <v/>
      </c>
      <c r="U291" s="76">
        <f>$BC291*W$11</f>
        <v/>
      </c>
      <c r="V291" s="193">
        <f>+SUM(T291:U291)</f>
        <v/>
      </c>
      <c r="W291" s="191" t="n"/>
      <c r="X291" s="170" t="n"/>
      <c r="Y291" s="76">
        <f>ROUND(IF(offer_incoterms="DDP",X291*(S291*(1+AW291)+T291),0),2)</f>
        <v/>
      </c>
      <c r="Z291" s="188" t="n"/>
      <c r="AA291" s="192">
        <f>IFERROR(AB291/E291,0)</f>
        <v/>
      </c>
      <c r="AB291" s="76">
        <f>ROUND(SUM(S291,V291,Y291:Z291,BA291:BB291),2)</f>
        <v/>
      </c>
      <c r="AC291" s="797" t="n"/>
      <c r="AD291" s="192">
        <f t="array" ref="AD291">IFERROR(ROUND((_xlfn.IFS(offer_sale_type="поставка",AB291,offer_sale_type="транзит",S291)*(1+AC291))/E291,2),0)</f>
        <v/>
      </c>
      <c r="AE291" s="76">
        <f>AD291*E291</f>
        <v/>
      </c>
      <c r="AF291" s="193">
        <f t="array" ref="AF291">IFERROR(ROUND(_xlfn.IFS(offer_sale_type="поставка",AB291,offer_sale_type="транзит",S291)*AC291,2),0)</f>
        <v/>
      </c>
      <c r="AG291" s="192">
        <f>$BD291*VLOOKUP($AG$3,$AF$4:$AG$7,2,FALSE)</f>
        <v/>
      </c>
      <c r="AH291" s="76">
        <f>SUM(AE291,AG291,AI291)*rate_forex_risk</f>
        <v/>
      </c>
      <c r="AI291" s="193">
        <f>IF(OR(seller_region="TR",offer_sale_type="экспорт"),0,rate_fin_comm)*SUM(AZ291,AZ291*AW291,T291)</f>
        <v/>
      </c>
      <c r="AJ291" s="118">
        <f>IFERROR(ROUND(SUM(AB291,AF291:AI291)/E291,2),0)</f>
        <v/>
      </c>
      <c r="AK291" s="76">
        <f>AJ291*E291</f>
        <v/>
      </c>
      <c r="AL291" s="174">
        <f>ROUND(IFERROR(AM291*E291,0),2)</f>
        <v/>
      </c>
      <c r="AM291" s="175">
        <f>ROUND(AJ291*(1+IF(offer_incoterms="DDP",IF((TODAY()+offer_turnaround_time)&gt;=helpsheet!$L$17,rate_vatRU_from_26,rate_vatRu_till_25),0)),2)</f>
        <v/>
      </c>
      <c r="AN291" s="192">
        <f>AL291-AK291</f>
        <v/>
      </c>
      <c r="AO291" s="76">
        <f>SUM(AY291,Y291:Z291,T291)*IF(AND(offer_incoterms="DDP",offer_sale_type&lt;&gt;"экспорт"),IF((TODAY()+offer_turnaround_time)&gt;=helpsheet!$L$17,rate_vatRU_from_26,rate_vatRu_till_25),0)</f>
        <v/>
      </c>
      <c r="AP291" s="193">
        <f>AN291-AO291</f>
        <v/>
      </c>
      <c r="AQ291" s="118">
        <f>IF(offer_sale_type="транзит",SUM(AF291:AI291,BA291,BB291),0)</f>
        <v/>
      </c>
      <c r="AR291" s="82">
        <f>HYPERLINK("https://www.alta.ru/tnved/code/")&amp;W291&amp;"/"</f>
        <v/>
      </c>
      <c r="AS291" s="157" t="n"/>
      <c r="AT291" s="162" t="n"/>
      <c r="AU291" s="76">
        <f>IF(ISBLANK(AT291),0,AJ291-AT291)</f>
        <v/>
      </c>
      <c r="AV291" s="157" t="n"/>
      <c r="AW291" s="75">
        <f>_xlfn.IFNA(VLOOKUP(L291,list_vat[],3,FALSE),0)</f>
        <v/>
      </c>
      <c r="AX291" s="76">
        <f>IFERROR(ROUND(S291*(1+AW291)/E291,2),0)</f>
        <v/>
      </c>
      <c r="AY291" s="76">
        <f>E291*AX291</f>
        <v/>
      </c>
      <c r="AZ291" s="192">
        <f>S291*(1+M291)</f>
        <v/>
      </c>
      <c r="BA291" s="76">
        <f>cost_fin_total*$BD291</f>
        <v/>
      </c>
      <c r="BB291" s="193">
        <f>credit_sales_interest*BD291</f>
        <v/>
      </c>
      <c r="BC291" s="102">
        <f>IFERROR(IF($I$13&gt;0,$I291/$I$13,$S291/$S$13),0)</f>
        <v/>
      </c>
      <c r="BD291" s="102">
        <f>IFERROR($S291/$S$13,0)</f>
        <v/>
      </c>
      <c r="BE291" s="413" t="inlineStr">
        <is>
          <t>$</t>
        </is>
      </c>
    </row>
    <row r="292" ht="12" customFormat="1" customHeight="1" s="65">
      <c r="A292" s="43" t="n">
        <v>277</v>
      </c>
      <c r="B292" s="166" t="n"/>
      <c r="C292" s="166" t="n"/>
      <c r="D292" s="166" t="n"/>
      <c r="E292" s="162" t="n"/>
      <c r="F292" s="166" t="n"/>
      <c r="G292" s="162" t="n"/>
      <c r="H292" s="162" t="n"/>
      <c r="I292" s="189">
        <f>E292*G292</f>
        <v/>
      </c>
      <c r="J292" s="195" t="n"/>
      <c r="K292" s="162" t="n"/>
      <c r="L292" s="168" t="n"/>
      <c r="M292" s="75">
        <f>_xlfn.XLOOKUP(L292,list_vat[Страна],list_vat[Ставка НДС %],0,0)</f>
        <v/>
      </c>
      <c r="N292" s="162">
        <f>IFERROR(IF(L292="Китай",K292,K292/(1+M292)),0)</f>
        <v/>
      </c>
      <c r="O292" s="169" t="n"/>
      <c r="P292" s="76">
        <f>N292*(1-O292)</f>
        <v/>
      </c>
      <c r="Q292" s="162" t="n"/>
      <c r="R292" s="162">
        <f>IF(ISBLANK(Q292),"введи курс",P292/Q292)</f>
        <v/>
      </c>
      <c r="S292" s="196">
        <f>IF(AND(ISNUMBER(E292),ISNUMBER(Q292)),E292*R292,0)</f>
        <v/>
      </c>
      <c r="T292" s="192">
        <f>$BC292*V$11</f>
        <v/>
      </c>
      <c r="U292" s="76">
        <f>$BC292*W$11</f>
        <v/>
      </c>
      <c r="V292" s="193">
        <f>+SUM(T292:U292)</f>
        <v/>
      </c>
      <c r="W292" s="191" t="n"/>
      <c r="X292" s="170" t="n"/>
      <c r="Y292" s="76">
        <f>ROUND(IF(offer_incoterms="DDP",X292*(S292*(1+AW292)+T292),0),2)</f>
        <v/>
      </c>
      <c r="Z292" s="188" t="n"/>
      <c r="AA292" s="192">
        <f>IFERROR(AB292/E292,0)</f>
        <v/>
      </c>
      <c r="AB292" s="76">
        <f>ROUND(SUM(S292,V292,Y292:Z292,BA292:BB292),2)</f>
        <v/>
      </c>
      <c r="AC292" s="797" t="n"/>
      <c r="AD292" s="192">
        <f t="array" ref="AD292">IFERROR(ROUND((_xlfn.IFS(offer_sale_type="поставка",AB292,offer_sale_type="транзит",S292)*(1+AC292))/E292,2),0)</f>
        <v/>
      </c>
      <c r="AE292" s="76">
        <f>AD292*E292</f>
        <v/>
      </c>
      <c r="AF292" s="193">
        <f t="array" ref="AF292">IFERROR(ROUND(_xlfn.IFS(offer_sale_type="поставка",AB292,offer_sale_type="транзит",S292)*AC292,2),0)</f>
        <v/>
      </c>
      <c r="AG292" s="192">
        <f>$BD292*VLOOKUP($AG$3,$AF$4:$AG$7,2,FALSE)</f>
        <v/>
      </c>
      <c r="AH292" s="76">
        <f>SUM(AE292,AG292,AI292)*rate_forex_risk</f>
        <v/>
      </c>
      <c r="AI292" s="193">
        <f>IF(OR(seller_region="TR",offer_sale_type="экспорт"),0,rate_fin_comm)*SUM(AZ292,AZ292*AW292,T292)</f>
        <v/>
      </c>
      <c r="AJ292" s="118">
        <f>IFERROR(ROUND(SUM(AB292,AF292:AI292)/E292,2),0)</f>
        <v/>
      </c>
      <c r="AK292" s="76">
        <f>AJ292*E292</f>
        <v/>
      </c>
      <c r="AL292" s="174">
        <f>ROUND(IFERROR(AM292*E292,0),2)</f>
        <v/>
      </c>
      <c r="AM292" s="175">
        <f>ROUND(AJ292*(1+IF(offer_incoterms="DDP",IF((TODAY()+offer_turnaround_time)&gt;=helpsheet!$L$17,rate_vatRU_from_26,rate_vatRu_till_25),0)),2)</f>
        <v/>
      </c>
      <c r="AN292" s="192">
        <f>AL292-AK292</f>
        <v/>
      </c>
      <c r="AO292" s="76">
        <f>SUM(AY292,Y292:Z292,T292)*IF(AND(offer_incoterms="DDP",offer_sale_type&lt;&gt;"экспорт"),IF((TODAY()+offer_turnaround_time)&gt;=helpsheet!$L$17,rate_vatRU_from_26,rate_vatRu_till_25),0)</f>
        <v/>
      </c>
      <c r="AP292" s="193">
        <f>AN292-AO292</f>
        <v/>
      </c>
      <c r="AQ292" s="118">
        <f>IF(offer_sale_type="транзит",SUM(AF292:AI292,BA292,BB292),0)</f>
        <v/>
      </c>
      <c r="AR292" s="82">
        <f>HYPERLINK("https://www.alta.ru/tnved/code/")&amp;W292&amp;"/"</f>
        <v/>
      </c>
      <c r="AS292" s="157" t="n"/>
      <c r="AT292" s="162" t="n"/>
      <c r="AU292" s="76">
        <f>IF(ISBLANK(AT292),0,AJ292-AT292)</f>
        <v/>
      </c>
      <c r="AV292" s="157" t="n"/>
      <c r="AW292" s="75">
        <f>_xlfn.IFNA(VLOOKUP(L292,list_vat[],3,FALSE),0)</f>
        <v/>
      </c>
      <c r="AX292" s="76">
        <f>IFERROR(ROUND(S292*(1+AW292)/E292,2),0)</f>
        <v/>
      </c>
      <c r="AY292" s="76">
        <f>E292*AX292</f>
        <v/>
      </c>
      <c r="AZ292" s="192">
        <f>S292*(1+M292)</f>
        <v/>
      </c>
      <c r="BA292" s="76">
        <f>cost_fin_total*$BD292</f>
        <v/>
      </c>
      <c r="BB292" s="193">
        <f>credit_sales_interest*BD292</f>
        <v/>
      </c>
      <c r="BC292" s="102">
        <f>IFERROR(IF($I$13&gt;0,$I292/$I$13,$S292/$S$13),0)</f>
        <v/>
      </c>
      <c r="BD292" s="102">
        <f>IFERROR($S292/$S$13,0)</f>
        <v/>
      </c>
      <c r="BE292" s="413" t="inlineStr">
        <is>
          <t>$</t>
        </is>
      </c>
    </row>
    <row r="293" ht="12" customFormat="1" customHeight="1" s="65">
      <c r="A293" s="43" t="n">
        <v>278</v>
      </c>
      <c r="B293" s="166" t="n"/>
      <c r="C293" s="166" t="n"/>
      <c r="D293" s="166" t="n"/>
      <c r="E293" s="162" t="n"/>
      <c r="F293" s="166" t="n"/>
      <c r="G293" s="162" t="n"/>
      <c r="H293" s="162" t="n"/>
      <c r="I293" s="189">
        <f>E293*G293</f>
        <v/>
      </c>
      <c r="J293" s="195" t="n"/>
      <c r="K293" s="162" t="n"/>
      <c r="L293" s="168" t="n"/>
      <c r="M293" s="75">
        <f>_xlfn.XLOOKUP(L293,list_vat[Страна],list_vat[Ставка НДС %],0,0)</f>
        <v/>
      </c>
      <c r="N293" s="162">
        <f>IFERROR(IF(L293="Китай",K293,K293/(1+M293)),0)</f>
        <v/>
      </c>
      <c r="O293" s="169" t="n"/>
      <c r="P293" s="76">
        <f>N293*(1-O293)</f>
        <v/>
      </c>
      <c r="Q293" s="162" t="n"/>
      <c r="R293" s="162">
        <f>IF(ISBLANK(Q293),"введи курс",P293/Q293)</f>
        <v/>
      </c>
      <c r="S293" s="196">
        <f>IF(AND(ISNUMBER(E293),ISNUMBER(Q293)),E293*R293,0)</f>
        <v/>
      </c>
      <c r="T293" s="192">
        <f>$BC293*V$11</f>
        <v/>
      </c>
      <c r="U293" s="76">
        <f>$BC293*W$11</f>
        <v/>
      </c>
      <c r="V293" s="193">
        <f>+SUM(T293:U293)</f>
        <v/>
      </c>
      <c r="W293" s="191" t="n"/>
      <c r="X293" s="170" t="n"/>
      <c r="Y293" s="76">
        <f>ROUND(IF(offer_incoterms="DDP",X293*(S293*(1+AW293)+T293),0),2)</f>
        <v/>
      </c>
      <c r="Z293" s="188" t="n"/>
      <c r="AA293" s="192">
        <f>IFERROR(AB293/E293,0)</f>
        <v/>
      </c>
      <c r="AB293" s="76">
        <f>ROUND(SUM(S293,V293,Y293:Z293,BA293:BB293),2)</f>
        <v/>
      </c>
      <c r="AC293" s="797" t="n"/>
      <c r="AD293" s="192">
        <f t="array" ref="AD293">IFERROR(ROUND((_xlfn.IFS(offer_sale_type="поставка",AB293,offer_sale_type="транзит",S293)*(1+AC293))/E293,2),0)</f>
        <v/>
      </c>
      <c r="AE293" s="76">
        <f>AD293*E293</f>
        <v/>
      </c>
      <c r="AF293" s="193">
        <f t="array" ref="AF293">IFERROR(ROUND(_xlfn.IFS(offer_sale_type="поставка",AB293,offer_sale_type="транзит",S293)*AC293,2),0)</f>
        <v/>
      </c>
      <c r="AG293" s="192">
        <f>$BD293*VLOOKUP($AG$3,$AF$4:$AG$7,2,FALSE)</f>
        <v/>
      </c>
      <c r="AH293" s="76">
        <f>SUM(AE293,AG293,AI293)*rate_forex_risk</f>
        <v/>
      </c>
      <c r="AI293" s="193">
        <f>IF(OR(seller_region="TR",offer_sale_type="экспорт"),0,rate_fin_comm)*SUM(AZ293,AZ293*AW293,T293)</f>
        <v/>
      </c>
      <c r="AJ293" s="118">
        <f>IFERROR(ROUND(SUM(AB293,AF293:AI293)/E293,2),0)</f>
        <v/>
      </c>
      <c r="AK293" s="76">
        <f>AJ293*E293</f>
        <v/>
      </c>
      <c r="AL293" s="174">
        <f>ROUND(IFERROR(AM293*E293,0),2)</f>
        <v/>
      </c>
      <c r="AM293" s="175">
        <f>ROUND(AJ293*(1+IF(offer_incoterms="DDP",IF((TODAY()+offer_turnaround_time)&gt;=helpsheet!$L$17,rate_vatRU_from_26,rate_vatRu_till_25),0)),2)</f>
        <v/>
      </c>
      <c r="AN293" s="192">
        <f>AL293-AK293</f>
        <v/>
      </c>
      <c r="AO293" s="76">
        <f>SUM(AY293,Y293:Z293,T293)*IF(AND(offer_incoterms="DDP",offer_sale_type&lt;&gt;"экспорт"),IF((TODAY()+offer_turnaround_time)&gt;=helpsheet!$L$17,rate_vatRU_from_26,rate_vatRu_till_25),0)</f>
        <v/>
      </c>
      <c r="AP293" s="193">
        <f>AN293-AO293</f>
        <v/>
      </c>
      <c r="AQ293" s="118">
        <f>IF(offer_sale_type="транзит",SUM(AF293:AI293,BA293,BB293),0)</f>
        <v/>
      </c>
      <c r="AR293" s="82">
        <f>HYPERLINK("https://www.alta.ru/tnved/code/")&amp;W293&amp;"/"</f>
        <v/>
      </c>
      <c r="AS293" s="157" t="n"/>
      <c r="AT293" s="162" t="n"/>
      <c r="AU293" s="76">
        <f>IF(ISBLANK(AT293),0,AJ293-AT293)</f>
        <v/>
      </c>
      <c r="AV293" s="157" t="n"/>
      <c r="AW293" s="75">
        <f>_xlfn.IFNA(VLOOKUP(L293,list_vat[],3,FALSE),0)</f>
        <v/>
      </c>
      <c r="AX293" s="76">
        <f>IFERROR(ROUND(S293*(1+AW293)/E293,2),0)</f>
        <v/>
      </c>
      <c r="AY293" s="76">
        <f>E293*AX293</f>
        <v/>
      </c>
      <c r="AZ293" s="192">
        <f>S293*(1+M293)</f>
        <v/>
      </c>
      <c r="BA293" s="76">
        <f>cost_fin_total*$BD293</f>
        <v/>
      </c>
      <c r="BB293" s="193">
        <f>credit_sales_interest*BD293</f>
        <v/>
      </c>
      <c r="BC293" s="102">
        <f>IFERROR(IF($I$13&gt;0,$I293/$I$13,$S293/$S$13),0)</f>
        <v/>
      </c>
      <c r="BD293" s="102">
        <f>IFERROR($S293/$S$13,0)</f>
        <v/>
      </c>
      <c r="BE293" s="413" t="inlineStr">
        <is>
          <t>$</t>
        </is>
      </c>
    </row>
    <row r="294" ht="12" customFormat="1" customHeight="1" s="65">
      <c r="A294" s="43" t="n">
        <v>279</v>
      </c>
      <c r="B294" s="166" t="n"/>
      <c r="C294" s="166" t="n"/>
      <c r="D294" s="166" t="n"/>
      <c r="E294" s="162" t="n"/>
      <c r="F294" s="166" t="n"/>
      <c r="G294" s="162" t="n"/>
      <c r="H294" s="162" t="n"/>
      <c r="I294" s="189">
        <f>E294*G294</f>
        <v/>
      </c>
      <c r="J294" s="195" t="n"/>
      <c r="K294" s="162" t="n"/>
      <c r="L294" s="168" t="n"/>
      <c r="M294" s="75">
        <f>_xlfn.XLOOKUP(L294,list_vat[Страна],list_vat[Ставка НДС %],0,0)</f>
        <v/>
      </c>
      <c r="N294" s="162">
        <f>IFERROR(IF(L294="Китай",K294,K294/(1+M294)),0)</f>
        <v/>
      </c>
      <c r="O294" s="169" t="n"/>
      <c r="P294" s="76">
        <f>N294*(1-O294)</f>
        <v/>
      </c>
      <c r="Q294" s="162" t="n"/>
      <c r="R294" s="162">
        <f>IF(ISBLANK(Q294),"введи курс",P294/Q294)</f>
        <v/>
      </c>
      <c r="S294" s="196">
        <f>IF(AND(ISNUMBER(E294),ISNUMBER(Q294)),E294*R294,0)</f>
        <v/>
      </c>
      <c r="T294" s="192">
        <f>$BC294*V$11</f>
        <v/>
      </c>
      <c r="U294" s="76">
        <f>$BC294*W$11</f>
        <v/>
      </c>
      <c r="V294" s="193">
        <f>+SUM(T294:U294)</f>
        <v/>
      </c>
      <c r="W294" s="191" t="n"/>
      <c r="X294" s="170" t="n"/>
      <c r="Y294" s="76">
        <f>ROUND(IF(offer_incoterms="DDP",X294*(S294*(1+AW294)+T294),0),2)</f>
        <v/>
      </c>
      <c r="Z294" s="188" t="n"/>
      <c r="AA294" s="192">
        <f>IFERROR(AB294/E294,0)</f>
        <v/>
      </c>
      <c r="AB294" s="76">
        <f>ROUND(SUM(S294,V294,Y294:Z294,BA294:BB294),2)</f>
        <v/>
      </c>
      <c r="AC294" s="797" t="n"/>
      <c r="AD294" s="192">
        <f t="array" ref="AD294">IFERROR(ROUND((_xlfn.IFS(offer_sale_type="поставка",AB294,offer_sale_type="транзит",S294)*(1+AC294))/E294,2),0)</f>
        <v/>
      </c>
      <c r="AE294" s="76">
        <f>AD294*E294</f>
        <v/>
      </c>
      <c r="AF294" s="193">
        <f t="array" ref="AF294">IFERROR(ROUND(_xlfn.IFS(offer_sale_type="поставка",AB294,offer_sale_type="транзит",S294)*AC294,2),0)</f>
        <v/>
      </c>
      <c r="AG294" s="192">
        <f>$BD294*VLOOKUP($AG$3,$AF$4:$AG$7,2,FALSE)</f>
        <v/>
      </c>
      <c r="AH294" s="76">
        <f>SUM(AE294,AG294,AI294)*rate_forex_risk</f>
        <v/>
      </c>
      <c r="AI294" s="193">
        <f>IF(OR(seller_region="TR",offer_sale_type="экспорт"),0,rate_fin_comm)*SUM(AZ294,AZ294*AW294,T294)</f>
        <v/>
      </c>
      <c r="AJ294" s="118">
        <f>IFERROR(ROUND(SUM(AB294,AF294:AI294)/E294,2),0)</f>
        <v/>
      </c>
      <c r="AK294" s="76">
        <f>AJ294*E294</f>
        <v/>
      </c>
      <c r="AL294" s="174">
        <f>ROUND(IFERROR(AM294*E294,0),2)</f>
        <v/>
      </c>
      <c r="AM294" s="175">
        <f>ROUND(AJ294*(1+IF(offer_incoterms="DDP",IF((TODAY()+offer_turnaround_time)&gt;=helpsheet!$L$17,rate_vatRU_from_26,rate_vatRu_till_25),0)),2)</f>
        <v/>
      </c>
      <c r="AN294" s="192">
        <f>AL294-AK294</f>
        <v/>
      </c>
      <c r="AO294" s="76">
        <f>SUM(AY294,Y294:Z294,T294)*IF(AND(offer_incoterms="DDP",offer_sale_type&lt;&gt;"экспорт"),IF((TODAY()+offer_turnaround_time)&gt;=helpsheet!$L$17,rate_vatRU_from_26,rate_vatRu_till_25),0)</f>
        <v/>
      </c>
      <c r="AP294" s="193">
        <f>AN294-AO294</f>
        <v/>
      </c>
      <c r="AQ294" s="118">
        <f>IF(offer_sale_type="транзит",SUM(AF294:AI294,BA294,BB294),0)</f>
        <v/>
      </c>
      <c r="AR294" s="82">
        <f>HYPERLINK("https://www.alta.ru/tnved/code/")&amp;W294&amp;"/"</f>
        <v/>
      </c>
      <c r="AS294" s="157" t="n"/>
      <c r="AT294" s="162" t="n"/>
      <c r="AU294" s="76">
        <f>IF(ISBLANK(AT294),0,AJ294-AT294)</f>
        <v/>
      </c>
      <c r="AV294" s="157" t="n"/>
      <c r="AW294" s="75">
        <f>_xlfn.IFNA(VLOOKUP(L294,list_vat[],3,FALSE),0)</f>
        <v/>
      </c>
      <c r="AX294" s="76">
        <f>IFERROR(ROUND(S294*(1+AW294)/E294,2),0)</f>
        <v/>
      </c>
      <c r="AY294" s="76">
        <f>E294*AX294</f>
        <v/>
      </c>
      <c r="AZ294" s="192">
        <f>S294*(1+M294)</f>
        <v/>
      </c>
      <c r="BA294" s="76">
        <f>cost_fin_total*$BD294</f>
        <v/>
      </c>
      <c r="BB294" s="193">
        <f>credit_sales_interest*BD294</f>
        <v/>
      </c>
      <c r="BC294" s="102">
        <f>IFERROR(IF($I$13&gt;0,$I294/$I$13,$S294/$S$13),0)</f>
        <v/>
      </c>
      <c r="BD294" s="102">
        <f>IFERROR($S294/$S$13,0)</f>
        <v/>
      </c>
      <c r="BE294" s="413" t="inlineStr">
        <is>
          <t>$</t>
        </is>
      </c>
    </row>
    <row r="295" ht="12" customFormat="1" customHeight="1" s="65">
      <c r="A295" s="43" t="n">
        <v>280</v>
      </c>
      <c r="B295" s="166" t="n"/>
      <c r="C295" s="166" t="n"/>
      <c r="D295" s="166" t="n"/>
      <c r="E295" s="162" t="n"/>
      <c r="F295" s="166" t="n"/>
      <c r="G295" s="162" t="n"/>
      <c r="H295" s="162" t="n"/>
      <c r="I295" s="189">
        <f>E295*G295</f>
        <v/>
      </c>
      <c r="J295" s="195" t="n"/>
      <c r="K295" s="162" t="n"/>
      <c r="L295" s="168" t="n"/>
      <c r="M295" s="75">
        <f>_xlfn.XLOOKUP(L295,list_vat[Страна],list_vat[Ставка НДС %],0,0)</f>
        <v/>
      </c>
      <c r="N295" s="162">
        <f>IFERROR(IF(L295="Китай",K295,K295/(1+M295)),0)</f>
        <v/>
      </c>
      <c r="O295" s="169" t="n"/>
      <c r="P295" s="76">
        <f>N295*(1-O295)</f>
        <v/>
      </c>
      <c r="Q295" s="162" t="n"/>
      <c r="R295" s="162">
        <f>IF(ISBLANK(Q295),"введи курс",P295/Q295)</f>
        <v/>
      </c>
      <c r="S295" s="196">
        <f>IF(AND(ISNUMBER(E295),ISNUMBER(Q295)),E295*R295,0)</f>
        <v/>
      </c>
      <c r="T295" s="192">
        <f>$BC295*V$11</f>
        <v/>
      </c>
      <c r="U295" s="76">
        <f>$BC295*W$11</f>
        <v/>
      </c>
      <c r="V295" s="193">
        <f>+SUM(T295:U295)</f>
        <v/>
      </c>
      <c r="W295" s="191" t="n"/>
      <c r="X295" s="170" t="n"/>
      <c r="Y295" s="76">
        <f>ROUND(IF(offer_incoterms="DDP",X295*(S295*(1+AW295)+T295),0),2)</f>
        <v/>
      </c>
      <c r="Z295" s="188" t="n"/>
      <c r="AA295" s="192">
        <f>IFERROR(AB295/E295,0)</f>
        <v/>
      </c>
      <c r="AB295" s="76">
        <f>ROUND(SUM(S295,V295,Y295:Z295,BA295:BB295),2)</f>
        <v/>
      </c>
      <c r="AC295" s="797" t="n"/>
      <c r="AD295" s="192">
        <f t="array" ref="AD295">IFERROR(ROUND((_xlfn.IFS(offer_sale_type="поставка",AB295,offer_sale_type="транзит",S295)*(1+AC295))/E295,2),0)</f>
        <v/>
      </c>
      <c r="AE295" s="76">
        <f>AD295*E295</f>
        <v/>
      </c>
      <c r="AF295" s="193">
        <f t="array" ref="AF295">IFERROR(ROUND(_xlfn.IFS(offer_sale_type="поставка",AB295,offer_sale_type="транзит",S295)*AC295,2),0)</f>
        <v/>
      </c>
      <c r="AG295" s="192">
        <f>$BD295*VLOOKUP($AG$3,$AF$4:$AG$7,2,FALSE)</f>
        <v/>
      </c>
      <c r="AH295" s="76">
        <f>SUM(AE295,AG295,AI295)*rate_forex_risk</f>
        <v/>
      </c>
      <c r="AI295" s="193">
        <f>IF(OR(seller_region="TR",offer_sale_type="экспорт"),0,rate_fin_comm)*SUM(AZ295,AZ295*AW295,T295)</f>
        <v/>
      </c>
      <c r="AJ295" s="118">
        <f>IFERROR(ROUND(SUM(AB295,AF295:AI295)/E295,2),0)</f>
        <v/>
      </c>
      <c r="AK295" s="76">
        <f>AJ295*E295</f>
        <v/>
      </c>
      <c r="AL295" s="174">
        <f>ROUND(IFERROR(AM295*E295,0),2)</f>
        <v/>
      </c>
      <c r="AM295" s="175">
        <f>ROUND(AJ295*(1+IF(offer_incoterms="DDP",IF((TODAY()+offer_turnaround_time)&gt;=helpsheet!$L$17,rate_vatRU_from_26,rate_vatRu_till_25),0)),2)</f>
        <v/>
      </c>
      <c r="AN295" s="192">
        <f>AL295-AK295</f>
        <v/>
      </c>
      <c r="AO295" s="76">
        <f>SUM(AY295,Y295:Z295,T295)*IF(AND(offer_incoterms="DDP",offer_sale_type&lt;&gt;"экспорт"),IF((TODAY()+offer_turnaround_time)&gt;=helpsheet!$L$17,rate_vatRU_from_26,rate_vatRu_till_25),0)</f>
        <v/>
      </c>
      <c r="AP295" s="193">
        <f>AN295-AO295</f>
        <v/>
      </c>
      <c r="AQ295" s="118">
        <f>IF(offer_sale_type="транзит",SUM(AF295:AI295,BA295,BB295),0)</f>
        <v/>
      </c>
      <c r="AR295" s="82">
        <f>HYPERLINK("https://www.alta.ru/tnved/code/")&amp;W295&amp;"/"</f>
        <v/>
      </c>
      <c r="AS295" s="157" t="n"/>
      <c r="AT295" s="162" t="n"/>
      <c r="AU295" s="76">
        <f>IF(ISBLANK(AT295),0,AJ295-AT295)</f>
        <v/>
      </c>
      <c r="AV295" s="157" t="n"/>
      <c r="AW295" s="75">
        <f>_xlfn.IFNA(VLOOKUP(L295,list_vat[],3,FALSE),0)</f>
        <v/>
      </c>
      <c r="AX295" s="76">
        <f>IFERROR(ROUND(S295*(1+AW295)/E295,2),0)</f>
        <v/>
      </c>
      <c r="AY295" s="76">
        <f>E295*AX295</f>
        <v/>
      </c>
      <c r="AZ295" s="192">
        <f>S295*(1+M295)</f>
        <v/>
      </c>
      <c r="BA295" s="76">
        <f>cost_fin_total*$BD295</f>
        <v/>
      </c>
      <c r="BB295" s="193">
        <f>credit_sales_interest*BD295</f>
        <v/>
      </c>
      <c r="BC295" s="102">
        <f>IFERROR(IF($I$13&gt;0,$I295/$I$13,$S295/$S$13),0)</f>
        <v/>
      </c>
      <c r="BD295" s="102">
        <f>IFERROR($S295/$S$13,0)</f>
        <v/>
      </c>
      <c r="BE295" s="413" t="inlineStr">
        <is>
          <t>$</t>
        </is>
      </c>
    </row>
    <row r="296" ht="12" customFormat="1" customHeight="1" s="65">
      <c r="A296" s="43" t="n">
        <v>281</v>
      </c>
      <c r="B296" s="166" t="n"/>
      <c r="C296" s="166" t="n"/>
      <c r="D296" s="166" t="n"/>
      <c r="E296" s="162" t="n"/>
      <c r="F296" s="166" t="n"/>
      <c r="G296" s="162" t="n"/>
      <c r="H296" s="162" t="n"/>
      <c r="I296" s="189">
        <f>E296*G296</f>
        <v/>
      </c>
      <c r="J296" s="195" t="n"/>
      <c r="K296" s="162" t="n"/>
      <c r="L296" s="168" t="n"/>
      <c r="M296" s="75">
        <f>_xlfn.XLOOKUP(L296,list_vat[Страна],list_vat[Ставка НДС %],0,0)</f>
        <v/>
      </c>
      <c r="N296" s="162">
        <f>IFERROR(IF(L296="Китай",K296,K296/(1+M296)),0)</f>
        <v/>
      </c>
      <c r="O296" s="169" t="n"/>
      <c r="P296" s="76">
        <f>N296*(1-O296)</f>
        <v/>
      </c>
      <c r="Q296" s="162" t="n"/>
      <c r="R296" s="162">
        <f>IF(ISBLANK(Q296),"введи курс",P296/Q296)</f>
        <v/>
      </c>
      <c r="S296" s="196">
        <f>IF(AND(ISNUMBER(E296),ISNUMBER(Q296)),E296*R296,0)</f>
        <v/>
      </c>
      <c r="T296" s="192">
        <f>$BC296*V$11</f>
        <v/>
      </c>
      <c r="U296" s="76">
        <f>$BC296*W$11</f>
        <v/>
      </c>
      <c r="V296" s="193">
        <f>+SUM(T296:U296)</f>
        <v/>
      </c>
      <c r="W296" s="191" t="n"/>
      <c r="X296" s="170" t="n"/>
      <c r="Y296" s="76">
        <f>ROUND(IF(offer_incoterms="DDP",X296*(S296*(1+AW296)+T296),0),2)</f>
        <v/>
      </c>
      <c r="Z296" s="188" t="n"/>
      <c r="AA296" s="192">
        <f>IFERROR(AB296/E296,0)</f>
        <v/>
      </c>
      <c r="AB296" s="76">
        <f>ROUND(SUM(S296,V296,Y296:Z296,BA296:BB296),2)</f>
        <v/>
      </c>
      <c r="AC296" s="797" t="n"/>
      <c r="AD296" s="192">
        <f t="array" ref="AD296">IFERROR(ROUND((_xlfn.IFS(offer_sale_type="поставка",AB296,offer_sale_type="транзит",S296)*(1+AC296))/E296,2),0)</f>
        <v/>
      </c>
      <c r="AE296" s="76">
        <f>AD296*E296</f>
        <v/>
      </c>
      <c r="AF296" s="193">
        <f t="array" ref="AF296">IFERROR(ROUND(_xlfn.IFS(offer_sale_type="поставка",AB296,offer_sale_type="транзит",S296)*AC296,2),0)</f>
        <v/>
      </c>
      <c r="AG296" s="192">
        <f>$BD296*VLOOKUP($AG$3,$AF$4:$AG$7,2,FALSE)</f>
        <v/>
      </c>
      <c r="AH296" s="76">
        <f>SUM(AE296,AG296,AI296)*rate_forex_risk</f>
        <v/>
      </c>
      <c r="AI296" s="193">
        <f>IF(OR(seller_region="TR",offer_sale_type="экспорт"),0,rate_fin_comm)*SUM(AZ296,AZ296*AW296,T296)</f>
        <v/>
      </c>
      <c r="AJ296" s="118">
        <f>IFERROR(ROUND(SUM(AB296,AF296:AI296)/E296,2),0)</f>
        <v/>
      </c>
      <c r="AK296" s="76">
        <f>AJ296*E296</f>
        <v/>
      </c>
      <c r="AL296" s="174">
        <f>ROUND(IFERROR(AM296*E296,0),2)</f>
        <v/>
      </c>
      <c r="AM296" s="175">
        <f>ROUND(AJ296*(1+IF(offer_incoterms="DDP",IF((TODAY()+offer_turnaround_time)&gt;=helpsheet!$L$17,rate_vatRU_from_26,rate_vatRu_till_25),0)),2)</f>
        <v/>
      </c>
      <c r="AN296" s="192">
        <f>AL296-AK296</f>
        <v/>
      </c>
      <c r="AO296" s="76">
        <f>SUM(AY296,Y296:Z296,T296)*IF(AND(offer_incoterms="DDP",offer_sale_type&lt;&gt;"экспорт"),IF((TODAY()+offer_turnaround_time)&gt;=helpsheet!$L$17,rate_vatRU_from_26,rate_vatRu_till_25),0)</f>
        <v/>
      </c>
      <c r="AP296" s="193">
        <f>AN296-AO296</f>
        <v/>
      </c>
      <c r="AQ296" s="118">
        <f>IF(offer_sale_type="транзит",SUM(AF296:AI296,BA296,BB296),0)</f>
        <v/>
      </c>
      <c r="AR296" s="82">
        <f>HYPERLINK("https://www.alta.ru/tnved/code/")&amp;W296&amp;"/"</f>
        <v/>
      </c>
      <c r="AS296" s="157" t="n"/>
      <c r="AT296" s="162" t="n"/>
      <c r="AU296" s="76">
        <f>IF(ISBLANK(AT296),0,AJ296-AT296)</f>
        <v/>
      </c>
      <c r="AV296" s="157" t="n"/>
      <c r="AW296" s="75">
        <f>_xlfn.IFNA(VLOOKUP(L296,list_vat[],3,FALSE),0)</f>
        <v/>
      </c>
      <c r="AX296" s="76">
        <f>IFERROR(ROUND(S296*(1+AW296)/E296,2),0)</f>
        <v/>
      </c>
      <c r="AY296" s="76">
        <f>E296*AX296</f>
        <v/>
      </c>
      <c r="AZ296" s="192">
        <f>S296*(1+M296)</f>
        <v/>
      </c>
      <c r="BA296" s="76">
        <f>cost_fin_total*$BD296</f>
        <v/>
      </c>
      <c r="BB296" s="193">
        <f>credit_sales_interest*BD296</f>
        <v/>
      </c>
      <c r="BC296" s="102">
        <f>IFERROR(IF($I$13&gt;0,$I296/$I$13,$S296/$S$13),0)</f>
        <v/>
      </c>
      <c r="BD296" s="102">
        <f>IFERROR($S296/$S$13,0)</f>
        <v/>
      </c>
      <c r="BE296" s="413" t="inlineStr">
        <is>
          <t>$</t>
        </is>
      </c>
    </row>
    <row r="297" ht="12" customFormat="1" customHeight="1" s="65">
      <c r="A297" s="43" t="n">
        <v>282</v>
      </c>
      <c r="B297" s="166" t="n"/>
      <c r="C297" s="166" t="n"/>
      <c r="D297" s="166" t="n"/>
      <c r="E297" s="162" t="n"/>
      <c r="F297" s="166" t="n"/>
      <c r="G297" s="162" t="n"/>
      <c r="H297" s="162" t="n"/>
      <c r="I297" s="189">
        <f>E297*G297</f>
        <v/>
      </c>
      <c r="J297" s="195" t="n"/>
      <c r="K297" s="162" t="n"/>
      <c r="L297" s="168" t="n"/>
      <c r="M297" s="75">
        <f>_xlfn.XLOOKUP(L297,list_vat[Страна],list_vat[Ставка НДС %],0,0)</f>
        <v/>
      </c>
      <c r="N297" s="162">
        <f>IFERROR(IF(L297="Китай",K297,K297/(1+M297)),0)</f>
        <v/>
      </c>
      <c r="O297" s="169" t="n"/>
      <c r="P297" s="76">
        <f>N297*(1-O297)</f>
        <v/>
      </c>
      <c r="Q297" s="162" t="n"/>
      <c r="R297" s="162">
        <f>IF(ISBLANK(Q297),"введи курс",P297/Q297)</f>
        <v/>
      </c>
      <c r="S297" s="196">
        <f>IF(AND(ISNUMBER(E297),ISNUMBER(Q297)),E297*R297,0)</f>
        <v/>
      </c>
      <c r="T297" s="192">
        <f>$BC297*V$11</f>
        <v/>
      </c>
      <c r="U297" s="76">
        <f>$BC297*W$11</f>
        <v/>
      </c>
      <c r="V297" s="193">
        <f>+SUM(T297:U297)</f>
        <v/>
      </c>
      <c r="W297" s="191" t="n"/>
      <c r="X297" s="170" t="n"/>
      <c r="Y297" s="76">
        <f>ROUND(IF(offer_incoterms="DDP",X297*(S297*(1+AW297)+T297),0),2)</f>
        <v/>
      </c>
      <c r="Z297" s="188" t="n"/>
      <c r="AA297" s="192">
        <f>IFERROR(AB297/E297,0)</f>
        <v/>
      </c>
      <c r="AB297" s="76">
        <f>ROUND(SUM(S297,V297,Y297:Z297,BA297:BB297),2)</f>
        <v/>
      </c>
      <c r="AC297" s="797" t="n"/>
      <c r="AD297" s="192">
        <f t="array" ref="AD297">IFERROR(ROUND((_xlfn.IFS(offer_sale_type="поставка",AB297,offer_sale_type="транзит",S297)*(1+AC297))/E297,2),0)</f>
        <v/>
      </c>
      <c r="AE297" s="76">
        <f>AD297*E297</f>
        <v/>
      </c>
      <c r="AF297" s="193">
        <f t="array" ref="AF297">IFERROR(ROUND(_xlfn.IFS(offer_sale_type="поставка",AB297,offer_sale_type="транзит",S297)*AC297,2),0)</f>
        <v/>
      </c>
      <c r="AG297" s="192">
        <f>$BD297*VLOOKUP($AG$3,$AF$4:$AG$7,2,FALSE)</f>
        <v/>
      </c>
      <c r="AH297" s="76">
        <f>SUM(AE297,AG297,AI297)*rate_forex_risk</f>
        <v/>
      </c>
      <c r="AI297" s="193">
        <f>IF(OR(seller_region="TR",offer_sale_type="экспорт"),0,rate_fin_comm)*SUM(AZ297,AZ297*AW297,T297)</f>
        <v/>
      </c>
      <c r="AJ297" s="118">
        <f>IFERROR(ROUND(SUM(AB297,AF297:AI297)/E297,2),0)</f>
        <v/>
      </c>
      <c r="AK297" s="76">
        <f>AJ297*E297</f>
        <v/>
      </c>
      <c r="AL297" s="174">
        <f>ROUND(IFERROR(AM297*E297,0),2)</f>
        <v/>
      </c>
      <c r="AM297" s="175">
        <f>ROUND(AJ297*(1+IF(offer_incoterms="DDP",IF((TODAY()+offer_turnaround_time)&gt;=helpsheet!$L$17,rate_vatRU_from_26,rate_vatRu_till_25),0)),2)</f>
        <v/>
      </c>
      <c r="AN297" s="192">
        <f>AL297-AK297</f>
        <v/>
      </c>
      <c r="AO297" s="76">
        <f>SUM(AY297,Y297:Z297,T297)*IF(AND(offer_incoterms="DDP",offer_sale_type&lt;&gt;"экспорт"),IF((TODAY()+offer_turnaround_time)&gt;=helpsheet!$L$17,rate_vatRU_from_26,rate_vatRu_till_25),0)</f>
        <v/>
      </c>
      <c r="AP297" s="193">
        <f>AN297-AO297</f>
        <v/>
      </c>
      <c r="AQ297" s="118">
        <f>IF(offer_sale_type="транзит",SUM(AF297:AI297,BA297,BB297),0)</f>
        <v/>
      </c>
      <c r="AR297" s="82">
        <f>HYPERLINK("https://www.alta.ru/tnved/code/")&amp;W297&amp;"/"</f>
        <v/>
      </c>
      <c r="AS297" s="157" t="n"/>
      <c r="AT297" s="162" t="n"/>
      <c r="AU297" s="76">
        <f>IF(ISBLANK(AT297),0,AJ297-AT297)</f>
        <v/>
      </c>
      <c r="AV297" s="157" t="n"/>
      <c r="AW297" s="75">
        <f>_xlfn.IFNA(VLOOKUP(L297,list_vat[],3,FALSE),0)</f>
        <v/>
      </c>
      <c r="AX297" s="76">
        <f>IFERROR(ROUND(S297*(1+AW297)/E297,2),0)</f>
        <v/>
      </c>
      <c r="AY297" s="76">
        <f>E297*AX297</f>
        <v/>
      </c>
      <c r="AZ297" s="192">
        <f>S297*(1+M297)</f>
        <v/>
      </c>
      <c r="BA297" s="76">
        <f>cost_fin_total*$BD297</f>
        <v/>
      </c>
      <c r="BB297" s="193">
        <f>credit_sales_interest*BD297</f>
        <v/>
      </c>
      <c r="BC297" s="102">
        <f>IFERROR(IF($I$13&gt;0,$I297/$I$13,$S297/$S$13),0)</f>
        <v/>
      </c>
      <c r="BD297" s="102">
        <f>IFERROR($S297/$S$13,0)</f>
        <v/>
      </c>
      <c r="BE297" s="413" t="inlineStr">
        <is>
          <t>$</t>
        </is>
      </c>
    </row>
    <row r="298" ht="12" customFormat="1" customHeight="1" s="65">
      <c r="A298" s="43" t="n">
        <v>283</v>
      </c>
      <c r="B298" s="166" t="n"/>
      <c r="C298" s="166" t="n"/>
      <c r="D298" s="166" t="n"/>
      <c r="E298" s="162" t="n"/>
      <c r="F298" s="166" t="n"/>
      <c r="G298" s="162" t="n"/>
      <c r="H298" s="162" t="n"/>
      <c r="I298" s="189">
        <f>E298*G298</f>
        <v/>
      </c>
      <c r="J298" s="195" t="n"/>
      <c r="K298" s="162" t="n"/>
      <c r="L298" s="168" t="n"/>
      <c r="M298" s="75">
        <f>_xlfn.XLOOKUP(L298,list_vat[Страна],list_vat[Ставка НДС %],0,0)</f>
        <v/>
      </c>
      <c r="N298" s="162">
        <f>IFERROR(IF(L298="Китай",K298,K298/(1+M298)),0)</f>
        <v/>
      </c>
      <c r="O298" s="169" t="n"/>
      <c r="P298" s="76">
        <f>N298*(1-O298)</f>
        <v/>
      </c>
      <c r="Q298" s="162" t="n"/>
      <c r="R298" s="162">
        <f>IF(ISBLANK(Q298),"введи курс",P298/Q298)</f>
        <v/>
      </c>
      <c r="S298" s="196">
        <f>IF(AND(ISNUMBER(E298),ISNUMBER(Q298)),E298*R298,0)</f>
        <v/>
      </c>
      <c r="T298" s="192">
        <f>$BC298*V$11</f>
        <v/>
      </c>
      <c r="U298" s="76">
        <f>$BC298*W$11</f>
        <v/>
      </c>
      <c r="V298" s="193">
        <f>+SUM(T298:U298)</f>
        <v/>
      </c>
      <c r="W298" s="191" t="n"/>
      <c r="X298" s="170" t="n"/>
      <c r="Y298" s="76">
        <f>ROUND(IF(offer_incoterms="DDP",X298*(S298*(1+AW298)+T298),0),2)</f>
        <v/>
      </c>
      <c r="Z298" s="188" t="n"/>
      <c r="AA298" s="192">
        <f>IFERROR(AB298/E298,0)</f>
        <v/>
      </c>
      <c r="AB298" s="76">
        <f>ROUND(SUM(S298,V298,Y298:Z298,BA298:BB298),2)</f>
        <v/>
      </c>
      <c r="AC298" s="797" t="n"/>
      <c r="AD298" s="192">
        <f t="array" ref="AD298">IFERROR(ROUND((_xlfn.IFS(offer_sale_type="поставка",AB298,offer_sale_type="транзит",S298)*(1+AC298))/E298,2),0)</f>
        <v/>
      </c>
      <c r="AE298" s="76">
        <f>AD298*E298</f>
        <v/>
      </c>
      <c r="AF298" s="193">
        <f t="array" ref="AF298">IFERROR(ROUND(_xlfn.IFS(offer_sale_type="поставка",AB298,offer_sale_type="транзит",S298)*AC298,2),0)</f>
        <v/>
      </c>
      <c r="AG298" s="192">
        <f>$BD298*VLOOKUP($AG$3,$AF$4:$AG$7,2,FALSE)</f>
        <v/>
      </c>
      <c r="AH298" s="76">
        <f>SUM(AE298,AG298,AI298)*rate_forex_risk</f>
        <v/>
      </c>
      <c r="AI298" s="193">
        <f>IF(OR(seller_region="TR",offer_sale_type="экспорт"),0,rate_fin_comm)*SUM(AZ298,AZ298*AW298,T298)</f>
        <v/>
      </c>
      <c r="AJ298" s="118">
        <f>IFERROR(ROUND(SUM(AB298,AF298:AI298)/E298,2),0)</f>
        <v/>
      </c>
      <c r="AK298" s="76">
        <f>AJ298*E298</f>
        <v/>
      </c>
      <c r="AL298" s="174">
        <f>ROUND(IFERROR(AM298*E298,0),2)</f>
        <v/>
      </c>
      <c r="AM298" s="175">
        <f>ROUND(AJ298*(1+IF(offer_incoterms="DDP",IF((TODAY()+offer_turnaround_time)&gt;=helpsheet!$L$17,rate_vatRU_from_26,rate_vatRu_till_25),0)),2)</f>
        <v/>
      </c>
      <c r="AN298" s="192">
        <f>AL298-AK298</f>
        <v/>
      </c>
      <c r="AO298" s="76">
        <f>SUM(AY298,Y298:Z298,T298)*IF(AND(offer_incoterms="DDP",offer_sale_type&lt;&gt;"экспорт"),IF((TODAY()+offer_turnaround_time)&gt;=helpsheet!$L$17,rate_vatRU_from_26,rate_vatRu_till_25),0)</f>
        <v/>
      </c>
      <c r="AP298" s="193">
        <f>AN298-AO298</f>
        <v/>
      </c>
      <c r="AQ298" s="118">
        <f>IF(offer_sale_type="транзит",SUM(AF298:AI298,BA298,BB298),0)</f>
        <v/>
      </c>
      <c r="AR298" s="82">
        <f>HYPERLINK("https://www.alta.ru/tnved/code/")&amp;W298&amp;"/"</f>
        <v/>
      </c>
      <c r="AS298" s="157" t="n"/>
      <c r="AT298" s="162" t="n"/>
      <c r="AU298" s="76">
        <f>IF(ISBLANK(AT298),0,AJ298-AT298)</f>
        <v/>
      </c>
      <c r="AV298" s="157" t="n"/>
      <c r="AW298" s="75">
        <f>_xlfn.IFNA(VLOOKUP(L298,list_vat[],3,FALSE),0)</f>
        <v/>
      </c>
      <c r="AX298" s="76">
        <f>IFERROR(ROUND(S298*(1+AW298)/E298,2),0)</f>
        <v/>
      </c>
      <c r="AY298" s="76">
        <f>E298*AX298</f>
        <v/>
      </c>
      <c r="AZ298" s="192">
        <f>S298*(1+M298)</f>
        <v/>
      </c>
      <c r="BA298" s="76">
        <f>cost_fin_total*$BD298</f>
        <v/>
      </c>
      <c r="BB298" s="193">
        <f>credit_sales_interest*BD298</f>
        <v/>
      </c>
      <c r="BC298" s="102">
        <f>IFERROR(IF($I$13&gt;0,$I298/$I$13,$S298/$S$13),0)</f>
        <v/>
      </c>
      <c r="BD298" s="102">
        <f>IFERROR($S298/$S$13,0)</f>
        <v/>
      </c>
      <c r="BE298" s="413" t="inlineStr">
        <is>
          <t>$</t>
        </is>
      </c>
    </row>
    <row r="299" ht="12" customFormat="1" customHeight="1" s="65">
      <c r="A299" s="43" t="n">
        <v>284</v>
      </c>
      <c r="B299" s="166" t="n"/>
      <c r="C299" s="166" t="n"/>
      <c r="D299" s="166" t="n"/>
      <c r="E299" s="162" t="n"/>
      <c r="F299" s="166" t="n"/>
      <c r="G299" s="162" t="n"/>
      <c r="H299" s="162" t="n"/>
      <c r="I299" s="189">
        <f>E299*G299</f>
        <v/>
      </c>
      <c r="J299" s="195" t="n"/>
      <c r="K299" s="162" t="n"/>
      <c r="L299" s="168" t="n"/>
      <c r="M299" s="75">
        <f>_xlfn.XLOOKUP(L299,list_vat[Страна],list_vat[Ставка НДС %],0,0)</f>
        <v/>
      </c>
      <c r="N299" s="162">
        <f>IFERROR(IF(L299="Китай",K299,K299/(1+M299)),0)</f>
        <v/>
      </c>
      <c r="O299" s="169" t="n"/>
      <c r="P299" s="76">
        <f>N299*(1-O299)</f>
        <v/>
      </c>
      <c r="Q299" s="162" t="n"/>
      <c r="R299" s="162">
        <f>IF(ISBLANK(Q299),"введи курс",P299/Q299)</f>
        <v/>
      </c>
      <c r="S299" s="196">
        <f>IF(AND(ISNUMBER(E299),ISNUMBER(Q299)),E299*R299,0)</f>
        <v/>
      </c>
      <c r="T299" s="192">
        <f>$BC299*V$11</f>
        <v/>
      </c>
      <c r="U299" s="76">
        <f>$BC299*W$11</f>
        <v/>
      </c>
      <c r="V299" s="193">
        <f>+SUM(T299:U299)</f>
        <v/>
      </c>
      <c r="W299" s="191" t="n"/>
      <c r="X299" s="170" t="n"/>
      <c r="Y299" s="76">
        <f>ROUND(IF(offer_incoterms="DDP",X299*(S299*(1+AW299)+T299),0),2)</f>
        <v/>
      </c>
      <c r="Z299" s="188" t="n"/>
      <c r="AA299" s="192">
        <f>IFERROR(AB299/E299,0)</f>
        <v/>
      </c>
      <c r="AB299" s="76">
        <f>ROUND(SUM(S299,V299,Y299:Z299,BA299:BB299),2)</f>
        <v/>
      </c>
      <c r="AC299" s="797" t="n"/>
      <c r="AD299" s="192">
        <f t="array" ref="AD299">IFERROR(ROUND((_xlfn.IFS(offer_sale_type="поставка",AB299,offer_sale_type="транзит",S299)*(1+AC299))/E299,2),0)</f>
        <v/>
      </c>
      <c r="AE299" s="76">
        <f>AD299*E299</f>
        <v/>
      </c>
      <c r="AF299" s="193">
        <f t="array" ref="AF299">IFERROR(ROUND(_xlfn.IFS(offer_sale_type="поставка",AB299,offer_sale_type="транзит",S299)*AC299,2),0)</f>
        <v/>
      </c>
      <c r="AG299" s="192">
        <f>$BD299*VLOOKUP($AG$3,$AF$4:$AG$7,2,FALSE)</f>
        <v/>
      </c>
      <c r="AH299" s="76">
        <f>SUM(AE299,AG299,AI299)*rate_forex_risk</f>
        <v/>
      </c>
      <c r="AI299" s="193">
        <f>IF(OR(seller_region="TR",offer_sale_type="экспорт"),0,rate_fin_comm)*SUM(AZ299,AZ299*AW299,T299)</f>
        <v/>
      </c>
      <c r="AJ299" s="118">
        <f>IFERROR(ROUND(SUM(AB299,AF299:AI299)/E299,2),0)</f>
        <v/>
      </c>
      <c r="AK299" s="76">
        <f>AJ299*E299</f>
        <v/>
      </c>
      <c r="AL299" s="174">
        <f>ROUND(IFERROR(AM299*E299,0),2)</f>
        <v/>
      </c>
      <c r="AM299" s="175">
        <f>ROUND(AJ299*(1+IF(offer_incoterms="DDP",IF((TODAY()+offer_turnaround_time)&gt;=helpsheet!$L$17,rate_vatRU_from_26,rate_vatRu_till_25),0)),2)</f>
        <v/>
      </c>
      <c r="AN299" s="192">
        <f>AL299-AK299</f>
        <v/>
      </c>
      <c r="AO299" s="76">
        <f>SUM(AY299,Y299:Z299,T299)*IF(AND(offer_incoterms="DDP",offer_sale_type&lt;&gt;"экспорт"),IF((TODAY()+offer_turnaround_time)&gt;=helpsheet!$L$17,rate_vatRU_from_26,rate_vatRu_till_25),0)</f>
        <v/>
      </c>
      <c r="AP299" s="193">
        <f>AN299-AO299</f>
        <v/>
      </c>
      <c r="AQ299" s="118">
        <f>IF(offer_sale_type="транзит",SUM(AF299:AI299,BA299,BB299),0)</f>
        <v/>
      </c>
      <c r="AR299" s="82">
        <f>HYPERLINK("https://www.alta.ru/tnved/code/")&amp;W299&amp;"/"</f>
        <v/>
      </c>
      <c r="AS299" s="157" t="n"/>
      <c r="AT299" s="162" t="n"/>
      <c r="AU299" s="76">
        <f>IF(ISBLANK(AT299),0,AJ299-AT299)</f>
        <v/>
      </c>
      <c r="AV299" s="157" t="n"/>
      <c r="AW299" s="75">
        <f>_xlfn.IFNA(VLOOKUP(L299,list_vat[],3,FALSE),0)</f>
        <v/>
      </c>
      <c r="AX299" s="76">
        <f>IFERROR(ROUND(S299*(1+AW299)/E299,2),0)</f>
        <v/>
      </c>
      <c r="AY299" s="76">
        <f>E299*AX299</f>
        <v/>
      </c>
      <c r="AZ299" s="192">
        <f>S299*(1+M299)</f>
        <v/>
      </c>
      <c r="BA299" s="76">
        <f>cost_fin_total*$BD299</f>
        <v/>
      </c>
      <c r="BB299" s="193">
        <f>credit_sales_interest*BD299</f>
        <v/>
      </c>
      <c r="BC299" s="102">
        <f>IFERROR(IF($I$13&gt;0,$I299/$I$13,$S299/$S$13),0)</f>
        <v/>
      </c>
      <c r="BD299" s="102">
        <f>IFERROR($S299/$S$13,0)</f>
        <v/>
      </c>
      <c r="BE299" s="413" t="inlineStr">
        <is>
          <t>$</t>
        </is>
      </c>
    </row>
    <row r="300" ht="12" customFormat="1" customHeight="1" s="65">
      <c r="A300" s="43" t="n">
        <v>285</v>
      </c>
      <c r="B300" s="166" t="n"/>
      <c r="C300" s="166" t="n"/>
      <c r="D300" s="166" t="n"/>
      <c r="E300" s="162" t="n"/>
      <c r="F300" s="166" t="n"/>
      <c r="G300" s="162" t="n"/>
      <c r="H300" s="162" t="n"/>
      <c r="I300" s="189">
        <f>E300*G300</f>
        <v/>
      </c>
      <c r="J300" s="195" t="n"/>
      <c r="K300" s="162" t="n"/>
      <c r="L300" s="168" t="n"/>
      <c r="M300" s="75">
        <f>_xlfn.XLOOKUP(L300,list_vat[Страна],list_vat[Ставка НДС %],0,0)</f>
        <v/>
      </c>
      <c r="N300" s="162">
        <f>IFERROR(IF(L300="Китай",K300,K300/(1+M300)),0)</f>
        <v/>
      </c>
      <c r="O300" s="169" t="n"/>
      <c r="P300" s="76">
        <f>N300*(1-O300)</f>
        <v/>
      </c>
      <c r="Q300" s="162" t="n"/>
      <c r="R300" s="162">
        <f>IF(ISBLANK(Q300),"введи курс",P300/Q300)</f>
        <v/>
      </c>
      <c r="S300" s="196">
        <f>IF(AND(ISNUMBER(E300),ISNUMBER(Q300)),E300*R300,0)</f>
        <v/>
      </c>
      <c r="T300" s="192">
        <f>$BC300*V$11</f>
        <v/>
      </c>
      <c r="U300" s="76">
        <f>$BC300*W$11</f>
        <v/>
      </c>
      <c r="V300" s="193">
        <f>+SUM(T300:U300)</f>
        <v/>
      </c>
      <c r="W300" s="191" t="n"/>
      <c r="X300" s="170" t="n"/>
      <c r="Y300" s="76">
        <f>ROUND(IF(offer_incoterms="DDP",X300*(S300*(1+AW300)+T300),0),2)</f>
        <v/>
      </c>
      <c r="Z300" s="188" t="n"/>
      <c r="AA300" s="192">
        <f>IFERROR(AB300/E300,0)</f>
        <v/>
      </c>
      <c r="AB300" s="76">
        <f>ROUND(SUM(S300,V300,Y300:Z300,BA300:BB300),2)</f>
        <v/>
      </c>
      <c r="AC300" s="797" t="n"/>
      <c r="AD300" s="192">
        <f t="array" ref="AD300">IFERROR(ROUND((_xlfn.IFS(offer_sale_type="поставка",AB300,offer_sale_type="транзит",S300)*(1+AC300))/E300,2),0)</f>
        <v/>
      </c>
      <c r="AE300" s="76">
        <f>AD300*E300</f>
        <v/>
      </c>
      <c r="AF300" s="193">
        <f t="array" ref="AF300">IFERROR(ROUND(_xlfn.IFS(offer_sale_type="поставка",AB300,offer_sale_type="транзит",S300)*AC300,2),0)</f>
        <v/>
      </c>
      <c r="AG300" s="192">
        <f>$BD300*VLOOKUP($AG$3,$AF$4:$AG$7,2,FALSE)</f>
        <v/>
      </c>
      <c r="AH300" s="76">
        <f>SUM(AE300,AG300,AI300)*rate_forex_risk</f>
        <v/>
      </c>
      <c r="AI300" s="193">
        <f>IF(OR(seller_region="TR",offer_sale_type="экспорт"),0,rate_fin_comm)*SUM(AZ300,AZ300*AW300,T300)</f>
        <v/>
      </c>
      <c r="AJ300" s="118">
        <f>IFERROR(ROUND(SUM(AB300,AF300:AI300)/E300,2),0)</f>
        <v/>
      </c>
      <c r="AK300" s="76">
        <f>AJ300*E300</f>
        <v/>
      </c>
      <c r="AL300" s="174">
        <f>ROUND(IFERROR(AM300*E300,0),2)</f>
        <v/>
      </c>
      <c r="AM300" s="175">
        <f>ROUND(AJ300*(1+IF(offer_incoterms="DDP",IF((TODAY()+offer_turnaround_time)&gt;=helpsheet!$L$17,rate_vatRU_from_26,rate_vatRu_till_25),0)),2)</f>
        <v/>
      </c>
      <c r="AN300" s="192">
        <f>AL300-AK300</f>
        <v/>
      </c>
      <c r="AO300" s="76">
        <f>SUM(AY300,Y300:Z300,T300)*IF(AND(offer_incoterms="DDP",offer_sale_type&lt;&gt;"экспорт"),IF((TODAY()+offer_turnaround_time)&gt;=helpsheet!$L$17,rate_vatRU_from_26,rate_vatRu_till_25),0)</f>
        <v/>
      </c>
      <c r="AP300" s="193">
        <f>AN300-AO300</f>
        <v/>
      </c>
      <c r="AQ300" s="118">
        <f>IF(offer_sale_type="транзит",SUM(AF300:AI300,BA300,BB300),0)</f>
        <v/>
      </c>
      <c r="AR300" s="82">
        <f>HYPERLINK("https://www.alta.ru/tnved/code/")&amp;W300&amp;"/"</f>
        <v/>
      </c>
      <c r="AS300" s="157" t="n"/>
      <c r="AT300" s="162" t="n"/>
      <c r="AU300" s="76">
        <f>IF(ISBLANK(AT300),0,AJ300-AT300)</f>
        <v/>
      </c>
      <c r="AV300" s="157" t="n"/>
      <c r="AW300" s="75">
        <f>_xlfn.IFNA(VLOOKUP(L300,list_vat[],3,FALSE),0)</f>
        <v/>
      </c>
      <c r="AX300" s="76">
        <f>IFERROR(ROUND(S300*(1+AW300)/E300,2),0)</f>
        <v/>
      </c>
      <c r="AY300" s="76">
        <f>E300*AX300</f>
        <v/>
      </c>
      <c r="AZ300" s="192">
        <f>S300*(1+M300)</f>
        <v/>
      </c>
      <c r="BA300" s="76">
        <f>cost_fin_total*$BD300</f>
        <v/>
      </c>
      <c r="BB300" s="193">
        <f>credit_sales_interest*BD300</f>
        <v/>
      </c>
      <c r="BC300" s="102">
        <f>IFERROR(IF($I$13&gt;0,$I300/$I$13,$S300/$S$13),0)</f>
        <v/>
      </c>
      <c r="BD300" s="102">
        <f>IFERROR($S300/$S$13,0)</f>
        <v/>
      </c>
      <c r="BE300" s="413" t="inlineStr">
        <is>
          <t>$</t>
        </is>
      </c>
    </row>
    <row r="301" ht="12" customFormat="1" customHeight="1" s="65">
      <c r="A301" s="43" t="n">
        <v>286</v>
      </c>
      <c r="B301" s="166" t="n"/>
      <c r="C301" s="166" t="n"/>
      <c r="D301" s="166" t="n"/>
      <c r="E301" s="162" t="n"/>
      <c r="F301" s="166" t="n"/>
      <c r="G301" s="162" t="n"/>
      <c r="H301" s="162" t="n"/>
      <c r="I301" s="189">
        <f>E301*G301</f>
        <v/>
      </c>
      <c r="J301" s="195" t="n"/>
      <c r="K301" s="162" t="n"/>
      <c r="L301" s="168" t="n"/>
      <c r="M301" s="75">
        <f>_xlfn.XLOOKUP(L301,list_vat[Страна],list_vat[Ставка НДС %],0,0)</f>
        <v/>
      </c>
      <c r="N301" s="162">
        <f>IFERROR(IF(L301="Китай",K301,K301/(1+M301)),0)</f>
        <v/>
      </c>
      <c r="O301" s="169" t="n"/>
      <c r="P301" s="76">
        <f>N301*(1-O301)</f>
        <v/>
      </c>
      <c r="Q301" s="162" t="n"/>
      <c r="R301" s="162">
        <f>IF(ISBLANK(Q301),"введи курс",P301/Q301)</f>
        <v/>
      </c>
      <c r="S301" s="196">
        <f>IF(AND(ISNUMBER(E301),ISNUMBER(Q301)),E301*R301,0)</f>
        <v/>
      </c>
      <c r="T301" s="192">
        <f>$BC301*V$11</f>
        <v/>
      </c>
      <c r="U301" s="76">
        <f>$BC301*W$11</f>
        <v/>
      </c>
      <c r="V301" s="193">
        <f>+SUM(T301:U301)</f>
        <v/>
      </c>
      <c r="W301" s="191" t="n"/>
      <c r="X301" s="170" t="n"/>
      <c r="Y301" s="76">
        <f>ROUND(IF(offer_incoterms="DDP",X301*(S301*(1+AW301)+T301),0),2)</f>
        <v/>
      </c>
      <c r="Z301" s="188" t="n"/>
      <c r="AA301" s="192">
        <f>IFERROR(AB301/E301,0)</f>
        <v/>
      </c>
      <c r="AB301" s="76">
        <f>ROUND(SUM(S301,V301,Y301:Z301,BA301:BB301),2)</f>
        <v/>
      </c>
      <c r="AC301" s="797" t="n"/>
      <c r="AD301" s="192">
        <f t="array" ref="AD301">IFERROR(ROUND((_xlfn.IFS(offer_sale_type="поставка",AB301,offer_sale_type="транзит",S301)*(1+AC301))/E301,2),0)</f>
        <v/>
      </c>
      <c r="AE301" s="76">
        <f>AD301*E301</f>
        <v/>
      </c>
      <c r="AF301" s="193">
        <f t="array" ref="AF301">IFERROR(ROUND(_xlfn.IFS(offer_sale_type="поставка",AB301,offer_sale_type="транзит",S301)*AC301,2),0)</f>
        <v/>
      </c>
      <c r="AG301" s="192">
        <f>$BD301*VLOOKUP($AG$3,$AF$4:$AG$7,2,FALSE)</f>
        <v/>
      </c>
      <c r="AH301" s="76">
        <f>SUM(AE301,AG301,AI301)*rate_forex_risk</f>
        <v/>
      </c>
      <c r="AI301" s="193">
        <f>IF(OR(seller_region="TR",offer_sale_type="экспорт"),0,rate_fin_comm)*SUM(AZ301,AZ301*AW301,T301)</f>
        <v/>
      </c>
      <c r="AJ301" s="118">
        <f>IFERROR(ROUND(SUM(AB301,AF301:AI301)/E301,2),0)</f>
        <v/>
      </c>
      <c r="AK301" s="76">
        <f>AJ301*E301</f>
        <v/>
      </c>
      <c r="AL301" s="174">
        <f>ROUND(IFERROR(AM301*E301,0),2)</f>
        <v/>
      </c>
      <c r="AM301" s="175">
        <f>ROUND(AJ301*(1+IF(offer_incoterms="DDP",IF((TODAY()+offer_turnaround_time)&gt;=helpsheet!$L$17,rate_vatRU_from_26,rate_vatRu_till_25),0)),2)</f>
        <v/>
      </c>
      <c r="AN301" s="192">
        <f>AL301-AK301</f>
        <v/>
      </c>
      <c r="AO301" s="76">
        <f>SUM(AY301,Y301:Z301,T301)*IF(AND(offer_incoterms="DDP",offer_sale_type&lt;&gt;"экспорт"),IF((TODAY()+offer_turnaround_time)&gt;=helpsheet!$L$17,rate_vatRU_from_26,rate_vatRu_till_25),0)</f>
        <v/>
      </c>
      <c r="AP301" s="193">
        <f>AN301-AO301</f>
        <v/>
      </c>
      <c r="AQ301" s="118">
        <f>IF(offer_sale_type="транзит",SUM(AF301:AI301,BA301,BB301),0)</f>
        <v/>
      </c>
      <c r="AR301" s="82">
        <f>HYPERLINK("https://www.alta.ru/tnved/code/")&amp;W301&amp;"/"</f>
        <v/>
      </c>
      <c r="AS301" s="157" t="n"/>
      <c r="AT301" s="162" t="n"/>
      <c r="AU301" s="76">
        <f>IF(ISBLANK(AT301),0,AJ301-AT301)</f>
        <v/>
      </c>
      <c r="AV301" s="157" t="n"/>
      <c r="AW301" s="75">
        <f>_xlfn.IFNA(VLOOKUP(L301,list_vat[],3,FALSE),0)</f>
        <v/>
      </c>
      <c r="AX301" s="76">
        <f>IFERROR(ROUND(S301*(1+AW301)/E301,2),0)</f>
        <v/>
      </c>
      <c r="AY301" s="76">
        <f>E301*AX301</f>
        <v/>
      </c>
      <c r="AZ301" s="192">
        <f>S301*(1+M301)</f>
        <v/>
      </c>
      <c r="BA301" s="76">
        <f>cost_fin_total*$BD301</f>
        <v/>
      </c>
      <c r="BB301" s="193">
        <f>credit_sales_interest*BD301</f>
        <v/>
      </c>
      <c r="BC301" s="102">
        <f>IFERROR(IF($I$13&gt;0,$I301/$I$13,$S301/$S$13),0)</f>
        <v/>
      </c>
      <c r="BD301" s="102">
        <f>IFERROR($S301/$S$13,0)</f>
        <v/>
      </c>
      <c r="BE301" s="413" t="inlineStr">
        <is>
          <t>$</t>
        </is>
      </c>
    </row>
    <row r="302" ht="12" customFormat="1" customHeight="1" s="65">
      <c r="A302" s="43" t="n">
        <v>287</v>
      </c>
      <c r="B302" s="166" t="n"/>
      <c r="C302" s="166" t="n"/>
      <c r="D302" s="166" t="n"/>
      <c r="E302" s="162" t="n"/>
      <c r="F302" s="166" t="n"/>
      <c r="G302" s="162" t="n"/>
      <c r="H302" s="162" t="n"/>
      <c r="I302" s="189">
        <f>E302*G302</f>
        <v/>
      </c>
      <c r="J302" s="195" t="n"/>
      <c r="K302" s="162" t="n"/>
      <c r="L302" s="168" t="n"/>
      <c r="M302" s="75">
        <f>_xlfn.XLOOKUP(L302,list_vat[Страна],list_vat[Ставка НДС %],0,0)</f>
        <v/>
      </c>
      <c r="N302" s="162">
        <f>IFERROR(IF(L302="Китай",K302,K302/(1+M302)),0)</f>
        <v/>
      </c>
      <c r="O302" s="169" t="n"/>
      <c r="P302" s="76">
        <f>N302*(1-O302)</f>
        <v/>
      </c>
      <c r="Q302" s="162" t="n"/>
      <c r="R302" s="162">
        <f>IF(ISBLANK(Q302),"введи курс",P302/Q302)</f>
        <v/>
      </c>
      <c r="S302" s="196">
        <f>IF(AND(ISNUMBER(E302),ISNUMBER(Q302)),E302*R302,0)</f>
        <v/>
      </c>
      <c r="T302" s="192">
        <f>$BC302*V$11</f>
        <v/>
      </c>
      <c r="U302" s="76">
        <f>$BC302*W$11</f>
        <v/>
      </c>
      <c r="V302" s="193">
        <f>+SUM(T302:U302)</f>
        <v/>
      </c>
      <c r="W302" s="191" t="n"/>
      <c r="X302" s="170" t="n"/>
      <c r="Y302" s="76">
        <f>ROUND(IF(offer_incoterms="DDP",X302*(S302*(1+AW302)+T302),0),2)</f>
        <v/>
      </c>
      <c r="Z302" s="188" t="n"/>
      <c r="AA302" s="192">
        <f>IFERROR(AB302/E302,0)</f>
        <v/>
      </c>
      <c r="AB302" s="76">
        <f>ROUND(SUM(S302,V302,Y302:Z302,BA302:BB302),2)</f>
        <v/>
      </c>
      <c r="AC302" s="797" t="n"/>
      <c r="AD302" s="192">
        <f t="array" ref="AD302">IFERROR(ROUND((_xlfn.IFS(offer_sale_type="поставка",AB302,offer_sale_type="транзит",S302)*(1+AC302))/E302,2),0)</f>
        <v/>
      </c>
      <c r="AE302" s="76">
        <f>AD302*E302</f>
        <v/>
      </c>
      <c r="AF302" s="193">
        <f t="array" ref="AF302">IFERROR(ROUND(_xlfn.IFS(offer_sale_type="поставка",AB302,offer_sale_type="транзит",S302)*AC302,2),0)</f>
        <v/>
      </c>
      <c r="AG302" s="192">
        <f>$BD302*VLOOKUP($AG$3,$AF$4:$AG$7,2,FALSE)</f>
        <v/>
      </c>
      <c r="AH302" s="76">
        <f>SUM(AE302,AG302,AI302)*rate_forex_risk</f>
        <v/>
      </c>
      <c r="AI302" s="193">
        <f>IF(OR(seller_region="TR",offer_sale_type="экспорт"),0,rate_fin_comm)*SUM(AZ302,AZ302*AW302,T302)</f>
        <v/>
      </c>
      <c r="AJ302" s="118">
        <f>IFERROR(ROUND(SUM(AB302,AF302:AI302)/E302,2),0)</f>
        <v/>
      </c>
      <c r="AK302" s="76">
        <f>AJ302*E302</f>
        <v/>
      </c>
      <c r="AL302" s="174">
        <f>ROUND(IFERROR(AM302*E302,0),2)</f>
        <v/>
      </c>
      <c r="AM302" s="175">
        <f>ROUND(AJ302*(1+IF(offer_incoterms="DDP",IF((TODAY()+offer_turnaround_time)&gt;=helpsheet!$L$17,rate_vatRU_from_26,rate_vatRu_till_25),0)),2)</f>
        <v/>
      </c>
      <c r="AN302" s="192">
        <f>AL302-AK302</f>
        <v/>
      </c>
      <c r="AO302" s="76">
        <f>SUM(AY302,Y302:Z302,T302)*IF(AND(offer_incoterms="DDP",offer_sale_type&lt;&gt;"экспорт"),IF((TODAY()+offer_turnaround_time)&gt;=helpsheet!$L$17,rate_vatRU_from_26,rate_vatRu_till_25),0)</f>
        <v/>
      </c>
      <c r="AP302" s="193">
        <f>AN302-AO302</f>
        <v/>
      </c>
      <c r="AQ302" s="118">
        <f>IF(offer_sale_type="транзит",SUM(AF302:AI302,BA302,BB302),0)</f>
        <v/>
      </c>
      <c r="AR302" s="82">
        <f>HYPERLINK("https://www.alta.ru/tnved/code/")&amp;W302&amp;"/"</f>
        <v/>
      </c>
      <c r="AS302" s="157" t="n"/>
      <c r="AT302" s="162" t="n"/>
      <c r="AU302" s="76">
        <f>IF(ISBLANK(AT302),0,AJ302-AT302)</f>
        <v/>
      </c>
      <c r="AV302" s="157" t="n"/>
      <c r="AW302" s="75">
        <f>_xlfn.IFNA(VLOOKUP(L302,list_vat[],3,FALSE),0)</f>
        <v/>
      </c>
      <c r="AX302" s="76">
        <f>IFERROR(ROUND(S302*(1+AW302)/E302,2),0)</f>
        <v/>
      </c>
      <c r="AY302" s="76">
        <f>E302*AX302</f>
        <v/>
      </c>
      <c r="AZ302" s="192">
        <f>S302*(1+M302)</f>
        <v/>
      </c>
      <c r="BA302" s="76">
        <f>cost_fin_total*$BD302</f>
        <v/>
      </c>
      <c r="BB302" s="193">
        <f>credit_sales_interest*BD302</f>
        <v/>
      </c>
      <c r="BC302" s="102">
        <f>IFERROR(IF($I$13&gt;0,$I302/$I$13,$S302/$S$13),0)</f>
        <v/>
      </c>
      <c r="BD302" s="102">
        <f>IFERROR($S302/$S$13,0)</f>
        <v/>
      </c>
      <c r="BE302" s="413" t="inlineStr">
        <is>
          <t>$</t>
        </is>
      </c>
    </row>
    <row r="303" ht="12" customFormat="1" customHeight="1" s="65">
      <c r="A303" s="43" t="n">
        <v>288</v>
      </c>
      <c r="B303" s="166" t="n"/>
      <c r="C303" s="166" t="n"/>
      <c r="D303" s="166" t="n"/>
      <c r="E303" s="162" t="n"/>
      <c r="F303" s="166" t="n"/>
      <c r="G303" s="162" t="n"/>
      <c r="H303" s="162" t="n"/>
      <c r="I303" s="189">
        <f>E303*G303</f>
        <v/>
      </c>
      <c r="J303" s="195" t="n"/>
      <c r="K303" s="162" t="n"/>
      <c r="L303" s="168" t="n"/>
      <c r="M303" s="75">
        <f>_xlfn.XLOOKUP(L303,list_vat[Страна],list_vat[Ставка НДС %],0,0)</f>
        <v/>
      </c>
      <c r="N303" s="162">
        <f>IFERROR(IF(L303="Китай",K303,K303/(1+M303)),0)</f>
        <v/>
      </c>
      <c r="O303" s="169" t="n"/>
      <c r="P303" s="76">
        <f>N303*(1-O303)</f>
        <v/>
      </c>
      <c r="Q303" s="162" t="n"/>
      <c r="R303" s="162">
        <f>IF(ISBLANK(Q303),"введи курс",P303/Q303)</f>
        <v/>
      </c>
      <c r="S303" s="196">
        <f>IF(AND(ISNUMBER(E303),ISNUMBER(Q303)),E303*R303,0)</f>
        <v/>
      </c>
      <c r="T303" s="192">
        <f>$BC303*V$11</f>
        <v/>
      </c>
      <c r="U303" s="76">
        <f>$BC303*W$11</f>
        <v/>
      </c>
      <c r="V303" s="193">
        <f>+SUM(T303:U303)</f>
        <v/>
      </c>
      <c r="W303" s="191" t="n"/>
      <c r="X303" s="170" t="n"/>
      <c r="Y303" s="76">
        <f>ROUND(IF(offer_incoterms="DDP",X303*(S303*(1+AW303)+T303),0),2)</f>
        <v/>
      </c>
      <c r="Z303" s="188" t="n"/>
      <c r="AA303" s="192">
        <f>IFERROR(AB303/E303,0)</f>
        <v/>
      </c>
      <c r="AB303" s="76">
        <f>ROUND(SUM(S303,V303,Y303:Z303,BA303:BB303),2)</f>
        <v/>
      </c>
      <c r="AC303" s="797" t="n"/>
      <c r="AD303" s="192">
        <f t="array" ref="AD303">IFERROR(ROUND((_xlfn.IFS(offer_sale_type="поставка",AB303,offer_sale_type="транзит",S303)*(1+AC303))/E303,2),0)</f>
        <v/>
      </c>
      <c r="AE303" s="76">
        <f>AD303*E303</f>
        <v/>
      </c>
      <c r="AF303" s="193">
        <f t="array" ref="AF303">IFERROR(ROUND(_xlfn.IFS(offer_sale_type="поставка",AB303,offer_sale_type="транзит",S303)*AC303,2),0)</f>
        <v/>
      </c>
      <c r="AG303" s="192">
        <f>$BD303*VLOOKUP($AG$3,$AF$4:$AG$7,2,FALSE)</f>
        <v/>
      </c>
      <c r="AH303" s="76">
        <f>SUM(AE303,AG303,AI303)*rate_forex_risk</f>
        <v/>
      </c>
      <c r="AI303" s="193">
        <f>IF(OR(seller_region="TR",offer_sale_type="экспорт"),0,rate_fin_comm)*SUM(AZ303,AZ303*AW303,T303)</f>
        <v/>
      </c>
      <c r="AJ303" s="118">
        <f>IFERROR(ROUND(SUM(AB303,AF303:AI303)/E303,2),0)</f>
        <v/>
      </c>
      <c r="AK303" s="76">
        <f>AJ303*E303</f>
        <v/>
      </c>
      <c r="AL303" s="174">
        <f>ROUND(IFERROR(AM303*E303,0),2)</f>
        <v/>
      </c>
      <c r="AM303" s="175">
        <f>ROUND(AJ303*(1+IF(offer_incoterms="DDP",IF((TODAY()+offer_turnaround_time)&gt;=helpsheet!$L$17,rate_vatRU_from_26,rate_vatRu_till_25),0)),2)</f>
        <v/>
      </c>
      <c r="AN303" s="192">
        <f>AL303-AK303</f>
        <v/>
      </c>
      <c r="AO303" s="76">
        <f>SUM(AY303,Y303:Z303,T303)*IF(AND(offer_incoterms="DDP",offer_sale_type&lt;&gt;"экспорт"),IF((TODAY()+offer_turnaround_time)&gt;=helpsheet!$L$17,rate_vatRU_from_26,rate_vatRu_till_25),0)</f>
        <v/>
      </c>
      <c r="AP303" s="193">
        <f>AN303-AO303</f>
        <v/>
      </c>
      <c r="AQ303" s="118">
        <f>IF(offer_sale_type="транзит",SUM(AF303:AI303,BA303,BB303),0)</f>
        <v/>
      </c>
      <c r="AR303" s="82">
        <f>HYPERLINK("https://www.alta.ru/tnved/code/")&amp;W303&amp;"/"</f>
        <v/>
      </c>
      <c r="AS303" s="157" t="n"/>
      <c r="AT303" s="162" t="n"/>
      <c r="AU303" s="76">
        <f>IF(ISBLANK(AT303),0,AJ303-AT303)</f>
        <v/>
      </c>
      <c r="AV303" s="157" t="n"/>
      <c r="AW303" s="75">
        <f>_xlfn.IFNA(VLOOKUP(L303,list_vat[],3,FALSE),0)</f>
        <v/>
      </c>
      <c r="AX303" s="76">
        <f>IFERROR(ROUND(S303*(1+AW303)/E303,2),0)</f>
        <v/>
      </c>
      <c r="AY303" s="76">
        <f>E303*AX303</f>
        <v/>
      </c>
      <c r="AZ303" s="192">
        <f>S303*(1+M303)</f>
        <v/>
      </c>
      <c r="BA303" s="76">
        <f>cost_fin_total*$BD303</f>
        <v/>
      </c>
      <c r="BB303" s="193">
        <f>credit_sales_interest*BD303</f>
        <v/>
      </c>
      <c r="BC303" s="102">
        <f>IFERROR(IF($I$13&gt;0,$I303/$I$13,$S303/$S$13),0)</f>
        <v/>
      </c>
      <c r="BD303" s="102">
        <f>IFERROR($S303/$S$13,0)</f>
        <v/>
      </c>
      <c r="BE303" s="413" t="inlineStr">
        <is>
          <t>$</t>
        </is>
      </c>
    </row>
    <row r="304" ht="12" customFormat="1" customHeight="1" s="65">
      <c r="A304" s="43" t="n">
        <v>289</v>
      </c>
      <c r="B304" s="166" t="n"/>
      <c r="C304" s="166" t="n"/>
      <c r="D304" s="166" t="n"/>
      <c r="E304" s="162" t="n"/>
      <c r="F304" s="166" t="n"/>
      <c r="G304" s="162" t="n"/>
      <c r="H304" s="162" t="n"/>
      <c r="I304" s="189">
        <f>E304*G304</f>
        <v/>
      </c>
      <c r="J304" s="195" t="n"/>
      <c r="K304" s="162" t="n"/>
      <c r="L304" s="168" t="n"/>
      <c r="M304" s="75">
        <f>_xlfn.XLOOKUP(L304,list_vat[Страна],list_vat[Ставка НДС %],0,0)</f>
        <v/>
      </c>
      <c r="N304" s="162">
        <f>IFERROR(IF(L304="Китай",K304,K304/(1+M304)),0)</f>
        <v/>
      </c>
      <c r="O304" s="169" t="n"/>
      <c r="P304" s="76">
        <f>N304*(1-O304)</f>
        <v/>
      </c>
      <c r="Q304" s="162" t="n"/>
      <c r="R304" s="162">
        <f>IF(ISBLANK(Q304),"введи курс",P304/Q304)</f>
        <v/>
      </c>
      <c r="S304" s="196">
        <f>IF(AND(ISNUMBER(E304),ISNUMBER(Q304)),E304*R304,0)</f>
        <v/>
      </c>
      <c r="T304" s="192">
        <f>$BC304*V$11</f>
        <v/>
      </c>
      <c r="U304" s="76">
        <f>$BC304*W$11</f>
        <v/>
      </c>
      <c r="V304" s="193">
        <f>+SUM(T304:U304)</f>
        <v/>
      </c>
      <c r="W304" s="191" t="n"/>
      <c r="X304" s="170" t="n"/>
      <c r="Y304" s="76">
        <f>ROUND(IF(offer_incoterms="DDP",X304*(S304*(1+AW304)+T304),0),2)</f>
        <v/>
      </c>
      <c r="Z304" s="188" t="n"/>
      <c r="AA304" s="192">
        <f>IFERROR(AB304/E304,0)</f>
        <v/>
      </c>
      <c r="AB304" s="76">
        <f>ROUND(SUM(S304,V304,Y304:Z304,BA304:BB304),2)</f>
        <v/>
      </c>
      <c r="AC304" s="797" t="n"/>
      <c r="AD304" s="192">
        <f t="array" ref="AD304">IFERROR(ROUND((_xlfn.IFS(offer_sale_type="поставка",AB304,offer_sale_type="транзит",S304)*(1+AC304))/E304,2),0)</f>
        <v/>
      </c>
      <c r="AE304" s="76">
        <f>AD304*E304</f>
        <v/>
      </c>
      <c r="AF304" s="193">
        <f t="array" ref="AF304">IFERROR(ROUND(_xlfn.IFS(offer_sale_type="поставка",AB304,offer_sale_type="транзит",S304)*AC304,2),0)</f>
        <v/>
      </c>
      <c r="AG304" s="192">
        <f>$BD304*VLOOKUP($AG$3,$AF$4:$AG$7,2,FALSE)</f>
        <v/>
      </c>
      <c r="AH304" s="76">
        <f>SUM(AE304,AG304,AI304)*rate_forex_risk</f>
        <v/>
      </c>
      <c r="AI304" s="193">
        <f>IF(OR(seller_region="TR",offer_sale_type="экспорт"),0,rate_fin_comm)*SUM(AZ304,AZ304*AW304,T304)</f>
        <v/>
      </c>
      <c r="AJ304" s="118">
        <f>IFERROR(ROUND(SUM(AB304,AF304:AI304)/E304,2),0)</f>
        <v/>
      </c>
      <c r="AK304" s="76">
        <f>AJ304*E304</f>
        <v/>
      </c>
      <c r="AL304" s="174">
        <f>ROUND(IFERROR(AM304*E304,0),2)</f>
        <v/>
      </c>
      <c r="AM304" s="175">
        <f>ROUND(AJ304*(1+IF(offer_incoterms="DDP",IF((TODAY()+offer_turnaround_time)&gt;=helpsheet!$L$17,rate_vatRU_from_26,rate_vatRu_till_25),0)),2)</f>
        <v/>
      </c>
      <c r="AN304" s="192">
        <f>AL304-AK304</f>
        <v/>
      </c>
      <c r="AO304" s="76">
        <f>SUM(AY304,Y304:Z304,T304)*IF(AND(offer_incoterms="DDP",offer_sale_type&lt;&gt;"экспорт"),IF((TODAY()+offer_turnaround_time)&gt;=helpsheet!$L$17,rate_vatRU_from_26,rate_vatRu_till_25),0)</f>
        <v/>
      </c>
      <c r="AP304" s="193">
        <f>AN304-AO304</f>
        <v/>
      </c>
      <c r="AQ304" s="118">
        <f>IF(offer_sale_type="транзит",SUM(AF304:AI304,BA304,BB304),0)</f>
        <v/>
      </c>
      <c r="AR304" s="82">
        <f>HYPERLINK("https://www.alta.ru/tnved/code/")&amp;W304&amp;"/"</f>
        <v/>
      </c>
      <c r="AS304" s="157" t="n"/>
      <c r="AT304" s="162" t="n"/>
      <c r="AU304" s="76">
        <f>IF(ISBLANK(AT304),0,AJ304-AT304)</f>
        <v/>
      </c>
      <c r="AV304" s="157" t="n"/>
      <c r="AW304" s="75">
        <f>_xlfn.IFNA(VLOOKUP(L304,list_vat[],3,FALSE),0)</f>
        <v/>
      </c>
      <c r="AX304" s="76">
        <f>IFERROR(ROUND(S304*(1+AW304)/E304,2),0)</f>
        <v/>
      </c>
      <c r="AY304" s="76">
        <f>E304*AX304</f>
        <v/>
      </c>
      <c r="AZ304" s="192">
        <f>S304*(1+M304)</f>
        <v/>
      </c>
      <c r="BA304" s="76">
        <f>cost_fin_total*$BD304</f>
        <v/>
      </c>
      <c r="BB304" s="193">
        <f>credit_sales_interest*BD304</f>
        <v/>
      </c>
      <c r="BC304" s="102">
        <f>IFERROR(IF($I$13&gt;0,$I304/$I$13,$S304/$S$13),0)</f>
        <v/>
      </c>
      <c r="BD304" s="102">
        <f>IFERROR($S304/$S$13,0)</f>
        <v/>
      </c>
      <c r="BE304" s="413" t="inlineStr">
        <is>
          <t>$</t>
        </is>
      </c>
    </row>
    <row r="305" ht="12" customFormat="1" customHeight="1" s="65">
      <c r="A305" s="43" t="n">
        <v>290</v>
      </c>
      <c r="B305" s="166" t="n"/>
      <c r="C305" s="166" t="n"/>
      <c r="D305" s="166" t="n"/>
      <c r="E305" s="162" t="n"/>
      <c r="F305" s="166" t="n"/>
      <c r="G305" s="162" t="n"/>
      <c r="H305" s="162" t="n"/>
      <c r="I305" s="189">
        <f>E305*G305</f>
        <v/>
      </c>
      <c r="J305" s="195" t="n"/>
      <c r="K305" s="162" t="n"/>
      <c r="L305" s="168" t="n"/>
      <c r="M305" s="75">
        <f>_xlfn.XLOOKUP(L305,list_vat[Страна],list_vat[Ставка НДС %],0,0)</f>
        <v/>
      </c>
      <c r="N305" s="162">
        <f>IFERROR(IF(L305="Китай",K305,K305/(1+M305)),0)</f>
        <v/>
      </c>
      <c r="O305" s="169" t="n"/>
      <c r="P305" s="76">
        <f>N305*(1-O305)</f>
        <v/>
      </c>
      <c r="Q305" s="162" t="n"/>
      <c r="R305" s="162">
        <f>IF(ISBLANK(Q305),"введи курс",P305/Q305)</f>
        <v/>
      </c>
      <c r="S305" s="196">
        <f>IF(AND(ISNUMBER(E305),ISNUMBER(Q305)),E305*R305,0)</f>
        <v/>
      </c>
      <c r="T305" s="192">
        <f>$BC305*V$11</f>
        <v/>
      </c>
      <c r="U305" s="76">
        <f>$BC305*W$11</f>
        <v/>
      </c>
      <c r="V305" s="193">
        <f>+SUM(T305:U305)</f>
        <v/>
      </c>
      <c r="W305" s="191" t="n"/>
      <c r="X305" s="170" t="n"/>
      <c r="Y305" s="76">
        <f>ROUND(IF(offer_incoterms="DDP",X305*(S305*(1+AW305)+T305),0),2)</f>
        <v/>
      </c>
      <c r="Z305" s="188" t="n"/>
      <c r="AA305" s="192">
        <f>IFERROR(AB305/E305,0)</f>
        <v/>
      </c>
      <c r="AB305" s="76">
        <f>ROUND(SUM(S305,V305,Y305:Z305,BA305:BB305),2)</f>
        <v/>
      </c>
      <c r="AC305" s="797" t="n"/>
      <c r="AD305" s="192">
        <f t="array" ref="AD305">IFERROR(ROUND((_xlfn.IFS(offer_sale_type="поставка",AB305,offer_sale_type="транзит",S305)*(1+AC305))/E305,2),0)</f>
        <v/>
      </c>
      <c r="AE305" s="76">
        <f>AD305*E305</f>
        <v/>
      </c>
      <c r="AF305" s="193">
        <f t="array" ref="AF305">IFERROR(ROUND(_xlfn.IFS(offer_sale_type="поставка",AB305,offer_sale_type="транзит",S305)*AC305,2),0)</f>
        <v/>
      </c>
      <c r="AG305" s="192">
        <f>$BD305*VLOOKUP($AG$3,$AF$4:$AG$7,2,FALSE)</f>
        <v/>
      </c>
      <c r="AH305" s="76">
        <f>SUM(AE305,AG305,AI305)*rate_forex_risk</f>
        <v/>
      </c>
      <c r="AI305" s="193">
        <f>IF(OR(seller_region="TR",offer_sale_type="экспорт"),0,rate_fin_comm)*SUM(AZ305,AZ305*AW305,T305)</f>
        <v/>
      </c>
      <c r="AJ305" s="118">
        <f>IFERROR(ROUND(SUM(AB305,AF305:AI305)/E305,2),0)</f>
        <v/>
      </c>
      <c r="AK305" s="76">
        <f>AJ305*E305</f>
        <v/>
      </c>
      <c r="AL305" s="174">
        <f>ROUND(IFERROR(AM305*E305,0),2)</f>
        <v/>
      </c>
      <c r="AM305" s="175">
        <f>ROUND(AJ305*(1+IF(offer_incoterms="DDP",IF((TODAY()+offer_turnaround_time)&gt;=helpsheet!$L$17,rate_vatRU_from_26,rate_vatRu_till_25),0)),2)</f>
        <v/>
      </c>
      <c r="AN305" s="192">
        <f>AL305-AK305</f>
        <v/>
      </c>
      <c r="AO305" s="76">
        <f>SUM(AY305,Y305:Z305,T305)*IF(AND(offer_incoterms="DDP",offer_sale_type&lt;&gt;"экспорт"),IF((TODAY()+offer_turnaround_time)&gt;=helpsheet!$L$17,rate_vatRU_from_26,rate_vatRu_till_25),0)</f>
        <v/>
      </c>
      <c r="AP305" s="193">
        <f>AN305-AO305</f>
        <v/>
      </c>
      <c r="AQ305" s="118">
        <f>IF(offer_sale_type="транзит",SUM(AF305:AI305,BA305,BB305),0)</f>
        <v/>
      </c>
      <c r="AR305" s="82">
        <f>HYPERLINK("https://www.alta.ru/tnved/code/")&amp;W305&amp;"/"</f>
        <v/>
      </c>
      <c r="AS305" s="157" t="n"/>
      <c r="AT305" s="162" t="n"/>
      <c r="AU305" s="76">
        <f>IF(ISBLANK(AT305),0,AJ305-AT305)</f>
        <v/>
      </c>
      <c r="AV305" s="157" t="n"/>
      <c r="AW305" s="75">
        <f>_xlfn.IFNA(VLOOKUP(L305,list_vat[],3,FALSE),0)</f>
        <v/>
      </c>
      <c r="AX305" s="76">
        <f>IFERROR(ROUND(S305*(1+AW305)/E305,2),0)</f>
        <v/>
      </c>
      <c r="AY305" s="76">
        <f>E305*AX305</f>
        <v/>
      </c>
      <c r="AZ305" s="192">
        <f>S305*(1+M305)</f>
        <v/>
      </c>
      <c r="BA305" s="76">
        <f>cost_fin_total*$BD305</f>
        <v/>
      </c>
      <c r="BB305" s="193">
        <f>credit_sales_interest*BD305</f>
        <v/>
      </c>
      <c r="BC305" s="102">
        <f>IFERROR(IF($I$13&gt;0,$I305/$I$13,$S305/$S$13),0)</f>
        <v/>
      </c>
      <c r="BD305" s="102">
        <f>IFERROR($S305/$S$13,0)</f>
        <v/>
      </c>
      <c r="BE305" s="413" t="inlineStr">
        <is>
          <t>$</t>
        </is>
      </c>
    </row>
    <row r="306" ht="12" customFormat="1" customHeight="1" s="65">
      <c r="A306" s="43" t="n">
        <v>291</v>
      </c>
      <c r="B306" s="166" t="n"/>
      <c r="C306" s="166" t="n"/>
      <c r="D306" s="166" t="n"/>
      <c r="E306" s="162" t="n"/>
      <c r="F306" s="166" t="n"/>
      <c r="G306" s="162" t="n"/>
      <c r="H306" s="162" t="n"/>
      <c r="I306" s="189">
        <f>E306*G306</f>
        <v/>
      </c>
      <c r="J306" s="195" t="n"/>
      <c r="K306" s="162" t="n"/>
      <c r="L306" s="168" t="n"/>
      <c r="M306" s="75">
        <f>_xlfn.XLOOKUP(L306,list_vat[Страна],list_vat[Ставка НДС %],0,0)</f>
        <v/>
      </c>
      <c r="N306" s="162">
        <f>IFERROR(IF(L306="Китай",K306,K306/(1+M306)),0)</f>
        <v/>
      </c>
      <c r="O306" s="169" t="n"/>
      <c r="P306" s="76">
        <f>N306*(1-O306)</f>
        <v/>
      </c>
      <c r="Q306" s="162" t="n"/>
      <c r="R306" s="162">
        <f>IF(ISBLANK(Q306),"введи курс",P306/Q306)</f>
        <v/>
      </c>
      <c r="S306" s="196">
        <f>IF(AND(ISNUMBER(E306),ISNUMBER(Q306)),E306*R306,0)</f>
        <v/>
      </c>
      <c r="T306" s="192">
        <f>$BC306*V$11</f>
        <v/>
      </c>
      <c r="U306" s="76">
        <f>$BC306*W$11</f>
        <v/>
      </c>
      <c r="V306" s="193">
        <f>+SUM(T306:U306)</f>
        <v/>
      </c>
      <c r="W306" s="191" t="n"/>
      <c r="X306" s="170" t="n"/>
      <c r="Y306" s="76">
        <f>ROUND(IF(offer_incoterms="DDP",X306*(S306*(1+AW306)+T306),0),2)</f>
        <v/>
      </c>
      <c r="Z306" s="188" t="n"/>
      <c r="AA306" s="192">
        <f>IFERROR(AB306/E306,0)</f>
        <v/>
      </c>
      <c r="AB306" s="76">
        <f>ROUND(SUM(S306,V306,Y306:Z306,BA306:BB306),2)</f>
        <v/>
      </c>
      <c r="AC306" s="797" t="n"/>
      <c r="AD306" s="192">
        <f t="array" ref="AD306">IFERROR(ROUND((_xlfn.IFS(offer_sale_type="поставка",AB306,offer_sale_type="транзит",S306)*(1+AC306))/E306,2),0)</f>
        <v/>
      </c>
      <c r="AE306" s="76">
        <f>AD306*E306</f>
        <v/>
      </c>
      <c r="AF306" s="193">
        <f t="array" ref="AF306">IFERROR(ROUND(_xlfn.IFS(offer_sale_type="поставка",AB306,offer_sale_type="транзит",S306)*AC306,2),0)</f>
        <v/>
      </c>
      <c r="AG306" s="192">
        <f>$BD306*VLOOKUP($AG$3,$AF$4:$AG$7,2,FALSE)</f>
        <v/>
      </c>
      <c r="AH306" s="76">
        <f>SUM(AE306,AG306,AI306)*rate_forex_risk</f>
        <v/>
      </c>
      <c r="AI306" s="193">
        <f>IF(OR(seller_region="TR",offer_sale_type="экспорт"),0,rate_fin_comm)*SUM(AZ306,AZ306*AW306,T306)</f>
        <v/>
      </c>
      <c r="AJ306" s="118">
        <f>IFERROR(ROUND(SUM(AB306,AF306:AI306)/E306,2),0)</f>
        <v/>
      </c>
      <c r="AK306" s="76">
        <f>AJ306*E306</f>
        <v/>
      </c>
      <c r="AL306" s="174">
        <f>ROUND(IFERROR(AM306*E306,0),2)</f>
        <v/>
      </c>
      <c r="AM306" s="175">
        <f>ROUND(AJ306*(1+IF(offer_incoterms="DDP",IF((TODAY()+offer_turnaround_time)&gt;=helpsheet!$L$17,rate_vatRU_from_26,rate_vatRu_till_25),0)),2)</f>
        <v/>
      </c>
      <c r="AN306" s="192">
        <f>AL306-AK306</f>
        <v/>
      </c>
      <c r="AO306" s="76">
        <f>SUM(AY306,Y306:Z306,T306)*IF(AND(offer_incoterms="DDP",offer_sale_type&lt;&gt;"экспорт"),IF((TODAY()+offer_turnaround_time)&gt;=helpsheet!$L$17,rate_vatRU_from_26,rate_vatRu_till_25),0)</f>
        <v/>
      </c>
      <c r="AP306" s="193">
        <f>AN306-AO306</f>
        <v/>
      </c>
      <c r="AQ306" s="118">
        <f>IF(offer_sale_type="транзит",SUM(AF306:AI306,BA306,BB306),0)</f>
        <v/>
      </c>
      <c r="AR306" s="82">
        <f>HYPERLINK("https://www.alta.ru/tnved/code/")&amp;W306&amp;"/"</f>
        <v/>
      </c>
      <c r="AS306" s="157" t="n"/>
      <c r="AT306" s="162" t="n"/>
      <c r="AU306" s="76">
        <f>IF(ISBLANK(AT306),0,AJ306-AT306)</f>
        <v/>
      </c>
      <c r="AV306" s="157" t="n"/>
      <c r="AW306" s="75">
        <f>_xlfn.IFNA(VLOOKUP(L306,list_vat[],3,FALSE),0)</f>
        <v/>
      </c>
      <c r="AX306" s="76">
        <f>IFERROR(ROUND(S306*(1+AW306)/E306,2),0)</f>
        <v/>
      </c>
      <c r="AY306" s="76">
        <f>E306*AX306</f>
        <v/>
      </c>
      <c r="AZ306" s="192">
        <f>S306*(1+M306)</f>
        <v/>
      </c>
      <c r="BA306" s="76">
        <f>cost_fin_total*$BD306</f>
        <v/>
      </c>
      <c r="BB306" s="193">
        <f>credit_sales_interest*BD306</f>
        <v/>
      </c>
      <c r="BC306" s="102">
        <f>IFERROR(IF($I$13&gt;0,$I306/$I$13,$S306/$S$13),0)</f>
        <v/>
      </c>
      <c r="BD306" s="102">
        <f>IFERROR($S306/$S$13,0)</f>
        <v/>
      </c>
      <c r="BE306" s="413" t="inlineStr">
        <is>
          <t>$</t>
        </is>
      </c>
    </row>
    <row r="307" ht="12" customFormat="1" customHeight="1" s="65">
      <c r="A307" s="43" t="n">
        <v>292</v>
      </c>
      <c r="B307" s="166" t="n"/>
      <c r="C307" s="166" t="n"/>
      <c r="D307" s="166" t="n"/>
      <c r="E307" s="162" t="n"/>
      <c r="F307" s="166" t="n"/>
      <c r="G307" s="162" t="n"/>
      <c r="H307" s="162" t="n"/>
      <c r="I307" s="189">
        <f>E307*G307</f>
        <v/>
      </c>
      <c r="J307" s="195" t="n"/>
      <c r="K307" s="162" t="n"/>
      <c r="L307" s="168" t="n"/>
      <c r="M307" s="75">
        <f>_xlfn.XLOOKUP(L307,list_vat[Страна],list_vat[Ставка НДС %],0,0)</f>
        <v/>
      </c>
      <c r="N307" s="162">
        <f>IFERROR(IF(L307="Китай",K307,K307/(1+M307)),0)</f>
        <v/>
      </c>
      <c r="O307" s="169" t="n"/>
      <c r="P307" s="76">
        <f>N307*(1-O307)</f>
        <v/>
      </c>
      <c r="Q307" s="162" t="n"/>
      <c r="R307" s="162">
        <f>IF(ISBLANK(Q307),"введи курс",P307/Q307)</f>
        <v/>
      </c>
      <c r="S307" s="196">
        <f>IF(AND(ISNUMBER(E307),ISNUMBER(Q307)),E307*R307,0)</f>
        <v/>
      </c>
      <c r="T307" s="192">
        <f>$BC307*V$11</f>
        <v/>
      </c>
      <c r="U307" s="76">
        <f>$BC307*W$11</f>
        <v/>
      </c>
      <c r="V307" s="193">
        <f>+SUM(T307:U307)</f>
        <v/>
      </c>
      <c r="W307" s="191" t="n"/>
      <c r="X307" s="170" t="n"/>
      <c r="Y307" s="76">
        <f>ROUND(IF(offer_incoterms="DDP",X307*(S307*(1+AW307)+T307),0),2)</f>
        <v/>
      </c>
      <c r="Z307" s="188" t="n"/>
      <c r="AA307" s="192">
        <f>IFERROR(AB307/E307,0)</f>
        <v/>
      </c>
      <c r="AB307" s="76">
        <f>ROUND(SUM(S307,V307,Y307:Z307,BA307:BB307),2)</f>
        <v/>
      </c>
      <c r="AC307" s="797" t="n"/>
      <c r="AD307" s="192">
        <f t="array" ref="AD307">IFERROR(ROUND((_xlfn.IFS(offer_sale_type="поставка",AB307,offer_sale_type="транзит",S307)*(1+AC307))/E307,2),0)</f>
        <v/>
      </c>
      <c r="AE307" s="76">
        <f>AD307*E307</f>
        <v/>
      </c>
      <c r="AF307" s="193">
        <f t="array" ref="AF307">IFERROR(ROUND(_xlfn.IFS(offer_sale_type="поставка",AB307,offer_sale_type="транзит",S307)*AC307,2),0)</f>
        <v/>
      </c>
      <c r="AG307" s="192">
        <f>$BD307*VLOOKUP($AG$3,$AF$4:$AG$7,2,FALSE)</f>
        <v/>
      </c>
      <c r="AH307" s="76">
        <f>SUM(AE307,AG307,AI307)*rate_forex_risk</f>
        <v/>
      </c>
      <c r="AI307" s="193">
        <f>IF(OR(seller_region="TR",offer_sale_type="экспорт"),0,rate_fin_comm)*SUM(AZ307,AZ307*AW307,T307)</f>
        <v/>
      </c>
      <c r="AJ307" s="118">
        <f>IFERROR(ROUND(SUM(AB307,AF307:AI307)/E307,2),0)</f>
        <v/>
      </c>
      <c r="AK307" s="76">
        <f>AJ307*E307</f>
        <v/>
      </c>
      <c r="AL307" s="174">
        <f>ROUND(IFERROR(AM307*E307,0),2)</f>
        <v/>
      </c>
      <c r="AM307" s="175">
        <f>ROUND(AJ307*(1+IF(offer_incoterms="DDP",IF((TODAY()+offer_turnaround_time)&gt;=helpsheet!$L$17,rate_vatRU_from_26,rate_vatRu_till_25),0)),2)</f>
        <v/>
      </c>
      <c r="AN307" s="192">
        <f>AL307-AK307</f>
        <v/>
      </c>
      <c r="AO307" s="76">
        <f>SUM(AY307,Y307:Z307,T307)*IF(AND(offer_incoterms="DDP",offer_sale_type&lt;&gt;"экспорт"),IF((TODAY()+offer_turnaround_time)&gt;=helpsheet!$L$17,rate_vatRU_from_26,rate_vatRu_till_25),0)</f>
        <v/>
      </c>
      <c r="AP307" s="193">
        <f>AN307-AO307</f>
        <v/>
      </c>
      <c r="AQ307" s="118">
        <f>IF(offer_sale_type="транзит",SUM(AF307:AI307,BA307,BB307),0)</f>
        <v/>
      </c>
      <c r="AR307" s="82">
        <f>HYPERLINK("https://www.alta.ru/tnved/code/")&amp;W307&amp;"/"</f>
        <v/>
      </c>
      <c r="AS307" s="157" t="n"/>
      <c r="AT307" s="162" t="n"/>
      <c r="AU307" s="76">
        <f>IF(ISBLANK(AT307),0,AJ307-AT307)</f>
        <v/>
      </c>
      <c r="AV307" s="157" t="n"/>
      <c r="AW307" s="75">
        <f>_xlfn.IFNA(VLOOKUP(L307,list_vat[],3,FALSE),0)</f>
        <v/>
      </c>
      <c r="AX307" s="76">
        <f>IFERROR(ROUND(S307*(1+AW307)/E307,2),0)</f>
        <v/>
      </c>
      <c r="AY307" s="76">
        <f>E307*AX307</f>
        <v/>
      </c>
      <c r="AZ307" s="192">
        <f>S307*(1+M307)</f>
        <v/>
      </c>
      <c r="BA307" s="76">
        <f>cost_fin_total*$BD307</f>
        <v/>
      </c>
      <c r="BB307" s="193">
        <f>credit_sales_interest*BD307</f>
        <v/>
      </c>
      <c r="BC307" s="102">
        <f>IFERROR(IF($I$13&gt;0,$I307/$I$13,$S307/$S$13),0)</f>
        <v/>
      </c>
      <c r="BD307" s="102">
        <f>IFERROR($S307/$S$13,0)</f>
        <v/>
      </c>
      <c r="BE307" s="413" t="inlineStr">
        <is>
          <t>$</t>
        </is>
      </c>
    </row>
    <row r="308" ht="12" customFormat="1" customHeight="1" s="65">
      <c r="A308" s="43" t="n">
        <v>293</v>
      </c>
      <c r="B308" s="166" t="n"/>
      <c r="C308" s="166" t="n"/>
      <c r="D308" s="166" t="n"/>
      <c r="E308" s="162" t="n"/>
      <c r="F308" s="166" t="n"/>
      <c r="G308" s="162" t="n"/>
      <c r="H308" s="162" t="n"/>
      <c r="I308" s="189">
        <f>E308*G308</f>
        <v/>
      </c>
      <c r="J308" s="195" t="n"/>
      <c r="K308" s="162" t="n"/>
      <c r="L308" s="168" t="n"/>
      <c r="M308" s="75">
        <f>_xlfn.XLOOKUP(L308,list_vat[Страна],list_vat[Ставка НДС %],0,0)</f>
        <v/>
      </c>
      <c r="N308" s="162">
        <f>IFERROR(IF(L308="Китай",K308,K308/(1+M308)),0)</f>
        <v/>
      </c>
      <c r="O308" s="169" t="n"/>
      <c r="P308" s="76">
        <f>N308*(1-O308)</f>
        <v/>
      </c>
      <c r="Q308" s="162" t="n"/>
      <c r="R308" s="162">
        <f>IF(ISBLANK(Q308),"введи курс",P308/Q308)</f>
        <v/>
      </c>
      <c r="S308" s="196">
        <f>IF(AND(ISNUMBER(E308),ISNUMBER(Q308)),E308*R308,0)</f>
        <v/>
      </c>
      <c r="T308" s="192">
        <f>$BC308*V$11</f>
        <v/>
      </c>
      <c r="U308" s="76">
        <f>$BC308*W$11</f>
        <v/>
      </c>
      <c r="V308" s="193">
        <f>+SUM(T308:U308)</f>
        <v/>
      </c>
      <c r="W308" s="191" t="n"/>
      <c r="X308" s="170" t="n"/>
      <c r="Y308" s="76">
        <f>ROUND(IF(offer_incoterms="DDP",X308*(S308*(1+AW308)+T308),0),2)</f>
        <v/>
      </c>
      <c r="Z308" s="188" t="n"/>
      <c r="AA308" s="192">
        <f>IFERROR(AB308/E308,0)</f>
        <v/>
      </c>
      <c r="AB308" s="76">
        <f>ROUND(SUM(S308,V308,Y308:Z308,BA308:BB308),2)</f>
        <v/>
      </c>
      <c r="AC308" s="797" t="n"/>
      <c r="AD308" s="192">
        <f t="array" ref="AD308">IFERROR(ROUND((_xlfn.IFS(offer_sale_type="поставка",AB308,offer_sale_type="транзит",S308)*(1+AC308))/E308,2),0)</f>
        <v/>
      </c>
      <c r="AE308" s="76">
        <f>AD308*E308</f>
        <v/>
      </c>
      <c r="AF308" s="193">
        <f t="array" ref="AF308">IFERROR(ROUND(_xlfn.IFS(offer_sale_type="поставка",AB308,offer_sale_type="транзит",S308)*AC308,2),0)</f>
        <v/>
      </c>
      <c r="AG308" s="192">
        <f>$BD308*VLOOKUP($AG$3,$AF$4:$AG$7,2,FALSE)</f>
        <v/>
      </c>
      <c r="AH308" s="76">
        <f>SUM(AE308,AG308,AI308)*rate_forex_risk</f>
        <v/>
      </c>
      <c r="AI308" s="193">
        <f>IF(OR(seller_region="TR",offer_sale_type="экспорт"),0,rate_fin_comm)*SUM(AZ308,AZ308*AW308,T308)</f>
        <v/>
      </c>
      <c r="AJ308" s="118">
        <f>IFERROR(ROUND(SUM(AB308,AF308:AI308)/E308,2),0)</f>
        <v/>
      </c>
      <c r="AK308" s="76">
        <f>AJ308*E308</f>
        <v/>
      </c>
      <c r="AL308" s="174">
        <f>ROUND(IFERROR(AM308*E308,0),2)</f>
        <v/>
      </c>
      <c r="AM308" s="175">
        <f>ROUND(AJ308*(1+IF(offer_incoterms="DDP",IF((TODAY()+offer_turnaround_time)&gt;=helpsheet!$L$17,rate_vatRU_from_26,rate_vatRu_till_25),0)),2)</f>
        <v/>
      </c>
      <c r="AN308" s="192">
        <f>AL308-AK308</f>
        <v/>
      </c>
      <c r="AO308" s="76">
        <f>SUM(AY308,Y308:Z308,T308)*IF(AND(offer_incoterms="DDP",offer_sale_type&lt;&gt;"экспорт"),IF((TODAY()+offer_turnaround_time)&gt;=helpsheet!$L$17,rate_vatRU_from_26,rate_vatRu_till_25),0)</f>
        <v/>
      </c>
      <c r="AP308" s="193">
        <f>AN308-AO308</f>
        <v/>
      </c>
      <c r="AQ308" s="118">
        <f>IF(offer_sale_type="транзит",SUM(AF308:AI308,BA308,BB308),0)</f>
        <v/>
      </c>
      <c r="AR308" s="82">
        <f>HYPERLINK("https://www.alta.ru/tnved/code/")&amp;W308&amp;"/"</f>
        <v/>
      </c>
      <c r="AS308" s="157" t="n"/>
      <c r="AT308" s="162" t="n"/>
      <c r="AU308" s="76">
        <f>IF(ISBLANK(AT308),0,AJ308-AT308)</f>
        <v/>
      </c>
      <c r="AV308" s="157" t="n"/>
      <c r="AW308" s="75">
        <f>_xlfn.IFNA(VLOOKUP(L308,list_vat[],3,FALSE),0)</f>
        <v/>
      </c>
      <c r="AX308" s="76">
        <f>IFERROR(ROUND(S308*(1+AW308)/E308,2),0)</f>
        <v/>
      </c>
      <c r="AY308" s="76">
        <f>E308*AX308</f>
        <v/>
      </c>
      <c r="AZ308" s="192">
        <f>S308*(1+M308)</f>
        <v/>
      </c>
      <c r="BA308" s="76">
        <f>cost_fin_total*$BD308</f>
        <v/>
      </c>
      <c r="BB308" s="193">
        <f>credit_sales_interest*BD308</f>
        <v/>
      </c>
      <c r="BC308" s="102">
        <f>IFERROR(IF($I$13&gt;0,$I308/$I$13,$S308/$S$13),0)</f>
        <v/>
      </c>
      <c r="BD308" s="102">
        <f>IFERROR($S308/$S$13,0)</f>
        <v/>
      </c>
      <c r="BE308" s="413" t="inlineStr">
        <is>
          <t>$</t>
        </is>
      </c>
    </row>
    <row r="309" ht="12" customFormat="1" customHeight="1" s="65">
      <c r="A309" s="43" t="n">
        <v>294</v>
      </c>
      <c r="B309" s="166" t="n"/>
      <c r="C309" s="166" t="n"/>
      <c r="D309" s="166" t="n"/>
      <c r="E309" s="162" t="n"/>
      <c r="F309" s="166" t="n"/>
      <c r="G309" s="162" t="n"/>
      <c r="H309" s="162" t="n"/>
      <c r="I309" s="189">
        <f>E309*G309</f>
        <v/>
      </c>
      <c r="J309" s="195" t="n"/>
      <c r="K309" s="162" t="n"/>
      <c r="L309" s="168" t="n"/>
      <c r="M309" s="75">
        <f>_xlfn.XLOOKUP(L309,list_vat[Страна],list_vat[Ставка НДС %],0,0)</f>
        <v/>
      </c>
      <c r="N309" s="162">
        <f>IFERROR(IF(L309="Китай",K309,K309/(1+M309)),0)</f>
        <v/>
      </c>
      <c r="O309" s="169" t="n"/>
      <c r="P309" s="76">
        <f>N309*(1-O309)</f>
        <v/>
      </c>
      <c r="Q309" s="162" t="n"/>
      <c r="R309" s="162">
        <f>IF(ISBLANK(Q309),"введи курс",P309/Q309)</f>
        <v/>
      </c>
      <c r="S309" s="196">
        <f>IF(AND(ISNUMBER(E309),ISNUMBER(Q309)),E309*R309,0)</f>
        <v/>
      </c>
      <c r="T309" s="192">
        <f>$BC309*V$11</f>
        <v/>
      </c>
      <c r="U309" s="76">
        <f>$BC309*W$11</f>
        <v/>
      </c>
      <c r="V309" s="193">
        <f>+SUM(T309:U309)</f>
        <v/>
      </c>
      <c r="W309" s="191" t="n"/>
      <c r="X309" s="170" t="n"/>
      <c r="Y309" s="76">
        <f>ROUND(IF(offer_incoterms="DDP",X309*(S309*(1+AW309)+T309),0),2)</f>
        <v/>
      </c>
      <c r="Z309" s="188" t="n"/>
      <c r="AA309" s="192">
        <f>IFERROR(AB309/E309,0)</f>
        <v/>
      </c>
      <c r="AB309" s="76">
        <f>ROUND(SUM(S309,V309,Y309:Z309,BA309:BB309),2)</f>
        <v/>
      </c>
      <c r="AC309" s="797" t="n"/>
      <c r="AD309" s="192">
        <f t="array" ref="AD309">IFERROR(ROUND((_xlfn.IFS(offer_sale_type="поставка",AB309,offer_sale_type="транзит",S309)*(1+AC309))/E309,2),0)</f>
        <v/>
      </c>
      <c r="AE309" s="76">
        <f>AD309*E309</f>
        <v/>
      </c>
      <c r="AF309" s="193">
        <f t="array" ref="AF309">IFERROR(ROUND(_xlfn.IFS(offer_sale_type="поставка",AB309,offer_sale_type="транзит",S309)*AC309,2),0)</f>
        <v/>
      </c>
      <c r="AG309" s="192">
        <f>$BD309*VLOOKUP($AG$3,$AF$4:$AG$7,2,FALSE)</f>
        <v/>
      </c>
      <c r="AH309" s="76">
        <f>SUM(AE309,AG309,AI309)*rate_forex_risk</f>
        <v/>
      </c>
      <c r="AI309" s="193">
        <f>IF(OR(seller_region="TR",offer_sale_type="экспорт"),0,rate_fin_comm)*SUM(AZ309,AZ309*AW309,T309)</f>
        <v/>
      </c>
      <c r="AJ309" s="118">
        <f>IFERROR(ROUND(SUM(AB309,AF309:AI309)/E309,2),0)</f>
        <v/>
      </c>
      <c r="AK309" s="76">
        <f>AJ309*E309</f>
        <v/>
      </c>
      <c r="AL309" s="174">
        <f>ROUND(IFERROR(AM309*E309,0),2)</f>
        <v/>
      </c>
      <c r="AM309" s="175">
        <f>ROUND(AJ309*(1+IF(offer_incoterms="DDP",IF((TODAY()+offer_turnaround_time)&gt;=helpsheet!$L$17,rate_vatRU_from_26,rate_vatRu_till_25),0)),2)</f>
        <v/>
      </c>
      <c r="AN309" s="192">
        <f>AL309-AK309</f>
        <v/>
      </c>
      <c r="AO309" s="76">
        <f>SUM(AY309,Y309:Z309,T309)*IF(AND(offer_incoterms="DDP",offer_sale_type&lt;&gt;"экспорт"),IF((TODAY()+offer_turnaround_time)&gt;=helpsheet!$L$17,rate_vatRU_from_26,rate_vatRu_till_25),0)</f>
        <v/>
      </c>
      <c r="AP309" s="193">
        <f>AN309-AO309</f>
        <v/>
      </c>
      <c r="AQ309" s="118">
        <f>IF(offer_sale_type="транзит",SUM(AF309:AI309,BA309,BB309),0)</f>
        <v/>
      </c>
      <c r="AR309" s="82">
        <f>HYPERLINK("https://www.alta.ru/tnved/code/")&amp;W309&amp;"/"</f>
        <v/>
      </c>
      <c r="AS309" s="157" t="n"/>
      <c r="AT309" s="162" t="n"/>
      <c r="AU309" s="76">
        <f>IF(ISBLANK(AT309),0,AJ309-AT309)</f>
        <v/>
      </c>
      <c r="AV309" s="157" t="n"/>
      <c r="AW309" s="75">
        <f>_xlfn.IFNA(VLOOKUP(L309,list_vat[],3,FALSE),0)</f>
        <v/>
      </c>
      <c r="AX309" s="76">
        <f>IFERROR(ROUND(S309*(1+AW309)/E309,2),0)</f>
        <v/>
      </c>
      <c r="AY309" s="76">
        <f>E309*AX309</f>
        <v/>
      </c>
      <c r="AZ309" s="192">
        <f>S309*(1+M309)</f>
        <v/>
      </c>
      <c r="BA309" s="76">
        <f>cost_fin_total*$BD309</f>
        <v/>
      </c>
      <c r="BB309" s="193">
        <f>credit_sales_interest*BD309</f>
        <v/>
      </c>
      <c r="BC309" s="102">
        <f>IFERROR(IF($I$13&gt;0,$I309/$I$13,$S309/$S$13),0)</f>
        <v/>
      </c>
      <c r="BD309" s="102">
        <f>IFERROR($S309/$S$13,0)</f>
        <v/>
      </c>
      <c r="BE309" s="413" t="inlineStr">
        <is>
          <t>$</t>
        </is>
      </c>
    </row>
    <row r="310" ht="12" customFormat="1" customHeight="1" s="65">
      <c r="A310" s="43" t="n">
        <v>295</v>
      </c>
      <c r="B310" s="166" t="n"/>
      <c r="C310" s="166" t="n"/>
      <c r="D310" s="166" t="n"/>
      <c r="E310" s="162" t="n"/>
      <c r="F310" s="166" t="n"/>
      <c r="G310" s="162" t="n"/>
      <c r="H310" s="162" t="n"/>
      <c r="I310" s="189">
        <f>E310*G310</f>
        <v/>
      </c>
      <c r="J310" s="195" t="n"/>
      <c r="K310" s="162" t="n"/>
      <c r="L310" s="168" t="n"/>
      <c r="M310" s="75">
        <f>_xlfn.XLOOKUP(L310,list_vat[Страна],list_vat[Ставка НДС %],0,0)</f>
        <v/>
      </c>
      <c r="N310" s="162">
        <f>IFERROR(IF(L310="Китай",K310,K310/(1+M310)),0)</f>
        <v/>
      </c>
      <c r="O310" s="169" t="n"/>
      <c r="P310" s="76">
        <f>N310*(1-O310)</f>
        <v/>
      </c>
      <c r="Q310" s="162" t="n"/>
      <c r="R310" s="162">
        <f>IF(ISBLANK(Q310),"введи курс",P310/Q310)</f>
        <v/>
      </c>
      <c r="S310" s="196">
        <f>IF(AND(ISNUMBER(E310),ISNUMBER(Q310)),E310*R310,0)</f>
        <v/>
      </c>
      <c r="T310" s="192">
        <f>$BC310*V$11</f>
        <v/>
      </c>
      <c r="U310" s="76">
        <f>$BC310*W$11</f>
        <v/>
      </c>
      <c r="V310" s="193">
        <f>+SUM(T310:U310)</f>
        <v/>
      </c>
      <c r="W310" s="191" t="n"/>
      <c r="X310" s="170" t="n"/>
      <c r="Y310" s="76">
        <f>ROUND(IF(offer_incoterms="DDP",X310*(S310*(1+AW310)+T310),0),2)</f>
        <v/>
      </c>
      <c r="Z310" s="188" t="n"/>
      <c r="AA310" s="192">
        <f>IFERROR(AB310/E310,0)</f>
        <v/>
      </c>
      <c r="AB310" s="76">
        <f>ROUND(SUM(S310,V310,Y310:Z310,BA310:BB310),2)</f>
        <v/>
      </c>
      <c r="AC310" s="797" t="n"/>
      <c r="AD310" s="192">
        <f t="array" ref="AD310">IFERROR(ROUND((_xlfn.IFS(offer_sale_type="поставка",AB310,offer_sale_type="транзит",S310)*(1+AC310))/E310,2),0)</f>
        <v/>
      </c>
      <c r="AE310" s="76">
        <f>AD310*E310</f>
        <v/>
      </c>
      <c r="AF310" s="193">
        <f t="array" ref="AF310">IFERROR(ROUND(_xlfn.IFS(offer_sale_type="поставка",AB310,offer_sale_type="транзит",S310)*AC310,2),0)</f>
        <v/>
      </c>
      <c r="AG310" s="192">
        <f>$BD310*VLOOKUP($AG$3,$AF$4:$AG$7,2,FALSE)</f>
        <v/>
      </c>
      <c r="AH310" s="76">
        <f>SUM(AE310,AG310,AI310)*rate_forex_risk</f>
        <v/>
      </c>
      <c r="AI310" s="193">
        <f>IF(OR(seller_region="TR",offer_sale_type="экспорт"),0,rate_fin_comm)*SUM(AZ310,AZ310*AW310,T310)</f>
        <v/>
      </c>
      <c r="AJ310" s="118">
        <f>IFERROR(ROUND(SUM(AB310,AF310:AI310)/E310,2),0)</f>
        <v/>
      </c>
      <c r="AK310" s="76">
        <f>AJ310*E310</f>
        <v/>
      </c>
      <c r="AL310" s="174">
        <f>ROUND(IFERROR(AM310*E310,0),2)</f>
        <v/>
      </c>
      <c r="AM310" s="175">
        <f>ROUND(AJ310*(1+IF(offer_incoterms="DDP",IF((TODAY()+offer_turnaround_time)&gt;=helpsheet!$L$17,rate_vatRU_from_26,rate_vatRu_till_25),0)),2)</f>
        <v/>
      </c>
      <c r="AN310" s="192">
        <f>AL310-AK310</f>
        <v/>
      </c>
      <c r="AO310" s="76">
        <f>SUM(AY310,Y310:Z310,T310)*IF(AND(offer_incoterms="DDP",offer_sale_type&lt;&gt;"экспорт"),IF((TODAY()+offer_turnaround_time)&gt;=helpsheet!$L$17,rate_vatRU_from_26,rate_vatRu_till_25),0)</f>
        <v/>
      </c>
      <c r="AP310" s="193">
        <f>AN310-AO310</f>
        <v/>
      </c>
      <c r="AQ310" s="118">
        <f>IF(offer_sale_type="транзит",SUM(AF310:AI310,BA310,BB310),0)</f>
        <v/>
      </c>
      <c r="AR310" s="82">
        <f>HYPERLINK("https://www.alta.ru/tnved/code/")&amp;W310&amp;"/"</f>
        <v/>
      </c>
      <c r="AS310" s="157" t="n"/>
      <c r="AT310" s="162" t="n"/>
      <c r="AU310" s="76">
        <f>IF(ISBLANK(AT310),0,AJ310-AT310)</f>
        <v/>
      </c>
      <c r="AV310" s="157" t="n"/>
      <c r="AW310" s="75">
        <f>_xlfn.IFNA(VLOOKUP(L310,list_vat[],3,FALSE),0)</f>
        <v/>
      </c>
      <c r="AX310" s="76">
        <f>IFERROR(ROUND(S310*(1+AW310)/E310,2),0)</f>
        <v/>
      </c>
      <c r="AY310" s="76">
        <f>E310*AX310</f>
        <v/>
      </c>
      <c r="AZ310" s="192">
        <f>S310*(1+M310)</f>
        <v/>
      </c>
      <c r="BA310" s="76">
        <f>cost_fin_total*$BD310</f>
        <v/>
      </c>
      <c r="BB310" s="193">
        <f>credit_sales_interest*BD310</f>
        <v/>
      </c>
      <c r="BC310" s="102">
        <f>IFERROR(IF($I$13&gt;0,$I310/$I$13,$S310/$S$13),0)</f>
        <v/>
      </c>
      <c r="BD310" s="102">
        <f>IFERROR($S310/$S$13,0)</f>
        <v/>
      </c>
      <c r="BE310" s="413" t="inlineStr">
        <is>
          <t>$</t>
        </is>
      </c>
    </row>
    <row r="311" ht="12" customFormat="1" customHeight="1" s="65">
      <c r="A311" s="43" t="n">
        <v>296</v>
      </c>
      <c r="B311" s="166" t="n"/>
      <c r="C311" s="166" t="n"/>
      <c r="D311" s="166" t="n"/>
      <c r="E311" s="162" t="n"/>
      <c r="F311" s="166" t="n"/>
      <c r="G311" s="162" t="n"/>
      <c r="H311" s="162" t="n"/>
      <c r="I311" s="189">
        <f>E311*G311</f>
        <v/>
      </c>
      <c r="J311" s="195" t="n"/>
      <c r="K311" s="162" t="n"/>
      <c r="L311" s="168" t="n"/>
      <c r="M311" s="75">
        <f>_xlfn.XLOOKUP(L311,list_vat[Страна],list_vat[Ставка НДС %],0,0)</f>
        <v/>
      </c>
      <c r="N311" s="162">
        <f>IFERROR(IF(L311="Китай",K311,K311/(1+M311)),0)</f>
        <v/>
      </c>
      <c r="O311" s="169" t="n"/>
      <c r="P311" s="76">
        <f>N311*(1-O311)</f>
        <v/>
      </c>
      <c r="Q311" s="162" t="n"/>
      <c r="R311" s="162">
        <f>IF(ISBLANK(Q311),"введи курс",P311/Q311)</f>
        <v/>
      </c>
      <c r="S311" s="196">
        <f>IF(AND(ISNUMBER(E311),ISNUMBER(Q311)),E311*R311,0)</f>
        <v/>
      </c>
      <c r="T311" s="192">
        <f>$BC311*V$11</f>
        <v/>
      </c>
      <c r="U311" s="76">
        <f>$BC311*W$11</f>
        <v/>
      </c>
      <c r="V311" s="193">
        <f>+SUM(T311:U311)</f>
        <v/>
      </c>
      <c r="W311" s="191" t="n"/>
      <c r="X311" s="170" t="n"/>
      <c r="Y311" s="76">
        <f>ROUND(IF(offer_incoterms="DDP",X311*(S311*(1+AW311)+T311),0),2)</f>
        <v/>
      </c>
      <c r="Z311" s="188" t="n"/>
      <c r="AA311" s="192">
        <f>IFERROR(AB311/E311,0)</f>
        <v/>
      </c>
      <c r="AB311" s="76">
        <f>ROUND(SUM(S311,V311,Y311:Z311,BA311:BB311),2)</f>
        <v/>
      </c>
      <c r="AC311" s="797" t="n"/>
      <c r="AD311" s="192">
        <f t="array" ref="AD311">IFERROR(ROUND((_xlfn.IFS(offer_sale_type="поставка",AB311,offer_sale_type="транзит",S311)*(1+AC311))/E311,2),0)</f>
        <v/>
      </c>
      <c r="AE311" s="76">
        <f>AD311*E311</f>
        <v/>
      </c>
      <c r="AF311" s="193">
        <f t="array" ref="AF311">IFERROR(ROUND(_xlfn.IFS(offer_sale_type="поставка",AB311,offer_sale_type="транзит",S311)*AC311,2),0)</f>
        <v/>
      </c>
      <c r="AG311" s="192">
        <f>$BD311*VLOOKUP($AG$3,$AF$4:$AG$7,2,FALSE)</f>
        <v/>
      </c>
      <c r="AH311" s="76">
        <f>SUM(AE311,AG311,AI311)*rate_forex_risk</f>
        <v/>
      </c>
      <c r="AI311" s="193">
        <f>IF(OR(seller_region="TR",offer_sale_type="экспорт"),0,rate_fin_comm)*SUM(AZ311,AZ311*AW311,T311)</f>
        <v/>
      </c>
      <c r="AJ311" s="118">
        <f>IFERROR(ROUND(SUM(AB311,AF311:AI311)/E311,2),0)</f>
        <v/>
      </c>
      <c r="AK311" s="76">
        <f>AJ311*E311</f>
        <v/>
      </c>
      <c r="AL311" s="174">
        <f>ROUND(IFERROR(AM311*E311,0),2)</f>
        <v/>
      </c>
      <c r="AM311" s="175">
        <f>ROUND(AJ311*(1+IF(offer_incoterms="DDP",IF((TODAY()+offer_turnaround_time)&gt;=helpsheet!$L$17,rate_vatRU_from_26,rate_vatRu_till_25),0)),2)</f>
        <v/>
      </c>
      <c r="AN311" s="192">
        <f>AL311-AK311</f>
        <v/>
      </c>
      <c r="AO311" s="76">
        <f>SUM(AY311,Y311:Z311,T311)*IF(AND(offer_incoterms="DDP",offer_sale_type&lt;&gt;"экспорт"),IF((TODAY()+offer_turnaround_time)&gt;=helpsheet!$L$17,rate_vatRU_from_26,rate_vatRu_till_25),0)</f>
        <v/>
      </c>
      <c r="AP311" s="193">
        <f>AN311-AO311</f>
        <v/>
      </c>
      <c r="AQ311" s="118">
        <f>IF(offer_sale_type="транзит",SUM(AF311:AI311,BA311,BB311),0)</f>
        <v/>
      </c>
      <c r="AR311" s="82">
        <f>HYPERLINK("https://www.alta.ru/tnved/code/")&amp;W311&amp;"/"</f>
        <v/>
      </c>
      <c r="AS311" s="157" t="n"/>
      <c r="AT311" s="162" t="n"/>
      <c r="AU311" s="76">
        <f>IF(ISBLANK(AT311),0,AJ311-AT311)</f>
        <v/>
      </c>
      <c r="AV311" s="157" t="n"/>
      <c r="AW311" s="75">
        <f>_xlfn.IFNA(VLOOKUP(L311,list_vat[],3,FALSE),0)</f>
        <v/>
      </c>
      <c r="AX311" s="76">
        <f>IFERROR(ROUND(S311*(1+AW311)/E311,2),0)</f>
        <v/>
      </c>
      <c r="AY311" s="76">
        <f>E311*AX311</f>
        <v/>
      </c>
      <c r="AZ311" s="192">
        <f>S311*(1+M311)</f>
        <v/>
      </c>
      <c r="BA311" s="76">
        <f>cost_fin_total*$BD311</f>
        <v/>
      </c>
      <c r="BB311" s="193">
        <f>credit_sales_interest*BD311</f>
        <v/>
      </c>
      <c r="BC311" s="102">
        <f>IFERROR(IF($I$13&gt;0,$I311/$I$13,$S311/$S$13),0)</f>
        <v/>
      </c>
      <c r="BD311" s="102">
        <f>IFERROR($S311/$S$13,0)</f>
        <v/>
      </c>
      <c r="BE311" s="413" t="inlineStr">
        <is>
          <t>$</t>
        </is>
      </c>
    </row>
    <row r="312" ht="12" customFormat="1" customHeight="1" s="65">
      <c r="A312" s="43" t="n">
        <v>297</v>
      </c>
      <c r="B312" s="166" t="n"/>
      <c r="C312" s="166" t="n"/>
      <c r="D312" s="166" t="n"/>
      <c r="E312" s="162" t="n"/>
      <c r="F312" s="166" t="n"/>
      <c r="G312" s="162" t="n"/>
      <c r="H312" s="162" t="n"/>
      <c r="I312" s="189">
        <f>E312*G312</f>
        <v/>
      </c>
      <c r="J312" s="195" t="n"/>
      <c r="K312" s="162" t="n"/>
      <c r="L312" s="168" t="n"/>
      <c r="M312" s="75">
        <f>_xlfn.XLOOKUP(L312,list_vat[Страна],list_vat[Ставка НДС %],0,0)</f>
        <v/>
      </c>
      <c r="N312" s="162">
        <f>IFERROR(IF(L312="Китай",K312,K312/(1+M312)),0)</f>
        <v/>
      </c>
      <c r="O312" s="169" t="n"/>
      <c r="P312" s="76">
        <f>N312*(1-O312)</f>
        <v/>
      </c>
      <c r="Q312" s="162" t="n"/>
      <c r="R312" s="162">
        <f>IF(ISBLANK(Q312),"введи курс",P312/Q312)</f>
        <v/>
      </c>
      <c r="S312" s="196">
        <f>IF(AND(ISNUMBER(E312),ISNUMBER(Q312)),E312*R312,0)</f>
        <v/>
      </c>
      <c r="T312" s="192">
        <f>$BC312*V$11</f>
        <v/>
      </c>
      <c r="U312" s="76">
        <f>$BC312*W$11</f>
        <v/>
      </c>
      <c r="V312" s="193">
        <f>+SUM(T312:U312)</f>
        <v/>
      </c>
      <c r="W312" s="191" t="n"/>
      <c r="X312" s="170" t="n"/>
      <c r="Y312" s="76">
        <f>ROUND(IF(offer_incoterms="DDP",X312*(S312*(1+AW312)+T312),0),2)</f>
        <v/>
      </c>
      <c r="Z312" s="188" t="n"/>
      <c r="AA312" s="192">
        <f>IFERROR(AB312/E312,0)</f>
        <v/>
      </c>
      <c r="AB312" s="76">
        <f>ROUND(SUM(S312,V312,Y312:Z312,BA312:BB312),2)</f>
        <v/>
      </c>
      <c r="AC312" s="797" t="n"/>
      <c r="AD312" s="192">
        <f t="array" ref="AD312">IFERROR(ROUND((_xlfn.IFS(offer_sale_type="поставка",AB312,offer_sale_type="транзит",S312)*(1+AC312))/E312,2),0)</f>
        <v/>
      </c>
      <c r="AE312" s="76">
        <f>AD312*E312</f>
        <v/>
      </c>
      <c r="AF312" s="193">
        <f t="array" ref="AF312">IFERROR(ROUND(_xlfn.IFS(offer_sale_type="поставка",AB312,offer_sale_type="транзит",S312)*AC312,2),0)</f>
        <v/>
      </c>
      <c r="AG312" s="192">
        <f>$BD312*VLOOKUP($AG$3,$AF$4:$AG$7,2,FALSE)</f>
        <v/>
      </c>
      <c r="AH312" s="76">
        <f>SUM(AE312,AG312,AI312)*rate_forex_risk</f>
        <v/>
      </c>
      <c r="AI312" s="193">
        <f>IF(OR(seller_region="TR",offer_sale_type="экспорт"),0,rate_fin_comm)*SUM(AZ312,AZ312*AW312,T312)</f>
        <v/>
      </c>
      <c r="AJ312" s="118">
        <f>IFERROR(ROUND(SUM(AB312,AF312:AI312)/E312,2),0)</f>
        <v/>
      </c>
      <c r="AK312" s="76">
        <f>AJ312*E312</f>
        <v/>
      </c>
      <c r="AL312" s="174">
        <f>ROUND(IFERROR(AM312*E312,0),2)</f>
        <v/>
      </c>
      <c r="AM312" s="175">
        <f>ROUND(AJ312*(1+IF(offer_incoterms="DDP",IF((TODAY()+offer_turnaround_time)&gt;=helpsheet!$L$17,rate_vatRU_from_26,rate_vatRu_till_25),0)),2)</f>
        <v/>
      </c>
      <c r="AN312" s="192">
        <f>AL312-AK312</f>
        <v/>
      </c>
      <c r="AO312" s="76">
        <f>SUM(AY312,Y312:Z312,T312)*IF(AND(offer_incoterms="DDP",offer_sale_type&lt;&gt;"экспорт"),IF((TODAY()+offer_turnaround_time)&gt;=helpsheet!$L$17,rate_vatRU_from_26,rate_vatRu_till_25),0)</f>
        <v/>
      </c>
      <c r="AP312" s="193">
        <f>AN312-AO312</f>
        <v/>
      </c>
      <c r="AQ312" s="118">
        <f>IF(offer_sale_type="транзит",SUM(AF312:AI312,BA312,BB312),0)</f>
        <v/>
      </c>
      <c r="AR312" s="82">
        <f>HYPERLINK("https://www.alta.ru/tnved/code/")&amp;W312&amp;"/"</f>
        <v/>
      </c>
      <c r="AS312" s="157" t="n"/>
      <c r="AT312" s="162" t="n"/>
      <c r="AU312" s="76">
        <f>IF(ISBLANK(AT312),0,AJ312-AT312)</f>
        <v/>
      </c>
      <c r="AV312" s="157" t="n"/>
      <c r="AW312" s="75">
        <f>_xlfn.IFNA(VLOOKUP(L312,list_vat[],3,FALSE),0)</f>
        <v/>
      </c>
      <c r="AX312" s="76">
        <f>IFERROR(ROUND(S312*(1+AW312)/E312,2),0)</f>
        <v/>
      </c>
      <c r="AY312" s="76">
        <f>E312*AX312</f>
        <v/>
      </c>
      <c r="AZ312" s="192">
        <f>S312*(1+M312)</f>
        <v/>
      </c>
      <c r="BA312" s="76">
        <f>cost_fin_total*$BD312</f>
        <v/>
      </c>
      <c r="BB312" s="193">
        <f>credit_sales_interest*BD312</f>
        <v/>
      </c>
      <c r="BC312" s="102">
        <f>IFERROR(IF($I$13&gt;0,$I312/$I$13,$S312/$S$13),0)</f>
        <v/>
      </c>
      <c r="BD312" s="102">
        <f>IFERROR($S312/$S$13,0)</f>
        <v/>
      </c>
      <c r="BE312" s="413" t="inlineStr">
        <is>
          <t>$</t>
        </is>
      </c>
    </row>
    <row r="313" ht="12" customFormat="1" customHeight="1" s="65">
      <c r="A313" s="43" t="n">
        <v>298</v>
      </c>
      <c r="B313" s="166" t="n"/>
      <c r="C313" s="166" t="n"/>
      <c r="D313" s="166" t="n"/>
      <c r="E313" s="162" t="n"/>
      <c r="F313" s="166" t="n"/>
      <c r="G313" s="162" t="n"/>
      <c r="H313" s="162" t="n"/>
      <c r="I313" s="189">
        <f>E313*G313</f>
        <v/>
      </c>
      <c r="J313" s="195" t="n"/>
      <c r="K313" s="162" t="n"/>
      <c r="L313" s="168" t="n"/>
      <c r="M313" s="75">
        <f>_xlfn.XLOOKUP(L313,list_vat[Страна],list_vat[Ставка НДС %],0,0)</f>
        <v/>
      </c>
      <c r="N313" s="162">
        <f>IFERROR(IF(L313="Китай",K313,K313/(1+M313)),0)</f>
        <v/>
      </c>
      <c r="O313" s="169" t="n"/>
      <c r="P313" s="76">
        <f>N313*(1-O313)</f>
        <v/>
      </c>
      <c r="Q313" s="162" t="n"/>
      <c r="R313" s="162">
        <f>IF(ISBLANK(Q313),"введи курс",P313/Q313)</f>
        <v/>
      </c>
      <c r="S313" s="196">
        <f>IF(AND(ISNUMBER(E313),ISNUMBER(Q313)),E313*R313,0)</f>
        <v/>
      </c>
      <c r="T313" s="192">
        <f>$BC313*V$11</f>
        <v/>
      </c>
      <c r="U313" s="76">
        <f>$BC313*W$11</f>
        <v/>
      </c>
      <c r="V313" s="193">
        <f>+SUM(T313:U313)</f>
        <v/>
      </c>
      <c r="W313" s="191" t="n"/>
      <c r="X313" s="170" t="n"/>
      <c r="Y313" s="76">
        <f>ROUND(IF(offer_incoterms="DDP",X313*(S313*(1+AW313)+T313),0),2)</f>
        <v/>
      </c>
      <c r="Z313" s="188" t="n"/>
      <c r="AA313" s="192">
        <f>IFERROR(AB313/E313,0)</f>
        <v/>
      </c>
      <c r="AB313" s="76">
        <f>ROUND(SUM(S313,V313,Y313:Z313,BA313:BB313),2)</f>
        <v/>
      </c>
      <c r="AC313" s="797" t="n"/>
      <c r="AD313" s="192">
        <f t="array" ref="AD313">IFERROR(ROUND((_xlfn.IFS(offer_sale_type="поставка",AB313,offer_sale_type="транзит",S313)*(1+AC313))/E313,2),0)</f>
        <v/>
      </c>
      <c r="AE313" s="76">
        <f>AD313*E313</f>
        <v/>
      </c>
      <c r="AF313" s="193">
        <f t="array" ref="AF313">IFERROR(ROUND(_xlfn.IFS(offer_sale_type="поставка",AB313,offer_sale_type="транзит",S313)*AC313,2),0)</f>
        <v/>
      </c>
      <c r="AG313" s="192">
        <f>$BD313*VLOOKUP($AG$3,$AF$4:$AG$7,2,FALSE)</f>
        <v/>
      </c>
      <c r="AH313" s="76">
        <f>SUM(AE313,AG313,AI313)*rate_forex_risk</f>
        <v/>
      </c>
      <c r="AI313" s="193">
        <f>IF(OR(seller_region="TR",offer_sale_type="экспорт"),0,rate_fin_comm)*SUM(AZ313,AZ313*AW313,T313)</f>
        <v/>
      </c>
      <c r="AJ313" s="118">
        <f>IFERROR(ROUND(SUM(AB313,AF313:AI313)/E313,2),0)</f>
        <v/>
      </c>
      <c r="AK313" s="76">
        <f>AJ313*E313</f>
        <v/>
      </c>
      <c r="AL313" s="174">
        <f>ROUND(IFERROR(AM313*E313,0),2)</f>
        <v/>
      </c>
      <c r="AM313" s="175">
        <f>ROUND(AJ313*(1+IF(offer_incoterms="DDP",IF((TODAY()+offer_turnaround_time)&gt;=helpsheet!$L$17,rate_vatRU_from_26,rate_vatRu_till_25),0)),2)</f>
        <v/>
      </c>
      <c r="AN313" s="192">
        <f>AL313-AK313</f>
        <v/>
      </c>
      <c r="AO313" s="76">
        <f>SUM(AY313,Y313:Z313,T313)*IF(AND(offer_incoterms="DDP",offer_sale_type&lt;&gt;"экспорт"),IF((TODAY()+offer_turnaround_time)&gt;=helpsheet!$L$17,rate_vatRU_from_26,rate_vatRu_till_25),0)</f>
        <v/>
      </c>
      <c r="AP313" s="193">
        <f>AN313-AO313</f>
        <v/>
      </c>
      <c r="AQ313" s="118">
        <f>IF(offer_sale_type="транзит",SUM(AF313:AI313,BA313,BB313),0)</f>
        <v/>
      </c>
      <c r="AR313" s="82">
        <f>HYPERLINK("https://www.alta.ru/tnved/code/")&amp;W313&amp;"/"</f>
        <v/>
      </c>
      <c r="AS313" s="157" t="n"/>
      <c r="AT313" s="162" t="n"/>
      <c r="AU313" s="76">
        <f>IF(ISBLANK(AT313),0,AJ313-AT313)</f>
        <v/>
      </c>
      <c r="AV313" s="157" t="n"/>
      <c r="AW313" s="75">
        <f>_xlfn.IFNA(VLOOKUP(L313,list_vat[],3,FALSE),0)</f>
        <v/>
      </c>
      <c r="AX313" s="76">
        <f>IFERROR(ROUND(S313*(1+AW313)/E313,2),0)</f>
        <v/>
      </c>
      <c r="AY313" s="76">
        <f>E313*AX313</f>
        <v/>
      </c>
      <c r="AZ313" s="192">
        <f>S313*(1+M313)</f>
        <v/>
      </c>
      <c r="BA313" s="76">
        <f>cost_fin_total*$BD313</f>
        <v/>
      </c>
      <c r="BB313" s="193">
        <f>credit_sales_interest*BD313</f>
        <v/>
      </c>
      <c r="BC313" s="102">
        <f>IFERROR(IF($I$13&gt;0,$I313/$I$13,$S313/$S$13),0)</f>
        <v/>
      </c>
      <c r="BD313" s="102">
        <f>IFERROR($S313/$S$13,0)</f>
        <v/>
      </c>
      <c r="BE313" s="413" t="inlineStr">
        <is>
          <t>$</t>
        </is>
      </c>
    </row>
    <row r="314" ht="12" customFormat="1" customHeight="1" s="65">
      <c r="A314" s="43" t="n">
        <v>299</v>
      </c>
      <c r="B314" s="166" t="n"/>
      <c r="C314" s="166" t="n"/>
      <c r="D314" s="166" t="n"/>
      <c r="E314" s="162" t="n"/>
      <c r="F314" s="166" t="n"/>
      <c r="G314" s="162" t="n"/>
      <c r="H314" s="162" t="n"/>
      <c r="I314" s="189">
        <f>E314*G314</f>
        <v/>
      </c>
      <c r="J314" s="195" t="n"/>
      <c r="K314" s="162" t="n"/>
      <c r="L314" s="168" t="n"/>
      <c r="M314" s="75">
        <f>_xlfn.XLOOKUP(L314,list_vat[Страна],list_vat[Ставка НДС %],0,0)</f>
        <v/>
      </c>
      <c r="N314" s="162">
        <f>IFERROR(IF(L314="Китай",K314,K314/(1+M314)),0)</f>
        <v/>
      </c>
      <c r="O314" s="169" t="n"/>
      <c r="P314" s="76">
        <f>N314*(1-O314)</f>
        <v/>
      </c>
      <c r="Q314" s="162" t="n"/>
      <c r="R314" s="162">
        <f>IF(ISBLANK(Q314),"введи курс",P314/Q314)</f>
        <v/>
      </c>
      <c r="S314" s="196">
        <f>IF(AND(ISNUMBER(E314),ISNUMBER(Q314)),E314*R314,0)</f>
        <v/>
      </c>
      <c r="T314" s="192">
        <f>$BC314*V$11</f>
        <v/>
      </c>
      <c r="U314" s="76">
        <f>$BC314*W$11</f>
        <v/>
      </c>
      <c r="V314" s="193">
        <f>+SUM(T314:U314)</f>
        <v/>
      </c>
      <c r="W314" s="191" t="n"/>
      <c r="X314" s="170" t="n"/>
      <c r="Y314" s="76">
        <f>ROUND(IF(offer_incoterms="DDP",X314*(S314*(1+AW314)+T314),0),2)</f>
        <v/>
      </c>
      <c r="Z314" s="188" t="n"/>
      <c r="AA314" s="192">
        <f>IFERROR(AB314/E314,0)</f>
        <v/>
      </c>
      <c r="AB314" s="76">
        <f>ROUND(SUM(S314,V314,Y314:Z314,BA314:BB314),2)</f>
        <v/>
      </c>
      <c r="AC314" s="797" t="n"/>
      <c r="AD314" s="192">
        <f t="array" ref="AD314">IFERROR(ROUND((_xlfn.IFS(offer_sale_type="поставка",AB314,offer_sale_type="транзит",S314)*(1+AC314))/E314,2),0)</f>
        <v/>
      </c>
      <c r="AE314" s="76">
        <f>AD314*E314</f>
        <v/>
      </c>
      <c r="AF314" s="193">
        <f t="array" ref="AF314">IFERROR(ROUND(_xlfn.IFS(offer_sale_type="поставка",AB314,offer_sale_type="транзит",S314)*AC314,2),0)</f>
        <v/>
      </c>
      <c r="AG314" s="192">
        <f>$BD314*VLOOKUP($AG$3,$AF$4:$AG$7,2,FALSE)</f>
        <v/>
      </c>
      <c r="AH314" s="76">
        <f>SUM(AE314,AG314,AI314)*rate_forex_risk</f>
        <v/>
      </c>
      <c r="AI314" s="193">
        <f>IF(OR(seller_region="TR",offer_sale_type="экспорт"),0,rate_fin_comm)*SUM(AZ314,AZ314*AW314,T314)</f>
        <v/>
      </c>
      <c r="AJ314" s="118">
        <f>IFERROR(ROUND(SUM(AB314,AF314:AI314)/E314,2),0)</f>
        <v/>
      </c>
      <c r="AK314" s="76">
        <f>AJ314*E314</f>
        <v/>
      </c>
      <c r="AL314" s="174">
        <f>ROUND(IFERROR(AM314*E314,0),2)</f>
        <v/>
      </c>
      <c r="AM314" s="175">
        <f>ROUND(AJ314*(1+IF(offer_incoterms="DDP",IF((TODAY()+offer_turnaround_time)&gt;=helpsheet!$L$17,rate_vatRU_from_26,rate_vatRu_till_25),0)),2)</f>
        <v/>
      </c>
      <c r="AN314" s="192">
        <f>AL314-AK314</f>
        <v/>
      </c>
      <c r="AO314" s="76">
        <f>SUM(AY314,Y314:Z314,T314)*IF(AND(offer_incoterms="DDP",offer_sale_type&lt;&gt;"экспорт"),IF((TODAY()+offer_turnaround_time)&gt;=helpsheet!$L$17,rate_vatRU_from_26,rate_vatRu_till_25),0)</f>
        <v/>
      </c>
      <c r="AP314" s="193">
        <f>AN314-AO314</f>
        <v/>
      </c>
      <c r="AQ314" s="118">
        <f>IF(offer_sale_type="транзит",SUM(AF314:AI314,BA314,BB314),0)</f>
        <v/>
      </c>
      <c r="AR314" s="82">
        <f>HYPERLINK("https://www.alta.ru/tnved/code/")&amp;W314&amp;"/"</f>
        <v/>
      </c>
      <c r="AS314" s="157" t="n"/>
      <c r="AT314" s="162" t="n"/>
      <c r="AU314" s="76">
        <f>IF(ISBLANK(AT314),0,AJ314-AT314)</f>
        <v/>
      </c>
      <c r="AV314" s="157" t="n"/>
      <c r="AW314" s="75">
        <f>_xlfn.IFNA(VLOOKUP(L314,list_vat[],3,FALSE),0)</f>
        <v/>
      </c>
      <c r="AX314" s="76">
        <f>IFERROR(ROUND(S314*(1+AW314)/E314,2),0)</f>
        <v/>
      </c>
      <c r="AY314" s="76">
        <f>E314*AX314</f>
        <v/>
      </c>
      <c r="AZ314" s="192">
        <f>S314*(1+M314)</f>
        <v/>
      </c>
      <c r="BA314" s="76">
        <f>cost_fin_total*$BD314</f>
        <v/>
      </c>
      <c r="BB314" s="193">
        <f>credit_sales_interest*BD314</f>
        <v/>
      </c>
      <c r="BC314" s="102">
        <f>IFERROR(IF($I$13&gt;0,$I314/$I$13,$S314/$S$13),0)</f>
        <v/>
      </c>
      <c r="BD314" s="102">
        <f>IFERROR($S314/$S$13,0)</f>
        <v/>
      </c>
      <c r="BE314" s="413" t="inlineStr">
        <is>
          <t>$</t>
        </is>
      </c>
    </row>
    <row r="315" ht="12" customFormat="1" customHeight="1" s="65">
      <c r="A315" s="43" t="n">
        <v>300</v>
      </c>
      <c r="B315" s="166" t="n"/>
      <c r="C315" s="166" t="n"/>
      <c r="D315" s="166" t="n"/>
      <c r="E315" s="162" t="n"/>
      <c r="F315" s="166" t="n"/>
      <c r="G315" s="162" t="n"/>
      <c r="H315" s="162" t="n"/>
      <c r="I315" s="189">
        <f>E315*G315</f>
        <v/>
      </c>
      <c r="J315" s="195" t="n"/>
      <c r="K315" s="162" t="n"/>
      <c r="L315" s="168" t="n"/>
      <c r="M315" s="75">
        <f>_xlfn.XLOOKUP(L315,list_vat[Страна],list_vat[Ставка НДС %],0,0)</f>
        <v/>
      </c>
      <c r="N315" s="162">
        <f>IFERROR(IF(L315="Китай",K315,K315/(1+M315)),0)</f>
        <v/>
      </c>
      <c r="O315" s="169" t="n"/>
      <c r="P315" s="76">
        <f>N315*(1-O315)</f>
        <v/>
      </c>
      <c r="Q315" s="162" t="n"/>
      <c r="R315" s="162">
        <f>IF(ISBLANK(Q315),"введи курс",P315/Q315)</f>
        <v/>
      </c>
      <c r="S315" s="196">
        <f>IF(AND(ISNUMBER(E315),ISNUMBER(Q315)),E315*R315,0)</f>
        <v/>
      </c>
      <c r="T315" s="192">
        <f>$BC315*V$11</f>
        <v/>
      </c>
      <c r="U315" s="76">
        <f>$BC315*W$11</f>
        <v/>
      </c>
      <c r="V315" s="193">
        <f>+SUM(T315:U315)</f>
        <v/>
      </c>
      <c r="W315" s="191" t="n"/>
      <c r="X315" s="170" t="n"/>
      <c r="Y315" s="76">
        <f>ROUND(IF(offer_incoterms="DDP",X315*(S315*(1+AW315)+T315),0),2)</f>
        <v/>
      </c>
      <c r="Z315" s="188" t="n"/>
      <c r="AA315" s="192">
        <f>IFERROR(AB315/E315,0)</f>
        <v/>
      </c>
      <c r="AB315" s="76">
        <f>ROUND(SUM(S315,V315,Y315:Z315,BA315:BB315),2)</f>
        <v/>
      </c>
      <c r="AC315" s="797" t="n"/>
      <c r="AD315" s="192">
        <f t="array" ref="AD315">IFERROR(ROUND((_xlfn.IFS(offer_sale_type="поставка",AB315,offer_sale_type="транзит",S315)*(1+AC315))/E315,2),0)</f>
        <v/>
      </c>
      <c r="AE315" s="76">
        <f>AD315*E315</f>
        <v/>
      </c>
      <c r="AF315" s="193">
        <f t="array" ref="AF315">IFERROR(ROUND(_xlfn.IFS(offer_sale_type="поставка",AB315,offer_sale_type="транзит",S315)*AC315,2),0)</f>
        <v/>
      </c>
      <c r="AG315" s="192">
        <f>$BD315*VLOOKUP($AG$3,$AF$4:$AG$7,2,FALSE)</f>
        <v/>
      </c>
      <c r="AH315" s="76">
        <f>SUM(AE315,AG315,AI315)*rate_forex_risk</f>
        <v/>
      </c>
      <c r="AI315" s="193">
        <f>IF(OR(seller_region="TR",offer_sale_type="экспорт"),0,rate_fin_comm)*SUM(AZ315,AZ315*AW315,T315)</f>
        <v/>
      </c>
      <c r="AJ315" s="118">
        <f>IFERROR(ROUND(SUM(AB315,AF315:AI315)/E315,2),0)</f>
        <v/>
      </c>
      <c r="AK315" s="76">
        <f>AJ315*E315</f>
        <v/>
      </c>
      <c r="AL315" s="174">
        <f>ROUND(IFERROR(AM315*E315,0),2)</f>
        <v/>
      </c>
      <c r="AM315" s="175">
        <f>ROUND(AJ315*(1+IF(offer_incoterms="DDP",IF((TODAY()+offer_turnaround_time)&gt;=helpsheet!$L$17,rate_vatRU_from_26,rate_vatRu_till_25),0)),2)</f>
        <v/>
      </c>
      <c r="AN315" s="192">
        <f>AL315-AK315</f>
        <v/>
      </c>
      <c r="AO315" s="76">
        <f>SUM(AY315,Y315:Z315,T315)*IF(AND(offer_incoterms="DDP",offer_sale_type&lt;&gt;"экспорт"),IF((TODAY()+offer_turnaround_time)&gt;=helpsheet!$L$17,rate_vatRU_from_26,rate_vatRu_till_25),0)</f>
        <v/>
      </c>
      <c r="AP315" s="193">
        <f>AN315-AO315</f>
        <v/>
      </c>
      <c r="AQ315" s="118">
        <f>IF(offer_sale_type="транзит",SUM(AF315:AI315,BA315,BB315),0)</f>
        <v/>
      </c>
      <c r="AR315" s="82">
        <f>HYPERLINK("https://www.alta.ru/tnved/code/")&amp;W315&amp;"/"</f>
        <v/>
      </c>
      <c r="AS315" s="157" t="n"/>
      <c r="AT315" s="162" t="n"/>
      <c r="AU315" s="76">
        <f>IF(ISBLANK(AT315),0,AJ315-AT315)</f>
        <v/>
      </c>
      <c r="AV315" s="157" t="n"/>
      <c r="AW315" s="75">
        <f>_xlfn.IFNA(VLOOKUP(L315,list_vat[],3,FALSE),0)</f>
        <v/>
      </c>
      <c r="AX315" s="76">
        <f>IFERROR(ROUND(S315*(1+AW315)/E315,2),0)</f>
        <v/>
      </c>
      <c r="AY315" s="76">
        <f>E315*AX315</f>
        <v/>
      </c>
      <c r="AZ315" s="192">
        <f>S315*(1+M315)</f>
        <v/>
      </c>
      <c r="BA315" s="76">
        <f>cost_fin_total*$BD315</f>
        <v/>
      </c>
      <c r="BB315" s="193">
        <f>credit_sales_interest*BD315</f>
        <v/>
      </c>
      <c r="BC315" s="102">
        <f>IFERROR(IF($I$13&gt;0,$I315/$I$13,$S315/$S$13),0)</f>
        <v/>
      </c>
      <c r="BD315" s="102">
        <f>IFERROR($S315/$S$13,0)</f>
        <v/>
      </c>
      <c r="BE315" s="413" t="inlineStr">
        <is>
          <t>$</t>
        </is>
      </c>
    </row>
    <row r="316" ht="12" customFormat="1" customHeight="1" s="65">
      <c r="A316" s="43" t="n">
        <v>301</v>
      </c>
      <c r="B316" s="166" t="n"/>
      <c r="C316" s="166" t="n"/>
      <c r="D316" s="166" t="n"/>
      <c r="E316" s="162" t="n"/>
      <c r="F316" s="166" t="n"/>
      <c r="G316" s="162" t="n"/>
      <c r="H316" s="162" t="n"/>
      <c r="I316" s="189">
        <f>E316*G316</f>
        <v/>
      </c>
      <c r="J316" s="195" t="n"/>
      <c r="K316" s="162" t="n"/>
      <c r="L316" s="168" t="n"/>
      <c r="M316" s="75">
        <f>_xlfn.XLOOKUP(L316,list_vat[Страна],list_vat[Ставка НДС %],0,0)</f>
        <v/>
      </c>
      <c r="N316" s="162">
        <f>IFERROR(IF(L316="Китай",K316,K316/(1+M316)),0)</f>
        <v/>
      </c>
      <c r="O316" s="169" t="n"/>
      <c r="P316" s="76">
        <f>N316*(1-O316)</f>
        <v/>
      </c>
      <c r="Q316" s="162" t="n"/>
      <c r="R316" s="162">
        <f>IF(ISBLANK(Q316),"введи курс",P316/Q316)</f>
        <v/>
      </c>
      <c r="S316" s="196">
        <f>IF(AND(ISNUMBER(E316),ISNUMBER(Q316)),E316*R316,0)</f>
        <v/>
      </c>
      <c r="T316" s="192">
        <f>$BC316*V$11</f>
        <v/>
      </c>
      <c r="U316" s="76">
        <f>$BC316*W$11</f>
        <v/>
      </c>
      <c r="V316" s="193">
        <f>+SUM(T316:U316)</f>
        <v/>
      </c>
      <c r="W316" s="191" t="n"/>
      <c r="X316" s="170" t="n"/>
      <c r="Y316" s="76">
        <f>ROUND(IF(offer_incoterms="DDP",X316*(S316*(1+AW316)+T316),0),2)</f>
        <v/>
      </c>
      <c r="Z316" s="188" t="n"/>
      <c r="AA316" s="192">
        <f>IFERROR(AB316/E316,0)</f>
        <v/>
      </c>
      <c r="AB316" s="76">
        <f>ROUND(SUM(S316,V316,Y316:Z316,BA316:BB316),2)</f>
        <v/>
      </c>
      <c r="AC316" s="797" t="n"/>
      <c r="AD316" s="192">
        <f t="array" ref="AD316">IFERROR(ROUND((_xlfn.IFS(offer_sale_type="поставка",AB316,offer_sale_type="транзит",S316)*(1+AC316))/E316,2),0)</f>
        <v/>
      </c>
      <c r="AE316" s="76">
        <f>AD316*E316</f>
        <v/>
      </c>
      <c r="AF316" s="193">
        <f t="array" ref="AF316">IFERROR(ROUND(_xlfn.IFS(offer_sale_type="поставка",AB316,offer_sale_type="транзит",S316)*AC316,2),0)</f>
        <v/>
      </c>
      <c r="AG316" s="192">
        <f>$BD316*VLOOKUP($AG$3,$AF$4:$AG$7,2,FALSE)</f>
        <v/>
      </c>
      <c r="AH316" s="76">
        <f>SUM(AE316,AG316,AI316)*rate_forex_risk</f>
        <v/>
      </c>
      <c r="AI316" s="193">
        <f>IF(OR(seller_region="TR",offer_sale_type="экспорт"),0,rate_fin_comm)*SUM(AZ316,AZ316*AW316,T316)</f>
        <v/>
      </c>
      <c r="AJ316" s="118">
        <f>IFERROR(ROUND(SUM(AB316,AF316:AI316)/E316,2),0)</f>
        <v/>
      </c>
      <c r="AK316" s="76">
        <f>AJ316*E316</f>
        <v/>
      </c>
      <c r="AL316" s="174">
        <f>ROUND(IFERROR(AM316*E316,0),2)</f>
        <v/>
      </c>
      <c r="AM316" s="175">
        <f>ROUND(AJ316*(1+IF(offer_incoterms="DDP",IF((TODAY()+offer_turnaround_time)&gt;=helpsheet!$L$17,rate_vatRU_from_26,rate_vatRu_till_25),0)),2)</f>
        <v/>
      </c>
      <c r="AN316" s="192">
        <f>AL316-AK316</f>
        <v/>
      </c>
      <c r="AO316" s="76">
        <f>SUM(AY316,Y316:Z316,T316)*IF(AND(offer_incoterms="DDP",offer_sale_type&lt;&gt;"экспорт"),IF((TODAY()+offer_turnaround_time)&gt;=helpsheet!$L$17,rate_vatRU_from_26,rate_vatRu_till_25),0)</f>
        <v/>
      </c>
      <c r="AP316" s="193">
        <f>AN316-AO316</f>
        <v/>
      </c>
      <c r="AQ316" s="118">
        <f>IF(offer_sale_type="транзит",SUM(AF316:AI316,BA316,BB316),0)</f>
        <v/>
      </c>
      <c r="AR316" s="82">
        <f>HYPERLINK("https://www.alta.ru/tnved/code/")&amp;W316&amp;"/"</f>
        <v/>
      </c>
      <c r="AS316" s="157" t="n"/>
      <c r="AT316" s="162" t="n"/>
      <c r="AU316" s="76">
        <f>IF(ISBLANK(AT316),0,AJ316-AT316)</f>
        <v/>
      </c>
      <c r="AV316" s="157" t="n"/>
      <c r="AW316" s="75">
        <f>_xlfn.IFNA(VLOOKUP(L316,list_vat[],3,FALSE),0)</f>
        <v/>
      </c>
      <c r="AX316" s="76">
        <f>IFERROR(ROUND(S316*(1+AW316)/E316,2),0)</f>
        <v/>
      </c>
      <c r="AY316" s="76">
        <f>E316*AX316</f>
        <v/>
      </c>
      <c r="AZ316" s="192">
        <f>S316*(1+M316)</f>
        <v/>
      </c>
      <c r="BA316" s="76">
        <f>cost_fin_total*$BD316</f>
        <v/>
      </c>
      <c r="BB316" s="193">
        <f>credit_sales_interest*BD316</f>
        <v/>
      </c>
      <c r="BC316" s="102">
        <f>IFERROR(IF($I$13&gt;0,$I316/$I$13,$S316/$S$13),0)</f>
        <v/>
      </c>
      <c r="BD316" s="102">
        <f>IFERROR($S316/$S$13,0)</f>
        <v/>
      </c>
      <c r="BE316" s="413" t="inlineStr">
        <is>
          <t>$</t>
        </is>
      </c>
    </row>
    <row r="317" ht="12" customFormat="1" customHeight="1" s="65">
      <c r="A317" s="43" t="n">
        <v>302</v>
      </c>
      <c r="B317" s="166" t="n"/>
      <c r="C317" s="166" t="n"/>
      <c r="D317" s="166" t="n"/>
      <c r="E317" s="162" t="n"/>
      <c r="F317" s="166" t="n"/>
      <c r="G317" s="162" t="n"/>
      <c r="H317" s="162" t="n"/>
      <c r="I317" s="189">
        <f>E317*G317</f>
        <v/>
      </c>
      <c r="J317" s="195" t="n"/>
      <c r="K317" s="162" t="n"/>
      <c r="L317" s="168" t="n"/>
      <c r="M317" s="75">
        <f>_xlfn.XLOOKUP(L317,list_vat[Страна],list_vat[Ставка НДС %],0,0)</f>
        <v/>
      </c>
      <c r="N317" s="162">
        <f>IFERROR(IF(L317="Китай",K317,K317/(1+M317)),0)</f>
        <v/>
      </c>
      <c r="O317" s="169" t="n"/>
      <c r="P317" s="76">
        <f>N317*(1-O317)</f>
        <v/>
      </c>
      <c r="Q317" s="162" t="n"/>
      <c r="R317" s="162">
        <f>IF(ISBLANK(Q317),"введи курс",P317/Q317)</f>
        <v/>
      </c>
      <c r="S317" s="196">
        <f>IF(AND(ISNUMBER(E317),ISNUMBER(Q317)),E317*R317,0)</f>
        <v/>
      </c>
      <c r="T317" s="192">
        <f>$BC317*V$11</f>
        <v/>
      </c>
      <c r="U317" s="76">
        <f>$BC317*W$11</f>
        <v/>
      </c>
      <c r="V317" s="193">
        <f>+SUM(T317:U317)</f>
        <v/>
      </c>
      <c r="W317" s="191" t="n"/>
      <c r="X317" s="170" t="n"/>
      <c r="Y317" s="76">
        <f>ROUND(IF(offer_incoterms="DDP",X317*(S317*(1+AW317)+T317),0),2)</f>
        <v/>
      </c>
      <c r="Z317" s="188" t="n"/>
      <c r="AA317" s="192">
        <f>IFERROR(AB317/E317,0)</f>
        <v/>
      </c>
      <c r="AB317" s="76">
        <f>ROUND(SUM(S317,V317,Y317:Z317,BA317:BB317),2)</f>
        <v/>
      </c>
      <c r="AC317" s="797" t="n"/>
      <c r="AD317" s="192">
        <f t="array" ref="AD317">IFERROR(ROUND((_xlfn.IFS(offer_sale_type="поставка",AB317,offer_sale_type="транзит",S317)*(1+AC317))/E317,2),0)</f>
        <v/>
      </c>
      <c r="AE317" s="76">
        <f>AD317*E317</f>
        <v/>
      </c>
      <c r="AF317" s="193">
        <f t="array" ref="AF317">IFERROR(ROUND(_xlfn.IFS(offer_sale_type="поставка",AB317,offer_sale_type="транзит",S317)*AC317,2),0)</f>
        <v/>
      </c>
      <c r="AG317" s="192">
        <f>$BD317*VLOOKUP($AG$3,$AF$4:$AG$7,2,FALSE)</f>
        <v/>
      </c>
      <c r="AH317" s="76">
        <f>SUM(AE317,AG317,AI317)*rate_forex_risk</f>
        <v/>
      </c>
      <c r="AI317" s="193">
        <f>IF(OR(seller_region="TR",offer_sale_type="экспорт"),0,rate_fin_comm)*SUM(AZ317,AZ317*AW317,T317)</f>
        <v/>
      </c>
      <c r="AJ317" s="118">
        <f>IFERROR(ROUND(SUM(AB317,AF317:AI317)/E317,2),0)</f>
        <v/>
      </c>
      <c r="AK317" s="76">
        <f>AJ317*E317</f>
        <v/>
      </c>
      <c r="AL317" s="174">
        <f>ROUND(IFERROR(AM317*E317,0),2)</f>
        <v/>
      </c>
      <c r="AM317" s="175">
        <f>ROUND(AJ317*(1+IF(offer_incoterms="DDP",IF((TODAY()+offer_turnaround_time)&gt;=helpsheet!$L$17,rate_vatRU_from_26,rate_vatRu_till_25),0)),2)</f>
        <v/>
      </c>
      <c r="AN317" s="192">
        <f>AL317-AK317</f>
        <v/>
      </c>
      <c r="AO317" s="76">
        <f>SUM(AY317,Y317:Z317,T317)*IF(AND(offer_incoterms="DDP",offer_sale_type&lt;&gt;"экспорт"),IF((TODAY()+offer_turnaround_time)&gt;=helpsheet!$L$17,rate_vatRU_from_26,rate_vatRu_till_25),0)</f>
        <v/>
      </c>
      <c r="AP317" s="193">
        <f>AN317-AO317</f>
        <v/>
      </c>
      <c r="AQ317" s="118">
        <f>IF(offer_sale_type="транзит",SUM(AF317:AI317,BA317,BB317),0)</f>
        <v/>
      </c>
      <c r="AR317" s="82">
        <f>HYPERLINK("https://www.alta.ru/tnved/code/")&amp;W317&amp;"/"</f>
        <v/>
      </c>
      <c r="AS317" s="157" t="n"/>
      <c r="AT317" s="162" t="n"/>
      <c r="AU317" s="76">
        <f>IF(ISBLANK(AT317),0,AJ317-AT317)</f>
        <v/>
      </c>
      <c r="AV317" s="157" t="n"/>
      <c r="AW317" s="75">
        <f>_xlfn.IFNA(VLOOKUP(L317,list_vat[],3,FALSE),0)</f>
        <v/>
      </c>
      <c r="AX317" s="76">
        <f>IFERROR(ROUND(S317*(1+AW317)/E317,2),0)</f>
        <v/>
      </c>
      <c r="AY317" s="76">
        <f>E317*AX317</f>
        <v/>
      </c>
      <c r="AZ317" s="192">
        <f>S317*(1+M317)</f>
        <v/>
      </c>
      <c r="BA317" s="76">
        <f>cost_fin_total*$BD317</f>
        <v/>
      </c>
      <c r="BB317" s="193">
        <f>credit_sales_interest*BD317</f>
        <v/>
      </c>
      <c r="BC317" s="102">
        <f>IFERROR(IF($I$13&gt;0,$I317/$I$13,$S317/$S$13),0)</f>
        <v/>
      </c>
      <c r="BD317" s="102">
        <f>IFERROR($S317/$S$13,0)</f>
        <v/>
      </c>
      <c r="BE317" s="413" t="inlineStr">
        <is>
          <t>$</t>
        </is>
      </c>
    </row>
    <row r="318" ht="12" customFormat="1" customHeight="1" s="65">
      <c r="A318" s="43" t="n">
        <v>303</v>
      </c>
      <c r="B318" s="166" t="n"/>
      <c r="C318" s="166" t="n"/>
      <c r="D318" s="166" t="n"/>
      <c r="E318" s="162" t="n"/>
      <c r="F318" s="166" t="n"/>
      <c r="G318" s="162" t="n"/>
      <c r="H318" s="162" t="n"/>
      <c r="I318" s="189">
        <f>E318*G318</f>
        <v/>
      </c>
      <c r="J318" s="195" t="n"/>
      <c r="K318" s="162" t="n"/>
      <c r="L318" s="168" t="n"/>
      <c r="M318" s="75">
        <f>_xlfn.XLOOKUP(L318,list_vat[Страна],list_vat[Ставка НДС %],0,0)</f>
        <v/>
      </c>
      <c r="N318" s="162">
        <f>IFERROR(IF(L318="Китай",K318,K318/(1+M318)),0)</f>
        <v/>
      </c>
      <c r="O318" s="169" t="n"/>
      <c r="P318" s="76">
        <f>N318*(1-O318)</f>
        <v/>
      </c>
      <c r="Q318" s="162" t="n"/>
      <c r="R318" s="162">
        <f>IF(ISBLANK(Q318),"введи курс",P318/Q318)</f>
        <v/>
      </c>
      <c r="S318" s="196">
        <f>IF(AND(ISNUMBER(E318),ISNUMBER(Q318)),E318*R318,0)</f>
        <v/>
      </c>
      <c r="T318" s="192">
        <f>$BC318*V$11</f>
        <v/>
      </c>
      <c r="U318" s="76">
        <f>$BC318*W$11</f>
        <v/>
      </c>
      <c r="V318" s="193">
        <f>+SUM(T318:U318)</f>
        <v/>
      </c>
      <c r="W318" s="191" t="n"/>
      <c r="X318" s="170" t="n"/>
      <c r="Y318" s="76">
        <f>ROUND(IF(offer_incoterms="DDP",X318*(S318*(1+AW318)+T318),0),2)</f>
        <v/>
      </c>
      <c r="Z318" s="188" t="n"/>
      <c r="AA318" s="192">
        <f>IFERROR(AB318/E318,0)</f>
        <v/>
      </c>
      <c r="AB318" s="76">
        <f>ROUND(SUM(S318,V318,Y318:Z318,BA318:BB318),2)</f>
        <v/>
      </c>
      <c r="AC318" s="797" t="n"/>
      <c r="AD318" s="192">
        <f t="array" ref="AD318">IFERROR(ROUND((_xlfn.IFS(offer_sale_type="поставка",AB318,offer_sale_type="транзит",S318)*(1+AC318))/E318,2),0)</f>
        <v/>
      </c>
      <c r="AE318" s="76">
        <f>AD318*E318</f>
        <v/>
      </c>
      <c r="AF318" s="193">
        <f t="array" ref="AF318">IFERROR(ROUND(_xlfn.IFS(offer_sale_type="поставка",AB318,offer_sale_type="транзит",S318)*AC318,2),0)</f>
        <v/>
      </c>
      <c r="AG318" s="192">
        <f>$BD318*VLOOKUP($AG$3,$AF$4:$AG$7,2,FALSE)</f>
        <v/>
      </c>
      <c r="AH318" s="76">
        <f>SUM(AE318,AG318,AI318)*rate_forex_risk</f>
        <v/>
      </c>
      <c r="AI318" s="193">
        <f>IF(OR(seller_region="TR",offer_sale_type="экспорт"),0,rate_fin_comm)*SUM(AZ318,AZ318*AW318,T318)</f>
        <v/>
      </c>
      <c r="AJ318" s="118">
        <f>IFERROR(ROUND(SUM(AB318,AF318:AI318)/E318,2),0)</f>
        <v/>
      </c>
      <c r="AK318" s="76">
        <f>AJ318*E318</f>
        <v/>
      </c>
      <c r="AL318" s="174">
        <f>ROUND(IFERROR(AM318*E318,0),2)</f>
        <v/>
      </c>
      <c r="AM318" s="175">
        <f>ROUND(AJ318*(1+IF(offer_incoterms="DDP",IF((TODAY()+offer_turnaround_time)&gt;=helpsheet!$L$17,rate_vatRU_from_26,rate_vatRu_till_25),0)),2)</f>
        <v/>
      </c>
      <c r="AN318" s="192">
        <f>AL318-AK318</f>
        <v/>
      </c>
      <c r="AO318" s="76">
        <f>SUM(AY318,Y318:Z318,T318)*IF(AND(offer_incoterms="DDP",offer_sale_type&lt;&gt;"экспорт"),IF((TODAY()+offer_turnaround_time)&gt;=helpsheet!$L$17,rate_vatRU_from_26,rate_vatRu_till_25),0)</f>
        <v/>
      </c>
      <c r="AP318" s="193">
        <f>AN318-AO318</f>
        <v/>
      </c>
      <c r="AQ318" s="118">
        <f>IF(offer_sale_type="транзит",SUM(AF318:AI318,BA318,BB318),0)</f>
        <v/>
      </c>
      <c r="AR318" s="82">
        <f>HYPERLINK("https://www.alta.ru/tnved/code/")&amp;W318&amp;"/"</f>
        <v/>
      </c>
      <c r="AS318" s="157" t="n"/>
      <c r="AT318" s="162" t="n"/>
      <c r="AU318" s="76">
        <f>IF(ISBLANK(AT318),0,AJ318-AT318)</f>
        <v/>
      </c>
      <c r="AV318" s="157" t="n"/>
      <c r="AW318" s="75">
        <f>_xlfn.IFNA(VLOOKUP(L318,list_vat[],3,FALSE),0)</f>
        <v/>
      </c>
      <c r="AX318" s="76">
        <f>IFERROR(ROUND(S318*(1+AW318)/E318,2),0)</f>
        <v/>
      </c>
      <c r="AY318" s="76">
        <f>E318*AX318</f>
        <v/>
      </c>
      <c r="AZ318" s="192">
        <f>S318*(1+M318)</f>
        <v/>
      </c>
      <c r="BA318" s="76">
        <f>cost_fin_total*$BD318</f>
        <v/>
      </c>
      <c r="BB318" s="193">
        <f>credit_sales_interest*BD318</f>
        <v/>
      </c>
      <c r="BC318" s="102">
        <f>IFERROR(IF($I$13&gt;0,$I318/$I$13,$S318/$S$13),0)</f>
        <v/>
      </c>
      <c r="BD318" s="102">
        <f>IFERROR($S318/$S$13,0)</f>
        <v/>
      </c>
      <c r="BE318" s="413" t="inlineStr">
        <is>
          <t>$</t>
        </is>
      </c>
    </row>
    <row r="319" ht="12" customFormat="1" customHeight="1" s="65">
      <c r="A319" s="43" t="n">
        <v>304</v>
      </c>
      <c r="B319" s="166" t="n"/>
      <c r="C319" s="166" t="n"/>
      <c r="D319" s="166" t="n"/>
      <c r="E319" s="162" t="n"/>
      <c r="F319" s="166" t="n"/>
      <c r="G319" s="162" t="n"/>
      <c r="H319" s="162" t="n"/>
      <c r="I319" s="189">
        <f>E319*G319</f>
        <v/>
      </c>
      <c r="J319" s="195" t="n"/>
      <c r="K319" s="162" t="n"/>
      <c r="L319" s="168" t="n"/>
      <c r="M319" s="75">
        <f>_xlfn.XLOOKUP(L319,list_vat[Страна],list_vat[Ставка НДС %],0,0)</f>
        <v/>
      </c>
      <c r="N319" s="162">
        <f>IFERROR(IF(L319="Китай",K319,K319/(1+M319)),0)</f>
        <v/>
      </c>
      <c r="O319" s="169" t="n"/>
      <c r="P319" s="76">
        <f>N319*(1-O319)</f>
        <v/>
      </c>
      <c r="Q319" s="162" t="n"/>
      <c r="R319" s="162">
        <f>IF(ISBLANK(Q319),"введи курс",P319/Q319)</f>
        <v/>
      </c>
      <c r="S319" s="196">
        <f>IF(AND(ISNUMBER(E319),ISNUMBER(Q319)),E319*R319,0)</f>
        <v/>
      </c>
      <c r="T319" s="192">
        <f>$BC319*V$11</f>
        <v/>
      </c>
      <c r="U319" s="76">
        <f>$BC319*W$11</f>
        <v/>
      </c>
      <c r="V319" s="193">
        <f>+SUM(T319:U319)</f>
        <v/>
      </c>
      <c r="W319" s="191" t="n"/>
      <c r="X319" s="170" t="n"/>
      <c r="Y319" s="76">
        <f>ROUND(IF(offer_incoterms="DDP",X319*(S319*(1+AW319)+T319),0),2)</f>
        <v/>
      </c>
      <c r="Z319" s="188" t="n"/>
      <c r="AA319" s="192">
        <f>IFERROR(AB319/E319,0)</f>
        <v/>
      </c>
      <c r="AB319" s="76">
        <f>ROUND(SUM(S319,V319,Y319:Z319,BA319:BB319),2)</f>
        <v/>
      </c>
      <c r="AC319" s="797" t="n"/>
      <c r="AD319" s="192">
        <f t="array" ref="AD319">IFERROR(ROUND((_xlfn.IFS(offer_sale_type="поставка",AB319,offer_sale_type="транзит",S319)*(1+AC319))/E319,2),0)</f>
        <v/>
      </c>
      <c r="AE319" s="76">
        <f>AD319*E319</f>
        <v/>
      </c>
      <c r="AF319" s="193">
        <f t="array" ref="AF319">IFERROR(ROUND(_xlfn.IFS(offer_sale_type="поставка",AB319,offer_sale_type="транзит",S319)*AC319,2),0)</f>
        <v/>
      </c>
      <c r="AG319" s="192">
        <f>$BD319*VLOOKUP($AG$3,$AF$4:$AG$7,2,FALSE)</f>
        <v/>
      </c>
      <c r="AH319" s="76">
        <f>SUM(AE319,AG319,AI319)*rate_forex_risk</f>
        <v/>
      </c>
      <c r="AI319" s="193">
        <f>IF(OR(seller_region="TR",offer_sale_type="экспорт"),0,rate_fin_comm)*SUM(AZ319,AZ319*AW319,T319)</f>
        <v/>
      </c>
      <c r="AJ319" s="118">
        <f>IFERROR(ROUND(SUM(AB319,AF319:AI319)/E319,2),0)</f>
        <v/>
      </c>
      <c r="AK319" s="76">
        <f>AJ319*E319</f>
        <v/>
      </c>
      <c r="AL319" s="174">
        <f>ROUND(IFERROR(AM319*E319,0),2)</f>
        <v/>
      </c>
      <c r="AM319" s="175">
        <f>ROUND(AJ319*(1+IF(offer_incoterms="DDP",IF((TODAY()+offer_turnaround_time)&gt;=helpsheet!$L$17,rate_vatRU_from_26,rate_vatRu_till_25),0)),2)</f>
        <v/>
      </c>
      <c r="AN319" s="192">
        <f>AL319-AK319</f>
        <v/>
      </c>
      <c r="AO319" s="76">
        <f>SUM(AY319,Y319:Z319,T319)*IF(AND(offer_incoterms="DDP",offer_sale_type&lt;&gt;"экспорт"),IF((TODAY()+offer_turnaround_time)&gt;=helpsheet!$L$17,rate_vatRU_from_26,rate_vatRu_till_25),0)</f>
        <v/>
      </c>
      <c r="AP319" s="193">
        <f>AN319-AO319</f>
        <v/>
      </c>
      <c r="AQ319" s="118">
        <f>IF(offer_sale_type="транзит",SUM(AF319:AI319,BA319,BB319),0)</f>
        <v/>
      </c>
      <c r="AR319" s="82">
        <f>HYPERLINK("https://www.alta.ru/tnved/code/")&amp;W319&amp;"/"</f>
        <v/>
      </c>
      <c r="AS319" s="157" t="n"/>
      <c r="AT319" s="162" t="n"/>
      <c r="AU319" s="76">
        <f>IF(ISBLANK(AT319),0,AJ319-AT319)</f>
        <v/>
      </c>
      <c r="AV319" s="157" t="n"/>
      <c r="AW319" s="75">
        <f>_xlfn.IFNA(VLOOKUP(L319,list_vat[],3,FALSE),0)</f>
        <v/>
      </c>
      <c r="AX319" s="76">
        <f>IFERROR(ROUND(S319*(1+AW319)/E319,2),0)</f>
        <v/>
      </c>
      <c r="AY319" s="76">
        <f>E319*AX319</f>
        <v/>
      </c>
      <c r="AZ319" s="192">
        <f>S319*(1+M319)</f>
        <v/>
      </c>
      <c r="BA319" s="76">
        <f>cost_fin_total*$BD319</f>
        <v/>
      </c>
      <c r="BB319" s="193">
        <f>credit_sales_interest*BD319</f>
        <v/>
      </c>
      <c r="BC319" s="102">
        <f>IFERROR(IF($I$13&gt;0,$I319/$I$13,$S319/$S$13),0)</f>
        <v/>
      </c>
      <c r="BD319" s="102">
        <f>IFERROR($S319/$S$13,0)</f>
        <v/>
      </c>
      <c r="BE319" s="413" t="inlineStr">
        <is>
          <t>$</t>
        </is>
      </c>
    </row>
    <row r="320" ht="12" customFormat="1" customHeight="1" s="65">
      <c r="A320" s="43" t="n">
        <v>305</v>
      </c>
      <c r="B320" s="166" t="n"/>
      <c r="C320" s="166" t="n"/>
      <c r="D320" s="166" t="n"/>
      <c r="E320" s="162" t="n"/>
      <c r="F320" s="166" t="n"/>
      <c r="G320" s="162" t="n"/>
      <c r="H320" s="162" t="n"/>
      <c r="I320" s="189">
        <f>E320*G320</f>
        <v/>
      </c>
      <c r="J320" s="195" t="n"/>
      <c r="K320" s="162" t="n"/>
      <c r="L320" s="168" t="n"/>
      <c r="M320" s="75">
        <f>_xlfn.XLOOKUP(L320,list_vat[Страна],list_vat[Ставка НДС %],0,0)</f>
        <v/>
      </c>
      <c r="N320" s="162">
        <f>IFERROR(IF(L320="Китай",K320,K320/(1+M320)),0)</f>
        <v/>
      </c>
      <c r="O320" s="169" t="n"/>
      <c r="P320" s="76">
        <f>N320*(1-O320)</f>
        <v/>
      </c>
      <c r="Q320" s="162" t="n"/>
      <c r="R320" s="162">
        <f>IF(ISBLANK(Q320),"введи курс",P320/Q320)</f>
        <v/>
      </c>
      <c r="S320" s="196">
        <f>IF(AND(ISNUMBER(E320),ISNUMBER(Q320)),E320*R320,0)</f>
        <v/>
      </c>
      <c r="T320" s="192">
        <f>$BC320*V$11</f>
        <v/>
      </c>
      <c r="U320" s="76">
        <f>$BC320*W$11</f>
        <v/>
      </c>
      <c r="V320" s="193">
        <f>+SUM(T320:U320)</f>
        <v/>
      </c>
      <c r="W320" s="191" t="n"/>
      <c r="X320" s="170" t="n"/>
      <c r="Y320" s="76">
        <f>ROUND(IF(offer_incoterms="DDP",X320*(S320*(1+AW320)+T320),0),2)</f>
        <v/>
      </c>
      <c r="Z320" s="188" t="n"/>
      <c r="AA320" s="192">
        <f>IFERROR(AB320/E320,0)</f>
        <v/>
      </c>
      <c r="AB320" s="76">
        <f>ROUND(SUM(S320,V320,Y320:Z320,BA320:BB320),2)</f>
        <v/>
      </c>
      <c r="AC320" s="797" t="n"/>
      <c r="AD320" s="192">
        <f t="array" ref="AD320">IFERROR(ROUND((_xlfn.IFS(offer_sale_type="поставка",AB320,offer_sale_type="транзит",S320)*(1+AC320))/E320,2),0)</f>
        <v/>
      </c>
      <c r="AE320" s="76">
        <f>AD320*E320</f>
        <v/>
      </c>
      <c r="AF320" s="193">
        <f t="array" ref="AF320">IFERROR(ROUND(_xlfn.IFS(offer_sale_type="поставка",AB320,offer_sale_type="транзит",S320)*AC320,2),0)</f>
        <v/>
      </c>
      <c r="AG320" s="192">
        <f>$BD320*VLOOKUP($AG$3,$AF$4:$AG$7,2,FALSE)</f>
        <v/>
      </c>
      <c r="AH320" s="76">
        <f>SUM(AE320,AG320,AI320)*rate_forex_risk</f>
        <v/>
      </c>
      <c r="AI320" s="193">
        <f>IF(OR(seller_region="TR",offer_sale_type="экспорт"),0,rate_fin_comm)*SUM(AZ320,AZ320*AW320,T320)</f>
        <v/>
      </c>
      <c r="AJ320" s="118">
        <f>IFERROR(ROUND(SUM(AB320,AF320:AI320)/E320,2),0)</f>
        <v/>
      </c>
      <c r="AK320" s="76">
        <f>AJ320*E320</f>
        <v/>
      </c>
      <c r="AL320" s="174">
        <f>ROUND(IFERROR(AM320*E320,0),2)</f>
        <v/>
      </c>
      <c r="AM320" s="175">
        <f>ROUND(AJ320*(1+IF(offer_incoterms="DDP",IF((TODAY()+offer_turnaround_time)&gt;=helpsheet!$L$17,rate_vatRU_from_26,rate_vatRu_till_25),0)),2)</f>
        <v/>
      </c>
      <c r="AN320" s="192">
        <f>AL320-AK320</f>
        <v/>
      </c>
      <c r="AO320" s="76">
        <f>SUM(AY320,Y320:Z320,T320)*IF(AND(offer_incoterms="DDP",offer_sale_type&lt;&gt;"экспорт"),IF((TODAY()+offer_turnaround_time)&gt;=helpsheet!$L$17,rate_vatRU_from_26,rate_vatRu_till_25),0)</f>
        <v/>
      </c>
      <c r="AP320" s="193">
        <f>AN320-AO320</f>
        <v/>
      </c>
      <c r="AQ320" s="118">
        <f>IF(offer_sale_type="транзит",SUM(AF320:AI320,BA320,BB320),0)</f>
        <v/>
      </c>
      <c r="AR320" s="82">
        <f>HYPERLINK("https://www.alta.ru/tnved/code/")&amp;W320&amp;"/"</f>
        <v/>
      </c>
      <c r="AS320" s="157" t="n"/>
      <c r="AT320" s="162" t="n"/>
      <c r="AU320" s="76">
        <f>IF(ISBLANK(AT320),0,AJ320-AT320)</f>
        <v/>
      </c>
      <c r="AV320" s="157" t="n"/>
      <c r="AW320" s="75">
        <f>_xlfn.IFNA(VLOOKUP(L320,list_vat[],3,FALSE),0)</f>
        <v/>
      </c>
      <c r="AX320" s="76">
        <f>IFERROR(ROUND(S320*(1+AW320)/E320,2),0)</f>
        <v/>
      </c>
      <c r="AY320" s="76">
        <f>E320*AX320</f>
        <v/>
      </c>
      <c r="AZ320" s="192">
        <f>S320*(1+M320)</f>
        <v/>
      </c>
      <c r="BA320" s="76">
        <f>cost_fin_total*$BD320</f>
        <v/>
      </c>
      <c r="BB320" s="193">
        <f>credit_sales_interest*BD320</f>
        <v/>
      </c>
      <c r="BC320" s="102">
        <f>IFERROR(IF($I$13&gt;0,$I320/$I$13,$S320/$S$13),0)</f>
        <v/>
      </c>
      <c r="BD320" s="102">
        <f>IFERROR($S320/$S$13,0)</f>
        <v/>
      </c>
      <c r="BE320" s="413" t="inlineStr">
        <is>
          <t>$</t>
        </is>
      </c>
    </row>
    <row r="321" ht="12" customFormat="1" customHeight="1" s="65">
      <c r="A321" s="43" t="n">
        <v>306</v>
      </c>
      <c r="B321" s="166" t="n"/>
      <c r="C321" s="166" t="n"/>
      <c r="D321" s="166" t="n"/>
      <c r="E321" s="162" t="n"/>
      <c r="F321" s="166" t="n"/>
      <c r="G321" s="162" t="n"/>
      <c r="H321" s="162" t="n"/>
      <c r="I321" s="189">
        <f>E321*G321</f>
        <v/>
      </c>
      <c r="J321" s="195" t="n"/>
      <c r="K321" s="162" t="n"/>
      <c r="L321" s="168" t="n"/>
      <c r="M321" s="75">
        <f>_xlfn.XLOOKUP(L321,list_vat[Страна],list_vat[Ставка НДС %],0,0)</f>
        <v/>
      </c>
      <c r="N321" s="162">
        <f>IFERROR(IF(L321="Китай",K321,K321/(1+M321)),0)</f>
        <v/>
      </c>
      <c r="O321" s="169" t="n"/>
      <c r="P321" s="76">
        <f>N321*(1-O321)</f>
        <v/>
      </c>
      <c r="Q321" s="162" t="n"/>
      <c r="R321" s="162">
        <f>IF(ISBLANK(Q321),"введи курс",P321/Q321)</f>
        <v/>
      </c>
      <c r="S321" s="196">
        <f>IF(AND(ISNUMBER(E321),ISNUMBER(Q321)),E321*R321,0)</f>
        <v/>
      </c>
      <c r="T321" s="192">
        <f>$BC321*V$11</f>
        <v/>
      </c>
      <c r="U321" s="76">
        <f>$BC321*W$11</f>
        <v/>
      </c>
      <c r="V321" s="193">
        <f>+SUM(T321:U321)</f>
        <v/>
      </c>
      <c r="W321" s="191" t="n"/>
      <c r="X321" s="170" t="n"/>
      <c r="Y321" s="76">
        <f>ROUND(IF(offer_incoterms="DDP",X321*(S321*(1+AW321)+T321),0),2)</f>
        <v/>
      </c>
      <c r="Z321" s="188" t="n"/>
      <c r="AA321" s="192">
        <f>IFERROR(AB321/E321,0)</f>
        <v/>
      </c>
      <c r="AB321" s="76">
        <f>ROUND(SUM(S321,V321,Y321:Z321,BA321:BB321),2)</f>
        <v/>
      </c>
      <c r="AC321" s="797" t="n"/>
      <c r="AD321" s="192">
        <f t="array" ref="AD321">IFERROR(ROUND((_xlfn.IFS(offer_sale_type="поставка",AB321,offer_sale_type="транзит",S321)*(1+AC321))/E321,2),0)</f>
        <v/>
      </c>
      <c r="AE321" s="76">
        <f>AD321*E321</f>
        <v/>
      </c>
      <c r="AF321" s="193">
        <f t="array" ref="AF321">IFERROR(ROUND(_xlfn.IFS(offer_sale_type="поставка",AB321,offer_sale_type="транзит",S321)*AC321,2),0)</f>
        <v/>
      </c>
      <c r="AG321" s="192">
        <f>$BD321*VLOOKUP($AG$3,$AF$4:$AG$7,2,FALSE)</f>
        <v/>
      </c>
      <c r="AH321" s="76">
        <f>SUM(AE321,AG321,AI321)*rate_forex_risk</f>
        <v/>
      </c>
      <c r="AI321" s="193">
        <f>IF(OR(seller_region="TR",offer_sale_type="экспорт"),0,rate_fin_comm)*SUM(AZ321,AZ321*AW321,T321)</f>
        <v/>
      </c>
      <c r="AJ321" s="118">
        <f>IFERROR(ROUND(SUM(AB321,AF321:AI321)/E321,2),0)</f>
        <v/>
      </c>
      <c r="AK321" s="76">
        <f>AJ321*E321</f>
        <v/>
      </c>
      <c r="AL321" s="174">
        <f>ROUND(IFERROR(AM321*E321,0),2)</f>
        <v/>
      </c>
      <c r="AM321" s="175">
        <f>ROUND(AJ321*(1+IF(offer_incoterms="DDP",IF((TODAY()+offer_turnaround_time)&gt;=helpsheet!$L$17,rate_vatRU_from_26,rate_vatRu_till_25),0)),2)</f>
        <v/>
      </c>
      <c r="AN321" s="192">
        <f>AL321-AK321</f>
        <v/>
      </c>
      <c r="AO321" s="76">
        <f>SUM(AY321,Y321:Z321,T321)*IF(AND(offer_incoterms="DDP",offer_sale_type&lt;&gt;"экспорт"),IF((TODAY()+offer_turnaround_time)&gt;=helpsheet!$L$17,rate_vatRU_from_26,rate_vatRu_till_25),0)</f>
        <v/>
      </c>
      <c r="AP321" s="193">
        <f>AN321-AO321</f>
        <v/>
      </c>
      <c r="AQ321" s="118">
        <f>IF(offer_sale_type="транзит",SUM(AF321:AI321,BA321,BB321),0)</f>
        <v/>
      </c>
      <c r="AR321" s="82">
        <f>HYPERLINK("https://www.alta.ru/tnved/code/")&amp;W321&amp;"/"</f>
        <v/>
      </c>
      <c r="AS321" s="157" t="n"/>
      <c r="AT321" s="162" t="n"/>
      <c r="AU321" s="76">
        <f>IF(ISBLANK(AT321),0,AJ321-AT321)</f>
        <v/>
      </c>
      <c r="AV321" s="157" t="n"/>
      <c r="AW321" s="75">
        <f>_xlfn.IFNA(VLOOKUP(L321,list_vat[],3,FALSE),0)</f>
        <v/>
      </c>
      <c r="AX321" s="76">
        <f>IFERROR(ROUND(S321*(1+AW321)/E321,2),0)</f>
        <v/>
      </c>
      <c r="AY321" s="76">
        <f>E321*AX321</f>
        <v/>
      </c>
      <c r="AZ321" s="192">
        <f>S321*(1+M321)</f>
        <v/>
      </c>
      <c r="BA321" s="76">
        <f>cost_fin_total*$BD321</f>
        <v/>
      </c>
      <c r="BB321" s="193">
        <f>credit_sales_interest*BD321</f>
        <v/>
      </c>
      <c r="BC321" s="102">
        <f>IFERROR(IF($I$13&gt;0,$I321/$I$13,$S321/$S$13),0)</f>
        <v/>
      </c>
      <c r="BD321" s="102">
        <f>IFERROR($S321/$S$13,0)</f>
        <v/>
      </c>
      <c r="BE321" s="413" t="inlineStr">
        <is>
          <t>$</t>
        </is>
      </c>
    </row>
    <row r="322" ht="12" customFormat="1" customHeight="1" s="65">
      <c r="A322" s="43" t="n">
        <v>307</v>
      </c>
      <c r="B322" s="166" t="n"/>
      <c r="C322" s="166" t="n"/>
      <c r="D322" s="166" t="n"/>
      <c r="E322" s="162" t="n"/>
      <c r="F322" s="166" t="n"/>
      <c r="G322" s="162" t="n"/>
      <c r="H322" s="162" t="n"/>
      <c r="I322" s="189">
        <f>E322*G322</f>
        <v/>
      </c>
      <c r="J322" s="195" t="n"/>
      <c r="K322" s="162" t="n"/>
      <c r="L322" s="168" t="n"/>
      <c r="M322" s="75">
        <f>_xlfn.XLOOKUP(L322,list_vat[Страна],list_vat[Ставка НДС %],0,0)</f>
        <v/>
      </c>
      <c r="N322" s="162">
        <f>IFERROR(IF(L322="Китай",K322,K322/(1+M322)),0)</f>
        <v/>
      </c>
      <c r="O322" s="169" t="n"/>
      <c r="P322" s="76">
        <f>N322*(1-O322)</f>
        <v/>
      </c>
      <c r="Q322" s="162" t="n"/>
      <c r="R322" s="162">
        <f>IF(ISBLANK(Q322),"введи курс",P322/Q322)</f>
        <v/>
      </c>
      <c r="S322" s="196">
        <f>IF(AND(ISNUMBER(E322),ISNUMBER(Q322)),E322*R322,0)</f>
        <v/>
      </c>
      <c r="T322" s="192">
        <f>$BC322*V$11</f>
        <v/>
      </c>
      <c r="U322" s="76">
        <f>$BC322*W$11</f>
        <v/>
      </c>
      <c r="V322" s="193">
        <f>+SUM(T322:U322)</f>
        <v/>
      </c>
      <c r="W322" s="191" t="n"/>
      <c r="X322" s="170" t="n"/>
      <c r="Y322" s="76">
        <f>ROUND(IF(offer_incoterms="DDP",X322*(S322*(1+AW322)+T322),0),2)</f>
        <v/>
      </c>
      <c r="Z322" s="188" t="n"/>
      <c r="AA322" s="192">
        <f>IFERROR(AB322/E322,0)</f>
        <v/>
      </c>
      <c r="AB322" s="76">
        <f>ROUND(SUM(S322,V322,Y322:Z322,BA322:BB322),2)</f>
        <v/>
      </c>
      <c r="AC322" s="797" t="n"/>
      <c r="AD322" s="192">
        <f t="array" ref="AD322">IFERROR(ROUND((_xlfn.IFS(offer_sale_type="поставка",AB322,offer_sale_type="транзит",S322)*(1+AC322))/E322,2),0)</f>
        <v/>
      </c>
      <c r="AE322" s="76">
        <f>AD322*E322</f>
        <v/>
      </c>
      <c r="AF322" s="193">
        <f t="array" ref="AF322">IFERROR(ROUND(_xlfn.IFS(offer_sale_type="поставка",AB322,offer_sale_type="транзит",S322)*AC322,2),0)</f>
        <v/>
      </c>
      <c r="AG322" s="192">
        <f>$BD322*VLOOKUP($AG$3,$AF$4:$AG$7,2,FALSE)</f>
        <v/>
      </c>
      <c r="AH322" s="76">
        <f>SUM(AE322,AG322,AI322)*rate_forex_risk</f>
        <v/>
      </c>
      <c r="AI322" s="193">
        <f>IF(OR(seller_region="TR",offer_sale_type="экспорт"),0,rate_fin_comm)*SUM(AZ322,AZ322*AW322,T322)</f>
        <v/>
      </c>
      <c r="AJ322" s="118">
        <f>IFERROR(ROUND(SUM(AB322,AF322:AI322)/E322,2),0)</f>
        <v/>
      </c>
      <c r="AK322" s="76">
        <f>AJ322*E322</f>
        <v/>
      </c>
      <c r="AL322" s="174">
        <f>ROUND(IFERROR(AM322*E322,0),2)</f>
        <v/>
      </c>
      <c r="AM322" s="175">
        <f>ROUND(AJ322*(1+IF(offer_incoterms="DDP",IF((TODAY()+offer_turnaround_time)&gt;=helpsheet!$L$17,rate_vatRU_from_26,rate_vatRu_till_25),0)),2)</f>
        <v/>
      </c>
      <c r="AN322" s="192">
        <f>AL322-AK322</f>
        <v/>
      </c>
      <c r="AO322" s="76">
        <f>SUM(AY322,Y322:Z322,T322)*IF(AND(offer_incoterms="DDP",offer_sale_type&lt;&gt;"экспорт"),IF((TODAY()+offer_turnaround_time)&gt;=helpsheet!$L$17,rate_vatRU_from_26,rate_vatRu_till_25),0)</f>
        <v/>
      </c>
      <c r="AP322" s="193">
        <f>AN322-AO322</f>
        <v/>
      </c>
      <c r="AQ322" s="118">
        <f>IF(offer_sale_type="транзит",SUM(AF322:AI322,BA322,BB322),0)</f>
        <v/>
      </c>
      <c r="AR322" s="82">
        <f>HYPERLINK("https://www.alta.ru/tnved/code/")&amp;W322&amp;"/"</f>
        <v/>
      </c>
      <c r="AS322" s="157" t="n"/>
      <c r="AT322" s="162" t="n"/>
      <c r="AU322" s="76">
        <f>IF(ISBLANK(AT322),0,AJ322-AT322)</f>
        <v/>
      </c>
      <c r="AV322" s="157" t="n"/>
      <c r="AW322" s="75">
        <f>_xlfn.IFNA(VLOOKUP(L322,list_vat[],3,FALSE),0)</f>
        <v/>
      </c>
      <c r="AX322" s="76">
        <f>IFERROR(ROUND(S322*(1+AW322)/E322,2),0)</f>
        <v/>
      </c>
      <c r="AY322" s="76">
        <f>E322*AX322</f>
        <v/>
      </c>
      <c r="AZ322" s="192">
        <f>S322*(1+M322)</f>
        <v/>
      </c>
      <c r="BA322" s="76">
        <f>cost_fin_total*$BD322</f>
        <v/>
      </c>
      <c r="BB322" s="193">
        <f>credit_sales_interest*BD322</f>
        <v/>
      </c>
      <c r="BC322" s="102">
        <f>IFERROR(IF($I$13&gt;0,$I322/$I$13,$S322/$S$13),0)</f>
        <v/>
      </c>
      <c r="BD322" s="102">
        <f>IFERROR($S322/$S$13,0)</f>
        <v/>
      </c>
      <c r="BE322" s="413" t="inlineStr">
        <is>
          <t>$</t>
        </is>
      </c>
    </row>
    <row r="323" ht="12" customFormat="1" customHeight="1" s="65">
      <c r="A323" s="43" t="n">
        <v>308</v>
      </c>
      <c r="B323" s="166" t="n"/>
      <c r="C323" s="166" t="n"/>
      <c r="D323" s="166" t="n"/>
      <c r="E323" s="162" t="n"/>
      <c r="F323" s="166" t="n"/>
      <c r="G323" s="162" t="n"/>
      <c r="H323" s="162" t="n"/>
      <c r="I323" s="189">
        <f>E323*G323</f>
        <v/>
      </c>
      <c r="J323" s="195" t="n"/>
      <c r="K323" s="162" t="n"/>
      <c r="L323" s="168" t="n"/>
      <c r="M323" s="75">
        <f>_xlfn.XLOOKUP(L323,list_vat[Страна],list_vat[Ставка НДС %],0,0)</f>
        <v/>
      </c>
      <c r="N323" s="162">
        <f>IFERROR(IF(L323="Китай",K323,K323/(1+M323)),0)</f>
        <v/>
      </c>
      <c r="O323" s="169" t="n"/>
      <c r="P323" s="76">
        <f>N323*(1-O323)</f>
        <v/>
      </c>
      <c r="Q323" s="162" t="n"/>
      <c r="R323" s="162">
        <f>IF(ISBLANK(Q323),"введи курс",P323/Q323)</f>
        <v/>
      </c>
      <c r="S323" s="196">
        <f>IF(AND(ISNUMBER(E323),ISNUMBER(Q323)),E323*R323,0)</f>
        <v/>
      </c>
      <c r="T323" s="192">
        <f>$BC323*V$11</f>
        <v/>
      </c>
      <c r="U323" s="76">
        <f>$BC323*W$11</f>
        <v/>
      </c>
      <c r="V323" s="193">
        <f>+SUM(T323:U323)</f>
        <v/>
      </c>
      <c r="W323" s="191" t="n"/>
      <c r="X323" s="170" t="n"/>
      <c r="Y323" s="76">
        <f>ROUND(IF(offer_incoterms="DDP",X323*(S323*(1+AW323)+T323),0),2)</f>
        <v/>
      </c>
      <c r="Z323" s="188" t="n"/>
      <c r="AA323" s="192">
        <f>IFERROR(AB323/E323,0)</f>
        <v/>
      </c>
      <c r="AB323" s="76">
        <f>ROUND(SUM(S323,V323,Y323:Z323,BA323:BB323),2)</f>
        <v/>
      </c>
      <c r="AC323" s="797" t="n"/>
      <c r="AD323" s="192">
        <f t="array" ref="AD323">IFERROR(ROUND((_xlfn.IFS(offer_sale_type="поставка",AB323,offer_sale_type="транзит",S323)*(1+AC323))/E323,2),0)</f>
        <v/>
      </c>
      <c r="AE323" s="76">
        <f>AD323*E323</f>
        <v/>
      </c>
      <c r="AF323" s="193">
        <f t="array" ref="AF323">IFERROR(ROUND(_xlfn.IFS(offer_sale_type="поставка",AB323,offer_sale_type="транзит",S323)*AC323,2),0)</f>
        <v/>
      </c>
      <c r="AG323" s="192">
        <f>$BD323*VLOOKUP($AG$3,$AF$4:$AG$7,2,FALSE)</f>
        <v/>
      </c>
      <c r="AH323" s="76">
        <f>SUM(AE323,AG323,AI323)*rate_forex_risk</f>
        <v/>
      </c>
      <c r="AI323" s="193">
        <f>IF(OR(seller_region="TR",offer_sale_type="экспорт"),0,rate_fin_comm)*SUM(AZ323,AZ323*AW323,T323)</f>
        <v/>
      </c>
      <c r="AJ323" s="118">
        <f>IFERROR(ROUND(SUM(AB323,AF323:AI323)/E323,2),0)</f>
        <v/>
      </c>
      <c r="AK323" s="76">
        <f>AJ323*E323</f>
        <v/>
      </c>
      <c r="AL323" s="174">
        <f>ROUND(IFERROR(AM323*E323,0),2)</f>
        <v/>
      </c>
      <c r="AM323" s="175">
        <f>ROUND(AJ323*(1+IF(offer_incoterms="DDP",IF((TODAY()+offer_turnaround_time)&gt;=helpsheet!$L$17,rate_vatRU_from_26,rate_vatRu_till_25),0)),2)</f>
        <v/>
      </c>
      <c r="AN323" s="192">
        <f>AL323-AK323</f>
        <v/>
      </c>
      <c r="AO323" s="76">
        <f>SUM(AY323,Y323:Z323,T323)*IF(AND(offer_incoterms="DDP",offer_sale_type&lt;&gt;"экспорт"),IF((TODAY()+offer_turnaround_time)&gt;=helpsheet!$L$17,rate_vatRU_from_26,rate_vatRu_till_25),0)</f>
        <v/>
      </c>
      <c r="AP323" s="193">
        <f>AN323-AO323</f>
        <v/>
      </c>
      <c r="AQ323" s="118">
        <f>IF(offer_sale_type="транзит",SUM(AF323:AI323,BA323,BB323),0)</f>
        <v/>
      </c>
      <c r="AR323" s="82">
        <f>HYPERLINK("https://www.alta.ru/tnved/code/")&amp;W323&amp;"/"</f>
        <v/>
      </c>
      <c r="AS323" s="157" t="n"/>
      <c r="AT323" s="162" t="n"/>
      <c r="AU323" s="76">
        <f>IF(ISBLANK(AT323),0,AJ323-AT323)</f>
        <v/>
      </c>
      <c r="AV323" s="157" t="n"/>
      <c r="AW323" s="75">
        <f>_xlfn.IFNA(VLOOKUP(L323,list_vat[],3,FALSE),0)</f>
        <v/>
      </c>
      <c r="AX323" s="76">
        <f>IFERROR(ROUND(S323*(1+AW323)/E323,2),0)</f>
        <v/>
      </c>
      <c r="AY323" s="76">
        <f>E323*AX323</f>
        <v/>
      </c>
      <c r="AZ323" s="192">
        <f>S323*(1+M323)</f>
        <v/>
      </c>
      <c r="BA323" s="76">
        <f>cost_fin_total*$BD323</f>
        <v/>
      </c>
      <c r="BB323" s="193">
        <f>credit_sales_interest*BD323</f>
        <v/>
      </c>
      <c r="BC323" s="102">
        <f>IFERROR(IF($I$13&gt;0,$I323/$I$13,$S323/$S$13),0)</f>
        <v/>
      </c>
      <c r="BD323" s="102">
        <f>IFERROR($S323/$S$13,0)</f>
        <v/>
      </c>
      <c r="BE323" s="413" t="inlineStr">
        <is>
          <t>$</t>
        </is>
      </c>
    </row>
    <row r="324" ht="12" customFormat="1" customHeight="1" s="65">
      <c r="A324" s="43" t="n">
        <v>309</v>
      </c>
      <c r="B324" s="166" t="n"/>
      <c r="C324" s="166" t="n"/>
      <c r="D324" s="166" t="n"/>
      <c r="E324" s="162" t="n"/>
      <c r="F324" s="166" t="n"/>
      <c r="G324" s="162" t="n"/>
      <c r="H324" s="162" t="n"/>
      <c r="I324" s="189">
        <f>E324*G324</f>
        <v/>
      </c>
      <c r="J324" s="195" t="n"/>
      <c r="K324" s="162" t="n"/>
      <c r="L324" s="168" t="n"/>
      <c r="M324" s="75">
        <f>_xlfn.XLOOKUP(L324,list_vat[Страна],list_vat[Ставка НДС %],0,0)</f>
        <v/>
      </c>
      <c r="N324" s="162">
        <f>IFERROR(IF(L324="Китай",K324,K324/(1+M324)),0)</f>
        <v/>
      </c>
      <c r="O324" s="169" t="n"/>
      <c r="P324" s="76">
        <f>N324*(1-O324)</f>
        <v/>
      </c>
      <c r="Q324" s="162" t="n"/>
      <c r="R324" s="162">
        <f>IF(ISBLANK(Q324),"введи курс",P324/Q324)</f>
        <v/>
      </c>
      <c r="S324" s="196">
        <f>IF(AND(ISNUMBER(E324),ISNUMBER(Q324)),E324*R324,0)</f>
        <v/>
      </c>
      <c r="T324" s="192">
        <f>$BC324*V$11</f>
        <v/>
      </c>
      <c r="U324" s="76">
        <f>$BC324*W$11</f>
        <v/>
      </c>
      <c r="V324" s="193">
        <f>+SUM(T324:U324)</f>
        <v/>
      </c>
      <c r="W324" s="191" t="n"/>
      <c r="X324" s="170" t="n"/>
      <c r="Y324" s="76">
        <f>ROUND(IF(offer_incoterms="DDP",X324*(S324*(1+AW324)+T324),0),2)</f>
        <v/>
      </c>
      <c r="Z324" s="188" t="n"/>
      <c r="AA324" s="192">
        <f>IFERROR(AB324/E324,0)</f>
        <v/>
      </c>
      <c r="AB324" s="76">
        <f>ROUND(SUM(S324,V324,Y324:Z324,BA324:BB324),2)</f>
        <v/>
      </c>
      <c r="AC324" s="797" t="n"/>
      <c r="AD324" s="192">
        <f t="array" ref="AD324">IFERROR(ROUND((_xlfn.IFS(offer_sale_type="поставка",AB324,offer_sale_type="транзит",S324)*(1+AC324))/E324,2),0)</f>
        <v/>
      </c>
      <c r="AE324" s="76">
        <f>AD324*E324</f>
        <v/>
      </c>
      <c r="AF324" s="193">
        <f t="array" ref="AF324">IFERROR(ROUND(_xlfn.IFS(offer_sale_type="поставка",AB324,offer_sale_type="транзит",S324)*AC324,2),0)</f>
        <v/>
      </c>
      <c r="AG324" s="192">
        <f>$BD324*VLOOKUP($AG$3,$AF$4:$AG$7,2,FALSE)</f>
        <v/>
      </c>
      <c r="AH324" s="76">
        <f>SUM(AE324,AG324,AI324)*rate_forex_risk</f>
        <v/>
      </c>
      <c r="AI324" s="193">
        <f>IF(OR(seller_region="TR",offer_sale_type="экспорт"),0,rate_fin_comm)*SUM(AZ324,AZ324*AW324,T324)</f>
        <v/>
      </c>
      <c r="AJ324" s="118">
        <f>IFERROR(ROUND(SUM(AB324,AF324:AI324)/E324,2),0)</f>
        <v/>
      </c>
      <c r="AK324" s="76">
        <f>AJ324*E324</f>
        <v/>
      </c>
      <c r="AL324" s="174">
        <f>ROUND(IFERROR(AM324*E324,0),2)</f>
        <v/>
      </c>
      <c r="AM324" s="175">
        <f>ROUND(AJ324*(1+IF(offer_incoterms="DDP",IF((TODAY()+offer_turnaround_time)&gt;=helpsheet!$L$17,rate_vatRU_from_26,rate_vatRu_till_25),0)),2)</f>
        <v/>
      </c>
      <c r="AN324" s="192">
        <f>AL324-AK324</f>
        <v/>
      </c>
      <c r="AO324" s="76">
        <f>SUM(AY324,Y324:Z324,T324)*IF(AND(offer_incoterms="DDP",offer_sale_type&lt;&gt;"экспорт"),IF((TODAY()+offer_turnaround_time)&gt;=helpsheet!$L$17,rate_vatRU_from_26,rate_vatRu_till_25),0)</f>
        <v/>
      </c>
      <c r="AP324" s="193">
        <f>AN324-AO324</f>
        <v/>
      </c>
      <c r="AQ324" s="118">
        <f>IF(offer_sale_type="транзит",SUM(AF324:AI324,BA324,BB324),0)</f>
        <v/>
      </c>
      <c r="AR324" s="82">
        <f>HYPERLINK("https://www.alta.ru/tnved/code/")&amp;W324&amp;"/"</f>
        <v/>
      </c>
      <c r="AS324" s="157" t="n"/>
      <c r="AT324" s="162" t="n"/>
      <c r="AU324" s="76">
        <f>IF(ISBLANK(AT324),0,AJ324-AT324)</f>
        <v/>
      </c>
      <c r="AV324" s="157" t="n"/>
      <c r="AW324" s="75">
        <f>_xlfn.IFNA(VLOOKUP(L324,list_vat[],3,FALSE),0)</f>
        <v/>
      </c>
      <c r="AX324" s="76">
        <f>IFERROR(ROUND(S324*(1+AW324)/E324,2),0)</f>
        <v/>
      </c>
      <c r="AY324" s="76">
        <f>E324*AX324</f>
        <v/>
      </c>
      <c r="AZ324" s="192">
        <f>S324*(1+M324)</f>
        <v/>
      </c>
      <c r="BA324" s="76">
        <f>cost_fin_total*$BD324</f>
        <v/>
      </c>
      <c r="BB324" s="193">
        <f>credit_sales_interest*BD324</f>
        <v/>
      </c>
      <c r="BC324" s="102">
        <f>IFERROR(IF($I$13&gt;0,$I324/$I$13,$S324/$S$13),0)</f>
        <v/>
      </c>
      <c r="BD324" s="102">
        <f>IFERROR($S324/$S$13,0)</f>
        <v/>
      </c>
      <c r="BE324" s="413" t="inlineStr">
        <is>
          <t>$</t>
        </is>
      </c>
    </row>
    <row r="325" ht="12" customFormat="1" customHeight="1" s="65">
      <c r="A325" s="43" t="n">
        <v>310</v>
      </c>
      <c r="B325" s="166" t="n"/>
      <c r="C325" s="166" t="n"/>
      <c r="D325" s="166" t="n"/>
      <c r="E325" s="162" t="n"/>
      <c r="F325" s="166" t="n"/>
      <c r="G325" s="162" t="n"/>
      <c r="H325" s="162" t="n"/>
      <c r="I325" s="189">
        <f>E325*G325</f>
        <v/>
      </c>
      <c r="J325" s="195" t="n"/>
      <c r="K325" s="162" t="n"/>
      <c r="L325" s="168" t="n"/>
      <c r="M325" s="75">
        <f>_xlfn.XLOOKUP(L325,list_vat[Страна],list_vat[Ставка НДС %],0,0)</f>
        <v/>
      </c>
      <c r="N325" s="162">
        <f>IFERROR(IF(L325="Китай",K325,K325/(1+M325)),0)</f>
        <v/>
      </c>
      <c r="O325" s="169" t="n"/>
      <c r="P325" s="76">
        <f>N325*(1-O325)</f>
        <v/>
      </c>
      <c r="Q325" s="162" t="n"/>
      <c r="R325" s="162">
        <f>IF(ISBLANK(Q325),"введи курс",P325/Q325)</f>
        <v/>
      </c>
      <c r="S325" s="196">
        <f>IF(AND(ISNUMBER(E325),ISNUMBER(Q325)),E325*R325,0)</f>
        <v/>
      </c>
      <c r="T325" s="192">
        <f>$BC325*V$11</f>
        <v/>
      </c>
      <c r="U325" s="76">
        <f>$BC325*W$11</f>
        <v/>
      </c>
      <c r="V325" s="193">
        <f>+SUM(T325:U325)</f>
        <v/>
      </c>
      <c r="W325" s="191" t="n"/>
      <c r="X325" s="170" t="n"/>
      <c r="Y325" s="76">
        <f>ROUND(IF(offer_incoterms="DDP",X325*(S325*(1+AW325)+T325),0),2)</f>
        <v/>
      </c>
      <c r="Z325" s="188" t="n"/>
      <c r="AA325" s="192">
        <f>IFERROR(AB325/E325,0)</f>
        <v/>
      </c>
      <c r="AB325" s="76">
        <f>ROUND(SUM(S325,V325,Y325:Z325,BA325:BB325),2)</f>
        <v/>
      </c>
      <c r="AC325" s="797" t="n"/>
      <c r="AD325" s="192">
        <f t="array" ref="AD325">IFERROR(ROUND((_xlfn.IFS(offer_sale_type="поставка",AB325,offer_sale_type="транзит",S325)*(1+AC325))/E325,2),0)</f>
        <v/>
      </c>
      <c r="AE325" s="76">
        <f>AD325*E325</f>
        <v/>
      </c>
      <c r="AF325" s="193">
        <f t="array" ref="AF325">IFERROR(ROUND(_xlfn.IFS(offer_sale_type="поставка",AB325,offer_sale_type="транзит",S325)*AC325,2),0)</f>
        <v/>
      </c>
      <c r="AG325" s="192">
        <f>$BD325*VLOOKUP($AG$3,$AF$4:$AG$7,2,FALSE)</f>
        <v/>
      </c>
      <c r="AH325" s="76">
        <f>SUM(AE325,AG325,AI325)*rate_forex_risk</f>
        <v/>
      </c>
      <c r="AI325" s="193">
        <f>IF(OR(seller_region="TR",offer_sale_type="экспорт"),0,rate_fin_comm)*SUM(AZ325,AZ325*AW325,T325)</f>
        <v/>
      </c>
      <c r="AJ325" s="118">
        <f>IFERROR(ROUND(SUM(AB325,AF325:AI325)/E325,2),0)</f>
        <v/>
      </c>
      <c r="AK325" s="76">
        <f>AJ325*E325</f>
        <v/>
      </c>
      <c r="AL325" s="174">
        <f>ROUND(IFERROR(AM325*E325,0),2)</f>
        <v/>
      </c>
      <c r="AM325" s="175">
        <f>ROUND(AJ325*(1+IF(offer_incoterms="DDP",IF((TODAY()+offer_turnaround_time)&gt;=helpsheet!$L$17,rate_vatRU_from_26,rate_vatRu_till_25),0)),2)</f>
        <v/>
      </c>
      <c r="AN325" s="192">
        <f>AL325-AK325</f>
        <v/>
      </c>
      <c r="AO325" s="76">
        <f>SUM(AY325,Y325:Z325,T325)*IF(AND(offer_incoterms="DDP",offer_sale_type&lt;&gt;"экспорт"),IF((TODAY()+offer_turnaround_time)&gt;=helpsheet!$L$17,rate_vatRU_from_26,rate_vatRu_till_25),0)</f>
        <v/>
      </c>
      <c r="AP325" s="193">
        <f>AN325-AO325</f>
        <v/>
      </c>
      <c r="AQ325" s="118">
        <f>IF(offer_sale_type="транзит",SUM(AF325:AI325,BA325,BB325),0)</f>
        <v/>
      </c>
      <c r="AR325" s="82">
        <f>HYPERLINK("https://www.alta.ru/tnved/code/")&amp;W325&amp;"/"</f>
        <v/>
      </c>
      <c r="AS325" s="157" t="n"/>
      <c r="AT325" s="162" t="n"/>
      <c r="AU325" s="76">
        <f>IF(ISBLANK(AT325),0,AJ325-AT325)</f>
        <v/>
      </c>
      <c r="AV325" s="157" t="n"/>
      <c r="AW325" s="75">
        <f>_xlfn.IFNA(VLOOKUP(L325,list_vat[],3,FALSE),0)</f>
        <v/>
      </c>
      <c r="AX325" s="76">
        <f>IFERROR(ROUND(S325*(1+AW325)/E325,2),0)</f>
        <v/>
      </c>
      <c r="AY325" s="76">
        <f>E325*AX325</f>
        <v/>
      </c>
      <c r="AZ325" s="192">
        <f>S325*(1+M325)</f>
        <v/>
      </c>
      <c r="BA325" s="76">
        <f>cost_fin_total*$BD325</f>
        <v/>
      </c>
      <c r="BB325" s="193">
        <f>credit_sales_interest*BD325</f>
        <v/>
      </c>
      <c r="BC325" s="102">
        <f>IFERROR(IF($I$13&gt;0,$I325/$I$13,$S325/$S$13),0)</f>
        <v/>
      </c>
      <c r="BD325" s="102">
        <f>IFERROR($S325/$S$13,0)</f>
        <v/>
      </c>
      <c r="BE325" s="413" t="inlineStr">
        <is>
          <t>$</t>
        </is>
      </c>
    </row>
    <row r="326" ht="12" customFormat="1" customHeight="1" s="65">
      <c r="A326" s="43" t="n">
        <v>311</v>
      </c>
      <c r="B326" s="166" t="n"/>
      <c r="C326" s="166" t="n"/>
      <c r="D326" s="166" t="n"/>
      <c r="E326" s="162" t="n"/>
      <c r="F326" s="166" t="n"/>
      <c r="G326" s="162" t="n"/>
      <c r="H326" s="162" t="n"/>
      <c r="I326" s="189">
        <f>E326*G326</f>
        <v/>
      </c>
      <c r="J326" s="195" t="n"/>
      <c r="K326" s="162" t="n"/>
      <c r="L326" s="168" t="n"/>
      <c r="M326" s="75">
        <f>_xlfn.XLOOKUP(L326,list_vat[Страна],list_vat[Ставка НДС %],0,0)</f>
        <v/>
      </c>
      <c r="N326" s="162">
        <f>IFERROR(IF(L326="Китай",K326,K326/(1+M326)),0)</f>
        <v/>
      </c>
      <c r="O326" s="169" t="n"/>
      <c r="P326" s="76">
        <f>N326*(1-O326)</f>
        <v/>
      </c>
      <c r="Q326" s="162" t="n"/>
      <c r="R326" s="162">
        <f>IF(ISBLANK(Q326),"введи курс",P326/Q326)</f>
        <v/>
      </c>
      <c r="S326" s="196">
        <f>IF(AND(ISNUMBER(E326),ISNUMBER(Q326)),E326*R326,0)</f>
        <v/>
      </c>
      <c r="T326" s="192">
        <f>$BC326*V$11</f>
        <v/>
      </c>
      <c r="U326" s="76">
        <f>$BC326*W$11</f>
        <v/>
      </c>
      <c r="V326" s="193">
        <f>+SUM(T326:U326)</f>
        <v/>
      </c>
      <c r="W326" s="191" t="n"/>
      <c r="X326" s="170" t="n"/>
      <c r="Y326" s="76">
        <f>ROUND(IF(offer_incoterms="DDP",X326*(S326*(1+AW326)+T326),0),2)</f>
        <v/>
      </c>
      <c r="Z326" s="188" t="n"/>
      <c r="AA326" s="192">
        <f>IFERROR(AB326/E326,0)</f>
        <v/>
      </c>
      <c r="AB326" s="76">
        <f>ROUND(SUM(S326,V326,Y326:Z326,BA326:BB326),2)</f>
        <v/>
      </c>
      <c r="AC326" s="797" t="n"/>
      <c r="AD326" s="192">
        <f t="array" ref="AD326">IFERROR(ROUND((_xlfn.IFS(offer_sale_type="поставка",AB326,offer_sale_type="транзит",S326)*(1+AC326))/E326,2),0)</f>
        <v/>
      </c>
      <c r="AE326" s="76">
        <f>AD326*E326</f>
        <v/>
      </c>
      <c r="AF326" s="193">
        <f t="array" ref="AF326">IFERROR(ROUND(_xlfn.IFS(offer_sale_type="поставка",AB326,offer_sale_type="транзит",S326)*AC326,2),0)</f>
        <v/>
      </c>
      <c r="AG326" s="192">
        <f>$BD326*VLOOKUP($AG$3,$AF$4:$AG$7,2,FALSE)</f>
        <v/>
      </c>
      <c r="AH326" s="76">
        <f>SUM(AE326,AG326,AI326)*rate_forex_risk</f>
        <v/>
      </c>
      <c r="AI326" s="193">
        <f>IF(OR(seller_region="TR",offer_sale_type="экспорт"),0,rate_fin_comm)*SUM(AZ326,AZ326*AW326,T326)</f>
        <v/>
      </c>
      <c r="AJ326" s="118">
        <f>IFERROR(ROUND(SUM(AB326,AF326:AI326)/E326,2),0)</f>
        <v/>
      </c>
      <c r="AK326" s="76">
        <f>AJ326*E326</f>
        <v/>
      </c>
      <c r="AL326" s="174">
        <f>ROUND(IFERROR(AM326*E326,0),2)</f>
        <v/>
      </c>
      <c r="AM326" s="175">
        <f>ROUND(AJ326*(1+IF(offer_incoterms="DDP",IF((TODAY()+offer_turnaround_time)&gt;=helpsheet!$L$17,rate_vatRU_from_26,rate_vatRu_till_25),0)),2)</f>
        <v/>
      </c>
      <c r="AN326" s="192">
        <f>AL326-AK326</f>
        <v/>
      </c>
      <c r="AO326" s="76">
        <f>SUM(AY326,Y326:Z326,T326)*IF(AND(offer_incoterms="DDP",offer_sale_type&lt;&gt;"экспорт"),IF((TODAY()+offer_turnaround_time)&gt;=helpsheet!$L$17,rate_vatRU_from_26,rate_vatRu_till_25),0)</f>
        <v/>
      </c>
      <c r="AP326" s="193">
        <f>AN326-AO326</f>
        <v/>
      </c>
      <c r="AQ326" s="118">
        <f>IF(offer_sale_type="транзит",SUM(AF326:AI326,BA326,BB326),0)</f>
        <v/>
      </c>
      <c r="AR326" s="82">
        <f>HYPERLINK("https://www.alta.ru/tnved/code/")&amp;W326&amp;"/"</f>
        <v/>
      </c>
      <c r="AS326" s="157" t="n"/>
      <c r="AT326" s="162" t="n"/>
      <c r="AU326" s="76">
        <f>IF(ISBLANK(AT326),0,AJ326-AT326)</f>
        <v/>
      </c>
      <c r="AV326" s="157" t="n"/>
      <c r="AW326" s="75">
        <f>_xlfn.IFNA(VLOOKUP(L326,list_vat[],3,FALSE),0)</f>
        <v/>
      </c>
      <c r="AX326" s="76">
        <f>IFERROR(ROUND(S326*(1+AW326)/E326,2),0)</f>
        <v/>
      </c>
      <c r="AY326" s="76">
        <f>E326*AX326</f>
        <v/>
      </c>
      <c r="AZ326" s="192">
        <f>S326*(1+M326)</f>
        <v/>
      </c>
      <c r="BA326" s="76">
        <f>cost_fin_total*$BD326</f>
        <v/>
      </c>
      <c r="BB326" s="193">
        <f>credit_sales_interest*BD326</f>
        <v/>
      </c>
      <c r="BC326" s="102">
        <f>IFERROR(IF($I$13&gt;0,$I326/$I$13,$S326/$S$13),0)</f>
        <v/>
      </c>
      <c r="BD326" s="102">
        <f>IFERROR($S326/$S$13,0)</f>
        <v/>
      </c>
      <c r="BE326" s="413" t="inlineStr">
        <is>
          <t>$</t>
        </is>
      </c>
    </row>
    <row r="327" ht="12" customFormat="1" customHeight="1" s="65">
      <c r="A327" s="43" t="n">
        <v>312</v>
      </c>
      <c r="B327" s="166" t="n"/>
      <c r="C327" s="166" t="n"/>
      <c r="D327" s="166" t="n"/>
      <c r="E327" s="162" t="n"/>
      <c r="F327" s="166" t="n"/>
      <c r="G327" s="162" t="n"/>
      <c r="H327" s="162" t="n"/>
      <c r="I327" s="189">
        <f>E327*G327</f>
        <v/>
      </c>
      <c r="J327" s="195" t="n"/>
      <c r="K327" s="162" t="n"/>
      <c r="L327" s="168" t="n"/>
      <c r="M327" s="75">
        <f>_xlfn.XLOOKUP(L327,list_vat[Страна],list_vat[Ставка НДС %],0,0)</f>
        <v/>
      </c>
      <c r="N327" s="162">
        <f>IFERROR(IF(L327="Китай",K327,K327/(1+M327)),0)</f>
        <v/>
      </c>
      <c r="O327" s="169" t="n"/>
      <c r="P327" s="76">
        <f>N327*(1-O327)</f>
        <v/>
      </c>
      <c r="Q327" s="162" t="n"/>
      <c r="R327" s="162">
        <f>IF(ISBLANK(Q327),"введи курс",P327/Q327)</f>
        <v/>
      </c>
      <c r="S327" s="196">
        <f>IF(AND(ISNUMBER(E327),ISNUMBER(Q327)),E327*R327,0)</f>
        <v/>
      </c>
      <c r="T327" s="192">
        <f>$BC327*V$11</f>
        <v/>
      </c>
      <c r="U327" s="76">
        <f>$BC327*W$11</f>
        <v/>
      </c>
      <c r="V327" s="193">
        <f>+SUM(T327:U327)</f>
        <v/>
      </c>
      <c r="W327" s="191" t="n"/>
      <c r="X327" s="170" t="n"/>
      <c r="Y327" s="76">
        <f>ROUND(IF(offer_incoterms="DDP",X327*(S327*(1+AW327)+T327),0),2)</f>
        <v/>
      </c>
      <c r="Z327" s="188" t="n"/>
      <c r="AA327" s="192">
        <f>IFERROR(AB327/E327,0)</f>
        <v/>
      </c>
      <c r="AB327" s="76">
        <f>ROUND(SUM(S327,V327,Y327:Z327,BA327:BB327),2)</f>
        <v/>
      </c>
      <c r="AC327" s="797" t="n"/>
      <c r="AD327" s="192">
        <f t="array" ref="AD327">IFERROR(ROUND((_xlfn.IFS(offer_sale_type="поставка",AB327,offer_sale_type="транзит",S327)*(1+AC327))/E327,2),0)</f>
        <v/>
      </c>
      <c r="AE327" s="76">
        <f>AD327*E327</f>
        <v/>
      </c>
      <c r="AF327" s="193">
        <f t="array" ref="AF327">IFERROR(ROUND(_xlfn.IFS(offer_sale_type="поставка",AB327,offer_sale_type="транзит",S327)*AC327,2),0)</f>
        <v/>
      </c>
      <c r="AG327" s="192">
        <f>$BD327*VLOOKUP($AG$3,$AF$4:$AG$7,2,FALSE)</f>
        <v/>
      </c>
      <c r="AH327" s="76">
        <f>SUM(AE327,AG327,AI327)*rate_forex_risk</f>
        <v/>
      </c>
      <c r="AI327" s="193">
        <f>IF(OR(seller_region="TR",offer_sale_type="экспорт"),0,rate_fin_comm)*SUM(AZ327,AZ327*AW327,T327)</f>
        <v/>
      </c>
      <c r="AJ327" s="118">
        <f>IFERROR(ROUND(SUM(AB327,AF327:AI327)/E327,2),0)</f>
        <v/>
      </c>
      <c r="AK327" s="76">
        <f>AJ327*E327</f>
        <v/>
      </c>
      <c r="AL327" s="174">
        <f>ROUND(IFERROR(AM327*E327,0),2)</f>
        <v/>
      </c>
      <c r="AM327" s="175">
        <f>ROUND(AJ327*(1+IF(offer_incoterms="DDP",IF((TODAY()+offer_turnaround_time)&gt;=helpsheet!$L$17,rate_vatRU_from_26,rate_vatRu_till_25),0)),2)</f>
        <v/>
      </c>
      <c r="AN327" s="192">
        <f>AL327-AK327</f>
        <v/>
      </c>
      <c r="AO327" s="76">
        <f>SUM(AY327,Y327:Z327,T327)*IF(AND(offer_incoterms="DDP",offer_sale_type&lt;&gt;"экспорт"),IF((TODAY()+offer_turnaround_time)&gt;=helpsheet!$L$17,rate_vatRU_from_26,rate_vatRu_till_25),0)</f>
        <v/>
      </c>
      <c r="AP327" s="193">
        <f>AN327-AO327</f>
        <v/>
      </c>
      <c r="AQ327" s="118">
        <f>IF(offer_sale_type="транзит",SUM(AF327:AI327,BA327,BB327),0)</f>
        <v/>
      </c>
      <c r="AR327" s="82">
        <f>HYPERLINK("https://www.alta.ru/tnved/code/")&amp;W327&amp;"/"</f>
        <v/>
      </c>
      <c r="AS327" s="157" t="n"/>
      <c r="AT327" s="162" t="n"/>
      <c r="AU327" s="76">
        <f>IF(ISBLANK(AT327),0,AJ327-AT327)</f>
        <v/>
      </c>
      <c r="AV327" s="157" t="n"/>
      <c r="AW327" s="75">
        <f>_xlfn.IFNA(VLOOKUP(L327,list_vat[],3,FALSE),0)</f>
        <v/>
      </c>
      <c r="AX327" s="76">
        <f>IFERROR(ROUND(S327*(1+AW327)/E327,2),0)</f>
        <v/>
      </c>
      <c r="AY327" s="76">
        <f>E327*AX327</f>
        <v/>
      </c>
      <c r="AZ327" s="192">
        <f>S327*(1+M327)</f>
        <v/>
      </c>
      <c r="BA327" s="76">
        <f>cost_fin_total*$BD327</f>
        <v/>
      </c>
      <c r="BB327" s="193">
        <f>credit_sales_interest*BD327</f>
        <v/>
      </c>
      <c r="BC327" s="102">
        <f>IFERROR(IF($I$13&gt;0,$I327/$I$13,$S327/$S$13),0)</f>
        <v/>
      </c>
      <c r="BD327" s="102">
        <f>IFERROR($S327/$S$13,0)</f>
        <v/>
      </c>
      <c r="BE327" s="413" t="inlineStr">
        <is>
          <t>$</t>
        </is>
      </c>
    </row>
    <row r="328" ht="12" customFormat="1" customHeight="1" s="65">
      <c r="A328" s="43" t="n">
        <v>313</v>
      </c>
      <c r="B328" s="166" t="n"/>
      <c r="C328" s="166" t="n"/>
      <c r="D328" s="166" t="n"/>
      <c r="E328" s="162" t="n"/>
      <c r="F328" s="166" t="n"/>
      <c r="G328" s="162" t="n"/>
      <c r="H328" s="162" t="n"/>
      <c r="I328" s="189">
        <f>E328*G328</f>
        <v/>
      </c>
      <c r="J328" s="195" t="n"/>
      <c r="K328" s="162" t="n"/>
      <c r="L328" s="168" t="n"/>
      <c r="M328" s="75">
        <f>_xlfn.XLOOKUP(L328,list_vat[Страна],list_vat[Ставка НДС %],0,0)</f>
        <v/>
      </c>
      <c r="N328" s="162">
        <f>IFERROR(IF(L328="Китай",K328,K328/(1+M328)),0)</f>
        <v/>
      </c>
      <c r="O328" s="169" t="n"/>
      <c r="P328" s="76">
        <f>N328*(1-O328)</f>
        <v/>
      </c>
      <c r="Q328" s="162" t="n"/>
      <c r="R328" s="162">
        <f>IF(ISBLANK(Q328),"введи курс",P328/Q328)</f>
        <v/>
      </c>
      <c r="S328" s="196">
        <f>IF(AND(ISNUMBER(E328),ISNUMBER(Q328)),E328*R328,0)</f>
        <v/>
      </c>
      <c r="T328" s="192">
        <f>$BC328*V$11</f>
        <v/>
      </c>
      <c r="U328" s="76">
        <f>$BC328*W$11</f>
        <v/>
      </c>
      <c r="V328" s="193">
        <f>+SUM(T328:U328)</f>
        <v/>
      </c>
      <c r="W328" s="191" t="n"/>
      <c r="X328" s="170" t="n"/>
      <c r="Y328" s="76">
        <f>ROUND(IF(offer_incoterms="DDP",X328*(S328*(1+AW328)+T328),0),2)</f>
        <v/>
      </c>
      <c r="Z328" s="188" t="n"/>
      <c r="AA328" s="192">
        <f>IFERROR(AB328/E328,0)</f>
        <v/>
      </c>
      <c r="AB328" s="76">
        <f>ROUND(SUM(S328,V328,Y328:Z328,BA328:BB328),2)</f>
        <v/>
      </c>
      <c r="AC328" s="797" t="n"/>
      <c r="AD328" s="192">
        <f t="array" ref="AD328">IFERROR(ROUND((_xlfn.IFS(offer_sale_type="поставка",AB328,offer_sale_type="транзит",S328)*(1+AC328))/E328,2),0)</f>
        <v/>
      </c>
      <c r="AE328" s="76">
        <f>AD328*E328</f>
        <v/>
      </c>
      <c r="AF328" s="193">
        <f t="array" ref="AF328">IFERROR(ROUND(_xlfn.IFS(offer_sale_type="поставка",AB328,offer_sale_type="транзит",S328)*AC328,2),0)</f>
        <v/>
      </c>
      <c r="AG328" s="192">
        <f>$BD328*VLOOKUP($AG$3,$AF$4:$AG$7,2,FALSE)</f>
        <v/>
      </c>
      <c r="AH328" s="76">
        <f>SUM(AE328,AG328,AI328)*rate_forex_risk</f>
        <v/>
      </c>
      <c r="AI328" s="193">
        <f>IF(OR(seller_region="TR",offer_sale_type="экспорт"),0,rate_fin_comm)*SUM(AZ328,AZ328*AW328,T328)</f>
        <v/>
      </c>
      <c r="AJ328" s="118">
        <f>IFERROR(ROUND(SUM(AB328,AF328:AI328)/E328,2),0)</f>
        <v/>
      </c>
      <c r="AK328" s="76">
        <f>AJ328*E328</f>
        <v/>
      </c>
      <c r="AL328" s="174">
        <f>ROUND(IFERROR(AM328*E328,0),2)</f>
        <v/>
      </c>
      <c r="AM328" s="175">
        <f>ROUND(AJ328*(1+IF(offer_incoterms="DDP",IF((TODAY()+offer_turnaround_time)&gt;=helpsheet!$L$17,rate_vatRU_from_26,rate_vatRu_till_25),0)),2)</f>
        <v/>
      </c>
      <c r="AN328" s="192">
        <f>AL328-AK328</f>
        <v/>
      </c>
      <c r="AO328" s="76">
        <f>SUM(AY328,Y328:Z328,T328)*IF(AND(offer_incoterms="DDP",offer_sale_type&lt;&gt;"экспорт"),IF((TODAY()+offer_turnaround_time)&gt;=helpsheet!$L$17,rate_vatRU_from_26,rate_vatRu_till_25),0)</f>
        <v/>
      </c>
      <c r="AP328" s="193">
        <f>AN328-AO328</f>
        <v/>
      </c>
      <c r="AQ328" s="118">
        <f>IF(offer_sale_type="транзит",SUM(AF328:AI328,BA328,BB328),0)</f>
        <v/>
      </c>
      <c r="AR328" s="82">
        <f>HYPERLINK("https://www.alta.ru/tnved/code/")&amp;W328&amp;"/"</f>
        <v/>
      </c>
      <c r="AS328" s="157" t="n"/>
      <c r="AT328" s="162" t="n"/>
      <c r="AU328" s="76">
        <f>IF(ISBLANK(AT328),0,AJ328-AT328)</f>
        <v/>
      </c>
      <c r="AV328" s="157" t="n"/>
      <c r="AW328" s="75">
        <f>_xlfn.IFNA(VLOOKUP(L328,list_vat[],3,FALSE),0)</f>
        <v/>
      </c>
      <c r="AX328" s="76">
        <f>IFERROR(ROUND(S328*(1+AW328)/E328,2),0)</f>
        <v/>
      </c>
      <c r="AY328" s="76">
        <f>E328*AX328</f>
        <v/>
      </c>
      <c r="AZ328" s="192">
        <f>S328*(1+M328)</f>
        <v/>
      </c>
      <c r="BA328" s="76">
        <f>cost_fin_total*$BD328</f>
        <v/>
      </c>
      <c r="BB328" s="193">
        <f>credit_sales_interest*BD328</f>
        <v/>
      </c>
      <c r="BC328" s="102">
        <f>IFERROR(IF($I$13&gt;0,$I328/$I$13,$S328/$S$13),0)</f>
        <v/>
      </c>
      <c r="BD328" s="102">
        <f>IFERROR($S328/$S$13,0)</f>
        <v/>
      </c>
      <c r="BE328" s="413" t="inlineStr">
        <is>
          <t>$</t>
        </is>
      </c>
    </row>
    <row r="329" ht="12" customFormat="1" customHeight="1" s="65">
      <c r="A329" s="43" t="n">
        <v>314</v>
      </c>
      <c r="B329" s="166" t="n"/>
      <c r="C329" s="166" t="n"/>
      <c r="D329" s="166" t="n"/>
      <c r="E329" s="162" t="n"/>
      <c r="F329" s="166" t="n"/>
      <c r="G329" s="162" t="n"/>
      <c r="H329" s="162" t="n"/>
      <c r="I329" s="189">
        <f>E329*G329</f>
        <v/>
      </c>
      <c r="J329" s="195" t="n"/>
      <c r="K329" s="162" t="n"/>
      <c r="L329" s="168" t="n"/>
      <c r="M329" s="75">
        <f>_xlfn.XLOOKUP(L329,list_vat[Страна],list_vat[Ставка НДС %],0,0)</f>
        <v/>
      </c>
      <c r="N329" s="162">
        <f>IFERROR(IF(L329="Китай",K329,K329/(1+M329)),0)</f>
        <v/>
      </c>
      <c r="O329" s="169" t="n"/>
      <c r="P329" s="76">
        <f>N329*(1-O329)</f>
        <v/>
      </c>
      <c r="Q329" s="162" t="n"/>
      <c r="R329" s="162">
        <f>IF(ISBLANK(Q329),"введи курс",P329/Q329)</f>
        <v/>
      </c>
      <c r="S329" s="196">
        <f>IF(AND(ISNUMBER(E329),ISNUMBER(Q329)),E329*R329,0)</f>
        <v/>
      </c>
      <c r="T329" s="192">
        <f>$BC329*V$11</f>
        <v/>
      </c>
      <c r="U329" s="76">
        <f>$BC329*W$11</f>
        <v/>
      </c>
      <c r="V329" s="193">
        <f>+SUM(T329:U329)</f>
        <v/>
      </c>
      <c r="W329" s="191" t="n"/>
      <c r="X329" s="170" t="n"/>
      <c r="Y329" s="76">
        <f>ROUND(IF(offer_incoterms="DDP",X329*(S329*(1+AW329)+T329),0),2)</f>
        <v/>
      </c>
      <c r="Z329" s="188" t="n"/>
      <c r="AA329" s="192">
        <f>IFERROR(AB329/E329,0)</f>
        <v/>
      </c>
      <c r="AB329" s="76">
        <f>ROUND(SUM(S329,V329,Y329:Z329,BA329:BB329),2)</f>
        <v/>
      </c>
      <c r="AC329" s="797" t="n"/>
      <c r="AD329" s="192">
        <f t="array" ref="AD329">IFERROR(ROUND((_xlfn.IFS(offer_sale_type="поставка",AB329,offer_sale_type="транзит",S329)*(1+AC329))/E329,2),0)</f>
        <v/>
      </c>
      <c r="AE329" s="76">
        <f>AD329*E329</f>
        <v/>
      </c>
      <c r="AF329" s="193">
        <f t="array" ref="AF329">IFERROR(ROUND(_xlfn.IFS(offer_sale_type="поставка",AB329,offer_sale_type="транзит",S329)*AC329,2),0)</f>
        <v/>
      </c>
      <c r="AG329" s="192">
        <f>$BD329*VLOOKUP($AG$3,$AF$4:$AG$7,2,FALSE)</f>
        <v/>
      </c>
      <c r="AH329" s="76">
        <f>SUM(AE329,AG329,AI329)*rate_forex_risk</f>
        <v/>
      </c>
      <c r="AI329" s="193">
        <f>IF(OR(seller_region="TR",offer_sale_type="экспорт"),0,rate_fin_comm)*SUM(AZ329,AZ329*AW329,T329)</f>
        <v/>
      </c>
      <c r="AJ329" s="118">
        <f>IFERROR(ROUND(SUM(AB329,AF329:AI329)/E329,2),0)</f>
        <v/>
      </c>
      <c r="AK329" s="76">
        <f>AJ329*E329</f>
        <v/>
      </c>
      <c r="AL329" s="174">
        <f>ROUND(IFERROR(AM329*E329,0),2)</f>
        <v/>
      </c>
      <c r="AM329" s="175">
        <f>ROUND(AJ329*(1+IF(offer_incoterms="DDP",IF((TODAY()+offer_turnaround_time)&gt;=helpsheet!$L$17,rate_vatRU_from_26,rate_vatRu_till_25),0)),2)</f>
        <v/>
      </c>
      <c r="AN329" s="192">
        <f>AL329-AK329</f>
        <v/>
      </c>
      <c r="AO329" s="76">
        <f>SUM(AY329,Y329:Z329,T329)*IF(AND(offer_incoterms="DDP",offer_sale_type&lt;&gt;"экспорт"),IF((TODAY()+offer_turnaround_time)&gt;=helpsheet!$L$17,rate_vatRU_from_26,rate_vatRu_till_25),0)</f>
        <v/>
      </c>
      <c r="AP329" s="193">
        <f>AN329-AO329</f>
        <v/>
      </c>
      <c r="AQ329" s="118">
        <f>IF(offer_sale_type="транзит",SUM(AF329:AI329,BA329,BB329),0)</f>
        <v/>
      </c>
      <c r="AR329" s="82">
        <f>HYPERLINK("https://www.alta.ru/tnved/code/")&amp;W329&amp;"/"</f>
        <v/>
      </c>
      <c r="AS329" s="157" t="n"/>
      <c r="AT329" s="162" t="n"/>
      <c r="AU329" s="76">
        <f>IF(ISBLANK(AT329),0,AJ329-AT329)</f>
        <v/>
      </c>
      <c r="AV329" s="157" t="n"/>
      <c r="AW329" s="75">
        <f>_xlfn.IFNA(VLOOKUP(L329,list_vat[],3,FALSE),0)</f>
        <v/>
      </c>
      <c r="AX329" s="76">
        <f>IFERROR(ROUND(S329*(1+AW329)/E329,2),0)</f>
        <v/>
      </c>
      <c r="AY329" s="76">
        <f>E329*AX329</f>
        <v/>
      </c>
      <c r="AZ329" s="192">
        <f>S329*(1+M329)</f>
        <v/>
      </c>
      <c r="BA329" s="76">
        <f>cost_fin_total*$BD329</f>
        <v/>
      </c>
      <c r="BB329" s="193">
        <f>credit_sales_interest*BD329</f>
        <v/>
      </c>
      <c r="BC329" s="102">
        <f>IFERROR(IF($I$13&gt;0,$I329/$I$13,$S329/$S$13),0)</f>
        <v/>
      </c>
      <c r="BD329" s="102">
        <f>IFERROR($S329/$S$13,0)</f>
        <v/>
      </c>
      <c r="BE329" s="413" t="inlineStr">
        <is>
          <t>$</t>
        </is>
      </c>
    </row>
    <row r="330" ht="12" customFormat="1" customHeight="1" s="65">
      <c r="A330" s="43" t="n">
        <v>315</v>
      </c>
      <c r="B330" s="166" t="n"/>
      <c r="C330" s="166" t="n"/>
      <c r="D330" s="166" t="n"/>
      <c r="E330" s="162" t="n"/>
      <c r="F330" s="166" t="n"/>
      <c r="G330" s="162" t="n"/>
      <c r="H330" s="162" t="n"/>
      <c r="I330" s="189">
        <f>E330*G330</f>
        <v/>
      </c>
      <c r="J330" s="195" t="n"/>
      <c r="K330" s="162" t="n"/>
      <c r="L330" s="168" t="n"/>
      <c r="M330" s="75">
        <f>_xlfn.XLOOKUP(L330,list_vat[Страна],list_vat[Ставка НДС %],0,0)</f>
        <v/>
      </c>
      <c r="N330" s="162">
        <f>IFERROR(IF(L330="Китай",K330,K330/(1+M330)),0)</f>
        <v/>
      </c>
      <c r="O330" s="169" t="n"/>
      <c r="P330" s="76">
        <f>N330*(1-O330)</f>
        <v/>
      </c>
      <c r="Q330" s="162" t="n"/>
      <c r="R330" s="162">
        <f>IF(ISBLANK(Q330),"введи курс",P330/Q330)</f>
        <v/>
      </c>
      <c r="S330" s="196">
        <f>IF(AND(ISNUMBER(E330),ISNUMBER(Q330)),E330*R330,0)</f>
        <v/>
      </c>
      <c r="T330" s="192">
        <f>$BC330*V$11</f>
        <v/>
      </c>
      <c r="U330" s="76">
        <f>$BC330*W$11</f>
        <v/>
      </c>
      <c r="V330" s="193">
        <f>+SUM(T330:U330)</f>
        <v/>
      </c>
      <c r="W330" s="191" t="n"/>
      <c r="X330" s="170" t="n"/>
      <c r="Y330" s="76">
        <f>ROUND(IF(offer_incoterms="DDP",X330*(S330*(1+AW330)+T330),0),2)</f>
        <v/>
      </c>
      <c r="Z330" s="188" t="n"/>
      <c r="AA330" s="192">
        <f>IFERROR(AB330/E330,0)</f>
        <v/>
      </c>
      <c r="AB330" s="76">
        <f>ROUND(SUM(S330,V330,Y330:Z330,BA330:BB330),2)</f>
        <v/>
      </c>
      <c r="AC330" s="797" t="n"/>
      <c r="AD330" s="192">
        <f t="array" ref="AD330">IFERROR(ROUND((_xlfn.IFS(offer_sale_type="поставка",AB330,offer_sale_type="транзит",S330)*(1+AC330))/E330,2),0)</f>
        <v/>
      </c>
      <c r="AE330" s="76">
        <f>AD330*E330</f>
        <v/>
      </c>
      <c r="AF330" s="193">
        <f t="array" ref="AF330">IFERROR(ROUND(_xlfn.IFS(offer_sale_type="поставка",AB330,offer_sale_type="транзит",S330)*AC330,2),0)</f>
        <v/>
      </c>
      <c r="AG330" s="192">
        <f>$BD330*VLOOKUP($AG$3,$AF$4:$AG$7,2,FALSE)</f>
        <v/>
      </c>
      <c r="AH330" s="76">
        <f>SUM(AE330,AG330,AI330)*rate_forex_risk</f>
        <v/>
      </c>
      <c r="AI330" s="193">
        <f>IF(OR(seller_region="TR",offer_sale_type="экспорт"),0,rate_fin_comm)*SUM(AZ330,AZ330*AW330,T330)</f>
        <v/>
      </c>
      <c r="AJ330" s="118">
        <f>IFERROR(ROUND(SUM(AB330,AF330:AI330)/E330,2),0)</f>
        <v/>
      </c>
      <c r="AK330" s="76">
        <f>AJ330*E330</f>
        <v/>
      </c>
      <c r="AL330" s="174">
        <f>ROUND(IFERROR(AM330*E330,0),2)</f>
        <v/>
      </c>
      <c r="AM330" s="175">
        <f>ROUND(AJ330*(1+IF(offer_incoterms="DDP",IF((TODAY()+offer_turnaround_time)&gt;=helpsheet!$L$17,rate_vatRU_from_26,rate_vatRu_till_25),0)),2)</f>
        <v/>
      </c>
      <c r="AN330" s="192">
        <f>AL330-AK330</f>
        <v/>
      </c>
      <c r="AO330" s="76">
        <f>SUM(AY330,Y330:Z330,T330)*IF(AND(offer_incoterms="DDP",offer_sale_type&lt;&gt;"экспорт"),IF((TODAY()+offer_turnaround_time)&gt;=helpsheet!$L$17,rate_vatRU_from_26,rate_vatRu_till_25),0)</f>
        <v/>
      </c>
      <c r="AP330" s="193">
        <f>AN330-AO330</f>
        <v/>
      </c>
      <c r="AQ330" s="118">
        <f>IF(offer_sale_type="транзит",SUM(AF330:AI330,BA330,BB330),0)</f>
        <v/>
      </c>
      <c r="AR330" s="82">
        <f>HYPERLINK("https://www.alta.ru/tnved/code/")&amp;W330&amp;"/"</f>
        <v/>
      </c>
      <c r="AS330" s="157" t="n"/>
      <c r="AT330" s="162" t="n"/>
      <c r="AU330" s="76">
        <f>IF(ISBLANK(AT330),0,AJ330-AT330)</f>
        <v/>
      </c>
      <c r="AV330" s="157" t="n"/>
      <c r="AW330" s="75">
        <f>_xlfn.IFNA(VLOOKUP(L330,list_vat[],3,FALSE),0)</f>
        <v/>
      </c>
      <c r="AX330" s="76">
        <f>IFERROR(ROUND(S330*(1+AW330)/E330,2),0)</f>
        <v/>
      </c>
      <c r="AY330" s="76">
        <f>E330*AX330</f>
        <v/>
      </c>
      <c r="AZ330" s="192">
        <f>S330*(1+M330)</f>
        <v/>
      </c>
      <c r="BA330" s="76">
        <f>cost_fin_total*$BD330</f>
        <v/>
      </c>
      <c r="BB330" s="193">
        <f>credit_sales_interest*BD330</f>
        <v/>
      </c>
      <c r="BC330" s="102">
        <f>IFERROR(IF($I$13&gt;0,$I330/$I$13,$S330/$S$13),0)</f>
        <v/>
      </c>
      <c r="BD330" s="102">
        <f>IFERROR($S330/$S$13,0)</f>
        <v/>
      </c>
      <c r="BE330" s="413" t="inlineStr">
        <is>
          <t>$</t>
        </is>
      </c>
    </row>
    <row r="331" ht="12" customFormat="1" customHeight="1" s="65">
      <c r="A331" s="43" t="n">
        <v>316</v>
      </c>
      <c r="B331" s="166" t="n"/>
      <c r="C331" s="166" t="n"/>
      <c r="D331" s="166" t="n"/>
      <c r="E331" s="162" t="n"/>
      <c r="F331" s="166" t="n"/>
      <c r="G331" s="162" t="n"/>
      <c r="H331" s="162" t="n"/>
      <c r="I331" s="189">
        <f>E331*G331</f>
        <v/>
      </c>
      <c r="J331" s="195" t="n"/>
      <c r="K331" s="162" t="n"/>
      <c r="L331" s="168" t="n"/>
      <c r="M331" s="75">
        <f>_xlfn.XLOOKUP(L331,list_vat[Страна],list_vat[Ставка НДС %],0,0)</f>
        <v/>
      </c>
      <c r="N331" s="162">
        <f>IFERROR(IF(L331="Китай",K331,K331/(1+M331)),0)</f>
        <v/>
      </c>
      <c r="O331" s="169" t="n"/>
      <c r="P331" s="76">
        <f>N331*(1-O331)</f>
        <v/>
      </c>
      <c r="Q331" s="162" t="n"/>
      <c r="R331" s="162">
        <f>IF(ISBLANK(Q331),"введи курс",P331/Q331)</f>
        <v/>
      </c>
      <c r="S331" s="196">
        <f>IF(AND(ISNUMBER(E331),ISNUMBER(Q331)),E331*R331,0)</f>
        <v/>
      </c>
      <c r="T331" s="192">
        <f>$BC331*V$11</f>
        <v/>
      </c>
      <c r="U331" s="76">
        <f>$BC331*W$11</f>
        <v/>
      </c>
      <c r="V331" s="193">
        <f>+SUM(T331:U331)</f>
        <v/>
      </c>
      <c r="W331" s="191" t="n"/>
      <c r="X331" s="170" t="n"/>
      <c r="Y331" s="76">
        <f>ROUND(IF(offer_incoterms="DDP",X331*(S331*(1+AW331)+T331),0),2)</f>
        <v/>
      </c>
      <c r="Z331" s="188" t="n"/>
      <c r="AA331" s="192">
        <f>IFERROR(AB331/E331,0)</f>
        <v/>
      </c>
      <c r="AB331" s="76">
        <f>ROUND(SUM(S331,V331,Y331:Z331,BA331:BB331),2)</f>
        <v/>
      </c>
      <c r="AC331" s="797" t="n"/>
      <c r="AD331" s="192">
        <f t="array" ref="AD331">IFERROR(ROUND((_xlfn.IFS(offer_sale_type="поставка",AB331,offer_sale_type="транзит",S331)*(1+AC331))/E331,2),0)</f>
        <v/>
      </c>
      <c r="AE331" s="76">
        <f>AD331*E331</f>
        <v/>
      </c>
      <c r="AF331" s="193">
        <f t="array" ref="AF331">IFERROR(ROUND(_xlfn.IFS(offer_sale_type="поставка",AB331,offer_sale_type="транзит",S331)*AC331,2),0)</f>
        <v/>
      </c>
      <c r="AG331" s="192">
        <f>$BD331*VLOOKUP($AG$3,$AF$4:$AG$7,2,FALSE)</f>
        <v/>
      </c>
      <c r="AH331" s="76">
        <f>SUM(AE331,AG331,AI331)*rate_forex_risk</f>
        <v/>
      </c>
      <c r="AI331" s="193">
        <f>IF(OR(seller_region="TR",offer_sale_type="экспорт"),0,rate_fin_comm)*SUM(AZ331,AZ331*AW331,T331)</f>
        <v/>
      </c>
      <c r="AJ331" s="118">
        <f>IFERROR(ROUND(SUM(AB331,AF331:AI331)/E331,2),0)</f>
        <v/>
      </c>
      <c r="AK331" s="76">
        <f>AJ331*E331</f>
        <v/>
      </c>
      <c r="AL331" s="174">
        <f>ROUND(IFERROR(AM331*E331,0),2)</f>
        <v/>
      </c>
      <c r="AM331" s="175">
        <f>ROUND(AJ331*(1+IF(offer_incoterms="DDP",IF((TODAY()+offer_turnaround_time)&gt;=helpsheet!$L$17,rate_vatRU_from_26,rate_vatRu_till_25),0)),2)</f>
        <v/>
      </c>
      <c r="AN331" s="192">
        <f>AL331-AK331</f>
        <v/>
      </c>
      <c r="AO331" s="76">
        <f>SUM(AY331,Y331:Z331,T331)*IF(AND(offer_incoterms="DDP",offer_sale_type&lt;&gt;"экспорт"),IF((TODAY()+offer_turnaround_time)&gt;=helpsheet!$L$17,rate_vatRU_from_26,rate_vatRu_till_25),0)</f>
        <v/>
      </c>
      <c r="AP331" s="193">
        <f>AN331-AO331</f>
        <v/>
      </c>
      <c r="AQ331" s="118">
        <f>IF(offer_sale_type="транзит",SUM(AF331:AI331,BA331,BB331),0)</f>
        <v/>
      </c>
      <c r="AR331" s="82">
        <f>HYPERLINK("https://www.alta.ru/tnved/code/")&amp;W331&amp;"/"</f>
        <v/>
      </c>
      <c r="AS331" s="157" t="n"/>
      <c r="AT331" s="162" t="n"/>
      <c r="AU331" s="76">
        <f>IF(ISBLANK(AT331),0,AJ331-AT331)</f>
        <v/>
      </c>
      <c r="AV331" s="157" t="n"/>
      <c r="AW331" s="75">
        <f>_xlfn.IFNA(VLOOKUP(L331,list_vat[],3,FALSE),0)</f>
        <v/>
      </c>
      <c r="AX331" s="76">
        <f>IFERROR(ROUND(S331*(1+AW331)/E331,2),0)</f>
        <v/>
      </c>
      <c r="AY331" s="76">
        <f>E331*AX331</f>
        <v/>
      </c>
      <c r="AZ331" s="192">
        <f>S331*(1+M331)</f>
        <v/>
      </c>
      <c r="BA331" s="76">
        <f>cost_fin_total*$BD331</f>
        <v/>
      </c>
      <c r="BB331" s="193">
        <f>credit_sales_interest*BD331</f>
        <v/>
      </c>
      <c r="BC331" s="102">
        <f>IFERROR(IF($I$13&gt;0,$I331/$I$13,$S331/$S$13),0)</f>
        <v/>
      </c>
      <c r="BD331" s="102">
        <f>IFERROR($S331/$S$13,0)</f>
        <v/>
      </c>
      <c r="BE331" s="413" t="inlineStr">
        <is>
          <t>$</t>
        </is>
      </c>
    </row>
    <row r="332" ht="12" customFormat="1" customHeight="1" s="65">
      <c r="A332" s="43" t="n">
        <v>317</v>
      </c>
      <c r="B332" s="166" t="n"/>
      <c r="C332" s="166" t="n"/>
      <c r="D332" s="166" t="n"/>
      <c r="E332" s="162" t="n"/>
      <c r="F332" s="166" t="n"/>
      <c r="G332" s="162" t="n"/>
      <c r="H332" s="162" t="n"/>
      <c r="I332" s="189">
        <f>E332*G332</f>
        <v/>
      </c>
      <c r="J332" s="195" t="n"/>
      <c r="K332" s="162" t="n"/>
      <c r="L332" s="168" t="n"/>
      <c r="M332" s="75">
        <f>_xlfn.XLOOKUP(L332,list_vat[Страна],list_vat[Ставка НДС %],0,0)</f>
        <v/>
      </c>
      <c r="N332" s="162">
        <f>IFERROR(IF(L332="Китай",K332,K332/(1+M332)),0)</f>
        <v/>
      </c>
      <c r="O332" s="169" t="n"/>
      <c r="P332" s="76">
        <f>N332*(1-O332)</f>
        <v/>
      </c>
      <c r="Q332" s="162" t="n"/>
      <c r="R332" s="162">
        <f>IF(ISBLANK(Q332),"введи курс",P332/Q332)</f>
        <v/>
      </c>
      <c r="S332" s="196">
        <f>IF(AND(ISNUMBER(E332),ISNUMBER(Q332)),E332*R332,0)</f>
        <v/>
      </c>
      <c r="T332" s="192">
        <f>$BC332*V$11</f>
        <v/>
      </c>
      <c r="U332" s="76">
        <f>$BC332*W$11</f>
        <v/>
      </c>
      <c r="V332" s="193">
        <f>+SUM(T332:U332)</f>
        <v/>
      </c>
      <c r="W332" s="191" t="n"/>
      <c r="X332" s="170" t="n"/>
      <c r="Y332" s="76">
        <f>ROUND(IF(offer_incoterms="DDP",X332*(S332*(1+AW332)+T332),0),2)</f>
        <v/>
      </c>
      <c r="Z332" s="188" t="n"/>
      <c r="AA332" s="192">
        <f>IFERROR(AB332/E332,0)</f>
        <v/>
      </c>
      <c r="AB332" s="76">
        <f>ROUND(SUM(S332,V332,Y332:Z332,BA332:BB332),2)</f>
        <v/>
      </c>
      <c r="AC332" s="797" t="n"/>
      <c r="AD332" s="192">
        <f t="array" ref="AD332">IFERROR(ROUND((_xlfn.IFS(offer_sale_type="поставка",AB332,offer_sale_type="транзит",S332)*(1+AC332))/E332,2),0)</f>
        <v/>
      </c>
      <c r="AE332" s="76">
        <f>AD332*E332</f>
        <v/>
      </c>
      <c r="AF332" s="193">
        <f t="array" ref="AF332">IFERROR(ROUND(_xlfn.IFS(offer_sale_type="поставка",AB332,offer_sale_type="транзит",S332)*AC332,2),0)</f>
        <v/>
      </c>
      <c r="AG332" s="192">
        <f>$BD332*VLOOKUP($AG$3,$AF$4:$AG$7,2,FALSE)</f>
        <v/>
      </c>
      <c r="AH332" s="76">
        <f>SUM(AE332,AG332,AI332)*rate_forex_risk</f>
        <v/>
      </c>
      <c r="AI332" s="193">
        <f>IF(OR(seller_region="TR",offer_sale_type="экспорт"),0,rate_fin_comm)*SUM(AZ332,AZ332*AW332,T332)</f>
        <v/>
      </c>
      <c r="AJ332" s="118">
        <f>IFERROR(ROUND(SUM(AB332,AF332:AI332)/E332,2),0)</f>
        <v/>
      </c>
      <c r="AK332" s="76">
        <f>AJ332*E332</f>
        <v/>
      </c>
      <c r="AL332" s="174">
        <f>ROUND(IFERROR(AM332*E332,0),2)</f>
        <v/>
      </c>
      <c r="AM332" s="175">
        <f>ROUND(AJ332*(1+IF(offer_incoterms="DDP",IF((TODAY()+offer_turnaround_time)&gt;=helpsheet!$L$17,rate_vatRU_from_26,rate_vatRu_till_25),0)),2)</f>
        <v/>
      </c>
      <c r="AN332" s="192">
        <f>AL332-AK332</f>
        <v/>
      </c>
      <c r="AO332" s="76">
        <f>SUM(AY332,Y332:Z332,T332)*IF(AND(offer_incoterms="DDP",offer_sale_type&lt;&gt;"экспорт"),IF((TODAY()+offer_turnaround_time)&gt;=helpsheet!$L$17,rate_vatRU_from_26,rate_vatRu_till_25),0)</f>
        <v/>
      </c>
      <c r="AP332" s="193">
        <f>AN332-AO332</f>
        <v/>
      </c>
      <c r="AQ332" s="118">
        <f>IF(offer_sale_type="транзит",SUM(AF332:AI332,BA332,BB332),0)</f>
        <v/>
      </c>
      <c r="AR332" s="82">
        <f>HYPERLINK("https://www.alta.ru/tnved/code/")&amp;W332&amp;"/"</f>
        <v/>
      </c>
      <c r="AS332" s="157" t="n"/>
      <c r="AT332" s="162" t="n"/>
      <c r="AU332" s="76">
        <f>IF(ISBLANK(AT332),0,AJ332-AT332)</f>
        <v/>
      </c>
      <c r="AV332" s="157" t="n"/>
      <c r="AW332" s="75">
        <f>_xlfn.IFNA(VLOOKUP(L332,list_vat[],3,FALSE),0)</f>
        <v/>
      </c>
      <c r="AX332" s="76">
        <f>IFERROR(ROUND(S332*(1+AW332)/E332,2),0)</f>
        <v/>
      </c>
      <c r="AY332" s="76">
        <f>E332*AX332</f>
        <v/>
      </c>
      <c r="AZ332" s="192">
        <f>S332*(1+M332)</f>
        <v/>
      </c>
      <c r="BA332" s="76">
        <f>cost_fin_total*$BD332</f>
        <v/>
      </c>
      <c r="BB332" s="193">
        <f>credit_sales_interest*BD332</f>
        <v/>
      </c>
      <c r="BC332" s="102">
        <f>IFERROR(IF($I$13&gt;0,$I332/$I$13,$S332/$S$13),0)</f>
        <v/>
      </c>
      <c r="BD332" s="102">
        <f>IFERROR($S332/$S$13,0)</f>
        <v/>
      </c>
      <c r="BE332" s="413" t="inlineStr">
        <is>
          <t>$</t>
        </is>
      </c>
    </row>
    <row r="333" ht="12" customFormat="1" customHeight="1" s="65">
      <c r="A333" s="43" t="n">
        <v>318</v>
      </c>
      <c r="B333" s="166" t="n"/>
      <c r="C333" s="166" t="n"/>
      <c r="D333" s="166" t="n"/>
      <c r="E333" s="162" t="n"/>
      <c r="F333" s="166" t="n"/>
      <c r="G333" s="162" t="n"/>
      <c r="H333" s="162" t="n"/>
      <c r="I333" s="189">
        <f>E333*G333</f>
        <v/>
      </c>
      <c r="J333" s="195" t="n"/>
      <c r="K333" s="162" t="n"/>
      <c r="L333" s="168" t="n"/>
      <c r="M333" s="75">
        <f>_xlfn.XLOOKUP(L333,list_vat[Страна],list_vat[Ставка НДС %],0,0)</f>
        <v/>
      </c>
      <c r="N333" s="162">
        <f>IFERROR(IF(L333="Китай",K333,K333/(1+M333)),0)</f>
        <v/>
      </c>
      <c r="O333" s="169" t="n"/>
      <c r="P333" s="76">
        <f>N333*(1-O333)</f>
        <v/>
      </c>
      <c r="Q333" s="162" t="n"/>
      <c r="R333" s="162">
        <f>IF(ISBLANK(Q333),"введи курс",P333/Q333)</f>
        <v/>
      </c>
      <c r="S333" s="196">
        <f>IF(AND(ISNUMBER(E333),ISNUMBER(Q333)),E333*R333,0)</f>
        <v/>
      </c>
      <c r="T333" s="192">
        <f>$BC333*V$11</f>
        <v/>
      </c>
      <c r="U333" s="76">
        <f>$BC333*W$11</f>
        <v/>
      </c>
      <c r="V333" s="193">
        <f>+SUM(T333:U333)</f>
        <v/>
      </c>
      <c r="W333" s="191" t="n"/>
      <c r="X333" s="170" t="n"/>
      <c r="Y333" s="76">
        <f>ROUND(IF(offer_incoterms="DDP",X333*(S333*(1+AW333)+T333),0),2)</f>
        <v/>
      </c>
      <c r="Z333" s="188" t="n"/>
      <c r="AA333" s="192">
        <f>IFERROR(AB333/E333,0)</f>
        <v/>
      </c>
      <c r="AB333" s="76">
        <f>ROUND(SUM(S333,V333,Y333:Z333,BA333:BB333),2)</f>
        <v/>
      </c>
      <c r="AC333" s="797" t="n"/>
      <c r="AD333" s="192">
        <f t="array" ref="AD333">IFERROR(ROUND((_xlfn.IFS(offer_sale_type="поставка",AB333,offer_sale_type="транзит",S333)*(1+AC333))/E333,2),0)</f>
        <v/>
      </c>
      <c r="AE333" s="76">
        <f>AD333*E333</f>
        <v/>
      </c>
      <c r="AF333" s="193">
        <f t="array" ref="AF333">IFERROR(ROUND(_xlfn.IFS(offer_sale_type="поставка",AB333,offer_sale_type="транзит",S333)*AC333,2),0)</f>
        <v/>
      </c>
      <c r="AG333" s="192">
        <f>$BD333*VLOOKUP($AG$3,$AF$4:$AG$7,2,FALSE)</f>
        <v/>
      </c>
      <c r="AH333" s="76">
        <f>SUM(AE333,AG333,AI333)*rate_forex_risk</f>
        <v/>
      </c>
      <c r="AI333" s="193">
        <f>IF(OR(seller_region="TR",offer_sale_type="экспорт"),0,rate_fin_comm)*SUM(AZ333,AZ333*AW333,T333)</f>
        <v/>
      </c>
      <c r="AJ333" s="118">
        <f>IFERROR(ROUND(SUM(AB333,AF333:AI333)/E333,2),0)</f>
        <v/>
      </c>
      <c r="AK333" s="76">
        <f>AJ333*E333</f>
        <v/>
      </c>
      <c r="AL333" s="174">
        <f>ROUND(IFERROR(AM333*E333,0),2)</f>
        <v/>
      </c>
      <c r="AM333" s="175">
        <f>ROUND(AJ333*(1+IF(offer_incoterms="DDP",IF((TODAY()+offer_turnaround_time)&gt;=helpsheet!$L$17,rate_vatRU_from_26,rate_vatRu_till_25),0)),2)</f>
        <v/>
      </c>
      <c r="AN333" s="192">
        <f>AL333-AK333</f>
        <v/>
      </c>
      <c r="AO333" s="76">
        <f>SUM(AY333,Y333:Z333,T333)*IF(AND(offer_incoterms="DDP",offer_sale_type&lt;&gt;"экспорт"),IF((TODAY()+offer_turnaround_time)&gt;=helpsheet!$L$17,rate_vatRU_from_26,rate_vatRu_till_25),0)</f>
        <v/>
      </c>
      <c r="AP333" s="193">
        <f>AN333-AO333</f>
        <v/>
      </c>
      <c r="AQ333" s="118">
        <f>IF(offer_sale_type="транзит",SUM(AF333:AI333,BA333,BB333),0)</f>
        <v/>
      </c>
      <c r="AR333" s="82">
        <f>HYPERLINK("https://www.alta.ru/tnved/code/")&amp;W333&amp;"/"</f>
        <v/>
      </c>
      <c r="AS333" s="157" t="n"/>
      <c r="AT333" s="162" t="n"/>
      <c r="AU333" s="76">
        <f>IF(ISBLANK(AT333),0,AJ333-AT333)</f>
        <v/>
      </c>
      <c r="AV333" s="157" t="n"/>
      <c r="AW333" s="75">
        <f>_xlfn.IFNA(VLOOKUP(L333,list_vat[],3,FALSE),0)</f>
        <v/>
      </c>
      <c r="AX333" s="76">
        <f>IFERROR(ROUND(S333*(1+AW333)/E333,2),0)</f>
        <v/>
      </c>
      <c r="AY333" s="76">
        <f>E333*AX333</f>
        <v/>
      </c>
      <c r="AZ333" s="192">
        <f>S333*(1+M333)</f>
        <v/>
      </c>
      <c r="BA333" s="76">
        <f>cost_fin_total*$BD333</f>
        <v/>
      </c>
      <c r="BB333" s="193">
        <f>credit_sales_interest*BD333</f>
        <v/>
      </c>
      <c r="BC333" s="102">
        <f>IFERROR(IF($I$13&gt;0,$I333/$I$13,$S333/$S$13),0)</f>
        <v/>
      </c>
      <c r="BD333" s="102">
        <f>IFERROR($S333/$S$13,0)</f>
        <v/>
      </c>
      <c r="BE333" s="413" t="inlineStr">
        <is>
          <t>$</t>
        </is>
      </c>
    </row>
    <row r="334" ht="12" customFormat="1" customHeight="1" s="65">
      <c r="A334" s="43" t="n">
        <v>319</v>
      </c>
      <c r="B334" s="166" t="n"/>
      <c r="C334" s="166" t="n"/>
      <c r="D334" s="166" t="n"/>
      <c r="E334" s="162" t="n"/>
      <c r="F334" s="166" t="n"/>
      <c r="G334" s="162" t="n"/>
      <c r="H334" s="162" t="n"/>
      <c r="I334" s="189">
        <f>E334*G334</f>
        <v/>
      </c>
      <c r="J334" s="195" t="n"/>
      <c r="K334" s="162" t="n"/>
      <c r="L334" s="168" t="n"/>
      <c r="M334" s="75">
        <f>_xlfn.XLOOKUP(L334,list_vat[Страна],list_vat[Ставка НДС %],0,0)</f>
        <v/>
      </c>
      <c r="N334" s="162">
        <f>IFERROR(IF(L334="Китай",K334,K334/(1+M334)),0)</f>
        <v/>
      </c>
      <c r="O334" s="169" t="n"/>
      <c r="P334" s="76">
        <f>N334*(1-O334)</f>
        <v/>
      </c>
      <c r="Q334" s="162" t="n"/>
      <c r="R334" s="162">
        <f>IF(ISBLANK(Q334),"введи курс",P334/Q334)</f>
        <v/>
      </c>
      <c r="S334" s="196">
        <f>IF(AND(ISNUMBER(E334),ISNUMBER(Q334)),E334*R334,0)</f>
        <v/>
      </c>
      <c r="T334" s="192">
        <f>$BC334*V$11</f>
        <v/>
      </c>
      <c r="U334" s="76">
        <f>$BC334*W$11</f>
        <v/>
      </c>
      <c r="V334" s="193">
        <f>+SUM(T334:U334)</f>
        <v/>
      </c>
      <c r="W334" s="191" t="n"/>
      <c r="X334" s="170" t="n"/>
      <c r="Y334" s="76">
        <f>ROUND(IF(offer_incoterms="DDP",X334*(S334*(1+AW334)+T334),0),2)</f>
        <v/>
      </c>
      <c r="Z334" s="188" t="n"/>
      <c r="AA334" s="192">
        <f>IFERROR(AB334/E334,0)</f>
        <v/>
      </c>
      <c r="AB334" s="76">
        <f>ROUND(SUM(S334,V334,Y334:Z334,BA334:BB334),2)</f>
        <v/>
      </c>
      <c r="AC334" s="797" t="n"/>
      <c r="AD334" s="192">
        <f t="array" ref="AD334">IFERROR(ROUND((_xlfn.IFS(offer_sale_type="поставка",AB334,offer_sale_type="транзит",S334)*(1+AC334))/E334,2),0)</f>
        <v/>
      </c>
      <c r="AE334" s="76">
        <f>AD334*E334</f>
        <v/>
      </c>
      <c r="AF334" s="193">
        <f t="array" ref="AF334">IFERROR(ROUND(_xlfn.IFS(offer_sale_type="поставка",AB334,offer_sale_type="транзит",S334)*AC334,2),0)</f>
        <v/>
      </c>
      <c r="AG334" s="192">
        <f>$BD334*VLOOKUP($AG$3,$AF$4:$AG$7,2,FALSE)</f>
        <v/>
      </c>
      <c r="AH334" s="76">
        <f>SUM(AE334,AG334,AI334)*rate_forex_risk</f>
        <v/>
      </c>
      <c r="AI334" s="193">
        <f>IF(OR(seller_region="TR",offer_sale_type="экспорт"),0,rate_fin_comm)*SUM(AZ334,AZ334*AW334,T334)</f>
        <v/>
      </c>
      <c r="AJ334" s="118">
        <f>IFERROR(ROUND(SUM(AB334,AF334:AI334)/E334,2),0)</f>
        <v/>
      </c>
      <c r="AK334" s="76">
        <f>AJ334*E334</f>
        <v/>
      </c>
      <c r="AL334" s="174">
        <f>ROUND(IFERROR(AM334*E334,0),2)</f>
        <v/>
      </c>
      <c r="AM334" s="175">
        <f>ROUND(AJ334*(1+IF(offer_incoterms="DDP",IF((TODAY()+offer_turnaround_time)&gt;=helpsheet!$L$17,rate_vatRU_from_26,rate_vatRu_till_25),0)),2)</f>
        <v/>
      </c>
      <c r="AN334" s="192">
        <f>AL334-AK334</f>
        <v/>
      </c>
      <c r="AO334" s="76">
        <f>SUM(AY334,Y334:Z334,T334)*IF(AND(offer_incoterms="DDP",offer_sale_type&lt;&gt;"экспорт"),IF((TODAY()+offer_turnaround_time)&gt;=helpsheet!$L$17,rate_vatRU_from_26,rate_vatRu_till_25),0)</f>
        <v/>
      </c>
      <c r="AP334" s="193">
        <f>AN334-AO334</f>
        <v/>
      </c>
      <c r="AQ334" s="118">
        <f>IF(offer_sale_type="транзит",SUM(AF334:AI334,BA334,BB334),0)</f>
        <v/>
      </c>
      <c r="AR334" s="82">
        <f>HYPERLINK("https://www.alta.ru/tnved/code/")&amp;W334&amp;"/"</f>
        <v/>
      </c>
      <c r="AS334" s="157" t="n"/>
      <c r="AT334" s="162" t="n"/>
      <c r="AU334" s="76">
        <f>IF(ISBLANK(AT334),0,AJ334-AT334)</f>
        <v/>
      </c>
      <c r="AV334" s="157" t="n"/>
      <c r="AW334" s="75">
        <f>_xlfn.IFNA(VLOOKUP(L334,list_vat[],3,FALSE),0)</f>
        <v/>
      </c>
      <c r="AX334" s="76">
        <f>IFERROR(ROUND(S334*(1+AW334)/E334,2),0)</f>
        <v/>
      </c>
      <c r="AY334" s="76">
        <f>E334*AX334</f>
        <v/>
      </c>
      <c r="AZ334" s="192">
        <f>S334*(1+M334)</f>
        <v/>
      </c>
      <c r="BA334" s="76">
        <f>cost_fin_total*$BD334</f>
        <v/>
      </c>
      <c r="BB334" s="193">
        <f>credit_sales_interest*BD334</f>
        <v/>
      </c>
      <c r="BC334" s="102">
        <f>IFERROR(IF($I$13&gt;0,$I334/$I$13,$S334/$S$13),0)</f>
        <v/>
      </c>
      <c r="BD334" s="102">
        <f>IFERROR($S334/$S$13,0)</f>
        <v/>
      </c>
      <c r="BE334" s="413" t="inlineStr">
        <is>
          <t>$</t>
        </is>
      </c>
    </row>
    <row r="335" ht="12" customFormat="1" customHeight="1" s="65">
      <c r="A335" s="43" t="n">
        <v>320</v>
      </c>
      <c r="B335" s="166" t="n"/>
      <c r="C335" s="166" t="n"/>
      <c r="D335" s="166" t="n"/>
      <c r="E335" s="162" t="n"/>
      <c r="F335" s="166" t="n"/>
      <c r="G335" s="162" t="n"/>
      <c r="H335" s="162" t="n"/>
      <c r="I335" s="189">
        <f>E335*G335</f>
        <v/>
      </c>
      <c r="J335" s="195" t="n"/>
      <c r="K335" s="162" t="n"/>
      <c r="L335" s="168" t="n"/>
      <c r="M335" s="75">
        <f>_xlfn.XLOOKUP(L335,list_vat[Страна],list_vat[Ставка НДС %],0,0)</f>
        <v/>
      </c>
      <c r="N335" s="162">
        <f>IFERROR(IF(L335="Китай",K335,K335/(1+M335)),0)</f>
        <v/>
      </c>
      <c r="O335" s="169" t="n"/>
      <c r="P335" s="76">
        <f>N335*(1-O335)</f>
        <v/>
      </c>
      <c r="Q335" s="162" t="n"/>
      <c r="R335" s="162">
        <f>IF(ISBLANK(Q335),"введи курс",P335/Q335)</f>
        <v/>
      </c>
      <c r="S335" s="196">
        <f>IF(AND(ISNUMBER(E335),ISNUMBER(Q335)),E335*R335,0)</f>
        <v/>
      </c>
      <c r="T335" s="192">
        <f>$BC335*V$11</f>
        <v/>
      </c>
      <c r="U335" s="76">
        <f>$BC335*W$11</f>
        <v/>
      </c>
      <c r="V335" s="193">
        <f>+SUM(T335:U335)</f>
        <v/>
      </c>
      <c r="W335" s="191" t="n"/>
      <c r="X335" s="170" t="n"/>
      <c r="Y335" s="76">
        <f>ROUND(IF(offer_incoterms="DDP",X335*(S335*(1+AW335)+T335),0),2)</f>
        <v/>
      </c>
      <c r="Z335" s="188" t="n"/>
      <c r="AA335" s="192">
        <f>IFERROR(AB335/E335,0)</f>
        <v/>
      </c>
      <c r="AB335" s="76">
        <f>ROUND(SUM(S335,V335,Y335:Z335,BA335:BB335),2)</f>
        <v/>
      </c>
      <c r="AC335" s="797" t="n"/>
      <c r="AD335" s="192">
        <f t="array" ref="AD335">IFERROR(ROUND((_xlfn.IFS(offer_sale_type="поставка",AB335,offer_sale_type="транзит",S335)*(1+AC335))/E335,2),0)</f>
        <v/>
      </c>
      <c r="AE335" s="76">
        <f>AD335*E335</f>
        <v/>
      </c>
      <c r="AF335" s="193">
        <f t="array" ref="AF335">IFERROR(ROUND(_xlfn.IFS(offer_sale_type="поставка",AB335,offer_sale_type="транзит",S335)*AC335,2),0)</f>
        <v/>
      </c>
      <c r="AG335" s="192">
        <f>$BD335*VLOOKUP($AG$3,$AF$4:$AG$7,2,FALSE)</f>
        <v/>
      </c>
      <c r="AH335" s="76">
        <f>SUM(AE335,AG335,AI335)*rate_forex_risk</f>
        <v/>
      </c>
      <c r="AI335" s="193">
        <f>IF(OR(seller_region="TR",offer_sale_type="экспорт"),0,rate_fin_comm)*SUM(AZ335,AZ335*AW335,T335)</f>
        <v/>
      </c>
      <c r="AJ335" s="118">
        <f>IFERROR(ROUND(SUM(AB335,AF335:AI335)/E335,2),0)</f>
        <v/>
      </c>
      <c r="AK335" s="76">
        <f>AJ335*E335</f>
        <v/>
      </c>
      <c r="AL335" s="174">
        <f>ROUND(IFERROR(AM335*E335,0),2)</f>
        <v/>
      </c>
      <c r="AM335" s="175">
        <f>ROUND(AJ335*(1+IF(offer_incoterms="DDP",IF((TODAY()+offer_turnaround_time)&gt;=helpsheet!$L$17,rate_vatRU_from_26,rate_vatRu_till_25),0)),2)</f>
        <v/>
      </c>
      <c r="AN335" s="192">
        <f>AL335-AK335</f>
        <v/>
      </c>
      <c r="AO335" s="76">
        <f>SUM(AY335,Y335:Z335,T335)*IF(AND(offer_incoterms="DDP",offer_sale_type&lt;&gt;"экспорт"),IF((TODAY()+offer_turnaround_time)&gt;=helpsheet!$L$17,rate_vatRU_from_26,rate_vatRu_till_25),0)</f>
        <v/>
      </c>
      <c r="AP335" s="193">
        <f>AN335-AO335</f>
        <v/>
      </c>
      <c r="AQ335" s="118">
        <f>IF(offer_sale_type="транзит",SUM(AF335:AI335,BA335,BB335),0)</f>
        <v/>
      </c>
      <c r="AR335" s="82">
        <f>HYPERLINK("https://www.alta.ru/tnved/code/")&amp;W335&amp;"/"</f>
        <v/>
      </c>
      <c r="AS335" s="157" t="n"/>
      <c r="AT335" s="162" t="n"/>
      <c r="AU335" s="76">
        <f>IF(ISBLANK(AT335),0,AJ335-AT335)</f>
        <v/>
      </c>
      <c r="AV335" s="157" t="n"/>
      <c r="AW335" s="75">
        <f>_xlfn.IFNA(VLOOKUP(L335,list_vat[],3,FALSE),0)</f>
        <v/>
      </c>
      <c r="AX335" s="76">
        <f>IFERROR(ROUND(S335*(1+AW335)/E335,2),0)</f>
        <v/>
      </c>
      <c r="AY335" s="76">
        <f>E335*AX335</f>
        <v/>
      </c>
      <c r="AZ335" s="192">
        <f>S335*(1+M335)</f>
        <v/>
      </c>
      <c r="BA335" s="76">
        <f>cost_fin_total*$BD335</f>
        <v/>
      </c>
      <c r="BB335" s="193">
        <f>credit_sales_interest*BD335</f>
        <v/>
      </c>
      <c r="BC335" s="102">
        <f>IFERROR(IF($I$13&gt;0,$I335/$I$13,$S335/$S$13),0)</f>
        <v/>
      </c>
      <c r="BD335" s="102">
        <f>IFERROR($S335/$S$13,0)</f>
        <v/>
      </c>
      <c r="BE335" s="413" t="inlineStr">
        <is>
          <t>$</t>
        </is>
      </c>
    </row>
    <row r="336" ht="12" customFormat="1" customHeight="1" s="65">
      <c r="A336" s="43" t="n">
        <v>321</v>
      </c>
      <c r="B336" s="166" t="n"/>
      <c r="C336" s="166" t="n"/>
      <c r="D336" s="166" t="n"/>
      <c r="E336" s="162" t="n"/>
      <c r="F336" s="166" t="n"/>
      <c r="G336" s="162" t="n"/>
      <c r="H336" s="162" t="n"/>
      <c r="I336" s="189">
        <f>E336*G336</f>
        <v/>
      </c>
      <c r="J336" s="195" t="n"/>
      <c r="K336" s="162" t="n"/>
      <c r="L336" s="168" t="n"/>
      <c r="M336" s="75">
        <f>_xlfn.XLOOKUP(L336,list_vat[Страна],list_vat[Ставка НДС %],0,0)</f>
        <v/>
      </c>
      <c r="N336" s="162">
        <f>IFERROR(IF(L336="Китай",K336,K336/(1+M336)),0)</f>
        <v/>
      </c>
      <c r="O336" s="169" t="n"/>
      <c r="P336" s="76">
        <f>N336*(1-O336)</f>
        <v/>
      </c>
      <c r="Q336" s="162" t="n"/>
      <c r="R336" s="162">
        <f>IF(ISBLANK(Q336),"введи курс",P336/Q336)</f>
        <v/>
      </c>
      <c r="S336" s="196">
        <f>IF(AND(ISNUMBER(E336),ISNUMBER(Q336)),E336*R336,0)</f>
        <v/>
      </c>
      <c r="T336" s="192">
        <f>$BC336*V$11</f>
        <v/>
      </c>
      <c r="U336" s="76">
        <f>$BC336*W$11</f>
        <v/>
      </c>
      <c r="V336" s="193">
        <f>+SUM(T336:U336)</f>
        <v/>
      </c>
      <c r="W336" s="191" t="n"/>
      <c r="X336" s="170" t="n"/>
      <c r="Y336" s="76">
        <f>ROUND(IF(offer_incoterms="DDP",X336*(S336*(1+AW336)+T336),0),2)</f>
        <v/>
      </c>
      <c r="Z336" s="188" t="n"/>
      <c r="AA336" s="192">
        <f>IFERROR(AB336/E336,0)</f>
        <v/>
      </c>
      <c r="AB336" s="76">
        <f>ROUND(SUM(S336,V336,Y336:Z336,BA336:BB336),2)</f>
        <v/>
      </c>
      <c r="AC336" s="797" t="n"/>
      <c r="AD336" s="192">
        <f t="array" ref="AD336">IFERROR(ROUND((_xlfn.IFS(offer_sale_type="поставка",AB336,offer_sale_type="транзит",S336)*(1+AC336))/E336,2),0)</f>
        <v/>
      </c>
      <c r="AE336" s="76">
        <f>AD336*E336</f>
        <v/>
      </c>
      <c r="AF336" s="193">
        <f t="array" ref="AF336">IFERROR(ROUND(_xlfn.IFS(offer_sale_type="поставка",AB336,offer_sale_type="транзит",S336)*AC336,2),0)</f>
        <v/>
      </c>
      <c r="AG336" s="192">
        <f>$BD336*VLOOKUP($AG$3,$AF$4:$AG$7,2,FALSE)</f>
        <v/>
      </c>
      <c r="AH336" s="76">
        <f>SUM(AE336,AG336,AI336)*rate_forex_risk</f>
        <v/>
      </c>
      <c r="AI336" s="193">
        <f>IF(OR(seller_region="TR",offer_sale_type="экспорт"),0,rate_fin_comm)*SUM(AZ336,AZ336*AW336,T336)</f>
        <v/>
      </c>
      <c r="AJ336" s="118">
        <f>IFERROR(ROUND(SUM(AB336,AF336:AI336)/E336,2),0)</f>
        <v/>
      </c>
      <c r="AK336" s="76">
        <f>AJ336*E336</f>
        <v/>
      </c>
      <c r="AL336" s="174">
        <f>ROUND(IFERROR(AM336*E336,0),2)</f>
        <v/>
      </c>
      <c r="AM336" s="175">
        <f>ROUND(AJ336*(1+IF(offer_incoterms="DDP",IF((TODAY()+offer_turnaround_time)&gt;=helpsheet!$L$17,rate_vatRU_from_26,rate_vatRu_till_25),0)),2)</f>
        <v/>
      </c>
      <c r="AN336" s="192">
        <f>AL336-AK336</f>
        <v/>
      </c>
      <c r="AO336" s="76">
        <f>SUM(AY336,Y336:Z336,T336)*IF(AND(offer_incoterms="DDP",offer_sale_type&lt;&gt;"экспорт"),IF((TODAY()+offer_turnaround_time)&gt;=helpsheet!$L$17,rate_vatRU_from_26,rate_vatRu_till_25),0)</f>
        <v/>
      </c>
      <c r="AP336" s="193">
        <f>AN336-AO336</f>
        <v/>
      </c>
      <c r="AQ336" s="118">
        <f>IF(offer_sale_type="транзит",SUM(AF336:AI336,BA336,BB336),0)</f>
        <v/>
      </c>
      <c r="AR336" s="82">
        <f>HYPERLINK("https://www.alta.ru/tnved/code/")&amp;W336&amp;"/"</f>
        <v/>
      </c>
      <c r="AS336" s="157" t="n"/>
      <c r="AT336" s="162" t="n"/>
      <c r="AU336" s="76">
        <f>IF(ISBLANK(AT336),0,AJ336-AT336)</f>
        <v/>
      </c>
      <c r="AV336" s="157" t="n"/>
      <c r="AW336" s="75">
        <f>_xlfn.IFNA(VLOOKUP(L336,list_vat[],3,FALSE),0)</f>
        <v/>
      </c>
      <c r="AX336" s="76">
        <f>IFERROR(ROUND(S336*(1+AW336)/E336,2),0)</f>
        <v/>
      </c>
      <c r="AY336" s="76">
        <f>E336*AX336</f>
        <v/>
      </c>
      <c r="AZ336" s="192">
        <f>S336*(1+M336)</f>
        <v/>
      </c>
      <c r="BA336" s="76">
        <f>cost_fin_total*$BD336</f>
        <v/>
      </c>
      <c r="BB336" s="193">
        <f>credit_sales_interest*BD336</f>
        <v/>
      </c>
      <c r="BC336" s="102">
        <f>IFERROR(IF($I$13&gt;0,$I336/$I$13,$S336/$S$13),0)</f>
        <v/>
      </c>
      <c r="BD336" s="102">
        <f>IFERROR($S336/$S$13,0)</f>
        <v/>
      </c>
      <c r="BE336" s="413" t="inlineStr">
        <is>
          <t>$</t>
        </is>
      </c>
    </row>
    <row r="337" ht="12" customFormat="1" customHeight="1" s="65">
      <c r="A337" s="43" t="n">
        <v>322</v>
      </c>
      <c r="B337" s="166" t="n"/>
      <c r="C337" s="166" t="n"/>
      <c r="D337" s="166" t="n"/>
      <c r="E337" s="162" t="n"/>
      <c r="F337" s="166" t="n"/>
      <c r="G337" s="162" t="n"/>
      <c r="H337" s="162" t="n"/>
      <c r="I337" s="189">
        <f>E337*G337</f>
        <v/>
      </c>
      <c r="J337" s="195" t="n"/>
      <c r="K337" s="162" t="n"/>
      <c r="L337" s="168" t="n"/>
      <c r="M337" s="75">
        <f>_xlfn.XLOOKUP(L337,list_vat[Страна],list_vat[Ставка НДС %],0,0)</f>
        <v/>
      </c>
      <c r="N337" s="162">
        <f>IFERROR(IF(L337="Китай",K337,K337/(1+M337)),0)</f>
        <v/>
      </c>
      <c r="O337" s="169" t="n"/>
      <c r="P337" s="76">
        <f>N337*(1-O337)</f>
        <v/>
      </c>
      <c r="Q337" s="162" t="n"/>
      <c r="R337" s="162">
        <f>IF(ISBLANK(Q337),"введи курс",P337/Q337)</f>
        <v/>
      </c>
      <c r="S337" s="196">
        <f>IF(AND(ISNUMBER(E337),ISNUMBER(Q337)),E337*R337,0)</f>
        <v/>
      </c>
      <c r="T337" s="192">
        <f>$BC337*V$11</f>
        <v/>
      </c>
      <c r="U337" s="76">
        <f>$BC337*W$11</f>
        <v/>
      </c>
      <c r="V337" s="193">
        <f>+SUM(T337:U337)</f>
        <v/>
      </c>
      <c r="W337" s="191" t="n"/>
      <c r="X337" s="170" t="n"/>
      <c r="Y337" s="76">
        <f>ROUND(IF(offer_incoterms="DDP",X337*(S337*(1+AW337)+T337),0),2)</f>
        <v/>
      </c>
      <c r="Z337" s="188" t="n"/>
      <c r="AA337" s="192">
        <f>IFERROR(AB337/E337,0)</f>
        <v/>
      </c>
      <c r="AB337" s="76">
        <f>ROUND(SUM(S337,V337,Y337:Z337,BA337:BB337),2)</f>
        <v/>
      </c>
      <c r="AC337" s="797" t="n"/>
      <c r="AD337" s="192">
        <f t="array" ref="AD337">IFERROR(ROUND((_xlfn.IFS(offer_sale_type="поставка",AB337,offer_sale_type="транзит",S337)*(1+AC337))/E337,2),0)</f>
        <v/>
      </c>
      <c r="AE337" s="76">
        <f>AD337*E337</f>
        <v/>
      </c>
      <c r="AF337" s="193">
        <f t="array" ref="AF337">IFERROR(ROUND(_xlfn.IFS(offer_sale_type="поставка",AB337,offer_sale_type="транзит",S337)*AC337,2),0)</f>
        <v/>
      </c>
      <c r="AG337" s="192">
        <f>$BD337*VLOOKUP($AG$3,$AF$4:$AG$7,2,FALSE)</f>
        <v/>
      </c>
      <c r="AH337" s="76">
        <f>SUM(AE337,AG337,AI337)*rate_forex_risk</f>
        <v/>
      </c>
      <c r="AI337" s="193">
        <f>IF(OR(seller_region="TR",offer_sale_type="экспорт"),0,rate_fin_comm)*SUM(AZ337,AZ337*AW337,T337)</f>
        <v/>
      </c>
      <c r="AJ337" s="118">
        <f>IFERROR(ROUND(SUM(AB337,AF337:AI337)/E337,2),0)</f>
        <v/>
      </c>
      <c r="AK337" s="76">
        <f>AJ337*E337</f>
        <v/>
      </c>
      <c r="AL337" s="174">
        <f>ROUND(IFERROR(AM337*E337,0),2)</f>
        <v/>
      </c>
      <c r="AM337" s="175">
        <f>ROUND(AJ337*(1+IF(offer_incoterms="DDP",IF((TODAY()+offer_turnaround_time)&gt;=helpsheet!$L$17,rate_vatRU_from_26,rate_vatRu_till_25),0)),2)</f>
        <v/>
      </c>
      <c r="AN337" s="192">
        <f>AL337-AK337</f>
        <v/>
      </c>
      <c r="AO337" s="76">
        <f>SUM(AY337,Y337:Z337,T337)*IF(AND(offer_incoterms="DDP",offer_sale_type&lt;&gt;"экспорт"),IF((TODAY()+offer_turnaround_time)&gt;=helpsheet!$L$17,rate_vatRU_from_26,rate_vatRu_till_25),0)</f>
        <v/>
      </c>
      <c r="AP337" s="193">
        <f>AN337-AO337</f>
        <v/>
      </c>
      <c r="AQ337" s="118">
        <f>IF(offer_sale_type="транзит",SUM(AF337:AI337,BA337,BB337),0)</f>
        <v/>
      </c>
      <c r="AR337" s="82">
        <f>HYPERLINK("https://www.alta.ru/tnved/code/")&amp;W337&amp;"/"</f>
        <v/>
      </c>
      <c r="AS337" s="157" t="n"/>
      <c r="AT337" s="162" t="n"/>
      <c r="AU337" s="76">
        <f>IF(ISBLANK(AT337),0,AJ337-AT337)</f>
        <v/>
      </c>
      <c r="AV337" s="157" t="n"/>
      <c r="AW337" s="75">
        <f>_xlfn.IFNA(VLOOKUP(L337,list_vat[],3,FALSE),0)</f>
        <v/>
      </c>
      <c r="AX337" s="76">
        <f>IFERROR(ROUND(S337*(1+AW337)/E337,2),0)</f>
        <v/>
      </c>
      <c r="AY337" s="76">
        <f>E337*AX337</f>
        <v/>
      </c>
      <c r="AZ337" s="192">
        <f>S337*(1+M337)</f>
        <v/>
      </c>
      <c r="BA337" s="76">
        <f>cost_fin_total*$BD337</f>
        <v/>
      </c>
      <c r="BB337" s="193">
        <f>credit_sales_interest*BD337</f>
        <v/>
      </c>
      <c r="BC337" s="102">
        <f>IFERROR(IF($I$13&gt;0,$I337/$I$13,$S337/$S$13),0)</f>
        <v/>
      </c>
      <c r="BD337" s="102">
        <f>IFERROR($S337/$S$13,0)</f>
        <v/>
      </c>
      <c r="BE337" s="413" t="inlineStr">
        <is>
          <t>$</t>
        </is>
      </c>
    </row>
    <row r="338" ht="12" customFormat="1" customHeight="1" s="65">
      <c r="A338" s="43" t="n">
        <v>323</v>
      </c>
      <c r="B338" s="166" t="n"/>
      <c r="C338" s="166" t="n"/>
      <c r="D338" s="166" t="n"/>
      <c r="E338" s="162" t="n"/>
      <c r="F338" s="166" t="n"/>
      <c r="G338" s="162" t="n"/>
      <c r="H338" s="162" t="n"/>
      <c r="I338" s="189">
        <f>E338*G338</f>
        <v/>
      </c>
      <c r="J338" s="195" t="n"/>
      <c r="K338" s="162" t="n"/>
      <c r="L338" s="168" t="n"/>
      <c r="M338" s="75">
        <f>_xlfn.XLOOKUP(L338,list_vat[Страна],list_vat[Ставка НДС %],0,0)</f>
        <v/>
      </c>
      <c r="N338" s="162">
        <f>IFERROR(IF(L338="Китай",K338,K338/(1+M338)),0)</f>
        <v/>
      </c>
      <c r="O338" s="169" t="n"/>
      <c r="P338" s="76">
        <f>N338*(1-O338)</f>
        <v/>
      </c>
      <c r="Q338" s="162" t="n"/>
      <c r="R338" s="162">
        <f>IF(ISBLANK(Q338),"введи курс",P338/Q338)</f>
        <v/>
      </c>
      <c r="S338" s="196">
        <f>IF(AND(ISNUMBER(E338),ISNUMBER(Q338)),E338*R338,0)</f>
        <v/>
      </c>
      <c r="T338" s="192">
        <f>$BC338*V$11</f>
        <v/>
      </c>
      <c r="U338" s="76">
        <f>$BC338*W$11</f>
        <v/>
      </c>
      <c r="V338" s="193">
        <f>+SUM(T338:U338)</f>
        <v/>
      </c>
      <c r="W338" s="191" t="n"/>
      <c r="X338" s="170" t="n"/>
      <c r="Y338" s="76">
        <f>ROUND(IF(offer_incoterms="DDP",X338*(S338*(1+AW338)+T338),0),2)</f>
        <v/>
      </c>
      <c r="Z338" s="188" t="n"/>
      <c r="AA338" s="192">
        <f>IFERROR(AB338/E338,0)</f>
        <v/>
      </c>
      <c r="AB338" s="76">
        <f>ROUND(SUM(S338,V338,Y338:Z338,BA338:BB338),2)</f>
        <v/>
      </c>
      <c r="AC338" s="797" t="n"/>
      <c r="AD338" s="192">
        <f t="array" ref="AD338">IFERROR(ROUND((_xlfn.IFS(offer_sale_type="поставка",AB338,offer_sale_type="транзит",S338)*(1+AC338))/E338,2),0)</f>
        <v/>
      </c>
      <c r="AE338" s="76">
        <f>AD338*E338</f>
        <v/>
      </c>
      <c r="AF338" s="193">
        <f t="array" ref="AF338">IFERROR(ROUND(_xlfn.IFS(offer_sale_type="поставка",AB338,offer_sale_type="транзит",S338)*AC338,2),0)</f>
        <v/>
      </c>
      <c r="AG338" s="192">
        <f>$BD338*VLOOKUP($AG$3,$AF$4:$AG$7,2,FALSE)</f>
        <v/>
      </c>
      <c r="AH338" s="76">
        <f>SUM(AE338,AG338,AI338)*rate_forex_risk</f>
        <v/>
      </c>
      <c r="AI338" s="193">
        <f>IF(OR(seller_region="TR",offer_sale_type="экспорт"),0,rate_fin_comm)*SUM(AZ338,AZ338*AW338,T338)</f>
        <v/>
      </c>
      <c r="AJ338" s="118">
        <f>IFERROR(ROUND(SUM(AB338,AF338:AI338)/E338,2),0)</f>
        <v/>
      </c>
      <c r="AK338" s="76">
        <f>AJ338*E338</f>
        <v/>
      </c>
      <c r="AL338" s="174">
        <f>ROUND(IFERROR(AM338*E338,0),2)</f>
        <v/>
      </c>
      <c r="AM338" s="175">
        <f>ROUND(AJ338*(1+IF(offer_incoterms="DDP",IF((TODAY()+offer_turnaround_time)&gt;=helpsheet!$L$17,rate_vatRU_from_26,rate_vatRu_till_25),0)),2)</f>
        <v/>
      </c>
      <c r="AN338" s="192">
        <f>AL338-AK338</f>
        <v/>
      </c>
      <c r="AO338" s="76">
        <f>SUM(AY338,Y338:Z338,T338)*IF(AND(offer_incoterms="DDP",offer_sale_type&lt;&gt;"экспорт"),IF((TODAY()+offer_turnaround_time)&gt;=helpsheet!$L$17,rate_vatRU_from_26,rate_vatRu_till_25),0)</f>
        <v/>
      </c>
      <c r="AP338" s="193">
        <f>AN338-AO338</f>
        <v/>
      </c>
      <c r="AQ338" s="118">
        <f>IF(offer_sale_type="транзит",SUM(AF338:AI338,BA338,BB338),0)</f>
        <v/>
      </c>
      <c r="AR338" s="82">
        <f>HYPERLINK("https://www.alta.ru/tnved/code/")&amp;W338&amp;"/"</f>
        <v/>
      </c>
      <c r="AS338" s="157" t="n"/>
      <c r="AT338" s="162" t="n"/>
      <c r="AU338" s="76">
        <f>IF(ISBLANK(AT338),0,AJ338-AT338)</f>
        <v/>
      </c>
      <c r="AV338" s="157" t="n"/>
      <c r="AW338" s="75">
        <f>_xlfn.IFNA(VLOOKUP(L338,list_vat[],3,FALSE),0)</f>
        <v/>
      </c>
      <c r="AX338" s="76">
        <f>IFERROR(ROUND(S338*(1+AW338)/E338,2),0)</f>
        <v/>
      </c>
      <c r="AY338" s="76">
        <f>E338*AX338</f>
        <v/>
      </c>
      <c r="AZ338" s="192">
        <f>S338*(1+M338)</f>
        <v/>
      </c>
      <c r="BA338" s="76">
        <f>cost_fin_total*$BD338</f>
        <v/>
      </c>
      <c r="BB338" s="193">
        <f>credit_sales_interest*BD338</f>
        <v/>
      </c>
      <c r="BC338" s="102">
        <f>IFERROR(IF($I$13&gt;0,$I338/$I$13,$S338/$S$13),0)</f>
        <v/>
      </c>
      <c r="BD338" s="102">
        <f>IFERROR($S338/$S$13,0)</f>
        <v/>
      </c>
      <c r="BE338" s="413" t="inlineStr">
        <is>
          <t>$</t>
        </is>
      </c>
    </row>
    <row r="339" ht="12" customFormat="1" customHeight="1" s="65">
      <c r="A339" s="43" t="n">
        <v>324</v>
      </c>
      <c r="B339" s="166" t="n"/>
      <c r="C339" s="166" t="n"/>
      <c r="D339" s="166" t="n"/>
      <c r="E339" s="162" t="n"/>
      <c r="F339" s="166" t="n"/>
      <c r="G339" s="162" t="n"/>
      <c r="H339" s="162" t="n"/>
      <c r="I339" s="189">
        <f>E339*G339</f>
        <v/>
      </c>
      <c r="J339" s="195" t="n"/>
      <c r="K339" s="162" t="n"/>
      <c r="L339" s="168" t="n"/>
      <c r="M339" s="75">
        <f>_xlfn.XLOOKUP(L339,list_vat[Страна],list_vat[Ставка НДС %],0,0)</f>
        <v/>
      </c>
      <c r="N339" s="162">
        <f>IFERROR(IF(L339="Китай",K339,K339/(1+M339)),0)</f>
        <v/>
      </c>
      <c r="O339" s="169" t="n"/>
      <c r="P339" s="76">
        <f>N339*(1-O339)</f>
        <v/>
      </c>
      <c r="Q339" s="162" t="n"/>
      <c r="R339" s="162">
        <f>IF(ISBLANK(Q339),"введи курс",P339/Q339)</f>
        <v/>
      </c>
      <c r="S339" s="196">
        <f>IF(AND(ISNUMBER(E339),ISNUMBER(Q339)),E339*R339,0)</f>
        <v/>
      </c>
      <c r="T339" s="192">
        <f>$BC339*V$11</f>
        <v/>
      </c>
      <c r="U339" s="76">
        <f>$BC339*W$11</f>
        <v/>
      </c>
      <c r="V339" s="193">
        <f>+SUM(T339:U339)</f>
        <v/>
      </c>
      <c r="W339" s="191" t="n"/>
      <c r="X339" s="170" t="n"/>
      <c r="Y339" s="76">
        <f>ROUND(IF(offer_incoterms="DDP",X339*(S339*(1+AW339)+T339),0),2)</f>
        <v/>
      </c>
      <c r="Z339" s="188" t="n"/>
      <c r="AA339" s="192">
        <f>IFERROR(AB339/E339,0)</f>
        <v/>
      </c>
      <c r="AB339" s="76">
        <f>ROUND(SUM(S339,V339,Y339:Z339,BA339:BB339),2)</f>
        <v/>
      </c>
      <c r="AC339" s="797" t="n"/>
      <c r="AD339" s="192">
        <f t="array" ref="AD339">IFERROR(ROUND((_xlfn.IFS(offer_sale_type="поставка",AB339,offer_sale_type="транзит",S339)*(1+AC339))/E339,2),0)</f>
        <v/>
      </c>
      <c r="AE339" s="76">
        <f>AD339*E339</f>
        <v/>
      </c>
      <c r="AF339" s="193">
        <f t="array" ref="AF339">IFERROR(ROUND(_xlfn.IFS(offer_sale_type="поставка",AB339,offer_sale_type="транзит",S339)*AC339,2),0)</f>
        <v/>
      </c>
      <c r="AG339" s="192">
        <f>$BD339*VLOOKUP($AG$3,$AF$4:$AG$7,2,FALSE)</f>
        <v/>
      </c>
      <c r="AH339" s="76">
        <f>SUM(AE339,AG339,AI339)*rate_forex_risk</f>
        <v/>
      </c>
      <c r="AI339" s="193">
        <f>IF(OR(seller_region="TR",offer_sale_type="экспорт"),0,rate_fin_comm)*SUM(AZ339,AZ339*AW339,T339)</f>
        <v/>
      </c>
      <c r="AJ339" s="118">
        <f>IFERROR(ROUND(SUM(AB339,AF339:AI339)/E339,2),0)</f>
        <v/>
      </c>
      <c r="AK339" s="76">
        <f>AJ339*E339</f>
        <v/>
      </c>
      <c r="AL339" s="174">
        <f>ROUND(IFERROR(AM339*E339,0),2)</f>
        <v/>
      </c>
      <c r="AM339" s="175">
        <f>ROUND(AJ339*(1+IF(offer_incoterms="DDP",IF((TODAY()+offer_turnaround_time)&gt;=helpsheet!$L$17,rate_vatRU_from_26,rate_vatRu_till_25),0)),2)</f>
        <v/>
      </c>
      <c r="AN339" s="192">
        <f>AL339-AK339</f>
        <v/>
      </c>
      <c r="AO339" s="76">
        <f>SUM(AY339,Y339:Z339,T339)*IF(AND(offer_incoterms="DDP",offer_sale_type&lt;&gt;"экспорт"),IF((TODAY()+offer_turnaround_time)&gt;=helpsheet!$L$17,rate_vatRU_from_26,rate_vatRu_till_25),0)</f>
        <v/>
      </c>
      <c r="AP339" s="193">
        <f>AN339-AO339</f>
        <v/>
      </c>
      <c r="AQ339" s="118">
        <f>IF(offer_sale_type="транзит",SUM(AF339:AI339,BA339,BB339),0)</f>
        <v/>
      </c>
      <c r="AR339" s="82">
        <f>HYPERLINK("https://www.alta.ru/tnved/code/")&amp;W339&amp;"/"</f>
        <v/>
      </c>
      <c r="AS339" s="157" t="n"/>
      <c r="AT339" s="162" t="n"/>
      <c r="AU339" s="76">
        <f>IF(ISBLANK(AT339),0,AJ339-AT339)</f>
        <v/>
      </c>
      <c r="AV339" s="157" t="n"/>
      <c r="AW339" s="75">
        <f>_xlfn.IFNA(VLOOKUP(L339,list_vat[],3,FALSE),0)</f>
        <v/>
      </c>
      <c r="AX339" s="76">
        <f>IFERROR(ROUND(S339*(1+AW339)/E339,2),0)</f>
        <v/>
      </c>
      <c r="AY339" s="76">
        <f>E339*AX339</f>
        <v/>
      </c>
      <c r="AZ339" s="192">
        <f>S339*(1+M339)</f>
        <v/>
      </c>
      <c r="BA339" s="76">
        <f>cost_fin_total*$BD339</f>
        <v/>
      </c>
      <c r="BB339" s="193">
        <f>credit_sales_interest*BD339</f>
        <v/>
      </c>
      <c r="BC339" s="102">
        <f>IFERROR(IF($I$13&gt;0,$I339/$I$13,$S339/$S$13),0)</f>
        <v/>
      </c>
      <c r="BD339" s="102">
        <f>IFERROR($S339/$S$13,0)</f>
        <v/>
      </c>
      <c r="BE339" s="413" t="inlineStr">
        <is>
          <t>$</t>
        </is>
      </c>
    </row>
    <row r="340" ht="12" customFormat="1" customHeight="1" s="65">
      <c r="A340" s="43" t="n">
        <v>325</v>
      </c>
      <c r="B340" s="166" t="n"/>
      <c r="C340" s="166" t="n"/>
      <c r="D340" s="166" t="n"/>
      <c r="E340" s="162" t="n"/>
      <c r="F340" s="166" t="n"/>
      <c r="G340" s="162" t="n"/>
      <c r="H340" s="162" t="n"/>
      <c r="I340" s="189">
        <f>E340*G340</f>
        <v/>
      </c>
      <c r="J340" s="195" t="n"/>
      <c r="K340" s="162" t="n"/>
      <c r="L340" s="168" t="n"/>
      <c r="M340" s="75">
        <f>_xlfn.XLOOKUP(L340,list_vat[Страна],list_vat[Ставка НДС %],0,0)</f>
        <v/>
      </c>
      <c r="N340" s="162">
        <f>IFERROR(IF(L340="Китай",K340,K340/(1+M340)),0)</f>
        <v/>
      </c>
      <c r="O340" s="169" t="n"/>
      <c r="P340" s="76">
        <f>N340*(1-O340)</f>
        <v/>
      </c>
      <c r="Q340" s="162" t="n"/>
      <c r="R340" s="162">
        <f>IF(ISBLANK(Q340),"введи курс",P340/Q340)</f>
        <v/>
      </c>
      <c r="S340" s="196">
        <f>IF(AND(ISNUMBER(E340),ISNUMBER(Q340)),E340*R340,0)</f>
        <v/>
      </c>
      <c r="T340" s="192">
        <f>$BC340*V$11</f>
        <v/>
      </c>
      <c r="U340" s="76">
        <f>$BC340*W$11</f>
        <v/>
      </c>
      <c r="V340" s="193">
        <f>+SUM(T340:U340)</f>
        <v/>
      </c>
      <c r="W340" s="191" t="n"/>
      <c r="X340" s="170" t="n"/>
      <c r="Y340" s="76">
        <f>ROUND(IF(offer_incoterms="DDP",X340*(S340*(1+AW340)+T340),0),2)</f>
        <v/>
      </c>
      <c r="Z340" s="188" t="n"/>
      <c r="AA340" s="192">
        <f>IFERROR(AB340/E340,0)</f>
        <v/>
      </c>
      <c r="AB340" s="76">
        <f>ROUND(SUM(S340,V340,Y340:Z340,BA340:BB340),2)</f>
        <v/>
      </c>
      <c r="AC340" s="797" t="n"/>
      <c r="AD340" s="192">
        <f t="array" ref="AD340">IFERROR(ROUND((_xlfn.IFS(offer_sale_type="поставка",AB340,offer_sale_type="транзит",S340)*(1+AC340))/E340,2),0)</f>
        <v/>
      </c>
      <c r="AE340" s="76">
        <f>AD340*E340</f>
        <v/>
      </c>
      <c r="AF340" s="193">
        <f t="array" ref="AF340">IFERROR(ROUND(_xlfn.IFS(offer_sale_type="поставка",AB340,offer_sale_type="транзит",S340)*AC340,2),0)</f>
        <v/>
      </c>
      <c r="AG340" s="192">
        <f>$BD340*VLOOKUP($AG$3,$AF$4:$AG$7,2,FALSE)</f>
        <v/>
      </c>
      <c r="AH340" s="76">
        <f>SUM(AE340,AG340,AI340)*rate_forex_risk</f>
        <v/>
      </c>
      <c r="AI340" s="193">
        <f>IF(OR(seller_region="TR",offer_sale_type="экспорт"),0,rate_fin_comm)*SUM(AZ340,AZ340*AW340,T340)</f>
        <v/>
      </c>
      <c r="AJ340" s="118">
        <f>IFERROR(ROUND(SUM(AB340,AF340:AI340)/E340,2),0)</f>
        <v/>
      </c>
      <c r="AK340" s="76">
        <f>AJ340*E340</f>
        <v/>
      </c>
      <c r="AL340" s="174">
        <f>ROUND(IFERROR(AM340*E340,0),2)</f>
        <v/>
      </c>
      <c r="AM340" s="175">
        <f>ROUND(AJ340*(1+IF(offer_incoterms="DDP",IF((TODAY()+offer_turnaround_time)&gt;=helpsheet!$L$17,rate_vatRU_from_26,rate_vatRu_till_25),0)),2)</f>
        <v/>
      </c>
      <c r="AN340" s="192">
        <f>AL340-AK340</f>
        <v/>
      </c>
      <c r="AO340" s="76">
        <f>SUM(AY340,Y340:Z340,T340)*IF(AND(offer_incoterms="DDP",offer_sale_type&lt;&gt;"экспорт"),IF((TODAY()+offer_turnaround_time)&gt;=helpsheet!$L$17,rate_vatRU_from_26,rate_vatRu_till_25),0)</f>
        <v/>
      </c>
      <c r="AP340" s="193">
        <f>AN340-AO340</f>
        <v/>
      </c>
      <c r="AQ340" s="118">
        <f>IF(offer_sale_type="транзит",SUM(AF340:AI340,BA340,BB340),0)</f>
        <v/>
      </c>
      <c r="AR340" s="82">
        <f>HYPERLINK("https://www.alta.ru/tnved/code/")&amp;W340&amp;"/"</f>
        <v/>
      </c>
      <c r="AS340" s="157" t="n"/>
      <c r="AT340" s="162" t="n"/>
      <c r="AU340" s="76">
        <f>IF(ISBLANK(AT340),0,AJ340-AT340)</f>
        <v/>
      </c>
      <c r="AV340" s="157" t="n"/>
      <c r="AW340" s="75">
        <f>_xlfn.IFNA(VLOOKUP(L340,list_vat[],3,FALSE),0)</f>
        <v/>
      </c>
      <c r="AX340" s="76">
        <f>IFERROR(ROUND(S340*(1+AW340)/E340,2),0)</f>
        <v/>
      </c>
      <c r="AY340" s="76">
        <f>E340*AX340</f>
        <v/>
      </c>
      <c r="AZ340" s="192">
        <f>S340*(1+M340)</f>
        <v/>
      </c>
      <c r="BA340" s="76">
        <f>cost_fin_total*$BD340</f>
        <v/>
      </c>
      <c r="BB340" s="193">
        <f>credit_sales_interest*BD340</f>
        <v/>
      </c>
      <c r="BC340" s="102">
        <f>IFERROR(IF($I$13&gt;0,$I340/$I$13,$S340/$S$13),0)</f>
        <v/>
      </c>
      <c r="BD340" s="102">
        <f>IFERROR($S340/$S$13,0)</f>
        <v/>
      </c>
      <c r="BE340" s="413" t="inlineStr">
        <is>
          <t>$</t>
        </is>
      </c>
    </row>
    <row r="341" ht="12" customFormat="1" customHeight="1" s="65">
      <c r="A341" s="43" t="n">
        <v>326</v>
      </c>
      <c r="B341" s="166" t="n"/>
      <c r="C341" s="166" t="n"/>
      <c r="D341" s="166" t="n"/>
      <c r="E341" s="162" t="n"/>
      <c r="F341" s="166" t="n"/>
      <c r="G341" s="162" t="n"/>
      <c r="H341" s="162" t="n"/>
      <c r="I341" s="189">
        <f>E341*G341</f>
        <v/>
      </c>
      <c r="J341" s="195" t="n"/>
      <c r="K341" s="162" t="n"/>
      <c r="L341" s="168" t="n"/>
      <c r="M341" s="75">
        <f>_xlfn.XLOOKUP(L341,list_vat[Страна],list_vat[Ставка НДС %],0,0)</f>
        <v/>
      </c>
      <c r="N341" s="162">
        <f>IFERROR(IF(L341="Китай",K341,K341/(1+M341)),0)</f>
        <v/>
      </c>
      <c r="O341" s="169" t="n"/>
      <c r="P341" s="76">
        <f>N341*(1-O341)</f>
        <v/>
      </c>
      <c r="Q341" s="162" t="n"/>
      <c r="R341" s="162">
        <f>IF(ISBLANK(Q341),"введи курс",P341/Q341)</f>
        <v/>
      </c>
      <c r="S341" s="196">
        <f>IF(AND(ISNUMBER(E341),ISNUMBER(Q341)),E341*R341,0)</f>
        <v/>
      </c>
      <c r="T341" s="192">
        <f>$BC341*V$11</f>
        <v/>
      </c>
      <c r="U341" s="76">
        <f>$BC341*W$11</f>
        <v/>
      </c>
      <c r="V341" s="193">
        <f>+SUM(T341:U341)</f>
        <v/>
      </c>
      <c r="W341" s="191" t="n"/>
      <c r="X341" s="170" t="n"/>
      <c r="Y341" s="76">
        <f>ROUND(IF(offer_incoterms="DDP",X341*(S341*(1+AW341)+T341),0),2)</f>
        <v/>
      </c>
      <c r="Z341" s="188" t="n"/>
      <c r="AA341" s="192">
        <f>IFERROR(AB341/E341,0)</f>
        <v/>
      </c>
      <c r="AB341" s="76">
        <f>ROUND(SUM(S341,V341,Y341:Z341,BA341:BB341),2)</f>
        <v/>
      </c>
      <c r="AC341" s="797" t="n"/>
      <c r="AD341" s="192">
        <f t="array" ref="AD341">IFERROR(ROUND((_xlfn.IFS(offer_sale_type="поставка",AB341,offer_sale_type="транзит",S341)*(1+AC341))/E341,2),0)</f>
        <v/>
      </c>
      <c r="AE341" s="76">
        <f>AD341*E341</f>
        <v/>
      </c>
      <c r="AF341" s="193">
        <f t="array" ref="AF341">IFERROR(ROUND(_xlfn.IFS(offer_sale_type="поставка",AB341,offer_sale_type="транзит",S341)*AC341,2),0)</f>
        <v/>
      </c>
      <c r="AG341" s="192">
        <f>$BD341*VLOOKUP($AG$3,$AF$4:$AG$7,2,FALSE)</f>
        <v/>
      </c>
      <c r="AH341" s="76">
        <f>SUM(AE341,AG341,AI341)*rate_forex_risk</f>
        <v/>
      </c>
      <c r="AI341" s="193">
        <f>IF(OR(seller_region="TR",offer_sale_type="экспорт"),0,rate_fin_comm)*SUM(AZ341,AZ341*AW341,T341)</f>
        <v/>
      </c>
      <c r="AJ341" s="118">
        <f>IFERROR(ROUND(SUM(AB341,AF341:AI341)/E341,2),0)</f>
        <v/>
      </c>
      <c r="AK341" s="76">
        <f>AJ341*E341</f>
        <v/>
      </c>
      <c r="AL341" s="174">
        <f>ROUND(IFERROR(AM341*E341,0),2)</f>
        <v/>
      </c>
      <c r="AM341" s="175">
        <f>ROUND(AJ341*(1+IF(offer_incoterms="DDP",IF((TODAY()+offer_turnaround_time)&gt;=helpsheet!$L$17,rate_vatRU_from_26,rate_vatRu_till_25),0)),2)</f>
        <v/>
      </c>
      <c r="AN341" s="192">
        <f>AL341-AK341</f>
        <v/>
      </c>
      <c r="AO341" s="76">
        <f>SUM(AY341,Y341:Z341,T341)*IF(AND(offer_incoterms="DDP",offer_sale_type&lt;&gt;"экспорт"),IF((TODAY()+offer_turnaround_time)&gt;=helpsheet!$L$17,rate_vatRU_from_26,rate_vatRu_till_25),0)</f>
        <v/>
      </c>
      <c r="AP341" s="193">
        <f>AN341-AO341</f>
        <v/>
      </c>
      <c r="AQ341" s="118">
        <f>IF(offer_sale_type="транзит",SUM(AF341:AI341,BA341,BB341),0)</f>
        <v/>
      </c>
      <c r="AR341" s="82">
        <f>HYPERLINK("https://www.alta.ru/tnved/code/")&amp;W341&amp;"/"</f>
        <v/>
      </c>
      <c r="AS341" s="157" t="n"/>
      <c r="AT341" s="162" t="n"/>
      <c r="AU341" s="76">
        <f>IF(ISBLANK(AT341),0,AJ341-AT341)</f>
        <v/>
      </c>
      <c r="AV341" s="157" t="n"/>
      <c r="AW341" s="75">
        <f>_xlfn.IFNA(VLOOKUP(L341,list_vat[],3,FALSE),0)</f>
        <v/>
      </c>
      <c r="AX341" s="76">
        <f>IFERROR(ROUND(S341*(1+AW341)/E341,2),0)</f>
        <v/>
      </c>
      <c r="AY341" s="76">
        <f>E341*AX341</f>
        <v/>
      </c>
      <c r="AZ341" s="192">
        <f>S341*(1+M341)</f>
        <v/>
      </c>
      <c r="BA341" s="76">
        <f>cost_fin_total*$BD341</f>
        <v/>
      </c>
      <c r="BB341" s="193">
        <f>credit_sales_interest*BD341</f>
        <v/>
      </c>
      <c r="BC341" s="102">
        <f>IFERROR(IF($I$13&gt;0,$I341/$I$13,$S341/$S$13),0)</f>
        <v/>
      </c>
      <c r="BD341" s="102">
        <f>IFERROR($S341/$S$13,0)</f>
        <v/>
      </c>
      <c r="BE341" s="413" t="inlineStr">
        <is>
          <t>$</t>
        </is>
      </c>
    </row>
    <row r="342" ht="12" customFormat="1" customHeight="1" s="65">
      <c r="A342" s="43" t="n">
        <v>327</v>
      </c>
      <c r="B342" s="166" t="n"/>
      <c r="C342" s="166" t="n"/>
      <c r="D342" s="166" t="n"/>
      <c r="E342" s="162" t="n"/>
      <c r="F342" s="166" t="n"/>
      <c r="G342" s="162" t="n"/>
      <c r="H342" s="162" t="n"/>
      <c r="I342" s="189">
        <f>E342*G342</f>
        <v/>
      </c>
      <c r="J342" s="195" t="n"/>
      <c r="K342" s="162" t="n"/>
      <c r="L342" s="168" t="n"/>
      <c r="M342" s="75">
        <f>_xlfn.XLOOKUP(L342,list_vat[Страна],list_vat[Ставка НДС %],0,0)</f>
        <v/>
      </c>
      <c r="N342" s="162">
        <f>IFERROR(IF(L342="Китай",K342,K342/(1+M342)),0)</f>
        <v/>
      </c>
      <c r="O342" s="169" t="n"/>
      <c r="P342" s="76">
        <f>N342*(1-O342)</f>
        <v/>
      </c>
      <c r="Q342" s="162" t="n"/>
      <c r="R342" s="162">
        <f>IF(ISBLANK(Q342),"введи курс",P342/Q342)</f>
        <v/>
      </c>
      <c r="S342" s="196">
        <f>IF(AND(ISNUMBER(E342),ISNUMBER(Q342)),E342*R342,0)</f>
        <v/>
      </c>
      <c r="T342" s="192">
        <f>$BC342*V$11</f>
        <v/>
      </c>
      <c r="U342" s="76">
        <f>$BC342*W$11</f>
        <v/>
      </c>
      <c r="V342" s="193">
        <f>+SUM(T342:U342)</f>
        <v/>
      </c>
      <c r="W342" s="191" t="n"/>
      <c r="X342" s="170" t="n"/>
      <c r="Y342" s="76">
        <f>ROUND(IF(offer_incoterms="DDP",X342*(S342*(1+AW342)+T342),0),2)</f>
        <v/>
      </c>
      <c r="Z342" s="188" t="n"/>
      <c r="AA342" s="192">
        <f>IFERROR(AB342/E342,0)</f>
        <v/>
      </c>
      <c r="AB342" s="76">
        <f>ROUND(SUM(S342,V342,Y342:Z342,BA342:BB342),2)</f>
        <v/>
      </c>
      <c r="AC342" s="797" t="n"/>
      <c r="AD342" s="192">
        <f t="array" ref="AD342">IFERROR(ROUND((_xlfn.IFS(offer_sale_type="поставка",AB342,offer_sale_type="транзит",S342)*(1+AC342))/E342,2),0)</f>
        <v/>
      </c>
      <c r="AE342" s="76">
        <f>AD342*E342</f>
        <v/>
      </c>
      <c r="AF342" s="193">
        <f t="array" ref="AF342">IFERROR(ROUND(_xlfn.IFS(offer_sale_type="поставка",AB342,offer_sale_type="транзит",S342)*AC342,2),0)</f>
        <v/>
      </c>
      <c r="AG342" s="192">
        <f>$BD342*VLOOKUP($AG$3,$AF$4:$AG$7,2,FALSE)</f>
        <v/>
      </c>
      <c r="AH342" s="76">
        <f>SUM(AE342,AG342,AI342)*rate_forex_risk</f>
        <v/>
      </c>
      <c r="AI342" s="193">
        <f>IF(OR(seller_region="TR",offer_sale_type="экспорт"),0,rate_fin_comm)*SUM(AZ342,AZ342*AW342,T342)</f>
        <v/>
      </c>
      <c r="AJ342" s="118">
        <f>IFERROR(ROUND(SUM(AB342,AF342:AI342)/E342,2),0)</f>
        <v/>
      </c>
      <c r="AK342" s="76">
        <f>AJ342*E342</f>
        <v/>
      </c>
      <c r="AL342" s="174">
        <f>ROUND(IFERROR(AM342*E342,0),2)</f>
        <v/>
      </c>
      <c r="AM342" s="175">
        <f>ROUND(AJ342*(1+IF(offer_incoterms="DDP",IF((TODAY()+offer_turnaround_time)&gt;=helpsheet!$L$17,rate_vatRU_from_26,rate_vatRu_till_25),0)),2)</f>
        <v/>
      </c>
      <c r="AN342" s="192">
        <f>AL342-AK342</f>
        <v/>
      </c>
      <c r="AO342" s="76">
        <f>SUM(AY342,Y342:Z342,T342)*IF(AND(offer_incoterms="DDP",offer_sale_type&lt;&gt;"экспорт"),IF((TODAY()+offer_turnaround_time)&gt;=helpsheet!$L$17,rate_vatRU_from_26,rate_vatRu_till_25),0)</f>
        <v/>
      </c>
      <c r="AP342" s="193">
        <f>AN342-AO342</f>
        <v/>
      </c>
      <c r="AQ342" s="118">
        <f>IF(offer_sale_type="транзит",SUM(AF342:AI342,BA342,BB342),0)</f>
        <v/>
      </c>
      <c r="AR342" s="82">
        <f>HYPERLINK("https://www.alta.ru/tnved/code/")&amp;W342&amp;"/"</f>
        <v/>
      </c>
      <c r="AS342" s="157" t="n"/>
      <c r="AT342" s="162" t="n"/>
      <c r="AU342" s="76">
        <f>IF(ISBLANK(AT342),0,AJ342-AT342)</f>
        <v/>
      </c>
      <c r="AV342" s="157" t="n"/>
      <c r="AW342" s="75">
        <f>_xlfn.IFNA(VLOOKUP(L342,list_vat[],3,FALSE),0)</f>
        <v/>
      </c>
      <c r="AX342" s="76">
        <f>IFERROR(ROUND(S342*(1+AW342)/E342,2),0)</f>
        <v/>
      </c>
      <c r="AY342" s="76">
        <f>E342*AX342</f>
        <v/>
      </c>
      <c r="AZ342" s="192">
        <f>S342*(1+M342)</f>
        <v/>
      </c>
      <c r="BA342" s="76">
        <f>cost_fin_total*$BD342</f>
        <v/>
      </c>
      <c r="BB342" s="193">
        <f>credit_sales_interest*BD342</f>
        <v/>
      </c>
      <c r="BC342" s="102">
        <f>IFERROR(IF($I$13&gt;0,$I342/$I$13,$S342/$S$13),0)</f>
        <v/>
      </c>
      <c r="BD342" s="102">
        <f>IFERROR($S342/$S$13,0)</f>
        <v/>
      </c>
      <c r="BE342" s="413" t="inlineStr">
        <is>
          <t>$</t>
        </is>
      </c>
    </row>
    <row r="343" ht="12" customFormat="1" customHeight="1" s="65">
      <c r="A343" s="43" t="n">
        <v>328</v>
      </c>
      <c r="B343" s="166" t="n"/>
      <c r="C343" s="166" t="n"/>
      <c r="D343" s="166" t="n"/>
      <c r="E343" s="162" t="n"/>
      <c r="F343" s="166" t="n"/>
      <c r="G343" s="162" t="n"/>
      <c r="H343" s="162" t="n"/>
      <c r="I343" s="189">
        <f>E343*G343</f>
        <v/>
      </c>
      <c r="J343" s="195" t="n"/>
      <c r="K343" s="162" t="n"/>
      <c r="L343" s="168" t="n"/>
      <c r="M343" s="75">
        <f>_xlfn.XLOOKUP(L343,list_vat[Страна],list_vat[Ставка НДС %],0,0)</f>
        <v/>
      </c>
      <c r="N343" s="162">
        <f>IFERROR(IF(L343="Китай",K343,K343/(1+M343)),0)</f>
        <v/>
      </c>
      <c r="O343" s="169" t="n"/>
      <c r="P343" s="76">
        <f>N343*(1-O343)</f>
        <v/>
      </c>
      <c r="Q343" s="162" t="n"/>
      <c r="R343" s="162">
        <f>IF(ISBLANK(Q343),"введи курс",P343/Q343)</f>
        <v/>
      </c>
      <c r="S343" s="196">
        <f>IF(AND(ISNUMBER(E343),ISNUMBER(Q343)),E343*R343,0)</f>
        <v/>
      </c>
      <c r="T343" s="192">
        <f>$BC343*V$11</f>
        <v/>
      </c>
      <c r="U343" s="76">
        <f>$BC343*W$11</f>
        <v/>
      </c>
      <c r="V343" s="193">
        <f>+SUM(T343:U343)</f>
        <v/>
      </c>
      <c r="W343" s="191" t="n"/>
      <c r="X343" s="170" t="n"/>
      <c r="Y343" s="76">
        <f>ROUND(IF(offer_incoterms="DDP",X343*(S343*(1+AW343)+T343),0),2)</f>
        <v/>
      </c>
      <c r="Z343" s="188" t="n"/>
      <c r="AA343" s="192">
        <f>IFERROR(AB343/E343,0)</f>
        <v/>
      </c>
      <c r="AB343" s="76">
        <f>ROUND(SUM(S343,V343,Y343:Z343,BA343:BB343),2)</f>
        <v/>
      </c>
      <c r="AC343" s="797" t="n"/>
      <c r="AD343" s="192">
        <f t="array" ref="AD343">IFERROR(ROUND((_xlfn.IFS(offer_sale_type="поставка",AB343,offer_sale_type="транзит",S343)*(1+AC343))/E343,2),0)</f>
        <v/>
      </c>
      <c r="AE343" s="76">
        <f>AD343*E343</f>
        <v/>
      </c>
      <c r="AF343" s="193">
        <f t="array" ref="AF343">IFERROR(ROUND(_xlfn.IFS(offer_sale_type="поставка",AB343,offer_sale_type="транзит",S343)*AC343,2),0)</f>
        <v/>
      </c>
      <c r="AG343" s="192">
        <f>$BD343*VLOOKUP($AG$3,$AF$4:$AG$7,2,FALSE)</f>
        <v/>
      </c>
      <c r="AH343" s="76">
        <f>SUM(AE343,AG343,AI343)*rate_forex_risk</f>
        <v/>
      </c>
      <c r="AI343" s="193">
        <f>IF(OR(seller_region="TR",offer_sale_type="экспорт"),0,rate_fin_comm)*SUM(AZ343,AZ343*AW343,T343)</f>
        <v/>
      </c>
      <c r="AJ343" s="118">
        <f>IFERROR(ROUND(SUM(AB343,AF343:AI343)/E343,2),0)</f>
        <v/>
      </c>
      <c r="AK343" s="76">
        <f>AJ343*E343</f>
        <v/>
      </c>
      <c r="AL343" s="174">
        <f>ROUND(IFERROR(AM343*E343,0),2)</f>
        <v/>
      </c>
      <c r="AM343" s="175">
        <f>ROUND(AJ343*(1+IF(offer_incoterms="DDP",IF((TODAY()+offer_turnaround_time)&gt;=helpsheet!$L$17,rate_vatRU_from_26,rate_vatRu_till_25),0)),2)</f>
        <v/>
      </c>
      <c r="AN343" s="192">
        <f>AL343-AK343</f>
        <v/>
      </c>
      <c r="AO343" s="76">
        <f>SUM(AY343,Y343:Z343,T343)*IF(AND(offer_incoterms="DDP",offer_sale_type&lt;&gt;"экспорт"),IF((TODAY()+offer_turnaround_time)&gt;=helpsheet!$L$17,rate_vatRU_from_26,rate_vatRu_till_25),0)</f>
        <v/>
      </c>
      <c r="AP343" s="193">
        <f>AN343-AO343</f>
        <v/>
      </c>
      <c r="AQ343" s="118">
        <f>IF(offer_sale_type="транзит",SUM(AF343:AI343,BA343,BB343),0)</f>
        <v/>
      </c>
      <c r="AR343" s="82">
        <f>HYPERLINK("https://www.alta.ru/tnved/code/")&amp;W343&amp;"/"</f>
        <v/>
      </c>
      <c r="AS343" s="157" t="n"/>
      <c r="AT343" s="162" t="n"/>
      <c r="AU343" s="76">
        <f>IF(ISBLANK(AT343),0,AJ343-AT343)</f>
        <v/>
      </c>
      <c r="AV343" s="157" t="n"/>
      <c r="AW343" s="75">
        <f>_xlfn.IFNA(VLOOKUP(L343,list_vat[],3,FALSE),0)</f>
        <v/>
      </c>
      <c r="AX343" s="76">
        <f>IFERROR(ROUND(S343*(1+AW343)/E343,2),0)</f>
        <v/>
      </c>
      <c r="AY343" s="76">
        <f>E343*AX343</f>
        <v/>
      </c>
      <c r="AZ343" s="192">
        <f>S343*(1+M343)</f>
        <v/>
      </c>
      <c r="BA343" s="76">
        <f>cost_fin_total*$BD343</f>
        <v/>
      </c>
      <c r="BB343" s="193">
        <f>credit_sales_interest*BD343</f>
        <v/>
      </c>
      <c r="BC343" s="102">
        <f>IFERROR(IF($I$13&gt;0,$I343/$I$13,$S343/$S$13),0)</f>
        <v/>
      </c>
      <c r="BD343" s="102">
        <f>IFERROR($S343/$S$13,0)</f>
        <v/>
      </c>
      <c r="BE343" s="413" t="inlineStr">
        <is>
          <t>$</t>
        </is>
      </c>
    </row>
    <row r="344" ht="12" customFormat="1" customHeight="1" s="65">
      <c r="A344" s="43" t="n">
        <v>329</v>
      </c>
      <c r="B344" s="166" t="n"/>
      <c r="C344" s="166" t="n"/>
      <c r="D344" s="166" t="n"/>
      <c r="E344" s="162" t="n"/>
      <c r="F344" s="166" t="n"/>
      <c r="G344" s="162" t="n"/>
      <c r="H344" s="162" t="n"/>
      <c r="I344" s="189">
        <f>E344*G344</f>
        <v/>
      </c>
      <c r="J344" s="195" t="n"/>
      <c r="K344" s="162" t="n"/>
      <c r="L344" s="168" t="n"/>
      <c r="M344" s="75">
        <f>_xlfn.XLOOKUP(L344,list_vat[Страна],list_vat[Ставка НДС %],0,0)</f>
        <v/>
      </c>
      <c r="N344" s="162">
        <f>IFERROR(IF(L344="Китай",K344,K344/(1+M344)),0)</f>
        <v/>
      </c>
      <c r="O344" s="169" t="n"/>
      <c r="P344" s="76">
        <f>N344*(1-O344)</f>
        <v/>
      </c>
      <c r="Q344" s="162" t="n"/>
      <c r="R344" s="162">
        <f>IF(ISBLANK(Q344),"введи курс",P344/Q344)</f>
        <v/>
      </c>
      <c r="S344" s="196">
        <f>IF(AND(ISNUMBER(E344),ISNUMBER(Q344)),E344*R344,0)</f>
        <v/>
      </c>
      <c r="T344" s="192">
        <f>$BC344*V$11</f>
        <v/>
      </c>
      <c r="U344" s="76">
        <f>$BC344*W$11</f>
        <v/>
      </c>
      <c r="V344" s="193">
        <f>+SUM(T344:U344)</f>
        <v/>
      </c>
      <c r="W344" s="191" t="n"/>
      <c r="X344" s="170" t="n"/>
      <c r="Y344" s="76">
        <f>ROUND(IF(offer_incoterms="DDP",X344*(S344*(1+AW344)+T344),0),2)</f>
        <v/>
      </c>
      <c r="Z344" s="188" t="n"/>
      <c r="AA344" s="192">
        <f>IFERROR(AB344/E344,0)</f>
        <v/>
      </c>
      <c r="AB344" s="76">
        <f>ROUND(SUM(S344,V344,Y344:Z344,BA344:BB344),2)</f>
        <v/>
      </c>
      <c r="AC344" s="797" t="n"/>
      <c r="AD344" s="192">
        <f t="array" ref="AD344">IFERROR(ROUND((_xlfn.IFS(offer_sale_type="поставка",AB344,offer_sale_type="транзит",S344)*(1+AC344))/E344,2),0)</f>
        <v/>
      </c>
      <c r="AE344" s="76">
        <f>AD344*E344</f>
        <v/>
      </c>
      <c r="AF344" s="193">
        <f t="array" ref="AF344">IFERROR(ROUND(_xlfn.IFS(offer_sale_type="поставка",AB344,offer_sale_type="транзит",S344)*AC344,2),0)</f>
        <v/>
      </c>
      <c r="AG344" s="192">
        <f>$BD344*VLOOKUP($AG$3,$AF$4:$AG$7,2,FALSE)</f>
        <v/>
      </c>
      <c r="AH344" s="76">
        <f>SUM(AE344,AG344,AI344)*rate_forex_risk</f>
        <v/>
      </c>
      <c r="AI344" s="193">
        <f>IF(OR(seller_region="TR",offer_sale_type="экспорт"),0,rate_fin_comm)*SUM(AZ344,AZ344*AW344,T344)</f>
        <v/>
      </c>
      <c r="AJ344" s="118">
        <f>IFERROR(ROUND(SUM(AB344,AF344:AI344)/E344,2),0)</f>
        <v/>
      </c>
      <c r="AK344" s="76">
        <f>AJ344*E344</f>
        <v/>
      </c>
      <c r="AL344" s="174">
        <f>ROUND(IFERROR(AM344*E344,0),2)</f>
        <v/>
      </c>
      <c r="AM344" s="175">
        <f>ROUND(AJ344*(1+IF(offer_incoterms="DDP",IF((TODAY()+offer_turnaround_time)&gt;=helpsheet!$L$17,rate_vatRU_from_26,rate_vatRu_till_25),0)),2)</f>
        <v/>
      </c>
      <c r="AN344" s="192">
        <f>AL344-AK344</f>
        <v/>
      </c>
      <c r="AO344" s="76">
        <f>SUM(AY344,Y344:Z344,T344)*IF(AND(offer_incoterms="DDP",offer_sale_type&lt;&gt;"экспорт"),IF((TODAY()+offer_turnaround_time)&gt;=helpsheet!$L$17,rate_vatRU_from_26,rate_vatRu_till_25),0)</f>
        <v/>
      </c>
      <c r="AP344" s="193">
        <f>AN344-AO344</f>
        <v/>
      </c>
      <c r="AQ344" s="118">
        <f>IF(offer_sale_type="транзит",SUM(AF344:AI344,BA344,BB344),0)</f>
        <v/>
      </c>
      <c r="AR344" s="82">
        <f>HYPERLINK("https://www.alta.ru/tnved/code/")&amp;W344&amp;"/"</f>
        <v/>
      </c>
      <c r="AS344" s="157" t="n"/>
      <c r="AT344" s="162" t="n"/>
      <c r="AU344" s="76">
        <f>IF(ISBLANK(AT344),0,AJ344-AT344)</f>
        <v/>
      </c>
      <c r="AV344" s="157" t="n"/>
      <c r="AW344" s="75">
        <f>_xlfn.IFNA(VLOOKUP(L344,list_vat[],3,FALSE),0)</f>
        <v/>
      </c>
      <c r="AX344" s="76">
        <f>IFERROR(ROUND(S344*(1+AW344)/E344,2),0)</f>
        <v/>
      </c>
      <c r="AY344" s="76">
        <f>E344*AX344</f>
        <v/>
      </c>
      <c r="AZ344" s="192">
        <f>S344*(1+M344)</f>
        <v/>
      </c>
      <c r="BA344" s="76">
        <f>cost_fin_total*$BD344</f>
        <v/>
      </c>
      <c r="BB344" s="193">
        <f>credit_sales_interest*BD344</f>
        <v/>
      </c>
      <c r="BC344" s="102">
        <f>IFERROR(IF($I$13&gt;0,$I344/$I$13,$S344/$S$13),0)</f>
        <v/>
      </c>
      <c r="BD344" s="102">
        <f>IFERROR($S344/$S$13,0)</f>
        <v/>
      </c>
      <c r="BE344" s="413" t="inlineStr">
        <is>
          <t>$</t>
        </is>
      </c>
    </row>
    <row r="345" ht="12" customFormat="1" customHeight="1" s="65">
      <c r="A345" s="43" t="n">
        <v>330</v>
      </c>
      <c r="B345" s="166" t="n"/>
      <c r="C345" s="166" t="n"/>
      <c r="D345" s="166" t="n"/>
      <c r="E345" s="162" t="n"/>
      <c r="F345" s="166" t="n"/>
      <c r="G345" s="162" t="n"/>
      <c r="H345" s="162" t="n"/>
      <c r="I345" s="189">
        <f>E345*G345</f>
        <v/>
      </c>
      <c r="J345" s="195" t="n"/>
      <c r="K345" s="162" t="n"/>
      <c r="L345" s="168" t="n"/>
      <c r="M345" s="75">
        <f>_xlfn.XLOOKUP(L345,list_vat[Страна],list_vat[Ставка НДС %],0,0)</f>
        <v/>
      </c>
      <c r="N345" s="162">
        <f>IFERROR(IF(L345="Китай",K345,K345/(1+M345)),0)</f>
        <v/>
      </c>
      <c r="O345" s="169" t="n"/>
      <c r="P345" s="76">
        <f>N345*(1-O345)</f>
        <v/>
      </c>
      <c r="Q345" s="162" t="n"/>
      <c r="R345" s="162">
        <f>IF(ISBLANK(Q345),"введи курс",P345/Q345)</f>
        <v/>
      </c>
      <c r="S345" s="196">
        <f>IF(AND(ISNUMBER(E345),ISNUMBER(Q345)),E345*R345,0)</f>
        <v/>
      </c>
      <c r="T345" s="192">
        <f>$BC345*V$11</f>
        <v/>
      </c>
      <c r="U345" s="76">
        <f>$BC345*W$11</f>
        <v/>
      </c>
      <c r="V345" s="193">
        <f>+SUM(T345:U345)</f>
        <v/>
      </c>
      <c r="W345" s="191" t="n"/>
      <c r="X345" s="170" t="n"/>
      <c r="Y345" s="76">
        <f>ROUND(IF(offer_incoterms="DDP",X345*(S345*(1+AW345)+T345),0),2)</f>
        <v/>
      </c>
      <c r="Z345" s="188" t="n"/>
      <c r="AA345" s="192">
        <f>IFERROR(AB345/E345,0)</f>
        <v/>
      </c>
      <c r="AB345" s="76">
        <f>ROUND(SUM(S345,V345,Y345:Z345,BA345:BB345),2)</f>
        <v/>
      </c>
      <c r="AC345" s="797" t="n"/>
      <c r="AD345" s="192">
        <f t="array" ref="AD345">IFERROR(ROUND((_xlfn.IFS(offer_sale_type="поставка",AB345,offer_sale_type="транзит",S345)*(1+AC345))/E345,2),0)</f>
        <v/>
      </c>
      <c r="AE345" s="76">
        <f>AD345*E345</f>
        <v/>
      </c>
      <c r="AF345" s="193">
        <f t="array" ref="AF345">IFERROR(ROUND(_xlfn.IFS(offer_sale_type="поставка",AB345,offer_sale_type="транзит",S345)*AC345,2),0)</f>
        <v/>
      </c>
      <c r="AG345" s="192">
        <f>$BD345*VLOOKUP($AG$3,$AF$4:$AG$7,2,FALSE)</f>
        <v/>
      </c>
      <c r="AH345" s="76">
        <f>SUM(AE345,AG345,AI345)*rate_forex_risk</f>
        <v/>
      </c>
      <c r="AI345" s="193">
        <f>IF(OR(seller_region="TR",offer_sale_type="экспорт"),0,rate_fin_comm)*SUM(AZ345,AZ345*AW345,T345)</f>
        <v/>
      </c>
      <c r="AJ345" s="118">
        <f>IFERROR(ROUND(SUM(AB345,AF345:AI345)/E345,2),0)</f>
        <v/>
      </c>
      <c r="AK345" s="76">
        <f>AJ345*E345</f>
        <v/>
      </c>
      <c r="AL345" s="174">
        <f>ROUND(IFERROR(AM345*E345,0),2)</f>
        <v/>
      </c>
      <c r="AM345" s="175">
        <f>ROUND(AJ345*(1+IF(offer_incoterms="DDP",IF((TODAY()+offer_turnaround_time)&gt;=helpsheet!$L$17,rate_vatRU_from_26,rate_vatRu_till_25),0)),2)</f>
        <v/>
      </c>
      <c r="AN345" s="192">
        <f>AL345-AK345</f>
        <v/>
      </c>
      <c r="AO345" s="76">
        <f>SUM(AY345,Y345:Z345,T345)*IF(AND(offer_incoterms="DDP",offer_sale_type&lt;&gt;"экспорт"),IF((TODAY()+offer_turnaround_time)&gt;=helpsheet!$L$17,rate_vatRU_from_26,rate_vatRu_till_25),0)</f>
        <v/>
      </c>
      <c r="AP345" s="193">
        <f>AN345-AO345</f>
        <v/>
      </c>
      <c r="AQ345" s="118">
        <f>IF(offer_sale_type="транзит",SUM(AF345:AI345,BA345,BB345),0)</f>
        <v/>
      </c>
      <c r="AR345" s="82">
        <f>HYPERLINK("https://www.alta.ru/tnved/code/")&amp;W345&amp;"/"</f>
        <v/>
      </c>
      <c r="AS345" s="157" t="n"/>
      <c r="AT345" s="162" t="n"/>
      <c r="AU345" s="76">
        <f>IF(ISBLANK(AT345),0,AJ345-AT345)</f>
        <v/>
      </c>
      <c r="AV345" s="157" t="n"/>
      <c r="AW345" s="75">
        <f>_xlfn.IFNA(VLOOKUP(L345,list_vat[],3,FALSE),0)</f>
        <v/>
      </c>
      <c r="AX345" s="76">
        <f>IFERROR(ROUND(S345*(1+AW345)/E345,2),0)</f>
        <v/>
      </c>
      <c r="AY345" s="76">
        <f>E345*AX345</f>
        <v/>
      </c>
      <c r="AZ345" s="192">
        <f>S345*(1+M345)</f>
        <v/>
      </c>
      <c r="BA345" s="76">
        <f>cost_fin_total*$BD345</f>
        <v/>
      </c>
      <c r="BB345" s="193">
        <f>credit_sales_interest*BD345</f>
        <v/>
      </c>
      <c r="BC345" s="102">
        <f>IFERROR(IF($I$13&gt;0,$I345/$I$13,$S345/$S$13),0)</f>
        <v/>
      </c>
      <c r="BD345" s="102">
        <f>IFERROR($S345/$S$13,0)</f>
        <v/>
      </c>
      <c r="BE345" s="413" t="inlineStr">
        <is>
          <t>$</t>
        </is>
      </c>
    </row>
    <row r="346" ht="12" customFormat="1" customHeight="1" s="65">
      <c r="A346" s="43" t="n">
        <v>331</v>
      </c>
      <c r="B346" s="166" t="n"/>
      <c r="C346" s="166" t="n"/>
      <c r="D346" s="166" t="n"/>
      <c r="E346" s="162" t="n"/>
      <c r="F346" s="166" t="n"/>
      <c r="G346" s="162" t="n"/>
      <c r="H346" s="162" t="n"/>
      <c r="I346" s="189">
        <f>E346*G346</f>
        <v/>
      </c>
      <c r="J346" s="195" t="n"/>
      <c r="K346" s="162" t="n"/>
      <c r="L346" s="168" t="n"/>
      <c r="M346" s="75">
        <f>_xlfn.XLOOKUP(L346,list_vat[Страна],list_vat[Ставка НДС %],0,0)</f>
        <v/>
      </c>
      <c r="N346" s="162">
        <f>IFERROR(IF(L346="Китай",K346,K346/(1+M346)),0)</f>
        <v/>
      </c>
      <c r="O346" s="169" t="n"/>
      <c r="P346" s="76">
        <f>N346*(1-O346)</f>
        <v/>
      </c>
      <c r="Q346" s="162" t="n"/>
      <c r="R346" s="162">
        <f>IF(ISBLANK(Q346),"введи курс",P346/Q346)</f>
        <v/>
      </c>
      <c r="S346" s="196">
        <f>IF(AND(ISNUMBER(E346),ISNUMBER(Q346)),E346*R346,0)</f>
        <v/>
      </c>
      <c r="T346" s="192">
        <f>$BC346*V$11</f>
        <v/>
      </c>
      <c r="U346" s="76">
        <f>$BC346*W$11</f>
        <v/>
      </c>
      <c r="V346" s="193">
        <f>+SUM(T346:U346)</f>
        <v/>
      </c>
      <c r="W346" s="191" t="n"/>
      <c r="X346" s="170" t="n"/>
      <c r="Y346" s="76">
        <f>ROUND(IF(offer_incoterms="DDP",X346*(S346*(1+AW346)+T346),0),2)</f>
        <v/>
      </c>
      <c r="Z346" s="188" t="n"/>
      <c r="AA346" s="192">
        <f>IFERROR(AB346/E346,0)</f>
        <v/>
      </c>
      <c r="AB346" s="76">
        <f>ROUND(SUM(S346,V346,Y346:Z346,BA346:BB346),2)</f>
        <v/>
      </c>
      <c r="AC346" s="797" t="n"/>
      <c r="AD346" s="192">
        <f t="array" ref="AD346">IFERROR(ROUND((_xlfn.IFS(offer_sale_type="поставка",AB346,offer_sale_type="транзит",S346)*(1+AC346))/E346,2),0)</f>
        <v/>
      </c>
      <c r="AE346" s="76">
        <f>AD346*E346</f>
        <v/>
      </c>
      <c r="AF346" s="193">
        <f t="array" ref="AF346">IFERROR(ROUND(_xlfn.IFS(offer_sale_type="поставка",AB346,offer_sale_type="транзит",S346)*AC346,2),0)</f>
        <v/>
      </c>
      <c r="AG346" s="192">
        <f>$BD346*VLOOKUP($AG$3,$AF$4:$AG$7,2,FALSE)</f>
        <v/>
      </c>
      <c r="AH346" s="76">
        <f>SUM(AE346,AG346,AI346)*rate_forex_risk</f>
        <v/>
      </c>
      <c r="AI346" s="193">
        <f>IF(OR(seller_region="TR",offer_sale_type="экспорт"),0,rate_fin_comm)*SUM(AZ346,AZ346*AW346,T346)</f>
        <v/>
      </c>
      <c r="AJ346" s="118">
        <f>IFERROR(ROUND(SUM(AB346,AF346:AI346)/E346,2),0)</f>
        <v/>
      </c>
      <c r="AK346" s="76">
        <f>AJ346*E346</f>
        <v/>
      </c>
      <c r="AL346" s="174">
        <f>ROUND(IFERROR(AM346*E346,0),2)</f>
        <v/>
      </c>
      <c r="AM346" s="175">
        <f>ROUND(AJ346*(1+IF(offer_incoterms="DDP",IF((TODAY()+offer_turnaround_time)&gt;=helpsheet!$L$17,rate_vatRU_from_26,rate_vatRu_till_25),0)),2)</f>
        <v/>
      </c>
      <c r="AN346" s="192">
        <f>AL346-AK346</f>
        <v/>
      </c>
      <c r="AO346" s="76">
        <f>SUM(AY346,Y346:Z346,T346)*IF(AND(offer_incoterms="DDP",offer_sale_type&lt;&gt;"экспорт"),IF((TODAY()+offer_turnaround_time)&gt;=helpsheet!$L$17,rate_vatRU_from_26,rate_vatRu_till_25),0)</f>
        <v/>
      </c>
      <c r="AP346" s="193">
        <f>AN346-AO346</f>
        <v/>
      </c>
      <c r="AQ346" s="118">
        <f>IF(offer_sale_type="транзит",SUM(AF346:AI346,BA346,BB346),0)</f>
        <v/>
      </c>
      <c r="AR346" s="82">
        <f>HYPERLINK("https://www.alta.ru/tnved/code/")&amp;W346&amp;"/"</f>
        <v/>
      </c>
      <c r="AS346" s="157" t="n"/>
      <c r="AT346" s="162" t="n"/>
      <c r="AU346" s="76">
        <f>IF(ISBLANK(AT346),0,AJ346-AT346)</f>
        <v/>
      </c>
      <c r="AV346" s="157" t="n"/>
      <c r="AW346" s="75">
        <f>_xlfn.IFNA(VLOOKUP(L346,list_vat[],3,FALSE),0)</f>
        <v/>
      </c>
      <c r="AX346" s="76">
        <f>IFERROR(ROUND(S346*(1+AW346)/E346,2),0)</f>
        <v/>
      </c>
      <c r="AY346" s="76">
        <f>E346*AX346</f>
        <v/>
      </c>
      <c r="AZ346" s="192">
        <f>S346*(1+M346)</f>
        <v/>
      </c>
      <c r="BA346" s="76">
        <f>cost_fin_total*$BD346</f>
        <v/>
      </c>
      <c r="BB346" s="193">
        <f>credit_sales_interest*BD346</f>
        <v/>
      </c>
      <c r="BC346" s="102">
        <f>IFERROR(IF($I$13&gt;0,$I346/$I$13,$S346/$S$13),0)</f>
        <v/>
      </c>
      <c r="BD346" s="102">
        <f>IFERROR($S346/$S$13,0)</f>
        <v/>
      </c>
      <c r="BE346" s="413" t="inlineStr">
        <is>
          <t>$</t>
        </is>
      </c>
    </row>
    <row r="347" ht="12" customFormat="1" customHeight="1" s="65">
      <c r="A347" s="43" t="n">
        <v>332</v>
      </c>
      <c r="B347" s="166" t="n"/>
      <c r="C347" s="166" t="n"/>
      <c r="D347" s="166" t="n"/>
      <c r="E347" s="162" t="n"/>
      <c r="F347" s="166" t="n"/>
      <c r="G347" s="162" t="n"/>
      <c r="H347" s="162" t="n"/>
      <c r="I347" s="189">
        <f>E347*G347</f>
        <v/>
      </c>
      <c r="J347" s="195" t="n"/>
      <c r="K347" s="162" t="n"/>
      <c r="L347" s="168" t="n"/>
      <c r="M347" s="75">
        <f>_xlfn.XLOOKUP(L347,list_vat[Страна],list_vat[Ставка НДС %],0,0)</f>
        <v/>
      </c>
      <c r="N347" s="162">
        <f>IFERROR(IF(L347="Китай",K347,K347/(1+M347)),0)</f>
        <v/>
      </c>
      <c r="O347" s="169" t="n"/>
      <c r="P347" s="76">
        <f>N347*(1-O347)</f>
        <v/>
      </c>
      <c r="Q347" s="162" t="n"/>
      <c r="R347" s="162">
        <f>IF(ISBLANK(Q347),"введи курс",P347/Q347)</f>
        <v/>
      </c>
      <c r="S347" s="196">
        <f>IF(AND(ISNUMBER(E347),ISNUMBER(Q347)),E347*R347,0)</f>
        <v/>
      </c>
      <c r="T347" s="192">
        <f>$BC347*V$11</f>
        <v/>
      </c>
      <c r="U347" s="76">
        <f>$BC347*W$11</f>
        <v/>
      </c>
      <c r="V347" s="193">
        <f>+SUM(T347:U347)</f>
        <v/>
      </c>
      <c r="W347" s="191" t="n"/>
      <c r="X347" s="170" t="n"/>
      <c r="Y347" s="76">
        <f>ROUND(IF(offer_incoterms="DDP",X347*(S347*(1+AW347)+T347),0),2)</f>
        <v/>
      </c>
      <c r="Z347" s="188" t="n"/>
      <c r="AA347" s="192">
        <f>IFERROR(AB347/E347,0)</f>
        <v/>
      </c>
      <c r="AB347" s="76">
        <f>ROUND(SUM(S347,V347,Y347:Z347,BA347:BB347),2)</f>
        <v/>
      </c>
      <c r="AC347" s="797" t="n"/>
      <c r="AD347" s="192">
        <f t="array" ref="AD347">IFERROR(ROUND((_xlfn.IFS(offer_sale_type="поставка",AB347,offer_sale_type="транзит",S347)*(1+AC347))/E347,2),0)</f>
        <v/>
      </c>
      <c r="AE347" s="76">
        <f>AD347*E347</f>
        <v/>
      </c>
      <c r="AF347" s="193">
        <f t="array" ref="AF347">IFERROR(ROUND(_xlfn.IFS(offer_sale_type="поставка",AB347,offer_sale_type="транзит",S347)*AC347,2),0)</f>
        <v/>
      </c>
      <c r="AG347" s="192">
        <f>$BD347*VLOOKUP($AG$3,$AF$4:$AG$7,2,FALSE)</f>
        <v/>
      </c>
      <c r="AH347" s="76">
        <f>SUM(AE347,AG347,AI347)*rate_forex_risk</f>
        <v/>
      </c>
      <c r="AI347" s="193">
        <f>IF(OR(seller_region="TR",offer_sale_type="экспорт"),0,rate_fin_comm)*SUM(AZ347,AZ347*AW347,T347)</f>
        <v/>
      </c>
      <c r="AJ347" s="118">
        <f>IFERROR(ROUND(SUM(AB347,AF347:AI347)/E347,2),0)</f>
        <v/>
      </c>
      <c r="AK347" s="76">
        <f>AJ347*E347</f>
        <v/>
      </c>
      <c r="AL347" s="174">
        <f>ROUND(IFERROR(AM347*E347,0),2)</f>
        <v/>
      </c>
      <c r="AM347" s="175">
        <f>ROUND(AJ347*(1+IF(offer_incoterms="DDP",IF((TODAY()+offer_turnaround_time)&gt;=helpsheet!$L$17,rate_vatRU_from_26,rate_vatRu_till_25),0)),2)</f>
        <v/>
      </c>
      <c r="AN347" s="192">
        <f>AL347-AK347</f>
        <v/>
      </c>
      <c r="AO347" s="76">
        <f>SUM(AY347,Y347:Z347,T347)*IF(AND(offer_incoterms="DDP",offer_sale_type&lt;&gt;"экспорт"),IF((TODAY()+offer_turnaround_time)&gt;=helpsheet!$L$17,rate_vatRU_from_26,rate_vatRu_till_25),0)</f>
        <v/>
      </c>
      <c r="AP347" s="193">
        <f>AN347-AO347</f>
        <v/>
      </c>
      <c r="AQ347" s="118">
        <f>IF(offer_sale_type="транзит",SUM(AF347:AI347,BA347,BB347),0)</f>
        <v/>
      </c>
      <c r="AR347" s="82">
        <f>HYPERLINK("https://www.alta.ru/tnved/code/")&amp;W347&amp;"/"</f>
        <v/>
      </c>
      <c r="AS347" s="157" t="n"/>
      <c r="AT347" s="162" t="n"/>
      <c r="AU347" s="76">
        <f>IF(ISBLANK(AT347),0,AJ347-AT347)</f>
        <v/>
      </c>
      <c r="AV347" s="157" t="n"/>
      <c r="AW347" s="75">
        <f>_xlfn.IFNA(VLOOKUP(L347,list_vat[],3,FALSE),0)</f>
        <v/>
      </c>
      <c r="AX347" s="76">
        <f>IFERROR(ROUND(S347*(1+AW347)/E347,2),0)</f>
        <v/>
      </c>
      <c r="AY347" s="76">
        <f>E347*AX347</f>
        <v/>
      </c>
      <c r="AZ347" s="192">
        <f>S347*(1+M347)</f>
        <v/>
      </c>
      <c r="BA347" s="76">
        <f>cost_fin_total*$BD347</f>
        <v/>
      </c>
      <c r="BB347" s="193">
        <f>credit_sales_interest*BD347</f>
        <v/>
      </c>
      <c r="BC347" s="102">
        <f>IFERROR(IF($I$13&gt;0,$I347/$I$13,$S347/$S$13),0)</f>
        <v/>
      </c>
      <c r="BD347" s="102">
        <f>IFERROR($S347/$S$13,0)</f>
        <v/>
      </c>
      <c r="BE347" s="413" t="inlineStr">
        <is>
          <t>$</t>
        </is>
      </c>
    </row>
    <row r="348" ht="12" customFormat="1" customHeight="1" s="65">
      <c r="A348" s="43" t="n">
        <v>333</v>
      </c>
      <c r="B348" s="166" t="n"/>
      <c r="C348" s="166" t="n"/>
      <c r="D348" s="166" t="n"/>
      <c r="E348" s="162" t="n"/>
      <c r="F348" s="166" t="n"/>
      <c r="G348" s="162" t="n"/>
      <c r="H348" s="162" t="n"/>
      <c r="I348" s="189">
        <f>E348*G348</f>
        <v/>
      </c>
      <c r="J348" s="195" t="n"/>
      <c r="K348" s="162" t="n"/>
      <c r="L348" s="168" t="n"/>
      <c r="M348" s="75">
        <f>_xlfn.XLOOKUP(L348,list_vat[Страна],list_vat[Ставка НДС %],0,0)</f>
        <v/>
      </c>
      <c r="N348" s="162">
        <f>IFERROR(IF(L348="Китай",K348,K348/(1+M348)),0)</f>
        <v/>
      </c>
      <c r="O348" s="169" t="n"/>
      <c r="P348" s="76">
        <f>N348*(1-O348)</f>
        <v/>
      </c>
      <c r="Q348" s="162" t="n"/>
      <c r="R348" s="162">
        <f>IF(ISBLANK(Q348),"введи курс",P348/Q348)</f>
        <v/>
      </c>
      <c r="S348" s="196">
        <f>IF(AND(ISNUMBER(E348),ISNUMBER(Q348)),E348*R348,0)</f>
        <v/>
      </c>
      <c r="T348" s="192">
        <f>$BC348*V$11</f>
        <v/>
      </c>
      <c r="U348" s="76">
        <f>$BC348*W$11</f>
        <v/>
      </c>
      <c r="V348" s="193">
        <f>+SUM(T348:U348)</f>
        <v/>
      </c>
      <c r="W348" s="191" t="n"/>
      <c r="X348" s="170" t="n"/>
      <c r="Y348" s="76">
        <f>ROUND(IF(offer_incoterms="DDP",X348*(S348*(1+AW348)+T348),0),2)</f>
        <v/>
      </c>
      <c r="Z348" s="188" t="n"/>
      <c r="AA348" s="192">
        <f>IFERROR(AB348/E348,0)</f>
        <v/>
      </c>
      <c r="AB348" s="76">
        <f>ROUND(SUM(S348,V348,Y348:Z348,BA348:BB348),2)</f>
        <v/>
      </c>
      <c r="AC348" s="797" t="n"/>
      <c r="AD348" s="192">
        <f t="array" ref="AD348">IFERROR(ROUND((_xlfn.IFS(offer_sale_type="поставка",AB348,offer_sale_type="транзит",S348)*(1+AC348))/E348,2),0)</f>
        <v/>
      </c>
      <c r="AE348" s="76">
        <f>AD348*E348</f>
        <v/>
      </c>
      <c r="AF348" s="193">
        <f t="array" ref="AF348">IFERROR(ROUND(_xlfn.IFS(offer_sale_type="поставка",AB348,offer_sale_type="транзит",S348)*AC348,2),0)</f>
        <v/>
      </c>
      <c r="AG348" s="192">
        <f>$BD348*VLOOKUP($AG$3,$AF$4:$AG$7,2,FALSE)</f>
        <v/>
      </c>
      <c r="AH348" s="76">
        <f>SUM(AE348,AG348,AI348)*rate_forex_risk</f>
        <v/>
      </c>
      <c r="AI348" s="193">
        <f>IF(OR(seller_region="TR",offer_sale_type="экспорт"),0,rate_fin_comm)*SUM(AZ348,AZ348*AW348,T348)</f>
        <v/>
      </c>
      <c r="AJ348" s="118">
        <f>IFERROR(ROUND(SUM(AB348,AF348:AI348)/E348,2),0)</f>
        <v/>
      </c>
      <c r="AK348" s="76">
        <f>AJ348*E348</f>
        <v/>
      </c>
      <c r="AL348" s="174">
        <f>ROUND(IFERROR(AM348*E348,0),2)</f>
        <v/>
      </c>
      <c r="AM348" s="175">
        <f>ROUND(AJ348*(1+IF(offer_incoterms="DDP",IF((TODAY()+offer_turnaround_time)&gt;=helpsheet!$L$17,rate_vatRU_from_26,rate_vatRu_till_25),0)),2)</f>
        <v/>
      </c>
      <c r="AN348" s="192">
        <f>AL348-AK348</f>
        <v/>
      </c>
      <c r="AO348" s="76">
        <f>SUM(AY348,Y348:Z348,T348)*IF(AND(offer_incoterms="DDP",offer_sale_type&lt;&gt;"экспорт"),IF((TODAY()+offer_turnaround_time)&gt;=helpsheet!$L$17,rate_vatRU_from_26,rate_vatRu_till_25),0)</f>
        <v/>
      </c>
      <c r="AP348" s="193">
        <f>AN348-AO348</f>
        <v/>
      </c>
      <c r="AQ348" s="118">
        <f>IF(offer_sale_type="транзит",SUM(AF348:AI348,BA348,BB348),0)</f>
        <v/>
      </c>
      <c r="AR348" s="82">
        <f>HYPERLINK("https://www.alta.ru/tnved/code/")&amp;W348&amp;"/"</f>
        <v/>
      </c>
      <c r="AS348" s="157" t="n"/>
      <c r="AT348" s="162" t="n"/>
      <c r="AU348" s="76">
        <f>IF(ISBLANK(AT348),0,AJ348-AT348)</f>
        <v/>
      </c>
      <c r="AV348" s="157" t="n"/>
      <c r="AW348" s="75">
        <f>_xlfn.IFNA(VLOOKUP(L348,list_vat[],3,FALSE),0)</f>
        <v/>
      </c>
      <c r="AX348" s="76">
        <f>IFERROR(ROUND(S348*(1+AW348)/E348,2),0)</f>
        <v/>
      </c>
      <c r="AY348" s="76">
        <f>E348*AX348</f>
        <v/>
      </c>
      <c r="AZ348" s="192">
        <f>S348*(1+M348)</f>
        <v/>
      </c>
      <c r="BA348" s="76">
        <f>cost_fin_total*$BD348</f>
        <v/>
      </c>
      <c r="BB348" s="193">
        <f>credit_sales_interest*BD348</f>
        <v/>
      </c>
      <c r="BC348" s="102">
        <f>IFERROR(IF($I$13&gt;0,$I348/$I$13,$S348/$S$13),0)</f>
        <v/>
      </c>
      <c r="BD348" s="102">
        <f>IFERROR($S348/$S$13,0)</f>
        <v/>
      </c>
      <c r="BE348" s="413" t="inlineStr">
        <is>
          <t>$</t>
        </is>
      </c>
    </row>
    <row r="349" ht="12" customFormat="1" customHeight="1" s="65">
      <c r="A349" s="43" t="n">
        <v>334</v>
      </c>
      <c r="B349" s="166" t="n"/>
      <c r="C349" s="166" t="n"/>
      <c r="D349" s="166" t="n"/>
      <c r="E349" s="162" t="n"/>
      <c r="F349" s="166" t="n"/>
      <c r="G349" s="162" t="n"/>
      <c r="H349" s="162" t="n"/>
      <c r="I349" s="189">
        <f>E349*G349</f>
        <v/>
      </c>
      <c r="J349" s="195" t="n"/>
      <c r="K349" s="162" t="n"/>
      <c r="L349" s="168" t="n"/>
      <c r="M349" s="75">
        <f>_xlfn.XLOOKUP(L349,list_vat[Страна],list_vat[Ставка НДС %],0,0)</f>
        <v/>
      </c>
      <c r="N349" s="162">
        <f>IFERROR(IF(L349="Китай",K349,K349/(1+M349)),0)</f>
        <v/>
      </c>
      <c r="O349" s="169" t="n"/>
      <c r="P349" s="76">
        <f>N349*(1-O349)</f>
        <v/>
      </c>
      <c r="Q349" s="162" t="n"/>
      <c r="R349" s="162">
        <f>IF(ISBLANK(Q349),"введи курс",P349/Q349)</f>
        <v/>
      </c>
      <c r="S349" s="196">
        <f>IF(AND(ISNUMBER(E349),ISNUMBER(Q349)),E349*R349,0)</f>
        <v/>
      </c>
      <c r="T349" s="192">
        <f>$BC349*V$11</f>
        <v/>
      </c>
      <c r="U349" s="76">
        <f>$BC349*W$11</f>
        <v/>
      </c>
      <c r="V349" s="193">
        <f>+SUM(T349:U349)</f>
        <v/>
      </c>
      <c r="W349" s="191" t="n"/>
      <c r="X349" s="170" t="n"/>
      <c r="Y349" s="76">
        <f>ROUND(IF(offer_incoterms="DDP",X349*(S349*(1+AW349)+T349),0),2)</f>
        <v/>
      </c>
      <c r="Z349" s="188" t="n"/>
      <c r="AA349" s="192">
        <f>IFERROR(AB349/E349,0)</f>
        <v/>
      </c>
      <c r="AB349" s="76">
        <f>ROUND(SUM(S349,V349,Y349:Z349,BA349:BB349),2)</f>
        <v/>
      </c>
      <c r="AC349" s="797" t="n"/>
      <c r="AD349" s="192">
        <f t="array" ref="AD349">IFERROR(ROUND((_xlfn.IFS(offer_sale_type="поставка",AB349,offer_sale_type="транзит",S349)*(1+AC349))/E349,2),0)</f>
        <v/>
      </c>
      <c r="AE349" s="76">
        <f>AD349*E349</f>
        <v/>
      </c>
      <c r="AF349" s="193">
        <f t="array" ref="AF349">IFERROR(ROUND(_xlfn.IFS(offer_sale_type="поставка",AB349,offer_sale_type="транзит",S349)*AC349,2),0)</f>
        <v/>
      </c>
      <c r="AG349" s="192">
        <f>$BD349*VLOOKUP($AG$3,$AF$4:$AG$7,2,FALSE)</f>
        <v/>
      </c>
      <c r="AH349" s="76">
        <f>SUM(AE349,AG349,AI349)*rate_forex_risk</f>
        <v/>
      </c>
      <c r="AI349" s="193">
        <f>IF(OR(seller_region="TR",offer_sale_type="экспорт"),0,rate_fin_comm)*SUM(AZ349,AZ349*AW349,T349)</f>
        <v/>
      </c>
      <c r="AJ349" s="118">
        <f>IFERROR(ROUND(SUM(AB349,AF349:AI349)/E349,2),0)</f>
        <v/>
      </c>
      <c r="AK349" s="76">
        <f>AJ349*E349</f>
        <v/>
      </c>
      <c r="AL349" s="174">
        <f>ROUND(IFERROR(AM349*E349,0),2)</f>
        <v/>
      </c>
      <c r="AM349" s="175">
        <f>ROUND(AJ349*(1+IF(offer_incoterms="DDP",IF((TODAY()+offer_turnaround_time)&gt;=helpsheet!$L$17,rate_vatRU_from_26,rate_vatRu_till_25),0)),2)</f>
        <v/>
      </c>
      <c r="AN349" s="192">
        <f>AL349-AK349</f>
        <v/>
      </c>
      <c r="AO349" s="76">
        <f>SUM(AY349,Y349:Z349,T349)*IF(AND(offer_incoterms="DDP",offer_sale_type&lt;&gt;"экспорт"),IF((TODAY()+offer_turnaround_time)&gt;=helpsheet!$L$17,rate_vatRU_from_26,rate_vatRu_till_25),0)</f>
        <v/>
      </c>
      <c r="AP349" s="193">
        <f>AN349-AO349</f>
        <v/>
      </c>
      <c r="AQ349" s="118">
        <f>IF(offer_sale_type="транзит",SUM(AF349:AI349,BA349,BB349),0)</f>
        <v/>
      </c>
      <c r="AR349" s="82">
        <f>HYPERLINK("https://www.alta.ru/tnved/code/")&amp;W349&amp;"/"</f>
        <v/>
      </c>
      <c r="AS349" s="157" t="n"/>
      <c r="AT349" s="162" t="n"/>
      <c r="AU349" s="76">
        <f>IF(ISBLANK(AT349),0,AJ349-AT349)</f>
        <v/>
      </c>
      <c r="AV349" s="157" t="n"/>
      <c r="AW349" s="75">
        <f>_xlfn.IFNA(VLOOKUP(L349,list_vat[],3,FALSE),0)</f>
        <v/>
      </c>
      <c r="AX349" s="76">
        <f>IFERROR(ROUND(S349*(1+AW349)/E349,2),0)</f>
        <v/>
      </c>
      <c r="AY349" s="76">
        <f>E349*AX349</f>
        <v/>
      </c>
      <c r="AZ349" s="192">
        <f>S349*(1+M349)</f>
        <v/>
      </c>
      <c r="BA349" s="76">
        <f>cost_fin_total*$BD349</f>
        <v/>
      </c>
      <c r="BB349" s="193">
        <f>credit_sales_interest*BD349</f>
        <v/>
      </c>
      <c r="BC349" s="102">
        <f>IFERROR(IF($I$13&gt;0,$I349/$I$13,$S349/$S$13),0)</f>
        <v/>
      </c>
      <c r="BD349" s="102">
        <f>IFERROR($S349/$S$13,0)</f>
        <v/>
      </c>
      <c r="BE349" s="413" t="inlineStr">
        <is>
          <t>$</t>
        </is>
      </c>
    </row>
    <row r="350" ht="12" customFormat="1" customHeight="1" s="65">
      <c r="A350" s="43" t="n">
        <v>335</v>
      </c>
      <c r="B350" s="166" t="n"/>
      <c r="C350" s="166" t="n"/>
      <c r="D350" s="166" t="n"/>
      <c r="E350" s="162" t="n"/>
      <c r="F350" s="166" t="n"/>
      <c r="G350" s="162" t="n"/>
      <c r="H350" s="162" t="n"/>
      <c r="I350" s="189">
        <f>E350*G350</f>
        <v/>
      </c>
      <c r="J350" s="195" t="n"/>
      <c r="K350" s="162" t="n"/>
      <c r="L350" s="168" t="n"/>
      <c r="M350" s="75">
        <f>_xlfn.XLOOKUP(L350,list_vat[Страна],list_vat[Ставка НДС %],0,0)</f>
        <v/>
      </c>
      <c r="N350" s="162">
        <f>IFERROR(IF(L350="Китай",K350,K350/(1+M350)),0)</f>
        <v/>
      </c>
      <c r="O350" s="169" t="n"/>
      <c r="P350" s="76">
        <f>N350*(1-O350)</f>
        <v/>
      </c>
      <c r="Q350" s="162" t="n"/>
      <c r="R350" s="162">
        <f>IF(ISBLANK(Q350),"введи курс",P350/Q350)</f>
        <v/>
      </c>
      <c r="S350" s="196">
        <f>IF(AND(ISNUMBER(E350),ISNUMBER(Q350)),E350*R350,0)</f>
        <v/>
      </c>
      <c r="T350" s="192">
        <f>$BC350*V$11</f>
        <v/>
      </c>
      <c r="U350" s="76">
        <f>$BC350*W$11</f>
        <v/>
      </c>
      <c r="V350" s="193">
        <f>+SUM(T350:U350)</f>
        <v/>
      </c>
      <c r="W350" s="191" t="n"/>
      <c r="X350" s="170" t="n"/>
      <c r="Y350" s="76">
        <f>ROUND(IF(offer_incoterms="DDP",X350*(S350*(1+AW350)+T350),0),2)</f>
        <v/>
      </c>
      <c r="Z350" s="188" t="n"/>
      <c r="AA350" s="192">
        <f>IFERROR(AB350/E350,0)</f>
        <v/>
      </c>
      <c r="AB350" s="76">
        <f>ROUND(SUM(S350,V350,Y350:Z350,BA350:BB350),2)</f>
        <v/>
      </c>
      <c r="AC350" s="797" t="n"/>
      <c r="AD350" s="192">
        <f t="array" ref="AD350">IFERROR(ROUND((_xlfn.IFS(offer_sale_type="поставка",AB350,offer_sale_type="транзит",S350)*(1+AC350))/E350,2),0)</f>
        <v/>
      </c>
      <c r="AE350" s="76">
        <f>AD350*E350</f>
        <v/>
      </c>
      <c r="AF350" s="193">
        <f t="array" ref="AF350">IFERROR(ROUND(_xlfn.IFS(offer_sale_type="поставка",AB350,offer_sale_type="транзит",S350)*AC350,2),0)</f>
        <v/>
      </c>
      <c r="AG350" s="192">
        <f>$BD350*VLOOKUP($AG$3,$AF$4:$AG$7,2,FALSE)</f>
        <v/>
      </c>
      <c r="AH350" s="76">
        <f>SUM(AE350,AG350,AI350)*rate_forex_risk</f>
        <v/>
      </c>
      <c r="AI350" s="193">
        <f>IF(OR(seller_region="TR",offer_sale_type="экспорт"),0,rate_fin_comm)*SUM(AZ350,AZ350*AW350,T350)</f>
        <v/>
      </c>
      <c r="AJ350" s="118">
        <f>IFERROR(ROUND(SUM(AB350,AF350:AI350)/E350,2),0)</f>
        <v/>
      </c>
      <c r="AK350" s="76">
        <f>AJ350*E350</f>
        <v/>
      </c>
      <c r="AL350" s="174">
        <f>ROUND(IFERROR(AM350*E350,0),2)</f>
        <v/>
      </c>
      <c r="AM350" s="175">
        <f>ROUND(AJ350*(1+IF(offer_incoterms="DDP",IF((TODAY()+offer_turnaround_time)&gt;=helpsheet!$L$17,rate_vatRU_from_26,rate_vatRu_till_25),0)),2)</f>
        <v/>
      </c>
      <c r="AN350" s="192">
        <f>AL350-AK350</f>
        <v/>
      </c>
      <c r="AO350" s="76">
        <f>SUM(AY350,Y350:Z350,T350)*IF(AND(offer_incoterms="DDP",offer_sale_type&lt;&gt;"экспорт"),IF((TODAY()+offer_turnaround_time)&gt;=helpsheet!$L$17,rate_vatRU_from_26,rate_vatRu_till_25),0)</f>
        <v/>
      </c>
      <c r="AP350" s="193">
        <f>AN350-AO350</f>
        <v/>
      </c>
      <c r="AQ350" s="118">
        <f>IF(offer_sale_type="транзит",SUM(AF350:AI350,BA350,BB350),0)</f>
        <v/>
      </c>
      <c r="AR350" s="82">
        <f>HYPERLINK("https://www.alta.ru/tnved/code/")&amp;W350&amp;"/"</f>
        <v/>
      </c>
      <c r="AS350" s="157" t="n"/>
      <c r="AT350" s="162" t="n"/>
      <c r="AU350" s="76">
        <f>IF(ISBLANK(AT350),0,AJ350-AT350)</f>
        <v/>
      </c>
      <c r="AV350" s="157" t="n"/>
      <c r="AW350" s="75">
        <f>_xlfn.IFNA(VLOOKUP(L350,list_vat[],3,FALSE),0)</f>
        <v/>
      </c>
      <c r="AX350" s="76">
        <f>IFERROR(ROUND(S350*(1+AW350)/E350,2),0)</f>
        <v/>
      </c>
      <c r="AY350" s="76">
        <f>E350*AX350</f>
        <v/>
      </c>
      <c r="AZ350" s="192">
        <f>S350*(1+M350)</f>
        <v/>
      </c>
      <c r="BA350" s="76">
        <f>cost_fin_total*$BD350</f>
        <v/>
      </c>
      <c r="BB350" s="193">
        <f>credit_sales_interest*BD350</f>
        <v/>
      </c>
      <c r="BC350" s="102">
        <f>IFERROR(IF($I$13&gt;0,$I350/$I$13,$S350/$S$13),0)</f>
        <v/>
      </c>
      <c r="BD350" s="102">
        <f>IFERROR($S350/$S$13,0)</f>
        <v/>
      </c>
      <c r="BE350" s="413" t="inlineStr">
        <is>
          <t>$</t>
        </is>
      </c>
    </row>
    <row r="351" ht="12" customFormat="1" customHeight="1" s="65">
      <c r="A351" s="43" t="n">
        <v>336</v>
      </c>
      <c r="B351" s="166" t="n"/>
      <c r="C351" s="166" t="n"/>
      <c r="D351" s="166" t="n"/>
      <c r="E351" s="162" t="n"/>
      <c r="F351" s="166" t="n"/>
      <c r="G351" s="162" t="n"/>
      <c r="H351" s="162" t="n"/>
      <c r="I351" s="189">
        <f>E351*G351</f>
        <v/>
      </c>
      <c r="J351" s="195" t="n"/>
      <c r="K351" s="162" t="n"/>
      <c r="L351" s="168" t="n"/>
      <c r="M351" s="75">
        <f>_xlfn.XLOOKUP(L351,list_vat[Страна],list_vat[Ставка НДС %],0,0)</f>
        <v/>
      </c>
      <c r="N351" s="162">
        <f>IFERROR(IF(L351="Китай",K351,K351/(1+M351)),0)</f>
        <v/>
      </c>
      <c r="O351" s="169" t="n"/>
      <c r="P351" s="76">
        <f>N351*(1-O351)</f>
        <v/>
      </c>
      <c r="Q351" s="162" t="n"/>
      <c r="R351" s="162">
        <f>IF(ISBLANK(Q351),"введи курс",P351/Q351)</f>
        <v/>
      </c>
      <c r="S351" s="196">
        <f>IF(AND(ISNUMBER(E351),ISNUMBER(Q351)),E351*R351,0)</f>
        <v/>
      </c>
      <c r="T351" s="192">
        <f>$BC351*V$11</f>
        <v/>
      </c>
      <c r="U351" s="76">
        <f>$BC351*W$11</f>
        <v/>
      </c>
      <c r="V351" s="193">
        <f>+SUM(T351:U351)</f>
        <v/>
      </c>
      <c r="W351" s="191" t="n"/>
      <c r="X351" s="170" t="n"/>
      <c r="Y351" s="76">
        <f>ROUND(IF(offer_incoterms="DDP",X351*(S351*(1+AW351)+T351),0),2)</f>
        <v/>
      </c>
      <c r="Z351" s="188" t="n"/>
      <c r="AA351" s="192">
        <f>IFERROR(AB351/E351,0)</f>
        <v/>
      </c>
      <c r="AB351" s="76">
        <f>ROUND(SUM(S351,V351,Y351:Z351,BA351:BB351),2)</f>
        <v/>
      </c>
      <c r="AC351" s="797" t="n"/>
      <c r="AD351" s="192">
        <f t="array" ref="AD351">IFERROR(ROUND((_xlfn.IFS(offer_sale_type="поставка",AB351,offer_sale_type="транзит",S351)*(1+AC351))/E351,2),0)</f>
        <v/>
      </c>
      <c r="AE351" s="76">
        <f>AD351*E351</f>
        <v/>
      </c>
      <c r="AF351" s="193">
        <f t="array" ref="AF351">IFERROR(ROUND(_xlfn.IFS(offer_sale_type="поставка",AB351,offer_sale_type="транзит",S351)*AC351,2),0)</f>
        <v/>
      </c>
      <c r="AG351" s="192">
        <f>$BD351*VLOOKUP($AG$3,$AF$4:$AG$7,2,FALSE)</f>
        <v/>
      </c>
      <c r="AH351" s="76">
        <f>SUM(AE351,AG351,AI351)*rate_forex_risk</f>
        <v/>
      </c>
      <c r="AI351" s="193">
        <f>IF(OR(seller_region="TR",offer_sale_type="экспорт"),0,rate_fin_comm)*SUM(AZ351,AZ351*AW351,T351)</f>
        <v/>
      </c>
      <c r="AJ351" s="118">
        <f>IFERROR(ROUND(SUM(AB351,AF351:AI351)/E351,2),0)</f>
        <v/>
      </c>
      <c r="AK351" s="76">
        <f>AJ351*E351</f>
        <v/>
      </c>
      <c r="AL351" s="174">
        <f>ROUND(IFERROR(AM351*E351,0),2)</f>
        <v/>
      </c>
      <c r="AM351" s="175">
        <f>ROUND(AJ351*(1+IF(offer_incoterms="DDP",IF((TODAY()+offer_turnaround_time)&gt;=helpsheet!$L$17,rate_vatRU_from_26,rate_vatRu_till_25),0)),2)</f>
        <v/>
      </c>
      <c r="AN351" s="192">
        <f>AL351-AK351</f>
        <v/>
      </c>
      <c r="AO351" s="76">
        <f>SUM(AY351,Y351:Z351,T351)*IF(AND(offer_incoterms="DDP",offer_sale_type&lt;&gt;"экспорт"),IF((TODAY()+offer_turnaround_time)&gt;=helpsheet!$L$17,rate_vatRU_from_26,rate_vatRu_till_25),0)</f>
        <v/>
      </c>
      <c r="AP351" s="193">
        <f>AN351-AO351</f>
        <v/>
      </c>
      <c r="AQ351" s="118">
        <f>IF(offer_sale_type="транзит",SUM(AF351:AI351,BA351,BB351),0)</f>
        <v/>
      </c>
      <c r="AR351" s="82">
        <f>HYPERLINK("https://www.alta.ru/tnved/code/")&amp;W351&amp;"/"</f>
        <v/>
      </c>
      <c r="AS351" s="157" t="n"/>
      <c r="AT351" s="162" t="n"/>
      <c r="AU351" s="76">
        <f>IF(ISBLANK(AT351),0,AJ351-AT351)</f>
        <v/>
      </c>
      <c r="AV351" s="157" t="n"/>
      <c r="AW351" s="75">
        <f>_xlfn.IFNA(VLOOKUP(L351,list_vat[],3,FALSE),0)</f>
        <v/>
      </c>
      <c r="AX351" s="76">
        <f>IFERROR(ROUND(S351*(1+AW351)/E351,2),0)</f>
        <v/>
      </c>
      <c r="AY351" s="76">
        <f>E351*AX351</f>
        <v/>
      </c>
      <c r="AZ351" s="192">
        <f>S351*(1+M351)</f>
        <v/>
      </c>
      <c r="BA351" s="76">
        <f>cost_fin_total*$BD351</f>
        <v/>
      </c>
      <c r="BB351" s="193">
        <f>credit_sales_interest*BD351</f>
        <v/>
      </c>
      <c r="BC351" s="102">
        <f>IFERROR(IF($I$13&gt;0,$I351/$I$13,$S351/$S$13),0)</f>
        <v/>
      </c>
      <c r="BD351" s="102">
        <f>IFERROR($S351/$S$13,0)</f>
        <v/>
      </c>
      <c r="BE351" s="413" t="inlineStr">
        <is>
          <t>$</t>
        </is>
      </c>
    </row>
    <row r="352" ht="12" customFormat="1" customHeight="1" s="65">
      <c r="A352" s="43" t="n">
        <v>337</v>
      </c>
      <c r="B352" s="166" t="n"/>
      <c r="C352" s="166" t="n"/>
      <c r="D352" s="166" t="n"/>
      <c r="E352" s="162" t="n"/>
      <c r="F352" s="166" t="n"/>
      <c r="G352" s="162" t="n"/>
      <c r="H352" s="162" t="n"/>
      <c r="I352" s="189">
        <f>E352*G352</f>
        <v/>
      </c>
      <c r="J352" s="195" t="n"/>
      <c r="K352" s="162" t="n"/>
      <c r="L352" s="168" t="n"/>
      <c r="M352" s="75">
        <f>_xlfn.XLOOKUP(L352,list_vat[Страна],list_vat[Ставка НДС %],0,0)</f>
        <v/>
      </c>
      <c r="N352" s="162">
        <f>IFERROR(IF(L352="Китай",K352,K352/(1+M352)),0)</f>
        <v/>
      </c>
      <c r="O352" s="169" t="n"/>
      <c r="P352" s="76">
        <f>N352*(1-O352)</f>
        <v/>
      </c>
      <c r="Q352" s="162" t="n"/>
      <c r="R352" s="162">
        <f>IF(ISBLANK(Q352),"введи курс",P352/Q352)</f>
        <v/>
      </c>
      <c r="S352" s="196">
        <f>IF(AND(ISNUMBER(E352),ISNUMBER(Q352)),E352*R352,0)</f>
        <v/>
      </c>
      <c r="T352" s="192">
        <f>$BC352*V$11</f>
        <v/>
      </c>
      <c r="U352" s="76">
        <f>$BC352*W$11</f>
        <v/>
      </c>
      <c r="V352" s="193">
        <f>+SUM(T352:U352)</f>
        <v/>
      </c>
      <c r="W352" s="191" t="n"/>
      <c r="X352" s="170" t="n"/>
      <c r="Y352" s="76">
        <f>ROUND(IF(offer_incoterms="DDP",X352*(S352*(1+AW352)+T352),0),2)</f>
        <v/>
      </c>
      <c r="Z352" s="188" t="n"/>
      <c r="AA352" s="192">
        <f>IFERROR(AB352/E352,0)</f>
        <v/>
      </c>
      <c r="AB352" s="76">
        <f>ROUND(SUM(S352,V352,Y352:Z352,BA352:BB352),2)</f>
        <v/>
      </c>
      <c r="AC352" s="797" t="n"/>
      <c r="AD352" s="192">
        <f t="array" ref="AD352">IFERROR(ROUND((_xlfn.IFS(offer_sale_type="поставка",AB352,offer_sale_type="транзит",S352)*(1+AC352))/E352,2),0)</f>
        <v/>
      </c>
      <c r="AE352" s="76">
        <f>AD352*E352</f>
        <v/>
      </c>
      <c r="AF352" s="193">
        <f t="array" ref="AF352">IFERROR(ROUND(_xlfn.IFS(offer_sale_type="поставка",AB352,offer_sale_type="транзит",S352)*AC352,2),0)</f>
        <v/>
      </c>
      <c r="AG352" s="192">
        <f>$BD352*VLOOKUP($AG$3,$AF$4:$AG$7,2,FALSE)</f>
        <v/>
      </c>
      <c r="AH352" s="76">
        <f>SUM(AE352,AG352,AI352)*rate_forex_risk</f>
        <v/>
      </c>
      <c r="AI352" s="193">
        <f>IF(OR(seller_region="TR",offer_sale_type="экспорт"),0,rate_fin_comm)*SUM(AZ352,AZ352*AW352,T352)</f>
        <v/>
      </c>
      <c r="AJ352" s="118">
        <f>IFERROR(ROUND(SUM(AB352,AF352:AI352)/E352,2),0)</f>
        <v/>
      </c>
      <c r="AK352" s="76">
        <f>AJ352*E352</f>
        <v/>
      </c>
      <c r="AL352" s="174">
        <f>ROUND(IFERROR(AM352*E352,0),2)</f>
        <v/>
      </c>
      <c r="AM352" s="175">
        <f>ROUND(AJ352*(1+IF(offer_incoterms="DDP",IF((TODAY()+offer_turnaround_time)&gt;=helpsheet!$L$17,rate_vatRU_from_26,rate_vatRu_till_25),0)),2)</f>
        <v/>
      </c>
      <c r="AN352" s="192">
        <f>AL352-AK352</f>
        <v/>
      </c>
      <c r="AO352" s="76">
        <f>SUM(AY352,Y352:Z352,T352)*IF(AND(offer_incoterms="DDP",offer_sale_type&lt;&gt;"экспорт"),IF((TODAY()+offer_turnaround_time)&gt;=helpsheet!$L$17,rate_vatRU_from_26,rate_vatRu_till_25),0)</f>
        <v/>
      </c>
      <c r="AP352" s="193">
        <f>AN352-AO352</f>
        <v/>
      </c>
      <c r="AQ352" s="118">
        <f>IF(offer_sale_type="транзит",SUM(AF352:AI352,BA352,BB352),0)</f>
        <v/>
      </c>
      <c r="AR352" s="82">
        <f>HYPERLINK("https://www.alta.ru/tnved/code/")&amp;W352&amp;"/"</f>
        <v/>
      </c>
      <c r="AS352" s="157" t="n"/>
      <c r="AT352" s="162" t="n"/>
      <c r="AU352" s="76">
        <f>IF(ISBLANK(AT352),0,AJ352-AT352)</f>
        <v/>
      </c>
      <c r="AV352" s="157" t="n"/>
      <c r="AW352" s="75">
        <f>_xlfn.IFNA(VLOOKUP(L352,list_vat[],3,FALSE),0)</f>
        <v/>
      </c>
      <c r="AX352" s="76">
        <f>IFERROR(ROUND(S352*(1+AW352)/E352,2),0)</f>
        <v/>
      </c>
      <c r="AY352" s="76">
        <f>E352*AX352</f>
        <v/>
      </c>
      <c r="AZ352" s="192">
        <f>S352*(1+M352)</f>
        <v/>
      </c>
      <c r="BA352" s="76">
        <f>cost_fin_total*$BD352</f>
        <v/>
      </c>
      <c r="BB352" s="193">
        <f>credit_sales_interest*BD352</f>
        <v/>
      </c>
      <c r="BC352" s="102">
        <f>IFERROR(IF($I$13&gt;0,$I352/$I$13,$S352/$S$13),0)</f>
        <v/>
      </c>
      <c r="BD352" s="102">
        <f>IFERROR($S352/$S$13,0)</f>
        <v/>
      </c>
      <c r="BE352" s="413" t="inlineStr">
        <is>
          <t>$</t>
        </is>
      </c>
    </row>
    <row r="353" ht="12" customFormat="1" customHeight="1" s="65">
      <c r="A353" s="43" t="n">
        <v>338</v>
      </c>
      <c r="B353" s="166" t="n"/>
      <c r="C353" s="166" t="n"/>
      <c r="D353" s="166" t="n"/>
      <c r="E353" s="162" t="n"/>
      <c r="F353" s="166" t="n"/>
      <c r="G353" s="162" t="n"/>
      <c r="H353" s="162" t="n"/>
      <c r="I353" s="189">
        <f>E353*G353</f>
        <v/>
      </c>
      <c r="J353" s="195" t="n"/>
      <c r="K353" s="162" t="n"/>
      <c r="L353" s="168" t="n"/>
      <c r="M353" s="75">
        <f>_xlfn.XLOOKUP(L353,list_vat[Страна],list_vat[Ставка НДС %],0,0)</f>
        <v/>
      </c>
      <c r="N353" s="162">
        <f>IFERROR(IF(L353="Китай",K353,K353/(1+M353)),0)</f>
        <v/>
      </c>
      <c r="O353" s="169" t="n"/>
      <c r="P353" s="76">
        <f>N353*(1-O353)</f>
        <v/>
      </c>
      <c r="Q353" s="162" t="n"/>
      <c r="R353" s="162">
        <f>IF(ISBLANK(Q353),"введи курс",P353/Q353)</f>
        <v/>
      </c>
      <c r="S353" s="196">
        <f>IF(AND(ISNUMBER(E353),ISNUMBER(Q353)),E353*R353,0)</f>
        <v/>
      </c>
      <c r="T353" s="192">
        <f>$BC353*V$11</f>
        <v/>
      </c>
      <c r="U353" s="76">
        <f>$BC353*W$11</f>
        <v/>
      </c>
      <c r="V353" s="193">
        <f>+SUM(T353:U353)</f>
        <v/>
      </c>
      <c r="W353" s="191" t="n"/>
      <c r="X353" s="170" t="n"/>
      <c r="Y353" s="76">
        <f>ROUND(IF(offer_incoterms="DDP",X353*(S353*(1+AW353)+T353),0),2)</f>
        <v/>
      </c>
      <c r="Z353" s="188" t="n"/>
      <c r="AA353" s="192">
        <f>IFERROR(AB353/E353,0)</f>
        <v/>
      </c>
      <c r="AB353" s="76">
        <f>ROUND(SUM(S353,V353,Y353:Z353,BA353:BB353),2)</f>
        <v/>
      </c>
      <c r="AC353" s="797" t="n"/>
      <c r="AD353" s="192">
        <f t="array" ref="AD353">IFERROR(ROUND((_xlfn.IFS(offer_sale_type="поставка",AB353,offer_sale_type="транзит",S353)*(1+AC353))/E353,2),0)</f>
        <v/>
      </c>
      <c r="AE353" s="76">
        <f>AD353*E353</f>
        <v/>
      </c>
      <c r="AF353" s="193">
        <f t="array" ref="AF353">IFERROR(ROUND(_xlfn.IFS(offer_sale_type="поставка",AB353,offer_sale_type="транзит",S353)*AC353,2),0)</f>
        <v/>
      </c>
      <c r="AG353" s="192">
        <f>$BD353*VLOOKUP($AG$3,$AF$4:$AG$7,2,FALSE)</f>
        <v/>
      </c>
      <c r="AH353" s="76">
        <f>SUM(AE353,AG353,AI353)*rate_forex_risk</f>
        <v/>
      </c>
      <c r="AI353" s="193">
        <f>IF(OR(seller_region="TR",offer_sale_type="экспорт"),0,rate_fin_comm)*SUM(AZ353,AZ353*AW353,T353)</f>
        <v/>
      </c>
      <c r="AJ353" s="118">
        <f>IFERROR(ROUND(SUM(AB353,AF353:AI353)/E353,2),0)</f>
        <v/>
      </c>
      <c r="AK353" s="76">
        <f>AJ353*E353</f>
        <v/>
      </c>
      <c r="AL353" s="174">
        <f>ROUND(IFERROR(AM353*E353,0),2)</f>
        <v/>
      </c>
      <c r="AM353" s="175">
        <f>ROUND(AJ353*(1+IF(offer_incoterms="DDP",IF((TODAY()+offer_turnaround_time)&gt;=helpsheet!$L$17,rate_vatRU_from_26,rate_vatRu_till_25),0)),2)</f>
        <v/>
      </c>
      <c r="AN353" s="192">
        <f>AL353-AK353</f>
        <v/>
      </c>
      <c r="AO353" s="76">
        <f>SUM(AY353,Y353:Z353,T353)*IF(AND(offer_incoterms="DDP",offer_sale_type&lt;&gt;"экспорт"),IF((TODAY()+offer_turnaround_time)&gt;=helpsheet!$L$17,rate_vatRU_from_26,rate_vatRu_till_25),0)</f>
        <v/>
      </c>
      <c r="AP353" s="193">
        <f>AN353-AO353</f>
        <v/>
      </c>
      <c r="AQ353" s="118">
        <f>IF(offer_sale_type="транзит",SUM(AF353:AI353,BA353,BB353),0)</f>
        <v/>
      </c>
      <c r="AR353" s="82">
        <f>HYPERLINK("https://www.alta.ru/tnved/code/")&amp;W353&amp;"/"</f>
        <v/>
      </c>
      <c r="AS353" s="157" t="n"/>
      <c r="AT353" s="162" t="n"/>
      <c r="AU353" s="76">
        <f>IF(ISBLANK(AT353),0,AJ353-AT353)</f>
        <v/>
      </c>
      <c r="AV353" s="157" t="n"/>
      <c r="AW353" s="75">
        <f>_xlfn.IFNA(VLOOKUP(L353,list_vat[],3,FALSE),0)</f>
        <v/>
      </c>
      <c r="AX353" s="76">
        <f>IFERROR(ROUND(S353*(1+AW353)/E353,2),0)</f>
        <v/>
      </c>
      <c r="AY353" s="76">
        <f>E353*AX353</f>
        <v/>
      </c>
      <c r="AZ353" s="192">
        <f>S353*(1+M353)</f>
        <v/>
      </c>
      <c r="BA353" s="76">
        <f>cost_fin_total*$BD353</f>
        <v/>
      </c>
      <c r="BB353" s="193">
        <f>credit_sales_interest*BD353</f>
        <v/>
      </c>
      <c r="BC353" s="102">
        <f>IFERROR(IF($I$13&gt;0,$I353/$I$13,$S353/$S$13),0)</f>
        <v/>
      </c>
      <c r="BD353" s="102">
        <f>IFERROR($S353/$S$13,0)</f>
        <v/>
      </c>
      <c r="BE353" s="413" t="inlineStr">
        <is>
          <t>$</t>
        </is>
      </c>
    </row>
    <row r="354" ht="12" customFormat="1" customHeight="1" s="65">
      <c r="A354" s="43" t="n">
        <v>339</v>
      </c>
      <c r="B354" s="166" t="n"/>
      <c r="C354" s="166" t="n"/>
      <c r="D354" s="166" t="n"/>
      <c r="E354" s="162" t="n"/>
      <c r="F354" s="166" t="n"/>
      <c r="G354" s="162" t="n"/>
      <c r="H354" s="162" t="n"/>
      <c r="I354" s="189">
        <f>E354*G354</f>
        <v/>
      </c>
      <c r="J354" s="195" t="n"/>
      <c r="K354" s="162" t="n"/>
      <c r="L354" s="168" t="n"/>
      <c r="M354" s="75">
        <f>_xlfn.XLOOKUP(L354,list_vat[Страна],list_vat[Ставка НДС %],0,0)</f>
        <v/>
      </c>
      <c r="N354" s="162">
        <f>IFERROR(IF(L354="Китай",K354,K354/(1+M354)),0)</f>
        <v/>
      </c>
      <c r="O354" s="169" t="n"/>
      <c r="P354" s="76">
        <f>N354*(1-O354)</f>
        <v/>
      </c>
      <c r="Q354" s="162" t="n"/>
      <c r="R354" s="162">
        <f>IF(ISBLANK(Q354),"введи курс",P354/Q354)</f>
        <v/>
      </c>
      <c r="S354" s="196">
        <f>IF(AND(ISNUMBER(E354),ISNUMBER(Q354)),E354*R354,0)</f>
        <v/>
      </c>
      <c r="T354" s="192">
        <f>$BC354*V$11</f>
        <v/>
      </c>
      <c r="U354" s="76">
        <f>$BC354*W$11</f>
        <v/>
      </c>
      <c r="V354" s="193">
        <f>+SUM(T354:U354)</f>
        <v/>
      </c>
      <c r="W354" s="191" t="n"/>
      <c r="X354" s="170" t="n"/>
      <c r="Y354" s="76">
        <f>ROUND(IF(offer_incoterms="DDP",X354*(S354*(1+AW354)+T354),0),2)</f>
        <v/>
      </c>
      <c r="Z354" s="188" t="n"/>
      <c r="AA354" s="192">
        <f>IFERROR(AB354/E354,0)</f>
        <v/>
      </c>
      <c r="AB354" s="76">
        <f>ROUND(SUM(S354,V354,Y354:Z354,BA354:BB354),2)</f>
        <v/>
      </c>
      <c r="AC354" s="797" t="n"/>
      <c r="AD354" s="192">
        <f t="array" ref="AD354">IFERROR(ROUND((_xlfn.IFS(offer_sale_type="поставка",AB354,offer_sale_type="транзит",S354)*(1+AC354))/E354,2),0)</f>
        <v/>
      </c>
      <c r="AE354" s="76">
        <f>AD354*E354</f>
        <v/>
      </c>
      <c r="AF354" s="193">
        <f t="array" ref="AF354">IFERROR(ROUND(_xlfn.IFS(offer_sale_type="поставка",AB354,offer_sale_type="транзит",S354)*AC354,2),0)</f>
        <v/>
      </c>
      <c r="AG354" s="192">
        <f>$BD354*VLOOKUP($AG$3,$AF$4:$AG$7,2,FALSE)</f>
        <v/>
      </c>
      <c r="AH354" s="76">
        <f>SUM(AE354,AG354,AI354)*rate_forex_risk</f>
        <v/>
      </c>
      <c r="AI354" s="193">
        <f>IF(OR(seller_region="TR",offer_sale_type="экспорт"),0,rate_fin_comm)*SUM(AZ354,AZ354*AW354,T354)</f>
        <v/>
      </c>
      <c r="AJ354" s="118">
        <f>IFERROR(ROUND(SUM(AB354,AF354:AI354)/E354,2),0)</f>
        <v/>
      </c>
      <c r="AK354" s="76">
        <f>AJ354*E354</f>
        <v/>
      </c>
      <c r="AL354" s="174">
        <f>ROUND(IFERROR(AM354*E354,0),2)</f>
        <v/>
      </c>
      <c r="AM354" s="175">
        <f>ROUND(AJ354*(1+IF(offer_incoterms="DDP",IF((TODAY()+offer_turnaround_time)&gt;=helpsheet!$L$17,rate_vatRU_from_26,rate_vatRu_till_25),0)),2)</f>
        <v/>
      </c>
      <c r="AN354" s="192">
        <f>AL354-AK354</f>
        <v/>
      </c>
      <c r="AO354" s="76">
        <f>SUM(AY354,Y354:Z354,T354)*IF(AND(offer_incoterms="DDP",offer_sale_type&lt;&gt;"экспорт"),IF((TODAY()+offer_turnaround_time)&gt;=helpsheet!$L$17,rate_vatRU_from_26,rate_vatRu_till_25),0)</f>
        <v/>
      </c>
      <c r="AP354" s="193">
        <f>AN354-AO354</f>
        <v/>
      </c>
      <c r="AQ354" s="118">
        <f>IF(offer_sale_type="транзит",SUM(AF354:AI354,BA354,BB354),0)</f>
        <v/>
      </c>
      <c r="AR354" s="82">
        <f>HYPERLINK("https://www.alta.ru/tnved/code/")&amp;W354&amp;"/"</f>
        <v/>
      </c>
      <c r="AS354" s="157" t="n"/>
      <c r="AT354" s="162" t="n"/>
      <c r="AU354" s="76">
        <f>IF(ISBLANK(AT354),0,AJ354-AT354)</f>
        <v/>
      </c>
      <c r="AV354" s="157" t="n"/>
      <c r="AW354" s="75">
        <f>_xlfn.IFNA(VLOOKUP(L354,list_vat[],3,FALSE),0)</f>
        <v/>
      </c>
      <c r="AX354" s="76">
        <f>IFERROR(ROUND(S354*(1+AW354)/E354,2),0)</f>
        <v/>
      </c>
      <c r="AY354" s="76">
        <f>E354*AX354</f>
        <v/>
      </c>
      <c r="AZ354" s="192">
        <f>S354*(1+M354)</f>
        <v/>
      </c>
      <c r="BA354" s="76">
        <f>cost_fin_total*$BD354</f>
        <v/>
      </c>
      <c r="BB354" s="193">
        <f>credit_sales_interest*BD354</f>
        <v/>
      </c>
      <c r="BC354" s="102">
        <f>IFERROR(IF($I$13&gt;0,$I354/$I$13,$S354/$S$13),0)</f>
        <v/>
      </c>
      <c r="BD354" s="102">
        <f>IFERROR($S354/$S$13,0)</f>
        <v/>
      </c>
      <c r="BE354" s="413" t="inlineStr">
        <is>
          <t>$</t>
        </is>
      </c>
    </row>
    <row r="355" ht="12" customFormat="1" customHeight="1" s="65">
      <c r="A355" s="43" t="n">
        <v>340</v>
      </c>
      <c r="B355" s="166" t="n"/>
      <c r="C355" s="166" t="n"/>
      <c r="D355" s="166" t="n"/>
      <c r="E355" s="162" t="n"/>
      <c r="F355" s="166" t="n"/>
      <c r="G355" s="162" t="n"/>
      <c r="H355" s="162" t="n"/>
      <c r="I355" s="189">
        <f>E355*G355</f>
        <v/>
      </c>
      <c r="J355" s="195" t="n"/>
      <c r="K355" s="162" t="n"/>
      <c r="L355" s="168" t="n"/>
      <c r="M355" s="75">
        <f>_xlfn.XLOOKUP(L355,list_vat[Страна],list_vat[Ставка НДС %],0,0)</f>
        <v/>
      </c>
      <c r="N355" s="162">
        <f>IFERROR(IF(L355="Китай",K355,K355/(1+M355)),0)</f>
        <v/>
      </c>
      <c r="O355" s="169" t="n"/>
      <c r="P355" s="76">
        <f>N355*(1-O355)</f>
        <v/>
      </c>
      <c r="Q355" s="162" t="n"/>
      <c r="R355" s="162">
        <f>IF(ISBLANK(Q355),"введи курс",P355/Q355)</f>
        <v/>
      </c>
      <c r="S355" s="196">
        <f>IF(AND(ISNUMBER(E355),ISNUMBER(Q355)),E355*R355,0)</f>
        <v/>
      </c>
      <c r="T355" s="192">
        <f>$BC355*V$11</f>
        <v/>
      </c>
      <c r="U355" s="76">
        <f>$BC355*W$11</f>
        <v/>
      </c>
      <c r="V355" s="193">
        <f>+SUM(T355:U355)</f>
        <v/>
      </c>
      <c r="W355" s="191" t="n"/>
      <c r="X355" s="170" t="n"/>
      <c r="Y355" s="76">
        <f>ROUND(IF(offer_incoterms="DDP",X355*(S355*(1+AW355)+T355),0),2)</f>
        <v/>
      </c>
      <c r="Z355" s="188" t="n"/>
      <c r="AA355" s="192">
        <f>IFERROR(AB355/E355,0)</f>
        <v/>
      </c>
      <c r="AB355" s="76">
        <f>ROUND(SUM(S355,V355,Y355:Z355,BA355:BB355),2)</f>
        <v/>
      </c>
      <c r="AC355" s="797" t="n"/>
      <c r="AD355" s="192">
        <f t="array" ref="AD355">IFERROR(ROUND((_xlfn.IFS(offer_sale_type="поставка",AB355,offer_sale_type="транзит",S355)*(1+AC355))/E355,2),0)</f>
        <v/>
      </c>
      <c r="AE355" s="76">
        <f>AD355*E355</f>
        <v/>
      </c>
      <c r="AF355" s="193">
        <f t="array" ref="AF355">IFERROR(ROUND(_xlfn.IFS(offer_sale_type="поставка",AB355,offer_sale_type="транзит",S355)*AC355,2),0)</f>
        <v/>
      </c>
      <c r="AG355" s="192">
        <f>$BD355*VLOOKUP($AG$3,$AF$4:$AG$7,2,FALSE)</f>
        <v/>
      </c>
      <c r="AH355" s="76">
        <f>SUM(AE355,AG355,AI355)*rate_forex_risk</f>
        <v/>
      </c>
      <c r="AI355" s="193">
        <f>IF(OR(seller_region="TR",offer_sale_type="экспорт"),0,rate_fin_comm)*SUM(AZ355,AZ355*AW355,T355)</f>
        <v/>
      </c>
      <c r="AJ355" s="118">
        <f>IFERROR(ROUND(SUM(AB355,AF355:AI355)/E355,2),0)</f>
        <v/>
      </c>
      <c r="AK355" s="76">
        <f>AJ355*E355</f>
        <v/>
      </c>
      <c r="AL355" s="174">
        <f>ROUND(IFERROR(AM355*E355,0),2)</f>
        <v/>
      </c>
      <c r="AM355" s="175">
        <f>ROUND(AJ355*(1+IF(offer_incoterms="DDP",IF((TODAY()+offer_turnaround_time)&gt;=helpsheet!$L$17,rate_vatRU_from_26,rate_vatRu_till_25),0)),2)</f>
        <v/>
      </c>
      <c r="AN355" s="192">
        <f>AL355-AK355</f>
        <v/>
      </c>
      <c r="AO355" s="76">
        <f>SUM(AY355,Y355:Z355,T355)*IF(AND(offer_incoterms="DDP",offer_sale_type&lt;&gt;"экспорт"),IF((TODAY()+offer_turnaround_time)&gt;=helpsheet!$L$17,rate_vatRU_from_26,rate_vatRu_till_25),0)</f>
        <v/>
      </c>
      <c r="AP355" s="193">
        <f>AN355-AO355</f>
        <v/>
      </c>
      <c r="AQ355" s="118">
        <f>IF(offer_sale_type="транзит",SUM(AF355:AI355,BA355,BB355),0)</f>
        <v/>
      </c>
      <c r="AR355" s="82">
        <f>HYPERLINK("https://www.alta.ru/tnved/code/")&amp;W355&amp;"/"</f>
        <v/>
      </c>
      <c r="AS355" s="157" t="n"/>
      <c r="AT355" s="162" t="n"/>
      <c r="AU355" s="76">
        <f>IF(ISBLANK(AT355),0,AJ355-AT355)</f>
        <v/>
      </c>
      <c r="AV355" s="157" t="n"/>
      <c r="AW355" s="75">
        <f>_xlfn.IFNA(VLOOKUP(L355,list_vat[],3,FALSE),0)</f>
        <v/>
      </c>
      <c r="AX355" s="76">
        <f>IFERROR(ROUND(S355*(1+AW355)/E355,2),0)</f>
        <v/>
      </c>
      <c r="AY355" s="76">
        <f>E355*AX355</f>
        <v/>
      </c>
      <c r="AZ355" s="192">
        <f>S355*(1+M355)</f>
        <v/>
      </c>
      <c r="BA355" s="76">
        <f>cost_fin_total*$BD355</f>
        <v/>
      </c>
      <c r="BB355" s="193">
        <f>credit_sales_interest*BD355</f>
        <v/>
      </c>
      <c r="BC355" s="102">
        <f>IFERROR(IF($I$13&gt;0,$I355/$I$13,$S355/$S$13),0)</f>
        <v/>
      </c>
      <c r="BD355" s="102">
        <f>IFERROR($S355/$S$13,0)</f>
        <v/>
      </c>
      <c r="BE355" s="413" t="inlineStr">
        <is>
          <t>$</t>
        </is>
      </c>
    </row>
    <row r="356" ht="12" customFormat="1" customHeight="1" s="65">
      <c r="A356" s="43" t="n">
        <v>341</v>
      </c>
      <c r="B356" s="166" t="n"/>
      <c r="C356" s="166" t="n"/>
      <c r="D356" s="166" t="n"/>
      <c r="E356" s="162" t="n"/>
      <c r="F356" s="166" t="n"/>
      <c r="G356" s="162" t="n"/>
      <c r="H356" s="162" t="n"/>
      <c r="I356" s="189">
        <f>E356*G356</f>
        <v/>
      </c>
      <c r="J356" s="195" t="n"/>
      <c r="K356" s="162" t="n"/>
      <c r="L356" s="168" t="n"/>
      <c r="M356" s="75">
        <f>_xlfn.XLOOKUP(L356,list_vat[Страна],list_vat[Ставка НДС %],0,0)</f>
        <v/>
      </c>
      <c r="N356" s="162">
        <f>IFERROR(IF(L356="Китай",K356,K356/(1+M356)),0)</f>
        <v/>
      </c>
      <c r="O356" s="169" t="n"/>
      <c r="P356" s="76">
        <f>N356*(1-O356)</f>
        <v/>
      </c>
      <c r="Q356" s="162" t="n"/>
      <c r="R356" s="162">
        <f>IF(ISBLANK(Q356),"введи курс",P356/Q356)</f>
        <v/>
      </c>
      <c r="S356" s="196">
        <f>IF(AND(ISNUMBER(E356),ISNUMBER(Q356)),E356*R356,0)</f>
        <v/>
      </c>
      <c r="T356" s="192">
        <f>$BC356*V$11</f>
        <v/>
      </c>
      <c r="U356" s="76">
        <f>$BC356*W$11</f>
        <v/>
      </c>
      <c r="V356" s="193">
        <f>+SUM(T356:U356)</f>
        <v/>
      </c>
      <c r="W356" s="191" t="n"/>
      <c r="X356" s="170" t="n"/>
      <c r="Y356" s="76">
        <f>ROUND(IF(offer_incoterms="DDP",X356*(S356*(1+AW356)+T356),0),2)</f>
        <v/>
      </c>
      <c r="Z356" s="188" t="n"/>
      <c r="AA356" s="192">
        <f>IFERROR(AB356/E356,0)</f>
        <v/>
      </c>
      <c r="AB356" s="76">
        <f>ROUND(SUM(S356,V356,Y356:Z356,BA356:BB356),2)</f>
        <v/>
      </c>
      <c r="AC356" s="797" t="n"/>
      <c r="AD356" s="192">
        <f t="array" ref="AD356">IFERROR(ROUND((_xlfn.IFS(offer_sale_type="поставка",AB356,offer_sale_type="транзит",S356)*(1+AC356))/E356,2),0)</f>
        <v/>
      </c>
      <c r="AE356" s="76">
        <f>AD356*E356</f>
        <v/>
      </c>
      <c r="AF356" s="193">
        <f t="array" ref="AF356">IFERROR(ROUND(_xlfn.IFS(offer_sale_type="поставка",AB356,offer_sale_type="транзит",S356)*AC356,2),0)</f>
        <v/>
      </c>
      <c r="AG356" s="192">
        <f>$BD356*VLOOKUP($AG$3,$AF$4:$AG$7,2,FALSE)</f>
        <v/>
      </c>
      <c r="AH356" s="76">
        <f>SUM(AE356,AG356,AI356)*rate_forex_risk</f>
        <v/>
      </c>
      <c r="AI356" s="193">
        <f>IF(OR(seller_region="TR",offer_sale_type="экспорт"),0,rate_fin_comm)*SUM(AZ356,AZ356*AW356,T356)</f>
        <v/>
      </c>
      <c r="AJ356" s="118">
        <f>IFERROR(ROUND(SUM(AB356,AF356:AI356)/E356,2),0)</f>
        <v/>
      </c>
      <c r="AK356" s="76">
        <f>AJ356*E356</f>
        <v/>
      </c>
      <c r="AL356" s="174">
        <f>ROUND(IFERROR(AM356*E356,0),2)</f>
        <v/>
      </c>
      <c r="AM356" s="175">
        <f>ROUND(AJ356*(1+IF(offer_incoterms="DDP",IF((TODAY()+offer_turnaround_time)&gt;=helpsheet!$L$17,rate_vatRU_from_26,rate_vatRu_till_25),0)),2)</f>
        <v/>
      </c>
      <c r="AN356" s="192">
        <f>AL356-AK356</f>
        <v/>
      </c>
      <c r="AO356" s="76">
        <f>SUM(AY356,Y356:Z356,T356)*IF(AND(offer_incoterms="DDP",offer_sale_type&lt;&gt;"экспорт"),IF((TODAY()+offer_turnaround_time)&gt;=helpsheet!$L$17,rate_vatRU_from_26,rate_vatRu_till_25),0)</f>
        <v/>
      </c>
      <c r="AP356" s="193">
        <f>AN356-AO356</f>
        <v/>
      </c>
      <c r="AQ356" s="118">
        <f>IF(offer_sale_type="транзит",SUM(AF356:AI356,BA356,BB356),0)</f>
        <v/>
      </c>
      <c r="AR356" s="82">
        <f>HYPERLINK("https://www.alta.ru/tnved/code/")&amp;W356&amp;"/"</f>
        <v/>
      </c>
      <c r="AS356" s="157" t="n"/>
      <c r="AT356" s="162" t="n"/>
      <c r="AU356" s="76">
        <f>IF(ISBLANK(AT356),0,AJ356-AT356)</f>
        <v/>
      </c>
      <c r="AV356" s="157" t="n"/>
      <c r="AW356" s="75">
        <f>_xlfn.IFNA(VLOOKUP(L356,list_vat[],3,FALSE),0)</f>
        <v/>
      </c>
      <c r="AX356" s="76">
        <f>IFERROR(ROUND(S356*(1+AW356)/E356,2),0)</f>
        <v/>
      </c>
      <c r="AY356" s="76">
        <f>E356*AX356</f>
        <v/>
      </c>
      <c r="AZ356" s="192">
        <f>S356*(1+M356)</f>
        <v/>
      </c>
      <c r="BA356" s="76">
        <f>cost_fin_total*$BD356</f>
        <v/>
      </c>
      <c r="BB356" s="193">
        <f>credit_sales_interest*BD356</f>
        <v/>
      </c>
      <c r="BC356" s="102">
        <f>IFERROR(IF($I$13&gt;0,$I356/$I$13,$S356/$S$13),0)</f>
        <v/>
      </c>
      <c r="BD356" s="102">
        <f>IFERROR($S356/$S$13,0)</f>
        <v/>
      </c>
      <c r="BE356" s="413" t="inlineStr">
        <is>
          <t>$</t>
        </is>
      </c>
    </row>
    <row r="357" ht="12" customFormat="1" customHeight="1" s="65">
      <c r="A357" s="43" t="n">
        <v>342</v>
      </c>
      <c r="B357" s="166" t="n"/>
      <c r="C357" s="166" t="n"/>
      <c r="D357" s="166" t="n"/>
      <c r="E357" s="162" t="n"/>
      <c r="F357" s="166" t="n"/>
      <c r="G357" s="162" t="n"/>
      <c r="H357" s="162" t="n"/>
      <c r="I357" s="189">
        <f>E357*G357</f>
        <v/>
      </c>
      <c r="J357" s="195" t="n"/>
      <c r="K357" s="162" t="n"/>
      <c r="L357" s="168" t="n"/>
      <c r="M357" s="75">
        <f>_xlfn.XLOOKUP(L357,list_vat[Страна],list_vat[Ставка НДС %],0,0)</f>
        <v/>
      </c>
      <c r="N357" s="162">
        <f>IFERROR(IF(L357="Китай",K357,K357/(1+M357)),0)</f>
        <v/>
      </c>
      <c r="O357" s="169" t="n"/>
      <c r="P357" s="76">
        <f>N357*(1-O357)</f>
        <v/>
      </c>
      <c r="Q357" s="162" t="n"/>
      <c r="R357" s="162">
        <f>IF(ISBLANK(Q357),"введи курс",P357/Q357)</f>
        <v/>
      </c>
      <c r="S357" s="196">
        <f>IF(AND(ISNUMBER(E357),ISNUMBER(Q357)),E357*R357,0)</f>
        <v/>
      </c>
      <c r="T357" s="192">
        <f>$BC357*V$11</f>
        <v/>
      </c>
      <c r="U357" s="76">
        <f>$BC357*W$11</f>
        <v/>
      </c>
      <c r="V357" s="193">
        <f>+SUM(T357:U357)</f>
        <v/>
      </c>
      <c r="W357" s="191" t="n"/>
      <c r="X357" s="170" t="n"/>
      <c r="Y357" s="76">
        <f>ROUND(IF(offer_incoterms="DDP",X357*(S357*(1+AW357)+T357),0),2)</f>
        <v/>
      </c>
      <c r="Z357" s="188" t="n"/>
      <c r="AA357" s="192">
        <f>IFERROR(AB357/E357,0)</f>
        <v/>
      </c>
      <c r="AB357" s="76">
        <f>ROUND(SUM(S357,V357,Y357:Z357,BA357:BB357),2)</f>
        <v/>
      </c>
      <c r="AC357" s="797" t="n"/>
      <c r="AD357" s="192">
        <f t="array" ref="AD357">IFERROR(ROUND((_xlfn.IFS(offer_sale_type="поставка",AB357,offer_sale_type="транзит",S357)*(1+AC357))/E357,2),0)</f>
        <v/>
      </c>
      <c r="AE357" s="76">
        <f>AD357*E357</f>
        <v/>
      </c>
      <c r="AF357" s="193">
        <f t="array" ref="AF357">IFERROR(ROUND(_xlfn.IFS(offer_sale_type="поставка",AB357,offer_sale_type="транзит",S357)*AC357,2),0)</f>
        <v/>
      </c>
      <c r="AG357" s="192">
        <f>$BD357*VLOOKUP($AG$3,$AF$4:$AG$7,2,FALSE)</f>
        <v/>
      </c>
      <c r="AH357" s="76">
        <f>SUM(AE357,AG357,AI357)*rate_forex_risk</f>
        <v/>
      </c>
      <c r="AI357" s="193">
        <f>IF(OR(seller_region="TR",offer_sale_type="экспорт"),0,rate_fin_comm)*SUM(AZ357,AZ357*AW357,T357)</f>
        <v/>
      </c>
      <c r="AJ357" s="118">
        <f>IFERROR(ROUND(SUM(AB357,AF357:AI357)/E357,2),0)</f>
        <v/>
      </c>
      <c r="AK357" s="76">
        <f>AJ357*E357</f>
        <v/>
      </c>
      <c r="AL357" s="174">
        <f>ROUND(IFERROR(AM357*E357,0),2)</f>
        <v/>
      </c>
      <c r="AM357" s="175">
        <f>ROUND(AJ357*(1+IF(offer_incoterms="DDP",IF((TODAY()+offer_turnaround_time)&gt;=helpsheet!$L$17,rate_vatRU_from_26,rate_vatRu_till_25),0)),2)</f>
        <v/>
      </c>
      <c r="AN357" s="192">
        <f>AL357-AK357</f>
        <v/>
      </c>
      <c r="AO357" s="76">
        <f>SUM(AY357,Y357:Z357,T357)*IF(AND(offer_incoterms="DDP",offer_sale_type&lt;&gt;"экспорт"),IF((TODAY()+offer_turnaround_time)&gt;=helpsheet!$L$17,rate_vatRU_from_26,rate_vatRu_till_25),0)</f>
        <v/>
      </c>
      <c r="AP357" s="193">
        <f>AN357-AO357</f>
        <v/>
      </c>
      <c r="AQ357" s="118">
        <f>IF(offer_sale_type="транзит",SUM(AF357:AI357,BA357,BB357),0)</f>
        <v/>
      </c>
      <c r="AR357" s="82">
        <f>HYPERLINK("https://www.alta.ru/tnved/code/")&amp;W357&amp;"/"</f>
        <v/>
      </c>
      <c r="AS357" s="157" t="n"/>
      <c r="AT357" s="162" t="n"/>
      <c r="AU357" s="76">
        <f>IF(ISBLANK(AT357),0,AJ357-AT357)</f>
        <v/>
      </c>
      <c r="AV357" s="157" t="n"/>
      <c r="AW357" s="75">
        <f>_xlfn.IFNA(VLOOKUP(L357,list_vat[],3,FALSE),0)</f>
        <v/>
      </c>
      <c r="AX357" s="76">
        <f>IFERROR(ROUND(S357*(1+AW357)/E357,2),0)</f>
        <v/>
      </c>
      <c r="AY357" s="76">
        <f>E357*AX357</f>
        <v/>
      </c>
      <c r="AZ357" s="192">
        <f>S357*(1+M357)</f>
        <v/>
      </c>
      <c r="BA357" s="76">
        <f>cost_fin_total*$BD357</f>
        <v/>
      </c>
      <c r="BB357" s="193">
        <f>credit_sales_interest*BD357</f>
        <v/>
      </c>
      <c r="BC357" s="102">
        <f>IFERROR(IF($I$13&gt;0,$I357/$I$13,$S357/$S$13),0)</f>
        <v/>
      </c>
      <c r="BD357" s="102">
        <f>IFERROR($S357/$S$13,0)</f>
        <v/>
      </c>
      <c r="BE357" s="413" t="inlineStr">
        <is>
          <t>$</t>
        </is>
      </c>
    </row>
    <row r="358" ht="12" customFormat="1" customHeight="1" s="65">
      <c r="A358" s="43" t="n">
        <v>343</v>
      </c>
      <c r="B358" s="166" t="n"/>
      <c r="C358" s="166" t="n"/>
      <c r="D358" s="166" t="n"/>
      <c r="E358" s="162" t="n"/>
      <c r="F358" s="166" t="n"/>
      <c r="G358" s="162" t="n"/>
      <c r="H358" s="162" t="n"/>
      <c r="I358" s="189">
        <f>E358*G358</f>
        <v/>
      </c>
      <c r="J358" s="195" t="n"/>
      <c r="K358" s="162" t="n"/>
      <c r="L358" s="168" t="n"/>
      <c r="M358" s="75">
        <f>_xlfn.XLOOKUP(L358,list_vat[Страна],list_vat[Ставка НДС %],0,0)</f>
        <v/>
      </c>
      <c r="N358" s="162">
        <f>IFERROR(IF(L358="Китай",K358,K358/(1+M358)),0)</f>
        <v/>
      </c>
      <c r="O358" s="169" t="n"/>
      <c r="P358" s="76">
        <f>N358*(1-O358)</f>
        <v/>
      </c>
      <c r="Q358" s="162" t="n"/>
      <c r="R358" s="162">
        <f>IF(ISBLANK(Q358),"введи курс",P358/Q358)</f>
        <v/>
      </c>
      <c r="S358" s="196">
        <f>IF(AND(ISNUMBER(E358),ISNUMBER(Q358)),E358*R358,0)</f>
        <v/>
      </c>
      <c r="T358" s="192">
        <f>$BC358*V$11</f>
        <v/>
      </c>
      <c r="U358" s="76">
        <f>$BC358*W$11</f>
        <v/>
      </c>
      <c r="V358" s="193">
        <f>+SUM(T358:U358)</f>
        <v/>
      </c>
      <c r="W358" s="191" t="n"/>
      <c r="X358" s="170" t="n"/>
      <c r="Y358" s="76">
        <f>ROUND(IF(offer_incoterms="DDP",X358*(S358*(1+AW358)+T358),0),2)</f>
        <v/>
      </c>
      <c r="Z358" s="188" t="n"/>
      <c r="AA358" s="192">
        <f>IFERROR(AB358/E358,0)</f>
        <v/>
      </c>
      <c r="AB358" s="76">
        <f>ROUND(SUM(S358,V358,Y358:Z358,BA358:BB358),2)</f>
        <v/>
      </c>
      <c r="AC358" s="797" t="n"/>
      <c r="AD358" s="192">
        <f t="array" ref="AD358">IFERROR(ROUND((_xlfn.IFS(offer_sale_type="поставка",AB358,offer_sale_type="транзит",S358)*(1+AC358))/E358,2),0)</f>
        <v/>
      </c>
      <c r="AE358" s="76">
        <f>AD358*E358</f>
        <v/>
      </c>
      <c r="AF358" s="193">
        <f t="array" ref="AF358">IFERROR(ROUND(_xlfn.IFS(offer_sale_type="поставка",AB358,offer_sale_type="транзит",S358)*AC358,2),0)</f>
        <v/>
      </c>
      <c r="AG358" s="192">
        <f>$BD358*VLOOKUP($AG$3,$AF$4:$AG$7,2,FALSE)</f>
        <v/>
      </c>
      <c r="AH358" s="76">
        <f>SUM(AE358,AG358,AI358)*rate_forex_risk</f>
        <v/>
      </c>
      <c r="AI358" s="193">
        <f>IF(OR(seller_region="TR",offer_sale_type="экспорт"),0,rate_fin_comm)*SUM(AZ358,AZ358*AW358,T358)</f>
        <v/>
      </c>
      <c r="AJ358" s="118">
        <f>IFERROR(ROUND(SUM(AB358,AF358:AI358)/E358,2),0)</f>
        <v/>
      </c>
      <c r="AK358" s="76">
        <f>AJ358*E358</f>
        <v/>
      </c>
      <c r="AL358" s="174">
        <f>ROUND(IFERROR(AM358*E358,0),2)</f>
        <v/>
      </c>
      <c r="AM358" s="175">
        <f>ROUND(AJ358*(1+IF(offer_incoterms="DDP",IF((TODAY()+offer_turnaround_time)&gt;=helpsheet!$L$17,rate_vatRU_from_26,rate_vatRu_till_25),0)),2)</f>
        <v/>
      </c>
      <c r="AN358" s="192">
        <f>AL358-AK358</f>
        <v/>
      </c>
      <c r="AO358" s="76">
        <f>SUM(AY358,Y358:Z358,T358)*IF(AND(offer_incoterms="DDP",offer_sale_type&lt;&gt;"экспорт"),IF((TODAY()+offer_turnaround_time)&gt;=helpsheet!$L$17,rate_vatRU_from_26,rate_vatRu_till_25),0)</f>
        <v/>
      </c>
      <c r="AP358" s="193">
        <f>AN358-AO358</f>
        <v/>
      </c>
      <c r="AQ358" s="118">
        <f>IF(offer_sale_type="транзит",SUM(AF358:AI358,BA358,BB358),0)</f>
        <v/>
      </c>
      <c r="AR358" s="82">
        <f>HYPERLINK("https://www.alta.ru/tnved/code/")&amp;W358&amp;"/"</f>
        <v/>
      </c>
      <c r="AS358" s="157" t="n"/>
      <c r="AT358" s="162" t="n"/>
      <c r="AU358" s="76">
        <f>IF(ISBLANK(AT358),0,AJ358-AT358)</f>
        <v/>
      </c>
      <c r="AV358" s="157" t="n"/>
      <c r="AW358" s="75">
        <f>_xlfn.IFNA(VLOOKUP(L358,list_vat[],3,FALSE),0)</f>
        <v/>
      </c>
      <c r="AX358" s="76">
        <f>IFERROR(ROUND(S358*(1+AW358)/E358,2),0)</f>
        <v/>
      </c>
      <c r="AY358" s="76">
        <f>E358*AX358</f>
        <v/>
      </c>
      <c r="AZ358" s="192">
        <f>S358*(1+M358)</f>
        <v/>
      </c>
      <c r="BA358" s="76">
        <f>cost_fin_total*$BD358</f>
        <v/>
      </c>
      <c r="BB358" s="193">
        <f>credit_sales_interest*BD358</f>
        <v/>
      </c>
      <c r="BC358" s="102">
        <f>IFERROR(IF($I$13&gt;0,$I358/$I$13,$S358/$S$13),0)</f>
        <v/>
      </c>
      <c r="BD358" s="102">
        <f>IFERROR($S358/$S$13,0)</f>
        <v/>
      </c>
      <c r="BE358" s="413" t="inlineStr">
        <is>
          <t>$</t>
        </is>
      </c>
    </row>
    <row r="359" ht="12" customFormat="1" customHeight="1" s="65">
      <c r="A359" s="43" t="n">
        <v>344</v>
      </c>
      <c r="B359" s="166" t="n"/>
      <c r="C359" s="166" t="n"/>
      <c r="D359" s="166" t="n"/>
      <c r="E359" s="162" t="n"/>
      <c r="F359" s="166" t="n"/>
      <c r="G359" s="162" t="n"/>
      <c r="H359" s="162" t="n"/>
      <c r="I359" s="189">
        <f>E359*G359</f>
        <v/>
      </c>
      <c r="J359" s="195" t="n"/>
      <c r="K359" s="162" t="n"/>
      <c r="L359" s="168" t="n"/>
      <c r="M359" s="75">
        <f>_xlfn.XLOOKUP(L359,list_vat[Страна],list_vat[Ставка НДС %],0,0)</f>
        <v/>
      </c>
      <c r="N359" s="162">
        <f>IFERROR(IF(L359="Китай",K359,K359/(1+M359)),0)</f>
        <v/>
      </c>
      <c r="O359" s="169" t="n"/>
      <c r="P359" s="76">
        <f>N359*(1-O359)</f>
        <v/>
      </c>
      <c r="Q359" s="162" t="n"/>
      <c r="R359" s="162">
        <f>IF(ISBLANK(Q359),"введи курс",P359/Q359)</f>
        <v/>
      </c>
      <c r="S359" s="196">
        <f>IF(AND(ISNUMBER(E359),ISNUMBER(Q359)),E359*R359,0)</f>
        <v/>
      </c>
      <c r="T359" s="192">
        <f>$BC359*V$11</f>
        <v/>
      </c>
      <c r="U359" s="76">
        <f>$BC359*W$11</f>
        <v/>
      </c>
      <c r="V359" s="193">
        <f>+SUM(T359:U359)</f>
        <v/>
      </c>
      <c r="W359" s="191" t="n"/>
      <c r="X359" s="170" t="n"/>
      <c r="Y359" s="76">
        <f>ROUND(IF(offer_incoterms="DDP",X359*(S359*(1+AW359)+T359),0),2)</f>
        <v/>
      </c>
      <c r="Z359" s="188" t="n"/>
      <c r="AA359" s="192">
        <f>IFERROR(AB359/E359,0)</f>
        <v/>
      </c>
      <c r="AB359" s="76">
        <f>ROUND(SUM(S359,V359,Y359:Z359,BA359:BB359),2)</f>
        <v/>
      </c>
      <c r="AC359" s="797" t="n"/>
      <c r="AD359" s="192">
        <f t="array" ref="AD359">IFERROR(ROUND((_xlfn.IFS(offer_sale_type="поставка",AB359,offer_sale_type="транзит",S359)*(1+AC359))/E359,2),0)</f>
        <v/>
      </c>
      <c r="AE359" s="76">
        <f>AD359*E359</f>
        <v/>
      </c>
      <c r="AF359" s="193">
        <f t="array" ref="AF359">IFERROR(ROUND(_xlfn.IFS(offer_sale_type="поставка",AB359,offer_sale_type="транзит",S359)*AC359,2),0)</f>
        <v/>
      </c>
      <c r="AG359" s="192">
        <f>$BD359*VLOOKUP($AG$3,$AF$4:$AG$7,2,FALSE)</f>
        <v/>
      </c>
      <c r="AH359" s="76">
        <f>SUM(AE359,AG359,AI359)*rate_forex_risk</f>
        <v/>
      </c>
      <c r="AI359" s="193">
        <f>IF(OR(seller_region="TR",offer_sale_type="экспорт"),0,rate_fin_comm)*SUM(AZ359,AZ359*AW359,T359)</f>
        <v/>
      </c>
      <c r="AJ359" s="118">
        <f>IFERROR(ROUND(SUM(AB359,AF359:AI359)/E359,2),0)</f>
        <v/>
      </c>
      <c r="AK359" s="76">
        <f>AJ359*E359</f>
        <v/>
      </c>
      <c r="AL359" s="174">
        <f>ROUND(IFERROR(AM359*E359,0),2)</f>
        <v/>
      </c>
      <c r="AM359" s="175">
        <f>ROUND(AJ359*(1+IF(offer_incoterms="DDP",IF((TODAY()+offer_turnaround_time)&gt;=helpsheet!$L$17,rate_vatRU_from_26,rate_vatRu_till_25),0)),2)</f>
        <v/>
      </c>
      <c r="AN359" s="192">
        <f>AL359-AK359</f>
        <v/>
      </c>
      <c r="AO359" s="76">
        <f>SUM(AY359,Y359:Z359,T359)*IF(AND(offer_incoterms="DDP",offer_sale_type&lt;&gt;"экспорт"),IF((TODAY()+offer_turnaround_time)&gt;=helpsheet!$L$17,rate_vatRU_from_26,rate_vatRu_till_25),0)</f>
        <v/>
      </c>
      <c r="AP359" s="193">
        <f>AN359-AO359</f>
        <v/>
      </c>
      <c r="AQ359" s="118">
        <f>IF(offer_sale_type="транзит",SUM(AF359:AI359,BA359,BB359),0)</f>
        <v/>
      </c>
      <c r="AR359" s="82">
        <f>HYPERLINK("https://www.alta.ru/tnved/code/")&amp;W359&amp;"/"</f>
        <v/>
      </c>
      <c r="AS359" s="157" t="n"/>
      <c r="AT359" s="162" t="n"/>
      <c r="AU359" s="76">
        <f>IF(ISBLANK(AT359),0,AJ359-AT359)</f>
        <v/>
      </c>
      <c r="AV359" s="157" t="n"/>
      <c r="AW359" s="75">
        <f>_xlfn.IFNA(VLOOKUP(L359,list_vat[],3,FALSE),0)</f>
        <v/>
      </c>
      <c r="AX359" s="76">
        <f>IFERROR(ROUND(S359*(1+AW359)/E359,2),0)</f>
        <v/>
      </c>
      <c r="AY359" s="76">
        <f>E359*AX359</f>
        <v/>
      </c>
      <c r="AZ359" s="192">
        <f>S359*(1+M359)</f>
        <v/>
      </c>
      <c r="BA359" s="76">
        <f>cost_fin_total*$BD359</f>
        <v/>
      </c>
      <c r="BB359" s="193">
        <f>credit_sales_interest*BD359</f>
        <v/>
      </c>
      <c r="BC359" s="102">
        <f>IFERROR(IF($I$13&gt;0,$I359/$I$13,$S359/$S$13),0)</f>
        <v/>
      </c>
      <c r="BD359" s="102">
        <f>IFERROR($S359/$S$13,0)</f>
        <v/>
      </c>
      <c r="BE359" s="413" t="inlineStr">
        <is>
          <t>$</t>
        </is>
      </c>
    </row>
    <row r="360" ht="12" customFormat="1" customHeight="1" s="65">
      <c r="A360" s="43" t="n">
        <v>345</v>
      </c>
      <c r="B360" s="166" t="n"/>
      <c r="C360" s="166" t="n"/>
      <c r="D360" s="166" t="n"/>
      <c r="E360" s="162" t="n"/>
      <c r="F360" s="166" t="n"/>
      <c r="G360" s="162" t="n"/>
      <c r="H360" s="162" t="n"/>
      <c r="I360" s="189">
        <f>E360*G360</f>
        <v/>
      </c>
      <c r="J360" s="195" t="n"/>
      <c r="K360" s="162" t="n"/>
      <c r="L360" s="168" t="n"/>
      <c r="M360" s="75">
        <f>_xlfn.XLOOKUP(L360,list_vat[Страна],list_vat[Ставка НДС %],0,0)</f>
        <v/>
      </c>
      <c r="N360" s="162">
        <f>IFERROR(IF(L360="Китай",K360,K360/(1+M360)),0)</f>
        <v/>
      </c>
      <c r="O360" s="169" t="n"/>
      <c r="P360" s="76">
        <f>N360*(1-O360)</f>
        <v/>
      </c>
      <c r="Q360" s="162" t="n"/>
      <c r="R360" s="162">
        <f>IF(ISBLANK(Q360),"введи курс",P360/Q360)</f>
        <v/>
      </c>
      <c r="S360" s="196">
        <f>IF(AND(ISNUMBER(E360),ISNUMBER(Q360)),E360*R360,0)</f>
        <v/>
      </c>
      <c r="T360" s="192">
        <f>$BC360*V$11</f>
        <v/>
      </c>
      <c r="U360" s="76">
        <f>$BC360*W$11</f>
        <v/>
      </c>
      <c r="V360" s="193">
        <f>+SUM(T360:U360)</f>
        <v/>
      </c>
      <c r="W360" s="191" t="n"/>
      <c r="X360" s="170" t="n"/>
      <c r="Y360" s="76">
        <f>ROUND(IF(offer_incoterms="DDP",X360*(S360*(1+AW360)+T360),0),2)</f>
        <v/>
      </c>
      <c r="Z360" s="188" t="n"/>
      <c r="AA360" s="192">
        <f>IFERROR(AB360/E360,0)</f>
        <v/>
      </c>
      <c r="AB360" s="76">
        <f>ROUND(SUM(S360,V360,Y360:Z360,BA360:BB360),2)</f>
        <v/>
      </c>
      <c r="AC360" s="797" t="n"/>
      <c r="AD360" s="192">
        <f t="array" ref="AD360">IFERROR(ROUND((_xlfn.IFS(offer_sale_type="поставка",AB360,offer_sale_type="транзит",S360)*(1+AC360))/E360,2),0)</f>
        <v/>
      </c>
      <c r="AE360" s="76">
        <f>AD360*E360</f>
        <v/>
      </c>
      <c r="AF360" s="193">
        <f t="array" ref="AF360">IFERROR(ROUND(_xlfn.IFS(offer_sale_type="поставка",AB360,offer_sale_type="транзит",S360)*AC360,2),0)</f>
        <v/>
      </c>
      <c r="AG360" s="192">
        <f>$BD360*VLOOKUP($AG$3,$AF$4:$AG$7,2,FALSE)</f>
        <v/>
      </c>
      <c r="AH360" s="76">
        <f>SUM(AE360,AG360,AI360)*rate_forex_risk</f>
        <v/>
      </c>
      <c r="AI360" s="193">
        <f>IF(OR(seller_region="TR",offer_sale_type="экспорт"),0,rate_fin_comm)*SUM(AZ360,AZ360*AW360,T360)</f>
        <v/>
      </c>
      <c r="AJ360" s="118">
        <f>IFERROR(ROUND(SUM(AB360,AF360:AI360)/E360,2),0)</f>
        <v/>
      </c>
      <c r="AK360" s="76">
        <f>AJ360*E360</f>
        <v/>
      </c>
      <c r="AL360" s="174">
        <f>ROUND(IFERROR(AM360*E360,0),2)</f>
        <v/>
      </c>
      <c r="AM360" s="175">
        <f>ROUND(AJ360*(1+IF(offer_incoterms="DDP",IF((TODAY()+offer_turnaround_time)&gt;=helpsheet!$L$17,rate_vatRU_from_26,rate_vatRu_till_25),0)),2)</f>
        <v/>
      </c>
      <c r="AN360" s="192">
        <f>AL360-AK360</f>
        <v/>
      </c>
      <c r="AO360" s="76">
        <f>SUM(AY360,Y360:Z360,T360)*IF(AND(offer_incoterms="DDP",offer_sale_type&lt;&gt;"экспорт"),IF((TODAY()+offer_turnaround_time)&gt;=helpsheet!$L$17,rate_vatRU_from_26,rate_vatRu_till_25),0)</f>
        <v/>
      </c>
      <c r="AP360" s="193">
        <f>AN360-AO360</f>
        <v/>
      </c>
      <c r="AQ360" s="118">
        <f>IF(offer_sale_type="транзит",SUM(AF360:AI360,BA360,BB360),0)</f>
        <v/>
      </c>
      <c r="AR360" s="82">
        <f>HYPERLINK("https://www.alta.ru/tnved/code/")&amp;W360&amp;"/"</f>
        <v/>
      </c>
      <c r="AS360" s="157" t="n"/>
      <c r="AT360" s="162" t="n"/>
      <c r="AU360" s="76">
        <f>IF(ISBLANK(AT360),0,AJ360-AT360)</f>
        <v/>
      </c>
      <c r="AV360" s="157" t="n"/>
      <c r="AW360" s="75">
        <f>_xlfn.IFNA(VLOOKUP(L360,list_vat[],3,FALSE),0)</f>
        <v/>
      </c>
      <c r="AX360" s="76">
        <f>IFERROR(ROUND(S360*(1+AW360)/E360,2),0)</f>
        <v/>
      </c>
      <c r="AY360" s="76">
        <f>E360*AX360</f>
        <v/>
      </c>
      <c r="AZ360" s="192">
        <f>S360*(1+M360)</f>
        <v/>
      </c>
      <c r="BA360" s="76">
        <f>cost_fin_total*$BD360</f>
        <v/>
      </c>
      <c r="BB360" s="193">
        <f>credit_sales_interest*BD360</f>
        <v/>
      </c>
      <c r="BC360" s="102">
        <f>IFERROR(IF($I$13&gt;0,$I360/$I$13,$S360/$S$13),0)</f>
        <v/>
      </c>
      <c r="BD360" s="102">
        <f>IFERROR($S360/$S$13,0)</f>
        <v/>
      </c>
      <c r="BE360" s="413" t="inlineStr">
        <is>
          <t>$</t>
        </is>
      </c>
    </row>
    <row r="361" ht="12" customFormat="1" customHeight="1" s="65">
      <c r="A361" s="43" t="n">
        <v>346</v>
      </c>
      <c r="B361" s="166" t="n"/>
      <c r="C361" s="166" t="n"/>
      <c r="D361" s="166" t="n"/>
      <c r="E361" s="162" t="n"/>
      <c r="F361" s="166" t="n"/>
      <c r="G361" s="162" t="n"/>
      <c r="H361" s="162" t="n"/>
      <c r="I361" s="189">
        <f>E361*G361</f>
        <v/>
      </c>
      <c r="J361" s="195" t="n"/>
      <c r="K361" s="162" t="n"/>
      <c r="L361" s="168" t="n"/>
      <c r="M361" s="75">
        <f>_xlfn.XLOOKUP(L361,list_vat[Страна],list_vat[Ставка НДС %],0,0)</f>
        <v/>
      </c>
      <c r="N361" s="162">
        <f>IFERROR(IF(L361="Китай",K361,K361/(1+M361)),0)</f>
        <v/>
      </c>
      <c r="O361" s="169" t="n"/>
      <c r="P361" s="76">
        <f>N361*(1-O361)</f>
        <v/>
      </c>
      <c r="Q361" s="162" t="n"/>
      <c r="R361" s="162">
        <f>IF(ISBLANK(Q361),"введи курс",P361/Q361)</f>
        <v/>
      </c>
      <c r="S361" s="196">
        <f>IF(AND(ISNUMBER(E361),ISNUMBER(Q361)),E361*R361,0)</f>
        <v/>
      </c>
      <c r="T361" s="192">
        <f>$BC361*V$11</f>
        <v/>
      </c>
      <c r="U361" s="76">
        <f>$BC361*W$11</f>
        <v/>
      </c>
      <c r="V361" s="193">
        <f>+SUM(T361:U361)</f>
        <v/>
      </c>
      <c r="W361" s="191" t="n"/>
      <c r="X361" s="170" t="n"/>
      <c r="Y361" s="76">
        <f>ROUND(IF(offer_incoterms="DDP",X361*(S361*(1+AW361)+T361),0),2)</f>
        <v/>
      </c>
      <c r="Z361" s="188" t="n"/>
      <c r="AA361" s="192">
        <f>IFERROR(AB361/E361,0)</f>
        <v/>
      </c>
      <c r="AB361" s="76">
        <f>ROUND(SUM(S361,V361,Y361:Z361,BA361:BB361),2)</f>
        <v/>
      </c>
      <c r="AC361" s="797" t="n"/>
      <c r="AD361" s="192">
        <f t="array" ref="AD361">IFERROR(ROUND((_xlfn.IFS(offer_sale_type="поставка",AB361,offer_sale_type="транзит",S361)*(1+AC361))/E361,2),0)</f>
        <v/>
      </c>
      <c r="AE361" s="76">
        <f>AD361*E361</f>
        <v/>
      </c>
      <c r="AF361" s="193">
        <f t="array" ref="AF361">IFERROR(ROUND(_xlfn.IFS(offer_sale_type="поставка",AB361,offer_sale_type="транзит",S361)*AC361,2),0)</f>
        <v/>
      </c>
      <c r="AG361" s="192">
        <f>$BD361*VLOOKUP($AG$3,$AF$4:$AG$7,2,FALSE)</f>
        <v/>
      </c>
      <c r="AH361" s="76">
        <f>SUM(AE361,AG361,AI361)*rate_forex_risk</f>
        <v/>
      </c>
      <c r="AI361" s="193">
        <f>IF(OR(seller_region="TR",offer_sale_type="экспорт"),0,rate_fin_comm)*SUM(AZ361,AZ361*AW361,T361)</f>
        <v/>
      </c>
      <c r="AJ361" s="118">
        <f>IFERROR(ROUND(SUM(AB361,AF361:AI361)/E361,2),0)</f>
        <v/>
      </c>
      <c r="AK361" s="76">
        <f>AJ361*E361</f>
        <v/>
      </c>
      <c r="AL361" s="174">
        <f>ROUND(IFERROR(AM361*E361,0),2)</f>
        <v/>
      </c>
      <c r="AM361" s="175">
        <f>ROUND(AJ361*(1+IF(offer_incoterms="DDP",IF((TODAY()+offer_turnaround_time)&gt;=helpsheet!$L$17,rate_vatRU_from_26,rate_vatRu_till_25),0)),2)</f>
        <v/>
      </c>
      <c r="AN361" s="192">
        <f>AL361-AK361</f>
        <v/>
      </c>
      <c r="AO361" s="76">
        <f>SUM(AY361,Y361:Z361,T361)*IF(AND(offer_incoterms="DDP",offer_sale_type&lt;&gt;"экспорт"),IF((TODAY()+offer_turnaround_time)&gt;=helpsheet!$L$17,rate_vatRU_from_26,rate_vatRu_till_25),0)</f>
        <v/>
      </c>
      <c r="AP361" s="193">
        <f>AN361-AO361</f>
        <v/>
      </c>
      <c r="AQ361" s="118">
        <f>IF(offer_sale_type="транзит",SUM(AF361:AI361,BA361,BB361),0)</f>
        <v/>
      </c>
      <c r="AR361" s="82">
        <f>HYPERLINK("https://www.alta.ru/tnved/code/")&amp;W361&amp;"/"</f>
        <v/>
      </c>
      <c r="AS361" s="157" t="n"/>
      <c r="AT361" s="162" t="n"/>
      <c r="AU361" s="76">
        <f>IF(ISBLANK(AT361),0,AJ361-AT361)</f>
        <v/>
      </c>
      <c r="AV361" s="157" t="n"/>
      <c r="AW361" s="75">
        <f>_xlfn.IFNA(VLOOKUP(L361,list_vat[],3,FALSE),0)</f>
        <v/>
      </c>
      <c r="AX361" s="76">
        <f>IFERROR(ROUND(S361*(1+AW361)/E361,2),0)</f>
        <v/>
      </c>
      <c r="AY361" s="76">
        <f>E361*AX361</f>
        <v/>
      </c>
      <c r="AZ361" s="192">
        <f>S361*(1+M361)</f>
        <v/>
      </c>
      <c r="BA361" s="76">
        <f>cost_fin_total*$BD361</f>
        <v/>
      </c>
      <c r="BB361" s="193">
        <f>credit_sales_interest*BD361</f>
        <v/>
      </c>
      <c r="BC361" s="102">
        <f>IFERROR(IF($I$13&gt;0,$I361/$I$13,$S361/$S$13),0)</f>
        <v/>
      </c>
      <c r="BD361" s="102">
        <f>IFERROR($S361/$S$13,0)</f>
        <v/>
      </c>
      <c r="BE361" s="413" t="inlineStr">
        <is>
          <t>$</t>
        </is>
      </c>
    </row>
    <row r="362" ht="12" customFormat="1" customHeight="1" s="65">
      <c r="A362" s="43" t="n">
        <v>347</v>
      </c>
      <c r="B362" s="166" t="n"/>
      <c r="C362" s="166" t="n"/>
      <c r="D362" s="166" t="n"/>
      <c r="E362" s="162" t="n"/>
      <c r="F362" s="166" t="n"/>
      <c r="G362" s="162" t="n"/>
      <c r="H362" s="162" t="n"/>
      <c r="I362" s="189">
        <f>E362*G362</f>
        <v/>
      </c>
      <c r="J362" s="195" t="n"/>
      <c r="K362" s="162" t="n"/>
      <c r="L362" s="168" t="n"/>
      <c r="M362" s="75">
        <f>_xlfn.XLOOKUP(L362,list_vat[Страна],list_vat[Ставка НДС %],0,0)</f>
        <v/>
      </c>
      <c r="N362" s="162">
        <f>IFERROR(IF(L362="Китай",K362,K362/(1+M362)),0)</f>
        <v/>
      </c>
      <c r="O362" s="169" t="n"/>
      <c r="P362" s="76">
        <f>N362*(1-O362)</f>
        <v/>
      </c>
      <c r="Q362" s="162" t="n"/>
      <c r="R362" s="162">
        <f>IF(ISBLANK(Q362),"введи курс",P362/Q362)</f>
        <v/>
      </c>
      <c r="S362" s="196">
        <f>IF(AND(ISNUMBER(E362),ISNUMBER(Q362)),E362*R362,0)</f>
        <v/>
      </c>
      <c r="T362" s="192">
        <f>$BC362*V$11</f>
        <v/>
      </c>
      <c r="U362" s="76">
        <f>$BC362*W$11</f>
        <v/>
      </c>
      <c r="V362" s="193">
        <f>+SUM(T362:U362)</f>
        <v/>
      </c>
      <c r="W362" s="191" t="n"/>
      <c r="X362" s="170" t="n"/>
      <c r="Y362" s="76">
        <f>ROUND(IF(offer_incoterms="DDP",X362*(S362*(1+AW362)+T362),0),2)</f>
        <v/>
      </c>
      <c r="Z362" s="188" t="n"/>
      <c r="AA362" s="192">
        <f>IFERROR(AB362/E362,0)</f>
        <v/>
      </c>
      <c r="AB362" s="76">
        <f>ROUND(SUM(S362,V362,Y362:Z362,BA362:BB362),2)</f>
        <v/>
      </c>
      <c r="AC362" s="797" t="n"/>
      <c r="AD362" s="192">
        <f t="array" ref="AD362">IFERROR(ROUND((_xlfn.IFS(offer_sale_type="поставка",AB362,offer_sale_type="транзит",S362)*(1+AC362))/E362,2),0)</f>
        <v/>
      </c>
      <c r="AE362" s="76">
        <f>AD362*E362</f>
        <v/>
      </c>
      <c r="AF362" s="193">
        <f t="array" ref="AF362">IFERROR(ROUND(_xlfn.IFS(offer_sale_type="поставка",AB362,offer_sale_type="транзит",S362)*AC362,2),0)</f>
        <v/>
      </c>
      <c r="AG362" s="192">
        <f>$BD362*VLOOKUP($AG$3,$AF$4:$AG$7,2,FALSE)</f>
        <v/>
      </c>
      <c r="AH362" s="76">
        <f>SUM(AE362,AG362,AI362)*rate_forex_risk</f>
        <v/>
      </c>
      <c r="AI362" s="193">
        <f>IF(OR(seller_region="TR",offer_sale_type="экспорт"),0,rate_fin_comm)*SUM(AZ362,AZ362*AW362,T362)</f>
        <v/>
      </c>
      <c r="AJ362" s="118">
        <f>IFERROR(ROUND(SUM(AB362,AF362:AI362)/E362,2),0)</f>
        <v/>
      </c>
      <c r="AK362" s="76">
        <f>AJ362*E362</f>
        <v/>
      </c>
      <c r="AL362" s="174">
        <f>ROUND(IFERROR(AM362*E362,0),2)</f>
        <v/>
      </c>
      <c r="AM362" s="175">
        <f>ROUND(AJ362*(1+IF(offer_incoterms="DDP",IF((TODAY()+offer_turnaround_time)&gt;=helpsheet!$L$17,rate_vatRU_from_26,rate_vatRu_till_25),0)),2)</f>
        <v/>
      </c>
      <c r="AN362" s="192">
        <f>AL362-AK362</f>
        <v/>
      </c>
      <c r="AO362" s="76">
        <f>SUM(AY362,Y362:Z362,T362)*IF(AND(offer_incoterms="DDP",offer_sale_type&lt;&gt;"экспорт"),IF((TODAY()+offer_turnaround_time)&gt;=helpsheet!$L$17,rate_vatRU_from_26,rate_vatRu_till_25),0)</f>
        <v/>
      </c>
      <c r="AP362" s="193">
        <f>AN362-AO362</f>
        <v/>
      </c>
      <c r="AQ362" s="118">
        <f>IF(offer_sale_type="транзит",SUM(AF362:AI362,BA362,BB362),0)</f>
        <v/>
      </c>
      <c r="AR362" s="82">
        <f>HYPERLINK("https://www.alta.ru/tnved/code/")&amp;W362&amp;"/"</f>
        <v/>
      </c>
      <c r="AS362" s="157" t="n"/>
      <c r="AT362" s="162" t="n"/>
      <c r="AU362" s="76">
        <f>IF(ISBLANK(AT362),0,AJ362-AT362)</f>
        <v/>
      </c>
      <c r="AV362" s="157" t="n"/>
      <c r="AW362" s="75">
        <f>_xlfn.IFNA(VLOOKUP(L362,list_vat[],3,FALSE),0)</f>
        <v/>
      </c>
      <c r="AX362" s="76">
        <f>IFERROR(ROUND(S362*(1+AW362)/E362,2),0)</f>
        <v/>
      </c>
      <c r="AY362" s="76">
        <f>E362*AX362</f>
        <v/>
      </c>
      <c r="AZ362" s="192">
        <f>S362*(1+M362)</f>
        <v/>
      </c>
      <c r="BA362" s="76">
        <f>cost_fin_total*$BD362</f>
        <v/>
      </c>
      <c r="BB362" s="193">
        <f>credit_sales_interest*BD362</f>
        <v/>
      </c>
      <c r="BC362" s="102">
        <f>IFERROR(IF($I$13&gt;0,$I362/$I$13,$S362/$S$13),0)</f>
        <v/>
      </c>
      <c r="BD362" s="102">
        <f>IFERROR($S362/$S$13,0)</f>
        <v/>
      </c>
      <c r="BE362" s="413" t="inlineStr">
        <is>
          <t>$</t>
        </is>
      </c>
    </row>
    <row r="363" ht="12" customFormat="1" customHeight="1" s="65">
      <c r="A363" s="43" t="n">
        <v>348</v>
      </c>
      <c r="B363" s="166" t="n"/>
      <c r="C363" s="166" t="n"/>
      <c r="D363" s="166" t="n"/>
      <c r="E363" s="162" t="n"/>
      <c r="F363" s="166" t="n"/>
      <c r="G363" s="162" t="n"/>
      <c r="H363" s="162" t="n"/>
      <c r="I363" s="189">
        <f>E363*G363</f>
        <v/>
      </c>
      <c r="J363" s="195" t="n"/>
      <c r="K363" s="162" t="n"/>
      <c r="L363" s="168" t="n"/>
      <c r="M363" s="75">
        <f>_xlfn.XLOOKUP(L363,list_vat[Страна],list_vat[Ставка НДС %],0,0)</f>
        <v/>
      </c>
      <c r="N363" s="162">
        <f>IFERROR(IF(L363="Китай",K363,K363/(1+M363)),0)</f>
        <v/>
      </c>
      <c r="O363" s="169" t="n"/>
      <c r="P363" s="76">
        <f>N363*(1-O363)</f>
        <v/>
      </c>
      <c r="Q363" s="162" t="n"/>
      <c r="R363" s="162">
        <f>IF(ISBLANK(Q363),"введи курс",P363/Q363)</f>
        <v/>
      </c>
      <c r="S363" s="196">
        <f>IF(AND(ISNUMBER(E363),ISNUMBER(Q363)),E363*R363,0)</f>
        <v/>
      </c>
      <c r="T363" s="192">
        <f>$BC363*V$11</f>
        <v/>
      </c>
      <c r="U363" s="76">
        <f>$BC363*W$11</f>
        <v/>
      </c>
      <c r="V363" s="193">
        <f>+SUM(T363:U363)</f>
        <v/>
      </c>
      <c r="W363" s="191" t="n"/>
      <c r="X363" s="170" t="n"/>
      <c r="Y363" s="76">
        <f>ROUND(IF(offer_incoterms="DDP",X363*(S363*(1+AW363)+T363),0),2)</f>
        <v/>
      </c>
      <c r="Z363" s="188" t="n"/>
      <c r="AA363" s="192">
        <f>IFERROR(AB363/E363,0)</f>
        <v/>
      </c>
      <c r="AB363" s="76">
        <f>ROUND(SUM(S363,V363,Y363:Z363,BA363:BB363),2)</f>
        <v/>
      </c>
      <c r="AC363" s="797" t="n"/>
      <c r="AD363" s="192">
        <f t="array" ref="AD363">IFERROR(ROUND((_xlfn.IFS(offer_sale_type="поставка",AB363,offer_sale_type="транзит",S363)*(1+AC363))/E363,2),0)</f>
        <v/>
      </c>
      <c r="AE363" s="76">
        <f>AD363*E363</f>
        <v/>
      </c>
      <c r="AF363" s="193">
        <f t="array" ref="AF363">IFERROR(ROUND(_xlfn.IFS(offer_sale_type="поставка",AB363,offer_sale_type="транзит",S363)*AC363,2),0)</f>
        <v/>
      </c>
      <c r="AG363" s="192">
        <f>$BD363*VLOOKUP($AG$3,$AF$4:$AG$7,2,FALSE)</f>
        <v/>
      </c>
      <c r="AH363" s="76">
        <f>SUM(AE363,AG363,AI363)*rate_forex_risk</f>
        <v/>
      </c>
      <c r="AI363" s="193">
        <f>IF(OR(seller_region="TR",offer_sale_type="экспорт"),0,rate_fin_comm)*SUM(AZ363,AZ363*AW363,T363)</f>
        <v/>
      </c>
      <c r="AJ363" s="118">
        <f>IFERROR(ROUND(SUM(AB363,AF363:AI363)/E363,2),0)</f>
        <v/>
      </c>
      <c r="AK363" s="76">
        <f>AJ363*E363</f>
        <v/>
      </c>
      <c r="AL363" s="174">
        <f>ROUND(IFERROR(AM363*E363,0),2)</f>
        <v/>
      </c>
      <c r="AM363" s="175">
        <f>ROUND(AJ363*(1+IF(offer_incoterms="DDP",IF((TODAY()+offer_turnaround_time)&gt;=helpsheet!$L$17,rate_vatRU_from_26,rate_vatRu_till_25),0)),2)</f>
        <v/>
      </c>
      <c r="AN363" s="192">
        <f>AL363-AK363</f>
        <v/>
      </c>
      <c r="AO363" s="76">
        <f>SUM(AY363,Y363:Z363,T363)*IF(AND(offer_incoterms="DDP",offer_sale_type&lt;&gt;"экспорт"),IF((TODAY()+offer_turnaround_time)&gt;=helpsheet!$L$17,rate_vatRU_from_26,rate_vatRu_till_25),0)</f>
        <v/>
      </c>
      <c r="AP363" s="193">
        <f>AN363-AO363</f>
        <v/>
      </c>
      <c r="AQ363" s="118">
        <f>IF(offer_sale_type="транзит",SUM(AF363:AI363,BA363,BB363),0)</f>
        <v/>
      </c>
      <c r="AR363" s="82">
        <f>HYPERLINK("https://www.alta.ru/tnved/code/")&amp;W363&amp;"/"</f>
        <v/>
      </c>
      <c r="AS363" s="157" t="n"/>
      <c r="AT363" s="162" t="n"/>
      <c r="AU363" s="76">
        <f>IF(ISBLANK(AT363),0,AJ363-AT363)</f>
        <v/>
      </c>
      <c r="AV363" s="157" t="n"/>
      <c r="AW363" s="75">
        <f>_xlfn.IFNA(VLOOKUP(L363,list_vat[],3,FALSE),0)</f>
        <v/>
      </c>
      <c r="AX363" s="76">
        <f>IFERROR(ROUND(S363*(1+AW363)/E363,2),0)</f>
        <v/>
      </c>
      <c r="AY363" s="76">
        <f>E363*AX363</f>
        <v/>
      </c>
      <c r="AZ363" s="192">
        <f>S363*(1+M363)</f>
        <v/>
      </c>
      <c r="BA363" s="76">
        <f>cost_fin_total*$BD363</f>
        <v/>
      </c>
      <c r="BB363" s="193">
        <f>credit_sales_interest*BD363</f>
        <v/>
      </c>
      <c r="BC363" s="102">
        <f>IFERROR(IF($I$13&gt;0,$I363/$I$13,$S363/$S$13),0)</f>
        <v/>
      </c>
      <c r="BD363" s="102">
        <f>IFERROR($S363/$S$13,0)</f>
        <v/>
      </c>
      <c r="BE363" s="413" t="inlineStr">
        <is>
          <t>$</t>
        </is>
      </c>
    </row>
    <row r="364" ht="12" customFormat="1" customHeight="1" s="65">
      <c r="A364" s="43" t="n">
        <v>349</v>
      </c>
      <c r="B364" s="166" t="n"/>
      <c r="C364" s="166" t="n"/>
      <c r="D364" s="166" t="n"/>
      <c r="E364" s="162" t="n"/>
      <c r="F364" s="166" t="n"/>
      <c r="G364" s="162" t="n"/>
      <c r="H364" s="162" t="n"/>
      <c r="I364" s="189">
        <f>E364*G364</f>
        <v/>
      </c>
      <c r="J364" s="195" t="n"/>
      <c r="K364" s="162" t="n"/>
      <c r="L364" s="168" t="n"/>
      <c r="M364" s="75">
        <f>_xlfn.XLOOKUP(L364,list_vat[Страна],list_vat[Ставка НДС %],0,0)</f>
        <v/>
      </c>
      <c r="N364" s="162">
        <f>IFERROR(IF(L364="Китай",K364,K364/(1+M364)),0)</f>
        <v/>
      </c>
      <c r="O364" s="169" t="n"/>
      <c r="P364" s="76">
        <f>N364*(1-O364)</f>
        <v/>
      </c>
      <c r="Q364" s="162" t="n"/>
      <c r="R364" s="162">
        <f>IF(ISBLANK(Q364),"введи курс",P364/Q364)</f>
        <v/>
      </c>
      <c r="S364" s="196">
        <f>IF(AND(ISNUMBER(E364),ISNUMBER(Q364)),E364*R364,0)</f>
        <v/>
      </c>
      <c r="T364" s="192">
        <f>$BC364*V$11</f>
        <v/>
      </c>
      <c r="U364" s="76">
        <f>$BC364*W$11</f>
        <v/>
      </c>
      <c r="V364" s="193">
        <f>+SUM(T364:U364)</f>
        <v/>
      </c>
      <c r="W364" s="191" t="n"/>
      <c r="X364" s="170" t="n"/>
      <c r="Y364" s="76">
        <f>ROUND(IF(offer_incoterms="DDP",X364*(S364*(1+AW364)+T364),0),2)</f>
        <v/>
      </c>
      <c r="Z364" s="188" t="n"/>
      <c r="AA364" s="192">
        <f>IFERROR(AB364/E364,0)</f>
        <v/>
      </c>
      <c r="AB364" s="76">
        <f>ROUND(SUM(S364,V364,Y364:Z364,BA364:BB364),2)</f>
        <v/>
      </c>
      <c r="AC364" s="797" t="n"/>
      <c r="AD364" s="192">
        <f t="array" ref="AD364">IFERROR(ROUND((_xlfn.IFS(offer_sale_type="поставка",AB364,offer_sale_type="транзит",S364)*(1+AC364))/E364,2),0)</f>
        <v/>
      </c>
      <c r="AE364" s="76">
        <f>AD364*E364</f>
        <v/>
      </c>
      <c r="AF364" s="193">
        <f t="array" ref="AF364">IFERROR(ROUND(_xlfn.IFS(offer_sale_type="поставка",AB364,offer_sale_type="транзит",S364)*AC364,2),0)</f>
        <v/>
      </c>
      <c r="AG364" s="192">
        <f>$BD364*VLOOKUP($AG$3,$AF$4:$AG$7,2,FALSE)</f>
        <v/>
      </c>
      <c r="AH364" s="76">
        <f>SUM(AE364,AG364,AI364)*rate_forex_risk</f>
        <v/>
      </c>
      <c r="AI364" s="193">
        <f>IF(OR(seller_region="TR",offer_sale_type="экспорт"),0,rate_fin_comm)*SUM(AZ364,AZ364*AW364,T364)</f>
        <v/>
      </c>
      <c r="AJ364" s="118">
        <f>IFERROR(ROUND(SUM(AB364,AF364:AI364)/E364,2),0)</f>
        <v/>
      </c>
      <c r="AK364" s="76">
        <f>AJ364*E364</f>
        <v/>
      </c>
      <c r="AL364" s="174">
        <f>ROUND(IFERROR(AM364*E364,0),2)</f>
        <v/>
      </c>
      <c r="AM364" s="175">
        <f>ROUND(AJ364*(1+IF(offer_incoterms="DDP",IF((TODAY()+offer_turnaround_time)&gt;=helpsheet!$L$17,rate_vatRU_from_26,rate_vatRu_till_25),0)),2)</f>
        <v/>
      </c>
      <c r="AN364" s="192">
        <f>AL364-AK364</f>
        <v/>
      </c>
      <c r="AO364" s="76">
        <f>SUM(AY364,Y364:Z364,T364)*IF(AND(offer_incoterms="DDP",offer_sale_type&lt;&gt;"экспорт"),IF((TODAY()+offer_turnaround_time)&gt;=helpsheet!$L$17,rate_vatRU_from_26,rate_vatRu_till_25),0)</f>
        <v/>
      </c>
      <c r="AP364" s="193">
        <f>AN364-AO364</f>
        <v/>
      </c>
      <c r="AQ364" s="118">
        <f>IF(offer_sale_type="транзит",SUM(AF364:AI364,BA364,BB364),0)</f>
        <v/>
      </c>
      <c r="AR364" s="82">
        <f>HYPERLINK("https://www.alta.ru/tnved/code/")&amp;W364&amp;"/"</f>
        <v/>
      </c>
      <c r="AS364" s="157" t="n"/>
      <c r="AT364" s="162" t="n"/>
      <c r="AU364" s="76">
        <f>IF(ISBLANK(AT364),0,AJ364-AT364)</f>
        <v/>
      </c>
      <c r="AV364" s="157" t="n"/>
      <c r="AW364" s="75">
        <f>_xlfn.IFNA(VLOOKUP(L364,list_vat[],3,FALSE),0)</f>
        <v/>
      </c>
      <c r="AX364" s="76">
        <f>IFERROR(ROUND(S364*(1+AW364)/E364,2),0)</f>
        <v/>
      </c>
      <c r="AY364" s="76">
        <f>E364*AX364</f>
        <v/>
      </c>
      <c r="AZ364" s="192">
        <f>S364*(1+M364)</f>
        <v/>
      </c>
      <c r="BA364" s="76">
        <f>cost_fin_total*$BD364</f>
        <v/>
      </c>
      <c r="BB364" s="193">
        <f>credit_sales_interest*BD364</f>
        <v/>
      </c>
      <c r="BC364" s="102">
        <f>IFERROR(IF($I$13&gt;0,$I364/$I$13,$S364/$S$13),0)</f>
        <v/>
      </c>
      <c r="BD364" s="102">
        <f>IFERROR($S364/$S$13,0)</f>
        <v/>
      </c>
      <c r="BE364" s="413" t="inlineStr">
        <is>
          <t>$</t>
        </is>
      </c>
    </row>
    <row r="365" ht="12" customFormat="1" customHeight="1" s="65">
      <c r="A365" s="43" t="n">
        <v>350</v>
      </c>
      <c r="B365" s="166" t="n"/>
      <c r="C365" s="166" t="n"/>
      <c r="D365" s="166" t="n"/>
      <c r="E365" s="162" t="n"/>
      <c r="F365" s="166" t="n"/>
      <c r="G365" s="162" t="n"/>
      <c r="H365" s="162" t="n"/>
      <c r="I365" s="189">
        <f>E365*G365</f>
        <v/>
      </c>
      <c r="J365" s="195" t="n"/>
      <c r="K365" s="162" t="n"/>
      <c r="L365" s="168" t="n"/>
      <c r="M365" s="75">
        <f>_xlfn.XLOOKUP(L365,list_vat[Страна],list_vat[Ставка НДС %],0,0)</f>
        <v/>
      </c>
      <c r="N365" s="162">
        <f>IFERROR(IF(L365="Китай",K365,K365/(1+M365)),0)</f>
        <v/>
      </c>
      <c r="O365" s="169" t="n"/>
      <c r="P365" s="76">
        <f>N365*(1-O365)</f>
        <v/>
      </c>
      <c r="Q365" s="162" t="n"/>
      <c r="R365" s="162">
        <f>IF(ISBLANK(Q365),"введи курс",P365/Q365)</f>
        <v/>
      </c>
      <c r="S365" s="196">
        <f>IF(AND(ISNUMBER(E365),ISNUMBER(Q365)),E365*R365,0)</f>
        <v/>
      </c>
      <c r="T365" s="192">
        <f>$BC365*V$11</f>
        <v/>
      </c>
      <c r="U365" s="76">
        <f>$BC365*W$11</f>
        <v/>
      </c>
      <c r="V365" s="193">
        <f>+SUM(T365:U365)</f>
        <v/>
      </c>
      <c r="W365" s="191" t="n"/>
      <c r="X365" s="170" t="n"/>
      <c r="Y365" s="76">
        <f>ROUND(IF(offer_incoterms="DDP",X365*(S365*(1+AW365)+T365),0),2)</f>
        <v/>
      </c>
      <c r="Z365" s="188" t="n"/>
      <c r="AA365" s="192">
        <f>IFERROR(AB365/E365,0)</f>
        <v/>
      </c>
      <c r="AB365" s="76">
        <f>ROUND(SUM(S365,V365,Y365:Z365,BA365:BB365),2)</f>
        <v/>
      </c>
      <c r="AC365" s="797" t="n"/>
      <c r="AD365" s="192">
        <f t="array" ref="AD365">IFERROR(ROUND((_xlfn.IFS(offer_sale_type="поставка",AB365,offer_sale_type="транзит",S365)*(1+AC365))/E365,2),0)</f>
        <v/>
      </c>
      <c r="AE365" s="76">
        <f>AD365*E365</f>
        <v/>
      </c>
      <c r="AF365" s="193">
        <f t="array" ref="AF365">IFERROR(ROUND(_xlfn.IFS(offer_sale_type="поставка",AB365,offer_sale_type="транзит",S365)*AC365,2),0)</f>
        <v/>
      </c>
      <c r="AG365" s="192">
        <f>$BD365*VLOOKUP($AG$3,$AF$4:$AG$7,2,FALSE)</f>
        <v/>
      </c>
      <c r="AH365" s="76">
        <f>SUM(AE365,AG365,AI365)*rate_forex_risk</f>
        <v/>
      </c>
      <c r="AI365" s="193">
        <f>IF(OR(seller_region="TR",offer_sale_type="экспорт"),0,rate_fin_comm)*SUM(AZ365,AZ365*AW365,T365)</f>
        <v/>
      </c>
      <c r="AJ365" s="118">
        <f>IFERROR(ROUND(SUM(AB365,AF365:AI365)/E365,2),0)</f>
        <v/>
      </c>
      <c r="AK365" s="76">
        <f>AJ365*E365</f>
        <v/>
      </c>
      <c r="AL365" s="174">
        <f>ROUND(IFERROR(AM365*E365,0),2)</f>
        <v/>
      </c>
      <c r="AM365" s="175">
        <f>ROUND(AJ365*(1+IF(offer_incoterms="DDP",IF((TODAY()+offer_turnaround_time)&gt;=helpsheet!$L$17,rate_vatRU_from_26,rate_vatRu_till_25),0)),2)</f>
        <v/>
      </c>
      <c r="AN365" s="192">
        <f>AL365-AK365</f>
        <v/>
      </c>
      <c r="AO365" s="76">
        <f>SUM(AY365,Y365:Z365,T365)*IF(AND(offer_incoterms="DDP",offer_sale_type&lt;&gt;"экспорт"),IF((TODAY()+offer_turnaround_time)&gt;=helpsheet!$L$17,rate_vatRU_from_26,rate_vatRu_till_25),0)</f>
        <v/>
      </c>
      <c r="AP365" s="193">
        <f>AN365-AO365</f>
        <v/>
      </c>
      <c r="AQ365" s="118">
        <f>IF(offer_sale_type="транзит",SUM(AF365:AI365,BA365,BB365),0)</f>
        <v/>
      </c>
      <c r="AR365" s="82">
        <f>HYPERLINK("https://www.alta.ru/tnved/code/")&amp;W365&amp;"/"</f>
        <v/>
      </c>
      <c r="AS365" s="157" t="n"/>
      <c r="AT365" s="162" t="n"/>
      <c r="AU365" s="76">
        <f>IF(ISBLANK(AT365),0,AJ365-AT365)</f>
        <v/>
      </c>
      <c r="AV365" s="157" t="n"/>
      <c r="AW365" s="75">
        <f>_xlfn.IFNA(VLOOKUP(L365,list_vat[],3,FALSE),0)</f>
        <v/>
      </c>
      <c r="AX365" s="76">
        <f>IFERROR(ROUND(S365*(1+AW365)/E365,2),0)</f>
        <v/>
      </c>
      <c r="AY365" s="76">
        <f>E365*AX365</f>
        <v/>
      </c>
      <c r="AZ365" s="192">
        <f>S365*(1+M365)</f>
        <v/>
      </c>
      <c r="BA365" s="76">
        <f>cost_fin_total*$BD365</f>
        <v/>
      </c>
      <c r="BB365" s="193">
        <f>credit_sales_interest*BD365</f>
        <v/>
      </c>
      <c r="BC365" s="102">
        <f>IFERROR(IF($I$13&gt;0,$I365/$I$13,$S365/$S$13),0)</f>
        <v/>
      </c>
      <c r="BD365" s="102">
        <f>IFERROR($S365/$S$13,0)</f>
        <v/>
      </c>
      <c r="BE365" s="413" t="inlineStr">
        <is>
          <t>$</t>
        </is>
      </c>
    </row>
    <row r="366" ht="12" customFormat="1" customHeight="1" s="65">
      <c r="A366" s="43" t="n">
        <v>351</v>
      </c>
      <c r="B366" s="166" t="n"/>
      <c r="C366" s="166" t="n"/>
      <c r="D366" s="166" t="n"/>
      <c r="E366" s="162" t="n"/>
      <c r="F366" s="166" t="n"/>
      <c r="G366" s="162" t="n"/>
      <c r="H366" s="162" t="n"/>
      <c r="I366" s="189">
        <f>E366*G366</f>
        <v/>
      </c>
      <c r="J366" s="195" t="n"/>
      <c r="K366" s="162" t="n"/>
      <c r="L366" s="168" t="n"/>
      <c r="M366" s="75">
        <f>_xlfn.XLOOKUP(L366,list_vat[Страна],list_vat[Ставка НДС %],0,0)</f>
        <v/>
      </c>
      <c r="N366" s="162">
        <f>IFERROR(IF(L366="Китай",K366,K366/(1+M366)),0)</f>
        <v/>
      </c>
      <c r="O366" s="169" t="n"/>
      <c r="P366" s="76">
        <f>N366*(1-O366)</f>
        <v/>
      </c>
      <c r="Q366" s="162" t="n"/>
      <c r="R366" s="162">
        <f>IF(ISBLANK(Q366),"введи курс",P366/Q366)</f>
        <v/>
      </c>
      <c r="S366" s="196">
        <f>IF(AND(ISNUMBER(E366),ISNUMBER(Q366)),E366*R366,0)</f>
        <v/>
      </c>
      <c r="T366" s="192">
        <f>$BC366*V$11</f>
        <v/>
      </c>
      <c r="U366" s="76">
        <f>$BC366*W$11</f>
        <v/>
      </c>
      <c r="V366" s="193">
        <f>+SUM(T366:U366)</f>
        <v/>
      </c>
      <c r="W366" s="191" t="n"/>
      <c r="X366" s="170" t="n"/>
      <c r="Y366" s="76">
        <f>ROUND(IF(offer_incoterms="DDP",X366*(S366*(1+AW366)+T366),0),2)</f>
        <v/>
      </c>
      <c r="Z366" s="188" t="n"/>
      <c r="AA366" s="192">
        <f>IFERROR(AB366/E366,0)</f>
        <v/>
      </c>
      <c r="AB366" s="76">
        <f>ROUND(SUM(S366,V366,Y366:Z366,BA366:BB366),2)</f>
        <v/>
      </c>
      <c r="AC366" s="797" t="n"/>
      <c r="AD366" s="192">
        <f t="array" ref="AD366">IFERROR(ROUND((_xlfn.IFS(offer_sale_type="поставка",AB366,offer_sale_type="транзит",S366)*(1+AC366))/E366,2),0)</f>
        <v/>
      </c>
      <c r="AE366" s="76">
        <f>AD366*E366</f>
        <v/>
      </c>
      <c r="AF366" s="193">
        <f t="array" ref="AF366">IFERROR(ROUND(_xlfn.IFS(offer_sale_type="поставка",AB366,offer_sale_type="транзит",S366)*AC366,2),0)</f>
        <v/>
      </c>
      <c r="AG366" s="192">
        <f>$BD366*VLOOKUP($AG$3,$AF$4:$AG$7,2,FALSE)</f>
        <v/>
      </c>
      <c r="AH366" s="76">
        <f>SUM(AE366,AG366,AI366)*rate_forex_risk</f>
        <v/>
      </c>
      <c r="AI366" s="193">
        <f>IF(OR(seller_region="TR",offer_sale_type="экспорт"),0,rate_fin_comm)*SUM(AZ366,AZ366*AW366,T366)</f>
        <v/>
      </c>
      <c r="AJ366" s="118">
        <f>IFERROR(ROUND(SUM(AB366,AF366:AI366)/E366,2),0)</f>
        <v/>
      </c>
      <c r="AK366" s="76">
        <f>AJ366*E366</f>
        <v/>
      </c>
      <c r="AL366" s="174">
        <f>ROUND(IFERROR(AM366*E366,0),2)</f>
        <v/>
      </c>
      <c r="AM366" s="175">
        <f>ROUND(AJ366*(1+IF(offer_incoterms="DDP",IF((TODAY()+offer_turnaround_time)&gt;=helpsheet!$L$17,rate_vatRU_from_26,rate_vatRu_till_25),0)),2)</f>
        <v/>
      </c>
      <c r="AN366" s="192">
        <f>AL366-AK366</f>
        <v/>
      </c>
      <c r="AO366" s="76">
        <f>SUM(AY366,Y366:Z366,T366)*IF(AND(offer_incoterms="DDP",offer_sale_type&lt;&gt;"экспорт"),IF((TODAY()+offer_turnaround_time)&gt;=helpsheet!$L$17,rate_vatRU_from_26,rate_vatRu_till_25),0)</f>
        <v/>
      </c>
      <c r="AP366" s="193">
        <f>AN366-AO366</f>
        <v/>
      </c>
      <c r="AQ366" s="118">
        <f>IF(offer_sale_type="транзит",SUM(AF366:AI366,BA366,BB366),0)</f>
        <v/>
      </c>
      <c r="AR366" s="82">
        <f>HYPERLINK("https://www.alta.ru/tnved/code/")&amp;W366&amp;"/"</f>
        <v/>
      </c>
      <c r="AS366" s="157" t="n"/>
      <c r="AT366" s="162" t="n"/>
      <c r="AU366" s="76">
        <f>IF(ISBLANK(AT366),0,AJ366-AT366)</f>
        <v/>
      </c>
      <c r="AV366" s="157" t="n"/>
      <c r="AW366" s="75">
        <f>_xlfn.IFNA(VLOOKUP(L366,list_vat[],3,FALSE),0)</f>
        <v/>
      </c>
      <c r="AX366" s="76">
        <f>IFERROR(ROUND(S366*(1+AW366)/E366,2),0)</f>
        <v/>
      </c>
      <c r="AY366" s="76">
        <f>E366*AX366</f>
        <v/>
      </c>
      <c r="AZ366" s="192">
        <f>S366*(1+M366)</f>
        <v/>
      </c>
      <c r="BA366" s="76">
        <f>cost_fin_total*$BD366</f>
        <v/>
      </c>
      <c r="BB366" s="193">
        <f>credit_sales_interest*BD366</f>
        <v/>
      </c>
      <c r="BC366" s="102">
        <f>IFERROR(IF($I$13&gt;0,$I366/$I$13,$S366/$S$13),0)</f>
        <v/>
      </c>
      <c r="BD366" s="102">
        <f>IFERROR($S366/$S$13,0)</f>
        <v/>
      </c>
      <c r="BE366" s="413" t="inlineStr">
        <is>
          <t>$</t>
        </is>
      </c>
    </row>
    <row r="367" ht="12" customFormat="1" customHeight="1" s="65">
      <c r="A367" s="43" t="n">
        <v>352</v>
      </c>
      <c r="B367" s="166" t="n"/>
      <c r="C367" s="166" t="n"/>
      <c r="D367" s="166" t="n"/>
      <c r="E367" s="162" t="n"/>
      <c r="F367" s="166" t="n"/>
      <c r="G367" s="162" t="n"/>
      <c r="H367" s="162" t="n"/>
      <c r="I367" s="189">
        <f>E367*G367</f>
        <v/>
      </c>
      <c r="J367" s="195" t="n"/>
      <c r="K367" s="162" t="n"/>
      <c r="L367" s="168" t="n"/>
      <c r="M367" s="75">
        <f>_xlfn.XLOOKUP(L367,list_vat[Страна],list_vat[Ставка НДС %],0,0)</f>
        <v/>
      </c>
      <c r="N367" s="162">
        <f>IFERROR(IF(L367="Китай",K367,K367/(1+M367)),0)</f>
        <v/>
      </c>
      <c r="O367" s="169" t="n"/>
      <c r="P367" s="76">
        <f>N367*(1-O367)</f>
        <v/>
      </c>
      <c r="Q367" s="162" t="n"/>
      <c r="R367" s="162">
        <f>IF(ISBLANK(Q367),"введи курс",P367/Q367)</f>
        <v/>
      </c>
      <c r="S367" s="196">
        <f>IF(AND(ISNUMBER(E367),ISNUMBER(Q367)),E367*R367,0)</f>
        <v/>
      </c>
      <c r="T367" s="192">
        <f>$BC367*V$11</f>
        <v/>
      </c>
      <c r="U367" s="76">
        <f>$BC367*W$11</f>
        <v/>
      </c>
      <c r="V367" s="193">
        <f>+SUM(T367:U367)</f>
        <v/>
      </c>
      <c r="W367" s="191" t="n"/>
      <c r="X367" s="170" t="n"/>
      <c r="Y367" s="76">
        <f>ROUND(IF(offer_incoterms="DDP",X367*(S367*(1+AW367)+T367),0),2)</f>
        <v/>
      </c>
      <c r="Z367" s="188" t="n"/>
      <c r="AA367" s="192">
        <f>IFERROR(AB367/E367,0)</f>
        <v/>
      </c>
      <c r="AB367" s="76">
        <f>ROUND(SUM(S367,V367,Y367:Z367,BA367:BB367),2)</f>
        <v/>
      </c>
      <c r="AC367" s="797" t="n"/>
      <c r="AD367" s="192">
        <f t="array" ref="AD367">IFERROR(ROUND((_xlfn.IFS(offer_sale_type="поставка",AB367,offer_sale_type="транзит",S367)*(1+AC367))/E367,2),0)</f>
        <v/>
      </c>
      <c r="AE367" s="76">
        <f>AD367*E367</f>
        <v/>
      </c>
      <c r="AF367" s="193">
        <f t="array" ref="AF367">IFERROR(ROUND(_xlfn.IFS(offer_sale_type="поставка",AB367,offer_sale_type="транзит",S367)*AC367,2),0)</f>
        <v/>
      </c>
      <c r="AG367" s="192">
        <f>$BD367*VLOOKUP($AG$3,$AF$4:$AG$7,2,FALSE)</f>
        <v/>
      </c>
      <c r="AH367" s="76">
        <f>SUM(AE367,AG367,AI367)*rate_forex_risk</f>
        <v/>
      </c>
      <c r="AI367" s="193">
        <f>IF(OR(seller_region="TR",offer_sale_type="экспорт"),0,rate_fin_comm)*SUM(AZ367,AZ367*AW367,T367)</f>
        <v/>
      </c>
      <c r="AJ367" s="118">
        <f>IFERROR(ROUND(SUM(AB367,AF367:AI367)/E367,2),0)</f>
        <v/>
      </c>
      <c r="AK367" s="76">
        <f>AJ367*E367</f>
        <v/>
      </c>
      <c r="AL367" s="174">
        <f>ROUND(IFERROR(AM367*E367,0),2)</f>
        <v/>
      </c>
      <c r="AM367" s="175">
        <f>ROUND(AJ367*(1+IF(offer_incoterms="DDP",IF((TODAY()+offer_turnaround_time)&gt;=helpsheet!$L$17,rate_vatRU_from_26,rate_vatRu_till_25),0)),2)</f>
        <v/>
      </c>
      <c r="AN367" s="192">
        <f>AL367-AK367</f>
        <v/>
      </c>
      <c r="AO367" s="76">
        <f>SUM(AY367,Y367:Z367,T367)*IF(AND(offer_incoterms="DDP",offer_sale_type&lt;&gt;"экспорт"),IF((TODAY()+offer_turnaround_time)&gt;=helpsheet!$L$17,rate_vatRU_from_26,rate_vatRu_till_25),0)</f>
        <v/>
      </c>
      <c r="AP367" s="193">
        <f>AN367-AO367</f>
        <v/>
      </c>
      <c r="AQ367" s="118">
        <f>IF(offer_sale_type="транзит",SUM(AF367:AI367,BA367,BB367),0)</f>
        <v/>
      </c>
      <c r="AR367" s="82">
        <f>HYPERLINK("https://www.alta.ru/tnved/code/")&amp;W367&amp;"/"</f>
        <v/>
      </c>
      <c r="AS367" s="157" t="n"/>
      <c r="AT367" s="162" t="n"/>
      <c r="AU367" s="76">
        <f>IF(ISBLANK(AT367),0,AJ367-AT367)</f>
        <v/>
      </c>
      <c r="AV367" s="157" t="n"/>
      <c r="AW367" s="75">
        <f>_xlfn.IFNA(VLOOKUP(L367,list_vat[],3,FALSE),0)</f>
        <v/>
      </c>
      <c r="AX367" s="76">
        <f>IFERROR(ROUND(S367*(1+AW367)/E367,2),0)</f>
        <v/>
      </c>
      <c r="AY367" s="76">
        <f>E367*AX367</f>
        <v/>
      </c>
      <c r="AZ367" s="192">
        <f>S367*(1+M367)</f>
        <v/>
      </c>
      <c r="BA367" s="76">
        <f>cost_fin_total*$BD367</f>
        <v/>
      </c>
      <c r="BB367" s="193">
        <f>credit_sales_interest*BD367</f>
        <v/>
      </c>
      <c r="BC367" s="102">
        <f>IFERROR(IF($I$13&gt;0,$I367/$I$13,$S367/$S$13),0)</f>
        <v/>
      </c>
      <c r="BD367" s="102">
        <f>IFERROR($S367/$S$13,0)</f>
        <v/>
      </c>
      <c r="BE367" s="413" t="inlineStr">
        <is>
          <t>$</t>
        </is>
      </c>
    </row>
    <row r="368" ht="12" customFormat="1" customHeight="1" s="65">
      <c r="A368" s="43" t="n">
        <v>353</v>
      </c>
      <c r="B368" s="166" t="n"/>
      <c r="C368" s="166" t="n"/>
      <c r="D368" s="166" t="n"/>
      <c r="E368" s="162" t="n"/>
      <c r="F368" s="166" t="n"/>
      <c r="G368" s="162" t="n"/>
      <c r="H368" s="162" t="n"/>
      <c r="I368" s="189">
        <f>E368*G368</f>
        <v/>
      </c>
      <c r="J368" s="195" t="n"/>
      <c r="K368" s="162" t="n"/>
      <c r="L368" s="168" t="n"/>
      <c r="M368" s="75">
        <f>_xlfn.XLOOKUP(L368,list_vat[Страна],list_vat[Ставка НДС %],0,0)</f>
        <v/>
      </c>
      <c r="N368" s="162">
        <f>IFERROR(IF(L368="Китай",K368,K368/(1+M368)),0)</f>
        <v/>
      </c>
      <c r="O368" s="169" t="n"/>
      <c r="P368" s="76">
        <f>N368*(1-O368)</f>
        <v/>
      </c>
      <c r="Q368" s="162" t="n"/>
      <c r="R368" s="162">
        <f>IF(ISBLANK(Q368),"введи курс",P368/Q368)</f>
        <v/>
      </c>
      <c r="S368" s="196">
        <f>IF(AND(ISNUMBER(E368),ISNUMBER(Q368)),E368*R368,0)</f>
        <v/>
      </c>
      <c r="T368" s="192">
        <f>$BC368*V$11</f>
        <v/>
      </c>
      <c r="U368" s="76">
        <f>$BC368*W$11</f>
        <v/>
      </c>
      <c r="V368" s="193">
        <f>+SUM(T368:U368)</f>
        <v/>
      </c>
      <c r="W368" s="191" t="n"/>
      <c r="X368" s="170" t="n"/>
      <c r="Y368" s="76">
        <f>ROUND(IF(offer_incoterms="DDP",X368*(S368*(1+AW368)+T368),0),2)</f>
        <v/>
      </c>
      <c r="Z368" s="188" t="n"/>
      <c r="AA368" s="192">
        <f>IFERROR(AB368/E368,0)</f>
        <v/>
      </c>
      <c r="AB368" s="76">
        <f>ROUND(SUM(S368,V368,Y368:Z368,BA368:BB368),2)</f>
        <v/>
      </c>
      <c r="AC368" s="797" t="n"/>
      <c r="AD368" s="192">
        <f t="array" ref="AD368">IFERROR(ROUND((_xlfn.IFS(offer_sale_type="поставка",AB368,offer_sale_type="транзит",S368)*(1+AC368))/E368,2),0)</f>
        <v/>
      </c>
      <c r="AE368" s="76">
        <f>AD368*E368</f>
        <v/>
      </c>
      <c r="AF368" s="193">
        <f t="array" ref="AF368">IFERROR(ROUND(_xlfn.IFS(offer_sale_type="поставка",AB368,offer_sale_type="транзит",S368)*AC368,2),0)</f>
        <v/>
      </c>
      <c r="AG368" s="192">
        <f>$BD368*VLOOKUP($AG$3,$AF$4:$AG$7,2,FALSE)</f>
        <v/>
      </c>
      <c r="AH368" s="76">
        <f>SUM(AE368,AG368,AI368)*rate_forex_risk</f>
        <v/>
      </c>
      <c r="AI368" s="193">
        <f>IF(OR(seller_region="TR",offer_sale_type="экспорт"),0,rate_fin_comm)*SUM(AZ368,AZ368*AW368,T368)</f>
        <v/>
      </c>
      <c r="AJ368" s="118">
        <f>IFERROR(ROUND(SUM(AB368,AF368:AI368)/E368,2),0)</f>
        <v/>
      </c>
      <c r="AK368" s="76">
        <f>AJ368*E368</f>
        <v/>
      </c>
      <c r="AL368" s="174">
        <f>ROUND(IFERROR(AM368*E368,0),2)</f>
        <v/>
      </c>
      <c r="AM368" s="175">
        <f>ROUND(AJ368*(1+IF(offer_incoterms="DDP",IF((TODAY()+offer_turnaround_time)&gt;=helpsheet!$L$17,rate_vatRU_from_26,rate_vatRu_till_25),0)),2)</f>
        <v/>
      </c>
      <c r="AN368" s="192">
        <f>AL368-AK368</f>
        <v/>
      </c>
      <c r="AO368" s="76">
        <f>SUM(AY368,Y368:Z368,T368)*IF(AND(offer_incoterms="DDP",offer_sale_type&lt;&gt;"экспорт"),IF((TODAY()+offer_turnaround_time)&gt;=helpsheet!$L$17,rate_vatRU_from_26,rate_vatRu_till_25),0)</f>
        <v/>
      </c>
      <c r="AP368" s="193">
        <f>AN368-AO368</f>
        <v/>
      </c>
      <c r="AQ368" s="118">
        <f>IF(offer_sale_type="транзит",SUM(AF368:AI368,BA368,BB368),0)</f>
        <v/>
      </c>
      <c r="AR368" s="82">
        <f>HYPERLINK("https://www.alta.ru/tnved/code/")&amp;W368&amp;"/"</f>
        <v/>
      </c>
      <c r="AS368" s="157" t="n"/>
      <c r="AT368" s="162" t="n"/>
      <c r="AU368" s="76">
        <f>IF(ISBLANK(AT368),0,AJ368-AT368)</f>
        <v/>
      </c>
      <c r="AV368" s="157" t="n"/>
      <c r="AW368" s="75">
        <f>_xlfn.IFNA(VLOOKUP(L368,list_vat[],3,FALSE),0)</f>
        <v/>
      </c>
      <c r="AX368" s="76">
        <f>IFERROR(ROUND(S368*(1+AW368)/E368,2),0)</f>
        <v/>
      </c>
      <c r="AY368" s="76">
        <f>E368*AX368</f>
        <v/>
      </c>
      <c r="AZ368" s="192">
        <f>S368*(1+M368)</f>
        <v/>
      </c>
      <c r="BA368" s="76">
        <f>cost_fin_total*$BD368</f>
        <v/>
      </c>
      <c r="BB368" s="193">
        <f>credit_sales_interest*BD368</f>
        <v/>
      </c>
      <c r="BC368" s="102">
        <f>IFERROR(IF($I$13&gt;0,$I368/$I$13,$S368/$S$13),0)</f>
        <v/>
      </c>
      <c r="BD368" s="102">
        <f>IFERROR($S368/$S$13,0)</f>
        <v/>
      </c>
      <c r="BE368" s="413" t="inlineStr">
        <is>
          <t>$</t>
        </is>
      </c>
    </row>
    <row r="369" ht="12" customFormat="1" customHeight="1" s="65">
      <c r="A369" s="43" t="n">
        <v>354</v>
      </c>
      <c r="B369" s="166" t="n"/>
      <c r="C369" s="166" t="n"/>
      <c r="D369" s="166" t="n"/>
      <c r="E369" s="162" t="n"/>
      <c r="F369" s="166" t="n"/>
      <c r="G369" s="162" t="n"/>
      <c r="H369" s="162" t="n"/>
      <c r="I369" s="189">
        <f>E369*G369</f>
        <v/>
      </c>
      <c r="J369" s="195" t="n"/>
      <c r="K369" s="162" t="n"/>
      <c r="L369" s="168" t="n"/>
      <c r="M369" s="75">
        <f>_xlfn.XLOOKUP(L369,list_vat[Страна],list_vat[Ставка НДС %],0,0)</f>
        <v/>
      </c>
      <c r="N369" s="162">
        <f>IFERROR(IF(L369="Китай",K369,K369/(1+M369)),0)</f>
        <v/>
      </c>
      <c r="O369" s="169" t="n"/>
      <c r="P369" s="76">
        <f>N369*(1-O369)</f>
        <v/>
      </c>
      <c r="Q369" s="162" t="n"/>
      <c r="R369" s="162">
        <f>IF(ISBLANK(Q369),"введи курс",P369/Q369)</f>
        <v/>
      </c>
      <c r="S369" s="196">
        <f>IF(AND(ISNUMBER(E369),ISNUMBER(Q369)),E369*R369,0)</f>
        <v/>
      </c>
      <c r="T369" s="192">
        <f>$BC369*V$11</f>
        <v/>
      </c>
      <c r="U369" s="76">
        <f>$BC369*W$11</f>
        <v/>
      </c>
      <c r="V369" s="193">
        <f>+SUM(T369:U369)</f>
        <v/>
      </c>
      <c r="W369" s="191" t="n"/>
      <c r="X369" s="170" t="n"/>
      <c r="Y369" s="76">
        <f>ROUND(IF(offer_incoterms="DDP",X369*(S369*(1+AW369)+T369),0),2)</f>
        <v/>
      </c>
      <c r="Z369" s="188" t="n"/>
      <c r="AA369" s="192">
        <f>IFERROR(AB369/E369,0)</f>
        <v/>
      </c>
      <c r="AB369" s="76">
        <f>ROUND(SUM(S369,V369,Y369:Z369,BA369:BB369),2)</f>
        <v/>
      </c>
      <c r="AC369" s="797" t="n"/>
      <c r="AD369" s="192">
        <f t="array" ref="AD369">IFERROR(ROUND((_xlfn.IFS(offer_sale_type="поставка",AB369,offer_sale_type="транзит",S369)*(1+AC369))/E369,2),0)</f>
        <v/>
      </c>
      <c r="AE369" s="76">
        <f>AD369*E369</f>
        <v/>
      </c>
      <c r="AF369" s="193">
        <f t="array" ref="AF369">IFERROR(ROUND(_xlfn.IFS(offer_sale_type="поставка",AB369,offer_sale_type="транзит",S369)*AC369,2),0)</f>
        <v/>
      </c>
      <c r="AG369" s="192">
        <f>$BD369*VLOOKUP($AG$3,$AF$4:$AG$7,2,FALSE)</f>
        <v/>
      </c>
      <c r="AH369" s="76">
        <f>SUM(AE369,AG369,AI369)*rate_forex_risk</f>
        <v/>
      </c>
      <c r="AI369" s="193">
        <f>IF(OR(seller_region="TR",offer_sale_type="экспорт"),0,rate_fin_comm)*SUM(AZ369,AZ369*AW369,T369)</f>
        <v/>
      </c>
      <c r="AJ369" s="118">
        <f>IFERROR(ROUND(SUM(AB369,AF369:AI369)/E369,2),0)</f>
        <v/>
      </c>
      <c r="AK369" s="76">
        <f>AJ369*E369</f>
        <v/>
      </c>
      <c r="AL369" s="174">
        <f>ROUND(IFERROR(AM369*E369,0),2)</f>
        <v/>
      </c>
      <c r="AM369" s="175">
        <f>ROUND(AJ369*(1+IF(offer_incoterms="DDP",IF((TODAY()+offer_turnaround_time)&gt;=helpsheet!$L$17,rate_vatRU_from_26,rate_vatRu_till_25),0)),2)</f>
        <v/>
      </c>
      <c r="AN369" s="192">
        <f>AL369-AK369</f>
        <v/>
      </c>
      <c r="AO369" s="76">
        <f>SUM(AY369,Y369:Z369,T369)*IF(AND(offer_incoterms="DDP",offer_sale_type&lt;&gt;"экспорт"),IF((TODAY()+offer_turnaround_time)&gt;=helpsheet!$L$17,rate_vatRU_from_26,rate_vatRu_till_25),0)</f>
        <v/>
      </c>
      <c r="AP369" s="193">
        <f>AN369-AO369</f>
        <v/>
      </c>
      <c r="AQ369" s="118">
        <f>IF(offer_sale_type="транзит",SUM(AF369:AI369,BA369,BB369),0)</f>
        <v/>
      </c>
      <c r="AR369" s="82">
        <f>HYPERLINK("https://www.alta.ru/tnved/code/")&amp;W369&amp;"/"</f>
        <v/>
      </c>
      <c r="AS369" s="157" t="n"/>
      <c r="AT369" s="162" t="n"/>
      <c r="AU369" s="76">
        <f>IF(ISBLANK(AT369),0,AJ369-AT369)</f>
        <v/>
      </c>
      <c r="AV369" s="157" t="n"/>
      <c r="AW369" s="75">
        <f>_xlfn.IFNA(VLOOKUP(L369,list_vat[],3,FALSE),0)</f>
        <v/>
      </c>
      <c r="AX369" s="76">
        <f>IFERROR(ROUND(S369*(1+AW369)/E369,2),0)</f>
        <v/>
      </c>
      <c r="AY369" s="76">
        <f>E369*AX369</f>
        <v/>
      </c>
      <c r="AZ369" s="192">
        <f>S369*(1+M369)</f>
        <v/>
      </c>
      <c r="BA369" s="76">
        <f>cost_fin_total*$BD369</f>
        <v/>
      </c>
      <c r="BB369" s="193">
        <f>credit_sales_interest*BD369</f>
        <v/>
      </c>
      <c r="BC369" s="102">
        <f>IFERROR(IF($I$13&gt;0,$I369/$I$13,$S369/$S$13),0)</f>
        <v/>
      </c>
      <c r="BD369" s="102">
        <f>IFERROR($S369/$S$13,0)</f>
        <v/>
      </c>
      <c r="BE369" s="413" t="inlineStr">
        <is>
          <t>$</t>
        </is>
      </c>
    </row>
    <row r="370" ht="12" customFormat="1" customHeight="1" s="65">
      <c r="A370" s="43" t="n">
        <v>355</v>
      </c>
      <c r="B370" s="166" t="n"/>
      <c r="C370" s="166" t="n"/>
      <c r="D370" s="166" t="n"/>
      <c r="E370" s="162" t="n"/>
      <c r="F370" s="166" t="n"/>
      <c r="G370" s="162" t="n"/>
      <c r="H370" s="162" t="n"/>
      <c r="I370" s="189">
        <f>E370*G370</f>
        <v/>
      </c>
      <c r="J370" s="195" t="n"/>
      <c r="K370" s="162" t="n"/>
      <c r="L370" s="168" t="n"/>
      <c r="M370" s="75">
        <f>_xlfn.XLOOKUP(L370,list_vat[Страна],list_vat[Ставка НДС %],0,0)</f>
        <v/>
      </c>
      <c r="N370" s="162">
        <f>IFERROR(IF(L370="Китай",K370,K370/(1+M370)),0)</f>
        <v/>
      </c>
      <c r="O370" s="169" t="n"/>
      <c r="P370" s="76">
        <f>N370*(1-O370)</f>
        <v/>
      </c>
      <c r="Q370" s="162" t="n"/>
      <c r="R370" s="162">
        <f>IF(ISBLANK(Q370),"введи курс",P370/Q370)</f>
        <v/>
      </c>
      <c r="S370" s="196">
        <f>IF(AND(ISNUMBER(E370),ISNUMBER(Q370)),E370*R370,0)</f>
        <v/>
      </c>
      <c r="T370" s="192">
        <f>$BC370*V$11</f>
        <v/>
      </c>
      <c r="U370" s="76">
        <f>$BC370*W$11</f>
        <v/>
      </c>
      <c r="V370" s="193">
        <f>+SUM(T370:U370)</f>
        <v/>
      </c>
      <c r="W370" s="191" t="n"/>
      <c r="X370" s="170" t="n"/>
      <c r="Y370" s="76">
        <f>ROUND(IF(offer_incoterms="DDP",X370*(S370*(1+AW370)+T370),0),2)</f>
        <v/>
      </c>
      <c r="Z370" s="188" t="n"/>
      <c r="AA370" s="192">
        <f>IFERROR(AB370/E370,0)</f>
        <v/>
      </c>
      <c r="AB370" s="76">
        <f>ROUND(SUM(S370,V370,Y370:Z370,BA370:BB370),2)</f>
        <v/>
      </c>
      <c r="AC370" s="797" t="n"/>
      <c r="AD370" s="192">
        <f t="array" ref="AD370">IFERROR(ROUND((_xlfn.IFS(offer_sale_type="поставка",AB370,offer_sale_type="транзит",S370)*(1+AC370))/E370,2),0)</f>
        <v/>
      </c>
      <c r="AE370" s="76">
        <f>AD370*E370</f>
        <v/>
      </c>
      <c r="AF370" s="193">
        <f t="array" ref="AF370">IFERROR(ROUND(_xlfn.IFS(offer_sale_type="поставка",AB370,offer_sale_type="транзит",S370)*AC370,2),0)</f>
        <v/>
      </c>
      <c r="AG370" s="192">
        <f>$BD370*VLOOKUP($AG$3,$AF$4:$AG$7,2,FALSE)</f>
        <v/>
      </c>
      <c r="AH370" s="76">
        <f>SUM(AE370,AG370,AI370)*rate_forex_risk</f>
        <v/>
      </c>
      <c r="AI370" s="193">
        <f>IF(OR(seller_region="TR",offer_sale_type="экспорт"),0,rate_fin_comm)*SUM(AZ370,AZ370*AW370,T370)</f>
        <v/>
      </c>
      <c r="AJ370" s="118">
        <f>IFERROR(ROUND(SUM(AB370,AF370:AI370)/E370,2),0)</f>
        <v/>
      </c>
      <c r="AK370" s="76">
        <f>AJ370*E370</f>
        <v/>
      </c>
      <c r="AL370" s="174">
        <f>ROUND(IFERROR(AM370*E370,0),2)</f>
        <v/>
      </c>
      <c r="AM370" s="175">
        <f>ROUND(AJ370*(1+IF(offer_incoterms="DDP",IF((TODAY()+offer_turnaround_time)&gt;=helpsheet!$L$17,rate_vatRU_from_26,rate_vatRu_till_25),0)),2)</f>
        <v/>
      </c>
      <c r="AN370" s="192">
        <f>AL370-AK370</f>
        <v/>
      </c>
      <c r="AO370" s="76">
        <f>SUM(AY370,Y370:Z370,T370)*IF(AND(offer_incoterms="DDP",offer_sale_type&lt;&gt;"экспорт"),IF((TODAY()+offer_turnaround_time)&gt;=helpsheet!$L$17,rate_vatRU_from_26,rate_vatRu_till_25),0)</f>
        <v/>
      </c>
      <c r="AP370" s="193">
        <f>AN370-AO370</f>
        <v/>
      </c>
      <c r="AQ370" s="118">
        <f>IF(offer_sale_type="транзит",SUM(AF370:AI370,BA370,BB370),0)</f>
        <v/>
      </c>
      <c r="AR370" s="82">
        <f>HYPERLINK("https://www.alta.ru/tnved/code/")&amp;W370&amp;"/"</f>
        <v/>
      </c>
      <c r="AS370" s="157" t="n"/>
      <c r="AT370" s="162" t="n"/>
      <c r="AU370" s="76">
        <f>IF(ISBLANK(AT370),0,AJ370-AT370)</f>
        <v/>
      </c>
      <c r="AV370" s="157" t="n"/>
      <c r="AW370" s="75">
        <f>_xlfn.IFNA(VLOOKUP(L370,list_vat[],3,FALSE),0)</f>
        <v/>
      </c>
      <c r="AX370" s="76">
        <f>IFERROR(ROUND(S370*(1+AW370)/E370,2),0)</f>
        <v/>
      </c>
      <c r="AY370" s="76">
        <f>E370*AX370</f>
        <v/>
      </c>
      <c r="AZ370" s="192">
        <f>S370*(1+M370)</f>
        <v/>
      </c>
      <c r="BA370" s="76">
        <f>cost_fin_total*$BD370</f>
        <v/>
      </c>
      <c r="BB370" s="193">
        <f>credit_sales_interest*BD370</f>
        <v/>
      </c>
      <c r="BC370" s="102">
        <f>IFERROR(IF($I$13&gt;0,$I370/$I$13,$S370/$S$13),0)</f>
        <v/>
      </c>
      <c r="BD370" s="102">
        <f>IFERROR($S370/$S$13,0)</f>
        <v/>
      </c>
      <c r="BE370" s="413" t="inlineStr">
        <is>
          <t>$</t>
        </is>
      </c>
    </row>
    <row r="371" ht="12" customFormat="1" customHeight="1" s="65">
      <c r="A371" s="43" t="n">
        <v>356</v>
      </c>
      <c r="B371" s="166" t="n"/>
      <c r="C371" s="166" t="n"/>
      <c r="D371" s="166" t="n"/>
      <c r="E371" s="162" t="n"/>
      <c r="F371" s="166" t="n"/>
      <c r="G371" s="162" t="n"/>
      <c r="H371" s="162" t="n"/>
      <c r="I371" s="189">
        <f>E371*G371</f>
        <v/>
      </c>
      <c r="J371" s="195" t="n"/>
      <c r="K371" s="162" t="n"/>
      <c r="L371" s="168" t="n"/>
      <c r="M371" s="75">
        <f>_xlfn.XLOOKUP(L371,list_vat[Страна],list_vat[Ставка НДС %],0,0)</f>
        <v/>
      </c>
      <c r="N371" s="162">
        <f>IFERROR(IF(L371="Китай",K371,K371/(1+M371)),0)</f>
        <v/>
      </c>
      <c r="O371" s="169" t="n"/>
      <c r="P371" s="76">
        <f>N371*(1-O371)</f>
        <v/>
      </c>
      <c r="Q371" s="162" t="n"/>
      <c r="R371" s="162">
        <f>IF(ISBLANK(Q371),"введи курс",P371/Q371)</f>
        <v/>
      </c>
      <c r="S371" s="196">
        <f>IF(AND(ISNUMBER(E371),ISNUMBER(Q371)),E371*R371,0)</f>
        <v/>
      </c>
      <c r="T371" s="192">
        <f>$BC371*V$11</f>
        <v/>
      </c>
      <c r="U371" s="76">
        <f>$BC371*W$11</f>
        <v/>
      </c>
      <c r="V371" s="193">
        <f>+SUM(T371:U371)</f>
        <v/>
      </c>
      <c r="W371" s="191" t="n"/>
      <c r="X371" s="170" t="n"/>
      <c r="Y371" s="76">
        <f>ROUND(IF(offer_incoterms="DDP",X371*(S371*(1+AW371)+T371),0),2)</f>
        <v/>
      </c>
      <c r="Z371" s="188" t="n"/>
      <c r="AA371" s="192">
        <f>IFERROR(AB371/E371,0)</f>
        <v/>
      </c>
      <c r="AB371" s="76">
        <f>ROUND(SUM(S371,V371,Y371:Z371,BA371:BB371),2)</f>
        <v/>
      </c>
      <c r="AC371" s="797" t="n"/>
      <c r="AD371" s="192">
        <f t="array" ref="AD371">IFERROR(ROUND((_xlfn.IFS(offer_sale_type="поставка",AB371,offer_sale_type="транзит",S371)*(1+AC371))/E371,2),0)</f>
        <v/>
      </c>
      <c r="AE371" s="76">
        <f>AD371*E371</f>
        <v/>
      </c>
      <c r="AF371" s="193">
        <f t="array" ref="AF371">IFERROR(ROUND(_xlfn.IFS(offer_sale_type="поставка",AB371,offer_sale_type="транзит",S371)*AC371,2),0)</f>
        <v/>
      </c>
      <c r="AG371" s="192">
        <f>$BD371*VLOOKUP($AG$3,$AF$4:$AG$7,2,FALSE)</f>
        <v/>
      </c>
      <c r="AH371" s="76">
        <f>SUM(AE371,AG371,AI371)*rate_forex_risk</f>
        <v/>
      </c>
      <c r="AI371" s="193">
        <f>IF(OR(seller_region="TR",offer_sale_type="экспорт"),0,rate_fin_comm)*SUM(AZ371,AZ371*AW371,T371)</f>
        <v/>
      </c>
      <c r="AJ371" s="118">
        <f>IFERROR(ROUND(SUM(AB371,AF371:AI371)/E371,2),0)</f>
        <v/>
      </c>
      <c r="AK371" s="76">
        <f>AJ371*E371</f>
        <v/>
      </c>
      <c r="AL371" s="174">
        <f>ROUND(IFERROR(AM371*E371,0),2)</f>
        <v/>
      </c>
      <c r="AM371" s="175">
        <f>ROUND(AJ371*(1+IF(offer_incoterms="DDP",IF((TODAY()+offer_turnaround_time)&gt;=helpsheet!$L$17,rate_vatRU_from_26,rate_vatRu_till_25),0)),2)</f>
        <v/>
      </c>
      <c r="AN371" s="192">
        <f>AL371-AK371</f>
        <v/>
      </c>
      <c r="AO371" s="76">
        <f>SUM(AY371,Y371:Z371,T371)*IF(AND(offer_incoterms="DDP",offer_sale_type&lt;&gt;"экспорт"),IF((TODAY()+offer_turnaround_time)&gt;=helpsheet!$L$17,rate_vatRU_from_26,rate_vatRu_till_25),0)</f>
        <v/>
      </c>
      <c r="AP371" s="193">
        <f>AN371-AO371</f>
        <v/>
      </c>
      <c r="AQ371" s="118">
        <f>IF(offer_sale_type="транзит",SUM(AF371:AI371,BA371,BB371),0)</f>
        <v/>
      </c>
      <c r="AR371" s="82">
        <f>HYPERLINK("https://www.alta.ru/tnved/code/")&amp;W371&amp;"/"</f>
        <v/>
      </c>
      <c r="AS371" s="157" t="n"/>
      <c r="AT371" s="162" t="n"/>
      <c r="AU371" s="76">
        <f>IF(ISBLANK(AT371),0,AJ371-AT371)</f>
        <v/>
      </c>
      <c r="AV371" s="157" t="n"/>
      <c r="AW371" s="75">
        <f>_xlfn.IFNA(VLOOKUP(L371,list_vat[],3,FALSE),0)</f>
        <v/>
      </c>
      <c r="AX371" s="76">
        <f>IFERROR(ROUND(S371*(1+AW371)/E371,2),0)</f>
        <v/>
      </c>
      <c r="AY371" s="76">
        <f>E371*AX371</f>
        <v/>
      </c>
      <c r="AZ371" s="192">
        <f>S371*(1+M371)</f>
        <v/>
      </c>
      <c r="BA371" s="76">
        <f>cost_fin_total*$BD371</f>
        <v/>
      </c>
      <c r="BB371" s="193">
        <f>credit_sales_interest*BD371</f>
        <v/>
      </c>
      <c r="BC371" s="102">
        <f>IFERROR(IF($I$13&gt;0,$I371/$I$13,$S371/$S$13),0)</f>
        <v/>
      </c>
      <c r="BD371" s="102">
        <f>IFERROR($S371/$S$13,0)</f>
        <v/>
      </c>
      <c r="BE371" s="413" t="inlineStr">
        <is>
          <t>$</t>
        </is>
      </c>
    </row>
    <row r="372" ht="12" customFormat="1" customHeight="1" s="65">
      <c r="A372" s="43" t="n">
        <v>357</v>
      </c>
      <c r="B372" s="166" t="n"/>
      <c r="C372" s="166" t="n"/>
      <c r="D372" s="166" t="n"/>
      <c r="E372" s="162" t="n"/>
      <c r="F372" s="166" t="n"/>
      <c r="G372" s="162" t="n"/>
      <c r="H372" s="162" t="n"/>
      <c r="I372" s="189">
        <f>E372*G372</f>
        <v/>
      </c>
      <c r="J372" s="195" t="n"/>
      <c r="K372" s="162" t="n"/>
      <c r="L372" s="168" t="n"/>
      <c r="M372" s="75">
        <f>_xlfn.XLOOKUP(L372,list_vat[Страна],list_vat[Ставка НДС %],0,0)</f>
        <v/>
      </c>
      <c r="N372" s="162">
        <f>IFERROR(IF(L372="Китай",K372,K372/(1+M372)),0)</f>
        <v/>
      </c>
      <c r="O372" s="169" t="n"/>
      <c r="P372" s="76">
        <f>N372*(1-O372)</f>
        <v/>
      </c>
      <c r="Q372" s="162" t="n"/>
      <c r="R372" s="162">
        <f>IF(ISBLANK(Q372),"введи курс",P372/Q372)</f>
        <v/>
      </c>
      <c r="S372" s="196">
        <f>IF(AND(ISNUMBER(E372),ISNUMBER(Q372)),E372*R372,0)</f>
        <v/>
      </c>
      <c r="T372" s="192">
        <f>$BC372*V$11</f>
        <v/>
      </c>
      <c r="U372" s="76">
        <f>$BC372*W$11</f>
        <v/>
      </c>
      <c r="V372" s="193">
        <f>+SUM(T372:U372)</f>
        <v/>
      </c>
      <c r="W372" s="191" t="n"/>
      <c r="X372" s="170" t="n"/>
      <c r="Y372" s="76">
        <f>ROUND(IF(offer_incoterms="DDP",X372*(S372*(1+AW372)+T372),0),2)</f>
        <v/>
      </c>
      <c r="Z372" s="188" t="n"/>
      <c r="AA372" s="192">
        <f>IFERROR(AB372/E372,0)</f>
        <v/>
      </c>
      <c r="AB372" s="76">
        <f>ROUND(SUM(S372,V372,Y372:Z372,BA372:BB372),2)</f>
        <v/>
      </c>
      <c r="AC372" s="797" t="n"/>
      <c r="AD372" s="192">
        <f t="array" ref="AD372">IFERROR(ROUND((_xlfn.IFS(offer_sale_type="поставка",AB372,offer_sale_type="транзит",S372)*(1+AC372))/E372,2),0)</f>
        <v/>
      </c>
      <c r="AE372" s="76">
        <f>AD372*E372</f>
        <v/>
      </c>
      <c r="AF372" s="193">
        <f t="array" ref="AF372">IFERROR(ROUND(_xlfn.IFS(offer_sale_type="поставка",AB372,offer_sale_type="транзит",S372)*AC372,2),0)</f>
        <v/>
      </c>
      <c r="AG372" s="192">
        <f>$BD372*VLOOKUP($AG$3,$AF$4:$AG$7,2,FALSE)</f>
        <v/>
      </c>
      <c r="AH372" s="76">
        <f>SUM(AE372,AG372,AI372)*rate_forex_risk</f>
        <v/>
      </c>
      <c r="AI372" s="193">
        <f>IF(OR(seller_region="TR",offer_sale_type="экспорт"),0,rate_fin_comm)*SUM(AZ372,AZ372*AW372,T372)</f>
        <v/>
      </c>
      <c r="AJ372" s="118">
        <f>IFERROR(ROUND(SUM(AB372,AF372:AI372)/E372,2),0)</f>
        <v/>
      </c>
      <c r="AK372" s="76">
        <f>AJ372*E372</f>
        <v/>
      </c>
      <c r="AL372" s="174">
        <f>ROUND(IFERROR(AM372*E372,0),2)</f>
        <v/>
      </c>
      <c r="AM372" s="175">
        <f>ROUND(AJ372*(1+IF(offer_incoterms="DDP",IF((TODAY()+offer_turnaround_time)&gt;=helpsheet!$L$17,rate_vatRU_from_26,rate_vatRu_till_25),0)),2)</f>
        <v/>
      </c>
      <c r="AN372" s="192">
        <f>AL372-AK372</f>
        <v/>
      </c>
      <c r="AO372" s="76">
        <f>SUM(AY372,Y372:Z372,T372)*IF(AND(offer_incoterms="DDP",offer_sale_type&lt;&gt;"экспорт"),IF((TODAY()+offer_turnaround_time)&gt;=helpsheet!$L$17,rate_vatRU_from_26,rate_vatRu_till_25),0)</f>
        <v/>
      </c>
      <c r="AP372" s="193">
        <f>AN372-AO372</f>
        <v/>
      </c>
      <c r="AQ372" s="118">
        <f>IF(offer_sale_type="транзит",SUM(AF372:AI372,BA372,BB372),0)</f>
        <v/>
      </c>
      <c r="AR372" s="82">
        <f>HYPERLINK("https://www.alta.ru/tnved/code/")&amp;W372&amp;"/"</f>
        <v/>
      </c>
      <c r="AS372" s="157" t="n"/>
      <c r="AT372" s="162" t="n"/>
      <c r="AU372" s="76">
        <f>IF(ISBLANK(AT372),0,AJ372-AT372)</f>
        <v/>
      </c>
      <c r="AV372" s="157" t="n"/>
      <c r="AW372" s="75">
        <f>_xlfn.IFNA(VLOOKUP(L372,list_vat[],3,FALSE),0)</f>
        <v/>
      </c>
      <c r="AX372" s="76">
        <f>IFERROR(ROUND(S372*(1+AW372)/E372,2),0)</f>
        <v/>
      </c>
      <c r="AY372" s="76">
        <f>E372*AX372</f>
        <v/>
      </c>
      <c r="AZ372" s="192">
        <f>S372*(1+M372)</f>
        <v/>
      </c>
      <c r="BA372" s="76">
        <f>cost_fin_total*$BD372</f>
        <v/>
      </c>
      <c r="BB372" s="193">
        <f>credit_sales_interest*BD372</f>
        <v/>
      </c>
      <c r="BC372" s="102">
        <f>IFERROR(IF($I$13&gt;0,$I372/$I$13,$S372/$S$13),0)</f>
        <v/>
      </c>
      <c r="BD372" s="102">
        <f>IFERROR($S372/$S$13,0)</f>
        <v/>
      </c>
      <c r="BE372" s="413" t="inlineStr">
        <is>
          <t>$</t>
        </is>
      </c>
    </row>
    <row r="373" ht="12" customFormat="1" customHeight="1" s="65">
      <c r="A373" s="43" t="n">
        <v>358</v>
      </c>
      <c r="B373" s="166" t="n"/>
      <c r="C373" s="166" t="n"/>
      <c r="D373" s="166" t="n"/>
      <c r="E373" s="162" t="n"/>
      <c r="F373" s="166" t="n"/>
      <c r="G373" s="162" t="n"/>
      <c r="H373" s="162" t="n"/>
      <c r="I373" s="189">
        <f>E373*G373</f>
        <v/>
      </c>
      <c r="J373" s="195" t="n"/>
      <c r="K373" s="162" t="n"/>
      <c r="L373" s="168" t="n"/>
      <c r="M373" s="75">
        <f>_xlfn.XLOOKUP(L373,list_vat[Страна],list_vat[Ставка НДС %],0,0)</f>
        <v/>
      </c>
      <c r="N373" s="162">
        <f>IFERROR(IF(L373="Китай",K373,K373/(1+M373)),0)</f>
        <v/>
      </c>
      <c r="O373" s="169" t="n"/>
      <c r="P373" s="76">
        <f>N373*(1-O373)</f>
        <v/>
      </c>
      <c r="Q373" s="162" t="n"/>
      <c r="R373" s="162">
        <f>IF(ISBLANK(Q373),"введи курс",P373/Q373)</f>
        <v/>
      </c>
      <c r="S373" s="196">
        <f>IF(AND(ISNUMBER(E373),ISNUMBER(Q373)),E373*R373,0)</f>
        <v/>
      </c>
      <c r="T373" s="192">
        <f>$BC373*V$11</f>
        <v/>
      </c>
      <c r="U373" s="76">
        <f>$BC373*W$11</f>
        <v/>
      </c>
      <c r="V373" s="193">
        <f>+SUM(T373:U373)</f>
        <v/>
      </c>
      <c r="W373" s="191" t="n"/>
      <c r="X373" s="170" t="n"/>
      <c r="Y373" s="76">
        <f>ROUND(IF(offer_incoterms="DDP",X373*(S373*(1+AW373)+T373),0),2)</f>
        <v/>
      </c>
      <c r="Z373" s="188" t="n"/>
      <c r="AA373" s="192">
        <f>IFERROR(AB373/E373,0)</f>
        <v/>
      </c>
      <c r="AB373" s="76">
        <f>ROUND(SUM(S373,V373,Y373:Z373,BA373:BB373),2)</f>
        <v/>
      </c>
      <c r="AC373" s="797" t="n"/>
      <c r="AD373" s="192">
        <f t="array" ref="AD373">IFERROR(ROUND((_xlfn.IFS(offer_sale_type="поставка",AB373,offer_sale_type="транзит",S373)*(1+AC373))/E373,2),0)</f>
        <v/>
      </c>
      <c r="AE373" s="76">
        <f>AD373*E373</f>
        <v/>
      </c>
      <c r="AF373" s="193">
        <f t="array" ref="AF373">IFERROR(ROUND(_xlfn.IFS(offer_sale_type="поставка",AB373,offer_sale_type="транзит",S373)*AC373,2),0)</f>
        <v/>
      </c>
      <c r="AG373" s="192">
        <f>$BD373*VLOOKUP($AG$3,$AF$4:$AG$7,2,FALSE)</f>
        <v/>
      </c>
      <c r="AH373" s="76">
        <f>SUM(AE373,AG373,AI373)*rate_forex_risk</f>
        <v/>
      </c>
      <c r="AI373" s="193">
        <f>IF(OR(seller_region="TR",offer_sale_type="экспорт"),0,rate_fin_comm)*SUM(AZ373,AZ373*AW373,T373)</f>
        <v/>
      </c>
      <c r="AJ373" s="118">
        <f>IFERROR(ROUND(SUM(AB373,AF373:AI373)/E373,2),0)</f>
        <v/>
      </c>
      <c r="AK373" s="76">
        <f>AJ373*E373</f>
        <v/>
      </c>
      <c r="AL373" s="174">
        <f>ROUND(IFERROR(AM373*E373,0),2)</f>
        <v/>
      </c>
      <c r="AM373" s="175">
        <f>ROUND(AJ373*(1+IF(offer_incoterms="DDP",IF((TODAY()+offer_turnaround_time)&gt;=helpsheet!$L$17,rate_vatRU_from_26,rate_vatRu_till_25),0)),2)</f>
        <v/>
      </c>
      <c r="AN373" s="192">
        <f>AL373-AK373</f>
        <v/>
      </c>
      <c r="AO373" s="76">
        <f>SUM(AY373,Y373:Z373,T373)*IF(AND(offer_incoterms="DDP",offer_sale_type&lt;&gt;"экспорт"),IF((TODAY()+offer_turnaround_time)&gt;=helpsheet!$L$17,rate_vatRU_from_26,rate_vatRu_till_25),0)</f>
        <v/>
      </c>
      <c r="AP373" s="193">
        <f>AN373-AO373</f>
        <v/>
      </c>
      <c r="AQ373" s="118">
        <f>IF(offer_sale_type="транзит",SUM(AF373:AI373,BA373,BB373),0)</f>
        <v/>
      </c>
      <c r="AR373" s="82">
        <f>HYPERLINK("https://www.alta.ru/tnved/code/")&amp;W373&amp;"/"</f>
        <v/>
      </c>
      <c r="AS373" s="157" t="n"/>
      <c r="AT373" s="162" t="n"/>
      <c r="AU373" s="76">
        <f>IF(ISBLANK(AT373),0,AJ373-AT373)</f>
        <v/>
      </c>
      <c r="AV373" s="157" t="n"/>
      <c r="AW373" s="75">
        <f>_xlfn.IFNA(VLOOKUP(L373,list_vat[],3,FALSE),0)</f>
        <v/>
      </c>
      <c r="AX373" s="76">
        <f>IFERROR(ROUND(S373*(1+AW373)/E373,2),0)</f>
        <v/>
      </c>
      <c r="AY373" s="76">
        <f>E373*AX373</f>
        <v/>
      </c>
      <c r="AZ373" s="192">
        <f>S373*(1+M373)</f>
        <v/>
      </c>
      <c r="BA373" s="76">
        <f>cost_fin_total*$BD373</f>
        <v/>
      </c>
      <c r="BB373" s="193">
        <f>credit_sales_interest*BD373</f>
        <v/>
      </c>
      <c r="BC373" s="102">
        <f>IFERROR(IF($I$13&gt;0,$I373/$I$13,$S373/$S$13),0)</f>
        <v/>
      </c>
      <c r="BD373" s="102">
        <f>IFERROR($S373/$S$13,0)</f>
        <v/>
      </c>
      <c r="BE373" s="413" t="inlineStr">
        <is>
          <t>$</t>
        </is>
      </c>
    </row>
    <row r="374" ht="12" customFormat="1" customHeight="1" s="65">
      <c r="A374" s="43" t="n">
        <v>359</v>
      </c>
      <c r="B374" s="166" t="n"/>
      <c r="C374" s="166" t="n"/>
      <c r="D374" s="166" t="n"/>
      <c r="E374" s="162" t="n"/>
      <c r="F374" s="166" t="n"/>
      <c r="G374" s="162" t="n"/>
      <c r="H374" s="162" t="n"/>
      <c r="I374" s="189">
        <f>E374*G374</f>
        <v/>
      </c>
      <c r="J374" s="195" t="n"/>
      <c r="K374" s="162" t="n"/>
      <c r="L374" s="168" t="n"/>
      <c r="M374" s="75">
        <f>_xlfn.XLOOKUP(L374,list_vat[Страна],list_vat[Ставка НДС %],0,0)</f>
        <v/>
      </c>
      <c r="N374" s="162">
        <f>IFERROR(IF(L374="Китай",K374,K374/(1+M374)),0)</f>
        <v/>
      </c>
      <c r="O374" s="169" t="n"/>
      <c r="P374" s="76">
        <f>N374*(1-O374)</f>
        <v/>
      </c>
      <c r="Q374" s="162" t="n"/>
      <c r="R374" s="162">
        <f>IF(ISBLANK(Q374),"введи курс",P374/Q374)</f>
        <v/>
      </c>
      <c r="S374" s="196">
        <f>IF(AND(ISNUMBER(E374),ISNUMBER(Q374)),E374*R374,0)</f>
        <v/>
      </c>
      <c r="T374" s="192">
        <f>$BC374*V$11</f>
        <v/>
      </c>
      <c r="U374" s="76">
        <f>$BC374*W$11</f>
        <v/>
      </c>
      <c r="V374" s="193">
        <f>+SUM(T374:U374)</f>
        <v/>
      </c>
      <c r="W374" s="191" t="n"/>
      <c r="X374" s="170" t="n"/>
      <c r="Y374" s="76">
        <f>ROUND(IF(offer_incoterms="DDP",X374*(S374*(1+AW374)+T374),0),2)</f>
        <v/>
      </c>
      <c r="Z374" s="188" t="n"/>
      <c r="AA374" s="192">
        <f>IFERROR(AB374/E374,0)</f>
        <v/>
      </c>
      <c r="AB374" s="76">
        <f>ROUND(SUM(S374,V374,Y374:Z374,BA374:BB374),2)</f>
        <v/>
      </c>
      <c r="AC374" s="797" t="n"/>
      <c r="AD374" s="192">
        <f t="array" ref="AD374">IFERROR(ROUND((_xlfn.IFS(offer_sale_type="поставка",AB374,offer_sale_type="транзит",S374)*(1+AC374))/E374,2),0)</f>
        <v/>
      </c>
      <c r="AE374" s="76">
        <f>AD374*E374</f>
        <v/>
      </c>
      <c r="AF374" s="193">
        <f t="array" ref="AF374">IFERROR(ROUND(_xlfn.IFS(offer_sale_type="поставка",AB374,offer_sale_type="транзит",S374)*AC374,2),0)</f>
        <v/>
      </c>
      <c r="AG374" s="192">
        <f>$BD374*VLOOKUP($AG$3,$AF$4:$AG$7,2,FALSE)</f>
        <v/>
      </c>
      <c r="AH374" s="76">
        <f>SUM(AE374,AG374,AI374)*rate_forex_risk</f>
        <v/>
      </c>
      <c r="AI374" s="193">
        <f>IF(OR(seller_region="TR",offer_sale_type="экспорт"),0,rate_fin_comm)*SUM(AZ374,AZ374*AW374,T374)</f>
        <v/>
      </c>
      <c r="AJ374" s="118">
        <f>IFERROR(ROUND(SUM(AB374,AF374:AI374)/E374,2),0)</f>
        <v/>
      </c>
      <c r="AK374" s="76">
        <f>AJ374*E374</f>
        <v/>
      </c>
      <c r="AL374" s="174">
        <f>ROUND(IFERROR(AM374*E374,0),2)</f>
        <v/>
      </c>
      <c r="AM374" s="175">
        <f>ROUND(AJ374*(1+IF(offer_incoterms="DDP",IF((TODAY()+offer_turnaround_time)&gt;=helpsheet!$L$17,rate_vatRU_from_26,rate_vatRu_till_25),0)),2)</f>
        <v/>
      </c>
      <c r="AN374" s="192">
        <f>AL374-AK374</f>
        <v/>
      </c>
      <c r="AO374" s="76">
        <f>SUM(AY374,Y374:Z374,T374)*IF(AND(offer_incoterms="DDP",offer_sale_type&lt;&gt;"экспорт"),IF((TODAY()+offer_turnaround_time)&gt;=helpsheet!$L$17,rate_vatRU_from_26,rate_vatRu_till_25),0)</f>
        <v/>
      </c>
      <c r="AP374" s="193">
        <f>AN374-AO374</f>
        <v/>
      </c>
      <c r="AQ374" s="118">
        <f>IF(offer_sale_type="транзит",SUM(AF374:AI374,BA374,BB374),0)</f>
        <v/>
      </c>
      <c r="AR374" s="82">
        <f>HYPERLINK("https://www.alta.ru/tnved/code/")&amp;W374&amp;"/"</f>
        <v/>
      </c>
      <c r="AS374" s="157" t="n"/>
      <c r="AT374" s="162" t="n"/>
      <c r="AU374" s="76">
        <f>IF(ISBLANK(AT374),0,AJ374-AT374)</f>
        <v/>
      </c>
      <c r="AV374" s="157" t="n"/>
      <c r="AW374" s="75">
        <f>_xlfn.IFNA(VLOOKUP(L374,list_vat[],3,FALSE),0)</f>
        <v/>
      </c>
      <c r="AX374" s="76">
        <f>IFERROR(ROUND(S374*(1+AW374)/E374,2),0)</f>
        <v/>
      </c>
      <c r="AY374" s="76">
        <f>E374*AX374</f>
        <v/>
      </c>
      <c r="AZ374" s="192">
        <f>S374*(1+M374)</f>
        <v/>
      </c>
      <c r="BA374" s="76">
        <f>cost_fin_total*$BD374</f>
        <v/>
      </c>
      <c r="BB374" s="193">
        <f>credit_sales_interest*BD374</f>
        <v/>
      </c>
      <c r="BC374" s="102">
        <f>IFERROR(IF($I$13&gt;0,$I374/$I$13,$S374/$S$13),0)</f>
        <v/>
      </c>
      <c r="BD374" s="102">
        <f>IFERROR($S374/$S$13,0)</f>
        <v/>
      </c>
      <c r="BE374" s="413" t="inlineStr">
        <is>
          <t>$</t>
        </is>
      </c>
    </row>
    <row r="375" ht="12" customFormat="1" customHeight="1" s="65">
      <c r="A375" s="43" t="n">
        <v>360</v>
      </c>
      <c r="B375" s="166" t="n"/>
      <c r="C375" s="166" t="n"/>
      <c r="D375" s="166" t="n"/>
      <c r="E375" s="162" t="n"/>
      <c r="F375" s="166" t="n"/>
      <c r="G375" s="162" t="n"/>
      <c r="H375" s="162" t="n"/>
      <c r="I375" s="189">
        <f>E375*G375</f>
        <v/>
      </c>
      <c r="J375" s="195" t="n"/>
      <c r="K375" s="162" t="n"/>
      <c r="L375" s="168" t="n"/>
      <c r="M375" s="75">
        <f>_xlfn.XLOOKUP(L375,list_vat[Страна],list_vat[Ставка НДС %],0,0)</f>
        <v/>
      </c>
      <c r="N375" s="162">
        <f>IFERROR(IF(L375="Китай",K375,K375/(1+M375)),0)</f>
        <v/>
      </c>
      <c r="O375" s="169" t="n"/>
      <c r="P375" s="76">
        <f>N375*(1-O375)</f>
        <v/>
      </c>
      <c r="Q375" s="162" t="n"/>
      <c r="R375" s="162">
        <f>IF(ISBLANK(Q375),"введи курс",P375/Q375)</f>
        <v/>
      </c>
      <c r="S375" s="196">
        <f>IF(AND(ISNUMBER(E375),ISNUMBER(Q375)),E375*R375,0)</f>
        <v/>
      </c>
      <c r="T375" s="192">
        <f>$BC375*V$11</f>
        <v/>
      </c>
      <c r="U375" s="76">
        <f>$BC375*W$11</f>
        <v/>
      </c>
      <c r="V375" s="193">
        <f>+SUM(T375:U375)</f>
        <v/>
      </c>
      <c r="W375" s="191" t="n"/>
      <c r="X375" s="170" t="n"/>
      <c r="Y375" s="76">
        <f>ROUND(IF(offer_incoterms="DDP",X375*(S375*(1+AW375)+T375),0),2)</f>
        <v/>
      </c>
      <c r="Z375" s="188" t="n"/>
      <c r="AA375" s="192">
        <f>IFERROR(AB375/E375,0)</f>
        <v/>
      </c>
      <c r="AB375" s="76">
        <f>ROUND(SUM(S375,V375,Y375:Z375,BA375:BB375),2)</f>
        <v/>
      </c>
      <c r="AC375" s="797" t="n"/>
      <c r="AD375" s="192">
        <f t="array" ref="AD375">IFERROR(ROUND((_xlfn.IFS(offer_sale_type="поставка",AB375,offer_sale_type="транзит",S375)*(1+AC375))/E375,2),0)</f>
        <v/>
      </c>
      <c r="AE375" s="76">
        <f>AD375*E375</f>
        <v/>
      </c>
      <c r="AF375" s="193">
        <f t="array" ref="AF375">IFERROR(ROUND(_xlfn.IFS(offer_sale_type="поставка",AB375,offer_sale_type="транзит",S375)*AC375,2),0)</f>
        <v/>
      </c>
      <c r="AG375" s="192">
        <f>$BD375*VLOOKUP($AG$3,$AF$4:$AG$7,2,FALSE)</f>
        <v/>
      </c>
      <c r="AH375" s="76">
        <f>SUM(AE375,AG375,AI375)*rate_forex_risk</f>
        <v/>
      </c>
      <c r="AI375" s="193">
        <f>IF(OR(seller_region="TR",offer_sale_type="экспорт"),0,rate_fin_comm)*SUM(AZ375,AZ375*AW375,T375)</f>
        <v/>
      </c>
      <c r="AJ375" s="118">
        <f>IFERROR(ROUND(SUM(AB375,AF375:AI375)/E375,2),0)</f>
        <v/>
      </c>
      <c r="AK375" s="76">
        <f>AJ375*E375</f>
        <v/>
      </c>
      <c r="AL375" s="174">
        <f>ROUND(IFERROR(AM375*E375,0),2)</f>
        <v/>
      </c>
      <c r="AM375" s="175">
        <f>ROUND(AJ375*(1+IF(offer_incoterms="DDP",IF((TODAY()+offer_turnaround_time)&gt;=helpsheet!$L$17,rate_vatRU_from_26,rate_vatRu_till_25),0)),2)</f>
        <v/>
      </c>
      <c r="AN375" s="192">
        <f>AL375-AK375</f>
        <v/>
      </c>
      <c r="AO375" s="76">
        <f>SUM(AY375,Y375:Z375,T375)*IF(AND(offer_incoterms="DDP",offer_sale_type&lt;&gt;"экспорт"),IF((TODAY()+offer_turnaround_time)&gt;=helpsheet!$L$17,rate_vatRU_from_26,rate_vatRu_till_25),0)</f>
        <v/>
      </c>
      <c r="AP375" s="193">
        <f>AN375-AO375</f>
        <v/>
      </c>
      <c r="AQ375" s="118">
        <f>IF(offer_sale_type="транзит",SUM(AF375:AI375,BA375,BB375),0)</f>
        <v/>
      </c>
      <c r="AR375" s="82">
        <f>HYPERLINK("https://www.alta.ru/tnved/code/")&amp;W375&amp;"/"</f>
        <v/>
      </c>
      <c r="AS375" s="157" t="n"/>
      <c r="AT375" s="162" t="n"/>
      <c r="AU375" s="76">
        <f>IF(ISBLANK(AT375),0,AJ375-AT375)</f>
        <v/>
      </c>
      <c r="AV375" s="157" t="n"/>
      <c r="AW375" s="75">
        <f>_xlfn.IFNA(VLOOKUP(L375,list_vat[],3,FALSE),0)</f>
        <v/>
      </c>
      <c r="AX375" s="76">
        <f>IFERROR(ROUND(S375*(1+AW375)/E375,2),0)</f>
        <v/>
      </c>
      <c r="AY375" s="76">
        <f>E375*AX375</f>
        <v/>
      </c>
      <c r="AZ375" s="192">
        <f>S375*(1+M375)</f>
        <v/>
      </c>
      <c r="BA375" s="76">
        <f>cost_fin_total*$BD375</f>
        <v/>
      </c>
      <c r="BB375" s="193">
        <f>credit_sales_interest*BD375</f>
        <v/>
      </c>
      <c r="BC375" s="102">
        <f>IFERROR(IF($I$13&gt;0,$I375/$I$13,$S375/$S$13),0)</f>
        <v/>
      </c>
      <c r="BD375" s="102">
        <f>IFERROR($S375/$S$13,0)</f>
        <v/>
      </c>
      <c r="BE375" s="413" t="inlineStr">
        <is>
          <t>$</t>
        </is>
      </c>
    </row>
    <row r="376" ht="12" customFormat="1" customHeight="1" s="65">
      <c r="A376" s="43" t="n">
        <v>361</v>
      </c>
      <c r="B376" s="166" t="n"/>
      <c r="C376" s="166" t="n"/>
      <c r="D376" s="166" t="n"/>
      <c r="E376" s="162" t="n"/>
      <c r="F376" s="166" t="n"/>
      <c r="G376" s="162" t="n"/>
      <c r="H376" s="162" t="n"/>
      <c r="I376" s="189">
        <f>E376*G376</f>
        <v/>
      </c>
      <c r="J376" s="195" t="n"/>
      <c r="K376" s="162" t="n"/>
      <c r="L376" s="168" t="n"/>
      <c r="M376" s="75">
        <f>_xlfn.XLOOKUP(L376,list_vat[Страна],list_vat[Ставка НДС %],0,0)</f>
        <v/>
      </c>
      <c r="N376" s="162">
        <f>IFERROR(IF(L376="Китай",K376,K376/(1+M376)),0)</f>
        <v/>
      </c>
      <c r="O376" s="169" t="n"/>
      <c r="P376" s="76">
        <f>N376*(1-O376)</f>
        <v/>
      </c>
      <c r="Q376" s="162" t="n"/>
      <c r="R376" s="162">
        <f>IF(ISBLANK(Q376),"введи курс",P376/Q376)</f>
        <v/>
      </c>
      <c r="S376" s="196">
        <f>IF(AND(ISNUMBER(E376),ISNUMBER(Q376)),E376*R376,0)</f>
        <v/>
      </c>
      <c r="T376" s="192">
        <f>$BC376*V$11</f>
        <v/>
      </c>
      <c r="U376" s="76">
        <f>$BC376*W$11</f>
        <v/>
      </c>
      <c r="V376" s="193">
        <f>+SUM(T376:U376)</f>
        <v/>
      </c>
      <c r="W376" s="191" t="n"/>
      <c r="X376" s="170" t="n"/>
      <c r="Y376" s="76">
        <f>ROUND(IF(offer_incoterms="DDP",X376*(S376*(1+AW376)+T376),0),2)</f>
        <v/>
      </c>
      <c r="Z376" s="188" t="n"/>
      <c r="AA376" s="192">
        <f>IFERROR(AB376/E376,0)</f>
        <v/>
      </c>
      <c r="AB376" s="76">
        <f>ROUND(SUM(S376,V376,Y376:Z376,BA376:BB376),2)</f>
        <v/>
      </c>
      <c r="AC376" s="797" t="n"/>
      <c r="AD376" s="192">
        <f t="array" ref="AD376">IFERROR(ROUND((_xlfn.IFS(offer_sale_type="поставка",AB376,offer_sale_type="транзит",S376)*(1+AC376))/E376,2),0)</f>
        <v/>
      </c>
      <c r="AE376" s="76">
        <f>AD376*E376</f>
        <v/>
      </c>
      <c r="AF376" s="193">
        <f t="array" ref="AF376">IFERROR(ROUND(_xlfn.IFS(offer_sale_type="поставка",AB376,offer_sale_type="транзит",S376)*AC376,2),0)</f>
        <v/>
      </c>
      <c r="AG376" s="192">
        <f>$BD376*VLOOKUP($AG$3,$AF$4:$AG$7,2,FALSE)</f>
        <v/>
      </c>
      <c r="AH376" s="76">
        <f>SUM(AE376,AG376,AI376)*rate_forex_risk</f>
        <v/>
      </c>
      <c r="AI376" s="193">
        <f>IF(OR(seller_region="TR",offer_sale_type="экспорт"),0,rate_fin_comm)*SUM(AZ376,AZ376*AW376,T376)</f>
        <v/>
      </c>
      <c r="AJ376" s="118">
        <f>IFERROR(ROUND(SUM(AB376,AF376:AI376)/E376,2),0)</f>
        <v/>
      </c>
      <c r="AK376" s="76">
        <f>AJ376*E376</f>
        <v/>
      </c>
      <c r="AL376" s="174">
        <f>ROUND(IFERROR(AM376*E376,0),2)</f>
        <v/>
      </c>
      <c r="AM376" s="175">
        <f>ROUND(AJ376*(1+IF(offer_incoterms="DDP",IF((TODAY()+offer_turnaround_time)&gt;=helpsheet!$L$17,rate_vatRU_from_26,rate_vatRu_till_25),0)),2)</f>
        <v/>
      </c>
      <c r="AN376" s="192">
        <f>AL376-AK376</f>
        <v/>
      </c>
      <c r="AO376" s="76">
        <f>SUM(AY376,Y376:Z376,T376)*IF(AND(offer_incoterms="DDP",offer_sale_type&lt;&gt;"экспорт"),IF((TODAY()+offer_turnaround_time)&gt;=helpsheet!$L$17,rate_vatRU_from_26,rate_vatRu_till_25),0)</f>
        <v/>
      </c>
      <c r="AP376" s="193">
        <f>AN376-AO376</f>
        <v/>
      </c>
      <c r="AQ376" s="118">
        <f>IF(offer_sale_type="транзит",SUM(AF376:AI376,BA376,BB376),0)</f>
        <v/>
      </c>
      <c r="AR376" s="82">
        <f>HYPERLINK("https://www.alta.ru/tnved/code/")&amp;W376&amp;"/"</f>
        <v/>
      </c>
      <c r="AS376" s="157" t="n"/>
      <c r="AT376" s="162" t="n"/>
      <c r="AU376" s="76">
        <f>IF(ISBLANK(AT376),0,AJ376-AT376)</f>
        <v/>
      </c>
      <c r="AV376" s="157" t="n"/>
      <c r="AW376" s="75">
        <f>_xlfn.IFNA(VLOOKUP(L376,list_vat[],3,FALSE),0)</f>
        <v/>
      </c>
      <c r="AX376" s="76">
        <f>IFERROR(ROUND(S376*(1+AW376)/E376,2),0)</f>
        <v/>
      </c>
      <c r="AY376" s="76">
        <f>E376*AX376</f>
        <v/>
      </c>
      <c r="AZ376" s="192">
        <f>S376*(1+M376)</f>
        <v/>
      </c>
      <c r="BA376" s="76">
        <f>cost_fin_total*$BD376</f>
        <v/>
      </c>
      <c r="BB376" s="193">
        <f>credit_sales_interest*BD376</f>
        <v/>
      </c>
      <c r="BC376" s="102">
        <f>IFERROR(IF($I$13&gt;0,$I376/$I$13,$S376/$S$13),0)</f>
        <v/>
      </c>
      <c r="BD376" s="102">
        <f>IFERROR($S376/$S$13,0)</f>
        <v/>
      </c>
      <c r="BE376" s="413" t="inlineStr">
        <is>
          <t>$</t>
        </is>
      </c>
    </row>
    <row r="377" ht="12" customFormat="1" customHeight="1" s="65">
      <c r="A377" s="43" t="n">
        <v>362</v>
      </c>
      <c r="B377" s="166" t="n"/>
      <c r="C377" s="166" t="n"/>
      <c r="D377" s="166" t="n"/>
      <c r="E377" s="162" t="n"/>
      <c r="F377" s="166" t="n"/>
      <c r="G377" s="162" t="n"/>
      <c r="H377" s="162" t="n"/>
      <c r="I377" s="189">
        <f>E377*G377</f>
        <v/>
      </c>
      <c r="J377" s="195" t="n"/>
      <c r="K377" s="162" t="n"/>
      <c r="L377" s="168" t="n"/>
      <c r="M377" s="75">
        <f>_xlfn.XLOOKUP(L377,list_vat[Страна],list_vat[Ставка НДС %],0,0)</f>
        <v/>
      </c>
      <c r="N377" s="162">
        <f>IFERROR(IF(L377="Китай",K377,K377/(1+M377)),0)</f>
        <v/>
      </c>
      <c r="O377" s="169" t="n"/>
      <c r="P377" s="76">
        <f>N377*(1-O377)</f>
        <v/>
      </c>
      <c r="Q377" s="162" t="n"/>
      <c r="R377" s="162">
        <f>IF(ISBLANK(Q377),"введи курс",P377/Q377)</f>
        <v/>
      </c>
      <c r="S377" s="196">
        <f>IF(AND(ISNUMBER(E377),ISNUMBER(Q377)),E377*R377,0)</f>
        <v/>
      </c>
      <c r="T377" s="192">
        <f>$BC377*V$11</f>
        <v/>
      </c>
      <c r="U377" s="76">
        <f>$BC377*W$11</f>
        <v/>
      </c>
      <c r="V377" s="193">
        <f>+SUM(T377:U377)</f>
        <v/>
      </c>
      <c r="W377" s="191" t="n"/>
      <c r="X377" s="170" t="n"/>
      <c r="Y377" s="76">
        <f>ROUND(IF(offer_incoterms="DDP",X377*(S377*(1+AW377)+T377),0),2)</f>
        <v/>
      </c>
      <c r="Z377" s="188" t="n"/>
      <c r="AA377" s="192">
        <f>IFERROR(AB377/E377,0)</f>
        <v/>
      </c>
      <c r="AB377" s="76">
        <f>ROUND(SUM(S377,V377,Y377:Z377,BA377:BB377),2)</f>
        <v/>
      </c>
      <c r="AC377" s="797" t="n"/>
      <c r="AD377" s="192">
        <f t="array" ref="AD377">IFERROR(ROUND((_xlfn.IFS(offer_sale_type="поставка",AB377,offer_sale_type="транзит",S377)*(1+AC377))/E377,2),0)</f>
        <v/>
      </c>
      <c r="AE377" s="76">
        <f>AD377*E377</f>
        <v/>
      </c>
      <c r="AF377" s="193">
        <f t="array" ref="AF377">IFERROR(ROUND(_xlfn.IFS(offer_sale_type="поставка",AB377,offer_sale_type="транзит",S377)*AC377,2),0)</f>
        <v/>
      </c>
      <c r="AG377" s="192">
        <f>$BD377*VLOOKUP($AG$3,$AF$4:$AG$7,2,FALSE)</f>
        <v/>
      </c>
      <c r="AH377" s="76">
        <f>SUM(AE377,AG377,AI377)*rate_forex_risk</f>
        <v/>
      </c>
      <c r="AI377" s="193">
        <f>IF(OR(seller_region="TR",offer_sale_type="экспорт"),0,rate_fin_comm)*SUM(AZ377,AZ377*AW377,T377)</f>
        <v/>
      </c>
      <c r="AJ377" s="118">
        <f>IFERROR(ROUND(SUM(AB377,AF377:AI377)/E377,2),0)</f>
        <v/>
      </c>
      <c r="AK377" s="76">
        <f>AJ377*E377</f>
        <v/>
      </c>
      <c r="AL377" s="174">
        <f>ROUND(IFERROR(AM377*E377,0),2)</f>
        <v/>
      </c>
      <c r="AM377" s="175">
        <f>ROUND(AJ377*(1+IF(offer_incoterms="DDP",IF((TODAY()+offer_turnaround_time)&gt;=helpsheet!$L$17,rate_vatRU_from_26,rate_vatRu_till_25),0)),2)</f>
        <v/>
      </c>
      <c r="AN377" s="192">
        <f>AL377-AK377</f>
        <v/>
      </c>
      <c r="AO377" s="76">
        <f>SUM(AY377,Y377:Z377,T377)*IF(AND(offer_incoterms="DDP",offer_sale_type&lt;&gt;"экспорт"),IF((TODAY()+offer_turnaround_time)&gt;=helpsheet!$L$17,rate_vatRU_from_26,rate_vatRu_till_25),0)</f>
        <v/>
      </c>
      <c r="AP377" s="193">
        <f>AN377-AO377</f>
        <v/>
      </c>
      <c r="AQ377" s="118">
        <f>IF(offer_sale_type="транзит",SUM(AF377:AI377,BA377,BB377),0)</f>
        <v/>
      </c>
      <c r="AR377" s="82">
        <f>HYPERLINK("https://www.alta.ru/tnved/code/")&amp;W377&amp;"/"</f>
        <v/>
      </c>
      <c r="AS377" s="157" t="n"/>
      <c r="AT377" s="162" t="n"/>
      <c r="AU377" s="76">
        <f>IF(ISBLANK(AT377),0,AJ377-AT377)</f>
        <v/>
      </c>
      <c r="AV377" s="157" t="n"/>
      <c r="AW377" s="75">
        <f>_xlfn.IFNA(VLOOKUP(L377,list_vat[],3,FALSE),0)</f>
        <v/>
      </c>
      <c r="AX377" s="76">
        <f>IFERROR(ROUND(S377*(1+AW377)/E377,2),0)</f>
        <v/>
      </c>
      <c r="AY377" s="76">
        <f>E377*AX377</f>
        <v/>
      </c>
      <c r="AZ377" s="192">
        <f>S377*(1+M377)</f>
        <v/>
      </c>
      <c r="BA377" s="76">
        <f>cost_fin_total*$BD377</f>
        <v/>
      </c>
      <c r="BB377" s="193">
        <f>credit_sales_interest*BD377</f>
        <v/>
      </c>
      <c r="BC377" s="102">
        <f>IFERROR(IF($I$13&gt;0,$I377/$I$13,$S377/$S$13),0)</f>
        <v/>
      </c>
      <c r="BD377" s="102">
        <f>IFERROR($S377/$S$13,0)</f>
        <v/>
      </c>
      <c r="BE377" s="413" t="inlineStr">
        <is>
          <t>$</t>
        </is>
      </c>
    </row>
    <row r="378" ht="12" customFormat="1" customHeight="1" s="65">
      <c r="A378" s="43" t="n">
        <v>363</v>
      </c>
      <c r="B378" s="166" t="n"/>
      <c r="C378" s="166" t="n"/>
      <c r="D378" s="166" t="n"/>
      <c r="E378" s="162" t="n"/>
      <c r="F378" s="166" t="n"/>
      <c r="G378" s="162" t="n"/>
      <c r="H378" s="162" t="n"/>
      <c r="I378" s="189">
        <f>E378*G378</f>
        <v/>
      </c>
      <c r="J378" s="195" t="n"/>
      <c r="K378" s="162" t="n"/>
      <c r="L378" s="168" t="n"/>
      <c r="M378" s="75">
        <f>_xlfn.XLOOKUP(L378,list_vat[Страна],list_vat[Ставка НДС %],0,0)</f>
        <v/>
      </c>
      <c r="N378" s="162">
        <f>IFERROR(IF(L378="Китай",K378,K378/(1+M378)),0)</f>
        <v/>
      </c>
      <c r="O378" s="169" t="n"/>
      <c r="P378" s="76">
        <f>N378*(1-O378)</f>
        <v/>
      </c>
      <c r="Q378" s="162" t="n"/>
      <c r="R378" s="162">
        <f>IF(ISBLANK(Q378),"введи курс",P378/Q378)</f>
        <v/>
      </c>
      <c r="S378" s="196">
        <f>IF(AND(ISNUMBER(E378),ISNUMBER(Q378)),E378*R378,0)</f>
        <v/>
      </c>
      <c r="T378" s="192">
        <f>$BC378*V$11</f>
        <v/>
      </c>
      <c r="U378" s="76">
        <f>$BC378*W$11</f>
        <v/>
      </c>
      <c r="V378" s="193">
        <f>+SUM(T378:U378)</f>
        <v/>
      </c>
      <c r="W378" s="191" t="n"/>
      <c r="X378" s="170" t="n"/>
      <c r="Y378" s="76">
        <f>ROUND(IF(offer_incoterms="DDP",X378*(S378*(1+AW378)+T378),0),2)</f>
        <v/>
      </c>
      <c r="Z378" s="188" t="n"/>
      <c r="AA378" s="192">
        <f>IFERROR(AB378/E378,0)</f>
        <v/>
      </c>
      <c r="AB378" s="76">
        <f>ROUND(SUM(S378,V378,Y378:Z378,BA378:BB378),2)</f>
        <v/>
      </c>
      <c r="AC378" s="797" t="n"/>
      <c r="AD378" s="192">
        <f t="array" ref="AD378">IFERROR(ROUND((_xlfn.IFS(offer_sale_type="поставка",AB378,offer_sale_type="транзит",S378)*(1+AC378))/E378,2),0)</f>
        <v/>
      </c>
      <c r="AE378" s="76">
        <f>AD378*E378</f>
        <v/>
      </c>
      <c r="AF378" s="193">
        <f t="array" ref="AF378">IFERROR(ROUND(_xlfn.IFS(offer_sale_type="поставка",AB378,offer_sale_type="транзит",S378)*AC378,2),0)</f>
        <v/>
      </c>
      <c r="AG378" s="192">
        <f>$BD378*VLOOKUP($AG$3,$AF$4:$AG$7,2,FALSE)</f>
        <v/>
      </c>
      <c r="AH378" s="76">
        <f>SUM(AE378,AG378,AI378)*rate_forex_risk</f>
        <v/>
      </c>
      <c r="AI378" s="193">
        <f>IF(OR(seller_region="TR",offer_sale_type="экспорт"),0,rate_fin_comm)*SUM(AZ378,AZ378*AW378,T378)</f>
        <v/>
      </c>
      <c r="AJ378" s="118">
        <f>IFERROR(ROUND(SUM(AB378,AF378:AI378)/E378,2),0)</f>
        <v/>
      </c>
      <c r="AK378" s="76">
        <f>AJ378*E378</f>
        <v/>
      </c>
      <c r="AL378" s="174">
        <f>ROUND(IFERROR(AM378*E378,0),2)</f>
        <v/>
      </c>
      <c r="AM378" s="175">
        <f>ROUND(AJ378*(1+IF(offer_incoterms="DDP",IF((TODAY()+offer_turnaround_time)&gt;=helpsheet!$L$17,rate_vatRU_from_26,rate_vatRu_till_25),0)),2)</f>
        <v/>
      </c>
      <c r="AN378" s="192">
        <f>AL378-AK378</f>
        <v/>
      </c>
      <c r="AO378" s="76">
        <f>SUM(AY378,Y378:Z378,T378)*IF(AND(offer_incoterms="DDP",offer_sale_type&lt;&gt;"экспорт"),IF((TODAY()+offer_turnaround_time)&gt;=helpsheet!$L$17,rate_vatRU_from_26,rate_vatRu_till_25),0)</f>
        <v/>
      </c>
      <c r="AP378" s="193">
        <f>AN378-AO378</f>
        <v/>
      </c>
      <c r="AQ378" s="118">
        <f>IF(offer_sale_type="транзит",SUM(AF378:AI378,BA378,BB378),0)</f>
        <v/>
      </c>
      <c r="AR378" s="82">
        <f>HYPERLINK("https://www.alta.ru/tnved/code/")&amp;W378&amp;"/"</f>
        <v/>
      </c>
      <c r="AS378" s="157" t="n"/>
      <c r="AT378" s="162" t="n"/>
      <c r="AU378" s="76">
        <f>IF(ISBLANK(AT378),0,AJ378-AT378)</f>
        <v/>
      </c>
      <c r="AV378" s="157" t="n"/>
      <c r="AW378" s="75">
        <f>_xlfn.IFNA(VLOOKUP(L378,list_vat[],3,FALSE),0)</f>
        <v/>
      </c>
      <c r="AX378" s="76">
        <f>IFERROR(ROUND(S378*(1+AW378)/E378,2),0)</f>
        <v/>
      </c>
      <c r="AY378" s="76">
        <f>E378*AX378</f>
        <v/>
      </c>
      <c r="AZ378" s="192">
        <f>S378*(1+M378)</f>
        <v/>
      </c>
      <c r="BA378" s="76">
        <f>cost_fin_total*$BD378</f>
        <v/>
      </c>
      <c r="BB378" s="193">
        <f>credit_sales_interest*BD378</f>
        <v/>
      </c>
      <c r="BC378" s="102">
        <f>IFERROR(IF($I$13&gt;0,$I378/$I$13,$S378/$S$13),0)</f>
        <v/>
      </c>
      <c r="BD378" s="102">
        <f>IFERROR($S378/$S$13,0)</f>
        <v/>
      </c>
      <c r="BE378" s="413" t="inlineStr">
        <is>
          <t>$</t>
        </is>
      </c>
    </row>
    <row r="379" ht="12" customFormat="1" customHeight="1" s="65">
      <c r="A379" s="43" t="n">
        <v>364</v>
      </c>
      <c r="B379" s="166" t="n"/>
      <c r="C379" s="166" t="n"/>
      <c r="D379" s="166" t="n"/>
      <c r="E379" s="162" t="n"/>
      <c r="F379" s="166" t="n"/>
      <c r="G379" s="162" t="n"/>
      <c r="H379" s="162" t="n"/>
      <c r="I379" s="189">
        <f>E379*G379</f>
        <v/>
      </c>
      <c r="J379" s="195" t="n"/>
      <c r="K379" s="162" t="n"/>
      <c r="L379" s="168" t="n"/>
      <c r="M379" s="75">
        <f>_xlfn.XLOOKUP(L379,list_vat[Страна],list_vat[Ставка НДС %],0,0)</f>
        <v/>
      </c>
      <c r="N379" s="162">
        <f>IFERROR(IF(L379="Китай",K379,K379/(1+M379)),0)</f>
        <v/>
      </c>
      <c r="O379" s="169" t="n"/>
      <c r="P379" s="76">
        <f>N379*(1-O379)</f>
        <v/>
      </c>
      <c r="Q379" s="162" t="n"/>
      <c r="R379" s="162">
        <f>IF(ISBLANK(Q379),"введи курс",P379/Q379)</f>
        <v/>
      </c>
      <c r="S379" s="196">
        <f>IF(AND(ISNUMBER(E379),ISNUMBER(Q379)),E379*R379,0)</f>
        <v/>
      </c>
      <c r="T379" s="192">
        <f>$BC379*V$11</f>
        <v/>
      </c>
      <c r="U379" s="76">
        <f>$BC379*W$11</f>
        <v/>
      </c>
      <c r="V379" s="193">
        <f>+SUM(T379:U379)</f>
        <v/>
      </c>
      <c r="W379" s="191" t="n"/>
      <c r="X379" s="170" t="n"/>
      <c r="Y379" s="76">
        <f>ROUND(IF(offer_incoterms="DDP",X379*(S379*(1+AW379)+T379),0),2)</f>
        <v/>
      </c>
      <c r="Z379" s="188" t="n"/>
      <c r="AA379" s="192">
        <f>IFERROR(AB379/E379,0)</f>
        <v/>
      </c>
      <c r="AB379" s="76">
        <f>ROUND(SUM(S379,V379,Y379:Z379,BA379:BB379),2)</f>
        <v/>
      </c>
      <c r="AC379" s="797" t="n"/>
      <c r="AD379" s="192">
        <f t="array" ref="AD379">IFERROR(ROUND((_xlfn.IFS(offer_sale_type="поставка",AB379,offer_sale_type="транзит",S379)*(1+AC379))/E379,2),0)</f>
        <v/>
      </c>
      <c r="AE379" s="76">
        <f>AD379*E379</f>
        <v/>
      </c>
      <c r="AF379" s="193">
        <f t="array" ref="AF379">IFERROR(ROUND(_xlfn.IFS(offer_sale_type="поставка",AB379,offer_sale_type="транзит",S379)*AC379,2),0)</f>
        <v/>
      </c>
      <c r="AG379" s="192">
        <f>$BD379*VLOOKUP($AG$3,$AF$4:$AG$7,2,FALSE)</f>
        <v/>
      </c>
      <c r="AH379" s="76">
        <f>SUM(AE379,AG379,AI379)*rate_forex_risk</f>
        <v/>
      </c>
      <c r="AI379" s="193">
        <f>IF(OR(seller_region="TR",offer_sale_type="экспорт"),0,rate_fin_comm)*SUM(AZ379,AZ379*AW379,T379)</f>
        <v/>
      </c>
      <c r="AJ379" s="118">
        <f>IFERROR(ROUND(SUM(AB379,AF379:AI379)/E379,2),0)</f>
        <v/>
      </c>
      <c r="AK379" s="76">
        <f>AJ379*E379</f>
        <v/>
      </c>
      <c r="AL379" s="174">
        <f>ROUND(IFERROR(AM379*E379,0),2)</f>
        <v/>
      </c>
      <c r="AM379" s="175">
        <f>ROUND(AJ379*(1+IF(offer_incoterms="DDP",IF((TODAY()+offer_turnaround_time)&gt;=helpsheet!$L$17,rate_vatRU_from_26,rate_vatRu_till_25),0)),2)</f>
        <v/>
      </c>
      <c r="AN379" s="192">
        <f>AL379-AK379</f>
        <v/>
      </c>
      <c r="AO379" s="76">
        <f>SUM(AY379,Y379:Z379,T379)*IF(AND(offer_incoterms="DDP",offer_sale_type&lt;&gt;"экспорт"),IF((TODAY()+offer_turnaround_time)&gt;=helpsheet!$L$17,rate_vatRU_from_26,rate_vatRu_till_25),0)</f>
        <v/>
      </c>
      <c r="AP379" s="193">
        <f>AN379-AO379</f>
        <v/>
      </c>
      <c r="AQ379" s="118">
        <f>IF(offer_sale_type="транзит",SUM(AF379:AI379,BA379,BB379),0)</f>
        <v/>
      </c>
      <c r="AR379" s="82">
        <f>HYPERLINK("https://www.alta.ru/tnved/code/")&amp;W379&amp;"/"</f>
        <v/>
      </c>
      <c r="AS379" s="157" t="n"/>
      <c r="AT379" s="162" t="n"/>
      <c r="AU379" s="76">
        <f>IF(ISBLANK(AT379),0,AJ379-AT379)</f>
        <v/>
      </c>
      <c r="AV379" s="157" t="n"/>
      <c r="AW379" s="75">
        <f>_xlfn.IFNA(VLOOKUP(L379,list_vat[],3,FALSE),0)</f>
        <v/>
      </c>
      <c r="AX379" s="76">
        <f>IFERROR(ROUND(S379*(1+AW379)/E379,2),0)</f>
        <v/>
      </c>
      <c r="AY379" s="76">
        <f>E379*AX379</f>
        <v/>
      </c>
      <c r="AZ379" s="192">
        <f>S379*(1+M379)</f>
        <v/>
      </c>
      <c r="BA379" s="76">
        <f>cost_fin_total*$BD379</f>
        <v/>
      </c>
      <c r="BB379" s="193">
        <f>credit_sales_interest*BD379</f>
        <v/>
      </c>
      <c r="BC379" s="102">
        <f>IFERROR(IF($I$13&gt;0,$I379/$I$13,$S379/$S$13),0)</f>
        <v/>
      </c>
      <c r="BD379" s="102">
        <f>IFERROR($S379/$S$13,0)</f>
        <v/>
      </c>
      <c r="BE379" s="413" t="inlineStr">
        <is>
          <t>$</t>
        </is>
      </c>
    </row>
    <row r="380" ht="12" customFormat="1" customHeight="1" s="65">
      <c r="A380" s="43" t="n">
        <v>365</v>
      </c>
      <c r="B380" s="166" t="n"/>
      <c r="C380" s="166" t="n"/>
      <c r="D380" s="166" t="n"/>
      <c r="E380" s="162" t="n"/>
      <c r="F380" s="166" t="n"/>
      <c r="G380" s="162" t="n"/>
      <c r="H380" s="162" t="n"/>
      <c r="I380" s="189">
        <f>E380*G380</f>
        <v/>
      </c>
      <c r="J380" s="195" t="n"/>
      <c r="K380" s="162" t="n"/>
      <c r="L380" s="168" t="n"/>
      <c r="M380" s="75">
        <f>_xlfn.XLOOKUP(L380,list_vat[Страна],list_vat[Ставка НДС %],0,0)</f>
        <v/>
      </c>
      <c r="N380" s="162">
        <f>IFERROR(IF(L380="Китай",K380,K380/(1+M380)),0)</f>
        <v/>
      </c>
      <c r="O380" s="169" t="n"/>
      <c r="P380" s="76">
        <f>N380*(1-O380)</f>
        <v/>
      </c>
      <c r="Q380" s="162" t="n"/>
      <c r="R380" s="162">
        <f>IF(ISBLANK(Q380),"введи курс",P380/Q380)</f>
        <v/>
      </c>
      <c r="S380" s="196">
        <f>IF(AND(ISNUMBER(E380),ISNUMBER(Q380)),E380*R380,0)</f>
        <v/>
      </c>
      <c r="T380" s="192">
        <f>$BC380*V$11</f>
        <v/>
      </c>
      <c r="U380" s="76">
        <f>$BC380*W$11</f>
        <v/>
      </c>
      <c r="V380" s="193">
        <f>+SUM(T380:U380)</f>
        <v/>
      </c>
      <c r="W380" s="191" t="n"/>
      <c r="X380" s="170" t="n"/>
      <c r="Y380" s="76">
        <f>ROUND(IF(offer_incoterms="DDP",X380*(S380*(1+AW380)+T380),0),2)</f>
        <v/>
      </c>
      <c r="Z380" s="188" t="n"/>
      <c r="AA380" s="192">
        <f>IFERROR(AB380/E380,0)</f>
        <v/>
      </c>
      <c r="AB380" s="76">
        <f>ROUND(SUM(S380,V380,Y380:Z380,BA380:BB380),2)</f>
        <v/>
      </c>
      <c r="AC380" s="797" t="n"/>
      <c r="AD380" s="192">
        <f t="array" ref="AD380">IFERROR(ROUND((_xlfn.IFS(offer_sale_type="поставка",AB380,offer_sale_type="транзит",S380)*(1+AC380))/E380,2),0)</f>
        <v/>
      </c>
      <c r="AE380" s="76">
        <f>AD380*E380</f>
        <v/>
      </c>
      <c r="AF380" s="193">
        <f t="array" ref="AF380">IFERROR(ROUND(_xlfn.IFS(offer_sale_type="поставка",AB380,offer_sale_type="транзит",S380)*AC380,2),0)</f>
        <v/>
      </c>
      <c r="AG380" s="192">
        <f>$BD380*VLOOKUP($AG$3,$AF$4:$AG$7,2,FALSE)</f>
        <v/>
      </c>
      <c r="AH380" s="76">
        <f>SUM(AE380,AG380,AI380)*rate_forex_risk</f>
        <v/>
      </c>
      <c r="AI380" s="193">
        <f>IF(OR(seller_region="TR",offer_sale_type="экспорт"),0,rate_fin_comm)*SUM(AZ380,AZ380*AW380,T380)</f>
        <v/>
      </c>
      <c r="AJ380" s="118">
        <f>IFERROR(ROUND(SUM(AB380,AF380:AI380)/E380,2),0)</f>
        <v/>
      </c>
      <c r="AK380" s="76">
        <f>AJ380*E380</f>
        <v/>
      </c>
      <c r="AL380" s="174">
        <f>ROUND(IFERROR(AM380*E380,0),2)</f>
        <v/>
      </c>
      <c r="AM380" s="175">
        <f>ROUND(AJ380*(1+IF(offer_incoterms="DDP",IF((TODAY()+offer_turnaround_time)&gt;=helpsheet!$L$17,rate_vatRU_from_26,rate_vatRu_till_25),0)),2)</f>
        <v/>
      </c>
      <c r="AN380" s="192">
        <f>AL380-AK380</f>
        <v/>
      </c>
      <c r="AO380" s="76">
        <f>SUM(AY380,Y380:Z380,T380)*IF(AND(offer_incoterms="DDP",offer_sale_type&lt;&gt;"экспорт"),IF((TODAY()+offer_turnaround_time)&gt;=helpsheet!$L$17,rate_vatRU_from_26,rate_vatRu_till_25),0)</f>
        <v/>
      </c>
      <c r="AP380" s="193">
        <f>AN380-AO380</f>
        <v/>
      </c>
      <c r="AQ380" s="118">
        <f>IF(offer_sale_type="транзит",SUM(AF380:AI380,BA380,BB380),0)</f>
        <v/>
      </c>
      <c r="AR380" s="82">
        <f>HYPERLINK("https://www.alta.ru/tnved/code/")&amp;W380&amp;"/"</f>
        <v/>
      </c>
      <c r="AS380" s="157" t="n"/>
      <c r="AT380" s="162" t="n"/>
      <c r="AU380" s="76">
        <f>IF(ISBLANK(AT380),0,AJ380-AT380)</f>
        <v/>
      </c>
      <c r="AV380" s="157" t="n"/>
      <c r="AW380" s="75">
        <f>_xlfn.IFNA(VLOOKUP(L380,list_vat[],3,FALSE),0)</f>
        <v/>
      </c>
      <c r="AX380" s="76">
        <f>IFERROR(ROUND(S380*(1+AW380)/E380,2),0)</f>
        <v/>
      </c>
      <c r="AY380" s="76">
        <f>E380*AX380</f>
        <v/>
      </c>
      <c r="AZ380" s="192">
        <f>S380*(1+M380)</f>
        <v/>
      </c>
      <c r="BA380" s="76">
        <f>cost_fin_total*$BD380</f>
        <v/>
      </c>
      <c r="BB380" s="193">
        <f>credit_sales_interest*BD380</f>
        <v/>
      </c>
      <c r="BC380" s="102">
        <f>IFERROR(IF($I$13&gt;0,$I380/$I$13,$S380/$S$13),0)</f>
        <v/>
      </c>
      <c r="BD380" s="102">
        <f>IFERROR($S380/$S$13,0)</f>
        <v/>
      </c>
      <c r="BE380" s="413" t="inlineStr">
        <is>
          <t>$</t>
        </is>
      </c>
    </row>
    <row r="381" ht="12" customFormat="1" customHeight="1" s="65">
      <c r="A381" s="43" t="n">
        <v>366</v>
      </c>
      <c r="B381" s="166" t="n"/>
      <c r="C381" s="166" t="n"/>
      <c r="D381" s="166" t="n"/>
      <c r="E381" s="162" t="n"/>
      <c r="F381" s="166" t="n"/>
      <c r="G381" s="162" t="n"/>
      <c r="H381" s="162" t="n"/>
      <c r="I381" s="189">
        <f>E381*G381</f>
        <v/>
      </c>
      <c r="J381" s="195" t="n"/>
      <c r="K381" s="162" t="n"/>
      <c r="L381" s="168" t="n"/>
      <c r="M381" s="75">
        <f>_xlfn.XLOOKUP(L381,list_vat[Страна],list_vat[Ставка НДС %],0,0)</f>
        <v/>
      </c>
      <c r="N381" s="162">
        <f>IFERROR(IF(L381="Китай",K381,K381/(1+M381)),0)</f>
        <v/>
      </c>
      <c r="O381" s="169" t="n"/>
      <c r="P381" s="76">
        <f>N381*(1-O381)</f>
        <v/>
      </c>
      <c r="Q381" s="162" t="n"/>
      <c r="R381" s="162">
        <f>IF(ISBLANK(Q381),"введи курс",P381/Q381)</f>
        <v/>
      </c>
      <c r="S381" s="196">
        <f>IF(AND(ISNUMBER(E381),ISNUMBER(Q381)),E381*R381,0)</f>
        <v/>
      </c>
      <c r="T381" s="192">
        <f>$BC381*V$11</f>
        <v/>
      </c>
      <c r="U381" s="76">
        <f>$BC381*W$11</f>
        <v/>
      </c>
      <c r="V381" s="193">
        <f>+SUM(T381:U381)</f>
        <v/>
      </c>
      <c r="W381" s="191" t="n"/>
      <c r="X381" s="170" t="n"/>
      <c r="Y381" s="76">
        <f>ROUND(IF(offer_incoterms="DDP",X381*(S381*(1+AW381)+T381),0),2)</f>
        <v/>
      </c>
      <c r="Z381" s="188" t="n"/>
      <c r="AA381" s="192">
        <f>IFERROR(AB381/E381,0)</f>
        <v/>
      </c>
      <c r="AB381" s="76">
        <f>ROUND(SUM(S381,V381,Y381:Z381,BA381:BB381),2)</f>
        <v/>
      </c>
      <c r="AC381" s="797" t="n"/>
      <c r="AD381" s="192">
        <f t="array" ref="AD381">IFERROR(ROUND((_xlfn.IFS(offer_sale_type="поставка",AB381,offer_sale_type="транзит",S381)*(1+AC381))/E381,2),0)</f>
        <v/>
      </c>
      <c r="AE381" s="76">
        <f>AD381*E381</f>
        <v/>
      </c>
      <c r="AF381" s="193">
        <f t="array" ref="AF381">IFERROR(ROUND(_xlfn.IFS(offer_sale_type="поставка",AB381,offer_sale_type="транзит",S381)*AC381,2),0)</f>
        <v/>
      </c>
      <c r="AG381" s="192">
        <f>$BD381*VLOOKUP($AG$3,$AF$4:$AG$7,2,FALSE)</f>
        <v/>
      </c>
      <c r="AH381" s="76">
        <f>SUM(AE381,AG381,AI381)*rate_forex_risk</f>
        <v/>
      </c>
      <c r="AI381" s="193">
        <f>IF(OR(seller_region="TR",offer_sale_type="экспорт"),0,rate_fin_comm)*SUM(AZ381,AZ381*AW381,T381)</f>
        <v/>
      </c>
      <c r="AJ381" s="118">
        <f>IFERROR(ROUND(SUM(AB381,AF381:AI381)/E381,2),0)</f>
        <v/>
      </c>
      <c r="AK381" s="76">
        <f>AJ381*E381</f>
        <v/>
      </c>
      <c r="AL381" s="174">
        <f>ROUND(IFERROR(AM381*E381,0),2)</f>
        <v/>
      </c>
      <c r="AM381" s="175">
        <f>ROUND(AJ381*(1+IF(offer_incoterms="DDP",IF((TODAY()+offer_turnaround_time)&gt;=helpsheet!$L$17,rate_vatRU_from_26,rate_vatRu_till_25),0)),2)</f>
        <v/>
      </c>
      <c r="AN381" s="192">
        <f>AL381-AK381</f>
        <v/>
      </c>
      <c r="AO381" s="76">
        <f>SUM(AY381,Y381:Z381,T381)*IF(AND(offer_incoterms="DDP",offer_sale_type&lt;&gt;"экспорт"),IF((TODAY()+offer_turnaround_time)&gt;=helpsheet!$L$17,rate_vatRU_from_26,rate_vatRu_till_25),0)</f>
        <v/>
      </c>
      <c r="AP381" s="193">
        <f>AN381-AO381</f>
        <v/>
      </c>
      <c r="AQ381" s="118">
        <f>IF(offer_sale_type="транзит",SUM(AF381:AI381,BA381,BB381),0)</f>
        <v/>
      </c>
      <c r="AR381" s="82">
        <f>HYPERLINK("https://www.alta.ru/tnved/code/")&amp;W381&amp;"/"</f>
        <v/>
      </c>
      <c r="AS381" s="157" t="n"/>
      <c r="AT381" s="162" t="n"/>
      <c r="AU381" s="76">
        <f>IF(ISBLANK(AT381),0,AJ381-AT381)</f>
        <v/>
      </c>
      <c r="AV381" s="157" t="n"/>
      <c r="AW381" s="75">
        <f>_xlfn.IFNA(VLOOKUP(L381,list_vat[],3,FALSE),0)</f>
        <v/>
      </c>
      <c r="AX381" s="76">
        <f>IFERROR(ROUND(S381*(1+AW381)/E381,2),0)</f>
        <v/>
      </c>
      <c r="AY381" s="76">
        <f>E381*AX381</f>
        <v/>
      </c>
      <c r="AZ381" s="192">
        <f>S381*(1+M381)</f>
        <v/>
      </c>
      <c r="BA381" s="76">
        <f>cost_fin_total*$BD381</f>
        <v/>
      </c>
      <c r="BB381" s="193">
        <f>credit_sales_interest*BD381</f>
        <v/>
      </c>
      <c r="BC381" s="102">
        <f>IFERROR(IF($I$13&gt;0,$I381/$I$13,$S381/$S$13),0)</f>
        <v/>
      </c>
      <c r="BD381" s="102">
        <f>IFERROR($S381/$S$13,0)</f>
        <v/>
      </c>
      <c r="BE381" s="413" t="inlineStr">
        <is>
          <t>$</t>
        </is>
      </c>
    </row>
    <row r="382" ht="12" customFormat="1" customHeight="1" s="65">
      <c r="A382" s="43" t="n">
        <v>367</v>
      </c>
      <c r="B382" s="166" t="n"/>
      <c r="C382" s="166" t="n"/>
      <c r="D382" s="166" t="n"/>
      <c r="E382" s="162" t="n"/>
      <c r="F382" s="166" t="n"/>
      <c r="G382" s="162" t="n"/>
      <c r="H382" s="162" t="n"/>
      <c r="I382" s="189">
        <f>E382*G382</f>
        <v/>
      </c>
      <c r="J382" s="195" t="n"/>
      <c r="K382" s="162" t="n"/>
      <c r="L382" s="168" t="n"/>
      <c r="M382" s="75">
        <f>_xlfn.XLOOKUP(L382,list_vat[Страна],list_vat[Ставка НДС %],0,0)</f>
        <v/>
      </c>
      <c r="N382" s="162">
        <f>IFERROR(IF(L382="Китай",K382,K382/(1+M382)),0)</f>
        <v/>
      </c>
      <c r="O382" s="169" t="n"/>
      <c r="P382" s="76">
        <f>N382*(1-O382)</f>
        <v/>
      </c>
      <c r="Q382" s="162" t="n"/>
      <c r="R382" s="162">
        <f>IF(ISBLANK(Q382),"введи курс",P382/Q382)</f>
        <v/>
      </c>
      <c r="S382" s="196">
        <f>IF(AND(ISNUMBER(E382),ISNUMBER(Q382)),E382*R382,0)</f>
        <v/>
      </c>
      <c r="T382" s="192">
        <f>$BC382*V$11</f>
        <v/>
      </c>
      <c r="U382" s="76">
        <f>$BC382*W$11</f>
        <v/>
      </c>
      <c r="V382" s="193">
        <f>+SUM(T382:U382)</f>
        <v/>
      </c>
      <c r="W382" s="191" t="n"/>
      <c r="X382" s="170" t="n"/>
      <c r="Y382" s="76">
        <f>ROUND(IF(offer_incoterms="DDP",X382*(S382*(1+AW382)+T382),0),2)</f>
        <v/>
      </c>
      <c r="Z382" s="188" t="n"/>
      <c r="AA382" s="192">
        <f>IFERROR(AB382/E382,0)</f>
        <v/>
      </c>
      <c r="AB382" s="76">
        <f>ROUND(SUM(S382,V382,Y382:Z382,BA382:BB382),2)</f>
        <v/>
      </c>
      <c r="AC382" s="797" t="n"/>
      <c r="AD382" s="192">
        <f t="array" ref="AD382">IFERROR(ROUND((_xlfn.IFS(offer_sale_type="поставка",AB382,offer_sale_type="транзит",S382)*(1+AC382))/E382,2),0)</f>
        <v/>
      </c>
      <c r="AE382" s="76">
        <f>AD382*E382</f>
        <v/>
      </c>
      <c r="AF382" s="193">
        <f t="array" ref="AF382">IFERROR(ROUND(_xlfn.IFS(offer_sale_type="поставка",AB382,offer_sale_type="транзит",S382)*AC382,2),0)</f>
        <v/>
      </c>
      <c r="AG382" s="192">
        <f>$BD382*VLOOKUP($AG$3,$AF$4:$AG$7,2,FALSE)</f>
        <v/>
      </c>
      <c r="AH382" s="76">
        <f>SUM(AE382,AG382,AI382)*rate_forex_risk</f>
        <v/>
      </c>
      <c r="AI382" s="193">
        <f>IF(OR(seller_region="TR",offer_sale_type="экспорт"),0,rate_fin_comm)*SUM(AZ382,AZ382*AW382,T382)</f>
        <v/>
      </c>
      <c r="AJ382" s="118">
        <f>IFERROR(ROUND(SUM(AB382,AF382:AI382)/E382,2),0)</f>
        <v/>
      </c>
      <c r="AK382" s="76">
        <f>AJ382*E382</f>
        <v/>
      </c>
      <c r="AL382" s="174">
        <f>ROUND(IFERROR(AM382*E382,0),2)</f>
        <v/>
      </c>
      <c r="AM382" s="175">
        <f>ROUND(AJ382*(1+IF(offer_incoterms="DDP",IF((TODAY()+offer_turnaround_time)&gt;=helpsheet!$L$17,rate_vatRU_from_26,rate_vatRu_till_25),0)),2)</f>
        <v/>
      </c>
      <c r="AN382" s="192">
        <f>AL382-AK382</f>
        <v/>
      </c>
      <c r="AO382" s="76">
        <f>SUM(AY382,Y382:Z382,T382)*IF(AND(offer_incoterms="DDP",offer_sale_type&lt;&gt;"экспорт"),IF((TODAY()+offer_turnaround_time)&gt;=helpsheet!$L$17,rate_vatRU_from_26,rate_vatRu_till_25),0)</f>
        <v/>
      </c>
      <c r="AP382" s="193">
        <f>AN382-AO382</f>
        <v/>
      </c>
      <c r="AQ382" s="118">
        <f>IF(offer_sale_type="транзит",SUM(AF382:AI382,BA382,BB382),0)</f>
        <v/>
      </c>
      <c r="AR382" s="82">
        <f>HYPERLINK("https://www.alta.ru/tnved/code/")&amp;W382&amp;"/"</f>
        <v/>
      </c>
      <c r="AS382" s="157" t="n"/>
      <c r="AT382" s="162" t="n"/>
      <c r="AU382" s="76">
        <f>IF(ISBLANK(AT382),0,AJ382-AT382)</f>
        <v/>
      </c>
      <c r="AV382" s="157" t="n"/>
      <c r="AW382" s="75">
        <f>_xlfn.IFNA(VLOOKUP(L382,list_vat[],3,FALSE),0)</f>
        <v/>
      </c>
      <c r="AX382" s="76">
        <f>IFERROR(ROUND(S382*(1+AW382)/E382,2),0)</f>
        <v/>
      </c>
      <c r="AY382" s="76">
        <f>E382*AX382</f>
        <v/>
      </c>
      <c r="AZ382" s="192">
        <f>S382*(1+M382)</f>
        <v/>
      </c>
      <c r="BA382" s="76">
        <f>cost_fin_total*$BD382</f>
        <v/>
      </c>
      <c r="BB382" s="193">
        <f>credit_sales_interest*BD382</f>
        <v/>
      </c>
      <c r="BC382" s="102">
        <f>IFERROR(IF($I$13&gt;0,$I382/$I$13,$S382/$S$13),0)</f>
        <v/>
      </c>
      <c r="BD382" s="102">
        <f>IFERROR($S382/$S$13,0)</f>
        <v/>
      </c>
      <c r="BE382" s="413" t="inlineStr">
        <is>
          <t>$</t>
        </is>
      </c>
    </row>
    <row r="383" ht="12" customFormat="1" customHeight="1" s="65">
      <c r="A383" s="43" t="n">
        <v>368</v>
      </c>
      <c r="B383" s="166" t="n"/>
      <c r="C383" s="166" t="n"/>
      <c r="D383" s="166" t="n"/>
      <c r="E383" s="162" t="n"/>
      <c r="F383" s="166" t="n"/>
      <c r="G383" s="162" t="n"/>
      <c r="H383" s="162" t="n"/>
      <c r="I383" s="189">
        <f>E383*G383</f>
        <v/>
      </c>
      <c r="J383" s="195" t="n"/>
      <c r="K383" s="162" t="n"/>
      <c r="L383" s="168" t="n"/>
      <c r="M383" s="75">
        <f>_xlfn.XLOOKUP(L383,list_vat[Страна],list_vat[Ставка НДС %],0,0)</f>
        <v/>
      </c>
      <c r="N383" s="162">
        <f>IFERROR(IF(L383="Китай",K383,K383/(1+M383)),0)</f>
        <v/>
      </c>
      <c r="O383" s="169" t="n"/>
      <c r="P383" s="76">
        <f>N383*(1-O383)</f>
        <v/>
      </c>
      <c r="Q383" s="162" t="n"/>
      <c r="R383" s="162">
        <f>IF(ISBLANK(Q383),"введи курс",P383/Q383)</f>
        <v/>
      </c>
      <c r="S383" s="196">
        <f>IF(AND(ISNUMBER(E383),ISNUMBER(Q383)),E383*R383,0)</f>
        <v/>
      </c>
      <c r="T383" s="192">
        <f>$BC383*V$11</f>
        <v/>
      </c>
      <c r="U383" s="76">
        <f>$BC383*W$11</f>
        <v/>
      </c>
      <c r="V383" s="193">
        <f>+SUM(T383:U383)</f>
        <v/>
      </c>
      <c r="W383" s="191" t="n"/>
      <c r="X383" s="170" t="n"/>
      <c r="Y383" s="76">
        <f>ROUND(IF(offer_incoterms="DDP",X383*(S383*(1+AW383)+T383),0),2)</f>
        <v/>
      </c>
      <c r="Z383" s="188" t="n"/>
      <c r="AA383" s="192">
        <f>IFERROR(AB383/E383,0)</f>
        <v/>
      </c>
      <c r="AB383" s="76">
        <f>ROUND(SUM(S383,V383,Y383:Z383,BA383:BB383),2)</f>
        <v/>
      </c>
      <c r="AC383" s="797" t="n"/>
      <c r="AD383" s="192">
        <f t="array" ref="AD383">IFERROR(ROUND((_xlfn.IFS(offer_sale_type="поставка",AB383,offer_sale_type="транзит",S383)*(1+AC383))/E383,2),0)</f>
        <v/>
      </c>
      <c r="AE383" s="76">
        <f>AD383*E383</f>
        <v/>
      </c>
      <c r="AF383" s="193">
        <f t="array" ref="AF383">IFERROR(ROUND(_xlfn.IFS(offer_sale_type="поставка",AB383,offer_sale_type="транзит",S383)*AC383,2),0)</f>
        <v/>
      </c>
      <c r="AG383" s="192">
        <f>$BD383*VLOOKUP($AG$3,$AF$4:$AG$7,2,FALSE)</f>
        <v/>
      </c>
      <c r="AH383" s="76">
        <f>SUM(AE383,AG383,AI383)*rate_forex_risk</f>
        <v/>
      </c>
      <c r="AI383" s="193">
        <f>IF(OR(seller_region="TR",offer_sale_type="экспорт"),0,rate_fin_comm)*SUM(AZ383,AZ383*AW383,T383)</f>
        <v/>
      </c>
      <c r="AJ383" s="118">
        <f>IFERROR(ROUND(SUM(AB383,AF383:AI383)/E383,2),0)</f>
        <v/>
      </c>
      <c r="AK383" s="76">
        <f>AJ383*E383</f>
        <v/>
      </c>
      <c r="AL383" s="174">
        <f>ROUND(IFERROR(AM383*E383,0),2)</f>
        <v/>
      </c>
      <c r="AM383" s="175">
        <f>ROUND(AJ383*(1+IF(offer_incoterms="DDP",IF((TODAY()+offer_turnaround_time)&gt;=helpsheet!$L$17,rate_vatRU_from_26,rate_vatRu_till_25),0)),2)</f>
        <v/>
      </c>
      <c r="AN383" s="192">
        <f>AL383-AK383</f>
        <v/>
      </c>
      <c r="AO383" s="76">
        <f>SUM(AY383,Y383:Z383,T383)*IF(AND(offer_incoterms="DDP",offer_sale_type&lt;&gt;"экспорт"),IF((TODAY()+offer_turnaround_time)&gt;=helpsheet!$L$17,rate_vatRU_from_26,rate_vatRu_till_25),0)</f>
        <v/>
      </c>
      <c r="AP383" s="193">
        <f>AN383-AO383</f>
        <v/>
      </c>
      <c r="AQ383" s="118">
        <f>IF(offer_sale_type="транзит",SUM(AF383:AI383,BA383,BB383),0)</f>
        <v/>
      </c>
      <c r="AR383" s="82">
        <f>HYPERLINK("https://www.alta.ru/tnved/code/")&amp;W383&amp;"/"</f>
        <v/>
      </c>
      <c r="AS383" s="157" t="n"/>
      <c r="AT383" s="162" t="n"/>
      <c r="AU383" s="76">
        <f>IF(ISBLANK(AT383),0,AJ383-AT383)</f>
        <v/>
      </c>
      <c r="AV383" s="157" t="n"/>
      <c r="AW383" s="75">
        <f>_xlfn.IFNA(VLOOKUP(L383,list_vat[],3,FALSE),0)</f>
        <v/>
      </c>
      <c r="AX383" s="76">
        <f>IFERROR(ROUND(S383*(1+AW383)/E383,2),0)</f>
        <v/>
      </c>
      <c r="AY383" s="76">
        <f>E383*AX383</f>
        <v/>
      </c>
      <c r="AZ383" s="192">
        <f>S383*(1+M383)</f>
        <v/>
      </c>
      <c r="BA383" s="76">
        <f>cost_fin_total*$BD383</f>
        <v/>
      </c>
      <c r="BB383" s="193">
        <f>credit_sales_interest*BD383</f>
        <v/>
      </c>
      <c r="BC383" s="102">
        <f>IFERROR(IF($I$13&gt;0,$I383/$I$13,$S383/$S$13),0)</f>
        <v/>
      </c>
      <c r="BD383" s="102">
        <f>IFERROR($S383/$S$13,0)</f>
        <v/>
      </c>
      <c r="BE383" s="413" t="inlineStr">
        <is>
          <t>$</t>
        </is>
      </c>
    </row>
    <row r="384" ht="12" customFormat="1" customHeight="1" s="65">
      <c r="A384" s="43" t="n">
        <v>369</v>
      </c>
      <c r="B384" s="166" t="n"/>
      <c r="C384" s="166" t="n"/>
      <c r="D384" s="166" t="n"/>
      <c r="E384" s="162" t="n"/>
      <c r="F384" s="166" t="n"/>
      <c r="G384" s="162" t="n"/>
      <c r="H384" s="162" t="n"/>
      <c r="I384" s="189">
        <f>E384*G384</f>
        <v/>
      </c>
      <c r="J384" s="195" t="n"/>
      <c r="K384" s="162" t="n"/>
      <c r="L384" s="168" t="n"/>
      <c r="M384" s="75">
        <f>_xlfn.XLOOKUP(L384,list_vat[Страна],list_vat[Ставка НДС %],0,0)</f>
        <v/>
      </c>
      <c r="N384" s="162">
        <f>IFERROR(IF(L384="Китай",K384,K384/(1+M384)),0)</f>
        <v/>
      </c>
      <c r="O384" s="169" t="n"/>
      <c r="P384" s="76">
        <f>N384*(1-O384)</f>
        <v/>
      </c>
      <c r="Q384" s="162" t="n"/>
      <c r="R384" s="162">
        <f>IF(ISBLANK(Q384),"введи курс",P384/Q384)</f>
        <v/>
      </c>
      <c r="S384" s="196">
        <f>IF(AND(ISNUMBER(E384),ISNUMBER(Q384)),E384*R384,0)</f>
        <v/>
      </c>
      <c r="T384" s="192">
        <f>$BC384*V$11</f>
        <v/>
      </c>
      <c r="U384" s="76">
        <f>$BC384*W$11</f>
        <v/>
      </c>
      <c r="V384" s="193">
        <f>+SUM(T384:U384)</f>
        <v/>
      </c>
      <c r="W384" s="191" t="n"/>
      <c r="X384" s="170" t="n"/>
      <c r="Y384" s="76">
        <f>ROUND(IF(offer_incoterms="DDP",X384*(S384*(1+AW384)+T384),0),2)</f>
        <v/>
      </c>
      <c r="Z384" s="188" t="n"/>
      <c r="AA384" s="192">
        <f>IFERROR(AB384/E384,0)</f>
        <v/>
      </c>
      <c r="AB384" s="76">
        <f>ROUND(SUM(S384,V384,Y384:Z384,BA384:BB384),2)</f>
        <v/>
      </c>
      <c r="AC384" s="797" t="n"/>
      <c r="AD384" s="192">
        <f t="array" ref="AD384">IFERROR(ROUND((_xlfn.IFS(offer_sale_type="поставка",AB384,offer_sale_type="транзит",S384)*(1+AC384))/E384,2),0)</f>
        <v/>
      </c>
      <c r="AE384" s="76">
        <f>AD384*E384</f>
        <v/>
      </c>
      <c r="AF384" s="193">
        <f t="array" ref="AF384">IFERROR(ROUND(_xlfn.IFS(offer_sale_type="поставка",AB384,offer_sale_type="транзит",S384)*AC384,2),0)</f>
        <v/>
      </c>
      <c r="AG384" s="192">
        <f>$BD384*VLOOKUP($AG$3,$AF$4:$AG$7,2,FALSE)</f>
        <v/>
      </c>
      <c r="AH384" s="76">
        <f>SUM(AE384,AG384,AI384)*rate_forex_risk</f>
        <v/>
      </c>
      <c r="AI384" s="193">
        <f>IF(OR(seller_region="TR",offer_sale_type="экспорт"),0,rate_fin_comm)*SUM(AZ384,AZ384*AW384,T384)</f>
        <v/>
      </c>
      <c r="AJ384" s="118">
        <f>IFERROR(ROUND(SUM(AB384,AF384:AI384)/E384,2),0)</f>
        <v/>
      </c>
      <c r="AK384" s="76">
        <f>AJ384*E384</f>
        <v/>
      </c>
      <c r="AL384" s="174">
        <f>ROUND(IFERROR(AM384*E384,0),2)</f>
        <v/>
      </c>
      <c r="AM384" s="175">
        <f>ROUND(AJ384*(1+IF(offer_incoterms="DDP",IF((TODAY()+offer_turnaround_time)&gt;=helpsheet!$L$17,rate_vatRU_from_26,rate_vatRu_till_25),0)),2)</f>
        <v/>
      </c>
      <c r="AN384" s="192">
        <f>AL384-AK384</f>
        <v/>
      </c>
      <c r="AO384" s="76">
        <f>SUM(AY384,Y384:Z384,T384)*IF(AND(offer_incoterms="DDP",offer_sale_type&lt;&gt;"экспорт"),IF((TODAY()+offer_turnaround_time)&gt;=helpsheet!$L$17,rate_vatRU_from_26,rate_vatRu_till_25),0)</f>
        <v/>
      </c>
      <c r="AP384" s="193">
        <f>AN384-AO384</f>
        <v/>
      </c>
      <c r="AQ384" s="118">
        <f>IF(offer_sale_type="транзит",SUM(AF384:AI384,BA384,BB384),0)</f>
        <v/>
      </c>
      <c r="AR384" s="82">
        <f>HYPERLINK("https://www.alta.ru/tnved/code/")&amp;W384&amp;"/"</f>
        <v/>
      </c>
      <c r="AS384" s="157" t="n"/>
      <c r="AT384" s="162" t="n"/>
      <c r="AU384" s="76">
        <f>IF(ISBLANK(AT384),0,AJ384-AT384)</f>
        <v/>
      </c>
      <c r="AV384" s="157" t="n"/>
      <c r="AW384" s="75">
        <f>_xlfn.IFNA(VLOOKUP(L384,list_vat[],3,FALSE),0)</f>
        <v/>
      </c>
      <c r="AX384" s="76">
        <f>IFERROR(ROUND(S384*(1+AW384)/E384,2),0)</f>
        <v/>
      </c>
      <c r="AY384" s="76">
        <f>E384*AX384</f>
        <v/>
      </c>
      <c r="AZ384" s="192">
        <f>S384*(1+M384)</f>
        <v/>
      </c>
      <c r="BA384" s="76">
        <f>cost_fin_total*$BD384</f>
        <v/>
      </c>
      <c r="BB384" s="193">
        <f>credit_sales_interest*BD384</f>
        <v/>
      </c>
      <c r="BC384" s="102">
        <f>IFERROR(IF($I$13&gt;0,$I384/$I$13,$S384/$S$13),0)</f>
        <v/>
      </c>
      <c r="BD384" s="102">
        <f>IFERROR($S384/$S$13,0)</f>
        <v/>
      </c>
      <c r="BE384" s="413" t="inlineStr">
        <is>
          <t>$</t>
        </is>
      </c>
    </row>
    <row r="385" ht="12" customFormat="1" customHeight="1" s="65">
      <c r="A385" s="43" t="n">
        <v>370</v>
      </c>
      <c r="B385" s="166" t="n"/>
      <c r="C385" s="166" t="n"/>
      <c r="D385" s="166" t="n"/>
      <c r="E385" s="162" t="n"/>
      <c r="F385" s="166" t="n"/>
      <c r="G385" s="162" t="n"/>
      <c r="H385" s="162" t="n"/>
      <c r="I385" s="189">
        <f>E385*G385</f>
        <v/>
      </c>
      <c r="J385" s="195" t="n"/>
      <c r="K385" s="162" t="n"/>
      <c r="L385" s="168" t="n"/>
      <c r="M385" s="75">
        <f>_xlfn.XLOOKUP(L385,list_vat[Страна],list_vat[Ставка НДС %],0,0)</f>
        <v/>
      </c>
      <c r="N385" s="162">
        <f>IFERROR(IF(L385="Китай",K385,K385/(1+M385)),0)</f>
        <v/>
      </c>
      <c r="O385" s="169" t="n"/>
      <c r="P385" s="76">
        <f>N385*(1-O385)</f>
        <v/>
      </c>
      <c r="Q385" s="162" t="n"/>
      <c r="R385" s="162">
        <f>IF(ISBLANK(Q385),"введи курс",P385/Q385)</f>
        <v/>
      </c>
      <c r="S385" s="196">
        <f>IF(AND(ISNUMBER(E385),ISNUMBER(Q385)),E385*R385,0)</f>
        <v/>
      </c>
      <c r="T385" s="192">
        <f>$BC385*V$11</f>
        <v/>
      </c>
      <c r="U385" s="76">
        <f>$BC385*W$11</f>
        <v/>
      </c>
      <c r="V385" s="193">
        <f>+SUM(T385:U385)</f>
        <v/>
      </c>
      <c r="W385" s="191" t="n"/>
      <c r="X385" s="170" t="n"/>
      <c r="Y385" s="76">
        <f>ROUND(IF(offer_incoterms="DDP",X385*(S385*(1+AW385)+T385),0),2)</f>
        <v/>
      </c>
      <c r="Z385" s="188" t="n"/>
      <c r="AA385" s="192">
        <f>IFERROR(AB385/E385,0)</f>
        <v/>
      </c>
      <c r="AB385" s="76">
        <f>ROUND(SUM(S385,V385,Y385:Z385,BA385:BB385),2)</f>
        <v/>
      </c>
      <c r="AC385" s="797" t="n"/>
      <c r="AD385" s="192">
        <f t="array" ref="AD385">IFERROR(ROUND((_xlfn.IFS(offer_sale_type="поставка",AB385,offer_sale_type="транзит",S385)*(1+AC385))/E385,2),0)</f>
        <v/>
      </c>
      <c r="AE385" s="76">
        <f>AD385*E385</f>
        <v/>
      </c>
      <c r="AF385" s="193">
        <f t="array" ref="AF385">IFERROR(ROUND(_xlfn.IFS(offer_sale_type="поставка",AB385,offer_sale_type="транзит",S385)*AC385,2),0)</f>
        <v/>
      </c>
      <c r="AG385" s="192">
        <f>$BD385*VLOOKUP($AG$3,$AF$4:$AG$7,2,FALSE)</f>
        <v/>
      </c>
      <c r="AH385" s="76">
        <f>SUM(AE385,AG385,AI385)*rate_forex_risk</f>
        <v/>
      </c>
      <c r="AI385" s="193">
        <f>IF(OR(seller_region="TR",offer_sale_type="экспорт"),0,rate_fin_comm)*SUM(AZ385,AZ385*AW385,T385)</f>
        <v/>
      </c>
      <c r="AJ385" s="118">
        <f>IFERROR(ROUND(SUM(AB385,AF385:AI385)/E385,2),0)</f>
        <v/>
      </c>
      <c r="AK385" s="76">
        <f>AJ385*E385</f>
        <v/>
      </c>
      <c r="AL385" s="174">
        <f>ROUND(IFERROR(AM385*E385,0),2)</f>
        <v/>
      </c>
      <c r="AM385" s="175">
        <f>ROUND(AJ385*(1+IF(offer_incoterms="DDP",IF((TODAY()+offer_turnaround_time)&gt;=helpsheet!$L$17,rate_vatRU_from_26,rate_vatRu_till_25),0)),2)</f>
        <v/>
      </c>
      <c r="AN385" s="192">
        <f>AL385-AK385</f>
        <v/>
      </c>
      <c r="AO385" s="76">
        <f>SUM(AY385,Y385:Z385,T385)*IF(AND(offer_incoterms="DDP",offer_sale_type&lt;&gt;"экспорт"),IF((TODAY()+offer_turnaround_time)&gt;=helpsheet!$L$17,rate_vatRU_from_26,rate_vatRu_till_25),0)</f>
        <v/>
      </c>
      <c r="AP385" s="193">
        <f>AN385-AO385</f>
        <v/>
      </c>
      <c r="AQ385" s="118">
        <f>IF(offer_sale_type="транзит",SUM(AF385:AI385,BA385,BB385),0)</f>
        <v/>
      </c>
      <c r="AR385" s="82">
        <f>HYPERLINK("https://www.alta.ru/tnved/code/")&amp;W385&amp;"/"</f>
        <v/>
      </c>
      <c r="AS385" s="157" t="n"/>
      <c r="AT385" s="162" t="n"/>
      <c r="AU385" s="76">
        <f>IF(ISBLANK(AT385),0,AJ385-AT385)</f>
        <v/>
      </c>
      <c r="AV385" s="157" t="n"/>
      <c r="AW385" s="75">
        <f>_xlfn.IFNA(VLOOKUP(L385,list_vat[],3,FALSE),0)</f>
        <v/>
      </c>
      <c r="AX385" s="76">
        <f>IFERROR(ROUND(S385*(1+AW385)/E385,2),0)</f>
        <v/>
      </c>
      <c r="AY385" s="76">
        <f>E385*AX385</f>
        <v/>
      </c>
      <c r="AZ385" s="192">
        <f>S385*(1+M385)</f>
        <v/>
      </c>
      <c r="BA385" s="76">
        <f>cost_fin_total*$BD385</f>
        <v/>
      </c>
      <c r="BB385" s="193">
        <f>credit_sales_interest*BD385</f>
        <v/>
      </c>
      <c r="BC385" s="102">
        <f>IFERROR(IF($I$13&gt;0,$I385/$I$13,$S385/$S$13),0)</f>
        <v/>
      </c>
      <c r="BD385" s="102">
        <f>IFERROR($S385/$S$13,0)</f>
        <v/>
      </c>
      <c r="BE385" s="413" t="inlineStr">
        <is>
          <t>$</t>
        </is>
      </c>
    </row>
    <row r="386" ht="12" customFormat="1" customHeight="1" s="65">
      <c r="A386" s="43" t="n">
        <v>371</v>
      </c>
      <c r="B386" s="166" t="n"/>
      <c r="C386" s="166" t="n"/>
      <c r="D386" s="166" t="n"/>
      <c r="E386" s="162" t="n"/>
      <c r="F386" s="166" t="n"/>
      <c r="G386" s="162" t="n"/>
      <c r="H386" s="162" t="n"/>
      <c r="I386" s="189">
        <f>E386*G386</f>
        <v/>
      </c>
      <c r="J386" s="195" t="n"/>
      <c r="K386" s="162" t="n"/>
      <c r="L386" s="168" t="n"/>
      <c r="M386" s="75">
        <f>_xlfn.XLOOKUP(L386,list_vat[Страна],list_vat[Ставка НДС %],0,0)</f>
        <v/>
      </c>
      <c r="N386" s="162">
        <f>IFERROR(IF(L386="Китай",K386,K386/(1+M386)),0)</f>
        <v/>
      </c>
      <c r="O386" s="169" t="n"/>
      <c r="P386" s="76">
        <f>N386*(1-O386)</f>
        <v/>
      </c>
      <c r="Q386" s="162" t="n"/>
      <c r="R386" s="162">
        <f>IF(ISBLANK(Q386),"введи курс",P386/Q386)</f>
        <v/>
      </c>
      <c r="S386" s="196">
        <f>IF(AND(ISNUMBER(E386),ISNUMBER(Q386)),E386*R386,0)</f>
        <v/>
      </c>
      <c r="T386" s="192">
        <f>$BC386*V$11</f>
        <v/>
      </c>
      <c r="U386" s="76">
        <f>$BC386*W$11</f>
        <v/>
      </c>
      <c r="V386" s="193">
        <f>+SUM(T386:U386)</f>
        <v/>
      </c>
      <c r="W386" s="191" t="n"/>
      <c r="X386" s="170" t="n"/>
      <c r="Y386" s="76">
        <f>ROUND(IF(offer_incoterms="DDP",X386*(S386*(1+AW386)+T386),0),2)</f>
        <v/>
      </c>
      <c r="Z386" s="188" t="n"/>
      <c r="AA386" s="192">
        <f>IFERROR(AB386/E386,0)</f>
        <v/>
      </c>
      <c r="AB386" s="76">
        <f>ROUND(SUM(S386,V386,Y386:Z386,BA386:BB386),2)</f>
        <v/>
      </c>
      <c r="AC386" s="797" t="n"/>
      <c r="AD386" s="192">
        <f t="array" ref="AD386">IFERROR(ROUND((_xlfn.IFS(offer_sale_type="поставка",AB386,offer_sale_type="транзит",S386)*(1+AC386))/E386,2),0)</f>
        <v/>
      </c>
      <c r="AE386" s="76">
        <f>AD386*E386</f>
        <v/>
      </c>
      <c r="AF386" s="193">
        <f t="array" ref="AF386">IFERROR(ROUND(_xlfn.IFS(offer_sale_type="поставка",AB386,offer_sale_type="транзит",S386)*AC386,2),0)</f>
        <v/>
      </c>
      <c r="AG386" s="192">
        <f>$BD386*VLOOKUP($AG$3,$AF$4:$AG$7,2,FALSE)</f>
        <v/>
      </c>
      <c r="AH386" s="76">
        <f>SUM(AE386,AG386,AI386)*rate_forex_risk</f>
        <v/>
      </c>
      <c r="AI386" s="193">
        <f>IF(OR(seller_region="TR",offer_sale_type="экспорт"),0,rate_fin_comm)*SUM(AZ386,AZ386*AW386,T386)</f>
        <v/>
      </c>
      <c r="AJ386" s="118">
        <f>IFERROR(ROUND(SUM(AB386,AF386:AI386)/E386,2),0)</f>
        <v/>
      </c>
      <c r="AK386" s="76">
        <f>AJ386*E386</f>
        <v/>
      </c>
      <c r="AL386" s="174">
        <f>ROUND(IFERROR(AM386*E386,0),2)</f>
        <v/>
      </c>
      <c r="AM386" s="175">
        <f>ROUND(AJ386*(1+IF(offer_incoterms="DDP",IF((TODAY()+offer_turnaround_time)&gt;=helpsheet!$L$17,rate_vatRU_from_26,rate_vatRu_till_25),0)),2)</f>
        <v/>
      </c>
      <c r="AN386" s="192">
        <f>AL386-AK386</f>
        <v/>
      </c>
      <c r="AO386" s="76">
        <f>SUM(AY386,Y386:Z386,T386)*IF(AND(offer_incoterms="DDP",offer_sale_type&lt;&gt;"экспорт"),IF((TODAY()+offer_turnaround_time)&gt;=helpsheet!$L$17,rate_vatRU_from_26,rate_vatRu_till_25),0)</f>
        <v/>
      </c>
      <c r="AP386" s="193">
        <f>AN386-AO386</f>
        <v/>
      </c>
      <c r="AQ386" s="118">
        <f>IF(offer_sale_type="транзит",SUM(AF386:AI386,BA386,BB386),0)</f>
        <v/>
      </c>
      <c r="AR386" s="82">
        <f>HYPERLINK("https://www.alta.ru/tnved/code/")&amp;W386&amp;"/"</f>
        <v/>
      </c>
      <c r="AS386" s="157" t="n"/>
      <c r="AT386" s="162" t="n"/>
      <c r="AU386" s="76">
        <f>IF(ISBLANK(AT386),0,AJ386-AT386)</f>
        <v/>
      </c>
      <c r="AV386" s="157" t="n"/>
      <c r="AW386" s="75">
        <f>_xlfn.IFNA(VLOOKUP(L386,list_vat[],3,FALSE),0)</f>
        <v/>
      </c>
      <c r="AX386" s="76">
        <f>IFERROR(ROUND(S386*(1+AW386)/E386,2),0)</f>
        <v/>
      </c>
      <c r="AY386" s="76">
        <f>E386*AX386</f>
        <v/>
      </c>
      <c r="AZ386" s="192">
        <f>S386*(1+M386)</f>
        <v/>
      </c>
      <c r="BA386" s="76">
        <f>cost_fin_total*$BD386</f>
        <v/>
      </c>
      <c r="BB386" s="193">
        <f>credit_sales_interest*BD386</f>
        <v/>
      </c>
      <c r="BC386" s="102">
        <f>IFERROR(IF($I$13&gt;0,$I386/$I$13,$S386/$S$13),0)</f>
        <v/>
      </c>
      <c r="BD386" s="102">
        <f>IFERROR($S386/$S$13,0)</f>
        <v/>
      </c>
      <c r="BE386" s="413" t="inlineStr">
        <is>
          <t>$</t>
        </is>
      </c>
    </row>
    <row r="387" ht="12" customFormat="1" customHeight="1" s="65">
      <c r="A387" s="43" t="n">
        <v>372</v>
      </c>
      <c r="B387" s="166" t="n"/>
      <c r="C387" s="166" t="n"/>
      <c r="D387" s="166" t="n"/>
      <c r="E387" s="162" t="n"/>
      <c r="F387" s="166" t="n"/>
      <c r="G387" s="162" t="n"/>
      <c r="H387" s="162" t="n"/>
      <c r="I387" s="189">
        <f>E387*G387</f>
        <v/>
      </c>
      <c r="J387" s="195" t="n"/>
      <c r="K387" s="162" t="n"/>
      <c r="L387" s="168" t="n"/>
      <c r="M387" s="75">
        <f>_xlfn.XLOOKUP(L387,list_vat[Страна],list_vat[Ставка НДС %],0,0)</f>
        <v/>
      </c>
      <c r="N387" s="162">
        <f>IFERROR(IF(L387="Китай",K387,K387/(1+M387)),0)</f>
        <v/>
      </c>
      <c r="O387" s="169" t="n"/>
      <c r="P387" s="76">
        <f>N387*(1-O387)</f>
        <v/>
      </c>
      <c r="Q387" s="162" t="n"/>
      <c r="R387" s="162">
        <f>IF(ISBLANK(Q387),"введи курс",P387/Q387)</f>
        <v/>
      </c>
      <c r="S387" s="196">
        <f>IF(AND(ISNUMBER(E387),ISNUMBER(Q387)),E387*R387,0)</f>
        <v/>
      </c>
      <c r="T387" s="192">
        <f>$BC387*V$11</f>
        <v/>
      </c>
      <c r="U387" s="76">
        <f>$BC387*W$11</f>
        <v/>
      </c>
      <c r="V387" s="193">
        <f>+SUM(T387:U387)</f>
        <v/>
      </c>
      <c r="W387" s="191" t="n"/>
      <c r="X387" s="170" t="n"/>
      <c r="Y387" s="76">
        <f>ROUND(IF(offer_incoterms="DDP",X387*(S387*(1+AW387)+T387),0),2)</f>
        <v/>
      </c>
      <c r="Z387" s="188" t="n"/>
      <c r="AA387" s="192">
        <f>IFERROR(AB387/E387,0)</f>
        <v/>
      </c>
      <c r="AB387" s="76">
        <f>ROUND(SUM(S387,V387,Y387:Z387,BA387:BB387),2)</f>
        <v/>
      </c>
      <c r="AC387" s="797" t="n"/>
      <c r="AD387" s="192">
        <f t="array" ref="AD387">IFERROR(ROUND((_xlfn.IFS(offer_sale_type="поставка",AB387,offer_sale_type="транзит",S387)*(1+AC387))/E387,2),0)</f>
        <v/>
      </c>
      <c r="AE387" s="76">
        <f>AD387*E387</f>
        <v/>
      </c>
      <c r="AF387" s="193">
        <f t="array" ref="AF387">IFERROR(ROUND(_xlfn.IFS(offer_sale_type="поставка",AB387,offer_sale_type="транзит",S387)*AC387,2),0)</f>
        <v/>
      </c>
      <c r="AG387" s="192">
        <f>$BD387*VLOOKUP($AG$3,$AF$4:$AG$7,2,FALSE)</f>
        <v/>
      </c>
      <c r="AH387" s="76">
        <f>SUM(AE387,AG387,AI387)*rate_forex_risk</f>
        <v/>
      </c>
      <c r="AI387" s="193">
        <f>IF(OR(seller_region="TR",offer_sale_type="экспорт"),0,rate_fin_comm)*SUM(AZ387,AZ387*AW387,T387)</f>
        <v/>
      </c>
      <c r="AJ387" s="118">
        <f>IFERROR(ROUND(SUM(AB387,AF387:AI387)/E387,2),0)</f>
        <v/>
      </c>
      <c r="AK387" s="76">
        <f>AJ387*E387</f>
        <v/>
      </c>
      <c r="AL387" s="174">
        <f>ROUND(IFERROR(AM387*E387,0),2)</f>
        <v/>
      </c>
      <c r="AM387" s="175">
        <f>ROUND(AJ387*(1+IF(offer_incoterms="DDP",IF((TODAY()+offer_turnaround_time)&gt;=helpsheet!$L$17,rate_vatRU_from_26,rate_vatRu_till_25),0)),2)</f>
        <v/>
      </c>
      <c r="AN387" s="192">
        <f>AL387-AK387</f>
        <v/>
      </c>
      <c r="AO387" s="76">
        <f>SUM(AY387,Y387:Z387,T387)*IF(AND(offer_incoterms="DDP",offer_sale_type&lt;&gt;"экспорт"),IF((TODAY()+offer_turnaround_time)&gt;=helpsheet!$L$17,rate_vatRU_from_26,rate_vatRu_till_25),0)</f>
        <v/>
      </c>
      <c r="AP387" s="193">
        <f>AN387-AO387</f>
        <v/>
      </c>
      <c r="AQ387" s="118">
        <f>IF(offer_sale_type="транзит",SUM(AF387:AI387,BA387,BB387),0)</f>
        <v/>
      </c>
      <c r="AR387" s="82">
        <f>HYPERLINK("https://www.alta.ru/tnved/code/")&amp;W387&amp;"/"</f>
        <v/>
      </c>
      <c r="AS387" s="157" t="n"/>
      <c r="AT387" s="162" t="n"/>
      <c r="AU387" s="76">
        <f>IF(ISBLANK(AT387),0,AJ387-AT387)</f>
        <v/>
      </c>
      <c r="AV387" s="157" t="n"/>
      <c r="AW387" s="75">
        <f>_xlfn.IFNA(VLOOKUP(L387,list_vat[],3,FALSE),0)</f>
        <v/>
      </c>
      <c r="AX387" s="76">
        <f>IFERROR(ROUND(S387*(1+AW387)/E387,2),0)</f>
        <v/>
      </c>
      <c r="AY387" s="76">
        <f>E387*AX387</f>
        <v/>
      </c>
      <c r="AZ387" s="192">
        <f>S387*(1+M387)</f>
        <v/>
      </c>
      <c r="BA387" s="76">
        <f>cost_fin_total*$BD387</f>
        <v/>
      </c>
      <c r="BB387" s="193">
        <f>credit_sales_interest*BD387</f>
        <v/>
      </c>
      <c r="BC387" s="102">
        <f>IFERROR(IF($I$13&gt;0,$I387/$I$13,$S387/$S$13),0)</f>
        <v/>
      </c>
      <c r="BD387" s="102">
        <f>IFERROR($S387/$S$13,0)</f>
        <v/>
      </c>
      <c r="BE387" s="413" t="inlineStr">
        <is>
          <t>$</t>
        </is>
      </c>
    </row>
    <row r="388" ht="12" customFormat="1" customHeight="1" s="65">
      <c r="A388" s="43" t="n">
        <v>373</v>
      </c>
      <c r="B388" s="166" t="n"/>
      <c r="C388" s="166" t="n"/>
      <c r="D388" s="166" t="n"/>
      <c r="E388" s="162" t="n"/>
      <c r="F388" s="166" t="n"/>
      <c r="G388" s="162" t="n"/>
      <c r="H388" s="162" t="n"/>
      <c r="I388" s="189">
        <f>E388*G388</f>
        <v/>
      </c>
      <c r="J388" s="195" t="n"/>
      <c r="K388" s="162" t="n"/>
      <c r="L388" s="168" t="n"/>
      <c r="M388" s="75">
        <f>_xlfn.XLOOKUP(L388,list_vat[Страна],list_vat[Ставка НДС %],0,0)</f>
        <v/>
      </c>
      <c r="N388" s="162">
        <f>IFERROR(IF(L388="Китай",K388,K388/(1+M388)),0)</f>
        <v/>
      </c>
      <c r="O388" s="169" t="n"/>
      <c r="P388" s="76">
        <f>N388*(1-O388)</f>
        <v/>
      </c>
      <c r="Q388" s="162" t="n"/>
      <c r="R388" s="162">
        <f>IF(ISBLANK(Q388),"введи курс",P388/Q388)</f>
        <v/>
      </c>
      <c r="S388" s="196">
        <f>IF(AND(ISNUMBER(E388),ISNUMBER(Q388)),E388*R388,0)</f>
        <v/>
      </c>
      <c r="T388" s="192">
        <f>$BC388*V$11</f>
        <v/>
      </c>
      <c r="U388" s="76">
        <f>$BC388*W$11</f>
        <v/>
      </c>
      <c r="V388" s="193">
        <f>+SUM(T388:U388)</f>
        <v/>
      </c>
      <c r="W388" s="191" t="n"/>
      <c r="X388" s="170" t="n"/>
      <c r="Y388" s="76">
        <f>ROUND(IF(offer_incoterms="DDP",X388*(S388*(1+AW388)+T388),0),2)</f>
        <v/>
      </c>
      <c r="Z388" s="188" t="n"/>
      <c r="AA388" s="192">
        <f>IFERROR(AB388/E388,0)</f>
        <v/>
      </c>
      <c r="AB388" s="76">
        <f>ROUND(SUM(S388,V388,Y388:Z388,BA388:BB388),2)</f>
        <v/>
      </c>
      <c r="AC388" s="797" t="n"/>
      <c r="AD388" s="192">
        <f t="array" ref="AD388">IFERROR(ROUND((_xlfn.IFS(offer_sale_type="поставка",AB388,offer_sale_type="транзит",S388)*(1+AC388))/E388,2),0)</f>
        <v/>
      </c>
      <c r="AE388" s="76">
        <f>AD388*E388</f>
        <v/>
      </c>
      <c r="AF388" s="193">
        <f t="array" ref="AF388">IFERROR(ROUND(_xlfn.IFS(offer_sale_type="поставка",AB388,offer_sale_type="транзит",S388)*AC388,2),0)</f>
        <v/>
      </c>
      <c r="AG388" s="192">
        <f>$BD388*VLOOKUP($AG$3,$AF$4:$AG$7,2,FALSE)</f>
        <v/>
      </c>
      <c r="AH388" s="76">
        <f>SUM(AE388,AG388,AI388)*rate_forex_risk</f>
        <v/>
      </c>
      <c r="AI388" s="193">
        <f>IF(OR(seller_region="TR",offer_sale_type="экспорт"),0,rate_fin_comm)*SUM(AZ388,AZ388*AW388,T388)</f>
        <v/>
      </c>
      <c r="AJ388" s="118">
        <f>IFERROR(ROUND(SUM(AB388,AF388:AI388)/E388,2),0)</f>
        <v/>
      </c>
      <c r="AK388" s="76">
        <f>AJ388*E388</f>
        <v/>
      </c>
      <c r="AL388" s="174">
        <f>ROUND(IFERROR(AM388*E388,0),2)</f>
        <v/>
      </c>
      <c r="AM388" s="175">
        <f>ROUND(AJ388*(1+IF(offer_incoterms="DDP",IF((TODAY()+offer_turnaround_time)&gt;=helpsheet!$L$17,rate_vatRU_from_26,rate_vatRu_till_25),0)),2)</f>
        <v/>
      </c>
      <c r="AN388" s="192">
        <f>AL388-AK388</f>
        <v/>
      </c>
      <c r="AO388" s="76">
        <f>SUM(AY388,Y388:Z388,T388)*IF(AND(offer_incoterms="DDP",offer_sale_type&lt;&gt;"экспорт"),IF((TODAY()+offer_turnaround_time)&gt;=helpsheet!$L$17,rate_vatRU_from_26,rate_vatRu_till_25),0)</f>
        <v/>
      </c>
      <c r="AP388" s="193">
        <f>AN388-AO388</f>
        <v/>
      </c>
      <c r="AQ388" s="118">
        <f>IF(offer_sale_type="транзит",SUM(AF388:AI388,BA388,BB388),0)</f>
        <v/>
      </c>
      <c r="AR388" s="82">
        <f>HYPERLINK("https://www.alta.ru/tnved/code/")&amp;W388&amp;"/"</f>
        <v/>
      </c>
      <c r="AS388" s="157" t="n"/>
      <c r="AT388" s="162" t="n"/>
      <c r="AU388" s="76">
        <f>IF(ISBLANK(AT388),0,AJ388-AT388)</f>
        <v/>
      </c>
      <c r="AV388" s="157" t="n"/>
      <c r="AW388" s="75">
        <f>_xlfn.IFNA(VLOOKUP(L388,list_vat[],3,FALSE),0)</f>
        <v/>
      </c>
      <c r="AX388" s="76">
        <f>IFERROR(ROUND(S388*(1+AW388)/E388,2),0)</f>
        <v/>
      </c>
      <c r="AY388" s="76">
        <f>E388*AX388</f>
        <v/>
      </c>
      <c r="AZ388" s="192">
        <f>S388*(1+M388)</f>
        <v/>
      </c>
      <c r="BA388" s="76">
        <f>cost_fin_total*$BD388</f>
        <v/>
      </c>
      <c r="BB388" s="193">
        <f>credit_sales_interest*BD388</f>
        <v/>
      </c>
      <c r="BC388" s="102">
        <f>IFERROR(IF($I$13&gt;0,$I388/$I$13,$S388/$S$13),0)</f>
        <v/>
      </c>
      <c r="BD388" s="102">
        <f>IFERROR($S388/$S$13,0)</f>
        <v/>
      </c>
      <c r="BE388" s="413" t="inlineStr">
        <is>
          <t>$</t>
        </is>
      </c>
    </row>
    <row r="389" ht="12" customFormat="1" customHeight="1" s="65">
      <c r="A389" s="43" t="n">
        <v>374</v>
      </c>
      <c r="B389" s="166" t="n"/>
      <c r="C389" s="166" t="n"/>
      <c r="D389" s="166" t="n"/>
      <c r="E389" s="162" t="n"/>
      <c r="F389" s="166" t="n"/>
      <c r="G389" s="162" t="n"/>
      <c r="H389" s="162" t="n"/>
      <c r="I389" s="189">
        <f>E389*G389</f>
        <v/>
      </c>
      <c r="J389" s="195" t="n"/>
      <c r="K389" s="162" t="n"/>
      <c r="L389" s="168" t="n"/>
      <c r="M389" s="75">
        <f>_xlfn.XLOOKUP(L389,list_vat[Страна],list_vat[Ставка НДС %],0,0)</f>
        <v/>
      </c>
      <c r="N389" s="162">
        <f>IFERROR(IF(L389="Китай",K389,K389/(1+M389)),0)</f>
        <v/>
      </c>
      <c r="O389" s="169" t="n"/>
      <c r="P389" s="76">
        <f>N389*(1-O389)</f>
        <v/>
      </c>
      <c r="Q389" s="162" t="n"/>
      <c r="R389" s="162">
        <f>IF(ISBLANK(Q389),"введи курс",P389/Q389)</f>
        <v/>
      </c>
      <c r="S389" s="196">
        <f>IF(AND(ISNUMBER(E389),ISNUMBER(Q389)),E389*R389,0)</f>
        <v/>
      </c>
      <c r="T389" s="192">
        <f>$BC389*V$11</f>
        <v/>
      </c>
      <c r="U389" s="76">
        <f>$BC389*W$11</f>
        <v/>
      </c>
      <c r="V389" s="193">
        <f>+SUM(T389:U389)</f>
        <v/>
      </c>
      <c r="W389" s="191" t="n"/>
      <c r="X389" s="170" t="n"/>
      <c r="Y389" s="76">
        <f>ROUND(IF(offer_incoterms="DDP",X389*(S389*(1+AW389)+T389),0),2)</f>
        <v/>
      </c>
      <c r="Z389" s="188" t="n"/>
      <c r="AA389" s="192">
        <f>IFERROR(AB389/E389,0)</f>
        <v/>
      </c>
      <c r="AB389" s="76">
        <f>ROUND(SUM(S389,V389,Y389:Z389,BA389:BB389),2)</f>
        <v/>
      </c>
      <c r="AC389" s="797" t="n"/>
      <c r="AD389" s="192">
        <f t="array" ref="AD389">IFERROR(ROUND((_xlfn.IFS(offer_sale_type="поставка",AB389,offer_sale_type="транзит",S389)*(1+AC389))/E389,2),0)</f>
        <v/>
      </c>
      <c r="AE389" s="76">
        <f>AD389*E389</f>
        <v/>
      </c>
      <c r="AF389" s="193">
        <f t="array" ref="AF389">IFERROR(ROUND(_xlfn.IFS(offer_sale_type="поставка",AB389,offer_sale_type="транзит",S389)*AC389,2),0)</f>
        <v/>
      </c>
      <c r="AG389" s="192">
        <f>$BD389*VLOOKUP($AG$3,$AF$4:$AG$7,2,FALSE)</f>
        <v/>
      </c>
      <c r="AH389" s="76">
        <f>SUM(AE389,AG389,AI389)*rate_forex_risk</f>
        <v/>
      </c>
      <c r="AI389" s="193">
        <f>IF(OR(seller_region="TR",offer_sale_type="экспорт"),0,rate_fin_comm)*SUM(AZ389,AZ389*AW389,T389)</f>
        <v/>
      </c>
      <c r="AJ389" s="118">
        <f>IFERROR(ROUND(SUM(AB389,AF389:AI389)/E389,2),0)</f>
        <v/>
      </c>
      <c r="AK389" s="76">
        <f>AJ389*E389</f>
        <v/>
      </c>
      <c r="AL389" s="174">
        <f>ROUND(IFERROR(AM389*E389,0),2)</f>
        <v/>
      </c>
      <c r="AM389" s="175">
        <f>ROUND(AJ389*(1+IF(offer_incoterms="DDP",IF((TODAY()+offer_turnaround_time)&gt;=helpsheet!$L$17,rate_vatRU_from_26,rate_vatRu_till_25),0)),2)</f>
        <v/>
      </c>
      <c r="AN389" s="192">
        <f>AL389-AK389</f>
        <v/>
      </c>
      <c r="AO389" s="76">
        <f>SUM(AY389,Y389:Z389,T389)*IF(AND(offer_incoterms="DDP",offer_sale_type&lt;&gt;"экспорт"),IF((TODAY()+offer_turnaround_time)&gt;=helpsheet!$L$17,rate_vatRU_from_26,rate_vatRu_till_25),0)</f>
        <v/>
      </c>
      <c r="AP389" s="193">
        <f>AN389-AO389</f>
        <v/>
      </c>
      <c r="AQ389" s="118">
        <f>IF(offer_sale_type="транзит",SUM(AF389:AI389,BA389,BB389),0)</f>
        <v/>
      </c>
      <c r="AR389" s="82">
        <f>HYPERLINK("https://www.alta.ru/tnved/code/")&amp;W389&amp;"/"</f>
        <v/>
      </c>
      <c r="AS389" s="157" t="n"/>
      <c r="AT389" s="162" t="n"/>
      <c r="AU389" s="76">
        <f>IF(ISBLANK(AT389),0,AJ389-AT389)</f>
        <v/>
      </c>
      <c r="AV389" s="157" t="n"/>
      <c r="AW389" s="75">
        <f>_xlfn.IFNA(VLOOKUP(L389,list_vat[],3,FALSE),0)</f>
        <v/>
      </c>
      <c r="AX389" s="76">
        <f>IFERROR(ROUND(S389*(1+AW389)/E389,2),0)</f>
        <v/>
      </c>
      <c r="AY389" s="76">
        <f>E389*AX389</f>
        <v/>
      </c>
      <c r="AZ389" s="192">
        <f>S389*(1+M389)</f>
        <v/>
      </c>
      <c r="BA389" s="76">
        <f>cost_fin_total*$BD389</f>
        <v/>
      </c>
      <c r="BB389" s="193">
        <f>credit_sales_interest*BD389</f>
        <v/>
      </c>
      <c r="BC389" s="102">
        <f>IFERROR(IF($I$13&gt;0,$I389/$I$13,$S389/$S$13),0)</f>
        <v/>
      </c>
      <c r="BD389" s="102">
        <f>IFERROR($S389/$S$13,0)</f>
        <v/>
      </c>
      <c r="BE389" s="413" t="inlineStr">
        <is>
          <t>$</t>
        </is>
      </c>
    </row>
    <row r="390" ht="12" customFormat="1" customHeight="1" s="65">
      <c r="A390" s="43" t="n">
        <v>375</v>
      </c>
      <c r="B390" s="166" t="n"/>
      <c r="C390" s="166" t="n"/>
      <c r="D390" s="166" t="n"/>
      <c r="E390" s="162" t="n"/>
      <c r="F390" s="166" t="n"/>
      <c r="G390" s="162" t="n"/>
      <c r="H390" s="162" t="n"/>
      <c r="I390" s="189">
        <f>E390*G390</f>
        <v/>
      </c>
      <c r="J390" s="195" t="n"/>
      <c r="K390" s="162" t="n"/>
      <c r="L390" s="168" t="n"/>
      <c r="M390" s="75">
        <f>_xlfn.XLOOKUP(L390,list_vat[Страна],list_vat[Ставка НДС %],0,0)</f>
        <v/>
      </c>
      <c r="N390" s="162">
        <f>IFERROR(IF(L390="Китай",K390,K390/(1+M390)),0)</f>
        <v/>
      </c>
      <c r="O390" s="169" t="n"/>
      <c r="P390" s="76">
        <f>N390*(1-O390)</f>
        <v/>
      </c>
      <c r="Q390" s="162" t="n"/>
      <c r="R390" s="162">
        <f>IF(ISBLANK(Q390),"введи курс",P390/Q390)</f>
        <v/>
      </c>
      <c r="S390" s="196">
        <f>IF(AND(ISNUMBER(E390),ISNUMBER(Q390)),E390*R390,0)</f>
        <v/>
      </c>
      <c r="T390" s="192">
        <f>$BC390*V$11</f>
        <v/>
      </c>
      <c r="U390" s="76">
        <f>$BC390*W$11</f>
        <v/>
      </c>
      <c r="V390" s="193">
        <f>+SUM(T390:U390)</f>
        <v/>
      </c>
      <c r="W390" s="191" t="n"/>
      <c r="X390" s="170" t="n"/>
      <c r="Y390" s="76">
        <f>ROUND(IF(offer_incoterms="DDP",X390*(S390*(1+AW390)+T390),0),2)</f>
        <v/>
      </c>
      <c r="Z390" s="188" t="n"/>
      <c r="AA390" s="192">
        <f>IFERROR(AB390/E390,0)</f>
        <v/>
      </c>
      <c r="AB390" s="76">
        <f>ROUND(SUM(S390,V390,Y390:Z390,BA390:BB390),2)</f>
        <v/>
      </c>
      <c r="AC390" s="797" t="n"/>
      <c r="AD390" s="192">
        <f t="array" ref="AD390">IFERROR(ROUND((_xlfn.IFS(offer_sale_type="поставка",AB390,offer_sale_type="транзит",S390)*(1+AC390))/E390,2),0)</f>
        <v/>
      </c>
      <c r="AE390" s="76">
        <f>AD390*E390</f>
        <v/>
      </c>
      <c r="AF390" s="193">
        <f t="array" ref="AF390">IFERROR(ROUND(_xlfn.IFS(offer_sale_type="поставка",AB390,offer_sale_type="транзит",S390)*AC390,2),0)</f>
        <v/>
      </c>
      <c r="AG390" s="192">
        <f>$BD390*VLOOKUP($AG$3,$AF$4:$AG$7,2,FALSE)</f>
        <v/>
      </c>
      <c r="AH390" s="76">
        <f>SUM(AE390,AG390,AI390)*rate_forex_risk</f>
        <v/>
      </c>
      <c r="AI390" s="193">
        <f>IF(OR(seller_region="TR",offer_sale_type="экспорт"),0,rate_fin_comm)*SUM(AZ390,AZ390*AW390,T390)</f>
        <v/>
      </c>
      <c r="AJ390" s="118">
        <f>IFERROR(ROUND(SUM(AB390,AF390:AI390)/E390,2),0)</f>
        <v/>
      </c>
      <c r="AK390" s="76">
        <f>AJ390*E390</f>
        <v/>
      </c>
      <c r="AL390" s="174">
        <f>ROUND(IFERROR(AM390*E390,0),2)</f>
        <v/>
      </c>
      <c r="AM390" s="175">
        <f>ROUND(AJ390*(1+IF(offer_incoterms="DDP",IF((TODAY()+offer_turnaround_time)&gt;=helpsheet!$L$17,rate_vatRU_from_26,rate_vatRu_till_25),0)),2)</f>
        <v/>
      </c>
      <c r="AN390" s="192">
        <f>AL390-AK390</f>
        <v/>
      </c>
      <c r="AO390" s="76">
        <f>SUM(AY390,Y390:Z390,T390)*IF(AND(offer_incoterms="DDP",offer_sale_type&lt;&gt;"экспорт"),IF((TODAY()+offer_turnaround_time)&gt;=helpsheet!$L$17,rate_vatRU_from_26,rate_vatRu_till_25),0)</f>
        <v/>
      </c>
      <c r="AP390" s="193">
        <f>AN390-AO390</f>
        <v/>
      </c>
      <c r="AQ390" s="118">
        <f>IF(offer_sale_type="транзит",SUM(AF390:AI390,BA390,BB390),0)</f>
        <v/>
      </c>
      <c r="AR390" s="82">
        <f>HYPERLINK("https://www.alta.ru/tnved/code/")&amp;W390&amp;"/"</f>
        <v/>
      </c>
      <c r="AS390" s="157" t="n"/>
      <c r="AT390" s="162" t="n"/>
      <c r="AU390" s="76">
        <f>IF(ISBLANK(AT390),0,AJ390-AT390)</f>
        <v/>
      </c>
      <c r="AV390" s="157" t="n"/>
      <c r="AW390" s="75">
        <f>_xlfn.IFNA(VLOOKUP(L390,list_vat[],3,FALSE),0)</f>
        <v/>
      </c>
      <c r="AX390" s="76">
        <f>IFERROR(ROUND(S390*(1+AW390)/E390,2),0)</f>
        <v/>
      </c>
      <c r="AY390" s="76">
        <f>E390*AX390</f>
        <v/>
      </c>
      <c r="AZ390" s="192">
        <f>S390*(1+M390)</f>
        <v/>
      </c>
      <c r="BA390" s="76">
        <f>cost_fin_total*$BD390</f>
        <v/>
      </c>
      <c r="BB390" s="193">
        <f>credit_sales_interest*BD390</f>
        <v/>
      </c>
      <c r="BC390" s="102">
        <f>IFERROR(IF($I$13&gt;0,$I390/$I$13,$S390/$S$13),0)</f>
        <v/>
      </c>
      <c r="BD390" s="102">
        <f>IFERROR($S390/$S$13,0)</f>
        <v/>
      </c>
      <c r="BE390" s="413" t="inlineStr">
        <is>
          <t>$</t>
        </is>
      </c>
    </row>
    <row r="391" ht="12" customFormat="1" customHeight="1" s="65">
      <c r="A391" s="43" t="n">
        <v>376</v>
      </c>
      <c r="B391" s="166" t="n"/>
      <c r="C391" s="166" t="n"/>
      <c r="D391" s="166" t="n"/>
      <c r="E391" s="162" t="n"/>
      <c r="F391" s="166" t="n"/>
      <c r="G391" s="162" t="n"/>
      <c r="H391" s="162" t="n"/>
      <c r="I391" s="189">
        <f>E391*G391</f>
        <v/>
      </c>
      <c r="J391" s="195" t="n"/>
      <c r="K391" s="162" t="n"/>
      <c r="L391" s="168" t="n"/>
      <c r="M391" s="75">
        <f>_xlfn.XLOOKUP(L391,list_vat[Страна],list_vat[Ставка НДС %],0,0)</f>
        <v/>
      </c>
      <c r="N391" s="162">
        <f>IFERROR(IF(L391="Китай",K391,K391/(1+M391)),0)</f>
        <v/>
      </c>
      <c r="O391" s="169" t="n"/>
      <c r="P391" s="76">
        <f>N391*(1-O391)</f>
        <v/>
      </c>
      <c r="Q391" s="162" t="n"/>
      <c r="R391" s="162">
        <f>IF(ISBLANK(Q391),"введи курс",P391/Q391)</f>
        <v/>
      </c>
      <c r="S391" s="196">
        <f>IF(AND(ISNUMBER(E391),ISNUMBER(Q391)),E391*R391,0)</f>
        <v/>
      </c>
      <c r="T391" s="192">
        <f>$BC391*V$11</f>
        <v/>
      </c>
      <c r="U391" s="76">
        <f>$BC391*W$11</f>
        <v/>
      </c>
      <c r="V391" s="193">
        <f>+SUM(T391:U391)</f>
        <v/>
      </c>
      <c r="W391" s="191" t="n"/>
      <c r="X391" s="170" t="n"/>
      <c r="Y391" s="76">
        <f>ROUND(IF(offer_incoterms="DDP",X391*(S391*(1+AW391)+T391),0),2)</f>
        <v/>
      </c>
      <c r="Z391" s="188" t="n"/>
      <c r="AA391" s="192">
        <f>IFERROR(AB391/E391,0)</f>
        <v/>
      </c>
      <c r="AB391" s="76">
        <f>ROUND(SUM(S391,V391,Y391:Z391,BA391:BB391),2)</f>
        <v/>
      </c>
      <c r="AC391" s="797" t="n"/>
      <c r="AD391" s="192">
        <f t="array" ref="AD391">IFERROR(ROUND((_xlfn.IFS(offer_sale_type="поставка",AB391,offer_sale_type="транзит",S391)*(1+AC391))/E391,2),0)</f>
        <v/>
      </c>
      <c r="AE391" s="76">
        <f>AD391*E391</f>
        <v/>
      </c>
      <c r="AF391" s="193">
        <f t="array" ref="AF391">IFERROR(ROUND(_xlfn.IFS(offer_sale_type="поставка",AB391,offer_sale_type="транзит",S391)*AC391,2),0)</f>
        <v/>
      </c>
      <c r="AG391" s="192">
        <f>$BD391*VLOOKUP($AG$3,$AF$4:$AG$7,2,FALSE)</f>
        <v/>
      </c>
      <c r="AH391" s="76">
        <f>SUM(AE391,AG391,AI391)*rate_forex_risk</f>
        <v/>
      </c>
      <c r="AI391" s="193">
        <f>IF(OR(seller_region="TR",offer_sale_type="экспорт"),0,rate_fin_comm)*SUM(AZ391,AZ391*AW391,T391)</f>
        <v/>
      </c>
      <c r="AJ391" s="118">
        <f>IFERROR(ROUND(SUM(AB391,AF391:AI391)/E391,2),0)</f>
        <v/>
      </c>
      <c r="AK391" s="76">
        <f>AJ391*E391</f>
        <v/>
      </c>
      <c r="AL391" s="174">
        <f>ROUND(IFERROR(AM391*E391,0),2)</f>
        <v/>
      </c>
      <c r="AM391" s="175">
        <f>ROUND(AJ391*(1+IF(offer_incoterms="DDP",IF((TODAY()+offer_turnaround_time)&gt;=helpsheet!$L$17,rate_vatRU_from_26,rate_vatRu_till_25),0)),2)</f>
        <v/>
      </c>
      <c r="AN391" s="192">
        <f>AL391-AK391</f>
        <v/>
      </c>
      <c r="AO391" s="76">
        <f>SUM(AY391,Y391:Z391,T391)*IF(AND(offer_incoterms="DDP",offer_sale_type&lt;&gt;"экспорт"),IF((TODAY()+offer_turnaround_time)&gt;=helpsheet!$L$17,rate_vatRU_from_26,rate_vatRu_till_25),0)</f>
        <v/>
      </c>
      <c r="AP391" s="193">
        <f>AN391-AO391</f>
        <v/>
      </c>
      <c r="AQ391" s="118">
        <f>IF(offer_sale_type="транзит",SUM(AF391:AI391,BA391,BB391),0)</f>
        <v/>
      </c>
      <c r="AR391" s="82">
        <f>HYPERLINK("https://www.alta.ru/tnved/code/")&amp;W391&amp;"/"</f>
        <v/>
      </c>
      <c r="AS391" s="157" t="n"/>
      <c r="AT391" s="162" t="n"/>
      <c r="AU391" s="76">
        <f>IF(ISBLANK(AT391),0,AJ391-AT391)</f>
        <v/>
      </c>
      <c r="AV391" s="157" t="n"/>
      <c r="AW391" s="75">
        <f>_xlfn.IFNA(VLOOKUP(L391,list_vat[],3,FALSE),0)</f>
        <v/>
      </c>
      <c r="AX391" s="76">
        <f>IFERROR(ROUND(S391*(1+AW391)/E391,2),0)</f>
        <v/>
      </c>
      <c r="AY391" s="76">
        <f>E391*AX391</f>
        <v/>
      </c>
      <c r="AZ391" s="192">
        <f>S391*(1+M391)</f>
        <v/>
      </c>
      <c r="BA391" s="76">
        <f>cost_fin_total*$BD391</f>
        <v/>
      </c>
      <c r="BB391" s="193">
        <f>credit_sales_interest*BD391</f>
        <v/>
      </c>
      <c r="BC391" s="102">
        <f>IFERROR(IF($I$13&gt;0,$I391/$I$13,$S391/$S$13),0)</f>
        <v/>
      </c>
      <c r="BD391" s="102">
        <f>IFERROR($S391/$S$13,0)</f>
        <v/>
      </c>
      <c r="BE391" s="413" t="inlineStr">
        <is>
          <t>$</t>
        </is>
      </c>
    </row>
    <row r="392" ht="12" customFormat="1" customHeight="1" s="65">
      <c r="A392" s="43" t="n">
        <v>377</v>
      </c>
      <c r="B392" s="166" t="n"/>
      <c r="C392" s="166" t="n"/>
      <c r="D392" s="166" t="n"/>
      <c r="E392" s="162" t="n"/>
      <c r="F392" s="166" t="n"/>
      <c r="G392" s="162" t="n"/>
      <c r="H392" s="162" t="n"/>
      <c r="I392" s="189">
        <f>E392*G392</f>
        <v/>
      </c>
      <c r="J392" s="195" t="n"/>
      <c r="K392" s="162" t="n"/>
      <c r="L392" s="168" t="n"/>
      <c r="M392" s="75">
        <f>_xlfn.XLOOKUP(L392,list_vat[Страна],list_vat[Ставка НДС %],0,0)</f>
        <v/>
      </c>
      <c r="N392" s="162">
        <f>IFERROR(IF(L392="Китай",K392,K392/(1+M392)),0)</f>
        <v/>
      </c>
      <c r="O392" s="169" t="n"/>
      <c r="P392" s="76">
        <f>N392*(1-O392)</f>
        <v/>
      </c>
      <c r="Q392" s="162" t="n"/>
      <c r="R392" s="162">
        <f>IF(ISBLANK(Q392),"введи курс",P392/Q392)</f>
        <v/>
      </c>
      <c r="S392" s="196">
        <f>IF(AND(ISNUMBER(E392),ISNUMBER(Q392)),E392*R392,0)</f>
        <v/>
      </c>
      <c r="T392" s="192">
        <f>$BC392*V$11</f>
        <v/>
      </c>
      <c r="U392" s="76">
        <f>$BC392*W$11</f>
        <v/>
      </c>
      <c r="V392" s="193">
        <f>+SUM(T392:U392)</f>
        <v/>
      </c>
      <c r="W392" s="191" t="n"/>
      <c r="X392" s="170" t="n"/>
      <c r="Y392" s="76">
        <f>ROUND(IF(offer_incoterms="DDP",X392*(S392*(1+AW392)+T392),0),2)</f>
        <v/>
      </c>
      <c r="Z392" s="188" t="n"/>
      <c r="AA392" s="192">
        <f>IFERROR(AB392/E392,0)</f>
        <v/>
      </c>
      <c r="AB392" s="76">
        <f>ROUND(SUM(S392,V392,Y392:Z392,BA392:BB392),2)</f>
        <v/>
      </c>
      <c r="AC392" s="797" t="n"/>
      <c r="AD392" s="192">
        <f t="array" ref="AD392">IFERROR(ROUND((_xlfn.IFS(offer_sale_type="поставка",AB392,offer_sale_type="транзит",S392)*(1+AC392))/E392,2),0)</f>
        <v/>
      </c>
      <c r="AE392" s="76">
        <f>AD392*E392</f>
        <v/>
      </c>
      <c r="AF392" s="193">
        <f t="array" ref="AF392">IFERROR(ROUND(_xlfn.IFS(offer_sale_type="поставка",AB392,offer_sale_type="транзит",S392)*AC392,2),0)</f>
        <v/>
      </c>
      <c r="AG392" s="192">
        <f>$BD392*VLOOKUP($AG$3,$AF$4:$AG$7,2,FALSE)</f>
        <v/>
      </c>
      <c r="AH392" s="76">
        <f>SUM(AE392,AG392,AI392)*rate_forex_risk</f>
        <v/>
      </c>
      <c r="AI392" s="193">
        <f>IF(OR(seller_region="TR",offer_sale_type="экспорт"),0,rate_fin_comm)*SUM(AZ392,AZ392*AW392,T392)</f>
        <v/>
      </c>
      <c r="AJ392" s="118">
        <f>IFERROR(ROUND(SUM(AB392,AF392:AI392)/E392,2),0)</f>
        <v/>
      </c>
      <c r="AK392" s="76">
        <f>AJ392*E392</f>
        <v/>
      </c>
      <c r="AL392" s="174">
        <f>ROUND(IFERROR(AM392*E392,0),2)</f>
        <v/>
      </c>
      <c r="AM392" s="175">
        <f>ROUND(AJ392*(1+IF(offer_incoterms="DDP",IF((TODAY()+offer_turnaround_time)&gt;=helpsheet!$L$17,rate_vatRU_from_26,rate_vatRu_till_25),0)),2)</f>
        <v/>
      </c>
      <c r="AN392" s="192">
        <f>AL392-AK392</f>
        <v/>
      </c>
      <c r="AO392" s="76">
        <f>SUM(AY392,Y392:Z392,T392)*IF(AND(offer_incoterms="DDP",offer_sale_type&lt;&gt;"экспорт"),IF((TODAY()+offer_turnaround_time)&gt;=helpsheet!$L$17,rate_vatRU_from_26,rate_vatRu_till_25),0)</f>
        <v/>
      </c>
      <c r="AP392" s="193">
        <f>AN392-AO392</f>
        <v/>
      </c>
      <c r="AQ392" s="118">
        <f>IF(offer_sale_type="транзит",SUM(AF392:AI392,BA392,BB392),0)</f>
        <v/>
      </c>
      <c r="AR392" s="82">
        <f>HYPERLINK("https://www.alta.ru/tnved/code/")&amp;W392&amp;"/"</f>
        <v/>
      </c>
      <c r="AS392" s="157" t="n"/>
      <c r="AT392" s="162" t="n"/>
      <c r="AU392" s="76">
        <f>IF(ISBLANK(AT392),0,AJ392-AT392)</f>
        <v/>
      </c>
      <c r="AV392" s="157" t="n"/>
      <c r="AW392" s="75">
        <f>_xlfn.IFNA(VLOOKUP(L392,list_vat[],3,FALSE),0)</f>
        <v/>
      </c>
      <c r="AX392" s="76">
        <f>IFERROR(ROUND(S392*(1+AW392)/E392,2),0)</f>
        <v/>
      </c>
      <c r="AY392" s="76">
        <f>E392*AX392</f>
        <v/>
      </c>
      <c r="AZ392" s="192">
        <f>S392*(1+M392)</f>
        <v/>
      </c>
      <c r="BA392" s="76">
        <f>cost_fin_total*$BD392</f>
        <v/>
      </c>
      <c r="BB392" s="193">
        <f>credit_sales_interest*BD392</f>
        <v/>
      </c>
      <c r="BC392" s="102">
        <f>IFERROR(IF($I$13&gt;0,$I392/$I$13,$S392/$S$13),0)</f>
        <v/>
      </c>
      <c r="BD392" s="102">
        <f>IFERROR($S392/$S$13,0)</f>
        <v/>
      </c>
      <c r="BE392" s="413" t="inlineStr">
        <is>
          <t>$</t>
        </is>
      </c>
    </row>
    <row r="393" ht="12" customFormat="1" customHeight="1" s="65">
      <c r="A393" s="43" t="n">
        <v>378</v>
      </c>
      <c r="B393" s="166" t="n"/>
      <c r="C393" s="166" t="n"/>
      <c r="D393" s="166" t="n"/>
      <c r="E393" s="162" t="n"/>
      <c r="F393" s="166" t="n"/>
      <c r="G393" s="162" t="n"/>
      <c r="H393" s="162" t="n"/>
      <c r="I393" s="189">
        <f>E393*G393</f>
        <v/>
      </c>
      <c r="J393" s="195" t="n"/>
      <c r="K393" s="162" t="n"/>
      <c r="L393" s="168" t="n"/>
      <c r="M393" s="75">
        <f>_xlfn.XLOOKUP(L393,list_vat[Страна],list_vat[Ставка НДС %],0,0)</f>
        <v/>
      </c>
      <c r="N393" s="162">
        <f>IFERROR(IF(L393="Китай",K393,K393/(1+M393)),0)</f>
        <v/>
      </c>
      <c r="O393" s="169" t="n"/>
      <c r="P393" s="76">
        <f>N393*(1-O393)</f>
        <v/>
      </c>
      <c r="Q393" s="162" t="n"/>
      <c r="R393" s="162">
        <f>IF(ISBLANK(Q393),"введи курс",P393/Q393)</f>
        <v/>
      </c>
      <c r="S393" s="196">
        <f>IF(AND(ISNUMBER(E393),ISNUMBER(Q393)),E393*R393,0)</f>
        <v/>
      </c>
      <c r="T393" s="192">
        <f>$BC393*V$11</f>
        <v/>
      </c>
      <c r="U393" s="76">
        <f>$BC393*W$11</f>
        <v/>
      </c>
      <c r="V393" s="193">
        <f>+SUM(T393:U393)</f>
        <v/>
      </c>
      <c r="W393" s="191" t="n"/>
      <c r="X393" s="170" t="n"/>
      <c r="Y393" s="76">
        <f>ROUND(IF(offer_incoterms="DDP",X393*(S393*(1+AW393)+T393),0),2)</f>
        <v/>
      </c>
      <c r="Z393" s="188" t="n"/>
      <c r="AA393" s="192">
        <f>IFERROR(AB393/E393,0)</f>
        <v/>
      </c>
      <c r="AB393" s="76">
        <f>ROUND(SUM(S393,V393,Y393:Z393,BA393:BB393),2)</f>
        <v/>
      </c>
      <c r="AC393" s="797" t="n"/>
      <c r="AD393" s="192">
        <f t="array" ref="AD393">IFERROR(ROUND((_xlfn.IFS(offer_sale_type="поставка",AB393,offer_sale_type="транзит",S393)*(1+AC393))/E393,2),0)</f>
        <v/>
      </c>
      <c r="AE393" s="76">
        <f>AD393*E393</f>
        <v/>
      </c>
      <c r="AF393" s="193">
        <f t="array" ref="AF393">IFERROR(ROUND(_xlfn.IFS(offer_sale_type="поставка",AB393,offer_sale_type="транзит",S393)*AC393,2),0)</f>
        <v/>
      </c>
      <c r="AG393" s="192">
        <f>$BD393*VLOOKUP($AG$3,$AF$4:$AG$7,2,FALSE)</f>
        <v/>
      </c>
      <c r="AH393" s="76">
        <f>SUM(AE393,AG393,AI393)*rate_forex_risk</f>
        <v/>
      </c>
      <c r="AI393" s="193">
        <f>IF(OR(seller_region="TR",offer_sale_type="экспорт"),0,rate_fin_comm)*SUM(AZ393,AZ393*AW393,T393)</f>
        <v/>
      </c>
      <c r="AJ393" s="118">
        <f>IFERROR(ROUND(SUM(AB393,AF393:AI393)/E393,2),0)</f>
        <v/>
      </c>
      <c r="AK393" s="76">
        <f>AJ393*E393</f>
        <v/>
      </c>
      <c r="AL393" s="174">
        <f>ROUND(IFERROR(AM393*E393,0),2)</f>
        <v/>
      </c>
      <c r="AM393" s="175">
        <f>ROUND(AJ393*(1+IF(offer_incoterms="DDP",IF((TODAY()+offer_turnaround_time)&gt;=helpsheet!$L$17,rate_vatRU_from_26,rate_vatRu_till_25),0)),2)</f>
        <v/>
      </c>
      <c r="AN393" s="192">
        <f>AL393-AK393</f>
        <v/>
      </c>
      <c r="AO393" s="76">
        <f>SUM(AY393,Y393:Z393,T393)*IF(AND(offer_incoterms="DDP",offer_sale_type&lt;&gt;"экспорт"),IF((TODAY()+offer_turnaround_time)&gt;=helpsheet!$L$17,rate_vatRU_from_26,rate_vatRu_till_25),0)</f>
        <v/>
      </c>
      <c r="AP393" s="193">
        <f>AN393-AO393</f>
        <v/>
      </c>
      <c r="AQ393" s="118">
        <f>IF(offer_sale_type="транзит",SUM(AF393:AI393,BA393,BB393),0)</f>
        <v/>
      </c>
      <c r="AR393" s="82">
        <f>HYPERLINK("https://www.alta.ru/tnved/code/")&amp;W393&amp;"/"</f>
        <v/>
      </c>
      <c r="AS393" s="157" t="n"/>
      <c r="AT393" s="162" t="n"/>
      <c r="AU393" s="76">
        <f>IF(ISBLANK(AT393),0,AJ393-AT393)</f>
        <v/>
      </c>
      <c r="AV393" s="157" t="n"/>
      <c r="AW393" s="75">
        <f>_xlfn.IFNA(VLOOKUP(L393,list_vat[],3,FALSE),0)</f>
        <v/>
      </c>
      <c r="AX393" s="76">
        <f>IFERROR(ROUND(S393*(1+AW393)/E393,2),0)</f>
        <v/>
      </c>
      <c r="AY393" s="76">
        <f>E393*AX393</f>
        <v/>
      </c>
      <c r="AZ393" s="192">
        <f>S393*(1+M393)</f>
        <v/>
      </c>
      <c r="BA393" s="76">
        <f>cost_fin_total*$BD393</f>
        <v/>
      </c>
      <c r="BB393" s="193">
        <f>credit_sales_interest*BD393</f>
        <v/>
      </c>
      <c r="BC393" s="102">
        <f>IFERROR(IF($I$13&gt;0,$I393/$I$13,$S393/$S$13),0)</f>
        <v/>
      </c>
      <c r="BD393" s="102">
        <f>IFERROR($S393/$S$13,0)</f>
        <v/>
      </c>
      <c r="BE393" s="413" t="inlineStr">
        <is>
          <t>$</t>
        </is>
      </c>
    </row>
    <row r="394" ht="12" customFormat="1" customHeight="1" s="65">
      <c r="A394" s="43" t="n">
        <v>379</v>
      </c>
      <c r="B394" s="166" t="n"/>
      <c r="C394" s="166" t="n"/>
      <c r="D394" s="166" t="n"/>
      <c r="E394" s="162" t="n"/>
      <c r="F394" s="166" t="n"/>
      <c r="G394" s="162" t="n"/>
      <c r="H394" s="162" t="n"/>
      <c r="I394" s="189">
        <f>E394*G394</f>
        <v/>
      </c>
      <c r="J394" s="195" t="n"/>
      <c r="K394" s="162" t="n"/>
      <c r="L394" s="168" t="n"/>
      <c r="M394" s="75">
        <f>_xlfn.XLOOKUP(L394,list_vat[Страна],list_vat[Ставка НДС %],0,0)</f>
        <v/>
      </c>
      <c r="N394" s="162">
        <f>IFERROR(IF(L394="Китай",K394,K394/(1+M394)),0)</f>
        <v/>
      </c>
      <c r="O394" s="169" t="n"/>
      <c r="P394" s="76">
        <f>N394*(1-O394)</f>
        <v/>
      </c>
      <c r="Q394" s="162" t="n"/>
      <c r="R394" s="162">
        <f>IF(ISBLANK(Q394),"введи курс",P394/Q394)</f>
        <v/>
      </c>
      <c r="S394" s="196">
        <f>IF(AND(ISNUMBER(E394),ISNUMBER(Q394)),E394*R394,0)</f>
        <v/>
      </c>
      <c r="T394" s="192">
        <f>$BC394*V$11</f>
        <v/>
      </c>
      <c r="U394" s="76">
        <f>$BC394*W$11</f>
        <v/>
      </c>
      <c r="V394" s="193">
        <f>+SUM(T394:U394)</f>
        <v/>
      </c>
      <c r="W394" s="191" t="n"/>
      <c r="X394" s="170" t="n"/>
      <c r="Y394" s="76">
        <f>ROUND(IF(offer_incoterms="DDP",X394*(S394*(1+AW394)+T394),0),2)</f>
        <v/>
      </c>
      <c r="Z394" s="188" t="n"/>
      <c r="AA394" s="192">
        <f>IFERROR(AB394/E394,0)</f>
        <v/>
      </c>
      <c r="AB394" s="76">
        <f>ROUND(SUM(S394,V394,Y394:Z394,BA394:BB394),2)</f>
        <v/>
      </c>
      <c r="AC394" s="797" t="n"/>
      <c r="AD394" s="192">
        <f t="array" ref="AD394">IFERROR(ROUND((_xlfn.IFS(offer_sale_type="поставка",AB394,offer_sale_type="транзит",S394)*(1+AC394))/E394,2),0)</f>
        <v/>
      </c>
      <c r="AE394" s="76">
        <f>AD394*E394</f>
        <v/>
      </c>
      <c r="AF394" s="193">
        <f t="array" ref="AF394">IFERROR(ROUND(_xlfn.IFS(offer_sale_type="поставка",AB394,offer_sale_type="транзит",S394)*AC394,2),0)</f>
        <v/>
      </c>
      <c r="AG394" s="192">
        <f>$BD394*VLOOKUP($AG$3,$AF$4:$AG$7,2,FALSE)</f>
        <v/>
      </c>
      <c r="AH394" s="76">
        <f>SUM(AE394,AG394,AI394)*rate_forex_risk</f>
        <v/>
      </c>
      <c r="AI394" s="193">
        <f>IF(OR(seller_region="TR",offer_sale_type="экспорт"),0,rate_fin_comm)*SUM(AZ394,AZ394*AW394,T394)</f>
        <v/>
      </c>
      <c r="AJ394" s="118">
        <f>IFERROR(ROUND(SUM(AB394,AF394:AI394)/E394,2),0)</f>
        <v/>
      </c>
      <c r="AK394" s="76">
        <f>AJ394*E394</f>
        <v/>
      </c>
      <c r="AL394" s="174">
        <f>ROUND(IFERROR(AM394*E394,0),2)</f>
        <v/>
      </c>
      <c r="AM394" s="175">
        <f>ROUND(AJ394*(1+IF(offer_incoterms="DDP",IF((TODAY()+offer_turnaround_time)&gt;=helpsheet!$L$17,rate_vatRU_from_26,rate_vatRu_till_25),0)),2)</f>
        <v/>
      </c>
      <c r="AN394" s="192">
        <f>AL394-AK394</f>
        <v/>
      </c>
      <c r="AO394" s="76">
        <f>SUM(AY394,Y394:Z394,T394)*IF(AND(offer_incoterms="DDP",offer_sale_type&lt;&gt;"экспорт"),IF((TODAY()+offer_turnaround_time)&gt;=helpsheet!$L$17,rate_vatRU_from_26,rate_vatRu_till_25),0)</f>
        <v/>
      </c>
      <c r="AP394" s="193">
        <f>AN394-AO394</f>
        <v/>
      </c>
      <c r="AQ394" s="118">
        <f>IF(offer_sale_type="транзит",SUM(AF394:AI394,BA394,BB394),0)</f>
        <v/>
      </c>
      <c r="AR394" s="82">
        <f>HYPERLINK("https://www.alta.ru/tnved/code/")&amp;W394&amp;"/"</f>
        <v/>
      </c>
      <c r="AS394" s="157" t="n"/>
      <c r="AT394" s="162" t="n"/>
      <c r="AU394" s="76">
        <f>IF(ISBLANK(AT394),0,AJ394-AT394)</f>
        <v/>
      </c>
      <c r="AV394" s="157" t="n"/>
      <c r="AW394" s="75">
        <f>_xlfn.IFNA(VLOOKUP(L394,list_vat[],3,FALSE),0)</f>
        <v/>
      </c>
      <c r="AX394" s="76">
        <f>IFERROR(ROUND(S394*(1+AW394)/E394,2),0)</f>
        <v/>
      </c>
      <c r="AY394" s="76">
        <f>E394*AX394</f>
        <v/>
      </c>
      <c r="AZ394" s="192">
        <f>S394*(1+M394)</f>
        <v/>
      </c>
      <c r="BA394" s="76">
        <f>cost_fin_total*$BD394</f>
        <v/>
      </c>
      <c r="BB394" s="193">
        <f>credit_sales_interest*BD394</f>
        <v/>
      </c>
      <c r="BC394" s="102">
        <f>IFERROR(IF($I$13&gt;0,$I394/$I$13,$S394/$S$13),0)</f>
        <v/>
      </c>
      <c r="BD394" s="102">
        <f>IFERROR($S394/$S$13,0)</f>
        <v/>
      </c>
      <c r="BE394" s="413" t="inlineStr">
        <is>
          <t>$</t>
        </is>
      </c>
    </row>
    <row r="395" ht="12" customFormat="1" customHeight="1" s="65">
      <c r="A395" s="43" t="n">
        <v>380</v>
      </c>
      <c r="B395" s="166" t="n"/>
      <c r="C395" s="166" t="n"/>
      <c r="D395" s="166" t="n"/>
      <c r="E395" s="162" t="n"/>
      <c r="F395" s="166" t="n"/>
      <c r="G395" s="162" t="n"/>
      <c r="H395" s="162" t="n"/>
      <c r="I395" s="189">
        <f>E395*G395</f>
        <v/>
      </c>
      <c r="J395" s="195" t="n"/>
      <c r="K395" s="162" t="n"/>
      <c r="L395" s="168" t="n"/>
      <c r="M395" s="75">
        <f>_xlfn.XLOOKUP(L395,list_vat[Страна],list_vat[Ставка НДС %],0,0)</f>
        <v/>
      </c>
      <c r="N395" s="162">
        <f>IFERROR(IF(L395="Китай",K395,K395/(1+M395)),0)</f>
        <v/>
      </c>
      <c r="O395" s="169" t="n"/>
      <c r="P395" s="76">
        <f>N395*(1-O395)</f>
        <v/>
      </c>
      <c r="Q395" s="162" t="n"/>
      <c r="R395" s="162">
        <f>IF(ISBLANK(Q395),"введи курс",P395/Q395)</f>
        <v/>
      </c>
      <c r="S395" s="196">
        <f>IF(AND(ISNUMBER(E395),ISNUMBER(Q395)),E395*R395,0)</f>
        <v/>
      </c>
      <c r="T395" s="192">
        <f>$BC395*V$11</f>
        <v/>
      </c>
      <c r="U395" s="76">
        <f>$BC395*W$11</f>
        <v/>
      </c>
      <c r="V395" s="193">
        <f>+SUM(T395:U395)</f>
        <v/>
      </c>
      <c r="W395" s="191" t="n"/>
      <c r="X395" s="170" t="n"/>
      <c r="Y395" s="76">
        <f>ROUND(IF(offer_incoterms="DDP",X395*(S395*(1+AW395)+T395),0),2)</f>
        <v/>
      </c>
      <c r="Z395" s="188" t="n"/>
      <c r="AA395" s="192">
        <f>IFERROR(AB395/E395,0)</f>
        <v/>
      </c>
      <c r="AB395" s="76">
        <f>ROUND(SUM(S395,V395,Y395:Z395,BA395:BB395),2)</f>
        <v/>
      </c>
      <c r="AC395" s="797" t="n"/>
      <c r="AD395" s="192">
        <f t="array" ref="AD395">IFERROR(ROUND((_xlfn.IFS(offer_sale_type="поставка",AB395,offer_sale_type="транзит",S395)*(1+AC395))/E395,2),0)</f>
        <v/>
      </c>
      <c r="AE395" s="76">
        <f>AD395*E395</f>
        <v/>
      </c>
      <c r="AF395" s="193">
        <f t="array" ref="AF395">IFERROR(ROUND(_xlfn.IFS(offer_sale_type="поставка",AB395,offer_sale_type="транзит",S395)*AC395,2),0)</f>
        <v/>
      </c>
      <c r="AG395" s="192">
        <f>$BD395*VLOOKUP($AG$3,$AF$4:$AG$7,2,FALSE)</f>
        <v/>
      </c>
      <c r="AH395" s="76">
        <f>SUM(AE395,AG395,AI395)*rate_forex_risk</f>
        <v/>
      </c>
      <c r="AI395" s="193">
        <f>IF(OR(seller_region="TR",offer_sale_type="экспорт"),0,rate_fin_comm)*SUM(AZ395,AZ395*AW395,T395)</f>
        <v/>
      </c>
      <c r="AJ395" s="118">
        <f>IFERROR(ROUND(SUM(AB395,AF395:AI395)/E395,2),0)</f>
        <v/>
      </c>
      <c r="AK395" s="76">
        <f>AJ395*E395</f>
        <v/>
      </c>
      <c r="AL395" s="174">
        <f>ROUND(IFERROR(AM395*E395,0),2)</f>
        <v/>
      </c>
      <c r="AM395" s="175">
        <f>ROUND(AJ395*(1+IF(offer_incoterms="DDP",IF((TODAY()+offer_turnaround_time)&gt;=helpsheet!$L$17,rate_vatRU_from_26,rate_vatRu_till_25),0)),2)</f>
        <v/>
      </c>
      <c r="AN395" s="192">
        <f>AL395-AK395</f>
        <v/>
      </c>
      <c r="AO395" s="76">
        <f>SUM(AY395,Y395:Z395,T395)*IF(AND(offer_incoterms="DDP",offer_sale_type&lt;&gt;"экспорт"),IF((TODAY()+offer_turnaround_time)&gt;=helpsheet!$L$17,rate_vatRU_from_26,rate_vatRu_till_25),0)</f>
        <v/>
      </c>
      <c r="AP395" s="193">
        <f>AN395-AO395</f>
        <v/>
      </c>
      <c r="AQ395" s="118">
        <f>IF(offer_sale_type="транзит",SUM(AF395:AI395,BA395,BB395),0)</f>
        <v/>
      </c>
      <c r="AR395" s="82">
        <f>HYPERLINK("https://www.alta.ru/tnved/code/")&amp;W395&amp;"/"</f>
        <v/>
      </c>
      <c r="AS395" s="157" t="n"/>
      <c r="AT395" s="162" t="n"/>
      <c r="AU395" s="76">
        <f>IF(ISBLANK(AT395),0,AJ395-AT395)</f>
        <v/>
      </c>
      <c r="AV395" s="157" t="n"/>
      <c r="AW395" s="75">
        <f>_xlfn.IFNA(VLOOKUP(L395,list_vat[],3,FALSE),0)</f>
        <v/>
      </c>
      <c r="AX395" s="76">
        <f>IFERROR(ROUND(S395*(1+AW395)/E395,2),0)</f>
        <v/>
      </c>
      <c r="AY395" s="76">
        <f>E395*AX395</f>
        <v/>
      </c>
      <c r="AZ395" s="192">
        <f>S395*(1+M395)</f>
        <v/>
      </c>
      <c r="BA395" s="76">
        <f>cost_fin_total*$BD395</f>
        <v/>
      </c>
      <c r="BB395" s="193">
        <f>credit_sales_interest*BD395</f>
        <v/>
      </c>
      <c r="BC395" s="102">
        <f>IFERROR(IF($I$13&gt;0,$I395/$I$13,$S395/$S$13),0)</f>
        <v/>
      </c>
      <c r="BD395" s="102">
        <f>IFERROR($S395/$S$13,0)</f>
        <v/>
      </c>
      <c r="BE395" s="413" t="inlineStr">
        <is>
          <t>$</t>
        </is>
      </c>
    </row>
    <row r="396" ht="12" customFormat="1" customHeight="1" s="65">
      <c r="A396" s="43" t="n">
        <v>381</v>
      </c>
      <c r="B396" s="166" t="n"/>
      <c r="C396" s="166" t="n"/>
      <c r="D396" s="166" t="n"/>
      <c r="E396" s="162" t="n"/>
      <c r="F396" s="166" t="n"/>
      <c r="G396" s="162" t="n"/>
      <c r="H396" s="162" t="n"/>
      <c r="I396" s="189">
        <f>E396*G396</f>
        <v/>
      </c>
      <c r="J396" s="195" t="n"/>
      <c r="K396" s="162" t="n"/>
      <c r="L396" s="168" t="n"/>
      <c r="M396" s="75">
        <f>_xlfn.XLOOKUP(L396,list_vat[Страна],list_vat[Ставка НДС %],0,0)</f>
        <v/>
      </c>
      <c r="N396" s="162">
        <f>IFERROR(IF(L396="Китай",K396,K396/(1+M396)),0)</f>
        <v/>
      </c>
      <c r="O396" s="169" t="n"/>
      <c r="P396" s="76">
        <f>N396*(1-O396)</f>
        <v/>
      </c>
      <c r="Q396" s="162" t="n"/>
      <c r="R396" s="162">
        <f>IF(ISBLANK(Q396),"введи курс",P396/Q396)</f>
        <v/>
      </c>
      <c r="S396" s="196">
        <f>IF(AND(ISNUMBER(E396),ISNUMBER(Q396)),E396*R396,0)</f>
        <v/>
      </c>
      <c r="T396" s="192">
        <f>$BC396*V$11</f>
        <v/>
      </c>
      <c r="U396" s="76">
        <f>$BC396*W$11</f>
        <v/>
      </c>
      <c r="V396" s="193">
        <f>+SUM(T396:U396)</f>
        <v/>
      </c>
      <c r="W396" s="191" t="n"/>
      <c r="X396" s="170" t="n"/>
      <c r="Y396" s="76">
        <f>ROUND(IF(offer_incoterms="DDP",X396*(S396*(1+AW396)+T396),0),2)</f>
        <v/>
      </c>
      <c r="Z396" s="188" t="n"/>
      <c r="AA396" s="192">
        <f>IFERROR(AB396/E396,0)</f>
        <v/>
      </c>
      <c r="AB396" s="76">
        <f>ROUND(SUM(S396,V396,Y396:Z396,BA396:BB396),2)</f>
        <v/>
      </c>
      <c r="AC396" s="797" t="n"/>
      <c r="AD396" s="192">
        <f t="array" ref="AD396">IFERROR(ROUND((_xlfn.IFS(offer_sale_type="поставка",AB396,offer_sale_type="транзит",S396)*(1+AC396))/E396,2),0)</f>
        <v/>
      </c>
      <c r="AE396" s="76">
        <f>AD396*E396</f>
        <v/>
      </c>
      <c r="AF396" s="193">
        <f t="array" ref="AF396">IFERROR(ROUND(_xlfn.IFS(offer_sale_type="поставка",AB396,offer_sale_type="транзит",S396)*AC396,2),0)</f>
        <v/>
      </c>
      <c r="AG396" s="192">
        <f>$BD396*VLOOKUP($AG$3,$AF$4:$AG$7,2,FALSE)</f>
        <v/>
      </c>
      <c r="AH396" s="76">
        <f>SUM(AE396,AG396,AI396)*rate_forex_risk</f>
        <v/>
      </c>
      <c r="AI396" s="193">
        <f>IF(OR(seller_region="TR",offer_sale_type="экспорт"),0,rate_fin_comm)*SUM(AZ396,AZ396*AW396,T396)</f>
        <v/>
      </c>
      <c r="AJ396" s="118">
        <f>IFERROR(ROUND(SUM(AB396,AF396:AI396)/E396,2),0)</f>
        <v/>
      </c>
      <c r="AK396" s="76">
        <f>AJ396*E396</f>
        <v/>
      </c>
      <c r="AL396" s="174">
        <f>ROUND(IFERROR(AM396*E396,0),2)</f>
        <v/>
      </c>
      <c r="AM396" s="175">
        <f>ROUND(AJ396*(1+IF(offer_incoterms="DDP",IF((TODAY()+offer_turnaround_time)&gt;=helpsheet!$L$17,rate_vatRU_from_26,rate_vatRu_till_25),0)),2)</f>
        <v/>
      </c>
      <c r="AN396" s="192">
        <f>AL396-AK396</f>
        <v/>
      </c>
      <c r="AO396" s="76">
        <f>SUM(AY396,Y396:Z396,T396)*IF(AND(offer_incoterms="DDP",offer_sale_type&lt;&gt;"экспорт"),IF((TODAY()+offer_turnaround_time)&gt;=helpsheet!$L$17,rate_vatRU_from_26,rate_vatRu_till_25),0)</f>
        <v/>
      </c>
      <c r="AP396" s="193">
        <f>AN396-AO396</f>
        <v/>
      </c>
      <c r="AQ396" s="118">
        <f>IF(offer_sale_type="транзит",SUM(AF396:AI396,BA396,BB396),0)</f>
        <v/>
      </c>
      <c r="AR396" s="82">
        <f>HYPERLINK("https://www.alta.ru/tnved/code/")&amp;W396&amp;"/"</f>
        <v/>
      </c>
      <c r="AS396" s="157" t="n"/>
      <c r="AT396" s="162" t="n"/>
      <c r="AU396" s="76">
        <f>IF(ISBLANK(AT396),0,AJ396-AT396)</f>
        <v/>
      </c>
      <c r="AV396" s="157" t="n"/>
      <c r="AW396" s="75">
        <f>_xlfn.IFNA(VLOOKUP(L396,list_vat[],3,FALSE),0)</f>
        <v/>
      </c>
      <c r="AX396" s="76">
        <f>IFERROR(ROUND(S396*(1+AW396)/E396,2),0)</f>
        <v/>
      </c>
      <c r="AY396" s="76">
        <f>E396*AX396</f>
        <v/>
      </c>
      <c r="AZ396" s="192">
        <f>S396*(1+M396)</f>
        <v/>
      </c>
      <c r="BA396" s="76">
        <f>cost_fin_total*$BD396</f>
        <v/>
      </c>
      <c r="BB396" s="193">
        <f>credit_sales_interest*BD396</f>
        <v/>
      </c>
      <c r="BC396" s="102">
        <f>IFERROR(IF($I$13&gt;0,$I396/$I$13,$S396/$S$13),0)</f>
        <v/>
      </c>
      <c r="BD396" s="102">
        <f>IFERROR($S396/$S$13,0)</f>
        <v/>
      </c>
      <c r="BE396" s="413" t="inlineStr">
        <is>
          <t>$</t>
        </is>
      </c>
    </row>
    <row r="397" ht="12" customFormat="1" customHeight="1" s="65">
      <c r="A397" s="43" t="n">
        <v>382</v>
      </c>
      <c r="B397" s="166" t="n"/>
      <c r="C397" s="166" t="n"/>
      <c r="D397" s="166" t="n"/>
      <c r="E397" s="162" t="n"/>
      <c r="F397" s="166" t="n"/>
      <c r="G397" s="162" t="n"/>
      <c r="H397" s="162" t="n"/>
      <c r="I397" s="189">
        <f>E397*G397</f>
        <v/>
      </c>
      <c r="J397" s="195" t="n"/>
      <c r="K397" s="162" t="n"/>
      <c r="L397" s="168" t="n"/>
      <c r="M397" s="75">
        <f>_xlfn.XLOOKUP(L397,list_vat[Страна],list_vat[Ставка НДС %],0,0)</f>
        <v/>
      </c>
      <c r="N397" s="162">
        <f>IFERROR(IF(L397="Китай",K397,K397/(1+M397)),0)</f>
        <v/>
      </c>
      <c r="O397" s="169" t="n"/>
      <c r="P397" s="76">
        <f>N397*(1-O397)</f>
        <v/>
      </c>
      <c r="Q397" s="162" t="n"/>
      <c r="R397" s="162">
        <f>IF(ISBLANK(Q397),"введи курс",P397/Q397)</f>
        <v/>
      </c>
      <c r="S397" s="196">
        <f>IF(AND(ISNUMBER(E397),ISNUMBER(Q397)),E397*R397,0)</f>
        <v/>
      </c>
      <c r="T397" s="192">
        <f>$BC397*V$11</f>
        <v/>
      </c>
      <c r="U397" s="76">
        <f>$BC397*W$11</f>
        <v/>
      </c>
      <c r="V397" s="193">
        <f>+SUM(T397:U397)</f>
        <v/>
      </c>
      <c r="W397" s="191" t="n"/>
      <c r="X397" s="170" t="n"/>
      <c r="Y397" s="76">
        <f>ROUND(IF(offer_incoterms="DDP",X397*(S397*(1+AW397)+T397),0),2)</f>
        <v/>
      </c>
      <c r="Z397" s="188" t="n"/>
      <c r="AA397" s="192">
        <f>IFERROR(AB397/E397,0)</f>
        <v/>
      </c>
      <c r="AB397" s="76">
        <f>ROUND(SUM(S397,V397,Y397:Z397,BA397:BB397),2)</f>
        <v/>
      </c>
      <c r="AC397" s="797" t="n"/>
      <c r="AD397" s="192">
        <f t="array" ref="AD397">IFERROR(ROUND((_xlfn.IFS(offer_sale_type="поставка",AB397,offer_sale_type="транзит",S397)*(1+AC397))/E397,2),0)</f>
        <v/>
      </c>
      <c r="AE397" s="76">
        <f>AD397*E397</f>
        <v/>
      </c>
      <c r="AF397" s="193">
        <f t="array" ref="AF397">IFERROR(ROUND(_xlfn.IFS(offer_sale_type="поставка",AB397,offer_sale_type="транзит",S397)*AC397,2),0)</f>
        <v/>
      </c>
      <c r="AG397" s="192">
        <f>$BD397*VLOOKUP($AG$3,$AF$4:$AG$7,2,FALSE)</f>
        <v/>
      </c>
      <c r="AH397" s="76">
        <f>SUM(AE397,AG397,AI397)*rate_forex_risk</f>
        <v/>
      </c>
      <c r="AI397" s="193">
        <f>IF(OR(seller_region="TR",offer_sale_type="экспорт"),0,rate_fin_comm)*SUM(AZ397,AZ397*AW397,T397)</f>
        <v/>
      </c>
      <c r="AJ397" s="118">
        <f>IFERROR(ROUND(SUM(AB397,AF397:AI397)/E397,2),0)</f>
        <v/>
      </c>
      <c r="AK397" s="76">
        <f>AJ397*E397</f>
        <v/>
      </c>
      <c r="AL397" s="174">
        <f>ROUND(IFERROR(AM397*E397,0),2)</f>
        <v/>
      </c>
      <c r="AM397" s="175">
        <f>ROUND(AJ397*(1+IF(offer_incoterms="DDP",IF((TODAY()+offer_turnaround_time)&gt;=helpsheet!$L$17,rate_vatRU_from_26,rate_vatRu_till_25),0)),2)</f>
        <v/>
      </c>
      <c r="AN397" s="192">
        <f>AL397-AK397</f>
        <v/>
      </c>
      <c r="AO397" s="76">
        <f>SUM(AY397,Y397:Z397,T397)*IF(AND(offer_incoterms="DDP",offer_sale_type&lt;&gt;"экспорт"),IF((TODAY()+offer_turnaround_time)&gt;=helpsheet!$L$17,rate_vatRU_from_26,rate_vatRu_till_25),0)</f>
        <v/>
      </c>
      <c r="AP397" s="193">
        <f>AN397-AO397</f>
        <v/>
      </c>
      <c r="AQ397" s="118">
        <f>IF(offer_sale_type="транзит",SUM(AF397:AI397,BA397,BB397),0)</f>
        <v/>
      </c>
      <c r="AR397" s="82">
        <f>HYPERLINK("https://www.alta.ru/tnved/code/")&amp;W397&amp;"/"</f>
        <v/>
      </c>
      <c r="AS397" s="157" t="n"/>
      <c r="AT397" s="162" t="n"/>
      <c r="AU397" s="76">
        <f>IF(ISBLANK(AT397),0,AJ397-AT397)</f>
        <v/>
      </c>
      <c r="AV397" s="157" t="n"/>
      <c r="AW397" s="75">
        <f>_xlfn.IFNA(VLOOKUP(L397,list_vat[],3,FALSE),0)</f>
        <v/>
      </c>
      <c r="AX397" s="76">
        <f>IFERROR(ROUND(S397*(1+AW397)/E397,2),0)</f>
        <v/>
      </c>
      <c r="AY397" s="76">
        <f>E397*AX397</f>
        <v/>
      </c>
      <c r="AZ397" s="192">
        <f>S397*(1+M397)</f>
        <v/>
      </c>
      <c r="BA397" s="76">
        <f>cost_fin_total*$BD397</f>
        <v/>
      </c>
      <c r="BB397" s="193">
        <f>credit_sales_interest*BD397</f>
        <v/>
      </c>
      <c r="BC397" s="102">
        <f>IFERROR(IF($I$13&gt;0,$I397/$I$13,$S397/$S$13),0)</f>
        <v/>
      </c>
      <c r="BD397" s="102">
        <f>IFERROR($S397/$S$13,0)</f>
        <v/>
      </c>
      <c r="BE397" s="413" t="inlineStr">
        <is>
          <t>$</t>
        </is>
      </c>
    </row>
    <row r="398" ht="12" customFormat="1" customHeight="1" s="65">
      <c r="A398" s="43" t="n">
        <v>383</v>
      </c>
      <c r="B398" s="166" t="n"/>
      <c r="C398" s="166" t="n"/>
      <c r="D398" s="166" t="n"/>
      <c r="E398" s="162" t="n"/>
      <c r="F398" s="166" t="n"/>
      <c r="G398" s="162" t="n"/>
      <c r="H398" s="162" t="n"/>
      <c r="I398" s="189">
        <f>E398*G398</f>
        <v/>
      </c>
      <c r="J398" s="195" t="n"/>
      <c r="K398" s="162" t="n"/>
      <c r="L398" s="168" t="n"/>
      <c r="M398" s="75">
        <f>_xlfn.XLOOKUP(L398,list_vat[Страна],list_vat[Ставка НДС %],0,0)</f>
        <v/>
      </c>
      <c r="N398" s="162">
        <f>IFERROR(IF(L398="Китай",K398,K398/(1+M398)),0)</f>
        <v/>
      </c>
      <c r="O398" s="169" t="n"/>
      <c r="P398" s="76">
        <f>N398*(1-O398)</f>
        <v/>
      </c>
      <c r="Q398" s="162" t="n"/>
      <c r="R398" s="162">
        <f>IF(ISBLANK(Q398),"введи курс",P398/Q398)</f>
        <v/>
      </c>
      <c r="S398" s="196">
        <f>IF(AND(ISNUMBER(E398),ISNUMBER(Q398)),E398*R398,0)</f>
        <v/>
      </c>
      <c r="T398" s="192">
        <f>$BC398*V$11</f>
        <v/>
      </c>
      <c r="U398" s="76">
        <f>$BC398*W$11</f>
        <v/>
      </c>
      <c r="V398" s="193">
        <f>+SUM(T398:U398)</f>
        <v/>
      </c>
      <c r="W398" s="191" t="n"/>
      <c r="X398" s="170" t="n"/>
      <c r="Y398" s="76">
        <f>ROUND(IF(offer_incoterms="DDP",X398*(S398*(1+AW398)+T398),0),2)</f>
        <v/>
      </c>
      <c r="Z398" s="188" t="n"/>
      <c r="AA398" s="192">
        <f>IFERROR(AB398/E398,0)</f>
        <v/>
      </c>
      <c r="AB398" s="76">
        <f>ROUND(SUM(S398,V398,Y398:Z398,BA398:BB398),2)</f>
        <v/>
      </c>
      <c r="AC398" s="797" t="n"/>
      <c r="AD398" s="192">
        <f t="array" ref="AD398">IFERROR(ROUND((_xlfn.IFS(offer_sale_type="поставка",AB398,offer_sale_type="транзит",S398)*(1+AC398))/E398,2),0)</f>
        <v/>
      </c>
      <c r="AE398" s="76">
        <f>AD398*E398</f>
        <v/>
      </c>
      <c r="AF398" s="193">
        <f t="array" ref="AF398">IFERROR(ROUND(_xlfn.IFS(offer_sale_type="поставка",AB398,offer_sale_type="транзит",S398)*AC398,2),0)</f>
        <v/>
      </c>
      <c r="AG398" s="192">
        <f>$BD398*VLOOKUP($AG$3,$AF$4:$AG$7,2,FALSE)</f>
        <v/>
      </c>
      <c r="AH398" s="76">
        <f>SUM(AE398,AG398,AI398)*rate_forex_risk</f>
        <v/>
      </c>
      <c r="AI398" s="193">
        <f>IF(OR(seller_region="TR",offer_sale_type="экспорт"),0,rate_fin_comm)*SUM(AZ398,AZ398*AW398,T398)</f>
        <v/>
      </c>
      <c r="AJ398" s="118">
        <f>IFERROR(ROUND(SUM(AB398,AF398:AI398)/E398,2),0)</f>
        <v/>
      </c>
      <c r="AK398" s="76">
        <f>AJ398*E398</f>
        <v/>
      </c>
      <c r="AL398" s="174">
        <f>ROUND(IFERROR(AM398*E398,0),2)</f>
        <v/>
      </c>
      <c r="AM398" s="175">
        <f>ROUND(AJ398*(1+IF(offer_incoterms="DDP",IF((TODAY()+offer_turnaround_time)&gt;=helpsheet!$L$17,rate_vatRU_from_26,rate_vatRu_till_25),0)),2)</f>
        <v/>
      </c>
      <c r="AN398" s="192">
        <f>AL398-AK398</f>
        <v/>
      </c>
      <c r="AO398" s="76">
        <f>SUM(AY398,Y398:Z398,T398)*IF(AND(offer_incoterms="DDP",offer_sale_type&lt;&gt;"экспорт"),IF((TODAY()+offer_turnaround_time)&gt;=helpsheet!$L$17,rate_vatRU_from_26,rate_vatRu_till_25),0)</f>
        <v/>
      </c>
      <c r="AP398" s="193">
        <f>AN398-AO398</f>
        <v/>
      </c>
      <c r="AQ398" s="118">
        <f>IF(offer_sale_type="транзит",SUM(AF398:AI398,BA398,BB398),0)</f>
        <v/>
      </c>
      <c r="AR398" s="82">
        <f>HYPERLINK("https://www.alta.ru/tnved/code/")&amp;W398&amp;"/"</f>
        <v/>
      </c>
      <c r="AS398" s="157" t="n"/>
      <c r="AT398" s="162" t="n"/>
      <c r="AU398" s="76">
        <f>IF(ISBLANK(AT398),0,AJ398-AT398)</f>
        <v/>
      </c>
      <c r="AV398" s="157" t="n"/>
      <c r="AW398" s="75">
        <f>_xlfn.IFNA(VLOOKUP(L398,list_vat[],3,FALSE),0)</f>
        <v/>
      </c>
      <c r="AX398" s="76">
        <f>IFERROR(ROUND(S398*(1+AW398)/E398,2),0)</f>
        <v/>
      </c>
      <c r="AY398" s="76">
        <f>E398*AX398</f>
        <v/>
      </c>
      <c r="AZ398" s="192">
        <f>S398*(1+M398)</f>
        <v/>
      </c>
      <c r="BA398" s="76">
        <f>cost_fin_total*$BD398</f>
        <v/>
      </c>
      <c r="BB398" s="193">
        <f>credit_sales_interest*BD398</f>
        <v/>
      </c>
      <c r="BC398" s="102">
        <f>IFERROR(IF($I$13&gt;0,$I398/$I$13,$S398/$S$13),0)</f>
        <v/>
      </c>
      <c r="BD398" s="102">
        <f>IFERROR($S398/$S$13,0)</f>
        <v/>
      </c>
      <c r="BE398" s="413" t="inlineStr">
        <is>
          <t>$</t>
        </is>
      </c>
    </row>
    <row r="399" ht="12" customFormat="1" customHeight="1" s="65">
      <c r="A399" s="43" t="n">
        <v>384</v>
      </c>
      <c r="B399" s="166" t="n"/>
      <c r="C399" s="166" t="n"/>
      <c r="D399" s="166" t="n"/>
      <c r="E399" s="162" t="n"/>
      <c r="F399" s="166" t="n"/>
      <c r="G399" s="162" t="n"/>
      <c r="H399" s="162" t="n"/>
      <c r="I399" s="189">
        <f>E399*G399</f>
        <v/>
      </c>
      <c r="J399" s="195" t="n"/>
      <c r="K399" s="162" t="n"/>
      <c r="L399" s="168" t="n"/>
      <c r="M399" s="75">
        <f>_xlfn.XLOOKUP(L399,list_vat[Страна],list_vat[Ставка НДС %],0,0)</f>
        <v/>
      </c>
      <c r="N399" s="162">
        <f>IFERROR(IF(L399="Китай",K399,K399/(1+M399)),0)</f>
        <v/>
      </c>
      <c r="O399" s="169" t="n"/>
      <c r="P399" s="76">
        <f>N399*(1-O399)</f>
        <v/>
      </c>
      <c r="Q399" s="162" t="n"/>
      <c r="R399" s="162">
        <f>IF(ISBLANK(Q399),"введи курс",P399/Q399)</f>
        <v/>
      </c>
      <c r="S399" s="196">
        <f>IF(AND(ISNUMBER(E399),ISNUMBER(Q399)),E399*R399,0)</f>
        <v/>
      </c>
      <c r="T399" s="192">
        <f>$BC399*V$11</f>
        <v/>
      </c>
      <c r="U399" s="76">
        <f>$BC399*W$11</f>
        <v/>
      </c>
      <c r="V399" s="193">
        <f>+SUM(T399:U399)</f>
        <v/>
      </c>
      <c r="W399" s="191" t="n"/>
      <c r="X399" s="170" t="n"/>
      <c r="Y399" s="76">
        <f>ROUND(IF(offer_incoterms="DDP",X399*(S399*(1+AW399)+T399),0),2)</f>
        <v/>
      </c>
      <c r="Z399" s="188" t="n"/>
      <c r="AA399" s="192">
        <f>IFERROR(AB399/E399,0)</f>
        <v/>
      </c>
      <c r="AB399" s="76">
        <f>ROUND(SUM(S399,V399,Y399:Z399,BA399:BB399),2)</f>
        <v/>
      </c>
      <c r="AC399" s="797" t="n"/>
      <c r="AD399" s="192">
        <f t="array" ref="AD399">IFERROR(ROUND((_xlfn.IFS(offer_sale_type="поставка",AB399,offer_sale_type="транзит",S399)*(1+AC399))/E399,2),0)</f>
        <v/>
      </c>
      <c r="AE399" s="76">
        <f>AD399*E399</f>
        <v/>
      </c>
      <c r="AF399" s="193">
        <f t="array" ref="AF399">IFERROR(ROUND(_xlfn.IFS(offer_sale_type="поставка",AB399,offer_sale_type="транзит",S399)*AC399,2),0)</f>
        <v/>
      </c>
      <c r="AG399" s="192">
        <f>$BD399*VLOOKUP($AG$3,$AF$4:$AG$7,2,FALSE)</f>
        <v/>
      </c>
      <c r="AH399" s="76">
        <f>SUM(AE399,AG399,AI399)*rate_forex_risk</f>
        <v/>
      </c>
      <c r="AI399" s="193">
        <f>IF(OR(seller_region="TR",offer_sale_type="экспорт"),0,rate_fin_comm)*SUM(AZ399,AZ399*AW399,T399)</f>
        <v/>
      </c>
      <c r="AJ399" s="118">
        <f>IFERROR(ROUND(SUM(AB399,AF399:AI399)/E399,2),0)</f>
        <v/>
      </c>
      <c r="AK399" s="76">
        <f>AJ399*E399</f>
        <v/>
      </c>
      <c r="AL399" s="174">
        <f>ROUND(IFERROR(AM399*E399,0),2)</f>
        <v/>
      </c>
      <c r="AM399" s="175">
        <f>ROUND(AJ399*(1+IF(offer_incoterms="DDP",IF((TODAY()+offer_turnaround_time)&gt;=helpsheet!$L$17,rate_vatRU_from_26,rate_vatRu_till_25),0)),2)</f>
        <v/>
      </c>
      <c r="AN399" s="192">
        <f>AL399-AK399</f>
        <v/>
      </c>
      <c r="AO399" s="76">
        <f>SUM(AY399,Y399:Z399,T399)*IF(AND(offer_incoterms="DDP",offer_sale_type&lt;&gt;"экспорт"),IF((TODAY()+offer_turnaround_time)&gt;=helpsheet!$L$17,rate_vatRU_from_26,rate_vatRu_till_25),0)</f>
        <v/>
      </c>
      <c r="AP399" s="193">
        <f>AN399-AO399</f>
        <v/>
      </c>
      <c r="AQ399" s="118">
        <f>IF(offer_sale_type="транзит",SUM(AF399:AI399,BA399,BB399),0)</f>
        <v/>
      </c>
      <c r="AR399" s="82">
        <f>HYPERLINK("https://www.alta.ru/tnved/code/")&amp;W399&amp;"/"</f>
        <v/>
      </c>
      <c r="AS399" s="157" t="n"/>
      <c r="AT399" s="162" t="n"/>
      <c r="AU399" s="76">
        <f>IF(ISBLANK(AT399),0,AJ399-AT399)</f>
        <v/>
      </c>
      <c r="AV399" s="157" t="n"/>
      <c r="AW399" s="75">
        <f>_xlfn.IFNA(VLOOKUP(L399,list_vat[],3,FALSE),0)</f>
        <v/>
      </c>
      <c r="AX399" s="76">
        <f>IFERROR(ROUND(S399*(1+AW399)/E399,2),0)</f>
        <v/>
      </c>
      <c r="AY399" s="76">
        <f>E399*AX399</f>
        <v/>
      </c>
      <c r="AZ399" s="192">
        <f>S399*(1+M399)</f>
        <v/>
      </c>
      <c r="BA399" s="76">
        <f>cost_fin_total*$BD399</f>
        <v/>
      </c>
      <c r="BB399" s="193">
        <f>credit_sales_interest*BD399</f>
        <v/>
      </c>
      <c r="BC399" s="102">
        <f>IFERROR(IF($I$13&gt;0,$I399/$I$13,$S399/$S$13),0)</f>
        <v/>
      </c>
      <c r="BD399" s="102">
        <f>IFERROR($S399/$S$13,0)</f>
        <v/>
      </c>
      <c r="BE399" s="413" t="inlineStr">
        <is>
          <t>$</t>
        </is>
      </c>
    </row>
    <row r="400" ht="12" customFormat="1" customHeight="1" s="65">
      <c r="A400" s="43" t="n">
        <v>385</v>
      </c>
      <c r="B400" s="166" t="n"/>
      <c r="C400" s="166" t="n"/>
      <c r="D400" s="166" t="n"/>
      <c r="E400" s="162" t="n"/>
      <c r="F400" s="166" t="n"/>
      <c r="G400" s="162" t="n"/>
      <c r="H400" s="162" t="n"/>
      <c r="I400" s="189">
        <f>E400*G400</f>
        <v/>
      </c>
      <c r="J400" s="195" t="n"/>
      <c r="K400" s="162" t="n"/>
      <c r="L400" s="168" t="n"/>
      <c r="M400" s="75">
        <f>_xlfn.XLOOKUP(L400,list_vat[Страна],list_vat[Ставка НДС %],0,0)</f>
        <v/>
      </c>
      <c r="N400" s="162">
        <f>IFERROR(IF(L400="Китай",K400,K400/(1+M400)),0)</f>
        <v/>
      </c>
      <c r="O400" s="169" t="n"/>
      <c r="P400" s="76">
        <f>N400*(1-O400)</f>
        <v/>
      </c>
      <c r="Q400" s="162" t="n"/>
      <c r="R400" s="162">
        <f>IF(ISBLANK(Q400),"введи курс",P400/Q400)</f>
        <v/>
      </c>
      <c r="S400" s="196">
        <f>IF(AND(ISNUMBER(E400),ISNUMBER(Q400)),E400*R400,0)</f>
        <v/>
      </c>
      <c r="T400" s="192">
        <f>$BC400*V$11</f>
        <v/>
      </c>
      <c r="U400" s="76">
        <f>$BC400*W$11</f>
        <v/>
      </c>
      <c r="V400" s="193">
        <f>+SUM(T400:U400)</f>
        <v/>
      </c>
      <c r="W400" s="191" t="n"/>
      <c r="X400" s="170" t="n"/>
      <c r="Y400" s="76">
        <f>ROUND(IF(offer_incoterms="DDP",X400*(S400*(1+AW400)+T400),0),2)</f>
        <v/>
      </c>
      <c r="Z400" s="188" t="n"/>
      <c r="AA400" s="192">
        <f>IFERROR(AB400/E400,0)</f>
        <v/>
      </c>
      <c r="AB400" s="76">
        <f>ROUND(SUM(S400,V400,Y400:Z400,BA400:BB400),2)</f>
        <v/>
      </c>
      <c r="AC400" s="797" t="n"/>
      <c r="AD400" s="192">
        <f t="array" ref="AD400">IFERROR(ROUND((_xlfn.IFS(offer_sale_type="поставка",AB400,offer_sale_type="транзит",S400)*(1+AC400))/E400,2),0)</f>
        <v/>
      </c>
      <c r="AE400" s="76">
        <f>AD400*E400</f>
        <v/>
      </c>
      <c r="AF400" s="193">
        <f t="array" ref="AF400">IFERROR(ROUND(_xlfn.IFS(offer_sale_type="поставка",AB400,offer_sale_type="транзит",S400)*AC400,2),0)</f>
        <v/>
      </c>
      <c r="AG400" s="192">
        <f>$BD400*VLOOKUP($AG$3,$AF$4:$AG$7,2,FALSE)</f>
        <v/>
      </c>
      <c r="AH400" s="76">
        <f>SUM(AE400,AG400,AI400)*rate_forex_risk</f>
        <v/>
      </c>
      <c r="AI400" s="193">
        <f>IF(OR(seller_region="TR",offer_sale_type="экспорт"),0,rate_fin_comm)*SUM(AZ400,AZ400*AW400,T400)</f>
        <v/>
      </c>
      <c r="AJ400" s="118">
        <f>IFERROR(ROUND(SUM(AB400,AF400:AI400)/E400,2),0)</f>
        <v/>
      </c>
      <c r="AK400" s="76">
        <f>AJ400*E400</f>
        <v/>
      </c>
      <c r="AL400" s="174">
        <f>ROUND(IFERROR(AM400*E400,0),2)</f>
        <v/>
      </c>
      <c r="AM400" s="175">
        <f>ROUND(AJ400*(1+IF(offer_incoterms="DDP",IF((TODAY()+offer_turnaround_time)&gt;=helpsheet!$L$17,rate_vatRU_from_26,rate_vatRu_till_25),0)),2)</f>
        <v/>
      </c>
      <c r="AN400" s="192">
        <f>AL400-AK400</f>
        <v/>
      </c>
      <c r="AO400" s="76">
        <f>SUM(AY400,Y400:Z400,T400)*IF(AND(offer_incoterms="DDP",offer_sale_type&lt;&gt;"экспорт"),IF((TODAY()+offer_turnaround_time)&gt;=helpsheet!$L$17,rate_vatRU_from_26,rate_vatRu_till_25),0)</f>
        <v/>
      </c>
      <c r="AP400" s="193">
        <f>AN400-AO400</f>
        <v/>
      </c>
      <c r="AQ400" s="118">
        <f>IF(offer_sale_type="транзит",SUM(AF400:AI400,BA400,BB400),0)</f>
        <v/>
      </c>
      <c r="AR400" s="82">
        <f>HYPERLINK("https://www.alta.ru/tnved/code/")&amp;W400&amp;"/"</f>
        <v/>
      </c>
      <c r="AS400" s="157" t="n"/>
      <c r="AT400" s="162" t="n"/>
      <c r="AU400" s="76">
        <f>IF(ISBLANK(AT400),0,AJ400-AT400)</f>
        <v/>
      </c>
      <c r="AV400" s="157" t="n"/>
      <c r="AW400" s="75">
        <f>_xlfn.IFNA(VLOOKUP(L400,list_vat[],3,FALSE),0)</f>
        <v/>
      </c>
      <c r="AX400" s="76">
        <f>IFERROR(ROUND(S400*(1+AW400)/E400,2),0)</f>
        <v/>
      </c>
      <c r="AY400" s="76">
        <f>E400*AX400</f>
        <v/>
      </c>
      <c r="AZ400" s="192">
        <f>S400*(1+M400)</f>
        <v/>
      </c>
      <c r="BA400" s="76">
        <f>cost_fin_total*$BD400</f>
        <v/>
      </c>
      <c r="BB400" s="193">
        <f>credit_sales_interest*BD400</f>
        <v/>
      </c>
      <c r="BC400" s="102">
        <f>IFERROR(IF($I$13&gt;0,$I400/$I$13,$S400/$S$13),0)</f>
        <v/>
      </c>
      <c r="BD400" s="102">
        <f>IFERROR($S400/$S$13,0)</f>
        <v/>
      </c>
      <c r="BE400" s="413" t="inlineStr">
        <is>
          <t>$</t>
        </is>
      </c>
    </row>
    <row r="401" ht="12" customFormat="1" customHeight="1" s="65">
      <c r="A401" s="43" t="n">
        <v>386</v>
      </c>
      <c r="B401" s="166" t="n"/>
      <c r="C401" s="166" t="n"/>
      <c r="D401" s="166" t="n"/>
      <c r="E401" s="162" t="n"/>
      <c r="F401" s="166" t="n"/>
      <c r="G401" s="162" t="n"/>
      <c r="H401" s="162" t="n"/>
      <c r="I401" s="189">
        <f>E401*G401</f>
        <v/>
      </c>
      <c r="J401" s="195" t="n"/>
      <c r="K401" s="162" t="n"/>
      <c r="L401" s="168" t="n"/>
      <c r="M401" s="75">
        <f>_xlfn.XLOOKUP(L401,list_vat[Страна],list_vat[Ставка НДС %],0,0)</f>
        <v/>
      </c>
      <c r="N401" s="162">
        <f>IFERROR(IF(L401="Китай",K401,K401/(1+M401)),0)</f>
        <v/>
      </c>
      <c r="O401" s="169" t="n"/>
      <c r="P401" s="76">
        <f>N401*(1-O401)</f>
        <v/>
      </c>
      <c r="Q401" s="162" t="n"/>
      <c r="R401" s="162">
        <f>IF(ISBLANK(Q401),"введи курс",P401/Q401)</f>
        <v/>
      </c>
      <c r="S401" s="196">
        <f>IF(AND(ISNUMBER(E401),ISNUMBER(Q401)),E401*R401,0)</f>
        <v/>
      </c>
      <c r="T401" s="192">
        <f>$BC401*V$11</f>
        <v/>
      </c>
      <c r="U401" s="76">
        <f>$BC401*W$11</f>
        <v/>
      </c>
      <c r="V401" s="193">
        <f>+SUM(T401:U401)</f>
        <v/>
      </c>
      <c r="W401" s="191" t="n"/>
      <c r="X401" s="170" t="n"/>
      <c r="Y401" s="76">
        <f>ROUND(IF(offer_incoterms="DDP",X401*(S401*(1+AW401)+T401),0),2)</f>
        <v/>
      </c>
      <c r="Z401" s="188" t="n"/>
      <c r="AA401" s="192">
        <f>IFERROR(AB401/E401,0)</f>
        <v/>
      </c>
      <c r="AB401" s="76">
        <f>ROUND(SUM(S401,V401,Y401:Z401,BA401:BB401),2)</f>
        <v/>
      </c>
      <c r="AC401" s="797" t="n"/>
      <c r="AD401" s="192">
        <f t="array" ref="AD401">IFERROR(ROUND((_xlfn.IFS(offer_sale_type="поставка",AB401,offer_sale_type="транзит",S401)*(1+AC401))/E401,2),0)</f>
        <v/>
      </c>
      <c r="AE401" s="76">
        <f>AD401*E401</f>
        <v/>
      </c>
      <c r="AF401" s="193">
        <f t="array" ref="AF401">IFERROR(ROUND(_xlfn.IFS(offer_sale_type="поставка",AB401,offer_sale_type="транзит",S401)*AC401,2),0)</f>
        <v/>
      </c>
      <c r="AG401" s="192">
        <f>$BD401*VLOOKUP($AG$3,$AF$4:$AG$7,2,FALSE)</f>
        <v/>
      </c>
      <c r="AH401" s="76">
        <f>SUM(AE401,AG401,AI401)*rate_forex_risk</f>
        <v/>
      </c>
      <c r="AI401" s="193">
        <f>IF(OR(seller_region="TR",offer_sale_type="экспорт"),0,rate_fin_comm)*SUM(AZ401,AZ401*AW401,T401)</f>
        <v/>
      </c>
      <c r="AJ401" s="118">
        <f>IFERROR(ROUND(SUM(AB401,AF401:AI401)/E401,2),0)</f>
        <v/>
      </c>
      <c r="AK401" s="76">
        <f>AJ401*E401</f>
        <v/>
      </c>
      <c r="AL401" s="174">
        <f>ROUND(IFERROR(AM401*E401,0),2)</f>
        <v/>
      </c>
      <c r="AM401" s="175">
        <f>ROUND(AJ401*(1+IF(offer_incoterms="DDP",IF((TODAY()+offer_turnaround_time)&gt;=helpsheet!$L$17,rate_vatRU_from_26,rate_vatRu_till_25),0)),2)</f>
        <v/>
      </c>
      <c r="AN401" s="192">
        <f>AL401-AK401</f>
        <v/>
      </c>
      <c r="AO401" s="76">
        <f>SUM(AY401,Y401:Z401,T401)*IF(AND(offer_incoterms="DDP",offer_sale_type&lt;&gt;"экспорт"),IF((TODAY()+offer_turnaround_time)&gt;=helpsheet!$L$17,rate_vatRU_from_26,rate_vatRu_till_25),0)</f>
        <v/>
      </c>
      <c r="AP401" s="193">
        <f>AN401-AO401</f>
        <v/>
      </c>
      <c r="AQ401" s="118">
        <f>IF(offer_sale_type="транзит",SUM(AF401:AI401,BA401,BB401),0)</f>
        <v/>
      </c>
      <c r="AR401" s="82">
        <f>HYPERLINK("https://www.alta.ru/tnved/code/")&amp;W401&amp;"/"</f>
        <v/>
      </c>
      <c r="AS401" s="157" t="n"/>
      <c r="AT401" s="162" t="n"/>
      <c r="AU401" s="76">
        <f>IF(ISBLANK(AT401),0,AJ401-AT401)</f>
        <v/>
      </c>
      <c r="AV401" s="157" t="n"/>
      <c r="AW401" s="75">
        <f>_xlfn.IFNA(VLOOKUP(L401,list_vat[],3,FALSE),0)</f>
        <v/>
      </c>
      <c r="AX401" s="76">
        <f>IFERROR(ROUND(S401*(1+AW401)/E401,2),0)</f>
        <v/>
      </c>
      <c r="AY401" s="76">
        <f>E401*AX401</f>
        <v/>
      </c>
      <c r="AZ401" s="192">
        <f>S401*(1+M401)</f>
        <v/>
      </c>
      <c r="BA401" s="76">
        <f>cost_fin_total*$BD401</f>
        <v/>
      </c>
      <c r="BB401" s="193">
        <f>credit_sales_interest*BD401</f>
        <v/>
      </c>
      <c r="BC401" s="102">
        <f>IFERROR(IF($I$13&gt;0,$I401/$I$13,$S401/$S$13),0)</f>
        <v/>
      </c>
      <c r="BD401" s="102">
        <f>IFERROR($S401/$S$13,0)</f>
        <v/>
      </c>
      <c r="BE401" s="413" t="inlineStr">
        <is>
          <t>$</t>
        </is>
      </c>
    </row>
    <row r="402" ht="12" customFormat="1" customHeight="1" s="65">
      <c r="A402" s="43" t="n">
        <v>387</v>
      </c>
      <c r="B402" s="166" t="n"/>
      <c r="C402" s="166" t="n"/>
      <c r="D402" s="166" t="n"/>
      <c r="E402" s="162" t="n"/>
      <c r="F402" s="166" t="n"/>
      <c r="G402" s="162" t="n"/>
      <c r="H402" s="162" t="n"/>
      <c r="I402" s="189">
        <f>E402*G402</f>
        <v/>
      </c>
      <c r="J402" s="195" t="n"/>
      <c r="K402" s="162" t="n"/>
      <c r="L402" s="168" t="n"/>
      <c r="M402" s="75">
        <f>_xlfn.XLOOKUP(L402,list_vat[Страна],list_vat[Ставка НДС %],0,0)</f>
        <v/>
      </c>
      <c r="N402" s="162">
        <f>IFERROR(IF(L402="Китай",K402,K402/(1+M402)),0)</f>
        <v/>
      </c>
      <c r="O402" s="169" t="n"/>
      <c r="P402" s="76">
        <f>N402*(1-O402)</f>
        <v/>
      </c>
      <c r="Q402" s="162" t="n"/>
      <c r="R402" s="162">
        <f>IF(ISBLANK(Q402),"введи курс",P402/Q402)</f>
        <v/>
      </c>
      <c r="S402" s="196">
        <f>IF(AND(ISNUMBER(E402),ISNUMBER(Q402)),E402*R402,0)</f>
        <v/>
      </c>
      <c r="T402" s="192">
        <f>$BC402*V$11</f>
        <v/>
      </c>
      <c r="U402" s="76">
        <f>$BC402*W$11</f>
        <v/>
      </c>
      <c r="V402" s="193">
        <f>+SUM(T402:U402)</f>
        <v/>
      </c>
      <c r="W402" s="191" t="n"/>
      <c r="X402" s="170" t="n"/>
      <c r="Y402" s="76">
        <f>ROUND(IF(offer_incoterms="DDP",X402*(S402*(1+AW402)+T402),0),2)</f>
        <v/>
      </c>
      <c r="Z402" s="188" t="n"/>
      <c r="AA402" s="192">
        <f>IFERROR(AB402/E402,0)</f>
        <v/>
      </c>
      <c r="AB402" s="76">
        <f>ROUND(SUM(S402,V402,Y402:Z402,BA402:BB402),2)</f>
        <v/>
      </c>
      <c r="AC402" s="797" t="n"/>
      <c r="AD402" s="192">
        <f t="array" ref="AD402">IFERROR(ROUND((_xlfn.IFS(offer_sale_type="поставка",AB402,offer_sale_type="транзит",S402)*(1+AC402))/E402,2),0)</f>
        <v/>
      </c>
      <c r="AE402" s="76">
        <f>AD402*E402</f>
        <v/>
      </c>
      <c r="AF402" s="193">
        <f t="array" ref="AF402">IFERROR(ROUND(_xlfn.IFS(offer_sale_type="поставка",AB402,offer_sale_type="транзит",S402)*AC402,2),0)</f>
        <v/>
      </c>
      <c r="AG402" s="192">
        <f>$BD402*VLOOKUP($AG$3,$AF$4:$AG$7,2,FALSE)</f>
        <v/>
      </c>
      <c r="AH402" s="76">
        <f>SUM(AE402,AG402,AI402)*rate_forex_risk</f>
        <v/>
      </c>
      <c r="AI402" s="193">
        <f>IF(OR(seller_region="TR",offer_sale_type="экспорт"),0,rate_fin_comm)*SUM(AZ402,AZ402*AW402,T402)</f>
        <v/>
      </c>
      <c r="AJ402" s="118">
        <f>IFERROR(ROUND(SUM(AB402,AF402:AI402)/E402,2),0)</f>
        <v/>
      </c>
      <c r="AK402" s="76">
        <f>AJ402*E402</f>
        <v/>
      </c>
      <c r="AL402" s="174">
        <f>ROUND(IFERROR(AM402*E402,0),2)</f>
        <v/>
      </c>
      <c r="AM402" s="175">
        <f>ROUND(AJ402*(1+IF(offer_incoterms="DDP",IF((TODAY()+offer_turnaround_time)&gt;=helpsheet!$L$17,rate_vatRU_from_26,rate_vatRu_till_25),0)),2)</f>
        <v/>
      </c>
      <c r="AN402" s="192">
        <f>AL402-AK402</f>
        <v/>
      </c>
      <c r="AO402" s="76">
        <f>SUM(AY402,Y402:Z402,T402)*IF(AND(offer_incoterms="DDP",offer_sale_type&lt;&gt;"экспорт"),IF((TODAY()+offer_turnaround_time)&gt;=helpsheet!$L$17,rate_vatRU_from_26,rate_vatRu_till_25),0)</f>
        <v/>
      </c>
      <c r="AP402" s="193">
        <f>AN402-AO402</f>
        <v/>
      </c>
      <c r="AQ402" s="118">
        <f>IF(offer_sale_type="транзит",SUM(AF402:AI402,BA402,BB402),0)</f>
        <v/>
      </c>
      <c r="AR402" s="82">
        <f>HYPERLINK("https://www.alta.ru/tnved/code/")&amp;W402&amp;"/"</f>
        <v/>
      </c>
      <c r="AS402" s="157" t="n"/>
      <c r="AT402" s="162" t="n"/>
      <c r="AU402" s="76">
        <f>IF(ISBLANK(AT402),0,AJ402-AT402)</f>
        <v/>
      </c>
      <c r="AV402" s="157" t="n"/>
      <c r="AW402" s="75">
        <f>_xlfn.IFNA(VLOOKUP(L402,list_vat[],3,FALSE),0)</f>
        <v/>
      </c>
      <c r="AX402" s="76">
        <f>IFERROR(ROUND(S402*(1+AW402)/E402,2),0)</f>
        <v/>
      </c>
      <c r="AY402" s="76">
        <f>E402*AX402</f>
        <v/>
      </c>
      <c r="AZ402" s="192">
        <f>S402*(1+M402)</f>
        <v/>
      </c>
      <c r="BA402" s="76">
        <f>cost_fin_total*$BD402</f>
        <v/>
      </c>
      <c r="BB402" s="193">
        <f>credit_sales_interest*BD402</f>
        <v/>
      </c>
      <c r="BC402" s="102">
        <f>IFERROR(IF($I$13&gt;0,$I402/$I$13,$S402/$S$13),0)</f>
        <v/>
      </c>
      <c r="BD402" s="102">
        <f>IFERROR($S402/$S$13,0)</f>
        <v/>
      </c>
      <c r="BE402" s="413" t="inlineStr">
        <is>
          <t>$</t>
        </is>
      </c>
    </row>
    <row r="403" ht="12" customFormat="1" customHeight="1" s="65">
      <c r="A403" s="43" t="n">
        <v>388</v>
      </c>
      <c r="B403" s="166" t="n"/>
      <c r="C403" s="166" t="n"/>
      <c r="D403" s="166" t="n"/>
      <c r="E403" s="162" t="n"/>
      <c r="F403" s="166" t="n"/>
      <c r="G403" s="162" t="n"/>
      <c r="H403" s="162" t="n"/>
      <c r="I403" s="189">
        <f>E403*G403</f>
        <v/>
      </c>
      <c r="J403" s="195" t="n"/>
      <c r="K403" s="162" t="n"/>
      <c r="L403" s="168" t="n"/>
      <c r="M403" s="75">
        <f>_xlfn.XLOOKUP(L403,list_vat[Страна],list_vat[Ставка НДС %],0,0)</f>
        <v/>
      </c>
      <c r="N403" s="162">
        <f>IFERROR(IF(L403="Китай",K403,K403/(1+M403)),0)</f>
        <v/>
      </c>
      <c r="O403" s="169" t="n"/>
      <c r="P403" s="76">
        <f>N403*(1-O403)</f>
        <v/>
      </c>
      <c r="Q403" s="162" t="n"/>
      <c r="R403" s="162">
        <f>IF(ISBLANK(Q403),"введи курс",P403/Q403)</f>
        <v/>
      </c>
      <c r="S403" s="196">
        <f>IF(AND(ISNUMBER(E403),ISNUMBER(Q403)),E403*R403,0)</f>
        <v/>
      </c>
      <c r="T403" s="192">
        <f>$BC403*V$11</f>
        <v/>
      </c>
      <c r="U403" s="76">
        <f>$BC403*W$11</f>
        <v/>
      </c>
      <c r="V403" s="193">
        <f>+SUM(T403:U403)</f>
        <v/>
      </c>
      <c r="W403" s="191" t="n"/>
      <c r="X403" s="170" t="n"/>
      <c r="Y403" s="76">
        <f>ROUND(IF(offer_incoterms="DDP",X403*(S403*(1+AW403)+T403),0),2)</f>
        <v/>
      </c>
      <c r="Z403" s="188" t="n"/>
      <c r="AA403" s="192">
        <f>IFERROR(AB403/E403,0)</f>
        <v/>
      </c>
      <c r="AB403" s="76">
        <f>ROUND(SUM(S403,V403,Y403:Z403,BA403:BB403),2)</f>
        <v/>
      </c>
      <c r="AC403" s="797" t="n"/>
      <c r="AD403" s="192">
        <f t="array" ref="AD403">IFERROR(ROUND((_xlfn.IFS(offer_sale_type="поставка",AB403,offer_sale_type="транзит",S403)*(1+AC403))/E403,2),0)</f>
        <v/>
      </c>
      <c r="AE403" s="76">
        <f>AD403*E403</f>
        <v/>
      </c>
      <c r="AF403" s="193">
        <f t="array" ref="AF403">IFERROR(ROUND(_xlfn.IFS(offer_sale_type="поставка",AB403,offer_sale_type="транзит",S403)*AC403,2),0)</f>
        <v/>
      </c>
      <c r="AG403" s="192">
        <f>$BD403*VLOOKUP($AG$3,$AF$4:$AG$7,2,FALSE)</f>
        <v/>
      </c>
      <c r="AH403" s="76">
        <f>SUM(AE403,AG403,AI403)*rate_forex_risk</f>
        <v/>
      </c>
      <c r="AI403" s="193">
        <f>IF(OR(seller_region="TR",offer_sale_type="экспорт"),0,rate_fin_comm)*SUM(AZ403,AZ403*AW403,T403)</f>
        <v/>
      </c>
      <c r="AJ403" s="118">
        <f>IFERROR(ROUND(SUM(AB403,AF403:AI403)/E403,2),0)</f>
        <v/>
      </c>
      <c r="AK403" s="76">
        <f>AJ403*E403</f>
        <v/>
      </c>
      <c r="AL403" s="174">
        <f>ROUND(IFERROR(AM403*E403,0),2)</f>
        <v/>
      </c>
      <c r="AM403" s="175">
        <f>ROUND(AJ403*(1+IF(offer_incoterms="DDP",IF((TODAY()+offer_turnaround_time)&gt;=helpsheet!$L$17,rate_vatRU_from_26,rate_vatRu_till_25),0)),2)</f>
        <v/>
      </c>
      <c r="AN403" s="192">
        <f>AL403-AK403</f>
        <v/>
      </c>
      <c r="AO403" s="76">
        <f>SUM(AY403,Y403:Z403,T403)*IF(AND(offer_incoterms="DDP",offer_sale_type&lt;&gt;"экспорт"),IF((TODAY()+offer_turnaround_time)&gt;=helpsheet!$L$17,rate_vatRU_from_26,rate_vatRu_till_25),0)</f>
        <v/>
      </c>
      <c r="AP403" s="193">
        <f>AN403-AO403</f>
        <v/>
      </c>
      <c r="AQ403" s="118">
        <f>IF(offer_sale_type="транзит",SUM(AF403:AI403,BA403,BB403),0)</f>
        <v/>
      </c>
      <c r="AR403" s="82">
        <f>HYPERLINK("https://www.alta.ru/tnved/code/")&amp;W403&amp;"/"</f>
        <v/>
      </c>
      <c r="AS403" s="157" t="n"/>
      <c r="AT403" s="162" t="n"/>
      <c r="AU403" s="76">
        <f>IF(ISBLANK(AT403),0,AJ403-AT403)</f>
        <v/>
      </c>
      <c r="AV403" s="157" t="n"/>
      <c r="AW403" s="75">
        <f>_xlfn.IFNA(VLOOKUP(L403,list_vat[],3,FALSE),0)</f>
        <v/>
      </c>
      <c r="AX403" s="76">
        <f>IFERROR(ROUND(S403*(1+AW403)/E403,2),0)</f>
        <v/>
      </c>
      <c r="AY403" s="76">
        <f>E403*AX403</f>
        <v/>
      </c>
      <c r="AZ403" s="192">
        <f>S403*(1+M403)</f>
        <v/>
      </c>
      <c r="BA403" s="76">
        <f>cost_fin_total*$BD403</f>
        <v/>
      </c>
      <c r="BB403" s="193">
        <f>credit_sales_interest*BD403</f>
        <v/>
      </c>
      <c r="BC403" s="102">
        <f>IFERROR(IF($I$13&gt;0,$I403/$I$13,$S403/$S$13),0)</f>
        <v/>
      </c>
      <c r="BD403" s="102">
        <f>IFERROR($S403/$S$13,0)</f>
        <v/>
      </c>
      <c r="BE403" s="413" t="inlineStr">
        <is>
          <t>$</t>
        </is>
      </c>
    </row>
    <row r="404" ht="12" customFormat="1" customHeight="1" s="65">
      <c r="A404" s="43" t="n">
        <v>389</v>
      </c>
      <c r="B404" s="166" t="n"/>
      <c r="C404" s="166" t="n"/>
      <c r="D404" s="166" t="n"/>
      <c r="E404" s="162" t="n"/>
      <c r="F404" s="166" t="n"/>
      <c r="G404" s="162" t="n"/>
      <c r="H404" s="162" t="n"/>
      <c r="I404" s="189">
        <f>E404*G404</f>
        <v/>
      </c>
      <c r="J404" s="195" t="n"/>
      <c r="K404" s="162" t="n"/>
      <c r="L404" s="168" t="n"/>
      <c r="M404" s="75">
        <f>_xlfn.XLOOKUP(L404,list_vat[Страна],list_vat[Ставка НДС %],0,0)</f>
        <v/>
      </c>
      <c r="N404" s="162">
        <f>IFERROR(IF(L404="Китай",K404,K404/(1+M404)),0)</f>
        <v/>
      </c>
      <c r="O404" s="169" t="n"/>
      <c r="P404" s="76">
        <f>N404*(1-O404)</f>
        <v/>
      </c>
      <c r="Q404" s="162" t="n"/>
      <c r="R404" s="162">
        <f>IF(ISBLANK(Q404),"введи курс",P404/Q404)</f>
        <v/>
      </c>
      <c r="S404" s="196">
        <f>IF(AND(ISNUMBER(E404),ISNUMBER(Q404)),E404*R404,0)</f>
        <v/>
      </c>
      <c r="T404" s="192">
        <f>$BC404*V$11</f>
        <v/>
      </c>
      <c r="U404" s="76">
        <f>$BC404*W$11</f>
        <v/>
      </c>
      <c r="V404" s="193">
        <f>+SUM(T404:U404)</f>
        <v/>
      </c>
      <c r="W404" s="191" t="n"/>
      <c r="X404" s="170" t="n"/>
      <c r="Y404" s="76">
        <f>ROUND(IF(offer_incoterms="DDP",X404*(S404*(1+AW404)+T404),0),2)</f>
        <v/>
      </c>
      <c r="Z404" s="188" t="n"/>
      <c r="AA404" s="192">
        <f>IFERROR(AB404/E404,0)</f>
        <v/>
      </c>
      <c r="AB404" s="76">
        <f>ROUND(SUM(S404,V404,Y404:Z404,BA404:BB404),2)</f>
        <v/>
      </c>
      <c r="AC404" s="797" t="n"/>
      <c r="AD404" s="192">
        <f t="array" ref="AD404">IFERROR(ROUND((_xlfn.IFS(offer_sale_type="поставка",AB404,offer_sale_type="транзит",S404)*(1+AC404))/E404,2),0)</f>
        <v/>
      </c>
      <c r="AE404" s="76">
        <f>AD404*E404</f>
        <v/>
      </c>
      <c r="AF404" s="193">
        <f t="array" ref="AF404">IFERROR(ROUND(_xlfn.IFS(offer_sale_type="поставка",AB404,offer_sale_type="транзит",S404)*AC404,2),0)</f>
        <v/>
      </c>
      <c r="AG404" s="192">
        <f>$BD404*VLOOKUP($AG$3,$AF$4:$AG$7,2,FALSE)</f>
        <v/>
      </c>
      <c r="AH404" s="76">
        <f>SUM(AE404,AG404,AI404)*rate_forex_risk</f>
        <v/>
      </c>
      <c r="AI404" s="193">
        <f>IF(OR(seller_region="TR",offer_sale_type="экспорт"),0,rate_fin_comm)*SUM(AZ404,AZ404*AW404,T404)</f>
        <v/>
      </c>
      <c r="AJ404" s="118">
        <f>IFERROR(ROUND(SUM(AB404,AF404:AI404)/E404,2),0)</f>
        <v/>
      </c>
      <c r="AK404" s="76">
        <f>AJ404*E404</f>
        <v/>
      </c>
      <c r="AL404" s="174">
        <f>ROUND(IFERROR(AM404*E404,0),2)</f>
        <v/>
      </c>
      <c r="AM404" s="175">
        <f>ROUND(AJ404*(1+IF(offer_incoterms="DDP",IF((TODAY()+offer_turnaround_time)&gt;=helpsheet!$L$17,rate_vatRU_from_26,rate_vatRu_till_25),0)),2)</f>
        <v/>
      </c>
      <c r="AN404" s="192">
        <f>AL404-AK404</f>
        <v/>
      </c>
      <c r="AO404" s="76">
        <f>SUM(AY404,Y404:Z404,T404)*IF(AND(offer_incoterms="DDP",offer_sale_type&lt;&gt;"экспорт"),IF((TODAY()+offer_turnaround_time)&gt;=helpsheet!$L$17,rate_vatRU_from_26,rate_vatRu_till_25),0)</f>
        <v/>
      </c>
      <c r="AP404" s="193">
        <f>AN404-AO404</f>
        <v/>
      </c>
      <c r="AQ404" s="118">
        <f>IF(offer_sale_type="транзит",SUM(AF404:AI404,BA404,BB404),0)</f>
        <v/>
      </c>
      <c r="AR404" s="82">
        <f>HYPERLINK("https://www.alta.ru/tnved/code/")&amp;W404&amp;"/"</f>
        <v/>
      </c>
      <c r="AS404" s="157" t="n"/>
      <c r="AT404" s="162" t="n"/>
      <c r="AU404" s="76">
        <f>IF(ISBLANK(AT404),0,AJ404-AT404)</f>
        <v/>
      </c>
      <c r="AV404" s="157" t="n"/>
      <c r="AW404" s="75">
        <f>_xlfn.IFNA(VLOOKUP(L404,list_vat[],3,FALSE),0)</f>
        <v/>
      </c>
      <c r="AX404" s="76">
        <f>IFERROR(ROUND(S404*(1+AW404)/E404,2),0)</f>
        <v/>
      </c>
      <c r="AY404" s="76">
        <f>E404*AX404</f>
        <v/>
      </c>
      <c r="AZ404" s="192">
        <f>S404*(1+M404)</f>
        <v/>
      </c>
      <c r="BA404" s="76">
        <f>cost_fin_total*$BD404</f>
        <v/>
      </c>
      <c r="BB404" s="193">
        <f>credit_sales_interest*BD404</f>
        <v/>
      </c>
      <c r="BC404" s="102">
        <f>IFERROR(IF($I$13&gt;0,$I404/$I$13,$S404/$S$13),0)</f>
        <v/>
      </c>
      <c r="BD404" s="102">
        <f>IFERROR($S404/$S$13,0)</f>
        <v/>
      </c>
      <c r="BE404" s="413" t="inlineStr">
        <is>
          <t>$</t>
        </is>
      </c>
    </row>
    <row r="405" ht="12" customFormat="1" customHeight="1" s="65">
      <c r="A405" s="43" t="n">
        <v>390</v>
      </c>
      <c r="B405" s="166" t="n"/>
      <c r="C405" s="166" t="n"/>
      <c r="D405" s="166" t="n"/>
      <c r="E405" s="162" t="n"/>
      <c r="F405" s="166" t="n"/>
      <c r="G405" s="162" t="n"/>
      <c r="H405" s="162" t="n"/>
      <c r="I405" s="189">
        <f>E405*G405</f>
        <v/>
      </c>
      <c r="J405" s="195" t="n"/>
      <c r="K405" s="162" t="n"/>
      <c r="L405" s="168" t="n"/>
      <c r="M405" s="75">
        <f>_xlfn.XLOOKUP(L405,list_vat[Страна],list_vat[Ставка НДС %],0,0)</f>
        <v/>
      </c>
      <c r="N405" s="162">
        <f>IFERROR(IF(L405="Китай",K405,K405/(1+M405)),0)</f>
        <v/>
      </c>
      <c r="O405" s="169" t="n"/>
      <c r="P405" s="76">
        <f>N405*(1-O405)</f>
        <v/>
      </c>
      <c r="Q405" s="162" t="n"/>
      <c r="R405" s="162">
        <f>IF(ISBLANK(Q405),"введи курс",P405/Q405)</f>
        <v/>
      </c>
      <c r="S405" s="196">
        <f>IF(AND(ISNUMBER(E405),ISNUMBER(Q405)),E405*R405,0)</f>
        <v/>
      </c>
      <c r="T405" s="192">
        <f>$BC405*V$11</f>
        <v/>
      </c>
      <c r="U405" s="76">
        <f>$BC405*W$11</f>
        <v/>
      </c>
      <c r="V405" s="193">
        <f>+SUM(T405:U405)</f>
        <v/>
      </c>
      <c r="W405" s="191" t="n"/>
      <c r="X405" s="170" t="n"/>
      <c r="Y405" s="76">
        <f>ROUND(IF(offer_incoterms="DDP",X405*(S405*(1+AW405)+T405),0),2)</f>
        <v/>
      </c>
      <c r="Z405" s="188" t="n"/>
      <c r="AA405" s="192">
        <f>IFERROR(AB405/E405,0)</f>
        <v/>
      </c>
      <c r="AB405" s="76">
        <f>ROUND(SUM(S405,V405,Y405:Z405,BA405:BB405),2)</f>
        <v/>
      </c>
      <c r="AC405" s="797" t="n"/>
      <c r="AD405" s="192">
        <f t="array" ref="AD405">IFERROR(ROUND((_xlfn.IFS(offer_sale_type="поставка",AB405,offer_sale_type="транзит",S405)*(1+AC405))/E405,2),0)</f>
        <v/>
      </c>
      <c r="AE405" s="76">
        <f>AD405*E405</f>
        <v/>
      </c>
      <c r="AF405" s="193">
        <f t="array" ref="AF405">IFERROR(ROUND(_xlfn.IFS(offer_sale_type="поставка",AB405,offer_sale_type="транзит",S405)*AC405,2),0)</f>
        <v/>
      </c>
      <c r="AG405" s="192">
        <f>$BD405*VLOOKUP($AG$3,$AF$4:$AG$7,2,FALSE)</f>
        <v/>
      </c>
      <c r="AH405" s="76">
        <f>SUM(AE405,AG405,AI405)*rate_forex_risk</f>
        <v/>
      </c>
      <c r="AI405" s="193">
        <f>IF(OR(seller_region="TR",offer_sale_type="экспорт"),0,rate_fin_comm)*SUM(AZ405,AZ405*AW405,T405)</f>
        <v/>
      </c>
      <c r="AJ405" s="118">
        <f>IFERROR(ROUND(SUM(AB405,AF405:AI405)/E405,2),0)</f>
        <v/>
      </c>
      <c r="AK405" s="76">
        <f>AJ405*E405</f>
        <v/>
      </c>
      <c r="AL405" s="174">
        <f>ROUND(IFERROR(AM405*E405,0),2)</f>
        <v/>
      </c>
      <c r="AM405" s="175">
        <f>ROUND(AJ405*(1+IF(offer_incoterms="DDP",IF((TODAY()+offer_turnaround_time)&gt;=helpsheet!$L$17,rate_vatRU_from_26,rate_vatRu_till_25),0)),2)</f>
        <v/>
      </c>
      <c r="AN405" s="192">
        <f>AL405-AK405</f>
        <v/>
      </c>
      <c r="AO405" s="76">
        <f>SUM(AY405,Y405:Z405,T405)*IF(AND(offer_incoterms="DDP",offer_sale_type&lt;&gt;"экспорт"),IF((TODAY()+offer_turnaround_time)&gt;=helpsheet!$L$17,rate_vatRU_from_26,rate_vatRu_till_25),0)</f>
        <v/>
      </c>
      <c r="AP405" s="193">
        <f>AN405-AO405</f>
        <v/>
      </c>
      <c r="AQ405" s="118">
        <f>IF(offer_sale_type="транзит",SUM(AF405:AI405,BA405,BB405),0)</f>
        <v/>
      </c>
      <c r="AR405" s="82">
        <f>HYPERLINK("https://www.alta.ru/tnved/code/")&amp;W405&amp;"/"</f>
        <v/>
      </c>
      <c r="AS405" s="157" t="n"/>
      <c r="AT405" s="162" t="n"/>
      <c r="AU405" s="76">
        <f>IF(ISBLANK(AT405),0,AJ405-AT405)</f>
        <v/>
      </c>
      <c r="AV405" s="157" t="n"/>
      <c r="AW405" s="75">
        <f>_xlfn.IFNA(VLOOKUP(L405,list_vat[],3,FALSE),0)</f>
        <v/>
      </c>
      <c r="AX405" s="76">
        <f>IFERROR(ROUND(S405*(1+AW405)/E405,2),0)</f>
        <v/>
      </c>
      <c r="AY405" s="76">
        <f>E405*AX405</f>
        <v/>
      </c>
      <c r="AZ405" s="192">
        <f>S405*(1+M405)</f>
        <v/>
      </c>
      <c r="BA405" s="76">
        <f>cost_fin_total*$BD405</f>
        <v/>
      </c>
      <c r="BB405" s="193">
        <f>credit_sales_interest*BD405</f>
        <v/>
      </c>
      <c r="BC405" s="102">
        <f>IFERROR(IF($I$13&gt;0,$I405/$I$13,$S405/$S$13),0)</f>
        <v/>
      </c>
      <c r="BD405" s="102">
        <f>IFERROR($S405/$S$13,0)</f>
        <v/>
      </c>
      <c r="BE405" s="413" t="inlineStr">
        <is>
          <t>$</t>
        </is>
      </c>
    </row>
    <row r="406" ht="12" customFormat="1" customHeight="1" s="65">
      <c r="A406" s="43" t="n">
        <v>391</v>
      </c>
      <c r="B406" s="166" t="n"/>
      <c r="C406" s="166" t="n"/>
      <c r="D406" s="166" t="n"/>
      <c r="E406" s="162" t="n"/>
      <c r="F406" s="166" t="n"/>
      <c r="G406" s="162" t="n"/>
      <c r="H406" s="162" t="n"/>
      <c r="I406" s="189">
        <f>E406*G406</f>
        <v/>
      </c>
      <c r="J406" s="195" t="n"/>
      <c r="K406" s="162" t="n"/>
      <c r="L406" s="168" t="n"/>
      <c r="M406" s="75">
        <f>_xlfn.XLOOKUP(L406,list_vat[Страна],list_vat[Ставка НДС %],0,0)</f>
        <v/>
      </c>
      <c r="N406" s="162">
        <f>IFERROR(IF(L406="Китай",K406,K406/(1+M406)),0)</f>
        <v/>
      </c>
      <c r="O406" s="169" t="n"/>
      <c r="P406" s="76">
        <f>N406*(1-O406)</f>
        <v/>
      </c>
      <c r="Q406" s="162" t="n"/>
      <c r="R406" s="162">
        <f>IF(ISBLANK(Q406),"введи курс",P406/Q406)</f>
        <v/>
      </c>
      <c r="S406" s="196">
        <f>IF(AND(ISNUMBER(E406),ISNUMBER(Q406)),E406*R406,0)</f>
        <v/>
      </c>
      <c r="T406" s="192">
        <f>$BC406*V$11</f>
        <v/>
      </c>
      <c r="U406" s="76">
        <f>$BC406*W$11</f>
        <v/>
      </c>
      <c r="V406" s="193">
        <f>+SUM(T406:U406)</f>
        <v/>
      </c>
      <c r="W406" s="191" t="n"/>
      <c r="X406" s="170" t="n"/>
      <c r="Y406" s="76">
        <f>ROUND(IF(offer_incoterms="DDP",X406*(S406*(1+AW406)+T406),0),2)</f>
        <v/>
      </c>
      <c r="Z406" s="188" t="n"/>
      <c r="AA406" s="192">
        <f>IFERROR(AB406/E406,0)</f>
        <v/>
      </c>
      <c r="AB406" s="76">
        <f>ROUND(SUM(S406,V406,Y406:Z406,BA406:BB406),2)</f>
        <v/>
      </c>
      <c r="AC406" s="797" t="n"/>
      <c r="AD406" s="192">
        <f t="array" ref="AD406">IFERROR(ROUND((_xlfn.IFS(offer_sale_type="поставка",AB406,offer_sale_type="транзит",S406)*(1+AC406))/E406,2),0)</f>
        <v/>
      </c>
      <c r="AE406" s="76">
        <f>AD406*E406</f>
        <v/>
      </c>
      <c r="AF406" s="193">
        <f t="array" ref="AF406">IFERROR(ROUND(_xlfn.IFS(offer_sale_type="поставка",AB406,offer_sale_type="транзит",S406)*AC406,2),0)</f>
        <v/>
      </c>
      <c r="AG406" s="192">
        <f>$BD406*VLOOKUP($AG$3,$AF$4:$AG$7,2,FALSE)</f>
        <v/>
      </c>
      <c r="AH406" s="76">
        <f>SUM(AE406,AG406,AI406)*rate_forex_risk</f>
        <v/>
      </c>
      <c r="AI406" s="193">
        <f>IF(OR(seller_region="TR",offer_sale_type="экспорт"),0,rate_fin_comm)*SUM(AZ406,AZ406*AW406,T406)</f>
        <v/>
      </c>
      <c r="AJ406" s="118">
        <f>IFERROR(ROUND(SUM(AB406,AF406:AI406)/E406,2),0)</f>
        <v/>
      </c>
      <c r="AK406" s="76">
        <f>AJ406*E406</f>
        <v/>
      </c>
      <c r="AL406" s="174">
        <f>ROUND(IFERROR(AM406*E406,0),2)</f>
        <v/>
      </c>
      <c r="AM406" s="175">
        <f>ROUND(AJ406*(1+IF(offer_incoterms="DDP",IF((TODAY()+offer_turnaround_time)&gt;=helpsheet!$L$17,rate_vatRU_from_26,rate_vatRu_till_25),0)),2)</f>
        <v/>
      </c>
      <c r="AN406" s="192">
        <f>AL406-AK406</f>
        <v/>
      </c>
      <c r="AO406" s="76">
        <f>SUM(AY406,Y406:Z406,T406)*IF(AND(offer_incoterms="DDP",offer_sale_type&lt;&gt;"экспорт"),IF((TODAY()+offer_turnaround_time)&gt;=helpsheet!$L$17,rate_vatRU_from_26,rate_vatRu_till_25),0)</f>
        <v/>
      </c>
      <c r="AP406" s="193">
        <f>AN406-AO406</f>
        <v/>
      </c>
      <c r="AQ406" s="118">
        <f>IF(offer_sale_type="транзит",SUM(AF406:AI406,BA406,BB406),0)</f>
        <v/>
      </c>
      <c r="AR406" s="82">
        <f>HYPERLINK("https://www.alta.ru/tnved/code/")&amp;W406&amp;"/"</f>
        <v/>
      </c>
      <c r="AS406" s="157" t="n"/>
      <c r="AT406" s="162" t="n"/>
      <c r="AU406" s="76">
        <f>IF(ISBLANK(AT406),0,AJ406-AT406)</f>
        <v/>
      </c>
      <c r="AV406" s="157" t="n"/>
      <c r="AW406" s="75">
        <f>_xlfn.IFNA(VLOOKUP(L406,list_vat[],3,FALSE),0)</f>
        <v/>
      </c>
      <c r="AX406" s="76">
        <f>IFERROR(ROUND(S406*(1+AW406)/E406,2),0)</f>
        <v/>
      </c>
      <c r="AY406" s="76">
        <f>E406*AX406</f>
        <v/>
      </c>
      <c r="AZ406" s="192">
        <f>S406*(1+M406)</f>
        <v/>
      </c>
      <c r="BA406" s="76">
        <f>cost_fin_total*$BD406</f>
        <v/>
      </c>
      <c r="BB406" s="193">
        <f>credit_sales_interest*BD406</f>
        <v/>
      </c>
      <c r="BC406" s="102">
        <f>IFERROR(IF($I$13&gt;0,$I406/$I$13,$S406/$S$13),0)</f>
        <v/>
      </c>
      <c r="BD406" s="102">
        <f>IFERROR($S406/$S$13,0)</f>
        <v/>
      </c>
      <c r="BE406" s="413" t="inlineStr">
        <is>
          <t>$</t>
        </is>
      </c>
    </row>
    <row r="407" ht="12" customFormat="1" customHeight="1" s="65">
      <c r="A407" s="43" t="n">
        <v>392</v>
      </c>
      <c r="B407" s="166" t="n"/>
      <c r="C407" s="166" t="n"/>
      <c r="D407" s="166" t="n"/>
      <c r="E407" s="162" t="n"/>
      <c r="F407" s="166" t="n"/>
      <c r="G407" s="162" t="n"/>
      <c r="H407" s="162" t="n"/>
      <c r="I407" s="189">
        <f>E407*G407</f>
        <v/>
      </c>
      <c r="J407" s="195" t="n"/>
      <c r="K407" s="162" t="n"/>
      <c r="L407" s="168" t="n"/>
      <c r="M407" s="75">
        <f>_xlfn.XLOOKUP(L407,list_vat[Страна],list_vat[Ставка НДС %],0,0)</f>
        <v/>
      </c>
      <c r="N407" s="162">
        <f>IFERROR(IF(L407="Китай",K407,K407/(1+M407)),0)</f>
        <v/>
      </c>
      <c r="O407" s="169" t="n"/>
      <c r="P407" s="76">
        <f>N407*(1-O407)</f>
        <v/>
      </c>
      <c r="Q407" s="162" t="n"/>
      <c r="R407" s="162">
        <f>IF(ISBLANK(Q407),"введи курс",P407/Q407)</f>
        <v/>
      </c>
      <c r="S407" s="196">
        <f>IF(AND(ISNUMBER(E407),ISNUMBER(Q407)),E407*R407,0)</f>
        <v/>
      </c>
      <c r="T407" s="192">
        <f>$BC407*V$11</f>
        <v/>
      </c>
      <c r="U407" s="76">
        <f>$BC407*W$11</f>
        <v/>
      </c>
      <c r="V407" s="193">
        <f>+SUM(T407:U407)</f>
        <v/>
      </c>
      <c r="W407" s="191" t="n"/>
      <c r="X407" s="170" t="n"/>
      <c r="Y407" s="76">
        <f>ROUND(IF(offer_incoterms="DDP",X407*(S407*(1+AW407)+T407),0),2)</f>
        <v/>
      </c>
      <c r="Z407" s="188" t="n"/>
      <c r="AA407" s="192">
        <f>IFERROR(AB407/E407,0)</f>
        <v/>
      </c>
      <c r="AB407" s="76">
        <f>ROUND(SUM(S407,V407,Y407:Z407,BA407:BB407),2)</f>
        <v/>
      </c>
      <c r="AC407" s="797" t="n"/>
      <c r="AD407" s="192">
        <f t="array" ref="AD407">IFERROR(ROUND((_xlfn.IFS(offer_sale_type="поставка",AB407,offer_sale_type="транзит",S407)*(1+AC407))/E407,2),0)</f>
        <v/>
      </c>
      <c r="AE407" s="76">
        <f>AD407*E407</f>
        <v/>
      </c>
      <c r="AF407" s="193">
        <f t="array" ref="AF407">IFERROR(ROUND(_xlfn.IFS(offer_sale_type="поставка",AB407,offer_sale_type="транзит",S407)*AC407,2),0)</f>
        <v/>
      </c>
      <c r="AG407" s="192">
        <f>$BD407*VLOOKUP($AG$3,$AF$4:$AG$7,2,FALSE)</f>
        <v/>
      </c>
      <c r="AH407" s="76">
        <f>SUM(AE407,AG407,AI407)*rate_forex_risk</f>
        <v/>
      </c>
      <c r="AI407" s="193">
        <f>IF(OR(seller_region="TR",offer_sale_type="экспорт"),0,rate_fin_comm)*SUM(AZ407,AZ407*AW407,T407)</f>
        <v/>
      </c>
      <c r="AJ407" s="118">
        <f>IFERROR(ROUND(SUM(AB407,AF407:AI407)/E407,2),0)</f>
        <v/>
      </c>
      <c r="AK407" s="76">
        <f>AJ407*E407</f>
        <v/>
      </c>
      <c r="AL407" s="174">
        <f>ROUND(IFERROR(AM407*E407,0),2)</f>
        <v/>
      </c>
      <c r="AM407" s="175">
        <f>ROUND(AJ407*(1+IF(offer_incoterms="DDP",IF((TODAY()+offer_turnaround_time)&gt;=helpsheet!$L$17,rate_vatRU_from_26,rate_vatRu_till_25),0)),2)</f>
        <v/>
      </c>
      <c r="AN407" s="192">
        <f>AL407-AK407</f>
        <v/>
      </c>
      <c r="AO407" s="76">
        <f>SUM(AY407,Y407:Z407,T407)*IF(AND(offer_incoterms="DDP",offer_sale_type&lt;&gt;"экспорт"),IF((TODAY()+offer_turnaround_time)&gt;=helpsheet!$L$17,rate_vatRU_from_26,rate_vatRu_till_25),0)</f>
        <v/>
      </c>
      <c r="AP407" s="193">
        <f>AN407-AO407</f>
        <v/>
      </c>
      <c r="AQ407" s="118">
        <f>IF(offer_sale_type="транзит",SUM(AF407:AI407,BA407,BB407),0)</f>
        <v/>
      </c>
      <c r="AR407" s="82">
        <f>HYPERLINK("https://www.alta.ru/tnved/code/")&amp;W407&amp;"/"</f>
        <v/>
      </c>
      <c r="AS407" s="157" t="n"/>
      <c r="AT407" s="162" t="n"/>
      <c r="AU407" s="76">
        <f>IF(ISBLANK(AT407),0,AJ407-AT407)</f>
        <v/>
      </c>
      <c r="AV407" s="157" t="n"/>
      <c r="AW407" s="75">
        <f>_xlfn.IFNA(VLOOKUP(L407,list_vat[],3,FALSE),0)</f>
        <v/>
      </c>
      <c r="AX407" s="76">
        <f>IFERROR(ROUND(S407*(1+AW407)/E407,2),0)</f>
        <v/>
      </c>
      <c r="AY407" s="76">
        <f>E407*AX407</f>
        <v/>
      </c>
      <c r="AZ407" s="192">
        <f>S407*(1+M407)</f>
        <v/>
      </c>
      <c r="BA407" s="76">
        <f>cost_fin_total*$BD407</f>
        <v/>
      </c>
      <c r="BB407" s="193">
        <f>credit_sales_interest*BD407</f>
        <v/>
      </c>
      <c r="BC407" s="102">
        <f>IFERROR(IF($I$13&gt;0,$I407/$I$13,$S407/$S$13),0)</f>
        <v/>
      </c>
      <c r="BD407" s="102">
        <f>IFERROR($S407/$S$13,0)</f>
        <v/>
      </c>
      <c r="BE407" s="413" t="inlineStr">
        <is>
          <t>$</t>
        </is>
      </c>
    </row>
    <row r="408" ht="12" customFormat="1" customHeight="1" s="65">
      <c r="A408" s="43" t="n">
        <v>393</v>
      </c>
      <c r="B408" s="166" t="n"/>
      <c r="C408" s="166" t="n"/>
      <c r="D408" s="166" t="n"/>
      <c r="E408" s="162" t="n"/>
      <c r="F408" s="166" t="n"/>
      <c r="G408" s="162" t="n"/>
      <c r="H408" s="162" t="n"/>
      <c r="I408" s="189">
        <f>E408*G408</f>
        <v/>
      </c>
      <c r="J408" s="195" t="n"/>
      <c r="K408" s="162" t="n"/>
      <c r="L408" s="168" t="n"/>
      <c r="M408" s="75">
        <f>_xlfn.XLOOKUP(L408,list_vat[Страна],list_vat[Ставка НДС %],0,0)</f>
        <v/>
      </c>
      <c r="N408" s="162">
        <f>IFERROR(IF(L408="Китай",K408,K408/(1+M408)),0)</f>
        <v/>
      </c>
      <c r="O408" s="169" t="n"/>
      <c r="P408" s="76">
        <f>N408*(1-O408)</f>
        <v/>
      </c>
      <c r="Q408" s="162" t="n"/>
      <c r="R408" s="162">
        <f>IF(ISBLANK(Q408),"введи курс",P408/Q408)</f>
        <v/>
      </c>
      <c r="S408" s="196">
        <f>IF(AND(ISNUMBER(E408),ISNUMBER(Q408)),E408*R408,0)</f>
        <v/>
      </c>
      <c r="T408" s="192">
        <f>$BC408*V$11</f>
        <v/>
      </c>
      <c r="U408" s="76">
        <f>$BC408*W$11</f>
        <v/>
      </c>
      <c r="V408" s="193">
        <f>+SUM(T408:U408)</f>
        <v/>
      </c>
      <c r="W408" s="191" t="n"/>
      <c r="X408" s="170" t="n"/>
      <c r="Y408" s="76">
        <f>ROUND(IF(offer_incoterms="DDP",X408*(S408*(1+AW408)+T408),0),2)</f>
        <v/>
      </c>
      <c r="Z408" s="188" t="n"/>
      <c r="AA408" s="192">
        <f>IFERROR(AB408/E408,0)</f>
        <v/>
      </c>
      <c r="AB408" s="76">
        <f>ROUND(SUM(S408,V408,Y408:Z408,BA408:BB408),2)</f>
        <v/>
      </c>
      <c r="AC408" s="797" t="n"/>
      <c r="AD408" s="192">
        <f t="array" ref="AD408">IFERROR(ROUND((_xlfn.IFS(offer_sale_type="поставка",AB408,offer_sale_type="транзит",S408)*(1+AC408))/E408,2),0)</f>
        <v/>
      </c>
      <c r="AE408" s="76">
        <f>AD408*E408</f>
        <v/>
      </c>
      <c r="AF408" s="193">
        <f t="array" ref="AF408">IFERROR(ROUND(_xlfn.IFS(offer_sale_type="поставка",AB408,offer_sale_type="транзит",S408)*AC408,2),0)</f>
        <v/>
      </c>
      <c r="AG408" s="192">
        <f>$BD408*VLOOKUP($AG$3,$AF$4:$AG$7,2,FALSE)</f>
        <v/>
      </c>
      <c r="AH408" s="76">
        <f>SUM(AE408,AG408,AI408)*rate_forex_risk</f>
        <v/>
      </c>
      <c r="AI408" s="193">
        <f>IF(OR(seller_region="TR",offer_sale_type="экспорт"),0,rate_fin_comm)*SUM(AZ408,AZ408*AW408,T408)</f>
        <v/>
      </c>
      <c r="AJ408" s="118">
        <f>IFERROR(ROUND(SUM(AB408,AF408:AI408)/E408,2),0)</f>
        <v/>
      </c>
      <c r="AK408" s="76">
        <f>AJ408*E408</f>
        <v/>
      </c>
      <c r="AL408" s="174">
        <f>ROUND(IFERROR(AM408*E408,0),2)</f>
        <v/>
      </c>
      <c r="AM408" s="175">
        <f>ROUND(AJ408*(1+IF(offer_incoterms="DDP",IF((TODAY()+offer_turnaround_time)&gt;=helpsheet!$L$17,rate_vatRU_from_26,rate_vatRu_till_25),0)),2)</f>
        <v/>
      </c>
      <c r="AN408" s="192">
        <f>AL408-AK408</f>
        <v/>
      </c>
      <c r="AO408" s="76">
        <f>SUM(AY408,Y408:Z408,T408)*IF(AND(offer_incoterms="DDP",offer_sale_type&lt;&gt;"экспорт"),IF((TODAY()+offer_turnaround_time)&gt;=helpsheet!$L$17,rate_vatRU_from_26,rate_vatRu_till_25),0)</f>
        <v/>
      </c>
      <c r="AP408" s="193">
        <f>AN408-AO408</f>
        <v/>
      </c>
      <c r="AQ408" s="118">
        <f>IF(offer_sale_type="транзит",SUM(AF408:AI408,BA408,BB408),0)</f>
        <v/>
      </c>
      <c r="AR408" s="82">
        <f>HYPERLINK("https://www.alta.ru/tnved/code/")&amp;W408&amp;"/"</f>
        <v/>
      </c>
      <c r="AS408" s="157" t="n"/>
      <c r="AT408" s="162" t="n"/>
      <c r="AU408" s="76">
        <f>IF(ISBLANK(AT408),0,AJ408-AT408)</f>
        <v/>
      </c>
      <c r="AV408" s="157" t="n"/>
      <c r="AW408" s="75">
        <f>_xlfn.IFNA(VLOOKUP(L408,list_vat[],3,FALSE),0)</f>
        <v/>
      </c>
      <c r="AX408" s="76">
        <f>IFERROR(ROUND(S408*(1+AW408)/E408,2),0)</f>
        <v/>
      </c>
      <c r="AY408" s="76">
        <f>E408*AX408</f>
        <v/>
      </c>
      <c r="AZ408" s="192">
        <f>S408*(1+M408)</f>
        <v/>
      </c>
      <c r="BA408" s="76">
        <f>cost_fin_total*$BD408</f>
        <v/>
      </c>
      <c r="BB408" s="193">
        <f>credit_sales_interest*BD408</f>
        <v/>
      </c>
      <c r="BC408" s="102">
        <f>IFERROR(IF($I$13&gt;0,$I408/$I$13,$S408/$S$13),0)</f>
        <v/>
      </c>
      <c r="BD408" s="102">
        <f>IFERROR($S408/$S$13,0)</f>
        <v/>
      </c>
      <c r="BE408" s="413" t="inlineStr">
        <is>
          <t>$</t>
        </is>
      </c>
    </row>
    <row r="409" ht="12" customFormat="1" customHeight="1" s="65">
      <c r="A409" s="43" t="n">
        <v>394</v>
      </c>
      <c r="B409" s="166" t="n"/>
      <c r="C409" s="166" t="n"/>
      <c r="D409" s="166" t="n"/>
      <c r="E409" s="162" t="n"/>
      <c r="F409" s="166" t="n"/>
      <c r="G409" s="162" t="n"/>
      <c r="H409" s="162" t="n"/>
      <c r="I409" s="189">
        <f>E409*G409</f>
        <v/>
      </c>
      <c r="J409" s="195" t="n"/>
      <c r="K409" s="162" t="n"/>
      <c r="L409" s="168" t="n"/>
      <c r="M409" s="75">
        <f>_xlfn.XLOOKUP(L409,list_vat[Страна],list_vat[Ставка НДС %],0,0)</f>
        <v/>
      </c>
      <c r="N409" s="162">
        <f>IFERROR(IF(L409="Китай",K409,K409/(1+M409)),0)</f>
        <v/>
      </c>
      <c r="O409" s="169" t="n"/>
      <c r="P409" s="76">
        <f>N409*(1-O409)</f>
        <v/>
      </c>
      <c r="Q409" s="162" t="n"/>
      <c r="R409" s="162">
        <f>IF(ISBLANK(Q409),"введи курс",P409/Q409)</f>
        <v/>
      </c>
      <c r="S409" s="196">
        <f>IF(AND(ISNUMBER(E409),ISNUMBER(Q409)),E409*R409,0)</f>
        <v/>
      </c>
      <c r="T409" s="192">
        <f>$BC409*V$11</f>
        <v/>
      </c>
      <c r="U409" s="76">
        <f>$BC409*W$11</f>
        <v/>
      </c>
      <c r="V409" s="193">
        <f>+SUM(T409:U409)</f>
        <v/>
      </c>
      <c r="W409" s="191" t="n"/>
      <c r="X409" s="170" t="n"/>
      <c r="Y409" s="76">
        <f>ROUND(IF(offer_incoterms="DDP",X409*(S409*(1+AW409)+T409),0),2)</f>
        <v/>
      </c>
      <c r="Z409" s="188" t="n"/>
      <c r="AA409" s="192">
        <f>IFERROR(AB409/E409,0)</f>
        <v/>
      </c>
      <c r="AB409" s="76">
        <f>ROUND(SUM(S409,V409,Y409:Z409,BA409:BB409),2)</f>
        <v/>
      </c>
      <c r="AC409" s="797" t="n"/>
      <c r="AD409" s="192">
        <f t="array" ref="AD409">IFERROR(ROUND((_xlfn.IFS(offer_sale_type="поставка",AB409,offer_sale_type="транзит",S409)*(1+AC409))/E409,2),0)</f>
        <v/>
      </c>
      <c r="AE409" s="76">
        <f>AD409*E409</f>
        <v/>
      </c>
      <c r="AF409" s="193">
        <f t="array" ref="AF409">IFERROR(ROUND(_xlfn.IFS(offer_sale_type="поставка",AB409,offer_sale_type="транзит",S409)*AC409,2),0)</f>
        <v/>
      </c>
      <c r="AG409" s="192">
        <f>$BD409*VLOOKUP($AG$3,$AF$4:$AG$7,2,FALSE)</f>
        <v/>
      </c>
      <c r="AH409" s="76">
        <f>SUM(AE409,AG409,AI409)*rate_forex_risk</f>
        <v/>
      </c>
      <c r="AI409" s="193">
        <f>IF(OR(seller_region="TR",offer_sale_type="экспорт"),0,rate_fin_comm)*SUM(AZ409,AZ409*AW409,T409)</f>
        <v/>
      </c>
      <c r="AJ409" s="118">
        <f>IFERROR(ROUND(SUM(AB409,AF409:AI409)/E409,2),0)</f>
        <v/>
      </c>
      <c r="AK409" s="76">
        <f>AJ409*E409</f>
        <v/>
      </c>
      <c r="AL409" s="174">
        <f>ROUND(IFERROR(AM409*E409,0),2)</f>
        <v/>
      </c>
      <c r="AM409" s="175">
        <f>ROUND(AJ409*(1+IF(offer_incoterms="DDP",IF((TODAY()+offer_turnaround_time)&gt;=helpsheet!$L$17,rate_vatRU_from_26,rate_vatRu_till_25),0)),2)</f>
        <v/>
      </c>
      <c r="AN409" s="192">
        <f>AL409-AK409</f>
        <v/>
      </c>
      <c r="AO409" s="76">
        <f>SUM(AY409,Y409:Z409,T409)*IF(AND(offer_incoterms="DDP",offer_sale_type&lt;&gt;"экспорт"),IF((TODAY()+offer_turnaround_time)&gt;=helpsheet!$L$17,rate_vatRU_from_26,rate_vatRu_till_25),0)</f>
        <v/>
      </c>
      <c r="AP409" s="193">
        <f>AN409-AO409</f>
        <v/>
      </c>
      <c r="AQ409" s="118">
        <f>IF(offer_sale_type="транзит",SUM(AF409:AI409,BA409,BB409),0)</f>
        <v/>
      </c>
      <c r="AR409" s="82">
        <f>HYPERLINK("https://www.alta.ru/tnved/code/")&amp;W409&amp;"/"</f>
        <v/>
      </c>
      <c r="AS409" s="157" t="n"/>
      <c r="AT409" s="162" t="n"/>
      <c r="AU409" s="76">
        <f>IF(ISBLANK(AT409),0,AJ409-AT409)</f>
        <v/>
      </c>
      <c r="AV409" s="157" t="n"/>
      <c r="AW409" s="75">
        <f>_xlfn.IFNA(VLOOKUP(L409,list_vat[],3,FALSE),0)</f>
        <v/>
      </c>
      <c r="AX409" s="76">
        <f>IFERROR(ROUND(S409*(1+AW409)/E409,2),0)</f>
        <v/>
      </c>
      <c r="AY409" s="76">
        <f>E409*AX409</f>
        <v/>
      </c>
      <c r="AZ409" s="192">
        <f>S409*(1+M409)</f>
        <v/>
      </c>
      <c r="BA409" s="76">
        <f>cost_fin_total*$BD409</f>
        <v/>
      </c>
      <c r="BB409" s="193">
        <f>credit_sales_interest*BD409</f>
        <v/>
      </c>
      <c r="BC409" s="102">
        <f>IFERROR(IF($I$13&gt;0,$I409/$I$13,$S409/$S$13),0)</f>
        <v/>
      </c>
      <c r="BD409" s="102">
        <f>IFERROR($S409/$S$13,0)</f>
        <v/>
      </c>
      <c r="BE409" s="413" t="inlineStr">
        <is>
          <t>$</t>
        </is>
      </c>
    </row>
    <row r="410" ht="12" customFormat="1" customHeight="1" s="65">
      <c r="A410" s="43" t="n">
        <v>395</v>
      </c>
      <c r="B410" s="166" t="n"/>
      <c r="C410" s="166" t="n"/>
      <c r="D410" s="166" t="n"/>
      <c r="E410" s="162" t="n"/>
      <c r="F410" s="166" t="n"/>
      <c r="G410" s="162" t="n"/>
      <c r="H410" s="162" t="n"/>
      <c r="I410" s="189">
        <f>E410*G410</f>
        <v/>
      </c>
      <c r="J410" s="195" t="n"/>
      <c r="K410" s="162" t="n"/>
      <c r="L410" s="168" t="n"/>
      <c r="M410" s="75">
        <f>_xlfn.XLOOKUP(L410,list_vat[Страна],list_vat[Ставка НДС %],0,0)</f>
        <v/>
      </c>
      <c r="N410" s="162">
        <f>IFERROR(IF(L410="Китай",K410,K410/(1+M410)),0)</f>
        <v/>
      </c>
      <c r="O410" s="169" t="n"/>
      <c r="P410" s="76">
        <f>N410*(1-O410)</f>
        <v/>
      </c>
      <c r="Q410" s="162" t="n"/>
      <c r="R410" s="162">
        <f>IF(ISBLANK(Q410),"введи курс",P410/Q410)</f>
        <v/>
      </c>
      <c r="S410" s="196">
        <f>IF(AND(ISNUMBER(E410),ISNUMBER(Q410)),E410*R410,0)</f>
        <v/>
      </c>
      <c r="T410" s="192">
        <f>$BC410*V$11</f>
        <v/>
      </c>
      <c r="U410" s="76">
        <f>$BC410*W$11</f>
        <v/>
      </c>
      <c r="V410" s="193">
        <f>+SUM(T410:U410)</f>
        <v/>
      </c>
      <c r="W410" s="191" t="n"/>
      <c r="X410" s="170" t="n"/>
      <c r="Y410" s="76">
        <f>ROUND(IF(offer_incoterms="DDP",X410*(S410*(1+AW410)+T410),0),2)</f>
        <v/>
      </c>
      <c r="Z410" s="188" t="n"/>
      <c r="AA410" s="192">
        <f>IFERROR(AB410/E410,0)</f>
        <v/>
      </c>
      <c r="AB410" s="76">
        <f>ROUND(SUM(S410,V410,Y410:Z410,BA410:BB410),2)</f>
        <v/>
      </c>
      <c r="AC410" s="797" t="n"/>
      <c r="AD410" s="192">
        <f t="array" ref="AD410">IFERROR(ROUND((_xlfn.IFS(offer_sale_type="поставка",AB410,offer_sale_type="транзит",S410)*(1+AC410))/E410,2),0)</f>
        <v/>
      </c>
      <c r="AE410" s="76">
        <f>AD410*E410</f>
        <v/>
      </c>
      <c r="AF410" s="193">
        <f t="array" ref="AF410">IFERROR(ROUND(_xlfn.IFS(offer_sale_type="поставка",AB410,offer_sale_type="транзит",S410)*AC410,2),0)</f>
        <v/>
      </c>
      <c r="AG410" s="192">
        <f>$BD410*VLOOKUP($AG$3,$AF$4:$AG$7,2,FALSE)</f>
        <v/>
      </c>
      <c r="AH410" s="76">
        <f>SUM(AE410,AG410,AI410)*rate_forex_risk</f>
        <v/>
      </c>
      <c r="AI410" s="193">
        <f>IF(OR(seller_region="TR",offer_sale_type="экспорт"),0,rate_fin_comm)*SUM(AZ410,AZ410*AW410,T410)</f>
        <v/>
      </c>
      <c r="AJ410" s="118">
        <f>IFERROR(ROUND(SUM(AB410,AF410:AI410)/E410,2),0)</f>
        <v/>
      </c>
      <c r="AK410" s="76">
        <f>AJ410*E410</f>
        <v/>
      </c>
      <c r="AL410" s="174">
        <f>ROUND(IFERROR(AM410*E410,0),2)</f>
        <v/>
      </c>
      <c r="AM410" s="175">
        <f>ROUND(AJ410*(1+IF(offer_incoterms="DDP",IF((TODAY()+offer_turnaround_time)&gt;=helpsheet!$L$17,rate_vatRU_from_26,rate_vatRu_till_25),0)),2)</f>
        <v/>
      </c>
      <c r="AN410" s="192">
        <f>AL410-AK410</f>
        <v/>
      </c>
      <c r="AO410" s="76">
        <f>SUM(AY410,Y410:Z410,T410)*IF(AND(offer_incoterms="DDP",offer_sale_type&lt;&gt;"экспорт"),IF((TODAY()+offer_turnaround_time)&gt;=helpsheet!$L$17,rate_vatRU_from_26,rate_vatRu_till_25),0)</f>
        <v/>
      </c>
      <c r="AP410" s="193">
        <f>AN410-AO410</f>
        <v/>
      </c>
      <c r="AQ410" s="118">
        <f>IF(offer_sale_type="транзит",SUM(AF410:AI410,BA410,BB410),0)</f>
        <v/>
      </c>
      <c r="AR410" s="82">
        <f>HYPERLINK("https://www.alta.ru/tnved/code/")&amp;W410&amp;"/"</f>
        <v/>
      </c>
      <c r="AS410" s="157" t="n"/>
      <c r="AT410" s="162" t="n"/>
      <c r="AU410" s="76">
        <f>IF(ISBLANK(AT410),0,AJ410-AT410)</f>
        <v/>
      </c>
      <c r="AV410" s="157" t="n"/>
      <c r="AW410" s="75">
        <f>_xlfn.IFNA(VLOOKUP(L410,list_vat[],3,FALSE),0)</f>
        <v/>
      </c>
      <c r="AX410" s="76">
        <f>IFERROR(ROUND(S410*(1+AW410)/E410,2),0)</f>
        <v/>
      </c>
      <c r="AY410" s="76">
        <f>E410*AX410</f>
        <v/>
      </c>
      <c r="AZ410" s="192">
        <f>S410*(1+M410)</f>
        <v/>
      </c>
      <c r="BA410" s="76">
        <f>cost_fin_total*$BD410</f>
        <v/>
      </c>
      <c r="BB410" s="193">
        <f>credit_sales_interest*BD410</f>
        <v/>
      </c>
      <c r="BC410" s="102">
        <f>IFERROR(IF($I$13&gt;0,$I410/$I$13,$S410/$S$13),0)</f>
        <v/>
      </c>
      <c r="BD410" s="102">
        <f>IFERROR($S410/$S$13,0)</f>
        <v/>
      </c>
      <c r="BE410" s="413" t="inlineStr">
        <is>
          <t>$</t>
        </is>
      </c>
    </row>
    <row r="411" ht="12" customFormat="1" customHeight="1" s="65">
      <c r="A411" s="43" t="n">
        <v>396</v>
      </c>
      <c r="B411" s="166" t="n"/>
      <c r="C411" s="166" t="n"/>
      <c r="D411" s="166" t="n"/>
      <c r="E411" s="162" t="n"/>
      <c r="F411" s="166" t="n"/>
      <c r="G411" s="162" t="n"/>
      <c r="H411" s="162" t="n"/>
      <c r="I411" s="189">
        <f>E411*G411</f>
        <v/>
      </c>
      <c r="J411" s="195" t="n"/>
      <c r="K411" s="162" t="n"/>
      <c r="L411" s="168" t="n"/>
      <c r="M411" s="75">
        <f>_xlfn.XLOOKUP(L411,list_vat[Страна],list_vat[Ставка НДС %],0,0)</f>
        <v/>
      </c>
      <c r="N411" s="162">
        <f>IFERROR(IF(L411="Китай",K411,K411/(1+M411)),0)</f>
        <v/>
      </c>
      <c r="O411" s="169" t="n"/>
      <c r="P411" s="76">
        <f>N411*(1-O411)</f>
        <v/>
      </c>
      <c r="Q411" s="162" t="n"/>
      <c r="R411" s="162">
        <f>IF(ISBLANK(Q411),"введи курс",P411/Q411)</f>
        <v/>
      </c>
      <c r="S411" s="196">
        <f>IF(AND(ISNUMBER(E411),ISNUMBER(Q411)),E411*R411,0)</f>
        <v/>
      </c>
      <c r="T411" s="192">
        <f>$BC411*V$11</f>
        <v/>
      </c>
      <c r="U411" s="76">
        <f>$BC411*W$11</f>
        <v/>
      </c>
      <c r="V411" s="193">
        <f>+SUM(T411:U411)</f>
        <v/>
      </c>
      <c r="W411" s="191" t="n"/>
      <c r="X411" s="170" t="n"/>
      <c r="Y411" s="76">
        <f>ROUND(IF(offer_incoterms="DDP",X411*(S411*(1+AW411)+T411),0),2)</f>
        <v/>
      </c>
      <c r="Z411" s="188" t="n"/>
      <c r="AA411" s="192">
        <f>IFERROR(AB411/E411,0)</f>
        <v/>
      </c>
      <c r="AB411" s="76">
        <f>ROUND(SUM(S411,V411,Y411:Z411,BA411:BB411),2)</f>
        <v/>
      </c>
      <c r="AC411" s="797" t="n"/>
      <c r="AD411" s="192">
        <f t="array" ref="AD411">IFERROR(ROUND((_xlfn.IFS(offer_sale_type="поставка",AB411,offer_sale_type="транзит",S411)*(1+AC411))/E411,2),0)</f>
        <v/>
      </c>
      <c r="AE411" s="76">
        <f>AD411*E411</f>
        <v/>
      </c>
      <c r="AF411" s="193">
        <f t="array" ref="AF411">IFERROR(ROUND(_xlfn.IFS(offer_sale_type="поставка",AB411,offer_sale_type="транзит",S411)*AC411,2),0)</f>
        <v/>
      </c>
      <c r="AG411" s="192">
        <f>$BD411*VLOOKUP($AG$3,$AF$4:$AG$7,2,FALSE)</f>
        <v/>
      </c>
      <c r="AH411" s="76">
        <f>SUM(AE411,AG411,AI411)*rate_forex_risk</f>
        <v/>
      </c>
      <c r="AI411" s="193">
        <f>IF(OR(seller_region="TR",offer_sale_type="экспорт"),0,rate_fin_comm)*SUM(AZ411,AZ411*AW411,T411)</f>
        <v/>
      </c>
      <c r="AJ411" s="118">
        <f>IFERROR(ROUND(SUM(AB411,AF411:AI411)/E411,2),0)</f>
        <v/>
      </c>
      <c r="AK411" s="76">
        <f>AJ411*E411</f>
        <v/>
      </c>
      <c r="AL411" s="174">
        <f>ROUND(IFERROR(AM411*E411,0),2)</f>
        <v/>
      </c>
      <c r="AM411" s="175">
        <f>ROUND(AJ411*(1+IF(offer_incoterms="DDP",IF((TODAY()+offer_turnaround_time)&gt;=helpsheet!$L$17,rate_vatRU_from_26,rate_vatRu_till_25),0)),2)</f>
        <v/>
      </c>
      <c r="AN411" s="192">
        <f>AL411-AK411</f>
        <v/>
      </c>
      <c r="AO411" s="76">
        <f>SUM(AY411,Y411:Z411,T411)*IF(AND(offer_incoterms="DDP",offer_sale_type&lt;&gt;"экспорт"),IF((TODAY()+offer_turnaround_time)&gt;=helpsheet!$L$17,rate_vatRU_from_26,rate_vatRu_till_25),0)</f>
        <v/>
      </c>
      <c r="AP411" s="193">
        <f>AN411-AO411</f>
        <v/>
      </c>
      <c r="AQ411" s="118">
        <f>IF(offer_sale_type="транзит",SUM(AF411:AI411,BA411,BB411),0)</f>
        <v/>
      </c>
      <c r="AR411" s="82">
        <f>HYPERLINK("https://www.alta.ru/tnved/code/")&amp;W411&amp;"/"</f>
        <v/>
      </c>
      <c r="AS411" s="157" t="n"/>
      <c r="AT411" s="162" t="n"/>
      <c r="AU411" s="76">
        <f>IF(ISBLANK(AT411),0,AJ411-AT411)</f>
        <v/>
      </c>
      <c r="AV411" s="157" t="n"/>
      <c r="AW411" s="75">
        <f>_xlfn.IFNA(VLOOKUP(L411,list_vat[],3,FALSE),0)</f>
        <v/>
      </c>
      <c r="AX411" s="76">
        <f>IFERROR(ROUND(S411*(1+AW411)/E411,2),0)</f>
        <v/>
      </c>
      <c r="AY411" s="76">
        <f>E411*AX411</f>
        <v/>
      </c>
      <c r="AZ411" s="192">
        <f>S411*(1+M411)</f>
        <v/>
      </c>
      <c r="BA411" s="76">
        <f>cost_fin_total*$BD411</f>
        <v/>
      </c>
      <c r="BB411" s="193">
        <f>credit_sales_interest*BD411</f>
        <v/>
      </c>
      <c r="BC411" s="102">
        <f>IFERROR(IF($I$13&gt;0,$I411/$I$13,$S411/$S$13),0)</f>
        <v/>
      </c>
      <c r="BD411" s="102">
        <f>IFERROR($S411/$S$13,0)</f>
        <v/>
      </c>
      <c r="BE411" s="413" t="inlineStr">
        <is>
          <t>$</t>
        </is>
      </c>
    </row>
    <row r="412" ht="12" customFormat="1" customHeight="1" s="65">
      <c r="A412" s="43" t="n">
        <v>397</v>
      </c>
      <c r="B412" s="166" t="n"/>
      <c r="C412" s="166" t="n"/>
      <c r="D412" s="166" t="n"/>
      <c r="E412" s="162" t="n"/>
      <c r="F412" s="166" t="n"/>
      <c r="G412" s="162" t="n"/>
      <c r="H412" s="162" t="n"/>
      <c r="I412" s="189">
        <f>E412*G412</f>
        <v/>
      </c>
      <c r="J412" s="195" t="n"/>
      <c r="K412" s="162" t="n"/>
      <c r="L412" s="168" t="n"/>
      <c r="M412" s="75">
        <f>_xlfn.XLOOKUP(L412,list_vat[Страна],list_vat[Ставка НДС %],0,0)</f>
        <v/>
      </c>
      <c r="N412" s="162">
        <f>IFERROR(IF(L412="Китай",K412,K412/(1+M412)),0)</f>
        <v/>
      </c>
      <c r="O412" s="169" t="n"/>
      <c r="P412" s="76">
        <f>N412*(1-O412)</f>
        <v/>
      </c>
      <c r="Q412" s="162" t="n"/>
      <c r="R412" s="162">
        <f>IF(ISBLANK(Q412),"введи курс",P412/Q412)</f>
        <v/>
      </c>
      <c r="S412" s="196">
        <f>IF(AND(ISNUMBER(E412),ISNUMBER(Q412)),E412*R412,0)</f>
        <v/>
      </c>
      <c r="T412" s="192">
        <f>$BC412*V$11</f>
        <v/>
      </c>
      <c r="U412" s="76">
        <f>$BC412*W$11</f>
        <v/>
      </c>
      <c r="V412" s="193">
        <f>+SUM(T412:U412)</f>
        <v/>
      </c>
      <c r="W412" s="191" t="n"/>
      <c r="X412" s="170" t="n"/>
      <c r="Y412" s="76">
        <f>ROUND(IF(offer_incoterms="DDP",X412*(S412*(1+AW412)+T412),0),2)</f>
        <v/>
      </c>
      <c r="Z412" s="188" t="n"/>
      <c r="AA412" s="192">
        <f>IFERROR(AB412/E412,0)</f>
        <v/>
      </c>
      <c r="AB412" s="76">
        <f>ROUND(SUM(S412,V412,Y412:Z412,BA412:BB412),2)</f>
        <v/>
      </c>
      <c r="AC412" s="797" t="n"/>
      <c r="AD412" s="192">
        <f t="array" ref="AD412">IFERROR(ROUND((_xlfn.IFS(offer_sale_type="поставка",AB412,offer_sale_type="транзит",S412)*(1+AC412))/E412,2),0)</f>
        <v/>
      </c>
      <c r="AE412" s="76">
        <f>AD412*E412</f>
        <v/>
      </c>
      <c r="AF412" s="193">
        <f t="array" ref="AF412">IFERROR(ROUND(_xlfn.IFS(offer_sale_type="поставка",AB412,offer_sale_type="транзит",S412)*AC412,2),0)</f>
        <v/>
      </c>
      <c r="AG412" s="192">
        <f>$BD412*VLOOKUP($AG$3,$AF$4:$AG$7,2,FALSE)</f>
        <v/>
      </c>
      <c r="AH412" s="76">
        <f>SUM(AE412,AG412,AI412)*rate_forex_risk</f>
        <v/>
      </c>
      <c r="AI412" s="193">
        <f>IF(OR(seller_region="TR",offer_sale_type="экспорт"),0,rate_fin_comm)*SUM(AZ412,AZ412*AW412,T412)</f>
        <v/>
      </c>
      <c r="AJ412" s="118">
        <f>IFERROR(ROUND(SUM(AB412,AF412:AI412)/E412,2),0)</f>
        <v/>
      </c>
      <c r="AK412" s="76">
        <f>AJ412*E412</f>
        <v/>
      </c>
      <c r="AL412" s="174">
        <f>ROUND(IFERROR(AM412*E412,0),2)</f>
        <v/>
      </c>
      <c r="AM412" s="175">
        <f>ROUND(AJ412*(1+IF(offer_incoterms="DDP",IF((TODAY()+offer_turnaround_time)&gt;=helpsheet!$L$17,rate_vatRU_from_26,rate_vatRu_till_25),0)),2)</f>
        <v/>
      </c>
      <c r="AN412" s="192">
        <f>AL412-AK412</f>
        <v/>
      </c>
      <c r="AO412" s="76">
        <f>SUM(AY412,Y412:Z412,T412)*IF(AND(offer_incoterms="DDP",offer_sale_type&lt;&gt;"экспорт"),IF((TODAY()+offer_turnaround_time)&gt;=helpsheet!$L$17,rate_vatRU_from_26,rate_vatRu_till_25),0)</f>
        <v/>
      </c>
      <c r="AP412" s="193">
        <f>AN412-AO412</f>
        <v/>
      </c>
      <c r="AQ412" s="118">
        <f>IF(offer_sale_type="транзит",SUM(AF412:AI412,BA412,BB412),0)</f>
        <v/>
      </c>
      <c r="AR412" s="82">
        <f>HYPERLINK("https://www.alta.ru/tnved/code/")&amp;W412&amp;"/"</f>
        <v/>
      </c>
      <c r="AS412" s="157" t="n"/>
      <c r="AT412" s="162" t="n"/>
      <c r="AU412" s="76">
        <f>IF(ISBLANK(AT412),0,AJ412-AT412)</f>
        <v/>
      </c>
      <c r="AV412" s="157" t="n"/>
      <c r="AW412" s="75">
        <f>_xlfn.IFNA(VLOOKUP(L412,list_vat[],3,FALSE),0)</f>
        <v/>
      </c>
      <c r="AX412" s="76">
        <f>IFERROR(ROUND(S412*(1+AW412)/E412,2),0)</f>
        <v/>
      </c>
      <c r="AY412" s="76">
        <f>E412*AX412</f>
        <v/>
      </c>
      <c r="AZ412" s="192">
        <f>S412*(1+M412)</f>
        <v/>
      </c>
      <c r="BA412" s="76">
        <f>cost_fin_total*$BD412</f>
        <v/>
      </c>
      <c r="BB412" s="193">
        <f>credit_sales_interest*BD412</f>
        <v/>
      </c>
      <c r="BC412" s="102">
        <f>IFERROR(IF($I$13&gt;0,$I412/$I$13,$S412/$S$13),0)</f>
        <v/>
      </c>
      <c r="BD412" s="102">
        <f>IFERROR($S412/$S$13,0)</f>
        <v/>
      </c>
      <c r="BE412" s="413" t="inlineStr">
        <is>
          <t>$</t>
        </is>
      </c>
    </row>
    <row r="413" ht="12" customFormat="1" customHeight="1" s="65">
      <c r="A413" s="43" t="n">
        <v>398</v>
      </c>
      <c r="B413" s="166" t="n"/>
      <c r="C413" s="166" t="n"/>
      <c r="D413" s="166" t="n"/>
      <c r="E413" s="162" t="n"/>
      <c r="F413" s="166" t="n"/>
      <c r="G413" s="162" t="n"/>
      <c r="H413" s="162" t="n"/>
      <c r="I413" s="189">
        <f>E413*G413</f>
        <v/>
      </c>
      <c r="J413" s="195" t="n"/>
      <c r="K413" s="162" t="n"/>
      <c r="L413" s="168" t="n"/>
      <c r="M413" s="75">
        <f>_xlfn.XLOOKUP(L413,list_vat[Страна],list_vat[Ставка НДС %],0,0)</f>
        <v/>
      </c>
      <c r="N413" s="162">
        <f>IFERROR(IF(L413="Китай",K413,K413/(1+M413)),0)</f>
        <v/>
      </c>
      <c r="O413" s="169" t="n"/>
      <c r="P413" s="76">
        <f>N413*(1-O413)</f>
        <v/>
      </c>
      <c r="Q413" s="162" t="n"/>
      <c r="R413" s="162">
        <f>IF(ISBLANK(Q413),"введи курс",P413/Q413)</f>
        <v/>
      </c>
      <c r="S413" s="196">
        <f>IF(AND(ISNUMBER(E413),ISNUMBER(Q413)),E413*R413,0)</f>
        <v/>
      </c>
      <c r="T413" s="192">
        <f>$BC413*V$11</f>
        <v/>
      </c>
      <c r="U413" s="76">
        <f>$BC413*W$11</f>
        <v/>
      </c>
      <c r="V413" s="193">
        <f>+SUM(T413:U413)</f>
        <v/>
      </c>
      <c r="W413" s="191" t="n"/>
      <c r="X413" s="170" t="n"/>
      <c r="Y413" s="76">
        <f>ROUND(IF(offer_incoterms="DDP",X413*(S413*(1+AW413)+T413),0),2)</f>
        <v/>
      </c>
      <c r="Z413" s="188" t="n"/>
      <c r="AA413" s="192">
        <f>IFERROR(AB413/E413,0)</f>
        <v/>
      </c>
      <c r="AB413" s="76">
        <f>ROUND(SUM(S413,V413,Y413:Z413,BA413:BB413),2)</f>
        <v/>
      </c>
      <c r="AC413" s="797" t="n"/>
      <c r="AD413" s="192">
        <f t="array" ref="AD413">IFERROR(ROUND((_xlfn.IFS(offer_sale_type="поставка",AB413,offer_sale_type="транзит",S413)*(1+AC413))/E413,2),0)</f>
        <v/>
      </c>
      <c r="AE413" s="76">
        <f>AD413*E413</f>
        <v/>
      </c>
      <c r="AF413" s="193">
        <f t="array" ref="AF413">IFERROR(ROUND(_xlfn.IFS(offer_sale_type="поставка",AB413,offer_sale_type="транзит",S413)*AC413,2),0)</f>
        <v/>
      </c>
      <c r="AG413" s="192">
        <f>$BD413*VLOOKUP($AG$3,$AF$4:$AG$7,2,FALSE)</f>
        <v/>
      </c>
      <c r="AH413" s="76">
        <f>SUM(AE413,AG413,AI413)*rate_forex_risk</f>
        <v/>
      </c>
      <c r="AI413" s="193">
        <f>IF(OR(seller_region="TR",offer_sale_type="экспорт"),0,rate_fin_comm)*SUM(AZ413,AZ413*AW413,T413)</f>
        <v/>
      </c>
      <c r="AJ413" s="118">
        <f>IFERROR(ROUND(SUM(AB413,AF413:AI413)/E413,2),0)</f>
        <v/>
      </c>
      <c r="AK413" s="76">
        <f>AJ413*E413</f>
        <v/>
      </c>
      <c r="AL413" s="174">
        <f>ROUND(IFERROR(AM413*E413,0),2)</f>
        <v/>
      </c>
      <c r="AM413" s="175">
        <f>ROUND(AJ413*(1+IF(offer_incoterms="DDP",IF((TODAY()+offer_turnaround_time)&gt;=helpsheet!$L$17,rate_vatRU_from_26,rate_vatRu_till_25),0)),2)</f>
        <v/>
      </c>
      <c r="AN413" s="192">
        <f>AL413-AK413</f>
        <v/>
      </c>
      <c r="AO413" s="76">
        <f>SUM(AY413,Y413:Z413,T413)*IF(AND(offer_incoterms="DDP",offer_sale_type&lt;&gt;"экспорт"),IF((TODAY()+offer_turnaround_time)&gt;=helpsheet!$L$17,rate_vatRU_from_26,rate_vatRu_till_25),0)</f>
        <v/>
      </c>
      <c r="AP413" s="193">
        <f>AN413-AO413</f>
        <v/>
      </c>
      <c r="AQ413" s="118">
        <f>IF(offer_sale_type="транзит",SUM(AF413:AI413,BA413,BB413),0)</f>
        <v/>
      </c>
      <c r="AR413" s="82">
        <f>HYPERLINK("https://www.alta.ru/tnved/code/")&amp;W413&amp;"/"</f>
        <v/>
      </c>
      <c r="AS413" s="157" t="n"/>
      <c r="AT413" s="162" t="n"/>
      <c r="AU413" s="76">
        <f>IF(ISBLANK(AT413),0,AJ413-AT413)</f>
        <v/>
      </c>
      <c r="AV413" s="157" t="n"/>
      <c r="AW413" s="75">
        <f>_xlfn.IFNA(VLOOKUP(L413,list_vat[],3,FALSE),0)</f>
        <v/>
      </c>
      <c r="AX413" s="76">
        <f>IFERROR(ROUND(S413*(1+AW413)/E413,2),0)</f>
        <v/>
      </c>
      <c r="AY413" s="76">
        <f>E413*AX413</f>
        <v/>
      </c>
      <c r="AZ413" s="192">
        <f>S413*(1+M413)</f>
        <v/>
      </c>
      <c r="BA413" s="76">
        <f>cost_fin_total*$BD413</f>
        <v/>
      </c>
      <c r="BB413" s="193">
        <f>credit_sales_interest*BD413</f>
        <v/>
      </c>
      <c r="BC413" s="102">
        <f>IFERROR(IF($I$13&gt;0,$I413/$I$13,$S413/$S$13),0)</f>
        <v/>
      </c>
      <c r="BD413" s="102">
        <f>IFERROR($S413/$S$13,0)</f>
        <v/>
      </c>
      <c r="BE413" s="413" t="inlineStr">
        <is>
          <t>$</t>
        </is>
      </c>
    </row>
    <row r="414" ht="12" customFormat="1" customHeight="1" s="65">
      <c r="A414" s="43" t="n">
        <v>399</v>
      </c>
      <c r="B414" s="166" t="n"/>
      <c r="C414" s="166" t="n"/>
      <c r="D414" s="166" t="n"/>
      <c r="E414" s="162" t="n"/>
      <c r="F414" s="166" t="n"/>
      <c r="G414" s="162" t="n"/>
      <c r="H414" s="162" t="n"/>
      <c r="I414" s="189">
        <f>E414*G414</f>
        <v/>
      </c>
      <c r="J414" s="195" t="n"/>
      <c r="K414" s="162" t="n"/>
      <c r="L414" s="168" t="n"/>
      <c r="M414" s="75">
        <f>_xlfn.XLOOKUP(L414,list_vat[Страна],list_vat[Ставка НДС %],0,0)</f>
        <v/>
      </c>
      <c r="N414" s="162">
        <f>IFERROR(IF(L414="Китай",K414,K414/(1+M414)),0)</f>
        <v/>
      </c>
      <c r="O414" s="169" t="n"/>
      <c r="P414" s="76">
        <f>N414*(1-O414)</f>
        <v/>
      </c>
      <c r="Q414" s="162" t="n"/>
      <c r="R414" s="162">
        <f>IF(ISBLANK(Q414),"введи курс",P414/Q414)</f>
        <v/>
      </c>
      <c r="S414" s="196">
        <f>IF(AND(ISNUMBER(E414),ISNUMBER(Q414)),E414*R414,0)</f>
        <v/>
      </c>
      <c r="T414" s="192">
        <f>$BC414*V$11</f>
        <v/>
      </c>
      <c r="U414" s="76">
        <f>$BC414*W$11</f>
        <v/>
      </c>
      <c r="V414" s="193">
        <f>+SUM(T414:U414)</f>
        <v/>
      </c>
      <c r="W414" s="191" t="n"/>
      <c r="X414" s="170" t="n"/>
      <c r="Y414" s="76">
        <f>ROUND(IF(offer_incoterms="DDP",X414*(S414*(1+AW414)+T414),0),2)</f>
        <v/>
      </c>
      <c r="Z414" s="188" t="n"/>
      <c r="AA414" s="192">
        <f>IFERROR(AB414/E414,0)</f>
        <v/>
      </c>
      <c r="AB414" s="76">
        <f>ROUND(SUM(S414,V414,Y414:Z414,BA414:BB414),2)</f>
        <v/>
      </c>
      <c r="AC414" s="797" t="n"/>
      <c r="AD414" s="192">
        <f t="array" ref="AD414">IFERROR(ROUND((_xlfn.IFS(offer_sale_type="поставка",AB414,offer_sale_type="транзит",S414)*(1+AC414))/E414,2),0)</f>
        <v/>
      </c>
      <c r="AE414" s="76">
        <f>AD414*E414</f>
        <v/>
      </c>
      <c r="AF414" s="193">
        <f t="array" ref="AF414">IFERROR(ROUND(_xlfn.IFS(offer_sale_type="поставка",AB414,offer_sale_type="транзит",S414)*AC414,2),0)</f>
        <v/>
      </c>
      <c r="AG414" s="192">
        <f>$BD414*VLOOKUP($AG$3,$AF$4:$AG$7,2,FALSE)</f>
        <v/>
      </c>
      <c r="AH414" s="76">
        <f>SUM(AE414,AG414,AI414)*rate_forex_risk</f>
        <v/>
      </c>
      <c r="AI414" s="193">
        <f>IF(OR(seller_region="TR",offer_sale_type="экспорт"),0,rate_fin_comm)*SUM(AZ414,AZ414*AW414,T414)</f>
        <v/>
      </c>
      <c r="AJ414" s="118">
        <f>IFERROR(ROUND(SUM(AB414,AF414:AI414)/E414,2),0)</f>
        <v/>
      </c>
      <c r="AK414" s="76">
        <f>AJ414*E414</f>
        <v/>
      </c>
      <c r="AL414" s="174">
        <f>ROUND(IFERROR(AM414*E414,0),2)</f>
        <v/>
      </c>
      <c r="AM414" s="175">
        <f>ROUND(AJ414*(1+IF(offer_incoterms="DDP",IF((TODAY()+offer_turnaround_time)&gt;=helpsheet!$L$17,rate_vatRU_from_26,rate_vatRu_till_25),0)),2)</f>
        <v/>
      </c>
      <c r="AN414" s="192">
        <f>AL414-AK414</f>
        <v/>
      </c>
      <c r="AO414" s="76">
        <f>SUM(AY414,Y414:Z414,T414)*IF(AND(offer_incoterms="DDP",offer_sale_type&lt;&gt;"экспорт"),IF((TODAY()+offer_turnaround_time)&gt;=helpsheet!$L$17,rate_vatRU_from_26,rate_vatRu_till_25),0)</f>
        <v/>
      </c>
      <c r="AP414" s="193">
        <f>AN414-AO414</f>
        <v/>
      </c>
      <c r="AQ414" s="118">
        <f>IF(offer_sale_type="транзит",SUM(AF414:AI414,BA414,BB414),0)</f>
        <v/>
      </c>
      <c r="AR414" s="82">
        <f>HYPERLINK("https://www.alta.ru/tnved/code/")&amp;W414&amp;"/"</f>
        <v/>
      </c>
      <c r="AS414" s="157" t="n"/>
      <c r="AT414" s="162" t="n"/>
      <c r="AU414" s="76">
        <f>IF(ISBLANK(AT414),0,AJ414-AT414)</f>
        <v/>
      </c>
      <c r="AV414" s="157" t="n"/>
      <c r="AW414" s="75">
        <f>_xlfn.IFNA(VLOOKUP(L414,list_vat[],3,FALSE),0)</f>
        <v/>
      </c>
      <c r="AX414" s="76">
        <f>IFERROR(ROUND(S414*(1+AW414)/E414,2),0)</f>
        <v/>
      </c>
      <c r="AY414" s="76">
        <f>E414*AX414</f>
        <v/>
      </c>
      <c r="AZ414" s="192">
        <f>S414*(1+M414)</f>
        <v/>
      </c>
      <c r="BA414" s="76">
        <f>cost_fin_total*$BD414</f>
        <v/>
      </c>
      <c r="BB414" s="193">
        <f>credit_sales_interest*BD414</f>
        <v/>
      </c>
      <c r="BC414" s="102">
        <f>IFERROR(IF($I$13&gt;0,$I414/$I$13,$S414/$S$13),0)</f>
        <v/>
      </c>
      <c r="BD414" s="102">
        <f>IFERROR($S414/$S$13,0)</f>
        <v/>
      </c>
      <c r="BE414" s="413" t="inlineStr">
        <is>
          <t>$</t>
        </is>
      </c>
    </row>
    <row r="415" ht="12" customFormat="1" customHeight="1" s="65">
      <c r="A415" s="43" t="n">
        <v>400</v>
      </c>
      <c r="B415" s="166" t="n"/>
      <c r="C415" s="166" t="n"/>
      <c r="D415" s="166" t="n"/>
      <c r="E415" s="162" t="n"/>
      <c r="F415" s="166" t="n"/>
      <c r="G415" s="162" t="n"/>
      <c r="H415" s="162" t="n"/>
      <c r="I415" s="189">
        <f>E415*G415</f>
        <v/>
      </c>
      <c r="J415" s="195" t="n"/>
      <c r="K415" s="162" t="n"/>
      <c r="L415" s="168" t="n"/>
      <c r="M415" s="75">
        <f>_xlfn.XLOOKUP(L415,list_vat[Страна],list_vat[Ставка НДС %],0,0)</f>
        <v/>
      </c>
      <c r="N415" s="162">
        <f>IFERROR(IF(L415="Китай",K415,K415/(1+M415)),0)</f>
        <v/>
      </c>
      <c r="O415" s="169" t="n"/>
      <c r="P415" s="76">
        <f>N415*(1-O415)</f>
        <v/>
      </c>
      <c r="Q415" s="162" t="n"/>
      <c r="R415" s="162">
        <f>IF(ISBLANK(Q415),"введи курс",P415/Q415)</f>
        <v/>
      </c>
      <c r="S415" s="196">
        <f>IF(AND(ISNUMBER(E415),ISNUMBER(Q415)),E415*R415,0)</f>
        <v/>
      </c>
      <c r="T415" s="192">
        <f>$BC415*V$11</f>
        <v/>
      </c>
      <c r="U415" s="76">
        <f>$BC415*W$11</f>
        <v/>
      </c>
      <c r="V415" s="193">
        <f>+SUM(T415:U415)</f>
        <v/>
      </c>
      <c r="W415" s="191" t="n"/>
      <c r="X415" s="170" t="n"/>
      <c r="Y415" s="76">
        <f>ROUND(IF(offer_incoterms="DDP",X415*(S415*(1+AW415)+T415),0),2)</f>
        <v/>
      </c>
      <c r="Z415" s="188" t="n"/>
      <c r="AA415" s="192">
        <f>IFERROR(AB415/E415,0)</f>
        <v/>
      </c>
      <c r="AB415" s="76">
        <f>ROUND(SUM(S415,V415,Y415:Z415,BA415:BB415),2)</f>
        <v/>
      </c>
      <c r="AC415" s="797" t="n"/>
      <c r="AD415" s="192">
        <f t="array" ref="AD415">IFERROR(ROUND((_xlfn.IFS(offer_sale_type="поставка",AB415,offer_sale_type="транзит",S415)*(1+AC415))/E415,2),0)</f>
        <v/>
      </c>
      <c r="AE415" s="76">
        <f>AD415*E415</f>
        <v/>
      </c>
      <c r="AF415" s="193">
        <f t="array" ref="AF415">IFERROR(ROUND(_xlfn.IFS(offer_sale_type="поставка",AB415,offer_sale_type="транзит",S415)*AC415,2),0)</f>
        <v/>
      </c>
      <c r="AG415" s="192">
        <f>$BD415*VLOOKUP($AG$3,$AF$4:$AG$7,2,FALSE)</f>
        <v/>
      </c>
      <c r="AH415" s="76">
        <f>SUM(AE415,AG415,AI415)*rate_forex_risk</f>
        <v/>
      </c>
      <c r="AI415" s="193">
        <f>IF(OR(seller_region="TR",offer_sale_type="экспорт"),0,rate_fin_comm)*SUM(AZ415,AZ415*AW415,T415)</f>
        <v/>
      </c>
      <c r="AJ415" s="118">
        <f>IFERROR(ROUND(SUM(AB415,AF415:AI415)/E415,2),0)</f>
        <v/>
      </c>
      <c r="AK415" s="76">
        <f>AJ415*E415</f>
        <v/>
      </c>
      <c r="AL415" s="174">
        <f>ROUND(IFERROR(AM415*E415,0),2)</f>
        <v/>
      </c>
      <c r="AM415" s="175">
        <f>ROUND(AJ415*(1+IF(offer_incoterms="DDP",IF((TODAY()+offer_turnaround_time)&gt;=helpsheet!$L$17,rate_vatRU_from_26,rate_vatRu_till_25),0)),2)</f>
        <v/>
      </c>
      <c r="AN415" s="192">
        <f>AL415-AK415</f>
        <v/>
      </c>
      <c r="AO415" s="76">
        <f>SUM(AY415,Y415:Z415,T415)*IF(AND(offer_incoterms="DDP",offer_sale_type&lt;&gt;"экспорт"),IF((TODAY()+offer_turnaround_time)&gt;=helpsheet!$L$17,rate_vatRU_from_26,rate_vatRu_till_25),0)</f>
        <v/>
      </c>
      <c r="AP415" s="193">
        <f>AN415-AO415</f>
        <v/>
      </c>
      <c r="AQ415" s="118">
        <f>IF(offer_sale_type="транзит",SUM(AF415:AI415,BA415,BB415),0)</f>
        <v/>
      </c>
      <c r="AR415" s="82">
        <f>HYPERLINK("https://www.alta.ru/tnved/code/")&amp;W415&amp;"/"</f>
        <v/>
      </c>
      <c r="AS415" s="157" t="n"/>
      <c r="AT415" s="162" t="n"/>
      <c r="AU415" s="76">
        <f>IF(ISBLANK(AT415),0,AJ415-AT415)</f>
        <v/>
      </c>
      <c r="AV415" s="157" t="n"/>
      <c r="AW415" s="75">
        <f>_xlfn.IFNA(VLOOKUP(L415,list_vat[],3,FALSE),0)</f>
        <v/>
      </c>
      <c r="AX415" s="76">
        <f>IFERROR(ROUND(S415*(1+AW415)/E415,2),0)</f>
        <v/>
      </c>
      <c r="AY415" s="76">
        <f>E415*AX415</f>
        <v/>
      </c>
      <c r="AZ415" s="192">
        <f>S415*(1+M415)</f>
        <v/>
      </c>
      <c r="BA415" s="76">
        <f>cost_fin_total*$BD415</f>
        <v/>
      </c>
      <c r="BB415" s="193">
        <f>credit_sales_interest*BD415</f>
        <v/>
      </c>
      <c r="BC415" s="102">
        <f>IFERROR(IF($I$13&gt;0,$I415/$I$13,$S415/$S$13),0)</f>
        <v/>
      </c>
      <c r="BD415" s="102">
        <f>IFERROR($S415/$S$13,0)</f>
        <v/>
      </c>
      <c r="BE415" s="413" t="inlineStr">
        <is>
          <t>$</t>
        </is>
      </c>
    </row>
    <row r="416" ht="12" customFormat="1" customHeight="1" s="65">
      <c r="A416" s="43" t="n">
        <v>401</v>
      </c>
      <c r="B416" s="166" t="n"/>
      <c r="C416" s="166" t="n"/>
      <c r="D416" s="166" t="n"/>
      <c r="E416" s="162" t="n"/>
      <c r="F416" s="166" t="n"/>
      <c r="G416" s="162" t="n"/>
      <c r="H416" s="162" t="n"/>
      <c r="I416" s="189">
        <f>E416*G416</f>
        <v/>
      </c>
      <c r="J416" s="195" t="n"/>
      <c r="K416" s="162" t="n"/>
      <c r="L416" s="168" t="n"/>
      <c r="M416" s="75">
        <f>_xlfn.XLOOKUP(L416,list_vat[Страна],list_vat[Ставка НДС %],0,0)</f>
        <v/>
      </c>
      <c r="N416" s="162">
        <f>IFERROR(IF(L416="Китай",K416,K416/(1+M416)),0)</f>
        <v/>
      </c>
      <c r="O416" s="169" t="n"/>
      <c r="P416" s="76">
        <f>N416*(1-O416)</f>
        <v/>
      </c>
      <c r="Q416" s="162" t="n"/>
      <c r="R416" s="162">
        <f>IF(ISBLANK(Q416),"введи курс",P416/Q416)</f>
        <v/>
      </c>
      <c r="S416" s="196">
        <f>IF(AND(ISNUMBER(E416),ISNUMBER(Q416)),E416*R416,0)</f>
        <v/>
      </c>
      <c r="T416" s="192">
        <f>$BC416*V$11</f>
        <v/>
      </c>
      <c r="U416" s="76">
        <f>$BC416*W$11</f>
        <v/>
      </c>
      <c r="V416" s="193">
        <f>+SUM(T416:U416)</f>
        <v/>
      </c>
      <c r="W416" s="191" t="n"/>
      <c r="X416" s="170" t="n"/>
      <c r="Y416" s="76">
        <f>ROUND(IF(offer_incoterms="DDP",X416*(S416*(1+AW416)+T416),0),2)</f>
        <v/>
      </c>
      <c r="Z416" s="188" t="n"/>
      <c r="AA416" s="192">
        <f>IFERROR(AB416/E416,0)</f>
        <v/>
      </c>
      <c r="AB416" s="76">
        <f>ROUND(SUM(S416,V416,Y416:Z416,BA416:BB416),2)</f>
        <v/>
      </c>
      <c r="AC416" s="797" t="n"/>
      <c r="AD416" s="192">
        <f t="array" ref="AD416">IFERROR(ROUND((_xlfn.IFS(offer_sale_type="поставка",AB416,offer_sale_type="транзит",S416)*(1+AC416))/E416,2),0)</f>
        <v/>
      </c>
      <c r="AE416" s="76">
        <f>AD416*E416</f>
        <v/>
      </c>
      <c r="AF416" s="193">
        <f t="array" ref="AF416">IFERROR(ROUND(_xlfn.IFS(offer_sale_type="поставка",AB416,offer_sale_type="транзит",S416)*AC416,2),0)</f>
        <v/>
      </c>
      <c r="AG416" s="192">
        <f>$BD416*VLOOKUP($AG$3,$AF$4:$AG$7,2,FALSE)</f>
        <v/>
      </c>
      <c r="AH416" s="76">
        <f>SUM(AE416,AG416,AI416)*rate_forex_risk</f>
        <v/>
      </c>
      <c r="AI416" s="193">
        <f>IF(OR(seller_region="TR",offer_sale_type="экспорт"),0,rate_fin_comm)*SUM(AZ416,AZ416*AW416,T416)</f>
        <v/>
      </c>
      <c r="AJ416" s="118">
        <f>IFERROR(ROUND(SUM(AB416,AF416:AI416)/E416,2),0)</f>
        <v/>
      </c>
      <c r="AK416" s="76">
        <f>AJ416*E416</f>
        <v/>
      </c>
      <c r="AL416" s="174">
        <f>ROUND(IFERROR(AM416*E416,0),2)</f>
        <v/>
      </c>
      <c r="AM416" s="175">
        <f>ROUND(AJ416*(1+IF(offer_incoterms="DDP",IF((TODAY()+offer_turnaround_time)&gt;=helpsheet!$L$17,rate_vatRU_from_26,rate_vatRu_till_25),0)),2)</f>
        <v/>
      </c>
      <c r="AN416" s="192">
        <f>AL416-AK416</f>
        <v/>
      </c>
      <c r="AO416" s="76">
        <f>SUM(AY416,Y416:Z416,T416)*IF(AND(offer_incoterms="DDP",offer_sale_type&lt;&gt;"экспорт"),IF((TODAY()+offer_turnaround_time)&gt;=helpsheet!$L$17,rate_vatRU_from_26,rate_vatRu_till_25),0)</f>
        <v/>
      </c>
      <c r="AP416" s="193">
        <f>AN416-AO416</f>
        <v/>
      </c>
      <c r="AQ416" s="118">
        <f>IF(offer_sale_type="транзит",SUM(AF416:AI416,BA416,BB416),0)</f>
        <v/>
      </c>
      <c r="AR416" s="82">
        <f>HYPERLINK("https://www.alta.ru/tnved/code/")&amp;W416&amp;"/"</f>
        <v/>
      </c>
      <c r="AS416" s="157" t="n"/>
      <c r="AT416" s="162" t="n"/>
      <c r="AU416" s="76">
        <f>IF(ISBLANK(AT416),0,AJ416-AT416)</f>
        <v/>
      </c>
      <c r="AV416" s="157" t="n"/>
      <c r="AW416" s="75">
        <f>_xlfn.IFNA(VLOOKUP(L416,list_vat[],3,FALSE),0)</f>
        <v/>
      </c>
      <c r="AX416" s="76">
        <f>IFERROR(ROUND(S416*(1+AW416)/E416,2),0)</f>
        <v/>
      </c>
      <c r="AY416" s="76">
        <f>E416*AX416</f>
        <v/>
      </c>
      <c r="AZ416" s="192">
        <f>S416*(1+M416)</f>
        <v/>
      </c>
      <c r="BA416" s="76">
        <f>cost_fin_total*$BD416</f>
        <v/>
      </c>
      <c r="BB416" s="193">
        <f>credit_sales_interest*BD416</f>
        <v/>
      </c>
      <c r="BC416" s="102">
        <f>IFERROR(IF($I$13&gt;0,$I416/$I$13,$S416/$S$13),0)</f>
        <v/>
      </c>
      <c r="BD416" s="102">
        <f>IFERROR($S416/$S$13,0)</f>
        <v/>
      </c>
      <c r="BE416" s="413" t="inlineStr">
        <is>
          <t>$</t>
        </is>
      </c>
    </row>
    <row r="417" ht="12" customFormat="1" customHeight="1" s="65">
      <c r="A417" s="43" t="n">
        <v>402</v>
      </c>
      <c r="B417" s="166" t="n"/>
      <c r="C417" s="166" t="n"/>
      <c r="D417" s="166" t="n"/>
      <c r="E417" s="162" t="n"/>
      <c r="F417" s="166" t="n"/>
      <c r="G417" s="162" t="n"/>
      <c r="H417" s="162" t="n"/>
      <c r="I417" s="189">
        <f>E417*G417</f>
        <v/>
      </c>
      <c r="J417" s="195" t="n"/>
      <c r="K417" s="162" t="n"/>
      <c r="L417" s="168" t="n"/>
      <c r="M417" s="75">
        <f>_xlfn.XLOOKUP(L417,list_vat[Страна],list_vat[Ставка НДС %],0,0)</f>
        <v/>
      </c>
      <c r="N417" s="162">
        <f>IFERROR(IF(L417="Китай",K417,K417/(1+M417)),0)</f>
        <v/>
      </c>
      <c r="O417" s="169" t="n"/>
      <c r="P417" s="76">
        <f>N417*(1-O417)</f>
        <v/>
      </c>
      <c r="Q417" s="162" t="n"/>
      <c r="R417" s="162">
        <f>IF(ISBLANK(Q417),"введи курс",P417/Q417)</f>
        <v/>
      </c>
      <c r="S417" s="196">
        <f>IF(AND(ISNUMBER(E417),ISNUMBER(Q417)),E417*R417,0)</f>
        <v/>
      </c>
      <c r="T417" s="192">
        <f>$BC417*V$11</f>
        <v/>
      </c>
      <c r="U417" s="76">
        <f>$BC417*W$11</f>
        <v/>
      </c>
      <c r="V417" s="193">
        <f>+SUM(T417:U417)</f>
        <v/>
      </c>
      <c r="W417" s="191" t="n"/>
      <c r="X417" s="170" t="n"/>
      <c r="Y417" s="76">
        <f>ROUND(IF(offer_incoterms="DDP",X417*(S417*(1+AW417)+T417),0),2)</f>
        <v/>
      </c>
      <c r="Z417" s="188" t="n"/>
      <c r="AA417" s="192">
        <f>IFERROR(AB417/E417,0)</f>
        <v/>
      </c>
      <c r="AB417" s="76">
        <f>ROUND(SUM(S417,V417,Y417:Z417,BA417:BB417),2)</f>
        <v/>
      </c>
      <c r="AC417" s="797" t="n"/>
      <c r="AD417" s="192">
        <f t="array" ref="AD417">IFERROR(ROUND((_xlfn.IFS(offer_sale_type="поставка",AB417,offer_sale_type="транзит",S417)*(1+AC417))/E417,2),0)</f>
        <v/>
      </c>
      <c r="AE417" s="76">
        <f>AD417*E417</f>
        <v/>
      </c>
      <c r="AF417" s="193">
        <f t="array" ref="AF417">IFERROR(ROUND(_xlfn.IFS(offer_sale_type="поставка",AB417,offer_sale_type="транзит",S417)*AC417,2),0)</f>
        <v/>
      </c>
      <c r="AG417" s="192">
        <f>$BD417*VLOOKUP($AG$3,$AF$4:$AG$7,2,FALSE)</f>
        <v/>
      </c>
      <c r="AH417" s="76">
        <f>SUM(AE417,AG417,AI417)*rate_forex_risk</f>
        <v/>
      </c>
      <c r="AI417" s="193">
        <f>IF(OR(seller_region="TR",offer_sale_type="экспорт"),0,rate_fin_comm)*SUM(AZ417,AZ417*AW417,T417)</f>
        <v/>
      </c>
      <c r="AJ417" s="118">
        <f>IFERROR(ROUND(SUM(AB417,AF417:AI417)/E417,2),0)</f>
        <v/>
      </c>
      <c r="AK417" s="76">
        <f>AJ417*E417</f>
        <v/>
      </c>
      <c r="AL417" s="174">
        <f>ROUND(IFERROR(AM417*E417,0),2)</f>
        <v/>
      </c>
      <c r="AM417" s="175">
        <f>ROUND(AJ417*(1+IF(offer_incoterms="DDP",IF((TODAY()+offer_turnaround_time)&gt;=helpsheet!$L$17,rate_vatRU_from_26,rate_vatRu_till_25),0)),2)</f>
        <v/>
      </c>
      <c r="AN417" s="192">
        <f>AL417-AK417</f>
        <v/>
      </c>
      <c r="AO417" s="76">
        <f>SUM(AY417,Y417:Z417,T417)*IF(AND(offer_incoterms="DDP",offer_sale_type&lt;&gt;"экспорт"),IF((TODAY()+offer_turnaround_time)&gt;=helpsheet!$L$17,rate_vatRU_from_26,rate_vatRu_till_25),0)</f>
        <v/>
      </c>
      <c r="AP417" s="193">
        <f>AN417-AO417</f>
        <v/>
      </c>
      <c r="AQ417" s="118">
        <f>IF(offer_sale_type="транзит",SUM(AF417:AI417,BA417,BB417),0)</f>
        <v/>
      </c>
      <c r="AR417" s="82">
        <f>HYPERLINK("https://www.alta.ru/tnved/code/")&amp;W417&amp;"/"</f>
        <v/>
      </c>
      <c r="AS417" s="157" t="n"/>
      <c r="AT417" s="162" t="n"/>
      <c r="AU417" s="76">
        <f>IF(ISBLANK(AT417),0,AJ417-AT417)</f>
        <v/>
      </c>
      <c r="AV417" s="157" t="n"/>
      <c r="AW417" s="75">
        <f>_xlfn.IFNA(VLOOKUP(L417,list_vat[],3,FALSE),0)</f>
        <v/>
      </c>
      <c r="AX417" s="76">
        <f>IFERROR(ROUND(S417*(1+AW417)/E417,2),0)</f>
        <v/>
      </c>
      <c r="AY417" s="76">
        <f>E417*AX417</f>
        <v/>
      </c>
      <c r="AZ417" s="192">
        <f>S417*(1+M417)</f>
        <v/>
      </c>
      <c r="BA417" s="76">
        <f>cost_fin_total*$BD417</f>
        <v/>
      </c>
      <c r="BB417" s="193">
        <f>credit_sales_interest*BD417</f>
        <v/>
      </c>
      <c r="BC417" s="102">
        <f>IFERROR(IF($I$13&gt;0,$I417/$I$13,$S417/$S$13),0)</f>
        <v/>
      </c>
      <c r="BD417" s="102">
        <f>IFERROR($S417/$S$13,0)</f>
        <v/>
      </c>
      <c r="BE417" s="413" t="inlineStr">
        <is>
          <t>$</t>
        </is>
      </c>
    </row>
    <row r="418" ht="12" customFormat="1" customHeight="1" s="65">
      <c r="A418" s="43" t="n">
        <v>403</v>
      </c>
      <c r="B418" s="166" t="n"/>
      <c r="C418" s="166" t="n"/>
      <c r="D418" s="166" t="n"/>
      <c r="E418" s="162" t="n"/>
      <c r="F418" s="166" t="n"/>
      <c r="G418" s="162" t="n"/>
      <c r="H418" s="162" t="n"/>
      <c r="I418" s="189">
        <f>E418*G418</f>
        <v/>
      </c>
      <c r="J418" s="195" t="n"/>
      <c r="K418" s="162" t="n"/>
      <c r="L418" s="168" t="n"/>
      <c r="M418" s="75">
        <f>_xlfn.XLOOKUP(L418,list_vat[Страна],list_vat[Ставка НДС %],0,0)</f>
        <v/>
      </c>
      <c r="N418" s="162">
        <f>IFERROR(IF(L418="Китай",K418,K418/(1+M418)),0)</f>
        <v/>
      </c>
      <c r="O418" s="169" t="n"/>
      <c r="P418" s="76">
        <f>N418*(1-O418)</f>
        <v/>
      </c>
      <c r="Q418" s="162" t="n"/>
      <c r="R418" s="162">
        <f>IF(ISBLANK(Q418),"введи курс",P418/Q418)</f>
        <v/>
      </c>
      <c r="S418" s="196">
        <f>IF(AND(ISNUMBER(E418),ISNUMBER(Q418)),E418*R418,0)</f>
        <v/>
      </c>
      <c r="T418" s="192">
        <f>$BC418*V$11</f>
        <v/>
      </c>
      <c r="U418" s="76">
        <f>$BC418*W$11</f>
        <v/>
      </c>
      <c r="V418" s="193">
        <f>+SUM(T418:U418)</f>
        <v/>
      </c>
      <c r="W418" s="191" t="n"/>
      <c r="X418" s="170" t="n"/>
      <c r="Y418" s="76">
        <f>ROUND(IF(offer_incoterms="DDP",X418*(S418*(1+AW418)+T418),0),2)</f>
        <v/>
      </c>
      <c r="Z418" s="188" t="n"/>
      <c r="AA418" s="192">
        <f>IFERROR(AB418/E418,0)</f>
        <v/>
      </c>
      <c r="AB418" s="76">
        <f>ROUND(SUM(S418,V418,Y418:Z418,BA418:BB418),2)</f>
        <v/>
      </c>
      <c r="AC418" s="797" t="n"/>
      <c r="AD418" s="192">
        <f t="array" ref="AD418">IFERROR(ROUND((_xlfn.IFS(offer_sale_type="поставка",AB418,offer_sale_type="транзит",S418)*(1+AC418))/E418,2),0)</f>
        <v/>
      </c>
      <c r="AE418" s="76">
        <f>AD418*E418</f>
        <v/>
      </c>
      <c r="AF418" s="193">
        <f t="array" ref="AF418">IFERROR(ROUND(_xlfn.IFS(offer_sale_type="поставка",AB418,offer_sale_type="транзит",S418)*AC418,2),0)</f>
        <v/>
      </c>
      <c r="AG418" s="192">
        <f>$BD418*VLOOKUP($AG$3,$AF$4:$AG$7,2,FALSE)</f>
        <v/>
      </c>
      <c r="AH418" s="76">
        <f>SUM(AE418,AG418,AI418)*rate_forex_risk</f>
        <v/>
      </c>
      <c r="AI418" s="193">
        <f>IF(OR(seller_region="TR",offer_sale_type="экспорт"),0,rate_fin_comm)*SUM(AZ418,AZ418*AW418,T418)</f>
        <v/>
      </c>
      <c r="AJ418" s="118">
        <f>IFERROR(ROUND(SUM(AB418,AF418:AI418)/E418,2),0)</f>
        <v/>
      </c>
      <c r="AK418" s="76">
        <f>AJ418*E418</f>
        <v/>
      </c>
      <c r="AL418" s="174">
        <f>ROUND(IFERROR(AM418*E418,0),2)</f>
        <v/>
      </c>
      <c r="AM418" s="175">
        <f>ROUND(AJ418*(1+IF(offer_incoterms="DDP",IF((TODAY()+offer_turnaround_time)&gt;=helpsheet!$L$17,rate_vatRU_from_26,rate_vatRu_till_25),0)),2)</f>
        <v/>
      </c>
      <c r="AN418" s="192">
        <f>AL418-AK418</f>
        <v/>
      </c>
      <c r="AO418" s="76">
        <f>SUM(AY418,Y418:Z418,T418)*IF(AND(offer_incoterms="DDP",offer_sale_type&lt;&gt;"экспорт"),IF((TODAY()+offer_turnaround_time)&gt;=helpsheet!$L$17,rate_vatRU_from_26,rate_vatRu_till_25),0)</f>
        <v/>
      </c>
      <c r="AP418" s="193">
        <f>AN418-AO418</f>
        <v/>
      </c>
      <c r="AQ418" s="118">
        <f>IF(offer_sale_type="транзит",SUM(AF418:AI418,BA418,BB418),0)</f>
        <v/>
      </c>
      <c r="AR418" s="82">
        <f>HYPERLINK("https://www.alta.ru/tnved/code/")&amp;W418&amp;"/"</f>
        <v/>
      </c>
      <c r="AS418" s="157" t="n"/>
      <c r="AT418" s="162" t="n"/>
      <c r="AU418" s="76">
        <f>IF(ISBLANK(AT418),0,AJ418-AT418)</f>
        <v/>
      </c>
      <c r="AV418" s="157" t="n"/>
      <c r="AW418" s="75">
        <f>_xlfn.IFNA(VLOOKUP(L418,list_vat[],3,FALSE),0)</f>
        <v/>
      </c>
      <c r="AX418" s="76">
        <f>IFERROR(ROUND(S418*(1+AW418)/E418,2),0)</f>
        <v/>
      </c>
      <c r="AY418" s="76">
        <f>E418*AX418</f>
        <v/>
      </c>
      <c r="AZ418" s="192">
        <f>S418*(1+M418)</f>
        <v/>
      </c>
      <c r="BA418" s="76">
        <f>cost_fin_total*$BD418</f>
        <v/>
      </c>
      <c r="BB418" s="193">
        <f>credit_sales_interest*BD418</f>
        <v/>
      </c>
      <c r="BC418" s="102">
        <f>IFERROR(IF($I$13&gt;0,$I418/$I$13,$S418/$S$13),0)</f>
        <v/>
      </c>
      <c r="BD418" s="102">
        <f>IFERROR($S418/$S$13,0)</f>
        <v/>
      </c>
      <c r="BE418" s="413" t="inlineStr">
        <is>
          <t>$</t>
        </is>
      </c>
    </row>
    <row r="419" ht="12" customFormat="1" customHeight="1" s="65">
      <c r="A419" s="43" t="n">
        <v>404</v>
      </c>
      <c r="B419" s="166" t="n"/>
      <c r="C419" s="166" t="n"/>
      <c r="D419" s="166" t="n"/>
      <c r="E419" s="162" t="n"/>
      <c r="F419" s="166" t="n"/>
      <c r="G419" s="162" t="n"/>
      <c r="H419" s="162" t="n"/>
      <c r="I419" s="189">
        <f>E419*G419</f>
        <v/>
      </c>
      <c r="J419" s="195" t="n"/>
      <c r="K419" s="162" t="n"/>
      <c r="L419" s="168" t="n"/>
      <c r="M419" s="75">
        <f>_xlfn.XLOOKUP(L419,list_vat[Страна],list_vat[Ставка НДС %],0,0)</f>
        <v/>
      </c>
      <c r="N419" s="162">
        <f>IFERROR(IF(L419="Китай",K419,K419/(1+M419)),0)</f>
        <v/>
      </c>
      <c r="O419" s="169" t="n"/>
      <c r="P419" s="76">
        <f>N419*(1-O419)</f>
        <v/>
      </c>
      <c r="Q419" s="162" t="n"/>
      <c r="R419" s="162">
        <f>IF(ISBLANK(Q419),"введи курс",P419/Q419)</f>
        <v/>
      </c>
      <c r="S419" s="196">
        <f>IF(AND(ISNUMBER(E419),ISNUMBER(Q419)),E419*R419,0)</f>
        <v/>
      </c>
      <c r="T419" s="192">
        <f>$BC419*V$11</f>
        <v/>
      </c>
      <c r="U419" s="76">
        <f>$BC419*W$11</f>
        <v/>
      </c>
      <c r="V419" s="193">
        <f>+SUM(T419:U419)</f>
        <v/>
      </c>
      <c r="W419" s="191" t="n"/>
      <c r="X419" s="170" t="n"/>
      <c r="Y419" s="76">
        <f>ROUND(IF(offer_incoterms="DDP",X419*(S419*(1+AW419)+T419),0),2)</f>
        <v/>
      </c>
      <c r="Z419" s="188" t="n"/>
      <c r="AA419" s="192">
        <f>IFERROR(AB419/E419,0)</f>
        <v/>
      </c>
      <c r="AB419" s="76">
        <f>ROUND(SUM(S419,V419,Y419:Z419,BA419:BB419),2)</f>
        <v/>
      </c>
      <c r="AC419" s="797" t="n"/>
      <c r="AD419" s="192">
        <f t="array" ref="AD419">IFERROR(ROUND((_xlfn.IFS(offer_sale_type="поставка",AB419,offer_sale_type="транзит",S419)*(1+AC419))/E419,2),0)</f>
        <v/>
      </c>
      <c r="AE419" s="76">
        <f>AD419*E419</f>
        <v/>
      </c>
      <c r="AF419" s="193">
        <f t="array" ref="AF419">IFERROR(ROUND(_xlfn.IFS(offer_sale_type="поставка",AB419,offer_sale_type="транзит",S419)*AC419,2),0)</f>
        <v/>
      </c>
      <c r="AG419" s="192">
        <f>$BD419*VLOOKUP($AG$3,$AF$4:$AG$7,2,FALSE)</f>
        <v/>
      </c>
      <c r="AH419" s="76">
        <f>SUM(AE419,AG419,AI419)*rate_forex_risk</f>
        <v/>
      </c>
      <c r="AI419" s="193">
        <f>IF(OR(seller_region="TR",offer_sale_type="экспорт"),0,rate_fin_comm)*SUM(AZ419,AZ419*AW419,T419)</f>
        <v/>
      </c>
      <c r="AJ419" s="118">
        <f>IFERROR(ROUND(SUM(AB419,AF419:AI419)/E419,2),0)</f>
        <v/>
      </c>
      <c r="AK419" s="76">
        <f>AJ419*E419</f>
        <v/>
      </c>
      <c r="AL419" s="174">
        <f>ROUND(IFERROR(AM419*E419,0),2)</f>
        <v/>
      </c>
      <c r="AM419" s="175">
        <f>ROUND(AJ419*(1+IF(offer_incoterms="DDP",IF((TODAY()+offer_turnaround_time)&gt;=helpsheet!$L$17,rate_vatRU_from_26,rate_vatRu_till_25),0)),2)</f>
        <v/>
      </c>
      <c r="AN419" s="192">
        <f>AL419-AK419</f>
        <v/>
      </c>
      <c r="AO419" s="76">
        <f>SUM(AY419,Y419:Z419,T419)*IF(AND(offer_incoterms="DDP",offer_sale_type&lt;&gt;"экспорт"),IF((TODAY()+offer_turnaround_time)&gt;=helpsheet!$L$17,rate_vatRU_from_26,rate_vatRu_till_25),0)</f>
        <v/>
      </c>
      <c r="AP419" s="193">
        <f>AN419-AO419</f>
        <v/>
      </c>
      <c r="AQ419" s="118">
        <f>IF(offer_sale_type="транзит",SUM(AF419:AI419,BA419,BB419),0)</f>
        <v/>
      </c>
      <c r="AR419" s="82">
        <f>HYPERLINK("https://www.alta.ru/tnved/code/")&amp;W419&amp;"/"</f>
        <v/>
      </c>
      <c r="AS419" s="157" t="n"/>
      <c r="AT419" s="162" t="n"/>
      <c r="AU419" s="76">
        <f>IF(ISBLANK(AT419),0,AJ419-AT419)</f>
        <v/>
      </c>
      <c r="AV419" s="157" t="n"/>
      <c r="AW419" s="75">
        <f>_xlfn.IFNA(VLOOKUP(L419,list_vat[],3,FALSE),0)</f>
        <v/>
      </c>
      <c r="AX419" s="76">
        <f>IFERROR(ROUND(S419*(1+AW419)/E419,2),0)</f>
        <v/>
      </c>
      <c r="AY419" s="76">
        <f>E419*AX419</f>
        <v/>
      </c>
      <c r="AZ419" s="192">
        <f>S419*(1+M419)</f>
        <v/>
      </c>
      <c r="BA419" s="76">
        <f>cost_fin_total*$BD419</f>
        <v/>
      </c>
      <c r="BB419" s="193">
        <f>credit_sales_interest*BD419</f>
        <v/>
      </c>
      <c r="BC419" s="102">
        <f>IFERROR(IF($I$13&gt;0,$I419/$I$13,$S419/$S$13),0)</f>
        <v/>
      </c>
      <c r="BD419" s="102">
        <f>IFERROR($S419/$S$13,0)</f>
        <v/>
      </c>
      <c r="BE419" s="413" t="inlineStr">
        <is>
          <t>$</t>
        </is>
      </c>
    </row>
    <row r="420" ht="12" customFormat="1" customHeight="1" s="65">
      <c r="A420" s="43" t="n">
        <v>405</v>
      </c>
      <c r="B420" s="166" t="n"/>
      <c r="C420" s="166" t="n"/>
      <c r="D420" s="166" t="n"/>
      <c r="E420" s="162" t="n"/>
      <c r="F420" s="166" t="n"/>
      <c r="G420" s="162" t="n"/>
      <c r="H420" s="162" t="n"/>
      <c r="I420" s="189">
        <f>E420*G420</f>
        <v/>
      </c>
      <c r="J420" s="195" t="n"/>
      <c r="K420" s="162" t="n"/>
      <c r="L420" s="168" t="n"/>
      <c r="M420" s="75">
        <f>_xlfn.XLOOKUP(L420,list_vat[Страна],list_vat[Ставка НДС %],0,0)</f>
        <v/>
      </c>
      <c r="N420" s="162">
        <f>IFERROR(IF(L420="Китай",K420,K420/(1+M420)),0)</f>
        <v/>
      </c>
      <c r="O420" s="169" t="n"/>
      <c r="P420" s="76">
        <f>N420*(1-O420)</f>
        <v/>
      </c>
      <c r="Q420" s="162" t="n"/>
      <c r="R420" s="162">
        <f>IF(ISBLANK(Q420),"введи курс",P420/Q420)</f>
        <v/>
      </c>
      <c r="S420" s="196">
        <f>IF(AND(ISNUMBER(E420),ISNUMBER(Q420)),E420*R420,0)</f>
        <v/>
      </c>
      <c r="T420" s="192">
        <f>$BC420*V$11</f>
        <v/>
      </c>
      <c r="U420" s="76">
        <f>$BC420*W$11</f>
        <v/>
      </c>
      <c r="V420" s="193">
        <f>+SUM(T420:U420)</f>
        <v/>
      </c>
      <c r="W420" s="191" t="n"/>
      <c r="X420" s="170" t="n"/>
      <c r="Y420" s="76">
        <f>ROUND(IF(offer_incoterms="DDP",X420*(S420*(1+AW420)+T420),0),2)</f>
        <v/>
      </c>
      <c r="Z420" s="188" t="n"/>
      <c r="AA420" s="192">
        <f>IFERROR(AB420/E420,0)</f>
        <v/>
      </c>
      <c r="AB420" s="76">
        <f>ROUND(SUM(S420,V420,Y420:Z420,BA420:BB420),2)</f>
        <v/>
      </c>
      <c r="AC420" s="797" t="n"/>
      <c r="AD420" s="192">
        <f t="array" ref="AD420">IFERROR(ROUND((_xlfn.IFS(offer_sale_type="поставка",AB420,offer_sale_type="транзит",S420)*(1+AC420))/E420,2),0)</f>
        <v/>
      </c>
      <c r="AE420" s="76">
        <f>AD420*E420</f>
        <v/>
      </c>
      <c r="AF420" s="193">
        <f t="array" ref="AF420">IFERROR(ROUND(_xlfn.IFS(offer_sale_type="поставка",AB420,offer_sale_type="транзит",S420)*AC420,2),0)</f>
        <v/>
      </c>
      <c r="AG420" s="192">
        <f>$BD420*VLOOKUP($AG$3,$AF$4:$AG$7,2,FALSE)</f>
        <v/>
      </c>
      <c r="AH420" s="76">
        <f>SUM(AE420,AG420,AI420)*rate_forex_risk</f>
        <v/>
      </c>
      <c r="AI420" s="193">
        <f>IF(OR(seller_region="TR",offer_sale_type="экспорт"),0,rate_fin_comm)*SUM(AZ420,AZ420*AW420,T420)</f>
        <v/>
      </c>
      <c r="AJ420" s="118">
        <f>IFERROR(ROUND(SUM(AB420,AF420:AI420)/E420,2),0)</f>
        <v/>
      </c>
      <c r="AK420" s="76">
        <f>AJ420*E420</f>
        <v/>
      </c>
      <c r="AL420" s="174">
        <f>ROUND(IFERROR(AM420*E420,0),2)</f>
        <v/>
      </c>
      <c r="AM420" s="175">
        <f>ROUND(AJ420*(1+IF(offer_incoterms="DDP",IF((TODAY()+offer_turnaround_time)&gt;=helpsheet!$L$17,rate_vatRU_from_26,rate_vatRu_till_25),0)),2)</f>
        <v/>
      </c>
      <c r="AN420" s="192">
        <f>AL420-AK420</f>
        <v/>
      </c>
      <c r="AO420" s="76">
        <f>SUM(AY420,Y420:Z420,T420)*IF(AND(offer_incoterms="DDP",offer_sale_type&lt;&gt;"экспорт"),IF((TODAY()+offer_turnaround_time)&gt;=helpsheet!$L$17,rate_vatRU_from_26,rate_vatRu_till_25),0)</f>
        <v/>
      </c>
      <c r="AP420" s="193">
        <f>AN420-AO420</f>
        <v/>
      </c>
      <c r="AQ420" s="118">
        <f>IF(offer_sale_type="транзит",SUM(AF420:AI420,BA420,BB420),0)</f>
        <v/>
      </c>
      <c r="AR420" s="82">
        <f>HYPERLINK("https://www.alta.ru/tnved/code/")&amp;W420&amp;"/"</f>
        <v/>
      </c>
      <c r="AS420" s="157" t="n"/>
      <c r="AT420" s="162" t="n"/>
      <c r="AU420" s="76">
        <f>IF(ISBLANK(AT420),0,AJ420-AT420)</f>
        <v/>
      </c>
      <c r="AV420" s="157" t="n"/>
      <c r="AW420" s="75">
        <f>_xlfn.IFNA(VLOOKUP(L420,list_vat[],3,FALSE),0)</f>
        <v/>
      </c>
      <c r="AX420" s="76">
        <f>IFERROR(ROUND(S420*(1+AW420)/E420,2),0)</f>
        <v/>
      </c>
      <c r="AY420" s="76">
        <f>E420*AX420</f>
        <v/>
      </c>
      <c r="AZ420" s="192">
        <f>S420*(1+M420)</f>
        <v/>
      </c>
      <c r="BA420" s="76">
        <f>cost_fin_total*$BD420</f>
        <v/>
      </c>
      <c r="BB420" s="193">
        <f>credit_sales_interest*BD420</f>
        <v/>
      </c>
      <c r="BC420" s="102">
        <f>IFERROR(IF($I$13&gt;0,$I420/$I$13,$S420/$S$13),0)</f>
        <v/>
      </c>
      <c r="BD420" s="102">
        <f>IFERROR($S420/$S$13,0)</f>
        <v/>
      </c>
      <c r="BE420" s="413" t="inlineStr">
        <is>
          <t>$</t>
        </is>
      </c>
    </row>
    <row r="421" ht="12" customFormat="1" customHeight="1" s="65">
      <c r="A421" s="43" t="n">
        <v>406</v>
      </c>
      <c r="B421" s="166" t="n"/>
      <c r="C421" s="166" t="n"/>
      <c r="D421" s="166" t="n"/>
      <c r="E421" s="162" t="n"/>
      <c r="F421" s="166" t="n"/>
      <c r="G421" s="162" t="n"/>
      <c r="H421" s="162" t="n"/>
      <c r="I421" s="189">
        <f>E421*G421</f>
        <v/>
      </c>
      <c r="J421" s="195" t="n"/>
      <c r="K421" s="162" t="n"/>
      <c r="L421" s="168" t="n"/>
      <c r="M421" s="75">
        <f>_xlfn.XLOOKUP(L421,list_vat[Страна],list_vat[Ставка НДС %],0,0)</f>
        <v/>
      </c>
      <c r="N421" s="162">
        <f>IFERROR(IF(L421="Китай",K421,K421/(1+M421)),0)</f>
        <v/>
      </c>
      <c r="O421" s="169" t="n"/>
      <c r="P421" s="76">
        <f>N421*(1-O421)</f>
        <v/>
      </c>
      <c r="Q421" s="162" t="n"/>
      <c r="R421" s="162">
        <f>IF(ISBLANK(Q421),"введи курс",P421/Q421)</f>
        <v/>
      </c>
      <c r="S421" s="196">
        <f>IF(AND(ISNUMBER(E421),ISNUMBER(Q421)),E421*R421,0)</f>
        <v/>
      </c>
      <c r="T421" s="192">
        <f>$BC421*V$11</f>
        <v/>
      </c>
      <c r="U421" s="76">
        <f>$BC421*W$11</f>
        <v/>
      </c>
      <c r="V421" s="193">
        <f>+SUM(T421:U421)</f>
        <v/>
      </c>
      <c r="W421" s="191" t="n"/>
      <c r="X421" s="170" t="n"/>
      <c r="Y421" s="76">
        <f>ROUND(IF(offer_incoterms="DDP",X421*(S421*(1+AW421)+T421),0),2)</f>
        <v/>
      </c>
      <c r="Z421" s="188" t="n"/>
      <c r="AA421" s="192">
        <f>IFERROR(AB421/E421,0)</f>
        <v/>
      </c>
      <c r="AB421" s="76">
        <f>ROUND(SUM(S421,V421,Y421:Z421,BA421:BB421),2)</f>
        <v/>
      </c>
      <c r="AC421" s="797" t="n"/>
      <c r="AD421" s="192">
        <f t="array" ref="AD421">IFERROR(ROUND((_xlfn.IFS(offer_sale_type="поставка",AB421,offer_sale_type="транзит",S421)*(1+AC421))/E421,2),0)</f>
        <v/>
      </c>
      <c r="AE421" s="76">
        <f>AD421*E421</f>
        <v/>
      </c>
      <c r="AF421" s="193">
        <f t="array" ref="AF421">IFERROR(ROUND(_xlfn.IFS(offer_sale_type="поставка",AB421,offer_sale_type="транзит",S421)*AC421,2),0)</f>
        <v/>
      </c>
      <c r="AG421" s="192">
        <f>$BD421*VLOOKUP($AG$3,$AF$4:$AG$7,2,FALSE)</f>
        <v/>
      </c>
      <c r="AH421" s="76">
        <f>SUM(AE421,AG421,AI421)*rate_forex_risk</f>
        <v/>
      </c>
      <c r="AI421" s="193">
        <f>IF(OR(seller_region="TR",offer_sale_type="экспорт"),0,rate_fin_comm)*SUM(AZ421,AZ421*AW421,T421)</f>
        <v/>
      </c>
      <c r="AJ421" s="118">
        <f>IFERROR(ROUND(SUM(AB421,AF421:AI421)/E421,2),0)</f>
        <v/>
      </c>
      <c r="AK421" s="76">
        <f>AJ421*E421</f>
        <v/>
      </c>
      <c r="AL421" s="174">
        <f>ROUND(IFERROR(AM421*E421,0),2)</f>
        <v/>
      </c>
      <c r="AM421" s="175">
        <f>ROUND(AJ421*(1+IF(offer_incoterms="DDP",IF((TODAY()+offer_turnaround_time)&gt;=helpsheet!$L$17,rate_vatRU_from_26,rate_vatRu_till_25),0)),2)</f>
        <v/>
      </c>
      <c r="AN421" s="192">
        <f>AL421-AK421</f>
        <v/>
      </c>
      <c r="AO421" s="76">
        <f>SUM(AY421,Y421:Z421,T421)*IF(AND(offer_incoterms="DDP",offer_sale_type&lt;&gt;"экспорт"),IF((TODAY()+offer_turnaround_time)&gt;=helpsheet!$L$17,rate_vatRU_from_26,rate_vatRu_till_25),0)</f>
        <v/>
      </c>
      <c r="AP421" s="193">
        <f>AN421-AO421</f>
        <v/>
      </c>
      <c r="AQ421" s="118">
        <f>IF(offer_sale_type="транзит",SUM(AF421:AI421,BA421,BB421),0)</f>
        <v/>
      </c>
      <c r="AR421" s="82">
        <f>HYPERLINK("https://www.alta.ru/tnved/code/")&amp;W421&amp;"/"</f>
        <v/>
      </c>
      <c r="AS421" s="157" t="n"/>
      <c r="AT421" s="162" t="n"/>
      <c r="AU421" s="76">
        <f>IF(ISBLANK(AT421),0,AJ421-AT421)</f>
        <v/>
      </c>
      <c r="AV421" s="157" t="n"/>
      <c r="AW421" s="75">
        <f>_xlfn.IFNA(VLOOKUP(L421,list_vat[],3,FALSE),0)</f>
        <v/>
      </c>
      <c r="AX421" s="76">
        <f>IFERROR(ROUND(S421*(1+AW421)/E421,2),0)</f>
        <v/>
      </c>
      <c r="AY421" s="76">
        <f>E421*AX421</f>
        <v/>
      </c>
      <c r="AZ421" s="192">
        <f>S421*(1+M421)</f>
        <v/>
      </c>
      <c r="BA421" s="76">
        <f>cost_fin_total*$BD421</f>
        <v/>
      </c>
      <c r="BB421" s="193">
        <f>credit_sales_interest*BD421</f>
        <v/>
      </c>
      <c r="BC421" s="102">
        <f>IFERROR(IF($I$13&gt;0,$I421/$I$13,$S421/$S$13),0)</f>
        <v/>
      </c>
      <c r="BD421" s="102">
        <f>IFERROR($S421/$S$13,0)</f>
        <v/>
      </c>
      <c r="BE421" s="413" t="inlineStr">
        <is>
          <t>$</t>
        </is>
      </c>
    </row>
    <row r="422" ht="12" customFormat="1" customHeight="1" s="65">
      <c r="A422" s="43" t="n">
        <v>407</v>
      </c>
      <c r="B422" s="166" t="n"/>
      <c r="C422" s="166" t="n"/>
      <c r="D422" s="166" t="n"/>
      <c r="E422" s="162" t="n"/>
      <c r="F422" s="166" t="n"/>
      <c r="G422" s="162" t="n"/>
      <c r="H422" s="162" t="n"/>
      <c r="I422" s="189">
        <f>E422*G422</f>
        <v/>
      </c>
      <c r="J422" s="195" t="n"/>
      <c r="K422" s="162" t="n"/>
      <c r="L422" s="168" t="n"/>
      <c r="M422" s="75">
        <f>_xlfn.XLOOKUP(L422,list_vat[Страна],list_vat[Ставка НДС %],0,0)</f>
        <v/>
      </c>
      <c r="N422" s="162">
        <f>IFERROR(IF(L422="Китай",K422,K422/(1+M422)),0)</f>
        <v/>
      </c>
      <c r="O422" s="169" t="n"/>
      <c r="P422" s="76">
        <f>N422*(1-O422)</f>
        <v/>
      </c>
      <c r="Q422" s="162" t="n"/>
      <c r="R422" s="162">
        <f>IF(ISBLANK(Q422),"введи курс",P422/Q422)</f>
        <v/>
      </c>
      <c r="S422" s="196">
        <f>IF(AND(ISNUMBER(E422),ISNUMBER(Q422)),E422*R422,0)</f>
        <v/>
      </c>
      <c r="T422" s="192">
        <f>$BC422*V$11</f>
        <v/>
      </c>
      <c r="U422" s="76">
        <f>$BC422*W$11</f>
        <v/>
      </c>
      <c r="V422" s="193">
        <f>+SUM(T422:U422)</f>
        <v/>
      </c>
      <c r="W422" s="191" t="n"/>
      <c r="X422" s="170" t="n"/>
      <c r="Y422" s="76">
        <f>ROUND(IF(offer_incoterms="DDP",X422*(S422*(1+AW422)+T422),0),2)</f>
        <v/>
      </c>
      <c r="Z422" s="188" t="n"/>
      <c r="AA422" s="192">
        <f>IFERROR(AB422/E422,0)</f>
        <v/>
      </c>
      <c r="AB422" s="76">
        <f>ROUND(SUM(S422,V422,Y422:Z422,BA422:BB422),2)</f>
        <v/>
      </c>
      <c r="AC422" s="797" t="n"/>
      <c r="AD422" s="192">
        <f t="array" ref="AD422">IFERROR(ROUND((_xlfn.IFS(offer_sale_type="поставка",AB422,offer_sale_type="транзит",S422)*(1+AC422))/E422,2),0)</f>
        <v/>
      </c>
      <c r="AE422" s="76">
        <f>AD422*E422</f>
        <v/>
      </c>
      <c r="AF422" s="193">
        <f t="array" ref="AF422">IFERROR(ROUND(_xlfn.IFS(offer_sale_type="поставка",AB422,offer_sale_type="транзит",S422)*AC422,2),0)</f>
        <v/>
      </c>
      <c r="AG422" s="192">
        <f>$BD422*VLOOKUP($AG$3,$AF$4:$AG$7,2,FALSE)</f>
        <v/>
      </c>
      <c r="AH422" s="76">
        <f>SUM(AE422,AG422,AI422)*rate_forex_risk</f>
        <v/>
      </c>
      <c r="AI422" s="193">
        <f>IF(OR(seller_region="TR",offer_sale_type="экспорт"),0,rate_fin_comm)*SUM(AZ422,AZ422*AW422,T422)</f>
        <v/>
      </c>
      <c r="AJ422" s="118">
        <f>IFERROR(ROUND(SUM(AB422,AF422:AI422)/E422,2),0)</f>
        <v/>
      </c>
      <c r="AK422" s="76">
        <f>AJ422*E422</f>
        <v/>
      </c>
      <c r="AL422" s="174">
        <f>ROUND(IFERROR(AM422*E422,0),2)</f>
        <v/>
      </c>
      <c r="AM422" s="175">
        <f>ROUND(AJ422*(1+IF(offer_incoterms="DDP",IF((TODAY()+offer_turnaround_time)&gt;=helpsheet!$L$17,rate_vatRU_from_26,rate_vatRu_till_25),0)),2)</f>
        <v/>
      </c>
      <c r="AN422" s="192">
        <f>AL422-AK422</f>
        <v/>
      </c>
      <c r="AO422" s="76">
        <f>SUM(AY422,Y422:Z422,T422)*IF(AND(offer_incoterms="DDP",offer_sale_type&lt;&gt;"экспорт"),IF((TODAY()+offer_turnaround_time)&gt;=helpsheet!$L$17,rate_vatRU_from_26,rate_vatRu_till_25),0)</f>
        <v/>
      </c>
      <c r="AP422" s="193">
        <f>AN422-AO422</f>
        <v/>
      </c>
      <c r="AQ422" s="118">
        <f>IF(offer_sale_type="транзит",SUM(AF422:AI422,BA422,BB422),0)</f>
        <v/>
      </c>
      <c r="AR422" s="82">
        <f>HYPERLINK("https://www.alta.ru/tnved/code/")&amp;W422&amp;"/"</f>
        <v/>
      </c>
      <c r="AS422" s="157" t="n"/>
      <c r="AT422" s="162" t="n"/>
      <c r="AU422" s="76">
        <f>IF(ISBLANK(AT422),0,AJ422-AT422)</f>
        <v/>
      </c>
      <c r="AV422" s="157" t="n"/>
      <c r="AW422" s="75">
        <f>_xlfn.IFNA(VLOOKUP(L422,list_vat[],3,FALSE),0)</f>
        <v/>
      </c>
      <c r="AX422" s="76">
        <f>IFERROR(ROUND(S422*(1+AW422)/E422,2),0)</f>
        <v/>
      </c>
      <c r="AY422" s="76">
        <f>E422*AX422</f>
        <v/>
      </c>
      <c r="AZ422" s="192">
        <f>S422*(1+M422)</f>
        <v/>
      </c>
      <c r="BA422" s="76">
        <f>cost_fin_total*$BD422</f>
        <v/>
      </c>
      <c r="BB422" s="193">
        <f>credit_sales_interest*BD422</f>
        <v/>
      </c>
      <c r="BC422" s="102">
        <f>IFERROR(IF($I$13&gt;0,$I422/$I$13,$S422/$S$13),0)</f>
        <v/>
      </c>
      <c r="BD422" s="102">
        <f>IFERROR($S422/$S$13,0)</f>
        <v/>
      </c>
      <c r="BE422" s="413" t="inlineStr">
        <is>
          <t>$</t>
        </is>
      </c>
    </row>
    <row r="423" ht="12" customFormat="1" customHeight="1" s="65">
      <c r="A423" s="43" t="n">
        <v>408</v>
      </c>
      <c r="B423" s="166" t="n"/>
      <c r="C423" s="166" t="n"/>
      <c r="D423" s="166" t="n"/>
      <c r="E423" s="162" t="n"/>
      <c r="F423" s="166" t="n"/>
      <c r="G423" s="162" t="n"/>
      <c r="H423" s="162" t="n"/>
      <c r="I423" s="189">
        <f>E423*G423</f>
        <v/>
      </c>
      <c r="J423" s="195" t="n"/>
      <c r="K423" s="162" t="n"/>
      <c r="L423" s="168" t="n"/>
      <c r="M423" s="75">
        <f>_xlfn.XLOOKUP(L423,list_vat[Страна],list_vat[Ставка НДС %],0,0)</f>
        <v/>
      </c>
      <c r="N423" s="162">
        <f>IFERROR(IF(L423="Китай",K423,K423/(1+M423)),0)</f>
        <v/>
      </c>
      <c r="O423" s="169" t="n"/>
      <c r="P423" s="76">
        <f>N423*(1-O423)</f>
        <v/>
      </c>
      <c r="Q423" s="162" t="n"/>
      <c r="R423" s="162">
        <f>IF(ISBLANK(Q423),"введи курс",P423/Q423)</f>
        <v/>
      </c>
      <c r="S423" s="196">
        <f>IF(AND(ISNUMBER(E423),ISNUMBER(Q423)),E423*R423,0)</f>
        <v/>
      </c>
      <c r="T423" s="192">
        <f>$BC423*V$11</f>
        <v/>
      </c>
      <c r="U423" s="76">
        <f>$BC423*W$11</f>
        <v/>
      </c>
      <c r="V423" s="193">
        <f>+SUM(T423:U423)</f>
        <v/>
      </c>
      <c r="W423" s="191" t="n"/>
      <c r="X423" s="170" t="n"/>
      <c r="Y423" s="76">
        <f>ROUND(IF(offer_incoterms="DDP",X423*(S423*(1+AW423)+T423),0),2)</f>
        <v/>
      </c>
      <c r="Z423" s="188" t="n"/>
      <c r="AA423" s="192">
        <f>IFERROR(AB423/E423,0)</f>
        <v/>
      </c>
      <c r="AB423" s="76">
        <f>ROUND(SUM(S423,V423,Y423:Z423,BA423:BB423),2)</f>
        <v/>
      </c>
      <c r="AC423" s="797" t="n"/>
      <c r="AD423" s="192">
        <f t="array" ref="AD423">IFERROR(ROUND((_xlfn.IFS(offer_sale_type="поставка",AB423,offer_sale_type="транзит",S423)*(1+AC423))/E423,2),0)</f>
        <v/>
      </c>
      <c r="AE423" s="76">
        <f>AD423*E423</f>
        <v/>
      </c>
      <c r="AF423" s="193">
        <f t="array" ref="AF423">IFERROR(ROUND(_xlfn.IFS(offer_sale_type="поставка",AB423,offer_sale_type="транзит",S423)*AC423,2),0)</f>
        <v/>
      </c>
      <c r="AG423" s="192">
        <f>$BD423*VLOOKUP($AG$3,$AF$4:$AG$7,2,FALSE)</f>
        <v/>
      </c>
      <c r="AH423" s="76">
        <f>SUM(AE423,AG423,AI423)*rate_forex_risk</f>
        <v/>
      </c>
      <c r="AI423" s="193">
        <f>IF(OR(seller_region="TR",offer_sale_type="экспорт"),0,rate_fin_comm)*SUM(AZ423,AZ423*AW423,T423)</f>
        <v/>
      </c>
      <c r="AJ423" s="118">
        <f>IFERROR(ROUND(SUM(AB423,AF423:AI423)/E423,2),0)</f>
        <v/>
      </c>
      <c r="AK423" s="76">
        <f>AJ423*E423</f>
        <v/>
      </c>
      <c r="AL423" s="174">
        <f>ROUND(IFERROR(AM423*E423,0),2)</f>
        <v/>
      </c>
      <c r="AM423" s="175">
        <f>ROUND(AJ423*(1+IF(offer_incoterms="DDP",IF((TODAY()+offer_turnaround_time)&gt;=helpsheet!$L$17,rate_vatRU_from_26,rate_vatRu_till_25),0)),2)</f>
        <v/>
      </c>
      <c r="AN423" s="192">
        <f>AL423-AK423</f>
        <v/>
      </c>
      <c r="AO423" s="76">
        <f>SUM(AY423,Y423:Z423,T423)*IF(AND(offer_incoterms="DDP",offer_sale_type&lt;&gt;"экспорт"),IF((TODAY()+offer_turnaround_time)&gt;=helpsheet!$L$17,rate_vatRU_from_26,rate_vatRu_till_25),0)</f>
        <v/>
      </c>
      <c r="AP423" s="193">
        <f>AN423-AO423</f>
        <v/>
      </c>
      <c r="AQ423" s="118">
        <f>IF(offer_sale_type="транзит",SUM(AF423:AI423,BA423,BB423),0)</f>
        <v/>
      </c>
      <c r="AR423" s="82">
        <f>HYPERLINK("https://www.alta.ru/tnved/code/")&amp;W423&amp;"/"</f>
        <v/>
      </c>
      <c r="AS423" s="157" t="n"/>
      <c r="AT423" s="162" t="n"/>
      <c r="AU423" s="76">
        <f>IF(ISBLANK(AT423),0,AJ423-AT423)</f>
        <v/>
      </c>
      <c r="AV423" s="157" t="n"/>
      <c r="AW423" s="75">
        <f>_xlfn.IFNA(VLOOKUP(L423,list_vat[],3,FALSE),0)</f>
        <v/>
      </c>
      <c r="AX423" s="76">
        <f>IFERROR(ROUND(S423*(1+AW423)/E423,2),0)</f>
        <v/>
      </c>
      <c r="AY423" s="76">
        <f>E423*AX423</f>
        <v/>
      </c>
      <c r="AZ423" s="192">
        <f>S423*(1+M423)</f>
        <v/>
      </c>
      <c r="BA423" s="76">
        <f>cost_fin_total*$BD423</f>
        <v/>
      </c>
      <c r="BB423" s="193">
        <f>credit_sales_interest*BD423</f>
        <v/>
      </c>
      <c r="BC423" s="102">
        <f>IFERROR(IF($I$13&gt;0,$I423/$I$13,$S423/$S$13),0)</f>
        <v/>
      </c>
      <c r="BD423" s="102">
        <f>IFERROR($S423/$S$13,0)</f>
        <v/>
      </c>
      <c r="BE423" s="413" t="inlineStr">
        <is>
          <t>$</t>
        </is>
      </c>
    </row>
    <row r="424" ht="12" customFormat="1" customHeight="1" s="65">
      <c r="A424" s="43" t="n">
        <v>409</v>
      </c>
      <c r="B424" s="166" t="n"/>
      <c r="C424" s="166" t="n"/>
      <c r="D424" s="166" t="n"/>
      <c r="E424" s="162" t="n"/>
      <c r="F424" s="166" t="n"/>
      <c r="G424" s="162" t="n"/>
      <c r="H424" s="162" t="n"/>
      <c r="I424" s="189">
        <f>E424*G424</f>
        <v/>
      </c>
      <c r="J424" s="195" t="n"/>
      <c r="K424" s="162" t="n"/>
      <c r="L424" s="168" t="n"/>
      <c r="M424" s="75">
        <f>_xlfn.XLOOKUP(L424,list_vat[Страна],list_vat[Ставка НДС %],0,0)</f>
        <v/>
      </c>
      <c r="N424" s="162">
        <f>IFERROR(IF(L424="Китай",K424,K424/(1+M424)),0)</f>
        <v/>
      </c>
      <c r="O424" s="169" t="n"/>
      <c r="P424" s="76">
        <f>N424*(1-O424)</f>
        <v/>
      </c>
      <c r="Q424" s="162" t="n"/>
      <c r="R424" s="162">
        <f>IF(ISBLANK(Q424),"введи курс",P424/Q424)</f>
        <v/>
      </c>
      <c r="S424" s="196">
        <f>IF(AND(ISNUMBER(E424),ISNUMBER(Q424)),E424*R424,0)</f>
        <v/>
      </c>
      <c r="T424" s="192">
        <f>$BC424*V$11</f>
        <v/>
      </c>
      <c r="U424" s="76">
        <f>$BC424*W$11</f>
        <v/>
      </c>
      <c r="V424" s="193">
        <f>+SUM(T424:U424)</f>
        <v/>
      </c>
      <c r="W424" s="191" t="n"/>
      <c r="X424" s="170" t="n"/>
      <c r="Y424" s="76">
        <f>ROUND(IF(offer_incoterms="DDP",X424*(S424*(1+AW424)+T424),0),2)</f>
        <v/>
      </c>
      <c r="Z424" s="188" t="n"/>
      <c r="AA424" s="192">
        <f>IFERROR(AB424/E424,0)</f>
        <v/>
      </c>
      <c r="AB424" s="76">
        <f>ROUND(SUM(S424,V424,Y424:Z424,BA424:BB424),2)</f>
        <v/>
      </c>
      <c r="AC424" s="797" t="n"/>
      <c r="AD424" s="192">
        <f t="array" ref="AD424">IFERROR(ROUND((_xlfn.IFS(offer_sale_type="поставка",AB424,offer_sale_type="транзит",S424)*(1+AC424))/E424,2),0)</f>
        <v/>
      </c>
      <c r="AE424" s="76">
        <f>AD424*E424</f>
        <v/>
      </c>
      <c r="AF424" s="193">
        <f t="array" ref="AF424">IFERROR(ROUND(_xlfn.IFS(offer_sale_type="поставка",AB424,offer_sale_type="транзит",S424)*AC424,2),0)</f>
        <v/>
      </c>
      <c r="AG424" s="192">
        <f>$BD424*VLOOKUP($AG$3,$AF$4:$AG$7,2,FALSE)</f>
        <v/>
      </c>
      <c r="AH424" s="76">
        <f>SUM(AE424,AG424,AI424)*rate_forex_risk</f>
        <v/>
      </c>
      <c r="AI424" s="193">
        <f>IF(OR(seller_region="TR",offer_sale_type="экспорт"),0,rate_fin_comm)*SUM(AZ424,AZ424*AW424,T424)</f>
        <v/>
      </c>
      <c r="AJ424" s="118">
        <f>IFERROR(ROUND(SUM(AB424,AF424:AI424)/E424,2),0)</f>
        <v/>
      </c>
      <c r="AK424" s="76">
        <f>AJ424*E424</f>
        <v/>
      </c>
      <c r="AL424" s="174">
        <f>ROUND(IFERROR(AM424*E424,0),2)</f>
        <v/>
      </c>
      <c r="AM424" s="175">
        <f>ROUND(AJ424*(1+IF(offer_incoterms="DDP",IF((TODAY()+offer_turnaround_time)&gt;=helpsheet!$L$17,rate_vatRU_from_26,rate_vatRu_till_25),0)),2)</f>
        <v/>
      </c>
      <c r="AN424" s="192">
        <f>AL424-AK424</f>
        <v/>
      </c>
      <c r="AO424" s="76">
        <f>SUM(AY424,Y424:Z424,T424)*IF(AND(offer_incoterms="DDP",offer_sale_type&lt;&gt;"экспорт"),IF((TODAY()+offer_turnaround_time)&gt;=helpsheet!$L$17,rate_vatRU_from_26,rate_vatRu_till_25),0)</f>
        <v/>
      </c>
      <c r="AP424" s="193">
        <f>AN424-AO424</f>
        <v/>
      </c>
      <c r="AQ424" s="118">
        <f>IF(offer_sale_type="транзит",SUM(AF424:AI424,BA424,BB424),0)</f>
        <v/>
      </c>
      <c r="AR424" s="82">
        <f>HYPERLINK("https://www.alta.ru/tnved/code/")&amp;W424&amp;"/"</f>
        <v/>
      </c>
      <c r="AS424" s="157" t="n"/>
      <c r="AT424" s="162" t="n"/>
      <c r="AU424" s="76">
        <f>IF(ISBLANK(AT424),0,AJ424-AT424)</f>
        <v/>
      </c>
      <c r="AV424" s="157" t="n"/>
      <c r="AW424" s="75">
        <f>_xlfn.IFNA(VLOOKUP(L424,list_vat[],3,FALSE),0)</f>
        <v/>
      </c>
      <c r="AX424" s="76">
        <f>IFERROR(ROUND(S424*(1+AW424)/E424,2),0)</f>
        <v/>
      </c>
      <c r="AY424" s="76">
        <f>E424*AX424</f>
        <v/>
      </c>
      <c r="AZ424" s="192">
        <f>S424*(1+M424)</f>
        <v/>
      </c>
      <c r="BA424" s="76">
        <f>cost_fin_total*$BD424</f>
        <v/>
      </c>
      <c r="BB424" s="193">
        <f>credit_sales_interest*BD424</f>
        <v/>
      </c>
      <c r="BC424" s="102">
        <f>IFERROR(IF($I$13&gt;0,$I424/$I$13,$S424/$S$13),0)</f>
        <v/>
      </c>
      <c r="BD424" s="102">
        <f>IFERROR($S424/$S$13,0)</f>
        <v/>
      </c>
      <c r="BE424" s="413" t="inlineStr">
        <is>
          <t>$</t>
        </is>
      </c>
    </row>
    <row r="425" ht="12" customFormat="1" customHeight="1" s="65">
      <c r="A425" s="43" t="n">
        <v>410</v>
      </c>
      <c r="B425" s="166" t="n"/>
      <c r="C425" s="166" t="n"/>
      <c r="D425" s="166" t="n"/>
      <c r="E425" s="162" t="n"/>
      <c r="F425" s="166" t="n"/>
      <c r="G425" s="162" t="n"/>
      <c r="H425" s="162" t="n"/>
      <c r="I425" s="189">
        <f>E425*G425</f>
        <v/>
      </c>
      <c r="J425" s="195" t="n"/>
      <c r="K425" s="162" t="n"/>
      <c r="L425" s="168" t="n"/>
      <c r="M425" s="75">
        <f>_xlfn.XLOOKUP(L425,list_vat[Страна],list_vat[Ставка НДС %],0,0)</f>
        <v/>
      </c>
      <c r="N425" s="162">
        <f>IFERROR(IF(L425="Китай",K425,K425/(1+M425)),0)</f>
        <v/>
      </c>
      <c r="O425" s="169" t="n"/>
      <c r="P425" s="76">
        <f>N425*(1-O425)</f>
        <v/>
      </c>
      <c r="Q425" s="162" t="n"/>
      <c r="R425" s="162">
        <f>IF(ISBLANK(Q425),"введи курс",P425/Q425)</f>
        <v/>
      </c>
      <c r="S425" s="196">
        <f>IF(AND(ISNUMBER(E425),ISNUMBER(Q425)),E425*R425,0)</f>
        <v/>
      </c>
      <c r="T425" s="192">
        <f>$BC425*V$11</f>
        <v/>
      </c>
      <c r="U425" s="76">
        <f>$BC425*W$11</f>
        <v/>
      </c>
      <c r="V425" s="193">
        <f>+SUM(T425:U425)</f>
        <v/>
      </c>
      <c r="W425" s="191" t="n"/>
      <c r="X425" s="170" t="n"/>
      <c r="Y425" s="76">
        <f>ROUND(IF(offer_incoterms="DDP",X425*(S425*(1+AW425)+T425),0),2)</f>
        <v/>
      </c>
      <c r="Z425" s="188" t="n"/>
      <c r="AA425" s="192">
        <f>IFERROR(AB425/E425,0)</f>
        <v/>
      </c>
      <c r="AB425" s="76">
        <f>ROUND(SUM(S425,V425,Y425:Z425,BA425:BB425),2)</f>
        <v/>
      </c>
      <c r="AC425" s="797" t="n"/>
      <c r="AD425" s="192">
        <f t="array" ref="AD425">IFERROR(ROUND((_xlfn.IFS(offer_sale_type="поставка",AB425,offer_sale_type="транзит",S425)*(1+AC425))/E425,2),0)</f>
        <v/>
      </c>
      <c r="AE425" s="76">
        <f>AD425*E425</f>
        <v/>
      </c>
      <c r="AF425" s="193">
        <f t="array" ref="AF425">IFERROR(ROUND(_xlfn.IFS(offer_sale_type="поставка",AB425,offer_sale_type="транзит",S425)*AC425,2),0)</f>
        <v/>
      </c>
      <c r="AG425" s="192">
        <f>$BD425*VLOOKUP($AG$3,$AF$4:$AG$7,2,FALSE)</f>
        <v/>
      </c>
      <c r="AH425" s="76">
        <f>SUM(AE425,AG425,AI425)*rate_forex_risk</f>
        <v/>
      </c>
      <c r="AI425" s="193">
        <f>IF(OR(seller_region="TR",offer_sale_type="экспорт"),0,rate_fin_comm)*SUM(AZ425,AZ425*AW425,T425)</f>
        <v/>
      </c>
      <c r="AJ425" s="118">
        <f>IFERROR(ROUND(SUM(AB425,AF425:AI425)/E425,2),0)</f>
        <v/>
      </c>
      <c r="AK425" s="76">
        <f>AJ425*E425</f>
        <v/>
      </c>
      <c r="AL425" s="174">
        <f>ROUND(IFERROR(AM425*E425,0),2)</f>
        <v/>
      </c>
      <c r="AM425" s="175">
        <f>ROUND(AJ425*(1+IF(offer_incoterms="DDP",IF((TODAY()+offer_turnaround_time)&gt;=helpsheet!$L$17,rate_vatRU_from_26,rate_vatRu_till_25),0)),2)</f>
        <v/>
      </c>
      <c r="AN425" s="192">
        <f>AL425-AK425</f>
        <v/>
      </c>
      <c r="AO425" s="76">
        <f>SUM(AY425,Y425:Z425,T425)*IF(AND(offer_incoterms="DDP",offer_sale_type&lt;&gt;"экспорт"),IF((TODAY()+offer_turnaround_time)&gt;=helpsheet!$L$17,rate_vatRU_from_26,rate_vatRu_till_25),0)</f>
        <v/>
      </c>
      <c r="AP425" s="193">
        <f>AN425-AO425</f>
        <v/>
      </c>
      <c r="AQ425" s="118">
        <f>IF(offer_sale_type="транзит",SUM(AF425:AI425,BA425,BB425),0)</f>
        <v/>
      </c>
      <c r="AR425" s="82">
        <f>HYPERLINK("https://www.alta.ru/tnved/code/")&amp;W425&amp;"/"</f>
        <v/>
      </c>
      <c r="AS425" s="157" t="n"/>
      <c r="AT425" s="162" t="n"/>
      <c r="AU425" s="76">
        <f>IF(ISBLANK(AT425),0,AJ425-AT425)</f>
        <v/>
      </c>
      <c r="AV425" s="157" t="n"/>
      <c r="AW425" s="75">
        <f>_xlfn.IFNA(VLOOKUP(L425,list_vat[],3,FALSE),0)</f>
        <v/>
      </c>
      <c r="AX425" s="76">
        <f>IFERROR(ROUND(S425*(1+AW425)/E425,2),0)</f>
        <v/>
      </c>
      <c r="AY425" s="76">
        <f>E425*AX425</f>
        <v/>
      </c>
      <c r="AZ425" s="192">
        <f>S425*(1+M425)</f>
        <v/>
      </c>
      <c r="BA425" s="76">
        <f>cost_fin_total*$BD425</f>
        <v/>
      </c>
      <c r="BB425" s="193">
        <f>credit_sales_interest*BD425</f>
        <v/>
      </c>
      <c r="BC425" s="102">
        <f>IFERROR(IF($I$13&gt;0,$I425/$I$13,$S425/$S$13),0)</f>
        <v/>
      </c>
      <c r="BD425" s="102">
        <f>IFERROR($S425/$S$13,0)</f>
        <v/>
      </c>
      <c r="BE425" s="413" t="inlineStr">
        <is>
          <t>$</t>
        </is>
      </c>
    </row>
    <row r="426" ht="12" customFormat="1" customHeight="1" s="65">
      <c r="A426" s="43" t="n">
        <v>411</v>
      </c>
      <c r="B426" s="166" t="n"/>
      <c r="C426" s="166" t="n"/>
      <c r="D426" s="166" t="n"/>
      <c r="E426" s="162" t="n"/>
      <c r="F426" s="166" t="n"/>
      <c r="G426" s="162" t="n"/>
      <c r="H426" s="162" t="n"/>
      <c r="I426" s="189">
        <f>E426*G426</f>
        <v/>
      </c>
      <c r="J426" s="195" t="n"/>
      <c r="K426" s="162" t="n"/>
      <c r="L426" s="168" t="n"/>
      <c r="M426" s="75">
        <f>_xlfn.XLOOKUP(L426,list_vat[Страна],list_vat[Ставка НДС %],0,0)</f>
        <v/>
      </c>
      <c r="N426" s="162">
        <f>IFERROR(IF(L426="Китай",K426,K426/(1+M426)),0)</f>
        <v/>
      </c>
      <c r="O426" s="169" t="n"/>
      <c r="P426" s="76">
        <f>N426*(1-O426)</f>
        <v/>
      </c>
      <c r="Q426" s="162" t="n"/>
      <c r="R426" s="162">
        <f>IF(ISBLANK(Q426),"введи курс",P426/Q426)</f>
        <v/>
      </c>
      <c r="S426" s="196">
        <f>IF(AND(ISNUMBER(E426),ISNUMBER(Q426)),E426*R426,0)</f>
        <v/>
      </c>
      <c r="T426" s="192">
        <f>$BC426*V$11</f>
        <v/>
      </c>
      <c r="U426" s="76">
        <f>$BC426*W$11</f>
        <v/>
      </c>
      <c r="V426" s="193">
        <f>+SUM(T426:U426)</f>
        <v/>
      </c>
      <c r="W426" s="191" t="n"/>
      <c r="X426" s="170" t="n"/>
      <c r="Y426" s="76">
        <f>ROUND(IF(offer_incoterms="DDP",X426*(S426*(1+AW426)+T426),0),2)</f>
        <v/>
      </c>
      <c r="Z426" s="188" t="n"/>
      <c r="AA426" s="192">
        <f>IFERROR(AB426/E426,0)</f>
        <v/>
      </c>
      <c r="AB426" s="76">
        <f>ROUND(SUM(S426,V426,Y426:Z426,BA426:BB426),2)</f>
        <v/>
      </c>
      <c r="AC426" s="797" t="n"/>
      <c r="AD426" s="192">
        <f t="array" ref="AD426">IFERROR(ROUND((_xlfn.IFS(offer_sale_type="поставка",AB426,offer_sale_type="транзит",S426)*(1+AC426))/E426,2),0)</f>
        <v/>
      </c>
      <c r="AE426" s="76">
        <f>AD426*E426</f>
        <v/>
      </c>
      <c r="AF426" s="193">
        <f t="array" ref="AF426">IFERROR(ROUND(_xlfn.IFS(offer_sale_type="поставка",AB426,offer_sale_type="транзит",S426)*AC426,2),0)</f>
        <v/>
      </c>
      <c r="AG426" s="192">
        <f>$BD426*VLOOKUP($AG$3,$AF$4:$AG$7,2,FALSE)</f>
        <v/>
      </c>
      <c r="AH426" s="76">
        <f>SUM(AE426,AG426,AI426)*rate_forex_risk</f>
        <v/>
      </c>
      <c r="AI426" s="193">
        <f>IF(OR(seller_region="TR",offer_sale_type="экспорт"),0,rate_fin_comm)*SUM(AZ426,AZ426*AW426,T426)</f>
        <v/>
      </c>
      <c r="AJ426" s="118">
        <f>IFERROR(ROUND(SUM(AB426,AF426:AI426)/E426,2),0)</f>
        <v/>
      </c>
      <c r="AK426" s="76">
        <f>AJ426*E426</f>
        <v/>
      </c>
      <c r="AL426" s="174">
        <f>ROUND(IFERROR(AM426*E426,0),2)</f>
        <v/>
      </c>
      <c r="AM426" s="175">
        <f>ROUND(AJ426*(1+IF(offer_incoterms="DDP",IF((TODAY()+offer_turnaround_time)&gt;=helpsheet!$L$17,rate_vatRU_from_26,rate_vatRu_till_25),0)),2)</f>
        <v/>
      </c>
      <c r="AN426" s="192">
        <f>AL426-AK426</f>
        <v/>
      </c>
      <c r="AO426" s="76">
        <f>SUM(AY426,Y426:Z426,T426)*IF(AND(offer_incoterms="DDP",offer_sale_type&lt;&gt;"экспорт"),IF((TODAY()+offer_turnaround_time)&gt;=helpsheet!$L$17,rate_vatRU_from_26,rate_vatRu_till_25),0)</f>
        <v/>
      </c>
      <c r="AP426" s="193">
        <f>AN426-AO426</f>
        <v/>
      </c>
      <c r="AQ426" s="118">
        <f>IF(offer_sale_type="транзит",SUM(AF426:AI426,BA426,BB426),0)</f>
        <v/>
      </c>
      <c r="AR426" s="82">
        <f>HYPERLINK("https://www.alta.ru/tnved/code/")&amp;W426&amp;"/"</f>
        <v/>
      </c>
      <c r="AS426" s="157" t="n"/>
      <c r="AT426" s="162" t="n"/>
      <c r="AU426" s="76">
        <f>IF(ISBLANK(AT426),0,AJ426-AT426)</f>
        <v/>
      </c>
      <c r="AV426" s="157" t="n"/>
      <c r="AW426" s="75">
        <f>_xlfn.IFNA(VLOOKUP(L426,list_vat[],3,FALSE),0)</f>
        <v/>
      </c>
      <c r="AX426" s="76">
        <f>IFERROR(ROUND(S426*(1+AW426)/E426,2),0)</f>
        <v/>
      </c>
      <c r="AY426" s="76">
        <f>E426*AX426</f>
        <v/>
      </c>
      <c r="AZ426" s="192">
        <f>S426*(1+M426)</f>
        <v/>
      </c>
      <c r="BA426" s="76">
        <f>cost_fin_total*$BD426</f>
        <v/>
      </c>
      <c r="BB426" s="193">
        <f>credit_sales_interest*BD426</f>
        <v/>
      </c>
      <c r="BC426" s="102">
        <f>IFERROR(IF($I$13&gt;0,$I426/$I$13,$S426/$S$13),0)</f>
        <v/>
      </c>
      <c r="BD426" s="102">
        <f>IFERROR($S426/$S$13,0)</f>
        <v/>
      </c>
      <c r="BE426" s="413" t="inlineStr">
        <is>
          <t>$</t>
        </is>
      </c>
    </row>
    <row r="427" ht="12" customFormat="1" customHeight="1" s="65">
      <c r="A427" s="43" t="n">
        <v>412</v>
      </c>
      <c r="B427" s="166" t="n"/>
      <c r="C427" s="166" t="n"/>
      <c r="D427" s="166" t="n"/>
      <c r="E427" s="162" t="n"/>
      <c r="F427" s="166" t="n"/>
      <c r="G427" s="162" t="n"/>
      <c r="H427" s="162" t="n"/>
      <c r="I427" s="189">
        <f>E427*G427</f>
        <v/>
      </c>
      <c r="J427" s="195" t="n"/>
      <c r="K427" s="162" t="n"/>
      <c r="L427" s="168" t="n"/>
      <c r="M427" s="75">
        <f>_xlfn.XLOOKUP(L427,list_vat[Страна],list_vat[Ставка НДС %],0,0)</f>
        <v/>
      </c>
      <c r="N427" s="162">
        <f>IFERROR(IF(L427="Китай",K427,K427/(1+M427)),0)</f>
        <v/>
      </c>
      <c r="O427" s="169" t="n"/>
      <c r="P427" s="76">
        <f>N427*(1-O427)</f>
        <v/>
      </c>
      <c r="Q427" s="162" t="n"/>
      <c r="R427" s="162">
        <f>IF(ISBLANK(Q427),"введи курс",P427/Q427)</f>
        <v/>
      </c>
      <c r="S427" s="196">
        <f>IF(AND(ISNUMBER(E427),ISNUMBER(Q427)),E427*R427,0)</f>
        <v/>
      </c>
      <c r="T427" s="192">
        <f>$BC427*V$11</f>
        <v/>
      </c>
      <c r="U427" s="76">
        <f>$BC427*W$11</f>
        <v/>
      </c>
      <c r="V427" s="193">
        <f>+SUM(T427:U427)</f>
        <v/>
      </c>
      <c r="W427" s="191" t="n"/>
      <c r="X427" s="170" t="n"/>
      <c r="Y427" s="76">
        <f>ROUND(IF(offer_incoterms="DDP",X427*(S427*(1+AW427)+T427),0),2)</f>
        <v/>
      </c>
      <c r="Z427" s="188" t="n"/>
      <c r="AA427" s="192">
        <f>IFERROR(AB427/E427,0)</f>
        <v/>
      </c>
      <c r="AB427" s="76">
        <f>ROUND(SUM(S427,V427,Y427:Z427,BA427:BB427),2)</f>
        <v/>
      </c>
      <c r="AC427" s="797" t="n"/>
      <c r="AD427" s="192">
        <f t="array" ref="AD427">IFERROR(ROUND((_xlfn.IFS(offer_sale_type="поставка",AB427,offer_sale_type="транзит",S427)*(1+AC427))/E427,2),0)</f>
        <v/>
      </c>
      <c r="AE427" s="76">
        <f>AD427*E427</f>
        <v/>
      </c>
      <c r="AF427" s="193">
        <f t="array" ref="AF427">IFERROR(ROUND(_xlfn.IFS(offer_sale_type="поставка",AB427,offer_sale_type="транзит",S427)*AC427,2),0)</f>
        <v/>
      </c>
      <c r="AG427" s="192">
        <f>$BD427*VLOOKUP($AG$3,$AF$4:$AG$7,2,FALSE)</f>
        <v/>
      </c>
      <c r="AH427" s="76">
        <f>SUM(AE427,AG427,AI427)*rate_forex_risk</f>
        <v/>
      </c>
      <c r="AI427" s="193">
        <f>IF(OR(seller_region="TR",offer_sale_type="экспорт"),0,rate_fin_comm)*SUM(AZ427,AZ427*AW427,T427)</f>
        <v/>
      </c>
      <c r="AJ427" s="118">
        <f>IFERROR(ROUND(SUM(AB427,AF427:AI427)/E427,2),0)</f>
        <v/>
      </c>
      <c r="AK427" s="76">
        <f>AJ427*E427</f>
        <v/>
      </c>
      <c r="AL427" s="174">
        <f>ROUND(IFERROR(AM427*E427,0),2)</f>
        <v/>
      </c>
      <c r="AM427" s="175">
        <f>ROUND(AJ427*(1+IF(offer_incoterms="DDP",IF((TODAY()+offer_turnaround_time)&gt;=helpsheet!$L$17,rate_vatRU_from_26,rate_vatRu_till_25),0)),2)</f>
        <v/>
      </c>
      <c r="AN427" s="192">
        <f>AL427-AK427</f>
        <v/>
      </c>
      <c r="AO427" s="76">
        <f>SUM(AY427,Y427:Z427,T427)*IF(AND(offer_incoterms="DDP",offer_sale_type&lt;&gt;"экспорт"),IF((TODAY()+offer_turnaround_time)&gt;=helpsheet!$L$17,rate_vatRU_from_26,rate_vatRu_till_25),0)</f>
        <v/>
      </c>
      <c r="AP427" s="193">
        <f>AN427-AO427</f>
        <v/>
      </c>
      <c r="AQ427" s="118">
        <f>IF(offer_sale_type="транзит",SUM(AF427:AI427,BA427,BB427),0)</f>
        <v/>
      </c>
      <c r="AR427" s="82">
        <f>HYPERLINK("https://www.alta.ru/tnved/code/")&amp;W427&amp;"/"</f>
        <v/>
      </c>
      <c r="AS427" s="157" t="n"/>
      <c r="AT427" s="162" t="n"/>
      <c r="AU427" s="76">
        <f>IF(ISBLANK(AT427),0,AJ427-AT427)</f>
        <v/>
      </c>
      <c r="AV427" s="157" t="n"/>
      <c r="AW427" s="75">
        <f>_xlfn.IFNA(VLOOKUP(L427,list_vat[],3,FALSE),0)</f>
        <v/>
      </c>
      <c r="AX427" s="76">
        <f>IFERROR(ROUND(S427*(1+AW427)/E427,2),0)</f>
        <v/>
      </c>
      <c r="AY427" s="76">
        <f>E427*AX427</f>
        <v/>
      </c>
      <c r="AZ427" s="192">
        <f>S427*(1+M427)</f>
        <v/>
      </c>
      <c r="BA427" s="76">
        <f>cost_fin_total*$BD427</f>
        <v/>
      </c>
      <c r="BB427" s="193">
        <f>credit_sales_interest*BD427</f>
        <v/>
      </c>
      <c r="BC427" s="102">
        <f>IFERROR(IF($I$13&gt;0,$I427/$I$13,$S427/$S$13),0)</f>
        <v/>
      </c>
      <c r="BD427" s="102">
        <f>IFERROR($S427/$S$13,0)</f>
        <v/>
      </c>
      <c r="BE427" s="413" t="inlineStr">
        <is>
          <t>$</t>
        </is>
      </c>
    </row>
    <row r="428" ht="12" customFormat="1" customHeight="1" s="65">
      <c r="A428" s="43" t="n">
        <v>413</v>
      </c>
      <c r="B428" s="166" t="n"/>
      <c r="C428" s="166" t="n"/>
      <c r="D428" s="166" t="n"/>
      <c r="E428" s="162" t="n"/>
      <c r="F428" s="166" t="n"/>
      <c r="G428" s="162" t="n"/>
      <c r="H428" s="162" t="n"/>
      <c r="I428" s="189">
        <f>E428*G428</f>
        <v/>
      </c>
      <c r="J428" s="195" t="n"/>
      <c r="K428" s="162" t="n"/>
      <c r="L428" s="168" t="n"/>
      <c r="M428" s="75">
        <f>_xlfn.XLOOKUP(L428,list_vat[Страна],list_vat[Ставка НДС %],0,0)</f>
        <v/>
      </c>
      <c r="N428" s="162">
        <f>IFERROR(IF(L428="Китай",K428,K428/(1+M428)),0)</f>
        <v/>
      </c>
      <c r="O428" s="169" t="n"/>
      <c r="P428" s="76">
        <f>N428*(1-O428)</f>
        <v/>
      </c>
      <c r="Q428" s="162" t="n"/>
      <c r="R428" s="162">
        <f>IF(ISBLANK(Q428),"введи курс",P428/Q428)</f>
        <v/>
      </c>
      <c r="S428" s="196">
        <f>IF(AND(ISNUMBER(E428),ISNUMBER(Q428)),E428*R428,0)</f>
        <v/>
      </c>
      <c r="T428" s="192">
        <f>$BC428*V$11</f>
        <v/>
      </c>
      <c r="U428" s="76">
        <f>$BC428*W$11</f>
        <v/>
      </c>
      <c r="V428" s="193">
        <f>+SUM(T428:U428)</f>
        <v/>
      </c>
      <c r="W428" s="191" t="n"/>
      <c r="X428" s="170" t="n"/>
      <c r="Y428" s="76">
        <f>ROUND(IF(offer_incoterms="DDP",X428*(S428*(1+AW428)+T428),0),2)</f>
        <v/>
      </c>
      <c r="Z428" s="188" t="n"/>
      <c r="AA428" s="192">
        <f>IFERROR(AB428/E428,0)</f>
        <v/>
      </c>
      <c r="AB428" s="76">
        <f>ROUND(SUM(S428,V428,Y428:Z428,BA428:BB428),2)</f>
        <v/>
      </c>
      <c r="AC428" s="797" t="n"/>
      <c r="AD428" s="192">
        <f t="array" ref="AD428">IFERROR(ROUND((_xlfn.IFS(offer_sale_type="поставка",AB428,offer_sale_type="транзит",S428)*(1+AC428))/E428,2),0)</f>
        <v/>
      </c>
      <c r="AE428" s="76">
        <f>AD428*E428</f>
        <v/>
      </c>
      <c r="AF428" s="193">
        <f t="array" ref="AF428">IFERROR(ROUND(_xlfn.IFS(offer_sale_type="поставка",AB428,offer_sale_type="транзит",S428)*AC428,2),0)</f>
        <v/>
      </c>
      <c r="AG428" s="192">
        <f>$BD428*VLOOKUP($AG$3,$AF$4:$AG$7,2,FALSE)</f>
        <v/>
      </c>
      <c r="AH428" s="76">
        <f>SUM(AE428,AG428,AI428)*rate_forex_risk</f>
        <v/>
      </c>
      <c r="AI428" s="193">
        <f>IF(OR(seller_region="TR",offer_sale_type="экспорт"),0,rate_fin_comm)*SUM(AZ428,AZ428*AW428,T428)</f>
        <v/>
      </c>
      <c r="AJ428" s="118">
        <f>IFERROR(ROUND(SUM(AB428,AF428:AI428)/E428,2),0)</f>
        <v/>
      </c>
      <c r="AK428" s="76">
        <f>AJ428*E428</f>
        <v/>
      </c>
      <c r="AL428" s="174">
        <f>ROUND(IFERROR(AM428*E428,0),2)</f>
        <v/>
      </c>
      <c r="AM428" s="175">
        <f>ROUND(AJ428*(1+IF(offer_incoterms="DDP",IF((TODAY()+offer_turnaround_time)&gt;=helpsheet!$L$17,rate_vatRU_from_26,rate_vatRu_till_25),0)),2)</f>
        <v/>
      </c>
      <c r="AN428" s="192">
        <f>AL428-AK428</f>
        <v/>
      </c>
      <c r="AO428" s="76">
        <f>SUM(AY428,Y428:Z428,T428)*IF(AND(offer_incoterms="DDP",offer_sale_type&lt;&gt;"экспорт"),IF((TODAY()+offer_turnaround_time)&gt;=helpsheet!$L$17,rate_vatRU_from_26,rate_vatRu_till_25),0)</f>
        <v/>
      </c>
      <c r="AP428" s="193">
        <f>AN428-AO428</f>
        <v/>
      </c>
      <c r="AQ428" s="118">
        <f>IF(offer_sale_type="транзит",SUM(AF428:AI428,BA428,BB428),0)</f>
        <v/>
      </c>
      <c r="AR428" s="82">
        <f>HYPERLINK("https://www.alta.ru/tnved/code/")&amp;W428&amp;"/"</f>
        <v/>
      </c>
      <c r="AS428" s="157" t="n"/>
      <c r="AT428" s="162" t="n"/>
      <c r="AU428" s="76">
        <f>IF(ISBLANK(AT428),0,AJ428-AT428)</f>
        <v/>
      </c>
      <c r="AV428" s="157" t="n"/>
      <c r="AW428" s="75">
        <f>_xlfn.IFNA(VLOOKUP(L428,list_vat[],3,FALSE),0)</f>
        <v/>
      </c>
      <c r="AX428" s="76">
        <f>IFERROR(ROUND(S428*(1+AW428)/E428,2),0)</f>
        <v/>
      </c>
      <c r="AY428" s="76">
        <f>E428*AX428</f>
        <v/>
      </c>
      <c r="AZ428" s="192">
        <f>S428*(1+M428)</f>
        <v/>
      </c>
      <c r="BA428" s="76">
        <f>cost_fin_total*$BD428</f>
        <v/>
      </c>
      <c r="BB428" s="193">
        <f>credit_sales_interest*BD428</f>
        <v/>
      </c>
      <c r="BC428" s="102">
        <f>IFERROR(IF($I$13&gt;0,$I428/$I$13,$S428/$S$13),0)</f>
        <v/>
      </c>
      <c r="BD428" s="102">
        <f>IFERROR($S428/$S$13,0)</f>
        <v/>
      </c>
      <c r="BE428" s="413" t="inlineStr">
        <is>
          <t>$</t>
        </is>
      </c>
    </row>
    <row r="429" ht="12" customFormat="1" customHeight="1" s="65">
      <c r="A429" s="43" t="n">
        <v>414</v>
      </c>
      <c r="B429" s="166" t="n"/>
      <c r="C429" s="166" t="n"/>
      <c r="D429" s="166" t="n"/>
      <c r="E429" s="162" t="n"/>
      <c r="F429" s="166" t="n"/>
      <c r="G429" s="162" t="n"/>
      <c r="H429" s="162" t="n"/>
      <c r="I429" s="189">
        <f>E429*G429</f>
        <v/>
      </c>
      <c r="J429" s="195" t="n"/>
      <c r="K429" s="162" t="n"/>
      <c r="L429" s="168" t="n"/>
      <c r="M429" s="75">
        <f>_xlfn.XLOOKUP(L429,list_vat[Страна],list_vat[Ставка НДС %],0,0)</f>
        <v/>
      </c>
      <c r="N429" s="162">
        <f>IFERROR(IF(L429="Китай",K429,K429/(1+M429)),0)</f>
        <v/>
      </c>
      <c r="O429" s="169" t="n"/>
      <c r="P429" s="76">
        <f>N429*(1-O429)</f>
        <v/>
      </c>
      <c r="Q429" s="162" t="n"/>
      <c r="R429" s="162">
        <f>IF(ISBLANK(Q429),"введи курс",P429/Q429)</f>
        <v/>
      </c>
      <c r="S429" s="196">
        <f>IF(AND(ISNUMBER(E429),ISNUMBER(Q429)),E429*R429,0)</f>
        <v/>
      </c>
      <c r="T429" s="192">
        <f>$BC429*V$11</f>
        <v/>
      </c>
      <c r="U429" s="76">
        <f>$BC429*W$11</f>
        <v/>
      </c>
      <c r="V429" s="193">
        <f>+SUM(T429:U429)</f>
        <v/>
      </c>
      <c r="W429" s="191" t="n"/>
      <c r="X429" s="170" t="n"/>
      <c r="Y429" s="76">
        <f>ROUND(IF(offer_incoterms="DDP",X429*(S429*(1+AW429)+T429),0),2)</f>
        <v/>
      </c>
      <c r="Z429" s="188" t="n"/>
      <c r="AA429" s="192">
        <f>IFERROR(AB429/E429,0)</f>
        <v/>
      </c>
      <c r="AB429" s="76">
        <f>ROUND(SUM(S429,V429,Y429:Z429,BA429:BB429),2)</f>
        <v/>
      </c>
      <c r="AC429" s="797" t="n"/>
      <c r="AD429" s="192">
        <f t="array" ref="AD429">IFERROR(ROUND((_xlfn.IFS(offer_sale_type="поставка",AB429,offer_sale_type="транзит",S429)*(1+AC429))/E429,2),0)</f>
        <v/>
      </c>
      <c r="AE429" s="76">
        <f>AD429*E429</f>
        <v/>
      </c>
      <c r="AF429" s="193">
        <f t="array" ref="AF429">IFERROR(ROUND(_xlfn.IFS(offer_sale_type="поставка",AB429,offer_sale_type="транзит",S429)*AC429,2),0)</f>
        <v/>
      </c>
      <c r="AG429" s="192">
        <f>$BD429*VLOOKUP($AG$3,$AF$4:$AG$7,2,FALSE)</f>
        <v/>
      </c>
      <c r="AH429" s="76">
        <f>SUM(AE429,AG429,AI429)*rate_forex_risk</f>
        <v/>
      </c>
      <c r="AI429" s="193">
        <f>IF(OR(seller_region="TR",offer_sale_type="экспорт"),0,rate_fin_comm)*SUM(AZ429,AZ429*AW429,T429)</f>
        <v/>
      </c>
      <c r="AJ429" s="118">
        <f>IFERROR(ROUND(SUM(AB429,AF429:AI429)/E429,2),0)</f>
        <v/>
      </c>
      <c r="AK429" s="76">
        <f>AJ429*E429</f>
        <v/>
      </c>
      <c r="AL429" s="174">
        <f>ROUND(IFERROR(AM429*E429,0),2)</f>
        <v/>
      </c>
      <c r="AM429" s="175">
        <f>ROUND(AJ429*(1+IF(offer_incoterms="DDP",IF((TODAY()+offer_turnaround_time)&gt;=helpsheet!$L$17,rate_vatRU_from_26,rate_vatRu_till_25),0)),2)</f>
        <v/>
      </c>
      <c r="AN429" s="192">
        <f>AL429-AK429</f>
        <v/>
      </c>
      <c r="AO429" s="76">
        <f>SUM(AY429,Y429:Z429,T429)*IF(AND(offer_incoterms="DDP",offer_sale_type&lt;&gt;"экспорт"),IF((TODAY()+offer_turnaround_time)&gt;=helpsheet!$L$17,rate_vatRU_from_26,rate_vatRu_till_25),0)</f>
        <v/>
      </c>
      <c r="AP429" s="193">
        <f>AN429-AO429</f>
        <v/>
      </c>
      <c r="AQ429" s="118">
        <f>IF(offer_sale_type="транзит",SUM(AF429:AI429,BA429,BB429),0)</f>
        <v/>
      </c>
      <c r="AR429" s="82">
        <f>HYPERLINK("https://www.alta.ru/tnved/code/")&amp;W429&amp;"/"</f>
        <v/>
      </c>
      <c r="AS429" s="157" t="n"/>
      <c r="AT429" s="162" t="n"/>
      <c r="AU429" s="76">
        <f>IF(ISBLANK(AT429),0,AJ429-AT429)</f>
        <v/>
      </c>
      <c r="AV429" s="157" t="n"/>
      <c r="AW429" s="75">
        <f>_xlfn.IFNA(VLOOKUP(L429,list_vat[],3,FALSE),0)</f>
        <v/>
      </c>
      <c r="AX429" s="76">
        <f>IFERROR(ROUND(S429*(1+AW429)/E429,2),0)</f>
        <v/>
      </c>
      <c r="AY429" s="76">
        <f>E429*AX429</f>
        <v/>
      </c>
      <c r="AZ429" s="192">
        <f>S429*(1+M429)</f>
        <v/>
      </c>
      <c r="BA429" s="76">
        <f>cost_fin_total*$BD429</f>
        <v/>
      </c>
      <c r="BB429" s="193">
        <f>credit_sales_interest*BD429</f>
        <v/>
      </c>
      <c r="BC429" s="102">
        <f>IFERROR(IF($I$13&gt;0,$I429/$I$13,$S429/$S$13),0)</f>
        <v/>
      </c>
      <c r="BD429" s="102">
        <f>IFERROR($S429/$S$13,0)</f>
        <v/>
      </c>
      <c r="BE429" s="413" t="inlineStr">
        <is>
          <t>$</t>
        </is>
      </c>
    </row>
    <row r="430" ht="12" customFormat="1" customHeight="1" s="65">
      <c r="A430" s="43" t="n">
        <v>415</v>
      </c>
      <c r="B430" s="166" t="n"/>
      <c r="C430" s="166" t="n"/>
      <c r="D430" s="166" t="n"/>
      <c r="E430" s="162" t="n"/>
      <c r="F430" s="166" t="n"/>
      <c r="G430" s="162" t="n"/>
      <c r="H430" s="162" t="n"/>
      <c r="I430" s="189">
        <f>E430*G430</f>
        <v/>
      </c>
      <c r="J430" s="195" t="n"/>
      <c r="K430" s="162" t="n"/>
      <c r="L430" s="168" t="n"/>
      <c r="M430" s="75">
        <f>_xlfn.XLOOKUP(L430,list_vat[Страна],list_vat[Ставка НДС %],0,0)</f>
        <v/>
      </c>
      <c r="N430" s="162">
        <f>IFERROR(IF(L430="Китай",K430,K430/(1+M430)),0)</f>
        <v/>
      </c>
      <c r="O430" s="169" t="n"/>
      <c r="P430" s="76">
        <f>N430*(1-O430)</f>
        <v/>
      </c>
      <c r="Q430" s="162" t="n"/>
      <c r="R430" s="162">
        <f>IF(ISBLANK(Q430),"введи курс",P430/Q430)</f>
        <v/>
      </c>
      <c r="S430" s="196">
        <f>IF(AND(ISNUMBER(E430),ISNUMBER(Q430)),E430*R430,0)</f>
        <v/>
      </c>
      <c r="T430" s="192">
        <f>$BC430*V$11</f>
        <v/>
      </c>
      <c r="U430" s="76">
        <f>$BC430*W$11</f>
        <v/>
      </c>
      <c r="V430" s="193">
        <f>+SUM(T430:U430)</f>
        <v/>
      </c>
      <c r="W430" s="191" t="n"/>
      <c r="X430" s="170" t="n"/>
      <c r="Y430" s="76">
        <f>ROUND(IF(offer_incoterms="DDP",X430*(S430*(1+AW430)+T430),0),2)</f>
        <v/>
      </c>
      <c r="Z430" s="188" t="n"/>
      <c r="AA430" s="192">
        <f>IFERROR(AB430/E430,0)</f>
        <v/>
      </c>
      <c r="AB430" s="76">
        <f>ROUND(SUM(S430,V430,Y430:Z430,BA430:BB430),2)</f>
        <v/>
      </c>
      <c r="AC430" s="797" t="n"/>
      <c r="AD430" s="192">
        <f t="array" ref="AD430">IFERROR(ROUND((_xlfn.IFS(offer_sale_type="поставка",AB430,offer_sale_type="транзит",S430)*(1+AC430))/E430,2),0)</f>
        <v/>
      </c>
      <c r="AE430" s="76">
        <f>AD430*E430</f>
        <v/>
      </c>
      <c r="AF430" s="193">
        <f t="array" ref="AF430">IFERROR(ROUND(_xlfn.IFS(offer_sale_type="поставка",AB430,offer_sale_type="транзит",S430)*AC430,2),0)</f>
        <v/>
      </c>
      <c r="AG430" s="192">
        <f>$BD430*VLOOKUP($AG$3,$AF$4:$AG$7,2,FALSE)</f>
        <v/>
      </c>
      <c r="AH430" s="76">
        <f>SUM(AE430,AG430,AI430)*rate_forex_risk</f>
        <v/>
      </c>
      <c r="AI430" s="193">
        <f>IF(OR(seller_region="TR",offer_sale_type="экспорт"),0,rate_fin_comm)*SUM(AZ430,AZ430*AW430,T430)</f>
        <v/>
      </c>
      <c r="AJ430" s="118">
        <f>IFERROR(ROUND(SUM(AB430,AF430:AI430)/E430,2),0)</f>
        <v/>
      </c>
      <c r="AK430" s="76">
        <f>AJ430*E430</f>
        <v/>
      </c>
      <c r="AL430" s="174">
        <f>ROUND(IFERROR(AM430*E430,0),2)</f>
        <v/>
      </c>
      <c r="AM430" s="175">
        <f>ROUND(AJ430*(1+IF(offer_incoterms="DDP",IF((TODAY()+offer_turnaround_time)&gt;=helpsheet!$L$17,rate_vatRU_from_26,rate_vatRu_till_25),0)),2)</f>
        <v/>
      </c>
      <c r="AN430" s="192">
        <f>AL430-AK430</f>
        <v/>
      </c>
      <c r="AO430" s="76">
        <f>SUM(AY430,Y430:Z430,T430)*IF(AND(offer_incoterms="DDP",offer_sale_type&lt;&gt;"экспорт"),IF((TODAY()+offer_turnaround_time)&gt;=helpsheet!$L$17,rate_vatRU_from_26,rate_vatRu_till_25),0)</f>
        <v/>
      </c>
      <c r="AP430" s="193">
        <f>AN430-AO430</f>
        <v/>
      </c>
      <c r="AQ430" s="118">
        <f>IF(offer_sale_type="транзит",SUM(AF430:AI430,BA430,BB430),0)</f>
        <v/>
      </c>
      <c r="AR430" s="82">
        <f>HYPERLINK("https://www.alta.ru/tnved/code/")&amp;W430&amp;"/"</f>
        <v/>
      </c>
      <c r="AS430" s="157" t="n"/>
      <c r="AT430" s="162" t="n"/>
      <c r="AU430" s="76">
        <f>IF(ISBLANK(AT430),0,AJ430-AT430)</f>
        <v/>
      </c>
      <c r="AV430" s="157" t="n"/>
      <c r="AW430" s="75">
        <f>_xlfn.IFNA(VLOOKUP(L430,list_vat[],3,FALSE),0)</f>
        <v/>
      </c>
      <c r="AX430" s="76">
        <f>IFERROR(ROUND(S430*(1+AW430)/E430,2),0)</f>
        <v/>
      </c>
      <c r="AY430" s="76">
        <f>E430*AX430</f>
        <v/>
      </c>
      <c r="AZ430" s="192">
        <f>S430*(1+M430)</f>
        <v/>
      </c>
      <c r="BA430" s="76">
        <f>cost_fin_total*$BD430</f>
        <v/>
      </c>
      <c r="BB430" s="193">
        <f>credit_sales_interest*BD430</f>
        <v/>
      </c>
      <c r="BC430" s="102">
        <f>IFERROR(IF($I$13&gt;0,$I430/$I$13,$S430/$S$13),0)</f>
        <v/>
      </c>
      <c r="BD430" s="102">
        <f>IFERROR($S430/$S$13,0)</f>
        <v/>
      </c>
      <c r="BE430" s="413" t="inlineStr">
        <is>
          <t>$</t>
        </is>
      </c>
    </row>
    <row r="431" ht="12" customFormat="1" customHeight="1" s="65">
      <c r="A431" s="43" t="n">
        <v>416</v>
      </c>
      <c r="B431" s="166" t="n"/>
      <c r="C431" s="166" t="n"/>
      <c r="D431" s="166" t="n"/>
      <c r="E431" s="162" t="n"/>
      <c r="F431" s="166" t="n"/>
      <c r="G431" s="162" t="n"/>
      <c r="H431" s="162" t="n"/>
      <c r="I431" s="189">
        <f>E431*G431</f>
        <v/>
      </c>
      <c r="J431" s="195" t="n"/>
      <c r="K431" s="162" t="n"/>
      <c r="L431" s="168" t="n"/>
      <c r="M431" s="75">
        <f>_xlfn.XLOOKUP(L431,list_vat[Страна],list_vat[Ставка НДС %],0,0)</f>
        <v/>
      </c>
      <c r="N431" s="162">
        <f>IFERROR(IF(L431="Китай",K431,K431/(1+M431)),0)</f>
        <v/>
      </c>
      <c r="O431" s="169" t="n"/>
      <c r="P431" s="76">
        <f>N431*(1-O431)</f>
        <v/>
      </c>
      <c r="Q431" s="162" t="n"/>
      <c r="R431" s="162">
        <f>IF(ISBLANK(Q431),"введи курс",P431/Q431)</f>
        <v/>
      </c>
      <c r="S431" s="196">
        <f>IF(AND(ISNUMBER(E431),ISNUMBER(Q431)),E431*R431,0)</f>
        <v/>
      </c>
      <c r="T431" s="192">
        <f>$BC431*V$11</f>
        <v/>
      </c>
      <c r="U431" s="76">
        <f>$BC431*W$11</f>
        <v/>
      </c>
      <c r="V431" s="193">
        <f>+SUM(T431:U431)</f>
        <v/>
      </c>
      <c r="W431" s="191" t="n"/>
      <c r="X431" s="170" t="n"/>
      <c r="Y431" s="76">
        <f>ROUND(IF(offer_incoterms="DDP",X431*(S431*(1+AW431)+T431),0),2)</f>
        <v/>
      </c>
      <c r="Z431" s="188" t="n"/>
      <c r="AA431" s="192">
        <f>IFERROR(AB431/E431,0)</f>
        <v/>
      </c>
      <c r="AB431" s="76">
        <f>ROUND(SUM(S431,V431,Y431:Z431,BA431:BB431),2)</f>
        <v/>
      </c>
      <c r="AC431" s="797" t="n"/>
      <c r="AD431" s="192">
        <f t="array" ref="AD431">IFERROR(ROUND((_xlfn.IFS(offer_sale_type="поставка",AB431,offer_sale_type="транзит",S431)*(1+AC431))/E431,2),0)</f>
        <v/>
      </c>
      <c r="AE431" s="76">
        <f>AD431*E431</f>
        <v/>
      </c>
      <c r="AF431" s="193">
        <f t="array" ref="AF431">IFERROR(ROUND(_xlfn.IFS(offer_sale_type="поставка",AB431,offer_sale_type="транзит",S431)*AC431,2),0)</f>
        <v/>
      </c>
      <c r="AG431" s="192">
        <f>$BD431*VLOOKUP($AG$3,$AF$4:$AG$7,2,FALSE)</f>
        <v/>
      </c>
      <c r="AH431" s="76">
        <f>SUM(AE431,AG431,AI431)*rate_forex_risk</f>
        <v/>
      </c>
      <c r="AI431" s="193">
        <f>IF(OR(seller_region="TR",offer_sale_type="экспорт"),0,rate_fin_comm)*SUM(AZ431,AZ431*AW431,T431)</f>
        <v/>
      </c>
      <c r="AJ431" s="118">
        <f>IFERROR(ROUND(SUM(AB431,AF431:AI431)/E431,2),0)</f>
        <v/>
      </c>
      <c r="AK431" s="76">
        <f>AJ431*E431</f>
        <v/>
      </c>
      <c r="AL431" s="174">
        <f>ROUND(IFERROR(AM431*E431,0),2)</f>
        <v/>
      </c>
      <c r="AM431" s="175">
        <f>ROUND(AJ431*(1+IF(offer_incoterms="DDP",IF((TODAY()+offer_turnaround_time)&gt;=helpsheet!$L$17,rate_vatRU_from_26,rate_vatRu_till_25),0)),2)</f>
        <v/>
      </c>
      <c r="AN431" s="192">
        <f>AL431-AK431</f>
        <v/>
      </c>
      <c r="AO431" s="76">
        <f>SUM(AY431,Y431:Z431,T431)*IF(AND(offer_incoterms="DDP",offer_sale_type&lt;&gt;"экспорт"),IF((TODAY()+offer_turnaround_time)&gt;=helpsheet!$L$17,rate_vatRU_from_26,rate_vatRu_till_25),0)</f>
        <v/>
      </c>
      <c r="AP431" s="193">
        <f>AN431-AO431</f>
        <v/>
      </c>
      <c r="AQ431" s="118">
        <f>IF(offer_sale_type="транзит",SUM(AF431:AI431,BA431,BB431),0)</f>
        <v/>
      </c>
      <c r="AR431" s="82">
        <f>HYPERLINK("https://www.alta.ru/tnved/code/")&amp;W431&amp;"/"</f>
        <v/>
      </c>
      <c r="AS431" s="157" t="n"/>
      <c r="AT431" s="162" t="n"/>
      <c r="AU431" s="76">
        <f>IF(ISBLANK(AT431),0,AJ431-AT431)</f>
        <v/>
      </c>
      <c r="AV431" s="157" t="n"/>
      <c r="AW431" s="75">
        <f>_xlfn.IFNA(VLOOKUP(L431,list_vat[],3,FALSE),0)</f>
        <v/>
      </c>
      <c r="AX431" s="76">
        <f>IFERROR(ROUND(S431*(1+AW431)/E431,2),0)</f>
        <v/>
      </c>
      <c r="AY431" s="76">
        <f>E431*AX431</f>
        <v/>
      </c>
      <c r="AZ431" s="192">
        <f>S431*(1+M431)</f>
        <v/>
      </c>
      <c r="BA431" s="76">
        <f>cost_fin_total*$BD431</f>
        <v/>
      </c>
      <c r="BB431" s="193">
        <f>credit_sales_interest*BD431</f>
        <v/>
      </c>
      <c r="BC431" s="102">
        <f>IFERROR(IF($I$13&gt;0,$I431/$I$13,$S431/$S$13),0)</f>
        <v/>
      </c>
      <c r="BD431" s="102">
        <f>IFERROR($S431/$S$13,0)</f>
        <v/>
      </c>
      <c r="BE431" s="413" t="inlineStr">
        <is>
          <t>$</t>
        </is>
      </c>
    </row>
    <row r="432" ht="12" customFormat="1" customHeight="1" s="65">
      <c r="A432" s="43" t="n">
        <v>417</v>
      </c>
      <c r="B432" s="166" t="n"/>
      <c r="C432" s="166" t="n"/>
      <c r="D432" s="166" t="n"/>
      <c r="E432" s="162" t="n"/>
      <c r="F432" s="166" t="n"/>
      <c r="G432" s="162" t="n"/>
      <c r="H432" s="162" t="n"/>
      <c r="I432" s="189">
        <f>E432*G432</f>
        <v/>
      </c>
      <c r="J432" s="195" t="n"/>
      <c r="K432" s="162" t="n"/>
      <c r="L432" s="168" t="n"/>
      <c r="M432" s="75">
        <f>_xlfn.XLOOKUP(L432,list_vat[Страна],list_vat[Ставка НДС %],0,0)</f>
        <v/>
      </c>
      <c r="N432" s="162">
        <f>IFERROR(IF(L432="Китай",K432,K432/(1+M432)),0)</f>
        <v/>
      </c>
      <c r="O432" s="169" t="n"/>
      <c r="P432" s="76">
        <f>N432*(1-O432)</f>
        <v/>
      </c>
      <c r="Q432" s="162" t="n"/>
      <c r="R432" s="162">
        <f>IF(ISBLANK(Q432),"введи курс",P432/Q432)</f>
        <v/>
      </c>
      <c r="S432" s="196">
        <f>IF(AND(ISNUMBER(E432),ISNUMBER(Q432)),E432*R432,0)</f>
        <v/>
      </c>
      <c r="T432" s="192">
        <f>$BC432*V$11</f>
        <v/>
      </c>
      <c r="U432" s="76">
        <f>$BC432*W$11</f>
        <v/>
      </c>
      <c r="V432" s="193">
        <f>+SUM(T432:U432)</f>
        <v/>
      </c>
      <c r="W432" s="191" t="n"/>
      <c r="X432" s="170" t="n"/>
      <c r="Y432" s="76">
        <f>ROUND(IF(offer_incoterms="DDP",X432*(S432*(1+AW432)+T432),0),2)</f>
        <v/>
      </c>
      <c r="Z432" s="188" t="n"/>
      <c r="AA432" s="192">
        <f>IFERROR(AB432/E432,0)</f>
        <v/>
      </c>
      <c r="AB432" s="76">
        <f>ROUND(SUM(S432,V432,Y432:Z432,BA432:BB432),2)</f>
        <v/>
      </c>
      <c r="AC432" s="797" t="n"/>
      <c r="AD432" s="192">
        <f t="array" ref="AD432">IFERROR(ROUND((_xlfn.IFS(offer_sale_type="поставка",AB432,offer_sale_type="транзит",S432)*(1+AC432))/E432,2),0)</f>
        <v/>
      </c>
      <c r="AE432" s="76">
        <f>AD432*E432</f>
        <v/>
      </c>
      <c r="AF432" s="193">
        <f t="array" ref="AF432">IFERROR(ROUND(_xlfn.IFS(offer_sale_type="поставка",AB432,offer_sale_type="транзит",S432)*AC432,2),0)</f>
        <v/>
      </c>
      <c r="AG432" s="192">
        <f>$BD432*VLOOKUP($AG$3,$AF$4:$AG$7,2,FALSE)</f>
        <v/>
      </c>
      <c r="AH432" s="76">
        <f>SUM(AE432,AG432,AI432)*rate_forex_risk</f>
        <v/>
      </c>
      <c r="AI432" s="193">
        <f>IF(OR(seller_region="TR",offer_sale_type="экспорт"),0,rate_fin_comm)*SUM(AZ432,AZ432*AW432,T432)</f>
        <v/>
      </c>
      <c r="AJ432" s="118">
        <f>IFERROR(ROUND(SUM(AB432,AF432:AI432)/E432,2),0)</f>
        <v/>
      </c>
      <c r="AK432" s="76">
        <f>AJ432*E432</f>
        <v/>
      </c>
      <c r="AL432" s="174">
        <f>ROUND(IFERROR(AM432*E432,0),2)</f>
        <v/>
      </c>
      <c r="AM432" s="175">
        <f>ROUND(AJ432*(1+IF(offer_incoterms="DDP",IF((TODAY()+offer_turnaround_time)&gt;=helpsheet!$L$17,rate_vatRU_from_26,rate_vatRu_till_25),0)),2)</f>
        <v/>
      </c>
      <c r="AN432" s="192">
        <f>AL432-AK432</f>
        <v/>
      </c>
      <c r="AO432" s="76">
        <f>SUM(AY432,Y432:Z432,T432)*IF(AND(offer_incoterms="DDP",offer_sale_type&lt;&gt;"экспорт"),IF((TODAY()+offer_turnaround_time)&gt;=helpsheet!$L$17,rate_vatRU_from_26,rate_vatRu_till_25),0)</f>
        <v/>
      </c>
      <c r="AP432" s="193">
        <f>AN432-AO432</f>
        <v/>
      </c>
      <c r="AQ432" s="118">
        <f>IF(offer_sale_type="транзит",SUM(AF432:AI432,BA432,BB432),0)</f>
        <v/>
      </c>
      <c r="AR432" s="82">
        <f>HYPERLINK("https://www.alta.ru/tnved/code/")&amp;W432&amp;"/"</f>
        <v/>
      </c>
      <c r="AS432" s="157" t="n"/>
      <c r="AT432" s="162" t="n"/>
      <c r="AU432" s="76">
        <f>IF(ISBLANK(AT432),0,AJ432-AT432)</f>
        <v/>
      </c>
      <c r="AV432" s="157" t="n"/>
      <c r="AW432" s="75">
        <f>_xlfn.IFNA(VLOOKUP(L432,list_vat[],3,FALSE),0)</f>
        <v/>
      </c>
      <c r="AX432" s="76">
        <f>IFERROR(ROUND(S432*(1+AW432)/E432,2),0)</f>
        <v/>
      </c>
      <c r="AY432" s="76">
        <f>E432*AX432</f>
        <v/>
      </c>
      <c r="AZ432" s="192">
        <f>S432*(1+M432)</f>
        <v/>
      </c>
      <c r="BA432" s="76">
        <f>cost_fin_total*$BD432</f>
        <v/>
      </c>
      <c r="BB432" s="193">
        <f>credit_sales_interest*BD432</f>
        <v/>
      </c>
      <c r="BC432" s="102">
        <f>IFERROR(IF($I$13&gt;0,$I432/$I$13,$S432/$S$13),0)</f>
        <v/>
      </c>
      <c r="BD432" s="102">
        <f>IFERROR($S432/$S$13,0)</f>
        <v/>
      </c>
      <c r="BE432" s="413" t="inlineStr">
        <is>
          <t>$</t>
        </is>
      </c>
    </row>
    <row r="433" ht="12" customFormat="1" customHeight="1" s="65">
      <c r="A433" s="43" t="n">
        <v>418</v>
      </c>
      <c r="B433" s="166" t="n"/>
      <c r="C433" s="166" t="n"/>
      <c r="D433" s="166" t="n"/>
      <c r="E433" s="162" t="n"/>
      <c r="F433" s="166" t="n"/>
      <c r="G433" s="162" t="n"/>
      <c r="H433" s="162" t="n"/>
      <c r="I433" s="189">
        <f>E433*G433</f>
        <v/>
      </c>
      <c r="J433" s="195" t="n"/>
      <c r="K433" s="162" t="n"/>
      <c r="L433" s="168" t="n"/>
      <c r="M433" s="75">
        <f>_xlfn.XLOOKUP(L433,list_vat[Страна],list_vat[Ставка НДС %],0,0)</f>
        <v/>
      </c>
      <c r="N433" s="162">
        <f>IFERROR(IF(L433="Китай",K433,K433/(1+M433)),0)</f>
        <v/>
      </c>
      <c r="O433" s="169" t="n"/>
      <c r="P433" s="76">
        <f>N433*(1-O433)</f>
        <v/>
      </c>
      <c r="Q433" s="162" t="n"/>
      <c r="R433" s="162">
        <f>IF(ISBLANK(Q433),"введи курс",P433/Q433)</f>
        <v/>
      </c>
      <c r="S433" s="196">
        <f>IF(AND(ISNUMBER(E433),ISNUMBER(Q433)),E433*R433,0)</f>
        <v/>
      </c>
      <c r="T433" s="192">
        <f>$BC433*V$11</f>
        <v/>
      </c>
      <c r="U433" s="76">
        <f>$BC433*W$11</f>
        <v/>
      </c>
      <c r="V433" s="193">
        <f>+SUM(T433:U433)</f>
        <v/>
      </c>
      <c r="W433" s="191" t="n"/>
      <c r="X433" s="170" t="n"/>
      <c r="Y433" s="76">
        <f>ROUND(IF(offer_incoterms="DDP",X433*(S433*(1+AW433)+T433),0),2)</f>
        <v/>
      </c>
      <c r="Z433" s="188" t="n"/>
      <c r="AA433" s="192">
        <f>IFERROR(AB433/E433,0)</f>
        <v/>
      </c>
      <c r="AB433" s="76">
        <f>ROUND(SUM(S433,V433,Y433:Z433,BA433:BB433),2)</f>
        <v/>
      </c>
      <c r="AC433" s="797" t="n"/>
      <c r="AD433" s="192">
        <f t="array" ref="AD433">IFERROR(ROUND((_xlfn.IFS(offer_sale_type="поставка",AB433,offer_sale_type="транзит",S433)*(1+AC433))/E433,2),0)</f>
        <v/>
      </c>
      <c r="AE433" s="76">
        <f>AD433*E433</f>
        <v/>
      </c>
      <c r="AF433" s="193">
        <f t="array" ref="AF433">IFERROR(ROUND(_xlfn.IFS(offer_sale_type="поставка",AB433,offer_sale_type="транзит",S433)*AC433,2),0)</f>
        <v/>
      </c>
      <c r="AG433" s="192">
        <f>$BD433*VLOOKUP($AG$3,$AF$4:$AG$7,2,FALSE)</f>
        <v/>
      </c>
      <c r="AH433" s="76">
        <f>SUM(AE433,AG433,AI433)*rate_forex_risk</f>
        <v/>
      </c>
      <c r="AI433" s="193">
        <f>IF(OR(seller_region="TR",offer_sale_type="экспорт"),0,rate_fin_comm)*SUM(AZ433,AZ433*AW433,T433)</f>
        <v/>
      </c>
      <c r="AJ433" s="118">
        <f>IFERROR(ROUND(SUM(AB433,AF433:AI433)/E433,2),0)</f>
        <v/>
      </c>
      <c r="AK433" s="76">
        <f>AJ433*E433</f>
        <v/>
      </c>
      <c r="AL433" s="174">
        <f>ROUND(IFERROR(AM433*E433,0),2)</f>
        <v/>
      </c>
      <c r="AM433" s="175">
        <f>ROUND(AJ433*(1+IF(offer_incoterms="DDP",IF((TODAY()+offer_turnaround_time)&gt;=helpsheet!$L$17,rate_vatRU_from_26,rate_vatRu_till_25),0)),2)</f>
        <v/>
      </c>
      <c r="AN433" s="192">
        <f>AL433-AK433</f>
        <v/>
      </c>
      <c r="AO433" s="76">
        <f>SUM(AY433,Y433:Z433,T433)*IF(AND(offer_incoterms="DDP",offer_sale_type&lt;&gt;"экспорт"),IF((TODAY()+offer_turnaround_time)&gt;=helpsheet!$L$17,rate_vatRU_from_26,rate_vatRu_till_25),0)</f>
        <v/>
      </c>
      <c r="AP433" s="193">
        <f>AN433-AO433</f>
        <v/>
      </c>
      <c r="AQ433" s="118">
        <f>IF(offer_sale_type="транзит",SUM(AF433:AI433,BA433,BB433),0)</f>
        <v/>
      </c>
      <c r="AR433" s="82">
        <f>HYPERLINK("https://www.alta.ru/tnved/code/")&amp;W433&amp;"/"</f>
        <v/>
      </c>
      <c r="AS433" s="157" t="n"/>
      <c r="AT433" s="162" t="n"/>
      <c r="AU433" s="76">
        <f>IF(ISBLANK(AT433),0,AJ433-AT433)</f>
        <v/>
      </c>
      <c r="AV433" s="157" t="n"/>
      <c r="AW433" s="75">
        <f>_xlfn.IFNA(VLOOKUP(L433,list_vat[],3,FALSE),0)</f>
        <v/>
      </c>
      <c r="AX433" s="76">
        <f>IFERROR(ROUND(S433*(1+AW433)/E433,2),0)</f>
        <v/>
      </c>
      <c r="AY433" s="76">
        <f>E433*AX433</f>
        <v/>
      </c>
      <c r="AZ433" s="192">
        <f>S433*(1+M433)</f>
        <v/>
      </c>
      <c r="BA433" s="76">
        <f>cost_fin_total*$BD433</f>
        <v/>
      </c>
      <c r="BB433" s="193">
        <f>credit_sales_interest*BD433</f>
        <v/>
      </c>
      <c r="BC433" s="102">
        <f>IFERROR(IF($I$13&gt;0,$I433/$I$13,$S433/$S$13),0)</f>
        <v/>
      </c>
      <c r="BD433" s="102">
        <f>IFERROR($S433/$S$13,0)</f>
        <v/>
      </c>
      <c r="BE433" s="413" t="inlineStr">
        <is>
          <t>$</t>
        </is>
      </c>
    </row>
    <row r="434" ht="12" customFormat="1" customHeight="1" s="65">
      <c r="A434" s="43" t="n">
        <v>419</v>
      </c>
      <c r="B434" s="166" t="n"/>
      <c r="C434" s="166" t="n"/>
      <c r="D434" s="166" t="n"/>
      <c r="E434" s="162" t="n"/>
      <c r="F434" s="166" t="n"/>
      <c r="G434" s="162" t="n"/>
      <c r="H434" s="162" t="n"/>
      <c r="I434" s="189">
        <f>E434*G434</f>
        <v/>
      </c>
      <c r="J434" s="195" t="n"/>
      <c r="K434" s="162" t="n"/>
      <c r="L434" s="168" t="n"/>
      <c r="M434" s="75">
        <f>_xlfn.XLOOKUP(L434,list_vat[Страна],list_vat[Ставка НДС %],0,0)</f>
        <v/>
      </c>
      <c r="N434" s="162">
        <f>IFERROR(IF(L434="Китай",K434,K434/(1+M434)),0)</f>
        <v/>
      </c>
      <c r="O434" s="169" t="n"/>
      <c r="P434" s="76">
        <f>N434*(1-O434)</f>
        <v/>
      </c>
      <c r="Q434" s="162" t="n"/>
      <c r="R434" s="162">
        <f>IF(ISBLANK(Q434),"введи курс",P434/Q434)</f>
        <v/>
      </c>
      <c r="S434" s="196">
        <f>IF(AND(ISNUMBER(E434),ISNUMBER(Q434)),E434*R434,0)</f>
        <v/>
      </c>
      <c r="T434" s="192">
        <f>$BC434*V$11</f>
        <v/>
      </c>
      <c r="U434" s="76">
        <f>$BC434*W$11</f>
        <v/>
      </c>
      <c r="V434" s="193">
        <f>+SUM(T434:U434)</f>
        <v/>
      </c>
      <c r="W434" s="191" t="n"/>
      <c r="X434" s="170" t="n"/>
      <c r="Y434" s="76">
        <f>ROUND(IF(offer_incoterms="DDP",X434*(S434*(1+AW434)+T434),0),2)</f>
        <v/>
      </c>
      <c r="Z434" s="188" t="n"/>
      <c r="AA434" s="192">
        <f>IFERROR(AB434/E434,0)</f>
        <v/>
      </c>
      <c r="AB434" s="76">
        <f>ROUND(SUM(S434,V434,Y434:Z434,BA434:BB434),2)</f>
        <v/>
      </c>
      <c r="AC434" s="797" t="n"/>
      <c r="AD434" s="192">
        <f t="array" ref="AD434">IFERROR(ROUND((_xlfn.IFS(offer_sale_type="поставка",AB434,offer_sale_type="транзит",S434)*(1+AC434))/E434,2),0)</f>
        <v/>
      </c>
      <c r="AE434" s="76">
        <f>AD434*E434</f>
        <v/>
      </c>
      <c r="AF434" s="193">
        <f t="array" ref="AF434">IFERROR(ROUND(_xlfn.IFS(offer_sale_type="поставка",AB434,offer_sale_type="транзит",S434)*AC434,2),0)</f>
        <v/>
      </c>
      <c r="AG434" s="192">
        <f>$BD434*VLOOKUP($AG$3,$AF$4:$AG$7,2,FALSE)</f>
        <v/>
      </c>
      <c r="AH434" s="76">
        <f>SUM(AE434,AG434,AI434)*rate_forex_risk</f>
        <v/>
      </c>
      <c r="AI434" s="193">
        <f>IF(OR(seller_region="TR",offer_sale_type="экспорт"),0,rate_fin_comm)*SUM(AZ434,AZ434*AW434,T434)</f>
        <v/>
      </c>
      <c r="AJ434" s="118">
        <f>IFERROR(ROUND(SUM(AB434,AF434:AI434)/E434,2),0)</f>
        <v/>
      </c>
      <c r="AK434" s="76">
        <f>AJ434*E434</f>
        <v/>
      </c>
      <c r="AL434" s="174">
        <f>ROUND(IFERROR(AM434*E434,0),2)</f>
        <v/>
      </c>
      <c r="AM434" s="175">
        <f>ROUND(AJ434*(1+IF(offer_incoterms="DDP",IF((TODAY()+offer_turnaround_time)&gt;=helpsheet!$L$17,rate_vatRU_from_26,rate_vatRu_till_25),0)),2)</f>
        <v/>
      </c>
      <c r="AN434" s="192">
        <f>AL434-AK434</f>
        <v/>
      </c>
      <c r="AO434" s="76">
        <f>SUM(AY434,Y434:Z434,T434)*IF(AND(offer_incoterms="DDP",offer_sale_type&lt;&gt;"экспорт"),IF((TODAY()+offer_turnaround_time)&gt;=helpsheet!$L$17,rate_vatRU_from_26,rate_vatRu_till_25),0)</f>
        <v/>
      </c>
      <c r="AP434" s="193">
        <f>AN434-AO434</f>
        <v/>
      </c>
      <c r="AQ434" s="118">
        <f>IF(offer_sale_type="транзит",SUM(AF434:AI434,BA434,BB434),0)</f>
        <v/>
      </c>
      <c r="AR434" s="82">
        <f>HYPERLINK("https://www.alta.ru/tnved/code/")&amp;W434&amp;"/"</f>
        <v/>
      </c>
      <c r="AS434" s="157" t="n"/>
      <c r="AT434" s="162" t="n"/>
      <c r="AU434" s="76">
        <f>IF(ISBLANK(AT434),0,AJ434-AT434)</f>
        <v/>
      </c>
      <c r="AV434" s="157" t="n"/>
      <c r="AW434" s="75">
        <f>_xlfn.IFNA(VLOOKUP(L434,list_vat[],3,FALSE),0)</f>
        <v/>
      </c>
      <c r="AX434" s="76">
        <f>IFERROR(ROUND(S434*(1+AW434)/E434,2),0)</f>
        <v/>
      </c>
      <c r="AY434" s="76">
        <f>E434*AX434</f>
        <v/>
      </c>
      <c r="AZ434" s="192">
        <f>S434*(1+M434)</f>
        <v/>
      </c>
      <c r="BA434" s="76">
        <f>cost_fin_total*$BD434</f>
        <v/>
      </c>
      <c r="BB434" s="193">
        <f>credit_sales_interest*BD434</f>
        <v/>
      </c>
      <c r="BC434" s="102">
        <f>IFERROR(IF($I$13&gt;0,$I434/$I$13,$S434/$S$13),0)</f>
        <v/>
      </c>
      <c r="BD434" s="102">
        <f>IFERROR($S434/$S$13,0)</f>
        <v/>
      </c>
      <c r="BE434" s="413" t="inlineStr">
        <is>
          <t>$</t>
        </is>
      </c>
    </row>
    <row r="435" ht="12" customFormat="1" customHeight="1" s="65">
      <c r="A435" s="43" t="n">
        <v>420</v>
      </c>
      <c r="B435" s="166" t="n"/>
      <c r="C435" s="166" t="n"/>
      <c r="D435" s="166" t="n"/>
      <c r="E435" s="162" t="n"/>
      <c r="F435" s="166" t="n"/>
      <c r="G435" s="162" t="n"/>
      <c r="H435" s="162" t="n"/>
      <c r="I435" s="189">
        <f>E435*G435</f>
        <v/>
      </c>
      <c r="J435" s="195" t="n"/>
      <c r="K435" s="162" t="n"/>
      <c r="L435" s="168" t="n"/>
      <c r="M435" s="75">
        <f>_xlfn.XLOOKUP(L435,list_vat[Страна],list_vat[Ставка НДС %],0,0)</f>
        <v/>
      </c>
      <c r="N435" s="162">
        <f>IFERROR(IF(L435="Китай",K435,K435/(1+M435)),0)</f>
        <v/>
      </c>
      <c r="O435" s="169" t="n"/>
      <c r="P435" s="76">
        <f>N435*(1-O435)</f>
        <v/>
      </c>
      <c r="Q435" s="162" t="n"/>
      <c r="R435" s="162">
        <f>IF(ISBLANK(Q435),"введи курс",P435/Q435)</f>
        <v/>
      </c>
      <c r="S435" s="196">
        <f>IF(AND(ISNUMBER(E435),ISNUMBER(Q435)),E435*R435,0)</f>
        <v/>
      </c>
      <c r="T435" s="192">
        <f>$BC435*V$11</f>
        <v/>
      </c>
      <c r="U435" s="76">
        <f>$BC435*W$11</f>
        <v/>
      </c>
      <c r="V435" s="193">
        <f>+SUM(T435:U435)</f>
        <v/>
      </c>
      <c r="W435" s="191" t="n"/>
      <c r="X435" s="170" t="n"/>
      <c r="Y435" s="76">
        <f>ROUND(IF(offer_incoterms="DDP",X435*(S435*(1+AW435)+T435),0),2)</f>
        <v/>
      </c>
      <c r="Z435" s="188" t="n"/>
      <c r="AA435" s="192">
        <f>IFERROR(AB435/E435,0)</f>
        <v/>
      </c>
      <c r="AB435" s="76">
        <f>ROUND(SUM(S435,V435,Y435:Z435,BA435:BB435),2)</f>
        <v/>
      </c>
      <c r="AC435" s="797" t="n"/>
      <c r="AD435" s="192">
        <f t="array" ref="AD435">IFERROR(ROUND((_xlfn.IFS(offer_sale_type="поставка",AB435,offer_sale_type="транзит",S435)*(1+AC435))/E435,2),0)</f>
        <v/>
      </c>
      <c r="AE435" s="76">
        <f>AD435*E435</f>
        <v/>
      </c>
      <c r="AF435" s="193">
        <f t="array" ref="AF435">IFERROR(ROUND(_xlfn.IFS(offer_sale_type="поставка",AB435,offer_sale_type="транзит",S435)*AC435,2),0)</f>
        <v/>
      </c>
      <c r="AG435" s="192">
        <f>$BD435*VLOOKUP($AG$3,$AF$4:$AG$7,2,FALSE)</f>
        <v/>
      </c>
      <c r="AH435" s="76">
        <f>SUM(AE435,AG435,AI435)*rate_forex_risk</f>
        <v/>
      </c>
      <c r="AI435" s="193">
        <f>IF(OR(seller_region="TR",offer_sale_type="экспорт"),0,rate_fin_comm)*SUM(AZ435,AZ435*AW435,T435)</f>
        <v/>
      </c>
      <c r="AJ435" s="118">
        <f>IFERROR(ROUND(SUM(AB435,AF435:AI435)/E435,2),0)</f>
        <v/>
      </c>
      <c r="AK435" s="76">
        <f>AJ435*E435</f>
        <v/>
      </c>
      <c r="AL435" s="174">
        <f>ROUND(IFERROR(AM435*E435,0),2)</f>
        <v/>
      </c>
      <c r="AM435" s="175">
        <f>ROUND(AJ435*(1+IF(offer_incoterms="DDP",IF((TODAY()+offer_turnaround_time)&gt;=helpsheet!$L$17,rate_vatRU_from_26,rate_vatRu_till_25),0)),2)</f>
        <v/>
      </c>
      <c r="AN435" s="192">
        <f>AL435-AK435</f>
        <v/>
      </c>
      <c r="AO435" s="76">
        <f>SUM(AY435,Y435:Z435,T435)*IF(AND(offer_incoterms="DDP",offer_sale_type&lt;&gt;"экспорт"),IF((TODAY()+offer_turnaround_time)&gt;=helpsheet!$L$17,rate_vatRU_from_26,rate_vatRu_till_25),0)</f>
        <v/>
      </c>
      <c r="AP435" s="193">
        <f>AN435-AO435</f>
        <v/>
      </c>
      <c r="AQ435" s="118">
        <f>IF(offer_sale_type="транзит",SUM(AF435:AI435,BA435,BB435),0)</f>
        <v/>
      </c>
      <c r="AR435" s="82">
        <f>HYPERLINK("https://www.alta.ru/tnved/code/")&amp;W435&amp;"/"</f>
        <v/>
      </c>
      <c r="AS435" s="157" t="n"/>
      <c r="AT435" s="162" t="n"/>
      <c r="AU435" s="76">
        <f>IF(ISBLANK(AT435),0,AJ435-AT435)</f>
        <v/>
      </c>
      <c r="AV435" s="157" t="n"/>
      <c r="AW435" s="75">
        <f>_xlfn.IFNA(VLOOKUP(L435,list_vat[],3,FALSE),0)</f>
        <v/>
      </c>
      <c r="AX435" s="76">
        <f>IFERROR(ROUND(S435*(1+AW435)/E435,2),0)</f>
        <v/>
      </c>
      <c r="AY435" s="76">
        <f>E435*AX435</f>
        <v/>
      </c>
      <c r="AZ435" s="192">
        <f>S435*(1+M435)</f>
        <v/>
      </c>
      <c r="BA435" s="76">
        <f>cost_fin_total*$BD435</f>
        <v/>
      </c>
      <c r="BB435" s="193">
        <f>credit_sales_interest*BD435</f>
        <v/>
      </c>
      <c r="BC435" s="102">
        <f>IFERROR(IF($I$13&gt;0,$I435/$I$13,$S435/$S$13),0)</f>
        <v/>
      </c>
      <c r="BD435" s="102">
        <f>IFERROR($S435/$S$13,0)</f>
        <v/>
      </c>
      <c r="BE435" s="413" t="inlineStr">
        <is>
          <t>$</t>
        </is>
      </c>
    </row>
    <row r="436" ht="12" customFormat="1" customHeight="1" s="65">
      <c r="A436" s="43" t="n">
        <v>421</v>
      </c>
      <c r="B436" s="166" t="n"/>
      <c r="C436" s="166" t="n"/>
      <c r="D436" s="166" t="n"/>
      <c r="E436" s="162" t="n"/>
      <c r="F436" s="166" t="n"/>
      <c r="G436" s="162" t="n"/>
      <c r="H436" s="162" t="n"/>
      <c r="I436" s="189">
        <f>E436*G436</f>
        <v/>
      </c>
      <c r="J436" s="195" t="n"/>
      <c r="K436" s="162" t="n"/>
      <c r="L436" s="168" t="n"/>
      <c r="M436" s="75">
        <f>_xlfn.XLOOKUP(L436,list_vat[Страна],list_vat[Ставка НДС %],0,0)</f>
        <v/>
      </c>
      <c r="N436" s="162">
        <f>IFERROR(IF(L436="Китай",K436,K436/(1+M436)),0)</f>
        <v/>
      </c>
      <c r="O436" s="169" t="n"/>
      <c r="P436" s="76">
        <f>N436*(1-O436)</f>
        <v/>
      </c>
      <c r="Q436" s="162" t="n"/>
      <c r="R436" s="162">
        <f>IF(ISBLANK(Q436),"введи курс",P436/Q436)</f>
        <v/>
      </c>
      <c r="S436" s="196">
        <f>IF(AND(ISNUMBER(E436),ISNUMBER(Q436)),E436*R436,0)</f>
        <v/>
      </c>
      <c r="T436" s="192">
        <f>$BC436*V$11</f>
        <v/>
      </c>
      <c r="U436" s="76">
        <f>$BC436*W$11</f>
        <v/>
      </c>
      <c r="V436" s="193">
        <f>+SUM(T436:U436)</f>
        <v/>
      </c>
      <c r="W436" s="191" t="n"/>
      <c r="X436" s="170" t="n"/>
      <c r="Y436" s="76">
        <f>ROUND(IF(offer_incoterms="DDP",X436*(S436*(1+AW436)+T436),0),2)</f>
        <v/>
      </c>
      <c r="Z436" s="188" t="n"/>
      <c r="AA436" s="192">
        <f>IFERROR(AB436/E436,0)</f>
        <v/>
      </c>
      <c r="AB436" s="76">
        <f>ROUND(SUM(S436,V436,Y436:Z436,BA436:BB436),2)</f>
        <v/>
      </c>
      <c r="AC436" s="797" t="n"/>
      <c r="AD436" s="192">
        <f t="array" ref="AD436">IFERROR(ROUND((_xlfn.IFS(offer_sale_type="поставка",AB436,offer_sale_type="транзит",S436)*(1+AC436))/E436,2),0)</f>
        <v/>
      </c>
      <c r="AE436" s="76">
        <f>AD436*E436</f>
        <v/>
      </c>
      <c r="AF436" s="193">
        <f t="array" ref="AF436">IFERROR(ROUND(_xlfn.IFS(offer_sale_type="поставка",AB436,offer_sale_type="транзит",S436)*AC436,2),0)</f>
        <v/>
      </c>
      <c r="AG436" s="192">
        <f>$BD436*VLOOKUP($AG$3,$AF$4:$AG$7,2,FALSE)</f>
        <v/>
      </c>
      <c r="AH436" s="76">
        <f>SUM(AE436,AG436,AI436)*rate_forex_risk</f>
        <v/>
      </c>
      <c r="AI436" s="193">
        <f>IF(OR(seller_region="TR",offer_sale_type="экспорт"),0,rate_fin_comm)*SUM(AZ436,AZ436*AW436,T436)</f>
        <v/>
      </c>
      <c r="AJ436" s="118">
        <f>IFERROR(ROUND(SUM(AB436,AF436:AI436)/E436,2),0)</f>
        <v/>
      </c>
      <c r="AK436" s="76">
        <f>AJ436*E436</f>
        <v/>
      </c>
      <c r="AL436" s="174">
        <f>ROUND(IFERROR(AM436*E436,0),2)</f>
        <v/>
      </c>
      <c r="AM436" s="175">
        <f>ROUND(AJ436*(1+IF(offer_incoterms="DDP",IF((TODAY()+offer_turnaround_time)&gt;=helpsheet!$L$17,rate_vatRU_from_26,rate_vatRu_till_25),0)),2)</f>
        <v/>
      </c>
      <c r="AN436" s="192">
        <f>AL436-AK436</f>
        <v/>
      </c>
      <c r="AO436" s="76">
        <f>SUM(AY436,Y436:Z436,T436)*IF(AND(offer_incoterms="DDP",offer_sale_type&lt;&gt;"экспорт"),IF((TODAY()+offer_turnaround_time)&gt;=helpsheet!$L$17,rate_vatRU_from_26,rate_vatRu_till_25),0)</f>
        <v/>
      </c>
      <c r="AP436" s="193">
        <f>AN436-AO436</f>
        <v/>
      </c>
      <c r="AQ436" s="118">
        <f>IF(offer_sale_type="транзит",SUM(AF436:AI436,BA436,BB436),0)</f>
        <v/>
      </c>
      <c r="AR436" s="82">
        <f>HYPERLINK("https://www.alta.ru/tnved/code/")&amp;W436&amp;"/"</f>
        <v/>
      </c>
      <c r="AS436" s="157" t="n"/>
      <c r="AT436" s="162" t="n"/>
      <c r="AU436" s="76">
        <f>IF(ISBLANK(AT436),0,AJ436-AT436)</f>
        <v/>
      </c>
      <c r="AV436" s="157" t="n"/>
      <c r="AW436" s="75">
        <f>_xlfn.IFNA(VLOOKUP(L436,list_vat[],3,FALSE),0)</f>
        <v/>
      </c>
      <c r="AX436" s="76">
        <f>IFERROR(ROUND(S436*(1+AW436)/E436,2),0)</f>
        <v/>
      </c>
      <c r="AY436" s="76">
        <f>E436*AX436</f>
        <v/>
      </c>
      <c r="AZ436" s="192">
        <f>S436*(1+M436)</f>
        <v/>
      </c>
      <c r="BA436" s="76">
        <f>cost_fin_total*$BD436</f>
        <v/>
      </c>
      <c r="BB436" s="193">
        <f>credit_sales_interest*BD436</f>
        <v/>
      </c>
      <c r="BC436" s="102">
        <f>IFERROR(IF($I$13&gt;0,$I436/$I$13,$S436/$S$13),0)</f>
        <v/>
      </c>
      <c r="BD436" s="102">
        <f>IFERROR($S436/$S$13,0)</f>
        <v/>
      </c>
      <c r="BE436" s="413" t="inlineStr">
        <is>
          <t>$</t>
        </is>
      </c>
    </row>
    <row r="437" ht="12" customFormat="1" customHeight="1" s="65">
      <c r="A437" s="43" t="n">
        <v>422</v>
      </c>
      <c r="B437" s="166" t="n"/>
      <c r="C437" s="166" t="n"/>
      <c r="D437" s="166" t="n"/>
      <c r="E437" s="162" t="n"/>
      <c r="F437" s="166" t="n"/>
      <c r="G437" s="162" t="n"/>
      <c r="H437" s="162" t="n"/>
      <c r="I437" s="189">
        <f>E437*G437</f>
        <v/>
      </c>
      <c r="J437" s="195" t="n"/>
      <c r="K437" s="162" t="n"/>
      <c r="L437" s="168" t="n"/>
      <c r="M437" s="75">
        <f>_xlfn.XLOOKUP(L437,list_vat[Страна],list_vat[Ставка НДС %],0,0)</f>
        <v/>
      </c>
      <c r="N437" s="162">
        <f>IFERROR(IF(L437="Китай",K437,K437/(1+M437)),0)</f>
        <v/>
      </c>
      <c r="O437" s="169" t="n"/>
      <c r="P437" s="76">
        <f>N437*(1-O437)</f>
        <v/>
      </c>
      <c r="Q437" s="162" t="n"/>
      <c r="R437" s="162">
        <f>IF(ISBLANK(Q437),"введи курс",P437/Q437)</f>
        <v/>
      </c>
      <c r="S437" s="196">
        <f>IF(AND(ISNUMBER(E437),ISNUMBER(Q437)),E437*R437,0)</f>
        <v/>
      </c>
      <c r="T437" s="192">
        <f>$BC437*V$11</f>
        <v/>
      </c>
      <c r="U437" s="76">
        <f>$BC437*W$11</f>
        <v/>
      </c>
      <c r="V437" s="193">
        <f>+SUM(T437:U437)</f>
        <v/>
      </c>
      <c r="W437" s="191" t="n"/>
      <c r="X437" s="170" t="n"/>
      <c r="Y437" s="76">
        <f>ROUND(IF(offer_incoterms="DDP",X437*(S437*(1+AW437)+T437),0),2)</f>
        <v/>
      </c>
      <c r="Z437" s="188" t="n"/>
      <c r="AA437" s="192">
        <f>IFERROR(AB437/E437,0)</f>
        <v/>
      </c>
      <c r="AB437" s="76">
        <f>ROUND(SUM(S437,V437,Y437:Z437,BA437:BB437),2)</f>
        <v/>
      </c>
      <c r="AC437" s="797" t="n"/>
      <c r="AD437" s="192">
        <f t="array" ref="AD437">IFERROR(ROUND((_xlfn.IFS(offer_sale_type="поставка",AB437,offer_sale_type="транзит",S437)*(1+AC437))/E437,2),0)</f>
        <v/>
      </c>
      <c r="AE437" s="76">
        <f>AD437*E437</f>
        <v/>
      </c>
      <c r="AF437" s="193">
        <f t="array" ref="AF437">IFERROR(ROUND(_xlfn.IFS(offer_sale_type="поставка",AB437,offer_sale_type="транзит",S437)*AC437,2),0)</f>
        <v/>
      </c>
      <c r="AG437" s="192">
        <f>$BD437*VLOOKUP($AG$3,$AF$4:$AG$7,2,FALSE)</f>
        <v/>
      </c>
      <c r="AH437" s="76">
        <f>SUM(AE437,AG437,AI437)*rate_forex_risk</f>
        <v/>
      </c>
      <c r="AI437" s="193">
        <f>IF(OR(seller_region="TR",offer_sale_type="экспорт"),0,rate_fin_comm)*SUM(AZ437,AZ437*AW437,T437)</f>
        <v/>
      </c>
      <c r="AJ437" s="118">
        <f>IFERROR(ROUND(SUM(AB437,AF437:AI437)/E437,2),0)</f>
        <v/>
      </c>
      <c r="AK437" s="76">
        <f>AJ437*E437</f>
        <v/>
      </c>
      <c r="AL437" s="174">
        <f>ROUND(IFERROR(AM437*E437,0),2)</f>
        <v/>
      </c>
      <c r="AM437" s="175">
        <f>ROUND(AJ437*(1+IF(offer_incoterms="DDP",IF((TODAY()+offer_turnaround_time)&gt;=helpsheet!$L$17,rate_vatRU_from_26,rate_vatRu_till_25),0)),2)</f>
        <v/>
      </c>
      <c r="AN437" s="192">
        <f>AL437-AK437</f>
        <v/>
      </c>
      <c r="AO437" s="76">
        <f>SUM(AY437,Y437:Z437,T437)*IF(AND(offer_incoterms="DDP",offer_sale_type&lt;&gt;"экспорт"),IF((TODAY()+offer_turnaround_time)&gt;=helpsheet!$L$17,rate_vatRU_from_26,rate_vatRu_till_25),0)</f>
        <v/>
      </c>
      <c r="AP437" s="193">
        <f>AN437-AO437</f>
        <v/>
      </c>
      <c r="AQ437" s="118">
        <f>IF(offer_sale_type="транзит",SUM(AF437:AI437,BA437,BB437),0)</f>
        <v/>
      </c>
      <c r="AR437" s="82">
        <f>HYPERLINK("https://www.alta.ru/tnved/code/")&amp;W437&amp;"/"</f>
        <v/>
      </c>
      <c r="AS437" s="157" t="n"/>
      <c r="AT437" s="162" t="n"/>
      <c r="AU437" s="76">
        <f>IF(ISBLANK(AT437),0,AJ437-AT437)</f>
        <v/>
      </c>
      <c r="AV437" s="157" t="n"/>
      <c r="AW437" s="75">
        <f>_xlfn.IFNA(VLOOKUP(L437,list_vat[],3,FALSE),0)</f>
        <v/>
      </c>
      <c r="AX437" s="76">
        <f>IFERROR(ROUND(S437*(1+AW437)/E437,2),0)</f>
        <v/>
      </c>
      <c r="AY437" s="76">
        <f>E437*AX437</f>
        <v/>
      </c>
      <c r="AZ437" s="192">
        <f>S437*(1+M437)</f>
        <v/>
      </c>
      <c r="BA437" s="76">
        <f>cost_fin_total*$BD437</f>
        <v/>
      </c>
      <c r="BB437" s="193">
        <f>credit_sales_interest*BD437</f>
        <v/>
      </c>
      <c r="BC437" s="102">
        <f>IFERROR(IF($I$13&gt;0,$I437/$I$13,$S437/$S$13),0)</f>
        <v/>
      </c>
      <c r="BD437" s="102">
        <f>IFERROR($S437/$S$13,0)</f>
        <v/>
      </c>
      <c r="BE437" s="413" t="inlineStr">
        <is>
          <t>$</t>
        </is>
      </c>
    </row>
    <row r="438" ht="12" customFormat="1" customHeight="1" s="65">
      <c r="A438" s="43" t="n">
        <v>423</v>
      </c>
      <c r="B438" s="166" t="n"/>
      <c r="C438" s="166" t="n"/>
      <c r="D438" s="166" t="n"/>
      <c r="E438" s="162" t="n"/>
      <c r="F438" s="166" t="n"/>
      <c r="G438" s="162" t="n"/>
      <c r="H438" s="162" t="n"/>
      <c r="I438" s="189">
        <f>E438*G438</f>
        <v/>
      </c>
      <c r="J438" s="195" t="n"/>
      <c r="K438" s="162" t="n"/>
      <c r="L438" s="168" t="n"/>
      <c r="M438" s="75">
        <f>_xlfn.XLOOKUP(L438,list_vat[Страна],list_vat[Ставка НДС %],0,0)</f>
        <v/>
      </c>
      <c r="N438" s="162">
        <f>IFERROR(IF(L438="Китай",K438,K438/(1+M438)),0)</f>
        <v/>
      </c>
      <c r="O438" s="169" t="n"/>
      <c r="P438" s="76">
        <f>N438*(1-O438)</f>
        <v/>
      </c>
      <c r="Q438" s="162" t="n"/>
      <c r="R438" s="162">
        <f>IF(ISBLANK(Q438),"введи курс",P438/Q438)</f>
        <v/>
      </c>
      <c r="S438" s="196">
        <f>IF(AND(ISNUMBER(E438),ISNUMBER(Q438)),E438*R438,0)</f>
        <v/>
      </c>
      <c r="T438" s="192">
        <f>$BC438*V$11</f>
        <v/>
      </c>
      <c r="U438" s="76">
        <f>$BC438*W$11</f>
        <v/>
      </c>
      <c r="V438" s="193">
        <f>+SUM(T438:U438)</f>
        <v/>
      </c>
      <c r="W438" s="191" t="n"/>
      <c r="X438" s="170" t="n"/>
      <c r="Y438" s="76">
        <f>ROUND(IF(offer_incoterms="DDP",X438*(S438*(1+AW438)+T438),0),2)</f>
        <v/>
      </c>
      <c r="Z438" s="188" t="n"/>
      <c r="AA438" s="192">
        <f>IFERROR(AB438/E438,0)</f>
        <v/>
      </c>
      <c r="AB438" s="76">
        <f>ROUND(SUM(S438,V438,Y438:Z438,BA438:BB438),2)</f>
        <v/>
      </c>
      <c r="AC438" s="797" t="n"/>
      <c r="AD438" s="192">
        <f t="array" ref="AD438">IFERROR(ROUND((_xlfn.IFS(offer_sale_type="поставка",AB438,offer_sale_type="транзит",S438)*(1+AC438))/E438,2),0)</f>
        <v/>
      </c>
      <c r="AE438" s="76">
        <f>AD438*E438</f>
        <v/>
      </c>
      <c r="AF438" s="193">
        <f t="array" ref="AF438">IFERROR(ROUND(_xlfn.IFS(offer_sale_type="поставка",AB438,offer_sale_type="транзит",S438)*AC438,2),0)</f>
        <v/>
      </c>
      <c r="AG438" s="192">
        <f>$BD438*VLOOKUP($AG$3,$AF$4:$AG$7,2,FALSE)</f>
        <v/>
      </c>
      <c r="AH438" s="76">
        <f>SUM(AE438,AG438,AI438)*rate_forex_risk</f>
        <v/>
      </c>
      <c r="AI438" s="193">
        <f>IF(OR(seller_region="TR",offer_sale_type="экспорт"),0,rate_fin_comm)*SUM(AZ438,AZ438*AW438,T438)</f>
        <v/>
      </c>
      <c r="AJ438" s="118">
        <f>IFERROR(ROUND(SUM(AB438,AF438:AI438)/E438,2),0)</f>
        <v/>
      </c>
      <c r="AK438" s="76">
        <f>AJ438*E438</f>
        <v/>
      </c>
      <c r="AL438" s="174">
        <f>ROUND(IFERROR(AM438*E438,0),2)</f>
        <v/>
      </c>
      <c r="AM438" s="175">
        <f>ROUND(AJ438*(1+IF(offer_incoterms="DDP",IF((TODAY()+offer_turnaround_time)&gt;=helpsheet!$L$17,rate_vatRU_from_26,rate_vatRu_till_25),0)),2)</f>
        <v/>
      </c>
      <c r="AN438" s="192">
        <f>AL438-AK438</f>
        <v/>
      </c>
      <c r="AO438" s="76">
        <f>SUM(AY438,Y438:Z438,T438)*IF(AND(offer_incoterms="DDP",offer_sale_type&lt;&gt;"экспорт"),IF((TODAY()+offer_turnaround_time)&gt;=helpsheet!$L$17,rate_vatRU_from_26,rate_vatRu_till_25),0)</f>
        <v/>
      </c>
      <c r="AP438" s="193">
        <f>AN438-AO438</f>
        <v/>
      </c>
      <c r="AQ438" s="118">
        <f>IF(offer_sale_type="транзит",SUM(AF438:AI438,BA438,BB438),0)</f>
        <v/>
      </c>
      <c r="AR438" s="82">
        <f>HYPERLINK("https://www.alta.ru/tnved/code/")&amp;W438&amp;"/"</f>
        <v/>
      </c>
      <c r="AS438" s="157" t="n"/>
      <c r="AT438" s="162" t="n"/>
      <c r="AU438" s="76">
        <f>IF(ISBLANK(AT438),0,AJ438-AT438)</f>
        <v/>
      </c>
      <c r="AV438" s="157" t="n"/>
      <c r="AW438" s="75">
        <f>_xlfn.IFNA(VLOOKUP(L438,list_vat[],3,FALSE),0)</f>
        <v/>
      </c>
      <c r="AX438" s="76">
        <f>IFERROR(ROUND(S438*(1+AW438)/E438,2),0)</f>
        <v/>
      </c>
      <c r="AY438" s="76">
        <f>E438*AX438</f>
        <v/>
      </c>
      <c r="AZ438" s="192">
        <f>S438*(1+M438)</f>
        <v/>
      </c>
      <c r="BA438" s="76">
        <f>cost_fin_total*$BD438</f>
        <v/>
      </c>
      <c r="BB438" s="193">
        <f>credit_sales_interest*BD438</f>
        <v/>
      </c>
      <c r="BC438" s="102">
        <f>IFERROR(IF($I$13&gt;0,$I438/$I$13,$S438/$S$13),0)</f>
        <v/>
      </c>
      <c r="BD438" s="102">
        <f>IFERROR($S438/$S$13,0)</f>
        <v/>
      </c>
      <c r="BE438" s="413" t="inlineStr">
        <is>
          <t>$</t>
        </is>
      </c>
    </row>
    <row r="439" ht="12" customFormat="1" customHeight="1" s="65">
      <c r="A439" s="43" t="n">
        <v>424</v>
      </c>
      <c r="B439" s="166" t="n"/>
      <c r="C439" s="166" t="n"/>
      <c r="D439" s="166" t="n"/>
      <c r="E439" s="162" t="n"/>
      <c r="F439" s="166" t="n"/>
      <c r="G439" s="162" t="n"/>
      <c r="H439" s="162" t="n"/>
      <c r="I439" s="189">
        <f>E439*G439</f>
        <v/>
      </c>
      <c r="J439" s="195" t="n"/>
      <c r="K439" s="162" t="n"/>
      <c r="L439" s="168" t="n"/>
      <c r="M439" s="75">
        <f>_xlfn.XLOOKUP(L439,list_vat[Страна],list_vat[Ставка НДС %],0,0)</f>
        <v/>
      </c>
      <c r="N439" s="162">
        <f>IFERROR(IF(L439="Китай",K439,K439/(1+M439)),0)</f>
        <v/>
      </c>
      <c r="O439" s="169" t="n"/>
      <c r="P439" s="76">
        <f>N439*(1-O439)</f>
        <v/>
      </c>
      <c r="Q439" s="162" t="n"/>
      <c r="R439" s="162">
        <f>IF(ISBLANK(Q439),"введи курс",P439/Q439)</f>
        <v/>
      </c>
      <c r="S439" s="196">
        <f>IF(AND(ISNUMBER(E439),ISNUMBER(Q439)),E439*R439,0)</f>
        <v/>
      </c>
      <c r="T439" s="192">
        <f>$BC439*V$11</f>
        <v/>
      </c>
      <c r="U439" s="76">
        <f>$BC439*W$11</f>
        <v/>
      </c>
      <c r="V439" s="193">
        <f>+SUM(T439:U439)</f>
        <v/>
      </c>
      <c r="W439" s="191" t="n"/>
      <c r="X439" s="170" t="n"/>
      <c r="Y439" s="76">
        <f>ROUND(IF(offer_incoterms="DDP",X439*(S439*(1+AW439)+T439),0),2)</f>
        <v/>
      </c>
      <c r="Z439" s="188" t="n"/>
      <c r="AA439" s="192">
        <f>IFERROR(AB439/E439,0)</f>
        <v/>
      </c>
      <c r="AB439" s="76">
        <f>ROUND(SUM(S439,V439,Y439:Z439,BA439:BB439),2)</f>
        <v/>
      </c>
      <c r="AC439" s="797" t="n"/>
      <c r="AD439" s="192">
        <f t="array" ref="AD439">IFERROR(ROUND((_xlfn.IFS(offer_sale_type="поставка",AB439,offer_sale_type="транзит",S439)*(1+AC439))/E439,2),0)</f>
        <v/>
      </c>
      <c r="AE439" s="76">
        <f>AD439*E439</f>
        <v/>
      </c>
      <c r="AF439" s="193">
        <f t="array" ref="AF439">IFERROR(ROUND(_xlfn.IFS(offer_sale_type="поставка",AB439,offer_sale_type="транзит",S439)*AC439,2),0)</f>
        <v/>
      </c>
      <c r="AG439" s="192">
        <f>$BD439*VLOOKUP($AG$3,$AF$4:$AG$7,2,FALSE)</f>
        <v/>
      </c>
      <c r="AH439" s="76">
        <f>SUM(AE439,AG439,AI439)*rate_forex_risk</f>
        <v/>
      </c>
      <c r="AI439" s="193">
        <f>IF(OR(seller_region="TR",offer_sale_type="экспорт"),0,rate_fin_comm)*SUM(AZ439,AZ439*AW439,T439)</f>
        <v/>
      </c>
      <c r="AJ439" s="118">
        <f>IFERROR(ROUND(SUM(AB439,AF439:AI439)/E439,2),0)</f>
        <v/>
      </c>
      <c r="AK439" s="76">
        <f>AJ439*E439</f>
        <v/>
      </c>
      <c r="AL439" s="174">
        <f>ROUND(IFERROR(AM439*E439,0),2)</f>
        <v/>
      </c>
      <c r="AM439" s="175">
        <f>ROUND(AJ439*(1+IF(offer_incoterms="DDP",IF((TODAY()+offer_turnaround_time)&gt;=helpsheet!$L$17,rate_vatRU_from_26,rate_vatRu_till_25),0)),2)</f>
        <v/>
      </c>
      <c r="AN439" s="192">
        <f>AL439-AK439</f>
        <v/>
      </c>
      <c r="AO439" s="76">
        <f>SUM(AY439,Y439:Z439,T439)*IF(AND(offer_incoterms="DDP",offer_sale_type&lt;&gt;"экспорт"),IF((TODAY()+offer_turnaround_time)&gt;=helpsheet!$L$17,rate_vatRU_from_26,rate_vatRu_till_25),0)</f>
        <v/>
      </c>
      <c r="AP439" s="193">
        <f>AN439-AO439</f>
        <v/>
      </c>
      <c r="AQ439" s="118">
        <f>IF(offer_sale_type="транзит",SUM(AF439:AI439,BA439,BB439),0)</f>
        <v/>
      </c>
      <c r="AR439" s="82">
        <f>HYPERLINK("https://www.alta.ru/tnved/code/")&amp;W439&amp;"/"</f>
        <v/>
      </c>
      <c r="AS439" s="157" t="n"/>
      <c r="AT439" s="162" t="n"/>
      <c r="AU439" s="76">
        <f>IF(ISBLANK(AT439),0,AJ439-AT439)</f>
        <v/>
      </c>
      <c r="AV439" s="157" t="n"/>
      <c r="AW439" s="75">
        <f>_xlfn.IFNA(VLOOKUP(L439,list_vat[],3,FALSE),0)</f>
        <v/>
      </c>
      <c r="AX439" s="76">
        <f>IFERROR(ROUND(S439*(1+AW439)/E439,2),0)</f>
        <v/>
      </c>
      <c r="AY439" s="76">
        <f>E439*AX439</f>
        <v/>
      </c>
      <c r="AZ439" s="192">
        <f>S439*(1+M439)</f>
        <v/>
      </c>
      <c r="BA439" s="76">
        <f>cost_fin_total*$BD439</f>
        <v/>
      </c>
      <c r="BB439" s="193">
        <f>credit_sales_interest*BD439</f>
        <v/>
      </c>
      <c r="BC439" s="102">
        <f>IFERROR(IF($I$13&gt;0,$I439/$I$13,$S439/$S$13),0)</f>
        <v/>
      </c>
      <c r="BD439" s="102">
        <f>IFERROR($S439/$S$13,0)</f>
        <v/>
      </c>
      <c r="BE439" s="413" t="inlineStr">
        <is>
          <t>$</t>
        </is>
      </c>
    </row>
    <row r="440" ht="12" customFormat="1" customHeight="1" s="65">
      <c r="A440" s="43" t="n">
        <v>425</v>
      </c>
      <c r="B440" s="166" t="n"/>
      <c r="C440" s="166" t="n"/>
      <c r="D440" s="166" t="n"/>
      <c r="E440" s="162" t="n"/>
      <c r="F440" s="166" t="n"/>
      <c r="G440" s="162" t="n"/>
      <c r="H440" s="162" t="n"/>
      <c r="I440" s="189">
        <f>E440*G440</f>
        <v/>
      </c>
      <c r="J440" s="195" t="n"/>
      <c r="K440" s="162" t="n"/>
      <c r="L440" s="168" t="n"/>
      <c r="M440" s="75">
        <f>_xlfn.XLOOKUP(L440,list_vat[Страна],list_vat[Ставка НДС %],0,0)</f>
        <v/>
      </c>
      <c r="N440" s="162">
        <f>IFERROR(IF(L440="Китай",K440,K440/(1+M440)),0)</f>
        <v/>
      </c>
      <c r="O440" s="169" t="n"/>
      <c r="P440" s="76">
        <f>N440*(1-O440)</f>
        <v/>
      </c>
      <c r="Q440" s="162" t="n"/>
      <c r="R440" s="162">
        <f>IF(ISBLANK(Q440),"введи курс",P440/Q440)</f>
        <v/>
      </c>
      <c r="S440" s="196">
        <f>IF(AND(ISNUMBER(E440),ISNUMBER(Q440)),E440*R440,0)</f>
        <v/>
      </c>
      <c r="T440" s="192">
        <f>$BC440*V$11</f>
        <v/>
      </c>
      <c r="U440" s="76">
        <f>$BC440*W$11</f>
        <v/>
      </c>
      <c r="V440" s="193">
        <f>+SUM(T440:U440)</f>
        <v/>
      </c>
      <c r="W440" s="191" t="n"/>
      <c r="X440" s="170" t="n"/>
      <c r="Y440" s="76">
        <f>ROUND(IF(offer_incoterms="DDP",X440*(S440*(1+AW440)+T440),0),2)</f>
        <v/>
      </c>
      <c r="Z440" s="188" t="n"/>
      <c r="AA440" s="192">
        <f>IFERROR(AB440/E440,0)</f>
        <v/>
      </c>
      <c r="AB440" s="76">
        <f>ROUND(SUM(S440,V440,Y440:Z440,BA440:BB440),2)</f>
        <v/>
      </c>
      <c r="AC440" s="797" t="n"/>
      <c r="AD440" s="192">
        <f t="array" ref="AD440">IFERROR(ROUND((_xlfn.IFS(offer_sale_type="поставка",AB440,offer_sale_type="транзит",S440)*(1+AC440))/E440,2),0)</f>
        <v/>
      </c>
      <c r="AE440" s="76">
        <f>AD440*E440</f>
        <v/>
      </c>
      <c r="AF440" s="193">
        <f t="array" ref="AF440">IFERROR(ROUND(_xlfn.IFS(offer_sale_type="поставка",AB440,offer_sale_type="транзит",S440)*AC440,2),0)</f>
        <v/>
      </c>
      <c r="AG440" s="192">
        <f>$BD440*VLOOKUP($AG$3,$AF$4:$AG$7,2,FALSE)</f>
        <v/>
      </c>
      <c r="AH440" s="76">
        <f>SUM(AE440,AG440,AI440)*rate_forex_risk</f>
        <v/>
      </c>
      <c r="AI440" s="193">
        <f>IF(OR(seller_region="TR",offer_sale_type="экспорт"),0,rate_fin_comm)*SUM(AZ440,AZ440*AW440,T440)</f>
        <v/>
      </c>
      <c r="AJ440" s="118">
        <f>IFERROR(ROUND(SUM(AB440,AF440:AI440)/E440,2),0)</f>
        <v/>
      </c>
      <c r="AK440" s="76">
        <f>AJ440*E440</f>
        <v/>
      </c>
      <c r="AL440" s="174">
        <f>ROUND(IFERROR(AM440*E440,0),2)</f>
        <v/>
      </c>
      <c r="AM440" s="175">
        <f>ROUND(AJ440*(1+IF(offer_incoterms="DDP",IF((TODAY()+offer_turnaround_time)&gt;=helpsheet!$L$17,rate_vatRU_from_26,rate_vatRu_till_25),0)),2)</f>
        <v/>
      </c>
      <c r="AN440" s="192">
        <f>AL440-AK440</f>
        <v/>
      </c>
      <c r="AO440" s="76">
        <f>SUM(AY440,Y440:Z440,T440)*IF(AND(offer_incoterms="DDP",offer_sale_type&lt;&gt;"экспорт"),IF((TODAY()+offer_turnaround_time)&gt;=helpsheet!$L$17,rate_vatRU_from_26,rate_vatRu_till_25),0)</f>
        <v/>
      </c>
      <c r="AP440" s="193">
        <f>AN440-AO440</f>
        <v/>
      </c>
      <c r="AQ440" s="118">
        <f>IF(offer_sale_type="транзит",SUM(AF440:AI440,BA440,BB440),0)</f>
        <v/>
      </c>
      <c r="AR440" s="82">
        <f>HYPERLINK("https://www.alta.ru/tnved/code/")&amp;W440&amp;"/"</f>
        <v/>
      </c>
      <c r="AS440" s="157" t="n"/>
      <c r="AT440" s="162" t="n"/>
      <c r="AU440" s="76">
        <f>IF(ISBLANK(AT440),0,AJ440-AT440)</f>
        <v/>
      </c>
      <c r="AV440" s="157" t="n"/>
      <c r="AW440" s="75">
        <f>_xlfn.IFNA(VLOOKUP(L440,list_vat[],3,FALSE),0)</f>
        <v/>
      </c>
      <c r="AX440" s="76">
        <f>IFERROR(ROUND(S440*(1+AW440)/E440,2),0)</f>
        <v/>
      </c>
      <c r="AY440" s="76">
        <f>E440*AX440</f>
        <v/>
      </c>
      <c r="AZ440" s="192">
        <f>S440*(1+M440)</f>
        <v/>
      </c>
      <c r="BA440" s="76">
        <f>cost_fin_total*$BD440</f>
        <v/>
      </c>
      <c r="BB440" s="193">
        <f>credit_sales_interest*BD440</f>
        <v/>
      </c>
      <c r="BC440" s="102">
        <f>IFERROR(IF($I$13&gt;0,$I440/$I$13,$S440/$S$13),0)</f>
        <v/>
      </c>
      <c r="BD440" s="102">
        <f>IFERROR($S440/$S$13,0)</f>
        <v/>
      </c>
      <c r="BE440" s="413" t="inlineStr">
        <is>
          <t>$</t>
        </is>
      </c>
    </row>
    <row r="441" ht="12" customFormat="1" customHeight="1" s="65">
      <c r="A441" s="43" t="n">
        <v>426</v>
      </c>
      <c r="B441" s="166" t="n"/>
      <c r="C441" s="166" t="n"/>
      <c r="D441" s="166" t="n"/>
      <c r="E441" s="162" t="n"/>
      <c r="F441" s="166" t="n"/>
      <c r="G441" s="162" t="n"/>
      <c r="H441" s="162" t="n"/>
      <c r="I441" s="189">
        <f>E441*G441</f>
        <v/>
      </c>
      <c r="J441" s="195" t="n"/>
      <c r="K441" s="162" t="n"/>
      <c r="L441" s="168" t="n"/>
      <c r="M441" s="75">
        <f>_xlfn.XLOOKUP(L441,list_vat[Страна],list_vat[Ставка НДС %],0,0)</f>
        <v/>
      </c>
      <c r="N441" s="162">
        <f>IFERROR(IF(L441="Китай",K441,K441/(1+M441)),0)</f>
        <v/>
      </c>
      <c r="O441" s="169" t="n"/>
      <c r="P441" s="76">
        <f>N441*(1-O441)</f>
        <v/>
      </c>
      <c r="Q441" s="162" t="n"/>
      <c r="R441" s="162">
        <f>IF(ISBLANK(Q441),"введи курс",P441/Q441)</f>
        <v/>
      </c>
      <c r="S441" s="196">
        <f>IF(AND(ISNUMBER(E441),ISNUMBER(Q441)),E441*R441,0)</f>
        <v/>
      </c>
      <c r="T441" s="192">
        <f>$BC441*V$11</f>
        <v/>
      </c>
      <c r="U441" s="76">
        <f>$BC441*W$11</f>
        <v/>
      </c>
      <c r="V441" s="193">
        <f>+SUM(T441:U441)</f>
        <v/>
      </c>
      <c r="W441" s="191" t="n"/>
      <c r="X441" s="170" t="n"/>
      <c r="Y441" s="76">
        <f>ROUND(IF(offer_incoterms="DDP",X441*(S441*(1+AW441)+T441),0),2)</f>
        <v/>
      </c>
      <c r="Z441" s="188" t="n"/>
      <c r="AA441" s="192">
        <f>IFERROR(AB441/E441,0)</f>
        <v/>
      </c>
      <c r="AB441" s="76">
        <f>ROUND(SUM(S441,V441,Y441:Z441,BA441:BB441),2)</f>
        <v/>
      </c>
      <c r="AC441" s="797" t="n"/>
      <c r="AD441" s="192">
        <f t="array" ref="AD441">IFERROR(ROUND((_xlfn.IFS(offer_sale_type="поставка",AB441,offer_sale_type="транзит",S441)*(1+AC441))/E441,2),0)</f>
        <v/>
      </c>
      <c r="AE441" s="76">
        <f>AD441*E441</f>
        <v/>
      </c>
      <c r="AF441" s="193">
        <f t="array" ref="AF441">IFERROR(ROUND(_xlfn.IFS(offer_sale_type="поставка",AB441,offer_sale_type="транзит",S441)*AC441,2),0)</f>
        <v/>
      </c>
      <c r="AG441" s="192">
        <f>$BD441*VLOOKUP($AG$3,$AF$4:$AG$7,2,FALSE)</f>
        <v/>
      </c>
      <c r="AH441" s="76">
        <f>SUM(AE441,AG441,AI441)*rate_forex_risk</f>
        <v/>
      </c>
      <c r="AI441" s="193">
        <f>IF(OR(seller_region="TR",offer_sale_type="экспорт"),0,rate_fin_comm)*SUM(AZ441,AZ441*AW441,T441)</f>
        <v/>
      </c>
      <c r="AJ441" s="118">
        <f>IFERROR(ROUND(SUM(AB441,AF441:AI441)/E441,2),0)</f>
        <v/>
      </c>
      <c r="AK441" s="76">
        <f>AJ441*E441</f>
        <v/>
      </c>
      <c r="AL441" s="174">
        <f>ROUND(IFERROR(AM441*E441,0),2)</f>
        <v/>
      </c>
      <c r="AM441" s="175">
        <f>ROUND(AJ441*(1+IF(offer_incoterms="DDP",IF((TODAY()+offer_turnaround_time)&gt;=helpsheet!$L$17,rate_vatRU_from_26,rate_vatRu_till_25),0)),2)</f>
        <v/>
      </c>
      <c r="AN441" s="192">
        <f>AL441-AK441</f>
        <v/>
      </c>
      <c r="AO441" s="76">
        <f>SUM(AY441,Y441:Z441,T441)*IF(AND(offer_incoterms="DDP",offer_sale_type&lt;&gt;"экспорт"),IF((TODAY()+offer_turnaround_time)&gt;=helpsheet!$L$17,rate_vatRU_from_26,rate_vatRu_till_25),0)</f>
        <v/>
      </c>
      <c r="AP441" s="193">
        <f>AN441-AO441</f>
        <v/>
      </c>
      <c r="AQ441" s="118">
        <f>IF(offer_sale_type="транзит",SUM(AF441:AI441,BA441,BB441),0)</f>
        <v/>
      </c>
      <c r="AR441" s="82">
        <f>HYPERLINK("https://www.alta.ru/tnved/code/")&amp;W441&amp;"/"</f>
        <v/>
      </c>
      <c r="AS441" s="157" t="n"/>
      <c r="AT441" s="162" t="n"/>
      <c r="AU441" s="76">
        <f>IF(ISBLANK(AT441),0,AJ441-AT441)</f>
        <v/>
      </c>
      <c r="AV441" s="157" t="n"/>
      <c r="AW441" s="75">
        <f>_xlfn.IFNA(VLOOKUP(L441,list_vat[],3,FALSE),0)</f>
        <v/>
      </c>
      <c r="AX441" s="76">
        <f>IFERROR(ROUND(S441*(1+AW441)/E441,2),0)</f>
        <v/>
      </c>
      <c r="AY441" s="76">
        <f>E441*AX441</f>
        <v/>
      </c>
      <c r="AZ441" s="192">
        <f>S441*(1+M441)</f>
        <v/>
      </c>
      <c r="BA441" s="76">
        <f>cost_fin_total*$BD441</f>
        <v/>
      </c>
      <c r="BB441" s="193">
        <f>credit_sales_interest*BD441</f>
        <v/>
      </c>
      <c r="BC441" s="102">
        <f>IFERROR(IF($I$13&gt;0,$I441/$I$13,$S441/$S$13),0)</f>
        <v/>
      </c>
      <c r="BD441" s="102">
        <f>IFERROR($S441/$S$13,0)</f>
        <v/>
      </c>
      <c r="BE441" s="413" t="inlineStr">
        <is>
          <t>$</t>
        </is>
      </c>
    </row>
    <row r="442" ht="12" customFormat="1" customHeight="1" s="65">
      <c r="A442" s="43" t="n">
        <v>427</v>
      </c>
      <c r="B442" s="166" t="n"/>
      <c r="C442" s="166" t="n"/>
      <c r="D442" s="166" t="n"/>
      <c r="E442" s="162" t="n"/>
      <c r="F442" s="166" t="n"/>
      <c r="G442" s="162" t="n"/>
      <c r="H442" s="162" t="n"/>
      <c r="I442" s="189">
        <f>E442*G442</f>
        <v/>
      </c>
      <c r="J442" s="195" t="n"/>
      <c r="K442" s="162" t="n"/>
      <c r="L442" s="168" t="n"/>
      <c r="M442" s="75">
        <f>_xlfn.XLOOKUP(L442,list_vat[Страна],list_vat[Ставка НДС %],0,0)</f>
        <v/>
      </c>
      <c r="N442" s="162">
        <f>IFERROR(IF(L442="Китай",K442,K442/(1+M442)),0)</f>
        <v/>
      </c>
      <c r="O442" s="169" t="n"/>
      <c r="P442" s="76">
        <f>N442*(1-O442)</f>
        <v/>
      </c>
      <c r="Q442" s="162" t="n"/>
      <c r="R442" s="162">
        <f>IF(ISBLANK(Q442),"введи курс",P442/Q442)</f>
        <v/>
      </c>
      <c r="S442" s="196">
        <f>IF(AND(ISNUMBER(E442),ISNUMBER(Q442)),E442*R442,0)</f>
        <v/>
      </c>
      <c r="T442" s="192">
        <f>$BC442*V$11</f>
        <v/>
      </c>
      <c r="U442" s="76">
        <f>$BC442*W$11</f>
        <v/>
      </c>
      <c r="V442" s="193">
        <f>+SUM(T442:U442)</f>
        <v/>
      </c>
      <c r="W442" s="191" t="n"/>
      <c r="X442" s="170" t="n"/>
      <c r="Y442" s="76">
        <f>ROUND(IF(offer_incoterms="DDP",X442*(S442*(1+AW442)+T442),0),2)</f>
        <v/>
      </c>
      <c r="Z442" s="188" t="n"/>
      <c r="AA442" s="192">
        <f>IFERROR(AB442/E442,0)</f>
        <v/>
      </c>
      <c r="AB442" s="76">
        <f>ROUND(SUM(S442,V442,Y442:Z442,BA442:BB442),2)</f>
        <v/>
      </c>
      <c r="AC442" s="797" t="n"/>
      <c r="AD442" s="192">
        <f t="array" ref="AD442">IFERROR(ROUND((_xlfn.IFS(offer_sale_type="поставка",AB442,offer_sale_type="транзит",S442)*(1+AC442))/E442,2),0)</f>
        <v/>
      </c>
      <c r="AE442" s="76">
        <f>AD442*E442</f>
        <v/>
      </c>
      <c r="AF442" s="193">
        <f t="array" ref="AF442">IFERROR(ROUND(_xlfn.IFS(offer_sale_type="поставка",AB442,offer_sale_type="транзит",S442)*AC442,2),0)</f>
        <v/>
      </c>
      <c r="AG442" s="192">
        <f>$BD442*VLOOKUP($AG$3,$AF$4:$AG$7,2,FALSE)</f>
        <v/>
      </c>
      <c r="AH442" s="76">
        <f>SUM(AE442,AG442,AI442)*rate_forex_risk</f>
        <v/>
      </c>
      <c r="AI442" s="193">
        <f>IF(OR(seller_region="TR",offer_sale_type="экспорт"),0,rate_fin_comm)*SUM(AZ442,AZ442*AW442,T442)</f>
        <v/>
      </c>
      <c r="AJ442" s="118">
        <f>IFERROR(ROUND(SUM(AB442,AF442:AI442)/E442,2),0)</f>
        <v/>
      </c>
      <c r="AK442" s="76">
        <f>AJ442*E442</f>
        <v/>
      </c>
      <c r="AL442" s="174">
        <f>ROUND(IFERROR(AM442*E442,0),2)</f>
        <v/>
      </c>
      <c r="AM442" s="175">
        <f>ROUND(AJ442*(1+IF(offer_incoterms="DDP",IF((TODAY()+offer_turnaround_time)&gt;=helpsheet!$L$17,rate_vatRU_from_26,rate_vatRu_till_25),0)),2)</f>
        <v/>
      </c>
      <c r="AN442" s="192">
        <f>AL442-AK442</f>
        <v/>
      </c>
      <c r="AO442" s="76">
        <f>SUM(AY442,Y442:Z442,T442)*IF(AND(offer_incoterms="DDP",offer_sale_type&lt;&gt;"экспорт"),IF((TODAY()+offer_turnaround_time)&gt;=helpsheet!$L$17,rate_vatRU_from_26,rate_vatRu_till_25),0)</f>
        <v/>
      </c>
      <c r="AP442" s="193">
        <f>AN442-AO442</f>
        <v/>
      </c>
      <c r="AQ442" s="118">
        <f>IF(offer_sale_type="транзит",SUM(AF442:AI442,BA442,BB442),0)</f>
        <v/>
      </c>
      <c r="AR442" s="82">
        <f>HYPERLINK("https://www.alta.ru/tnved/code/")&amp;W442&amp;"/"</f>
        <v/>
      </c>
      <c r="AS442" s="157" t="n"/>
      <c r="AT442" s="162" t="n"/>
      <c r="AU442" s="76">
        <f>IF(ISBLANK(AT442),0,AJ442-AT442)</f>
        <v/>
      </c>
      <c r="AV442" s="157" t="n"/>
      <c r="AW442" s="75">
        <f>_xlfn.IFNA(VLOOKUP(L442,list_vat[],3,FALSE),0)</f>
        <v/>
      </c>
      <c r="AX442" s="76">
        <f>IFERROR(ROUND(S442*(1+AW442)/E442,2),0)</f>
        <v/>
      </c>
      <c r="AY442" s="76">
        <f>E442*AX442</f>
        <v/>
      </c>
      <c r="AZ442" s="192">
        <f>S442*(1+M442)</f>
        <v/>
      </c>
      <c r="BA442" s="76">
        <f>cost_fin_total*$BD442</f>
        <v/>
      </c>
      <c r="BB442" s="193">
        <f>credit_sales_interest*BD442</f>
        <v/>
      </c>
      <c r="BC442" s="102">
        <f>IFERROR(IF($I$13&gt;0,$I442/$I$13,$S442/$S$13),0)</f>
        <v/>
      </c>
      <c r="BD442" s="102">
        <f>IFERROR($S442/$S$13,0)</f>
        <v/>
      </c>
      <c r="BE442" s="413" t="inlineStr">
        <is>
          <t>$</t>
        </is>
      </c>
    </row>
    <row r="443" ht="12" customFormat="1" customHeight="1" s="65">
      <c r="A443" s="43" t="n">
        <v>428</v>
      </c>
      <c r="B443" s="166" t="n"/>
      <c r="C443" s="166" t="n"/>
      <c r="D443" s="166" t="n"/>
      <c r="E443" s="162" t="n"/>
      <c r="F443" s="166" t="n"/>
      <c r="G443" s="162" t="n"/>
      <c r="H443" s="162" t="n"/>
      <c r="I443" s="189">
        <f>E443*G443</f>
        <v/>
      </c>
      <c r="J443" s="195" t="n"/>
      <c r="K443" s="162" t="n"/>
      <c r="L443" s="168" t="n"/>
      <c r="M443" s="75">
        <f>_xlfn.XLOOKUP(L443,list_vat[Страна],list_vat[Ставка НДС %],0,0)</f>
        <v/>
      </c>
      <c r="N443" s="162">
        <f>IFERROR(IF(L443="Китай",K443,K443/(1+M443)),0)</f>
        <v/>
      </c>
      <c r="O443" s="169" t="n"/>
      <c r="P443" s="76">
        <f>N443*(1-O443)</f>
        <v/>
      </c>
      <c r="Q443" s="162" t="n"/>
      <c r="R443" s="162">
        <f>IF(ISBLANK(Q443),"введи курс",P443/Q443)</f>
        <v/>
      </c>
      <c r="S443" s="196">
        <f>IF(AND(ISNUMBER(E443),ISNUMBER(Q443)),E443*R443,0)</f>
        <v/>
      </c>
      <c r="T443" s="192">
        <f>$BC443*V$11</f>
        <v/>
      </c>
      <c r="U443" s="76">
        <f>$BC443*W$11</f>
        <v/>
      </c>
      <c r="V443" s="193">
        <f>+SUM(T443:U443)</f>
        <v/>
      </c>
      <c r="W443" s="191" t="n"/>
      <c r="X443" s="170" t="n"/>
      <c r="Y443" s="76">
        <f>ROUND(IF(offer_incoterms="DDP",X443*(S443*(1+AW443)+T443),0),2)</f>
        <v/>
      </c>
      <c r="Z443" s="188" t="n"/>
      <c r="AA443" s="192">
        <f>IFERROR(AB443/E443,0)</f>
        <v/>
      </c>
      <c r="AB443" s="76">
        <f>ROUND(SUM(S443,V443,Y443:Z443,BA443:BB443),2)</f>
        <v/>
      </c>
      <c r="AC443" s="797" t="n"/>
      <c r="AD443" s="192">
        <f t="array" ref="AD443">IFERROR(ROUND((_xlfn.IFS(offer_sale_type="поставка",AB443,offer_sale_type="транзит",S443)*(1+AC443))/E443,2),0)</f>
        <v/>
      </c>
      <c r="AE443" s="76">
        <f>AD443*E443</f>
        <v/>
      </c>
      <c r="AF443" s="193">
        <f t="array" ref="AF443">IFERROR(ROUND(_xlfn.IFS(offer_sale_type="поставка",AB443,offer_sale_type="транзит",S443)*AC443,2),0)</f>
        <v/>
      </c>
      <c r="AG443" s="192">
        <f>$BD443*VLOOKUP($AG$3,$AF$4:$AG$7,2,FALSE)</f>
        <v/>
      </c>
      <c r="AH443" s="76">
        <f>SUM(AE443,AG443,AI443)*rate_forex_risk</f>
        <v/>
      </c>
      <c r="AI443" s="193">
        <f>IF(OR(seller_region="TR",offer_sale_type="экспорт"),0,rate_fin_comm)*SUM(AZ443,AZ443*AW443,T443)</f>
        <v/>
      </c>
      <c r="AJ443" s="118">
        <f>IFERROR(ROUND(SUM(AB443,AF443:AI443)/E443,2),0)</f>
        <v/>
      </c>
      <c r="AK443" s="76">
        <f>AJ443*E443</f>
        <v/>
      </c>
      <c r="AL443" s="174">
        <f>ROUND(IFERROR(AM443*E443,0),2)</f>
        <v/>
      </c>
      <c r="AM443" s="175">
        <f>ROUND(AJ443*(1+IF(offer_incoterms="DDP",IF((TODAY()+offer_turnaround_time)&gt;=helpsheet!$L$17,rate_vatRU_from_26,rate_vatRu_till_25),0)),2)</f>
        <v/>
      </c>
      <c r="AN443" s="192">
        <f>AL443-AK443</f>
        <v/>
      </c>
      <c r="AO443" s="76">
        <f>SUM(AY443,Y443:Z443,T443)*IF(AND(offer_incoterms="DDP",offer_sale_type&lt;&gt;"экспорт"),IF((TODAY()+offer_turnaround_time)&gt;=helpsheet!$L$17,rate_vatRU_from_26,rate_vatRu_till_25),0)</f>
        <v/>
      </c>
      <c r="AP443" s="193">
        <f>AN443-AO443</f>
        <v/>
      </c>
      <c r="AQ443" s="118">
        <f>IF(offer_sale_type="транзит",SUM(AF443:AI443,BA443,BB443),0)</f>
        <v/>
      </c>
      <c r="AR443" s="82">
        <f>HYPERLINK("https://www.alta.ru/tnved/code/")&amp;W443&amp;"/"</f>
        <v/>
      </c>
      <c r="AS443" s="157" t="n"/>
      <c r="AT443" s="162" t="n"/>
      <c r="AU443" s="76">
        <f>IF(ISBLANK(AT443),0,AJ443-AT443)</f>
        <v/>
      </c>
      <c r="AV443" s="157" t="n"/>
      <c r="AW443" s="75">
        <f>_xlfn.IFNA(VLOOKUP(L443,list_vat[],3,FALSE),0)</f>
        <v/>
      </c>
      <c r="AX443" s="76">
        <f>IFERROR(ROUND(S443*(1+AW443)/E443,2),0)</f>
        <v/>
      </c>
      <c r="AY443" s="76">
        <f>E443*AX443</f>
        <v/>
      </c>
      <c r="AZ443" s="192">
        <f>S443*(1+M443)</f>
        <v/>
      </c>
      <c r="BA443" s="76">
        <f>cost_fin_total*$BD443</f>
        <v/>
      </c>
      <c r="BB443" s="193">
        <f>credit_sales_interest*BD443</f>
        <v/>
      </c>
      <c r="BC443" s="102">
        <f>IFERROR(IF($I$13&gt;0,$I443/$I$13,$S443/$S$13),0)</f>
        <v/>
      </c>
      <c r="BD443" s="102">
        <f>IFERROR($S443/$S$13,0)</f>
        <v/>
      </c>
      <c r="BE443" s="413" t="inlineStr">
        <is>
          <t>$</t>
        </is>
      </c>
    </row>
    <row r="444" ht="12" customFormat="1" customHeight="1" s="65">
      <c r="A444" s="43" t="n">
        <v>429</v>
      </c>
      <c r="B444" s="166" t="n"/>
      <c r="C444" s="166" t="n"/>
      <c r="D444" s="166" t="n"/>
      <c r="E444" s="162" t="n"/>
      <c r="F444" s="166" t="n"/>
      <c r="G444" s="162" t="n"/>
      <c r="H444" s="162" t="n"/>
      <c r="I444" s="189">
        <f>E444*G444</f>
        <v/>
      </c>
      <c r="J444" s="195" t="n"/>
      <c r="K444" s="162" t="n"/>
      <c r="L444" s="168" t="n"/>
      <c r="M444" s="75">
        <f>_xlfn.XLOOKUP(L444,list_vat[Страна],list_vat[Ставка НДС %],0,0)</f>
        <v/>
      </c>
      <c r="N444" s="162">
        <f>IFERROR(IF(L444="Китай",K444,K444/(1+M444)),0)</f>
        <v/>
      </c>
      <c r="O444" s="169" t="n"/>
      <c r="P444" s="76">
        <f>N444*(1-O444)</f>
        <v/>
      </c>
      <c r="Q444" s="162" t="n"/>
      <c r="R444" s="162">
        <f>IF(ISBLANK(Q444),"введи курс",P444/Q444)</f>
        <v/>
      </c>
      <c r="S444" s="196">
        <f>IF(AND(ISNUMBER(E444),ISNUMBER(Q444)),E444*R444,0)</f>
        <v/>
      </c>
      <c r="T444" s="192">
        <f>$BC444*V$11</f>
        <v/>
      </c>
      <c r="U444" s="76">
        <f>$BC444*W$11</f>
        <v/>
      </c>
      <c r="V444" s="193">
        <f>+SUM(T444:U444)</f>
        <v/>
      </c>
      <c r="W444" s="191" t="n"/>
      <c r="X444" s="170" t="n"/>
      <c r="Y444" s="76">
        <f>ROUND(IF(offer_incoterms="DDP",X444*(S444*(1+AW444)+T444),0),2)</f>
        <v/>
      </c>
      <c r="Z444" s="188" t="n"/>
      <c r="AA444" s="192">
        <f>IFERROR(AB444/E444,0)</f>
        <v/>
      </c>
      <c r="AB444" s="76">
        <f>ROUND(SUM(S444,V444,Y444:Z444,BA444:BB444),2)</f>
        <v/>
      </c>
      <c r="AC444" s="797" t="n"/>
      <c r="AD444" s="192">
        <f t="array" ref="AD444">IFERROR(ROUND((_xlfn.IFS(offer_sale_type="поставка",AB444,offer_sale_type="транзит",S444)*(1+AC444))/E444,2),0)</f>
        <v/>
      </c>
      <c r="AE444" s="76">
        <f>AD444*E444</f>
        <v/>
      </c>
      <c r="AF444" s="193">
        <f t="array" ref="AF444">IFERROR(ROUND(_xlfn.IFS(offer_sale_type="поставка",AB444,offer_sale_type="транзит",S444)*AC444,2),0)</f>
        <v/>
      </c>
      <c r="AG444" s="192">
        <f>$BD444*VLOOKUP($AG$3,$AF$4:$AG$7,2,FALSE)</f>
        <v/>
      </c>
      <c r="AH444" s="76">
        <f>SUM(AE444,AG444,AI444)*rate_forex_risk</f>
        <v/>
      </c>
      <c r="AI444" s="193">
        <f>IF(OR(seller_region="TR",offer_sale_type="экспорт"),0,rate_fin_comm)*SUM(AZ444,AZ444*AW444,T444)</f>
        <v/>
      </c>
      <c r="AJ444" s="118">
        <f>IFERROR(ROUND(SUM(AB444,AF444:AI444)/E444,2),0)</f>
        <v/>
      </c>
      <c r="AK444" s="76">
        <f>AJ444*E444</f>
        <v/>
      </c>
      <c r="AL444" s="174">
        <f>ROUND(IFERROR(AM444*E444,0),2)</f>
        <v/>
      </c>
      <c r="AM444" s="175">
        <f>ROUND(AJ444*(1+IF(offer_incoterms="DDP",IF((TODAY()+offer_turnaround_time)&gt;=helpsheet!$L$17,rate_vatRU_from_26,rate_vatRu_till_25),0)),2)</f>
        <v/>
      </c>
      <c r="AN444" s="192">
        <f>AL444-AK444</f>
        <v/>
      </c>
      <c r="AO444" s="76">
        <f>SUM(AY444,Y444:Z444,T444)*IF(AND(offer_incoterms="DDP",offer_sale_type&lt;&gt;"экспорт"),IF((TODAY()+offer_turnaround_time)&gt;=helpsheet!$L$17,rate_vatRU_from_26,rate_vatRu_till_25),0)</f>
        <v/>
      </c>
      <c r="AP444" s="193">
        <f>AN444-AO444</f>
        <v/>
      </c>
      <c r="AQ444" s="118">
        <f>IF(offer_sale_type="транзит",SUM(AF444:AI444,BA444,BB444),0)</f>
        <v/>
      </c>
      <c r="AR444" s="82">
        <f>HYPERLINK("https://www.alta.ru/tnved/code/")&amp;W444&amp;"/"</f>
        <v/>
      </c>
      <c r="AS444" s="157" t="n"/>
      <c r="AT444" s="162" t="n"/>
      <c r="AU444" s="76">
        <f>IF(ISBLANK(AT444),0,AJ444-AT444)</f>
        <v/>
      </c>
      <c r="AV444" s="157" t="n"/>
      <c r="AW444" s="75">
        <f>_xlfn.IFNA(VLOOKUP(L444,list_vat[],3,FALSE),0)</f>
        <v/>
      </c>
      <c r="AX444" s="76">
        <f>IFERROR(ROUND(S444*(1+AW444)/E444,2),0)</f>
        <v/>
      </c>
      <c r="AY444" s="76">
        <f>E444*AX444</f>
        <v/>
      </c>
      <c r="AZ444" s="192">
        <f>S444*(1+M444)</f>
        <v/>
      </c>
      <c r="BA444" s="76">
        <f>cost_fin_total*$BD444</f>
        <v/>
      </c>
      <c r="BB444" s="193">
        <f>credit_sales_interest*BD444</f>
        <v/>
      </c>
      <c r="BC444" s="102">
        <f>IFERROR(IF($I$13&gt;0,$I444/$I$13,$S444/$S$13),0)</f>
        <v/>
      </c>
      <c r="BD444" s="102">
        <f>IFERROR($S444/$S$13,0)</f>
        <v/>
      </c>
      <c r="BE444" s="413" t="inlineStr">
        <is>
          <t>$</t>
        </is>
      </c>
    </row>
    <row r="445" ht="12" customFormat="1" customHeight="1" s="65">
      <c r="A445" s="43" t="n">
        <v>430</v>
      </c>
      <c r="B445" s="166" t="n"/>
      <c r="C445" s="166" t="n"/>
      <c r="D445" s="166" t="n"/>
      <c r="E445" s="162" t="n"/>
      <c r="F445" s="166" t="n"/>
      <c r="G445" s="162" t="n"/>
      <c r="H445" s="162" t="n"/>
      <c r="I445" s="189">
        <f>E445*G445</f>
        <v/>
      </c>
      <c r="J445" s="195" t="n"/>
      <c r="K445" s="162" t="n"/>
      <c r="L445" s="168" t="n"/>
      <c r="M445" s="75">
        <f>_xlfn.XLOOKUP(L445,list_vat[Страна],list_vat[Ставка НДС %],0,0)</f>
        <v/>
      </c>
      <c r="N445" s="162">
        <f>IFERROR(IF(L445="Китай",K445,K445/(1+M445)),0)</f>
        <v/>
      </c>
      <c r="O445" s="169" t="n"/>
      <c r="P445" s="76">
        <f>N445*(1-O445)</f>
        <v/>
      </c>
      <c r="Q445" s="162" t="n"/>
      <c r="R445" s="162">
        <f>IF(ISBLANK(Q445),"введи курс",P445/Q445)</f>
        <v/>
      </c>
      <c r="S445" s="196">
        <f>IF(AND(ISNUMBER(E445),ISNUMBER(Q445)),E445*R445,0)</f>
        <v/>
      </c>
      <c r="T445" s="192">
        <f>$BC445*V$11</f>
        <v/>
      </c>
      <c r="U445" s="76">
        <f>$BC445*W$11</f>
        <v/>
      </c>
      <c r="V445" s="193">
        <f>+SUM(T445:U445)</f>
        <v/>
      </c>
      <c r="W445" s="191" t="n"/>
      <c r="X445" s="170" t="n"/>
      <c r="Y445" s="76">
        <f>ROUND(IF(offer_incoterms="DDP",X445*(S445*(1+AW445)+T445),0),2)</f>
        <v/>
      </c>
      <c r="Z445" s="188" t="n"/>
      <c r="AA445" s="192">
        <f>IFERROR(AB445/E445,0)</f>
        <v/>
      </c>
      <c r="AB445" s="76">
        <f>ROUND(SUM(S445,V445,Y445:Z445,BA445:BB445),2)</f>
        <v/>
      </c>
      <c r="AC445" s="797" t="n"/>
      <c r="AD445" s="192">
        <f t="array" ref="AD445">IFERROR(ROUND((_xlfn.IFS(offer_sale_type="поставка",AB445,offer_sale_type="транзит",S445)*(1+AC445))/E445,2),0)</f>
        <v/>
      </c>
      <c r="AE445" s="76">
        <f>AD445*E445</f>
        <v/>
      </c>
      <c r="AF445" s="193">
        <f t="array" ref="AF445">IFERROR(ROUND(_xlfn.IFS(offer_sale_type="поставка",AB445,offer_sale_type="транзит",S445)*AC445,2),0)</f>
        <v/>
      </c>
      <c r="AG445" s="192">
        <f>$BD445*VLOOKUP($AG$3,$AF$4:$AG$7,2,FALSE)</f>
        <v/>
      </c>
      <c r="AH445" s="76">
        <f>SUM(AE445,AG445,AI445)*rate_forex_risk</f>
        <v/>
      </c>
      <c r="AI445" s="193">
        <f>IF(OR(seller_region="TR",offer_sale_type="экспорт"),0,rate_fin_comm)*SUM(AZ445,AZ445*AW445,T445)</f>
        <v/>
      </c>
      <c r="AJ445" s="118">
        <f>IFERROR(ROUND(SUM(AB445,AF445:AI445)/E445,2),0)</f>
        <v/>
      </c>
      <c r="AK445" s="76">
        <f>AJ445*E445</f>
        <v/>
      </c>
      <c r="AL445" s="174">
        <f>ROUND(IFERROR(AM445*E445,0),2)</f>
        <v/>
      </c>
      <c r="AM445" s="175">
        <f>ROUND(AJ445*(1+IF(offer_incoterms="DDP",IF((TODAY()+offer_turnaround_time)&gt;=helpsheet!$L$17,rate_vatRU_from_26,rate_vatRu_till_25),0)),2)</f>
        <v/>
      </c>
      <c r="AN445" s="192">
        <f>AL445-AK445</f>
        <v/>
      </c>
      <c r="AO445" s="76">
        <f>SUM(AY445,Y445:Z445,T445)*IF(AND(offer_incoterms="DDP",offer_sale_type&lt;&gt;"экспорт"),IF((TODAY()+offer_turnaround_time)&gt;=helpsheet!$L$17,rate_vatRU_from_26,rate_vatRu_till_25),0)</f>
        <v/>
      </c>
      <c r="AP445" s="193">
        <f>AN445-AO445</f>
        <v/>
      </c>
      <c r="AQ445" s="118">
        <f>IF(offer_sale_type="транзит",SUM(AF445:AI445,BA445,BB445),0)</f>
        <v/>
      </c>
      <c r="AR445" s="82">
        <f>HYPERLINK("https://www.alta.ru/tnved/code/")&amp;W445&amp;"/"</f>
        <v/>
      </c>
      <c r="AS445" s="157" t="n"/>
      <c r="AT445" s="162" t="n"/>
      <c r="AU445" s="76">
        <f>IF(ISBLANK(AT445),0,AJ445-AT445)</f>
        <v/>
      </c>
      <c r="AV445" s="157" t="n"/>
      <c r="AW445" s="75">
        <f>_xlfn.IFNA(VLOOKUP(L445,list_vat[],3,FALSE),0)</f>
        <v/>
      </c>
      <c r="AX445" s="76">
        <f>IFERROR(ROUND(S445*(1+AW445)/E445,2),0)</f>
        <v/>
      </c>
      <c r="AY445" s="76">
        <f>E445*AX445</f>
        <v/>
      </c>
      <c r="AZ445" s="192">
        <f>S445*(1+M445)</f>
        <v/>
      </c>
      <c r="BA445" s="76">
        <f>cost_fin_total*$BD445</f>
        <v/>
      </c>
      <c r="BB445" s="193">
        <f>credit_sales_interest*BD445</f>
        <v/>
      </c>
      <c r="BC445" s="102">
        <f>IFERROR(IF($I$13&gt;0,$I445/$I$13,$S445/$S$13),0)</f>
        <v/>
      </c>
      <c r="BD445" s="102">
        <f>IFERROR($S445/$S$13,0)</f>
        <v/>
      </c>
      <c r="BE445" s="413" t="inlineStr">
        <is>
          <t>$</t>
        </is>
      </c>
    </row>
    <row r="446" ht="12" customFormat="1" customHeight="1" s="65">
      <c r="A446" s="43" t="n">
        <v>431</v>
      </c>
      <c r="B446" s="166" t="n"/>
      <c r="C446" s="166" t="n"/>
      <c r="D446" s="166" t="n"/>
      <c r="E446" s="162" t="n"/>
      <c r="F446" s="166" t="n"/>
      <c r="G446" s="162" t="n"/>
      <c r="H446" s="162" t="n"/>
      <c r="I446" s="189">
        <f>E446*G446</f>
        <v/>
      </c>
      <c r="J446" s="195" t="n"/>
      <c r="K446" s="162" t="n"/>
      <c r="L446" s="168" t="n"/>
      <c r="M446" s="75">
        <f>_xlfn.XLOOKUP(L446,list_vat[Страна],list_vat[Ставка НДС %],0,0)</f>
        <v/>
      </c>
      <c r="N446" s="162">
        <f>IFERROR(IF(L446="Китай",K446,K446/(1+M446)),0)</f>
        <v/>
      </c>
      <c r="O446" s="169" t="n"/>
      <c r="P446" s="76">
        <f>N446*(1-O446)</f>
        <v/>
      </c>
      <c r="Q446" s="162" t="n"/>
      <c r="R446" s="162">
        <f>IF(ISBLANK(Q446),"введи курс",P446/Q446)</f>
        <v/>
      </c>
      <c r="S446" s="196">
        <f>IF(AND(ISNUMBER(E446),ISNUMBER(Q446)),E446*R446,0)</f>
        <v/>
      </c>
      <c r="T446" s="192">
        <f>$BC446*V$11</f>
        <v/>
      </c>
      <c r="U446" s="76">
        <f>$BC446*W$11</f>
        <v/>
      </c>
      <c r="V446" s="193">
        <f>+SUM(T446:U446)</f>
        <v/>
      </c>
      <c r="W446" s="191" t="n"/>
      <c r="X446" s="170" t="n"/>
      <c r="Y446" s="76">
        <f>ROUND(IF(offer_incoterms="DDP",X446*(S446*(1+AW446)+T446),0),2)</f>
        <v/>
      </c>
      <c r="Z446" s="188" t="n"/>
      <c r="AA446" s="192">
        <f>IFERROR(AB446/E446,0)</f>
        <v/>
      </c>
      <c r="AB446" s="76">
        <f>ROUND(SUM(S446,V446,Y446:Z446,BA446:BB446),2)</f>
        <v/>
      </c>
      <c r="AC446" s="797" t="n"/>
      <c r="AD446" s="192">
        <f t="array" ref="AD446">IFERROR(ROUND((_xlfn.IFS(offer_sale_type="поставка",AB446,offer_sale_type="транзит",S446)*(1+AC446))/E446,2),0)</f>
        <v/>
      </c>
      <c r="AE446" s="76">
        <f>AD446*E446</f>
        <v/>
      </c>
      <c r="AF446" s="193">
        <f t="array" ref="AF446">IFERROR(ROUND(_xlfn.IFS(offer_sale_type="поставка",AB446,offer_sale_type="транзит",S446)*AC446,2),0)</f>
        <v/>
      </c>
      <c r="AG446" s="192">
        <f>$BD446*VLOOKUP($AG$3,$AF$4:$AG$7,2,FALSE)</f>
        <v/>
      </c>
      <c r="AH446" s="76">
        <f>SUM(AE446,AG446,AI446)*rate_forex_risk</f>
        <v/>
      </c>
      <c r="AI446" s="193">
        <f>IF(OR(seller_region="TR",offer_sale_type="экспорт"),0,rate_fin_comm)*SUM(AZ446,AZ446*AW446,T446)</f>
        <v/>
      </c>
      <c r="AJ446" s="118">
        <f>IFERROR(ROUND(SUM(AB446,AF446:AI446)/E446,2),0)</f>
        <v/>
      </c>
      <c r="AK446" s="76">
        <f>AJ446*E446</f>
        <v/>
      </c>
      <c r="AL446" s="174">
        <f>ROUND(IFERROR(AM446*E446,0),2)</f>
        <v/>
      </c>
      <c r="AM446" s="175">
        <f>ROUND(AJ446*(1+IF(offer_incoterms="DDP",IF((TODAY()+offer_turnaround_time)&gt;=helpsheet!$L$17,rate_vatRU_from_26,rate_vatRu_till_25),0)),2)</f>
        <v/>
      </c>
      <c r="AN446" s="192">
        <f>AL446-AK446</f>
        <v/>
      </c>
      <c r="AO446" s="76">
        <f>SUM(AY446,Y446:Z446,T446)*IF(AND(offer_incoterms="DDP",offer_sale_type&lt;&gt;"экспорт"),IF((TODAY()+offer_turnaround_time)&gt;=helpsheet!$L$17,rate_vatRU_from_26,rate_vatRu_till_25),0)</f>
        <v/>
      </c>
      <c r="AP446" s="193">
        <f>AN446-AO446</f>
        <v/>
      </c>
      <c r="AQ446" s="118">
        <f>IF(offer_sale_type="транзит",SUM(AF446:AI446,BA446,BB446),0)</f>
        <v/>
      </c>
      <c r="AR446" s="82">
        <f>HYPERLINK("https://www.alta.ru/tnved/code/")&amp;W446&amp;"/"</f>
        <v/>
      </c>
      <c r="AS446" s="157" t="n"/>
      <c r="AT446" s="162" t="n"/>
      <c r="AU446" s="76">
        <f>IF(ISBLANK(AT446),0,AJ446-AT446)</f>
        <v/>
      </c>
      <c r="AV446" s="157" t="n"/>
      <c r="AW446" s="75">
        <f>_xlfn.IFNA(VLOOKUP(L446,list_vat[],3,FALSE),0)</f>
        <v/>
      </c>
      <c r="AX446" s="76">
        <f>IFERROR(ROUND(S446*(1+AW446)/E446,2),0)</f>
        <v/>
      </c>
      <c r="AY446" s="76">
        <f>E446*AX446</f>
        <v/>
      </c>
      <c r="AZ446" s="192">
        <f>S446*(1+M446)</f>
        <v/>
      </c>
      <c r="BA446" s="76">
        <f>cost_fin_total*$BD446</f>
        <v/>
      </c>
      <c r="BB446" s="193">
        <f>credit_sales_interest*BD446</f>
        <v/>
      </c>
      <c r="BC446" s="102">
        <f>IFERROR(IF($I$13&gt;0,$I446/$I$13,$S446/$S$13),0)</f>
        <v/>
      </c>
      <c r="BD446" s="102">
        <f>IFERROR($S446/$S$13,0)</f>
        <v/>
      </c>
      <c r="BE446" s="413" t="inlineStr">
        <is>
          <t>$</t>
        </is>
      </c>
    </row>
    <row r="447" ht="12" customFormat="1" customHeight="1" s="65">
      <c r="A447" s="43" t="n">
        <v>432</v>
      </c>
      <c r="B447" s="166" t="n"/>
      <c r="C447" s="166" t="n"/>
      <c r="D447" s="166" t="n"/>
      <c r="E447" s="162" t="n"/>
      <c r="F447" s="166" t="n"/>
      <c r="G447" s="162" t="n"/>
      <c r="H447" s="162" t="n"/>
      <c r="I447" s="189">
        <f>E447*G447</f>
        <v/>
      </c>
      <c r="J447" s="195" t="n"/>
      <c r="K447" s="162" t="n"/>
      <c r="L447" s="168" t="n"/>
      <c r="M447" s="75">
        <f>_xlfn.XLOOKUP(L447,list_vat[Страна],list_vat[Ставка НДС %],0,0)</f>
        <v/>
      </c>
      <c r="N447" s="162">
        <f>IFERROR(IF(L447="Китай",K447,K447/(1+M447)),0)</f>
        <v/>
      </c>
      <c r="O447" s="169" t="n"/>
      <c r="P447" s="76">
        <f>N447*(1-O447)</f>
        <v/>
      </c>
      <c r="Q447" s="162" t="n"/>
      <c r="R447" s="162">
        <f>IF(ISBLANK(Q447),"введи курс",P447/Q447)</f>
        <v/>
      </c>
      <c r="S447" s="196">
        <f>IF(AND(ISNUMBER(E447),ISNUMBER(Q447)),E447*R447,0)</f>
        <v/>
      </c>
      <c r="T447" s="192">
        <f>$BC447*V$11</f>
        <v/>
      </c>
      <c r="U447" s="76">
        <f>$BC447*W$11</f>
        <v/>
      </c>
      <c r="V447" s="193">
        <f>+SUM(T447:U447)</f>
        <v/>
      </c>
      <c r="W447" s="191" t="n"/>
      <c r="X447" s="170" t="n"/>
      <c r="Y447" s="76">
        <f>ROUND(IF(offer_incoterms="DDP",X447*(S447*(1+AW447)+T447),0),2)</f>
        <v/>
      </c>
      <c r="Z447" s="188" t="n"/>
      <c r="AA447" s="192">
        <f>IFERROR(AB447/E447,0)</f>
        <v/>
      </c>
      <c r="AB447" s="76">
        <f>ROUND(SUM(S447,V447,Y447:Z447,BA447:BB447),2)</f>
        <v/>
      </c>
      <c r="AC447" s="797" t="n"/>
      <c r="AD447" s="192">
        <f t="array" ref="AD447">IFERROR(ROUND((_xlfn.IFS(offer_sale_type="поставка",AB447,offer_sale_type="транзит",S447)*(1+AC447))/E447,2),0)</f>
        <v/>
      </c>
      <c r="AE447" s="76">
        <f>AD447*E447</f>
        <v/>
      </c>
      <c r="AF447" s="193">
        <f t="array" ref="AF447">IFERROR(ROUND(_xlfn.IFS(offer_sale_type="поставка",AB447,offer_sale_type="транзит",S447)*AC447,2),0)</f>
        <v/>
      </c>
      <c r="AG447" s="192">
        <f>$BD447*VLOOKUP($AG$3,$AF$4:$AG$7,2,FALSE)</f>
        <v/>
      </c>
      <c r="AH447" s="76">
        <f>SUM(AE447,AG447,AI447)*rate_forex_risk</f>
        <v/>
      </c>
      <c r="AI447" s="193">
        <f>IF(OR(seller_region="TR",offer_sale_type="экспорт"),0,rate_fin_comm)*SUM(AZ447,AZ447*AW447,T447)</f>
        <v/>
      </c>
      <c r="AJ447" s="118">
        <f>IFERROR(ROUND(SUM(AB447,AF447:AI447)/E447,2),0)</f>
        <v/>
      </c>
      <c r="AK447" s="76">
        <f>AJ447*E447</f>
        <v/>
      </c>
      <c r="AL447" s="174">
        <f>ROUND(IFERROR(AM447*E447,0),2)</f>
        <v/>
      </c>
      <c r="AM447" s="175">
        <f>ROUND(AJ447*(1+IF(offer_incoterms="DDP",IF((TODAY()+offer_turnaround_time)&gt;=helpsheet!$L$17,rate_vatRU_from_26,rate_vatRu_till_25),0)),2)</f>
        <v/>
      </c>
      <c r="AN447" s="192">
        <f>AL447-AK447</f>
        <v/>
      </c>
      <c r="AO447" s="76">
        <f>SUM(AY447,Y447:Z447,T447)*IF(AND(offer_incoterms="DDP",offer_sale_type&lt;&gt;"экспорт"),IF((TODAY()+offer_turnaround_time)&gt;=helpsheet!$L$17,rate_vatRU_from_26,rate_vatRu_till_25),0)</f>
        <v/>
      </c>
      <c r="AP447" s="193">
        <f>AN447-AO447</f>
        <v/>
      </c>
      <c r="AQ447" s="118">
        <f>IF(offer_sale_type="транзит",SUM(AF447:AI447,BA447,BB447),0)</f>
        <v/>
      </c>
      <c r="AR447" s="82">
        <f>HYPERLINK("https://www.alta.ru/tnved/code/")&amp;W447&amp;"/"</f>
        <v/>
      </c>
      <c r="AS447" s="157" t="n"/>
      <c r="AT447" s="162" t="n"/>
      <c r="AU447" s="76">
        <f>IF(ISBLANK(AT447),0,AJ447-AT447)</f>
        <v/>
      </c>
      <c r="AV447" s="157" t="n"/>
      <c r="AW447" s="75">
        <f>_xlfn.IFNA(VLOOKUP(L447,list_vat[],3,FALSE),0)</f>
        <v/>
      </c>
      <c r="AX447" s="76">
        <f>IFERROR(ROUND(S447*(1+AW447)/E447,2),0)</f>
        <v/>
      </c>
      <c r="AY447" s="76">
        <f>E447*AX447</f>
        <v/>
      </c>
      <c r="AZ447" s="192">
        <f>S447*(1+M447)</f>
        <v/>
      </c>
      <c r="BA447" s="76">
        <f>cost_fin_total*$BD447</f>
        <v/>
      </c>
      <c r="BB447" s="193">
        <f>credit_sales_interest*BD447</f>
        <v/>
      </c>
      <c r="BC447" s="102">
        <f>IFERROR(IF($I$13&gt;0,$I447/$I$13,$S447/$S$13),0)</f>
        <v/>
      </c>
      <c r="BD447" s="102">
        <f>IFERROR($S447/$S$13,0)</f>
        <v/>
      </c>
      <c r="BE447" s="413" t="inlineStr">
        <is>
          <t>$</t>
        </is>
      </c>
    </row>
    <row r="448" ht="12" customFormat="1" customHeight="1" s="65">
      <c r="A448" s="43" t="n">
        <v>433</v>
      </c>
      <c r="B448" s="166" t="n"/>
      <c r="C448" s="166" t="n"/>
      <c r="D448" s="166" t="n"/>
      <c r="E448" s="162" t="n"/>
      <c r="F448" s="166" t="n"/>
      <c r="G448" s="162" t="n"/>
      <c r="H448" s="162" t="n"/>
      <c r="I448" s="189">
        <f>E448*G448</f>
        <v/>
      </c>
      <c r="J448" s="195" t="n"/>
      <c r="K448" s="162" t="n"/>
      <c r="L448" s="168" t="n"/>
      <c r="M448" s="75">
        <f>_xlfn.XLOOKUP(L448,list_vat[Страна],list_vat[Ставка НДС %],0,0)</f>
        <v/>
      </c>
      <c r="N448" s="162">
        <f>IFERROR(IF(L448="Китай",K448,K448/(1+M448)),0)</f>
        <v/>
      </c>
      <c r="O448" s="169" t="n"/>
      <c r="P448" s="76">
        <f>N448*(1-O448)</f>
        <v/>
      </c>
      <c r="Q448" s="162" t="n"/>
      <c r="R448" s="162">
        <f>IF(ISBLANK(Q448),"введи курс",P448/Q448)</f>
        <v/>
      </c>
      <c r="S448" s="196">
        <f>IF(AND(ISNUMBER(E448),ISNUMBER(Q448)),E448*R448,0)</f>
        <v/>
      </c>
      <c r="T448" s="192">
        <f>$BC448*V$11</f>
        <v/>
      </c>
      <c r="U448" s="76">
        <f>$BC448*W$11</f>
        <v/>
      </c>
      <c r="V448" s="193">
        <f>+SUM(T448:U448)</f>
        <v/>
      </c>
      <c r="W448" s="191" t="n"/>
      <c r="X448" s="170" t="n"/>
      <c r="Y448" s="76">
        <f>ROUND(IF(offer_incoterms="DDP",X448*(S448*(1+AW448)+T448),0),2)</f>
        <v/>
      </c>
      <c r="Z448" s="188" t="n"/>
      <c r="AA448" s="192">
        <f>IFERROR(AB448/E448,0)</f>
        <v/>
      </c>
      <c r="AB448" s="76">
        <f>ROUND(SUM(S448,V448,Y448:Z448,BA448:BB448),2)</f>
        <v/>
      </c>
      <c r="AC448" s="797" t="n"/>
      <c r="AD448" s="192">
        <f t="array" ref="AD448">IFERROR(ROUND((_xlfn.IFS(offer_sale_type="поставка",AB448,offer_sale_type="транзит",S448)*(1+AC448))/E448,2),0)</f>
        <v/>
      </c>
      <c r="AE448" s="76">
        <f>AD448*E448</f>
        <v/>
      </c>
      <c r="AF448" s="193">
        <f t="array" ref="AF448">IFERROR(ROUND(_xlfn.IFS(offer_sale_type="поставка",AB448,offer_sale_type="транзит",S448)*AC448,2),0)</f>
        <v/>
      </c>
      <c r="AG448" s="192">
        <f>$BD448*VLOOKUP($AG$3,$AF$4:$AG$7,2,FALSE)</f>
        <v/>
      </c>
      <c r="AH448" s="76">
        <f>SUM(AE448,AG448,AI448)*rate_forex_risk</f>
        <v/>
      </c>
      <c r="AI448" s="193">
        <f>IF(OR(seller_region="TR",offer_sale_type="экспорт"),0,rate_fin_comm)*SUM(AZ448,AZ448*AW448,T448)</f>
        <v/>
      </c>
      <c r="AJ448" s="118">
        <f>IFERROR(ROUND(SUM(AB448,AF448:AI448)/E448,2),0)</f>
        <v/>
      </c>
      <c r="AK448" s="76">
        <f>AJ448*E448</f>
        <v/>
      </c>
      <c r="AL448" s="174">
        <f>ROUND(IFERROR(AM448*E448,0),2)</f>
        <v/>
      </c>
      <c r="AM448" s="175">
        <f>ROUND(AJ448*(1+IF(offer_incoterms="DDP",IF((TODAY()+offer_turnaround_time)&gt;=helpsheet!$L$17,rate_vatRU_from_26,rate_vatRu_till_25),0)),2)</f>
        <v/>
      </c>
      <c r="AN448" s="192">
        <f>AL448-AK448</f>
        <v/>
      </c>
      <c r="AO448" s="76">
        <f>SUM(AY448,Y448:Z448,T448)*IF(AND(offer_incoterms="DDP",offer_sale_type&lt;&gt;"экспорт"),IF((TODAY()+offer_turnaround_time)&gt;=helpsheet!$L$17,rate_vatRU_from_26,rate_vatRu_till_25),0)</f>
        <v/>
      </c>
      <c r="AP448" s="193">
        <f>AN448-AO448</f>
        <v/>
      </c>
      <c r="AQ448" s="118">
        <f>IF(offer_sale_type="транзит",SUM(AF448:AI448,BA448,BB448),0)</f>
        <v/>
      </c>
      <c r="AR448" s="82">
        <f>HYPERLINK("https://www.alta.ru/tnved/code/")&amp;W448&amp;"/"</f>
        <v/>
      </c>
      <c r="AS448" s="157" t="n"/>
      <c r="AT448" s="162" t="n"/>
      <c r="AU448" s="76">
        <f>IF(ISBLANK(AT448),0,AJ448-AT448)</f>
        <v/>
      </c>
      <c r="AV448" s="157" t="n"/>
      <c r="AW448" s="75">
        <f>_xlfn.IFNA(VLOOKUP(L448,list_vat[],3,FALSE),0)</f>
        <v/>
      </c>
      <c r="AX448" s="76">
        <f>IFERROR(ROUND(S448*(1+AW448)/E448,2),0)</f>
        <v/>
      </c>
      <c r="AY448" s="76">
        <f>E448*AX448</f>
        <v/>
      </c>
      <c r="AZ448" s="192">
        <f>S448*(1+M448)</f>
        <v/>
      </c>
      <c r="BA448" s="76">
        <f>cost_fin_total*$BD448</f>
        <v/>
      </c>
      <c r="BB448" s="193">
        <f>credit_sales_interest*BD448</f>
        <v/>
      </c>
      <c r="BC448" s="102">
        <f>IFERROR(IF($I$13&gt;0,$I448/$I$13,$S448/$S$13),0)</f>
        <v/>
      </c>
      <c r="BD448" s="102">
        <f>IFERROR($S448/$S$13,0)</f>
        <v/>
      </c>
      <c r="BE448" s="413" t="inlineStr">
        <is>
          <t>$</t>
        </is>
      </c>
    </row>
    <row r="449" ht="12" customFormat="1" customHeight="1" s="65">
      <c r="A449" s="43" t="n">
        <v>434</v>
      </c>
      <c r="B449" s="166" t="n"/>
      <c r="C449" s="166" t="n"/>
      <c r="D449" s="166" t="n"/>
      <c r="E449" s="162" t="n"/>
      <c r="F449" s="166" t="n"/>
      <c r="G449" s="162" t="n"/>
      <c r="H449" s="162" t="n"/>
      <c r="I449" s="189">
        <f>E449*G449</f>
        <v/>
      </c>
      <c r="J449" s="195" t="n"/>
      <c r="K449" s="162" t="n"/>
      <c r="L449" s="168" t="n"/>
      <c r="M449" s="75">
        <f>_xlfn.XLOOKUP(L449,list_vat[Страна],list_vat[Ставка НДС %],0,0)</f>
        <v/>
      </c>
      <c r="N449" s="162">
        <f>IFERROR(IF(L449="Китай",K449,K449/(1+M449)),0)</f>
        <v/>
      </c>
      <c r="O449" s="169" t="n"/>
      <c r="P449" s="76">
        <f>N449*(1-O449)</f>
        <v/>
      </c>
      <c r="Q449" s="162" t="n"/>
      <c r="R449" s="162">
        <f>IF(ISBLANK(Q449),"введи курс",P449/Q449)</f>
        <v/>
      </c>
      <c r="S449" s="196">
        <f>IF(AND(ISNUMBER(E449),ISNUMBER(Q449)),E449*R449,0)</f>
        <v/>
      </c>
      <c r="T449" s="192">
        <f>$BC449*V$11</f>
        <v/>
      </c>
      <c r="U449" s="76">
        <f>$BC449*W$11</f>
        <v/>
      </c>
      <c r="V449" s="193">
        <f>+SUM(T449:U449)</f>
        <v/>
      </c>
      <c r="W449" s="191" t="n"/>
      <c r="X449" s="170" t="n"/>
      <c r="Y449" s="76">
        <f>ROUND(IF(offer_incoterms="DDP",X449*(S449*(1+AW449)+T449),0),2)</f>
        <v/>
      </c>
      <c r="Z449" s="188" t="n"/>
      <c r="AA449" s="192">
        <f>IFERROR(AB449/E449,0)</f>
        <v/>
      </c>
      <c r="AB449" s="76">
        <f>ROUND(SUM(S449,V449,Y449:Z449,BA449:BB449),2)</f>
        <v/>
      </c>
      <c r="AC449" s="797" t="n"/>
      <c r="AD449" s="192">
        <f t="array" ref="AD449">IFERROR(ROUND((_xlfn.IFS(offer_sale_type="поставка",AB449,offer_sale_type="транзит",S449)*(1+AC449))/E449,2),0)</f>
        <v/>
      </c>
      <c r="AE449" s="76">
        <f>AD449*E449</f>
        <v/>
      </c>
      <c r="AF449" s="193">
        <f t="array" ref="AF449">IFERROR(ROUND(_xlfn.IFS(offer_sale_type="поставка",AB449,offer_sale_type="транзит",S449)*AC449,2),0)</f>
        <v/>
      </c>
      <c r="AG449" s="192">
        <f>$BD449*VLOOKUP($AG$3,$AF$4:$AG$7,2,FALSE)</f>
        <v/>
      </c>
      <c r="AH449" s="76">
        <f>SUM(AE449,AG449,AI449)*rate_forex_risk</f>
        <v/>
      </c>
      <c r="AI449" s="193">
        <f>IF(OR(seller_region="TR",offer_sale_type="экспорт"),0,rate_fin_comm)*SUM(AZ449,AZ449*AW449,T449)</f>
        <v/>
      </c>
      <c r="AJ449" s="118">
        <f>IFERROR(ROUND(SUM(AB449,AF449:AI449)/E449,2),0)</f>
        <v/>
      </c>
      <c r="AK449" s="76">
        <f>AJ449*E449</f>
        <v/>
      </c>
      <c r="AL449" s="174">
        <f>ROUND(IFERROR(AM449*E449,0),2)</f>
        <v/>
      </c>
      <c r="AM449" s="175">
        <f>ROUND(AJ449*(1+IF(offer_incoterms="DDP",IF((TODAY()+offer_turnaround_time)&gt;=helpsheet!$L$17,rate_vatRU_from_26,rate_vatRu_till_25),0)),2)</f>
        <v/>
      </c>
      <c r="AN449" s="192">
        <f>AL449-AK449</f>
        <v/>
      </c>
      <c r="AO449" s="76">
        <f>SUM(AY449,Y449:Z449,T449)*IF(AND(offer_incoterms="DDP",offer_sale_type&lt;&gt;"экспорт"),IF((TODAY()+offer_turnaround_time)&gt;=helpsheet!$L$17,rate_vatRU_from_26,rate_vatRu_till_25),0)</f>
        <v/>
      </c>
      <c r="AP449" s="193">
        <f>AN449-AO449</f>
        <v/>
      </c>
      <c r="AQ449" s="118">
        <f>IF(offer_sale_type="транзит",SUM(AF449:AI449,BA449,BB449),0)</f>
        <v/>
      </c>
      <c r="AR449" s="82">
        <f>HYPERLINK("https://www.alta.ru/tnved/code/")&amp;W449&amp;"/"</f>
        <v/>
      </c>
      <c r="AS449" s="157" t="n"/>
      <c r="AT449" s="162" t="n"/>
      <c r="AU449" s="76">
        <f>IF(ISBLANK(AT449),0,AJ449-AT449)</f>
        <v/>
      </c>
      <c r="AV449" s="157" t="n"/>
      <c r="AW449" s="75">
        <f>_xlfn.IFNA(VLOOKUP(L449,list_vat[],3,FALSE),0)</f>
        <v/>
      </c>
      <c r="AX449" s="76">
        <f>IFERROR(ROUND(S449*(1+AW449)/E449,2),0)</f>
        <v/>
      </c>
      <c r="AY449" s="76">
        <f>E449*AX449</f>
        <v/>
      </c>
      <c r="AZ449" s="192">
        <f>S449*(1+M449)</f>
        <v/>
      </c>
      <c r="BA449" s="76">
        <f>cost_fin_total*$BD449</f>
        <v/>
      </c>
      <c r="BB449" s="193">
        <f>credit_sales_interest*BD449</f>
        <v/>
      </c>
      <c r="BC449" s="102">
        <f>IFERROR(IF($I$13&gt;0,$I449/$I$13,$S449/$S$13),0)</f>
        <v/>
      </c>
      <c r="BD449" s="102">
        <f>IFERROR($S449/$S$13,0)</f>
        <v/>
      </c>
      <c r="BE449" s="413" t="inlineStr">
        <is>
          <t>$</t>
        </is>
      </c>
    </row>
    <row r="450" ht="12" customFormat="1" customHeight="1" s="65">
      <c r="A450" s="43" t="n">
        <v>435</v>
      </c>
      <c r="B450" s="166" t="n"/>
      <c r="C450" s="166" t="n"/>
      <c r="D450" s="166" t="n"/>
      <c r="E450" s="162" t="n"/>
      <c r="F450" s="166" t="n"/>
      <c r="G450" s="162" t="n"/>
      <c r="H450" s="162" t="n"/>
      <c r="I450" s="189">
        <f>E450*G450</f>
        <v/>
      </c>
      <c r="J450" s="195" t="n"/>
      <c r="K450" s="162" t="n"/>
      <c r="L450" s="168" t="n"/>
      <c r="M450" s="75">
        <f>_xlfn.XLOOKUP(L450,list_vat[Страна],list_vat[Ставка НДС %],0,0)</f>
        <v/>
      </c>
      <c r="N450" s="162">
        <f>IFERROR(IF(L450="Китай",K450,K450/(1+M450)),0)</f>
        <v/>
      </c>
      <c r="O450" s="169" t="n"/>
      <c r="P450" s="76">
        <f>N450*(1-O450)</f>
        <v/>
      </c>
      <c r="Q450" s="162" t="n"/>
      <c r="R450" s="162">
        <f>IF(ISBLANK(Q450),"введи курс",P450/Q450)</f>
        <v/>
      </c>
      <c r="S450" s="196">
        <f>IF(AND(ISNUMBER(E450),ISNUMBER(Q450)),E450*R450,0)</f>
        <v/>
      </c>
      <c r="T450" s="192">
        <f>$BC450*V$11</f>
        <v/>
      </c>
      <c r="U450" s="76">
        <f>$BC450*W$11</f>
        <v/>
      </c>
      <c r="V450" s="193">
        <f>+SUM(T450:U450)</f>
        <v/>
      </c>
      <c r="W450" s="191" t="n"/>
      <c r="X450" s="170" t="n"/>
      <c r="Y450" s="76">
        <f>ROUND(IF(offer_incoterms="DDP",X450*(S450*(1+AW450)+T450),0),2)</f>
        <v/>
      </c>
      <c r="Z450" s="188" t="n"/>
      <c r="AA450" s="192">
        <f>IFERROR(AB450/E450,0)</f>
        <v/>
      </c>
      <c r="AB450" s="76">
        <f>ROUND(SUM(S450,V450,Y450:Z450,BA450:BB450),2)</f>
        <v/>
      </c>
      <c r="AC450" s="797" t="n"/>
      <c r="AD450" s="192">
        <f t="array" ref="AD450">IFERROR(ROUND((_xlfn.IFS(offer_sale_type="поставка",AB450,offer_sale_type="транзит",S450)*(1+AC450))/E450,2),0)</f>
        <v/>
      </c>
      <c r="AE450" s="76">
        <f>AD450*E450</f>
        <v/>
      </c>
      <c r="AF450" s="193">
        <f t="array" ref="AF450">IFERROR(ROUND(_xlfn.IFS(offer_sale_type="поставка",AB450,offer_sale_type="транзит",S450)*AC450,2),0)</f>
        <v/>
      </c>
      <c r="AG450" s="192">
        <f>$BD450*VLOOKUP($AG$3,$AF$4:$AG$7,2,FALSE)</f>
        <v/>
      </c>
      <c r="AH450" s="76">
        <f>SUM(AE450,AG450,AI450)*rate_forex_risk</f>
        <v/>
      </c>
      <c r="AI450" s="193">
        <f>IF(OR(seller_region="TR",offer_sale_type="экспорт"),0,rate_fin_comm)*SUM(AZ450,AZ450*AW450,T450)</f>
        <v/>
      </c>
      <c r="AJ450" s="118">
        <f>IFERROR(ROUND(SUM(AB450,AF450:AI450)/E450,2),0)</f>
        <v/>
      </c>
      <c r="AK450" s="76">
        <f>AJ450*E450</f>
        <v/>
      </c>
      <c r="AL450" s="174">
        <f>ROUND(IFERROR(AM450*E450,0),2)</f>
        <v/>
      </c>
      <c r="AM450" s="175">
        <f>ROUND(AJ450*(1+IF(offer_incoterms="DDP",IF((TODAY()+offer_turnaround_time)&gt;=helpsheet!$L$17,rate_vatRU_from_26,rate_vatRu_till_25),0)),2)</f>
        <v/>
      </c>
      <c r="AN450" s="192">
        <f>AL450-AK450</f>
        <v/>
      </c>
      <c r="AO450" s="76">
        <f>SUM(AY450,Y450:Z450,T450)*IF(AND(offer_incoterms="DDP",offer_sale_type&lt;&gt;"экспорт"),IF((TODAY()+offer_turnaround_time)&gt;=helpsheet!$L$17,rate_vatRU_from_26,rate_vatRu_till_25),0)</f>
        <v/>
      </c>
      <c r="AP450" s="193">
        <f>AN450-AO450</f>
        <v/>
      </c>
      <c r="AQ450" s="118">
        <f>IF(offer_sale_type="транзит",SUM(AF450:AI450,BA450,BB450),0)</f>
        <v/>
      </c>
      <c r="AR450" s="82">
        <f>HYPERLINK("https://www.alta.ru/tnved/code/")&amp;W450&amp;"/"</f>
        <v/>
      </c>
      <c r="AS450" s="157" t="n"/>
      <c r="AT450" s="162" t="n"/>
      <c r="AU450" s="76">
        <f>IF(ISBLANK(AT450),0,AJ450-AT450)</f>
        <v/>
      </c>
      <c r="AV450" s="157" t="n"/>
      <c r="AW450" s="75">
        <f>_xlfn.IFNA(VLOOKUP(L450,list_vat[],3,FALSE),0)</f>
        <v/>
      </c>
      <c r="AX450" s="76">
        <f>IFERROR(ROUND(S450*(1+AW450)/E450,2),0)</f>
        <v/>
      </c>
      <c r="AY450" s="76">
        <f>E450*AX450</f>
        <v/>
      </c>
      <c r="AZ450" s="192">
        <f>S450*(1+M450)</f>
        <v/>
      </c>
      <c r="BA450" s="76">
        <f>cost_fin_total*$BD450</f>
        <v/>
      </c>
      <c r="BB450" s="193">
        <f>credit_sales_interest*BD450</f>
        <v/>
      </c>
      <c r="BC450" s="102">
        <f>IFERROR(IF($I$13&gt;0,$I450/$I$13,$S450/$S$13),0)</f>
        <v/>
      </c>
      <c r="BD450" s="102">
        <f>IFERROR($S450/$S$13,0)</f>
        <v/>
      </c>
      <c r="BE450" s="413" t="inlineStr">
        <is>
          <t>$</t>
        </is>
      </c>
    </row>
    <row r="451" ht="12" customFormat="1" customHeight="1" s="65">
      <c r="A451" s="43" t="n">
        <v>436</v>
      </c>
      <c r="B451" s="166" t="n"/>
      <c r="C451" s="166" t="n"/>
      <c r="D451" s="166" t="n"/>
      <c r="E451" s="162" t="n"/>
      <c r="F451" s="166" t="n"/>
      <c r="G451" s="162" t="n"/>
      <c r="H451" s="162" t="n"/>
      <c r="I451" s="189">
        <f>E451*G451</f>
        <v/>
      </c>
      <c r="J451" s="195" t="n"/>
      <c r="K451" s="162" t="n"/>
      <c r="L451" s="168" t="n"/>
      <c r="M451" s="75">
        <f>_xlfn.XLOOKUP(L451,list_vat[Страна],list_vat[Ставка НДС %],0,0)</f>
        <v/>
      </c>
      <c r="N451" s="162">
        <f>IFERROR(IF(L451="Китай",K451,K451/(1+M451)),0)</f>
        <v/>
      </c>
      <c r="O451" s="169" t="n"/>
      <c r="P451" s="76">
        <f>N451*(1-O451)</f>
        <v/>
      </c>
      <c r="Q451" s="162" t="n"/>
      <c r="R451" s="162">
        <f>IF(ISBLANK(Q451),"введи курс",P451/Q451)</f>
        <v/>
      </c>
      <c r="S451" s="196">
        <f>IF(AND(ISNUMBER(E451),ISNUMBER(Q451)),E451*R451,0)</f>
        <v/>
      </c>
      <c r="T451" s="192">
        <f>$BC451*V$11</f>
        <v/>
      </c>
      <c r="U451" s="76">
        <f>$BC451*W$11</f>
        <v/>
      </c>
      <c r="V451" s="193">
        <f>+SUM(T451:U451)</f>
        <v/>
      </c>
      <c r="W451" s="191" t="n"/>
      <c r="X451" s="170" t="n"/>
      <c r="Y451" s="76">
        <f>ROUND(IF(offer_incoterms="DDP",X451*(S451*(1+AW451)+T451),0),2)</f>
        <v/>
      </c>
      <c r="Z451" s="188" t="n"/>
      <c r="AA451" s="192">
        <f>IFERROR(AB451/E451,0)</f>
        <v/>
      </c>
      <c r="AB451" s="76">
        <f>ROUND(SUM(S451,V451,Y451:Z451,BA451:BB451),2)</f>
        <v/>
      </c>
      <c r="AC451" s="797" t="n"/>
      <c r="AD451" s="192">
        <f t="array" ref="AD451">IFERROR(ROUND((_xlfn.IFS(offer_sale_type="поставка",AB451,offer_sale_type="транзит",S451)*(1+AC451))/E451,2),0)</f>
        <v/>
      </c>
      <c r="AE451" s="76">
        <f>AD451*E451</f>
        <v/>
      </c>
      <c r="AF451" s="193">
        <f t="array" ref="AF451">IFERROR(ROUND(_xlfn.IFS(offer_sale_type="поставка",AB451,offer_sale_type="транзит",S451)*AC451,2),0)</f>
        <v/>
      </c>
      <c r="AG451" s="192">
        <f>$BD451*VLOOKUP($AG$3,$AF$4:$AG$7,2,FALSE)</f>
        <v/>
      </c>
      <c r="AH451" s="76">
        <f>SUM(AE451,AG451,AI451)*rate_forex_risk</f>
        <v/>
      </c>
      <c r="AI451" s="193">
        <f>IF(OR(seller_region="TR",offer_sale_type="экспорт"),0,rate_fin_comm)*SUM(AZ451,AZ451*AW451,T451)</f>
        <v/>
      </c>
      <c r="AJ451" s="118">
        <f>IFERROR(ROUND(SUM(AB451,AF451:AI451)/E451,2),0)</f>
        <v/>
      </c>
      <c r="AK451" s="76">
        <f>AJ451*E451</f>
        <v/>
      </c>
      <c r="AL451" s="174">
        <f>ROUND(IFERROR(AM451*E451,0),2)</f>
        <v/>
      </c>
      <c r="AM451" s="175">
        <f>ROUND(AJ451*(1+IF(offer_incoterms="DDP",IF((TODAY()+offer_turnaround_time)&gt;=helpsheet!$L$17,rate_vatRU_from_26,rate_vatRu_till_25),0)),2)</f>
        <v/>
      </c>
      <c r="AN451" s="192">
        <f>AL451-AK451</f>
        <v/>
      </c>
      <c r="AO451" s="76">
        <f>SUM(AY451,Y451:Z451,T451)*IF(AND(offer_incoterms="DDP",offer_sale_type&lt;&gt;"экспорт"),IF((TODAY()+offer_turnaround_time)&gt;=helpsheet!$L$17,rate_vatRU_from_26,rate_vatRu_till_25),0)</f>
        <v/>
      </c>
      <c r="AP451" s="193">
        <f>AN451-AO451</f>
        <v/>
      </c>
      <c r="AQ451" s="118">
        <f>IF(offer_sale_type="транзит",SUM(AF451:AI451,BA451,BB451),0)</f>
        <v/>
      </c>
      <c r="AR451" s="82">
        <f>HYPERLINK("https://www.alta.ru/tnved/code/")&amp;W451&amp;"/"</f>
        <v/>
      </c>
      <c r="AS451" s="157" t="n"/>
      <c r="AT451" s="162" t="n"/>
      <c r="AU451" s="76">
        <f>IF(ISBLANK(AT451),0,AJ451-AT451)</f>
        <v/>
      </c>
      <c r="AV451" s="157" t="n"/>
      <c r="AW451" s="75">
        <f>_xlfn.IFNA(VLOOKUP(L451,list_vat[],3,FALSE),0)</f>
        <v/>
      </c>
      <c r="AX451" s="76">
        <f>IFERROR(ROUND(S451*(1+AW451)/E451,2),0)</f>
        <v/>
      </c>
      <c r="AY451" s="76">
        <f>E451*AX451</f>
        <v/>
      </c>
      <c r="AZ451" s="192">
        <f>S451*(1+M451)</f>
        <v/>
      </c>
      <c r="BA451" s="76">
        <f>cost_fin_total*$BD451</f>
        <v/>
      </c>
      <c r="BB451" s="193">
        <f>credit_sales_interest*BD451</f>
        <v/>
      </c>
      <c r="BC451" s="102">
        <f>IFERROR(IF($I$13&gt;0,$I451/$I$13,$S451/$S$13),0)</f>
        <v/>
      </c>
      <c r="BD451" s="102">
        <f>IFERROR($S451/$S$13,0)</f>
        <v/>
      </c>
      <c r="BE451" s="413" t="inlineStr">
        <is>
          <t>$</t>
        </is>
      </c>
    </row>
    <row r="452" ht="12" customFormat="1" customHeight="1" s="65">
      <c r="A452" s="43" t="n">
        <v>437</v>
      </c>
      <c r="B452" s="166" t="n"/>
      <c r="C452" s="166" t="n"/>
      <c r="D452" s="166" t="n"/>
      <c r="E452" s="162" t="n"/>
      <c r="F452" s="166" t="n"/>
      <c r="G452" s="162" t="n"/>
      <c r="H452" s="162" t="n"/>
      <c r="I452" s="189">
        <f>E452*G452</f>
        <v/>
      </c>
      <c r="J452" s="195" t="n"/>
      <c r="K452" s="162" t="n"/>
      <c r="L452" s="168" t="n"/>
      <c r="M452" s="75">
        <f>_xlfn.XLOOKUP(L452,list_vat[Страна],list_vat[Ставка НДС %],0,0)</f>
        <v/>
      </c>
      <c r="N452" s="162">
        <f>IFERROR(IF(L452="Китай",K452,K452/(1+M452)),0)</f>
        <v/>
      </c>
      <c r="O452" s="169" t="n"/>
      <c r="P452" s="76">
        <f>N452*(1-O452)</f>
        <v/>
      </c>
      <c r="Q452" s="162" t="n"/>
      <c r="R452" s="162">
        <f>IF(ISBLANK(Q452),"введи курс",P452/Q452)</f>
        <v/>
      </c>
      <c r="S452" s="196">
        <f>IF(AND(ISNUMBER(E452),ISNUMBER(Q452)),E452*R452,0)</f>
        <v/>
      </c>
      <c r="T452" s="192">
        <f>$BC452*V$11</f>
        <v/>
      </c>
      <c r="U452" s="76">
        <f>$BC452*W$11</f>
        <v/>
      </c>
      <c r="V452" s="193">
        <f>+SUM(T452:U452)</f>
        <v/>
      </c>
      <c r="W452" s="191" t="n"/>
      <c r="X452" s="170" t="n"/>
      <c r="Y452" s="76">
        <f>ROUND(IF(offer_incoterms="DDP",X452*(S452*(1+AW452)+T452),0),2)</f>
        <v/>
      </c>
      <c r="Z452" s="188" t="n"/>
      <c r="AA452" s="192">
        <f>IFERROR(AB452/E452,0)</f>
        <v/>
      </c>
      <c r="AB452" s="76">
        <f>ROUND(SUM(S452,V452,Y452:Z452,BA452:BB452),2)</f>
        <v/>
      </c>
      <c r="AC452" s="797" t="n"/>
      <c r="AD452" s="192">
        <f t="array" ref="AD452">IFERROR(ROUND((_xlfn.IFS(offer_sale_type="поставка",AB452,offer_sale_type="транзит",S452)*(1+AC452))/E452,2),0)</f>
        <v/>
      </c>
      <c r="AE452" s="76">
        <f>AD452*E452</f>
        <v/>
      </c>
      <c r="AF452" s="193">
        <f t="array" ref="AF452">IFERROR(ROUND(_xlfn.IFS(offer_sale_type="поставка",AB452,offer_sale_type="транзит",S452)*AC452,2),0)</f>
        <v/>
      </c>
      <c r="AG452" s="192">
        <f>$BD452*VLOOKUP($AG$3,$AF$4:$AG$7,2,FALSE)</f>
        <v/>
      </c>
      <c r="AH452" s="76">
        <f>SUM(AE452,AG452,AI452)*rate_forex_risk</f>
        <v/>
      </c>
      <c r="AI452" s="193">
        <f>IF(OR(seller_region="TR",offer_sale_type="экспорт"),0,rate_fin_comm)*SUM(AZ452,AZ452*AW452,T452)</f>
        <v/>
      </c>
      <c r="AJ452" s="118">
        <f>IFERROR(ROUND(SUM(AB452,AF452:AI452)/E452,2),0)</f>
        <v/>
      </c>
      <c r="AK452" s="76">
        <f>AJ452*E452</f>
        <v/>
      </c>
      <c r="AL452" s="174">
        <f>ROUND(IFERROR(AM452*E452,0),2)</f>
        <v/>
      </c>
      <c r="AM452" s="175">
        <f>ROUND(AJ452*(1+IF(offer_incoterms="DDP",IF((TODAY()+offer_turnaround_time)&gt;=helpsheet!$L$17,rate_vatRU_from_26,rate_vatRu_till_25),0)),2)</f>
        <v/>
      </c>
      <c r="AN452" s="192">
        <f>AL452-AK452</f>
        <v/>
      </c>
      <c r="AO452" s="76">
        <f>SUM(AY452,Y452:Z452,T452)*IF(AND(offer_incoterms="DDP",offer_sale_type&lt;&gt;"экспорт"),IF((TODAY()+offer_turnaround_time)&gt;=helpsheet!$L$17,rate_vatRU_from_26,rate_vatRu_till_25),0)</f>
        <v/>
      </c>
      <c r="AP452" s="193">
        <f>AN452-AO452</f>
        <v/>
      </c>
      <c r="AQ452" s="118">
        <f>IF(offer_sale_type="транзит",SUM(AF452:AI452,BA452,BB452),0)</f>
        <v/>
      </c>
      <c r="AR452" s="82">
        <f>HYPERLINK("https://www.alta.ru/tnved/code/")&amp;W452&amp;"/"</f>
        <v/>
      </c>
      <c r="AS452" s="157" t="n"/>
      <c r="AT452" s="162" t="n"/>
      <c r="AU452" s="76">
        <f>IF(ISBLANK(AT452),0,AJ452-AT452)</f>
        <v/>
      </c>
      <c r="AV452" s="157" t="n"/>
      <c r="AW452" s="75">
        <f>_xlfn.IFNA(VLOOKUP(L452,list_vat[],3,FALSE),0)</f>
        <v/>
      </c>
      <c r="AX452" s="76">
        <f>IFERROR(ROUND(S452*(1+AW452)/E452,2),0)</f>
        <v/>
      </c>
      <c r="AY452" s="76">
        <f>E452*AX452</f>
        <v/>
      </c>
      <c r="AZ452" s="192">
        <f>S452*(1+M452)</f>
        <v/>
      </c>
      <c r="BA452" s="76">
        <f>cost_fin_total*$BD452</f>
        <v/>
      </c>
      <c r="BB452" s="193">
        <f>credit_sales_interest*BD452</f>
        <v/>
      </c>
      <c r="BC452" s="102">
        <f>IFERROR(IF($I$13&gt;0,$I452/$I$13,$S452/$S$13),0)</f>
        <v/>
      </c>
      <c r="BD452" s="102">
        <f>IFERROR($S452/$S$13,0)</f>
        <v/>
      </c>
      <c r="BE452" s="413" t="inlineStr">
        <is>
          <t>$</t>
        </is>
      </c>
    </row>
    <row r="453" ht="12" customFormat="1" customHeight="1" s="65">
      <c r="A453" s="43" t="n">
        <v>438</v>
      </c>
      <c r="B453" s="166" t="n"/>
      <c r="C453" s="166" t="n"/>
      <c r="D453" s="166" t="n"/>
      <c r="E453" s="162" t="n"/>
      <c r="F453" s="166" t="n"/>
      <c r="G453" s="162" t="n"/>
      <c r="H453" s="162" t="n"/>
      <c r="I453" s="189">
        <f>E453*G453</f>
        <v/>
      </c>
      <c r="J453" s="195" t="n"/>
      <c r="K453" s="162" t="n"/>
      <c r="L453" s="168" t="n"/>
      <c r="M453" s="75">
        <f>_xlfn.XLOOKUP(L453,list_vat[Страна],list_vat[Ставка НДС %],0,0)</f>
        <v/>
      </c>
      <c r="N453" s="162">
        <f>IFERROR(IF(L453="Китай",K453,K453/(1+M453)),0)</f>
        <v/>
      </c>
      <c r="O453" s="169" t="n"/>
      <c r="P453" s="76">
        <f>N453*(1-O453)</f>
        <v/>
      </c>
      <c r="Q453" s="162" t="n"/>
      <c r="R453" s="162">
        <f>IF(ISBLANK(Q453),"введи курс",P453/Q453)</f>
        <v/>
      </c>
      <c r="S453" s="196">
        <f>IF(AND(ISNUMBER(E453),ISNUMBER(Q453)),E453*R453,0)</f>
        <v/>
      </c>
      <c r="T453" s="192">
        <f>$BC453*V$11</f>
        <v/>
      </c>
      <c r="U453" s="76">
        <f>$BC453*W$11</f>
        <v/>
      </c>
      <c r="V453" s="193">
        <f>+SUM(T453:U453)</f>
        <v/>
      </c>
      <c r="W453" s="191" t="n"/>
      <c r="X453" s="170" t="n"/>
      <c r="Y453" s="76">
        <f>ROUND(IF(offer_incoterms="DDP",X453*(S453*(1+AW453)+T453),0),2)</f>
        <v/>
      </c>
      <c r="Z453" s="188" t="n"/>
      <c r="AA453" s="192">
        <f>IFERROR(AB453/E453,0)</f>
        <v/>
      </c>
      <c r="AB453" s="76">
        <f>ROUND(SUM(S453,V453,Y453:Z453,BA453:BB453),2)</f>
        <v/>
      </c>
      <c r="AC453" s="797" t="n"/>
      <c r="AD453" s="192">
        <f t="array" ref="AD453">IFERROR(ROUND((_xlfn.IFS(offer_sale_type="поставка",AB453,offer_sale_type="транзит",S453)*(1+AC453))/E453,2),0)</f>
        <v/>
      </c>
      <c r="AE453" s="76">
        <f>AD453*E453</f>
        <v/>
      </c>
      <c r="AF453" s="193">
        <f t="array" ref="AF453">IFERROR(ROUND(_xlfn.IFS(offer_sale_type="поставка",AB453,offer_sale_type="транзит",S453)*AC453,2),0)</f>
        <v/>
      </c>
      <c r="AG453" s="192">
        <f>$BD453*VLOOKUP($AG$3,$AF$4:$AG$7,2,FALSE)</f>
        <v/>
      </c>
      <c r="AH453" s="76">
        <f>SUM(AE453,AG453,AI453)*rate_forex_risk</f>
        <v/>
      </c>
      <c r="AI453" s="193">
        <f>IF(OR(seller_region="TR",offer_sale_type="экспорт"),0,rate_fin_comm)*SUM(AZ453,AZ453*AW453,T453)</f>
        <v/>
      </c>
      <c r="AJ453" s="118">
        <f>IFERROR(ROUND(SUM(AB453,AF453:AI453)/E453,2),0)</f>
        <v/>
      </c>
      <c r="AK453" s="76">
        <f>AJ453*E453</f>
        <v/>
      </c>
      <c r="AL453" s="174">
        <f>ROUND(IFERROR(AM453*E453,0),2)</f>
        <v/>
      </c>
      <c r="AM453" s="175">
        <f>ROUND(AJ453*(1+IF(offer_incoterms="DDP",IF((TODAY()+offer_turnaround_time)&gt;=helpsheet!$L$17,rate_vatRU_from_26,rate_vatRu_till_25),0)),2)</f>
        <v/>
      </c>
      <c r="AN453" s="192">
        <f>AL453-AK453</f>
        <v/>
      </c>
      <c r="AO453" s="76">
        <f>SUM(AY453,Y453:Z453,T453)*IF(AND(offer_incoterms="DDP",offer_sale_type&lt;&gt;"экспорт"),IF((TODAY()+offer_turnaround_time)&gt;=helpsheet!$L$17,rate_vatRU_from_26,rate_vatRu_till_25),0)</f>
        <v/>
      </c>
      <c r="AP453" s="193">
        <f>AN453-AO453</f>
        <v/>
      </c>
      <c r="AQ453" s="118">
        <f>IF(offer_sale_type="транзит",SUM(AF453:AI453,BA453,BB453),0)</f>
        <v/>
      </c>
      <c r="AR453" s="82">
        <f>HYPERLINK("https://www.alta.ru/tnved/code/")&amp;W453&amp;"/"</f>
        <v/>
      </c>
      <c r="AS453" s="157" t="n"/>
      <c r="AT453" s="162" t="n"/>
      <c r="AU453" s="76">
        <f>IF(ISBLANK(AT453),0,AJ453-AT453)</f>
        <v/>
      </c>
      <c r="AV453" s="157" t="n"/>
      <c r="AW453" s="75">
        <f>_xlfn.IFNA(VLOOKUP(L453,list_vat[],3,FALSE),0)</f>
        <v/>
      </c>
      <c r="AX453" s="76">
        <f>IFERROR(ROUND(S453*(1+AW453)/E453,2),0)</f>
        <v/>
      </c>
      <c r="AY453" s="76">
        <f>E453*AX453</f>
        <v/>
      </c>
      <c r="AZ453" s="192">
        <f>S453*(1+M453)</f>
        <v/>
      </c>
      <c r="BA453" s="76">
        <f>cost_fin_total*$BD453</f>
        <v/>
      </c>
      <c r="BB453" s="193">
        <f>credit_sales_interest*BD453</f>
        <v/>
      </c>
      <c r="BC453" s="102">
        <f>IFERROR(IF($I$13&gt;0,$I453/$I$13,$S453/$S$13),0)</f>
        <v/>
      </c>
      <c r="BD453" s="102">
        <f>IFERROR($S453/$S$13,0)</f>
        <v/>
      </c>
      <c r="BE453" s="413" t="inlineStr">
        <is>
          <t>$</t>
        </is>
      </c>
    </row>
    <row r="454" ht="12" customFormat="1" customHeight="1" s="65">
      <c r="A454" s="43" t="n">
        <v>439</v>
      </c>
      <c r="B454" s="166" t="n"/>
      <c r="C454" s="166" t="n"/>
      <c r="D454" s="166" t="n"/>
      <c r="E454" s="162" t="n"/>
      <c r="F454" s="166" t="n"/>
      <c r="G454" s="162" t="n"/>
      <c r="H454" s="162" t="n"/>
      <c r="I454" s="189">
        <f>E454*G454</f>
        <v/>
      </c>
      <c r="J454" s="195" t="n"/>
      <c r="K454" s="162" t="n"/>
      <c r="L454" s="168" t="n"/>
      <c r="M454" s="75">
        <f>_xlfn.XLOOKUP(L454,list_vat[Страна],list_vat[Ставка НДС %],0,0)</f>
        <v/>
      </c>
      <c r="N454" s="162">
        <f>IFERROR(IF(L454="Китай",K454,K454/(1+M454)),0)</f>
        <v/>
      </c>
      <c r="O454" s="169" t="n"/>
      <c r="P454" s="76">
        <f>N454*(1-O454)</f>
        <v/>
      </c>
      <c r="Q454" s="162" t="n"/>
      <c r="R454" s="162">
        <f>IF(ISBLANK(Q454),"введи курс",P454/Q454)</f>
        <v/>
      </c>
      <c r="S454" s="196">
        <f>IF(AND(ISNUMBER(E454),ISNUMBER(Q454)),E454*R454,0)</f>
        <v/>
      </c>
      <c r="T454" s="192">
        <f>$BC454*V$11</f>
        <v/>
      </c>
      <c r="U454" s="76">
        <f>$BC454*W$11</f>
        <v/>
      </c>
      <c r="V454" s="193">
        <f>+SUM(T454:U454)</f>
        <v/>
      </c>
      <c r="W454" s="191" t="n"/>
      <c r="X454" s="170" t="n"/>
      <c r="Y454" s="76">
        <f>ROUND(IF(offer_incoterms="DDP",X454*(S454*(1+AW454)+T454),0),2)</f>
        <v/>
      </c>
      <c r="Z454" s="188" t="n"/>
      <c r="AA454" s="192">
        <f>IFERROR(AB454/E454,0)</f>
        <v/>
      </c>
      <c r="AB454" s="76">
        <f>ROUND(SUM(S454,V454,Y454:Z454,BA454:BB454),2)</f>
        <v/>
      </c>
      <c r="AC454" s="797" t="n"/>
      <c r="AD454" s="192">
        <f t="array" ref="AD454">IFERROR(ROUND((_xlfn.IFS(offer_sale_type="поставка",AB454,offer_sale_type="транзит",S454)*(1+AC454))/E454,2),0)</f>
        <v/>
      </c>
      <c r="AE454" s="76">
        <f>AD454*E454</f>
        <v/>
      </c>
      <c r="AF454" s="193">
        <f t="array" ref="AF454">IFERROR(ROUND(_xlfn.IFS(offer_sale_type="поставка",AB454,offer_sale_type="транзит",S454)*AC454,2),0)</f>
        <v/>
      </c>
      <c r="AG454" s="192">
        <f>$BD454*VLOOKUP($AG$3,$AF$4:$AG$7,2,FALSE)</f>
        <v/>
      </c>
      <c r="AH454" s="76">
        <f>SUM(AE454,AG454,AI454)*rate_forex_risk</f>
        <v/>
      </c>
      <c r="AI454" s="193">
        <f>IF(OR(seller_region="TR",offer_sale_type="экспорт"),0,rate_fin_comm)*SUM(AZ454,AZ454*AW454,T454)</f>
        <v/>
      </c>
      <c r="AJ454" s="118">
        <f>IFERROR(ROUND(SUM(AB454,AF454:AI454)/E454,2),0)</f>
        <v/>
      </c>
      <c r="AK454" s="76">
        <f>AJ454*E454</f>
        <v/>
      </c>
      <c r="AL454" s="174">
        <f>ROUND(IFERROR(AM454*E454,0),2)</f>
        <v/>
      </c>
      <c r="AM454" s="175">
        <f>ROUND(AJ454*(1+IF(offer_incoterms="DDP",IF((TODAY()+offer_turnaround_time)&gt;=helpsheet!$L$17,rate_vatRU_from_26,rate_vatRu_till_25),0)),2)</f>
        <v/>
      </c>
      <c r="AN454" s="192">
        <f>AL454-AK454</f>
        <v/>
      </c>
      <c r="AO454" s="76">
        <f>SUM(AY454,Y454:Z454,T454)*IF(AND(offer_incoterms="DDP",offer_sale_type&lt;&gt;"экспорт"),IF((TODAY()+offer_turnaround_time)&gt;=helpsheet!$L$17,rate_vatRU_from_26,rate_vatRu_till_25),0)</f>
        <v/>
      </c>
      <c r="AP454" s="193">
        <f>AN454-AO454</f>
        <v/>
      </c>
      <c r="AQ454" s="118">
        <f>IF(offer_sale_type="транзит",SUM(AF454:AI454,BA454,BB454),0)</f>
        <v/>
      </c>
      <c r="AR454" s="82">
        <f>HYPERLINK("https://www.alta.ru/tnved/code/")&amp;W454&amp;"/"</f>
        <v/>
      </c>
      <c r="AS454" s="157" t="n"/>
      <c r="AT454" s="162" t="n"/>
      <c r="AU454" s="76">
        <f>IF(ISBLANK(AT454),0,AJ454-AT454)</f>
        <v/>
      </c>
      <c r="AV454" s="157" t="n"/>
      <c r="AW454" s="75">
        <f>_xlfn.IFNA(VLOOKUP(L454,list_vat[],3,FALSE),0)</f>
        <v/>
      </c>
      <c r="AX454" s="76">
        <f>IFERROR(ROUND(S454*(1+AW454)/E454,2),0)</f>
        <v/>
      </c>
      <c r="AY454" s="76">
        <f>E454*AX454</f>
        <v/>
      </c>
      <c r="AZ454" s="192">
        <f>S454*(1+M454)</f>
        <v/>
      </c>
      <c r="BA454" s="76">
        <f>cost_fin_total*$BD454</f>
        <v/>
      </c>
      <c r="BB454" s="193">
        <f>credit_sales_interest*BD454</f>
        <v/>
      </c>
      <c r="BC454" s="102">
        <f>IFERROR(IF($I$13&gt;0,$I454/$I$13,$S454/$S$13),0)</f>
        <v/>
      </c>
      <c r="BD454" s="102">
        <f>IFERROR($S454/$S$13,0)</f>
        <v/>
      </c>
      <c r="BE454" s="413" t="inlineStr">
        <is>
          <t>$</t>
        </is>
      </c>
    </row>
    <row r="455" ht="12" customFormat="1" customHeight="1" s="65">
      <c r="A455" s="43" t="n">
        <v>440</v>
      </c>
      <c r="B455" s="166" t="n"/>
      <c r="C455" s="166" t="n"/>
      <c r="D455" s="166" t="n"/>
      <c r="E455" s="162" t="n"/>
      <c r="F455" s="166" t="n"/>
      <c r="G455" s="162" t="n"/>
      <c r="H455" s="162" t="n"/>
      <c r="I455" s="189">
        <f>E455*G455</f>
        <v/>
      </c>
      <c r="J455" s="195" t="n"/>
      <c r="K455" s="162" t="n"/>
      <c r="L455" s="168" t="n"/>
      <c r="M455" s="75">
        <f>_xlfn.XLOOKUP(L455,list_vat[Страна],list_vat[Ставка НДС %],0,0)</f>
        <v/>
      </c>
      <c r="N455" s="162">
        <f>IFERROR(IF(L455="Китай",K455,K455/(1+M455)),0)</f>
        <v/>
      </c>
      <c r="O455" s="169" t="n"/>
      <c r="P455" s="76">
        <f>N455*(1-O455)</f>
        <v/>
      </c>
      <c r="Q455" s="162" t="n"/>
      <c r="R455" s="162">
        <f>IF(ISBLANK(Q455),"введи курс",P455/Q455)</f>
        <v/>
      </c>
      <c r="S455" s="196">
        <f>IF(AND(ISNUMBER(E455),ISNUMBER(Q455)),E455*R455,0)</f>
        <v/>
      </c>
      <c r="T455" s="192">
        <f>$BC455*V$11</f>
        <v/>
      </c>
      <c r="U455" s="76">
        <f>$BC455*W$11</f>
        <v/>
      </c>
      <c r="V455" s="193">
        <f>+SUM(T455:U455)</f>
        <v/>
      </c>
      <c r="W455" s="191" t="n"/>
      <c r="X455" s="170" t="n"/>
      <c r="Y455" s="76">
        <f>ROUND(IF(offer_incoterms="DDP",X455*(S455*(1+AW455)+T455),0),2)</f>
        <v/>
      </c>
      <c r="Z455" s="188" t="n"/>
      <c r="AA455" s="192">
        <f>IFERROR(AB455/E455,0)</f>
        <v/>
      </c>
      <c r="AB455" s="76">
        <f>ROUND(SUM(S455,V455,Y455:Z455,BA455:BB455),2)</f>
        <v/>
      </c>
      <c r="AC455" s="797" t="n"/>
      <c r="AD455" s="192">
        <f t="array" ref="AD455">IFERROR(ROUND((_xlfn.IFS(offer_sale_type="поставка",AB455,offer_sale_type="транзит",S455)*(1+AC455))/E455,2),0)</f>
        <v/>
      </c>
      <c r="AE455" s="76">
        <f>AD455*E455</f>
        <v/>
      </c>
      <c r="AF455" s="193">
        <f t="array" ref="AF455">IFERROR(ROUND(_xlfn.IFS(offer_sale_type="поставка",AB455,offer_sale_type="транзит",S455)*AC455,2),0)</f>
        <v/>
      </c>
      <c r="AG455" s="192">
        <f>$BD455*VLOOKUP($AG$3,$AF$4:$AG$7,2,FALSE)</f>
        <v/>
      </c>
      <c r="AH455" s="76">
        <f>SUM(AE455,AG455,AI455)*rate_forex_risk</f>
        <v/>
      </c>
      <c r="AI455" s="193">
        <f>IF(OR(seller_region="TR",offer_sale_type="экспорт"),0,rate_fin_comm)*SUM(AZ455,AZ455*AW455,T455)</f>
        <v/>
      </c>
      <c r="AJ455" s="118">
        <f>IFERROR(ROUND(SUM(AB455,AF455:AI455)/E455,2),0)</f>
        <v/>
      </c>
      <c r="AK455" s="76">
        <f>AJ455*E455</f>
        <v/>
      </c>
      <c r="AL455" s="174">
        <f>ROUND(IFERROR(AM455*E455,0),2)</f>
        <v/>
      </c>
      <c r="AM455" s="175">
        <f>ROUND(AJ455*(1+IF(offer_incoterms="DDP",IF((TODAY()+offer_turnaround_time)&gt;=helpsheet!$L$17,rate_vatRU_from_26,rate_vatRu_till_25),0)),2)</f>
        <v/>
      </c>
      <c r="AN455" s="192">
        <f>AL455-AK455</f>
        <v/>
      </c>
      <c r="AO455" s="76">
        <f>SUM(AY455,Y455:Z455,T455)*IF(AND(offer_incoterms="DDP",offer_sale_type&lt;&gt;"экспорт"),IF((TODAY()+offer_turnaround_time)&gt;=helpsheet!$L$17,rate_vatRU_from_26,rate_vatRu_till_25),0)</f>
        <v/>
      </c>
      <c r="AP455" s="193">
        <f>AN455-AO455</f>
        <v/>
      </c>
      <c r="AQ455" s="118">
        <f>IF(offer_sale_type="транзит",SUM(AF455:AI455,BA455,BB455),0)</f>
        <v/>
      </c>
      <c r="AR455" s="82">
        <f>HYPERLINK("https://www.alta.ru/tnved/code/")&amp;W455&amp;"/"</f>
        <v/>
      </c>
      <c r="AS455" s="157" t="n"/>
      <c r="AT455" s="162" t="n"/>
      <c r="AU455" s="76">
        <f>IF(ISBLANK(AT455),0,AJ455-AT455)</f>
        <v/>
      </c>
      <c r="AV455" s="157" t="n"/>
      <c r="AW455" s="75">
        <f>_xlfn.IFNA(VLOOKUP(L455,list_vat[],3,FALSE),0)</f>
        <v/>
      </c>
      <c r="AX455" s="76">
        <f>IFERROR(ROUND(S455*(1+AW455)/E455,2),0)</f>
        <v/>
      </c>
      <c r="AY455" s="76">
        <f>E455*AX455</f>
        <v/>
      </c>
      <c r="AZ455" s="192">
        <f>S455*(1+M455)</f>
        <v/>
      </c>
      <c r="BA455" s="76">
        <f>cost_fin_total*$BD455</f>
        <v/>
      </c>
      <c r="BB455" s="193">
        <f>credit_sales_interest*BD455</f>
        <v/>
      </c>
      <c r="BC455" s="102">
        <f>IFERROR(IF($I$13&gt;0,$I455/$I$13,$S455/$S$13),0)</f>
        <v/>
      </c>
      <c r="BD455" s="102">
        <f>IFERROR($S455/$S$13,0)</f>
        <v/>
      </c>
      <c r="BE455" s="413" t="inlineStr">
        <is>
          <t>$</t>
        </is>
      </c>
    </row>
    <row r="456" ht="12" customFormat="1" customHeight="1" s="65">
      <c r="A456" s="43" t="n">
        <v>441</v>
      </c>
      <c r="B456" s="166" t="n"/>
      <c r="C456" s="166" t="n"/>
      <c r="D456" s="166" t="n"/>
      <c r="E456" s="162" t="n"/>
      <c r="F456" s="166" t="n"/>
      <c r="G456" s="162" t="n"/>
      <c r="H456" s="162" t="n"/>
      <c r="I456" s="189">
        <f>E456*G456</f>
        <v/>
      </c>
      <c r="J456" s="195" t="n"/>
      <c r="K456" s="162" t="n"/>
      <c r="L456" s="168" t="n"/>
      <c r="M456" s="75">
        <f>_xlfn.XLOOKUP(L456,list_vat[Страна],list_vat[Ставка НДС %],0,0)</f>
        <v/>
      </c>
      <c r="N456" s="162">
        <f>IFERROR(IF(L456="Китай",K456,K456/(1+M456)),0)</f>
        <v/>
      </c>
      <c r="O456" s="169" t="n"/>
      <c r="P456" s="76">
        <f>N456*(1-O456)</f>
        <v/>
      </c>
      <c r="Q456" s="162" t="n"/>
      <c r="R456" s="162">
        <f>IF(ISBLANK(Q456),"введи курс",P456/Q456)</f>
        <v/>
      </c>
      <c r="S456" s="196">
        <f>IF(AND(ISNUMBER(E456),ISNUMBER(Q456)),E456*R456,0)</f>
        <v/>
      </c>
      <c r="T456" s="192">
        <f>$BC456*V$11</f>
        <v/>
      </c>
      <c r="U456" s="76">
        <f>$BC456*W$11</f>
        <v/>
      </c>
      <c r="V456" s="193">
        <f>+SUM(T456:U456)</f>
        <v/>
      </c>
      <c r="W456" s="191" t="n"/>
      <c r="X456" s="170" t="n"/>
      <c r="Y456" s="76">
        <f>ROUND(IF(offer_incoterms="DDP",X456*(S456*(1+AW456)+T456),0),2)</f>
        <v/>
      </c>
      <c r="Z456" s="188" t="n"/>
      <c r="AA456" s="192">
        <f>IFERROR(AB456/E456,0)</f>
        <v/>
      </c>
      <c r="AB456" s="76">
        <f>ROUND(SUM(S456,V456,Y456:Z456,BA456:BB456),2)</f>
        <v/>
      </c>
      <c r="AC456" s="797" t="n"/>
      <c r="AD456" s="192">
        <f t="array" ref="AD456">IFERROR(ROUND((_xlfn.IFS(offer_sale_type="поставка",AB456,offer_sale_type="транзит",S456)*(1+AC456))/E456,2),0)</f>
        <v/>
      </c>
      <c r="AE456" s="76">
        <f>AD456*E456</f>
        <v/>
      </c>
      <c r="AF456" s="193">
        <f t="array" ref="AF456">IFERROR(ROUND(_xlfn.IFS(offer_sale_type="поставка",AB456,offer_sale_type="транзит",S456)*AC456,2),0)</f>
        <v/>
      </c>
      <c r="AG456" s="192">
        <f>$BD456*VLOOKUP($AG$3,$AF$4:$AG$7,2,FALSE)</f>
        <v/>
      </c>
      <c r="AH456" s="76">
        <f>SUM(AE456,AG456,AI456)*rate_forex_risk</f>
        <v/>
      </c>
      <c r="AI456" s="193">
        <f>IF(OR(seller_region="TR",offer_sale_type="экспорт"),0,rate_fin_comm)*SUM(AZ456,AZ456*AW456,T456)</f>
        <v/>
      </c>
      <c r="AJ456" s="118">
        <f>IFERROR(ROUND(SUM(AB456,AF456:AI456)/E456,2),0)</f>
        <v/>
      </c>
      <c r="AK456" s="76">
        <f>AJ456*E456</f>
        <v/>
      </c>
      <c r="AL456" s="174">
        <f>ROUND(IFERROR(AM456*E456,0),2)</f>
        <v/>
      </c>
      <c r="AM456" s="175">
        <f>ROUND(AJ456*(1+IF(offer_incoterms="DDP",IF((TODAY()+offer_turnaround_time)&gt;=helpsheet!$L$17,rate_vatRU_from_26,rate_vatRu_till_25),0)),2)</f>
        <v/>
      </c>
      <c r="AN456" s="192">
        <f>AL456-AK456</f>
        <v/>
      </c>
      <c r="AO456" s="76">
        <f>SUM(AY456,Y456:Z456,T456)*IF(AND(offer_incoterms="DDP",offer_sale_type&lt;&gt;"экспорт"),IF((TODAY()+offer_turnaround_time)&gt;=helpsheet!$L$17,rate_vatRU_from_26,rate_vatRu_till_25),0)</f>
        <v/>
      </c>
      <c r="AP456" s="193">
        <f>AN456-AO456</f>
        <v/>
      </c>
      <c r="AQ456" s="118">
        <f>IF(offer_sale_type="транзит",SUM(AF456:AI456,BA456,BB456),0)</f>
        <v/>
      </c>
      <c r="AR456" s="82">
        <f>HYPERLINK("https://www.alta.ru/tnved/code/")&amp;W456&amp;"/"</f>
        <v/>
      </c>
      <c r="AS456" s="157" t="n"/>
      <c r="AT456" s="162" t="n"/>
      <c r="AU456" s="76">
        <f>IF(ISBLANK(AT456),0,AJ456-AT456)</f>
        <v/>
      </c>
      <c r="AV456" s="157" t="n"/>
      <c r="AW456" s="75">
        <f>_xlfn.IFNA(VLOOKUP(L456,list_vat[],3,FALSE),0)</f>
        <v/>
      </c>
      <c r="AX456" s="76">
        <f>IFERROR(ROUND(S456*(1+AW456)/E456,2),0)</f>
        <v/>
      </c>
      <c r="AY456" s="76">
        <f>E456*AX456</f>
        <v/>
      </c>
      <c r="AZ456" s="192">
        <f>S456*(1+M456)</f>
        <v/>
      </c>
      <c r="BA456" s="76">
        <f>cost_fin_total*$BD456</f>
        <v/>
      </c>
      <c r="BB456" s="193">
        <f>credit_sales_interest*BD456</f>
        <v/>
      </c>
      <c r="BC456" s="102">
        <f>IFERROR(IF($I$13&gt;0,$I456/$I$13,$S456/$S$13),0)</f>
        <v/>
      </c>
      <c r="BD456" s="102">
        <f>IFERROR($S456/$S$13,0)</f>
        <v/>
      </c>
      <c r="BE456" s="413" t="inlineStr">
        <is>
          <t>$</t>
        </is>
      </c>
    </row>
    <row r="457" ht="12" customFormat="1" customHeight="1" s="65">
      <c r="A457" s="43" t="n">
        <v>442</v>
      </c>
      <c r="B457" s="166" t="n"/>
      <c r="C457" s="166" t="n"/>
      <c r="D457" s="166" t="n"/>
      <c r="E457" s="162" t="n"/>
      <c r="F457" s="166" t="n"/>
      <c r="G457" s="162" t="n"/>
      <c r="H457" s="162" t="n"/>
      <c r="I457" s="189">
        <f>E457*G457</f>
        <v/>
      </c>
      <c r="J457" s="195" t="n"/>
      <c r="K457" s="162" t="n"/>
      <c r="L457" s="168" t="n"/>
      <c r="M457" s="75">
        <f>_xlfn.XLOOKUP(L457,list_vat[Страна],list_vat[Ставка НДС %],0,0)</f>
        <v/>
      </c>
      <c r="N457" s="162">
        <f>IFERROR(IF(L457="Китай",K457,K457/(1+M457)),0)</f>
        <v/>
      </c>
      <c r="O457" s="169" t="n"/>
      <c r="P457" s="76">
        <f>N457*(1-O457)</f>
        <v/>
      </c>
      <c r="Q457" s="162" t="n"/>
      <c r="R457" s="162">
        <f>IF(ISBLANK(Q457),"введи курс",P457/Q457)</f>
        <v/>
      </c>
      <c r="S457" s="196">
        <f>IF(AND(ISNUMBER(E457),ISNUMBER(Q457)),E457*R457,0)</f>
        <v/>
      </c>
      <c r="T457" s="192">
        <f>$BC457*V$11</f>
        <v/>
      </c>
      <c r="U457" s="76">
        <f>$BC457*W$11</f>
        <v/>
      </c>
      <c r="V457" s="193">
        <f>+SUM(T457:U457)</f>
        <v/>
      </c>
      <c r="W457" s="191" t="n"/>
      <c r="X457" s="170" t="n"/>
      <c r="Y457" s="76">
        <f>ROUND(IF(offer_incoterms="DDP",X457*(S457*(1+AW457)+T457),0),2)</f>
        <v/>
      </c>
      <c r="Z457" s="188" t="n"/>
      <c r="AA457" s="192">
        <f>IFERROR(AB457/E457,0)</f>
        <v/>
      </c>
      <c r="AB457" s="76">
        <f>ROUND(SUM(S457,V457,Y457:Z457,BA457:BB457),2)</f>
        <v/>
      </c>
      <c r="AC457" s="797" t="n"/>
      <c r="AD457" s="192">
        <f t="array" ref="AD457">IFERROR(ROUND((_xlfn.IFS(offer_sale_type="поставка",AB457,offer_sale_type="транзит",S457)*(1+AC457))/E457,2),0)</f>
        <v/>
      </c>
      <c r="AE457" s="76">
        <f>AD457*E457</f>
        <v/>
      </c>
      <c r="AF457" s="193">
        <f t="array" ref="AF457">IFERROR(ROUND(_xlfn.IFS(offer_sale_type="поставка",AB457,offer_sale_type="транзит",S457)*AC457,2),0)</f>
        <v/>
      </c>
      <c r="AG457" s="192">
        <f>$BD457*VLOOKUP($AG$3,$AF$4:$AG$7,2,FALSE)</f>
        <v/>
      </c>
      <c r="AH457" s="76">
        <f>SUM(AE457,AG457,AI457)*rate_forex_risk</f>
        <v/>
      </c>
      <c r="AI457" s="193">
        <f>IF(OR(seller_region="TR",offer_sale_type="экспорт"),0,rate_fin_comm)*SUM(AZ457,AZ457*AW457,T457)</f>
        <v/>
      </c>
      <c r="AJ457" s="118">
        <f>IFERROR(ROUND(SUM(AB457,AF457:AI457)/E457,2),0)</f>
        <v/>
      </c>
      <c r="AK457" s="76">
        <f>AJ457*E457</f>
        <v/>
      </c>
      <c r="AL457" s="174">
        <f>ROUND(IFERROR(AM457*E457,0),2)</f>
        <v/>
      </c>
      <c r="AM457" s="175">
        <f>ROUND(AJ457*(1+IF(offer_incoterms="DDP",IF((TODAY()+offer_turnaround_time)&gt;=helpsheet!$L$17,rate_vatRU_from_26,rate_vatRu_till_25),0)),2)</f>
        <v/>
      </c>
      <c r="AN457" s="192">
        <f>AL457-AK457</f>
        <v/>
      </c>
      <c r="AO457" s="76">
        <f>SUM(AY457,Y457:Z457,T457)*IF(AND(offer_incoterms="DDP",offer_sale_type&lt;&gt;"экспорт"),IF((TODAY()+offer_turnaround_time)&gt;=helpsheet!$L$17,rate_vatRU_from_26,rate_vatRu_till_25),0)</f>
        <v/>
      </c>
      <c r="AP457" s="193">
        <f>AN457-AO457</f>
        <v/>
      </c>
      <c r="AQ457" s="118">
        <f>IF(offer_sale_type="транзит",SUM(AF457:AI457,BA457,BB457),0)</f>
        <v/>
      </c>
      <c r="AR457" s="82">
        <f>HYPERLINK("https://www.alta.ru/tnved/code/")&amp;W457&amp;"/"</f>
        <v/>
      </c>
      <c r="AS457" s="157" t="n"/>
      <c r="AT457" s="162" t="n"/>
      <c r="AU457" s="76">
        <f>IF(ISBLANK(AT457),0,AJ457-AT457)</f>
        <v/>
      </c>
      <c r="AV457" s="157" t="n"/>
      <c r="AW457" s="75">
        <f>_xlfn.IFNA(VLOOKUP(L457,list_vat[],3,FALSE),0)</f>
        <v/>
      </c>
      <c r="AX457" s="76">
        <f>IFERROR(ROUND(S457*(1+AW457)/E457,2),0)</f>
        <v/>
      </c>
      <c r="AY457" s="76">
        <f>E457*AX457</f>
        <v/>
      </c>
      <c r="AZ457" s="192">
        <f>S457*(1+M457)</f>
        <v/>
      </c>
      <c r="BA457" s="76">
        <f>cost_fin_total*$BD457</f>
        <v/>
      </c>
      <c r="BB457" s="193">
        <f>credit_sales_interest*BD457</f>
        <v/>
      </c>
      <c r="BC457" s="102">
        <f>IFERROR(IF($I$13&gt;0,$I457/$I$13,$S457/$S$13),0)</f>
        <v/>
      </c>
      <c r="BD457" s="102">
        <f>IFERROR($S457/$S$13,0)</f>
        <v/>
      </c>
      <c r="BE457" s="413" t="inlineStr">
        <is>
          <t>$</t>
        </is>
      </c>
    </row>
    <row r="458" ht="12" customFormat="1" customHeight="1" s="65">
      <c r="A458" s="43" t="n">
        <v>443</v>
      </c>
      <c r="B458" s="166" t="n"/>
      <c r="C458" s="166" t="n"/>
      <c r="D458" s="166" t="n"/>
      <c r="E458" s="162" t="n"/>
      <c r="F458" s="166" t="n"/>
      <c r="G458" s="162" t="n"/>
      <c r="H458" s="162" t="n"/>
      <c r="I458" s="189">
        <f>E458*G458</f>
        <v/>
      </c>
      <c r="J458" s="195" t="n"/>
      <c r="K458" s="162" t="n"/>
      <c r="L458" s="168" t="n"/>
      <c r="M458" s="75">
        <f>_xlfn.XLOOKUP(L458,list_vat[Страна],list_vat[Ставка НДС %],0,0)</f>
        <v/>
      </c>
      <c r="N458" s="162">
        <f>IFERROR(IF(L458="Китай",K458,K458/(1+M458)),0)</f>
        <v/>
      </c>
      <c r="O458" s="169" t="n"/>
      <c r="P458" s="76">
        <f>N458*(1-O458)</f>
        <v/>
      </c>
      <c r="Q458" s="162" t="n"/>
      <c r="R458" s="162">
        <f>IF(ISBLANK(Q458),"введи курс",P458/Q458)</f>
        <v/>
      </c>
      <c r="S458" s="196">
        <f>IF(AND(ISNUMBER(E458),ISNUMBER(Q458)),E458*R458,0)</f>
        <v/>
      </c>
      <c r="T458" s="192">
        <f>$BC458*V$11</f>
        <v/>
      </c>
      <c r="U458" s="76">
        <f>$BC458*W$11</f>
        <v/>
      </c>
      <c r="V458" s="193">
        <f>+SUM(T458:U458)</f>
        <v/>
      </c>
      <c r="W458" s="191" t="n"/>
      <c r="X458" s="170" t="n"/>
      <c r="Y458" s="76">
        <f>ROUND(IF(offer_incoterms="DDP",X458*(S458*(1+AW458)+T458),0),2)</f>
        <v/>
      </c>
      <c r="Z458" s="188" t="n"/>
      <c r="AA458" s="192">
        <f>IFERROR(AB458/E458,0)</f>
        <v/>
      </c>
      <c r="AB458" s="76">
        <f>ROUND(SUM(S458,V458,Y458:Z458,BA458:BB458),2)</f>
        <v/>
      </c>
      <c r="AC458" s="797" t="n"/>
      <c r="AD458" s="192">
        <f t="array" ref="AD458">IFERROR(ROUND((_xlfn.IFS(offer_sale_type="поставка",AB458,offer_sale_type="транзит",S458)*(1+AC458))/E458,2),0)</f>
        <v/>
      </c>
      <c r="AE458" s="76">
        <f>AD458*E458</f>
        <v/>
      </c>
      <c r="AF458" s="193">
        <f t="array" ref="AF458">IFERROR(ROUND(_xlfn.IFS(offer_sale_type="поставка",AB458,offer_sale_type="транзит",S458)*AC458,2),0)</f>
        <v/>
      </c>
      <c r="AG458" s="192">
        <f>$BD458*VLOOKUP($AG$3,$AF$4:$AG$7,2,FALSE)</f>
        <v/>
      </c>
      <c r="AH458" s="76">
        <f>SUM(AE458,AG458,AI458)*rate_forex_risk</f>
        <v/>
      </c>
      <c r="AI458" s="193">
        <f>IF(OR(seller_region="TR",offer_sale_type="экспорт"),0,rate_fin_comm)*SUM(AZ458,AZ458*AW458,T458)</f>
        <v/>
      </c>
      <c r="AJ458" s="118">
        <f>IFERROR(ROUND(SUM(AB458,AF458:AI458)/E458,2),0)</f>
        <v/>
      </c>
      <c r="AK458" s="76">
        <f>AJ458*E458</f>
        <v/>
      </c>
      <c r="AL458" s="174">
        <f>ROUND(IFERROR(AM458*E458,0),2)</f>
        <v/>
      </c>
      <c r="AM458" s="175">
        <f>ROUND(AJ458*(1+IF(offer_incoterms="DDP",IF((TODAY()+offer_turnaround_time)&gt;=helpsheet!$L$17,rate_vatRU_from_26,rate_vatRu_till_25),0)),2)</f>
        <v/>
      </c>
      <c r="AN458" s="192">
        <f>AL458-AK458</f>
        <v/>
      </c>
      <c r="AO458" s="76">
        <f>SUM(AY458,Y458:Z458,T458)*IF(AND(offer_incoterms="DDP",offer_sale_type&lt;&gt;"экспорт"),IF((TODAY()+offer_turnaround_time)&gt;=helpsheet!$L$17,rate_vatRU_from_26,rate_vatRu_till_25),0)</f>
        <v/>
      </c>
      <c r="AP458" s="193">
        <f>AN458-AO458</f>
        <v/>
      </c>
      <c r="AQ458" s="118">
        <f>IF(offer_sale_type="транзит",SUM(AF458:AI458,BA458,BB458),0)</f>
        <v/>
      </c>
      <c r="AR458" s="82">
        <f>HYPERLINK("https://www.alta.ru/tnved/code/")&amp;W458&amp;"/"</f>
        <v/>
      </c>
      <c r="AS458" s="157" t="n"/>
      <c r="AT458" s="162" t="n"/>
      <c r="AU458" s="76">
        <f>IF(ISBLANK(AT458),0,AJ458-AT458)</f>
        <v/>
      </c>
      <c r="AV458" s="157" t="n"/>
      <c r="AW458" s="75">
        <f>_xlfn.IFNA(VLOOKUP(L458,list_vat[],3,FALSE),0)</f>
        <v/>
      </c>
      <c r="AX458" s="76">
        <f>IFERROR(ROUND(S458*(1+AW458)/E458,2),0)</f>
        <v/>
      </c>
      <c r="AY458" s="76">
        <f>E458*AX458</f>
        <v/>
      </c>
      <c r="AZ458" s="192">
        <f>S458*(1+M458)</f>
        <v/>
      </c>
      <c r="BA458" s="76">
        <f>cost_fin_total*$BD458</f>
        <v/>
      </c>
      <c r="BB458" s="193">
        <f>credit_sales_interest*BD458</f>
        <v/>
      </c>
      <c r="BC458" s="102">
        <f>IFERROR(IF($I$13&gt;0,$I458/$I$13,$S458/$S$13),0)</f>
        <v/>
      </c>
      <c r="BD458" s="102">
        <f>IFERROR($S458/$S$13,0)</f>
        <v/>
      </c>
      <c r="BE458" s="413" t="inlineStr">
        <is>
          <t>$</t>
        </is>
      </c>
    </row>
    <row r="459" ht="12" customFormat="1" customHeight="1" s="65">
      <c r="A459" s="43" t="n">
        <v>444</v>
      </c>
      <c r="B459" s="166" t="n"/>
      <c r="C459" s="166" t="n"/>
      <c r="D459" s="166" t="n"/>
      <c r="E459" s="162" t="n"/>
      <c r="F459" s="166" t="n"/>
      <c r="G459" s="162" t="n"/>
      <c r="H459" s="162" t="n"/>
      <c r="I459" s="189">
        <f>E459*G459</f>
        <v/>
      </c>
      <c r="J459" s="195" t="n"/>
      <c r="K459" s="162" t="n"/>
      <c r="L459" s="168" t="n"/>
      <c r="M459" s="75">
        <f>_xlfn.XLOOKUP(L459,list_vat[Страна],list_vat[Ставка НДС %],0,0)</f>
        <v/>
      </c>
      <c r="N459" s="162">
        <f>IFERROR(IF(L459="Китай",K459,K459/(1+M459)),0)</f>
        <v/>
      </c>
      <c r="O459" s="169" t="n"/>
      <c r="P459" s="76">
        <f>N459*(1-O459)</f>
        <v/>
      </c>
      <c r="Q459" s="162" t="n"/>
      <c r="R459" s="162">
        <f>IF(ISBLANK(Q459),"введи курс",P459/Q459)</f>
        <v/>
      </c>
      <c r="S459" s="196">
        <f>IF(AND(ISNUMBER(E459),ISNUMBER(Q459)),E459*R459,0)</f>
        <v/>
      </c>
      <c r="T459" s="192">
        <f>$BC459*V$11</f>
        <v/>
      </c>
      <c r="U459" s="76">
        <f>$BC459*W$11</f>
        <v/>
      </c>
      <c r="V459" s="193">
        <f>+SUM(T459:U459)</f>
        <v/>
      </c>
      <c r="W459" s="191" t="n"/>
      <c r="X459" s="170" t="n"/>
      <c r="Y459" s="76">
        <f>ROUND(IF(offer_incoterms="DDP",X459*(S459*(1+AW459)+T459),0),2)</f>
        <v/>
      </c>
      <c r="Z459" s="188" t="n"/>
      <c r="AA459" s="192">
        <f>IFERROR(AB459/E459,0)</f>
        <v/>
      </c>
      <c r="AB459" s="76">
        <f>ROUND(SUM(S459,V459,Y459:Z459,BA459:BB459),2)</f>
        <v/>
      </c>
      <c r="AC459" s="797" t="n"/>
      <c r="AD459" s="192">
        <f t="array" ref="AD459">IFERROR(ROUND((_xlfn.IFS(offer_sale_type="поставка",AB459,offer_sale_type="транзит",S459)*(1+AC459))/E459,2),0)</f>
        <v/>
      </c>
      <c r="AE459" s="76">
        <f>AD459*E459</f>
        <v/>
      </c>
      <c r="AF459" s="193">
        <f t="array" ref="AF459">IFERROR(ROUND(_xlfn.IFS(offer_sale_type="поставка",AB459,offer_sale_type="транзит",S459)*AC459,2),0)</f>
        <v/>
      </c>
      <c r="AG459" s="192">
        <f>$BD459*VLOOKUP($AG$3,$AF$4:$AG$7,2,FALSE)</f>
        <v/>
      </c>
      <c r="AH459" s="76">
        <f>SUM(AE459,AG459,AI459)*rate_forex_risk</f>
        <v/>
      </c>
      <c r="AI459" s="193">
        <f>IF(OR(seller_region="TR",offer_sale_type="экспорт"),0,rate_fin_comm)*SUM(AZ459,AZ459*AW459,T459)</f>
        <v/>
      </c>
      <c r="AJ459" s="118">
        <f>IFERROR(ROUND(SUM(AB459,AF459:AI459)/E459,2),0)</f>
        <v/>
      </c>
      <c r="AK459" s="76">
        <f>AJ459*E459</f>
        <v/>
      </c>
      <c r="AL459" s="174">
        <f>ROUND(IFERROR(AM459*E459,0),2)</f>
        <v/>
      </c>
      <c r="AM459" s="175">
        <f>ROUND(AJ459*(1+IF(offer_incoterms="DDP",IF((TODAY()+offer_turnaround_time)&gt;=helpsheet!$L$17,rate_vatRU_from_26,rate_vatRu_till_25),0)),2)</f>
        <v/>
      </c>
      <c r="AN459" s="192">
        <f>AL459-AK459</f>
        <v/>
      </c>
      <c r="AO459" s="76">
        <f>SUM(AY459,Y459:Z459,T459)*IF(AND(offer_incoterms="DDP",offer_sale_type&lt;&gt;"экспорт"),IF((TODAY()+offer_turnaround_time)&gt;=helpsheet!$L$17,rate_vatRU_from_26,rate_vatRu_till_25),0)</f>
        <v/>
      </c>
      <c r="AP459" s="193">
        <f>AN459-AO459</f>
        <v/>
      </c>
      <c r="AQ459" s="118">
        <f>IF(offer_sale_type="транзит",SUM(AF459:AI459,BA459,BB459),0)</f>
        <v/>
      </c>
      <c r="AR459" s="82">
        <f>HYPERLINK("https://www.alta.ru/tnved/code/")&amp;W459&amp;"/"</f>
        <v/>
      </c>
      <c r="AS459" s="157" t="n"/>
      <c r="AT459" s="162" t="n"/>
      <c r="AU459" s="76">
        <f>IF(ISBLANK(AT459),0,AJ459-AT459)</f>
        <v/>
      </c>
      <c r="AV459" s="157" t="n"/>
      <c r="AW459" s="75">
        <f>_xlfn.IFNA(VLOOKUP(L459,list_vat[],3,FALSE),0)</f>
        <v/>
      </c>
      <c r="AX459" s="76">
        <f>IFERROR(ROUND(S459*(1+AW459)/E459,2),0)</f>
        <v/>
      </c>
      <c r="AY459" s="76">
        <f>E459*AX459</f>
        <v/>
      </c>
      <c r="AZ459" s="192">
        <f>S459*(1+M459)</f>
        <v/>
      </c>
      <c r="BA459" s="76">
        <f>cost_fin_total*$BD459</f>
        <v/>
      </c>
      <c r="BB459" s="193">
        <f>credit_sales_interest*BD459</f>
        <v/>
      </c>
      <c r="BC459" s="102">
        <f>IFERROR(IF($I$13&gt;0,$I459/$I$13,$S459/$S$13),0)</f>
        <v/>
      </c>
      <c r="BD459" s="102">
        <f>IFERROR($S459/$S$13,0)</f>
        <v/>
      </c>
      <c r="BE459" s="413" t="inlineStr">
        <is>
          <t>$</t>
        </is>
      </c>
    </row>
    <row r="460" ht="12" customFormat="1" customHeight="1" s="65">
      <c r="A460" s="43" t="n">
        <v>445</v>
      </c>
      <c r="B460" s="166" t="n"/>
      <c r="C460" s="166" t="n"/>
      <c r="D460" s="166" t="n"/>
      <c r="E460" s="162" t="n"/>
      <c r="F460" s="166" t="n"/>
      <c r="G460" s="162" t="n"/>
      <c r="H460" s="162" t="n"/>
      <c r="I460" s="189">
        <f>E460*G460</f>
        <v/>
      </c>
      <c r="J460" s="195" t="n"/>
      <c r="K460" s="162" t="n"/>
      <c r="L460" s="168" t="n"/>
      <c r="M460" s="75">
        <f>_xlfn.XLOOKUP(L460,list_vat[Страна],list_vat[Ставка НДС %],0,0)</f>
        <v/>
      </c>
      <c r="N460" s="162">
        <f>IFERROR(IF(L460="Китай",K460,K460/(1+M460)),0)</f>
        <v/>
      </c>
      <c r="O460" s="169" t="n"/>
      <c r="P460" s="76">
        <f>N460*(1-O460)</f>
        <v/>
      </c>
      <c r="Q460" s="162" t="n"/>
      <c r="R460" s="162">
        <f>IF(ISBLANK(Q460),"введи курс",P460/Q460)</f>
        <v/>
      </c>
      <c r="S460" s="196">
        <f>IF(AND(ISNUMBER(E460),ISNUMBER(Q460)),E460*R460,0)</f>
        <v/>
      </c>
      <c r="T460" s="192">
        <f>$BC460*V$11</f>
        <v/>
      </c>
      <c r="U460" s="76">
        <f>$BC460*W$11</f>
        <v/>
      </c>
      <c r="V460" s="193">
        <f>+SUM(T460:U460)</f>
        <v/>
      </c>
      <c r="W460" s="191" t="n"/>
      <c r="X460" s="170" t="n"/>
      <c r="Y460" s="76">
        <f>ROUND(IF(offer_incoterms="DDP",X460*(S460*(1+AW460)+T460),0),2)</f>
        <v/>
      </c>
      <c r="Z460" s="188" t="n"/>
      <c r="AA460" s="192">
        <f>IFERROR(AB460/E460,0)</f>
        <v/>
      </c>
      <c r="AB460" s="76">
        <f>ROUND(SUM(S460,V460,Y460:Z460,BA460:BB460),2)</f>
        <v/>
      </c>
      <c r="AC460" s="797" t="n"/>
      <c r="AD460" s="192">
        <f t="array" ref="AD460">IFERROR(ROUND((_xlfn.IFS(offer_sale_type="поставка",AB460,offer_sale_type="транзит",S460)*(1+AC460))/E460,2),0)</f>
        <v/>
      </c>
      <c r="AE460" s="76">
        <f>AD460*E460</f>
        <v/>
      </c>
      <c r="AF460" s="193">
        <f t="array" ref="AF460">IFERROR(ROUND(_xlfn.IFS(offer_sale_type="поставка",AB460,offer_sale_type="транзит",S460)*AC460,2),0)</f>
        <v/>
      </c>
      <c r="AG460" s="192">
        <f>$BD460*VLOOKUP($AG$3,$AF$4:$AG$7,2,FALSE)</f>
        <v/>
      </c>
      <c r="AH460" s="76">
        <f>SUM(AE460,AG460,AI460)*rate_forex_risk</f>
        <v/>
      </c>
      <c r="AI460" s="193">
        <f>IF(OR(seller_region="TR",offer_sale_type="экспорт"),0,rate_fin_comm)*SUM(AZ460,AZ460*AW460,T460)</f>
        <v/>
      </c>
      <c r="AJ460" s="118">
        <f>IFERROR(ROUND(SUM(AB460,AF460:AI460)/E460,2),0)</f>
        <v/>
      </c>
      <c r="AK460" s="76">
        <f>AJ460*E460</f>
        <v/>
      </c>
      <c r="AL460" s="174">
        <f>ROUND(IFERROR(AM460*E460,0),2)</f>
        <v/>
      </c>
      <c r="AM460" s="175">
        <f>ROUND(AJ460*(1+IF(offer_incoterms="DDP",IF((TODAY()+offer_turnaround_time)&gt;=helpsheet!$L$17,rate_vatRU_from_26,rate_vatRu_till_25),0)),2)</f>
        <v/>
      </c>
      <c r="AN460" s="192">
        <f>AL460-AK460</f>
        <v/>
      </c>
      <c r="AO460" s="76">
        <f>SUM(AY460,Y460:Z460,T460)*IF(AND(offer_incoterms="DDP",offer_sale_type&lt;&gt;"экспорт"),IF((TODAY()+offer_turnaround_time)&gt;=helpsheet!$L$17,rate_vatRU_from_26,rate_vatRu_till_25),0)</f>
        <v/>
      </c>
      <c r="AP460" s="193">
        <f>AN460-AO460</f>
        <v/>
      </c>
      <c r="AQ460" s="118">
        <f>IF(offer_sale_type="транзит",SUM(AF460:AI460,BA460,BB460),0)</f>
        <v/>
      </c>
      <c r="AR460" s="82">
        <f>HYPERLINK("https://www.alta.ru/tnved/code/")&amp;W460&amp;"/"</f>
        <v/>
      </c>
      <c r="AS460" s="157" t="n"/>
      <c r="AT460" s="162" t="n"/>
      <c r="AU460" s="76">
        <f>IF(ISBLANK(AT460),0,AJ460-AT460)</f>
        <v/>
      </c>
      <c r="AV460" s="157" t="n"/>
      <c r="AW460" s="75">
        <f>_xlfn.IFNA(VLOOKUP(L460,list_vat[],3,FALSE),0)</f>
        <v/>
      </c>
      <c r="AX460" s="76">
        <f>IFERROR(ROUND(S460*(1+AW460)/E460,2),0)</f>
        <v/>
      </c>
      <c r="AY460" s="76">
        <f>E460*AX460</f>
        <v/>
      </c>
      <c r="AZ460" s="192">
        <f>S460*(1+M460)</f>
        <v/>
      </c>
      <c r="BA460" s="76">
        <f>cost_fin_total*$BD460</f>
        <v/>
      </c>
      <c r="BB460" s="193">
        <f>credit_sales_interest*BD460</f>
        <v/>
      </c>
      <c r="BC460" s="102">
        <f>IFERROR(IF($I$13&gt;0,$I460/$I$13,$S460/$S$13),0)</f>
        <v/>
      </c>
      <c r="BD460" s="102">
        <f>IFERROR($S460/$S$13,0)</f>
        <v/>
      </c>
      <c r="BE460" s="413" t="inlineStr">
        <is>
          <t>$</t>
        </is>
      </c>
    </row>
    <row r="461" ht="12" customFormat="1" customHeight="1" s="65">
      <c r="A461" s="43" t="n">
        <v>446</v>
      </c>
      <c r="B461" s="166" t="n"/>
      <c r="C461" s="166" t="n"/>
      <c r="D461" s="166" t="n"/>
      <c r="E461" s="162" t="n"/>
      <c r="F461" s="166" t="n"/>
      <c r="G461" s="162" t="n"/>
      <c r="H461" s="162" t="n"/>
      <c r="I461" s="189">
        <f>E461*G461</f>
        <v/>
      </c>
      <c r="J461" s="195" t="n"/>
      <c r="K461" s="162" t="n"/>
      <c r="L461" s="168" t="n"/>
      <c r="M461" s="75">
        <f>_xlfn.XLOOKUP(L461,list_vat[Страна],list_vat[Ставка НДС %],0,0)</f>
        <v/>
      </c>
      <c r="N461" s="162">
        <f>IFERROR(IF(L461="Китай",K461,K461/(1+M461)),0)</f>
        <v/>
      </c>
      <c r="O461" s="169" t="n"/>
      <c r="P461" s="76">
        <f>N461*(1-O461)</f>
        <v/>
      </c>
      <c r="Q461" s="162" t="n"/>
      <c r="R461" s="162">
        <f>IF(ISBLANK(Q461),"введи курс",P461/Q461)</f>
        <v/>
      </c>
      <c r="S461" s="196">
        <f>IF(AND(ISNUMBER(E461),ISNUMBER(Q461)),E461*R461,0)</f>
        <v/>
      </c>
      <c r="T461" s="192">
        <f>$BC461*V$11</f>
        <v/>
      </c>
      <c r="U461" s="76">
        <f>$BC461*W$11</f>
        <v/>
      </c>
      <c r="V461" s="193">
        <f>+SUM(T461:U461)</f>
        <v/>
      </c>
      <c r="W461" s="191" t="n"/>
      <c r="X461" s="170" t="n"/>
      <c r="Y461" s="76">
        <f>ROUND(IF(offer_incoterms="DDP",X461*(S461*(1+AW461)+T461),0),2)</f>
        <v/>
      </c>
      <c r="Z461" s="188" t="n"/>
      <c r="AA461" s="192">
        <f>IFERROR(AB461/E461,0)</f>
        <v/>
      </c>
      <c r="AB461" s="76">
        <f>ROUND(SUM(S461,V461,Y461:Z461,BA461:BB461),2)</f>
        <v/>
      </c>
      <c r="AC461" s="797" t="n"/>
      <c r="AD461" s="192">
        <f t="array" ref="AD461">IFERROR(ROUND((_xlfn.IFS(offer_sale_type="поставка",AB461,offer_sale_type="транзит",S461)*(1+AC461))/E461,2),0)</f>
        <v/>
      </c>
      <c r="AE461" s="76">
        <f>AD461*E461</f>
        <v/>
      </c>
      <c r="AF461" s="193">
        <f t="array" ref="AF461">IFERROR(ROUND(_xlfn.IFS(offer_sale_type="поставка",AB461,offer_sale_type="транзит",S461)*AC461,2),0)</f>
        <v/>
      </c>
      <c r="AG461" s="192">
        <f>$BD461*VLOOKUP($AG$3,$AF$4:$AG$7,2,FALSE)</f>
        <v/>
      </c>
      <c r="AH461" s="76">
        <f>SUM(AE461,AG461,AI461)*rate_forex_risk</f>
        <v/>
      </c>
      <c r="AI461" s="193">
        <f>IF(OR(seller_region="TR",offer_sale_type="экспорт"),0,rate_fin_comm)*SUM(AZ461,AZ461*AW461,T461)</f>
        <v/>
      </c>
      <c r="AJ461" s="118">
        <f>IFERROR(ROUND(SUM(AB461,AF461:AI461)/E461,2),0)</f>
        <v/>
      </c>
      <c r="AK461" s="76">
        <f>AJ461*E461</f>
        <v/>
      </c>
      <c r="AL461" s="174">
        <f>ROUND(IFERROR(AM461*E461,0),2)</f>
        <v/>
      </c>
      <c r="AM461" s="175">
        <f>ROUND(AJ461*(1+IF(offer_incoterms="DDP",IF((TODAY()+offer_turnaround_time)&gt;=helpsheet!$L$17,rate_vatRU_from_26,rate_vatRu_till_25),0)),2)</f>
        <v/>
      </c>
      <c r="AN461" s="192">
        <f>AL461-AK461</f>
        <v/>
      </c>
      <c r="AO461" s="76">
        <f>SUM(AY461,Y461:Z461,T461)*IF(AND(offer_incoterms="DDP",offer_sale_type&lt;&gt;"экспорт"),IF((TODAY()+offer_turnaround_time)&gt;=helpsheet!$L$17,rate_vatRU_from_26,rate_vatRu_till_25),0)</f>
        <v/>
      </c>
      <c r="AP461" s="193">
        <f>AN461-AO461</f>
        <v/>
      </c>
      <c r="AQ461" s="118">
        <f>IF(offer_sale_type="транзит",SUM(AF461:AI461,BA461,BB461),0)</f>
        <v/>
      </c>
      <c r="AR461" s="82">
        <f>HYPERLINK("https://www.alta.ru/tnved/code/")&amp;W461&amp;"/"</f>
        <v/>
      </c>
      <c r="AS461" s="157" t="n"/>
      <c r="AT461" s="162" t="n"/>
      <c r="AU461" s="76">
        <f>IF(ISBLANK(AT461),0,AJ461-AT461)</f>
        <v/>
      </c>
      <c r="AV461" s="157" t="n"/>
      <c r="AW461" s="75">
        <f>_xlfn.IFNA(VLOOKUP(L461,list_vat[],3,FALSE),0)</f>
        <v/>
      </c>
      <c r="AX461" s="76">
        <f>IFERROR(ROUND(S461*(1+AW461)/E461,2),0)</f>
        <v/>
      </c>
      <c r="AY461" s="76">
        <f>E461*AX461</f>
        <v/>
      </c>
      <c r="AZ461" s="192">
        <f>S461*(1+M461)</f>
        <v/>
      </c>
      <c r="BA461" s="76">
        <f>cost_fin_total*$BD461</f>
        <v/>
      </c>
      <c r="BB461" s="193">
        <f>credit_sales_interest*BD461</f>
        <v/>
      </c>
      <c r="BC461" s="102">
        <f>IFERROR(IF($I$13&gt;0,$I461/$I$13,$S461/$S$13),0)</f>
        <v/>
      </c>
      <c r="BD461" s="102">
        <f>IFERROR($S461/$S$13,0)</f>
        <v/>
      </c>
      <c r="BE461" s="413" t="inlineStr">
        <is>
          <t>$</t>
        </is>
      </c>
    </row>
    <row r="462" ht="12" customFormat="1" customHeight="1" s="65">
      <c r="A462" s="43" t="n">
        <v>447</v>
      </c>
      <c r="B462" s="166" t="n"/>
      <c r="C462" s="166" t="n"/>
      <c r="D462" s="166" t="n"/>
      <c r="E462" s="162" t="n"/>
      <c r="F462" s="166" t="n"/>
      <c r="G462" s="162" t="n"/>
      <c r="H462" s="162" t="n"/>
      <c r="I462" s="189">
        <f>E462*G462</f>
        <v/>
      </c>
      <c r="J462" s="195" t="n"/>
      <c r="K462" s="162" t="n"/>
      <c r="L462" s="168" t="n"/>
      <c r="M462" s="75">
        <f>_xlfn.XLOOKUP(L462,list_vat[Страна],list_vat[Ставка НДС %],0,0)</f>
        <v/>
      </c>
      <c r="N462" s="162">
        <f>IFERROR(IF(L462="Китай",K462,K462/(1+M462)),0)</f>
        <v/>
      </c>
      <c r="O462" s="169" t="n"/>
      <c r="P462" s="76">
        <f>N462*(1-O462)</f>
        <v/>
      </c>
      <c r="Q462" s="162" t="n"/>
      <c r="R462" s="162">
        <f>IF(ISBLANK(Q462),"введи курс",P462/Q462)</f>
        <v/>
      </c>
      <c r="S462" s="196">
        <f>IF(AND(ISNUMBER(E462),ISNUMBER(Q462)),E462*R462,0)</f>
        <v/>
      </c>
      <c r="T462" s="192">
        <f>$BC462*V$11</f>
        <v/>
      </c>
      <c r="U462" s="76">
        <f>$BC462*W$11</f>
        <v/>
      </c>
      <c r="V462" s="193">
        <f>+SUM(T462:U462)</f>
        <v/>
      </c>
      <c r="W462" s="191" t="n"/>
      <c r="X462" s="170" t="n"/>
      <c r="Y462" s="76">
        <f>ROUND(IF(offer_incoterms="DDP",X462*(S462*(1+AW462)+T462),0),2)</f>
        <v/>
      </c>
      <c r="Z462" s="188" t="n"/>
      <c r="AA462" s="192">
        <f>IFERROR(AB462/E462,0)</f>
        <v/>
      </c>
      <c r="AB462" s="76">
        <f>ROUND(SUM(S462,V462,Y462:Z462,BA462:BB462),2)</f>
        <v/>
      </c>
      <c r="AC462" s="797" t="n"/>
      <c r="AD462" s="192">
        <f t="array" ref="AD462">IFERROR(ROUND((_xlfn.IFS(offer_sale_type="поставка",AB462,offer_sale_type="транзит",S462)*(1+AC462))/E462,2),0)</f>
        <v/>
      </c>
      <c r="AE462" s="76">
        <f>AD462*E462</f>
        <v/>
      </c>
      <c r="AF462" s="193">
        <f t="array" ref="AF462">IFERROR(ROUND(_xlfn.IFS(offer_sale_type="поставка",AB462,offer_sale_type="транзит",S462)*AC462,2),0)</f>
        <v/>
      </c>
      <c r="AG462" s="192">
        <f>$BD462*VLOOKUP($AG$3,$AF$4:$AG$7,2,FALSE)</f>
        <v/>
      </c>
      <c r="AH462" s="76">
        <f>SUM(AE462,AG462,AI462)*rate_forex_risk</f>
        <v/>
      </c>
      <c r="AI462" s="193">
        <f>IF(OR(seller_region="TR",offer_sale_type="экспорт"),0,rate_fin_comm)*SUM(AZ462,AZ462*AW462,T462)</f>
        <v/>
      </c>
      <c r="AJ462" s="118">
        <f>IFERROR(ROUND(SUM(AB462,AF462:AI462)/E462,2),0)</f>
        <v/>
      </c>
      <c r="AK462" s="76">
        <f>AJ462*E462</f>
        <v/>
      </c>
      <c r="AL462" s="174">
        <f>ROUND(IFERROR(AM462*E462,0),2)</f>
        <v/>
      </c>
      <c r="AM462" s="175">
        <f>ROUND(AJ462*(1+IF(offer_incoterms="DDP",IF((TODAY()+offer_turnaround_time)&gt;=helpsheet!$L$17,rate_vatRU_from_26,rate_vatRu_till_25),0)),2)</f>
        <v/>
      </c>
      <c r="AN462" s="192">
        <f>AL462-AK462</f>
        <v/>
      </c>
      <c r="AO462" s="76">
        <f>SUM(AY462,Y462:Z462,T462)*IF(AND(offer_incoterms="DDP",offer_sale_type&lt;&gt;"экспорт"),IF((TODAY()+offer_turnaround_time)&gt;=helpsheet!$L$17,rate_vatRU_from_26,rate_vatRu_till_25),0)</f>
        <v/>
      </c>
      <c r="AP462" s="193">
        <f>AN462-AO462</f>
        <v/>
      </c>
      <c r="AQ462" s="118">
        <f>IF(offer_sale_type="транзит",SUM(AF462:AI462,BA462,BB462),0)</f>
        <v/>
      </c>
      <c r="AR462" s="82">
        <f>HYPERLINK("https://www.alta.ru/tnved/code/")&amp;W462&amp;"/"</f>
        <v/>
      </c>
      <c r="AS462" s="157" t="n"/>
      <c r="AT462" s="162" t="n"/>
      <c r="AU462" s="76">
        <f>IF(ISBLANK(AT462),0,AJ462-AT462)</f>
        <v/>
      </c>
      <c r="AV462" s="157" t="n"/>
      <c r="AW462" s="75">
        <f>_xlfn.IFNA(VLOOKUP(L462,list_vat[],3,FALSE),0)</f>
        <v/>
      </c>
      <c r="AX462" s="76">
        <f>IFERROR(ROUND(S462*(1+AW462)/E462,2),0)</f>
        <v/>
      </c>
      <c r="AY462" s="76">
        <f>E462*AX462</f>
        <v/>
      </c>
      <c r="AZ462" s="192">
        <f>S462*(1+M462)</f>
        <v/>
      </c>
      <c r="BA462" s="76">
        <f>cost_fin_total*$BD462</f>
        <v/>
      </c>
      <c r="BB462" s="193">
        <f>credit_sales_interest*BD462</f>
        <v/>
      </c>
      <c r="BC462" s="102">
        <f>IFERROR(IF($I$13&gt;0,$I462/$I$13,$S462/$S$13),0)</f>
        <v/>
      </c>
      <c r="BD462" s="102">
        <f>IFERROR($S462/$S$13,0)</f>
        <v/>
      </c>
      <c r="BE462" s="413" t="inlineStr">
        <is>
          <t>$</t>
        </is>
      </c>
    </row>
    <row r="463" ht="12" customFormat="1" customHeight="1" s="65">
      <c r="A463" s="43" t="n">
        <v>448</v>
      </c>
      <c r="B463" s="166" t="n"/>
      <c r="C463" s="166" t="n"/>
      <c r="D463" s="166" t="n"/>
      <c r="E463" s="162" t="n"/>
      <c r="F463" s="166" t="n"/>
      <c r="G463" s="162" t="n"/>
      <c r="H463" s="162" t="n"/>
      <c r="I463" s="189">
        <f>E463*G463</f>
        <v/>
      </c>
      <c r="J463" s="195" t="n"/>
      <c r="K463" s="162" t="n"/>
      <c r="L463" s="168" t="n"/>
      <c r="M463" s="75">
        <f>_xlfn.XLOOKUP(L463,list_vat[Страна],list_vat[Ставка НДС %],0,0)</f>
        <v/>
      </c>
      <c r="N463" s="162">
        <f>IFERROR(IF(L463="Китай",K463,K463/(1+M463)),0)</f>
        <v/>
      </c>
      <c r="O463" s="169" t="n"/>
      <c r="P463" s="76">
        <f>N463*(1-O463)</f>
        <v/>
      </c>
      <c r="Q463" s="162" t="n"/>
      <c r="R463" s="162">
        <f>IF(ISBLANK(Q463),"введи курс",P463/Q463)</f>
        <v/>
      </c>
      <c r="S463" s="196">
        <f>IF(AND(ISNUMBER(E463),ISNUMBER(Q463)),E463*R463,0)</f>
        <v/>
      </c>
      <c r="T463" s="192">
        <f>$BC463*V$11</f>
        <v/>
      </c>
      <c r="U463" s="76">
        <f>$BC463*W$11</f>
        <v/>
      </c>
      <c r="V463" s="193">
        <f>+SUM(T463:U463)</f>
        <v/>
      </c>
      <c r="W463" s="191" t="n"/>
      <c r="X463" s="170" t="n"/>
      <c r="Y463" s="76">
        <f>ROUND(IF(offer_incoterms="DDP",X463*(S463*(1+AW463)+T463),0),2)</f>
        <v/>
      </c>
      <c r="Z463" s="188" t="n"/>
      <c r="AA463" s="192">
        <f>IFERROR(AB463/E463,0)</f>
        <v/>
      </c>
      <c r="AB463" s="76">
        <f>ROUND(SUM(S463,V463,Y463:Z463,BA463:BB463),2)</f>
        <v/>
      </c>
      <c r="AC463" s="797" t="n"/>
      <c r="AD463" s="192">
        <f t="array" ref="AD463">IFERROR(ROUND((_xlfn.IFS(offer_sale_type="поставка",AB463,offer_sale_type="транзит",S463)*(1+AC463))/E463,2),0)</f>
        <v/>
      </c>
      <c r="AE463" s="76">
        <f>AD463*E463</f>
        <v/>
      </c>
      <c r="AF463" s="193">
        <f t="array" ref="AF463">IFERROR(ROUND(_xlfn.IFS(offer_sale_type="поставка",AB463,offer_sale_type="транзит",S463)*AC463,2),0)</f>
        <v/>
      </c>
      <c r="AG463" s="192">
        <f>$BD463*VLOOKUP($AG$3,$AF$4:$AG$7,2,FALSE)</f>
        <v/>
      </c>
      <c r="AH463" s="76">
        <f>SUM(AE463,AG463,AI463)*rate_forex_risk</f>
        <v/>
      </c>
      <c r="AI463" s="193">
        <f>IF(OR(seller_region="TR",offer_sale_type="экспорт"),0,rate_fin_comm)*SUM(AZ463,AZ463*AW463,T463)</f>
        <v/>
      </c>
      <c r="AJ463" s="118">
        <f>IFERROR(ROUND(SUM(AB463,AF463:AI463)/E463,2),0)</f>
        <v/>
      </c>
      <c r="AK463" s="76">
        <f>AJ463*E463</f>
        <v/>
      </c>
      <c r="AL463" s="174">
        <f>ROUND(IFERROR(AM463*E463,0),2)</f>
        <v/>
      </c>
      <c r="AM463" s="175">
        <f>ROUND(AJ463*(1+IF(offer_incoterms="DDP",IF((TODAY()+offer_turnaround_time)&gt;=helpsheet!$L$17,rate_vatRU_from_26,rate_vatRu_till_25),0)),2)</f>
        <v/>
      </c>
      <c r="AN463" s="192">
        <f>AL463-AK463</f>
        <v/>
      </c>
      <c r="AO463" s="76">
        <f>SUM(AY463,Y463:Z463,T463)*IF(AND(offer_incoterms="DDP",offer_sale_type&lt;&gt;"экспорт"),IF((TODAY()+offer_turnaround_time)&gt;=helpsheet!$L$17,rate_vatRU_from_26,rate_vatRu_till_25),0)</f>
        <v/>
      </c>
      <c r="AP463" s="193">
        <f>AN463-AO463</f>
        <v/>
      </c>
      <c r="AQ463" s="118">
        <f>IF(offer_sale_type="транзит",SUM(AF463:AI463,BA463,BB463),0)</f>
        <v/>
      </c>
      <c r="AR463" s="82">
        <f>HYPERLINK("https://www.alta.ru/tnved/code/")&amp;W463&amp;"/"</f>
        <v/>
      </c>
      <c r="AS463" s="157" t="n"/>
      <c r="AT463" s="162" t="n"/>
      <c r="AU463" s="76">
        <f>IF(ISBLANK(AT463),0,AJ463-AT463)</f>
        <v/>
      </c>
      <c r="AV463" s="157" t="n"/>
      <c r="AW463" s="75">
        <f>_xlfn.IFNA(VLOOKUP(L463,list_vat[],3,FALSE),0)</f>
        <v/>
      </c>
      <c r="AX463" s="76">
        <f>IFERROR(ROUND(S463*(1+AW463)/E463,2),0)</f>
        <v/>
      </c>
      <c r="AY463" s="76">
        <f>E463*AX463</f>
        <v/>
      </c>
      <c r="AZ463" s="192">
        <f>S463*(1+M463)</f>
        <v/>
      </c>
      <c r="BA463" s="76">
        <f>cost_fin_total*$BD463</f>
        <v/>
      </c>
      <c r="BB463" s="193">
        <f>credit_sales_interest*BD463</f>
        <v/>
      </c>
      <c r="BC463" s="102">
        <f>IFERROR(IF($I$13&gt;0,$I463/$I$13,$S463/$S$13),0)</f>
        <v/>
      </c>
      <c r="BD463" s="102">
        <f>IFERROR($S463/$S$13,0)</f>
        <v/>
      </c>
      <c r="BE463" s="413" t="inlineStr">
        <is>
          <t>$</t>
        </is>
      </c>
    </row>
    <row r="464" ht="12" customFormat="1" customHeight="1" s="65">
      <c r="A464" s="43" t="n">
        <v>449</v>
      </c>
      <c r="B464" s="166" t="n"/>
      <c r="C464" s="166" t="n"/>
      <c r="D464" s="166" t="n"/>
      <c r="E464" s="162" t="n"/>
      <c r="F464" s="166" t="n"/>
      <c r="G464" s="162" t="n"/>
      <c r="H464" s="162" t="n"/>
      <c r="I464" s="189">
        <f>E464*G464</f>
        <v/>
      </c>
      <c r="J464" s="195" t="n"/>
      <c r="K464" s="162" t="n"/>
      <c r="L464" s="168" t="n"/>
      <c r="M464" s="75">
        <f>_xlfn.XLOOKUP(L464,list_vat[Страна],list_vat[Ставка НДС %],0,0)</f>
        <v/>
      </c>
      <c r="N464" s="162">
        <f>IFERROR(IF(L464="Китай",K464,K464/(1+M464)),0)</f>
        <v/>
      </c>
      <c r="O464" s="169" t="n"/>
      <c r="P464" s="76">
        <f>N464*(1-O464)</f>
        <v/>
      </c>
      <c r="Q464" s="162" t="n"/>
      <c r="R464" s="162">
        <f>IF(ISBLANK(Q464),"введи курс",P464/Q464)</f>
        <v/>
      </c>
      <c r="S464" s="196">
        <f>IF(AND(ISNUMBER(E464),ISNUMBER(Q464)),E464*R464,0)</f>
        <v/>
      </c>
      <c r="T464" s="192">
        <f>$BC464*V$11</f>
        <v/>
      </c>
      <c r="U464" s="76">
        <f>$BC464*W$11</f>
        <v/>
      </c>
      <c r="V464" s="193">
        <f>+SUM(T464:U464)</f>
        <v/>
      </c>
      <c r="W464" s="191" t="n"/>
      <c r="X464" s="170" t="n"/>
      <c r="Y464" s="76">
        <f>ROUND(IF(offer_incoterms="DDP",X464*(S464*(1+AW464)+T464),0),2)</f>
        <v/>
      </c>
      <c r="Z464" s="188" t="n"/>
      <c r="AA464" s="192">
        <f>IFERROR(AB464/E464,0)</f>
        <v/>
      </c>
      <c r="AB464" s="76">
        <f>ROUND(SUM(S464,V464,Y464:Z464,BA464:BB464),2)</f>
        <v/>
      </c>
      <c r="AC464" s="797" t="n"/>
      <c r="AD464" s="192">
        <f t="array" ref="AD464">IFERROR(ROUND((_xlfn.IFS(offer_sale_type="поставка",AB464,offer_sale_type="транзит",S464)*(1+AC464))/E464,2),0)</f>
        <v/>
      </c>
      <c r="AE464" s="76">
        <f>AD464*E464</f>
        <v/>
      </c>
      <c r="AF464" s="193">
        <f t="array" ref="AF464">IFERROR(ROUND(_xlfn.IFS(offer_sale_type="поставка",AB464,offer_sale_type="транзит",S464)*AC464,2),0)</f>
        <v/>
      </c>
      <c r="AG464" s="192">
        <f>$BD464*VLOOKUP($AG$3,$AF$4:$AG$7,2,FALSE)</f>
        <v/>
      </c>
      <c r="AH464" s="76">
        <f>SUM(AE464,AG464,AI464)*rate_forex_risk</f>
        <v/>
      </c>
      <c r="AI464" s="193">
        <f>IF(OR(seller_region="TR",offer_sale_type="экспорт"),0,rate_fin_comm)*SUM(AZ464,AZ464*AW464,T464)</f>
        <v/>
      </c>
      <c r="AJ464" s="118">
        <f>IFERROR(ROUND(SUM(AB464,AF464:AI464)/E464,2),0)</f>
        <v/>
      </c>
      <c r="AK464" s="76">
        <f>AJ464*E464</f>
        <v/>
      </c>
      <c r="AL464" s="174">
        <f>ROUND(IFERROR(AM464*E464,0),2)</f>
        <v/>
      </c>
      <c r="AM464" s="175">
        <f>ROUND(AJ464*(1+IF(offer_incoterms="DDP",IF((TODAY()+offer_turnaround_time)&gt;=helpsheet!$L$17,rate_vatRU_from_26,rate_vatRu_till_25),0)),2)</f>
        <v/>
      </c>
      <c r="AN464" s="192">
        <f>AL464-AK464</f>
        <v/>
      </c>
      <c r="AO464" s="76">
        <f>SUM(AY464,Y464:Z464,T464)*IF(AND(offer_incoterms="DDP",offer_sale_type&lt;&gt;"экспорт"),IF((TODAY()+offer_turnaround_time)&gt;=helpsheet!$L$17,rate_vatRU_from_26,rate_vatRu_till_25),0)</f>
        <v/>
      </c>
      <c r="AP464" s="193">
        <f>AN464-AO464</f>
        <v/>
      </c>
      <c r="AQ464" s="118">
        <f>IF(offer_sale_type="транзит",SUM(AF464:AI464,BA464,BB464),0)</f>
        <v/>
      </c>
      <c r="AR464" s="82">
        <f>HYPERLINK("https://www.alta.ru/tnved/code/")&amp;W464&amp;"/"</f>
        <v/>
      </c>
      <c r="AS464" s="157" t="n"/>
      <c r="AT464" s="162" t="n"/>
      <c r="AU464" s="76">
        <f>IF(ISBLANK(AT464),0,AJ464-AT464)</f>
        <v/>
      </c>
      <c r="AV464" s="157" t="n"/>
      <c r="AW464" s="75">
        <f>_xlfn.IFNA(VLOOKUP(L464,list_vat[],3,FALSE),0)</f>
        <v/>
      </c>
      <c r="AX464" s="76">
        <f>IFERROR(ROUND(S464*(1+AW464)/E464,2),0)</f>
        <v/>
      </c>
      <c r="AY464" s="76">
        <f>E464*AX464</f>
        <v/>
      </c>
      <c r="AZ464" s="192">
        <f>S464*(1+M464)</f>
        <v/>
      </c>
      <c r="BA464" s="76">
        <f>cost_fin_total*$BD464</f>
        <v/>
      </c>
      <c r="BB464" s="193">
        <f>credit_sales_interest*BD464</f>
        <v/>
      </c>
      <c r="BC464" s="102">
        <f>IFERROR(IF($I$13&gt;0,$I464/$I$13,$S464/$S$13),0)</f>
        <v/>
      </c>
      <c r="BD464" s="102">
        <f>IFERROR($S464/$S$13,0)</f>
        <v/>
      </c>
      <c r="BE464" s="413" t="inlineStr">
        <is>
          <t>$</t>
        </is>
      </c>
    </row>
    <row r="465" ht="12" customFormat="1" customHeight="1" s="65">
      <c r="A465" s="43" t="n">
        <v>450</v>
      </c>
      <c r="B465" s="166" t="n"/>
      <c r="C465" s="166" t="n"/>
      <c r="D465" s="166" t="n"/>
      <c r="E465" s="162" t="n"/>
      <c r="F465" s="166" t="n"/>
      <c r="G465" s="162" t="n"/>
      <c r="H465" s="162" t="n"/>
      <c r="I465" s="189">
        <f>E465*G465</f>
        <v/>
      </c>
      <c r="J465" s="195" t="n"/>
      <c r="K465" s="162" t="n"/>
      <c r="L465" s="168" t="n"/>
      <c r="M465" s="75">
        <f>_xlfn.XLOOKUP(L465,list_vat[Страна],list_vat[Ставка НДС %],0,0)</f>
        <v/>
      </c>
      <c r="N465" s="162">
        <f>IFERROR(IF(L465="Китай",K465,K465/(1+M465)),0)</f>
        <v/>
      </c>
      <c r="O465" s="169" t="n"/>
      <c r="P465" s="76">
        <f>N465*(1-O465)</f>
        <v/>
      </c>
      <c r="Q465" s="162" t="n"/>
      <c r="R465" s="162">
        <f>IF(ISBLANK(Q465),"введи курс",P465/Q465)</f>
        <v/>
      </c>
      <c r="S465" s="196">
        <f>IF(AND(ISNUMBER(E465),ISNUMBER(Q465)),E465*R465,0)</f>
        <v/>
      </c>
      <c r="T465" s="192">
        <f>$BC465*V$11</f>
        <v/>
      </c>
      <c r="U465" s="76">
        <f>$BC465*W$11</f>
        <v/>
      </c>
      <c r="V465" s="193">
        <f>+SUM(T465:U465)</f>
        <v/>
      </c>
      <c r="W465" s="191" t="n"/>
      <c r="X465" s="170" t="n"/>
      <c r="Y465" s="76">
        <f>ROUND(IF(offer_incoterms="DDP",X465*(S465*(1+AW465)+T465),0),2)</f>
        <v/>
      </c>
      <c r="Z465" s="188" t="n"/>
      <c r="AA465" s="192">
        <f>IFERROR(AB465/E465,0)</f>
        <v/>
      </c>
      <c r="AB465" s="76">
        <f>ROUND(SUM(S465,V465,Y465:Z465,BA465:BB465),2)</f>
        <v/>
      </c>
      <c r="AC465" s="797" t="n"/>
      <c r="AD465" s="192">
        <f t="array" ref="AD465">IFERROR(ROUND((_xlfn.IFS(offer_sale_type="поставка",AB465,offer_sale_type="транзит",S465)*(1+AC465))/E465,2),0)</f>
        <v/>
      </c>
      <c r="AE465" s="76">
        <f>AD465*E465</f>
        <v/>
      </c>
      <c r="AF465" s="193">
        <f t="array" ref="AF465">IFERROR(ROUND(_xlfn.IFS(offer_sale_type="поставка",AB465,offer_sale_type="транзит",S465)*AC465,2),0)</f>
        <v/>
      </c>
      <c r="AG465" s="192">
        <f>$BD465*VLOOKUP($AG$3,$AF$4:$AG$7,2,FALSE)</f>
        <v/>
      </c>
      <c r="AH465" s="76">
        <f>SUM(AE465,AG465,AI465)*rate_forex_risk</f>
        <v/>
      </c>
      <c r="AI465" s="193">
        <f>IF(OR(seller_region="TR",offer_sale_type="экспорт"),0,rate_fin_comm)*SUM(AZ465,AZ465*AW465,T465)</f>
        <v/>
      </c>
      <c r="AJ465" s="118">
        <f>IFERROR(ROUND(SUM(AB465,AF465:AI465)/E465,2),0)</f>
        <v/>
      </c>
      <c r="AK465" s="76">
        <f>AJ465*E465</f>
        <v/>
      </c>
      <c r="AL465" s="174">
        <f>ROUND(IFERROR(AM465*E465,0),2)</f>
        <v/>
      </c>
      <c r="AM465" s="175">
        <f>ROUND(AJ465*(1+IF(offer_incoterms="DDP",IF((TODAY()+offer_turnaround_time)&gt;=helpsheet!$L$17,rate_vatRU_from_26,rate_vatRu_till_25),0)),2)</f>
        <v/>
      </c>
      <c r="AN465" s="192">
        <f>AL465-AK465</f>
        <v/>
      </c>
      <c r="AO465" s="76">
        <f>SUM(AY465,Y465:Z465,T465)*IF(AND(offer_incoterms="DDP",offer_sale_type&lt;&gt;"экспорт"),IF((TODAY()+offer_turnaround_time)&gt;=helpsheet!$L$17,rate_vatRU_from_26,rate_vatRu_till_25),0)</f>
        <v/>
      </c>
      <c r="AP465" s="193">
        <f>AN465-AO465</f>
        <v/>
      </c>
      <c r="AQ465" s="118">
        <f>IF(offer_sale_type="транзит",SUM(AF465:AI465,BA465,BB465),0)</f>
        <v/>
      </c>
      <c r="AR465" s="82">
        <f>HYPERLINK("https://www.alta.ru/tnved/code/")&amp;W465&amp;"/"</f>
        <v/>
      </c>
      <c r="AS465" s="157" t="n"/>
      <c r="AT465" s="162" t="n"/>
      <c r="AU465" s="76">
        <f>IF(ISBLANK(AT465),0,AJ465-AT465)</f>
        <v/>
      </c>
      <c r="AV465" s="157" t="n"/>
      <c r="AW465" s="75">
        <f>_xlfn.IFNA(VLOOKUP(L465,list_vat[],3,FALSE),0)</f>
        <v/>
      </c>
      <c r="AX465" s="76">
        <f>IFERROR(ROUND(S465*(1+AW465)/E465,2),0)</f>
        <v/>
      </c>
      <c r="AY465" s="76">
        <f>E465*AX465</f>
        <v/>
      </c>
      <c r="AZ465" s="192">
        <f>S465*(1+M465)</f>
        <v/>
      </c>
      <c r="BA465" s="76">
        <f>cost_fin_total*$BD465</f>
        <v/>
      </c>
      <c r="BB465" s="193">
        <f>credit_sales_interest*BD465</f>
        <v/>
      </c>
      <c r="BC465" s="102">
        <f>IFERROR(IF($I$13&gt;0,$I465/$I$13,$S465/$S$13),0)</f>
        <v/>
      </c>
      <c r="BD465" s="102">
        <f>IFERROR($S465/$S$13,0)</f>
        <v/>
      </c>
      <c r="BE465" s="413" t="inlineStr">
        <is>
          <t>$</t>
        </is>
      </c>
    </row>
    <row r="466" ht="12" customFormat="1" customHeight="1" s="65">
      <c r="A466" s="43" t="n">
        <v>451</v>
      </c>
      <c r="B466" s="166" t="n"/>
      <c r="C466" s="166" t="n"/>
      <c r="D466" s="166" t="n"/>
      <c r="E466" s="162" t="n"/>
      <c r="F466" s="166" t="n"/>
      <c r="G466" s="162" t="n"/>
      <c r="H466" s="162" t="n"/>
      <c r="I466" s="189">
        <f>E466*G466</f>
        <v/>
      </c>
      <c r="J466" s="195" t="n"/>
      <c r="K466" s="162" t="n"/>
      <c r="L466" s="168" t="n"/>
      <c r="M466" s="75">
        <f>_xlfn.XLOOKUP(L466,list_vat[Страна],list_vat[Ставка НДС %],0,0)</f>
        <v/>
      </c>
      <c r="N466" s="162">
        <f>IFERROR(IF(L466="Китай",K466,K466/(1+M466)),0)</f>
        <v/>
      </c>
      <c r="O466" s="169" t="n"/>
      <c r="P466" s="76">
        <f>N466*(1-O466)</f>
        <v/>
      </c>
      <c r="Q466" s="162" t="n"/>
      <c r="R466" s="162">
        <f>IF(ISBLANK(Q466),"введи курс",P466/Q466)</f>
        <v/>
      </c>
      <c r="S466" s="196">
        <f>IF(AND(ISNUMBER(E466),ISNUMBER(Q466)),E466*R466,0)</f>
        <v/>
      </c>
      <c r="T466" s="192">
        <f>$BC466*V$11</f>
        <v/>
      </c>
      <c r="U466" s="76">
        <f>$BC466*W$11</f>
        <v/>
      </c>
      <c r="V466" s="193">
        <f>+SUM(T466:U466)</f>
        <v/>
      </c>
      <c r="W466" s="191" t="n"/>
      <c r="X466" s="170" t="n"/>
      <c r="Y466" s="76">
        <f>ROUND(IF(offer_incoterms="DDP",X466*(S466*(1+AW466)+T466),0),2)</f>
        <v/>
      </c>
      <c r="Z466" s="188" t="n"/>
      <c r="AA466" s="192">
        <f>IFERROR(AB466/E466,0)</f>
        <v/>
      </c>
      <c r="AB466" s="76">
        <f>ROUND(SUM(S466,V466,Y466:Z466,BA466:BB466),2)</f>
        <v/>
      </c>
      <c r="AC466" s="797" t="n"/>
      <c r="AD466" s="192">
        <f t="array" ref="AD466">IFERROR(ROUND((_xlfn.IFS(offer_sale_type="поставка",AB466,offer_sale_type="транзит",S466)*(1+AC466))/E466,2),0)</f>
        <v/>
      </c>
      <c r="AE466" s="76">
        <f>AD466*E466</f>
        <v/>
      </c>
      <c r="AF466" s="193">
        <f t="array" ref="AF466">IFERROR(ROUND(_xlfn.IFS(offer_sale_type="поставка",AB466,offer_sale_type="транзит",S466)*AC466,2),0)</f>
        <v/>
      </c>
      <c r="AG466" s="192">
        <f>$BD466*VLOOKUP($AG$3,$AF$4:$AG$7,2,FALSE)</f>
        <v/>
      </c>
      <c r="AH466" s="76">
        <f>SUM(AE466,AG466,AI466)*rate_forex_risk</f>
        <v/>
      </c>
      <c r="AI466" s="193">
        <f>IF(OR(seller_region="TR",offer_sale_type="экспорт"),0,rate_fin_comm)*SUM(AZ466,AZ466*AW466,T466)</f>
        <v/>
      </c>
      <c r="AJ466" s="118">
        <f>IFERROR(ROUND(SUM(AB466,AF466:AI466)/E466,2),0)</f>
        <v/>
      </c>
      <c r="AK466" s="76">
        <f>AJ466*E466</f>
        <v/>
      </c>
      <c r="AL466" s="174">
        <f>ROUND(IFERROR(AM466*E466,0),2)</f>
        <v/>
      </c>
      <c r="AM466" s="175">
        <f>ROUND(AJ466*(1+IF(offer_incoterms="DDP",IF((TODAY()+offer_turnaround_time)&gt;=helpsheet!$L$17,rate_vatRU_from_26,rate_vatRu_till_25),0)),2)</f>
        <v/>
      </c>
      <c r="AN466" s="192">
        <f>AL466-AK466</f>
        <v/>
      </c>
      <c r="AO466" s="76">
        <f>SUM(AY466,Y466:Z466,T466)*IF(AND(offer_incoterms="DDP",offer_sale_type&lt;&gt;"экспорт"),IF((TODAY()+offer_turnaround_time)&gt;=helpsheet!$L$17,rate_vatRU_from_26,rate_vatRu_till_25),0)</f>
        <v/>
      </c>
      <c r="AP466" s="193">
        <f>AN466-AO466</f>
        <v/>
      </c>
      <c r="AQ466" s="118">
        <f>IF(offer_sale_type="транзит",SUM(AF466:AI466,BA466,BB466),0)</f>
        <v/>
      </c>
      <c r="AR466" s="82">
        <f>HYPERLINK("https://www.alta.ru/tnved/code/")&amp;W466&amp;"/"</f>
        <v/>
      </c>
      <c r="AS466" s="157" t="n"/>
      <c r="AT466" s="162" t="n"/>
      <c r="AU466" s="76">
        <f>IF(ISBLANK(AT466),0,AJ466-AT466)</f>
        <v/>
      </c>
      <c r="AV466" s="157" t="n"/>
      <c r="AW466" s="75">
        <f>_xlfn.IFNA(VLOOKUP(L466,list_vat[],3,FALSE),0)</f>
        <v/>
      </c>
      <c r="AX466" s="76">
        <f>IFERROR(ROUND(S466*(1+AW466)/E466,2),0)</f>
        <v/>
      </c>
      <c r="AY466" s="76">
        <f>E466*AX466</f>
        <v/>
      </c>
      <c r="AZ466" s="192">
        <f>S466*(1+M466)</f>
        <v/>
      </c>
      <c r="BA466" s="76">
        <f>cost_fin_total*$BD466</f>
        <v/>
      </c>
      <c r="BB466" s="193">
        <f>credit_sales_interest*BD466</f>
        <v/>
      </c>
      <c r="BC466" s="102">
        <f>IFERROR(IF($I$13&gt;0,$I466/$I$13,$S466/$S$13),0)</f>
        <v/>
      </c>
      <c r="BD466" s="102">
        <f>IFERROR($S466/$S$13,0)</f>
        <v/>
      </c>
      <c r="BE466" s="413" t="inlineStr">
        <is>
          <t>$</t>
        </is>
      </c>
    </row>
    <row r="467" ht="12" customFormat="1" customHeight="1" s="65">
      <c r="A467" s="43" t="n">
        <v>452</v>
      </c>
      <c r="B467" s="166" t="n"/>
      <c r="C467" s="166" t="n"/>
      <c r="D467" s="166" t="n"/>
      <c r="E467" s="162" t="n"/>
      <c r="F467" s="166" t="n"/>
      <c r="G467" s="162" t="n"/>
      <c r="H467" s="162" t="n"/>
      <c r="I467" s="189">
        <f>E467*G467</f>
        <v/>
      </c>
      <c r="J467" s="195" t="n"/>
      <c r="K467" s="162" t="n"/>
      <c r="L467" s="168" t="n"/>
      <c r="M467" s="75">
        <f>_xlfn.XLOOKUP(L467,list_vat[Страна],list_vat[Ставка НДС %],0,0)</f>
        <v/>
      </c>
      <c r="N467" s="162">
        <f>IFERROR(IF(L467="Китай",K467,K467/(1+M467)),0)</f>
        <v/>
      </c>
      <c r="O467" s="169" t="n"/>
      <c r="P467" s="76">
        <f>N467*(1-O467)</f>
        <v/>
      </c>
      <c r="Q467" s="162" t="n"/>
      <c r="R467" s="162">
        <f>IF(ISBLANK(Q467),"введи курс",P467/Q467)</f>
        <v/>
      </c>
      <c r="S467" s="196">
        <f>IF(AND(ISNUMBER(E467),ISNUMBER(Q467)),E467*R467,0)</f>
        <v/>
      </c>
      <c r="T467" s="192">
        <f>$BC467*V$11</f>
        <v/>
      </c>
      <c r="U467" s="76">
        <f>$BC467*W$11</f>
        <v/>
      </c>
      <c r="V467" s="193">
        <f>+SUM(T467:U467)</f>
        <v/>
      </c>
      <c r="W467" s="191" t="n"/>
      <c r="X467" s="170" t="n"/>
      <c r="Y467" s="76">
        <f>ROUND(IF(offer_incoterms="DDP",X467*(S467*(1+AW467)+T467),0),2)</f>
        <v/>
      </c>
      <c r="Z467" s="188" t="n"/>
      <c r="AA467" s="192">
        <f>IFERROR(AB467/E467,0)</f>
        <v/>
      </c>
      <c r="AB467" s="76">
        <f>ROUND(SUM(S467,V467,Y467:Z467,BA467:BB467),2)</f>
        <v/>
      </c>
      <c r="AC467" s="797" t="n"/>
      <c r="AD467" s="192">
        <f t="array" ref="AD467">IFERROR(ROUND((_xlfn.IFS(offer_sale_type="поставка",AB467,offer_sale_type="транзит",S467)*(1+AC467))/E467,2),0)</f>
        <v/>
      </c>
      <c r="AE467" s="76">
        <f>AD467*E467</f>
        <v/>
      </c>
      <c r="AF467" s="193">
        <f t="array" ref="AF467">IFERROR(ROUND(_xlfn.IFS(offer_sale_type="поставка",AB467,offer_sale_type="транзит",S467)*AC467,2),0)</f>
        <v/>
      </c>
      <c r="AG467" s="192">
        <f>$BD467*VLOOKUP($AG$3,$AF$4:$AG$7,2,FALSE)</f>
        <v/>
      </c>
      <c r="AH467" s="76">
        <f>SUM(AE467,AG467,AI467)*rate_forex_risk</f>
        <v/>
      </c>
      <c r="AI467" s="193">
        <f>IF(OR(seller_region="TR",offer_sale_type="экспорт"),0,rate_fin_comm)*SUM(AZ467,AZ467*AW467,T467)</f>
        <v/>
      </c>
      <c r="AJ467" s="118">
        <f>IFERROR(ROUND(SUM(AB467,AF467:AI467)/E467,2),0)</f>
        <v/>
      </c>
      <c r="AK467" s="76">
        <f>AJ467*E467</f>
        <v/>
      </c>
      <c r="AL467" s="174">
        <f>ROUND(IFERROR(AM467*E467,0),2)</f>
        <v/>
      </c>
      <c r="AM467" s="175">
        <f>ROUND(AJ467*(1+IF(offer_incoterms="DDP",IF((TODAY()+offer_turnaround_time)&gt;=helpsheet!$L$17,rate_vatRU_from_26,rate_vatRu_till_25),0)),2)</f>
        <v/>
      </c>
      <c r="AN467" s="192">
        <f>AL467-AK467</f>
        <v/>
      </c>
      <c r="AO467" s="76">
        <f>SUM(AY467,Y467:Z467,T467)*IF(AND(offer_incoterms="DDP",offer_sale_type&lt;&gt;"экспорт"),IF((TODAY()+offer_turnaround_time)&gt;=helpsheet!$L$17,rate_vatRU_from_26,rate_vatRu_till_25),0)</f>
        <v/>
      </c>
      <c r="AP467" s="193">
        <f>AN467-AO467</f>
        <v/>
      </c>
      <c r="AQ467" s="118">
        <f>IF(offer_sale_type="транзит",SUM(AF467:AI467,BA467,BB467),0)</f>
        <v/>
      </c>
      <c r="AR467" s="82">
        <f>HYPERLINK("https://www.alta.ru/tnved/code/")&amp;W467&amp;"/"</f>
        <v/>
      </c>
      <c r="AS467" s="157" t="n"/>
      <c r="AT467" s="162" t="n"/>
      <c r="AU467" s="76">
        <f>IF(ISBLANK(AT467),0,AJ467-AT467)</f>
        <v/>
      </c>
      <c r="AV467" s="157" t="n"/>
      <c r="AW467" s="75">
        <f>_xlfn.IFNA(VLOOKUP(L467,list_vat[],3,FALSE),0)</f>
        <v/>
      </c>
      <c r="AX467" s="76">
        <f>IFERROR(ROUND(S467*(1+AW467)/E467,2),0)</f>
        <v/>
      </c>
      <c r="AY467" s="76">
        <f>E467*AX467</f>
        <v/>
      </c>
      <c r="AZ467" s="192">
        <f>S467*(1+M467)</f>
        <v/>
      </c>
      <c r="BA467" s="76">
        <f>cost_fin_total*$BD467</f>
        <v/>
      </c>
      <c r="BB467" s="193">
        <f>credit_sales_interest*BD467</f>
        <v/>
      </c>
      <c r="BC467" s="102">
        <f>IFERROR(IF($I$13&gt;0,$I467/$I$13,$S467/$S$13),0)</f>
        <v/>
      </c>
      <c r="BD467" s="102">
        <f>IFERROR($S467/$S$13,0)</f>
        <v/>
      </c>
      <c r="BE467" s="413" t="inlineStr">
        <is>
          <t>$</t>
        </is>
      </c>
    </row>
    <row r="468" ht="12" customFormat="1" customHeight="1" s="65">
      <c r="A468" s="43" t="n">
        <v>453</v>
      </c>
      <c r="B468" s="166" t="n"/>
      <c r="C468" s="166" t="n"/>
      <c r="D468" s="166" t="n"/>
      <c r="E468" s="162" t="n"/>
      <c r="F468" s="166" t="n"/>
      <c r="G468" s="162" t="n"/>
      <c r="H468" s="162" t="n"/>
      <c r="I468" s="189">
        <f>E468*G468</f>
        <v/>
      </c>
      <c r="J468" s="195" t="n"/>
      <c r="K468" s="162" t="n"/>
      <c r="L468" s="168" t="n"/>
      <c r="M468" s="75">
        <f>_xlfn.XLOOKUP(L468,list_vat[Страна],list_vat[Ставка НДС %],0,0)</f>
        <v/>
      </c>
      <c r="N468" s="162">
        <f>IFERROR(IF(L468="Китай",K468,K468/(1+M468)),0)</f>
        <v/>
      </c>
      <c r="O468" s="169" t="n"/>
      <c r="P468" s="76">
        <f>N468*(1-O468)</f>
        <v/>
      </c>
      <c r="Q468" s="162" t="n"/>
      <c r="R468" s="162">
        <f>IF(ISBLANK(Q468),"введи курс",P468/Q468)</f>
        <v/>
      </c>
      <c r="S468" s="196">
        <f>IF(AND(ISNUMBER(E468),ISNUMBER(Q468)),E468*R468,0)</f>
        <v/>
      </c>
      <c r="T468" s="192">
        <f>$BC468*V$11</f>
        <v/>
      </c>
      <c r="U468" s="76">
        <f>$BC468*W$11</f>
        <v/>
      </c>
      <c r="V468" s="193">
        <f>+SUM(T468:U468)</f>
        <v/>
      </c>
      <c r="W468" s="191" t="n"/>
      <c r="X468" s="170" t="n"/>
      <c r="Y468" s="76">
        <f>ROUND(IF(offer_incoterms="DDP",X468*(S468*(1+AW468)+T468),0),2)</f>
        <v/>
      </c>
      <c r="Z468" s="188" t="n"/>
      <c r="AA468" s="192">
        <f>IFERROR(AB468/E468,0)</f>
        <v/>
      </c>
      <c r="AB468" s="76">
        <f>ROUND(SUM(S468,V468,Y468:Z468,BA468:BB468),2)</f>
        <v/>
      </c>
      <c r="AC468" s="797" t="n"/>
      <c r="AD468" s="192">
        <f t="array" ref="AD468">IFERROR(ROUND((_xlfn.IFS(offer_sale_type="поставка",AB468,offer_sale_type="транзит",S468)*(1+AC468))/E468,2),0)</f>
        <v/>
      </c>
      <c r="AE468" s="76">
        <f>AD468*E468</f>
        <v/>
      </c>
      <c r="AF468" s="193">
        <f t="array" ref="AF468">IFERROR(ROUND(_xlfn.IFS(offer_sale_type="поставка",AB468,offer_sale_type="транзит",S468)*AC468,2),0)</f>
        <v/>
      </c>
      <c r="AG468" s="192">
        <f>$BD468*VLOOKUP($AG$3,$AF$4:$AG$7,2,FALSE)</f>
        <v/>
      </c>
      <c r="AH468" s="76">
        <f>SUM(AE468,AG468,AI468)*rate_forex_risk</f>
        <v/>
      </c>
      <c r="AI468" s="193">
        <f>IF(OR(seller_region="TR",offer_sale_type="экспорт"),0,rate_fin_comm)*SUM(AZ468,AZ468*AW468,T468)</f>
        <v/>
      </c>
      <c r="AJ468" s="118">
        <f>IFERROR(ROUND(SUM(AB468,AF468:AI468)/E468,2),0)</f>
        <v/>
      </c>
      <c r="AK468" s="76">
        <f>AJ468*E468</f>
        <v/>
      </c>
      <c r="AL468" s="174">
        <f>ROUND(IFERROR(AM468*E468,0),2)</f>
        <v/>
      </c>
      <c r="AM468" s="175">
        <f>ROUND(AJ468*(1+IF(offer_incoterms="DDP",IF((TODAY()+offer_turnaround_time)&gt;=helpsheet!$L$17,rate_vatRU_from_26,rate_vatRu_till_25),0)),2)</f>
        <v/>
      </c>
      <c r="AN468" s="192">
        <f>AL468-AK468</f>
        <v/>
      </c>
      <c r="AO468" s="76">
        <f>SUM(AY468,Y468:Z468,T468)*IF(AND(offer_incoterms="DDP",offer_sale_type&lt;&gt;"экспорт"),IF((TODAY()+offer_turnaround_time)&gt;=helpsheet!$L$17,rate_vatRU_from_26,rate_vatRu_till_25),0)</f>
        <v/>
      </c>
      <c r="AP468" s="193">
        <f>AN468-AO468</f>
        <v/>
      </c>
      <c r="AQ468" s="118">
        <f>IF(offer_sale_type="транзит",SUM(AF468:AI468,BA468,BB468),0)</f>
        <v/>
      </c>
      <c r="AR468" s="82">
        <f>HYPERLINK("https://www.alta.ru/tnved/code/")&amp;W468&amp;"/"</f>
        <v/>
      </c>
      <c r="AS468" s="157" t="n"/>
      <c r="AT468" s="162" t="n"/>
      <c r="AU468" s="76">
        <f>IF(ISBLANK(AT468),0,AJ468-AT468)</f>
        <v/>
      </c>
      <c r="AV468" s="157" t="n"/>
      <c r="AW468" s="75">
        <f>_xlfn.IFNA(VLOOKUP(L468,list_vat[],3,FALSE),0)</f>
        <v/>
      </c>
      <c r="AX468" s="76">
        <f>IFERROR(ROUND(S468*(1+AW468)/E468,2),0)</f>
        <v/>
      </c>
      <c r="AY468" s="76">
        <f>E468*AX468</f>
        <v/>
      </c>
      <c r="AZ468" s="192">
        <f>S468*(1+M468)</f>
        <v/>
      </c>
      <c r="BA468" s="76">
        <f>cost_fin_total*$BD468</f>
        <v/>
      </c>
      <c r="BB468" s="193">
        <f>credit_sales_interest*BD468</f>
        <v/>
      </c>
      <c r="BC468" s="102">
        <f>IFERROR(IF($I$13&gt;0,$I468/$I$13,$S468/$S$13),0)</f>
        <v/>
      </c>
      <c r="BD468" s="102">
        <f>IFERROR($S468/$S$13,0)</f>
        <v/>
      </c>
      <c r="BE468" s="413" t="inlineStr">
        <is>
          <t>$</t>
        </is>
      </c>
    </row>
    <row r="469" ht="12" customFormat="1" customHeight="1" s="65">
      <c r="A469" s="43" t="n">
        <v>454</v>
      </c>
      <c r="B469" s="166" t="n"/>
      <c r="C469" s="166" t="n"/>
      <c r="D469" s="166" t="n"/>
      <c r="E469" s="162" t="n"/>
      <c r="F469" s="166" t="n"/>
      <c r="G469" s="162" t="n"/>
      <c r="H469" s="162" t="n"/>
      <c r="I469" s="189">
        <f>E469*G469</f>
        <v/>
      </c>
      <c r="J469" s="195" t="n"/>
      <c r="K469" s="162" t="n"/>
      <c r="L469" s="168" t="n"/>
      <c r="M469" s="75">
        <f>_xlfn.XLOOKUP(L469,list_vat[Страна],list_vat[Ставка НДС %],0,0)</f>
        <v/>
      </c>
      <c r="N469" s="162">
        <f>IFERROR(IF(L469="Китай",K469,K469/(1+M469)),0)</f>
        <v/>
      </c>
      <c r="O469" s="169" t="n"/>
      <c r="P469" s="76">
        <f>N469*(1-O469)</f>
        <v/>
      </c>
      <c r="Q469" s="162" t="n"/>
      <c r="R469" s="162">
        <f>IF(ISBLANK(Q469),"введи курс",P469/Q469)</f>
        <v/>
      </c>
      <c r="S469" s="196">
        <f>IF(AND(ISNUMBER(E469),ISNUMBER(Q469)),E469*R469,0)</f>
        <v/>
      </c>
      <c r="T469" s="192">
        <f>$BC469*V$11</f>
        <v/>
      </c>
      <c r="U469" s="76">
        <f>$BC469*W$11</f>
        <v/>
      </c>
      <c r="V469" s="193">
        <f>+SUM(T469:U469)</f>
        <v/>
      </c>
      <c r="W469" s="191" t="n"/>
      <c r="X469" s="170" t="n"/>
      <c r="Y469" s="76">
        <f>ROUND(IF(offer_incoterms="DDP",X469*(S469*(1+AW469)+T469),0),2)</f>
        <v/>
      </c>
      <c r="Z469" s="188" t="n"/>
      <c r="AA469" s="192">
        <f>IFERROR(AB469/E469,0)</f>
        <v/>
      </c>
      <c r="AB469" s="76">
        <f>ROUND(SUM(S469,V469,Y469:Z469,BA469:BB469),2)</f>
        <v/>
      </c>
      <c r="AC469" s="797" t="n"/>
      <c r="AD469" s="192">
        <f t="array" ref="AD469">IFERROR(ROUND((_xlfn.IFS(offer_sale_type="поставка",AB469,offer_sale_type="транзит",S469)*(1+AC469))/E469,2),0)</f>
        <v/>
      </c>
      <c r="AE469" s="76">
        <f>AD469*E469</f>
        <v/>
      </c>
      <c r="AF469" s="193">
        <f t="array" ref="AF469">IFERROR(ROUND(_xlfn.IFS(offer_sale_type="поставка",AB469,offer_sale_type="транзит",S469)*AC469,2),0)</f>
        <v/>
      </c>
      <c r="AG469" s="192">
        <f>$BD469*VLOOKUP($AG$3,$AF$4:$AG$7,2,FALSE)</f>
        <v/>
      </c>
      <c r="AH469" s="76">
        <f>SUM(AE469,AG469,AI469)*rate_forex_risk</f>
        <v/>
      </c>
      <c r="AI469" s="193">
        <f>IF(OR(seller_region="TR",offer_sale_type="экспорт"),0,rate_fin_comm)*SUM(AZ469,AZ469*AW469,T469)</f>
        <v/>
      </c>
      <c r="AJ469" s="118">
        <f>IFERROR(ROUND(SUM(AB469,AF469:AI469)/E469,2),0)</f>
        <v/>
      </c>
      <c r="AK469" s="76">
        <f>AJ469*E469</f>
        <v/>
      </c>
      <c r="AL469" s="174">
        <f>ROUND(IFERROR(AM469*E469,0),2)</f>
        <v/>
      </c>
      <c r="AM469" s="175">
        <f>ROUND(AJ469*(1+IF(offer_incoterms="DDP",IF((TODAY()+offer_turnaround_time)&gt;=helpsheet!$L$17,rate_vatRU_from_26,rate_vatRu_till_25),0)),2)</f>
        <v/>
      </c>
      <c r="AN469" s="192">
        <f>AL469-AK469</f>
        <v/>
      </c>
      <c r="AO469" s="76">
        <f>SUM(AY469,Y469:Z469,T469)*IF(AND(offer_incoterms="DDP",offer_sale_type&lt;&gt;"экспорт"),IF((TODAY()+offer_turnaround_time)&gt;=helpsheet!$L$17,rate_vatRU_from_26,rate_vatRu_till_25),0)</f>
        <v/>
      </c>
      <c r="AP469" s="193">
        <f>AN469-AO469</f>
        <v/>
      </c>
      <c r="AQ469" s="118">
        <f>IF(offer_sale_type="транзит",SUM(AF469:AI469,BA469,BB469),0)</f>
        <v/>
      </c>
      <c r="AR469" s="82">
        <f>HYPERLINK("https://www.alta.ru/tnved/code/")&amp;W469&amp;"/"</f>
        <v/>
      </c>
      <c r="AS469" s="157" t="n"/>
      <c r="AT469" s="162" t="n"/>
      <c r="AU469" s="76">
        <f>IF(ISBLANK(AT469),0,AJ469-AT469)</f>
        <v/>
      </c>
      <c r="AV469" s="157" t="n"/>
      <c r="AW469" s="75">
        <f>_xlfn.IFNA(VLOOKUP(L469,list_vat[],3,FALSE),0)</f>
        <v/>
      </c>
      <c r="AX469" s="76">
        <f>IFERROR(ROUND(S469*(1+AW469)/E469,2),0)</f>
        <v/>
      </c>
      <c r="AY469" s="76">
        <f>E469*AX469</f>
        <v/>
      </c>
      <c r="AZ469" s="192">
        <f>S469*(1+M469)</f>
        <v/>
      </c>
      <c r="BA469" s="76">
        <f>cost_fin_total*$BD469</f>
        <v/>
      </c>
      <c r="BB469" s="193">
        <f>credit_sales_interest*BD469</f>
        <v/>
      </c>
      <c r="BC469" s="102">
        <f>IFERROR(IF($I$13&gt;0,$I469/$I$13,$S469/$S$13),0)</f>
        <v/>
      </c>
      <c r="BD469" s="102">
        <f>IFERROR($S469/$S$13,0)</f>
        <v/>
      </c>
      <c r="BE469" s="413" t="inlineStr">
        <is>
          <t>$</t>
        </is>
      </c>
    </row>
    <row r="470" ht="12" customFormat="1" customHeight="1" s="65">
      <c r="A470" s="43" t="n">
        <v>455</v>
      </c>
      <c r="B470" s="166" t="n"/>
      <c r="C470" s="166" t="n"/>
      <c r="D470" s="166" t="n"/>
      <c r="E470" s="162" t="n"/>
      <c r="F470" s="166" t="n"/>
      <c r="G470" s="162" t="n"/>
      <c r="H470" s="162" t="n"/>
      <c r="I470" s="189">
        <f>E470*G470</f>
        <v/>
      </c>
      <c r="J470" s="195" t="n"/>
      <c r="K470" s="162" t="n"/>
      <c r="L470" s="168" t="n"/>
      <c r="M470" s="75">
        <f>_xlfn.XLOOKUP(L470,list_vat[Страна],list_vat[Ставка НДС %],0,0)</f>
        <v/>
      </c>
      <c r="N470" s="162">
        <f>IFERROR(IF(L470="Китай",K470,K470/(1+M470)),0)</f>
        <v/>
      </c>
      <c r="O470" s="169" t="n"/>
      <c r="P470" s="76">
        <f>N470*(1-O470)</f>
        <v/>
      </c>
      <c r="Q470" s="162" t="n"/>
      <c r="R470" s="162">
        <f>IF(ISBLANK(Q470),"введи курс",P470/Q470)</f>
        <v/>
      </c>
      <c r="S470" s="196">
        <f>IF(AND(ISNUMBER(E470),ISNUMBER(Q470)),E470*R470,0)</f>
        <v/>
      </c>
      <c r="T470" s="192">
        <f>$BC470*V$11</f>
        <v/>
      </c>
      <c r="U470" s="76">
        <f>$BC470*W$11</f>
        <v/>
      </c>
      <c r="V470" s="193">
        <f>+SUM(T470:U470)</f>
        <v/>
      </c>
      <c r="W470" s="191" t="n"/>
      <c r="X470" s="170" t="n"/>
      <c r="Y470" s="76">
        <f>ROUND(IF(offer_incoterms="DDP",X470*(S470*(1+AW470)+T470),0),2)</f>
        <v/>
      </c>
      <c r="Z470" s="188" t="n"/>
      <c r="AA470" s="192">
        <f>IFERROR(AB470/E470,0)</f>
        <v/>
      </c>
      <c r="AB470" s="76">
        <f>ROUND(SUM(S470,V470,Y470:Z470,BA470:BB470),2)</f>
        <v/>
      </c>
      <c r="AC470" s="797" t="n"/>
      <c r="AD470" s="192">
        <f t="array" ref="AD470">IFERROR(ROUND((_xlfn.IFS(offer_sale_type="поставка",AB470,offer_sale_type="транзит",S470)*(1+AC470))/E470,2),0)</f>
        <v/>
      </c>
      <c r="AE470" s="76">
        <f>AD470*E470</f>
        <v/>
      </c>
      <c r="AF470" s="193">
        <f t="array" ref="AF470">IFERROR(ROUND(_xlfn.IFS(offer_sale_type="поставка",AB470,offer_sale_type="транзит",S470)*AC470,2),0)</f>
        <v/>
      </c>
      <c r="AG470" s="192">
        <f>$BD470*VLOOKUP($AG$3,$AF$4:$AG$7,2,FALSE)</f>
        <v/>
      </c>
      <c r="AH470" s="76">
        <f>SUM(AE470,AG470,AI470)*rate_forex_risk</f>
        <v/>
      </c>
      <c r="AI470" s="193">
        <f>IF(OR(seller_region="TR",offer_sale_type="экспорт"),0,rate_fin_comm)*SUM(AZ470,AZ470*AW470,T470)</f>
        <v/>
      </c>
      <c r="AJ470" s="118">
        <f>IFERROR(ROUND(SUM(AB470,AF470:AI470)/E470,2),0)</f>
        <v/>
      </c>
      <c r="AK470" s="76">
        <f>AJ470*E470</f>
        <v/>
      </c>
      <c r="AL470" s="174">
        <f>ROUND(IFERROR(AM470*E470,0),2)</f>
        <v/>
      </c>
      <c r="AM470" s="175">
        <f>ROUND(AJ470*(1+IF(offer_incoterms="DDP",IF((TODAY()+offer_turnaround_time)&gt;=helpsheet!$L$17,rate_vatRU_from_26,rate_vatRu_till_25),0)),2)</f>
        <v/>
      </c>
      <c r="AN470" s="192">
        <f>AL470-AK470</f>
        <v/>
      </c>
      <c r="AO470" s="76">
        <f>SUM(AY470,Y470:Z470,T470)*IF(AND(offer_incoterms="DDP",offer_sale_type&lt;&gt;"экспорт"),IF((TODAY()+offer_turnaround_time)&gt;=helpsheet!$L$17,rate_vatRU_from_26,rate_vatRu_till_25),0)</f>
        <v/>
      </c>
      <c r="AP470" s="193">
        <f>AN470-AO470</f>
        <v/>
      </c>
      <c r="AQ470" s="118">
        <f>IF(offer_sale_type="транзит",SUM(AF470:AI470,BA470,BB470),0)</f>
        <v/>
      </c>
      <c r="AR470" s="82">
        <f>HYPERLINK("https://www.alta.ru/tnved/code/")&amp;W470&amp;"/"</f>
        <v/>
      </c>
      <c r="AS470" s="157" t="n"/>
      <c r="AT470" s="162" t="n"/>
      <c r="AU470" s="76">
        <f>IF(ISBLANK(AT470),0,AJ470-AT470)</f>
        <v/>
      </c>
      <c r="AV470" s="157" t="n"/>
      <c r="AW470" s="75">
        <f>_xlfn.IFNA(VLOOKUP(L470,list_vat[],3,FALSE),0)</f>
        <v/>
      </c>
      <c r="AX470" s="76">
        <f>IFERROR(ROUND(S470*(1+AW470)/E470,2),0)</f>
        <v/>
      </c>
      <c r="AY470" s="76">
        <f>E470*AX470</f>
        <v/>
      </c>
      <c r="AZ470" s="192">
        <f>S470*(1+M470)</f>
        <v/>
      </c>
      <c r="BA470" s="76">
        <f>cost_fin_total*$BD470</f>
        <v/>
      </c>
      <c r="BB470" s="193">
        <f>credit_sales_interest*BD470</f>
        <v/>
      </c>
      <c r="BC470" s="102">
        <f>IFERROR(IF($I$13&gt;0,$I470/$I$13,$S470/$S$13),0)</f>
        <v/>
      </c>
      <c r="BD470" s="102">
        <f>IFERROR($S470/$S$13,0)</f>
        <v/>
      </c>
      <c r="BE470" s="413" t="inlineStr">
        <is>
          <t>$</t>
        </is>
      </c>
    </row>
    <row r="471" ht="12" customFormat="1" customHeight="1" s="65">
      <c r="A471" s="43" t="n">
        <v>456</v>
      </c>
      <c r="B471" s="166" t="n"/>
      <c r="C471" s="166" t="n"/>
      <c r="D471" s="166" t="n"/>
      <c r="E471" s="162" t="n"/>
      <c r="F471" s="166" t="n"/>
      <c r="G471" s="162" t="n"/>
      <c r="H471" s="162" t="n"/>
      <c r="I471" s="189">
        <f>E471*G471</f>
        <v/>
      </c>
      <c r="J471" s="195" t="n"/>
      <c r="K471" s="162" t="n"/>
      <c r="L471" s="168" t="n"/>
      <c r="M471" s="75">
        <f>_xlfn.XLOOKUP(L471,list_vat[Страна],list_vat[Ставка НДС %],0,0)</f>
        <v/>
      </c>
      <c r="N471" s="162">
        <f>IFERROR(IF(L471="Китай",K471,K471/(1+M471)),0)</f>
        <v/>
      </c>
      <c r="O471" s="169" t="n"/>
      <c r="P471" s="76">
        <f>N471*(1-O471)</f>
        <v/>
      </c>
      <c r="Q471" s="162" t="n"/>
      <c r="R471" s="162">
        <f>IF(ISBLANK(Q471),"введи курс",P471/Q471)</f>
        <v/>
      </c>
      <c r="S471" s="196">
        <f>IF(AND(ISNUMBER(E471),ISNUMBER(Q471)),E471*R471,0)</f>
        <v/>
      </c>
      <c r="T471" s="192">
        <f>$BC471*V$11</f>
        <v/>
      </c>
      <c r="U471" s="76">
        <f>$BC471*W$11</f>
        <v/>
      </c>
      <c r="V471" s="193">
        <f>+SUM(T471:U471)</f>
        <v/>
      </c>
      <c r="W471" s="191" t="n"/>
      <c r="X471" s="170" t="n"/>
      <c r="Y471" s="76">
        <f>ROUND(IF(offer_incoterms="DDP",X471*(S471*(1+AW471)+T471),0),2)</f>
        <v/>
      </c>
      <c r="Z471" s="188" t="n"/>
      <c r="AA471" s="192">
        <f>IFERROR(AB471/E471,0)</f>
        <v/>
      </c>
      <c r="AB471" s="76">
        <f>ROUND(SUM(S471,V471,Y471:Z471,BA471:BB471),2)</f>
        <v/>
      </c>
      <c r="AC471" s="797" t="n"/>
      <c r="AD471" s="192">
        <f t="array" ref="AD471">IFERROR(ROUND((_xlfn.IFS(offer_sale_type="поставка",AB471,offer_sale_type="транзит",S471)*(1+AC471))/E471,2),0)</f>
        <v/>
      </c>
      <c r="AE471" s="76">
        <f>AD471*E471</f>
        <v/>
      </c>
      <c r="AF471" s="193">
        <f t="array" ref="AF471">IFERROR(ROUND(_xlfn.IFS(offer_sale_type="поставка",AB471,offer_sale_type="транзит",S471)*AC471,2),0)</f>
        <v/>
      </c>
      <c r="AG471" s="192">
        <f>$BD471*VLOOKUP($AG$3,$AF$4:$AG$7,2,FALSE)</f>
        <v/>
      </c>
      <c r="AH471" s="76">
        <f>SUM(AE471,AG471,AI471)*rate_forex_risk</f>
        <v/>
      </c>
      <c r="AI471" s="193">
        <f>IF(OR(seller_region="TR",offer_sale_type="экспорт"),0,rate_fin_comm)*SUM(AZ471,AZ471*AW471,T471)</f>
        <v/>
      </c>
      <c r="AJ471" s="118">
        <f>IFERROR(ROUND(SUM(AB471,AF471:AI471)/E471,2),0)</f>
        <v/>
      </c>
      <c r="AK471" s="76">
        <f>AJ471*E471</f>
        <v/>
      </c>
      <c r="AL471" s="174">
        <f>ROUND(IFERROR(AM471*E471,0),2)</f>
        <v/>
      </c>
      <c r="AM471" s="175">
        <f>ROUND(AJ471*(1+IF(offer_incoterms="DDP",IF((TODAY()+offer_turnaround_time)&gt;=helpsheet!$L$17,rate_vatRU_from_26,rate_vatRu_till_25),0)),2)</f>
        <v/>
      </c>
      <c r="AN471" s="192">
        <f>AL471-AK471</f>
        <v/>
      </c>
      <c r="AO471" s="76">
        <f>SUM(AY471,Y471:Z471,T471)*IF(AND(offer_incoterms="DDP",offer_sale_type&lt;&gt;"экспорт"),IF((TODAY()+offer_turnaround_time)&gt;=helpsheet!$L$17,rate_vatRU_from_26,rate_vatRu_till_25),0)</f>
        <v/>
      </c>
      <c r="AP471" s="193">
        <f>AN471-AO471</f>
        <v/>
      </c>
      <c r="AQ471" s="118">
        <f>IF(offer_sale_type="транзит",SUM(AF471:AI471,BA471,BB471),0)</f>
        <v/>
      </c>
      <c r="AR471" s="82">
        <f>HYPERLINK("https://www.alta.ru/tnved/code/")&amp;W471&amp;"/"</f>
        <v/>
      </c>
      <c r="AS471" s="157" t="n"/>
      <c r="AT471" s="162" t="n"/>
      <c r="AU471" s="76">
        <f>IF(ISBLANK(AT471),0,AJ471-AT471)</f>
        <v/>
      </c>
      <c r="AV471" s="157" t="n"/>
      <c r="AW471" s="75">
        <f>_xlfn.IFNA(VLOOKUP(L471,list_vat[],3,FALSE),0)</f>
        <v/>
      </c>
      <c r="AX471" s="76">
        <f>IFERROR(ROUND(S471*(1+AW471)/E471,2),0)</f>
        <v/>
      </c>
      <c r="AY471" s="76">
        <f>E471*AX471</f>
        <v/>
      </c>
      <c r="AZ471" s="192">
        <f>S471*(1+M471)</f>
        <v/>
      </c>
      <c r="BA471" s="76">
        <f>cost_fin_total*$BD471</f>
        <v/>
      </c>
      <c r="BB471" s="193">
        <f>credit_sales_interest*BD471</f>
        <v/>
      </c>
      <c r="BC471" s="102">
        <f>IFERROR(IF($I$13&gt;0,$I471/$I$13,$S471/$S$13),0)</f>
        <v/>
      </c>
      <c r="BD471" s="102">
        <f>IFERROR($S471/$S$13,0)</f>
        <v/>
      </c>
      <c r="BE471" s="413" t="inlineStr">
        <is>
          <t>$</t>
        </is>
      </c>
    </row>
    <row r="472" ht="12" customFormat="1" customHeight="1" s="65">
      <c r="A472" s="43" t="n">
        <v>457</v>
      </c>
      <c r="B472" s="166" t="n"/>
      <c r="C472" s="166" t="n"/>
      <c r="D472" s="166" t="n"/>
      <c r="E472" s="162" t="n"/>
      <c r="F472" s="166" t="n"/>
      <c r="G472" s="162" t="n"/>
      <c r="H472" s="162" t="n"/>
      <c r="I472" s="189">
        <f>E472*G472</f>
        <v/>
      </c>
      <c r="J472" s="195" t="n"/>
      <c r="K472" s="162" t="n"/>
      <c r="L472" s="168" t="n"/>
      <c r="M472" s="75">
        <f>_xlfn.XLOOKUP(L472,list_vat[Страна],list_vat[Ставка НДС %],0,0)</f>
        <v/>
      </c>
      <c r="N472" s="162">
        <f>IFERROR(IF(L472="Китай",K472,K472/(1+M472)),0)</f>
        <v/>
      </c>
      <c r="O472" s="169" t="n"/>
      <c r="P472" s="76">
        <f>N472*(1-O472)</f>
        <v/>
      </c>
      <c r="Q472" s="162" t="n"/>
      <c r="R472" s="162">
        <f>IF(ISBLANK(Q472),"введи курс",P472/Q472)</f>
        <v/>
      </c>
      <c r="S472" s="196">
        <f>IF(AND(ISNUMBER(E472),ISNUMBER(Q472)),E472*R472,0)</f>
        <v/>
      </c>
      <c r="T472" s="192">
        <f>$BC472*V$11</f>
        <v/>
      </c>
      <c r="U472" s="76">
        <f>$BC472*W$11</f>
        <v/>
      </c>
      <c r="V472" s="193">
        <f>+SUM(T472:U472)</f>
        <v/>
      </c>
      <c r="W472" s="191" t="n"/>
      <c r="X472" s="170" t="n"/>
      <c r="Y472" s="76">
        <f>ROUND(IF(offer_incoterms="DDP",X472*(S472*(1+AW472)+T472),0),2)</f>
        <v/>
      </c>
      <c r="Z472" s="188" t="n"/>
      <c r="AA472" s="192">
        <f>IFERROR(AB472/E472,0)</f>
        <v/>
      </c>
      <c r="AB472" s="76">
        <f>ROUND(SUM(S472,V472,Y472:Z472,BA472:BB472),2)</f>
        <v/>
      </c>
      <c r="AC472" s="797" t="n"/>
      <c r="AD472" s="192">
        <f t="array" ref="AD472">IFERROR(ROUND((_xlfn.IFS(offer_sale_type="поставка",AB472,offer_sale_type="транзит",S472)*(1+AC472))/E472,2),0)</f>
        <v/>
      </c>
      <c r="AE472" s="76">
        <f>AD472*E472</f>
        <v/>
      </c>
      <c r="AF472" s="193">
        <f t="array" ref="AF472">IFERROR(ROUND(_xlfn.IFS(offer_sale_type="поставка",AB472,offer_sale_type="транзит",S472)*AC472,2),0)</f>
        <v/>
      </c>
      <c r="AG472" s="192">
        <f>$BD472*VLOOKUP($AG$3,$AF$4:$AG$7,2,FALSE)</f>
        <v/>
      </c>
      <c r="AH472" s="76">
        <f>SUM(AE472,AG472,AI472)*rate_forex_risk</f>
        <v/>
      </c>
      <c r="AI472" s="193">
        <f>IF(OR(seller_region="TR",offer_sale_type="экспорт"),0,rate_fin_comm)*SUM(AZ472,AZ472*AW472,T472)</f>
        <v/>
      </c>
      <c r="AJ472" s="118">
        <f>IFERROR(ROUND(SUM(AB472,AF472:AI472)/E472,2),0)</f>
        <v/>
      </c>
      <c r="AK472" s="76">
        <f>AJ472*E472</f>
        <v/>
      </c>
      <c r="AL472" s="174">
        <f>ROUND(IFERROR(AM472*E472,0),2)</f>
        <v/>
      </c>
      <c r="AM472" s="175">
        <f>ROUND(AJ472*(1+IF(offer_incoterms="DDP",IF((TODAY()+offer_turnaround_time)&gt;=helpsheet!$L$17,rate_vatRU_from_26,rate_vatRu_till_25),0)),2)</f>
        <v/>
      </c>
      <c r="AN472" s="192">
        <f>AL472-AK472</f>
        <v/>
      </c>
      <c r="AO472" s="76">
        <f>SUM(AY472,Y472:Z472,T472)*IF(AND(offer_incoterms="DDP",offer_sale_type&lt;&gt;"экспорт"),IF((TODAY()+offer_turnaround_time)&gt;=helpsheet!$L$17,rate_vatRU_from_26,rate_vatRu_till_25),0)</f>
        <v/>
      </c>
      <c r="AP472" s="193">
        <f>AN472-AO472</f>
        <v/>
      </c>
      <c r="AQ472" s="118">
        <f>IF(offer_sale_type="транзит",SUM(AF472:AI472,BA472,BB472),0)</f>
        <v/>
      </c>
      <c r="AR472" s="82">
        <f>HYPERLINK("https://www.alta.ru/tnved/code/")&amp;W472&amp;"/"</f>
        <v/>
      </c>
      <c r="AS472" s="157" t="n"/>
      <c r="AT472" s="162" t="n"/>
      <c r="AU472" s="76">
        <f>IF(ISBLANK(AT472),0,AJ472-AT472)</f>
        <v/>
      </c>
      <c r="AV472" s="157" t="n"/>
      <c r="AW472" s="75">
        <f>_xlfn.IFNA(VLOOKUP(L472,list_vat[],3,FALSE),0)</f>
        <v/>
      </c>
      <c r="AX472" s="76">
        <f>IFERROR(ROUND(S472*(1+AW472)/E472,2),0)</f>
        <v/>
      </c>
      <c r="AY472" s="76">
        <f>E472*AX472</f>
        <v/>
      </c>
      <c r="AZ472" s="192">
        <f>S472*(1+M472)</f>
        <v/>
      </c>
      <c r="BA472" s="76">
        <f>cost_fin_total*$BD472</f>
        <v/>
      </c>
      <c r="BB472" s="193">
        <f>credit_sales_interest*BD472</f>
        <v/>
      </c>
      <c r="BC472" s="102">
        <f>IFERROR(IF($I$13&gt;0,$I472/$I$13,$S472/$S$13),0)</f>
        <v/>
      </c>
      <c r="BD472" s="102">
        <f>IFERROR($S472/$S$13,0)</f>
        <v/>
      </c>
      <c r="BE472" s="413" t="inlineStr">
        <is>
          <t>$</t>
        </is>
      </c>
    </row>
    <row r="473" ht="12" customFormat="1" customHeight="1" s="65">
      <c r="A473" s="43" t="n">
        <v>458</v>
      </c>
      <c r="B473" s="166" t="n"/>
      <c r="C473" s="166" t="n"/>
      <c r="D473" s="166" t="n"/>
      <c r="E473" s="162" t="n"/>
      <c r="F473" s="166" t="n"/>
      <c r="G473" s="162" t="n"/>
      <c r="H473" s="162" t="n"/>
      <c r="I473" s="189">
        <f>E473*G473</f>
        <v/>
      </c>
      <c r="J473" s="195" t="n"/>
      <c r="K473" s="162" t="n"/>
      <c r="L473" s="168" t="n"/>
      <c r="M473" s="75">
        <f>_xlfn.XLOOKUP(L473,list_vat[Страна],list_vat[Ставка НДС %],0,0)</f>
        <v/>
      </c>
      <c r="N473" s="162">
        <f>IFERROR(IF(L473="Китай",K473,K473/(1+M473)),0)</f>
        <v/>
      </c>
      <c r="O473" s="169" t="n"/>
      <c r="P473" s="76">
        <f>N473*(1-O473)</f>
        <v/>
      </c>
      <c r="Q473" s="162" t="n"/>
      <c r="R473" s="162">
        <f>IF(ISBLANK(Q473),"введи курс",P473/Q473)</f>
        <v/>
      </c>
      <c r="S473" s="196">
        <f>IF(AND(ISNUMBER(E473),ISNUMBER(Q473)),E473*R473,0)</f>
        <v/>
      </c>
      <c r="T473" s="192">
        <f>$BC473*V$11</f>
        <v/>
      </c>
      <c r="U473" s="76">
        <f>$BC473*W$11</f>
        <v/>
      </c>
      <c r="V473" s="193">
        <f>+SUM(T473:U473)</f>
        <v/>
      </c>
      <c r="W473" s="191" t="n"/>
      <c r="X473" s="170" t="n"/>
      <c r="Y473" s="76">
        <f>ROUND(IF(offer_incoterms="DDP",X473*(S473*(1+AW473)+T473),0),2)</f>
        <v/>
      </c>
      <c r="Z473" s="188" t="n"/>
      <c r="AA473" s="192">
        <f>IFERROR(AB473/E473,0)</f>
        <v/>
      </c>
      <c r="AB473" s="76">
        <f>ROUND(SUM(S473,V473,Y473:Z473,BA473:BB473),2)</f>
        <v/>
      </c>
      <c r="AC473" s="797" t="n"/>
      <c r="AD473" s="192">
        <f t="array" ref="AD473">IFERROR(ROUND((_xlfn.IFS(offer_sale_type="поставка",AB473,offer_sale_type="транзит",S473)*(1+AC473))/E473,2),0)</f>
        <v/>
      </c>
      <c r="AE473" s="76">
        <f>AD473*E473</f>
        <v/>
      </c>
      <c r="AF473" s="193">
        <f t="array" ref="AF473">IFERROR(ROUND(_xlfn.IFS(offer_sale_type="поставка",AB473,offer_sale_type="транзит",S473)*AC473,2),0)</f>
        <v/>
      </c>
      <c r="AG473" s="192">
        <f>$BD473*VLOOKUP($AG$3,$AF$4:$AG$7,2,FALSE)</f>
        <v/>
      </c>
      <c r="AH473" s="76">
        <f>SUM(AE473,AG473,AI473)*rate_forex_risk</f>
        <v/>
      </c>
      <c r="AI473" s="193">
        <f>IF(OR(seller_region="TR",offer_sale_type="экспорт"),0,rate_fin_comm)*SUM(AZ473,AZ473*AW473,T473)</f>
        <v/>
      </c>
      <c r="AJ473" s="118">
        <f>IFERROR(ROUND(SUM(AB473,AF473:AI473)/E473,2),0)</f>
        <v/>
      </c>
      <c r="AK473" s="76">
        <f>AJ473*E473</f>
        <v/>
      </c>
      <c r="AL473" s="174">
        <f>ROUND(IFERROR(AM473*E473,0),2)</f>
        <v/>
      </c>
      <c r="AM473" s="175">
        <f>ROUND(AJ473*(1+IF(offer_incoterms="DDP",IF((TODAY()+offer_turnaround_time)&gt;=helpsheet!$L$17,rate_vatRU_from_26,rate_vatRu_till_25),0)),2)</f>
        <v/>
      </c>
      <c r="AN473" s="192">
        <f>AL473-AK473</f>
        <v/>
      </c>
      <c r="AO473" s="76">
        <f>SUM(AY473,Y473:Z473,T473)*IF(AND(offer_incoterms="DDP",offer_sale_type&lt;&gt;"экспорт"),IF((TODAY()+offer_turnaround_time)&gt;=helpsheet!$L$17,rate_vatRU_from_26,rate_vatRu_till_25),0)</f>
        <v/>
      </c>
      <c r="AP473" s="193">
        <f>AN473-AO473</f>
        <v/>
      </c>
      <c r="AQ473" s="118">
        <f>IF(offer_sale_type="транзит",SUM(AF473:AI473,BA473,BB473),0)</f>
        <v/>
      </c>
      <c r="AR473" s="82">
        <f>HYPERLINK("https://www.alta.ru/tnved/code/")&amp;W473&amp;"/"</f>
        <v/>
      </c>
      <c r="AS473" s="157" t="n"/>
      <c r="AT473" s="162" t="n"/>
      <c r="AU473" s="76">
        <f>IF(ISBLANK(AT473),0,AJ473-AT473)</f>
        <v/>
      </c>
      <c r="AV473" s="157" t="n"/>
      <c r="AW473" s="75">
        <f>_xlfn.IFNA(VLOOKUP(L473,list_vat[],3,FALSE),0)</f>
        <v/>
      </c>
      <c r="AX473" s="76">
        <f>IFERROR(ROUND(S473*(1+AW473)/E473,2),0)</f>
        <v/>
      </c>
      <c r="AY473" s="76">
        <f>E473*AX473</f>
        <v/>
      </c>
      <c r="AZ473" s="192">
        <f>S473*(1+M473)</f>
        <v/>
      </c>
      <c r="BA473" s="76">
        <f>cost_fin_total*$BD473</f>
        <v/>
      </c>
      <c r="BB473" s="193">
        <f>credit_sales_interest*BD473</f>
        <v/>
      </c>
      <c r="BC473" s="102">
        <f>IFERROR(IF($I$13&gt;0,$I473/$I$13,$S473/$S$13),0)</f>
        <v/>
      </c>
      <c r="BD473" s="102">
        <f>IFERROR($S473/$S$13,0)</f>
        <v/>
      </c>
      <c r="BE473" s="413" t="inlineStr">
        <is>
          <t>$</t>
        </is>
      </c>
    </row>
    <row r="474" ht="12" customFormat="1" customHeight="1" s="65">
      <c r="A474" s="43" t="n">
        <v>459</v>
      </c>
      <c r="B474" s="166" t="n"/>
      <c r="C474" s="166" t="n"/>
      <c r="D474" s="166" t="n"/>
      <c r="E474" s="162" t="n"/>
      <c r="F474" s="166" t="n"/>
      <c r="G474" s="162" t="n"/>
      <c r="H474" s="162" t="n"/>
      <c r="I474" s="189">
        <f>E474*G474</f>
        <v/>
      </c>
      <c r="J474" s="195" t="n"/>
      <c r="K474" s="162" t="n"/>
      <c r="L474" s="168" t="n"/>
      <c r="M474" s="75">
        <f>_xlfn.XLOOKUP(L474,list_vat[Страна],list_vat[Ставка НДС %],0,0)</f>
        <v/>
      </c>
      <c r="N474" s="162">
        <f>IFERROR(IF(L474="Китай",K474,K474/(1+M474)),0)</f>
        <v/>
      </c>
      <c r="O474" s="169" t="n"/>
      <c r="P474" s="76">
        <f>N474*(1-O474)</f>
        <v/>
      </c>
      <c r="Q474" s="162" t="n"/>
      <c r="R474" s="162">
        <f>IF(ISBLANK(Q474),"введи курс",P474/Q474)</f>
        <v/>
      </c>
      <c r="S474" s="196">
        <f>IF(AND(ISNUMBER(E474),ISNUMBER(Q474)),E474*R474,0)</f>
        <v/>
      </c>
      <c r="T474" s="192">
        <f>$BC474*V$11</f>
        <v/>
      </c>
      <c r="U474" s="76">
        <f>$BC474*W$11</f>
        <v/>
      </c>
      <c r="V474" s="193">
        <f>+SUM(T474:U474)</f>
        <v/>
      </c>
      <c r="W474" s="191" t="n"/>
      <c r="X474" s="170" t="n"/>
      <c r="Y474" s="76">
        <f>ROUND(IF(offer_incoterms="DDP",X474*(S474*(1+AW474)+T474),0),2)</f>
        <v/>
      </c>
      <c r="Z474" s="188" t="n"/>
      <c r="AA474" s="192">
        <f>IFERROR(AB474/E474,0)</f>
        <v/>
      </c>
      <c r="AB474" s="76">
        <f>ROUND(SUM(S474,V474,Y474:Z474,BA474:BB474),2)</f>
        <v/>
      </c>
      <c r="AC474" s="797" t="n"/>
      <c r="AD474" s="192">
        <f t="array" ref="AD474">IFERROR(ROUND((_xlfn.IFS(offer_sale_type="поставка",AB474,offer_sale_type="транзит",S474)*(1+AC474))/E474,2),0)</f>
        <v/>
      </c>
      <c r="AE474" s="76">
        <f>AD474*E474</f>
        <v/>
      </c>
      <c r="AF474" s="193">
        <f t="array" ref="AF474">IFERROR(ROUND(_xlfn.IFS(offer_sale_type="поставка",AB474,offer_sale_type="транзит",S474)*AC474,2),0)</f>
        <v/>
      </c>
      <c r="AG474" s="192">
        <f>$BD474*VLOOKUP($AG$3,$AF$4:$AG$7,2,FALSE)</f>
        <v/>
      </c>
      <c r="AH474" s="76">
        <f>SUM(AE474,AG474,AI474)*rate_forex_risk</f>
        <v/>
      </c>
      <c r="AI474" s="193">
        <f>IF(OR(seller_region="TR",offer_sale_type="экспорт"),0,rate_fin_comm)*SUM(AZ474,AZ474*AW474,T474)</f>
        <v/>
      </c>
      <c r="AJ474" s="118">
        <f>IFERROR(ROUND(SUM(AB474,AF474:AI474)/E474,2),0)</f>
        <v/>
      </c>
      <c r="AK474" s="76">
        <f>AJ474*E474</f>
        <v/>
      </c>
      <c r="AL474" s="174">
        <f>ROUND(IFERROR(AM474*E474,0),2)</f>
        <v/>
      </c>
      <c r="AM474" s="175">
        <f>ROUND(AJ474*(1+IF(offer_incoterms="DDP",IF((TODAY()+offer_turnaround_time)&gt;=helpsheet!$L$17,rate_vatRU_from_26,rate_vatRu_till_25),0)),2)</f>
        <v/>
      </c>
      <c r="AN474" s="192">
        <f>AL474-AK474</f>
        <v/>
      </c>
      <c r="AO474" s="76">
        <f>SUM(AY474,Y474:Z474,T474)*IF(AND(offer_incoterms="DDP",offer_sale_type&lt;&gt;"экспорт"),IF((TODAY()+offer_turnaround_time)&gt;=helpsheet!$L$17,rate_vatRU_from_26,rate_vatRu_till_25),0)</f>
        <v/>
      </c>
      <c r="AP474" s="193">
        <f>AN474-AO474</f>
        <v/>
      </c>
      <c r="AQ474" s="118">
        <f>IF(offer_sale_type="транзит",SUM(AF474:AI474,BA474,BB474),0)</f>
        <v/>
      </c>
      <c r="AR474" s="82">
        <f>HYPERLINK("https://www.alta.ru/tnved/code/")&amp;W474&amp;"/"</f>
        <v/>
      </c>
      <c r="AS474" s="157" t="n"/>
      <c r="AT474" s="162" t="n"/>
      <c r="AU474" s="76">
        <f>IF(ISBLANK(AT474),0,AJ474-AT474)</f>
        <v/>
      </c>
      <c r="AV474" s="157" t="n"/>
      <c r="AW474" s="75">
        <f>_xlfn.IFNA(VLOOKUP(L474,list_vat[],3,FALSE),0)</f>
        <v/>
      </c>
      <c r="AX474" s="76">
        <f>IFERROR(ROUND(S474*(1+AW474)/E474,2),0)</f>
        <v/>
      </c>
      <c r="AY474" s="76">
        <f>E474*AX474</f>
        <v/>
      </c>
      <c r="AZ474" s="192">
        <f>S474*(1+M474)</f>
        <v/>
      </c>
      <c r="BA474" s="76">
        <f>cost_fin_total*$BD474</f>
        <v/>
      </c>
      <c r="BB474" s="193">
        <f>credit_sales_interest*BD474</f>
        <v/>
      </c>
      <c r="BC474" s="102">
        <f>IFERROR(IF($I$13&gt;0,$I474/$I$13,$S474/$S$13),0)</f>
        <v/>
      </c>
      <c r="BD474" s="102">
        <f>IFERROR($S474/$S$13,0)</f>
        <v/>
      </c>
      <c r="BE474" s="413" t="inlineStr">
        <is>
          <t>$</t>
        </is>
      </c>
    </row>
    <row r="475" ht="12" customFormat="1" customHeight="1" s="65">
      <c r="A475" s="43" t="n">
        <v>460</v>
      </c>
      <c r="B475" s="166" t="n"/>
      <c r="C475" s="166" t="n"/>
      <c r="D475" s="166" t="n"/>
      <c r="E475" s="162" t="n"/>
      <c r="F475" s="166" t="n"/>
      <c r="G475" s="162" t="n"/>
      <c r="H475" s="162" t="n"/>
      <c r="I475" s="189">
        <f>E475*G475</f>
        <v/>
      </c>
      <c r="J475" s="195" t="n"/>
      <c r="K475" s="162" t="n"/>
      <c r="L475" s="168" t="n"/>
      <c r="M475" s="75">
        <f>_xlfn.XLOOKUP(L475,list_vat[Страна],list_vat[Ставка НДС %],0,0)</f>
        <v/>
      </c>
      <c r="N475" s="162">
        <f>IFERROR(IF(L475="Китай",K475,K475/(1+M475)),0)</f>
        <v/>
      </c>
      <c r="O475" s="169" t="n"/>
      <c r="P475" s="76">
        <f>N475*(1-O475)</f>
        <v/>
      </c>
      <c r="Q475" s="162" t="n"/>
      <c r="R475" s="162">
        <f>IF(ISBLANK(Q475),"введи курс",P475/Q475)</f>
        <v/>
      </c>
      <c r="S475" s="196">
        <f>IF(AND(ISNUMBER(E475),ISNUMBER(Q475)),E475*R475,0)</f>
        <v/>
      </c>
      <c r="T475" s="192">
        <f>$BC475*V$11</f>
        <v/>
      </c>
      <c r="U475" s="76">
        <f>$BC475*W$11</f>
        <v/>
      </c>
      <c r="V475" s="193">
        <f>+SUM(T475:U475)</f>
        <v/>
      </c>
      <c r="W475" s="191" t="n"/>
      <c r="X475" s="170" t="n"/>
      <c r="Y475" s="76">
        <f>ROUND(IF(offer_incoterms="DDP",X475*(S475*(1+AW475)+T475),0),2)</f>
        <v/>
      </c>
      <c r="Z475" s="188" t="n"/>
      <c r="AA475" s="192">
        <f>IFERROR(AB475/E475,0)</f>
        <v/>
      </c>
      <c r="AB475" s="76">
        <f>ROUND(SUM(S475,V475,Y475:Z475,BA475:BB475),2)</f>
        <v/>
      </c>
      <c r="AC475" s="797" t="n"/>
      <c r="AD475" s="192">
        <f t="array" ref="AD475">IFERROR(ROUND((_xlfn.IFS(offer_sale_type="поставка",AB475,offer_sale_type="транзит",S475)*(1+AC475))/E475,2),0)</f>
        <v/>
      </c>
      <c r="AE475" s="76">
        <f>AD475*E475</f>
        <v/>
      </c>
      <c r="AF475" s="193">
        <f t="array" ref="AF475">IFERROR(ROUND(_xlfn.IFS(offer_sale_type="поставка",AB475,offer_sale_type="транзит",S475)*AC475,2),0)</f>
        <v/>
      </c>
      <c r="AG475" s="192">
        <f>$BD475*VLOOKUP($AG$3,$AF$4:$AG$7,2,FALSE)</f>
        <v/>
      </c>
      <c r="AH475" s="76">
        <f>SUM(AE475,AG475,AI475)*rate_forex_risk</f>
        <v/>
      </c>
      <c r="AI475" s="193">
        <f>IF(OR(seller_region="TR",offer_sale_type="экспорт"),0,rate_fin_comm)*SUM(AZ475,AZ475*AW475,T475)</f>
        <v/>
      </c>
      <c r="AJ475" s="118">
        <f>IFERROR(ROUND(SUM(AB475,AF475:AI475)/E475,2),0)</f>
        <v/>
      </c>
      <c r="AK475" s="76">
        <f>AJ475*E475</f>
        <v/>
      </c>
      <c r="AL475" s="174">
        <f>ROUND(IFERROR(AM475*E475,0),2)</f>
        <v/>
      </c>
      <c r="AM475" s="175">
        <f>ROUND(AJ475*(1+IF(offer_incoterms="DDP",IF((TODAY()+offer_turnaround_time)&gt;=helpsheet!$L$17,rate_vatRU_from_26,rate_vatRu_till_25),0)),2)</f>
        <v/>
      </c>
      <c r="AN475" s="192">
        <f>AL475-AK475</f>
        <v/>
      </c>
      <c r="AO475" s="76">
        <f>SUM(AY475,Y475:Z475,T475)*IF(AND(offer_incoterms="DDP",offer_sale_type&lt;&gt;"экспорт"),IF((TODAY()+offer_turnaround_time)&gt;=helpsheet!$L$17,rate_vatRU_from_26,rate_vatRu_till_25),0)</f>
        <v/>
      </c>
      <c r="AP475" s="193">
        <f>AN475-AO475</f>
        <v/>
      </c>
      <c r="AQ475" s="118">
        <f>IF(offer_sale_type="транзит",SUM(AF475:AI475,BA475,BB475),0)</f>
        <v/>
      </c>
      <c r="AR475" s="82">
        <f>HYPERLINK("https://www.alta.ru/tnved/code/")&amp;W475&amp;"/"</f>
        <v/>
      </c>
      <c r="AS475" s="157" t="n"/>
      <c r="AT475" s="162" t="n"/>
      <c r="AU475" s="76">
        <f>IF(ISBLANK(AT475),0,AJ475-AT475)</f>
        <v/>
      </c>
      <c r="AV475" s="157" t="n"/>
      <c r="AW475" s="75">
        <f>_xlfn.IFNA(VLOOKUP(L475,list_vat[],3,FALSE),0)</f>
        <v/>
      </c>
      <c r="AX475" s="76">
        <f>IFERROR(ROUND(S475*(1+AW475)/E475,2),0)</f>
        <v/>
      </c>
      <c r="AY475" s="76">
        <f>E475*AX475</f>
        <v/>
      </c>
      <c r="AZ475" s="192">
        <f>S475*(1+M475)</f>
        <v/>
      </c>
      <c r="BA475" s="76">
        <f>cost_fin_total*$BD475</f>
        <v/>
      </c>
      <c r="BB475" s="193">
        <f>credit_sales_interest*BD475</f>
        <v/>
      </c>
      <c r="BC475" s="102">
        <f>IFERROR(IF($I$13&gt;0,$I475/$I$13,$S475/$S$13),0)</f>
        <v/>
      </c>
      <c r="BD475" s="102">
        <f>IFERROR($S475/$S$13,0)</f>
        <v/>
      </c>
      <c r="BE475" s="413" t="inlineStr">
        <is>
          <t>$</t>
        </is>
      </c>
    </row>
    <row r="476" ht="12" customFormat="1" customHeight="1" s="65">
      <c r="A476" s="43" t="n">
        <v>461</v>
      </c>
      <c r="B476" s="166" t="n"/>
      <c r="C476" s="166" t="n"/>
      <c r="D476" s="166" t="n"/>
      <c r="E476" s="162" t="n"/>
      <c r="F476" s="166" t="n"/>
      <c r="G476" s="162" t="n"/>
      <c r="H476" s="162" t="n"/>
      <c r="I476" s="189">
        <f>E476*G476</f>
        <v/>
      </c>
      <c r="J476" s="195" t="n"/>
      <c r="K476" s="162" t="n"/>
      <c r="L476" s="168" t="n"/>
      <c r="M476" s="75">
        <f>_xlfn.XLOOKUP(L476,list_vat[Страна],list_vat[Ставка НДС %],0,0)</f>
        <v/>
      </c>
      <c r="N476" s="162">
        <f>IFERROR(IF(L476="Китай",K476,K476/(1+M476)),0)</f>
        <v/>
      </c>
      <c r="O476" s="169" t="n"/>
      <c r="P476" s="76">
        <f>N476*(1-O476)</f>
        <v/>
      </c>
      <c r="Q476" s="162" t="n"/>
      <c r="R476" s="162">
        <f>IF(ISBLANK(Q476),"введи курс",P476/Q476)</f>
        <v/>
      </c>
      <c r="S476" s="196">
        <f>IF(AND(ISNUMBER(E476),ISNUMBER(Q476)),E476*R476,0)</f>
        <v/>
      </c>
      <c r="T476" s="192">
        <f>$BC476*V$11</f>
        <v/>
      </c>
      <c r="U476" s="76">
        <f>$BC476*W$11</f>
        <v/>
      </c>
      <c r="V476" s="193">
        <f>+SUM(T476:U476)</f>
        <v/>
      </c>
      <c r="W476" s="191" t="n"/>
      <c r="X476" s="170" t="n"/>
      <c r="Y476" s="76">
        <f>ROUND(IF(offer_incoterms="DDP",X476*(S476*(1+AW476)+T476),0),2)</f>
        <v/>
      </c>
      <c r="Z476" s="188" t="n"/>
      <c r="AA476" s="192">
        <f>IFERROR(AB476/E476,0)</f>
        <v/>
      </c>
      <c r="AB476" s="76">
        <f>ROUND(SUM(S476,V476,Y476:Z476,BA476:BB476),2)</f>
        <v/>
      </c>
      <c r="AC476" s="797" t="n"/>
      <c r="AD476" s="192">
        <f t="array" ref="AD476">IFERROR(ROUND((_xlfn.IFS(offer_sale_type="поставка",AB476,offer_sale_type="транзит",S476)*(1+AC476))/E476,2),0)</f>
        <v/>
      </c>
      <c r="AE476" s="76">
        <f>AD476*E476</f>
        <v/>
      </c>
      <c r="AF476" s="193">
        <f t="array" ref="AF476">IFERROR(ROUND(_xlfn.IFS(offer_sale_type="поставка",AB476,offer_sale_type="транзит",S476)*AC476,2),0)</f>
        <v/>
      </c>
      <c r="AG476" s="192">
        <f>$BD476*VLOOKUP($AG$3,$AF$4:$AG$7,2,FALSE)</f>
        <v/>
      </c>
      <c r="AH476" s="76">
        <f>SUM(AE476,AG476,AI476)*rate_forex_risk</f>
        <v/>
      </c>
      <c r="AI476" s="193">
        <f>IF(OR(seller_region="TR",offer_sale_type="экспорт"),0,rate_fin_comm)*SUM(AZ476,AZ476*AW476,T476)</f>
        <v/>
      </c>
      <c r="AJ476" s="118">
        <f>IFERROR(ROUND(SUM(AB476,AF476:AI476)/E476,2),0)</f>
        <v/>
      </c>
      <c r="AK476" s="76">
        <f>AJ476*E476</f>
        <v/>
      </c>
      <c r="AL476" s="174">
        <f>ROUND(IFERROR(AM476*E476,0),2)</f>
        <v/>
      </c>
      <c r="AM476" s="175">
        <f>ROUND(AJ476*(1+IF(offer_incoterms="DDP",IF((TODAY()+offer_turnaround_time)&gt;=helpsheet!$L$17,rate_vatRU_from_26,rate_vatRu_till_25),0)),2)</f>
        <v/>
      </c>
      <c r="AN476" s="192">
        <f>AL476-AK476</f>
        <v/>
      </c>
      <c r="AO476" s="76">
        <f>SUM(AY476,Y476:Z476,T476)*IF(AND(offer_incoterms="DDP",offer_sale_type&lt;&gt;"экспорт"),IF((TODAY()+offer_turnaround_time)&gt;=helpsheet!$L$17,rate_vatRU_from_26,rate_vatRu_till_25),0)</f>
        <v/>
      </c>
      <c r="AP476" s="193">
        <f>AN476-AO476</f>
        <v/>
      </c>
      <c r="AQ476" s="118">
        <f>IF(offer_sale_type="транзит",SUM(AF476:AI476,BA476,BB476),0)</f>
        <v/>
      </c>
      <c r="AR476" s="82">
        <f>HYPERLINK("https://www.alta.ru/tnved/code/")&amp;W476&amp;"/"</f>
        <v/>
      </c>
      <c r="AS476" s="157" t="n"/>
      <c r="AT476" s="162" t="n"/>
      <c r="AU476" s="76">
        <f>IF(ISBLANK(AT476),0,AJ476-AT476)</f>
        <v/>
      </c>
      <c r="AV476" s="157" t="n"/>
      <c r="AW476" s="75">
        <f>_xlfn.IFNA(VLOOKUP(L476,list_vat[],3,FALSE),0)</f>
        <v/>
      </c>
      <c r="AX476" s="76">
        <f>IFERROR(ROUND(S476*(1+AW476)/E476,2),0)</f>
        <v/>
      </c>
      <c r="AY476" s="76">
        <f>E476*AX476</f>
        <v/>
      </c>
      <c r="AZ476" s="192">
        <f>S476*(1+M476)</f>
        <v/>
      </c>
      <c r="BA476" s="76">
        <f>cost_fin_total*$BD476</f>
        <v/>
      </c>
      <c r="BB476" s="193">
        <f>credit_sales_interest*BD476</f>
        <v/>
      </c>
      <c r="BC476" s="102">
        <f>IFERROR(IF($I$13&gt;0,$I476/$I$13,$S476/$S$13),0)</f>
        <v/>
      </c>
      <c r="BD476" s="102">
        <f>IFERROR($S476/$S$13,0)</f>
        <v/>
      </c>
      <c r="BE476" s="413" t="inlineStr">
        <is>
          <t>$</t>
        </is>
      </c>
    </row>
    <row r="477" ht="12" customFormat="1" customHeight="1" s="65">
      <c r="A477" s="43" t="n">
        <v>462</v>
      </c>
      <c r="B477" s="166" t="n"/>
      <c r="C477" s="166" t="n"/>
      <c r="D477" s="166" t="n"/>
      <c r="E477" s="162" t="n"/>
      <c r="F477" s="166" t="n"/>
      <c r="G477" s="162" t="n"/>
      <c r="H477" s="162" t="n"/>
      <c r="I477" s="189">
        <f>E477*G477</f>
        <v/>
      </c>
      <c r="J477" s="195" t="n"/>
      <c r="K477" s="162" t="n"/>
      <c r="L477" s="168" t="n"/>
      <c r="M477" s="75">
        <f>_xlfn.XLOOKUP(L477,list_vat[Страна],list_vat[Ставка НДС %],0,0)</f>
        <v/>
      </c>
      <c r="N477" s="162">
        <f>IFERROR(IF(L477="Китай",K477,K477/(1+M477)),0)</f>
        <v/>
      </c>
      <c r="O477" s="169" t="n"/>
      <c r="P477" s="76">
        <f>N477*(1-O477)</f>
        <v/>
      </c>
      <c r="Q477" s="162" t="n"/>
      <c r="R477" s="162">
        <f>IF(ISBLANK(Q477),"введи курс",P477/Q477)</f>
        <v/>
      </c>
      <c r="S477" s="196">
        <f>IF(AND(ISNUMBER(E477),ISNUMBER(Q477)),E477*R477,0)</f>
        <v/>
      </c>
      <c r="T477" s="192">
        <f>$BC477*V$11</f>
        <v/>
      </c>
      <c r="U477" s="76">
        <f>$BC477*W$11</f>
        <v/>
      </c>
      <c r="V477" s="193">
        <f>+SUM(T477:U477)</f>
        <v/>
      </c>
      <c r="W477" s="191" t="n"/>
      <c r="X477" s="170" t="n"/>
      <c r="Y477" s="76">
        <f>ROUND(IF(offer_incoterms="DDP",X477*(S477*(1+AW477)+T477),0),2)</f>
        <v/>
      </c>
      <c r="Z477" s="188" t="n"/>
      <c r="AA477" s="192">
        <f>IFERROR(AB477/E477,0)</f>
        <v/>
      </c>
      <c r="AB477" s="76">
        <f>ROUND(SUM(S477,V477,Y477:Z477,BA477:BB477),2)</f>
        <v/>
      </c>
      <c r="AC477" s="797" t="n"/>
      <c r="AD477" s="192">
        <f t="array" ref="AD477">IFERROR(ROUND((_xlfn.IFS(offer_sale_type="поставка",AB477,offer_sale_type="транзит",S477)*(1+AC477))/E477,2),0)</f>
        <v/>
      </c>
      <c r="AE477" s="76">
        <f>AD477*E477</f>
        <v/>
      </c>
      <c r="AF477" s="193">
        <f t="array" ref="AF477">IFERROR(ROUND(_xlfn.IFS(offer_sale_type="поставка",AB477,offer_sale_type="транзит",S477)*AC477,2),0)</f>
        <v/>
      </c>
      <c r="AG477" s="192">
        <f>$BD477*VLOOKUP($AG$3,$AF$4:$AG$7,2,FALSE)</f>
        <v/>
      </c>
      <c r="AH477" s="76">
        <f>SUM(AE477,AG477,AI477)*rate_forex_risk</f>
        <v/>
      </c>
      <c r="AI477" s="193">
        <f>IF(OR(seller_region="TR",offer_sale_type="экспорт"),0,rate_fin_comm)*SUM(AZ477,AZ477*AW477,T477)</f>
        <v/>
      </c>
      <c r="AJ477" s="118">
        <f>IFERROR(ROUND(SUM(AB477,AF477:AI477)/E477,2),0)</f>
        <v/>
      </c>
      <c r="AK477" s="76">
        <f>AJ477*E477</f>
        <v/>
      </c>
      <c r="AL477" s="174">
        <f>ROUND(IFERROR(AM477*E477,0),2)</f>
        <v/>
      </c>
      <c r="AM477" s="175">
        <f>ROUND(AJ477*(1+IF(offer_incoterms="DDP",IF((TODAY()+offer_turnaround_time)&gt;=helpsheet!$L$17,rate_vatRU_from_26,rate_vatRu_till_25),0)),2)</f>
        <v/>
      </c>
      <c r="AN477" s="192">
        <f>AL477-AK477</f>
        <v/>
      </c>
      <c r="AO477" s="76">
        <f>SUM(AY477,Y477:Z477,T477)*IF(AND(offer_incoterms="DDP",offer_sale_type&lt;&gt;"экспорт"),IF((TODAY()+offer_turnaround_time)&gt;=helpsheet!$L$17,rate_vatRU_from_26,rate_vatRu_till_25),0)</f>
        <v/>
      </c>
      <c r="AP477" s="193">
        <f>AN477-AO477</f>
        <v/>
      </c>
      <c r="AQ477" s="118">
        <f>IF(offer_sale_type="транзит",SUM(AF477:AI477,BA477,BB477),0)</f>
        <v/>
      </c>
      <c r="AR477" s="82">
        <f>HYPERLINK("https://www.alta.ru/tnved/code/")&amp;W477&amp;"/"</f>
        <v/>
      </c>
      <c r="AS477" s="157" t="n"/>
      <c r="AT477" s="162" t="n"/>
      <c r="AU477" s="76">
        <f>IF(ISBLANK(AT477),0,AJ477-AT477)</f>
        <v/>
      </c>
      <c r="AV477" s="157" t="n"/>
      <c r="AW477" s="75">
        <f>_xlfn.IFNA(VLOOKUP(L477,list_vat[],3,FALSE),0)</f>
        <v/>
      </c>
      <c r="AX477" s="76">
        <f>IFERROR(ROUND(S477*(1+AW477)/E477,2),0)</f>
        <v/>
      </c>
      <c r="AY477" s="76">
        <f>E477*AX477</f>
        <v/>
      </c>
      <c r="AZ477" s="192">
        <f>S477*(1+M477)</f>
        <v/>
      </c>
      <c r="BA477" s="76">
        <f>cost_fin_total*$BD477</f>
        <v/>
      </c>
      <c r="BB477" s="193">
        <f>credit_sales_interest*BD477</f>
        <v/>
      </c>
      <c r="BC477" s="102">
        <f>IFERROR(IF($I$13&gt;0,$I477/$I$13,$S477/$S$13),0)</f>
        <v/>
      </c>
      <c r="BD477" s="102">
        <f>IFERROR($S477/$S$13,0)</f>
        <v/>
      </c>
      <c r="BE477" s="413" t="inlineStr">
        <is>
          <t>$</t>
        </is>
      </c>
    </row>
    <row r="478" ht="12" customFormat="1" customHeight="1" s="65">
      <c r="A478" s="43" t="n">
        <v>463</v>
      </c>
      <c r="B478" s="166" t="n"/>
      <c r="C478" s="166" t="n"/>
      <c r="D478" s="166" t="n"/>
      <c r="E478" s="162" t="n"/>
      <c r="F478" s="166" t="n"/>
      <c r="G478" s="162" t="n"/>
      <c r="H478" s="162" t="n"/>
      <c r="I478" s="189">
        <f>E478*G478</f>
        <v/>
      </c>
      <c r="J478" s="195" t="n"/>
      <c r="K478" s="162" t="n"/>
      <c r="L478" s="168" t="n"/>
      <c r="M478" s="75">
        <f>_xlfn.XLOOKUP(L478,list_vat[Страна],list_vat[Ставка НДС %],0,0)</f>
        <v/>
      </c>
      <c r="N478" s="162">
        <f>IFERROR(IF(L478="Китай",K478,K478/(1+M478)),0)</f>
        <v/>
      </c>
      <c r="O478" s="169" t="n"/>
      <c r="P478" s="76">
        <f>N478*(1-O478)</f>
        <v/>
      </c>
      <c r="Q478" s="162" t="n"/>
      <c r="R478" s="162">
        <f>IF(ISBLANK(Q478),"введи курс",P478/Q478)</f>
        <v/>
      </c>
      <c r="S478" s="196">
        <f>IF(AND(ISNUMBER(E478),ISNUMBER(Q478)),E478*R478,0)</f>
        <v/>
      </c>
      <c r="T478" s="192">
        <f>$BC478*V$11</f>
        <v/>
      </c>
      <c r="U478" s="76">
        <f>$BC478*W$11</f>
        <v/>
      </c>
      <c r="V478" s="193">
        <f>+SUM(T478:U478)</f>
        <v/>
      </c>
      <c r="W478" s="191" t="n"/>
      <c r="X478" s="170" t="n"/>
      <c r="Y478" s="76">
        <f>ROUND(IF(offer_incoterms="DDP",X478*(S478*(1+AW478)+T478),0),2)</f>
        <v/>
      </c>
      <c r="Z478" s="188" t="n"/>
      <c r="AA478" s="192">
        <f>IFERROR(AB478/E478,0)</f>
        <v/>
      </c>
      <c r="AB478" s="76">
        <f>ROUND(SUM(S478,V478,Y478:Z478,BA478:BB478),2)</f>
        <v/>
      </c>
      <c r="AC478" s="797" t="n"/>
      <c r="AD478" s="192">
        <f t="array" ref="AD478">IFERROR(ROUND((_xlfn.IFS(offer_sale_type="поставка",AB478,offer_sale_type="транзит",S478)*(1+AC478))/E478,2),0)</f>
        <v/>
      </c>
      <c r="AE478" s="76">
        <f>AD478*E478</f>
        <v/>
      </c>
      <c r="AF478" s="193">
        <f t="array" ref="AF478">IFERROR(ROUND(_xlfn.IFS(offer_sale_type="поставка",AB478,offer_sale_type="транзит",S478)*AC478,2),0)</f>
        <v/>
      </c>
      <c r="AG478" s="192">
        <f>$BD478*VLOOKUP($AG$3,$AF$4:$AG$7,2,FALSE)</f>
        <v/>
      </c>
      <c r="AH478" s="76">
        <f>SUM(AE478,AG478,AI478)*rate_forex_risk</f>
        <v/>
      </c>
      <c r="AI478" s="193">
        <f>IF(OR(seller_region="TR",offer_sale_type="экспорт"),0,rate_fin_comm)*SUM(AZ478,AZ478*AW478,T478)</f>
        <v/>
      </c>
      <c r="AJ478" s="118">
        <f>IFERROR(ROUND(SUM(AB478,AF478:AI478)/E478,2),0)</f>
        <v/>
      </c>
      <c r="AK478" s="76">
        <f>AJ478*E478</f>
        <v/>
      </c>
      <c r="AL478" s="174">
        <f>ROUND(IFERROR(AM478*E478,0),2)</f>
        <v/>
      </c>
      <c r="AM478" s="175">
        <f>ROUND(AJ478*(1+IF(offer_incoterms="DDP",IF((TODAY()+offer_turnaround_time)&gt;=helpsheet!$L$17,rate_vatRU_from_26,rate_vatRu_till_25),0)),2)</f>
        <v/>
      </c>
      <c r="AN478" s="192">
        <f>AL478-AK478</f>
        <v/>
      </c>
      <c r="AO478" s="76">
        <f>SUM(AY478,Y478:Z478,T478)*IF(AND(offer_incoterms="DDP",offer_sale_type&lt;&gt;"экспорт"),IF((TODAY()+offer_turnaround_time)&gt;=helpsheet!$L$17,rate_vatRU_from_26,rate_vatRu_till_25),0)</f>
        <v/>
      </c>
      <c r="AP478" s="193">
        <f>AN478-AO478</f>
        <v/>
      </c>
      <c r="AQ478" s="118">
        <f>IF(offer_sale_type="транзит",SUM(AF478:AI478,BA478,BB478),0)</f>
        <v/>
      </c>
      <c r="AR478" s="82">
        <f>HYPERLINK("https://www.alta.ru/tnved/code/")&amp;W478&amp;"/"</f>
        <v/>
      </c>
      <c r="AS478" s="157" t="n"/>
      <c r="AT478" s="162" t="n"/>
      <c r="AU478" s="76">
        <f>IF(ISBLANK(AT478),0,AJ478-AT478)</f>
        <v/>
      </c>
      <c r="AV478" s="157" t="n"/>
      <c r="AW478" s="75">
        <f>_xlfn.IFNA(VLOOKUP(L478,list_vat[],3,FALSE),0)</f>
        <v/>
      </c>
      <c r="AX478" s="76">
        <f>IFERROR(ROUND(S478*(1+AW478)/E478,2),0)</f>
        <v/>
      </c>
      <c r="AY478" s="76">
        <f>E478*AX478</f>
        <v/>
      </c>
      <c r="AZ478" s="192">
        <f>S478*(1+M478)</f>
        <v/>
      </c>
      <c r="BA478" s="76">
        <f>cost_fin_total*$BD478</f>
        <v/>
      </c>
      <c r="BB478" s="193">
        <f>credit_sales_interest*BD478</f>
        <v/>
      </c>
      <c r="BC478" s="102">
        <f>IFERROR(IF($I$13&gt;0,$I478/$I$13,$S478/$S$13),0)</f>
        <v/>
      </c>
      <c r="BD478" s="102">
        <f>IFERROR($S478/$S$13,0)</f>
        <v/>
      </c>
      <c r="BE478" s="413" t="inlineStr">
        <is>
          <t>$</t>
        </is>
      </c>
    </row>
    <row r="479" ht="12" customFormat="1" customHeight="1" s="65">
      <c r="A479" s="43" t="n">
        <v>464</v>
      </c>
      <c r="B479" s="166" t="n"/>
      <c r="C479" s="166" t="n"/>
      <c r="D479" s="166" t="n"/>
      <c r="E479" s="162" t="n"/>
      <c r="F479" s="166" t="n"/>
      <c r="G479" s="162" t="n"/>
      <c r="H479" s="162" t="n"/>
      <c r="I479" s="189">
        <f>E479*G479</f>
        <v/>
      </c>
      <c r="J479" s="195" t="n"/>
      <c r="K479" s="162" t="n"/>
      <c r="L479" s="168" t="n"/>
      <c r="M479" s="75">
        <f>_xlfn.XLOOKUP(L479,list_vat[Страна],list_vat[Ставка НДС %],0,0)</f>
        <v/>
      </c>
      <c r="N479" s="162">
        <f>IFERROR(IF(L479="Китай",K479,K479/(1+M479)),0)</f>
        <v/>
      </c>
      <c r="O479" s="169" t="n"/>
      <c r="P479" s="76">
        <f>N479*(1-O479)</f>
        <v/>
      </c>
      <c r="Q479" s="162" t="n"/>
      <c r="R479" s="162">
        <f>IF(ISBLANK(Q479),"введи курс",P479/Q479)</f>
        <v/>
      </c>
      <c r="S479" s="196">
        <f>IF(AND(ISNUMBER(E479),ISNUMBER(Q479)),E479*R479,0)</f>
        <v/>
      </c>
      <c r="T479" s="192">
        <f>$BC479*V$11</f>
        <v/>
      </c>
      <c r="U479" s="76">
        <f>$BC479*W$11</f>
        <v/>
      </c>
      <c r="V479" s="193">
        <f>+SUM(T479:U479)</f>
        <v/>
      </c>
      <c r="W479" s="191" t="n"/>
      <c r="X479" s="170" t="n"/>
      <c r="Y479" s="76">
        <f>ROUND(IF(offer_incoterms="DDP",X479*(S479*(1+AW479)+T479),0),2)</f>
        <v/>
      </c>
      <c r="Z479" s="188" t="n"/>
      <c r="AA479" s="192">
        <f>IFERROR(AB479/E479,0)</f>
        <v/>
      </c>
      <c r="AB479" s="76">
        <f>ROUND(SUM(S479,V479,Y479:Z479,BA479:BB479),2)</f>
        <v/>
      </c>
      <c r="AC479" s="797" t="n"/>
      <c r="AD479" s="192">
        <f t="array" ref="AD479">IFERROR(ROUND((_xlfn.IFS(offer_sale_type="поставка",AB479,offer_sale_type="транзит",S479)*(1+AC479))/E479,2),0)</f>
        <v/>
      </c>
      <c r="AE479" s="76">
        <f>AD479*E479</f>
        <v/>
      </c>
      <c r="AF479" s="193">
        <f t="array" ref="AF479">IFERROR(ROUND(_xlfn.IFS(offer_sale_type="поставка",AB479,offer_sale_type="транзит",S479)*AC479,2),0)</f>
        <v/>
      </c>
      <c r="AG479" s="192">
        <f>$BD479*VLOOKUP($AG$3,$AF$4:$AG$7,2,FALSE)</f>
        <v/>
      </c>
      <c r="AH479" s="76">
        <f>SUM(AE479,AG479,AI479)*rate_forex_risk</f>
        <v/>
      </c>
      <c r="AI479" s="193">
        <f>IF(OR(seller_region="TR",offer_sale_type="экспорт"),0,rate_fin_comm)*SUM(AZ479,AZ479*AW479,T479)</f>
        <v/>
      </c>
      <c r="AJ479" s="118">
        <f>IFERROR(ROUND(SUM(AB479,AF479:AI479)/E479,2),0)</f>
        <v/>
      </c>
      <c r="AK479" s="76">
        <f>AJ479*E479</f>
        <v/>
      </c>
      <c r="AL479" s="174">
        <f>ROUND(IFERROR(AM479*E479,0),2)</f>
        <v/>
      </c>
      <c r="AM479" s="175">
        <f>ROUND(AJ479*(1+IF(offer_incoterms="DDP",IF((TODAY()+offer_turnaround_time)&gt;=helpsheet!$L$17,rate_vatRU_from_26,rate_vatRu_till_25),0)),2)</f>
        <v/>
      </c>
      <c r="AN479" s="192">
        <f>AL479-AK479</f>
        <v/>
      </c>
      <c r="AO479" s="76">
        <f>SUM(AY479,Y479:Z479,T479)*IF(AND(offer_incoterms="DDP",offer_sale_type&lt;&gt;"экспорт"),IF((TODAY()+offer_turnaround_time)&gt;=helpsheet!$L$17,rate_vatRU_from_26,rate_vatRu_till_25),0)</f>
        <v/>
      </c>
      <c r="AP479" s="193">
        <f>AN479-AO479</f>
        <v/>
      </c>
      <c r="AQ479" s="118">
        <f>IF(offer_sale_type="транзит",SUM(AF479:AI479,BA479,BB479),0)</f>
        <v/>
      </c>
      <c r="AR479" s="82">
        <f>HYPERLINK("https://www.alta.ru/tnved/code/")&amp;W479&amp;"/"</f>
        <v/>
      </c>
      <c r="AS479" s="157" t="n"/>
      <c r="AT479" s="162" t="n"/>
      <c r="AU479" s="76">
        <f>IF(ISBLANK(AT479),0,AJ479-AT479)</f>
        <v/>
      </c>
      <c r="AV479" s="157" t="n"/>
      <c r="AW479" s="75">
        <f>_xlfn.IFNA(VLOOKUP(L479,list_vat[],3,FALSE),0)</f>
        <v/>
      </c>
      <c r="AX479" s="76">
        <f>IFERROR(ROUND(S479*(1+AW479)/E479,2),0)</f>
        <v/>
      </c>
      <c r="AY479" s="76">
        <f>E479*AX479</f>
        <v/>
      </c>
      <c r="AZ479" s="192">
        <f>S479*(1+M479)</f>
        <v/>
      </c>
      <c r="BA479" s="76">
        <f>cost_fin_total*$BD479</f>
        <v/>
      </c>
      <c r="BB479" s="193">
        <f>credit_sales_interest*BD479</f>
        <v/>
      </c>
      <c r="BC479" s="102">
        <f>IFERROR(IF($I$13&gt;0,$I479/$I$13,$S479/$S$13),0)</f>
        <v/>
      </c>
      <c r="BD479" s="102">
        <f>IFERROR($S479/$S$13,0)</f>
        <v/>
      </c>
      <c r="BE479" s="413" t="inlineStr">
        <is>
          <t>$</t>
        </is>
      </c>
    </row>
    <row r="480" ht="12" customFormat="1" customHeight="1" s="65">
      <c r="A480" s="43" t="n">
        <v>465</v>
      </c>
      <c r="B480" s="166" t="n"/>
      <c r="C480" s="166" t="n"/>
      <c r="D480" s="166" t="n"/>
      <c r="E480" s="162" t="n"/>
      <c r="F480" s="166" t="n"/>
      <c r="G480" s="162" t="n"/>
      <c r="H480" s="162" t="n"/>
      <c r="I480" s="189">
        <f>E480*G480</f>
        <v/>
      </c>
      <c r="J480" s="195" t="n"/>
      <c r="K480" s="162" t="n"/>
      <c r="L480" s="168" t="n"/>
      <c r="M480" s="75">
        <f>_xlfn.XLOOKUP(L480,list_vat[Страна],list_vat[Ставка НДС %],0,0)</f>
        <v/>
      </c>
      <c r="N480" s="162">
        <f>IFERROR(IF(L480="Китай",K480,K480/(1+M480)),0)</f>
        <v/>
      </c>
      <c r="O480" s="169" t="n"/>
      <c r="P480" s="76">
        <f>N480*(1-O480)</f>
        <v/>
      </c>
      <c r="Q480" s="162" t="n"/>
      <c r="R480" s="162">
        <f>IF(ISBLANK(Q480),"введи курс",P480/Q480)</f>
        <v/>
      </c>
      <c r="S480" s="196">
        <f>IF(AND(ISNUMBER(E480),ISNUMBER(Q480)),E480*R480,0)</f>
        <v/>
      </c>
      <c r="T480" s="192">
        <f>$BC480*V$11</f>
        <v/>
      </c>
      <c r="U480" s="76">
        <f>$BC480*W$11</f>
        <v/>
      </c>
      <c r="V480" s="193">
        <f>+SUM(T480:U480)</f>
        <v/>
      </c>
      <c r="W480" s="191" t="n"/>
      <c r="X480" s="170" t="n"/>
      <c r="Y480" s="76">
        <f>ROUND(IF(offer_incoterms="DDP",X480*(S480*(1+AW480)+T480),0),2)</f>
        <v/>
      </c>
      <c r="Z480" s="188" t="n"/>
      <c r="AA480" s="192">
        <f>IFERROR(AB480/E480,0)</f>
        <v/>
      </c>
      <c r="AB480" s="76">
        <f>ROUND(SUM(S480,V480,Y480:Z480,BA480:BB480),2)</f>
        <v/>
      </c>
      <c r="AC480" s="797" t="n"/>
      <c r="AD480" s="192">
        <f t="array" ref="AD480">IFERROR(ROUND((_xlfn.IFS(offer_sale_type="поставка",AB480,offer_sale_type="транзит",S480)*(1+AC480))/E480,2),0)</f>
        <v/>
      </c>
      <c r="AE480" s="76">
        <f>AD480*E480</f>
        <v/>
      </c>
      <c r="AF480" s="193">
        <f t="array" ref="AF480">IFERROR(ROUND(_xlfn.IFS(offer_sale_type="поставка",AB480,offer_sale_type="транзит",S480)*AC480,2),0)</f>
        <v/>
      </c>
      <c r="AG480" s="192">
        <f>$BD480*VLOOKUP($AG$3,$AF$4:$AG$7,2,FALSE)</f>
        <v/>
      </c>
      <c r="AH480" s="76">
        <f>SUM(AE480,AG480,AI480)*rate_forex_risk</f>
        <v/>
      </c>
      <c r="AI480" s="193">
        <f>IF(OR(seller_region="TR",offer_sale_type="экспорт"),0,rate_fin_comm)*SUM(AZ480,AZ480*AW480,T480)</f>
        <v/>
      </c>
      <c r="AJ480" s="118">
        <f>IFERROR(ROUND(SUM(AB480,AF480:AI480)/E480,2),0)</f>
        <v/>
      </c>
      <c r="AK480" s="76">
        <f>AJ480*E480</f>
        <v/>
      </c>
      <c r="AL480" s="174">
        <f>ROUND(IFERROR(AM480*E480,0),2)</f>
        <v/>
      </c>
      <c r="AM480" s="175">
        <f>ROUND(AJ480*(1+IF(offer_incoterms="DDP",IF((TODAY()+offer_turnaround_time)&gt;=helpsheet!$L$17,rate_vatRU_from_26,rate_vatRu_till_25),0)),2)</f>
        <v/>
      </c>
      <c r="AN480" s="192">
        <f>AL480-AK480</f>
        <v/>
      </c>
      <c r="AO480" s="76">
        <f>SUM(AY480,Y480:Z480,T480)*IF(AND(offer_incoterms="DDP",offer_sale_type&lt;&gt;"экспорт"),IF((TODAY()+offer_turnaround_time)&gt;=helpsheet!$L$17,rate_vatRU_from_26,rate_vatRu_till_25),0)</f>
        <v/>
      </c>
      <c r="AP480" s="193">
        <f>AN480-AO480</f>
        <v/>
      </c>
      <c r="AQ480" s="118">
        <f>IF(offer_sale_type="транзит",SUM(AF480:AI480,BA480,BB480),0)</f>
        <v/>
      </c>
      <c r="AR480" s="82">
        <f>HYPERLINK("https://www.alta.ru/tnved/code/")&amp;W480&amp;"/"</f>
        <v/>
      </c>
      <c r="AS480" s="157" t="n"/>
      <c r="AT480" s="162" t="n"/>
      <c r="AU480" s="76">
        <f>IF(ISBLANK(AT480),0,AJ480-AT480)</f>
        <v/>
      </c>
      <c r="AV480" s="157" t="n"/>
      <c r="AW480" s="75">
        <f>_xlfn.IFNA(VLOOKUP(L480,list_vat[],3,FALSE),0)</f>
        <v/>
      </c>
      <c r="AX480" s="76">
        <f>IFERROR(ROUND(S480*(1+AW480)/E480,2),0)</f>
        <v/>
      </c>
      <c r="AY480" s="76">
        <f>E480*AX480</f>
        <v/>
      </c>
      <c r="AZ480" s="192">
        <f>S480*(1+M480)</f>
        <v/>
      </c>
      <c r="BA480" s="76">
        <f>cost_fin_total*$BD480</f>
        <v/>
      </c>
      <c r="BB480" s="193">
        <f>credit_sales_interest*BD480</f>
        <v/>
      </c>
      <c r="BC480" s="102">
        <f>IFERROR(IF($I$13&gt;0,$I480/$I$13,$S480/$S$13),0)</f>
        <v/>
      </c>
      <c r="BD480" s="102">
        <f>IFERROR($S480/$S$13,0)</f>
        <v/>
      </c>
      <c r="BE480" s="413" t="inlineStr">
        <is>
          <t>$</t>
        </is>
      </c>
    </row>
    <row r="481" ht="12" customFormat="1" customHeight="1" s="65">
      <c r="A481" s="43" t="n">
        <v>466</v>
      </c>
      <c r="B481" s="166" t="n"/>
      <c r="C481" s="166" t="n"/>
      <c r="D481" s="166" t="n"/>
      <c r="E481" s="162" t="n"/>
      <c r="F481" s="166" t="n"/>
      <c r="G481" s="162" t="n"/>
      <c r="H481" s="162" t="n"/>
      <c r="I481" s="189">
        <f>E481*G481</f>
        <v/>
      </c>
      <c r="J481" s="195" t="n"/>
      <c r="K481" s="162" t="n"/>
      <c r="L481" s="168" t="n"/>
      <c r="M481" s="75">
        <f>_xlfn.XLOOKUP(L481,list_vat[Страна],list_vat[Ставка НДС %],0,0)</f>
        <v/>
      </c>
      <c r="N481" s="162">
        <f>IFERROR(IF(L481="Китай",K481,K481/(1+M481)),0)</f>
        <v/>
      </c>
      <c r="O481" s="169" t="n"/>
      <c r="P481" s="76">
        <f>N481*(1-O481)</f>
        <v/>
      </c>
      <c r="Q481" s="162" t="n"/>
      <c r="R481" s="162">
        <f>IF(ISBLANK(Q481),"введи курс",P481/Q481)</f>
        <v/>
      </c>
      <c r="S481" s="196">
        <f>IF(AND(ISNUMBER(E481),ISNUMBER(Q481)),E481*R481,0)</f>
        <v/>
      </c>
      <c r="T481" s="192">
        <f>$BC481*V$11</f>
        <v/>
      </c>
      <c r="U481" s="76">
        <f>$BC481*W$11</f>
        <v/>
      </c>
      <c r="V481" s="193">
        <f>+SUM(T481:U481)</f>
        <v/>
      </c>
      <c r="W481" s="191" t="n"/>
      <c r="X481" s="170" t="n"/>
      <c r="Y481" s="76">
        <f>ROUND(IF(offer_incoterms="DDP",X481*(S481*(1+AW481)+T481),0),2)</f>
        <v/>
      </c>
      <c r="Z481" s="188" t="n"/>
      <c r="AA481" s="192">
        <f>IFERROR(AB481/E481,0)</f>
        <v/>
      </c>
      <c r="AB481" s="76">
        <f>ROUND(SUM(S481,V481,Y481:Z481,BA481:BB481),2)</f>
        <v/>
      </c>
      <c r="AC481" s="797" t="n"/>
      <c r="AD481" s="192">
        <f t="array" ref="AD481">IFERROR(ROUND((_xlfn.IFS(offer_sale_type="поставка",AB481,offer_sale_type="транзит",S481)*(1+AC481))/E481,2),0)</f>
        <v/>
      </c>
      <c r="AE481" s="76">
        <f>AD481*E481</f>
        <v/>
      </c>
      <c r="AF481" s="193">
        <f t="array" ref="AF481">IFERROR(ROUND(_xlfn.IFS(offer_sale_type="поставка",AB481,offer_sale_type="транзит",S481)*AC481,2),0)</f>
        <v/>
      </c>
      <c r="AG481" s="192">
        <f>$BD481*VLOOKUP($AG$3,$AF$4:$AG$7,2,FALSE)</f>
        <v/>
      </c>
      <c r="AH481" s="76">
        <f>SUM(AE481,AG481,AI481)*rate_forex_risk</f>
        <v/>
      </c>
      <c r="AI481" s="193">
        <f>IF(OR(seller_region="TR",offer_sale_type="экспорт"),0,rate_fin_comm)*SUM(AZ481,AZ481*AW481,T481)</f>
        <v/>
      </c>
      <c r="AJ481" s="118">
        <f>IFERROR(ROUND(SUM(AB481,AF481:AI481)/E481,2),0)</f>
        <v/>
      </c>
      <c r="AK481" s="76">
        <f>AJ481*E481</f>
        <v/>
      </c>
      <c r="AL481" s="174">
        <f>ROUND(IFERROR(AM481*E481,0),2)</f>
        <v/>
      </c>
      <c r="AM481" s="175">
        <f>ROUND(AJ481*(1+IF(offer_incoterms="DDP",IF((TODAY()+offer_turnaround_time)&gt;=helpsheet!$L$17,rate_vatRU_from_26,rate_vatRu_till_25),0)),2)</f>
        <v/>
      </c>
      <c r="AN481" s="192">
        <f>AL481-AK481</f>
        <v/>
      </c>
      <c r="AO481" s="76">
        <f>SUM(AY481,Y481:Z481,T481)*IF(AND(offer_incoterms="DDP",offer_sale_type&lt;&gt;"экспорт"),IF((TODAY()+offer_turnaround_time)&gt;=helpsheet!$L$17,rate_vatRU_from_26,rate_vatRu_till_25),0)</f>
        <v/>
      </c>
      <c r="AP481" s="193">
        <f>AN481-AO481</f>
        <v/>
      </c>
      <c r="AQ481" s="118">
        <f>IF(offer_sale_type="транзит",SUM(AF481:AI481,BA481,BB481),0)</f>
        <v/>
      </c>
      <c r="AR481" s="82">
        <f>HYPERLINK("https://www.alta.ru/tnved/code/")&amp;W481&amp;"/"</f>
        <v/>
      </c>
      <c r="AS481" s="157" t="n"/>
      <c r="AT481" s="162" t="n"/>
      <c r="AU481" s="76">
        <f>IF(ISBLANK(AT481),0,AJ481-AT481)</f>
        <v/>
      </c>
      <c r="AV481" s="157" t="n"/>
      <c r="AW481" s="75">
        <f>_xlfn.IFNA(VLOOKUP(L481,list_vat[],3,FALSE),0)</f>
        <v/>
      </c>
      <c r="AX481" s="76">
        <f>IFERROR(ROUND(S481*(1+AW481)/E481,2),0)</f>
        <v/>
      </c>
      <c r="AY481" s="76">
        <f>E481*AX481</f>
        <v/>
      </c>
      <c r="AZ481" s="192">
        <f>S481*(1+M481)</f>
        <v/>
      </c>
      <c r="BA481" s="76">
        <f>cost_fin_total*$BD481</f>
        <v/>
      </c>
      <c r="BB481" s="193">
        <f>credit_sales_interest*BD481</f>
        <v/>
      </c>
      <c r="BC481" s="102">
        <f>IFERROR(IF($I$13&gt;0,$I481/$I$13,$S481/$S$13),0)</f>
        <v/>
      </c>
      <c r="BD481" s="102">
        <f>IFERROR($S481/$S$13,0)</f>
        <v/>
      </c>
      <c r="BE481" s="413" t="inlineStr">
        <is>
          <t>$</t>
        </is>
      </c>
    </row>
    <row r="482" ht="12" customFormat="1" customHeight="1" s="65">
      <c r="A482" s="43" t="n">
        <v>467</v>
      </c>
      <c r="B482" s="166" t="n"/>
      <c r="C482" s="166" t="n"/>
      <c r="D482" s="166" t="n"/>
      <c r="E482" s="162" t="n"/>
      <c r="F482" s="166" t="n"/>
      <c r="G482" s="162" t="n"/>
      <c r="H482" s="162" t="n"/>
      <c r="I482" s="189">
        <f>E482*G482</f>
        <v/>
      </c>
      <c r="J482" s="195" t="n"/>
      <c r="K482" s="162" t="n"/>
      <c r="L482" s="168" t="n"/>
      <c r="M482" s="75">
        <f>_xlfn.XLOOKUP(L482,list_vat[Страна],list_vat[Ставка НДС %],0,0)</f>
        <v/>
      </c>
      <c r="N482" s="162">
        <f>IFERROR(IF(L482="Китай",K482,K482/(1+M482)),0)</f>
        <v/>
      </c>
      <c r="O482" s="169" t="n"/>
      <c r="P482" s="76">
        <f>N482*(1-O482)</f>
        <v/>
      </c>
      <c r="Q482" s="162" t="n"/>
      <c r="R482" s="162">
        <f>IF(ISBLANK(Q482),"введи курс",P482/Q482)</f>
        <v/>
      </c>
      <c r="S482" s="196">
        <f>IF(AND(ISNUMBER(E482),ISNUMBER(Q482)),E482*R482,0)</f>
        <v/>
      </c>
      <c r="T482" s="192">
        <f>$BC482*V$11</f>
        <v/>
      </c>
      <c r="U482" s="76">
        <f>$BC482*W$11</f>
        <v/>
      </c>
      <c r="V482" s="193">
        <f>+SUM(T482:U482)</f>
        <v/>
      </c>
      <c r="W482" s="191" t="n"/>
      <c r="X482" s="170" t="n"/>
      <c r="Y482" s="76">
        <f>ROUND(IF(offer_incoterms="DDP",X482*(S482*(1+AW482)+T482),0),2)</f>
        <v/>
      </c>
      <c r="Z482" s="188" t="n"/>
      <c r="AA482" s="192">
        <f>IFERROR(AB482/E482,0)</f>
        <v/>
      </c>
      <c r="AB482" s="76">
        <f>ROUND(SUM(S482,V482,Y482:Z482,BA482:BB482),2)</f>
        <v/>
      </c>
      <c r="AC482" s="797" t="n"/>
      <c r="AD482" s="192">
        <f t="array" ref="AD482">IFERROR(ROUND((_xlfn.IFS(offer_sale_type="поставка",AB482,offer_sale_type="транзит",S482)*(1+AC482))/E482,2),0)</f>
        <v/>
      </c>
      <c r="AE482" s="76">
        <f>AD482*E482</f>
        <v/>
      </c>
      <c r="AF482" s="193">
        <f t="array" ref="AF482">IFERROR(ROUND(_xlfn.IFS(offer_sale_type="поставка",AB482,offer_sale_type="транзит",S482)*AC482,2),0)</f>
        <v/>
      </c>
      <c r="AG482" s="192">
        <f>$BD482*VLOOKUP($AG$3,$AF$4:$AG$7,2,FALSE)</f>
        <v/>
      </c>
      <c r="AH482" s="76">
        <f>SUM(AE482,AG482,AI482)*rate_forex_risk</f>
        <v/>
      </c>
      <c r="AI482" s="193">
        <f>IF(OR(seller_region="TR",offer_sale_type="экспорт"),0,rate_fin_comm)*SUM(AZ482,AZ482*AW482,T482)</f>
        <v/>
      </c>
      <c r="AJ482" s="118">
        <f>IFERROR(ROUND(SUM(AB482,AF482:AI482)/E482,2),0)</f>
        <v/>
      </c>
      <c r="AK482" s="76">
        <f>AJ482*E482</f>
        <v/>
      </c>
      <c r="AL482" s="174">
        <f>ROUND(IFERROR(AM482*E482,0),2)</f>
        <v/>
      </c>
      <c r="AM482" s="175">
        <f>ROUND(AJ482*(1+IF(offer_incoterms="DDP",IF((TODAY()+offer_turnaround_time)&gt;=helpsheet!$L$17,rate_vatRU_from_26,rate_vatRu_till_25),0)),2)</f>
        <v/>
      </c>
      <c r="AN482" s="192">
        <f>AL482-AK482</f>
        <v/>
      </c>
      <c r="AO482" s="76">
        <f>SUM(AY482,Y482:Z482,T482)*IF(AND(offer_incoterms="DDP",offer_sale_type&lt;&gt;"экспорт"),IF((TODAY()+offer_turnaround_time)&gt;=helpsheet!$L$17,rate_vatRU_from_26,rate_vatRu_till_25),0)</f>
        <v/>
      </c>
      <c r="AP482" s="193">
        <f>AN482-AO482</f>
        <v/>
      </c>
      <c r="AQ482" s="118">
        <f>IF(offer_sale_type="транзит",SUM(AF482:AI482,BA482,BB482),0)</f>
        <v/>
      </c>
      <c r="AR482" s="82">
        <f>HYPERLINK("https://www.alta.ru/tnved/code/")&amp;W482&amp;"/"</f>
        <v/>
      </c>
      <c r="AS482" s="157" t="n"/>
      <c r="AT482" s="162" t="n"/>
      <c r="AU482" s="76">
        <f>IF(ISBLANK(AT482),0,AJ482-AT482)</f>
        <v/>
      </c>
      <c r="AV482" s="157" t="n"/>
      <c r="AW482" s="75">
        <f>_xlfn.IFNA(VLOOKUP(L482,list_vat[],3,FALSE),0)</f>
        <v/>
      </c>
      <c r="AX482" s="76">
        <f>IFERROR(ROUND(S482*(1+AW482)/E482,2),0)</f>
        <v/>
      </c>
      <c r="AY482" s="76">
        <f>E482*AX482</f>
        <v/>
      </c>
      <c r="AZ482" s="192">
        <f>S482*(1+M482)</f>
        <v/>
      </c>
      <c r="BA482" s="76">
        <f>cost_fin_total*$BD482</f>
        <v/>
      </c>
      <c r="BB482" s="193">
        <f>credit_sales_interest*BD482</f>
        <v/>
      </c>
      <c r="BC482" s="102">
        <f>IFERROR(IF($I$13&gt;0,$I482/$I$13,$S482/$S$13),0)</f>
        <v/>
      </c>
      <c r="BD482" s="102">
        <f>IFERROR($S482/$S$13,0)</f>
        <v/>
      </c>
      <c r="BE482" s="413" t="inlineStr">
        <is>
          <t>$</t>
        </is>
      </c>
    </row>
    <row r="483" ht="12" customFormat="1" customHeight="1" s="65">
      <c r="A483" s="43" t="n">
        <v>468</v>
      </c>
      <c r="B483" s="166" t="n"/>
      <c r="C483" s="166" t="n"/>
      <c r="D483" s="166" t="n"/>
      <c r="E483" s="162" t="n"/>
      <c r="F483" s="166" t="n"/>
      <c r="G483" s="162" t="n"/>
      <c r="H483" s="162" t="n"/>
      <c r="I483" s="189">
        <f>E483*G483</f>
        <v/>
      </c>
      <c r="J483" s="195" t="n"/>
      <c r="K483" s="162" t="n"/>
      <c r="L483" s="168" t="n"/>
      <c r="M483" s="75">
        <f>_xlfn.XLOOKUP(L483,list_vat[Страна],list_vat[Ставка НДС %],0,0)</f>
        <v/>
      </c>
      <c r="N483" s="162">
        <f>IFERROR(IF(L483="Китай",K483,K483/(1+M483)),0)</f>
        <v/>
      </c>
      <c r="O483" s="169" t="n"/>
      <c r="P483" s="76">
        <f>N483*(1-O483)</f>
        <v/>
      </c>
      <c r="Q483" s="162" t="n"/>
      <c r="R483" s="162">
        <f>IF(ISBLANK(Q483),"введи курс",P483/Q483)</f>
        <v/>
      </c>
      <c r="S483" s="196">
        <f>IF(AND(ISNUMBER(E483),ISNUMBER(Q483)),E483*R483,0)</f>
        <v/>
      </c>
      <c r="T483" s="192">
        <f>$BC483*V$11</f>
        <v/>
      </c>
      <c r="U483" s="76">
        <f>$BC483*W$11</f>
        <v/>
      </c>
      <c r="V483" s="193">
        <f>+SUM(T483:U483)</f>
        <v/>
      </c>
      <c r="W483" s="191" t="n"/>
      <c r="X483" s="170" t="n"/>
      <c r="Y483" s="76">
        <f>ROUND(IF(offer_incoterms="DDP",X483*(S483*(1+AW483)+T483),0),2)</f>
        <v/>
      </c>
      <c r="Z483" s="188" t="n"/>
      <c r="AA483" s="192">
        <f>IFERROR(AB483/E483,0)</f>
        <v/>
      </c>
      <c r="AB483" s="76">
        <f>ROUND(SUM(S483,V483,Y483:Z483,BA483:BB483),2)</f>
        <v/>
      </c>
      <c r="AC483" s="797" t="n"/>
      <c r="AD483" s="192">
        <f t="array" ref="AD483">IFERROR(ROUND((_xlfn.IFS(offer_sale_type="поставка",AB483,offer_sale_type="транзит",S483)*(1+AC483))/E483,2),0)</f>
        <v/>
      </c>
      <c r="AE483" s="76">
        <f>AD483*E483</f>
        <v/>
      </c>
      <c r="AF483" s="193">
        <f t="array" ref="AF483">IFERROR(ROUND(_xlfn.IFS(offer_sale_type="поставка",AB483,offer_sale_type="транзит",S483)*AC483,2),0)</f>
        <v/>
      </c>
      <c r="AG483" s="192">
        <f>$BD483*VLOOKUP($AG$3,$AF$4:$AG$7,2,FALSE)</f>
        <v/>
      </c>
      <c r="AH483" s="76">
        <f>SUM(AE483,AG483,AI483)*rate_forex_risk</f>
        <v/>
      </c>
      <c r="AI483" s="193">
        <f>IF(OR(seller_region="TR",offer_sale_type="экспорт"),0,rate_fin_comm)*SUM(AZ483,AZ483*AW483,T483)</f>
        <v/>
      </c>
      <c r="AJ483" s="118">
        <f>IFERROR(ROUND(SUM(AB483,AF483:AI483)/E483,2),0)</f>
        <v/>
      </c>
      <c r="AK483" s="76">
        <f>AJ483*E483</f>
        <v/>
      </c>
      <c r="AL483" s="174">
        <f>ROUND(IFERROR(AM483*E483,0),2)</f>
        <v/>
      </c>
      <c r="AM483" s="175">
        <f>ROUND(AJ483*(1+IF(offer_incoterms="DDP",IF((TODAY()+offer_turnaround_time)&gt;=helpsheet!$L$17,rate_vatRU_from_26,rate_vatRu_till_25),0)),2)</f>
        <v/>
      </c>
      <c r="AN483" s="192">
        <f>AL483-AK483</f>
        <v/>
      </c>
      <c r="AO483" s="76">
        <f>SUM(AY483,Y483:Z483,T483)*IF(AND(offer_incoterms="DDP",offer_sale_type&lt;&gt;"экспорт"),IF((TODAY()+offer_turnaround_time)&gt;=helpsheet!$L$17,rate_vatRU_from_26,rate_vatRu_till_25),0)</f>
        <v/>
      </c>
      <c r="AP483" s="193">
        <f>AN483-AO483</f>
        <v/>
      </c>
      <c r="AQ483" s="118">
        <f>IF(offer_sale_type="транзит",SUM(AF483:AI483,BA483,BB483),0)</f>
        <v/>
      </c>
      <c r="AR483" s="82">
        <f>HYPERLINK("https://www.alta.ru/tnved/code/")&amp;W483&amp;"/"</f>
        <v/>
      </c>
      <c r="AS483" s="157" t="n"/>
      <c r="AT483" s="162" t="n"/>
      <c r="AU483" s="76">
        <f>IF(ISBLANK(AT483),0,AJ483-AT483)</f>
        <v/>
      </c>
      <c r="AV483" s="157" t="n"/>
      <c r="AW483" s="75">
        <f>_xlfn.IFNA(VLOOKUP(L483,list_vat[],3,FALSE),0)</f>
        <v/>
      </c>
      <c r="AX483" s="76">
        <f>IFERROR(ROUND(S483*(1+AW483)/E483,2),0)</f>
        <v/>
      </c>
      <c r="AY483" s="76">
        <f>E483*AX483</f>
        <v/>
      </c>
      <c r="AZ483" s="192">
        <f>S483*(1+M483)</f>
        <v/>
      </c>
      <c r="BA483" s="76">
        <f>cost_fin_total*$BD483</f>
        <v/>
      </c>
      <c r="BB483" s="193">
        <f>credit_sales_interest*BD483</f>
        <v/>
      </c>
      <c r="BC483" s="102">
        <f>IFERROR(IF($I$13&gt;0,$I483/$I$13,$S483/$S$13),0)</f>
        <v/>
      </c>
      <c r="BD483" s="102">
        <f>IFERROR($S483/$S$13,0)</f>
        <v/>
      </c>
      <c r="BE483" s="413" t="inlineStr">
        <is>
          <t>$</t>
        </is>
      </c>
    </row>
    <row r="484" ht="12" customFormat="1" customHeight="1" s="65">
      <c r="A484" s="43" t="n">
        <v>469</v>
      </c>
      <c r="B484" s="166" t="n"/>
      <c r="C484" s="166" t="n"/>
      <c r="D484" s="166" t="n"/>
      <c r="E484" s="162" t="n"/>
      <c r="F484" s="166" t="n"/>
      <c r="G484" s="162" t="n"/>
      <c r="H484" s="162" t="n"/>
      <c r="I484" s="189">
        <f>E484*G484</f>
        <v/>
      </c>
      <c r="J484" s="195" t="n"/>
      <c r="K484" s="162" t="n"/>
      <c r="L484" s="168" t="n"/>
      <c r="M484" s="75">
        <f>_xlfn.XLOOKUP(L484,list_vat[Страна],list_vat[Ставка НДС %],0,0)</f>
        <v/>
      </c>
      <c r="N484" s="162">
        <f>IFERROR(IF(L484="Китай",K484,K484/(1+M484)),0)</f>
        <v/>
      </c>
      <c r="O484" s="169" t="n"/>
      <c r="P484" s="76">
        <f>N484*(1-O484)</f>
        <v/>
      </c>
      <c r="Q484" s="162" t="n"/>
      <c r="R484" s="162">
        <f>IF(ISBLANK(Q484),"введи курс",P484/Q484)</f>
        <v/>
      </c>
      <c r="S484" s="196">
        <f>IF(AND(ISNUMBER(E484),ISNUMBER(Q484)),E484*R484,0)</f>
        <v/>
      </c>
      <c r="T484" s="192">
        <f>$BC484*V$11</f>
        <v/>
      </c>
      <c r="U484" s="76">
        <f>$BC484*W$11</f>
        <v/>
      </c>
      <c r="V484" s="193">
        <f>+SUM(T484:U484)</f>
        <v/>
      </c>
      <c r="W484" s="191" t="n"/>
      <c r="X484" s="170" t="n"/>
      <c r="Y484" s="76">
        <f>ROUND(IF(offer_incoterms="DDP",X484*(S484*(1+AW484)+T484),0),2)</f>
        <v/>
      </c>
      <c r="Z484" s="188" t="n"/>
      <c r="AA484" s="192">
        <f>IFERROR(AB484/E484,0)</f>
        <v/>
      </c>
      <c r="AB484" s="76">
        <f>ROUND(SUM(S484,V484,Y484:Z484,BA484:BB484),2)</f>
        <v/>
      </c>
      <c r="AC484" s="797" t="n"/>
      <c r="AD484" s="192">
        <f t="array" ref="AD484">IFERROR(ROUND((_xlfn.IFS(offer_sale_type="поставка",AB484,offer_sale_type="транзит",S484)*(1+AC484))/E484,2),0)</f>
        <v/>
      </c>
      <c r="AE484" s="76">
        <f>AD484*E484</f>
        <v/>
      </c>
      <c r="AF484" s="193">
        <f t="array" ref="AF484">IFERROR(ROUND(_xlfn.IFS(offer_sale_type="поставка",AB484,offer_sale_type="транзит",S484)*AC484,2),0)</f>
        <v/>
      </c>
      <c r="AG484" s="192">
        <f>$BD484*VLOOKUP($AG$3,$AF$4:$AG$7,2,FALSE)</f>
        <v/>
      </c>
      <c r="AH484" s="76">
        <f>SUM(AE484,AG484,AI484)*rate_forex_risk</f>
        <v/>
      </c>
      <c r="AI484" s="193">
        <f>IF(OR(seller_region="TR",offer_sale_type="экспорт"),0,rate_fin_comm)*SUM(AZ484,AZ484*AW484,T484)</f>
        <v/>
      </c>
      <c r="AJ484" s="118">
        <f>IFERROR(ROUND(SUM(AB484,AF484:AI484)/E484,2),0)</f>
        <v/>
      </c>
      <c r="AK484" s="76">
        <f>AJ484*E484</f>
        <v/>
      </c>
      <c r="AL484" s="174">
        <f>ROUND(IFERROR(AM484*E484,0),2)</f>
        <v/>
      </c>
      <c r="AM484" s="175">
        <f>ROUND(AJ484*(1+IF(offer_incoterms="DDP",IF((TODAY()+offer_turnaround_time)&gt;=helpsheet!$L$17,rate_vatRU_from_26,rate_vatRu_till_25),0)),2)</f>
        <v/>
      </c>
      <c r="AN484" s="192">
        <f>AL484-AK484</f>
        <v/>
      </c>
      <c r="AO484" s="76">
        <f>SUM(AY484,Y484:Z484,T484)*IF(AND(offer_incoterms="DDP",offer_sale_type&lt;&gt;"экспорт"),IF((TODAY()+offer_turnaround_time)&gt;=helpsheet!$L$17,rate_vatRU_from_26,rate_vatRu_till_25),0)</f>
        <v/>
      </c>
      <c r="AP484" s="193">
        <f>AN484-AO484</f>
        <v/>
      </c>
      <c r="AQ484" s="118">
        <f>IF(offer_sale_type="транзит",SUM(AF484:AI484,BA484,BB484),0)</f>
        <v/>
      </c>
      <c r="AR484" s="82">
        <f>HYPERLINK("https://www.alta.ru/tnved/code/")&amp;W484&amp;"/"</f>
        <v/>
      </c>
      <c r="AS484" s="157" t="n"/>
      <c r="AT484" s="162" t="n"/>
      <c r="AU484" s="76">
        <f>IF(ISBLANK(AT484),0,AJ484-AT484)</f>
        <v/>
      </c>
      <c r="AV484" s="157" t="n"/>
      <c r="AW484" s="75">
        <f>_xlfn.IFNA(VLOOKUP(L484,list_vat[],3,FALSE),0)</f>
        <v/>
      </c>
      <c r="AX484" s="76">
        <f>IFERROR(ROUND(S484*(1+AW484)/E484,2),0)</f>
        <v/>
      </c>
      <c r="AY484" s="76">
        <f>E484*AX484</f>
        <v/>
      </c>
      <c r="AZ484" s="192">
        <f>S484*(1+M484)</f>
        <v/>
      </c>
      <c r="BA484" s="76">
        <f>cost_fin_total*$BD484</f>
        <v/>
      </c>
      <c r="BB484" s="193">
        <f>credit_sales_interest*BD484</f>
        <v/>
      </c>
      <c r="BC484" s="102">
        <f>IFERROR(IF($I$13&gt;0,$I484/$I$13,$S484/$S$13),0)</f>
        <v/>
      </c>
      <c r="BD484" s="102">
        <f>IFERROR($S484/$S$13,0)</f>
        <v/>
      </c>
      <c r="BE484" s="413" t="inlineStr">
        <is>
          <t>$</t>
        </is>
      </c>
    </row>
    <row r="485" ht="12" customFormat="1" customHeight="1" s="65">
      <c r="A485" s="43" t="n">
        <v>470</v>
      </c>
      <c r="B485" s="166" t="n"/>
      <c r="C485" s="166" t="n"/>
      <c r="D485" s="166" t="n"/>
      <c r="E485" s="162" t="n"/>
      <c r="F485" s="166" t="n"/>
      <c r="G485" s="162" t="n"/>
      <c r="H485" s="162" t="n"/>
      <c r="I485" s="189">
        <f>E485*G485</f>
        <v/>
      </c>
      <c r="J485" s="195" t="n"/>
      <c r="K485" s="162" t="n"/>
      <c r="L485" s="168" t="n"/>
      <c r="M485" s="75">
        <f>_xlfn.XLOOKUP(L485,list_vat[Страна],list_vat[Ставка НДС %],0,0)</f>
        <v/>
      </c>
      <c r="N485" s="162">
        <f>IFERROR(IF(L485="Китай",K485,K485/(1+M485)),0)</f>
        <v/>
      </c>
      <c r="O485" s="169" t="n"/>
      <c r="P485" s="76">
        <f>N485*(1-O485)</f>
        <v/>
      </c>
      <c r="Q485" s="162" t="n"/>
      <c r="R485" s="162">
        <f>IF(ISBLANK(Q485),"введи курс",P485/Q485)</f>
        <v/>
      </c>
      <c r="S485" s="196">
        <f>IF(AND(ISNUMBER(E485),ISNUMBER(Q485)),E485*R485,0)</f>
        <v/>
      </c>
      <c r="T485" s="192">
        <f>$BC485*V$11</f>
        <v/>
      </c>
      <c r="U485" s="76">
        <f>$BC485*W$11</f>
        <v/>
      </c>
      <c r="V485" s="193">
        <f>+SUM(T485:U485)</f>
        <v/>
      </c>
      <c r="W485" s="191" t="n"/>
      <c r="X485" s="170" t="n"/>
      <c r="Y485" s="76">
        <f>ROUND(IF(offer_incoterms="DDP",X485*(S485*(1+AW485)+T485),0),2)</f>
        <v/>
      </c>
      <c r="Z485" s="188" t="n"/>
      <c r="AA485" s="192">
        <f>IFERROR(AB485/E485,0)</f>
        <v/>
      </c>
      <c r="AB485" s="76">
        <f>ROUND(SUM(S485,V485,Y485:Z485,BA485:BB485),2)</f>
        <v/>
      </c>
      <c r="AC485" s="797" t="n"/>
      <c r="AD485" s="192">
        <f t="array" ref="AD485">IFERROR(ROUND((_xlfn.IFS(offer_sale_type="поставка",AB485,offer_sale_type="транзит",S485)*(1+AC485))/E485,2),0)</f>
        <v/>
      </c>
      <c r="AE485" s="76">
        <f>AD485*E485</f>
        <v/>
      </c>
      <c r="AF485" s="193">
        <f t="array" ref="AF485">IFERROR(ROUND(_xlfn.IFS(offer_sale_type="поставка",AB485,offer_sale_type="транзит",S485)*AC485,2),0)</f>
        <v/>
      </c>
      <c r="AG485" s="192">
        <f>$BD485*VLOOKUP($AG$3,$AF$4:$AG$7,2,FALSE)</f>
        <v/>
      </c>
      <c r="AH485" s="76">
        <f>SUM(AE485,AG485,AI485)*rate_forex_risk</f>
        <v/>
      </c>
      <c r="AI485" s="193">
        <f>IF(OR(seller_region="TR",offer_sale_type="экспорт"),0,rate_fin_comm)*SUM(AZ485,AZ485*AW485,T485)</f>
        <v/>
      </c>
      <c r="AJ485" s="118">
        <f>IFERROR(ROUND(SUM(AB485,AF485:AI485)/E485,2),0)</f>
        <v/>
      </c>
      <c r="AK485" s="76">
        <f>AJ485*E485</f>
        <v/>
      </c>
      <c r="AL485" s="174">
        <f>ROUND(IFERROR(AM485*E485,0),2)</f>
        <v/>
      </c>
      <c r="AM485" s="175">
        <f>ROUND(AJ485*(1+IF(offer_incoterms="DDP",IF((TODAY()+offer_turnaround_time)&gt;=helpsheet!$L$17,rate_vatRU_from_26,rate_vatRu_till_25),0)),2)</f>
        <v/>
      </c>
      <c r="AN485" s="192">
        <f>AL485-AK485</f>
        <v/>
      </c>
      <c r="AO485" s="76">
        <f>SUM(AY485,Y485:Z485,T485)*IF(AND(offer_incoterms="DDP",offer_sale_type&lt;&gt;"экспорт"),IF((TODAY()+offer_turnaround_time)&gt;=helpsheet!$L$17,rate_vatRU_from_26,rate_vatRu_till_25),0)</f>
        <v/>
      </c>
      <c r="AP485" s="193">
        <f>AN485-AO485</f>
        <v/>
      </c>
      <c r="AQ485" s="118">
        <f>IF(offer_sale_type="транзит",SUM(AF485:AI485,BA485,BB485),0)</f>
        <v/>
      </c>
      <c r="AR485" s="82">
        <f>HYPERLINK("https://www.alta.ru/tnved/code/")&amp;W485&amp;"/"</f>
        <v/>
      </c>
      <c r="AS485" s="157" t="n"/>
      <c r="AT485" s="162" t="n"/>
      <c r="AU485" s="76">
        <f>IF(ISBLANK(AT485),0,AJ485-AT485)</f>
        <v/>
      </c>
      <c r="AV485" s="157" t="n"/>
      <c r="AW485" s="75">
        <f>_xlfn.IFNA(VLOOKUP(L485,list_vat[],3,FALSE),0)</f>
        <v/>
      </c>
      <c r="AX485" s="76">
        <f>IFERROR(ROUND(S485*(1+AW485)/E485,2),0)</f>
        <v/>
      </c>
      <c r="AY485" s="76">
        <f>E485*AX485</f>
        <v/>
      </c>
      <c r="AZ485" s="192">
        <f>S485*(1+M485)</f>
        <v/>
      </c>
      <c r="BA485" s="76">
        <f>cost_fin_total*$BD485</f>
        <v/>
      </c>
      <c r="BB485" s="193">
        <f>credit_sales_interest*BD485</f>
        <v/>
      </c>
      <c r="BC485" s="102">
        <f>IFERROR(IF($I$13&gt;0,$I485/$I$13,$S485/$S$13),0)</f>
        <v/>
      </c>
      <c r="BD485" s="102">
        <f>IFERROR($S485/$S$13,0)</f>
        <v/>
      </c>
      <c r="BE485" s="413" t="inlineStr">
        <is>
          <t>$</t>
        </is>
      </c>
    </row>
    <row r="486" ht="12" customFormat="1" customHeight="1" s="65">
      <c r="A486" s="43" t="n">
        <v>471</v>
      </c>
      <c r="B486" s="166" t="n"/>
      <c r="C486" s="166" t="n"/>
      <c r="D486" s="166" t="n"/>
      <c r="E486" s="162" t="n"/>
      <c r="F486" s="166" t="n"/>
      <c r="G486" s="162" t="n"/>
      <c r="H486" s="162" t="n"/>
      <c r="I486" s="189">
        <f>E486*G486</f>
        <v/>
      </c>
      <c r="J486" s="195" t="n"/>
      <c r="K486" s="162" t="n"/>
      <c r="L486" s="168" t="n"/>
      <c r="M486" s="75">
        <f>_xlfn.XLOOKUP(L486,list_vat[Страна],list_vat[Ставка НДС %],0,0)</f>
        <v/>
      </c>
      <c r="N486" s="162">
        <f>IFERROR(IF(L486="Китай",K486,K486/(1+M486)),0)</f>
        <v/>
      </c>
      <c r="O486" s="169" t="n"/>
      <c r="P486" s="76">
        <f>N486*(1-O486)</f>
        <v/>
      </c>
      <c r="Q486" s="162" t="n"/>
      <c r="R486" s="162">
        <f>IF(ISBLANK(Q486),"введи курс",P486/Q486)</f>
        <v/>
      </c>
      <c r="S486" s="196">
        <f>IF(AND(ISNUMBER(E486),ISNUMBER(Q486)),E486*R486,0)</f>
        <v/>
      </c>
      <c r="T486" s="192">
        <f>$BC486*V$11</f>
        <v/>
      </c>
      <c r="U486" s="76">
        <f>$BC486*W$11</f>
        <v/>
      </c>
      <c r="V486" s="193">
        <f>+SUM(T486:U486)</f>
        <v/>
      </c>
      <c r="W486" s="191" t="n"/>
      <c r="X486" s="170" t="n"/>
      <c r="Y486" s="76">
        <f>ROUND(IF(offer_incoterms="DDP",X486*(S486*(1+AW486)+T486),0),2)</f>
        <v/>
      </c>
      <c r="Z486" s="188" t="n"/>
      <c r="AA486" s="192">
        <f>IFERROR(AB486/E486,0)</f>
        <v/>
      </c>
      <c r="AB486" s="76">
        <f>ROUND(SUM(S486,V486,Y486:Z486,BA486:BB486),2)</f>
        <v/>
      </c>
      <c r="AC486" s="797" t="n"/>
      <c r="AD486" s="192">
        <f t="array" ref="AD486">IFERROR(ROUND((_xlfn.IFS(offer_sale_type="поставка",AB486,offer_sale_type="транзит",S486)*(1+AC486))/E486,2),0)</f>
        <v/>
      </c>
      <c r="AE486" s="76">
        <f>AD486*E486</f>
        <v/>
      </c>
      <c r="AF486" s="193">
        <f t="array" ref="AF486">IFERROR(ROUND(_xlfn.IFS(offer_sale_type="поставка",AB486,offer_sale_type="транзит",S486)*AC486,2),0)</f>
        <v/>
      </c>
      <c r="AG486" s="192">
        <f>$BD486*VLOOKUP($AG$3,$AF$4:$AG$7,2,FALSE)</f>
        <v/>
      </c>
      <c r="AH486" s="76">
        <f>SUM(AE486,AG486,AI486)*rate_forex_risk</f>
        <v/>
      </c>
      <c r="AI486" s="193">
        <f>IF(OR(seller_region="TR",offer_sale_type="экспорт"),0,rate_fin_comm)*SUM(AZ486,AZ486*AW486,T486)</f>
        <v/>
      </c>
      <c r="AJ486" s="118">
        <f>IFERROR(ROUND(SUM(AB486,AF486:AI486)/E486,2),0)</f>
        <v/>
      </c>
      <c r="AK486" s="76">
        <f>AJ486*E486</f>
        <v/>
      </c>
      <c r="AL486" s="174">
        <f>ROUND(IFERROR(AM486*E486,0),2)</f>
        <v/>
      </c>
      <c r="AM486" s="175">
        <f>ROUND(AJ486*(1+IF(offer_incoterms="DDP",IF((TODAY()+offer_turnaround_time)&gt;=helpsheet!$L$17,rate_vatRU_from_26,rate_vatRu_till_25),0)),2)</f>
        <v/>
      </c>
      <c r="AN486" s="192">
        <f>AL486-AK486</f>
        <v/>
      </c>
      <c r="AO486" s="76">
        <f>SUM(AY486,Y486:Z486,T486)*IF(AND(offer_incoterms="DDP",offer_sale_type&lt;&gt;"экспорт"),IF((TODAY()+offer_turnaround_time)&gt;=helpsheet!$L$17,rate_vatRU_from_26,rate_vatRu_till_25),0)</f>
        <v/>
      </c>
      <c r="AP486" s="193">
        <f>AN486-AO486</f>
        <v/>
      </c>
      <c r="AQ486" s="118">
        <f>IF(offer_sale_type="транзит",SUM(AF486:AI486,BA486,BB486),0)</f>
        <v/>
      </c>
      <c r="AR486" s="82">
        <f>HYPERLINK("https://www.alta.ru/tnved/code/")&amp;W486&amp;"/"</f>
        <v/>
      </c>
      <c r="AS486" s="157" t="n"/>
      <c r="AT486" s="162" t="n"/>
      <c r="AU486" s="76">
        <f>IF(ISBLANK(AT486),0,AJ486-AT486)</f>
        <v/>
      </c>
      <c r="AV486" s="157" t="n"/>
      <c r="AW486" s="75">
        <f>_xlfn.IFNA(VLOOKUP(L486,list_vat[],3,FALSE),0)</f>
        <v/>
      </c>
      <c r="AX486" s="76">
        <f>IFERROR(ROUND(S486*(1+AW486)/E486,2),0)</f>
        <v/>
      </c>
      <c r="AY486" s="76">
        <f>E486*AX486</f>
        <v/>
      </c>
      <c r="AZ486" s="192">
        <f>S486*(1+M486)</f>
        <v/>
      </c>
      <c r="BA486" s="76">
        <f>cost_fin_total*$BD486</f>
        <v/>
      </c>
      <c r="BB486" s="193">
        <f>credit_sales_interest*BD486</f>
        <v/>
      </c>
      <c r="BC486" s="102">
        <f>IFERROR(IF($I$13&gt;0,$I486/$I$13,$S486/$S$13),0)</f>
        <v/>
      </c>
      <c r="BD486" s="102">
        <f>IFERROR($S486/$S$13,0)</f>
        <v/>
      </c>
      <c r="BE486" s="413" t="inlineStr">
        <is>
          <t>$</t>
        </is>
      </c>
    </row>
    <row r="487" ht="12" customFormat="1" customHeight="1" s="65">
      <c r="A487" s="43" t="n">
        <v>472</v>
      </c>
      <c r="B487" s="166" t="n"/>
      <c r="C487" s="166" t="n"/>
      <c r="D487" s="166" t="n"/>
      <c r="E487" s="162" t="n"/>
      <c r="F487" s="166" t="n"/>
      <c r="G487" s="162" t="n"/>
      <c r="H487" s="162" t="n"/>
      <c r="I487" s="189">
        <f>E487*G487</f>
        <v/>
      </c>
      <c r="J487" s="195" t="n"/>
      <c r="K487" s="162" t="n"/>
      <c r="L487" s="168" t="n"/>
      <c r="M487" s="75">
        <f>_xlfn.XLOOKUP(L487,list_vat[Страна],list_vat[Ставка НДС %],0,0)</f>
        <v/>
      </c>
      <c r="N487" s="162">
        <f>IFERROR(IF(L487="Китай",K487,K487/(1+M487)),0)</f>
        <v/>
      </c>
      <c r="O487" s="169" t="n"/>
      <c r="P487" s="76">
        <f>N487*(1-O487)</f>
        <v/>
      </c>
      <c r="Q487" s="162" t="n"/>
      <c r="R487" s="162">
        <f>IF(ISBLANK(Q487),"введи курс",P487/Q487)</f>
        <v/>
      </c>
      <c r="S487" s="196">
        <f>IF(AND(ISNUMBER(E487),ISNUMBER(Q487)),E487*R487,0)</f>
        <v/>
      </c>
      <c r="T487" s="192">
        <f>$BC487*V$11</f>
        <v/>
      </c>
      <c r="U487" s="76">
        <f>$BC487*W$11</f>
        <v/>
      </c>
      <c r="V487" s="193">
        <f>+SUM(T487:U487)</f>
        <v/>
      </c>
      <c r="W487" s="191" t="n"/>
      <c r="X487" s="170" t="n"/>
      <c r="Y487" s="76">
        <f>ROUND(IF(offer_incoterms="DDP",X487*(S487*(1+AW487)+T487),0),2)</f>
        <v/>
      </c>
      <c r="Z487" s="188" t="n"/>
      <c r="AA487" s="192">
        <f>IFERROR(AB487/E487,0)</f>
        <v/>
      </c>
      <c r="AB487" s="76">
        <f>ROUND(SUM(S487,V487,Y487:Z487,BA487:BB487),2)</f>
        <v/>
      </c>
      <c r="AC487" s="797" t="n"/>
      <c r="AD487" s="192">
        <f t="array" ref="AD487">IFERROR(ROUND((_xlfn.IFS(offer_sale_type="поставка",AB487,offer_sale_type="транзит",S487)*(1+AC487))/E487,2),0)</f>
        <v/>
      </c>
      <c r="AE487" s="76">
        <f>AD487*E487</f>
        <v/>
      </c>
      <c r="AF487" s="193">
        <f t="array" ref="AF487">IFERROR(ROUND(_xlfn.IFS(offer_sale_type="поставка",AB487,offer_sale_type="транзит",S487)*AC487,2),0)</f>
        <v/>
      </c>
      <c r="AG487" s="192">
        <f>$BD487*VLOOKUP($AG$3,$AF$4:$AG$7,2,FALSE)</f>
        <v/>
      </c>
      <c r="AH487" s="76">
        <f>SUM(AE487,AG487,AI487)*rate_forex_risk</f>
        <v/>
      </c>
      <c r="AI487" s="193">
        <f>IF(OR(seller_region="TR",offer_sale_type="экспорт"),0,rate_fin_comm)*SUM(AZ487,AZ487*AW487,T487)</f>
        <v/>
      </c>
      <c r="AJ487" s="118">
        <f>IFERROR(ROUND(SUM(AB487,AF487:AI487)/E487,2),0)</f>
        <v/>
      </c>
      <c r="AK487" s="76">
        <f>AJ487*E487</f>
        <v/>
      </c>
      <c r="AL487" s="174">
        <f>ROUND(IFERROR(AM487*E487,0),2)</f>
        <v/>
      </c>
      <c r="AM487" s="175">
        <f>ROUND(AJ487*(1+IF(offer_incoterms="DDP",IF((TODAY()+offer_turnaround_time)&gt;=helpsheet!$L$17,rate_vatRU_from_26,rate_vatRu_till_25),0)),2)</f>
        <v/>
      </c>
      <c r="AN487" s="192">
        <f>AL487-AK487</f>
        <v/>
      </c>
      <c r="AO487" s="76">
        <f>SUM(AY487,Y487:Z487,T487)*IF(AND(offer_incoterms="DDP",offer_sale_type&lt;&gt;"экспорт"),IF((TODAY()+offer_turnaround_time)&gt;=helpsheet!$L$17,rate_vatRU_from_26,rate_vatRu_till_25),0)</f>
        <v/>
      </c>
      <c r="AP487" s="193">
        <f>AN487-AO487</f>
        <v/>
      </c>
      <c r="AQ487" s="118">
        <f>IF(offer_sale_type="транзит",SUM(AF487:AI487,BA487,BB487),0)</f>
        <v/>
      </c>
      <c r="AR487" s="82">
        <f>HYPERLINK("https://www.alta.ru/tnved/code/")&amp;W487&amp;"/"</f>
        <v/>
      </c>
      <c r="AS487" s="157" t="n"/>
      <c r="AT487" s="162" t="n"/>
      <c r="AU487" s="76">
        <f>IF(ISBLANK(AT487),0,AJ487-AT487)</f>
        <v/>
      </c>
      <c r="AV487" s="157" t="n"/>
      <c r="AW487" s="75">
        <f>_xlfn.IFNA(VLOOKUP(L487,list_vat[],3,FALSE),0)</f>
        <v/>
      </c>
      <c r="AX487" s="76">
        <f>IFERROR(ROUND(S487*(1+AW487)/E487,2),0)</f>
        <v/>
      </c>
      <c r="AY487" s="76">
        <f>E487*AX487</f>
        <v/>
      </c>
      <c r="AZ487" s="192">
        <f>S487*(1+M487)</f>
        <v/>
      </c>
      <c r="BA487" s="76">
        <f>cost_fin_total*$BD487</f>
        <v/>
      </c>
      <c r="BB487" s="193">
        <f>credit_sales_interest*BD487</f>
        <v/>
      </c>
      <c r="BC487" s="102">
        <f>IFERROR(IF($I$13&gt;0,$I487/$I$13,$S487/$S$13),0)</f>
        <v/>
      </c>
      <c r="BD487" s="102">
        <f>IFERROR($S487/$S$13,0)</f>
        <v/>
      </c>
      <c r="BE487" s="413" t="inlineStr">
        <is>
          <t>$</t>
        </is>
      </c>
    </row>
    <row r="488" ht="12" customFormat="1" customHeight="1" s="65">
      <c r="A488" s="43" t="n">
        <v>473</v>
      </c>
      <c r="B488" s="166" t="n"/>
      <c r="C488" s="166" t="n"/>
      <c r="D488" s="166" t="n"/>
      <c r="E488" s="162" t="n"/>
      <c r="F488" s="166" t="n"/>
      <c r="G488" s="162" t="n"/>
      <c r="H488" s="162" t="n"/>
      <c r="I488" s="189">
        <f>E488*G488</f>
        <v/>
      </c>
      <c r="J488" s="195" t="n"/>
      <c r="K488" s="162" t="n"/>
      <c r="L488" s="168" t="n"/>
      <c r="M488" s="75">
        <f>_xlfn.XLOOKUP(L488,list_vat[Страна],list_vat[Ставка НДС %],0,0)</f>
        <v/>
      </c>
      <c r="N488" s="162">
        <f>IFERROR(IF(L488="Китай",K488,K488/(1+M488)),0)</f>
        <v/>
      </c>
      <c r="O488" s="169" t="n"/>
      <c r="P488" s="76">
        <f>N488*(1-O488)</f>
        <v/>
      </c>
      <c r="Q488" s="162" t="n"/>
      <c r="R488" s="162">
        <f>IF(ISBLANK(Q488),"введи курс",P488/Q488)</f>
        <v/>
      </c>
      <c r="S488" s="196">
        <f>IF(AND(ISNUMBER(E488),ISNUMBER(Q488)),E488*R488,0)</f>
        <v/>
      </c>
      <c r="T488" s="192">
        <f>$BC488*V$11</f>
        <v/>
      </c>
      <c r="U488" s="76">
        <f>$BC488*W$11</f>
        <v/>
      </c>
      <c r="V488" s="193">
        <f>+SUM(T488:U488)</f>
        <v/>
      </c>
      <c r="W488" s="191" t="n"/>
      <c r="X488" s="170" t="n"/>
      <c r="Y488" s="76">
        <f>ROUND(IF(offer_incoterms="DDP",X488*(S488*(1+AW488)+T488),0),2)</f>
        <v/>
      </c>
      <c r="Z488" s="188" t="n"/>
      <c r="AA488" s="192">
        <f>IFERROR(AB488/E488,0)</f>
        <v/>
      </c>
      <c r="AB488" s="76">
        <f>ROUND(SUM(S488,V488,Y488:Z488,BA488:BB488),2)</f>
        <v/>
      </c>
      <c r="AC488" s="797" t="n"/>
      <c r="AD488" s="192">
        <f t="array" ref="AD488">IFERROR(ROUND((_xlfn.IFS(offer_sale_type="поставка",AB488,offer_sale_type="транзит",S488)*(1+AC488))/E488,2),0)</f>
        <v/>
      </c>
      <c r="AE488" s="76">
        <f>AD488*E488</f>
        <v/>
      </c>
      <c r="AF488" s="193">
        <f t="array" ref="AF488">IFERROR(ROUND(_xlfn.IFS(offer_sale_type="поставка",AB488,offer_sale_type="транзит",S488)*AC488,2),0)</f>
        <v/>
      </c>
      <c r="AG488" s="192">
        <f>$BD488*VLOOKUP($AG$3,$AF$4:$AG$7,2,FALSE)</f>
        <v/>
      </c>
      <c r="AH488" s="76">
        <f>SUM(AE488,AG488,AI488)*rate_forex_risk</f>
        <v/>
      </c>
      <c r="AI488" s="193">
        <f>IF(OR(seller_region="TR",offer_sale_type="экспорт"),0,rate_fin_comm)*SUM(AZ488,AZ488*AW488,T488)</f>
        <v/>
      </c>
      <c r="AJ488" s="118">
        <f>IFERROR(ROUND(SUM(AB488,AF488:AI488)/E488,2),0)</f>
        <v/>
      </c>
      <c r="AK488" s="76">
        <f>AJ488*E488</f>
        <v/>
      </c>
      <c r="AL488" s="174">
        <f>ROUND(IFERROR(AM488*E488,0),2)</f>
        <v/>
      </c>
      <c r="AM488" s="175">
        <f>ROUND(AJ488*(1+IF(offer_incoterms="DDP",IF((TODAY()+offer_turnaround_time)&gt;=helpsheet!$L$17,rate_vatRU_from_26,rate_vatRu_till_25),0)),2)</f>
        <v/>
      </c>
      <c r="AN488" s="192">
        <f>AL488-AK488</f>
        <v/>
      </c>
      <c r="AO488" s="76">
        <f>SUM(AY488,Y488:Z488,T488)*IF(AND(offer_incoterms="DDP",offer_sale_type&lt;&gt;"экспорт"),IF((TODAY()+offer_turnaround_time)&gt;=helpsheet!$L$17,rate_vatRU_from_26,rate_vatRu_till_25),0)</f>
        <v/>
      </c>
      <c r="AP488" s="193">
        <f>AN488-AO488</f>
        <v/>
      </c>
      <c r="AQ488" s="118">
        <f>IF(offer_sale_type="транзит",SUM(AF488:AI488,BA488,BB488),0)</f>
        <v/>
      </c>
      <c r="AR488" s="82">
        <f>HYPERLINK("https://www.alta.ru/tnved/code/")&amp;W488&amp;"/"</f>
        <v/>
      </c>
      <c r="AS488" s="157" t="n"/>
      <c r="AT488" s="162" t="n"/>
      <c r="AU488" s="76">
        <f>IF(ISBLANK(AT488),0,AJ488-AT488)</f>
        <v/>
      </c>
      <c r="AV488" s="157" t="n"/>
      <c r="AW488" s="75">
        <f>_xlfn.IFNA(VLOOKUP(L488,list_vat[],3,FALSE),0)</f>
        <v/>
      </c>
      <c r="AX488" s="76">
        <f>IFERROR(ROUND(S488*(1+AW488)/E488,2),0)</f>
        <v/>
      </c>
      <c r="AY488" s="76">
        <f>E488*AX488</f>
        <v/>
      </c>
      <c r="AZ488" s="192">
        <f>S488*(1+M488)</f>
        <v/>
      </c>
      <c r="BA488" s="76">
        <f>cost_fin_total*$BD488</f>
        <v/>
      </c>
      <c r="BB488" s="193">
        <f>credit_sales_interest*BD488</f>
        <v/>
      </c>
      <c r="BC488" s="102">
        <f>IFERROR(IF($I$13&gt;0,$I488/$I$13,$S488/$S$13),0)</f>
        <v/>
      </c>
      <c r="BD488" s="102">
        <f>IFERROR($S488/$S$13,0)</f>
        <v/>
      </c>
      <c r="BE488" s="413" t="inlineStr">
        <is>
          <t>$</t>
        </is>
      </c>
    </row>
    <row r="489" ht="12" customFormat="1" customHeight="1" s="65">
      <c r="A489" s="43" t="n">
        <v>474</v>
      </c>
      <c r="B489" s="166" t="n"/>
      <c r="C489" s="166" t="n"/>
      <c r="D489" s="166" t="n"/>
      <c r="E489" s="162" t="n"/>
      <c r="F489" s="166" t="n"/>
      <c r="G489" s="162" t="n"/>
      <c r="H489" s="162" t="n"/>
      <c r="I489" s="189">
        <f>E489*G489</f>
        <v/>
      </c>
      <c r="J489" s="195" t="n"/>
      <c r="K489" s="162" t="n"/>
      <c r="L489" s="168" t="n"/>
      <c r="M489" s="75">
        <f>_xlfn.XLOOKUP(L489,list_vat[Страна],list_vat[Ставка НДС %],0,0)</f>
        <v/>
      </c>
      <c r="N489" s="162">
        <f>IFERROR(IF(L489="Китай",K489,K489/(1+M489)),0)</f>
        <v/>
      </c>
      <c r="O489" s="169" t="n"/>
      <c r="P489" s="76">
        <f>N489*(1-O489)</f>
        <v/>
      </c>
      <c r="Q489" s="162" t="n"/>
      <c r="R489" s="162">
        <f>IF(ISBLANK(Q489),"введи курс",P489/Q489)</f>
        <v/>
      </c>
      <c r="S489" s="196">
        <f>IF(AND(ISNUMBER(E489),ISNUMBER(Q489)),E489*R489,0)</f>
        <v/>
      </c>
      <c r="T489" s="192">
        <f>$BC489*V$11</f>
        <v/>
      </c>
      <c r="U489" s="76">
        <f>$BC489*W$11</f>
        <v/>
      </c>
      <c r="V489" s="193">
        <f>+SUM(T489:U489)</f>
        <v/>
      </c>
      <c r="W489" s="191" t="n"/>
      <c r="X489" s="170" t="n"/>
      <c r="Y489" s="76">
        <f>ROUND(IF(offer_incoterms="DDP",X489*(S489*(1+AW489)+T489),0),2)</f>
        <v/>
      </c>
      <c r="Z489" s="188" t="n"/>
      <c r="AA489" s="192">
        <f>IFERROR(AB489/E489,0)</f>
        <v/>
      </c>
      <c r="AB489" s="76">
        <f>ROUND(SUM(S489,V489,Y489:Z489,BA489:BB489),2)</f>
        <v/>
      </c>
      <c r="AC489" s="797" t="n"/>
      <c r="AD489" s="192">
        <f t="array" ref="AD489">IFERROR(ROUND((_xlfn.IFS(offer_sale_type="поставка",AB489,offer_sale_type="транзит",S489)*(1+AC489))/E489,2),0)</f>
        <v/>
      </c>
      <c r="AE489" s="76">
        <f>AD489*E489</f>
        <v/>
      </c>
      <c r="AF489" s="193">
        <f t="array" ref="AF489">IFERROR(ROUND(_xlfn.IFS(offer_sale_type="поставка",AB489,offer_sale_type="транзит",S489)*AC489,2),0)</f>
        <v/>
      </c>
      <c r="AG489" s="192">
        <f>$BD489*VLOOKUP($AG$3,$AF$4:$AG$7,2,FALSE)</f>
        <v/>
      </c>
      <c r="AH489" s="76">
        <f>SUM(AE489,AG489,AI489)*rate_forex_risk</f>
        <v/>
      </c>
      <c r="AI489" s="193">
        <f>IF(OR(seller_region="TR",offer_sale_type="экспорт"),0,rate_fin_comm)*SUM(AZ489,AZ489*AW489,T489)</f>
        <v/>
      </c>
      <c r="AJ489" s="118">
        <f>IFERROR(ROUND(SUM(AB489,AF489:AI489)/E489,2),0)</f>
        <v/>
      </c>
      <c r="AK489" s="76">
        <f>AJ489*E489</f>
        <v/>
      </c>
      <c r="AL489" s="174">
        <f>ROUND(IFERROR(AM489*E489,0),2)</f>
        <v/>
      </c>
      <c r="AM489" s="175">
        <f>ROUND(AJ489*(1+IF(offer_incoterms="DDP",IF((TODAY()+offer_turnaround_time)&gt;=helpsheet!$L$17,rate_vatRU_from_26,rate_vatRu_till_25),0)),2)</f>
        <v/>
      </c>
      <c r="AN489" s="192">
        <f>AL489-AK489</f>
        <v/>
      </c>
      <c r="AO489" s="76">
        <f>SUM(AY489,Y489:Z489,T489)*IF(AND(offer_incoterms="DDP",offer_sale_type&lt;&gt;"экспорт"),IF((TODAY()+offer_turnaround_time)&gt;=helpsheet!$L$17,rate_vatRU_from_26,rate_vatRu_till_25),0)</f>
        <v/>
      </c>
      <c r="AP489" s="193">
        <f>AN489-AO489</f>
        <v/>
      </c>
      <c r="AQ489" s="118">
        <f>IF(offer_sale_type="транзит",SUM(AF489:AI489,BA489,BB489),0)</f>
        <v/>
      </c>
      <c r="AR489" s="82">
        <f>HYPERLINK("https://www.alta.ru/tnved/code/")&amp;W489&amp;"/"</f>
        <v/>
      </c>
      <c r="AS489" s="157" t="n"/>
      <c r="AT489" s="162" t="n"/>
      <c r="AU489" s="76">
        <f>IF(ISBLANK(AT489),0,AJ489-AT489)</f>
        <v/>
      </c>
      <c r="AV489" s="157" t="n"/>
      <c r="AW489" s="75">
        <f>_xlfn.IFNA(VLOOKUP(L489,list_vat[],3,FALSE),0)</f>
        <v/>
      </c>
      <c r="AX489" s="76">
        <f>IFERROR(ROUND(S489*(1+AW489)/E489,2),0)</f>
        <v/>
      </c>
      <c r="AY489" s="76">
        <f>E489*AX489</f>
        <v/>
      </c>
      <c r="AZ489" s="192">
        <f>S489*(1+M489)</f>
        <v/>
      </c>
      <c r="BA489" s="76">
        <f>cost_fin_total*$BD489</f>
        <v/>
      </c>
      <c r="BB489" s="193">
        <f>credit_sales_interest*BD489</f>
        <v/>
      </c>
      <c r="BC489" s="102">
        <f>IFERROR(IF($I$13&gt;0,$I489/$I$13,$S489/$S$13),0)</f>
        <v/>
      </c>
      <c r="BD489" s="102">
        <f>IFERROR($S489/$S$13,0)</f>
        <v/>
      </c>
      <c r="BE489" s="413" t="inlineStr">
        <is>
          <t>$</t>
        </is>
      </c>
    </row>
    <row r="490" ht="12" customFormat="1" customHeight="1" s="65">
      <c r="A490" s="43" t="n">
        <v>475</v>
      </c>
      <c r="B490" s="166" t="n"/>
      <c r="C490" s="166" t="n"/>
      <c r="D490" s="166" t="n"/>
      <c r="E490" s="162" t="n"/>
      <c r="F490" s="166" t="n"/>
      <c r="G490" s="162" t="n"/>
      <c r="H490" s="162" t="n"/>
      <c r="I490" s="189">
        <f>E490*G490</f>
        <v/>
      </c>
      <c r="J490" s="195" t="n"/>
      <c r="K490" s="162" t="n"/>
      <c r="L490" s="168" t="n"/>
      <c r="M490" s="75">
        <f>_xlfn.XLOOKUP(L490,list_vat[Страна],list_vat[Ставка НДС %],0,0)</f>
        <v/>
      </c>
      <c r="N490" s="162">
        <f>IFERROR(IF(L490="Китай",K490,K490/(1+M490)),0)</f>
        <v/>
      </c>
      <c r="O490" s="169" t="n"/>
      <c r="P490" s="76">
        <f>N490*(1-O490)</f>
        <v/>
      </c>
      <c r="Q490" s="162" t="n"/>
      <c r="R490" s="162">
        <f>IF(ISBLANK(Q490),"введи курс",P490/Q490)</f>
        <v/>
      </c>
      <c r="S490" s="196">
        <f>IF(AND(ISNUMBER(E490),ISNUMBER(Q490)),E490*R490,0)</f>
        <v/>
      </c>
      <c r="T490" s="192">
        <f>$BC490*V$11</f>
        <v/>
      </c>
      <c r="U490" s="76">
        <f>$BC490*W$11</f>
        <v/>
      </c>
      <c r="V490" s="193">
        <f>+SUM(T490:U490)</f>
        <v/>
      </c>
      <c r="W490" s="191" t="n"/>
      <c r="X490" s="170" t="n"/>
      <c r="Y490" s="76">
        <f>ROUND(IF(offer_incoterms="DDP",X490*(S490*(1+AW490)+T490),0),2)</f>
        <v/>
      </c>
      <c r="Z490" s="188" t="n"/>
      <c r="AA490" s="192">
        <f>IFERROR(AB490/E490,0)</f>
        <v/>
      </c>
      <c r="AB490" s="76">
        <f>ROUND(SUM(S490,V490,Y490:Z490,BA490:BB490),2)</f>
        <v/>
      </c>
      <c r="AC490" s="797" t="n"/>
      <c r="AD490" s="192">
        <f t="array" ref="AD490">IFERROR(ROUND((_xlfn.IFS(offer_sale_type="поставка",AB490,offer_sale_type="транзит",S490)*(1+AC490))/E490,2),0)</f>
        <v/>
      </c>
      <c r="AE490" s="76">
        <f>AD490*E490</f>
        <v/>
      </c>
      <c r="AF490" s="193">
        <f t="array" ref="AF490">IFERROR(ROUND(_xlfn.IFS(offer_sale_type="поставка",AB490,offer_sale_type="транзит",S490)*AC490,2),0)</f>
        <v/>
      </c>
      <c r="AG490" s="192">
        <f>$BD490*VLOOKUP($AG$3,$AF$4:$AG$7,2,FALSE)</f>
        <v/>
      </c>
      <c r="AH490" s="76">
        <f>SUM(AE490,AG490,AI490)*rate_forex_risk</f>
        <v/>
      </c>
      <c r="AI490" s="193">
        <f>IF(OR(seller_region="TR",offer_sale_type="экспорт"),0,rate_fin_comm)*SUM(AZ490,AZ490*AW490,T490)</f>
        <v/>
      </c>
      <c r="AJ490" s="118">
        <f>IFERROR(ROUND(SUM(AB490,AF490:AI490)/E490,2),0)</f>
        <v/>
      </c>
      <c r="AK490" s="76">
        <f>AJ490*E490</f>
        <v/>
      </c>
      <c r="AL490" s="174">
        <f>ROUND(IFERROR(AM490*E490,0),2)</f>
        <v/>
      </c>
      <c r="AM490" s="175">
        <f>ROUND(AJ490*(1+IF(offer_incoterms="DDP",IF((TODAY()+offer_turnaround_time)&gt;=helpsheet!$L$17,rate_vatRU_from_26,rate_vatRu_till_25),0)),2)</f>
        <v/>
      </c>
      <c r="AN490" s="192">
        <f>AL490-AK490</f>
        <v/>
      </c>
      <c r="AO490" s="76">
        <f>SUM(AY490,Y490:Z490,T490)*IF(AND(offer_incoterms="DDP",offer_sale_type&lt;&gt;"экспорт"),IF((TODAY()+offer_turnaround_time)&gt;=helpsheet!$L$17,rate_vatRU_from_26,rate_vatRu_till_25),0)</f>
        <v/>
      </c>
      <c r="AP490" s="193">
        <f>AN490-AO490</f>
        <v/>
      </c>
      <c r="AQ490" s="118">
        <f>IF(offer_sale_type="транзит",SUM(AF490:AI490,BA490,BB490),0)</f>
        <v/>
      </c>
      <c r="AR490" s="82">
        <f>HYPERLINK("https://www.alta.ru/tnved/code/")&amp;W490&amp;"/"</f>
        <v/>
      </c>
      <c r="AS490" s="157" t="n"/>
      <c r="AT490" s="162" t="n"/>
      <c r="AU490" s="76">
        <f>IF(ISBLANK(AT490),0,AJ490-AT490)</f>
        <v/>
      </c>
      <c r="AV490" s="157" t="n"/>
      <c r="AW490" s="75">
        <f>_xlfn.IFNA(VLOOKUP(L490,list_vat[],3,FALSE),0)</f>
        <v/>
      </c>
      <c r="AX490" s="76">
        <f>IFERROR(ROUND(S490*(1+AW490)/E490,2),0)</f>
        <v/>
      </c>
      <c r="AY490" s="76">
        <f>E490*AX490</f>
        <v/>
      </c>
      <c r="AZ490" s="192">
        <f>S490*(1+M490)</f>
        <v/>
      </c>
      <c r="BA490" s="76">
        <f>cost_fin_total*$BD490</f>
        <v/>
      </c>
      <c r="BB490" s="193">
        <f>credit_sales_interest*BD490</f>
        <v/>
      </c>
      <c r="BC490" s="102">
        <f>IFERROR(IF($I$13&gt;0,$I490/$I$13,$S490/$S$13),0)</f>
        <v/>
      </c>
      <c r="BD490" s="102">
        <f>IFERROR($S490/$S$13,0)</f>
        <v/>
      </c>
      <c r="BE490" s="413" t="inlineStr">
        <is>
          <t>$</t>
        </is>
      </c>
    </row>
    <row r="491" ht="12" customFormat="1" customHeight="1" s="65">
      <c r="A491" s="43" t="n">
        <v>476</v>
      </c>
      <c r="B491" s="166" t="n"/>
      <c r="C491" s="166" t="n"/>
      <c r="D491" s="166" t="n"/>
      <c r="E491" s="162" t="n"/>
      <c r="F491" s="166" t="n"/>
      <c r="G491" s="162" t="n"/>
      <c r="H491" s="162" t="n"/>
      <c r="I491" s="189">
        <f>E491*G491</f>
        <v/>
      </c>
      <c r="J491" s="195" t="n"/>
      <c r="K491" s="162" t="n"/>
      <c r="L491" s="168" t="n"/>
      <c r="M491" s="75">
        <f>_xlfn.XLOOKUP(L491,list_vat[Страна],list_vat[Ставка НДС %],0,0)</f>
        <v/>
      </c>
      <c r="N491" s="162">
        <f>IFERROR(IF(L491="Китай",K491,K491/(1+M491)),0)</f>
        <v/>
      </c>
      <c r="O491" s="169" t="n"/>
      <c r="P491" s="76">
        <f>N491*(1-O491)</f>
        <v/>
      </c>
      <c r="Q491" s="162" t="n"/>
      <c r="R491" s="162">
        <f>IF(ISBLANK(Q491),"введи курс",P491/Q491)</f>
        <v/>
      </c>
      <c r="S491" s="196">
        <f>IF(AND(ISNUMBER(E491),ISNUMBER(Q491)),E491*R491,0)</f>
        <v/>
      </c>
      <c r="T491" s="192">
        <f>$BC491*V$11</f>
        <v/>
      </c>
      <c r="U491" s="76">
        <f>$BC491*W$11</f>
        <v/>
      </c>
      <c r="V491" s="193">
        <f>+SUM(T491:U491)</f>
        <v/>
      </c>
      <c r="W491" s="191" t="n"/>
      <c r="X491" s="170" t="n"/>
      <c r="Y491" s="76">
        <f>ROUND(IF(offer_incoterms="DDP",X491*(S491*(1+AW491)+T491),0),2)</f>
        <v/>
      </c>
      <c r="Z491" s="188" t="n"/>
      <c r="AA491" s="192">
        <f>IFERROR(AB491/E491,0)</f>
        <v/>
      </c>
      <c r="AB491" s="76">
        <f>ROUND(SUM(S491,V491,Y491:Z491,BA491:BB491),2)</f>
        <v/>
      </c>
      <c r="AC491" s="797" t="n"/>
      <c r="AD491" s="192">
        <f t="array" ref="AD491">IFERROR(ROUND((_xlfn.IFS(offer_sale_type="поставка",AB491,offer_sale_type="транзит",S491)*(1+AC491))/E491,2),0)</f>
        <v/>
      </c>
      <c r="AE491" s="76">
        <f>AD491*E491</f>
        <v/>
      </c>
      <c r="AF491" s="193">
        <f t="array" ref="AF491">IFERROR(ROUND(_xlfn.IFS(offer_sale_type="поставка",AB491,offer_sale_type="транзит",S491)*AC491,2),0)</f>
        <v/>
      </c>
      <c r="AG491" s="192">
        <f>$BD491*VLOOKUP($AG$3,$AF$4:$AG$7,2,FALSE)</f>
        <v/>
      </c>
      <c r="AH491" s="76">
        <f>SUM(AE491,AG491,AI491)*rate_forex_risk</f>
        <v/>
      </c>
      <c r="AI491" s="193">
        <f>IF(OR(seller_region="TR",offer_sale_type="экспорт"),0,rate_fin_comm)*SUM(AZ491,AZ491*AW491,T491)</f>
        <v/>
      </c>
      <c r="AJ491" s="118">
        <f>IFERROR(ROUND(SUM(AB491,AF491:AI491)/E491,2),0)</f>
        <v/>
      </c>
      <c r="AK491" s="76">
        <f>AJ491*E491</f>
        <v/>
      </c>
      <c r="AL491" s="174">
        <f>ROUND(IFERROR(AM491*E491,0),2)</f>
        <v/>
      </c>
      <c r="AM491" s="175">
        <f>ROUND(AJ491*(1+IF(offer_incoterms="DDP",IF((TODAY()+offer_turnaround_time)&gt;=helpsheet!$L$17,rate_vatRU_from_26,rate_vatRu_till_25),0)),2)</f>
        <v/>
      </c>
      <c r="AN491" s="192">
        <f>AL491-AK491</f>
        <v/>
      </c>
      <c r="AO491" s="76">
        <f>SUM(AY491,Y491:Z491,T491)*IF(AND(offer_incoterms="DDP",offer_sale_type&lt;&gt;"экспорт"),IF((TODAY()+offer_turnaround_time)&gt;=helpsheet!$L$17,rate_vatRU_from_26,rate_vatRu_till_25),0)</f>
        <v/>
      </c>
      <c r="AP491" s="193">
        <f>AN491-AO491</f>
        <v/>
      </c>
      <c r="AQ491" s="118">
        <f>IF(offer_sale_type="транзит",SUM(AF491:AI491,BA491,BB491),0)</f>
        <v/>
      </c>
      <c r="AR491" s="82">
        <f>HYPERLINK("https://www.alta.ru/tnved/code/")&amp;W491&amp;"/"</f>
        <v/>
      </c>
      <c r="AS491" s="157" t="n"/>
      <c r="AT491" s="162" t="n"/>
      <c r="AU491" s="76">
        <f>IF(ISBLANK(AT491),0,AJ491-AT491)</f>
        <v/>
      </c>
      <c r="AV491" s="157" t="n"/>
      <c r="AW491" s="75">
        <f>_xlfn.IFNA(VLOOKUP(L491,list_vat[],3,FALSE),0)</f>
        <v/>
      </c>
      <c r="AX491" s="76">
        <f>IFERROR(ROUND(S491*(1+AW491)/E491,2),0)</f>
        <v/>
      </c>
      <c r="AY491" s="76">
        <f>E491*AX491</f>
        <v/>
      </c>
      <c r="AZ491" s="192">
        <f>S491*(1+M491)</f>
        <v/>
      </c>
      <c r="BA491" s="76">
        <f>cost_fin_total*$BD491</f>
        <v/>
      </c>
      <c r="BB491" s="193">
        <f>credit_sales_interest*BD491</f>
        <v/>
      </c>
      <c r="BC491" s="102">
        <f>IFERROR(IF($I$13&gt;0,$I491/$I$13,$S491/$S$13),0)</f>
        <v/>
      </c>
      <c r="BD491" s="102">
        <f>IFERROR($S491/$S$13,0)</f>
        <v/>
      </c>
      <c r="BE491" s="413" t="inlineStr">
        <is>
          <t>$</t>
        </is>
      </c>
    </row>
    <row r="492" ht="12" customFormat="1" customHeight="1" s="65">
      <c r="A492" s="43" t="n">
        <v>477</v>
      </c>
      <c r="B492" s="166" t="n"/>
      <c r="C492" s="166" t="n"/>
      <c r="D492" s="166" t="n"/>
      <c r="E492" s="162" t="n"/>
      <c r="F492" s="166" t="n"/>
      <c r="G492" s="162" t="n"/>
      <c r="H492" s="162" t="n"/>
      <c r="I492" s="189">
        <f>E492*G492</f>
        <v/>
      </c>
      <c r="J492" s="195" t="n"/>
      <c r="K492" s="162" t="n"/>
      <c r="L492" s="168" t="n"/>
      <c r="M492" s="75">
        <f>_xlfn.XLOOKUP(L492,list_vat[Страна],list_vat[Ставка НДС %],0,0)</f>
        <v/>
      </c>
      <c r="N492" s="162">
        <f>IFERROR(IF(L492="Китай",K492,K492/(1+M492)),0)</f>
        <v/>
      </c>
      <c r="O492" s="169" t="n"/>
      <c r="P492" s="76">
        <f>N492*(1-O492)</f>
        <v/>
      </c>
      <c r="Q492" s="162" t="n"/>
      <c r="R492" s="162">
        <f>IF(ISBLANK(Q492),"введи курс",P492/Q492)</f>
        <v/>
      </c>
      <c r="S492" s="196">
        <f>IF(AND(ISNUMBER(E492),ISNUMBER(Q492)),E492*R492,0)</f>
        <v/>
      </c>
      <c r="T492" s="192">
        <f>$BC492*V$11</f>
        <v/>
      </c>
      <c r="U492" s="76">
        <f>$BC492*W$11</f>
        <v/>
      </c>
      <c r="V492" s="193">
        <f>+SUM(T492:U492)</f>
        <v/>
      </c>
      <c r="W492" s="191" t="n"/>
      <c r="X492" s="170" t="n"/>
      <c r="Y492" s="76">
        <f>ROUND(IF(offer_incoterms="DDP",X492*(S492*(1+AW492)+T492),0),2)</f>
        <v/>
      </c>
      <c r="Z492" s="188" t="n"/>
      <c r="AA492" s="192">
        <f>IFERROR(AB492/E492,0)</f>
        <v/>
      </c>
      <c r="AB492" s="76">
        <f>ROUND(SUM(S492,V492,Y492:Z492,BA492:BB492),2)</f>
        <v/>
      </c>
      <c r="AC492" s="797" t="n"/>
      <c r="AD492" s="192">
        <f t="array" ref="AD492">IFERROR(ROUND((_xlfn.IFS(offer_sale_type="поставка",AB492,offer_sale_type="транзит",S492)*(1+AC492))/E492,2),0)</f>
        <v/>
      </c>
      <c r="AE492" s="76">
        <f>AD492*E492</f>
        <v/>
      </c>
      <c r="AF492" s="193">
        <f t="array" ref="AF492">IFERROR(ROUND(_xlfn.IFS(offer_sale_type="поставка",AB492,offer_sale_type="транзит",S492)*AC492,2),0)</f>
        <v/>
      </c>
      <c r="AG492" s="192">
        <f>$BD492*VLOOKUP($AG$3,$AF$4:$AG$7,2,FALSE)</f>
        <v/>
      </c>
      <c r="AH492" s="76">
        <f>SUM(AE492,AG492,AI492)*rate_forex_risk</f>
        <v/>
      </c>
      <c r="AI492" s="193">
        <f>IF(OR(seller_region="TR",offer_sale_type="экспорт"),0,rate_fin_comm)*SUM(AZ492,AZ492*AW492,T492)</f>
        <v/>
      </c>
      <c r="AJ492" s="118">
        <f>IFERROR(ROUND(SUM(AB492,AF492:AI492)/E492,2),0)</f>
        <v/>
      </c>
      <c r="AK492" s="76">
        <f>AJ492*E492</f>
        <v/>
      </c>
      <c r="AL492" s="174">
        <f>ROUND(IFERROR(AM492*E492,0),2)</f>
        <v/>
      </c>
      <c r="AM492" s="175">
        <f>ROUND(AJ492*(1+IF(offer_incoterms="DDP",IF((TODAY()+offer_turnaround_time)&gt;=helpsheet!$L$17,rate_vatRU_from_26,rate_vatRu_till_25),0)),2)</f>
        <v/>
      </c>
      <c r="AN492" s="192">
        <f>AL492-AK492</f>
        <v/>
      </c>
      <c r="AO492" s="76">
        <f>SUM(AY492,Y492:Z492,T492)*IF(AND(offer_incoterms="DDP",offer_sale_type&lt;&gt;"экспорт"),IF((TODAY()+offer_turnaround_time)&gt;=helpsheet!$L$17,rate_vatRU_from_26,rate_vatRu_till_25),0)</f>
        <v/>
      </c>
      <c r="AP492" s="193">
        <f>AN492-AO492</f>
        <v/>
      </c>
      <c r="AQ492" s="118">
        <f>IF(offer_sale_type="транзит",SUM(AF492:AI492,BA492,BB492),0)</f>
        <v/>
      </c>
      <c r="AR492" s="82">
        <f>HYPERLINK("https://www.alta.ru/tnved/code/")&amp;W492&amp;"/"</f>
        <v/>
      </c>
      <c r="AS492" s="157" t="n"/>
      <c r="AT492" s="162" t="n"/>
      <c r="AU492" s="76">
        <f>IF(ISBLANK(AT492),0,AJ492-AT492)</f>
        <v/>
      </c>
      <c r="AV492" s="157" t="n"/>
      <c r="AW492" s="75">
        <f>_xlfn.IFNA(VLOOKUP(L492,list_vat[],3,FALSE),0)</f>
        <v/>
      </c>
      <c r="AX492" s="76">
        <f>IFERROR(ROUND(S492*(1+AW492)/E492,2),0)</f>
        <v/>
      </c>
      <c r="AY492" s="76">
        <f>E492*AX492</f>
        <v/>
      </c>
      <c r="AZ492" s="192">
        <f>S492*(1+M492)</f>
        <v/>
      </c>
      <c r="BA492" s="76">
        <f>cost_fin_total*$BD492</f>
        <v/>
      </c>
      <c r="BB492" s="193">
        <f>credit_sales_interest*BD492</f>
        <v/>
      </c>
      <c r="BC492" s="102">
        <f>IFERROR(IF($I$13&gt;0,$I492/$I$13,$S492/$S$13),0)</f>
        <v/>
      </c>
      <c r="BD492" s="102">
        <f>IFERROR($S492/$S$13,0)</f>
        <v/>
      </c>
      <c r="BE492" s="413" t="inlineStr">
        <is>
          <t>$</t>
        </is>
      </c>
    </row>
    <row r="493" ht="12" customFormat="1" customHeight="1" s="65">
      <c r="A493" s="43" t="n">
        <v>478</v>
      </c>
      <c r="B493" s="166" t="n"/>
      <c r="C493" s="166" t="n"/>
      <c r="D493" s="166" t="n"/>
      <c r="E493" s="162" t="n"/>
      <c r="F493" s="166" t="n"/>
      <c r="G493" s="162" t="n"/>
      <c r="H493" s="162" t="n"/>
      <c r="I493" s="189">
        <f>E493*G493</f>
        <v/>
      </c>
      <c r="J493" s="195" t="n"/>
      <c r="K493" s="162" t="n"/>
      <c r="L493" s="168" t="n"/>
      <c r="M493" s="75">
        <f>_xlfn.XLOOKUP(L493,list_vat[Страна],list_vat[Ставка НДС %],0,0)</f>
        <v/>
      </c>
      <c r="N493" s="162">
        <f>IFERROR(IF(L493="Китай",K493,K493/(1+M493)),0)</f>
        <v/>
      </c>
      <c r="O493" s="169" t="n"/>
      <c r="P493" s="76">
        <f>N493*(1-O493)</f>
        <v/>
      </c>
      <c r="Q493" s="162" t="n"/>
      <c r="R493" s="162">
        <f>IF(ISBLANK(Q493),"введи курс",P493/Q493)</f>
        <v/>
      </c>
      <c r="S493" s="196">
        <f>IF(AND(ISNUMBER(E493),ISNUMBER(Q493)),E493*R493,0)</f>
        <v/>
      </c>
      <c r="T493" s="192">
        <f>$BC493*V$11</f>
        <v/>
      </c>
      <c r="U493" s="76">
        <f>$BC493*W$11</f>
        <v/>
      </c>
      <c r="V493" s="193">
        <f>+SUM(T493:U493)</f>
        <v/>
      </c>
      <c r="W493" s="191" t="n"/>
      <c r="X493" s="170" t="n"/>
      <c r="Y493" s="76">
        <f>ROUND(IF(offer_incoterms="DDP",X493*(S493*(1+AW493)+T493),0),2)</f>
        <v/>
      </c>
      <c r="Z493" s="188" t="n"/>
      <c r="AA493" s="192">
        <f>IFERROR(AB493/E493,0)</f>
        <v/>
      </c>
      <c r="AB493" s="76">
        <f>ROUND(SUM(S493,V493,Y493:Z493,BA493:BB493),2)</f>
        <v/>
      </c>
      <c r="AC493" s="797" t="n"/>
      <c r="AD493" s="192">
        <f t="array" ref="AD493">IFERROR(ROUND((_xlfn.IFS(offer_sale_type="поставка",AB493,offer_sale_type="транзит",S493)*(1+AC493))/E493,2),0)</f>
        <v/>
      </c>
      <c r="AE493" s="76">
        <f>AD493*E493</f>
        <v/>
      </c>
      <c r="AF493" s="193">
        <f t="array" ref="AF493">IFERROR(ROUND(_xlfn.IFS(offer_sale_type="поставка",AB493,offer_sale_type="транзит",S493)*AC493,2),0)</f>
        <v/>
      </c>
      <c r="AG493" s="192">
        <f>$BD493*VLOOKUP($AG$3,$AF$4:$AG$7,2,FALSE)</f>
        <v/>
      </c>
      <c r="AH493" s="76">
        <f>SUM(AE493,AG493,AI493)*rate_forex_risk</f>
        <v/>
      </c>
      <c r="AI493" s="193">
        <f>IF(OR(seller_region="TR",offer_sale_type="экспорт"),0,rate_fin_comm)*SUM(AZ493,AZ493*AW493,T493)</f>
        <v/>
      </c>
      <c r="AJ493" s="118">
        <f>IFERROR(ROUND(SUM(AB493,AF493:AI493)/E493,2),0)</f>
        <v/>
      </c>
      <c r="AK493" s="76">
        <f>AJ493*E493</f>
        <v/>
      </c>
      <c r="AL493" s="174">
        <f>ROUND(IFERROR(AM493*E493,0),2)</f>
        <v/>
      </c>
      <c r="AM493" s="175">
        <f>ROUND(AJ493*(1+IF(offer_incoterms="DDP",IF((TODAY()+offer_turnaround_time)&gt;=helpsheet!$L$17,rate_vatRU_from_26,rate_vatRu_till_25),0)),2)</f>
        <v/>
      </c>
      <c r="AN493" s="192">
        <f>AL493-AK493</f>
        <v/>
      </c>
      <c r="AO493" s="76">
        <f>SUM(AY493,Y493:Z493,T493)*IF(AND(offer_incoterms="DDP",offer_sale_type&lt;&gt;"экспорт"),IF((TODAY()+offer_turnaround_time)&gt;=helpsheet!$L$17,rate_vatRU_from_26,rate_vatRu_till_25),0)</f>
        <v/>
      </c>
      <c r="AP493" s="193">
        <f>AN493-AO493</f>
        <v/>
      </c>
      <c r="AQ493" s="118">
        <f>IF(offer_sale_type="транзит",SUM(AF493:AI493,BA493,BB493),0)</f>
        <v/>
      </c>
      <c r="AR493" s="82">
        <f>HYPERLINK("https://www.alta.ru/tnved/code/")&amp;W493&amp;"/"</f>
        <v/>
      </c>
      <c r="AS493" s="157" t="n"/>
      <c r="AT493" s="162" t="n"/>
      <c r="AU493" s="76">
        <f>IF(ISBLANK(AT493),0,AJ493-AT493)</f>
        <v/>
      </c>
      <c r="AV493" s="157" t="n"/>
      <c r="AW493" s="75">
        <f>_xlfn.IFNA(VLOOKUP(L493,list_vat[],3,FALSE),0)</f>
        <v/>
      </c>
      <c r="AX493" s="76">
        <f>IFERROR(ROUND(S493*(1+AW493)/E493,2),0)</f>
        <v/>
      </c>
      <c r="AY493" s="76">
        <f>E493*AX493</f>
        <v/>
      </c>
      <c r="AZ493" s="192">
        <f>S493*(1+M493)</f>
        <v/>
      </c>
      <c r="BA493" s="76">
        <f>cost_fin_total*$BD493</f>
        <v/>
      </c>
      <c r="BB493" s="193">
        <f>credit_sales_interest*BD493</f>
        <v/>
      </c>
      <c r="BC493" s="102">
        <f>IFERROR(IF($I$13&gt;0,$I493/$I$13,$S493/$S$13),0)</f>
        <v/>
      </c>
      <c r="BD493" s="102">
        <f>IFERROR($S493/$S$13,0)</f>
        <v/>
      </c>
      <c r="BE493" s="413" t="inlineStr">
        <is>
          <t>$</t>
        </is>
      </c>
    </row>
    <row r="494" ht="12" customFormat="1" customHeight="1" s="65">
      <c r="A494" s="43" t="n">
        <v>479</v>
      </c>
      <c r="B494" s="166" t="n"/>
      <c r="C494" s="166" t="n"/>
      <c r="D494" s="166" t="n"/>
      <c r="E494" s="162" t="n"/>
      <c r="F494" s="166" t="n"/>
      <c r="G494" s="162" t="n"/>
      <c r="H494" s="162" t="n"/>
      <c r="I494" s="189">
        <f>E494*G494</f>
        <v/>
      </c>
      <c r="J494" s="195" t="n"/>
      <c r="K494" s="162" t="n"/>
      <c r="L494" s="168" t="n"/>
      <c r="M494" s="75">
        <f>_xlfn.XLOOKUP(L494,list_vat[Страна],list_vat[Ставка НДС %],0,0)</f>
        <v/>
      </c>
      <c r="N494" s="162">
        <f>IFERROR(IF(L494="Китай",K494,K494/(1+M494)),0)</f>
        <v/>
      </c>
      <c r="O494" s="169" t="n"/>
      <c r="P494" s="76">
        <f>N494*(1-O494)</f>
        <v/>
      </c>
      <c r="Q494" s="162" t="n"/>
      <c r="R494" s="162">
        <f>IF(ISBLANK(Q494),"введи курс",P494/Q494)</f>
        <v/>
      </c>
      <c r="S494" s="196">
        <f>IF(AND(ISNUMBER(E494),ISNUMBER(Q494)),E494*R494,0)</f>
        <v/>
      </c>
      <c r="T494" s="192">
        <f>$BC494*V$11</f>
        <v/>
      </c>
      <c r="U494" s="76">
        <f>$BC494*W$11</f>
        <v/>
      </c>
      <c r="V494" s="193">
        <f>+SUM(T494:U494)</f>
        <v/>
      </c>
      <c r="W494" s="191" t="n"/>
      <c r="X494" s="170" t="n"/>
      <c r="Y494" s="76">
        <f>ROUND(IF(offer_incoterms="DDP",X494*(S494*(1+AW494)+T494),0),2)</f>
        <v/>
      </c>
      <c r="Z494" s="188" t="n"/>
      <c r="AA494" s="192">
        <f>IFERROR(AB494/E494,0)</f>
        <v/>
      </c>
      <c r="AB494" s="76">
        <f>ROUND(SUM(S494,V494,Y494:Z494,BA494:BB494),2)</f>
        <v/>
      </c>
      <c r="AC494" s="797" t="n"/>
      <c r="AD494" s="192">
        <f t="array" ref="AD494">IFERROR(ROUND((_xlfn.IFS(offer_sale_type="поставка",AB494,offer_sale_type="транзит",S494)*(1+AC494))/E494,2),0)</f>
        <v/>
      </c>
      <c r="AE494" s="76">
        <f>AD494*E494</f>
        <v/>
      </c>
      <c r="AF494" s="193">
        <f t="array" ref="AF494">IFERROR(ROUND(_xlfn.IFS(offer_sale_type="поставка",AB494,offer_sale_type="транзит",S494)*AC494,2),0)</f>
        <v/>
      </c>
      <c r="AG494" s="192">
        <f>$BD494*VLOOKUP($AG$3,$AF$4:$AG$7,2,FALSE)</f>
        <v/>
      </c>
      <c r="AH494" s="76">
        <f>SUM(AE494,AG494,AI494)*rate_forex_risk</f>
        <v/>
      </c>
      <c r="AI494" s="193">
        <f>IF(OR(seller_region="TR",offer_sale_type="экспорт"),0,rate_fin_comm)*SUM(AZ494,AZ494*AW494,T494)</f>
        <v/>
      </c>
      <c r="AJ494" s="118">
        <f>IFERROR(ROUND(SUM(AB494,AF494:AI494)/E494,2),0)</f>
        <v/>
      </c>
      <c r="AK494" s="76">
        <f>AJ494*E494</f>
        <v/>
      </c>
      <c r="AL494" s="174">
        <f>ROUND(IFERROR(AM494*E494,0),2)</f>
        <v/>
      </c>
      <c r="AM494" s="175">
        <f>ROUND(AJ494*(1+IF(offer_incoterms="DDP",IF((TODAY()+offer_turnaround_time)&gt;=helpsheet!$L$17,rate_vatRU_from_26,rate_vatRu_till_25),0)),2)</f>
        <v/>
      </c>
      <c r="AN494" s="192">
        <f>AL494-AK494</f>
        <v/>
      </c>
      <c r="AO494" s="76">
        <f>SUM(AY494,Y494:Z494,T494)*IF(AND(offer_incoterms="DDP",offer_sale_type&lt;&gt;"экспорт"),IF((TODAY()+offer_turnaround_time)&gt;=helpsheet!$L$17,rate_vatRU_from_26,rate_vatRu_till_25),0)</f>
        <v/>
      </c>
      <c r="AP494" s="193">
        <f>AN494-AO494</f>
        <v/>
      </c>
      <c r="AQ494" s="118">
        <f>IF(offer_sale_type="транзит",SUM(AF494:AI494,BA494,BB494),0)</f>
        <v/>
      </c>
      <c r="AR494" s="82">
        <f>HYPERLINK("https://www.alta.ru/tnved/code/")&amp;W494&amp;"/"</f>
        <v/>
      </c>
      <c r="AS494" s="157" t="n"/>
      <c r="AT494" s="162" t="n"/>
      <c r="AU494" s="76">
        <f>IF(ISBLANK(AT494),0,AJ494-AT494)</f>
        <v/>
      </c>
      <c r="AV494" s="157" t="n"/>
      <c r="AW494" s="75">
        <f>_xlfn.IFNA(VLOOKUP(L494,list_vat[],3,FALSE),0)</f>
        <v/>
      </c>
      <c r="AX494" s="76">
        <f>IFERROR(ROUND(S494*(1+AW494)/E494,2),0)</f>
        <v/>
      </c>
      <c r="AY494" s="76">
        <f>E494*AX494</f>
        <v/>
      </c>
      <c r="AZ494" s="192">
        <f>S494*(1+M494)</f>
        <v/>
      </c>
      <c r="BA494" s="76">
        <f>cost_fin_total*$BD494</f>
        <v/>
      </c>
      <c r="BB494" s="193">
        <f>credit_sales_interest*BD494</f>
        <v/>
      </c>
      <c r="BC494" s="102">
        <f>IFERROR(IF($I$13&gt;0,$I494/$I$13,$S494/$S$13),0)</f>
        <v/>
      </c>
      <c r="BD494" s="102">
        <f>IFERROR($S494/$S$13,0)</f>
        <v/>
      </c>
      <c r="BE494" s="413" t="inlineStr">
        <is>
          <t>$</t>
        </is>
      </c>
    </row>
    <row r="495" ht="12" customFormat="1" customHeight="1" s="65">
      <c r="A495" s="43" t="n">
        <v>480</v>
      </c>
      <c r="B495" s="166" t="n"/>
      <c r="C495" s="166" t="n"/>
      <c r="D495" s="166" t="n"/>
      <c r="E495" s="162" t="n"/>
      <c r="F495" s="166" t="n"/>
      <c r="G495" s="162" t="n"/>
      <c r="H495" s="162" t="n"/>
      <c r="I495" s="189">
        <f>E495*G495</f>
        <v/>
      </c>
      <c r="J495" s="195" t="n"/>
      <c r="K495" s="162" t="n"/>
      <c r="L495" s="168" t="n"/>
      <c r="M495" s="75">
        <f>_xlfn.XLOOKUP(L495,list_vat[Страна],list_vat[Ставка НДС %],0,0)</f>
        <v/>
      </c>
      <c r="N495" s="162">
        <f>IFERROR(IF(L495="Китай",K495,K495/(1+M495)),0)</f>
        <v/>
      </c>
      <c r="O495" s="169" t="n"/>
      <c r="P495" s="76">
        <f>N495*(1-O495)</f>
        <v/>
      </c>
      <c r="Q495" s="162" t="n"/>
      <c r="R495" s="162">
        <f>IF(ISBLANK(Q495),"введи курс",P495/Q495)</f>
        <v/>
      </c>
      <c r="S495" s="196">
        <f>IF(AND(ISNUMBER(E495),ISNUMBER(Q495)),E495*R495,0)</f>
        <v/>
      </c>
      <c r="T495" s="192">
        <f>$BC495*V$11</f>
        <v/>
      </c>
      <c r="U495" s="76">
        <f>$BC495*W$11</f>
        <v/>
      </c>
      <c r="V495" s="193">
        <f>+SUM(T495:U495)</f>
        <v/>
      </c>
      <c r="W495" s="191" t="n"/>
      <c r="X495" s="170" t="n"/>
      <c r="Y495" s="76">
        <f>ROUND(IF(offer_incoterms="DDP",X495*(S495*(1+AW495)+T495),0),2)</f>
        <v/>
      </c>
      <c r="Z495" s="188" t="n"/>
      <c r="AA495" s="192">
        <f>IFERROR(AB495/E495,0)</f>
        <v/>
      </c>
      <c r="AB495" s="76">
        <f>ROUND(SUM(S495,V495,Y495:Z495,BA495:BB495),2)</f>
        <v/>
      </c>
      <c r="AC495" s="797" t="n"/>
      <c r="AD495" s="192">
        <f t="array" ref="AD495">IFERROR(ROUND((_xlfn.IFS(offer_sale_type="поставка",AB495,offer_sale_type="транзит",S495)*(1+AC495))/E495,2),0)</f>
        <v/>
      </c>
      <c r="AE495" s="76">
        <f>AD495*E495</f>
        <v/>
      </c>
      <c r="AF495" s="193">
        <f t="array" ref="AF495">IFERROR(ROUND(_xlfn.IFS(offer_sale_type="поставка",AB495,offer_sale_type="транзит",S495)*AC495,2),0)</f>
        <v/>
      </c>
      <c r="AG495" s="192">
        <f>$BD495*VLOOKUP($AG$3,$AF$4:$AG$7,2,FALSE)</f>
        <v/>
      </c>
      <c r="AH495" s="76">
        <f>SUM(AE495,AG495,AI495)*rate_forex_risk</f>
        <v/>
      </c>
      <c r="AI495" s="193">
        <f>IF(OR(seller_region="TR",offer_sale_type="экспорт"),0,rate_fin_comm)*SUM(AZ495,AZ495*AW495,T495)</f>
        <v/>
      </c>
      <c r="AJ495" s="118">
        <f>IFERROR(ROUND(SUM(AB495,AF495:AI495)/E495,2),0)</f>
        <v/>
      </c>
      <c r="AK495" s="76">
        <f>AJ495*E495</f>
        <v/>
      </c>
      <c r="AL495" s="174">
        <f>ROUND(IFERROR(AM495*E495,0),2)</f>
        <v/>
      </c>
      <c r="AM495" s="175">
        <f>ROUND(AJ495*(1+IF(offer_incoterms="DDP",IF((TODAY()+offer_turnaround_time)&gt;=helpsheet!$L$17,rate_vatRU_from_26,rate_vatRu_till_25),0)),2)</f>
        <v/>
      </c>
      <c r="AN495" s="192">
        <f>AL495-AK495</f>
        <v/>
      </c>
      <c r="AO495" s="76">
        <f>SUM(AY495,Y495:Z495,T495)*IF(AND(offer_incoterms="DDP",offer_sale_type&lt;&gt;"экспорт"),IF((TODAY()+offer_turnaround_time)&gt;=helpsheet!$L$17,rate_vatRU_from_26,rate_vatRu_till_25),0)</f>
        <v/>
      </c>
      <c r="AP495" s="193">
        <f>AN495-AO495</f>
        <v/>
      </c>
      <c r="AQ495" s="118">
        <f>IF(offer_sale_type="транзит",SUM(AF495:AI495,BA495,BB495),0)</f>
        <v/>
      </c>
      <c r="AR495" s="82">
        <f>HYPERLINK("https://www.alta.ru/tnved/code/")&amp;W495&amp;"/"</f>
        <v/>
      </c>
      <c r="AS495" s="157" t="n"/>
      <c r="AT495" s="162" t="n"/>
      <c r="AU495" s="76">
        <f>IF(ISBLANK(AT495),0,AJ495-AT495)</f>
        <v/>
      </c>
      <c r="AV495" s="157" t="n"/>
      <c r="AW495" s="75">
        <f>_xlfn.IFNA(VLOOKUP(L495,list_vat[],3,FALSE),0)</f>
        <v/>
      </c>
      <c r="AX495" s="76">
        <f>IFERROR(ROUND(S495*(1+AW495)/E495,2),0)</f>
        <v/>
      </c>
      <c r="AY495" s="76">
        <f>E495*AX495</f>
        <v/>
      </c>
      <c r="AZ495" s="192">
        <f>S495*(1+M495)</f>
        <v/>
      </c>
      <c r="BA495" s="76">
        <f>cost_fin_total*$BD495</f>
        <v/>
      </c>
      <c r="BB495" s="193">
        <f>credit_sales_interest*BD495</f>
        <v/>
      </c>
      <c r="BC495" s="102">
        <f>IFERROR(IF($I$13&gt;0,$I495/$I$13,$S495/$S$13),0)</f>
        <v/>
      </c>
      <c r="BD495" s="102">
        <f>IFERROR($S495/$S$13,0)</f>
        <v/>
      </c>
      <c r="BE495" s="413" t="inlineStr">
        <is>
          <t>$</t>
        </is>
      </c>
    </row>
    <row r="496" ht="12" customFormat="1" customHeight="1" s="65">
      <c r="A496" s="43" t="n">
        <v>481</v>
      </c>
      <c r="B496" s="166" t="n"/>
      <c r="C496" s="166" t="n"/>
      <c r="D496" s="166" t="n"/>
      <c r="E496" s="162" t="n"/>
      <c r="F496" s="166" t="n"/>
      <c r="G496" s="162" t="n"/>
      <c r="H496" s="162" t="n"/>
      <c r="I496" s="189">
        <f>E496*G496</f>
        <v/>
      </c>
      <c r="J496" s="195" t="n"/>
      <c r="K496" s="162" t="n"/>
      <c r="L496" s="168" t="n"/>
      <c r="M496" s="75">
        <f>_xlfn.XLOOKUP(L496,list_vat[Страна],list_vat[Ставка НДС %],0,0)</f>
        <v/>
      </c>
      <c r="N496" s="162">
        <f>IFERROR(IF(L496="Китай",K496,K496/(1+M496)),0)</f>
        <v/>
      </c>
      <c r="O496" s="169" t="n"/>
      <c r="P496" s="76">
        <f>N496*(1-O496)</f>
        <v/>
      </c>
      <c r="Q496" s="162" t="n"/>
      <c r="R496" s="162">
        <f>IF(ISBLANK(Q496),"введи курс",P496/Q496)</f>
        <v/>
      </c>
      <c r="S496" s="196">
        <f>IF(AND(ISNUMBER(E496),ISNUMBER(Q496)),E496*R496,0)</f>
        <v/>
      </c>
      <c r="T496" s="192">
        <f>$BC496*V$11</f>
        <v/>
      </c>
      <c r="U496" s="76">
        <f>$BC496*W$11</f>
        <v/>
      </c>
      <c r="V496" s="193">
        <f>+SUM(T496:U496)</f>
        <v/>
      </c>
      <c r="W496" s="191" t="n"/>
      <c r="X496" s="170" t="n"/>
      <c r="Y496" s="76">
        <f>ROUND(IF(offer_incoterms="DDP",X496*(S496*(1+AW496)+T496),0),2)</f>
        <v/>
      </c>
      <c r="Z496" s="188" t="n"/>
      <c r="AA496" s="192">
        <f>IFERROR(AB496/E496,0)</f>
        <v/>
      </c>
      <c r="AB496" s="76">
        <f>ROUND(SUM(S496,V496,Y496:Z496,BA496:BB496),2)</f>
        <v/>
      </c>
      <c r="AC496" s="797" t="n"/>
      <c r="AD496" s="192">
        <f t="array" ref="AD496">IFERROR(ROUND((_xlfn.IFS(offer_sale_type="поставка",AB496,offer_sale_type="транзит",S496)*(1+AC496))/E496,2),0)</f>
        <v/>
      </c>
      <c r="AE496" s="76">
        <f>AD496*E496</f>
        <v/>
      </c>
      <c r="AF496" s="193">
        <f t="array" ref="AF496">IFERROR(ROUND(_xlfn.IFS(offer_sale_type="поставка",AB496,offer_sale_type="транзит",S496)*AC496,2),0)</f>
        <v/>
      </c>
      <c r="AG496" s="192">
        <f>$BD496*VLOOKUP($AG$3,$AF$4:$AG$7,2,FALSE)</f>
        <v/>
      </c>
      <c r="AH496" s="76">
        <f>SUM(AE496,AG496,AI496)*rate_forex_risk</f>
        <v/>
      </c>
      <c r="AI496" s="193">
        <f>IF(OR(seller_region="TR",offer_sale_type="экспорт"),0,rate_fin_comm)*SUM(AZ496,AZ496*AW496,T496)</f>
        <v/>
      </c>
      <c r="AJ496" s="118">
        <f>IFERROR(ROUND(SUM(AB496,AF496:AI496)/E496,2),0)</f>
        <v/>
      </c>
      <c r="AK496" s="76">
        <f>AJ496*E496</f>
        <v/>
      </c>
      <c r="AL496" s="174">
        <f>ROUND(IFERROR(AM496*E496,0),2)</f>
        <v/>
      </c>
      <c r="AM496" s="175">
        <f>ROUND(AJ496*(1+IF(offer_incoterms="DDP",IF((TODAY()+offer_turnaround_time)&gt;=helpsheet!$L$17,rate_vatRU_from_26,rate_vatRu_till_25),0)),2)</f>
        <v/>
      </c>
      <c r="AN496" s="192">
        <f>AL496-AK496</f>
        <v/>
      </c>
      <c r="AO496" s="76">
        <f>SUM(AY496,Y496:Z496,T496)*IF(AND(offer_incoterms="DDP",offer_sale_type&lt;&gt;"экспорт"),IF((TODAY()+offer_turnaround_time)&gt;=helpsheet!$L$17,rate_vatRU_from_26,rate_vatRu_till_25),0)</f>
        <v/>
      </c>
      <c r="AP496" s="193">
        <f>AN496-AO496</f>
        <v/>
      </c>
      <c r="AQ496" s="118">
        <f>IF(offer_sale_type="транзит",SUM(AF496:AI496,BA496,BB496),0)</f>
        <v/>
      </c>
      <c r="AR496" s="82">
        <f>HYPERLINK("https://www.alta.ru/tnved/code/")&amp;W496&amp;"/"</f>
        <v/>
      </c>
      <c r="AS496" s="157" t="n"/>
      <c r="AT496" s="162" t="n"/>
      <c r="AU496" s="76">
        <f>IF(ISBLANK(AT496),0,AJ496-AT496)</f>
        <v/>
      </c>
      <c r="AV496" s="157" t="n"/>
      <c r="AW496" s="75">
        <f>_xlfn.IFNA(VLOOKUP(L496,list_vat[],3,FALSE),0)</f>
        <v/>
      </c>
      <c r="AX496" s="76">
        <f>IFERROR(ROUND(S496*(1+AW496)/E496,2),0)</f>
        <v/>
      </c>
      <c r="AY496" s="76">
        <f>E496*AX496</f>
        <v/>
      </c>
      <c r="AZ496" s="192">
        <f>S496*(1+M496)</f>
        <v/>
      </c>
      <c r="BA496" s="76">
        <f>cost_fin_total*$BD496</f>
        <v/>
      </c>
      <c r="BB496" s="193">
        <f>credit_sales_interest*BD496</f>
        <v/>
      </c>
      <c r="BC496" s="102">
        <f>IFERROR(IF($I$13&gt;0,$I496/$I$13,$S496/$S$13),0)</f>
        <v/>
      </c>
      <c r="BD496" s="102">
        <f>IFERROR($S496/$S$13,0)</f>
        <v/>
      </c>
      <c r="BE496" s="413" t="inlineStr">
        <is>
          <t>$</t>
        </is>
      </c>
    </row>
    <row r="497" ht="12" customFormat="1" customHeight="1" s="65">
      <c r="A497" s="43" t="n">
        <v>482</v>
      </c>
      <c r="B497" s="166" t="n"/>
      <c r="C497" s="166" t="n"/>
      <c r="D497" s="166" t="n"/>
      <c r="E497" s="162" t="n"/>
      <c r="F497" s="166" t="n"/>
      <c r="G497" s="162" t="n"/>
      <c r="H497" s="162" t="n"/>
      <c r="I497" s="189">
        <f>E497*G497</f>
        <v/>
      </c>
      <c r="J497" s="195" t="n"/>
      <c r="K497" s="162" t="n"/>
      <c r="L497" s="168" t="n"/>
      <c r="M497" s="75">
        <f>_xlfn.XLOOKUP(L497,list_vat[Страна],list_vat[Ставка НДС %],0,0)</f>
        <v/>
      </c>
      <c r="N497" s="162">
        <f>IFERROR(IF(L497="Китай",K497,K497/(1+M497)),0)</f>
        <v/>
      </c>
      <c r="O497" s="169" t="n"/>
      <c r="P497" s="76">
        <f>N497*(1-O497)</f>
        <v/>
      </c>
      <c r="Q497" s="162" t="n"/>
      <c r="R497" s="162">
        <f>IF(ISBLANK(Q497),"введи курс",P497/Q497)</f>
        <v/>
      </c>
      <c r="S497" s="196">
        <f>IF(AND(ISNUMBER(E497),ISNUMBER(Q497)),E497*R497,0)</f>
        <v/>
      </c>
      <c r="T497" s="192">
        <f>$BC497*V$11</f>
        <v/>
      </c>
      <c r="U497" s="76">
        <f>$BC497*W$11</f>
        <v/>
      </c>
      <c r="V497" s="193">
        <f>+SUM(T497:U497)</f>
        <v/>
      </c>
      <c r="W497" s="191" t="n"/>
      <c r="X497" s="170" t="n"/>
      <c r="Y497" s="76">
        <f>ROUND(IF(offer_incoterms="DDP",X497*(S497*(1+AW497)+T497),0),2)</f>
        <v/>
      </c>
      <c r="Z497" s="188" t="n"/>
      <c r="AA497" s="192">
        <f>IFERROR(AB497/E497,0)</f>
        <v/>
      </c>
      <c r="AB497" s="76">
        <f>ROUND(SUM(S497,V497,Y497:Z497,BA497:BB497),2)</f>
        <v/>
      </c>
      <c r="AC497" s="797" t="n"/>
      <c r="AD497" s="192">
        <f t="array" ref="AD497">IFERROR(ROUND((_xlfn.IFS(offer_sale_type="поставка",AB497,offer_sale_type="транзит",S497)*(1+AC497))/E497,2),0)</f>
        <v/>
      </c>
      <c r="AE497" s="76">
        <f>AD497*E497</f>
        <v/>
      </c>
      <c r="AF497" s="193">
        <f t="array" ref="AF497">IFERROR(ROUND(_xlfn.IFS(offer_sale_type="поставка",AB497,offer_sale_type="транзит",S497)*AC497,2),0)</f>
        <v/>
      </c>
      <c r="AG497" s="192">
        <f>$BD497*VLOOKUP($AG$3,$AF$4:$AG$7,2,FALSE)</f>
        <v/>
      </c>
      <c r="AH497" s="76">
        <f>SUM(AE497,AG497,AI497)*rate_forex_risk</f>
        <v/>
      </c>
      <c r="AI497" s="193">
        <f>IF(OR(seller_region="TR",offer_sale_type="экспорт"),0,rate_fin_comm)*SUM(AZ497,AZ497*AW497,T497)</f>
        <v/>
      </c>
      <c r="AJ497" s="118">
        <f>IFERROR(ROUND(SUM(AB497,AF497:AI497)/E497,2),0)</f>
        <v/>
      </c>
      <c r="AK497" s="76">
        <f>AJ497*E497</f>
        <v/>
      </c>
      <c r="AL497" s="174">
        <f>ROUND(IFERROR(AM497*E497,0),2)</f>
        <v/>
      </c>
      <c r="AM497" s="175">
        <f>ROUND(AJ497*(1+IF(offer_incoterms="DDP",IF((TODAY()+offer_turnaround_time)&gt;=helpsheet!$L$17,rate_vatRU_from_26,rate_vatRu_till_25),0)),2)</f>
        <v/>
      </c>
      <c r="AN497" s="192">
        <f>AL497-AK497</f>
        <v/>
      </c>
      <c r="AO497" s="76">
        <f>SUM(AY497,Y497:Z497,T497)*IF(AND(offer_incoterms="DDP",offer_sale_type&lt;&gt;"экспорт"),IF((TODAY()+offer_turnaround_time)&gt;=helpsheet!$L$17,rate_vatRU_from_26,rate_vatRu_till_25),0)</f>
        <v/>
      </c>
      <c r="AP497" s="193">
        <f>AN497-AO497</f>
        <v/>
      </c>
      <c r="AQ497" s="118">
        <f>IF(offer_sale_type="транзит",SUM(AF497:AI497,BA497,BB497),0)</f>
        <v/>
      </c>
      <c r="AR497" s="82">
        <f>HYPERLINK("https://www.alta.ru/tnved/code/")&amp;W497&amp;"/"</f>
        <v/>
      </c>
      <c r="AS497" s="157" t="n"/>
      <c r="AT497" s="162" t="n"/>
      <c r="AU497" s="76">
        <f>IF(ISBLANK(AT497),0,AJ497-AT497)</f>
        <v/>
      </c>
      <c r="AV497" s="157" t="n"/>
      <c r="AW497" s="75">
        <f>_xlfn.IFNA(VLOOKUP(L497,list_vat[],3,FALSE),0)</f>
        <v/>
      </c>
      <c r="AX497" s="76">
        <f>IFERROR(ROUND(S497*(1+AW497)/E497,2),0)</f>
        <v/>
      </c>
      <c r="AY497" s="76">
        <f>E497*AX497</f>
        <v/>
      </c>
      <c r="AZ497" s="192">
        <f>S497*(1+M497)</f>
        <v/>
      </c>
      <c r="BA497" s="76">
        <f>cost_fin_total*$BD497</f>
        <v/>
      </c>
      <c r="BB497" s="193">
        <f>credit_sales_interest*BD497</f>
        <v/>
      </c>
      <c r="BC497" s="102">
        <f>IFERROR(IF($I$13&gt;0,$I497/$I$13,$S497/$S$13),0)</f>
        <v/>
      </c>
      <c r="BD497" s="102">
        <f>IFERROR($S497/$S$13,0)</f>
        <v/>
      </c>
      <c r="BE497" s="413" t="inlineStr">
        <is>
          <t>$</t>
        </is>
      </c>
    </row>
    <row r="498" ht="12" customFormat="1" customHeight="1" s="65">
      <c r="A498" s="43" t="n">
        <v>483</v>
      </c>
      <c r="B498" s="166" t="n"/>
      <c r="C498" s="166" t="n"/>
      <c r="D498" s="166" t="n"/>
      <c r="E498" s="162" t="n"/>
      <c r="F498" s="166" t="n"/>
      <c r="G498" s="162" t="n"/>
      <c r="H498" s="162" t="n"/>
      <c r="I498" s="189">
        <f>E498*G498</f>
        <v/>
      </c>
      <c r="J498" s="195" t="n"/>
      <c r="K498" s="162" t="n"/>
      <c r="L498" s="168" t="n"/>
      <c r="M498" s="75">
        <f>_xlfn.XLOOKUP(L498,list_vat[Страна],list_vat[Ставка НДС %],0,0)</f>
        <v/>
      </c>
      <c r="N498" s="162">
        <f>IFERROR(IF(L498="Китай",K498,K498/(1+M498)),0)</f>
        <v/>
      </c>
      <c r="O498" s="169" t="n"/>
      <c r="P498" s="76">
        <f>N498*(1-O498)</f>
        <v/>
      </c>
      <c r="Q498" s="162" t="n"/>
      <c r="R498" s="162">
        <f>IF(ISBLANK(Q498),"введи курс",P498/Q498)</f>
        <v/>
      </c>
      <c r="S498" s="196">
        <f>IF(AND(ISNUMBER(E498),ISNUMBER(Q498)),E498*R498,0)</f>
        <v/>
      </c>
      <c r="T498" s="192">
        <f>$BC498*V$11</f>
        <v/>
      </c>
      <c r="U498" s="76">
        <f>$BC498*W$11</f>
        <v/>
      </c>
      <c r="V498" s="193">
        <f>+SUM(T498:U498)</f>
        <v/>
      </c>
      <c r="W498" s="191" t="n"/>
      <c r="X498" s="170" t="n"/>
      <c r="Y498" s="76">
        <f>ROUND(IF(offer_incoterms="DDP",X498*(S498*(1+AW498)+T498),0),2)</f>
        <v/>
      </c>
      <c r="Z498" s="188" t="n"/>
      <c r="AA498" s="192">
        <f>IFERROR(AB498/E498,0)</f>
        <v/>
      </c>
      <c r="AB498" s="76">
        <f>ROUND(SUM(S498,V498,Y498:Z498,BA498:BB498),2)</f>
        <v/>
      </c>
      <c r="AC498" s="797" t="n"/>
      <c r="AD498" s="192">
        <f t="array" ref="AD498">IFERROR(ROUND((_xlfn.IFS(offer_sale_type="поставка",AB498,offer_sale_type="транзит",S498)*(1+AC498))/E498,2),0)</f>
        <v/>
      </c>
      <c r="AE498" s="76">
        <f>AD498*E498</f>
        <v/>
      </c>
      <c r="AF498" s="193">
        <f t="array" ref="AF498">IFERROR(ROUND(_xlfn.IFS(offer_sale_type="поставка",AB498,offer_sale_type="транзит",S498)*AC498,2),0)</f>
        <v/>
      </c>
      <c r="AG498" s="192">
        <f>$BD498*VLOOKUP($AG$3,$AF$4:$AG$7,2,FALSE)</f>
        <v/>
      </c>
      <c r="AH498" s="76">
        <f>SUM(AE498,AG498,AI498)*rate_forex_risk</f>
        <v/>
      </c>
      <c r="AI498" s="193">
        <f>IF(OR(seller_region="TR",offer_sale_type="экспорт"),0,rate_fin_comm)*SUM(AZ498,AZ498*AW498,T498)</f>
        <v/>
      </c>
      <c r="AJ498" s="118">
        <f>IFERROR(ROUND(SUM(AB498,AF498:AI498)/E498,2),0)</f>
        <v/>
      </c>
      <c r="AK498" s="76">
        <f>AJ498*E498</f>
        <v/>
      </c>
      <c r="AL498" s="174">
        <f>ROUND(IFERROR(AM498*E498,0),2)</f>
        <v/>
      </c>
      <c r="AM498" s="175">
        <f>ROUND(AJ498*(1+IF(offer_incoterms="DDP",IF((TODAY()+offer_turnaround_time)&gt;=helpsheet!$L$17,rate_vatRU_from_26,rate_vatRu_till_25),0)),2)</f>
        <v/>
      </c>
      <c r="AN498" s="192">
        <f>AL498-AK498</f>
        <v/>
      </c>
      <c r="AO498" s="76">
        <f>SUM(AY498,Y498:Z498,T498)*IF(AND(offer_incoterms="DDP",offer_sale_type&lt;&gt;"экспорт"),IF((TODAY()+offer_turnaround_time)&gt;=helpsheet!$L$17,rate_vatRU_from_26,rate_vatRu_till_25),0)</f>
        <v/>
      </c>
      <c r="AP498" s="193">
        <f>AN498-AO498</f>
        <v/>
      </c>
      <c r="AQ498" s="118">
        <f>IF(offer_sale_type="транзит",SUM(AF498:AI498,BA498,BB498),0)</f>
        <v/>
      </c>
      <c r="AR498" s="82">
        <f>HYPERLINK("https://www.alta.ru/tnved/code/")&amp;W498&amp;"/"</f>
        <v/>
      </c>
      <c r="AS498" s="157" t="n"/>
      <c r="AT498" s="162" t="n"/>
      <c r="AU498" s="76">
        <f>IF(ISBLANK(AT498),0,AJ498-AT498)</f>
        <v/>
      </c>
      <c r="AV498" s="157" t="n"/>
      <c r="AW498" s="75">
        <f>_xlfn.IFNA(VLOOKUP(L498,list_vat[],3,FALSE),0)</f>
        <v/>
      </c>
      <c r="AX498" s="76">
        <f>IFERROR(ROUND(S498*(1+AW498)/E498,2),0)</f>
        <v/>
      </c>
      <c r="AY498" s="76">
        <f>E498*AX498</f>
        <v/>
      </c>
      <c r="AZ498" s="192">
        <f>S498*(1+M498)</f>
        <v/>
      </c>
      <c r="BA498" s="76">
        <f>cost_fin_total*$BD498</f>
        <v/>
      </c>
      <c r="BB498" s="193">
        <f>credit_sales_interest*BD498</f>
        <v/>
      </c>
      <c r="BC498" s="102">
        <f>IFERROR(IF($I$13&gt;0,$I498/$I$13,$S498/$S$13),0)</f>
        <v/>
      </c>
      <c r="BD498" s="102">
        <f>IFERROR($S498/$S$13,0)</f>
        <v/>
      </c>
      <c r="BE498" s="413" t="inlineStr">
        <is>
          <t>$</t>
        </is>
      </c>
    </row>
    <row r="499" ht="12" customFormat="1" customHeight="1" s="65">
      <c r="A499" s="43" t="n">
        <v>484</v>
      </c>
      <c r="B499" s="166" t="n"/>
      <c r="C499" s="166" t="n"/>
      <c r="D499" s="166" t="n"/>
      <c r="E499" s="162" t="n"/>
      <c r="F499" s="166" t="n"/>
      <c r="G499" s="162" t="n"/>
      <c r="H499" s="162" t="n"/>
      <c r="I499" s="189">
        <f>E499*G499</f>
        <v/>
      </c>
      <c r="J499" s="195" t="n"/>
      <c r="K499" s="162" t="n"/>
      <c r="L499" s="168" t="n"/>
      <c r="M499" s="75">
        <f>_xlfn.XLOOKUP(L499,list_vat[Страна],list_vat[Ставка НДС %],0,0)</f>
        <v/>
      </c>
      <c r="N499" s="162">
        <f>IFERROR(IF(L499="Китай",K499,K499/(1+M499)),0)</f>
        <v/>
      </c>
      <c r="O499" s="169" t="n"/>
      <c r="P499" s="76">
        <f>N499*(1-O499)</f>
        <v/>
      </c>
      <c r="Q499" s="162" t="n"/>
      <c r="R499" s="162">
        <f>IF(ISBLANK(Q499),"введи курс",P499/Q499)</f>
        <v/>
      </c>
      <c r="S499" s="196">
        <f>IF(AND(ISNUMBER(E499),ISNUMBER(Q499)),E499*R499,0)</f>
        <v/>
      </c>
      <c r="T499" s="192">
        <f>$BC499*V$11</f>
        <v/>
      </c>
      <c r="U499" s="76">
        <f>$BC499*W$11</f>
        <v/>
      </c>
      <c r="V499" s="193">
        <f>+SUM(T499:U499)</f>
        <v/>
      </c>
      <c r="W499" s="191" t="n"/>
      <c r="X499" s="170" t="n"/>
      <c r="Y499" s="76">
        <f>ROUND(IF(offer_incoterms="DDP",X499*(S499*(1+AW499)+T499),0),2)</f>
        <v/>
      </c>
      <c r="Z499" s="188" t="n"/>
      <c r="AA499" s="192">
        <f>IFERROR(AB499/E499,0)</f>
        <v/>
      </c>
      <c r="AB499" s="76">
        <f>ROUND(SUM(S499,V499,Y499:Z499,BA499:BB499),2)</f>
        <v/>
      </c>
      <c r="AC499" s="797" t="n"/>
      <c r="AD499" s="192">
        <f t="array" ref="AD499">IFERROR(ROUND((_xlfn.IFS(offer_sale_type="поставка",AB499,offer_sale_type="транзит",S499)*(1+AC499))/E499,2),0)</f>
        <v/>
      </c>
      <c r="AE499" s="76">
        <f>AD499*E499</f>
        <v/>
      </c>
      <c r="AF499" s="193">
        <f t="array" ref="AF499">IFERROR(ROUND(_xlfn.IFS(offer_sale_type="поставка",AB499,offer_sale_type="транзит",S499)*AC499,2),0)</f>
        <v/>
      </c>
      <c r="AG499" s="192">
        <f>$BD499*VLOOKUP($AG$3,$AF$4:$AG$7,2,FALSE)</f>
        <v/>
      </c>
      <c r="AH499" s="76">
        <f>SUM(AE499,AG499,AI499)*rate_forex_risk</f>
        <v/>
      </c>
      <c r="AI499" s="193">
        <f>IF(OR(seller_region="TR",offer_sale_type="экспорт"),0,rate_fin_comm)*SUM(AZ499,AZ499*AW499,T499)</f>
        <v/>
      </c>
      <c r="AJ499" s="118">
        <f>IFERROR(ROUND(SUM(AB499,AF499:AI499)/E499,2),0)</f>
        <v/>
      </c>
      <c r="AK499" s="76">
        <f>AJ499*E499</f>
        <v/>
      </c>
      <c r="AL499" s="174">
        <f>ROUND(IFERROR(AM499*E499,0),2)</f>
        <v/>
      </c>
      <c r="AM499" s="175">
        <f>ROUND(AJ499*(1+IF(offer_incoterms="DDP",IF((TODAY()+offer_turnaround_time)&gt;=helpsheet!$L$17,rate_vatRU_from_26,rate_vatRu_till_25),0)),2)</f>
        <v/>
      </c>
      <c r="AN499" s="192">
        <f>AL499-AK499</f>
        <v/>
      </c>
      <c r="AO499" s="76">
        <f>SUM(AY499,Y499:Z499,T499)*IF(AND(offer_incoterms="DDP",offer_sale_type&lt;&gt;"экспорт"),IF((TODAY()+offer_turnaround_time)&gt;=helpsheet!$L$17,rate_vatRU_from_26,rate_vatRu_till_25),0)</f>
        <v/>
      </c>
      <c r="AP499" s="193">
        <f>AN499-AO499</f>
        <v/>
      </c>
      <c r="AQ499" s="118">
        <f>IF(offer_sale_type="транзит",SUM(AF499:AI499,BA499,BB499),0)</f>
        <v/>
      </c>
      <c r="AR499" s="82">
        <f>HYPERLINK("https://www.alta.ru/tnved/code/")&amp;W499&amp;"/"</f>
        <v/>
      </c>
      <c r="AS499" s="157" t="n"/>
      <c r="AT499" s="162" t="n"/>
      <c r="AU499" s="76">
        <f>IF(ISBLANK(AT499),0,AJ499-AT499)</f>
        <v/>
      </c>
      <c r="AV499" s="157" t="n"/>
      <c r="AW499" s="75">
        <f>_xlfn.IFNA(VLOOKUP(L499,list_vat[],3,FALSE),0)</f>
        <v/>
      </c>
      <c r="AX499" s="76">
        <f>IFERROR(ROUND(S499*(1+AW499)/E499,2),0)</f>
        <v/>
      </c>
      <c r="AY499" s="76">
        <f>E499*AX499</f>
        <v/>
      </c>
      <c r="AZ499" s="192">
        <f>S499*(1+M499)</f>
        <v/>
      </c>
      <c r="BA499" s="76">
        <f>cost_fin_total*$BD499</f>
        <v/>
      </c>
      <c r="BB499" s="193">
        <f>credit_sales_interest*BD499</f>
        <v/>
      </c>
      <c r="BC499" s="102">
        <f>IFERROR(IF($I$13&gt;0,$I499/$I$13,$S499/$S$13),0)</f>
        <v/>
      </c>
      <c r="BD499" s="102">
        <f>IFERROR($S499/$S$13,0)</f>
        <v/>
      </c>
      <c r="BE499" s="413" t="inlineStr">
        <is>
          <t>$</t>
        </is>
      </c>
    </row>
    <row r="500" ht="12" customFormat="1" customHeight="1" s="65">
      <c r="A500" s="43" t="n">
        <v>485</v>
      </c>
      <c r="B500" s="166" t="n"/>
      <c r="C500" s="166" t="n"/>
      <c r="D500" s="166" t="n"/>
      <c r="E500" s="162" t="n"/>
      <c r="F500" s="166" t="n"/>
      <c r="G500" s="162" t="n"/>
      <c r="H500" s="162" t="n"/>
      <c r="I500" s="189">
        <f>E500*G500</f>
        <v/>
      </c>
      <c r="J500" s="195" t="n"/>
      <c r="K500" s="162" t="n"/>
      <c r="L500" s="168" t="n"/>
      <c r="M500" s="75">
        <f>_xlfn.XLOOKUP(L500,list_vat[Страна],list_vat[Ставка НДС %],0,0)</f>
        <v/>
      </c>
      <c r="N500" s="162">
        <f>IFERROR(IF(L500="Китай",K500,K500/(1+M500)),0)</f>
        <v/>
      </c>
      <c r="O500" s="169" t="n"/>
      <c r="P500" s="76">
        <f>N500*(1-O500)</f>
        <v/>
      </c>
      <c r="Q500" s="162" t="n"/>
      <c r="R500" s="162">
        <f>IF(ISBLANK(Q500),"введи курс",P500/Q500)</f>
        <v/>
      </c>
      <c r="S500" s="196">
        <f>IF(AND(ISNUMBER(E500),ISNUMBER(Q500)),E500*R500,0)</f>
        <v/>
      </c>
      <c r="T500" s="192">
        <f>$BC500*V$11</f>
        <v/>
      </c>
      <c r="U500" s="76">
        <f>$BC500*W$11</f>
        <v/>
      </c>
      <c r="V500" s="193">
        <f>+SUM(T500:U500)</f>
        <v/>
      </c>
      <c r="W500" s="191" t="n"/>
      <c r="X500" s="170" t="n"/>
      <c r="Y500" s="76">
        <f>ROUND(IF(offer_incoterms="DDP",X500*(S500*(1+AW500)+T500),0),2)</f>
        <v/>
      </c>
      <c r="Z500" s="188" t="n"/>
      <c r="AA500" s="192">
        <f>IFERROR(AB500/E500,0)</f>
        <v/>
      </c>
      <c r="AB500" s="76">
        <f>ROUND(SUM(S500,V500,Y500:Z500,BA500:BB500),2)</f>
        <v/>
      </c>
      <c r="AC500" s="797" t="n"/>
      <c r="AD500" s="192">
        <f t="array" ref="AD500">IFERROR(ROUND((_xlfn.IFS(offer_sale_type="поставка",AB500,offer_sale_type="транзит",S500)*(1+AC500))/E500,2),0)</f>
        <v/>
      </c>
      <c r="AE500" s="76">
        <f>AD500*E500</f>
        <v/>
      </c>
      <c r="AF500" s="193">
        <f t="array" ref="AF500">IFERROR(ROUND(_xlfn.IFS(offer_sale_type="поставка",AB500,offer_sale_type="транзит",S500)*AC500,2),0)</f>
        <v/>
      </c>
      <c r="AG500" s="192">
        <f>$BD500*VLOOKUP($AG$3,$AF$4:$AG$7,2,FALSE)</f>
        <v/>
      </c>
      <c r="AH500" s="76">
        <f>SUM(AE500,AG500,AI500)*rate_forex_risk</f>
        <v/>
      </c>
      <c r="AI500" s="193">
        <f>IF(OR(seller_region="TR",offer_sale_type="экспорт"),0,rate_fin_comm)*SUM(AZ500,AZ500*AW500,T500)</f>
        <v/>
      </c>
      <c r="AJ500" s="118">
        <f>IFERROR(ROUND(SUM(AB500,AF500:AI500)/E500,2),0)</f>
        <v/>
      </c>
      <c r="AK500" s="76">
        <f>AJ500*E500</f>
        <v/>
      </c>
      <c r="AL500" s="174">
        <f>ROUND(IFERROR(AM500*E500,0),2)</f>
        <v/>
      </c>
      <c r="AM500" s="175">
        <f>ROUND(AJ500*(1+IF(offer_incoterms="DDP",IF((TODAY()+offer_turnaround_time)&gt;=helpsheet!$L$17,rate_vatRU_from_26,rate_vatRu_till_25),0)),2)</f>
        <v/>
      </c>
      <c r="AN500" s="192">
        <f>AL500-AK500</f>
        <v/>
      </c>
      <c r="AO500" s="76">
        <f>SUM(AY500,Y500:Z500,T500)*IF(AND(offer_incoterms="DDP",offer_sale_type&lt;&gt;"экспорт"),IF((TODAY()+offer_turnaround_time)&gt;=helpsheet!$L$17,rate_vatRU_from_26,rate_vatRu_till_25),0)</f>
        <v/>
      </c>
      <c r="AP500" s="193">
        <f>AN500-AO500</f>
        <v/>
      </c>
      <c r="AQ500" s="118">
        <f>IF(offer_sale_type="транзит",SUM(AF500:AI500,BA500,BB500),0)</f>
        <v/>
      </c>
      <c r="AR500" s="82">
        <f>HYPERLINK("https://www.alta.ru/tnved/code/")&amp;W500&amp;"/"</f>
        <v/>
      </c>
      <c r="AS500" s="157" t="n"/>
      <c r="AT500" s="162" t="n"/>
      <c r="AU500" s="76">
        <f>IF(ISBLANK(AT500),0,AJ500-AT500)</f>
        <v/>
      </c>
      <c r="AV500" s="157" t="n"/>
      <c r="AW500" s="75">
        <f>_xlfn.IFNA(VLOOKUP(L500,list_vat[],3,FALSE),0)</f>
        <v/>
      </c>
      <c r="AX500" s="76">
        <f>IFERROR(ROUND(S500*(1+AW500)/E500,2),0)</f>
        <v/>
      </c>
      <c r="AY500" s="76">
        <f>E500*AX500</f>
        <v/>
      </c>
      <c r="AZ500" s="192">
        <f>S500*(1+M500)</f>
        <v/>
      </c>
      <c r="BA500" s="76">
        <f>cost_fin_total*$BD500</f>
        <v/>
      </c>
      <c r="BB500" s="193">
        <f>credit_sales_interest*BD500</f>
        <v/>
      </c>
      <c r="BC500" s="102">
        <f>IFERROR(IF($I$13&gt;0,$I500/$I$13,$S500/$S$13),0)</f>
        <v/>
      </c>
      <c r="BD500" s="102">
        <f>IFERROR($S500/$S$13,0)</f>
        <v/>
      </c>
      <c r="BE500" s="413" t="inlineStr">
        <is>
          <t>$</t>
        </is>
      </c>
    </row>
    <row r="501" ht="12" customFormat="1" customHeight="1" s="65">
      <c r="A501" s="43" t="n">
        <v>486</v>
      </c>
      <c r="B501" s="166" t="n"/>
      <c r="C501" s="166" t="n"/>
      <c r="D501" s="166" t="n"/>
      <c r="E501" s="162" t="n"/>
      <c r="F501" s="166" t="n"/>
      <c r="G501" s="162" t="n"/>
      <c r="H501" s="162" t="n"/>
      <c r="I501" s="189">
        <f>E501*G501</f>
        <v/>
      </c>
      <c r="J501" s="195" t="n"/>
      <c r="K501" s="162" t="n"/>
      <c r="L501" s="168" t="n"/>
      <c r="M501" s="75">
        <f>_xlfn.XLOOKUP(L501,list_vat[Страна],list_vat[Ставка НДС %],0,0)</f>
        <v/>
      </c>
      <c r="N501" s="162">
        <f>IFERROR(IF(L501="Китай",K501,K501/(1+M501)),0)</f>
        <v/>
      </c>
      <c r="O501" s="169" t="n"/>
      <c r="P501" s="76">
        <f>N501*(1-O501)</f>
        <v/>
      </c>
      <c r="Q501" s="162" t="n"/>
      <c r="R501" s="162">
        <f>IF(ISBLANK(Q501),"введи курс",P501/Q501)</f>
        <v/>
      </c>
      <c r="S501" s="196">
        <f>IF(AND(ISNUMBER(E501),ISNUMBER(Q501)),E501*R501,0)</f>
        <v/>
      </c>
      <c r="T501" s="192">
        <f>$BC501*V$11</f>
        <v/>
      </c>
      <c r="U501" s="76">
        <f>$BC501*W$11</f>
        <v/>
      </c>
      <c r="V501" s="193">
        <f>+SUM(T501:U501)</f>
        <v/>
      </c>
      <c r="W501" s="191" t="n"/>
      <c r="X501" s="170" t="n"/>
      <c r="Y501" s="76">
        <f>ROUND(IF(offer_incoterms="DDP",X501*(S501*(1+AW501)+T501),0),2)</f>
        <v/>
      </c>
      <c r="Z501" s="188" t="n"/>
      <c r="AA501" s="192">
        <f>IFERROR(AB501/E501,0)</f>
        <v/>
      </c>
      <c r="AB501" s="76">
        <f>ROUND(SUM(S501,V501,Y501:Z501,BA501:BB501),2)</f>
        <v/>
      </c>
      <c r="AC501" s="797" t="n"/>
      <c r="AD501" s="192">
        <f t="array" ref="AD501">IFERROR(ROUND((_xlfn.IFS(offer_sale_type="поставка",AB501,offer_sale_type="транзит",S501)*(1+AC501))/E501,2),0)</f>
        <v/>
      </c>
      <c r="AE501" s="76">
        <f>AD501*E501</f>
        <v/>
      </c>
      <c r="AF501" s="193">
        <f t="array" ref="AF501">IFERROR(ROUND(_xlfn.IFS(offer_sale_type="поставка",AB501,offer_sale_type="транзит",S501)*AC501,2),0)</f>
        <v/>
      </c>
      <c r="AG501" s="192">
        <f>$BD501*VLOOKUP($AG$3,$AF$4:$AG$7,2,FALSE)</f>
        <v/>
      </c>
      <c r="AH501" s="76">
        <f>SUM(AE501,AG501,AI501)*rate_forex_risk</f>
        <v/>
      </c>
      <c r="AI501" s="193">
        <f>IF(OR(seller_region="TR",offer_sale_type="экспорт"),0,rate_fin_comm)*SUM(AZ501,AZ501*AW501,T501)</f>
        <v/>
      </c>
      <c r="AJ501" s="118">
        <f>IFERROR(ROUND(SUM(AB501,AF501:AI501)/E501,2),0)</f>
        <v/>
      </c>
      <c r="AK501" s="76">
        <f>AJ501*E501</f>
        <v/>
      </c>
      <c r="AL501" s="174">
        <f>ROUND(IFERROR(AM501*E501,0),2)</f>
        <v/>
      </c>
      <c r="AM501" s="175">
        <f>ROUND(AJ501*(1+IF(offer_incoterms="DDP",IF((TODAY()+offer_turnaround_time)&gt;=helpsheet!$L$17,rate_vatRU_from_26,rate_vatRu_till_25),0)),2)</f>
        <v/>
      </c>
      <c r="AN501" s="192">
        <f>AL501-AK501</f>
        <v/>
      </c>
      <c r="AO501" s="76">
        <f>SUM(AY501,Y501:Z501,T501)*IF(AND(offer_incoterms="DDP",offer_sale_type&lt;&gt;"экспорт"),IF((TODAY()+offer_turnaround_time)&gt;=helpsheet!$L$17,rate_vatRU_from_26,rate_vatRu_till_25),0)</f>
        <v/>
      </c>
      <c r="AP501" s="193">
        <f>AN501-AO501</f>
        <v/>
      </c>
      <c r="AQ501" s="118">
        <f>IF(offer_sale_type="транзит",SUM(AF501:AI501,BA501,BB501),0)</f>
        <v/>
      </c>
      <c r="AR501" s="82">
        <f>HYPERLINK("https://www.alta.ru/tnved/code/")&amp;W501&amp;"/"</f>
        <v/>
      </c>
      <c r="AS501" s="157" t="n"/>
      <c r="AT501" s="162" t="n"/>
      <c r="AU501" s="76">
        <f>IF(ISBLANK(AT501),0,AJ501-AT501)</f>
        <v/>
      </c>
      <c r="AV501" s="157" t="n"/>
      <c r="AW501" s="75">
        <f>_xlfn.IFNA(VLOOKUP(L501,list_vat[],3,FALSE),0)</f>
        <v/>
      </c>
      <c r="AX501" s="76">
        <f>IFERROR(ROUND(S501*(1+AW501)/E501,2),0)</f>
        <v/>
      </c>
      <c r="AY501" s="76">
        <f>E501*AX501</f>
        <v/>
      </c>
      <c r="AZ501" s="192">
        <f>S501*(1+M501)</f>
        <v/>
      </c>
      <c r="BA501" s="76">
        <f>cost_fin_total*$BD501</f>
        <v/>
      </c>
      <c r="BB501" s="193">
        <f>credit_sales_interest*BD501</f>
        <v/>
      </c>
      <c r="BC501" s="102">
        <f>IFERROR(IF($I$13&gt;0,$I501/$I$13,$S501/$S$13),0)</f>
        <v/>
      </c>
      <c r="BD501" s="102">
        <f>IFERROR($S501/$S$13,0)</f>
        <v/>
      </c>
      <c r="BE501" s="413" t="inlineStr">
        <is>
          <t>$</t>
        </is>
      </c>
    </row>
    <row r="502" ht="12" customFormat="1" customHeight="1" s="65">
      <c r="A502" s="43" t="n">
        <v>487</v>
      </c>
      <c r="B502" s="166" t="n"/>
      <c r="C502" s="166" t="n"/>
      <c r="D502" s="166" t="n"/>
      <c r="E502" s="162" t="n"/>
      <c r="F502" s="166" t="n"/>
      <c r="G502" s="162" t="n"/>
      <c r="H502" s="162" t="n"/>
      <c r="I502" s="189">
        <f>E502*G502</f>
        <v/>
      </c>
      <c r="J502" s="195" t="n"/>
      <c r="K502" s="162" t="n"/>
      <c r="L502" s="168" t="n"/>
      <c r="M502" s="75">
        <f>_xlfn.XLOOKUP(L502,list_vat[Страна],list_vat[Ставка НДС %],0,0)</f>
        <v/>
      </c>
      <c r="N502" s="162">
        <f>IFERROR(IF(L502="Китай",K502,K502/(1+M502)),0)</f>
        <v/>
      </c>
      <c r="O502" s="169" t="n"/>
      <c r="P502" s="76">
        <f>N502*(1-O502)</f>
        <v/>
      </c>
      <c r="Q502" s="162" t="n"/>
      <c r="R502" s="162">
        <f>IF(ISBLANK(Q502),"введи курс",P502/Q502)</f>
        <v/>
      </c>
      <c r="S502" s="196">
        <f>IF(AND(ISNUMBER(E502),ISNUMBER(Q502)),E502*R502,0)</f>
        <v/>
      </c>
      <c r="T502" s="192">
        <f>$BC502*V$11</f>
        <v/>
      </c>
      <c r="U502" s="76">
        <f>$BC502*W$11</f>
        <v/>
      </c>
      <c r="V502" s="193">
        <f>+SUM(T502:U502)</f>
        <v/>
      </c>
      <c r="W502" s="191" t="n"/>
      <c r="X502" s="170" t="n"/>
      <c r="Y502" s="76">
        <f>ROUND(IF(offer_incoterms="DDP",X502*(S502*(1+AW502)+T502),0),2)</f>
        <v/>
      </c>
      <c r="Z502" s="188" t="n"/>
      <c r="AA502" s="192">
        <f>IFERROR(AB502/E502,0)</f>
        <v/>
      </c>
      <c r="AB502" s="76">
        <f>ROUND(SUM(S502,V502,Y502:Z502,BA502:BB502),2)</f>
        <v/>
      </c>
      <c r="AC502" s="797" t="n"/>
      <c r="AD502" s="192">
        <f t="array" ref="AD502">IFERROR(ROUND((_xlfn.IFS(offer_sale_type="поставка",AB502,offer_sale_type="транзит",S502)*(1+AC502))/E502,2),0)</f>
        <v/>
      </c>
      <c r="AE502" s="76">
        <f>AD502*E502</f>
        <v/>
      </c>
      <c r="AF502" s="193">
        <f t="array" ref="AF502">IFERROR(ROUND(_xlfn.IFS(offer_sale_type="поставка",AB502,offer_sale_type="транзит",S502)*AC502,2),0)</f>
        <v/>
      </c>
      <c r="AG502" s="192">
        <f>$BD502*VLOOKUP($AG$3,$AF$4:$AG$7,2,FALSE)</f>
        <v/>
      </c>
      <c r="AH502" s="76">
        <f>SUM(AE502,AG502,AI502)*rate_forex_risk</f>
        <v/>
      </c>
      <c r="AI502" s="193">
        <f>IF(OR(seller_region="TR",offer_sale_type="экспорт"),0,rate_fin_comm)*SUM(AZ502,AZ502*AW502,T502)</f>
        <v/>
      </c>
      <c r="AJ502" s="118">
        <f>IFERROR(ROUND(SUM(AB502,AF502:AI502)/E502,2),0)</f>
        <v/>
      </c>
      <c r="AK502" s="76">
        <f>AJ502*E502</f>
        <v/>
      </c>
      <c r="AL502" s="174">
        <f>ROUND(IFERROR(AM502*E502,0),2)</f>
        <v/>
      </c>
      <c r="AM502" s="175">
        <f>ROUND(AJ502*(1+IF(offer_incoterms="DDP",IF((TODAY()+offer_turnaround_time)&gt;=helpsheet!$L$17,rate_vatRU_from_26,rate_vatRu_till_25),0)),2)</f>
        <v/>
      </c>
      <c r="AN502" s="192">
        <f>AL502-AK502</f>
        <v/>
      </c>
      <c r="AO502" s="76">
        <f>SUM(AY502,Y502:Z502,T502)*IF(AND(offer_incoterms="DDP",offer_sale_type&lt;&gt;"экспорт"),IF((TODAY()+offer_turnaround_time)&gt;=helpsheet!$L$17,rate_vatRU_from_26,rate_vatRu_till_25),0)</f>
        <v/>
      </c>
      <c r="AP502" s="193">
        <f>AN502-AO502</f>
        <v/>
      </c>
      <c r="AQ502" s="118">
        <f>IF(offer_sale_type="транзит",SUM(AF502:AI502,BA502,BB502),0)</f>
        <v/>
      </c>
      <c r="AR502" s="82">
        <f>HYPERLINK("https://www.alta.ru/tnved/code/")&amp;W502&amp;"/"</f>
        <v/>
      </c>
      <c r="AS502" s="157" t="n"/>
      <c r="AT502" s="162" t="n"/>
      <c r="AU502" s="76">
        <f>IF(ISBLANK(AT502),0,AJ502-AT502)</f>
        <v/>
      </c>
      <c r="AV502" s="157" t="n"/>
      <c r="AW502" s="75">
        <f>_xlfn.IFNA(VLOOKUP(L502,list_vat[],3,FALSE),0)</f>
        <v/>
      </c>
      <c r="AX502" s="76">
        <f>IFERROR(ROUND(S502*(1+AW502)/E502,2),0)</f>
        <v/>
      </c>
      <c r="AY502" s="76">
        <f>E502*AX502</f>
        <v/>
      </c>
      <c r="AZ502" s="192">
        <f>S502*(1+M502)</f>
        <v/>
      </c>
      <c r="BA502" s="76">
        <f>cost_fin_total*$BD502</f>
        <v/>
      </c>
      <c r="BB502" s="193">
        <f>credit_sales_interest*BD502</f>
        <v/>
      </c>
      <c r="BC502" s="102">
        <f>IFERROR(IF($I$13&gt;0,$I502/$I$13,$S502/$S$13),0)</f>
        <v/>
      </c>
      <c r="BD502" s="102">
        <f>IFERROR($S502/$S$13,0)</f>
        <v/>
      </c>
      <c r="BE502" s="413" t="inlineStr">
        <is>
          <t>$</t>
        </is>
      </c>
    </row>
    <row r="503" ht="12" customFormat="1" customHeight="1" s="65">
      <c r="A503" s="43" t="n">
        <v>488</v>
      </c>
      <c r="B503" s="166" t="n"/>
      <c r="C503" s="166" t="n"/>
      <c r="D503" s="166" t="n"/>
      <c r="E503" s="162" t="n"/>
      <c r="F503" s="166" t="n"/>
      <c r="G503" s="162" t="n"/>
      <c r="H503" s="162" t="n"/>
      <c r="I503" s="189">
        <f>E503*G503</f>
        <v/>
      </c>
      <c r="J503" s="195" t="n"/>
      <c r="K503" s="162" t="n"/>
      <c r="L503" s="168" t="n"/>
      <c r="M503" s="75">
        <f>_xlfn.XLOOKUP(L503,list_vat[Страна],list_vat[Ставка НДС %],0,0)</f>
        <v/>
      </c>
      <c r="N503" s="162">
        <f>IFERROR(IF(L503="Китай",K503,K503/(1+M503)),0)</f>
        <v/>
      </c>
      <c r="O503" s="169" t="n"/>
      <c r="P503" s="76">
        <f>N503*(1-O503)</f>
        <v/>
      </c>
      <c r="Q503" s="162" t="n"/>
      <c r="R503" s="162">
        <f>IF(ISBLANK(Q503),"введи курс",P503/Q503)</f>
        <v/>
      </c>
      <c r="S503" s="196">
        <f>IF(AND(ISNUMBER(E503),ISNUMBER(Q503)),E503*R503,0)</f>
        <v/>
      </c>
      <c r="T503" s="192">
        <f>$BC503*V$11</f>
        <v/>
      </c>
      <c r="U503" s="76">
        <f>$BC503*W$11</f>
        <v/>
      </c>
      <c r="V503" s="193">
        <f>+SUM(T503:U503)</f>
        <v/>
      </c>
      <c r="W503" s="191" t="n"/>
      <c r="X503" s="170" t="n"/>
      <c r="Y503" s="76">
        <f>ROUND(IF(offer_incoterms="DDP",X503*(S503*(1+AW503)+T503),0),2)</f>
        <v/>
      </c>
      <c r="Z503" s="188" t="n"/>
      <c r="AA503" s="192">
        <f>IFERROR(AB503/E503,0)</f>
        <v/>
      </c>
      <c r="AB503" s="76">
        <f>ROUND(SUM(S503,V503,Y503:Z503,BA503:BB503),2)</f>
        <v/>
      </c>
      <c r="AC503" s="797" t="n"/>
      <c r="AD503" s="192">
        <f t="array" ref="AD503">IFERROR(ROUND((_xlfn.IFS(offer_sale_type="поставка",AB503,offer_sale_type="транзит",S503)*(1+AC503))/E503,2),0)</f>
        <v/>
      </c>
      <c r="AE503" s="76">
        <f>AD503*E503</f>
        <v/>
      </c>
      <c r="AF503" s="193">
        <f t="array" ref="AF503">IFERROR(ROUND(_xlfn.IFS(offer_sale_type="поставка",AB503,offer_sale_type="транзит",S503)*AC503,2),0)</f>
        <v/>
      </c>
      <c r="AG503" s="192">
        <f>$BD503*VLOOKUP($AG$3,$AF$4:$AG$7,2,FALSE)</f>
        <v/>
      </c>
      <c r="AH503" s="76">
        <f>SUM(AE503,AG503,AI503)*rate_forex_risk</f>
        <v/>
      </c>
      <c r="AI503" s="193">
        <f>IF(OR(seller_region="TR",offer_sale_type="экспорт"),0,rate_fin_comm)*SUM(AZ503,AZ503*AW503,T503)</f>
        <v/>
      </c>
      <c r="AJ503" s="118">
        <f>IFERROR(ROUND(SUM(AB503,AF503:AI503)/E503,2),0)</f>
        <v/>
      </c>
      <c r="AK503" s="76">
        <f>AJ503*E503</f>
        <v/>
      </c>
      <c r="AL503" s="174">
        <f>ROUND(IFERROR(AM503*E503,0),2)</f>
        <v/>
      </c>
      <c r="AM503" s="175">
        <f>ROUND(AJ503*(1+IF(offer_incoterms="DDP",IF((TODAY()+offer_turnaround_time)&gt;=helpsheet!$L$17,rate_vatRU_from_26,rate_vatRu_till_25),0)),2)</f>
        <v/>
      </c>
      <c r="AN503" s="192">
        <f>AL503-AK503</f>
        <v/>
      </c>
      <c r="AO503" s="76">
        <f>SUM(AY503,Y503:Z503,T503)*IF(AND(offer_incoterms="DDP",offer_sale_type&lt;&gt;"экспорт"),IF((TODAY()+offer_turnaround_time)&gt;=helpsheet!$L$17,rate_vatRU_from_26,rate_vatRu_till_25),0)</f>
        <v/>
      </c>
      <c r="AP503" s="193">
        <f>AN503-AO503</f>
        <v/>
      </c>
      <c r="AQ503" s="118">
        <f>IF(offer_sale_type="транзит",SUM(AF503:AI503,BA503,BB503),0)</f>
        <v/>
      </c>
      <c r="AR503" s="82">
        <f>HYPERLINK("https://www.alta.ru/tnved/code/")&amp;W503&amp;"/"</f>
        <v/>
      </c>
      <c r="AS503" s="157" t="n"/>
      <c r="AT503" s="162" t="n"/>
      <c r="AU503" s="76">
        <f>IF(ISBLANK(AT503),0,AJ503-AT503)</f>
        <v/>
      </c>
      <c r="AV503" s="157" t="n"/>
      <c r="AW503" s="75">
        <f>_xlfn.IFNA(VLOOKUP(L503,list_vat[],3,FALSE),0)</f>
        <v/>
      </c>
      <c r="AX503" s="76">
        <f>IFERROR(ROUND(S503*(1+AW503)/E503,2),0)</f>
        <v/>
      </c>
      <c r="AY503" s="76">
        <f>E503*AX503</f>
        <v/>
      </c>
      <c r="AZ503" s="192">
        <f>S503*(1+M503)</f>
        <v/>
      </c>
      <c r="BA503" s="76">
        <f>cost_fin_total*$BD503</f>
        <v/>
      </c>
      <c r="BB503" s="193">
        <f>credit_sales_interest*BD503</f>
        <v/>
      </c>
      <c r="BC503" s="102">
        <f>IFERROR(IF($I$13&gt;0,$I503/$I$13,$S503/$S$13),0)</f>
        <v/>
      </c>
      <c r="BD503" s="102">
        <f>IFERROR($S503/$S$13,0)</f>
        <v/>
      </c>
      <c r="BE503" s="413" t="inlineStr">
        <is>
          <t>$</t>
        </is>
      </c>
    </row>
    <row r="504" ht="12" customFormat="1" customHeight="1" s="65">
      <c r="A504" s="43" t="n">
        <v>489</v>
      </c>
      <c r="B504" s="166" t="n"/>
      <c r="C504" s="166" t="n"/>
      <c r="D504" s="166" t="n"/>
      <c r="E504" s="162" t="n"/>
      <c r="F504" s="166" t="n"/>
      <c r="G504" s="162" t="n"/>
      <c r="H504" s="162" t="n"/>
      <c r="I504" s="189">
        <f>E504*G504</f>
        <v/>
      </c>
      <c r="J504" s="195" t="n"/>
      <c r="K504" s="162" t="n"/>
      <c r="L504" s="168" t="n"/>
      <c r="M504" s="75">
        <f>_xlfn.XLOOKUP(L504,list_vat[Страна],list_vat[Ставка НДС %],0,0)</f>
        <v/>
      </c>
      <c r="N504" s="162">
        <f>IFERROR(IF(L504="Китай",K504,K504/(1+M504)),0)</f>
        <v/>
      </c>
      <c r="O504" s="169" t="n"/>
      <c r="P504" s="76">
        <f>N504*(1-O504)</f>
        <v/>
      </c>
      <c r="Q504" s="162" t="n"/>
      <c r="R504" s="162">
        <f>IF(ISBLANK(Q504),"введи курс",P504/Q504)</f>
        <v/>
      </c>
      <c r="S504" s="196">
        <f>IF(AND(ISNUMBER(E504),ISNUMBER(Q504)),E504*R504,0)</f>
        <v/>
      </c>
      <c r="T504" s="192">
        <f>$BC504*V$11</f>
        <v/>
      </c>
      <c r="U504" s="76">
        <f>$BC504*W$11</f>
        <v/>
      </c>
      <c r="V504" s="193">
        <f>+SUM(T504:U504)</f>
        <v/>
      </c>
      <c r="W504" s="191" t="n"/>
      <c r="X504" s="170" t="n"/>
      <c r="Y504" s="76">
        <f>ROUND(IF(offer_incoterms="DDP",X504*(S504*(1+AW504)+T504),0),2)</f>
        <v/>
      </c>
      <c r="Z504" s="188" t="n"/>
      <c r="AA504" s="192">
        <f>IFERROR(AB504/E504,0)</f>
        <v/>
      </c>
      <c r="AB504" s="76">
        <f>ROUND(SUM(S504,V504,Y504:Z504,BA504:BB504),2)</f>
        <v/>
      </c>
      <c r="AC504" s="797" t="n"/>
      <c r="AD504" s="192">
        <f t="array" ref="AD504">IFERROR(ROUND((_xlfn.IFS(offer_sale_type="поставка",AB504,offer_sale_type="транзит",S504)*(1+AC504))/E504,2),0)</f>
        <v/>
      </c>
      <c r="AE504" s="76">
        <f>AD504*E504</f>
        <v/>
      </c>
      <c r="AF504" s="193">
        <f t="array" ref="AF504">IFERROR(ROUND(_xlfn.IFS(offer_sale_type="поставка",AB504,offer_sale_type="транзит",S504)*AC504,2),0)</f>
        <v/>
      </c>
      <c r="AG504" s="192">
        <f>$BD504*VLOOKUP($AG$3,$AF$4:$AG$7,2,FALSE)</f>
        <v/>
      </c>
      <c r="AH504" s="76">
        <f>SUM(AE504,AG504,AI504)*rate_forex_risk</f>
        <v/>
      </c>
      <c r="AI504" s="193">
        <f>IF(OR(seller_region="TR",offer_sale_type="экспорт"),0,rate_fin_comm)*SUM(AZ504,AZ504*AW504,T504)</f>
        <v/>
      </c>
      <c r="AJ504" s="118">
        <f>IFERROR(ROUND(SUM(AB504,AF504:AI504)/E504,2),0)</f>
        <v/>
      </c>
      <c r="AK504" s="76">
        <f>AJ504*E504</f>
        <v/>
      </c>
      <c r="AL504" s="174">
        <f>ROUND(IFERROR(AM504*E504,0),2)</f>
        <v/>
      </c>
      <c r="AM504" s="175">
        <f>ROUND(AJ504*(1+IF(offer_incoterms="DDP",IF((TODAY()+offer_turnaround_time)&gt;=helpsheet!$L$17,rate_vatRU_from_26,rate_vatRu_till_25),0)),2)</f>
        <v/>
      </c>
      <c r="AN504" s="192">
        <f>AL504-AK504</f>
        <v/>
      </c>
      <c r="AO504" s="76">
        <f>SUM(AY504,Y504:Z504,T504)*IF(AND(offer_incoterms="DDP",offer_sale_type&lt;&gt;"экспорт"),IF((TODAY()+offer_turnaround_time)&gt;=helpsheet!$L$17,rate_vatRU_from_26,rate_vatRu_till_25),0)</f>
        <v/>
      </c>
      <c r="AP504" s="193">
        <f>AN504-AO504</f>
        <v/>
      </c>
      <c r="AQ504" s="118">
        <f>IF(offer_sale_type="транзит",SUM(AF504:AI504,BA504,BB504),0)</f>
        <v/>
      </c>
      <c r="AR504" s="82">
        <f>HYPERLINK("https://www.alta.ru/tnved/code/")&amp;W504&amp;"/"</f>
        <v/>
      </c>
      <c r="AS504" s="157" t="n"/>
      <c r="AT504" s="162" t="n"/>
      <c r="AU504" s="76">
        <f>IF(ISBLANK(AT504),0,AJ504-AT504)</f>
        <v/>
      </c>
      <c r="AV504" s="157" t="n"/>
      <c r="AW504" s="75">
        <f>_xlfn.IFNA(VLOOKUP(L504,list_vat[],3,FALSE),0)</f>
        <v/>
      </c>
      <c r="AX504" s="76">
        <f>IFERROR(ROUND(S504*(1+AW504)/E504,2),0)</f>
        <v/>
      </c>
      <c r="AY504" s="76">
        <f>E504*AX504</f>
        <v/>
      </c>
      <c r="AZ504" s="192">
        <f>S504*(1+M504)</f>
        <v/>
      </c>
      <c r="BA504" s="76">
        <f>cost_fin_total*$BD504</f>
        <v/>
      </c>
      <c r="BB504" s="193">
        <f>credit_sales_interest*BD504</f>
        <v/>
      </c>
      <c r="BC504" s="102">
        <f>IFERROR(IF($I$13&gt;0,$I504/$I$13,$S504/$S$13),0)</f>
        <v/>
      </c>
      <c r="BD504" s="102">
        <f>IFERROR($S504/$S$13,0)</f>
        <v/>
      </c>
      <c r="BE504" s="413" t="inlineStr">
        <is>
          <t>$</t>
        </is>
      </c>
    </row>
    <row r="505" ht="12" customFormat="1" customHeight="1" s="65">
      <c r="A505" s="43" t="n">
        <v>490</v>
      </c>
      <c r="B505" s="166" t="n"/>
      <c r="C505" s="166" t="n"/>
      <c r="D505" s="166" t="n"/>
      <c r="E505" s="162" t="n"/>
      <c r="F505" s="166" t="n"/>
      <c r="G505" s="162" t="n"/>
      <c r="H505" s="162" t="n"/>
      <c r="I505" s="189">
        <f>E505*G505</f>
        <v/>
      </c>
      <c r="J505" s="195" t="n"/>
      <c r="K505" s="162" t="n"/>
      <c r="L505" s="168" t="n"/>
      <c r="M505" s="75">
        <f>_xlfn.XLOOKUP(L505,list_vat[Страна],list_vat[Ставка НДС %],0,0)</f>
        <v/>
      </c>
      <c r="N505" s="162">
        <f>IFERROR(IF(L505="Китай",K505,K505/(1+M505)),0)</f>
        <v/>
      </c>
      <c r="O505" s="169" t="n"/>
      <c r="P505" s="76">
        <f>N505*(1-O505)</f>
        <v/>
      </c>
      <c r="Q505" s="162" t="n"/>
      <c r="R505" s="162">
        <f>IF(ISBLANK(Q505),"введи курс",P505/Q505)</f>
        <v/>
      </c>
      <c r="S505" s="196">
        <f>IF(AND(ISNUMBER(E505),ISNUMBER(Q505)),E505*R505,0)</f>
        <v/>
      </c>
      <c r="T505" s="192">
        <f>$BC505*V$11</f>
        <v/>
      </c>
      <c r="U505" s="76">
        <f>$BC505*W$11</f>
        <v/>
      </c>
      <c r="V505" s="193">
        <f>+SUM(T505:U505)</f>
        <v/>
      </c>
      <c r="W505" s="191" t="n"/>
      <c r="X505" s="170" t="n"/>
      <c r="Y505" s="76">
        <f>ROUND(IF(offer_incoterms="DDP",X505*(S505*(1+AW505)+T505),0),2)</f>
        <v/>
      </c>
      <c r="Z505" s="188" t="n"/>
      <c r="AA505" s="192">
        <f>IFERROR(AB505/E505,0)</f>
        <v/>
      </c>
      <c r="AB505" s="76">
        <f>ROUND(SUM(S505,V505,Y505:Z505,BA505:BB505),2)</f>
        <v/>
      </c>
      <c r="AC505" s="797" t="n"/>
      <c r="AD505" s="192">
        <f t="array" ref="AD505">IFERROR(ROUND((_xlfn.IFS(offer_sale_type="поставка",AB505,offer_sale_type="транзит",S505)*(1+AC505))/E505,2),0)</f>
        <v/>
      </c>
      <c r="AE505" s="76">
        <f>AD505*E505</f>
        <v/>
      </c>
      <c r="AF505" s="193">
        <f t="array" ref="AF505">IFERROR(ROUND(_xlfn.IFS(offer_sale_type="поставка",AB505,offer_sale_type="транзит",S505)*AC505,2),0)</f>
        <v/>
      </c>
      <c r="AG505" s="192">
        <f>$BD505*VLOOKUP($AG$3,$AF$4:$AG$7,2,FALSE)</f>
        <v/>
      </c>
      <c r="AH505" s="76">
        <f>SUM(AE505,AG505,AI505)*rate_forex_risk</f>
        <v/>
      </c>
      <c r="AI505" s="193">
        <f>IF(OR(seller_region="TR",offer_sale_type="экспорт"),0,rate_fin_comm)*SUM(AZ505,AZ505*AW505,T505)</f>
        <v/>
      </c>
      <c r="AJ505" s="118">
        <f>IFERROR(ROUND(SUM(AB505,AF505:AI505)/E505,2),0)</f>
        <v/>
      </c>
      <c r="AK505" s="76">
        <f>AJ505*E505</f>
        <v/>
      </c>
      <c r="AL505" s="174">
        <f>ROUND(IFERROR(AM505*E505,0),2)</f>
        <v/>
      </c>
      <c r="AM505" s="175">
        <f>ROUND(AJ505*(1+IF(offer_incoterms="DDP",IF((TODAY()+offer_turnaround_time)&gt;=helpsheet!$L$17,rate_vatRU_from_26,rate_vatRu_till_25),0)),2)</f>
        <v/>
      </c>
      <c r="AN505" s="192">
        <f>AL505-AK505</f>
        <v/>
      </c>
      <c r="AO505" s="76">
        <f>SUM(AY505,Y505:Z505,T505)*IF(AND(offer_incoterms="DDP",offer_sale_type&lt;&gt;"экспорт"),IF((TODAY()+offer_turnaround_time)&gt;=helpsheet!$L$17,rate_vatRU_from_26,rate_vatRu_till_25),0)</f>
        <v/>
      </c>
      <c r="AP505" s="193">
        <f>AN505-AO505</f>
        <v/>
      </c>
      <c r="AQ505" s="118">
        <f>IF(offer_sale_type="транзит",SUM(AF505:AI505,BA505,BB505),0)</f>
        <v/>
      </c>
      <c r="AR505" s="82">
        <f>HYPERLINK("https://www.alta.ru/tnved/code/")&amp;W505&amp;"/"</f>
        <v/>
      </c>
      <c r="AS505" s="157" t="n"/>
      <c r="AT505" s="162" t="n"/>
      <c r="AU505" s="76">
        <f>IF(ISBLANK(AT505),0,AJ505-AT505)</f>
        <v/>
      </c>
      <c r="AV505" s="157" t="n"/>
      <c r="AW505" s="75">
        <f>_xlfn.IFNA(VLOOKUP(L505,list_vat[],3,FALSE),0)</f>
        <v/>
      </c>
      <c r="AX505" s="76">
        <f>IFERROR(ROUND(S505*(1+AW505)/E505,2),0)</f>
        <v/>
      </c>
      <c r="AY505" s="76">
        <f>E505*AX505</f>
        <v/>
      </c>
      <c r="AZ505" s="192">
        <f>S505*(1+M505)</f>
        <v/>
      </c>
      <c r="BA505" s="76">
        <f>cost_fin_total*$BD505</f>
        <v/>
      </c>
      <c r="BB505" s="193">
        <f>credit_sales_interest*BD505</f>
        <v/>
      </c>
      <c r="BC505" s="102">
        <f>IFERROR(IF($I$13&gt;0,$I505/$I$13,$S505/$S$13),0)</f>
        <v/>
      </c>
      <c r="BD505" s="102">
        <f>IFERROR($S505/$S$13,0)</f>
        <v/>
      </c>
      <c r="BE505" s="413" t="inlineStr">
        <is>
          <t>$</t>
        </is>
      </c>
    </row>
    <row r="506" ht="12" customFormat="1" customHeight="1" s="65">
      <c r="A506" s="43" t="n">
        <v>491</v>
      </c>
      <c r="B506" s="166" t="n"/>
      <c r="C506" s="166" t="n"/>
      <c r="D506" s="166" t="n"/>
      <c r="E506" s="162" t="n"/>
      <c r="F506" s="166" t="n"/>
      <c r="G506" s="162" t="n"/>
      <c r="H506" s="162" t="n"/>
      <c r="I506" s="189">
        <f>E506*G506</f>
        <v/>
      </c>
      <c r="J506" s="195" t="n"/>
      <c r="K506" s="162" t="n"/>
      <c r="L506" s="168" t="n"/>
      <c r="M506" s="75">
        <f>_xlfn.XLOOKUP(L506,list_vat[Страна],list_vat[Ставка НДС %],0,0)</f>
        <v/>
      </c>
      <c r="N506" s="162">
        <f>IFERROR(IF(L506="Китай",K506,K506/(1+M506)),0)</f>
        <v/>
      </c>
      <c r="O506" s="169" t="n"/>
      <c r="P506" s="76">
        <f>N506*(1-O506)</f>
        <v/>
      </c>
      <c r="Q506" s="162" t="n"/>
      <c r="R506" s="162">
        <f>IF(ISBLANK(Q506),"введи курс",P506/Q506)</f>
        <v/>
      </c>
      <c r="S506" s="196">
        <f>IF(AND(ISNUMBER(E506),ISNUMBER(Q506)),E506*R506,0)</f>
        <v/>
      </c>
      <c r="T506" s="192">
        <f>$BC506*V$11</f>
        <v/>
      </c>
      <c r="U506" s="76">
        <f>$BC506*W$11</f>
        <v/>
      </c>
      <c r="V506" s="193">
        <f>+SUM(T506:U506)</f>
        <v/>
      </c>
      <c r="W506" s="191" t="n"/>
      <c r="X506" s="170" t="n"/>
      <c r="Y506" s="76">
        <f>ROUND(IF(offer_incoterms="DDP",X506*(S506*(1+AW506)+T506),0),2)</f>
        <v/>
      </c>
      <c r="Z506" s="188" t="n"/>
      <c r="AA506" s="192">
        <f>IFERROR(AB506/E506,0)</f>
        <v/>
      </c>
      <c r="AB506" s="76">
        <f>ROUND(SUM(S506,V506,Y506:Z506,BA506:BB506),2)</f>
        <v/>
      </c>
      <c r="AC506" s="797" t="n"/>
      <c r="AD506" s="192">
        <f t="array" ref="AD506">IFERROR(ROUND((_xlfn.IFS(offer_sale_type="поставка",AB506,offer_sale_type="транзит",S506)*(1+AC506))/E506,2),0)</f>
        <v/>
      </c>
      <c r="AE506" s="76">
        <f>AD506*E506</f>
        <v/>
      </c>
      <c r="AF506" s="193">
        <f t="array" ref="AF506">IFERROR(ROUND(_xlfn.IFS(offer_sale_type="поставка",AB506,offer_sale_type="транзит",S506)*AC506,2),0)</f>
        <v/>
      </c>
      <c r="AG506" s="192">
        <f>$BD506*VLOOKUP($AG$3,$AF$4:$AG$7,2,FALSE)</f>
        <v/>
      </c>
      <c r="AH506" s="76">
        <f>SUM(AE506,AG506,AI506)*rate_forex_risk</f>
        <v/>
      </c>
      <c r="AI506" s="193">
        <f>IF(OR(seller_region="TR",offer_sale_type="экспорт"),0,rate_fin_comm)*SUM(AZ506,AZ506*AW506,T506)</f>
        <v/>
      </c>
      <c r="AJ506" s="118">
        <f>IFERROR(ROUND(SUM(AB506,AF506:AI506)/E506,2),0)</f>
        <v/>
      </c>
      <c r="AK506" s="76">
        <f>AJ506*E506</f>
        <v/>
      </c>
      <c r="AL506" s="174">
        <f>ROUND(IFERROR(AM506*E506,0),2)</f>
        <v/>
      </c>
      <c r="AM506" s="175">
        <f>ROUND(AJ506*(1+IF(offer_incoterms="DDP",IF((TODAY()+offer_turnaround_time)&gt;=helpsheet!$L$17,rate_vatRU_from_26,rate_vatRu_till_25),0)),2)</f>
        <v/>
      </c>
      <c r="AN506" s="192">
        <f>AL506-AK506</f>
        <v/>
      </c>
      <c r="AO506" s="76">
        <f>SUM(AY506,Y506:Z506,T506)*IF(AND(offer_incoterms="DDP",offer_sale_type&lt;&gt;"экспорт"),IF((TODAY()+offer_turnaround_time)&gt;=helpsheet!$L$17,rate_vatRU_from_26,rate_vatRu_till_25),0)</f>
        <v/>
      </c>
      <c r="AP506" s="193">
        <f>AN506-AO506</f>
        <v/>
      </c>
      <c r="AQ506" s="118">
        <f>IF(offer_sale_type="транзит",SUM(AF506:AI506,BA506,BB506),0)</f>
        <v/>
      </c>
      <c r="AR506" s="82">
        <f>HYPERLINK("https://www.alta.ru/tnved/code/")&amp;W506&amp;"/"</f>
        <v/>
      </c>
      <c r="AS506" s="157" t="n"/>
      <c r="AT506" s="162" t="n"/>
      <c r="AU506" s="76">
        <f>IF(ISBLANK(AT506),0,AJ506-AT506)</f>
        <v/>
      </c>
      <c r="AV506" s="157" t="n"/>
      <c r="AW506" s="75">
        <f>_xlfn.IFNA(VLOOKUP(L506,list_vat[],3,FALSE),0)</f>
        <v/>
      </c>
      <c r="AX506" s="76">
        <f>IFERROR(ROUND(S506*(1+AW506)/E506,2),0)</f>
        <v/>
      </c>
      <c r="AY506" s="76">
        <f>E506*AX506</f>
        <v/>
      </c>
      <c r="AZ506" s="192">
        <f>S506*(1+M506)</f>
        <v/>
      </c>
      <c r="BA506" s="76">
        <f>cost_fin_total*$BD506</f>
        <v/>
      </c>
      <c r="BB506" s="193">
        <f>credit_sales_interest*BD506</f>
        <v/>
      </c>
      <c r="BC506" s="102">
        <f>IFERROR(IF($I$13&gt;0,$I506/$I$13,$S506/$S$13),0)</f>
        <v/>
      </c>
      <c r="BD506" s="102">
        <f>IFERROR($S506/$S$13,0)</f>
        <v/>
      </c>
      <c r="BE506" s="413" t="inlineStr">
        <is>
          <t>$</t>
        </is>
      </c>
    </row>
    <row r="507" ht="12" customFormat="1" customHeight="1" s="65">
      <c r="A507" s="43" t="n">
        <v>492</v>
      </c>
      <c r="B507" s="166" t="n"/>
      <c r="C507" s="166" t="n"/>
      <c r="D507" s="166" t="n"/>
      <c r="E507" s="162" t="n"/>
      <c r="F507" s="166" t="n"/>
      <c r="G507" s="162" t="n"/>
      <c r="H507" s="162" t="n"/>
      <c r="I507" s="189">
        <f>E507*G507</f>
        <v/>
      </c>
      <c r="J507" s="195" t="n"/>
      <c r="K507" s="162" t="n"/>
      <c r="L507" s="168" t="n"/>
      <c r="M507" s="75">
        <f>_xlfn.XLOOKUP(L507,list_vat[Страна],list_vat[Ставка НДС %],0,0)</f>
        <v/>
      </c>
      <c r="N507" s="162">
        <f>IFERROR(IF(L507="Китай",K507,K507/(1+M507)),0)</f>
        <v/>
      </c>
      <c r="O507" s="169" t="n"/>
      <c r="P507" s="76">
        <f>N507*(1-O507)</f>
        <v/>
      </c>
      <c r="Q507" s="162" t="n"/>
      <c r="R507" s="162">
        <f>IF(ISBLANK(Q507),"введи курс",P507/Q507)</f>
        <v/>
      </c>
      <c r="S507" s="196">
        <f>IF(AND(ISNUMBER(E507),ISNUMBER(Q507)),E507*R507,0)</f>
        <v/>
      </c>
      <c r="T507" s="192">
        <f>$BC507*V$11</f>
        <v/>
      </c>
      <c r="U507" s="76">
        <f>$BC507*W$11</f>
        <v/>
      </c>
      <c r="V507" s="193">
        <f>+SUM(T507:U507)</f>
        <v/>
      </c>
      <c r="W507" s="191" t="n"/>
      <c r="X507" s="170" t="n"/>
      <c r="Y507" s="76">
        <f>ROUND(IF(offer_incoterms="DDP",X507*(S507*(1+AW507)+T507),0),2)</f>
        <v/>
      </c>
      <c r="Z507" s="188" t="n"/>
      <c r="AA507" s="192">
        <f>IFERROR(AB507/E507,0)</f>
        <v/>
      </c>
      <c r="AB507" s="76">
        <f>ROUND(SUM(S507,V507,Y507:Z507,BA507:BB507),2)</f>
        <v/>
      </c>
      <c r="AC507" s="797" t="n"/>
      <c r="AD507" s="192">
        <f t="array" ref="AD507">IFERROR(ROUND((_xlfn.IFS(offer_sale_type="поставка",AB507,offer_sale_type="транзит",S507)*(1+AC507))/E507,2),0)</f>
        <v/>
      </c>
      <c r="AE507" s="76">
        <f>AD507*E507</f>
        <v/>
      </c>
      <c r="AF507" s="193">
        <f t="array" ref="AF507">IFERROR(ROUND(_xlfn.IFS(offer_sale_type="поставка",AB507,offer_sale_type="транзит",S507)*AC507,2),0)</f>
        <v/>
      </c>
      <c r="AG507" s="192">
        <f>$BD507*VLOOKUP($AG$3,$AF$4:$AG$7,2,FALSE)</f>
        <v/>
      </c>
      <c r="AH507" s="76">
        <f>SUM(AE507,AG507,AI507)*rate_forex_risk</f>
        <v/>
      </c>
      <c r="AI507" s="193">
        <f>IF(OR(seller_region="TR",offer_sale_type="экспорт"),0,rate_fin_comm)*SUM(AZ507,AZ507*AW507,T507)</f>
        <v/>
      </c>
      <c r="AJ507" s="118">
        <f>IFERROR(ROUND(SUM(AB507,AF507:AI507)/E507,2),0)</f>
        <v/>
      </c>
      <c r="AK507" s="76">
        <f>AJ507*E507</f>
        <v/>
      </c>
      <c r="AL507" s="174">
        <f>ROUND(IFERROR(AM507*E507,0),2)</f>
        <v/>
      </c>
      <c r="AM507" s="175">
        <f>ROUND(AJ507*(1+IF(offer_incoterms="DDP",IF((TODAY()+offer_turnaround_time)&gt;=helpsheet!$L$17,rate_vatRU_from_26,rate_vatRu_till_25),0)),2)</f>
        <v/>
      </c>
      <c r="AN507" s="192">
        <f>AL507-AK507</f>
        <v/>
      </c>
      <c r="AO507" s="76">
        <f>SUM(AY507,Y507:Z507,T507)*IF(AND(offer_incoterms="DDP",offer_sale_type&lt;&gt;"экспорт"),IF((TODAY()+offer_turnaround_time)&gt;=helpsheet!$L$17,rate_vatRU_from_26,rate_vatRu_till_25),0)</f>
        <v/>
      </c>
      <c r="AP507" s="193">
        <f>AN507-AO507</f>
        <v/>
      </c>
      <c r="AQ507" s="118">
        <f>IF(offer_sale_type="транзит",SUM(AF507:AI507,BA507,BB507),0)</f>
        <v/>
      </c>
      <c r="AR507" s="82">
        <f>HYPERLINK("https://www.alta.ru/tnved/code/")&amp;W507&amp;"/"</f>
        <v/>
      </c>
      <c r="AS507" s="157" t="n"/>
      <c r="AT507" s="162" t="n"/>
      <c r="AU507" s="76">
        <f>IF(ISBLANK(AT507),0,AJ507-AT507)</f>
        <v/>
      </c>
      <c r="AV507" s="157" t="n"/>
      <c r="AW507" s="75">
        <f>_xlfn.IFNA(VLOOKUP(L507,list_vat[],3,FALSE),0)</f>
        <v/>
      </c>
      <c r="AX507" s="76">
        <f>IFERROR(ROUND(S507*(1+AW507)/E507,2),0)</f>
        <v/>
      </c>
      <c r="AY507" s="76">
        <f>E507*AX507</f>
        <v/>
      </c>
      <c r="AZ507" s="192">
        <f>S507*(1+M507)</f>
        <v/>
      </c>
      <c r="BA507" s="76">
        <f>cost_fin_total*$BD507</f>
        <v/>
      </c>
      <c r="BB507" s="193">
        <f>credit_sales_interest*BD507</f>
        <v/>
      </c>
      <c r="BC507" s="102">
        <f>IFERROR(IF($I$13&gt;0,$I507/$I$13,$S507/$S$13),0)</f>
        <v/>
      </c>
      <c r="BD507" s="102">
        <f>IFERROR($S507/$S$13,0)</f>
        <v/>
      </c>
      <c r="BE507" s="413" t="inlineStr">
        <is>
          <t>$</t>
        </is>
      </c>
    </row>
    <row r="508" ht="12" customFormat="1" customHeight="1" s="65">
      <c r="A508" s="43" t="n">
        <v>493</v>
      </c>
      <c r="B508" s="166" t="n"/>
      <c r="C508" s="166" t="n"/>
      <c r="D508" s="166" t="n"/>
      <c r="E508" s="162" t="n"/>
      <c r="F508" s="166" t="n"/>
      <c r="G508" s="162" t="n"/>
      <c r="H508" s="162" t="n"/>
      <c r="I508" s="189">
        <f>E508*G508</f>
        <v/>
      </c>
      <c r="J508" s="195" t="n"/>
      <c r="K508" s="162" t="n"/>
      <c r="L508" s="168" t="n"/>
      <c r="M508" s="75">
        <f>_xlfn.XLOOKUP(L508,list_vat[Страна],list_vat[Ставка НДС %],0,0)</f>
        <v/>
      </c>
      <c r="N508" s="162">
        <f>IFERROR(IF(L508="Китай",K508,K508/(1+M508)),0)</f>
        <v/>
      </c>
      <c r="O508" s="169" t="n"/>
      <c r="P508" s="76">
        <f>N508*(1-O508)</f>
        <v/>
      </c>
      <c r="Q508" s="162" t="n"/>
      <c r="R508" s="162">
        <f>IF(ISBLANK(Q508),"введи курс",P508/Q508)</f>
        <v/>
      </c>
      <c r="S508" s="196">
        <f>IF(AND(ISNUMBER(E508),ISNUMBER(Q508)),E508*R508,0)</f>
        <v/>
      </c>
      <c r="T508" s="192">
        <f>$BC508*V$11</f>
        <v/>
      </c>
      <c r="U508" s="76">
        <f>$BC508*W$11</f>
        <v/>
      </c>
      <c r="V508" s="193">
        <f>+SUM(T508:U508)</f>
        <v/>
      </c>
      <c r="W508" s="191" t="n"/>
      <c r="X508" s="170" t="n"/>
      <c r="Y508" s="76">
        <f>ROUND(IF(offer_incoterms="DDP",X508*(S508*(1+AW508)+T508),0),2)</f>
        <v/>
      </c>
      <c r="Z508" s="188" t="n"/>
      <c r="AA508" s="192">
        <f>IFERROR(AB508/E508,0)</f>
        <v/>
      </c>
      <c r="AB508" s="76">
        <f>ROUND(SUM(S508,V508,Y508:Z508,BA508:BB508),2)</f>
        <v/>
      </c>
      <c r="AC508" s="797" t="n"/>
      <c r="AD508" s="192">
        <f t="array" ref="AD508">IFERROR(ROUND((_xlfn.IFS(offer_sale_type="поставка",AB508,offer_sale_type="транзит",S508)*(1+AC508))/E508,2),0)</f>
        <v/>
      </c>
      <c r="AE508" s="76">
        <f>AD508*E508</f>
        <v/>
      </c>
      <c r="AF508" s="193">
        <f t="array" ref="AF508">IFERROR(ROUND(_xlfn.IFS(offer_sale_type="поставка",AB508,offer_sale_type="транзит",S508)*AC508,2),0)</f>
        <v/>
      </c>
      <c r="AG508" s="192">
        <f>$BD508*VLOOKUP($AG$3,$AF$4:$AG$7,2,FALSE)</f>
        <v/>
      </c>
      <c r="AH508" s="76">
        <f>SUM(AE508,AG508,AI508)*rate_forex_risk</f>
        <v/>
      </c>
      <c r="AI508" s="193">
        <f>IF(OR(seller_region="TR",offer_sale_type="экспорт"),0,rate_fin_comm)*SUM(AZ508,AZ508*AW508,T508)</f>
        <v/>
      </c>
      <c r="AJ508" s="118">
        <f>IFERROR(ROUND(SUM(AB508,AF508:AI508)/E508,2),0)</f>
        <v/>
      </c>
      <c r="AK508" s="76">
        <f>AJ508*E508</f>
        <v/>
      </c>
      <c r="AL508" s="174">
        <f>ROUND(IFERROR(AM508*E508,0),2)</f>
        <v/>
      </c>
      <c r="AM508" s="175">
        <f>ROUND(AJ508*(1+IF(offer_incoterms="DDP",IF((TODAY()+offer_turnaround_time)&gt;=helpsheet!$L$17,rate_vatRU_from_26,rate_vatRu_till_25),0)),2)</f>
        <v/>
      </c>
      <c r="AN508" s="192">
        <f>AL508-AK508</f>
        <v/>
      </c>
      <c r="AO508" s="76">
        <f>SUM(AY508,Y508:Z508,T508)*IF(AND(offer_incoterms="DDP",offer_sale_type&lt;&gt;"экспорт"),IF((TODAY()+offer_turnaround_time)&gt;=helpsheet!$L$17,rate_vatRU_from_26,rate_vatRu_till_25),0)</f>
        <v/>
      </c>
      <c r="AP508" s="193">
        <f>AN508-AO508</f>
        <v/>
      </c>
      <c r="AQ508" s="118">
        <f>IF(offer_sale_type="транзит",SUM(AF508:AI508,BA508,BB508),0)</f>
        <v/>
      </c>
      <c r="AR508" s="82">
        <f>HYPERLINK("https://www.alta.ru/tnved/code/")&amp;W508&amp;"/"</f>
        <v/>
      </c>
      <c r="AS508" s="157" t="n"/>
      <c r="AT508" s="162" t="n"/>
      <c r="AU508" s="76">
        <f>IF(ISBLANK(AT508),0,AJ508-AT508)</f>
        <v/>
      </c>
      <c r="AV508" s="157" t="n"/>
      <c r="AW508" s="75">
        <f>_xlfn.IFNA(VLOOKUP(L508,list_vat[],3,FALSE),0)</f>
        <v/>
      </c>
      <c r="AX508" s="76">
        <f>IFERROR(ROUND(S508*(1+AW508)/E508,2),0)</f>
        <v/>
      </c>
      <c r="AY508" s="76">
        <f>E508*AX508</f>
        <v/>
      </c>
      <c r="AZ508" s="192">
        <f>S508*(1+M508)</f>
        <v/>
      </c>
      <c r="BA508" s="76">
        <f>cost_fin_total*$BD508</f>
        <v/>
      </c>
      <c r="BB508" s="193">
        <f>credit_sales_interest*BD508</f>
        <v/>
      </c>
      <c r="BC508" s="102">
        <f>IFERROR(IF($I$13&gt;0,$I508/$I$13,$S508/$S$13),0)</f>
        <v/>
      </c>
      <c r="BD508" s="102">
        <f>IFERROR($S508/$S$13,0)</f>
        <v/>
      </c>
      <c r="BE508" s="413" t="inlineStr">
        <is>
          <t>$</t>
        </is>
      </c>
    </row>
    <row r="509" ht="12" customFormat="1" customHeight="1" s="65">
      <c r="A509" s="43" t="n">
        <v>494</v>
      </c>
      <c r="B509" s="166" t="n"/>
      <c r="C509" s="166" t="n"/>
      <c r="D509" s="166" t="n"/>
      <c r="E509" s="162" t="n"/>
      <c r="F509" s="166" t="n"/>
      <c r="G509" s="162" t="n"/>
      <c r="H509" s="162" t="n"/>
      <c r="I509" s="189">
        <f>E509*G509</f>
        <v/>
      </c>
      <c r="J509" s="195" t="n"/>
      <c r="K509" s="162" t="n"/>
      <c r="L509" s="168" t="n"/>
      <c r="M509" s="75">
        <f>_xlfn.XLOOKUP(L509,list_vat[Страна],list_vat[Ставка НДС %],0,0)</f>
        <v/>
      </c>
      <c r="N509" s="162">
        <f>IFERROR(IF(L509="Китай",K509,K509/(1+M509)),0)</f>
        <v/>
      </c>
      <c r="O509" s="169" t="n"/>
      <c r="P509" s="76">
        <f>N509*(1-O509)</f>
        <v/>
      </c>
      <c r="Q509" s="162" t="n"/>
      <c r="R509" s="162">
        <f>IF(ISBLANK(Q509),"введи курс",P509/Q509)</f>
        <v/>
      </c>
      <c r="S509" s="196">
        <f>IF(AND(ISNUMBER(E509),ISNUMBER(Q509)),E509*R509,0)</f>
        <v/>
      </c>
      <c r="T509" s="192">
        <f>$BC509*V$11</f>
        <v/>
      </c>
      <c r="U509" s="76">
        <f>$BC509*W$11</f>
        <v/>
      </c>
      <c r="V509" s="193">
        <f>+SUM(T509:U509)</f>
        <v/>
      </c>
      <c r="W509" s="191" t="n"/>
      <c r="X509" s="170" t="n"/>
      <c r="Y509" s="76">
        <f>ROUND(IF(offer_incoterms="DDP",X509*(S509*(1+AW509)+T509),0),2)</f>
        <v/>
      </c>
      <c r="Z509" s="188" t="n"/>
      <c r="AA509" s="192">
        <f>IFERROR(AB509/E509,0)</f>
        <v/>
      </c>
      <c r="AB509" s="76">
        <f>ROUND(SUM(S509,V509,Y509:Z509,BA509:BB509),2)</f>
        <v/>
      </c>
      <c r="AC509" s="797" t="n"/>
      <c r="AD509" s="192">
        <f t="array" ref="AD509">IFERROR(ROUND((_xlfn.IFS(offer_sale_type="поставка",AB509,offer_sale_type="транзит",S509)*(1+AC509))/E509,2),0)</f>
        <v/>
      </c>
      <c r="AE509" s="76">
        <f>AD509*E509</f>
        <v/>
      </c>
      <c r="AF509" s="193">
        <f t="array" ref="AF509">IFERROR(ROUND(_xlfn.IFS(offer_sale_type="поставка",AB509,offer_sale_type="транзит",S509)*AC509,2),0)</f>
        <v/>
      </c>
      <c r="AG509" s="192">
        <f>$BD509*VLOOKUP($AG$3,$AF$4:$AG$7,2,FALSE)</f>
        <v/>
      </c>
      <c r="AH509" s="76">
        <f>SUM(AE509,AG509,AI509)*rate_forex_risk</f>
        <v/>
      </c>
      <c r="AI509" s="193">
        <f>IF(OR(seller_region="TR",offer_sale_type="экспорт"),0,rate_fin_comm)*SUM(AZ509,AZ509*AW509,T509)</f>
        <v/>
      </c>
      <c r="AJ509" s="118">
        <f>IFERROR(ROUND(SUM(AB509,AF509:AI509)/E509,2),0)</f>
        <v/>
      </c>
      <c r="AK509" s="76">
        <f>AJ509*E509</f>
        <v/>
      </c>
      <c r="AL509" s="174">
        <f>ROUND(IFERROR(AM509*E509,0),2)</f>
        <v/>
      </c>
      <c r="AM509" s="175">
        <f>ROUND(AJ509*(1+IF(offer_incoterms="DDP",IF((TODAY()+offer_turnaround_time)&gt;=helpsheet!$L$17,rate_vatRU_from_26,rate_vatRu_till_25),0)),2)</f>
        <v/>
      </c>
      <c r="AN509" s="192">
        <f>AL509-AK509</f>
        <v/>
      </c>
      <c r="AO509" s="76">
        <f>SUM(AY509,Y509:Z509,T509)*IF(AND(offer_incoterms="DDP",offer_sale_type&lt;&gt;"экспорт"),IF((TODAY()+offer_turnaround_time)&gt;=helpsheet!$L$17,rate_vatRU_from_26,rate_vatRu_till_25),0)</f>
        <v/>
      </c>
      <c r="AP509" s="193">
        <f>AN509-AO509</f>
        <v/>
      </c>
      <c r="AQ509" s="118">
        <f>IF(offer_sale_type="транзит",SUM(AF509:AI509,BA509,BB509),0)</f>
        <v/>
      </c>
      <c r="AR509" s="82">
        <f>HYPERLINK("https://www.alta.ru/tnved/code/")&amp;W509&amp;"/"</f>
        <v/>
      </c>
      <c r="AS509" s="157" t="n"/>
      <c r="AT509" s="162" t="n"/>
      <c r="AU509" s="76">
        <f>IF(ISBLANK(AT509),0,AJ509-AT509)</f>
        <v/>
      </c>
      <c r="AV509" s="157" t="n"/>
      <c r="AW509" s="75">
        <f>_xlfn.IFNA(VLOOKUP(L509,list_vat[],3,FALSE),0)</f>
        <v/>
      </c>
      <c r="AX509" s="76">
        <f>IFERROR(ROUND(S509*(1+AW509)/E509,2),0)</f>
        <v/>
      </c>
      <c r="AY509" s="76">
        <f>E509*AX509</f>
        <v/>
      </c>
      <c r="AZ509" s="192">
        <f>S509*(1+M509)</f>
        <v/>
      </c>
      <c r="BA509" s="76">
        <f>cost_fin_total*$BD509</f>
        <v/>
      </c>
      <c r="BB509" s="193">
        <f>credit_sales_interest*BD509</f>
        <v/>
      </c>
      <c r="BC509" s="102">
        <f>IFERROR(IF($I$13&gt;0,$I509/$I$13,$S509/$S$13),0)</f>
        <v/>
      </c>
      <c r="BD509" s="102">
        <f>IFERROR($S509/$S$13,0)</f>
        <v/>
      </c>
      <c r="BE509" s="413" t="inlineStr">
        <is>
          <t>$</t>
        </is>
      </c>
    </row>
    <row r="510" ht="12" customFormat="1" customHeight="1" s="65">
      <c r="A510" s="43" t="n">
        <v>495</v>
      </c>
      <c r="B510" s="166" t="n"/>
      <c r="C510" s="166" t="n"/>
      <c r="D510" s="166" t="n"/>
      <c r="E510" s="162" t="n"/>
      <c r="F510" s="166" t="n"/>
      <c r="G510" s="162" t="n"/>
      <c r="H510" s="162" t="n"/>
      <c r="I510" s="189">
        <f>E510*G510</f>
        <v/>
      </c>
      <c r="J510" s="195" t="n"/>
      <c r="K510" s="162" t="n"/>
      <c r="L510" s="168" t="n"/>
      <c r="M510" s="75">
        <f>_xlfn.XLOOKUP(L510,list_vat[Страна],list_vat[Ставка НДС %],0,0)</f>
        <v/>
      </c>
      <c r="N510" s="162">
        <f>IFERROR(IF(L510="Китай",K510,K510/(1+M510)),0)</f>
        <v/>
      </c>
      <c r="O510" s="169" t="n"/>
      <c r="P510" s="76">
        <f>N510*(1-O510)</f>
        <v/>
      </c>
      <c r="Q510" s="162" t="n"/>
      <c r="R510" s="162">
        <f>IF(ISBLANK(Q510),"введи курс",P510/Q510)</f>
        <v/>
      </c>
      <c r="S510" s="196">
        <f>IF(AND(ISNUMBER(E510),ISNUMBER(Q510)),E510*R510,0)</f>
        <v/>
      </c>
      <c r="T510" s="192">
        <f>$BC510*V$11</f>
        <v/>
      </c>
      <c r="U510" s="76">
        <f>$BC510*W$11</f>
        <v/>
      </c>
      <c r="V510" s="193">
        <f>+SUM(T510:U510)</f>
        <v/>
      </c>
      <c r="W510" s="191" t="n"/>
      <c r="X510" s="170" t="n"/>
      <c r="Y510" s="76">
        <f>ROUND(IF(offer_incoterms="DDP",X510*(S510*(1+AW510)+T510),0),2)</f>
        <v/>
      </c>
      <c r="Z510" s="188" t="n"/>
      <c r="AA510" s="192">
        <f>IFERROR(AB510/E510,0)</f>
        <v/>
      </c>
      <c r="AB510" s="76">
        <f>ROUND(SUM(S510,V510,Y510:Z510,BA510:BB510),2)</f>
        <v/>
      </c>
      <c r="AC510" s="797" t="n"/>
      <c r="AD510" s="192">
        <f t="array" ref="AD510">IFERROR(ROUND((_xlfn.IFS(offer_sale_type="поставка",AB510,offer_sale_type="транзит",S510)*(1+AC510))/E510,2),0)</f>
        <v/>
      </c>
      <c r="AE510" s="76">
        <f>AD510*E510</f>
        <v/>
      </c>
      <c r="AF510" s="193">
        <f t="array" ref="AF510">IFERROR(ROUND(_xlfn.IFS(offer_sale_type="поставка",AB510,offer_sale_type="транзит",S510)*AC510,2),0)</f>
        <v/>
      </c>
      <c r="AG510" s="192">
        <f>$BD510*VLOOKUP($AG$3,$AF$4:$AG$7,2,FALSE)</f>
        <v/>
      </c>
      <c r="AH510" s="76">
        <f>SUM(AE510,AG510,AI510)*rate_forex_risk</f>
        <v/>
      </c>
      <c r="AI510" s="193">
        <f>IF(OR(seller_region="TR",offer_sale_type="экспорт"),0,rate_fin_comm)*SUM(AZ510,AZ510*AW510,T510)</f>
        <v/>
      </c>
      <c r="AJ510" s="118">
        <f>IFERROR(ROUND(SUM(AB510,AF510:AI510)/E510,2),0)</f>
        <v/>
      </c>
      <c r="AK510" s="76">
        <f>AJ510*E510</f>
        <v/>
      </c>
      <c r="AL510" s="174">
        <f>ROUND(IFERROR(AM510*E510,0),2)</f>
        <v/>
      </c>
      <c r="AM510" s="175">
        <f>ROUND(AJ510*(1+IF(offer_incoterms="DDP",IF((TODAY()+offer_turnaround_time)&gt;=helpsheet!$L$17,rate_vatRU_from_26,rate_vatRu_till_25),0)),2)</f>
        <v/>
      </c>
      <c r="AN510" s="192">
        <f>AL510-AK510</f>
        <v/>
      </c>
      <c r="AO510" s="76">
        <f>SUM(AY510,Y510:Z510,T510)*IF(AND(offer_incoterms="DDP",offer_sale_type&lt;&gt;"экспорт"),IF((TODAY()+offer_turnaround_time)&gt;=helpsheet!$L$17,rate_vatRU_from_26,rate_vatRu_till_25),0)</f>
        <v/>
      </c>
      <c r="AP510" s="193">
        <f>AN510-AO510</f>
        <v/>
      </c>
      <c r="AQ510" s="118">
        <f>IF(offer_sale_type="транзит",SUM(AF510:AI510,BA510,BB510),0)</f>
        <v/>
      </c>
      <c r="AR510" s="82">
        <f>HYPERLINK("https://www.alta.ru/tnved/code/")&amp;W510&amp;"/"</f>
        <v/>
      </c>
      <c r="AS510" s="157" t="n"/>
      <c r="AT510" s="162" t="n"/>
      <c r="AU510" s="76">
        <f>IF(ISBLANK(AT510),0,AJ510-AT510)</f>
        <v/>
      </c>
      <c r="AV510" s="157" t="n"/>
      <c r="AW510" s="75">
        <f>_xlfn.IFNA(VLOOKUP(L510,list_vat[],3,FALSE),0)</f>
        <v/>
      </c>
      <c r="AX510" s="76">
        <f>IFERROR(ROUND(S510*(1+AW510)/E510,2),0)</f>
        <v/>
      </c>
      <c r="AY510" s="76">
        <f>E510*AX510</f>
        <v/>
      </c>
      <c r="AZ510" s="192">
        <f>S510*(1+M510)</f>
        <v/>
      </c>
      <c r="BA510" s="76">
        <f>cost_fin_total*$BD510</f>
        <v/>
      </c>
      <c r="BB510" s="193">
        <f>credit_sales_interest*BD510</f>
        <v/>
      </c>
      <c r="BC510" s="102">
        <f>IFERROR(IF($I$13&gt;0,$I510/$I$13,$S510/$S$13),0)</f>
        <v/>
      </c>
      <c r="BD510" s="102">
        <f>IFERROR($S510/$S$13,0)</f>
        <v/>
      </c>
      <c r="BE510" s="413" t="inlineStr">
        <is>
          <t>$</t>
        </is>
      </c>
    </row>
    <row r="511" ht="12" customFormat="1" customHeight="1" s="65">
      <c r="A511" s="43" t="n">
        <v>496</v>
      </c>
      <c r="B511" s="166" t="n"/>
      <c r="C511" s="166" t="n"/>
      <c r="D511" s="166" t="n"/>
      <c r="E511" s="162" t="n"/>
      <c r="F511" s="166" t="n"/>
      <c r="G511" s="162" t="n"/>
      <c r="H511" s="162" t="n"/>
      <c r="I511" s="189">
        <f>E511*G511</f>
        <v/>
      </c>
      <c r="J511" s="195" t="n"/>
      <c r="K511" s="162" t="n"/>
      <c r="L511" s="168" t="n"/>
      <c r="M511" s="75">
        <f>_xlfn.XLOOKUP(L511,list_vat[Страна],list_vat[Ставка НДС %],0,0)</f>
        <v/>
      </c>
      <c r="N511" s="162">
        <f>IFERROR(IF(L511="Китай",K511,K511/(1+M511)),0)</f>
        <v/>
      </c>
      <c r="O511" s="169" t="n"/>
      <c r="P511" s="76">
        <f>N511*(1-O511)</f>
        <v/>
      </c>
      <c r="Q511" s="162" t="n"/>
      <c r="R511" s="162">
        <f>IF(ISBLANK(Q511),"введи курс",P511/Q511)</f>
        <v/>
      </c>
      <c r="S511" s="196">
        <f>IF(AND(ISNUMBER(E511),ISNUMBER(Q511)),E511*R511,0)</f>
        <v/>
      </c>
      <c r="T511" s="192">
        <f>$BC511*V$11</f>
        <v/>
      </c>
      <c r="U511" s="76">
        <f>$BC511*W$11</f>
        <v/>
      </c>
      <c r="V511" s="193">
        <f>+SUM(T511:U511)</f>
        <v/>
      </c>
      <c r="W511" s="191" t="n"/>
      <c r="X511" s="170" t="n"/>
      <c r="Y511" s="76">
        <f>ROUND(IF(offer_incoterms="DDP",X511*(S511*(1+AW511)+T511),0),2)</f>
        <v/>
      </c>
      <c r="Z511" s="188" t="n"/>
      <c r="AA511" s="192">
        <f>IFERROR(AB511/E511,0)</f>
        <v/>
      </c>
      <c r="AB511" s="76">
        <f>ROUND(SUM(S511,V511,Y511:Z511,BA511:BB511),2)</f>
        <v/>
      </c>
      <c r="AC511" s="797" t="n"/>
      <c r="AD511" s="192">
        <f t="array" ref="AD511">IFERROR(ROUND((_xlfn.IFS(offer_sale_type="поставка",AB511,offer_sale_type="транзит",S511)*(1+AC511))/E511,2),0)</f>
        <v/>
      </c>
      <c r="AE511" s="76">
        <f>AD511*E511</f>
        <v/>
      </c>
      <c r="AF511" s="193">
        <f t="array" ref="AF511">IFERROR(ROUND(_xlfn.IFS(offer_sale_type="поставка",AB511,offer_sale_type="транзит",S511)*AC511,2),0)</f>
        <v/>
      </c>
      <c r="AG511" s="192">
        <f>$BD511*VLOOKUP($AG$3,$AF$4:$AG$7,2,FALSE)</f>
        <v/>
      </c>
      <c r="AH511" s="76">
        <f>SUM(AE511,AG511,AI511)*rate_forex_risk</f>
        <v/>
      </c>
      <c r="AI511" s="193">
        <f>IF(OR(seller_region="TR",offer_sale_type="экспорт"),0,rate_fin_comm)*SUM(AZ511,AZ511*AW511,T511)</f>
        <v/>
      </c>
      <c r="AJ511" s="118">
        <f>IFERROR(ROUND(SUM(AB511,AF511:AI511)/E511,2),0)</f>
        <v/>
      </c>
      <c r="AK511" s="76">
        <f>AJ511*E511</f>
        <v/>
      </c>
      <c r="AL511" s="174">
        <f>ROUND(IFERROR(AM511*E511,0),2)</f>
        <v/>
      </c>
      <c r="AM511" s="175">
        <f>ROUND(AJ511*(1+IF(offer_incoterms="DDP",IF((TODAY()+offer_turnaround_time)&gt;=helpsheet!$L$17,rate_vatRU_from_26,rate_vatRu_till_25),0)),2)</f>
        <v/>
      </c>
      <c r="AN511" s="192">
        <f>AL511-AK511</f>
        <v/>
      </c>
      <c r="AO511" s="76">
        <f>SUM(AY511,Y511:Z511,T511)*IF(AND(offer_incoterms="DDP",offer_sale_type&lt;&gt;"экспорт"),IF((TODAY()+offer_turnaround_time)&gt;=helpsheet!$L$17,rate_vatRU_from_26,rate_vatRu_till_25),0)</f>
        <v/>
      </c>
      <c r="AP511" s="193">
        <f>AN511-AO511</f>
        <v/>
      </c>
      <c r="AQ511" s="118">
        <f>IF(offer_sale_type="транзит",SUM(AF511:AI511,BA511,BB511),0)</f>
        <v/>
      </c>
      <c r="AR511" s="82">
        <f>HYPERLINK("https://www.alta.ru/tnved/code/")&amp;W511&amp;"/"</f>
        <v/>
      </c>
      <c r="AS511" s="157" t="n"/>
      <c r="AT511" s="162" t="n"/>
      <c r="AU511" s="76">
        <f>IF(ISBLANK(AT511),0,AJ511-AT511)</f>
        <v/>
      </c>
      <c r="AV511" s="157" t="n"/>
      <c r="AW511" s="75">
        <f>_xlfn.IFNA(VLOOKUP(L511,list_vat[],3,FALSE),0)</f>
        <v/>
      </c>
      <c r="AX511" s="76">
        <f>IFERROR(ROUND(S511*(1+AW511)/E511,2),0)</f>
        <v/>
      </c>
      <c r="AY511" s="76">
        <f>E511*AX511</f>
        <v/>
      </c>
      <c r="AZ511" s="192">
        <f>S511*(1+M511)</f>
        <v/>
      </c>
      <c r="BA511" s="76">
        <f>cost_fin_total*$BD511</f>
        <v/>
      </c>
      <c r="BB511" s="193">
        <f>credit_sales_interest*BD511</f>
        <v/>
      </c>
      <c r="BC511" s="102">
        <f>IFERROR(IF($I$13&gt;0,$I511/$I$13,$S511/$S$13),0)</f>
        <v/>
      </c>
      <c r="BD511" s="102">
        <f>IFERROR($S511/$S$13,0)</f>
        <v/>
      </c>
      <c r="BE511" s="413" t="inlineStr">
        <is>
          <t>$</t>
        </is>
      </c>
    </row>
    <row r="512" ht="12" customFormat="1" customHeight="1" s="65">
      <c r="A512" s="43" t="n">
        <v>497</v>
      </c>
      <c r="B512" s="166" t="n"/>
      <c r="C512" s="166" t="n"/>
      <c r="D512" s="166" t="n"/>
      <c r="E512" s="162" t="n"/>
      <c r="F512" s="166" t="n"/>
      <c r="G512" s="162" t="n"/>
      <c r="H512" s="162" t="n"/>
      <c r="I512" s="189">
        <f>E512*G512</f>
        <v/>
      </c>
      <c r="J512" s="195" t="n"/>
      <c r="K512" s="162" t="n"/>
      <c r="L512" s="168" t="n"/>
      <c r="M512" s="75">
        <f>_xlfn.XLOOKUP(L512,list_vat[Страна],list_vat[Ставка НДС %],0,0)</f>
        <v/>
      </c>
      <c r="N512" s="162">
        <f>IFERROR(IF(L512="Китай",K512,K512/(1+M512)),0)</f>
        <v/>
      </c>
      <c r="O512" s="169" t="n"/>
      <c r="P512" s="76">
        <f>N512*(1-O512)</f>
        <v/>
      </c>
      <c r="Q512" s="162" t="n"/>
      <c r="R512" s="162">
        <f>IF(ISBLANK(Q512),"введи курс",P512/Q512)</f>
        <v/>
      </c>
      <c r="S512" s="196">
        <f>IF(AND(ISNUMBER(E512),ISNUMBER(Q512)),E512*R512,0)</f>
        <v/>
      </c>
      <c r="T512" s="192">
        <f>$BC512*V$11</f>
        <v/>
      </c>
      <c r="U512" s="76">
        <f>$BC512*W$11</f>
        <v/>
      </c>
      <c r="V512" s="193">
        <f>+SUM(T512:U512)</f>
        <v/>
      </c>
      <c r="W512" s="191" t="n"/>
      <c r="X512" s="170" t="n"/>
      <c r="Y512" s="76">
        <f>ROUND(IF(offer_incoterms="DDP",X512*(S512*(1+AW512)+T512),0),2)</f>
        <v/>
      </c>
      <c r="Z512" s="188" t="n"/>
      <c r="AA512" s="192">
        <f>IFERROR(AB512/E512,0)</f>
        <v/>
      </c>
      <c r="AB512" s="76">
        <f>ROUND(SUM(S512,V512,Y512:Z512,BA512:BB512),2)</f>
        <v/>
      </c>
      <c r="AC512" s="797" t="n"/>
      <c r="AD512" s="192">
        <f t="array" ref="AD512">IFERROR(ROUND((_xlfn.IFS(offer_sale_type="поставка",AB512,offer_sale_type="транзит",S512)*(1+AC512))/E512,2),0)</f>
        <v/>
      </c>
      <c r="AE512" s="76">
        <f>AD512*E512</f>
        <v/>
      </c>
      <c r="AF512" s="193">
        <f t="array" ref="AF512">IFERROR(ROUND(_xlfn.IFS(offer_sale_type="поставка",AB512,offer_sale_type="транзит",S512)*AC512,2),0)</f>
        <v/>
      </c>
      <c r="AG512" s="192">
        <f>$BD512*VLOOKUP($AG$3,$AF$4:$AG$7,2,FALSE)</f>
        <v/>
      </c>
      <c r="AH512" s="76">
        <f>SUM(AE512,AG512,AI512)*rate_forex_risk</f>
        <v/>
      </c>
      <c r="AI512" s="193">
        <f>IF(OR(seller_region="TR",offer_sale_type="экспорт"),0,rate_fin_comm)*SUM(AZ512,AZ512*AW512,T512)</f>
        <v/>
      </c>
      <c r="AJ512" s="118">
        <f>IFERROR(ROUND(SUM(AB512,AF512:AI512)/E512,2),0)</f>
        <v/>
      </c>
      <c r="AK512" s="76">
        <f>AJ512*E512</f>
        <v/>
      </c>
      <c r="AL512" s="174">
        <f>ROUND(IFERROR(AM512*E512,0),2)</f>
        <v/>
      </c>
      <c r="AM512" s="175">
        <f>ROUND(AJ512*(1+IF(offer_incoterms="DDP",IF((TODAY()+offer_turnaround_time)&gt;=helpsheet!$L$17,rate_vatRU_from_26,rate_vatRu_till_25),0)),2)</f>
        <v/>
      </c>
      <c r="AN512" s="192">
        <f>AL512-AK512</f>
        <v/>
      </c>
      <c r="AO512" s="76">
        <f>SUM(AY512,Y512:Z512,T512)*IF(AND(offer_incoterms="DDP",offer_sale_type&lt;&gt;"экспорт"),IF((TODAY()+offer_turnaround_time)&gt;=helpsheet!$L$17,rate_vatRU_from_26,rate_vatRu_till_25),0)</f>
        <v/>
      </c>
      <c r="AP512" s="193">
        <f>AN512-AO512</f>
        <v/>
      </c>
      <c r="AQ512" s="118">
        <f>IF(offer_sale_type="транзит",SUM(AF512:AI512,BA512,BB512),0)</f>
        <v/>
      </c>
      <c r="AR512" s="82">
        <f>HYPERLINK("https://www.alta.ru/tnved/code/")&amp;W512&amp;"/"</f>
        <v/>
      </c>
      <c r="AS512" s="157" t="n"/>
      <c r="AT512" s="162" t="n"/>
      <c r="AU512" s="76">
        <f>IF(ISBLANK(AT512),0,AJ512-AT512)</f>
        <v/>
      </c>
      <c r="AV512" s="157" t="n"/>
      <c r="AW512" s="75">
        <f>_xlfn.IFNA(VLOOKUP(L512,list_vat[],3,FALSE),0)</f>
        <v/>
      </c>
      <c r="AX512" s="76">
        <f>IFERROR(ROUND(S512*(1+AW512)/E512,2),0)</f>
        <v/>
      </c>
      <c r="AY512" s="76">
        <f>E512*AX512</f>
        <v/>
      </c>
      <c r="AZ512" s="192">
        <f>S512*(1+M512)</f>
        <v/>
      </c>
      <c r="BA512" s="76">
        <f>cost_fin_total*$BD512</f>
        <v/>
      </c>
      <c r="BB512" s="193">
        <f>credit_sales_interest*BD512</f>
        <v/>
      </c>
      <c r="BC512" s="102">
        <f>IFERROR(IF($I$13&gt;0,$I512/$I$13,$S512/$S$13),0)</f>
        <v/>
      </c>
      <c r="BD512" s="102">
        <f>IFERROR($S512/$S$13,0)</f>
        <v/>
      </c>
      <c r="BE512" s="413" t="inlineStr">
        <is>
          <t>$</t>
        </is>
      </c>
    </row>
    <row r="513" ht="12" customFormat="1" customHeight="1" s="65">
      <c r="A513" s="43" t="n">
        <v>498</v>
      </c>
      <c r="B513" s="166" t="n"/>
      <c r="C513" s="166" t="n"/>
      <c r="D513" s="166" t="n"/>
      <c r="E513" s="162" t="n"/>
      <c r="F513" s="166" t="n"/>
      <c r="G513" s="162" t="n"/>
      <c r="H513" s="162" t="n"/>
      <c r="I513" s="189">
        <f>E513*G513</f>
        <v/>
      </c>
      <c r="J513" s="195" t="n"/>
      <c r="K513" s="162" t="n"/>
      <c r="L513" s="168" t="n"/>
      <c r="M513" s="75">
        <f>_xlfn.XLOOKUP(L513,list_vat[Страна],list_vat[Ставка НДС %],0,0)</f>
        <v/>
      </c>
      <c r="N513" s="162">
        <f>IFERROR(IF(L513="Китай",K513,K513/(1+M513)),0)</f>
        <v/>
      </c>
      <c r="O513" s="169" t="n"/>
      <c r="P513" s="76">
        <f>N513*(1-O513)</f>
        <v/>
      </c>
      <c r="Q513" s="162" t="n"/>
      <c r="R513" s="162">
        <f>IF(ISBLANK(Q513),"введи курс",P513/Q513)</f>
        <v/>
      </c>
      <c r="S513" s="196">
        <f>IF(AND(ISNUMBER(E513),ISNUMBER(Q513)),E513*R513,0)</f>
        <v/>
      </c>
      <c r="T513" s="192">
        <f>$BC513*V$11</f>
        <v/>
      </c>
      <c r="U513" s="76">
        <f>$BC513*W$11</f>
        <v/>
      </c>
      <c r="V513" s="193">
        <f>+SUM(T513:U513)</f>
        <v/>
      </c>
      <c r="W513" s="191" t="n"/>
      <c r="X513" s="170" t="n"/>
      <c r="Y513" s="76">
        <f>ROUND(IF(offer_incoterms="DDP",X513*(S513*(1+AW513)+T513),0),2)</f>
        <v/>
      </c>
      <c r="Z513" s="188" t="n"/>
      <c r="AA513" s="192">
        <f>IFERROR(AB513/E513,0)</f>
        <v/>
      </c>
      <c r="AB513" s="76">
        <f>ROUND(SUM(S513,V513,Y513:Z513,BA513:BB513),2)</f>
        <v/>
      </c>
      <c r="AC513" s="797" t="n"/>
      <c r="AD513" s="192">
        <f t="array" ref="AD513">IFERROR(ROUND((_xlfn.IFS(offer_sale_type="поставка",AB513,offer_sale_type="транзит",S513)*(1+AC513))/E513,2),0)</f>
        <v/>
      </c>
      <c r="AE513" s="76">
        <f>AD513*E513</f>
        <v/>
      </c>
      <c r="AF513" s="193">
        <f t="array" ref="AF513">IFERROR(ROUND(_xlfn.IFS(offer_sale_type="поставка",AB513,offer_sale_type="транзит",S513)*AC513,2),0)</f>
        <v/>
      </c>
      <c r="AG513" s="192">
        <f>$BD513*VLOOKUP($AG$3,$AF$4:$AG$7,2,FALSE)</f>
        <v/>
      </c>
      <c r="AH513" s="76">
        <f>SUM(AE513,AG513,AI513)*rate_forex_risk</f>
        <v/>
      </c>
      <c r="AI513" s="193">
        <f>IF(OR(seller_region="TR",offer_sale_type="экспорт"),0,rate_fin_comm)*SUM(AZ513,AZ513*AW513,T513)</f>
        <v/>
      </c>
      <c r="AJ513" s="118">
        <f>IFERROR(ROUND(SUM(AB513,AF513:AI513)/E513,2),0)</f>
        <v/>
      </c>
      <c r="AK513" s="76">
        <f>AJ513*E513</f>
        <v/>
      </c>
      <c r="AL513" s="174">
        <f>ROUND(IFERROR(AM513*E513,0),2)</f>
        <v/>
      </c>
      <c r="AM513" s="175">
        <f>ROUND(AJ513*(1+IF(offer_incoterms="DDP",IF((TODAY()+offer_turnaround_time)&gt;=helpsheet!$L$17,rate_vatRU_from_26,rate_vatRu_till_25),0)),2)</f>
        <v/>
      </c>
      <c r="AN513" s="192">
        <f>AL513-AK513</f>
        <v/>
      </c>
      <c r="AO513" s="76">
        <f>SUM(AY513,Y513:Z513,T513)*IF(AND(offer_incoterms="DDP",offer_sale_type&lt;&gt;"экспорт"),IF((TODAY()+offer_turnaround_time)&gt;=helpsheet!$L$17,rate_vatRU_from_26,rate_vatRu_till_25),0)</f>
        <v/>
      </c>
      <c r="AP513" s="193">
        <f>AN513-AO513</f>
        <v/>
      </c>
      <c r="AQ513" s="118">
        <f>IF(offer_sale_type="транзит",SUM(AF513:AI513,BA513,BB513),0)</f>
        <v/>
      </c>
      <c r="AR513" s="82">
        <f>HYPERLINK("https://www.alta.ru/tnved/code/")&amp;W513&amp;"/"</f>
        <v/>
      </c>
      <c r="AS513" s="157" t="n"/>
      <c r="AT513" s="162" t="n"/>
      <c r="AU513" s="76">
        <f>IF(ISBLANK(AT513),0,AJ513-AT513)</f>
        <v/>
      </c>
      <c r="AV513" s="157" t="n"/>
      <c r="AW513" s="75">
        <f>_xlfn.IFNA(VLOOKUP(L513,list_vat[],3,FALSE),0)</f>
        <v/>
      </c>
      <c r="AX513" s="76">
        <f>IFERROR(ROUND(S513*(1+AW513)/E513,2),0)</f>
        <v/>
      </c>
      <c r="AY513" s="76">
        <f>E513*AX513</f>
        <v/>
      </c>
      <c r="AZ513" s="192">
        <f>S513*(1+M513)</f>
        <v/>
      </c>
      <c r="BA513" s="76">
        <f>cost_fin_total*$BD513</f>
        <v/>
      </c>
      <c r="BB513" s="193">
        <f>credit_sales_interest*BD513</f>
        <v/>
      </c>
      <c r="BC513" s="102">
        <f>IFERROR(IF($I$13&gt;0,$I513/$I$13,$S513/$S$13),0)</f>
        <v/>
      </c>
      <c r="BD513" s="102">
        <f>IFERROR($S513/$S$13,0)</f>
        <v/>
      </c>
      <c r="BE513" s="413" t="inlineStr">
        <is>
          <t>$</t>
        </is>
      </c>
    </row>
    <row r="514" ht="12" customFormat="1" customHeight="1" s="65">
      <c r="A514" s="43" t="n">
        <v>499</v>
      </c>
      <c r="B514" s="166" t="n"/>
      <c r="C514" s="166" t="n"/>
      <c r="D514" s="166" t="n"/>
      <c r="E514" s="162" t="n"/>
      <c r="F514" s="166" t="n"/>
      <c r="G514" s="162" t="n"/>
      <c r="H514" s="162" t="n"/>
      <c r="I514" s="189">
        <f>E514*G514</f>
        <v/>
      </c>
      <c r="J514" s="195" t="n"/>
      <c r="K514" s="162" t="n"/>
      <c r="L514" s="168" t="n"/>
      <c r="M514" s="75">
        <f>_xlfn.XLOOKUP(L514,list_vat[Страна],list_vat[Ставка НДС %],0,0)</f>
        <v/>
      </c>
      <c r="N514" s="162">
        <f>IFERROR(IF(L514="Китай",K514,K514/(1+M514)),0)</f>
        <v/>
      </c>
      <c r="O514" s="169" t="n"/>
      <c r="P514" s="76">
        <f>N514*(1-O514)</f>
        <v/>
      </c>
      <c r="Q514" s="162" t="n"/>
      <c r="R514" s="162">
        <f>IF(ISBLANK(Q514),"введи курс",P514/Q514)</f>
        <v/>
      </c>
      <c r="S514" s="196">
        <f>IF(AND(ISNUMBER(E514),ISNUMBER(Q514)),E514*R514,0)</f>
        <v/>
      </c>
      <c r="T514" s="192">
        <f>$BC514*V$11</f>
        <v/>
      </c>
      <c r="U514" s="76">
        <f>$BC514*W$11</f>
        <v/>
      </c>
      <c r="V514" s="193">
        <f>+SUM(T514:U514)</f>
        <v/>
      </c>
      <c r="W514" s="191" t="n"/>
      <c r="X514" s="170" t="n"/>
      <c r="Y514" s="76">
        <f>ROUND(IF(offer_incoterms="DDP",X514*(S514*(1+AW514)+T514),0),2)</f>
        <v/>
      </c>
      <c r="Z514" s="188" t="n"/>
      <c r="AA514" s="192">
        <f>IFERROR(AB514/E514,0)</f>
        <v/>
      </c>
      <c r="AB514" s="76">
        <f>ROUND(SUM(S514,V514,Y514:Z514,BA514:BB514),2)</f>
        <v/>
      </c>
      <c r="AC514" s="797" t="n"/>
      <c r="AD514" s="192">
        <f t="array" ref="AD514">IFERROR(ROUND((_xlfn.IFS(offer_sale_type="поставка",AB514,offer_sale_type="транзит",S514)*(1+AC514))/E514,2),0)</f>
        <v/>
      </c>
      <c r="AE514" s="76">
        <f>AD514*E514</f>
        <v/>
      </c>
      <c r="AF514" s="193">
        <f t="array" ref="AF514">IFERROR(ROUND(_xlfn.IFS(offer_sale_type="поставка",AB514,offer_sale_type="транзит",S514)*AC514,2),0)</f>
        <v/>
      </c>
      <c r="AG514" s="192">
        <f>$BD514*VLOOKUP($AG$3,$AF$4:$AG$7,2,FALSE)</f>
        <v/>
      </c>
      <c r="AH514" s="76">
        <f>SUM(AE514,AG514,AI514)*rate_forex_risk</f>
        <v/>
      </c>
      <c r="AI514" s="193">
        <f>IF(OR(seller_region="TR",offer_sale_type="экспорт"),0,rate_fin_comm)*SUM(AZ514,AZ514*AW514,T514)</f>
        <v/>
      </c>
      <c r="AJ514" s="118">
        <f>IFERROR(ROUND(SUM(AB514,AF514:AI514)/E514,2),0)</f>
        <v/>
      </c>
      <c r="AK514" s="76">
        <f>AJ514*E514</f>
        <v/>
      </c>
      <c r="AL514" s="174">
        <f>ROUND(IFERROR(AM514*E514,0),2)</f>
        <v/>
      </c>
      <c r="AM514" s="175">
        <f>ROUND(AJ514*(1+IF(offer_incoterms="DDP",IF((TODAY()+offer_turnaround_time)&gt;=helpsheet!$L$17,rate_vatRU_from_26,rate_vatRu_till_25),0)),2)</f>
        <v/>
      </c>
      <c r="AN514" s="192">
        <f>AL514-AK514</f>
        <v/>
      </c>
      <c r="AO514" s="76">
        <f>SUM(AY514,Y514:Z514,T514)*IF(AND(offer_incoterms="DDP",offer_sale_type&lt;&gt;"экспорт"),IF((TODAY()+offer_turnaround_time)&gt;=helpsheet!$L$17,rate_vatRU_from_26,rate_vatRu_till_25),0)</f>
        <v/>
      </c>
      <c r="AP514" s="193">
        <f>AN514-AO514</f>
        <v/>
      </c>
      <c r="AQ514" s="118">
        <f>IF(offer_sale_type="транзит",SUM(AF514:AI514,BA514,BB514),0)</f>
        <v/>
      </c>
      <c r="AR514" s="82">
        <f>HYPERLINK("https://www.alta.ru/tnved/code/")&amp;W514&amp;"/"</f>
        <v/>
      </c>
      <c r="AS514" s="157" t="n"/>
      <c r="AT514" s="162" t="n"/>
      <c r="AU514" s="76">
        <f>IF(ISBLANK(AT514),0,AJ514-AT514)</f>
        <v/>
      </c>
      <c r="AV514" s="157" t="n"/>
      <c r="AW514" s="75">
        <f>_xlfn.IFNA(VLOOKUP(L514,list_vat[],3,FALSE),0)</f>
        <v/>
      </c>
      <c r="AX514" s="76">
        <f>IFERROR(ROUND(S514*(1+AW514)/E514,2),0)</f>
        <v/>
      </c>
      <c r="AY514" s="76">
        <f>E514*AX514</f>
        <v/>
      </c>
      <c r="AZ514" s="192">
        <f>S514*(1+M514)</f>
        <v/>
      </c>
      <c r="BA514" s="76">
        <f>cost_fin_total*$BD514</f>
        <v/>
      </c>
      <c r="BB514" s="193">
        <f>credit_sales_interest*BD514</f>
        <v/>
      </c>
      <c r="BC514" s="102">
        <f>IFERROR(IF($I$13&gt;0,$I514/$I$13,$S514/$S$13),0)</f>
        <v/>
      </c>
      <c r="BD514" s="102">
        <f>IFERROR($S514/$S$13,0)</f>
        <v/>
      </c>
      <c r="BE514" s="413" t="inlineStr">
        <is>
          <t>$</t>
        </is>
      </c>
    </row>
    <row r="515" ht="12" customFormat="1" customHeight="1" s="65">
      <c r="A515" s="43" t="n">
        <v>500</v>
      </c>
      <c r="B515" s="166" t="n"/>
      <c r="C515" s="166" t="n"/>
      <c r="D515" s="166" t="n"/>
      <c r="E515" s="162" t="n"/>
      <c r="F515" s="166" t="n"/>
      <c r="G515" s="162" t="n"/>
      <c r="H515" s="162" t="n"/>
      <c r="I515" s="189">
        <f>E515*G515</f>
        <v/>
      </c>
      <c r="J515" s="195" t="n"/>
      <c r="K515" s="162" t="n"/>
      <c r="L515" s="168" t="n"/>
      <c r="M515" s="75">
        <f>_xlfn.XLOOKUP(L515,list_vat[Страна],list_vat[Ставка НДС %],0,0)</f>
        <v/>
      </c>
      <c r="N515" s="162">
        <f>IFERROR(IF(L515="Китай",K515,K515/(1+M515)),0)</f>
        <v/>
      </c>
      <c r="O515" s="169" t="n"/>
      <c r="P515" s="76">
        <f>N515*(1-O515)</f>
        <v/>
      </c>
      <c r="Q515" s="162" t="n"/>
      <c r="R515" s="162">
        <f>IF(ISBLANK(Q515),"введи курс",P515/Q515)</f>
        <v/>
      </c>
      <c r="S515" s="196">
        <f>IF(AND(ISNUMBER(E515),ISNUMBER(Q515)),E515*R515,0)</f>
        <v/>
      </c>
      <c r="T515" s="192">
        <f>$BC515*V$11</f>
        <v/>
      </c>
      <c r="U515" s="76">
        <f>$BC515*W$11</f>
        <v/>
      </c>
      <c r="V515" s="193">
        <f>+SUM(T515:U515)</f>
        <v/>
      </c>
      <c r="W515" s="191" t="n"/>
      <c r="X515" s="170" t="n"/>
      <c r="Y515" s="76">
        <f>ROUND(IF(offer_incoterms="DDP",X515*(S515*(1+AW515)+T515),0),2)</f>
        <v/>
      </c>
      <c r="Z515" s="188" t="n"/>
      <c r="AA515" s="192">
        <f>IFERROR(AB515/E515,0)</f>
        <v/>
      </c>
      <c r="AB515" s="76">
        <f>ROUND(SUM(S515,V515,Y515:Z515,BA515:BB515),2)</f>
        <v/>
      </c>
      <c r="AC515" s="797" t="n"/>
      <c r="AD515" s="192">
        <f t="array" ref="AD515">IFERROR(ROUND((_xlfn.IFS(offer_sale_type="поставка",AB515,offer_sale_type="транзит",S515)*(1+AC515))/E515,2),0)</f>
        <v/>
      </c>
      <c r="AE515" s="76">
        <f>AD515*E515</f>
        <v/>
      </c>
      <c r="AF515" s="193">
        <f t="array" ref="AF515">IFERROR(ROUND(_xlfn.IFS(offer_sale_type="поставка",AB515,offer_sale_type="транзит",S515)*AC515,2),0)</f>
        <v/>
      </c>
      <c r="AG515" s="192">
        <f>$BD515*VLOOKUP($AG$3,$AF$4:$AG$7,2,FALSE)</f>
        <v/>
      </c>
      <c r="AH515" s="76">
        <f>SUM(AE515,AG515,AI515)*rate_forex_risk</f>
        <v/>
      </c>
      <c r="AI515" s="193">
        <f>IF(OR(seller_region="TR",offer_sale_type="экспорт"),0,rate_fin_comm)*SUM(AZ515,AZ515*AW515,T515)</f>
        <v/>
      </c>
      <c r="AJ515" s="118">
        <f>IFERROR(ROUND(SUM(AB515,AF515:AI515)/E515,2),0)</f>
        <v/>
      </c>
      <c r="AK515" s="76">
        <f>AJ515*E515</f>
        <v/>
      </c>
      <c r="AL515" s="174">
        <f>ROUND(IFERROR(AM515*E515,0),2)</f>
        <v/>
      </c>
      <c r="AM515" s="175">
        <f>ROUND(AJ515*(1+IF(offer_incoterms="DDP",IF((TODAY()+offer_turnaround_time)&gt;=helpsheet!$L$17,rate_vatRU_from_26,rate_vatRu_till_25),0)),2)</f>
        <v/>
      </c>
      <c r="AN515" s="192">
        <f>AL515-AK515</f>
        <v/>
      </c>
      <c r="AO515" s="76">
        <f>SUM(AY515,Y515:Z515,T515)*IF(AND(offer_incoterms="DDP",offer_sale_type&lt;&gt;"экспорт"),IF((TODAY()+offer_turnaround_time)&gt;=helpsheet!$L$17,rate_vatRU_from_26,rate_vatRu_till_25),0)</f>
        <v/>
      </c>
      <c r="AP515" s="193">
        <f>AN515-AO515</f>
        <v/>
      </c>
      <c r="AQ515" s="118">
        <f>IF(offer_sale_type="транзит",SUM(AF515:AI515,BA515,BB515),0)</f>
        <v/>
      </c>
      <c r="AR515" s="82">
        <f>HYPERLINK("https://www.alta.ru/tnved/code/")&amp;W515&amp;"/"</f>
        <v/>
      </c>
      <c r="AS515" s="157" t="n"/>
      <c r="AT515" s="162" t="n"/>
      <c r="AU515" s="76">
        <f>IF(ISBLANK(AT515),0,AJ515-AT515)</f>
        <v/>
      </c>
      <c r="AV515" s="157" t="n"/>
      <c r="AW515" s="75">
        <f>_xlfn.IFNA(VLOOKUP(L515,list_vat[],3,FALSE),0)</f>
        <v/>
      </c>
      <c r="AX515" s="76">
        <f>IFERROR(ROUND(S515*(1+AW515)/E515,2),0)</f>
        <v/>
      </c>
      <c r="AY515" s="76">
        <f>E515*AX515</f>
        <v/>
      </c>
      <c r="AZ515" s="192">
        <f>S515*(1+M515)</f>
        <v/>
      </c>
      <c r="BA515" s="76">
        <f>cost_fin_total*$BD515</f>
        <v/>
      </c>
      <c r="BB515" s="193">
        <f>credit_sales_interest*BD515</f>
        <v/>
      </c>
      <c r="BC515" s="102">
        <f>IFERROR(IF($I$13&gt;0,$I515/$I$13,$S515/$S$13),0)</f>
        <v/>
      </c>
      <c r="BD515" s="102">
        <f>IFERROR($S515/$S$13,0)</f>
        <v/>
      </c>
      <c r="BE515" s="413" t="inlineStr">
        <is>
          <t>$</t>
        </is>
      </c>
    </row>
    <row r="516" ht="12" customFormat="1" customHeight="1" s="65">
      <c r="A516" s="43" t="n">
        <v>501</v>
      </c>
      <c r="B516" s="166" t="n"/>
      <c r="C516" s="166" t="n"/>
      <c r="D516" s="166" t="n"/>
      <c r="E516" s="162" t="n"/>
      <c r="F516" s="166" t="n"/>
      <c r="G516" s="162" t="n"/>
      <c r="H516" s="162" t="n"/>
      <c r="I516" s="189">
        <f>E516*G516</f>
        <v/>
      </c>
      <c r="J516" s="195" t="n"/>
      <c r="K516" s="162" t="n"/>
      <c r="L516" s="168" t="n"/>
      <c r="M516" s="75">
        <f>_xlfn.XLOOKUP(L516,list_vat[Страна],list_vat[Ставка НДС %],0,0)</f>
        <v/>
      </c>
      <c r="N516" s="162">
        <f>IFERROR(IF(L516="Китай",K516,K516/(1+M516)),0)</f>
        <v/>
      </c>
      <c r="O516" s="169" t="n"/>
      <c r="P516" s="76">
        <f>N516*(1-O516)</f>
        <v/>
      </c>
      <c r="Q516" s="162" t="n"/>
      <c r="R516" s="162">
        <f>IF(ISBLANK(Q516),"введи курс",P516/Q516)</f>
        <v/>
      </c>
      <c r="S516" s="196">
        <f>IF(AND(ISNUMBER(E516),ISNUMBER(Q516)),E516*R516,0)</f>
        <v/>
      </c>
      <c r="T516" s="192">
        <f>$BC516*V$11</f>
        <v/>
      </c>
      <c r="U516" s="76">
        <f>$BC516*W$11</f>
        <v/>
      </c>
      <c r="V516" s="193">
        <f>+SUM(T516:U516)</f>
        <v/>
      </c>
      <c r="W516" s="191" t="n"/>
      <c r="X516" s="170" t="n"/>
      <c r="Y516" s="76">
        <f>ROUND(IF(offer_incoterms="DDP",X516*(S516*(1+AW516)+T516),0),2)</f>
        <v/>
      </c>
      <c r="Z516" s="188" t="n"/>
      <c r="AA516" s="192">
        <f>IFERROR(AB516/E516,0)</f>
        <v/>
      </c>
      <c r="AB516" s="76">
        <f>ROUND(SUM(S516,V516,Y516:Z516,BA516:BB516),2)</f>
        <v/>
      </c>
      <c r="AC516" s="797" t="n"/>
      <c r="AD516" s="192">
        <f t="array" ref="AD516">IFERROR(ROUND((_xlfn.IFS(offer_sale_type="поставка",AB516,offer_sale_type="транзит",S516)*(1+AC516))/E516,2),0)</f>
        <v/>
      </c>
      <c r="AE516" s="76">
        <f>AD516*E516</f>
        <v/>
      </c>
      <c r="AF516" s="193">
        <f t="array" ref="AF516">IFERROR(ROUND(_xlfn.IFS(offer_sale_type="поставка",AB516,offer_sale_type="транзит",S516)*AC516,2),0)</f>
        <v/>
      </c>
      <c r="AG516" s="192">
        <f>$BD516*VLOOKUP($AG$3,$AF$4:$AG$7,2,FALSE)</f>
        <v/>
      </c>
      <c r="AH516" s="76">
        <f>SUM(AE516,AG516,AI516)*rate_forex_risk</f>
        <v/>
      </c>
      <c r="AI516" s="193">
        <f>IF(OR(seller_region="TR",offer_sale_type="экспорт"),0,rate_fin_comm)*SUM(AZ516,AZ516*AW516,T516)</f>
        <v/>
      </c>
      <c r="AJ516" s="118">
        <f>IFERROR(ROUND(SUM(AB516,AF516:AI516)/E516,2),0)</f>
        <v/>
      </c>
      <c r="AK516" s="76">
        <f>AJ516*E516</f>
        <v/>
      </c>
      <c r="AL516" s="174">
        <f>ROUND(IFERROR(AM516*E516,0),2)</f>
        <v/>
      </c>
      <c r="AM516" s="175">
        <f>ROUND(AJ516*(1+IF(offer_incoterms="DDP",IF((TODAY()+offer_turnaround_time)&gt;=helpsheet!$L$17,rate_vatRU_from_26,rate_vatRu_till_25),0)),2)</f>
        <v/>
      </c>
      <c r="AN516" s="192">
        <f>AL516-AK516</f>
        <v/>
      </c>
      <c r="AO516" s="76">
        <f>SUM(AY516,Y516:Z516,T516)*IF(AND(offer_incoterms="DDP",offer_sale_type&lt;&gt;"экспорт"),IF((TODAY()+offer_turnaround_time)&gt;=helpsheet!$L$17,rate_vatRU_from_26,rate_vatRu_till_25),0)</f>
        <v/>
      </c>
      <c r="AP516" s="193">
        <f>AN516-AO516</f>
        <v/>
      </c>
      <c r="AQ516" s="118">
        <f>IF(offer_sale_type="транзит",SUM(AF516:AI516,BA516,BB516),0)</f>
        <v/>
      </c>
      <c r="AR516" s="82">
        <f>HYPERLINK("https://www.alta.ru/tnved/code/")&amp;W516&amp;"/"</f>
        <v/>
      </c>
      <c r="AS516" s="157" t="n"/>
      <c r="AT516" s="162" t="n"/>
      <c r="AU516" s="76">
        <f>IF(ISBLANK(AT516),0,AJ516-AT516)</f>
        <v/>
      </c>
      <c r="AV516" s="157" t="n"/>
      <c r="AW516" s="75">
        <f>_xlfn.IFNA(VLOOKUP(L516,list_vat[],3,FALSE),0)</f>
        <v/>
      </c>
      <c r="AX516" s="76">
        <f>IFERROR(ROUND(S516*(1+AW516)/E516,2),0)</f>
        <v/>
      </c>
      <c r="AY516" s="76">
        <f>E516*AX516</f>
        <v/>
      </c>
      <c r="AZ516" s="192">
        <f>S516*(1+M516)</f>
        <v/>
      </c>
      <c r="BA516" s="76">
        <f>cost_fin_total*$BD516</f>
        <v/>
      </c>
      <c r="BB516" s="193">
        <f>credit_sales_interest*BD516</f>
        <v/>
      </c>
      <c r="BC516" s="102">
        <f>IFERROR(IF($I$13&gt;0,$I516/$I$13,$S516/$S$13),0)</f>
        <v/>
      </c>
      <c r="BD516" s="102">
        <f>IFERROR($S516/$S$13,0)</f>
        <v/>
      </c>
      <c r="BE516" s="413" t="inlineStr">
        <is>
          <t>$</t>
        </is>
      </c>
    </row>
    <row r="517" ht="12" customFormat="1" customHeight="1" s="65">
      <c r="A517" s="43" t="n">
        <v>502</v>
      </c>
      <c r="B517" s="166" t="n"/>
      <c r="C517" s="166" t="n"/>
      <c r="D517" s="166" t="n"/>
      <c r="E517" s="162" t="n"/>
      <c r="F517" s="166" t="n"/>
      <c r="G517" s="162" t="n"/>
      <c r="H517" s="162" t="n"/>
      <c r="I517" s="189">
        <f>E517*G517</f>
        <v/>
      </c>
      <c r="J517" s="195" t="n"/>
      <c r="K517" s="162" t="n"/>
      <c r="L517" s="168" t="n"/>
      <c r="M517" s="75">
        <f>_xlfn.XLOOKUP(L517,list_vat[Страна],list_vat[Ставка НДС %],0,0)</f>
        <v/>
      </c>
      <c r="N517" s="162">
        <f>IFERROR(IF(L517="Китай",K517,K517/(1+M517)),0)</f>
        <v/>
      </c>
      <c r="O517" s="169" t="n"/>
      <c r="P517" s="76">
        <f>N517*(1-O517)</f>
        <v/>
      </c>
      <c r="Q517" s="162" t="n"/>
      <c r="R517" s="162">
        <f>IF(ISBLANK(Q517),"введи курс",P517/Q517)</f>
        <v/>
      </c>
      <c r="S517" s="196">
        <f>IF(AND(ISNUMBER(E517),ISNUMBER(Q517)),E517*R517,0)</f>
        <v/>
      </c>
      <c r="T517" s="192">
        <f>$BC517*V$11</f>
        <v/>
      </c>
      <c r="U517" s="76">
        <f>$BC517*W$11</f>
        <v/>
      </c>
      <c r="V517" s="193">
        <f>+SUM(T517:U517)</f>
        <v/>
      </c>
      <c r="W517" s="191" t="n"/>
      <c r="X517" s="170" t="n"/>
      <c r="Y517" s="76">
        <f>ROUND(IF(offer_incoterms="DDP",X517*(S517*(1+AW517)+T517),0),2)</f>
        <v/>
      </c>
      <c r="Z517" s="188" t="n"/>
      <c r="AA517" s="192">
        <f>IFERROR(AB517/E517,0)</f>
        <v/>
      </c>
      <c r="AB517" s="76">
        <f>ROUND(SUM(S517,V517,Y517:Z517,BA517:BB517),2)</f>
        <v/>
      </c>
      <c r="AC517" s="797" t="n"/>
      <c r="AD517" s="192">
        <f t="array" ref="AD517">IFERROR(ROUND((_xlfn.IFS(offer_sale_type="поставка",AB517,offer_sale_type="транзит",S517)*(1+AC517))/E517,2),0)</f>
        <v/>
      </c>
      <c r="AE517" s="76">
        <f>AD517*E517</f>
        <v/>
      </c>
      <c r="AF517" s="193">
        <f t="array" ref="AF517">IFERROR(ROUND(_xlfn.IFS(offer_sale_type="поставка",AB517,offer_sale_type="транзит",S517)*AC517,2),0)</f>
        <v/>
      </c>
      <c r="AG517" s="192">
        <f>$BD517*VLOOKUP($AG$3,$AF$4:$AG$7,2,FALSE)</f>
        <v/>
      </c>
      <c r="AH517" s="76">
        <f>SUM(AE517,AG517,AI517)*rate_forex_risk</f>
        <v/>
      </c>
      <c r="AI517" s="193">
        <f>IF(OR(seller_region="TR",offer_sale_type="экспорт"),0,rate_fin_comm)*SUM(AZ517,AZ517*AW517,T517)</f>
        <v/>
      </c>
      <c r="AJ517" s="118">
        <f>IFERROR(ROUND(SUM(AB517,AF517:AI517)/E517,2),0)</f>
        <v/>
      </c>
      <c r="AK517" s="76">
        <f>AJ517*E517</f>
        <v/>
      </c>
      <c r="AL517" s="174">
        <f>ROUND(IFERROR(AM517*E517,0),2)</f>
        <v/>
      </c>
      <c r="AM517" s="175">
        <f>ROUND(AJ517*(1+IF(offer_incoterms="DDP",IF((TODAY()+offer_turnaround_time)&gt;=helpsheet!$L$17,rate_vatRU_from_26,rate_vatRu_till_25),0)),2)</f>
        <v/>
      </c>
      <c r="AN517" s="192">
        <f>AL517-AK517</f>
        <v/>
      </c>
      <c r="AO517" s="76">
        <f>SUM(AY517,Y517:Z517,T517)*IF(AND(offer_incoterms="DDP",offer_sale_type&lt;&gt;"экспорт"),IF((TODAY()+offer_turnaround_time)&gt;=helpsheet!$L$17,rate_vatRU_from_26,rate_vatRu_till_25),0)</f>
        <v/>
      </c>
      <c r="AP517" s="193">
        <f>AN517-AO517</f>
        <v/>
      </c>
      <c r="AQ517" s="118">
        <f>IF(offer_sale_type="транзит",SUM(AF517:AI517,BA517,BB517),0)</f>
        <v/>
      </c>
      <c r="AR517" s="82">
        <f>HYPERLINK("https://www.alta.ru/tnved/code/")&amp;W517&amp;"/"</f>
        <v/>
      </c>
      <c r="AS517" s="157" t="n"/>
      <c r="AT517" s="162" t="n"/>
      <c r="AU517" s="76">
        <f>IF(ISBLANK(AT517),0,AJ517-AT517)</f>
        <v/>
      </c>
      <c r="AV517" s="157" t="n"/>
      <c r="AW517" s="75">
        <f>_xlfn.IFNA(VLOOKUP(L517,list_vat[],3,FALSE),0)</f>
        <v/>
      </c>
      <c r="AX517" s="76">
        <f>IFERROR(ROUND(S517*(1+AW517)/E517,2),0)</f>
        <v/>
      </c>
      <c r="AY517" s="76">
        <f>E517*AX517</f>
        <v/>
      </c>
      <c r="AZ517" s="192">
        <f>S517*(1+M517)</f>
        <v/>
      </c>
      <c r="BA517" s="76">
        <f>cost_fin_total*$BD517</f>
        <v/>
      </c>
      <c r="BB517" s="193">
        <f>credit_sales_interest*BD517</f>
        <v/>
      </c>
      <c r="BC517" s="102">
        <f>IFERROR(IF($I$13&gt;0,$I517/$I$13,$S517/$S$13),0)</f>
        <v/>
      </c>
      <c r="BD517" s="102">
        <f>IFERROR($S517/$S$13,0)</f>
        <v/>
      </c>
      <c r="BE517" s="413" t="inlineStr">
        <is>
          <t>$</t>
        </is>
      </c>
    </row>
    <row r="518" ht="12" customFormat="1" customHeight="1" s="65">
      <c r="A518" s="43" t="n">
        <v>503</v>
      </c>
      <c r="B518" s="166" t="n"/>
      <c r="C518" s="166" t="n"/>
      <c r="D518" s="166" t="n"/>
      <c r="E518" s="162" t="n"/>
      <c r="F518" s="166" t="n"/>
      <c r="G518" s="162" t="n"/>
      <c r="H518" s="162" t="n"/>
      <c r="I518" s="189">
        <f>E518*G518</f>
        <v/>
      </c>
      <c r="J518" s="195" t="n"/>
      <c r="K518" s="162" t="n"/>
      <c r="L518" s="168" t="n"/>
      <c r="M518" s="75">
        <f>_xlfn.XLOOKUP(L518,list_vat[Страна],list_vat[Ставка НДС %],0,0)</f>
        <v/>
      </c>
      <c r="N518" s="162">
        <f>IFERROR(IF(L518="Китай",K518,K518/(1+M518)),0)</f>
        <v/>
      </c>
      <c r="O518" s="169" t="n"/>
      <c r="P518" s="76">
        <f>N518*(1-O518)</f>
        <v/>
      </c>
      <c r="Q518" s="162" t="n"/>
      <c r="R518" s="162">
        <f>IF(ISBLANK(Q518),"введи курс",P518/Q518)</f>
        <v/>
      </c>
      <c r="S518" s="196">
        <f>IF(AND(ISNUMBER(E518),ISNUMBER(Q518)),E518*R518,0)</f>
        <v/>
      </c>
      <c r="T518" s="192">
        <f>$BC518*V$11</f>
        <v/>
      </c>
      <c r="U518" s="76">
        <f>$BC518*W$11</f>
        <v/>
      </c>
      <c r="V518" s="193">
        <f>+SUM(T518:U518)</f>
        <v/>
      </c>
      <c r="W518" s="191" t="n"/>
      <c r="X518" s="170" t="n"/>
      <c r="Y518" s="76">
        <f>ROUND(IF(offer_incoterms="DDP",X518*(S518*(1+AW518)+T518),0),2)</f>
        <v/>
      </c>
      <c r="Z518" s="188" t="n"/>
      <c r="AA518" s="192">
        <f>IFERROR(AB518/E518,0)</f>
        <v/>
      </c>
      <c r="AB518" s="76">
        <f>ROUND(SUM(S518,V518,Y518:Z518,BA518:BB518),2)</f>
        <v/>
      </c>
      <c r="AC518" s="797" t="n"/>
      <c r="AD518" s="192">
        <f t="array" ref="AD518">IFERROR(ROUND((_xlfn.IFS(offer_sale_type="поставка",AB518,offer_sale_type="транзит",S518)*(1+AC518))/E518,2),0)</f>
        <v/>
      </c>
      <c r="AE518" s="76">
        <f>AD518*E518</f>
        <v/>
      </c>
      <c r="AF518" s="193">
        <f t="array" ref="AF518">IFERROR(ROUND(_xlfn.IFS(offer_sale_type="поставка",AB518,offer_sale_type="транзит",S518)*AC518,2),0)</f>
        <v/>
      </c>
      <c r="AG518" s="192">
        <f>$BD518*VLOOKUP($AG$3,$AF$4:$AG$7,2,FALSE)</f>
        <v/>
      </c>
      <c r="AH518" s="76">
        <f>SUM(AE518,AG518,AI518)*rate_forex_risk</f>
        <v/>
      </c>
      <c r="AI518" s="193">
        <f>IF(OR(seller_region="TR",offer_sale_type="экспорт"),0,rate_fin_comm)*SUM(AZ518,AZ518*AW518,T518)</f>
        <v/>
      </c>
      <c r="AJ518" s="118">
        <f>IFERROR(ROUND(SUM(AB518,AF518:AI518)/E518,2),0)</f>
        <v/>
      </c>
      <c r="AK518" s="76">
        <f>AJ518*E518</f>
        <v/>
      </c>
      <c r="AL518" s="174">
        <f>ROUND(IFERROR(AM518*E518,0),2)</f>
        <v/>
      </c>
      <c r="AM518" s="175">
        <f>ROUND(AJ518*(1+IF(offer_incoterms="DDP",IF((TODAY()+offer_turnaround_time)&gt;=helpsheet!$L$17,rate_vatRU_from_26,rate_vatRu_till_25),0)),2)</f>
        <v/>
      </c>
      <c r="AN518" s="192">
        <f>AL518-AK518</f>
        <v/>
      </c>
      <c r="AO518" s="76">
        <f>SUM(AY518,Y518:Z518,T518)*IF(AND(offer_incoterms="DDP",offer_sale_type&lt;&gt;"экспорт"),IF((TODAY()+offer_turnaround_time)&gt;=helpsheet!$L$17,rate_vatRU_from_26,rate_vatRu_till_25),0)</f>
        <v/>
      </c>
      <c r="AP518" s="193">
        <f>AN518-AO518</f>
        <v/>
      </c>
      <c r="AQ518" s="118">
        <f>IF(offer_sale_type="транзит",SUM(AF518:AI518,BA518,BB518),0)</f>
        <v/>
      </c>
      <c r="AR518" s="82">
        <f>HYPERLINK("https://www.alta.ru/tnved/code/")&amp;W518&amp;"/"</f>
        <v/>
      </c>
      <c r="AS518" s="157" t="n"/>
      <c r="AT518" s="162" t="n"/>
      <c r="AU518" s="76">
        <f>IF(ISBLANK(AT518),0,AJ518-AT518)</f>
        <v/>
      </c>
      <c r="AV518" s="157" t="n"/>
      <c r="AW518" s="75">
        <f>_xlfn.IFNA(VLOOKUP(L518,list_vat[],3,FALSE),0)</f>
        <v/>
      </c>
      <c r="AX518" s="76">
        <f>IFERROR(ROUND(S518*(1+AW518)/E518,2),0)</f>
        <v/>
      </c>
      <c r="AY518" s="76">
        <f>E518*AX518</f>
        <v/>
      </c>
      <c r="AZ518" s="192">
        <f>S518*(1+M518)</f>
        <v/>
      </c>
      <c r="BA518" s="76">
        <f>cost_fin_total*$BD518</f>
        <v/>
      </c>
      <c r="BB518" s="193">
        <f>credit_sales_interest*BD518</f>
        <v/>
      </c>
      <c r="BC518" s="102">
        <f>IFERROR(IF($I$13&gt;0,$I518/$I$13,$S518/$S$13),0)</f>
        <v/>
      </c>
      <c r="BD518" s="102">
        <f>IFERROR($S518/$S$13,0)</f>
        <v/>
      </c>
      <c r="BE518" s="413" t="inlineStr">
        <is>
          <t>$</t>
        </is>
      </c>
    </row>
    <row r="519" ht="12" customFormat="1" customHeight="1" s="65">
      <c r="A519" s="43" t="n">
        <v>504</v>
      </c>
      <c r="B519" s="166" t="n"/>
      <c r="C519" s="166" t="n"/>
      <c r="D519" s="166" t="n"/>
      <c r="E519" s="162" t="n"/>
      <c r="F519" s="166" t="n"/>
      <c r="G519" s="162" t="n"/>
      <c r="H519" s="162" t="n"/>
      <c r="I519" s="189">
        <f>E519*G519</f>
        <v/>
      </c>
      <c r="J519" s="195" t="n"/>
      <c r="K519" s="162" t="n"/>
      <c r="L519" s="168" t="n"/>
      <c r="M519" s="75">
        <f>_xlfn.XLOOKUP(L519,list_vat[Страна],list_vat[Ставка НДС %],0,0)</f>
        <v/>
      </c>
      <c r="N519" s="162">
        <f>IFERROR(IF(L519="Китай",K519,K519/(1+M519)),0)</f>
        <v/>
      </c>
      <c r="O519" s="169" t="n"/>
      <c r="P519" s="76">
        <f>N519*(1-O519)</f>
        <v/>
      </c>
      <c r="Q519" s="162" t="n"/>
      <c r="R519" s="162">
        <f>IF(ISBLANK(Q519),"введи курс",P519/Q519)</f>
        <v/>
      </c>
      <c r="S519" s="196">
        <f>IF(AND(ISNUMBER(E519),ISNUMBER(Q519)),E519*R519,0)</f>
        <v/>
      </c>
      <c r="T519" s="192">
        <f>$BC519*V$11</f>
        <v/>
      </c>
      <c r="U519" s="76">
        <f>$BC519*W$11</f>
        <v/>
      </c>
      <c r="V519" s="193">
        <f>+SUM(T519:U519)</f>
        <v/>
      </c>
      <c r="W519" s="191" t="n"/>
      <c r="X519" s="170" t="n"/>
      <c r="Y519" s="76">
        <f>ROUND(IF(offer_incoterms="DDP",X519*(S519*(1+AW519)+T519),0),2)</f>
        <v/>
      </c>
      <c r="Z519" s="188" t="n"/>
      <c r="AA519" s="192">
        <f>IFERROR(AB519/E519,0)</f>
        <v/>
      </c>
      <c r="AB519" s="76">
        <f>ROUND(SUM(S519,V519,Y519:Z519,BA519:BB519),2)</f>
        <v/>
      </c>
      <c r="AC519" s="797" t="n"/>
      <c r="AD519" s="192">
        <f t="array" ref="AD519">IFERROR(ROUND((_xlfn.IFS(offer_sale_type="поставка",AB519,offer_sale_type="транзит",S519)*(1+AC519))/E519,2),0)</f>
        <v/>
      </c>
      <c r="AE519" s="76">
        <f>AD519*E519</f>
        <v/>
      </c>
      <c r="AF519" s="193">
        <f t="array" ref="AF519">IFERROR(ROUND(_xlfn.IFS(offer_sale_type="поставка",AB519,offer_sale_type="транзит",S519)*AC519,2),0)</f>
        <v/>
      </c>
      <c r="AG519" s="192">
        <f>$BD519*VLOOKUP($AG$3,$AF$4:$AG$7,2,FALSE)</f>
        <v/>
      </c>
      <c r="AH519" s="76">
        <f>SUM(AE519,AG519,AI519)*rate_forex_risk</f>
        <v/>
      </c>
      <c r="AI519" s="193">
        <f>IF(OR(seller_region="TR",offer_sale_type="экспорт"),0,rate_fin_comm)*SUM(AZ519,AZ519*AW519,T519)</f>
        <v/>
      </c>
      <c r="AJ519" s="118">
        <f>IFERROR(ROUND(SUM(AB519,AF519:AI519)/E519,2),0)</f>
        <v/>
      </c>
      <c r="AK519" s="76">
        <f>AJ519*E519</f>
        <v/>
      </c>
      <c r="AL519" s="174">
        <f>ROUND(IFERROR(AM519*E519,0),2)</f>
        <v/>
      </c>
      <c r="AM519" s="175">
        <f>ROUND(AJ519*(1+IF(offer_incoterms="DDP",IF((TODAY()+offer_turnaround_time)&gt;=helpsheet!$L$17,rate_vatRU_from_26,rate_vatRu_till_25),0)),2)</f>
        <v/>
      </c>
      <c r="AN519" s="192">
        <f>AL519-AK519</f>
        <v/>
      </c>
      <c r="AO519" s="76">
        <f>SUM(AY519,Y519:Z519,T519)*IF(AND(offer_incoterms="DDP",offer_sale_type&lt;&gt;"экспорт"),IF((TODAY()+offer_turnaround_time)&gt;=helpsheet!$L$17,rate_vatRU_from_26,rate_vatRu_till_25),0)</f>
        <v/>
      </c>
      <c r="AP519" s="193">
        <f>AN519-AO519</f>
        <v/>
      </c>
      <c r="AQ519" s="118">
        <f>IF(offer_sale_type="транзит",SUM(AF519:AI519,BA519,BB519),0)</f>
        <v/>
      </c>
      <c r="AR519" s="82">
        <f>HYPERLINK("https://www.alta.ru/tnved/code/")&amp;W519&amp;"/"</f>
        <v/>
      </c>
      <c r="AS519" s="157" t="n"/>
      <c r="AT519" s="162" t="n"/>
      <c r="AU519" s="76">
        <f>IF(ISBLANK(AT519),0,AJ519-AT519)</f>
        <v/>
      </c>
      <c r="AV519" s="157" t="n"/>
      <c r="AW519" s="75">
        <f>_xlfn.IFNA(VLOOKUP(L519,list_vat[],3,FALSE),0)</f>
        <v/>
      </c>
      <c r="AX519" s="76">
        <f>IFERROR(ROUND(S519*(1+AW519)/E519,2),0)</f>
        <v/>
      </c>
      <c r="AY519" s="76">
        <f>E519*AX519</f>
        <v/>
      </c>
      <c r="AZ519" s="192">
        <f>S519*(1+M519)</f>
        <v/>
      </c>
      <c r="BA519" s="76">
        <f>cost_fin_total*$BD519</f>
        <v/>
      </c>
      <c r="BB519" s="193">
        <f>credit_sales_interest*BD519</f>
        <v/>
      </c>
      <c r="BC519" s="102">
        <f>IFERROR(IF($I$13&gt;0,$I519/$I$13,$S519/$S$13),0)</f>
        <v/>
      </c>
      <c r="BD519" s="102">
        <f>IFERROR($S519/$S$13,0)</f>
        <v/>
      </c>
      <c r="BE519" s="413" t="inlineStr">
        <is>
          <t>$</t>
        </is>
      </c>
    </row>
    <row r="520" ht="12" customFormat="1" customHeight="1" s="65">
      <c r="A520" s="43" t="n">
        <v>505</v>
      </c>
      <c r="B520" s="166" t="n"/>
      <c r="C520" s="166" t="n"/>
      <c r="D520" s="166" t="n"/>
      <c r="E520" s="162" t="n"/>
      <c r="F520" s="166" t="n"/>
      <c r="G520" s="162" t="n"/>
      <c r="H520" s="162" t="n"/>
      <c r="I520" s="189">
        <f>E520*G520</f>
        <v/>
      </c>
      <c r="J520" s="195" t="n"/>
      <c r="K520" s="162" t="n"/>
      <c r="L520" s="168" t="n"/>
      <c r="M520" s="75">
        <f>_xlfn.XLOOKUP(L520,list_vat[Страна],list_vat[Ставка НДС %],0,0)</f>
        <v/>
      </c>
      <c r="N520" s="162">
        <f>IFERROR(IF(L520="Китай",K520,K520/(1+M520)),0)</f>
        <v/>
      </c>
      <c r="O520" s="169" t="n"/>
      <c r="P520" s="76">
        <f>N520*(1-O520)</f>
        <v/>
      </c>
      <c r="Q520" s="162" t="n"/>
      <c r="R520" s="162">
        <f>IF(ISBLANK(Q520),"введи курс",P520/Q520)</f>
        <v/>
      </c>
      <c r="S520" s="196">
        <f>IF(AND(ISNUMBER(E520),ISNUMBER(Q520)),E520*R520,0)</f>
        <v/>
      </c>
      <c r="T520" s="192">
        <f>$BC520*V$11</f>
        <v/>
      </c>
      <c r="U520" s="76">
        <f>$BC520*W$11</f>
        <v/>
      </c>
      <c r="V520" s="193">
        <f>+SUM(T520:U520)</f>
        <v/>
      </c>
      <c r="W520" s="191" t="n"/>
      <c r="X520" s="170" t="n"/>
      <c r="Y520" s="76">
        <f>ROUND(IF(offer_incoterms="DDP",X520*(S520*(1+AW520)+T520),0),2)</f>
        <v/>
      </c>
      <c r="Z520" s="188" t="n"/>
      <c r="AA520" s="192">
        <f>IFERROR(AB520/E520,0)</f>
        <v/>
      </c>
      <c r="AB520" s="76">
        <f>ROUND(SUM(S520,V520,Y520:Z520,BA520:BB520),2)</f>
        <v/>
      </c>
      <c r="AC520" s="797" t="n"/>
      <c r="AD520" s="192">
        <f t="array" ref="AD520">IFERROR(ROUND((_xlfn.IFS(offer_sale_type="поставка",AB520,offer_sale_type="транзит",S520)*(1+AC520))/E520,2),0)</f>
        <v/>
      </c>
      <c r="AE520" s="76">
        <f>AD520*E520</f>
        <v/>
      </c>
      <c r="AF520" s="193">
        <f t="array" ref="AF520">IFERROR(ROUND(_xlfn.IFS(offer_sale_type="поставка",AB520,offer_sale_type="транзит",S520)*AC520,2),0)</f>
        <v/>
      </c>
      <c r="AG520" s="192">
        <f>$BD520*VLOOKUP($AG$3,$AF$4:$AG$7,2,FALSE)</f>
        <v/>
      </c>
      <c r="AH520" s="76">
        <f>SUM(AE520,AG520,AI520)*rate_forex_risk</f>
        <v/>
      </c>
      <c r="AI520" s="193">
        <f>IF(OR(seller_region="TR",offer_sale_type="экспорт"),0,rate_fin_comm)*SUM(AZ520,AZ520*AW520,T520)</f>
        <v/>
      </c>
      <c r="AJ520" s="118">
        <f>IFERROR(ROUND(SUM(AB520,AF520:AI520)/E520,2),0)</f>
        <v/>
      </c>
      <c r="AK520" s="76">
        <f>AJ520*E520</f>
        <v/>
      </c>
      <c r="AL520" s="174">
        <f>ROUND(IFERROR(AM520*E520,0),2)</f>
        <v/>
      </c>
      <c r="AM520" s="175">
        <f>ROUND(AJ520*(1+IF(offer_incoterms="DDP",IF((TODAY()+offer_turnaround_time)&gt;=helpsheet!$L$17,rate_vatRU_from_26,rate_vatRu_till_25),0)),2)</f>
        <v/>
      </c>
      <c r="AN520" s="192">
        <f>AL520-AK520</f>
        <v/>
      </c>
      <c r="AO520" s="76">
        <f>SUM(AY520,Y520:Z520,T520)*IF(AND(offer_incoterms="DDP",offer_sale_type&lt;&gt;"экспорт"),IF((TODAY()+offer_turnaround_time)&gt;=helpsheet!$L$17,rate_vatRU_from_26,rate_vatRu_till_25),0)</f>
        <v/>
      </c>
      <c r="AP520" s="193">
        <f>AN520-AO520</f>
        <v/>
      </c>
      <c r="AQ520" s="118">
        <f>IF(offer_sale_type="транзит",SUM(AF520:AI520,BA520,BB520),0)</f>
        <v/>
      </c>
      <c r="AR520" s="82">
        <f>HYPERLINK("https://www.alta.ru/tnved/code/")&amp;W520&amp;"/"</f>
        <v/>
      </c>
      <c r="AS520" s="157" t="n"/>
      <c r="AT520" s="162" t="n"/>
      <c r="AU520" s="76">
        <f>IF(ISBLANK(AT520),0,AJ520-AT520)</f>
        <v/>
      </c>
      <c r="AV520" s="157" t="n"/>
      <c r="AW520" s="75">
        <f>_xlfn.IFNA(VLOOKUP(L520,list_vat[],3,FALSE),0)</f>
        <v/>
      </c>
      <c r="AX520" s="76">
        <f>IFERROR(ROUND(S520*(1+AW520)/E520,2),0)</f>
        <v/>
      </c>
      <c r="AY520" s="76">
        <f>E520*AX520</f>
        <v/>
      </c>
      <c r="AZ520" s="192">
        <f>S520*(1+M520)</f>
        <v/>
      </c>
      <c r="BA520" s="76">
        <f>cost_fin_total*$BD520</f>
        <v/>
      </c>
      <c r="BB520" s="193">
        <f>credit_sales_interest*BD520</f>
        <v/>
      </c>
      <c r="BC520" s="102">
        <f>IFERROR(IF($I$13&gt;0,$I520/$I$13,$S520/$S$13),0)</f>
        <v/>
      </c>
      <c r="BD520" s="102">
        <f>IFERROR($S520/$S$13,0)</f>
        <v/>
      </c>
      <c r="BE520" s="413" t="inlineStr">
        <is>
          <t>$</t>
        </is>
      </c>
    </row>
    <row r="521" ht="12" customFormat="1" customHeight="1" s="65">
      <c r="A521" s="43" t="n">
        <v>506</v>
      </c>
      <c r="B521" s="166" t="n"/>
      <c r="C521" s="166" t="n"/>
      <c r="D521" s="166" t="n"/>
      <c r="E521" s="162" t="n"/>
      <c r="F521" s="166" t="n"/>
      <c r="G521" s="162" t="n"/>
      <c r="H521" s="162" t="n"/>
      <c r="I521" s="189">
        <f>E521*G521</f>
        <v/>
      </c>
      <c r="J521" s="195" t="n"/>
      <c r="K521" s="162" t="n"/>
      <c r="L521" s="168" t="n"/>
      <c r="M521" s="75">
        <f>_xlfn.XLOOKUP(L521,list_vat[Страна],list_vat[Ставка НДС %],0,0)</f>
        <v/>
      </c>
      <c r="N521" s="162">
        <f>IFERROR(IF(L521="Китай",K521,K521/(1+M521)),0)</f>
        <v/>
      </c>
      <c r="O521" s="169" t="n"/>
      <c r="P521" s="76">
        <f>N521*(1-O521)</f>
        <v/>
      </c>
      <c r="Q521" s="162" t="n"/>
      <c r="R521" s="162">
        <f>IF(ISBLANK(Q521),"введи курс",P521/Q521)</f>
        <v/>
      </c>
      <c r="S521" s="196">
        <f>IF(AND(ISNUMBER(E521),ISNUMBER(Q521)),E521*R521,0)</f>
        <v/>
      </c>
      <c r="T521" s="192">
        <f>$BC521*V$11</f>
        <v/>
      </c>
      <c r="U521" s="76">
        <f>$BC521*W$11</f>
        <v/>
      </c>
      <c r="V521" s="193">
        <f>+SUM(T521:U521)</f>
        <v/>
      </c>
      <c r="W521" s="191" t="n"/>
      <c r="X521" s="170" t="n"/>
      <c r="Y521" s="76">
        <f>ROUND(IF(offer_incoterms="DDP",X521*(S521*(1+AW521)+T521),0),2)</f>
        <v/>
      </c>
      <c r="Z521" s="188" t="n"/>
      <c r="AA521" s="192">
        <f>IFERROR(AB521/E521,0)</f>
        <v/>
      </c>
      <c r="AB521" s="76">
        <f>ROUND(SUM(S521,V521,Y521:Z521,BA521:BB521),2)</f>
        <v/>
      </c>
      <c r="AC521" s="797" t="n"/>
      <c r="AD521" s="192">
        <f t="array" ref="AD521">IFERROR(ROUND((_xlfn.IFS(offer_sale_type="поставка",AB521,offer_sale_type="транзит",S521)*(1+AC521))/E521,2),0)</f>
        <v/>
      </c>
      <c r="AE521" s="76">
        <f>AD521*E521</f>
        <v/>
      </c>
      <c r="AF521" s="193">
        <f t="array" ref="AF521">IFERROR(ROUND(_xlfn.IFS(offer_sale_type="поставка",AB521,offer_sale_type="транзит",S521)*AC521,2),0)</f>
        <v/>
      </c>
      <c r="AG521" s="192">
        <f>$BD521*VLOOKUP($AG$3,$AF$4:$AG$7,2,FALSE)</f>
        <v/>
      </c>
      <c r="AH521" s="76">
        <f>SUM(AE521,AG521,AI521)*rate_forex_risk</f>
        <v/>
      </c>
      <c r="AI521" s="193">
        <f>IF(OR(seller_region="TR",offer_sale_type="экспорт"),0,rate_fin_comm)*SUM(AZ521,AZ521*AW521,T521)</f>
        <v/>
      </c>
      <c r="AJ521" s="118">
        <f>IFERROR(ROUND(SUM(AB521,AF521:AI521)/E521,2),0)</f>
        <v/>
      </c>
      <c r="AK521" s="76">
        <f>AJ521*E521</f>
        <v/>
      </c>
      <c r="AL521" s="174">
        <f>ROUND(IFERROR(AM521*E521,0),2)</f>
        <v/>
      </c>
      <c r="AM521" s="175">
        <f>ROUND(AJ521*(1+IF(offer_incoterms="DDP",IF((TODAY()+offer_turnaround_time)&gt;=helpsheet!$L$17,rate_vatRU_from_26,rate_vatRu_till_25),0)),2)</f>
        <v/>
      </c>
      <c r="AN521" s="192">
        <f>AL521-AK521</f>
        <v/>
      </c>
      <c r="AO521" s="76">
        <f>SUM(AY521,Y521:Z521,T521)*IF(AND(offer_incoterms="DDP",offer_sale_type&lt;&gt;"экспорт"),IF((TODAY()+offer_turnaround_time)&gt;=helpsheet!$L$17,rate_vatRU_from_26,rate_vatRu_till_25),0)</f>
        <v/>
      </c>
      <c r="AP521" s="193">
        <f>AN521-AO521</f>
        <v/>
      </c>
      <c r="AQ521" s="118">
        <f>IF(offer_sale_type="транзит",SUM(AF521:AI521,BA521,BB521),0)</f>
        <v/>
      </c>
      <c r="AR521" s="82">
        <f>HYPERLINK("https://www.alta.ru/tnved/code/")&amp;W521&amp;"/"</f>
        <v/>
      </c>
      <c r="AS521" s="157" t="n"/>
      <c r="AT521" s="162" t="n"/>
      <c r="AU521" s="76">
        <f>IF(ISBLANK(AT521),0,AJ521-AT521)</f>
        <v/>
      </c>
      <c r="AV521" s="157" t="n"/>
      <c r="AW521" s="75">
        <f>_xlfn.IFNA(VLOOKUP(L521,list_vat[],3,FALSE),0)</f>
        <v/>
      </c>
      <c r="AX521" s="76">
        <f>IFERROR(ROUND(S521*(1+AW521)/E521,2),0)</f>
        <v/>
      </c>
      <c r="AY521" s="76">
        <f>E521*AX521</f>
        <v/>
      </c>
      <c r="AZ521" s="192">
        <f>S521*(1+M521)</f>
        <v/>
      </c>
      <c r="BA521" s="76">
        <f>cost_fin_total*$BD521</f>
        <v/>
      </c>
      <c r="BB521" s="193">
        <f>credit_sales_interest*BD521</f>
        <v/>
      </c>
      <c r="BC521" s="102">
        <f>IFERROR(IF($I$13&gt;0,$I521/$I$13,$S521/$S$13),0)</f>
        <v/>
      </c>
      <c r="BD521" s="102">
        <f>IFERROR($S521/$S$13,0)</f>
        <v/>
      </c>
      <c r="BE521" s="413" t="inlineStr">
        <is>
          <t>$</t>
        </is>
      </c>
    </row>
    <row r="522" ht="12" customFormat="1" customHeight="1" s="65">
      <c r="A522" s="43" t="n">
        <v>507</v>
      </c>
      <c r="B522" s="166" t="n"/>
      <c r="C522" s="166" t="n"/>
      <c r="D522" s="166" t="n"/>
      <c r="E522" s="162" t="n"/>
      <c r="F522" s="166" t="n"/>
      <c r="G522" s="162" t="n"/>
      <c r="H522" s="162" t="n"/>
      <c r="I522" s="189">
        <f>E522*G522</f>
        <v/>
      </c>
      <c r="J522" s="195" t="n"/>
      <c r="K522" s="162" t="n"/>
      <c r="L522" s="168" t="n"/>
      <c r="M522" s="75">
        <f>_xlfn.XLOOKUP(L522,list_vat[Страна],list_vat[Ставка НДС %],0,0)</f>
        <v/>
      </c>
      <c r="N522" s="162">
        <f>IFERROR(IF(L522="Китай",K522,K522/(1+M522)),0)</f>
        <v/>
      </c>
      <c r="O522" s="169" t="n"/>
      <c r="P522" s="76">
        <f>N522*(1-O522)</f>
        <v/>
      </c>
      <c r="Q522" s="162" t="n"/>
      <c r="R522" s="162">
        <f>IF(ISBLANK(Q522),"введи курс",P522/Q522)</f>
        <v/>
      </c>
      <c r="S522" s="196">
        <f>IF(AND(ISNUMBER(E522),ISNUMBER(Q522)),E522*R522,0)</f>
        <v/>
      </c>
      <c r="T522" s="192">
        <f>$BC522*V$11</f>
        <v/>
      </c>
      <c r="U522" s="76">
        <f>$BC522*W$11</f>
        <v/>
      </c>
      <c r="V522" s="193">
        <f>+SUM(T522:U522)</f>
        <v/>
      </c>
      <c r="W522" s="191" t="n"/>
      <c r="X522" s="170" t="n"/>
      <c r="Y522" s="76">
        <f>ROUND(IF(offer_incoterms="DDP",X522*(S522*(1+AW522)+T522),0),2)</f>
        <v/>
      </c>
      <c r="Z522" s="188" t="n"/>
      <c r="AA522" s="192">
        <f>IFERROR(AB522/E522,0)</f>
        <v/>
      </c>
      <c r="AB522" s="76">
        <f>ROUND(SUM(S522,V522,Y522:Z522,BA522:BB522),2)</f>
        <v/>
      </c>
      <c r="AC522" s="797" t="n"/>
      <c r="AD522" s="192">
        <f t="array" ref="AD522">IFERROR(ROUND((_xlfn.IFS(offer_sale_type="поставка",AB522,offer_sale_type="транзит",S522)*(1+AC522))/E522,2),0)</f>
        <v/>
      </c>
      <c r="AE522" s="76">
        <f>AD522*E522</f>
        <v/>
      </c>
      <c r="AF522" s="193">
        <f t="array" ref="AF522">IFERROR(ROUND(_xlfn.IFS(offer_sale_type="поставка",AB522,offer_sale_type="транзит",S522)*AC522,2),0)</f>
        <v/>
      </c>
      <c r="AG522" s="192">
        <f>$BD522*VLOOKUP($AG$3,$AF$4:$AG$7,2,FALSE)</f>
        <v/>
      </c>
      <c r="AH522" s="76">
        <f>SUM(AE522,AG522,AI522)*rate_forex_risk</f>
        <v/>
      </c>
      <c r="AI522" s="193">
        <f>IF(OR(seller_region="TR",offer_sale_type="экспорт"),0,rate_fin_comm)*SUM(AZ522,AZ522*AW522,T522)</f>
        <v/>
      </c>
      <c r="AJ522" s="118">
        <f>IFERROR(ROUND(SUM(AB522,AF522:AI522)/E522,2),0)</f>
        <v/>
      </c>
      <c r="AK522" s="76">
        <f>AJ522*E522</f>
        <v/>
      </c>
      <c r="AL522" s="174">
        <f>ROUND(IFERROR(AM522*E522,0),2)</f>
        <v/>
      </c>
      <c r="AM522" s="175">
        <f>ROUND(AJ522*(1+IF(offer_incoterms="DDP",IF((TODAY()+offer_turnaround_time)&gt;=helpsheet!$L$17,rate_vatRU_from_26,rate_vatRu_till_25),0)),2)</f>
        <v/>
      </c>
      <c r="AN522" s="192">
        <f>AL522-AK522</f>
        <v/>
      </c>
      <c r="AO522" s="76">
        <f>SUM(AY522,Y522:Z522,T522)*IF(AND(offer_incoterms="DDP",offer_sale_type&lt;&gt;"экспорт"),IF((TODAY()+offer_turnaround_time)&gt;=helpsheet!$L$17,rate_vatRU_from_26,rate_vatRu_till_25),0)</f>
        <v/>
      </c>
      <c r="AP522" s="193">
        <f>AN522-AO522</f>
        <v/>
      </c>
      <c r="AQ522" s="118">
        <f>IF(offer_sale_type="транзит",SUM(AF522:AI522,BA522,BB522),0)</f>
        <v/>
      </c>
      <c r="AR522" s="82">
        <f>HYPERLINK("https://www.alta.ru/tnved/code/")&amp;W522&amp;"/"</f>
        <v/>
      </c>
      <c r="AS522" s="157" t="n"/>
      <c r="AT522" s="162" t="n"/>
      <c r="AU522" s="76">
        <f>IF(ISBLANK(AT522),0,AJ522-AT522)</f>
        <v/>
      </c>
      <c r="AV522" s="157" t="n"/>
      <c r="AW522" s="75">
        <f>_xlfn.IFNA(VLOOKUP(L522,list_vat[],3,FALSE),0)</f>
        <v/>
      </c>
      <c r="AX522" s="76">
        <f>IFERROR(ROUND(S522*(1+AW522)/E522,2),0)</f>
        <v/>
      </c>
      <c r="AY522" s="76">
        <f>E522*AX522</f>
        <v/>
      </c>
      <c r="AZ522" s="192">
        <f>S522*(1+M522)</f>
        <v/>
      </c>
      <c r="BA522" s="76">
        <f>cost_fin_total*$BD522</f>
        <v/>
      </c>
      <c r="BB522" s="193">
        <f>credit_sales_interest*BD522</f>
        <v/>
      </c>
      <c r="BC522" s="102">
        <f>IFERROR(IF($I$13&gt;0,$I522/$I$13,$S522/$S$13),0)</f>
        <v/>
      </c>
      <c r="BD522" s="102">
        <f>IFERROR($S522/$S$13,0)</f>
        <v/>
      </c>
      <c r="BE522" s="413" t="inlineStr">
        <is>
          <t>$</t>
        </is>
      </c>
    </row>
    <row r="523" ht="12" customFormat="1" customHeight="1" s="65">
      <c r="A523" s="43" t="n">
        <v>508</v>
      </c>
      <c r="B523" s="166" t="n"/>
      <c r="C523" s="166" t="n"/>
      <c r="D523" s="166" t="n"/>
      <c r="E523" s="162" t="n"/>
      <c r="F523" s="166" t="n"/>
      <c r="G523" s="162" t="n"/>
      <c r="H523" s="162" t="n"/>
      <c r="I523" s="189">
        <f>E523*G523</f>
        <v/>
      </c>
      <c r="J523" s="195" t="n"/>
      <c r="K523" s="162" t="n"/>
      <c r="L523" s="168" t="n"/>
      <c r="M523" s="75">
        <f>_xlfn.XLOOKUP(L523,list_vat[Страна],list_vat[Ставка НДС %],0,0)</f>
        <v/>
      </c>
      <c r="N523" s="162">
        <f>IFERROR(IF(L523="Китай",K523,K523/(1+M523)),0)</f>
        <v/>
      </c>
      <c r="O523" s="169" t="n"/>
      <c r="P523" s="76">
        <f>N523*(1-O523)</f>
        <v/>
      </c>
      <c r="Q523" s="162" t="n"/>
      <c r="R523" s="162">
        <f>IF(ISBLANK(Q523),"введи курс",P523/Q523)</f>
        <v/>
      </c>
      <c r="S523" s="196">
        <f>IF(AND(ISNUMBER(E523),ISNUMBER(Q523)),E523*R523,0)</f>
        <v/>
      </c>
      <c r="T523" s="192">
        <f>$BC523*V$11</f>
        <v/>
      </c>
      <c r="U523" s="76">
        <f>$BC523*W$11</f>
        <v/>
      </c>
      <c r="V523" s="193">
        <f>+SUM(T523:U523)</f>
        <v/>
      </c>
      <c r="W523" s="191" t="n"/>
      <c r="X523" s="170" t="n"/>
      <c r="Y523" s="76">
        <f>ROUND(IF(offer_incoterms="DDP",X523*(S523*(1+AW523)+T523),0),2)</f>
        <v/>
      </c>
      <c r="Z523" s="188" t="n"/>
      <c r="AA523" s="192">
        <f>IFERROR(AB523/E523,0)</f>
        <v/>
      </c>
      <c r="AB523" s="76">
        <f>ROUND(SUM(S523,V523,Y523:Z523,BA523:BB523),2)</f>
        <v/>
      </c>
      <c r="AC523" s="797" t="n"/>
      <c r="AD523" s="192">
        <f t="array" ref="AD523">IFERROR(ROUND((_xlfn.IFS(offer_sale_type="поставка",AB523,offer_sale_type="транзит",S523)*(1+AC523))/E523,2),0)</f>
        <v/>
      </c>
      <c r="AE523" s="76">
        <f>AD523*E523</f>
        <v/>
      </c>
      <c r="AF523" s="193">
        <f t="array" ref="AF523">IFERROR(ROUND(_xlfn.IFS(offer_sale_type="поставка",AB523,offer_sale_type="транзит",S523)*AC523,2),0)</f>
        <v/>
      </c>
      <c r="AG523" s="192">
        <f>$BD523*VLOOKUP($AG$3,$AF$4:$AG$7,2,FALSE)</f>
        <v/>
      </c>
      <c r="AH523" s="76">
        <f>SUM(AE523,AG523,AI523)*rate_forex_risk</f>
        <v/>
      </c>
      <c r="AI523" s="193">
        <f>IF(OR(seller_region="TR",offer_sale_type="экспорт"),0,rate_fin_comm)*SUM(AZ523,AZ523*AW523,T523)</f>
        <v/>
      </c>
      <c r="AJ523" s="118">
        <f>IFERROR(ROUND(SUM(AB523,AF523:AI523)/E523,2),0)</f>
        <v/>
      </c>
      <c r="AK523" s="76">
        <f>AJ523*E523</f>
        <v/>
      </c>
      <c r="AL523" s="174">
        <f>ROUND(IFERROR(AM523*E523,0),2)</f>
        <v/>
      </c>
      <c r="AM523" s="175">
        <f>ROUND(AJ523*(1+IF(offer_incoterms="DDP",IF((TODAY()+offer_turnaround_time)&gt;=helpsheet!$L$17,rate_vatRU_from_26,rate_vatRu_till_25),0)),2)</f>
        <v/>
      </c>
      <c r="AN523" s="192">
        <f>AL523-AK523</f>
        <v/>
      </c>
      <c r="AO523" s="76">
        <f>SUM(AY523,Y523:Z523,T523)*IF(AND(offer_incoterms="DDP",offer_sale_type&lt;&gt;"экспорт"),IF((TODAY()+offer_turnaround_time)&gt;=helpsheet!$L$17,rate_vatRU_from_26,rate_vatRu_till_25),0)</f>
        <v/>
      </c>
      <c r="AP523" s="193">
        <f>AN523-AO523</f>
        <v/>
      </c>
      <c r="AQ523" s="118">
        <f>IF(offer_sale_type="транзит",SUM(AF523:AI523,BA523,BB523),0)</f>
        <v/>
      </c>
      <c r="AR523" s="82">
        <f>HYPERLINK("https://www.alta.ru/tnved/code/")&amp;W523&amp;"/"</f>
        <v/>
      </c>
      <c r="AS523" s="157" t="n"/>
      <c r="AT523" s="162" t="n"/>
      <c r="AU523" s="76">
        <f>IF(ISBLANK(AT523),0,AJ523-AT523)</f>
        <v/>
      </c>
      <c r="AV523" s="157" t="n"/>
      <c r="AW523" s="75">
        <f>_xlfn.IFNA(VLOOKUP(L523,list_vat[],3,FALSE),0)</f>
        <v/>
      </c>
      <c r="AX523" s="76">
        <f>IFERROR(ROUND(S523*(1+AW523)/E523,2),0)</f>
        <v/>
      </c>
      <c r="AY523" s="76">
        <f>E523*AX523</f>
        <v/>
      </c>
      <c r="AZ523" s="192">
        <f>S523*(1+M523)</f>
        <v/>
      </c>
      <c r="BA523" s="76">
        <f>cost_fin_total*$BD523</f>
        <v/>
      </c>
      <c r="BB523" s="193">
        <f>credit_sales_interest*BD523</f>
        <v/>
      </c>
      <c r="BC523" s="102">
        <f>IFERROR(IF($I$13&gt;0,$I523/$I$13,$S523/$S$13),0)</f>
        <v/>
      </c>
      <c r="BD523" s="102">
        <f>IFERROR($S523/$S$13,0)</f>
        <v/>
      </c>
      <c r="BE523" s="413" t="inlineStr">
        <is>
          <t>$</t>
        </is>
      </c>
    </row>
    <row r="524" ht="12" customFormat="1" customHeight="1" s="65">
      <c r="A524" s="43" t="n">
        <v>509</v>
      </c>
      <c r="B524" s="166" t="n"/>
      <c r="C524" s="166" t="n"/>
      <c r="D524" s="166" t="n"/>
      <c r="E524" s="162" t="n"/>
      <c r="F524" s="166" t="n"/>
      <c r="G524" s="162" t="n"/>
      <c r="H524" s="162" t="n"/>
      <c r="I524" s="189">
        <f>E524*G524</f>
        <v/>
      </c>
      <c r="J524" s="195" t="n"/>
      <c r="K524" s="162" t="n"/>
      <c r="L524" s="168" t="n"/>
      <c r="M524" s="75">
        <f>_xlfn.XLOOKUP(L524,list_vat[Страна],list_vat[Ставка НДС %],0,0)</f>
        <v/>
      </c>
      <c r="N524" s="162">
        <f>IFERROR(IF(L524="Китай",K524,K524/(1+M524)),0)</f>
        <v/>
      </c>
      <c r="O524" s="169" t="n"/>
      <c r="P524" s="76">
        <f>N524*(1-O524)</f>
        <v/>
      </c>
      <c r="Q524" s="162" t="n"/>
      <c r="R524" s="162">
        <f>IF(ISBLANK(Q524),"введи курс",P524/Q524)</f>
        <v/>
      </c>
      <c r="S524" s="196">
        <f>IF(AND(ISNUMBER(E524),ISNUMBER(Q524)),E524*R524,0)</f>
        <v/>
      </c>
      <c r="T524" s="192">
        <f>$BC524*V$11</f>
        <v/>
      </c>
      <c r="U524" s="76">
        <f>$BC524*W$11</f>
        <v/>
      </c>
      <c r="V524" s="193">
        <f>+SUM(T524:U524)</f>
        <v/>
      </c>
      <c r="W524" s="191" t="n"/>
      <c r="X524" s="170" t="n"/>
      <c r="Y524" s="76">
        <f>ROUND(IF(offer_incoterms="DDP",X524*(S524*(1+AW524)+T524),0),2)</f>
        <v/>
      </c>
      <c r="Z524" s="188" t="n"/>
      <c r="AA524" s="192">
        <f>IFERROR(AB524/E524,0)</f>
        <v/>
      </c>
      <c r="AB524" s="76">
        <f>ROUND(SUM(S524,V524,Y524:Z524,BA524:BB524),2)</f>
        <v/>
      </c>
      <c r="AC524" s="797" t="n"/>
      <c r="AD524" s="192">
        <f t="array" ref="AD524">IFERROR(ROUND((_xlfn.IFS(offer_sale_type="поставка",AB524,offer_sale_type="транзит",S524)*(1+AC524))/E524,2),0)</f>
        <v/>
      </c>
      <c r="AE524" s="76">
        <f>AD524*E524</f>
        <v/>
      </c>
      <c r="AF524" s="193">
        <f t="array" ref="AF524">IFERROR(ROUND(_xlfn.IFS(offer_sale_type="поставка",AB524,offer_sale_type="транзит",S524)*AC524,2),0)</f>
        <v/>
      </c>
      <c r="AG524" s="192">
        <f>$BD524*VLOOKUP($AG$3,$AF$4:$AG$7,2,FALSE)</f>
        <v/>
      </c>
      <c r="AH524" s="76">
        <f>SUM(AE524,AG524,AI524)*rate_forex_risk</f>
        <v/>
      </c>
      <c r="AI524" s="193">
        <f>IF(OR(seller_region="TR",offer_sale_type="экспорт"),0,rate_fin_comm)*SUM(AZ524,AZ524*AW524,T524)</f>
        <v/>
      </c>
      <c r="AJ524" s="118">
        <f>IFERROR(ROUND(SUM(AB524,AF524:AI524)/E524,2),0)</f>
        <v/>
      </c>
      <c r="AK524" s="76">
        <f>AJ524*E524</f>
        <v/>
      </c>
      <c r="AL524" s="174">
        <f>ROUND(IFERROR(AM524*E524,0),2)</f>
        <v/>
      </c>
      <c r="AM524" s="175">
        <f>ROUND(AJ524*(1+IF(offer_incoterms="DDP",IF((TODAY()+offer_turnaround_time)&gt;=helpsheet!$L$17,rate_vatRU_from_26,rate_vatRu_till_25),0)),2)</f>
        <v/>
      </c>
      <c r="AN524" s="192">
        <f>AL524-AK524</f>
        <v/>
      </c>
      <c r="AO524" s="76">
        <f>SUM(AY524,Y524:Z524,T524)*IF(AND(offer_incoterms="DDP",offer_sale_type&lt;&gt;"экспорт"),IF((TODAY()+offer_turnaround_time)&gt;=helpsheet!$L$17,rate_vatRU_from_26,rate_vatRu_till_25),0)</f>
        <v/>
      </c>
      <c r="AP524" s="193">
        <f>AN524-AO524</f>
        <v/>
      </c>
      <c r="AQ524" s="118">
        <f>IF(offer_sale_type="транзит",SUM(AF524:AI524,BA524,BB524),0)</f>
        <v/>
      </c>
      <c r="AR524" s="82">
        <f>HYPERLINK("https://www.alta.ru/tnved/code/")&amp;W524&amp;"/"</f>
        <v/>
      </c>
      <c r="AS524" s="157" t="n"/>
      <c r="AT524" s="162" t="n"/>
      <c r="AU524" s="76">
        <f>IF(ISBLANK(AT524),0,AJ524-AT524)</f>
        <v/>
      </c>
      <c r="AV524" s="157" t="n"/>
      <c r="AW524" s="75">
        <f>_xlfn.IFNA(VLOOKUP(L524,list_vat[],3,FALSE),0)</f>
        <v/>
      </c>
      <c r="AX524" s="76">
        <f>IFERROR(ROUND(S524*(1+AW524)/E524,2),0)</f>
        <v/>
      </c>
      <c r="AY524" s="76">
        <f>E524*AX524</f>
        <v/>
      </c>
      <c r="AZ524" s="192">
        <f>S524*(1+M524)</f>
        <v/>
      </c>
      <c r="BA524" s="76">
        <f>cost_fin_total*$BD524</f>
        <v/>
      </c>
      <c r="BB524" s="193">
        <f>credit_sales_interest*BD524</f>
        <v/>
      </c>
      <c r="BC524" s="102">
        <f>IFERROR(IF($I$13&gt;0,$I524/$I$13,$S524/$S$13),0)</f>
        <v/>
      </c>
      <c r="BD524" s="102">
        <f>IFERROR($S524/$S$13,0)</f>
        <v/>
      </c>
      <c r="BE524" s="413" t="inlineStr">
        <is>
          <t>$</t>
        </is>
      </c>
    </row>
    <row r="525" ht="12" customFormat="1" customHeight="1" s="65">
      <c r="A525" s="43" t="n">
        <v>510</v>
      </c>
      <c r="B525" s="166" t="n"/>
      <c r="C525" s="166" t="n"/>
      <c r="D525" s="166" t="n"/>
      <c r="E525" s="162" t="n"/>
      <c r="F525" s="166" t="n"/>
      <c r="G525" s="162" t="n"/>
      <c r="H525" s="162" t="n"/>
      <c r="I525" s="189">
        <f>E525*G525</f>
        <v/>
      </c>
      <c r="J525" s="195" t="n"/>
      <c r="K525" s="162" t="n"/>
      <c r="L525" s="168" t="n"/>
      <c r="M525" s="75">
        <f>_xlfn.XLOOKUP(L525,list_vat[Страна],list_vat[Ставка НДС %],0,0)</f>
        <v/>
      </c>
      <c r="N525" s="162">
        <f>IFERROR(IF(L525="Китай",K525,K525/(1+M525)),0)</f>
        <v/>
      </c>
      <c r="O525" s="169" t="n"/>
      <c r="P525" s="76">
        <f>N525*(1-O525)</f>
        <v/>
      </c>
      <c r="Q525" s="162" t="n"/>
      <c r="R525" s="162">
        <f>IF(ISBLANK(Q525),"введи курс",P525/Q525)</f>
        <v/>
      </c>
      <c r="S525" s="196">
        <f>IF(AND(ISNUMBER(E525),ISNUMBER(Q525)),E525*R525,0)</f>
        <v/>
      </c>
      <c r="T525" s="192">
        <f>$BC525*V$11</f>
        <v/>
      </c>
      <c r="U525" s="76">
        <f>$BC525*W$11</f>
        <v/>
      </c>
      <c r="V525" s="193">
        <f>+SUM(T525:U525)</f>
        <v/>
      </c>
      <c r="W525" s="191" t="n"/>
      <c r="X525" s="170" t="n"/>
      <c r="Y525" s="76">
        <f>ROUND(IF(offer_incoterms="DDP",X525*(S525*(1+AW525)+T525),0),2)</f>
        <v/>
      </c>
      <c r="Z525" s="188" t="n"/>
      <c r="AA525" s="192">
        <f>IFERROR(AB525/E525,0)</f>
        <v/>
      </c>
      <c r="AB525" s="76">
        <f>ROUND(SUM(S525,V525,Y525:Z525,BA525:BB525),2)</f>
        <v/>
      </c>
      <c r="AC525" s="797" t="n"/>
      <c r="AD525" s="192">
        <f t="array" ref="AD525">IFERROR(ROUND((_xlfn.IFS(offer_sale_type="поставка",AB525,offer_sale_type="транзит",S525)*(1+AC525))/E525,2),0)</f>
        <v/>
      </c>
      <c r="AE525" s="76">
        <f>AD525*E525</f>
        <v/>
      </c>
      <c r="AF525" s="193">
        <f t="array" ref="AF525">IFERROR(ROUND(_xlfn.IFS(offer_sale_type="поставка",AB525,offer_sale_type="транзит",S525)*AC525,2),0)</f>
        <v/>
      </c>
      <c r="AG525" s="192">
        <f>$BD525*VLOOKUP($AG$3,$AF$4:$AG$7,2,FALSE)</f>
        <v/>
      </c>
      <c r="AH525" s="76">
        <f>SUM(AE525,AG525,AI525)*rate_forex_risk</f>
        <v/>
      </c>
      <c r="AI525" s="193">
        <f>IF(OR(seller_region="TR",offer_sale_type="экспорт"),0,rate_fin_comm)*SUM(AZ525,AZ525*AW525,T525)</f>
        <v/>
      </c>
      <c r="AJ525" s="118">
        <f>IFERROR(ROUND(SUM(AB525,AF525:AI525)/E525,2),0)</f>
        <v/>
      </c>
      <c r="AK525" s="76">
        <f>AJ525*E525</f>
        <v/>
      </c>
      <c r="AL525" s="174">
        <f>ROUND(IFERROR(AM525*E525,0),2)</f>
        <v/>
      </c>
      <c r="AM525" s="175">
        <f>ROUND(AJ525*(1+IF(offer_incoterms="DDP",IF((TODAY()+offer_turnaround_time)&gt;=helpsheet!$L$17,rate_vatRU_from_26,rate_vatRu_till_25),0)),2)</f>
        <v/>
      </c>
      <c r="AN525" s="192">
        <f>AL525-AK525</f>
        <v/>
      </c>
      <c r="AO525" s="76">
        <f>SUM(AY525,Y525:Z525,T525)*IF(AND(offer_incoterms="DDP",offer_sale_type&lt;&gt;"экспорт"),IF((TODAY()+offer_turnaround_time)&gt;=helpsheet!$L$17,rate_vatRU_from_26,rate_vatRu_till_25),0)</f>
        <v/>
      </c>
      <c r="AP525" s="193">
        <f>AN525-AO525</f>
        <v/>
      </c>
      <c r="AQ525" s="118">
        <f>IF(offer_sale_type="транзит",SUM(AF525:AI525,BA525,BB525),0)</f>
        <v/>
      </c>
      <c r="AR525" s="82">
        <f>HYPERLINK("https://www.alta.ru/tnved/code/")&amp;W525&amp;"/"</f>
        <v/>
      </c>
      <c r="AS525" s="157" t="n"/>
      <c r="AT525" s="162" t="n"/>
      <c r="AU525" s="76">
        <f>IF(ISBLANK(AT525),0,AJ525-AT525)</f>
        <v/>
      </c>
      <c r="AV525" s="157" t="n"/>
      <c r="AW525" s="75">
        <f>_xlfn.IFNA(VLOOKUP(L525,list_vat[],3,FALSE),0)</f>
        <v/>
      </c>
      <c r="AX525" s="76">
        <f>IFERROR(ROUND(S525*(1+AW525)/E525,2),0)</f>
        <v/>
      </c>
      <c r="AY525" s="76">
        <f>E525*AX525</f>
        <v/>
      </c>
      <c r="AZ525" s="192">
        <f>S525*(1+M525)</f>
        <v/>
      </c>
      <c r="BA525" s="76">
        <f>cost_fin_total*$BD525</f>
        <v/>
      </c>
      <c r="BB525" s="193">
        <f>credit_sales_interest*BD525</f>
        <v/>
      </c>
      <c r="BC525" s="102">
        <f>IFERROR(IF($I$13&gt;0,$I525/$I$13,$S525/$S$13),0)</f>
        <v/>
      </c>
      <c r="BD525" s="102">
        <f>IFERROR($S525/$S$13,0)</f>
        <v/>
      </c>
      <c r="BE525" s="413" t="inlineStr">
        <is>
          <t>$</t>
        </is>
      </c>
    </row>
    <row r="526" ht="12" customFormat="1" customHeight="1" s="65">
      <c r="A526" s="43" t="n">
        <v>511</v>
      </c>
      <c r="B526" s="166" t="n"/>
      <c r="C526" s="166" t="n"/>
      <c r="D526" s="166" t="n"/>
      <c r="E526" s="162" t="n"/>
      <c r="F526" s="166" t="n"/>
      <c r="G526" s="162" t="n"/>
      <c r="H526" s="162" t="n"/>
      <c r="I526" s="189">
        <f>E526*G526</f>
        <v/>
      </c>
      <c r="J526" s="195" t="n"/>
      <c r="K526" s="162" t="n"/>
      <c r="L526" s="168" t="n"/>
      <c r="M526" s="75">
        <f>_xlfn.XLOOKUP(L526,list_vat[Страна],list_vat[Ставка НДС %],0,0)</f>
        <v/>
      </c>
      <c r="N526" s="162">
        <f>IFERROR(IF(L526="Китай",K526,K526/(1+M526)),0)</f>
        <v/>
      </c>
      <c r="O526" s="169" t="n"/>
      <c r="P526" s="76">
        <f>N526*(1-O526)</f>
        <v/>
      </c>
      <c r="Q526" s="162" t="n"/>
      <c r="R526" s="162">
        <f>IF(ISBLANK(Q526),"введи курс",P526/Q526)</f>
        <v/>
      </c>
      <c r="S526" s="196">
        <f>IF(AND(ISNUMBER(E526),ISNUMBER(Q526)),E526*R526,0)</f>
        <v/>
      </c>
      <c r="T526" s="192">
        <f>$BC526*V$11</f>
        <v/>
      </c>
      <c r="U526" s="76">
        <f>$BC526*W$11</f>
        <v/>
      </c>
      <c r="V526" s="193">
        <f>+SUM(T526:U526)</f>
        <v/>
      </c>
      <c r="W526" s="191" t="n"/>
      <c r="X526" s="170" t="n"/>
      <c r="Y526" s="76">
        <f>ROUND(IF(offer_incoterms="DDP",X526*(S526*(1+AW526)+T526),0),2)</f>
        <v/>
      </c>
      <c r="Z526" s="188" t="n"/>
      <c r="AA526" s="192">
        <f>IFERROR(AB526/E526,0)</f>
        <v/>
      </c>
      <c r="AB526" s="76">
        <f>ROUND(SUM(S526,V526,Y526:Z526,BA526:BB526),2)</f>
        <v/>
      </c>
      <c r="AC526" s="797" t="n"/>
      <c r="AD526" s="192">
        <f t="array" ref="AD526">IFERROR(ROUND((_xlfn.IFS(offer_sale_type="поставка",AB526,offer_sale_type="транзит",S526)*(1+AC526))/E526,2),0)</f>
        <v/>
      </c>
      <c r="AE526" s="76">
        <f>AD526*E526</f>
        <v/>
      </c>
      <c r="AF526" s="193">
        <f t="array" ref="AF526">IFERROR(ROUND(_xlfn.IFS(offer_sale_type="поставка",AB526,offer_sale_type="транзит",S526)*AC526,2),0)</f>
        <v/>
      </c>
      <c r="AG526" s="192">
        <f>$BD526*VLOOKUP($AG$3,$AF$4:$AG$7,2,FALSE)</f>
        <v/>
      </c>
      <c r="AH526" s="76">
        <f>SUM(AE526,AG526,AI526)*rate_forex_risk</f>
        <v/>
      </c>
      <c r="AI526" s="193">
        <f>IF(OR(seller_region="TR",offer_sale_type="экспорт"),0,rate_fin_comm)*SUM(AZ526,AZ526*AW526,T526)</f>
        <v/>
      </c>
      <c r="AJ526" s="118">
        <f>IFERROR(ROUND(SUM(AB526,AF526:AI526)/E526,2),0)</f>
        <v/>
      </c>
      <c r="AK526" s="76">
        <f>AJ526*E526</f>
        <v/>
      </c>
      <c r="AL526" s="174">
        <f>ROUND(IFERROR(AM526*E526,0),2)</f>
        <v/>
      </c>
      <c r="AM526" s="175">
        <f>ROUND(AJ526*(1+IF(offer_incoterms="DDP",IF((TODAY()+offer_turnaround_time)&gt;=helpsheet!$L$17,rate_vatRU_from_26,rate_vatRu_till_25),0)),2)</f>
        <v/>
      </c>
      <c r="AN526" s="192">
        <f>AL526-AK526</f>
        <v/>
      </c>
      <c r="AO526" s="76">
        <f>SUM(AY526,Y526:Z526,T526)*IF(AND(offer_incoterms="DDP",offer_sale_type&lt;&gt;"экспорт"),IF((TODAY()+offer_turnaround_time)&gt;=helpsheet!$L$17,rate_vatRU_from_26,rate_vatRu_till_25),0)</f>
        <v/>
      </c>
      <c r="AP526" s="193">
        <f>AN526-AO526</f>
        <v/>
      </c>
      <c r="AQ526" s="118">
        <f>IF(offer_sale_type="транзит",SUM(AF526:AI526,BA526,BB526),0)</f>
        <v/>
      </c>
      <c r="AR526" s="82">
        <f>HYPERLINK("https://www.alta.ru/tnved/code/")&amp;W526&amp;"/"</f>
        <v/>
      </c>
      <c r="AS526" s="157" t="n"/>
      <c r="AT526" s="162" t="n"/>
      <c r="AU526" s="76">
        <f>IF(ISBLANK(AT526),0,AJ526-AT526)</f>
        <v/>
      </c>
      <c r="AV526" s="157" t="n"/>
      <c r="AW526" s="75">
        <f>_xlfn.IFNA(VLOOKUP(L526,list_vat[],3,FALSE),0)</f>
        <v/>
      </c>
      <c r="AX526" s="76">
        <f>IFERROR(ROUND(S526*(1+AW526)/E526,2),0)</f>
        <v/>
      </c>
      <c r="AY526" s="76">
        <f>E526*AX526</f>
        <v/>
      </c>
      <c r="AZ526" s="192">
        <f>S526*(1+M526)</f>
        <v/>
      </c>
      <c r="BA526" s="76">
        <f>cost_fin_total*$BD526</f>
        <v/>
      </c>
      <c r="BB526" s="193">
        <f>credit_sales_interest*BD526</f>
        <v/>
      </c>
      <c r="BC526" s="102">
        <f>IFERROR(IF($I$13&gt;0,$I526/$I$13,$S526/$S$13),0)</f>
        <v/>
      </c>
      <c r="BD526" s="102">
        <f>IFERROR($S526/$S$13,0)</f>
        <v/>
      </c>
      <c r="BE526" s="413" t="inlineStr">
        <is>
          <t>$</t>
        </is>
      </c>
    </row>
    <row r="527" ht="12" customFormat="1" customHeight="1" s="65">
      <c r="A527" s="43" t="n">
        <v>512</v>
      </c>
      <c r="B527" s="166" t="n"/>
      <c r="C527" s="166" t="n"/>
      <c r="D527" s="166" t="n"/>
      <c r="E527" s="162" t="n"/>
      <c r="F527" s="166" t="n"/>
      <c r="G527" s="162" t="n"/>
      <c r="H527" s="162" t="n"/>
      <c r="I527" s="189">
        <f>E527*G527</f>
        <v/>
      </c>
      <c r="J527" s="195" t="n"/>
      <c r="K527" s="162" t="n"/>
      <c r="L527" s="168" t="n"/>
      <c r="M527" s="75">
        <f>_xlfn.XLOOKUP(L527,list_vat[Страна],list_vat[Ставка НДС %],0,0)</f>
        <v/>
      </c>
      <c r="N527" s="162">
        <f>IFERROR(IF(L527="Китай",K527,K527/(1+M527)),0)</f>
        <v/>
      </c>
      <c r="O527" s="169" t="n"/>
      <c r="P527" s="76">
        <f>N527*(1-O527)</f>
        <v/>
      </c>
      <c r="Q527" s="162" t="n"/>
      <c r="R527" s="162">
        <f>IF(ISBLANK(Q527),"введи курс",P527/Q527)</f>
        <v/>
      </c>
      <c r="S527" s="196">
        <f>IF(AND(ISNUMBER(E527),ISNUMBER(Q527)),E527*R527,0)</f>
        <v/>
      </c>
      <c r="T527" s="192">
        <f>$BC527*V$11</f>
        <v/>
      </c>
      <c r="U527" s="76">
        <f>$BC527*W$11</f>
        <v/>
      </c>
      <c r="V527" s="193">
        <f>+SUM(T527:U527)</f>
        <v/>
      </c>
      <c r="W527" s="191" t="n"/>
      <c r="X527" s="170" t="n"/>
      <c r="Y527" s="76">
        <f>ROUND(IF(offer_incoterms="DDP",X527*(S527*(1+AW527)+T527),0),2)</f>
        <v/>
      </c>
      <c r="Z527" s="188" t="n"/>
      <c r="AA527" s="192">
        <f>IFERROR(AB527/E527,0)</f>
        <v/>
      </c>
      <c r="AB527" s="76">
        <f>ROUND(SUM(S527,V527,Y527:Z527,BA527:BB527),2)</f>
        <v/>
      </c>
      <c r="AC527" s="797" t="n"/>
      <c r="AD527" s="192">
        <f t="array" ref="AD527">IFERROR(ROUND((_xlfn.IFS(offer_sale_type="поставка",AB527,offer_sale_type="транзит",S527)*(1+AC527))/E527,2),0)</f>
        <v/>
      </c>
      <c r="AE527" s="76">
        <f>AD527*E527</f>
        <v/>
      </c>
      <c r="AF527" s="193">
        <f t="array" ref="AF527">IFERROR(ROUND(_xlfn.IFS(offer_sale_type="поставка",AB527,offer_sale_type="транзит",S527)*AC527,2),0)</f>
        <v/>
      </c>
      <c r="AG527" s="192">
        <f>$BD527*VLOOKUP($AG$3,$AF$4:$AG$7,2,FALSE)</f>
        <v/>
      </c>
      <c r="AH527" s="76">
        <f>SUM(AE527,AG527,AI527)*rate_forex_risk</f>
        <v/>
      </c>
      <c r="AI527" s="193">
        <f>IF(OR(seller_region="TR",offer_sale_type="экспорт"),0,rate_fin_comm)*SUM(AZ527,AZ527*AW527,T527)</f>
        <v/>
      </c>
      <c r="AJ527" s="118">
        <f>IFERROR(ROUND(SUM(AB527,AF527:AI527)/E527,2),0)</f>
        <v/>
      </c>
      <c r="AK527" s="76">
        <f>AJ527*E527</f>
        <v/>
      </c>
      <c r="AL527" s="174">
        <f>ROUND(IFERROR(AM527*E527,0),2)</f>
        <v/>
      </c>
      <c r="AM527" s="175">
        <f>ROUND(AJ527*(1+IF(offer_incoterms="DDP",IF((TODAY()+offer_turnaround_time)&gt;=helpsheet!$L$17,rate_vatRU_from_26,rate_vatRu_till_25),0)),2)</f>
        <v/>
      </c>
      <c r="AN527" s="192">
        <f>AL527-AK527</f>
        <v/>
      </c>
      <c r="AO527" s="76">
        <f>SUM(AY527,Y527:Z527,T527)*IF(AND(offer_incoterms="DDP",offer_sale_type&lt;&gt;"экспорт"),IF((TODAY()+offer_turnaround_time)&gt;=helpsheet!$L$17,rate_vatRU_from_26,rate_vatRu_till_25),0)</f>
        <v/>
      </c>
      <c r="AP527" s="193">
        <f>AN527-AO527</f>
        <v/>
      </c>
      <c r="AQ527" s="118">
        <f>IF(offer_sale_type="транзит",SUM(AF527:AI527,BA527,BB527),0)</f>
        <v/>
      </c>
      <c r="AR527" s="82">
        <f>HYPERLINK("https://www.alta.ru/tnved/code/")&amp;W527&amp;"/"</f>
        <v/>
      </c>
      <c r="AS527" s="157" t="n"/>
      <c r="AT527" s="162" t="n"/>
      <c r="AU527" s="76">
        <f>IF(ISBLANK(AT527),0,AJ527-AT527)</f>
        <v/>
      </c>
      <c r="AV527" s="157" t="n"/>
      <c r="AW527" s="75">
        <f>_xlfn.IFNA(VLOOKUP(L527,list_vat[],3,FALSE),0)</f>
        <v/>
      </c>
      <c r="AX527" s="76">
        <f>IFERROR(ROUND(S527*(1+AW527)/E527,2),0)</f>
        <v/>
      </c>
      <c r="AY527" s="76">
        <f>E527*AX527</f>
        <v/>
      </c>
      <c r="AZ527" s="192">
        <f>S527*(1+M527)</f>
        <v/>
      </c>
      <c r="BA527" s="76">
        <f>cost_fin_total*$BD527</f>
        <v/>
      </c>
      <c r="BB527" s="193">
        <f>credit_sales_interest*BD527</f>
        <v/>
      </c>
      <c r="BC527" s="102">
        <f>IFERROR(IF($I$13&gt;0,$I527/$I$13,$S527/$S$13),0)</f>
        <v/>
      </c>
      <c r="BD527" s="102">
        <f>IFERROR($S527/$S$13,0)</f>
        <v/>
      </c>
      <c r="BE527" s="413" t="inlineStr">
        <is>
          <t>$</t>
        </is>
      </c>
    </row>
    <row r="528" ht="12" customFormat="1" customHeight="1" s="65">
      <c r="A528" s="43" t="n">
        <v>513</v>
      </c>
      <c r="B528" s="166" t="n"/>
      <c r="C528" s="166" t="n"/>
      <c r="D528" s="166" t="n"/>
      <c r="E528" s="162" t="n"/>
      <c r="F528" s="166" t="n"/>
      <c r="G528" s="162" t="n"/>
      <c r="H528" s="162" t="n"/>
      <c r="I528" s="189">
        <f>E528*G528</f>
        <v/>
      </c>
      <c r="J528" s="195" t="n"/>
      <c r="K528" s="162" t="n"/>
      <c r="L528" s="168" t="n"/>
      <c r="M528" s="75">
        <f>_xlfn.XLOOKUP(L528,list_vat[Страна],list_vat[Ставка НДС %],0,0)</f>
        <v/>
      </c>
      <c r="N528" s="162">
        <f>IFERROR(IF(L528="Китай",K528,K528/(1+M528)),0)</f>
        <v/>
      </c>
      <c r="O528" s="169" t="n"/>
      <c r="P528" s="76">
        <f>N528*(1-O528)</f>
        <v/>
      </c>
      <c r="Q528" s="162" t="n"/>
      <c r="R528" s="162">
        <f>IF(ISBLANK(Q528),"введи курс",P528/Q528)</f>
        <v/>
      </c>
      <c r="S528" s="196">
        <f>IF(AND(ISNUMBER(E528),ISNUMBER(Q528)),E528*R528,0)</f>
        <v/>
      </c>
      <c r="T528" s="192">
        <f>$BC528*V$11</f>
        <v/>
      </c>
      <c r="U528" s="76">
        <f>$BC528*W$11</f>
        <v/>
      </c>
      <c r="V528" s="193">
        <f>+SUM(T528:U528)</f>
        <v/>
      </c>
      <c r="W528" s="191" t="n"/>
      <c r="X528" s="170" t="n"/>
      <c r="Y528" s="76">
        <f>ROUND(IF(offer_incoterms="DDP",X528*(S528*(1+AW528)+T528),0),2)</f>
        <v/>
      </c>
      <c r="Z528" s="188" t="n"/>
      <c r="AA528" s="192">
        <f>IFERROR(AB528/E528,0)</f>
        <v/>
      </c>
      <c r="AB528" s="76">
        <f>ROUND(SUM(S528,V528,Y528:Z528,BA528:BB528),2)</f>
        <v/>
      </c>
      <c r="AC528" s="797" t="n"/>
      <c r="AD528" s="192">
        <f t="array" ref="AD528">IFERROR(ROUND((_xlfn.IFS(offer_sale_type="поставка",AB528,offer_sale_type="транзит",S528)*(1+AC528))/E528,2),0)</f>
        <v/>
      </c>
      <c r="AE528" s="76">
        <f>AD528*E528</f>
        <v/>
      </c>
      <c r="AF528" s="193">
        <f t="array" ref="AF528">IFERROR(ROUND(_xlfn.IFS(offer_sale_type="поставка",AB528,offer_sale_type="транзит",S528)*AC528,2),0)</f>
        <v/>
      </c>
      <c r="AG528" s="192">
        <f>$BD528*VLOOKUP($AG$3,$AF$4:$AG$7,2,FALSE)</f>
        <v/>
      </c>
      <c r="AH528" s="76">
        <f>SUM(AE528,AG528,AI528)*rate_forex_risk</f>
        <v/>
      </c>
      <c r="AI528" s="193">
        <f>IF(OR(seller_region="TR",offer_sale_type="экспорт"),0,rate_fin_comm)*SUM(AZ528,AZ528*AW528,T528)</f>
        <v/>
      </c>
      <c r="AJ528" s="118">
        <f>IFERROR(ROUND(SUM(AB528,AF528:AI528)/E528,2),0)</f>
        <v/>
      </c>
      <c r="AK528" s="76">
        <f>AJ528*E528</f>
        <v/>
      </c>
      <c r="AL528" s="174">
        <f>ROUND(IFERROR(AM528*E528,0),2)</f>
        <v/>
      </c>
      <c r="AM528" s="175">
        <f>ROUND(AJ528*(1+IF(offer_incoterms="DDP",IF((TODAY()+offer_turnaround_time)&gt;=helpsheet!$L$17,rate_vatRU_from_26,rate_vatRu_till_25),0)),2)</f>
        <v/>
      </c>
      <c r="AN528" s="192">
        <f>AL528-AK528</f>
        <v/>
      </c>
      <c r="AO528" s="76">
        <f>SUM(AY528,Y528:Z528,T528)*IF(AND(offer_incoterms="DDP",offer_sale_type&lt;&gt;"экспорт"),IF((TODAY()+offer_turnaround_time)&gt;=helpsheet!$L$17,rate_vatRU_from_26,rate_vatRu_till_25),0)</f>
        <v/>
      </c>
      <c r="AP528" s="193">
        <f>AN528-AO528</f>
        <v/>
      </c>
      <c r="AQ528" s="118">
        <f>IF(offer_sale_type="транзит",SUM(AF528:AI528,BA528,BB528),0)</f>
        <v/>
      </c>
      <c r="AR528" s="82">
        <f>HYPERLINK("https://www.alta.ru/tnved/code/")&amp;W528&amp;"/"</f>
        <v/>
      </c>
      <c r="AS528" s="157" t="n"/>
      <c r="AT528" s="162" t="n"/>
      <c r="AU528" s="76">
        <f>IF(ISBLANK(AT528),0,AJ528-AT528)</f>
        <v/>
      </c>
      <c r="AV528" s="157" t="n"/>
      <c r="AW528" s="75">
        <f>_xlfn.IFNA(VLOOKUP(L528,list_vat[],3,FALSE),0)</f>
        <v/>
      </c>
      <c r="AX528" s="76">
        <f>IFERROR(ROUND(S528*(1+AW528)/E528,2),0)</f>
        <v/>
      </c>
      <c r="AY528" s="76">
        <f>E528*AX528</f>
        <v/>
      </c>
      <c r="AZ528" s="192">
        <f>S528*(1+M528)</f>
        <v/>
      </c>
      <c r="BA528" s="76">
        <f>cost_fin_total*$BD528</f>
        <v/>
      </c>
      <c r="BB528" s="193">
        <f>credit_sales_interest*BD528</f>
        <v/>
      </c>
      <c r="BC528" s="102">
        <f>IFERROR(IF($I$13&gt;0,$I528/$I$13,$S528/$S$13),0)</f>
        <v/>
      </c>
      <c r="BD528" s="102">
        <f>IFERROR($S528/$S$13,0)</f>
        <v/>
      </c>
      <c r="BE528" s="413" t="inlineStr">
        <is>
          <t>$</t>
        </is>
      </c>
    </row>
    <row r="529" ht="12" customFormat="1" customHeight="1" s="65">
      <c r="A529" s="43" t="n">
        <v>514</v>
      </c>
      <c r="B529" s="166" t="n"/>
      <c r="C529" s="166" t="n"/>
      <c r="D529" s="166" t="n"/>
      <c r="E529" s="162" t="n"/>
      <c r="F529" s="166" t="n"/>
      <c r="G529" s="162" t="n"/>
      <c r="H529" s="162" t="n"/>
      <c r="I529" s="189">
        <f>E529*G529</f>
        <v/>
      </c>
      <c r="J529" s="195" t="n"/>
      <c r="K529" s="162" t="n"/>
      <c r="L529" s="168" t="n"/>
      <c r="M529" s="75">
        <f>_xlfn.XLOOKUP(L529,list_vat[Страна],list_vat[Ставка НДС %],0,0)</f>
        <v/>
      </c>
      <c r="N529" s="162">
        <f>IFERROR(IF(L529="Китай",K529,K529/(1+M529)),0)</f>
        <v/>
      </c>
      <c r="O529" s="169" t="n"/>
      <c r="P529" s="76">
        <f>N529*(1-O529)</f>
        <v/>
      </c>
      <c r="Q529" s="162" t="n"/>
      <c r="R529" s="162">
        <f>IF(ISBLANK(Q529),"введи курс",P529/Q529)</f>
        <v/>
      </c>
      <c r="S529" s="196">
        <f>IF(AND(ISNUMBER(E529),ISNUMBER(Q529)),E529*R529,0)</f>
        <v/>
      </c>
      <c r="T529" s="192">
        <f>$BC529*V$11</f>
        <v/>
      </c>
      <c r="U529" s="76">
        <f>$BC529*W$11</f>
        <v/>
      </c>
      <c r="V529" s="193">
        <f>+SUM(T529:U529)</f>
        <v/>
      </c>
      <c r="W529" s="191" t="n"/>
      <c r="X529" s="170" t="n"/>
      <c r="Y529" s="76">
        <f>ROUND(IF(offer_incoterms="DDP",X529*(S529*(1+AW529)+T529),0),2)</f>
        <v/>
      </c>
      <c r="Z529" s="188" t="n"/>
      <c r="AA529" s="192">
        <f>IFERROR(AB529/E529,0)</f>
        <v/>
      </c>
      <c r="AB529" s="76">
        <f>ROUND(SUM(S529,V529,Y529:Z529,BA529:BB529),2)</f>
        <v/>
      </c>
      <c r="AC529" s="797" t="n"/>
      <c r="AD529" s="192">
        <f t="array" ref="AD529">IFERROR(ROUND((_xlfn.IFS(offer_sale_type="поставка",AB529,offer_sale_type="транзит",S529)*(1+AC529))/E529,2),0)</f>
        <v/>
      </c>
      <c r="AE529" s="76">
        <f>AD529*E529</f>
        <v/>
      </c>
      <c r="AF529" s="193">
        <f t="array" ref="AF529">IFERROR(ROUND(_xlfn.IFS(offer_sale_type="поставка",AB529,offer_sale_type="транзит",S529)*AC529,2),0)</f>
        <v/>
      </c>
      <c r="AG529" s="192">
        <f>$BD529*VLOOKUP($AG$3,$AF$4:$AG$7,2,FALSE)</f>
        <v/>
      </c>
      <c r="AH529" s="76">
        <f>SUM(AE529,AG529,AI529)*rate_forex_risk</f>
        <v/>
      </c>
      <c r="AI529" s="193">
        <f>IF(OR(seller_region="TR",offer_sale_type="экспорт"),0,rate_fin_comm)*SUM(AZ529,AZ529*AW529,T529)</f>
        <v/>
      </c>
      <c r="AJ529" s="118">
        <f>IFERROR(ROUND(SUM(AB529,AF529:AI529)/E529,2),0)</f>
        <v/>
      </c>
      <c r="AK529" s="76">
        <f>AJ529*E529</f>
        <v/>
      </c>
      <c r="AL529" s="174">
        <f>ROUND(IFERROR(AM529*E529,0),2)</f>
        <v/>
      </c>
      <c r="AM529" s="175">
        <f>ROUND(AJ529*(1+IF(offer_incoterms="DDP",IF((TODAY()+offer_turnaround_time)&gt;=helpsheet!$L$17,rate_vatRU_from_26,rate_vatRu_till_25),0)),2)</f>
        <v/>
      </c>
      <c r="AN529" s="192">
        <f>AL529-AK529</f>
        <v/>
      </c>
      <c r="AO529" s="76">
        <f>SUM(AY529,Y529:Z529,T529)*IF(AND(offer_incoterms="DDP",offer_sale_type&lt;&gt;"экспорт"),IF((TODAY()+offer_turnaround_time)&gt;=helpsheet!$L$17,rate_vatRU_from_26,rate_vatRu_till_25),0)</f>
        <v/>
      </c>
      <c r="AP529" s="193">
        <f>AN529-AO529</f>
        <v/>
      </c>
      <c r="AQ529" s="118">
        <f>IF(offer_sale_type="транзит",SUM(AF529:AI529,BA529,BB529),0)</f>
        <v/>
      </c>
      <c r="AR529" s="82">
        <f>HYPERLINK("https://www.alta.ru/tnved/code/")&amp;W529&amp;"/"</f>
        <v/>
      </c>
      <c r="AS529" s="157" t="n"/>
      <c r="AT529" s="162" t="n"/>
      <c r="AU529" s="76">
        <f>IF(ISBLANK(AT529),0,AJ529-AT529)</f>
        <v/>
      </c>
      <c r="AV529" s="157" t="n"/>
      <c r="AW529" s="75">
        <f>_xlfn.IFNA(VLOOKUP(L529,list_vat[],3,FALSE),0)</f>
        <v/>
      </c>
      <c r="AX529" s="76">
        <f>IFERROR(ROUND(S529*(1+AW529)/E529,2),0)</f>
        <v/>
      </c>
      <c r="AY529" s="76">
        <f>E529*AX529</f>
        <v/>
      </c>
      <c r="AZ529" s="192">
        <f>S529*(1+M529)</f>
        <v/>
      </c>
      <c r="BA529" s="76">
        <f>cost_fin_total*$BD529</f>
        <v/>
      </c>
      <c r="BB529" s="193">
        <f>credit_sales_interest*BD529</f>
        <v/>
      </c>
      <c r="BC529" s="102">
        <f>IFERROR(IF($I$13&gt;0,$I529/$I$13,$S529/$S$13),0)</f>
        <v/>
      </c>
      <c r="BD529" s="102">
        <f>IFERROR($S529/$S$13,0)</f>
        <v/>
      </c>
      <c r="BE529" s="413" t="inlineStr">
        <is>
          <t>$</t>
        </is>
      </c>
    </row>
    <row r="530" ht="12" customFormat="1" customHeight="1" s="65">
      <c r="A530" s="43" t="n">
        <v>515</v>
      </c>
      <c r="B530" s="166" t="n"/>
      <c r="C530" s="166" t="n"/>
      <c r="D530" s="166" t="n"/>
      <c r="E530" s="162" t="n"/>
      <c r="F530" s="166" t="n"/>
      <c r="G530" s="162" t="n"/>
      <c r="H530" s="162" t="n"/>
      <c r="I530" s="189">
        <f>E530*G530</f>
        <v/>
      </c>
      <c r="J530" s="195" t="n"/>
      <c r="K530" s="162" t="n"/>
      <c r="L530" s="168" t="n"/>
      <c r="M530" s="75">
        <f>_xlfn.XLOOKUP(L530,list_vat[Страна],list_vat[Ставка НДС %],0,0)</f>
        <v/>
      </c>
      <c r="N530" s="162">
        <f>IFERROR(IF(L530="Китай",K530,K530/(1+M530)),0)</f>
        <v/>
      </c>
      <c r="O530" s="169" t="n"/>
      <c r="P530" s="76">
        <f>N530*(1-O530)</f>
        <v/>
      </c>
      <c r="Q530" s="162" t="n"/>
      <c r="R530" s="162">
        <f>IF(ISBLANK(Q530),"введи курс",P530/Q530)</f>
        <v/>
      </c>
      <c r="S530" s="196">
        <f>IF(AND(ISNUMBER(E530),ISNUMBER(Q530)),E530*R530,0)</f>
        <v/>
      </c>
      <c r="T530" s="192">
        <f>$BC530*V$11</f>
        <v/>
      </c>
      <c r="U530" s="76">
        <f>$BC530*W$11</f>
        <v/>
      </c>
      <c r="V530" s="193">
        <f>+SUM(T530:U530)</f>
        <v/>
      </c>
      <c r="W530" s="191" t="n"/>
      <c r="X530" s="170" t="n"/>
      <c r="Y530" s="76">
        <f>ROUND(IF(offer_incoterms="DDP",X530*(S530*(1+AW530)+T530),0),2)</f>
        <v/>
      </c>
      <c r="Z530" s="188" t="n"/>
      <c r="AA530" s="192">
        <f>IFERROR(AB530/E530,0)</f>
        <v/>
      </c>
      <c r="AB530" s="76">
        <f>ROUND(SUM(S530,V530,Y530:Z530,BA530:BB530),2)</f>
        <v/>
      </c>
      <c r="AC530" s="797" t="n"/>
      <c r="AD530" s="192">
        <f t="array" ref="AD530">IFERROR(ROUND((_xlfn.IFS(offer_sale_type="поставка",AB530,offer_sale_type="транзит",S530)*(1+AC530))/E530,2),0)</f>
        <v/>
      </c>
      <c r="AE530" s="76">
        <f>AD530*E530</f>
        <v/>
      </c>
      <c r="AF530" s="193">
        <f t="array" ref="AF530">IFERROR(ROUND(_xlfn.IFS(offer_sale_type="поставка",AB530,offer_sale_type="транзит",S530)*AC530,2),0)</f>
        <v/>
      </c>
      <c r="AG530" s="192">
        <f>$BD530*VLOOKUP($AG$3,$AF$4:$AG$7,2,FALSE)</f>
        <v/>
      </c>
      <c r="AH530" s="76">
        <f>SUM(AE530,AG530,AI530)*rate_forex_risk</f>
        <v/>
      </c>
      <c r="AI530" s="193">
        <f>IF(OR(seller_region="TR",offer_sale_type="экспорт"),0,rate_fin_comm)*SUM(AZ530,AZ530*AW530,T530)</f>
        <v/>
      </c>
      <c r="AJ530" s="118">
        <f>IFERROR(ROUND(SUM(AB530,AF530:AI530)/E530,2),0)</f>
        <v/>
      </c>
      <c r="AK530" s="76">
        <f>AJ530*E530</f>
        <v/>
      </c>
      <c r="AL530" s="174">
        <f>ROUND(IFERROR(AM530*E530,0),2)</f>
        <v/>
      </c>
      <c r="AM530" s="175">
        <f>ROUND(AJ530*(1+IF(offer_incoterms="DDP",IF((TODAY()+offer_turnaround_time)&gt;=helpsheet!$L$17,rate_vatRU_from_26,rate_vatRu_till_25),0)),2)</f>
        <v/>
      </c>
      <c r="AN530" s="192">
        <f>AL530-AK530</f>
        <v/>
      </c>
      <c r="AO530" s="76">
        <f>SUM(AY530,Y530:Z530,T530)*IF(AND(offer_incoterms="DDP",offer_sale_type&lt;&gt;"экспорт"),IF((TODAY()+offer_turnaround_time)&gt;=helpsheet!$L$17,rate_vatRU_from_26,rate_vatRu_till_25),0)</f>
        <v/>
      </c>
      <c r="AP530" s="193">
        <f>AN530-AO530</f>
        <v/>
      </c>
      <c r="AQ530" s="118">
        <f>IF(offer_sale_type="транзит",SUM(AF530:AI530,BA530,BB530),0)</f>
        <v/>
      </c>
      <c r="AR530" s="82">
        <f>HYPERLINK("https://www.alta.ru/tnved/code/")&amp;W530&amp;"/"</f>
        <v/>
      </c>
      <c r="AS530" s="157" t="n"/>
      <c r="AT530" s="162" t="n"/>
      <c r="AU530" s="76">
        <f>IF(ISBLANK(AT530),0,AJ530-AT530)</f>
        <v/>
      </c>
      <c r="AV530" s="157" t="n"/>
      <c r="AW530" s="75">
        <f>_xlfn.IFNA(VLOOKUP(L530,list_vat[],3,FALSE),0)</f>
        <v/>
      </c>
      <c r="AX530" s="76">
        <f>IFERROR(ROUND(S530*(1+AW530)/E530,2),0)</f>
        <v/>
      </c>
      <c r="AY530" s="76">
        <f>E530*AX530</f>
        <v/>
      </c>
      <c r="AZ530" s="192">
        <f>S530*(1+M530)</f>
        <v/>
      </c>
      <c r="BA530" s="76">
        <f>cost_fin_total*$BD530</f>
        <v/>
      </c>
      <c r="BB530" s="193">
        <f>credit_sales_interest*BD530</f>
        <v/>
      </c>
      <c r="BC530" s="102">
        <f>IFERROR(IF($I$13&gt;0,$I530/$I$13,$S530/$S$13),0)</f>
        <v/>
      </c>
      <c r="BD530" s="102">
        <f>IFERROR($S530/$S$13,0)</f>
        <v/>
      </c>
      <c r="BE530" s="413" t="inlineStr">
        <is>
          <t>$</t>
        </is>
      </c>
    </row>
    <row r="531" ht="12" customFormat="1" customHeight="1" s="65">
      <c r="A531" s="43" t="n">
        <v>516</v>
      </c>
      <c r="B531" s="166" t="n"/>
      <c r="C531" s="166" t="n"/>
      <c r="D531" s="166" t="n"/>
      <c r="E531" s="162" t="n"/>
      <c r="F531" s="166" t="n"/>
      <c r="G531" s="162" t="n"/>
      <c r="H531" s="162" t="n"/>
      <c r="I531" s="189">
        <f>E531*G531</f>
        <v/>
      </c>
      <c r="J531" s="195" t="n"/>
      <c r="K531" s="162" t="n"/>
      <c r="L531" s="168" t="n"/>
      <c r="M531" s="75">
        <f>_xlfn.XLOOKUP(L531,list_vat[Страна],list_vat[Ставка НДС %],0,0)</f>
        <v/>
      </c>
      <c r="N531" s="162">
        <f>IFERROR(IF(L531="Китай",K531,K531/(1+M531)),0)</f>
        <v/>
      </c>
      <c r="O531" s="169" t="n"/>
      <c r="P531" s="76">
        <f>N531*(1-O531)</f>
        <v/>
      </c>
      <c r="Q531" s="162" t="n"/>
      <c r="R531" s="162">
        <f>IF(ISBLANK(Q531),"введи курс",P531/Q531)</f>
        <v/>
      </c>
      <c r="S531" s="196">
        <f>IF(AND(ISNUMBER(E531),ISNUMBER(Q531)),E531*R531,0)</f>
        <v/>
      </c>
      <c r="T531" s="192">
        <f>$BC531*V$11</f>
        <v/>
      </c>
      <c r="U531" s="76">
        <f>$BC531*W$11</f>
        <v/>
      </c>
      <c r="V531" s="193">
        <f>+SUM(T531:U531)</f>
        <v/>
      </c>
      <c r="W531" s="191" t="n"/>
      <c r="X531" s="170" t="n"/>
      <c r="Y531" s="76">
        <f>ROUND(IF(offer_incoterms="DDP",X531*(S531*(1+AW531)+T531),0),2)</f>
        <v/>
      </c>
      <c r="Z531" s="188" t="n"/>
      <c r="AA531" s="192">
        <f>IFERROR(AB531/E531,0)</f>
        <v/>
      </c>
      <c r="AB531" s="76">
        <f>ROUND(SUM(S531,V531,Y531:Z531,BA531:BB531),2)</f>
        <v/>
      </c>
      <c r="AC531" s="797" t="n"/>
      <c r="AD531" s="192">
        <f t="array" ref="AD531">IFERROR(ROUND((_xlfn.IFS(offer_sale_type="поставка",AB531,offer_sale_type="транзит",S531)*(1+AC531))/E531,2),0)</f>
        <v/>
      </c>
      <c r="AE531" s="76">
        <f>AD531*E531</f>
        <v/>
      </c>
      <c r="AF531" s="193">
        <f t="array" ref="AF531">IFERROR(ROUND(_xlfn.IFS(offer_sale_type="поставка",AB531,offer_sale_type="транзит",S531)*AC531,2),0)</f>
        <v/>
      </c>
      <c r="AG531" s="192">
        <f>$BD531*VLOOKUP($AG$3,$AF$4:$AG$7,2,FALSE)</f>
        <v/>
      </c>
      <c r="AH531" s="76">
        <f>SUM(AE531,AG531,AI531)*rate_forex_risk</f>
        <v/>
      </c>
      <c r="AI531" s="193">
        <f>IF(OR(seller_region="TR",offer_sale_type="экспорт"),0,rate_fin_comm)*SUM(AZ531,AZ531*AW531,T531)</f>
        <v/>
      </c>
      <c r="AJ531" s="118">
        <f>IFERROR(ROUND(SUM(AB531,AF531:AI531)/E531,2),0)</f>
        <v/>
      </c>
      <c r="AK531" s="76">
        <f>AJ531*E531</f>
        <v/>
      </c>
      <c r="AL531" s="174">
        <f>ROUND(IFERROR(AM531*E531,0),2)</f>
        <v/>
      </c>
      <c r="AM531" s="175">
        <f>ROUND(AJ531*(1+IF(offer_incoterms="DDP",IF((TODAY()+offer_turnaround_time)&gt;=helpsheet!$L$17,rate_vatRU_from_26,rate_vatRu_till_25),0)),2)</f>
        <v/>
      </c>
      <c r="AN531" s="192">
        <f>AL531-AK531</f>
        <v/>
      </c>
      <c r="AO531" s="76">
        <f>SUM(AY531,Y531:Z531,T531)*IF(AND(offer_incoterms="DDP",offer_sale_type&lt;&gt;"экспорт"),IF((TODAY()+offer_turnaround_time)&gt;=helpsheet!$L$17,rate_vatRU_from_26,rate_vatRu_till_25),0)</f>
        <v/>
      </c>
      <c r="AP531" s="193">
        <f>AN531-AO531</f>
        <v/>
      </c>
      <c r="AQ531" s="118">
        <f>IF(offer_sale_type="транзит",SUM(AF531:AI531,BA531,BB531),0)</f>
        <v/>
      </c>
      <c r="AR531" s="82">
        <f>HYPERLINK("https://www.alta.ru/tnved/code/")&amp;W531&amp;"/"</f>
        <v/>
      </c>
      <c r="AS531" s="157" t="n"/>
      <c r="AT531" s="162" t="n"/>
      <c r="AU531" s="76">
        <f>IF(ISBLANK(AT531),0,AJ531-AT531)</f>
        <v/>
      </c>
      <c r="AV531" s="157" t="n"/>
      <c r="AW531" s="75">
        <f>_xlfn.IFNA(VLOOKUP(L531,list_vat[],3,FALSE),0)</f>
        <v/>
      </c>
      <c r="AX531" s="76">
        <f>IFERROR(ROUND(S531*(1+AW531)/E531,2),0)</f>
        <v/>
      </c>
      <c r="AY531" s="76">
        <f>E531*AX531</f>
        <v/>
      </c>
      <c r="AZ531" s="192">
        <f>S531*(1+M531)</f>
        <v/>
      </c>
      <c r="BA531" s="76">
        <f>cost_fin_total*$BD531</f>
        <v/>
      </c>
      <c r="BB531" s="193">
        <f>credit_sales_interest*BD531</f>
        <v/>
      </c>
      <c r="BC531" s="102">
        <f>IFERROR(IF($I$13&gt;0,$I531/$I$13,$S531/$S$13),0)</f>
        <v/>
      </c>
      <c r="BD531" s="102">
        <f>IFERROR($S531/$S$13,0)</f>
        <v/>
      </c>
      <c r="BE531" s="413" t="inlineStr">
        <is>
          <t>$</t>
        </is>
      </c>
    </row>
    <row r="532" ht="12" customFormat="1" customHeight="1" s="65">
      <c r="A532" s="43" t="n">
        <v>517</v>
      </c>
      <c r="B532" s="166" t="n"/>
      <c r="C532" s="166" t="n"/>
      <c r="D532" s="166" t="n"/>
      <c r="E532" s="162" t="n"/>
      <c r="F532" s="166" t="n"/>
      <c r="G532" s="162" t="n"/>
      <c r="H532" s="162" t="n"/>
      <c r="I532" s="189">
        <f>E532*G532</f>
        <v/>
      </c>
      <c r="J532" s="195" t="n"/>
      <c r="K532" s="162" t="n"/>
      <c r="L532" s="168" t="n"/>
      <c r="M532" s="75">
        <f>_xlfn.XLOOKUP(L532,list_vat[Страна],list_vat[Ставка НДС %],0,0)</f>
        <v/>
      </c>
      <c r="N532" s="162">
        <f>IFERROR(IF(L532="Китай",K532,K532/(1+M532)),0)</f>
        <v/>
      </c>
      <c r="O532" s="169" t="n"/>
      <c r="P532" s="76">
        <f>N532*(1-O532)</f>
        <v/>
      </c>
      <c r="Q532" s="162" t="n"/>
      <c r="R532" s="162">
        <f>IF(ISBLANK(Q532),"введи курс",P532/Q532)</f>
        <v/>
      </c>
      <c r="S532" s="196">
        <f>IF(AND(ISNUMBER(E532),ISNUMBER(Q532)),E532*R532,0)</f>
        <v/>
      </c>
      <c r="T532" s="192">
        <f>$BC532*V$11</f>
        <v/>
      </c>
      <c r="U532" s="76">
        <f>$BC532*W$11</f>
        <v/>
      </c>
      <c r="V532" s="193">
        <f>+SUM(T532:U532)</f>
        <v/>
      </c>
      <c r="W532" s="191" t="n"/>
      <c r="X532" s="170" t="n"/>
      <c r="Y532" s="76">
        <f>ROUND(IF(offer_incoterms="DDP",X532*(S532*(1+AW532)+T532),0),2)</f>
        <v/>
      </c>
      <c r="Z532" s="188" t="n"/>
      <c r="AA532" s="192">
        <f>IFERROR(AB532/E532,0)</f>
        <v/>
      </c>
      <c r="AB532" s="76">
        <f>ROUND(SUM(S532,V532,Y532:Z532,BA532:BB532),2)</f>
        <v/>
      </c>
      <c r="AC532" s="797" t="n"/>
      <c r="AD532" s="192">
        <f t="array" ref="AD532">IFERROR(ROUND((_xlfn.IFS(offer_sale_type="поставка",AB532,offer_sale_type="транзит",S532)*(1+AC532))/E532,2),0)</f>
        <v/>
      </c>
      <c r="AE532" s="76">
        <f>AD532*E532</f>
        <v/>
      </c>
      <c r="AF532" s="193">
        <f t="array" ref="AF532">IFERROR(ROUND(_xlfn.IFS(offer_sale_type="поставка",AB532,offer_sale_type="транзит",S532)*AC532,2),0)</f>
        <v/>
      </c>
      <c r="AG532" s="192">
        <f>$BD532*VLOOKUP($AG$3,$AF$4:$AG$7,2,FALSE)</f>
        <v/>
      </c>
      <c r="AH532" s="76">
        <f>SUM(AE532,AG532,AI532)*rate_forex_risk</f>
        <v/>
      </c>
      <c r="AI532" s="193">
        <f>IF(OR(seller_region="TR",offer_sale_type="экспорт"),0,rate_fin_comm)*SUM(AZ532,AZ532*AW532,T532)</f>
        <v/>
      </c>
      <c r="AJ532" s="118">
        <f>IFERROR(ROUND(SUM(AB532,AF532:AI532)/E532,2),0)</f>
        <v/>
      </c>
      <c r="AK532" s="76">
        <f>AJ532*E532</f>
        <v/>
      </c>
      <c r="AL532" s="174">
        <f>ROUND(IFERROR(AM532*E532,0),2)</f>
        <v/>
      </c>
      <c r="AM532" s="175">
        <f>ROUND(AJ532*(1+IF(offer_incoterms="DDP",IF((TODAY()+offer_turnaround_time)&gt;=helpsheet!$L$17,rate_vatRU_from_26,rate_vatRu_till_25),0)),2)</f>
        <v/>
      </c>
      <c r="AN532" s="192">
        <f>AL532-AK532</f>
        <v/>
      </c>
      <c r="AO532" s="76">
        <f>SUM(AY532,Y532:Z532,T532)*IF(AND(offer_incoterms="DDP",offer_sale_type&lt;&gt;"экспорт"),IF((TODAY()+offer_turnaround_time)&gt;=helpsheet!$L$17,rate_vatRU_from_26,rate_vatRu_till_25),0)</f>
        <v/>
      </c>
      <c r="AP532" s="193">
        <f>AN532-AO532</f>
        <v/>
      </c>
      <c r="AQ532" s="118">
        <f>IF(offer_sale_type="транзит",SUM(AF532:AI532,BA532,BB532),0)</f>
        <v/>
      </c>
      <c r="AR532" s="82">
        <f>HYPERLINK("https://www.alta.ru/tnved/code/")&amp;W532&amp;"/"</f>
        <v/>
      </c>
      <c r="AS532" s="157" t="n"/>
      <c r="AT532" s="162" t="n"/>
      <c r="AU532" s="76">
        <f>IF(ISBLANK(AT532),0,AJ532-AT532)</f>
        <v/>
      </c>
      <c r="AV532" s="157" t="n"/>
      <c r="AW532" s="75">
        <f>_xlfn.IFNA(VLOOKUP(L532,list_vat[],3,FALSE),0)</f>
        <v/>
      </c>
      <c r="AX532" s="76">
        <f>IFERROR(ROUND(S532*(1+AW532)/E532,2),0)</f>
        <v/>
      </c>
      <c r="AY532" s="76">
        <f>E532*AX532</f>
        <v/>
      </c>
      <c r="AZ532" s="192">
        <f>S532*(1+M532)</f>
        <v/>
      </c>
      <c r="BA532" s="76">
        <f>cost_fin_total*$BD532</f>
        <v/>
      </c>
      <c r="BB532" s="193">
        <f>credit_sales_interest*BD532</f>
        <v/>
      </c>
      <c r="BC532" s="102">
        <f>IFERROR(IF($I$13&gt;0,$I532/$I$13,$S532/$S$13),0)</f>
        <v/>
      </c>
      <c r="BD532" s="102">
        <f>IFERROR($S532/$S$13,0)</f>
        <v/>
      </c>
      <c r="BE532" s="413" t="inlineStr">
        <is>
          <t>$</t>
        </is>
      </c>
    </row>
    <row r="533" ht="12" customFormat="1" customHeight="1" s="65">
      <c r="A533" s="43" t="n">
        <v>518</v>
      </c>
      <c r="B533" s="166" t="n"/>
      <c r="C533" s="166" t="n"/>
      <c r="D533" s="166" t="n"/>
      <c r="E533" s="162" t="n"/>
      <c r="F533" s="166" t="n"/>
      <c r="G533" s="162" t="n"/>
      <c r="H533" s="162" t="n"/>
      <c r="I533" s="189">
        <f>E533*G533</f>
        <v/>
      </c>
      <c r="J533" s="195" t="n"/>
      <c r="K533" s="162" t="n"/>
      <c r="L533" s="168" t="n"/>
      <c r="M533" s="75">
        <f>_xlfn.XLOOKUP(L533,list_vat[Страна],list_vat[Ставка НДС %],0,0)</f>
        <v/>
      </c>
      <c r="N533" s="162">
        <f>IFERROR(IF(L533="Китай",K533,K533/(1+M533)),0)</f>
        <v/>
      </c>
      <c r="O533" s="169" t="n"/>
      <c r="P533" s="76">
        <f>N533*(1-O533)</f>
        <v/>
      </c>
      <c r="Q533" s="162" t="n"/>
      <c r="R533" s="162">
        <f>IF(ISBLANK(Q533),"введи курс",P533/Q533)</f>
        <v/>
      </c>
      <c r="S533" s="196">
        <f>IF(AND(ISNUMBER(E533),ISNUMBER(Q533)),E533*R533,0)</f>
        <v/>
      </c>
      <c r="T533" s="192">
        <f>$BC533*V$11</f>
        <v/>
      </c>
      <c r="U533" s="76">
        <f>$BC533*W$11</f>
        <v/>
      </c>
      <c r="V533" s="193">
        <f>+SUM(T533:U533)</f>
        <v/>
      </c>
      <c r="W533" s="191" t="n"/>
      <c r="X533" s="170" t="n"/>
      <c r="Y533" s="76">
        <f>ROUND(IF(offer_incoterms="DDP",X533*(S533*(1+AW533)+T533),0),2)</f>
        <v/>
      </c>
      <c r="Z533" s="188" t="n"/>
      <c r="AA533" s="192">
        <f>IFERROR(AB533/E533,0)</f>
        <v/>
      </c>
      <c r="AB533" s="76">
        <f>ROUND(SUM(S533,V533,Y533:Z533,BA533:BB533),2)</f>
        <v/>
      </c>
      <c r="AC533" s="797" t="n"/>
      <c r="AD533" s="192">
        <f t="array" ref="AD533">IFERROR(ROUND((_xlfn.IFS(offer_sale_type="поставка",AB533,offer_sale_type="транзит",S533)*(1+AC533))/E533,2),0)</f>
        <v/>
      </c>
      <c r="AE533" s="76">
        <f>AD533*E533</f>
        <v/>
      </c>
      <c r="AF533" s="193">
        <f t="array" ref="AF533">IFERROR(ROUND(_xlfn.IFS(offer_sale_type="поставка",AB533,offer_sale_type="транзит",S533)*AC533,2),0)</f>
        <v/>
      </c>
      <c r="AG533" s="192">
        <f>$BD533*VLOOKUP($AG$3,$AF$4:$AG$7,2,FALSE)</f>
        <v/>
      </c>
      <c r="AH533" s="76">
        <f>SUM(AE533,AG533,AI533)*rate_forex_risk</f>
        <v/>
      </c>
      <c r="AI533" s="193">
        <f>IF(OR(seller_region="TR",offer_sale_type="экспорт"),0,rate_fin_comm)*SUM(AZ533,AZ533*AW533,T533)</f>
        <v/>
      </c>
      <c r="AJ533" s="118">
        <f>IFERROR(ROUND(SUM(AB533,AF533:AI533)/E533,2),0)</f>
        <v/>
      </c>
      <c r="AK533" s="76">
        <f>AJ533*E533</f>
        <v/>
      </c>
      <c r="AL533" s="174">
        <f>ROUND(IFERROR(AM533*E533,0),2)</f>
        <v/>
      </c>
      <c r="AM533" s="175">
        <f>ROUND(AJ533*(1+IF(offer_incoterms="DDP",IF((TODAY()+offer_turnaround_time)&gt;=helpsheet!$L$17,rate_vatRU_from_26,rate_vatRu_till_25),0)),2)</f>
        <v/>
      </c>
      <c r="AN533" s="192">
        <f>AL533-AK533</f>
        <v/>
      </c>
      <c r="AO533" s="76">
        <f>SUM(AY533,Y533:Z533,T533)*IF(AND(offer_incoterms="DDP",offer_sale_type&lt;&gt;"экспорт"),IF((TODAY()+offer_turnaround_time)&gt;=helpsheet!$L$17,rate_vatRU_from_26,rate_vatRu_till_25),0)</f>
        <v/>
      </c>
      <c r="AP533" s="193">
        <f>AN533-AO533</f>
        <v/>
      </c>
      <c r="AQ533" s="118">
        <f>IF(offer_sale_type="транзит",SUM(AF533:AI533,BA533,BB533),0)</f>
        <v/>
      </c>
      <c r="AR533" s="82">
        <f>HYPERLINK("https://www.alta.ru/tnved/code/")&amp;W533&amp;"/"</f>
        <v/>
      </c>
      <c r="AS533" s="157" t="n"/>
      <c r="AT533" s="162" t="n"/>
      <c r="AU533" s="76">
        <f>IF(ISBLANK(AT533),0,AJ533-AT533)</f>
        <v/>
      </c>
      <c r="AV533" s="157" t="n"/>
      <c r="AW533" s="75">
        <f>_xlfn.IFNA(VLOOKUP(L533,list_vat[],3,FALSE),0)</f>
        <v/>
      </c>
      <c r="AX533" s="76">
        <f>IFERROR(ROUND(S533*(1+AW533)/E533,2),0)</f>
        <v/>
      </c>
      <c r="AY533" s="76">
        <f>E533*AX533</f>
        <v/>
      </c>
      <c r="AZ533" s="192">
        <f>S533*(1+M533)</f>
        <v/>
      </c>
      <c r="BA533" s="76">
        <f>cost_fin_total*$BD533</f>
        <v/>
      </c>
      <c r="BB533" s="193">
        <f>credit_sales_interest*BD533</f>
        <v/>
      </c>
      <c r="BC533" s="102">
        <f>IFERROR(IF($I$13&gt;0,$I533/$I$13,$S533/$S$13),0)</f>
        <v/>
      </c>
      <c r="BD533" s="102">
        <f>IFERROR($S533/$S$13,0)</f>
        <v/>
      </c>
      <c r="BE533" s="413" t="inlineStr">
        <is>
          <t>$</t>
        </is>
      </c>
    </row>
    <row r="534" ht="12" customFormat="1" customHeight="1" s="65">
      <c r="A534" s="43" t="n">
        <v>519</v>
      </c>
      <c r="B534" s="166" t="n"/>
      <c r="C534" s="166" t="n"/>
      <c r="D534" s="166" t="n"/>
      <c r="E534" s="162" t="n"/>
      <c r="F534" s="166" t="n"/>
      <c r="G534" s="162" t="n"/>
      <c r="H534" s="162" t="n"/>
      <c r="I534" s="189">
        <f>E534*G534</f>
        <v/>
      </c>
      <c r="J534" s="195" t="n"/>
      <c r="K534" s="162" t="n"/>
      <c r="L534" s="168" t="n"/>
      <c r="M534" s="75">
        <f>_xlfn.XLOOKUP(L534,list_vat[Страна],list_vat[Ставка НДС %],0,0)</f>
        <v/>
      </c>
      <c r="N534" s="162">
        <f>IFERROR(IF(L534="Китай",K534,K534/(1+M534)),0)</f>
        <v/>
      </c>
      <c r="O534" s="169" t="n"/>
      <c r="P534" s="76">
        <f>N534*(1-O534)</f>
        <v/>
      </c>
      <c r="Q534" s="162" t="n"/>
      <c r="R534" s="162">
        <f>IF(ISBLANK(Q534),"введи курс",P534/Q534)</f>
        <v/>
      </c>
      <c r="S534" s="196">
        <f>IF(AND(ISNUMBER(E534),ISNUMBER(Q534)),E534*R534,0)</f>
        <v/>
      </c>
      <c r="T534" s="192">
        <f>$BC534*V$11</f>
        <v/>
      </c>
      <c r="U534" s="76">
        <f>$BC534*W$11</f>
        <v/>
      </c>
      <c r="V534" s="193">
        <f>+SUM(T534:U534)</f>
        <v/>
      </c>
      <c r="W534" s="191" t="n"/>
      <c r="X534" s="170" t="n"/>
      <c r="Y534" s="76">
        <f>ROUND(IF(offer_incoterms="DDP",X534*(S534*(1+AW534)+T534),0),2)</f>
        <v/>
      </c>
      <c r="Z534" s="188" t="n"/>
      <c r="AA534" s="192">
        <f>IFERROR(AB534/E534,0)</f>
        <v/>
      </c>
      <c r="AB534" s="76">
        <f>ROUND(SUM(S534,V534,Y534:Z534,BA534:BB534),2)</f>
        <v/>
      </c>
      <c r="AC534" s="797" t="n"/>
      <c r="AD534" s="192">
        <f t="array" ref="AD534">IFERROR(ROUND((_xlfn.IFS(offer_sale_type="поставка",AB534,offer_sale_type="транзит",S534)*(1+AC534))/E534,2),0)</f>
        <v/>
      </c>
      <c r="AE534" s="76">
        <f>AD534*E534</f>
        <v/>
      </c>
      <c r="AF534" s="193">
        <f t="array" ref="AF534">IFERROR(ROUND(_xlfn.IFS(offer_sale_type="поставка",AB534,offer_sale_type="транзит",S534)*AC534,2),0)</f>
        <v/>
      </c>
      <c r="AG534" s="192">
        <f>$BD534*VLOOKUP($AG$3,$AF$4:$AG$7,2,FALSE)</f>
        <v/>
      </c>
      <c r="AH534" s="76">
        <f>SUM(AE534,AG534,AI534)*rate_forex_risk</f>
        <v/>
      </c>
      <c r="AI534" s="193">
        <f>IF(OR(seller_region="TR",offer_sale_type="экспорт"),0,rate_fin_comm)*SUM(AZ534,AZ534*AW534,T534)</f>
        <v/>
      </c>
      <c r="AJ534" s="118">
        <f>IFERROR(ROUND(SUM(AB534,AF534:AI534)/E534,2),0)</f>
        <v/>
      </c>
      <c r="AK534" s="76">
        <f>AJ534*E534</f>
        <v/>
      </c>
      <c r="AL534" s="174">
        <f>ROUND(IFERROR(AM534*E534,0),2)</f>
        <v/>
      </c>
      <c r="AM534" s="175">
        <f>ROUND(AJ534*(1+IF(offer_incoterms="DDP",IF((TODAY()+offer_turnaround_time)&gt;=helpsheet!$L$17,rate_vatRU_from_26,rate_vatRu_till_25),0)),2)</f>
        <v/>
      </c>
      <c r="AN534" s="192">
        <f>AL534-AK534</f>
        <v/>
      </c>
      <c r="AO534" s="76">
        <f>SUM(AY534,Y534:Z534,T534)*IF(AND(offer_incoterms="DDP",offer_sale_type&lt;&gt;"экспорт"),IF((TODAY()+offer_turnaround_time)&gt;=helpsheet!$L$17,rate_vatRU_from_26,rate_vatRu_till_25),0)</f>
        <v/>
      </c>
      <c r="AP534" s="193">
        <f>AN534-AO534</f>
        <v/>
      </c>
      <c r="AQ534" s="118">
        <f>IF(offer_sale_type="транзит",SUM(AF534:AI534,BA534,BB534),0)</f>
        <v/>
      </c>
      <c r="AR534" s="82">
        <f>HYPERLINK("https://www.alta.ru/tnved/code/")&amp;W534&amp;"/"</f>
        <v/>
      </c>
      <c r="AS534" s="157" t="n"/>
      <c r="AT534" s="162" t="n"/>
      <c r="AU534" s="76">
        <f>IF(ISBLANK(AT534),0,AJ534-AT534)</f>
        <v/>
      </c>
      <c r="AV534" s="157" t="n"/>
      <c r="AW534" s="75">
        <f>_xlfn.IFNA(VLOOKUP(L534,list_vat[],3,FALSE),0)</f>
        <v/>
      </c>
      <c r="AX534" s="76">
        <f>IFERROR(ROUND(S534*(1+AW534)/E534,2),0)</f>
        <v/>
      </c>
      <c r="AY534" s="76">
        <f>E534*AX534</f>
        <v/>
      </c>
      <c r="AZ534" s="192">
        <f>S534*(1+M534)</f>
        <v/>
      </c>
      <c r="BA534" s="76">
        <f>cost_fin_total*$BD534</f>
        <v/>
      </c>
      <c r="BB534" s="193">
        <f>credit_sales_interest*BD534</f>
        <v/>
      </c>
      <c r="BC534" s="102">
        <f>IFERROR(IF($I$13&gt;0,$I534/$I$13,$S534/$S$13),0)</f>
        <v/>
      </c>
      <c r="BD534" s="102">
        <f>IFERROR($S534/$S$13,0)</f>
        <v/>
      </c>
      <c r="BE534" s="413" t="inlineStr">
        <is>
          <t>$</t>
        </is>
      </c>
    </row>
    <row r="535" ht="12" customFormat="1" customHeight="1" s="65">
      <c r="A535" s="43" t="n">
        <v>520</v>
      </c>
      <c r="B535" s="166" t="n"/>
      <c r="C535" s="166" t="n"/>
      <c r="D535" s="166" t="n"/>
      <c r="E535" s="162" t="n"/>
      <c r="F535" s="166" t="n"/>
      <c r="G535" s="162" t="n"/>
      <c r="H535" s="162" t="n"/>
      <c r="I535" s="189">
        <f>E535*G535</f>
        <v/>
      </c>
      <c r="J535" s="195" t="n"/>
      <c r="K535" s="162" t="n"/>
      <c r="L535" s="168" t="n"/>
      <c r="M535" s="75">
        <f>_xlfn.XLOOKUP(L535,list_vat[Страна],list_vat[Ставка НДС %],0,0)</f>
        <v/>
      </c>
      <c r="N535" s="162">
        <f>IFERROR(IF(L535="Китай",K535,K535/(1+M535)),0)</f>
        <v/>
      </c>
      <c r="O535" s="169" t="n"/>
      <c r="P535" s="76">
        <f>N535*(1-O535)</f>
        <v/>
      </c>
      <c r="Q535" s="162" t="n"/>
      <c r="R535" s="162">
        <f>IF(ISBLANK(Q535),"введи курс",P535/Q535)</f>
        <v/>
      </c>
      <c r="S535" s="196">
        <f>IF(AND(ISNUMBER(E535),ISNUMBER(Q535)),E535*R535,0)</f>
        <v/>
      </c>
      <c r="T535" s="192">
        <f>$BC535*V$11</f>
        <v/>
      </c>
      <c r="U535" s="76">
        <f>$BC535*W$11</f>
        <v/>
      </c>
      <c r="V535" s="193">
        <f>+SUM(T535:U535)</f>
        <v/>
      </c>
      <c r="W535" s="191" t="n"/>
      <c r="X535" s="170" t="n"/>
      <c r="Y535" s="76">
        <f>ROUND(IF(offer_incoterms="DDP",X535*(S535*(1+AW535)+T535),0),2)</f>
        <v/>
      </c>
      <c r="Z535" s="188" t="n"/>
      <c r="AA535" s="192">
        <f>IFERROR(AB535/E535,0)</f>
        <v/>
      </c>
      <c r="AB535" s="76">
        <f>ROUND(SUM(S535,V535,Y535:Z535,BA535:BB535),2)</f>
        <v/>
      </c>
      <c r="AC535" s="797" t="n"/>
      <c r="AD535" s="192">
        <f t="array" ref="AD535">IFERROR(ROUND((_xlfn.IFS(offer_sale_type="поставка",AB535,offer_sale_type="транзит",S535)*(1+AC535))/E535,2),0)</f>
        <v/>
      </c>
      <c r="AE535" s="76">
        <f>AD535*E535</f>
        <v/>
      </c>
      <c r="AF535" s="193">
        <f t="array" ref="AF535">IFERROR(ROUND(_xlfn.IFS(offer_sale_type="поставка",AB535,offer_sale_type="транзит",S535)*AC535,2),0)</f>
        <v/>
      </c>
      <c r="AG535" s="192">
        <f>$BD535*VLOOKUP($AG$3,$AF$4:$AG$7,2,FALSE)</f>
        <v/>
      </c>
      <c r="AH535" s="76">
        <f>SUM(AE535,AG535,AI535)*rate_forex_risk</f>
        <v/>
      </c>
      <c r="AI535" s="193">
        <f>IF(OR(seller_region="TR",offer_sale_type="экспорт"),0,rate_fin_comm)*SUM(AZ535,AZ535*AW535,T535)</f>
        <v/>
      </c>
      <c r="AJ535" s="118">
        <f>IFERROR(ROUND(SUM(AB535,AF535:AI535)/E535,2),0)</f>
        <v/>
      </c>
      <c r="AK535" s="76">
        <f>AJ535*E535</f>
        <v/>
      </c>
      <c r="AL535" s="174">
        <f>ROUND(IFERROR(AM535*E535,0),2)</f>
        <v/>
      </c>
      <c r="AM535" s="175">
        <f>ROUND(AJ535*(1+IF(offer_incoterms="DDP",IF((TODAY()+offer_turnaround_time)&gt;=helpsheet!$L$17,rate_vatRU_from_26,rate_vatRu_till_25),0)),2)</f>
        <v/>
      </c>
      <c r="AN535" s="192">
        <f>AL535-AK535</f>
        <v/>
      </c>
      <c r="AO535" s="76">
        <f>SUM(AY535,Y535:Z535,T535)*IF(AND(offer_incoterms="DDP",offer_sale_type&lt;&gt;"экспорт"),IF((TODAY()+offer_turnaround_time)&gt;=helpsheet!$L$17,rate_vatRU_from_26,rate_vatRu_till_25),0)</f>
        <v/>
      </c>
      <c r="AP535" s="193">
        <f>AN535-AO535</f>
        <v/>
      </c>
      <c r="AQ535" s="118">
        <f>IF(offer_sale_type="транзит",SUM(AF535:AI535,BA535,BB535),0)</f>
        <v/>
      </c>
      <c r="AR535" s="82">
        <f>HYPERLINK("https://www.alta.ru/tnved/code/")&amp;W535&amp;"/"</f>
        <v/>
      </c>
      <c r="AS535" s="157" t="n"/>
      <c r="AT535" s="162" t="n"/>
      <c r="AU535" s="76">
        <f>IF(ISBLANK(AT535),0,AJ535-AT535)</f>
        <v/>
      </c>
      <c r="AV535" s="157" t="n"/>
      <c r="AW535" s="75">
        <f>_xlfn.IFNA(VLOOKUP(L535,list_vat[],3,FALSE),0)</f>
        <v/>
      </c>
      <c r="AX535" s="76">
        <f>IFERROR(ROUND(S535*(1+AW535)/E535,2),0)</f>
        <v/>
      </c>
      <c r="AY535" s="76">
        <f>E535*AX535</f>
        <v/>
      </c>
      <c r="AZ535" s="192">
        <f>S535*(1+M535)</f>
        <v/>
      </c>
      <c r="BA535" s="76">
        <f>cost_fin_total*$BD535</f>
        <v/>
      </c>
      <c r="BB535" s="193">
        <f>credit_sales_interest*BD535</f>
        <v/>
      </c>
      <c r="BC535" s="102">
        <f>IFERROR(IF($I$13&gt;0,$I535/$I$13,$S535/$S$13),0)</f>
        <v/>
      </c>
      <c r="BD535" s="102">
        <f>IFERROR($S535/$S$13,0)</f>
        <v/>
      </c>
      <c r="BE535" s="413" t="inlineStr">
        <is>
          <t>$</t>
        </is>
      </c>
    </row>
    <row r="536" ht="12" customFormat="1" customHeight="1" s="65">
      <c r="A536" s="43" t="n">
        <v>521</v>
      </c>
      <c r="B536" s="166" t="n"/>
      <c r="C536" s="166" t="n"/>
      <c r="D536" s="166" t="n"/>
      <c r="E536" s="162" t="n"/>
      <c r="F536" s="166" t="n"/>
      <c r="G536" s="162" t="n"/>
      <c r="H536" s="162" t="n"/>
      <c r="I536" s="189">
        <f>E536*G536</f>
        <v/>
      </c>
      <c r="J536" s="195" t="n"/>
      <c r="K536" s="162" t="n"/>
      <c r="L536" s="168" t="n"/>
      <c r="M536" s="75">
        <f>_xlfn.XLOOKUP(L536,list_vat[Страна],list_vat[Ставка НДС %],0,0)</f>
        <v/>
      </c>
      <c r="N536" s="162">
        <f>IFERROR(IF(L536="Китай",K536,K536/(1+M536)),0)</f>
        <v/>
      </c>
      <c r="O536" s="169" t="n"/>
      <c r="P536" s="76">
        <f>N536*(1-O536)</f>
        <v/>
      </c>
      <c r="Q536" s="162" t="n"/>
      <c r="R536" s="162">
        <f>IF(ISBLANK(Q536),"введи курс",P536/Q536)</f>
        <v/>
      </c>
      <c r="S536" s="196">
        <f>IF(AND(ISNUMBER(E536),ISNUMBER(Q536)),E536*R536,0)</f>
        <v/>
      </c>
      <c r="T536" s="192">
        <f>$BC536*V$11</f>
        <v/>
      </c>
      <c r="U536" s="76">
        <f>$BC536*W$11</f>
        <v/>
      </c>
      <c r="V536" s="193">
        <f>+SUM(T536:U536)</f>
        <v/>
      </c>
      <c r="W536" s="191" t="n"/>
      <c r="X536" s="170" t="n"/>
      <c r="Y536" s="76">
        <f>ROUND(IF(offer_incoterms="DDP",X536*(S536*(1+AW536)+T536),0),2)</f>
        <v/>
      </c>
      <c r="Z536" s="188" t="n"/>
      <c r="AA536" s="192">
        <f>IFERROR(AB536/E536,0)</f>
        <v/>
      </c>
      <c r="AB536" s="76">
        <f>ROUND(SUM(S536,V536,Y536:Z536,BA536:BB536),2)</f>
        <v/>
      </c>
      <c r="AC536" s="797" t="n"/>
      <c r="AD536" s="192">
        <f t="array" ref="AD536">IFERROR(ROUND((_xlfn.IFS(offer_sale_type="поставка",AB536,offer_sale_type="транзит",S536)*(1+AC536))/E536,2),0)</f>
        <v/>
      </c>
      <c r="AE536" s="76">
        <f>AD536*E536</f>
        <v/>
      </c>
      <c r="AF536" s="193">
        <f t="array" ref="AF536">IFERROR(ROUND(_xlfn.IFS(offer_sale_type="поставка",AB536,offer_sale_type="транзит",S536)*AC536,2),0)</f>
        <v/>
      </c>
      <c r="AG536" s="192">
        <f>$BD536*VLOOKUP($AG$3,$AF$4:$AG$7,2,FALSE)</f>
        <v/>
      </c>
      <c r="AH536" s="76">
        <f>SUM(AE536,AG536,AI536)*rate_forex_risk</f>
        <v/>
      </c>
      <c r="AI536" s="193">
        <f>IF(OR(seller_region="TR",offer_sale_type="экспорт"),0,rate_fin_comm)*SUM(AZ536,AZ536*AW536,T536)</f>
        <v/>
      </c>
      <c r="AJ536" s="118">
        <f>IFERROR(ROUND(SUM(AB536,AF536:AI536)/E536,2),0)</f>
        <v/>
      </c>
      <c r="AK536" s="76">
        <f>AJ536*E536</f>
        <v/>
      </c>
      <c r="AL536" s="174">
        <f>ROUND(IFERROR(AM536*E536,0),2)</f>
        <v/>
      </c>
      <c r="AM536" s="175">
        <f>ROUND(AJ536*(1+IF(offer_incoterms="DDP",IF((TODAY()+offer_turnaround_time)&gt;=helpsheet!$L$17,rate_vatRU_from_26,rate_vatRu_till_25),0)),2)</f>
        <v/>
      </c>
      <c r="AN536" s="192">
        <f>AL536-AK536</f>
        <v/>
      </c>
      <c r="AO536" s="76">
        <f>SUM(AY536,Y536:Z536,T536)*IF(AND(offer_incoterms="DDP",offer_sale_type&lt;&gt;"экспорт"),IF((TODAY()+offer_turnaround_time)&gt;=helpsheet!$L$17,rate_vatRU_from_26,rate_vatRu_till_25),0)</f>
        <v/>
      </c>
      <c r="AP536" s="193">
        <f>AN536-AO536</f>
        <v/>
      </c>
      <c r="AQ536" s="118">
        <f>IF(offer_sale_type="транзит",SUM(AF536:AI536,BA536,BB536),0)</f>
        <v/>
      </c>
      <c r="AR536" s="82">
        <f>HYPERLINK("https://www.alta.ru/tnved/code/")&amp;W536&amp;"/"</f>
        <v/>
      </c>
      <c r="AS536" s="157" t="n"/>
      <c r="AT536" s="162" t="n"/>
      <c r="AU536" s="76">
        <f>IF(ISBLANK(AT536),0,AJ536-AT536)</f>
        <v/>
      </c>
      <c r="AV536" s="157" t="n"/>
      <c r="AW536" s="75">
        <f>_xlfn.IFNA(VLOOKUP(L536,list_vat[],3,FALSE),0)</f>
        <v/>
      </c>
      <c r="AX536" s="76">
        <f>IFERROR(ROUND(S536*(1+AW536)/E536,2),0)</f>
        <v/>
      </c>
      <c r="AY536" s="76">
        <f>E536*AX536</f>
        <v/>
      </c>
      <c r="AZ536" s="192">
        <f>S536*(1+M536)</f>
        <v/>
      </c>
      <c r="BA536" s="76">
        <f>cost_fin_total*$BD536</f>
        <v/>
      </c>
      <c r="BB536" s="193">
        <f>credit_sales_interest*BD536</f>
        <v/>
      </c>
      <c r="BC536" s="102">
        <f>IFERROR(IF($I$13&gt;0,$I536/$I$13,$S536/$S$13),0)</f>
        <v/>
      </c>
      <c r="BD536" s="102">
        <f>IFERROR($S536/$S$13,0)</f>
        <v/>
      </c>
      <c r="BE536" s="413" t="inlineStr">
        <is>
          <t>$</t>
        </is>
      </c>
    </row>
    <row r="537" ht="12" customFormat="1" customHeight="1" s="65">
      <c r="A537" s="43" t="n">
        <v>522</v>
      </c>
      <c r="B537" s="166" t="n"/>
      <c r="C537" s="166" t="n"/>
      <c r="D537" s="166" t="n"/>
      <c r="E537" s="162" t="n"/>
      <c r="F537" s="166" t="n"/>
      <c r="G537" s="162" t="n"/>
      <c r="H537" s="162" t="n"/>
      <c r="I537" s="189">
        <f>E537*G537</f>
        <v/>
      </c>
      <c r="J537" s="195" t="n"/>
      <c r="K537" s="162" t="n"/>
      <c r="L537" s="168" t="n"/>
      <c r="M537" s="75">
        <f>_xlfn.XLOOKUP(L537,list_vat[Страна],list_vat[Ставка НДС %],0,0)</f>
        <v/>
      </c>
      <c r="N537" s="162">
        <f>IFERROR(IF(L537="Китай",K537,K537/(1+M537)),0)</f>
        <v/>
      </c>
      <c r="O537" s="169" t="n"/>
      <c r="P537" s="76">
        <f>N537*(1-O537)</f>
        <v/>
      </c>
      <c r="Q537" s="162" t="n"/>
      <c r="R537" s="162">
        <f>IF(ISBLANK(Q537),"введи курс",P537/Q537)</f>
        <v/>
      </c>
      <c r="S537" s="196">
        <f>IF(AND(ISNUMBER(E537),ISNUMBER(Q537)),E537*R537,0)</f>
        <v/>
      </c>
      <c r="T537" s="192">
        <f>$BC537*V$11</f>
        <v/>
      </c>
      <c r="U537" s="76">
        <f>$BC537*W$11</f>
        <v/>
      </c>
      <c r="V537" s="193">
        <f>+SUM(T537:U537)</f>
        <v/>
      </c>
      <c r="W537" s="191" t="n"/>
      <c r="X537" s="170" t="n"/>
      <c r="Y537" s="76">
        <f>ROUND(IF(offer_incoterms="DDP",X537*(S537*(1+AW537)+T537),0),2)</f>
        <v/>
      </c>
      <c r="Z537" s="188" t="n"/>
      <c r="AA537" s="192">
        <f>IFERROR(AB537/E537,0)</f>
        <v/>
      </c>
      <c r="AB537" s="76">
        <f>ROUND(SUM(S537,V537,Y537:Z537,BA537:BB537),2)</f>
        <v/>
      </c>
      <c r="AC537" s="797" t="n"/>
      <c r="AD537" s="192">
        <f t="array" ref="AD537">IFERROR(ROUND((_xlfn.IFS(offer_sale_type="поставка",AB537,offer_sale_type="транзит",S537)*(1+AC537))/E537,2),0)</f>
        <v/>
      </c>
      <c r="AE537" s="76">
        <f>AD537*E537</f>
        <v/>
      </c>
      <c r="AF537" s="193">
        <f t="array" ref="AF537">IFERROR(ROUND(_xlfn.IFS(offer_sale_type="поставка",AB537,offer_sale_type="транзит",S537)*AC537,2),0)</f>
        <v/>
      </c>
      <c r="AG537" s="192">
        <f>$BD537*VLOOKUP($AG$3,$AF$4:$AG$7,2,FALSE)</f>
        <v/>
      </c>
      <c r="AH537" s="76">
        <f>SUM(AE537,AG537,AI537)*rate_forex_risk</f>
        <v/>
      </c>
      <c r="AI537" s="193">
        <f>IF(OR(seller_region="TR",offer_sale_type="экспорт"),0,rate_fin_comm)*SUM(AZ537,AZ537*AW537,T537)</f>
        <v/>
      </c>
      <c r="AJ537" s="118">
        <f>IFERROR(ROUND(SUM(AB537,AF537:AI537)/E537,2),0)</f>
        <v/>
      </c>
      <c r="AK537" s="76">
        <f>AJ537*E537</f>
        <v/>
      </c>
      <c r="AL537" s="174">
        <f>ROUND(IFERROR(AM537*E537,0),2)</f>
        <v/>
      </c>
      <c r="AM537" s="175">
        <f>ROUND(AJ537*(1+IF(offer_incoterms="DDP",IF((TODAY()+offer_turnaround_time)&gt;=helpsheet!$L$17,rate_vatRU_from_26,rate_vatRu_till_25),0)),2)</f>
        <v/>
      </c>
      <c r="AN537" s="192">
        <f>AL537-AK537</f>
        <v/>
      </c>
      <c r="AO537" s="76">
        <f>SUM(AY537,Y537:Z537,T537)*IF(AND(offer_incoterms="DDP",offer_sale_type&lt;&gt;"экспорт"),IF((TODAY()+offer_turnaround_time)&gt;=helpsheet!$L$17,rate_vatRU_from_26,rate_vatRu_till_25),0)</f>
        <v/>
      </c>
      <c r="AP537" s="193">
        <f>AN537-AO537</f>
        <v/>
      </c>
      <c r="AQ537" s="118">
        <f>IF(offer_sale_type="транзит",SUM(AF537:AI537,BA537,BB537),0)</f>
        <v/>
      </c>
      <c r="AR537" s="82">
        <f>HYPERLINK("https://www.alta.ru/tnved/code/")&amp;W537&amp;"/"</f>
        <v/>
      </c>
      <c r="AS537" s="157" t="n"/>
      <c r="AT537" s="162" t="n"/>
      <c r="AU537" s="76">
        <f>IF(ISBLANK(AT537),0,AJ537-AT537)</f>
        <v/>
      </c>
      <c r="AV537" s="157" t="n"/>
      <c r="AW537" s="75">
        <f>_xlfn.IFNA(VLOOKUP(L537,list_vat[],3,FALSE),0)</f>
        <v/>
      </c>
      <c r="AX537" s="76">
        <f>IFERROR(ROUND(S537*(1+AW537)/E537,2),0)</f>
        <v/>
      </c>
      <c r="AY537" s="76">
        <f>E537*AX537</f>
        <v/>
      </c>
      <c r="AZ537" s="192">
        <f>S537*(1+M537)</f>
        <v/>
      </c>
      <c r="BA537" s="76">
        <f>cost_fin_total*$BD537</f>
        <v/>
      </c>
      <c r="BB537" s="193">
        <f>credit_sales_interest*BD537</f>
        <v/>
      </c>
      <c r="BC537" s="102">
        <f>IFERROR(IF($I$13&gt;0,$I537/$I$13,$S537/$S$13),0)</f>
        <v/>
      </c>
      <c r="BD537" s="102">
        <f>IFERROR($S537/$S$13,0)</f>
        <v/>
      </c>
      <c r="BE537" s="413" t="inlineStr">
        <is>
          <t>$</t>
        </is>
      </c>
    </row>
    <row r="538" ht="12" customFormat="1" customHeight="1" s="65">
      <c r="A538" s="43" t="n">
        <v>523</v>
      </c>
      <c r="B538" s="166" t="n"/>
      <c r="C538" s="166" t="n"/>
      <c r="D538" s="166" t="n"/>
      <c r="E538" s="162" t="n"/>
      <c r="F538" s="166" t="n"/>
      <c r="G538" s="162" t="n"/>
      <c r="H538" s="162" t="n"/>
      <c r="I538" s="189">
        <f>E538*G538</f>
        <v/>
      </c>
      <c r="J538" s="195" t="n"/>
      <c r="K538" s="162" t="n"/>
      <c r="L538" s="168" t="n"/>
      <c r="M538" s="75">
        <f>_xlfn.XLOOKUP(L538,list_vat[Страна],list_vat[Ставка НДС %],0,0)</f>
        <v/>
      </c>
      <c r="N538" s="162">
        <f>IFERROR(IF(L538="Китай",K538,K538/(1+M538)),0)</f>
        <v/>
      </c>
      <c r="O538" s="169" t="n"/>
      <c r="P538" s="76">
        <f>N538*(1-O538)</f>
        <v/>
      </c>
      <c r="Q538" s="162" t="n"/>
      <c r="R538" s="162">
        <f>IF(ISBLANK(Q538),"введи курс",P538/Q538)</f>
        <v/>
      </c>
      <c r="S538" s="196">
        <f>IF(AND(ISNUMBER(E538),ISNUMBER(Q538)),E538*R538,0)</f>
        <v/>
      </c>
      <c r="T538" s="192">
        <f>$BC538*V$11</f>
        <v/>
      </c>
      <c r="U538" s="76">
        <f>$BC538*W$11</f>
        <v/>
      </c>
      <c r="V538" s="193">
        <f>+SUM(T538:U538)</f>
        <v/>
      </c>
      <c r="W538" s="191" t="n"/>
      <c r="X538" s="170" t="n"/>
      <c r="Y538" s="76">
        <f>ROUND(IF(offer_incoterms="DDP",X538*(S538*(1+AW538)+T538),0),2)</f>
        <v/>
      </c>
      <c r="Z538" s="188" t="n"/>
      <c r="AA538" s="192">
        <f>IFERROR(AB538/E538,0)</f>
        <v/>
      </c>
      <c r="AB538" s="76">
        <f>ROUND(SUM(S538,V538,Y538:Z538,BA538:BB538),2)</f>
        <v/>
      </c>
      <c r="AC538" s="797" t="n"/>
      <c r="AD538" s="192">
        <f t="array" ref="AD538">IFERROR(ROUND((_xlfn.IFS(offer_sale_type="поставка",AB538,offer_sale_type="транзит",S538)*(1+AC538))/E538,2),0)</f>
        <v/>
      </c>
      <c r="AE538" s="76">
        <f>AD538*E538</f>
        <v/>
      </c>
      <c r="AF538" s="193">
        <f t="array" ref="AF538">IFERROR(ROUND(_xlfn.IFS(offer_sale_type="поставка",AB538,offer_sale_type="транзит",S538)*AC538,2),0)</f>
        <v/>
      </c>
      <c r="AG538" s="192">
        <f>$BD538*VLOOKUP($AG$3,$AF$4:$AG$7,2,FALSE)</f>
        <v/>
      </c>
      <c r="AH538" s="76">
        <f>SUM(AE538,AG538,AI538)*rate_forex_risk</f>
        <v/>
      </c>
      <c r="AI538" s="193">
        <f>IF(OR(seller_region="TR",offer_sale_type="экспорт"),0,rate_fin_comm)*SUM(AZ538,AZ538*AW538,T538)</f>
        <v/>
      </c>
      <c r="AJ538" s="118">
        <f>IFERROR(ROUND(SUM(AB538,AF538:AI538)/E538,2),0)</f>
        <v/>
      </c>
      <c r="AK538" s="76">
        <f>AJ538*E538</f>
        <v/>
      </c>
      <c r="AL538" s="174">
        <f>ROUND(IFERROR(AM538*E538,0),2)</f>
        <v/>
      </c>
      <c r="AM538" s="175">
        <f>ROUND(AJ538*(1+IF(offer_incoterms="DDP",IF((TODAY()+offer_turnaround_time)&gt;=helpsheet!$L$17,rate_vatRU_from_26,rate_vatRu_till_25),0)),2)</f>
        <v/>
      </c>
      <c r="AN538" s="192">
        <f>AL538-AK538</f>
        <v/>
      </c>
      <c r="AO538" s="76">
        <f>SUM(AY538,Y538:Z538,T538)*IF(AND(offer_incoterms="DDP",offer_sale_type&lt;&gt;"экспорт"),IF((TODAY()+offer_turnaround_time)&gt;=helpsheet!$L$17,rate_vatRU_from_26,rate_vatRu_till_25),0)</f>
        <v/>
      </c>
      <c r="AP538" s="193">
        <f>AN538-AO538</f>
        <v/>
      </c>
      <c r="AQ538" s="118">
        <f>IF(offer_sale_type="транзит",SUM(AF538:AI538,BA538,BB538),0)</f>
        <v/>
      </c>
      <c r="AR538" s="82">
        <f>HYPERLINK("https://www.alta.ru/tnved/code/")&amp;W538&amp;"/"</f>
        <v/>
      </c>
      <c r="AS538" s="157" t="n"/>
      <c r="AT538" s="162" t="n"/>
      <c r="AU538" s="76">
        <f>IF(ISBLANK(AT538),0,AJ538-AT538)</f>
        <v/>
      </c>
      <c r="AV538" s="157" t="n"/>
      <c r="AW538" s="75">
        <f>_xlfn.IFNA(VLOOKUP(L538,list_vat[],3,FALSE),0)</f>
        <v/>
      </c>
      <c r="AX538" s="76">
        <f>IFERROR(ROUND(S538*(1+AW538)/E538,2),0)</f>
        <v/>
      </c>
      <c r="AY538" s="76">
        <f>E538*AX538</f>
        <v/>
      </c>
      <c r="AZ538" s="192">
        <f>S538*(1+M538)</f>
        <v/>
      </c>
      <c r="BA538" s="76">
        <f>cost_fin_total*$BD538</f>
        <v/>
      </c>
      <c r="BB538" s="193">
        <f>credit_sales_interest*BD538</f>
        <v/>
      </c>
      <c r="BC538" s="102">
        <f>IFERROR(IF($I$13&gt;0,$I538/$I$13,$S538/$S$13),0)</f>
        <v/>
      </c>
      <c r="BD538" s="102">
        <f>IFERROR($S538/$S$13,0)</f>
        <v/>
      </c>
      <c r="BE538" s="413" t="inlineStr">
        <is>
          <t>$</t>
        </is>
      </c>
    </row>
    <row r="539" ht="12" customFormat="1" customHeight="1" s="65">
      <c r="A539" s="43" t="n">
        <v>524</v>
      </c>
      <c r="B539" s="166" t="n"/>
      <c r="C539" s="166" t="n"/>
      <c r="D539" s="166" t="n"/>
      <c r="E539" s="162" t="n"/>
      <c r="F539" s="166" t="n"/>
      <c r="G539" s="162" t="n"/>
      <c r="H539" s="162" t="n"/>
      <c r="I539" s="189">
        <f>E539*G539</f>
        <v/>
      </c>
      <c r="J539" s="195" t="n"/>
      <c r="K539" s="162" t="n"/>
      <c r="L539" s="168" t="n"/>
      <c r="M539" s="75">
        <f>_xlfn.XLOOKUP(L539,list_vat[Страна],list_vat[Ставка НДС %],0,0)</f>
        <v/>
      </c>
      <c r="N539" s="162">
        <f>IFERROR(IF(L539="Китай",K539,K539/(1+M539)),0)</f>
        <v/>
      </c>
      <c r="O539" s="169" t="n"/>
      <c r="P539" s="76">
        <f>N539*(1-O539)</f>
        <v/>
      </c>
      <c r="Q539" s="162" t="n"/>
      <c r="R539" s="162">
        <f>IF(ISBLANK(Q539),"введи курс",P539/Q539)</f>
        <v/>
      </c>
      <c r="S539" s="196">
        <f>IF(AND(ISNUMBER(E539),ISNUMBER(Q539)),E539*R539,0)</f>
        <v/>
      </c>
      <c r="T539" s="192">
        <f>$BC539*V$11</f>
        <v/>
      </c>
      <c r="U539" s="76">
        <f>$BC539*W$11</f>
        <v/>
      </c>
      <c r="V539" s="193">
        <f>+SUM(T539:U539)</f>
        <v/>
      </c>
      <c r="W539" s="191" t="n"/>
      <c r="X539" s="170" t="n"/>
      <c r="Y539" s="76">
        <f>ROUND(IF(offer_incoterms="DDP",X539*(S539*(1+AW539)+T539),0),2)</f>
        <v/>
      </c>
      <c r="Z539" s="188" t="n"/>
      <c r="AA539" s="192">
        <f>IFERROR(AB539/E539,0)</f>
        <v/>
      </c>
      <c r="AB539" s="76">
        <f>ROUND(SUM(S539,V539,Y539:Z539,BA539:BB539),2)</f>
        <v/>
      </c>
      <c r="AC539" s="797" t="n"/>
      <c r="AD539" s="192">
        <f t="array" ref="AD539">IFERROR(ROUND((_xlfn.IFS(offer_sale_type="поставка",AB539,offer_sale_type="транзит",S539)*(1+AC539))/E539,2),0)</f>
        <v/>
      </c>
      <c r="AE539" s="76">
        <f>AD539*E539</f>
        <v/>
      </c>
      <c r="AF539" s="193">
        <f t="array" ref="AF539">IFERROR(ROUND(_xlfn.IFS(offer_sale_type="поставка",AB539,offer_sale_type="транзит",S539)*AC539,2),0)</f>
        <v/>
      </c>
      <c r="AG539" s="192">
        <f>$BD539*VLOOKUP($AG$3,$AF$4:$AG$7,2,FALSE)</f>
        <v/>
      </c>
      <c r="AH539" s="76">
        <f>SUM(AE539,AG539,AI539)*rate_forex_risk</f>
        <v/>
      </c>
      <c r="AI539" s="193">
        <f>IF(OR(seller_region="TR",offer_sale_type="экспорт"),0,rate_fin_comm)*SUM(AZ539,AZ539*AW539,T539)</f>
        <v/>
      </c>
      <c r="AJ539" s="118">
        <f>IFERROR(ROUND(SUM(AB539,AF539:AI539)/E539,2),0)</f>
        <v/>
      </c>
      <c r="AK539" s="76">
        <f>AJ539*E539</f>
        <v/>
      </c>
      <c r="AL539" s="174">
        <f>ROUND(IFERROR(AM539*E539,0),2)</f>
        <v/>
      </c>
      <c r="AM539" s="175">
        <f>ROUND(AJ539*(1+IF(offer_incoterms="DDP",IF((TODAY()+offer_turnaround_time)&gt;=helpsheet!$L$17,rate_vatRU_from_26,rate_vatRu_till_25),0)),2)</f>
        <v/>
      </c>
      <c r="AN539" s="192">
        <f>AL539-AK539</f>
        <v/>
      </c>
      <c r="AO539" s="76">
        <f>SUM(AY539,Y539:Z539,T539)*IF(AND(offer_incoterms="DDP",offer_sale_type&lt;&gt;"экспорт"),IF((TODAY()+offer_turnaround_time)&gt;=helpsheet!$L$17,rate_vatRU_from_26,rate_vatRu_till_25),0)</f>
        <v/>
      </c>
      <c r="AP539" s="193">
        <f>AN539-AO539</f>
        <v/>
      </c>
      <c r="AQ539" s="118">
        <f>IF(offer_sale_type="транзит",SUM(AF539:AI539,BA539,BB539),0)</f>
        <v/>
      </c>
      <c r="AR539" s="82">
        <f>HYPERLINK("https://www.alta.ru/tnved/code/")&amp;W539&amp;"/"</f>
        <v/>
      </c>
      <c r="AS539" s="157" t="n"/>
      <c r="AT539" s="162" t="n"/>
      <c r="AU539" s="76">
        <f>IF(ISBLANK(AT539),0,AJ539-AT539)</f>
        <v/>
      </c>
      <c r="AV539" s="157" t="n"/>
      <c r="AW539" s="75">
        <f>_xlfn.IFNA(VLOOKUP(L539,list_vat[],3,FALSE),0)</f>
        <v/>
      </c>
      <c r="AX539" s="76">
        <f>IFERROR(ROUND(S539*(1+AW539)/E539,2),0)</f>
        <v/>
      </c>
      <c r="AY539" s="76">
        <f>E539*AX539</f>
        <v/>
      </c>
      <c r="AZ539" s="192">
        <f>S539*(1+M539)</f>
        <v/>
      </c>
      <c r="BA539" s="76">
        <f>cost_fin_total*$BD539</f>
        <v/>
      </c>
      <c r="BB539" s="193">
        <f>credit_sales_interest*BD539</f>
        <v/>
      </c>
      <c r="BC539" s="102">
        <f>IFERROR(IF($I$13&gt;0,$I539/$I$13,$S539/$S$13),0)</f>
        <v/>
      </c>
      <c r="BD539" s="102">
        <f>IFERROR($S539/$S$13,0)</f>
        <v/>
      </c>
      <c r="BE539" s="413" t="inlineStr">
        <is>
          <t>$</t>
        </is>
      </c>
    </row>
    <row r="540" ht="12" customFormat="1" customHeight="1" s="65">
      <c r="A540" s="43" t="n">
        <v>525</v>
      </c>
      <c r="B540" s="166" t="n"/>
      <c r="C540" s="166" t="n"/>
      <c r="D540" s="166" t="n"/>
      <c r="E540" s="162" t="n"/>
      <c r="F540" s="166" t="n"/>
      <c r="G540" s="162" t="n"/>
      <c r="H540" s="162" t="n"/>
      <c r="I540" s="189">
        <f>E540*G540</f>
        <v/>
      </c>
      <c r="J540" s="195" t="n"/>
      <c r="K540" s="162" t="n"/>
      <c r="L540" s="168" t="n"/>
      <c r="M540" s="75">
        <f>_xlfn.XLOOKUP(L540,list_vat[Страна],list_vat[Ставка НДС %],0,0)</f>
        <v/>
      </c>
      <c r="N540" s="162">
        <f>IFERROR(IF(L540="Китай",K540,K540/(1+M540)),0)</f>
        <v/>
      </c>
      <c r="O540" s="169" t="n"/>
      <c r="P540" s="76">
        <f>N540*(1-O540)</f>
        <v/>
      </c>
      <c r="Q540" s="162" t="n"/>
      <c r="R540" s="162">
        <f>IF(ISBLANK(Q540),"введи курс",P540/Q540)</f>
        <v/>
      </c>
      <c r="S540" s="196">
        <f>IF(AND(ISNUMBER(E540),ISNUMBER(Q540)),E540*R540,0)</f>
        <v/>
      </c>
      <c r="T540" s="192">
        <f>$BC540*V$11</f>
        <v/>
      </c>
      <c r="U540" s="76">
        <f>$BC540*W$11</f>
        <v/>
      </c>
      <c r="V540" s="193">
        <f>+SUM(T540:U540)</f>
        <v/>
      </c>
      <c r="W540" s="191" t="n"/>
      <c r="X540" s="170" t="n"/>
      <c r="Y540" s="76">
        <f>ROUND(IF(offer_incoterms="DDP",X540*(S540*(1+AW540)+T540),0),2)</f>
        <v/>
      </c>
      <c r="Z540" s="188" t="n"/>
      <c r="AA540" s="192">
        <f>IFERROR(AB540/E540,0)</f>
        <v/>
      </c>
      <c r="AB540" s="76">
        <f>ROUND(SUM(S540,V540,Y540:Z540,BA540:BB540),2)</f>
        <v/>
      </c>
      <c r="AC540" s="797" t="n"/>
      <c r="AD540" s="192">
        <f t="array" ref="AD540">IFERROR(ROUND((_xlfn.IFS(offer_sale_type="поставка",AB540,offer_sale_type="транзит",S540)*(1+AC540))/E540,2),0)</f>
        <v/>
      </c>
      <c r="AE540" s="76">
        <f>AD540*E540</f>
        <v/>
      </c>
      <c r="AF540" s="193">
        <f t="array" ref="AF540">IFERROR(ROUND(_xlfn.IFS(offer_sale_type="поставка",AB540,offer_sale_type="транзит",S540)*AC540,2),0)</f>
        <v/>
      </c>
      <c r="AG540" s="192">
        <f>$BD540*VLOOKUP($AG$3,$AF$4:$AG$7,2,FALSE)</f>
        <v/>
      </c>
      <c r="AH540" s="76">
        <f>SUM(AE540,AG540,AI540)*rate_forex_risk</f>
        <v/>
      </c>
      <c r="AI540" s="193">
        <f>IF(OR(seller_region="TR",offer_sale_type="экспорт"),0,rate_fin_comm)*SUM(AZ540,AZ540*AW540,T540)</f>
        <v/>
      </c>
      <c r="AJ540" s="118">
        <f>IFERROR(ROUND(SUM(AB540,AF540:AI540)/E540,2),0)</f>
        <v/>
      </c>
      <c r="AK540" s="76">
        <f>AJ540*E540</f>
        <v/>
      </c>
      <c r="AL540" s="174">
        <f>ROUND(IFERROR(AM540*E540,0),2)</f>
        <v/>
      </c>
      <c r="AM540" s="175">
        <f>ROUND(AJ540*(1+IF(offer_incoterms="DDP",IF((TODAY()+offer_turnaround_time)&gt;=helpsheet!$L$17,rate_vatRU_from_26,rate_vatRu_till_25),0)),2)</f>
        <v/>
      </c>
      <c r="AN540" s="192">
        <f>AL540-AK540</f>
        <v/>
      </c>
      <c r="AO540" s="76">
        <f>SUM(AY540,Y540:Z540,T540)*IF(AND(offer_incoterms="DDP",offer_sale_type&lt;&gt;"экспорт"),IF((TODAY()+offer_turnaround_time)&gt;=helpsheet!$L$17,rate_vatRU_from_26,rate_vatRu_till_25),0)</f>
        <v/>
      </c>
      <c r="AP540" s="193">
        <f>AN540-AO540</f>
        <v/>
      </c>
      <c r="AQ540" s="118">
        <f>IF(offer_sale_type="транзит",SUM(AF540:AI540,BA540,BB540),0)</f>
        <v/>
      </c>
      <c r="AR540" s="82">
        <f>HYPERLINK("https://www.alta.ru/tnved/code/")&amp;W540&amp;"/"</f>
        <v/>
      </c>
      <c r="AS540" s="157" t="n"/>
      <c r="AT540" s="162" t="n"/>
      <c r="AU540" s="76">
        <f>IF(ISBLANK(AT540),0,AJ540-AT540)</f>
        <v/>
      </c>
      <c r="AV540" s="157" t="n"/>
      <c r="AW540" s="75">
        <f>_xlfn.IFNA(VLOOKUP(L540,list_vat[],3,FALSE),0)</f>
        <v/>
      </c>
      <c r="AX540" s="76">
        <f>IFERROR(ROUND(S540*(1+AW540)/E540,2),0)</f>
        <v/>
      </c>
      <c r="AY540" s="76">
        <f>E540*AX540</f>
        <v/>
      </c>
      <c r="AZ540" s="192">
        <f>S540*(1+M540)</f>
        <v/>
      </c>
      <c r="BA540" s="76">
        <f>cost_fin_total*$BD540</f>
        <v/>
      </c>
      <c r="BB540" s="193">
        <f>credit_sales_interest*BD540</f>
        <v/>
      </c>
      <c r="BC540" s="102">
        <f>IFERROR(IF($I$13&gt;0,$I540/$I$13,$S540/$S$13),0)</f>
        <v/>
      </c>
      <c r="BD540" s="102">
        <f>IFERROR($S540/$S$13,0)</f>
        <v/>
      </c>
      <c r="BE540" s="413" t="inlineStr">
        <is>
          <t>$</t>
        </is>
      </c>
    </row>
    <row r="541" ht="12" customFormat="1" customHeight="1" s="65">
      <c r="A541" s="43" t="n">
        <v>526</v>
      </c>
      <c r="B541" s="166" t="n"/>
      <c r="C541" s="166" t="n"/>
      <c r="D541" s="166" t="n"/>
      <c r="E541" s="162" t="n"/>
      <c r="F541" s="166" t="n"/>
      <c r="G541" s="162" t="n"/>
      <c r="H541" s="162" t="n"/>
      <c r="I541" s="189">
        <f>E541*G541</f>
        <v/>
      </c>
      <c r="J541" s="195" t="n"/>
      <c r="K541" s="162" t="n"/>
      <c r="L541" s="168" t="n"/>
      <c r="M541" s="75">
        <f>_xlfn.XLOOKUP(L541,list_vat[Страна],list_vat[Ставка НДС %],0,0)</f>
        <v/>
      </c>
      <c r="N541" s="162">
        <f>IFERROR(IF(L541="Китай",K541,K541/(1+M541)),0)</f>
        <v/>
      </c>
      <c r="O541" s="169" t="n"/>
      <c r="P541" s="76">
        <f>N541*(1-O541)</f>
        <v/>
      </c>
      <c r="Q541" s="162" t="n"/>
      <c r="R541" s="162">
        <f>IF(ISBLANK(Q541),"введи курс",P541/Q541)</f>
        <v/>
      </c>
      <c r="S541" s="196">
        <f>IF(AND(ISNUMBER(E541),ISNUMBER(Q541)),E541*R541,0)</f>
        <v/>
      </c>
      <c r="T541" s="192">
        <f>$BC541*V$11</f>
        <v/>
      </c>
      <c r="U541" s="76">
        <f>$BC541*W$11</f>
        <v/>
      </c>
      <c r="V541" s="193">
        <f>+SUM(T541:U541)</f>
        <v/>
      </c>
      <c r="W541" s="191" t="n"/>
      <c r="X541" s="170" t="n"/>
      <c r="Y541" s="76">
        <f>ROUND(IF(offer_incoterms="DDP",X541*(S541*(1+AW541)+T541),0),2)</f>
        <v/>
      </c>
      <c r="Z541" s="188" t="n"/>
      <c r="AA541" s="192">
        <f>IFERROR(AB541/E541,0)</f>
        <v/>
      </c>
      <c r="AB541" s="76">
        <f>ROUND(SUM(S541,V541,Y541:Z541,BA541:BB541),2)</f>
        <v/>
      </c>
      <c r="AC541" s="797" t="n"/>
      <c r="AD541" s="192">
        <f t="array" ref="AD541">IFERROR(ROUND((_xlfn.IFS(offer_sale_type="поставка",AB541,offer_sale_type="транзит",S541)*(1+AC541))/E541,2),0)</f>
        <v/>
      </c>
      <c r="AE541" s="76">
        <f>AD541*E541</f>
        <v/>
      </c>
      <c r="AF541" s="193">
        <f t="array" ref="AF541">IFERROR(ROUND(_xlfn.IFS(offer_sale_type="поставка",AB541,offer_sale_type="транзит",S541)*AC541,2),0)</f>
        <v/>
      </c>
      <c r="AG541" s="192">
        <f>$BD541*VLOOKUP($AG$3,$AF$4:$AG$7,2,FALSE)</f>
        <v/>
      </c>
      <c r="AH541" s="76">
        <f>SUM(AE541,AG541,AI541)*rate_forex_risk</f>
        <v/>
      </c>
      <c r="AI541" s="193">
        <f>IF(OR(seller_region="TR",offer_sale_type="экспорт"),0,rate_fin_comm)*SUM(AZ541,AZ541*AW541,T541)</f>
        <v/>
      </c>
      <c r="AJ541" s="118">
        <f>IFERROR(ROUND(SUM(AB541,AF541:AI541)/E541,2),0)</f>
        <v/>
      </c>
      <c r="AK541" s="76">
        <f>AJ541*E541</f>
        <v/>
      </c>
      <c r="AL541" s="174">
        <f>ROUND(IFERROR(AM541*E541,0),2)</f>
        <v/>
      </c>
      <c r="AM541" s="175">
        <f>ROUND(AJ541*(1+IF(offer_incoterms="DDP",IF((TODAY()+offer_turnaround_time)&gt;=helpsheet!$L$17,rate_vatRU_from_26,rate_vatRu_till_25),0)),2)</f>
        <v/>
      </c>
      <c r="AN541" s="192">
        <f>AL541-AK541</f>
        <v/>
      </c>
      <c r="AO541" s="76">
        <f>SUM(AY541,Y541:Z541,T541)*IF(AND(offer_incoterms="DDP",offer_sale_type&lt;&gt;"экспорт"),IF((TODAY()+offer_turnaround_time)&gt;=helpsheet!$L$17,rate_vatRU_from_26,rate_vatRu_till_25),0)</f>
        <v/>
      </c>
      <c r="AP541" s="193">
        <f>AN541-AO541</f>
        <v/>
      </c>
      <c r="AQ541" s="118">
        <f>IF(offer_sale_type="транзит",SUM(AF541:AI541,BA541,BB541),0)</f>
        <v/>
      </c>
      <c r="AR541" s="82">
        <f>HYPERLINK("https://www.alta.ru/tnved/code/")&amp;W541&amp;"/"</f>
        <v/>
      </c>
      <c r="AS541" s="157" t="n"/>
      <c r="AT541" s="162" t="n"/>
      <c r="AU541" s="76">
        <f>IF(ISBLANK(AT541),0,AJ541-AT541)</f>
        <v/>
      </c>
      <c r="AV541" s="157" t="n"/>
      <c r="AW541" s="75">
        <f>_xlfn.IFNA(VLOOKUP(L541,list_vat[],3,FALSE),0)</f>
        <v/>
      </c>
      <c r="AX541" s="76">
        <f>IFERROR(ROUND(S541*(1+AW541)/E541,2),0)</f>
        <v/>
      </c>
      <c r="AY541" s="76">
        <f>E541*AX541</f>
        <v/>
      </c>
      <c r="AZ541" s="192">
        <f>S541*(1+M541)</f>
        <v/>
      </c>
      <c r="BA541" s="76">
        <f>cost_fin_total*$BD541</f>
        <v/>
      </c>
      <c r="BB541" s="193">
        <f>credit_sales_interest*BD541</f>
        <v/>
      </c>
      <c r="BC541" s="102">
        <f>IFERROR(IF($I$13&gt;0,$I541/$I$13,$S541/$S$13),0)</f>
        <v/>
      </c>
      <c r="BD541" s="102">
        <f>IFERROR($S541/$S$13,0)</f>
        <v/>
      </c>
      <c r="BE541" s="413" t="inlineStr">
        <is>
          <t>$</t>
        </is>
      </c>
    </row>
    <row r="542" ht="12" customFormat="1" customHeight="1" s="65">
      <c r="A542" s="43" t="n">
        <v>527</v>
      </c>
      <c r="B542" s="166" t="n"/>
      <c r="C542" s="166" t="n"/>
      <c r="D542" s="166" t="n"/>
      <c r="E542" s="162" t="n"/>
      <c r="F542" s="166" t="n"/>
      <c r="G542" s="162" t="n"/>
      <c r="H542" s="162" t="n"/>
      <c r="I542" s="189">
        <f>E542*G542</f>
        <v/>
      </c>
      <c r="J542" s="195" t="n"/>
      <c r="K542" s="162" t="n"/>
      <c r="L542" s="168" t="n"/>
      <c r="M542" s="75">
        <f>_xlfn.XLOOKUP(L542,list_vat[Страна],list_vat[Ставка НДС %],0,0)</f>
        <v/>
      </c>
      <c r="N542" s="162">
        <f>IFERROR(IF(L542="Китай",K542,K542/(1+M542)),0)</f>
        <v/>
      </c>
      <c r="O542" s="169" t="n"/>
      <c r="P542" s="76">
        <f>N542*(1-O542)</f>
        <v/>
      </c>
      <c r="Q542" s="162" t="n"/>
      <c r="R542" s="162">
        <f>IF(ISBLANK(Q542),"введи курс",P542/Q542)</f>
        <v/>
      </c>
      <c r="S542" s="196">
        <f>IF(AND(ISNUMBER(E542),ISNUMBER(Q542)),E542*R542,0)</f>
        <v/>
      </c>
      <c r="T542" s="192">
        <f>$BC542*V$11</f>
        <v/>
      </c>
      <c r="U542" s="76">
        <f>$BC542*W$11</f>
        <v/>
      </c>
      <c r="V542" s="193">
        <f>+SUM(T542:U542)</f>
        <v/>
      </c>
      <c r="W542" s="191" t="n"/>
      <c r="X542" s="170" t="n"/>
      <c r="Y542" s="76">
        <f>ROUND(IF(offer_incoterms="DDP",X542*(S542*(1+AW542)+T542),0),2)</f>
        <v/>
      </c>
      <c r="Z542" s="188" t="n"/>
      <c r="AA542" s="192">
        <f>IFERROR(AB542/E542,0)</f>
        <v/>
      </c>
      <c r="AB542" s="76">
        <f>ROUND(SUM(S542,V542,Y542:Z542,BA542:BB542),2)</f>
        <v/>
      </c>
      <c r="AC542" s="797" t="n"/>
      <c r="AD542" s="192">
        <f t="array" ref="AD542">IFERROR(ROUND((_xlfn.IFS(offer_sale_type="поставка",AB542,offer_sale_type="транзит",S542)*(1+AC542))/E542,2),0)</f>
        <v/>
      </c>
      <c r="AE542" s="76">
        <f>AD542*E542</f>
        <v/>
      </c>
      <c r="AF542" s="193">
        <f t="array" ref="AF542">IFERROR(ROUND(_xlfn.IFS(offer_sale_type="поставка",AB542,offer_sale_type="транзит",S542)*AC542,2),0)</f>
        <v/>
      </c>
      <c r="AG542" s="192">
        <f>$BD542*VLOOKUP($AG$3,$AF$4:$AG$7,2,FALSE)</f>
        <v/>
      </c>
      <c r="AH542" s="76">
        <f>SUM(AE542,AG542,AI542)*rate_forex_risk</f>
        <v/>
      </c>
      <c r="AI542" s="193">
        <f>IF(OR(seller_region="TR",offer_sale_type="экспорт"),0,rate_fin_comm)*SUM(AZ542,AZ542*AW542,T542)</f>
        <v/>
      </c>
      <c r="AJ542" s="118">
        <f>IFERROR(ROUND(SUM(AB542,AF542:AI542)/E542,2),0)</f>
        <v/>
      </c>
      <c r="AK542" s="76">
        <f>AJ542*E542</f>
        <v/>
      </c>
      <c r="AL542" s="174">
        <f>ROUND(IFERROR(AM542*E542,0),2)</f>
        <v/>
      </c>
      <c r="AM542" s="175">
        <f>ROUND(AJ542*(1+IF(offer_incoterms="DDP",IF((TODAY()+offer_turnaround_time)&gt;=helpsheet!$L$17,rate_vatRU_from_26,rate_vatRu_till_25),0)),2)</f>
        <v/>
      </c>
      <c r="AN542" s="192">
        <f>AL542-AK542</f>
        <v/>
      </c>
      <c r="AO542" s="76">
        <f>SUM(AY542,Y542:Z542,T542)*IF(AND(offer_incoterms="DDP",offer_sale_type&lt;&gt;"экспорт"),IF((TODAY()+offer_turnaround_time)&gt;=helpsheet!$L$17,rate_vatRU_from_26,rate_vatRu_till_25),0)</f>
        <v/>
      </c>
      <c r="AP542" s="193">
        <f>AN542-AO542</f>
        <v/>
      </c>
      <c r="AQ542" s="118">
        <f>IF(offer_sale_type="транзит",SUM(AF542:AI542,BA542,BB542),0)</f>
        <v/>
      </c>
      <c r="AR542" s="82">
        <f>HYPERLINK("https://www.alta.ru/tnved/code/")&amp;W542&amp;"/"</f>
        <v/>
      </c>
      <c r="AS542" s="157" t="n"/>
      <c r="AT542" s="162" t="n"/>
      <c r="AU542" s="76">
        <f>IF(ISBLANK(AT542),0,AJ542-AT542)</f>
        <v/>
      </c>
      <c r="AV542" s="157" t="n"/>
      <c r="AW542" s="75">
        <f>_xlfn.IFNA(VLOOKUP(L542,list_vat[],3,FALSE),0)</f>
        <v/>
      </c>
      <c r="AX542" s="76">
        <f>IFERROR(ROUND(S542*(1+AW542)/E542,2),0)</f>
        <v/>
      </c>
      <c r="AY542" s="76">
        <f>E542*AX542</f>
        <v/>
      </c>
      <c r="AZ542" s="192">
        <f>S542*(1+M542)</f>
        <v/>
      </c>
      <c r="BA542" s="76">
        <f>cost_fin_total*$BD542</f>
        <v/>
      </c>
      <c r="BB542" s="193">
        <f>credit_sales_interest*BD542</f>
        <v/>
      </c>
      <c r="BC542" s="102">
        <f>IFERROR(IF($I$13&gt;0,$I542/$I$13,$S542/$S$13),0)</f>
        <v/>
      </c>
      <c r="BD542" s="102">
        <f>IFERROR($S542/$S$13,0)</f>
        <v/>
      </c>
      <c r="BE542" s="413" t="inlineStr">
        <is>
          <t>$</t>
        </is>
      </c>
    </row>
    <row r="543" ht="12" customFormat="1" customHeight="1" s="65">
      <c r="A543" s="43" t="n">
        <v>528</v>
      </c>
      <c r="B543" s="166" t="n"/>
      <c r="C543" s="166" t="n"/>
      <c r="D543" s="166" t="n"/>
      <c r="E543" s="162" t="n"/>
      <c r="F543" s="166" t="n"/>
      <c r="G543" s="162" t="n"/>
      <c r="H543" s="162" t="n"/>
      <c r="I543" s="189">
        <f>E543*G543</f>
        <v/>
      </c>
      <c r="J543" s="195" t="n"/>
      <c r="K543" s="162" t="n"/>
      <c r="L543" s="168" t="n"/>
      <c r="M543" s="75">
        <f>_xlfn.XLOOKUP(L543,list_vat[Страна],list_vat[Ставка НДС %],0,0)</f>
        <v/>
      </c>
      <c r="N543" s="162">
        <f>IFERROR(IF(L543="Китай",K543,K543/(1+M543)),0)</f>
        <v/>
      </c>
      <c r="O543" s="169" t="n"/>
      <c r="P543" s="76">
        <f>N543*(1-O543)</f>
        <v/>
      </c>
      <c r="Q543" s="162" t="n"/>
      <c r="R543" s="162">
        <f>IF(ISBLANK(Q543),"введи курс",P543/Q543)</f>
        <v/>
      </c>
      <c r="S543" s="196">
        <f>IF(AND(ISNUMBER(E543),ISNUMBER(Q543)),E543*R543,0)</f>
        <v/>
      </c>
      <c r="T543" s="192">
        <f>$BC543*V$11</f>
        <v/>
      </c>
      <c r="U543" s="76">
        <f>$BC543*W$11</f>
        <v/>
      </c>
      <c r="V543" s="193">
        <f>+SUM(T543:U543)</f>
        <v/>
      </c>
      <c r="W543" s="191" t="n"/>
      <c r="X543" s="170" t="n"/>
      <c r="Y543" s="76">
        <f>ROUND(IF(offer_incoterms="DDP",X543*(S543*(1+AW543)+T543),0),2)</f>
        <v/>
      </c>
      <c r="Z543" s="188" t="n"/>
      <c r="AA543" s="192">
        <f>IFERROR(AB543/E543,0)</f>
        <v/>
      </c>
      <c r="AB543" s="76">
        <f>ROUND(SUM(S543,V543,Y543:Z543,BA543:BB543),2)</f>
        <v/>
      </c>
      <c r="AC543" s="797" t="n"/>
      <c r="AD543" s="192">
        <f t="array" ref="AD543">IFERROR(ROUND((_xlfn.IFS(offer_sale_type="поставка",AB543,offer_sale_type="транзит",S543)*(1+AC543))/E543,2),0)</f>
        <v/>
      </c>
      <c r="AE543" s="76">
        <f>AD543*E543</f>
        <v/>
      </c>
      <c r="AF543" s="193">
        <f t="array" ref="AF543">IFERROR(ROUND(_xlfn.IFS(offer_sale_type="поставка",AB543,offer_sale_type="транзит",S543)*AC543,2),0)</f>
        <v/>
      </c>
      <c r="AG543" s="192">
        <f>$BD543*VLOOKUP($AG$3,$AF$4:$AG$7,2,FALSE)</f>
        <v/>
      </c>
      <c r="AH543" s="76">
        <f>SUM(AE543,AG543,AI543)*rate_forex_risk</f>
        <v/>
      </c>
      <c r="AI543" s="193">
        <f>IF(OR(seller_region="TR",offer_sale_type="экспорт"),0,rate_fin_comm)*SUM(AZ543,AZ543*AW543,T543)</f>
        <v/>
      </c>
      <c r="AJ543" s="118">
        <f>IFERROR(ROUND(SUM(AB543,AF543:AI543)/E543,2),0)</f>
        <v/>
      </c>
      <c r="AK543" s="76">
        <f>AJ543*E543</f>
        <v/>
      </c>
      <c r="AL543" s="174">
        <f>ROUND(IFERROR(AM543*E543,0),2)</f>
        <v/>
      </c>
      <c r="AM543" s="175">
        <f>ROUND(AJ543*(1+IF(offer_incoterms="DDP",IF((TODAY()+offer_turnaround_time)&gt;=helpsheet!$L$17,rate_vatRU_from_26,rate_vatRu_till_25),0)),2)</f>
        <v/>
      </c>
      <c r="AN543" s="192">
        <f>AL543-AK543</f>
        <v/>
      </c>
      <c r="AO543" s="76">
        <f>SUM(AY543,Y543:Z543,T543)*IF(AND(offer_incoterms="DDP",offer_sale_type&lt;&gt;"экспорт"),IF((TODAY()+offer_turnaround_time)&gt;=helpsheet!$L$17,rate_vatRU_from_26,rate_vatRu_till_25),0)</f>
        <v/>
      </c>
      <c r="AP543" s="193">
        <f>AN543-AO543</f>
        <v/>
      </c>
      <c r="AQ543" s="118">
        <f>IF(offer_sale_type="транзит",SUM(AF543:AI543,BA543,BB543),0)</f>
        <v/>
      </c>
      <c r="AR543" s="82">
        <f>HYPERLINK("https://www.alta.ru/tnved/code/")&amp;W543&amp;"/"</f>
        <v/>
      </c>
      <c r="AS543" s="157" t="n"/>
      <c r="AT543" s="162" t="n"/>
      <c r="AU543" s="76">
        <f>IF(ISBLANK(AT543),0,AJ543-AT543)</f>
        <v/>
      </c>
      <c r="AV543" s="157" t="n"/>
      <c r="AW543" s="75">
        <f>_xlfn.IFNA(VLOOKUP(L543,list_vat[],3,FALSE),0)</f>
        <v/>
      </c>
      <c r="AX543" s="76">
        <f>IFERROR(ROUND(S543*(1+AW543)/E543,2),0)</f>
        <v/>
      </c>
      <c r="AY543" s="76">
        <f>E543*AX543</f>
        <v/>
      </c>
      <c r="AZ543" s="192">
        <f>S543*(1+M543)</f>
        <v/>
      </c>
      <c r="BA543" s="76">
        <f>cost_fin_total*$BD543</f>
        <v/>
      </c>
      <c r="BB543" s="193">
        <f>credit_sales_interest*BD543</f>
        <v/>
      </c>
      <c r="BC543" s="102">
        <f>IFERROR(IF($I$13&gt;0,$I543/$I$13,$S543/$S$13),0)</f>
        <v/>
      </c>
      <c r="BD543" s="102">
        <f>IFERROR($S543/$S$13,0)</f>
        <v/>
      </c>
      <c r="BE543" s="413" t="inlineStr">
        <is>
          <t>$</t>
        </is>
      </c>
    </row>
    <row r="544" ht="12" customFormat="1" customHeight="1" s="65">
      <c r="A544" s="43" t="n">
        <v>529</v>
      </c>
      <c r="B544" s="166" t="n"/>
      <c r="C544" s="166" t="n"/>
      <c r="D544" s="166" t="n"/>
      <c r="E544" s="162" t="n"/>
      <c r="F544" s="166" t="n"/>
      <c r="G544" s="162" t="n"/>
      <c r="H544" s="162" t="n"/>
      <c r="I544" s="189">
        <f>E544*G544</f>
        <v/>
      </c>
      <c r="J544" s="195" t="n"/>
      <c r="K544" s="162" t="n"/>
      <c r="L544" s="168" t="n"/>
      <c r="M544" s="75">
        <f>_xlfn.XLOOKUP(L544,list_vat[Страна],list_vat[Ставка НДС %],0,0)</f>
        <v/>
      </c>
      <c r="N544" s="162">
        <f>IFERROR(IF(L544="Китай",K544,K544/(1+M544)),0)</f>
        <v/>
      </c>
      <c r="O544" s="169" t="n"/>
      <c r="P544" s="76">
        <f>N544*(1-O544)</f>
        <v/>
      </c>
      <c r="Q544" s="162" t="n"/>
      <c r="R544" s="162">
        <f>IF(ISBLANK(Q544),"введи курс",P544/Q544)</f>
        <v/>
      </c>
      <c r="S544" s="196">
        <f>IF(AND(ISNUMBER(E544),ISNUMBER(Q544)),E544*R544,0)</f>
        <v/>
      </c>
      <c r="T544" s="192">
        <f>$BC544*V$11</f>
        <v/>
      </c>
      <c r="U544" s="76">
        <f>$BC544*W$11</f>
        <v/>
      </c>
      <c r="V544" s="193">
        <f>+SUM(T544:U544)</f>
        <v/>
      </c>
      <c r="W544" s="191" t="n"/>
      <c r="X544" s="170" t="n"/>
      <c r="Y544" s="76">
        <f>ROUND(IF(offer_incoterms="DDP",X544*(S544*(1+AW544)+T544),0),2)</f>
        <v/>
      </c>
      <c r="Z544" s="188" t="n"/>
      <c r="AA544" s="192">
        <f>IFERROR(AB544/E544,0)</f>
        <v/>
      </c>
      <c r="AB544" s="76">
        <f>ROUND(SUM(S544,V544,Y544:Z544,BA544:BB544),2)</f>
        <v/>
      </c>
      <c r="AC544" s="797" t="n"/>
      <c r="AD544" s="192">
        <f t="array" ref="AD544">IFERROR(ROUND((_xlfn.IFS(offer_sale_type="поставка",AB544,offer_sale_type="транзит",S544)*(1+AC544))/E544,2),0)</f>
        <v/>
      </c>
      <c r="AE544" s="76">
        <f>AD544*E544</f>
        <v/>
      </c>
      <c r="AF544" s="193">
        <f t="array" ref="AF544">IFERROR(ROUND(_xlfn.IFS(offer_sale_type="поставка",AB544,offer_sale_type="транзит",S544)*AC544,2),0)</f>
        <v/>
      </c>
      <c r="AG544" s="192">
        <f>$BD544*VLOOKUP($AG$3,$AF$4:$AG$7,2,FALSE)</f>
        <v/>
      </c>
      <c r="AH544" s="76">
        <f>SUM(AE544,AG544,AI544)*rate_forex_risk</f>
        <v/>
      </c>
      <c r="AI544" s="193">
        <f>IF(OR(seller_region="TR",offer_sale_type="экспорт"),0,rate_fin_comm)*SUM(AZ544,AZ544*AW544,T544)</f>
        <v/>
      </c>
      <c r="AJ544" s="118">
        <f>IFERROR(ROUND(SUM(AB544,AF544:AI544)/E544,2),0)</f>
        <v/>
      </c>
      <c r="AK544" s="76">
        <f>AJ544*E544</f>
        <v/>
      </c>
      <c r="AL544" s="174">
        <f>ROUND(IFERROR(AM544*E544,0),2)</f>
        <v/>
      </c>
      <c r="AM544" s="175">
        <f>ROUND(AJ544*(1+IF(offer_incoterms="DDP",IF((TODAY()+offer_turnaround_time)&gt;=helpsheet!$L$17,rate_vatRU_from_26,rate_vatRu_till_25),0)),2)</f>
        <v/>
      </c>
      <c r="AN544" s="192">
        <f>AL544-AK544</f>
        <v/>
      </c>
      <c r="AO544" s="76">
        <f>SUM(AY544,Y544:Z544,T544)*IF(AND(offer_incoterms="DDP",offer_sale_type&lt;&gt;"экспорт"),IF((TODAY()+offer_turnaround_time)&gt;=helpsheet!$L$17,rate_vatRU_from_26,rate_vatRu_till_25),0)</f>
        <v/>
      </c>
      <c r="AP544" s="193">
        <f>AN544-AO544</f>
        <v/>
      </c>
      <c r="AQ544" s="118">
        <f>IF(offer_sale_type="транзит",SUM(AF544:AI544,BA544,BB544),0)</f>
        <v/>
      </c>
      <c r="AR544" s="82">
        <f>HYPERLINK("https://www.alta.ru/tnved/code/")&amp;W544&amp;"/"</f>
        <v/>
      </c>
      <c r="AS544" s="157" t="n"/>
      <c r="AT544" s="162" t="n"/>
      <c r="AU544" s="76">
        <f>IF(ISBLANK(AT544),0,AJ544-AT544)</f>
        <v/>
      </c>
      <c r="AV544" s="157" t="n"/>
      <c r="AW544" s="75">
        <f>_xlfn.IFNA(VLOOKUP(L544,list_vat[],3,FALSE),0)</f>
        <v/>
      </c>
      <c r="AX544" s="76">
        <f>IFERROR(ROUND(S544*(1+AW544)/E544,2),0)</f>
        <v/>
      </c>
      <c r="AY544" s="76">
        <f>E544*AX544</f>
        <v/>
      </c>
      <c r="AZ544" s="192">
        <f>S544*(1+M544)</f>
        <v/>
      </c>
      <c r="BA544" s="76">
        <f>cost_fin_total*$BD544</f>
        <v/>
      </c>
      <c r="BB544" s="193">
        <f>credit_sales_interest*BD544</f>
        <v/>
      </c>
      <c r="BC544" s="102">
        <f>IFERROR(IF($I$13&gt;0,$I544/$I$13,$S544/$S$13),0)</f>
        <v/>
      </c>
      <c r="BD544" s="102">
        <f>IFERROR($S544/$S$13,0)</f>
        <v/>
      </c>
      <c r="BE544" s="413" t="inlineStr">
        <is>
          <t>$</t>
        </is>
      </c>
    </row>
    <row r="545" ht="12" customFormat="1" customHeight="1" s="65">
      <c r="A545" s="43" t="n">
        <v>530</v>
      </c>
      <c r="B545" s="166" t="n"/>
      <c r="C545" s="166" t="n"/>
      <c r="D545" s="166" t="n"/>
      <c r="E545" s="162" t="n"/>
      <c r="F545" s="166" t="n"/>
      <c r="G545" s="162" t="n"/>
      <c r="H545" s="162" t="n"/>
      <c r="I545" s="189">
        <f>E545*G545</f>
        <v/>
      </c>
      <c r="J545" s="195" t="n"/>
      <c r="K545" s="162" t="n"/>
      <c r="L545" s="168" t="n"/>
      <c r="M545" s="75">
        <f>_xlfn.XLOOKUP(L545,list_vat[Страна],list_vat[Ставка НДС %],0,0)</f>
        <v/>
      </c>
      <c r="N545" s="162">
        <f>IFERROR(IF(L545="Китай",K545,K545/(1+M545)),0)</f>
        <v/>
      </c>
      <c r="O545" s="169" t="n"/>
      <c r="P545" s="76">
        <f>N545*(1-O545)</f>
        <v/>
      </c>
      <c r="Q545" s="162" t="n"/>
      <c r="R545" s="162">
        <f>IF(ISBLANK(Q545),"введи курс",P545/Q545)</f>
        <v/>
      </c>
      <c r="S545" s="196">
        <f>IF(AND(ISNUMBER(E545),ISNUMBER(Q545)),E545*R545,0)</f>
        <v/>
      </c>
      <c r="T545" s="192">
        <f>$BC545*V$11</f>
        <v/>
      </c>
      <c r="U545" s="76">
        <f>$BC545*W$11</f>
        <v/>
      </c>
      <c r="V545" s="193">
        <f>+SUM(T545:U545)</f>
        <v/>
      </c>
      <c r="W545" s="191" t="n"/>
      <c r="X545" s="170" t="n"/>
      <c r="Y545" s="76">
        <f>ROUND(IF(offer_incoterms="DDP",X545*(S545*(1+AW545)+T545),0),2)</f>
        <v/>
      </c>
      <c r="Z545" s="188" t="n"/>
      <c r="AA545" s="192">
        <f>IFERROR(AB545/E545,0)</f>
        <v/>
      </c>
      <c r="AB545" s="76">
        <f>ROUND(SUM(S545,V545,Y545:Z545,BA545:BB545),2)</f>
        <v/>
      </c>
      <c r="AC545" s="797" t="n"/>
      <c r="AD545" s="192">
        <f t="array" ref="AD545">IFERROR(ROUND((_xlfn.IFS(offer_sale_type="поставка",AB545,offer_sale_type="транзит",S545)*(1+AC545))/E545,2),0)</f>
        <v/>
      </c>
      <c r="AE545" s="76">
        <f>AD545*E545</f>
        <v/>
      </c>
      <c r="AF545" s="193">
        <f t="array" ref="AF545">IFERROR(ROUND(_xlfn.IFS(offer_sale_type="поставка",AB545,offer_sale_type="транзит",S545)*AC545,2),0)</f>
        <v/>
      </c>
      <c r="AG545" s="192">
        <f>$BD545*VLOOKUP($AG$3,$AF$4:$AG$7,2,FALSE)</f>
        <v/>
      </c>
      <c r="AH545" s="76">
        <f>SUM(AE545,AG545,AI545)*rate_forex_risk</f>
        <v/>
      </c>
      <c r="AI545" s="193">
        <f>IF(OR(seller_region="TR",offer_sale_type="экспорт"),0,rate_fin_comm)*SUM(AZ545,AZ545*AW545,T545)</f>
        <v/>
      </c>
      <c r="AJ545" s="118">
        <f>IFERROR(ROUND(SUM(AB545,AF545:AI545)/E545,2),0)</f>
        <v/>
      </c>
      <c r="AK545" s="76">
        <f>AJ545*E545</f>
        <v/>
      </c>
      <c r="AL545" s="174">
        <f>ROUND(IFERROR(AM545*E545,0),2)</f>
        <v/>
      </c>
      <c r="AM545" s="175">
        <f>ROUND(AJ545*(1+IF(offer_incoterms="DDP",IF((TODAY()+offer_turnaround_time)&gt;=helpsheet!$L$17,rate_vatRU_from_26,rate_vatRu_till_25),0)),2)</f>
        <v/>
      </c>
      <c r="AN545" s="192">
        <f>AL545-AK545</f>
        <v/>
      </c>
      <c r="AO545" s="76">
        <f>SUM(AY545,Y545:Z545,T545)*IF(AND(offer_incoterms="DDP",offer_sale_type&lt;&gt;"экспорт"),IF((TODAY()+offer_turnaround_time)&gt;=helpsheet!$L$17,rate_vatRU_from_26,rate_vatRu_till_25),0)</f>
        <v/>
      </c>
      <c r="AP545" s="193">
        <f>AN545-AO545</f>
        <v/>
      </c>
      <c r="AQ545" s="118">
        <f>IF(offer_sale_type="транзит",SUM(AF545:AI545,BA545,BB545),0)</f>
        <v/>
      </c>
      <c r="AR545" s="82">
        <f>HYPERLINK("https://www.alta.ru/tnved/code/")&amp;W545&amp;"/"</f>
        <v/>
      </c>
      <c r="AS545" s="157" t="n"/>
      <c r="AT545" s="162" t="n"/>
      <c r="AU545" s="76">
        <f>IF(ISBLANK(AT545),0,AJ545-AT545)</f>
        <v/>
      </c>
      <c r="AV545" s="157" t="n"/>
      <c r="AW545" s="75">
        <f>_xlfn.IFNA(VLOOKUP(L545,list_vat[],3,FALSE),0)</f>
        <v/>
      </c>
      <c r="AX545" s="76">
        <f>IFERROR(ROUND(S545*(1+AW545)/E545,2),0)</f>
        <v/>
      </c>
      <c r="AY545" s="76">
        <f>E545*AX545</f>
        <v/>
      </c>
      <c r="AZ545" s="192">
        <f>S545*(1+M545)</f>
        <v/>
      </c>
      <c r="BA545" s="76">
        <f>cost_fin_total*$BD545</f>
        <v/>
      </c>
      <c r="BB545" s="193">
        <f>credit_sales_interest*BD545</f>
        <v/>
      </c>
      <c r="BC545" s="102">
        <f>IFERROR(IF($I$13&gt;0,$I545/$I$13,$S545/$S$13),0)</f>
        <v/>
      </c>
      <c r="BD545" s="102">
        <f>IFERROR($S545/$S$13,0)</f>
        <v/>
      </c>
      <c r="BE545" s="413" t="inlineStr">
        <is>
          <t>$</t>
        </is>
      </c>
    </row>
    <row r="546" ht="12" customFormat="1" customHeight="1" s="65">
      <c r="A546" s="43" t="n">
        <v>531</v>
      </c>
      <c r="B546" s="166" t="n"/>
      <c r="C546" s="166" t="n"/>
      <c r="D546" s="166" t="n"/>
      <c r="E546" s="162" t="n"/>
      <c r="F546" s="166" t="n"/>
      <c r="G546" s="162" t="n"/>
      <c r="H546" s="162" t="n"/>
      <c r="I546" s="189">
        <f>E546*G546</f>
        <v/>
      </c>
      <c r="J546" s="195" t="n"/>
      <c r="K546" s="162" t="n"/>
      <c r="L546" s="168" t="n"/>
      <c r="M546" s="75">
        <f>_xlfn.XLOOKUP(L546,list_vat[Страна],list_vat[Ставка НДС %],0,0)</f>
        <v/>
      </c>
      <c r="N546" s="162">
        <f>IFERROR(IF(L546="Китай",K546,K546/(1+M546)),0)</f>
        <v/>
      </c>
      <c r="O546" s="169" t="n"/>
      <c r="P546" s="76">
        <f>N546*(1-O546)</f>
        <v/>
      </c>
      <c r="Q546" s="162" t="n"/>
      <c r="R546" s="162">
        <f>IF(ISBLANK(Q546),"введи курс",P546/Q546)</f>
        <v/>
      </c>
      <c r="S546" s="196">
        <f>IF(AND(ISNUMBER(E546),ISNUMBER(Q546)),E546*R546,0)</f>
        <v/>
      </c>
      <c r="T546" s="192">
        <f>$BC546*V$11</f>
        <v/>
      </c>
      <c r="U546" s="76">
        <f>$BC546*W$11</f>
        <v/>
      </c>
      <c r="V546" s="193">
        <f>+SUM(T546:U546)</f>
        <v/>
      </c>
      <c r="W546" s="191" t="n"/>
      <c r="X546" s="170" t="n"/>
      <c r="Y546" s="76">
        <f>ROUND(IF(offer_incoterms="DDP",X546*(S546*(1+AW546)+T546),0),2)</f>
        <v/>
      </c>
      <c r="Z546" s="188" t="n"/>
      <c r="AA546" s="192">
        <f>IFERROR(AB546/E546,0)</f>
        <v/>
      </c>
      <c r="AB546" s="76">
        <f>ROUND(SUM(S546,V546,Y546:Z546,BA546:BB546),2)</f>
        <v/>
      </c>
      <c r="AC546" s="797" t="n"/>
      <c r="AD546" s="192">
        <f t="array" ref="AD546">IFERROR(ROUND((_xlfn.IFS(offer_sale_type="поставка",AB546,offer_sale_type="транзит",S546)*(1+AC546))/E546,2),0)</f>
        <v/>
      </c>
      <c r="AE546" s="76">
        <f>AD546*E546</f>
        <v/>
      </c>
      <c r="AF546" s="193">
        <f t="array" ref="AF546">IFERROR(ROUND(_xlfn.IFS(offer_sale_type="поставка",AB546,offer_sale_type="транзит",S546)*AC546,2),0)</f>
        <v/>
      </c>
      <c r="AG546" s="192">
        <f>$BD546*VLOOKUP($AG$3,$AF$4:$AG$7,2,FALSE)</f>
        <v/>
      </c>
      <c r="AH546" s="76">
        <f>SUM(AE546,AG546,AI546)*rate_forex_risk</f>
        <v/>
      </c>
      <c r="AI546" s="193">
        <f>IF(OR(seller_region="TR",offer_sale_type="экспорт"),0,rate_fin_comm)*SUM(AZ546,AZ546*AW546,T546)</f>
        <v/>
      </c>
      <c r="AJ546" s="118">
        <f>IFERROR(ROUND(SUM(AB546,AF546:AI546)/E546,2),0)</f>
        <v/>
      </c>
      <c r="AK546" s="76">
        <f>AJ546*E546</f>
        <v/>
      </c>
      <c r="AL546" s="174">
        <f>ROUND(IFERROR(AM546*E546,0),2)</f>
        <v/>
      </c>
      <c r="AM546" s="175">
        <f>ROUND(AJ546*(1+IF(offer_incoterms="DDP",IF((TODAY()+offer_turnaround_time)&gt;=helpsheet!$L$17,rate_vatRU_from_26,rate_vatRu_till_25),0)),2)</f>
        <v/>
      </c>
      <c r="AN546" s="192">
        <f>AL546-AK546</f>
        <v/>
      </c>
      <c r="AO546" s="76">
        <f>SUM(AY546,Y546:Z546,T546)*IF(AND(offer_incoterms="DDP",offer_sale_type&lt;&gt;"экспорт"),IF((TODAY()+offer_turnaround_time)&gt;=helpsheet!$L$17,rate_vatRU_from_26,rate_vatRu_till_25),0)</f>
        <v/>
      </c>
      <c r="AP546" s="193">
        <f>AN546-AO546</f>
        <v/>
      </c>
      <c r="AQ546" s="118">
        <f>IF(offer_sale_type="транзит",SUM(AF546:AI546,BA546,BB546),0)</f>
        <v/>
      </c>
      <c r="AR546" s="82">
        <f>HYPERLINK("https://www.alta.ru/tnved/code/")&amp;W546&amp;"/"</f>
        <v/>
      </c>
      <c r="AS546" s="157" t="n"/>
      <c r="AT546" s="162" t="n"/>
      <c r="AU546" s="76">
        <f>IF(ISBLANK(AT546),0,AJ546-AT546)</f>
        <v/>
      </c>
      <c r="AV546" s="157" t="n"/>
      <c r="AW546" s="75">
        <f>_xlfn.IFNA(VLOOKUP(L546,list_vat[],3,FALSE),0)</f>
        <v/>
      </c>
      <c r="AX546" s="76">
        <f>IFERROR(ROUND(S546*(1+AW546)/E546,2),0)</f>
        <v/>
      </c>
      <c r="AY546" s="76">
        <f>E546*AX546</f>
        <v/>
      </c>
      <c r="AZ546" s="192">
        <f>S546*(1+M546)</f>
        <v/>
      </c>
      <c r="BA546" s="76">
        <f>cost_fin_total*$BD546</f>
        <v/>
      </c>
      <c r="BB546" s="193">
        <f>credit_sales_interest*BD546</f>
        <v/>
      </c>
      <c r="BC546" s="102">
        <f>IFERROR(IF($I$13&gt;0,$I546/$I$13,$S546/$S$13),0)</f>
        <v/>
      </c>
      <c r="BD546" s="102">
        <f>IFERROR($S546/$S$13,0)</f>
        <v/>
      </c>
      <c r="BE546" s="413" t="inlineStr">
        <is>
          <t>$</t>
        </is>
      </c>
    </row>
    <row r="547" ht="12" customFormat="1" customHeight="1" s="65">
      <c r="A547" s="43" t="n">
        <v>532</v>
      </c>
      <c r="B547" s="166" t="n"/>
      <c r="C547" s="166" t="n"/>
      <c r="D547" s="166" t="n"/>
      <c r="E547" s="162" t="n"/>
      <c r="F547" s="166" t="n"/>
      <c r="G547" s="162" t="n"/>
      <c r="H547" s="162" t="n"/>
      <c r="I547" s="189">
        <f>E547*G547</f>
        <v/>
      </c>
      <c r="J547" s="195" t="n"/>
      <c r="K547" s="162" t="n"/>
      <c r="L547" s="168" t="n"/>
      <c r="M547" s="75">
        <f>_xlfn.XLOOKUP(L547,list_vat[Страна],list_vat[Ставка НДС %],0,0)</f>
        <v/>
      </c>
      <c r="N547" s="162">
        <f>IFERROR(IF(L547="Китай",K547,K547/(1+M547)),0)</f>
        <v/>
      </c>
      <c r="O547" s="169" t="n"/>
      <c r="P547" s="76">
        <f>N547*(1-O547)</f>
        <v/>
      </c>
      <c r="Q547" s="162" t="n"/>
      <c r="R547" s="162">
        <f>IF(ISBLANK(Q547),"введи курс",P547/Q547)</f>
        <v/>
      </c>
      <c r="S547" s="196">
        <f>IF(AND(ISNUMBER(E547),ISNUMBER(Q547)),E547*R547,0)</f>
        <v/>
      </c>
      <c r="T547" s="192">
        <f>$BC547*V$11</f>
        <v/>
      </c>
      <c r="U547" s="76">
        <f>$BC547*W$11</f>
        <v/>
      </c>
      <c r="V547" s="193">
        <f>+SUM(T547:U547)</f>
        <v/>
      </c>
      <c r="W547" s="191" t="n"/>
      <c r="X547" s="170" t="n"/>
      <c r="Y547" s="76">
        <f>ROUND(IF(offer_incoterms="DDP",X547*(S547*(1+AW547)+T547),0),2)</f>
        <v/>
      </c>
      <c r="Z547" s="188" t="n"/>
      <c r="AA547" s="192">
        <f>IFERROR(AB547/E547,0)</f>
        <v/>
      </c>
      <c r="AB547" s="76">
        <f>ROUND(SUM(S547,V547,Y547:Z547,BA547:BB547),2)</f>
        <v/>
      </c>
      <c r="AC547" s="797" t="n"/>
      <c r="AD547" s="192">
        <f t="array" ref="AD547">IFERROR(ROUND((_xlfn.IFS(offer_sale_type="поставка",AB547,offer_sale_type="транзит",S547)*(1+AC547))/E547,2),0)</f>
        <v/>
      </c>
      <c r="AE547" s="76">
        <f>AD547*E547</f>
        <v/>
      </c>
      <c r="AF547" s="193">
        <f t="array" ref="AF547">IFERROR(ROUND(_xlfn.IFS(offer_sale_type="поставка",AB547,offer_sale_type="транзит",S547)*AC547,2),0)</f>
        <v/>
      </c>
      <c r="AG547" s="192">
        <f>$BD547*VLOOKUP($AG$3,$AF$4:$AG$7,2,FALSE)</f>
        <v/>
      </c>
      <c r="AH547" s="76">
        <f>SUM(AE547,AG547,AI547)*rate_forex_risk</f>
        <v/>
      </c>
      <c r="AI547" s="193">
        <f>IF(OR(seller_region="TR",offer_sale_type="экспорт"),0,rate_fin_comm)*SUM(AZ547,AZ547*AW547,T547)</f>
        <v/>
      </c>
      <c r="AJ547" s="118">
        <f>IFERROR(ROUND(SUM(AB547,AF547:AI547)/E547,2),0)</f>
        <v/>
      </c>
      <c r="AK547" s="76">
        <f>AJ547*E547</f>
        <v/>
      </c>
      <c r="AL547" s="174">
        <f>ROUND(IFERROR(AM547*E547,0),2)</f>
        <v/>
      </c>
      <c r="AM547" s="175">
        <f>ROUND(AJ547*(1+IF(offer_incoterms="DDP",IF((TODAY()+offer_turnaround_time)&gt;=helpsheet!$L$17,rate_vatRU_from_26,rate_vatRu_till_25),0)),2)</f>
        <v/>
      </c>
      <c r="AN547" s="192">
        <f>AL547-AK547</f>
        <v/>
      </c>
      <c r="AO547" s="76">
        <f>SUM(AY547,Y547:Z547,T547)*IF(AND(offer_incoterms="DDP",offer_sale_type&lt;&gt;"экспорт"),IF((TODAY()+offer_turnaround_time)&gt;=helpsheet!$L$17,rate_vatRU_from_26,rate_vatRu_till_25),0)</f>
        <v/>
      </c>
      <c r="AP547" s="193">
        <f>AN547-AO547</f>
        <v/>
      </c>
      <c r="AQ547" s="118">
        <f>IF(offer_sale_type="транзит",SUM(AF547:AI547,BA547,BB547),0)</f>
        <v/>
      </c>
      <c r="AR547" s="82">
        <f>HYPERLINK("https://www.alta.ru/tnved/code/")&amp;W547&amp;"/"</f>
        <v/>
      </c>
      <c r="AS547" s="157" t="n"/>
      <c r="AT547" s="162" t="n"/>
      <c r="AU547" s="76">
        <f>IF(ISBLANK(AT547),0,AJ547-AT547)</f>
        <v/>
      </c>
      <c r="AV547" s="157" t="n"/>
      <c r="AW547" s="75">
        <f>_xlfn.IFNA(VLOOKUP(L547,list_vat[],3,FALSE),0)</f>
        <v/>
      </c>
      <c r="AX547" s="76">
        <f>IFERROR(ROUND(S547*(1+AW547)/E547,2),0)</f>
        <v/>
      </c>
      <c r="AY547" s="76">
        <f>E547*AX547</f>
        <v/>
      </c>
      <c r="AZ547" s="192">
        <f>S547*(1+M547)</f>
        <v/>
      </c>
      <c r="BA547" s="76">
        <f>cost_fin_total*$BD547</f>
        <v/>
      </c>
      <c r="BB547" s="193">
        <f>credit_sales_interest*BD547</f>
        <v/>
      </c>
      <c r="BC547" s="102">
        <f>IFERROR(IF($I$13&gt;0,$I547/$I$13,$S547/$S$13),0)</f>
        <v/>
      </c>
      <c r="BD547" s="102">
        <f>IFERROR($S547/$S$13,0)</f>
        <v/>
      </c>
      <c r="BE547" s="413" t="inlineStr">
        <is>
          <t>$</t>
        </is>
      </c>
    </row>
    <row r="548" ht="12" customFormat="1" customHeight="1" s="65">
      <c r="A548" s="43" t="n">
        <v>533</v>
      </c>
      <c r="B548" s="166" t="n"/>
      <c r="C548" s="166" t="n"/>
      <c r="D548" s="166" t="n"/>
      <c r="E548" s="162" t="n"/>
      <c r="F548" s="166" t="n"/>
      <c r="G548" s="162" t="n"/>
      <c r="H548" s="162" t="n"/>
      <c r="I548" s="189">
        <f>E548*G548</f>
        <v/>
      </c>
      <c r="J548" s="195" t="n"/>
      <c r="K548" s="162" t="n"/>
      <c r="L548" s="168" t="n"/>
      <c r="M548" s="75">
        <f>_xlfn.XLOOKUP(L548,list_vat[Страна],list_vat[Ставка НДС %],0,0)</f>
        <v/>
      </c>
      <c r="N548" s="162">
        <f>IFERROR(IF(L548="Китай",K548,K548/(1+M548)),0)</f>
        <v/>
      </c>
      <c r="O548" s="169" t="n"/>
      <c r="P548" s="76">
        <f>N548*(1-O548)</f>
        <v/>
      </c>
      <c r="Q548" s="162" t="n"/>
      <c r="R548" s="162">
        <f>IF(ISBLANK(Q548),"введи курс",P548/Q548)</f>
        <v/>
      </c>
      <c r="S548" s="196">
        <f>IF(AND(ISNUMBER(E548),ISNUMBER(Q548)),E548*R548,0)</f>
        <v/>
      </c>
      <c r="T548" s="192">
        <f>$BC548*V$11</f>
        <v/>
      </c>
      <c r="U548" s="76">
        <f>$BC548*W$11</f>
        <v/>
      </c>
      <c r="V548" s="193">
        <f>+SUM(T548:U548)</f>
        <v/>
      </c>
      <c r="W548" s="191" t="n"/>
      <c r="X548" s="170" t="n"/>
      <c r="Y548" s="76">
        <f>ROUND(IF(offer_incoterms="DDP",X548*(S548*(1+AW548)+T548),0),2)</f>
        <v/>
      </c>
      <c r="Z548" s="188" t="n"/>
      <c r="AA548" s="192">
        <f>IFERROR(AB548/E548,0)</f>
        <v/>
      </c>
      <c r="AB548" s="76">
        <f>ROUND(SUM(S548,V548,Y548:Z548,BA548:BB548),2)</f>
        <v/>
      </c>
      <c r="AC548" s="797" t="n"/>
      <c r="AD548" s="192">
        <f t="array" ref="AD548">IFERROR(ROUND((_xlfn.IFS(offer_sale_type="поставка",AB548,offer_sale_type="транзит",S548)*(1+AC548))/E548,2),0)</f>
        <v/>
      </c>
      <c r="AE548" s="76">
        <f>AD548*E548</f>
        <v/>
      </c>
      <c r="AF548" s="193">
        <f t="array" ref="AF548">IFERROR(ROUND(_xlfn.IFS(offer_sale_type="поставка",AB548,offer_sale_type="транзит",S548)*AC548,2),0)</f>
        <v/>
      </c>
      <c r="AG548" s="192">
        <f>$BD548*VLOOKUP($AG$3,$AF$4:$AG$7,2,FALSE)</f>
        <v/>
      </c>
      <c r="AH548" s="76">
        <f>SUM(AE548,AG548,AI548)*rate_forex_risk</f>
        <v/>
      </c>
      <c r="AI548" s="193">
        <f>IF(OR(seller_region="TR",offer_sale_type="экспорт"),0,rate_fin_comm)*SUM(AZ548,AZ548*AW548,T548)</f>
        <v/>
      </c>
      <c r="AJ548" s="118">
        <f>IFERROR(ROUND(SUM(AB548,AF548:AI548)/E548,2),0)</f>
        <v/>
      </c>
      <c r="AK548" s="76">
        <f>AJ548*E548</f>
        <v/>
      </c>
      <c r="AL548" s="174">
        <f>ROUND(IFERROR(AM548*E548,0),2)</f>
        <v/>
      </c>
      <c r="AM548" s="175">
        <f>ROUND(AJ548*(1+IF(offer_incoterms="DDP",IF((TODAY()+offer_turnaround_time)&gt;=helpsheet!$L$17,rate_vatRU_from_26,rate_vatRu_till_25),0)),2)</f>
        <v/>
      </c>
      <c r="AN548" s="192">
        <f>AL548-AK548</f>
        <v/>
      </c>
      <c r="AO548" s="76">
        <f>SUM(AY548,Y548:Z548,T548)*IF(AND(offer_incoterms="DDP",offer_sale_type&lt;&gt;"экспорт"),IF((TODAY()+offer_turnaround_time)&gt;=helpsheet!$L$17,rate_vatRU_from_26,rate_vatRu_till_25),0)</f>
        <v/>
      </c>
      <c r="AP548" s="193">
        <f>AN548-AO548</f>
        <v/>
      </c>
      <c r="AQ548" s="118">
        <f>IF(offer_sale_type="транзит",SUM(AF548:AI548,BA548,BB548),0)</f>
        <v/>
      </c>
      <c r="AR548" s="82">
        <f>HYPERLINK("https://www.alta.ru/tnved/code/")&amp;W548&amp;"/"</f>
        <v/>
      </c>
      <c r="AS548" s="157" t="n"/>
      <c r="AT548" s="162" t="n"/>
      <c r="AU548" s="76">
        <f>IF(ISBLANK(AT548),0,AJ548-AT548)</f>
        <v/>
      </c>
      <c r="AV548" s="157" t="n"/>
      <c r="AW548" s="75">
        <f>_xlfn.IFNA(VLOOKUP(L548,list_vat[],3,FALSE),0)</f>
        <v/>
      </c>
      <c r="AX548" s="76">
        <f>IFERROR(ROUND(S548*(1+AW548)/E548,2),0)</f>
        <v/>
      </c>
      <c r="AY548" s="76">
        <f>E548*AX548</f>
        <v/>
      </c>
      <c r="AZ548" s="192">
        <f>S548*(1+M548)</f>
        <v/>
      </c>
      <c r="BA548" s="76">
        <f>cost_fin_total*$BD548</f>
        <v/>
      </c>
      <c r="BB548" s="193">
        <f>credit_sales_interest*BD548</f>
        <v/>
      </c>
      <c r="BC548" s="102">
        <f>IFERROR(IF($I$13&gt;0,$I548/$I$13,$S548/$S$13),0)</f>
        <v/>
      </c>
      <c r="BD548" s="102">
        <f>IFERROR($S548/$S$13,0)</f>
        <v/>
      </c>
      <c r="BE548" s="413" t="inlineStr">
        <is>
          <t>$</t>
        </is>
      </c>
    </row>
    <row r="549" ht="12" customFormat="1" customHeight="1" s="65">
      <c r="A549" s="43" t="n">
        <v>534</v>
      </c>
      <c r="B549" s="166" t="n"/>
      <c r="C549" s="166" t="n"/>
      <c r="D549" s="166" t="n"/>
      <c r="E549" s="162" t="n"/>
      <c r="F549" s="166" t="n"/>
      <c r="G549" s="162" t="n"/>
      <c r="H549" s="162" t="n"/>
      <c r="I549" s="189">
        <f>E549*G549</f>
        <v/>
      </c>
      <c r="J549" s="195" t="n"/>
      <c r="K549" s="162" t="n"/>
      <c r="L549" s="168" t="n"/>
      <c r="M549" s="75">
        <f>_xlfn.XLOOKUP(L549,list_vat[Страна],list_vat[Ставка НДС %],0,0)</f>
        <v/>
      </c>
      <c r="N549" s="162">
        <f>IFERROR(IF(L549="Китай",K549,K549/(1+M549)),0)</f>
        <v/>
      </c>
      <c r="O549" s="169" t="n"/>
      <c r="P549" s="76">
        <f>N549*(1-O549)</f>
        <v/>
      </c>
      <c r="Q549" s="162" t="n"/>
      <c r="R549" s="162">
        <f>IF(ISBLANK(Q549),"введи курс",P549/Q549)</f>
        <v/>
      </c>
      <c r="S549" s="196">
        <f>IF(AND(ISNUMBER(E549),ISNUMBER(Q549)),E549*R549,0)</f>
        <v/>
      </c>
      <c r="T549" s="192">
        <f>$BC549*V$11</f>
        <v/>
      </c>
      <c r="U549" s="76">
        <f>$BC549*W$11</f>
        <v/>
      </c>
      <c r="V549" s="193">
        <f>+SUM(T549:U549)</f>
        <v/>
      </c>
      <c r="W549" s="191" t="n"/>
      <c r="X549" s="170" t="n"/>
      <c r="Y549" s="76">
        <f>ROUND(IF(offer_incoterms="DDP",X549*(S549*(1+AW549)+T549),0),2)</f>
        <v/>
      </c>
      <c r="Z549" s="188" t="n"/>
      <c r="AA549" s="192">
        <f>IFERROR(AB549/E549,0)</f>
        <v/>
      </c>
      <c r="AB549" s="76">
        <f>ROUND(SUM(S549,V549,Y549:Z549,BA549:BB549),2)</f>
        <v/>
      </c>
      <c r="AC549" s="797" t="n"/>
      <c r="AD549" s="192">
        <f t="array" ref="AD549">IFERROR(ROUND((_xlfn.IFS(offer_sale_type="поставка",AB549,offer_sale_type="транзит",S549)*(1+AC549))/E549,2),0)</f>
        <v/>
      </c>
      <c r="AE549" s="76">
        <f>AD549*E549</f>
        <v/>
      </c>
      <c r="AF549" s="193">
        <f t="array" ref="AF549">IFERROR(ROUND(_xlfn.IFS(offer_sale_type="поставка",AB549,offer_sale_type="транзит",S549)*AC549,2),0)</f>
        <v/>
      </c>
      <c r="AG549" s="192">
        <f>$BD549*VLOOKUP($AG$3,$AF$4:$AG$7,2,FALSE)</f>
        <v/>
      </c>
      <c r="AH549" s="76">
        <f>SUM(AE549,AG549,AI549)*rate_forex_risk</f>
        <v/>
      </c>
      <c r="AI549" s="193">
        <f>IF(OR(seller_region="TR",offer_sale_type="экспорт"),0,rate_fin_comm)*SUM(AZ549,AZ549*AW549,T549)</f>
        <v/>
      </c>
      <c r="AJ549" s="118">
        <f>IFERROR(ROUND(SUM(AB549,AF549:AI549)/E549,2),0)</f>
        <v/>
      </c>
      <c r="AK549" s="76">
        <f>AJ549*E549</f>
        <v/>
      </c>
      <c r="AL549" s="174">
        <f>ROUND(IFERROR(AM549*E549,0),2)</f>
        <v/>
      </c>
      <c r="AM549" s="175">
        <f>ROUND(AJ549*(1+IF(offer_incoterms="DDP",IF((TODAY()+offer_turnaround_time)&gt;=helpsheet!$L$17,rate_vatRU_from_26,rate_vatRu_till_25),0)),2)</f>
        <v/>
      </c>
      <c r="AN549" s="192">
        <f>AL549-AK549</f>
        <v/>
      </c>
      <c r="AO549" s="76">
        <f>SUM(AY549,Y549:Z549,T549)*IF(AND(offer_incoterms="DDP",offer_sale_type&lt;&gt;"экспорт"),IF((TODAY()+offer_turnaround_time)&gt;=helpsheet!$L$17,rate_vatRU_from_26,rate_vatRu_till_25),0)</f>
        <v/>
      </c>
      <c r="AP549" s="193">
        <f>AN549-AO549</f>
        <v/>
      </c>
      <c r="AQ549" s="118">
        <f>IF(offer_sale_type="транзит",SUM(AF549:AI549,BA549,BB549),0)</f>
        <v/>
      </c>
      <c r="AR549" s="82">
        <f>HYPERLINK("https://www.alta.ru/tnved/code/")&amp;W549&amp;"/"</f>
        <v/>
      </c>
      <c r="AS549" s="157" t="n"/>
      <c r="AT549" s="162" t="n"/>
      <c r="AU549" s="76">
        <f>IF(ISBLANK(AT549),0,AJ549-AT549)</f>
        <v/>
      </c>
      <c r="AV549" s="157" t="n"/>
      <c r="AW549" s="75">
        <f>_xlfn.IFNA(VLOOKUP(L549,list_vat[],3,FALSE),0)</f>
        <v/>
      </c>
      <c r="AX549" s="76">
        <f>IFERROR(ROUND(S549*(1+AW549)/E549,2),0)</f>
        <v/>
      </c>
      <c r="AY549" s="76">
        <f>E549*AX549</f>
        <v/>
      </c>
      <c r="AZ549" s="192">
        <f>S549*(1+M549)</f>
        <v/>
      </c>
      <c r="BA549" s="76">
        <f>cost_fin_total*$BD549</f>
        <v/>
      </c>
      <c r="BB549" s="193">
        <f>credit_sales_interest*BD549</f>
        <v/>
      </c>
      <c r="BC549" s="102">
        <f>IFERROR(IF($I$13&gt;0,$I549/$I$13,$S549/$S$13),0)</f>
        <v/>
      </c>
      <c r="BD549" s="102">
        <f>IFERROR($S549/$S$13,0)</f>
        <v/>
      </c>
      <c r="BE549" s="413" t="inlineStr">
        <is>
          <t>$</t>
        </is>
      </c>
    </row>
    <row r="550" ht="12" customFormat="1" customHeight="1" s="65">
      <c r="A550" s="43" t="n">
        <v>535</v>
      </c>
      <c r="B550" s="166" t="n"/>
      <c r="C550" s="166" t="n"/>
      <c r="D550" s="166" t="n"/>
      <c r="E550" s="162" t="n"/>
      <c r="F550" s="166" t="n"/>
      <c r="G550" s="162" t="n"/>
      <c r="H550" s="162" t="n"/>
      <c r="I550" s="189">
        <f>E550*G550</f>
        <v/>
      </c>
      <c r="J550" s="195" t="n"/>
      <c r="K550" s="162" t="n"/>
      <c r="L550" s="168" t="n"/>
      <c r="M550" s="75">
        <f>_xlfn.XLOOKUP(L550,list_vat[Страна],list_vat[Ставка НДС %],0,0)</f>
        <v/>
      </c>
      <c r="N550" s="162">
        <f>IFERROR(IF(L550="Китай",K550,K550/(1+M550)),0)</f>
        <v/>
      </c>
      <c r="O550" s="169" t="n"/>
      <c r="P550" s="76">
        <f>N550*(1-O550)</f>
        <v/>
      </c>
      <c r="Q550" s="162" t="n"/>
      <c r="R550" s="162">
        <f>IF(ISBLANK(Q550),"введи курс",P550/Q550)</f>
        <v/>
      </c>
      <c r="S550" s="196">
        <f>IF(AND(ISNUMBER(E550),ISNUMBER(Q550)),E550*R550,0)</f>
        <v/>
      </c>
      <c r="T550" s="192">
        <f>$BC550*V$11</f>
        <v/>
      </c>
      <c r="U550" s="76">
        <f>$BC550*W$11</f>
        <v/>
      </c>
      <c r="V550" s="193">
        <f>+SUM(T550:U550)</f>
        <v/>
      </c>
      <c r="W550" s="191" t="n"/>
      <c r="X550" s="170" t="n"/>
      <c r="Y550" s="76">
        <f>ROUND(IF(offer_incoterms="DDP",X550*(S550*(1+AW550)+T550),0),2)</f>
        <v/>
      </c>
      <c r="Z550" s="188" t="n"/>
      <c r="AA550" s="192">
        <f>IFERROR(AB550/E550,0)</f>
        <v/>
      </c>
      <c r="AB550" s="76">
        <f>ROUND(SUM(S550,V550,Y550:Z550,BA550:BB550),2)</f>
        <v/>
      </c>
      <c r="AC550" s="797" t="n"/>
      <c r="AD550" s="192">
        <f t="array" ref="AD550">IFERROR(ROUND((_xlfn.IFS(offer_sale_type="поставка",AB550,offer_sale_type="транзит",S550)*(1+AC550))/E550,2),0)</f>
        <v/>
      </c>
      <c r="AE550" s="76">
        <f>AD550*E550</f>
        <v/>
      </c>
      <c r="AF550" s="193">
        <f t="array" ref="AF550">IFERROR(ROUND(_xlfn.IFS(offer_sale_type="поставка",AB550,offer_sale_type="транзит",S550)*AC550,2),0)</f>
        <v/>
      </c>
      <c r="AG550" s="192">
        <f>$BD550*VLOOKUP($AG$3,$AF$4:$AG$7,2,FALSE)</f>
        <v/>
      </c>
      <c r="AH550" s="76">
        <f>SUM(AE550,AG550,AI550)*rate_forex_risk</f>
        <v/>
      </c>
      <c r="AI550" s="193">
        <f>IF(OR(seller_region="TR",offer_sale_type="экспорт"),0,rate_fin_comm)*SUM(AZ550,AZ550*AW550,T550)</f>
        <v/>
      </c>
      <c r="AJ550" s="118">
        <f>IFERROR(ROUND(SUM(AB550,AF550:AI550)/E550,2),0)</f>
        <v/>
      </c>
      <c r="AK550" s="76">
        <f>AJ550*E550</f>
        <v/>
      </c>
      <c r="AL550" s="174">
        <f>ROUND(IFERROR(AM550*E550,0),2)</f>
        <v/>
      </c>
      <c r="AM550" s="175">
        <f>ROUND(AJ550*(1+IF(offer_incoterms="DDP",IF((TODAY()+offer_turnaround_time)&gt;=helpsheet!$L$17,rate_vatRU_from_26,rate_vatRu_till_25),0)),2)</f>
        <v/>
      </c>
      <c r="AN550" s="192">
        <f>AL550-AK550</f>
        <v/>
      </c>
      <c r="AO550" s="76">
        <f>SUM(AY550,Y550:Z550,T550)*IF(AND(offer_incoterms="DDP",offer_sale_type&lt;&gt;"экспорт"),IF((TODAY()+offer_turnaround_time)&gt;=helpsheet!$L$17,rate_vatRU_from_26,rate_vatRu_till_25),0)</f>
        <v/>
      </c>
      <c r="AP550" s="193">
        <f>AN550-AO550</f>
        <v/>
      </c>
      <c r="AQ550" s="118">
        <f>IF(offer_sale_type="транзит",SUM(AF550:AI550,BA550,BB550),0)</f>
        <v/>
      </c>
      <c r="AR550" s="82">
        <f>HYPERLINK("https://www.alta.ru/tnved/code/")&amp;W550&amp;"/"</f>
        <v/>
      </c>
      <c r="AS550" s="157" t="n"/>
      <c r="AT550" s="162" t="n"/>
      <c r="AU550" s="76">
        <f>IF(ISBLANK(AT550),0,AJ550-AT550)</f>
        <v/>
      </c>
      <c r="AV550" s="157" t="n"/>
      <c r="AW550" s="75">
        <f>_xlfn.IFNA(VLOOKUP(L550,list_vat[],3,FALSE),0)</f>
        <v/>
      </c>
      <c r="AX550" s="76">
        <f>IFERROR(ROUND(S550*(1+AW550)/E550,2),0)</f>
        <v/>
      </c>
      <c r="AY550" s="76">
        <f>E550*AX550</f>
        <v/>
      </c>
      <c r="AZ550" s="192">
        <f>S550*(1+M550)</f>
        <v/>
      </c>
      <c r="BA550" s="76">
        <f>cost_fin_total*$BD550</f>
        <v/>
      </c>
      <c r="BB550" s="193">
        <f>credit_sales_interest*BD550</f>
        <v/>
      </c>
      <c r="BC550" s="102">
        <f>IFERROR(IF($I$13&gt;0,$I550/$I$13,$S550/$S$13),0)</f>
        <v/>
      </c>
      <c r="BD550" s="102">
        <f>IFERROR($S550/$S$13,0)</f>
        <v/>
      </c>
      <c r="BE550" s="413" t="inlineStr">
        <is>
          <t>$</t>
        </is>
      </c>
    </row>
    <row r="551" ht="12" customFormat="1" customHeight="1" s="65">
      <c r="A551" s="43" t="n">
        <v>536</v>
      </c>
      <c r="B551" s="166" t="n"/>
      <c r="C551" s="166" t="n"/>
      <c r="D551" s="166" t="n"/>
      <c r="E551" s="162" t="n"/>
      <c r="F551" s="166" t="n"/>
      <c r="G551" s="162" t="n"/>
      <c r="H551" s="162" t="n"/>
      <c r="I551" s="189">
        <f>E551*G551</f>
        <v/>
      </c>
      <c r="J551" s="195" t="n"/>
      <c r="K551" s="162" t="n"/>
      <c r="L551" s="168" t="n"/>
      <c r="M551" s="75">
        <f>_xlfn.XLOOKUP(L551,list_vat[Страна],list_vat[Ставка НДС %],0,0)</f>
        <v/>
      </c>
      <c r="N551" s="162">
        <f>IFERROR(IF(L551="Китай",K551,K551/(1+M551)),0)</f>
        <v/>
      </c>
      <c r="O551" s="169" t="n"/>
      <c r="P551" s="76">
        <f>N551*(1-O551)</f>
        <v/>
      </c>
      <c r="Q551" s="162" t="n"/>
      <c r="R551" s="162">
        <f>IF(ISBLANK(Q551),"введи курс",P551/Q551)</f>
        <v/>
      </c>
      <c r="S551" s="196">
        <f>IF(AND(ISNUMBER(E551),ISNUMBER(Q551)),E551*R551,0)</f>
        <v/>
      </c>
      <c r="T551" s="192">
        <f>$BC551*V$11</f>
        <v/>
      </c>
      <c r="U551" s="76">
        <f>$BC551*W$11</f>
        <v/>
      </c>
      <c r="V551" s="193">
        <f>+SUM(T551:U551)</f>
        <v/>
      </c>
      <c r="W551" s="191" t="n"/>
      <c r="X551" s="170" t="n"/>
      <c r="Y551" s="76">
        <f>ROUND(IF(offer_incoterms="DDP",X551*(S551*(1+AW551)+T551),0),2)</f>
        <v/>
      </c>
      <c r="Z551" s="188" t="n"/>
      <c r="AA551" s="192">
        <f>IFERROR(AB551/E551,0)</f>
        <v/>
      </c>
      <c r="AB551" s="76">
        <f>ROUND(SUM(S551,V551,Y551:Z551,BA551:BB551),2)</f>
        <v/>
      </c>
      <c r="AC551" s="797" t="n"/>
      <c r="AD551" s="192">
        <f t="array" ref="AD551">IFERROR(ROUND((_xlfn.IFS(offer_sale_type="поставка",AB551,offer_sale_type="транзит",S551)*(1+AC551))/E551,2),0)</f>
        <v/>
      </c>
      <c r="AE551" s="76">
        <f>AD551*E551</f>
        <v/>
      </c>
      <c r="AF551" s="193">
        <f t="array" ref="AF551">IFERROR(ROUND(_xlfn.IFS(offer_sale_type="поставка",AB551,offer_sale_type="транзит",S551)*AC551,2),0)</f>
        <v/>
      </c>
      <c r="AG551" s="192">
        <f>$BD551*VLOOKUP($AG$3,$AF$4:$AG$7,2,FALSE)</f>
        <v/>
      </c>
      <c r="AH551" s="76">
        <f>SUM(AE551,AG551,AI551)*rate_forex_risk</f>
        <v/>
      </c>
      <c r="AI551" s="193">
        <f>IF(OR(seller_region="TR",offer_sale_type="экспорт"),0,rate_fin_comm)*SUM(AZ551,AZ551*AW551,T551)</f>
        <v/>
      </c>
      <c r="AJ551" s="118">
        <f>IFERROR(ROUND(SUM(AB551,AF551:AI551)/E551,2),0)</f>
        <v/>
      </c>
      <c r="AK551" s="76">
        <f>AJ551*E551</f>
        <v/>
      </c>
      <c r="AL551" s="174">
        <f>ROUND(IFERROR(AM551*E551,0),2)</f>
        <v/>
      </c>
      <c r="AM551" s="175">
        <f>ROUND(AJ551*(1+IF(offer_incoterms="DDP",IF((TODAY()+offer_turnaround_time)&gt;=helpsheet!$L$17,rate_vatRU_from_26,rate_vatRu_till_25),0)),2)</f>
        <v/>
      </c>
      <c r="AN551" s="192">
        <f>AL551-AK551</f>
        <v/>
      </c>
      <c r="AO551" s="76">
        <f>SUM(AY551,Y551:Z551,T551)*IF(AND(offer_incoterms="DDP",offer_sale_type&lt;&gt;"экспорт"),IF((TODAY()+offer_turnaround_time)&gt;=helpsheet!$L$17,rate_vatRU_from_26,rate_vatRu_till_25),0)</f>
        <v/>
      </c>
      <c r="AP551" s="193">
        <f>AN551-AO551</f>
        <v/>
      </c>
      <c r="AQ551" s="118">
        <f>IF(offer_sale_type="транзит",SUM(AF551:AI551,BA551,BB551),0)</f>
        <v/>
      </c>
      <c r="AR551" s="82">
        <f>HYPERLINK("https://www.alta.ru/tnved/code/")&amp;W551&amp;"/"</f>
        <v/>
      </c>
      <c r="AS551" s="157" t="n"/>
      <c r="AT551" s="162" t="n"/>
      <c r="AU551" s="76">
        <f>IF(ISBLANK(AT551),0,AJ551-AT551)</f>
        <v/>
      </c>
      <c r="AV551" s="157" t="n"/>
      <c r="AW551" s="75">
        <f>_xlfn.IFNA(VLOOKUP(L551,list_vat[],3,FALSE),0)</f>
        <v/>
      </c>
      <c r="AX551" s="76">
        <f>IFERROR(ROUND(S551*(1+AW551)/E551,2),0)</f>
        <v/>
      </c>
      <c r="AY551" s="76">
        <f>E551*AX551</f>
        <v/>
      </c>
      <c r="AZ551" s="192">
        <f>S551*(1+M551)</f>
        <v/>
      </c>
      <c r="BA551" s="76">
        <f>cost_fin_total*$BD551</f>
        <v/>
      </c>
      <c r="BB551" s="193">
        <f>credit_sales_interest*BD551</f>
        <v/>
      </c>
      <c r="BC551" s="102">
        <f>IFERROR(IF($I$13&gt;0,$I551/$I$13,$S551/$S$13),0)</f>
        <v/>
      </c>
      <c r="BD551" s="102">
        <f>IFERROR($S551/$S$13,0)</f>
        <v/>
      </c>
      <c r="BE551" s="413" t="inlineStr">
        <is>
          <t>$</t>
        </is>
      </c>
    </row>
    <row r="552" ht="12" customFormat="1" customHeight="1" s="65">
      <c r="A552" s="43" t="n">
        <v>537</v>
      </c>
      <c r="B552" s="166" t="n"/>
      <c r="C552" s="166" t="n"/>
      <c r="D552" s="166" t="n"/>
      <c r="E552" s="162" t="n"/>
      <c r="F552" s="166" t="n"/>
      <c r="G552" s="162" t="n"/>
      <c r="H552" s="162" t="n"/>
      <c r="I552" s="189">
        <f>E552*G552</f>
        <v/>
      </c>
      <c r="J552" s="195" t="n"/>
      <c r="K552" s="162" t="n"/>
      <c r="L552" s="168" t="n"/>
      <c r="M552" s="75">
        <f>_xlfn.XLOOKUP(L552,list_vat[Страна],list_vat[Ставка НДС %],0,0)</f>
        <v/>
      </c>
      <c r="N552" s="162">
        <f>IFERROR(IF(L552="Китай",K552,K552/(1+M552)),0)</f>
        <v/>
      </c>
      <c r="O552" s="169" t="n"/>
      <c r="P552" s="76">
        <f>N552*(1-O552)</f>
        <v/>
      </c>
      <c r="Q552" s="162" t="n"/>
      <c r="R552" s="162">
        <f>IF(ISBLANK(Q552),"введи курс",P552/Q552)</f>
        <v/>
      </c>
      <c r="S552" s="196">
        <f>IF(AND(ISNUMBER(E552),ISNUMBER(Q552)),E552*R552,0)</f>
        <v/>
      </c>
      <c r="T552" s="192">
        <f>$BC552*V$11</f>
        <v/>
      </c>
      <c r="U552" s="76">
        <f>$BC552*W$11</f>
        <v/>
      </c>
      <c r="V552" s="193">
        <f>+SUM(T552:U552)</f>
        <v/>
      </c>
      <c r="W552" s="191" t="n"/>
      <c r="X552" s="170" t="n"/>
      <c r="Y552" s="76">
        <f>ROUND(IF(offer_incoterms="DDP",X552*(S552*(1+AW552)+T552),0),2)</f>
        <v/>
      </c>
      <c r="Z552" s="188" t="n"/>
      <c r="AA552" s="192">
        <f>IFERROR(AB552/E552,0)</f>
        <v/>
      </c>
      <c r="AB552" s="76">
        <f>ROUND(SUM(S552,V552,Y552:Z552,BA552:BB552),2)</f>
        <v/>
      </c>
      <c r="AC552" s="797" t="n"/>
      <c r="AD552" s="192">
        <f t="array" ref="AD552">IFERROR(ROUND((_xlfn.IFS(offer_sale_type="поставка",AB552,offer_sale_type="транзит",S552)*(1+AC552))/E552,2),0)</f>
        <v/>
      </c>
      <c r="AE552" s="76">
        <f>AD552*E552</f>
        <v/>
      </c>
      <c r="AF552" s="193">
        <f t="array" ref="AF552">IFERROR(ROUND(_xlfn.IFS(offer_sale_type="поставка",AB552,offer_sale_type="транзит",S552)*AC552,2),0)</f>
        <v/>
      </c>
      <c r="AG552" s="192">
        <f>$BD552*VLOOKUP($AG$3,$AF$4:$AG$7,2,FALSE)</f>
        <v/>
      </c>
      <c r="AH552" s="76">
        <f>SUM(AE552,AG552,AI552)*rate_forex_risk</f>
        <v/>
      </c>
      <c r="AI552" s="193">
        <f>IF(OR(seller_region="TR",offer_sale_type="экспорт"),0,rate_fin_comm)*SUM(AZ552,AZ552*AW552,T552)</f>
        <v/>
      </c>
      <c r="AJ552" s="118">
        <f>IFERROR(ROUND(SUM(AB552,AF552:AI552)/E552,2),0)</f>
        <v/>
      </c>
      <c r="AK552" s="76">
        <f>AJ552*E552</f>
        <v/>
      </c>
      <c r="AL552" s="174">
        <f>ROUND(IFERROR(AM552*E552,0),2)</f>
        <v/>
      </c>
      <c r="AM552" s="175">
        <f>ROUND(AJ552*(1+IF(offer_incoterms="DDP",IF((TODAY()+offer_turnaround_time)&gt;=helpsheet!$L$17,rate_vatRU_from_26,rate_vatRu_till_25),0)),2)</f>
        <v/>
      </c>
      <c r="AN552" s="192">
        <f>AL552-AK552</f>
        <v/>
      </c>
      <c r="AO552" s="76">
        <f>SUM(AY552,Y552:Z552,T552)*IF(AND(offer_incoterms="DDP",offer_sale_type&lt;&gt;"экспорт"),IF((TODAY()+offer_turnaround_time)&gt;=helpsheet!$L$17,rate_vatRU_from_26,rate_vatRu_till_25),0)</f>
        <v/>
      </c>
      <c r="AP552" s="193">
        <f>AN552-AO552</f>
        <v/>
      </c>
      <c r="AQ552" s="118">
        <f>IF(offer_sale_type="транзит",SUM(AF552:AI552,BA552,BB552),0)</f>
        <v/>
      </c>
      <c r="AR552" s="82">
        <f>HYPERLINK("https://www.alta.ru/tnved/code/")&amp;W552&amp;"/"</f>
        <v/>
      </c>
      <c r="AS552" s="157" t="n"/>
      <c r="AT552" s="162" t="n"/>
      <c r="AU552" s="76">
        <f>IF(ISBLANK(AT552),0,AJ552-AT552)</f>
        <v/>
      </c>
      <c r="AV552" s="157" t="n"/>
      <c r="AW552" s="75">
        <f>_xlfn.IFNA(VLOOKUP(L552,list_vat[],3,FALSE),0)</f>
        <v/>
      </c>
      <c r="AX552" s="76">
        <f>IFERROR(ROUND(S552*(1+AW552)/E552,2),0)</f>
        <v/>
      </c>
      <c r="AY552" s="76">
        <f>E552*AX552</f>
        <v/>
      </c>
      <c r="AZ552" s="192">
        <f>S552*(1+M552)</f>
        <v/>
      </c>
      <c r="BA552" s="76">
        <f>cost_fin_total*$BD552</f>
        <v/>
      </c>
      <c r="BB552" s="193">
        <f>credit_sales_interest*BD552</f>
        <v/>
      </c>
      <c r="BC552" s="102">
        <f>IFERROR(IF($I$13&gt;0,$I552/$I$13,$S552/$S$13),0)</f>
        <v/>
      </c>
      <c r="BD552" s="102">
        <f>IFERROR($S552/$S$13,0)</f>
        <v/>
      </c>
      <c r="BE552" s="413" t="inlineStr">
        <is>
          <t>$</t>
        </is>
      </c>
    </row>
    <row r="553" ht="12" customFormat="1" customHeight="1" s="65">
      <c r="A553" s="43" t="n">
        <v>538</v>
      </c>
      <c r="B553" s="166" t="n"/>
      <c r="C553" s="166" t="n"/>
      <c r="D553" s="166" t="n"/>
      <c r="E553" s="162" t="n"/>
      <c r="F553" s="166" t="n"/>
      <c r="G553" s="162" t="n"/>
      <c r="H553" s="162" t="n"/>
      <c r="I553" s="189">
        <f>E553*G553</f>
        <v/>
      </c>
      <c r="J553" s="195" t="n"/>
      <c r="K553" s="162" t="n"/>
      <c r="L553" s="168" t="n"/>
      <c r="M553" s="75">
        <f>_xlfn.XLOOKUP(L553,list_vat[Страна],list_vat[Ставка НДС %],0,0)</f>
        <v/>
      </c>
      <c r="N553" s="162">
        <f>IFERROR(IF(L553="Китай",K553,K553/(1+M553)),0)</f>
        <v/>
      </c>
      <c r="O553" s="169" t="n"/>
      <c r="P553" s="76">
        <f>N553*(1-O553)</f>
        <v/>
      </c>
      <c r="Q553" s="162" t="n"/>
      <c r="R553" s="162">
        <f>IF(ISBLANK(Q553),"введи курс",P553/Q553)</f>
        <v/>
      </c>
      <c r="S553" s="196">
        <f>IF(AND(ISNUMBER(E553),ISNUMBER(Q553)),E553*R553,0)</f>
        <v/>
      </c>
      <c r="T553" s="192">
        <f>$BC553*V$11</f>
        <v/>
      </c>
      <c r="U553" s="76">
        <f>$BC553*W$11</f>
        <v/>
      </c>
      <c r="V553" s="193">
        <f>+SUM(T553:U553)</f>
        <v/>
      </c>
      <c r="W553" s="191" t="n"/>
      <c r="X553" s="170" t="n"/>
      <c r="Y553" s="76">
        <f>ROUND(IF(offer_incoterms="DDP",X553*(S553*(1+AW553)+T553),0),2)</f>
        <v/>
      </c>
      <c r="Z553" s="188" t="n"/>
      <c r="AA553" s="192">
        <f>IFERROR(AB553/E553,0)</f>
        <v/>
      </c>
      <c r="AB553" s="76">
        <f>ROUND(SUM(S553,V553,Y553:Z553,BA553:BB553),2)</f>
        <v/>
      </c>
      <c r="AC553" s="797" t="n"/>
      <c r="AD553" s="192">
        <f t="array" ref="AD553">IFERROR(ROUND((_xlfn.IFS(offer_sale_type="поставка",AB553,offer_sale_type="транзит",S553)*(1+AC553))/E553,2),0)</f>
        <v/>
      </c>
      <c r="AE553" s="76">
        <f>AD553*E553</f>
        <v/>
      </c>
      <c r="AF553" s="193">
        <f t="array" ref="AF553">IFERROR(ROUND(_xlfn.IFS(offer_sale_type="поставка",AB553,offer_sale_type="транзит",S553)*AC553,2),0)</f>
        <v/>
      </c>
      <c r="AG553" s="192">
        <f>$BD553*VLOOKUP($AG$3,$AF$4:$AG$7,2,FALSE)</f>
        <v/>
      </c>
      <c r="AH553" s="76">
        <f>SUM(AE553,AG553,AI553)*rate_forex_risk</f>
        <v/>
      </c>
      <c r="AI553" s="193">
        <f>IF(OR(seller_region="TR",offer_sale_type="экспорт"),0,rate_fin_comm)*SUM(AZ553,AZ553*AW553,T553)</f>
        <v/>
      </c>
      <c r="AJ553" s="118">
        <f>IFERROR(ROUND(SUM(AB553,AF553:AI553)/E553,2),0)</f>
        <v/>
      </c>
      <c r="AK553" s="76">
        <f>AJ553*E553</f>
        <v/>
      </c>
      <c r="AL553" s="174">
        <f>ROUND(IFERROR(AM553*E553,0),2)</f>
        <v/>
      </c>
      <c r="AM553" s="175">
        <f>ROUND(AJ553*(1+IF(offer_incoterms="DDP",IF((TODAY()+offer_turnaround_time)&gt;=helpsheet!$L$17,rate_vatRU_from_26,rate_vatRu_till_25),0)),2)</f>
        <v/>
      </c>
      <c r="AN553" s="192">
        <f>AL553-AK553</f>
        <v/>
      </c>
      <c r="AO553" s="76">
        <f>SUM(AY553,Y553:Z553,T553)*IF(AND(offer_incoterms="DDP",offer_sale_type&lt;&gt;"экспорт"),IF((TODAY()+offer_turnaround_time)&gt;=helpsheet!$L$17,rate_vatRU_from_26,rate_vatRu_till_25),0)</f>
        <v/>
      </c>
      <c r="AP553" s="193">
        <f>AN553-AO553</f>
        <v/>
      </c>
      <c r="AQ553" s="118">
        <f>IF(offer_sale_type="транзит",SUM(AF553:AI553,BA553,BB553),0)</f>
        <v/>
      </c>
      <c r="AR553" s="82">
        <f>HYPERLINK("https://www.alta.ru/tnved/code/")&amp;W553&amp;"/"</f>
        <v/>
      </c>
      <c r="AS553" s="157" t="n"/>
      <c r="AT553" s="162" t="n"/>
      <c r="AU553" s="76">
        <f>IF(ISBLANK(AT553),0,AJ553-AT553)</f>
        <v/>
      </c>
      <c r="AV553" s="157" t="n"/>
      <c r="AW553" s="75">
        <f>_xlfn.IFNA(VLOOKUP(L553,list_vat[],3,FALSE),0)</f>
        <v/>
      </c>
      <c r="AX553" s="76">
        <f>IFERROR(ROUND(S553*(1+AW553)/E553,2),0)</f>
        <v/>
      </c>
      <c r="AY553" s="76">
        <f>E553*AX553</f>
        <v/>
      </c>
      <c r="AZ553" s="192">
        <f>S553*(1+M553)</f>
        <v/>
      </c>
      <c r="BA553" s="76">
        <f>cost_fin_total*$BD553</f>
        <v/>
      </c>
      <c r="BB553" s="193">
        <f>credit_sales_interest*BD553</f>
        <v/>
      </c>
      <c r="BC553" s="102">
        <f>IFERROR(IF($I$13&gt;0,$I553/$I$13,$S553/$S$13),0)</f>
        <v/>
      </c>
      <c r="BD553" s="102">
        <f>IFERROR($S553/$S$13,0)</f>
        <v/>
      </c>
      <c r="BE553" s="413" t="inlineStr">
        <is>
          <t>$</t>
        </is>
      </c>
    </row>
    <row r="554" ht="12" customFormat="1" customHeight="1" s="65">
      <c r="A554" s="43" t="n">
        <v>539</v>
      </c>
      <c r="B554" s="166" t="n"/>
      <c r="C554" s="166" t="n"/>
      <c r="D554" s="166" t="n"/>
      <c r="E554" s="162" t="n"/>
      <c r="F554" s="166" t="n"/>
      <c r="G554" s="162" t="n"/>
      <c r="H554" s="162" t="n"/>
      <c r="I554" s="189">
        <f>E554*G554</f>
        <v/>
      </c>
      <c r="J554" s="195" t="n"/>
      <c r="K554" s="162" t="n"/>
      <c r="L554" s="168" t="n"/>
      <c r="M554" s="75">
        <f>_xlfn.XLOOKUP(L554,list_vat[Страна],list_vat[Ставка НДС %],0,0)</f>
        <v/>
      </c>
      <c r="N554" s="162">
        <f>IFERROR(IF(L554="Китай",K554,K554/(1+M554)),0)</f>
        <v/>
      </c>
      <c r="O554" s="169" t="n"/>
      <c r="P554" s="76">
        <f>N554*(1-O554)</f>
        <v/>
      </c>
      <c r="Q554" s="162" t="n"/>
      <c r="R554" s="162">
        <f>IF(ISBLANK(Q554),"введи курс",P554/Q554)</f>
        <v/>
      </c>
      <c r="S554" s="196">
        <f>IF(AND(ISNUMBER(E554),ISNUMBER(Q554)),E554*R554,0)</f>
        <v/>
      </c>
      <c r="T554" s="192">
        <f>$BC554*V$11</f>
        <v/>
      </c>
      <c r="U554" s="76">
        <f>$BC554*W$11</f>
        <v/>
      </c>
      <c r="V554" s="193">
        <f>+SUM(T554:U554)</f>
        <v/>
      </c>
      <c r="W554" s="191" t="n"/>
      <c r="X554" s="170" t="n"/>
      <c r="Y554" s="76">
        <f>ROUND(IF(offer_incoterms="DDP",X554*(S554*(1+AW554)+T554),0),2)</f>
        <v/>
      </c>
      <c r="Z554" s="188" t="n"/>
      <c r="AA554" s="192">
        <f>IFERROR(AB554/E554,0)</f>
        <v/>
      </c>
      <c r="AB554" s="76">
        <f>ROUND(SUM(S554,V554,Y554:Z554,BA554:BB554),2)</f>
        <v/>
      </c>
      <c r="AC554" s="797" t="n"/>
      <c r="AD554" s="192">
        <f t="array" ref="AD554">IFERROR(ROUND((_xlfn.IFS(offer_sale_type="поставка",AB554,offer_sale_type="транзит",S554)*(1+AC554))/E554,2),0)</f>
        <v/>
      </c>
      <c r="AE554" s="76">
        <f>AD554*E554</f>
        <v/>
      </c>
      <c r="AF554" s="193">
        <f t="array" ref="AF554">IFERROR(ROUND(_xlfn.IFS(offer_sale_type="поставка",AB554,offer_sale_type="транзит",S554)*AC554,2),0)</f>
        <v/>
      </c>
      <c r="AG554" s="192">
        <f>$BD554*VLOOKUP($AG$3,$AF$4:$AG$7,2,FALSE)</f>
        <v/>
      </c>
      <c r="AH554" s="76">
        <f>SUM(AE554,AG554,AI554)*rate_forex_risk</f>
        <v/>
      </c>
      <c r="AI554" s="193">
        <f>IF(OR(seller_region="TR",offer_sale_type="экспорт"),0,rate_fin_comm)*SUM(AZ554,AZ554*AW554,T554)</f>
        <v/>
      </c>
      <c r="AJ554" s="118">
        <f>IFERROR(ROUND(SUM(AB554,AF554:AI554)/E554,2),0)</f>
        <v/>
      </c>
      <c r="AK554" s="76">
        <f>AJ554*E554</f>
        <v/>
      </c>
      <c r="AL554" s="174">
        <f>ROUND(IFERROR(AM554*E554,0),2)</f>
        <v/>
      </c>
      <c r="AM554" s="175">
        <f>ROUND(AJ554*(1+IF(offer_incoterms="DDP",IF((TODAY()+offer_turnaround_time)&gt;=helpsheet!$L$17,rate_vatRU_from_26,rate_vatRu_till_25),0)),2)</f>
        <v/>
      </c>
      <c r="AN554" s="192">
        <f>AL554-AK554</f>
        <v/>
      </c>
      <c r="AO554" s="76">
        <f>SUM(AY554,Y554:Z554,T554)*IF(AND(offer_incoterms="DDP",offer_sale_type&lt;&gt;"экспорт"),IF((TODAY()+offer_turnaround_time)&gt;=helpsheet!$L$17,rate_vatRU_from_26,rate_vatRu_till_25),0)</f>
        <v/>
      </c>
      <c r="AP554" s="193">
        <f>AN554-AO554</f>
        <v/>
      </c>
      <c r="AQ554" s="118">
        <f>IF(offer_sale_type="транзит",SUM(AF554:AI554,BA554,BB554),0)</f>
        <v/>
      </c>
      <c r="AR554" s="82">
        <f>HYPERLINK("https://www.alta.ru/tnved/code/")&amp;W554&amp;"/"</f>
        <v/>
      </c>
      <c r="AS554" s="157" t="n"/>
      <c r="AT554" s="162" t="n"/>
      <c r="AU554" s="76">
        <f>IF(ISBLANK(AT554),0,AJ554-AT554)</f>
        <v/>
      </c>
      <c r="AV554" s="157" t="n"/>
      <c r="AW554" s="75">
        <f>_xlfn.IFNA(VLOOKUP(L554,list_vat[],3,FALSE),0)</f>
        <v/>
      </c>
      <c r="AX554" s="76">
        <f>IFERROR(ROUND(S554*(1+AW554)/E554,2),0)</f>
        <v/>
      </c>
      <c r="AY554" s="76">
        <f>E554*AX554</f>
        <v/>
      </c>
      <c r="AZ554" s="192">
        <f>S554*(1+M554)</f>
        <v/>
      </c>
      <c r="BA554" s="76">
        <f>cost_fin_total*$BD554</f>
        <v/>
      </c>
      <c r="BB554" s="193">
        <f>credit_sales_interest*BD554</f>
        <v/>
      </c>
      <c r="BC554" s="102">
        <f>IFERROR(IF($I$13&gt;0,$I554/$I$13,$S554/$S$13),0)</f>
        <v/>
      </c>
      <c r="BD554" s="102">
        <f>IFERROR($S554/$S$13,0)</f>
        <v/>
      </c>
      <c r="BE554" s="413" t="inlineStr">
        <is>
          <t>$</t>
        </is>
      </c>
    </row>
    <row r="555" ht="12" customFormat="1" customHeight="1" s="65">
      <c r="A555" s="43" t="n">
        <v>540</v>
      </c>
      <c r="B555" s="166" t="n"/>
      <c r="C555" s="166" t="n"/>
      <c r="D555" s="166" t="n"/>
      <c r="E555" s="162" t="n"/>
      <c r="F555" s="166" t="n"/>
      <c r="G555" s="162" t="n"/>
      <c r="H555" s="162" t="n"/>
      <c r="I555" s="189">
        <f>E555*G555</f>
        <v/>
      </c>
      <c r="J555" s="195" t="n"/>
      <c r="K555" s="162" t="n"/>
      <c r="L555" s="168" t="n"/>
      <c r="M555" s="75">
        <f>_xlfn.XLOOKUP(L555,list_vat[Страна],list_vat[Ставка НДС %],0,0)</f>
        <v/>
      </c>
      <c r="N555" s="162">
        <f>IFERROR(IF(L555="Китай",K555,K555/(1+M555)),0)</f>
        <v/>
      </c>
      <c r="O555" s="169" t="n"/>
      <c r="P555" s="76">
        <f>N555*(1-O555)</f>
        <v/>
      </c>
      <c r="Q555" s="162" t="n"/>
      <c r="R555" s="162">
        <f>IF(ISBLANK(Q555),"введи курс",P555/Q555)</f>
        <v/>
      </c>
      <c r="S555" s="196">
        <f>IF(AND(ISNUMBER(E555),ISNUMBER(Q555)),E555*R555,0)</f>
        <v/>
      </c>
      <c r="T555" s="192">
        <f>$BC555*V$11</f>
        <v/>
      </c>
      <c r="U555" s="76">
        <f>$BC555*W$11</f>
        <v/>
      </c>
      <c r="V555" s="193">
        <f>+SUM(T555:U555)</f>
        <v/>
      </c>
      <c r="W555" s="191" t="n"/>
      <c r="X555" s="170" t="n"/>
      <c r="Y555" s="76">
        <f>ROUND(IF(offer_incoterms="DDP",X555*(S555*(1+AW555)+T555),0),2)</f>
        <v/>
      </c>
      <c r="Z555" s="188" t="n"/>
      <c r="AA555" s="192">
        <f>IFERROR(AB555/E555,0)</f>
        <v/>
      </c>
      <c r="AB555" s="76">
        <f>ROUND(SUM(S555,V555,Y555:Z555,BA555:BB555),2)</f>
        <v/>
      </c>
      <c r="AC555" s="797" t="n"/>
      <c r="AD555" s="192">
        <f t="array" ref="AD555">IFERROR(ROUND((_xlfn.IFS(offer_sale_type="поставка",AB555,offer_sale_type="транзит",S555)*(1+AC555))/E555,2),0)</f>
        <v/>
      </c>
      <c r="AE555" s="76">
        <f>AD555*E555</f>
        <v/>
      </c>
      <c r="AF555" s="193">
        <f t="array" ref="AF555">IFERROR(ROUND(_xlfn.IFS(offer_sale_type="поставка",AB555,offer_sale_type="транзит",S555)*AC555,2),0)</f>
        <v/>
      </c>
      <c r="AG555" s="192">
        <f>$BD555*VLOOKUP($AG$3,$AF$4:$AG$7,2,FALSE)</f>
        <v/>
      </c>
      <c r="AH555" s="76">
        <f>SUM(AE555,AG555,AI555)*rate_forex_risk</f>
        <v/>
      </c>
      <c r="AI555" s="193">
        <f>IF(OR(seller_region="TR",offer_sale_type="экспорт"),0,rate_fin_comm)*SUM(AZ555,AZ555*AW555,T555)</f>
        <v/>
      </c>
      <c r="AJ555" s="118">
        <f>IFERROR(ROUND(SUM(AB555,AF555:AI555)/E555,2),0)</f>
        <v/>
      </c>
      <c r="AK555" s="76">
        <f>AJ555*E555</f>
        <v/>
      </c>
      <c r="AL555" s="174">
        <f>ROUND(IFERROR(AM555*E555,0),2)</f>
        <v/>
      </c>
      <c r="AM555" s="175">
        <f>ROUND(AJ555*(1+IF(offer_incoterms="DDP",IF((TODAY()+offer_turnaround_time)&gt;=helpsheet!$L$17,rate_vatRU_from_26,rate_vatRu_till_25),0)),2)</f>
        <v/>
      </c>
      <c r="AN555" s="192">
        <f>AL555-AK555</f>
        <v/>
      </c>
      <c r="AO555" s="76">
        <f>SUM(AY555,Y555:Z555,T555)*IF(AND(offer_incoterms="DDP",offer_sale_type&lt;&gt;"экспорт"),IF((TODAY()+offer_turnaround_time)&gt;=helpsheet!$L$17,rate_vatRU_from_26,rate_vatRu_till_25),0)</f>
        <v/>
      </c>
      <c r="AP555" s="193">
        <f>AN555-AO555</f>
        <v/>
      </c>
      <c r="AQ555" s="118">
        <f>IF(offer_sale_type="транзит",SUM(AF555:AI555,BA555,BB555),0)</f>
        <v/>
      </c>
      <c r="AR555" s="82">
        <f>HYPERLINK("https://www.alta.ru/tnved/code/")&amp;W555&amp;"/"</f>
        <v/>
      </c>
      <c r="AS555" s="157" t="n"/>
      <c r="AT555" s="162" t="n"/>
      <c r="AU555" s="76">
        <f>IF(ISBLANK(AT555),0,AJ555-AT555)</f>
        <v/>
      </c>
      <c r="AV555" s="157" t="n"/>
      <c r="AW555" s="75">
        <f>_xlfn.IFNA(VLOOKUP(L555,list_vat[],3,FALSE),0)</f>
        <v/>
      </c>
      <c r="AX555" s="76">
        <f>IFERROR(ROUND(S555*(1+AW555)/E555,2),0)</f>
        <v/>
      </c>
      <c r="AY555" s="76">
        <f>E555*AX555</f>
        <v/>
      </c>
      <c r="AZ555" s="192">
        <f>S555*(1+M555)</f>
        <v/>
      </c>
      <c r="BA555" s="76">
        <f>cost_fin_total*$BD555</f>
        <v/>
      </c>
      <c r="BB555" s="193">
        <f>credit_sales_interest*BD555</f>
        <v/>
      </c>
      <c r="BC555" s="102">
        <f>IFERROR(IF($I$13&gt;0,$I555/$I$13,$S555/$S$13),0)</f>
        <v/>
      </c>
      <c r="BD555" s="102">
        <f>IFERROR($S555/$S$13,0)</f>
        <v/>
      </c>
      <c r="BE555" s="413" t="inlineStr">
        <is>
          <t>$</t>
        </is>
      </c>
    </row>
    <row r="556" ht="12" customFormat="1" customHeight="1" s="65">
      <c r="A556" s="43" t="n">
        <v>541</v>
      </c>
      <c r="B556" s="166" t="n"/>
      <c r="C556" s="166" t="n"/>
      <c r="D556" s="166" t="n"/>
      <c r="E556" s="162" t="n"/>
      <c r="F556" s="166" t="n"/>
      <c r="G556" s="162" t="n"/>
      <c r="H556" s="162" t="n"/>
      <c r="I556" s="189">
        <f>E556*G556</f>
        <v/>
      </c>
      <c r="J556" s="195" t="n"/>
      <c r="K556" s="162" t="n"/>
      <c r="L556" s="168" t="n"/>
      <c r="M556" s="75">
        <f>_xlfn.XLOOKUP(L556,list_vat[Страна],list_vat[Ставка НДС %],0,0)</f>
        <v/>
      </c>
      <c r="N556" s="162">
        <f>IFERROR(IF(L556="Китай",K556,K556/(1+M556)),0)</f>
        <v/>
      </c>
      <c r="O556" s="169" t="n"/>
      <c r="P556" s="76">
        <f>N556*(1-O556)</f>
        <v/>
      </c>
      <c r="Q556" s="162" t="n"/>
      <c r="R556" s="162">
        <f>IF(ISBLANK(Q556),"введи курс",P556/Q556)</f>
        <v/>
      </c>
      <c r="S556" s="196">
        <f>IF(AND(ISNUMBER(E556),ISNUMBER(Q556)),E556*R556,0)</f>
        <v/>
      </c>
      <c r="T556" s="192">
        <f>$BC556*V$11</f>
        <v/>
      </c>
      <c r="U556" s="76">
        <f>$BC556*W$11</f>
        <v/>
      </c>
      <c r="V556" s="193">
        <f>+SUM(T556:U556)</f>
        <v/>
      </c>
      <c r="W556" s="191" t="n"/>
      <c r="X556" s="170" t="n"/>
      <c r="Y556" s="76">
        <f>ROUND(IF(offer_incoterms="DDP",X556*(S556*(1+AW556)+T556),0),2)</f>
        <v/>
      </c>
      <c r="Z556" s="188" t="n"/>
      <c r="AA556" s="192">
        <f>IFERROR(AB556/E556,0)</f>
        <v/>
      </c>
      <c r="AB556" s="76">
        <f>ROUND(SUM(S556,V556,Y556:Z556,BA556:BB556),2)</f>
        <v/>
      </c>
      <c r="AC556" s="797" t="n"/>
      <c r="AD556" s="192">
        <f t="array" ref="AD556">IFERROR(ROUND((_xlfn.IFS(offer_sale_type="поставка",AB556,offer_sale_type="транзит",S556)*(1+AC556))/E556,2),0)</f>
        <v/>
      </c>
      <c r="AE556" s="76">
        <f>AD556*E556</f>
        <v/>
      </c>
      <c r="AF556" s="193">
        <f t="array" ref="AF556">IFERROR(ROUND(_xlfn.IFS(offer_sale_type="поставка",AB556,offer_sale_type="транзит",S556)*AC556,2),0)</f>
        <v/>
      </c>
      <c r="AG556" s="192">
        <f>$BD556*VLOOKUP($AG$3,$AF$4:$AG$7,2,FALSE)</f>
        <v/>
      </c>
      <c r="AH556" s="76">
        <f>SUM(AE556,AG556,AI556)*rate_forex_risk</f>
        <v/>
      </c>
      <c r="AI556" s="193">
        <f>IF(OR(seller_region="TR",offer_sale_type="экспорт"),0,rate_fin_comm)*SUM(AZ556,AZ556*AW556,T556)</f>
        <v/>
      </c>
      <c r="AJ556" s="118">
        <f>IFERROR(ROUND(SUM(AB556,AF556:AI556)/E556,2),0)</f>
        <v/>
      </c>
      <c r="AK556" s="76">
        <f>AJ556*E556</f>
        <v/>
      </c>
      <c r="AL556" s="174">
        <f>ROUND(IFERROR(AM556*E556,0),2)</f>
        <v/>
      </c>
      <c r="AM556" s="175">
        <f>ROUND(AJ556*(1+IF(offer_incoterms="DDP",IF((TODAY()+offer_turnaround_time)&gt;=helpsheet!$L$17,rate_vatRU_from_26,rate_vatRu_till_25),0)),2)</f>
        <v/>
      </c>
      <c r="AN556" s="192">
        <f>AL556-AK556</f>
        <v/>
      </c>
      <c r="AO556" s="76">
        <f>SUM(AY556,Y556:Z556,T556)*IF(AND(offer_incoterms="DDP",offer_sale_type&lt;&gt;"экспорт"),IF((TODAY()+offer_turnaround_time)&gt;=helpsheet!$L$17,rate_vatRU_from_26,rate_vatRu_till_25),0)</f>
        <v/>
      </c>
      <c r="AP556" s="193">
        <f>AN556-AO556</f>
        <v/>
      </c>
      <c r="AQ556" s="118">
        <f>IF(offer_sale_type="транзит",SUM(AF556:AI556,BA556,BB556),0)</f>
        <v/>
      </c>
      <c r="AR556" s="82">
        <f>HYPERLINK("https://www.alta.ru/tnved/code/")&amp;W556&amp;"/"</f>
        <v/>
      </c>
      <c r="AS556" s="157" t="n"/>
      <c r="AT556" s="162" t="n"/>
      <c r="AU556" s="76">
        <f>IF(ISBLANK(AT556),0,AJ556-AT556)</f>
        <v/>
      </c>
      <c r="AV556" s="157" t="n"/>
      <c r="AW556" s="75">
        <f>_xlfn.IFNA(VLOOKUP(L556,list_vat[],3,FALSE),0)</f>
        <v/>
      </c>
      <c r="AX556" s="76">
        <f>IFERROR(ROUND(S556*(1+AW556)/E556,2),0)</f>
        <v/>
      </c>
      <c r="AY556" s="76">
        <f>E556*AX556</f>
        <v/>
      </c>
      <c r="AZ556" s="192">
        <f>S556*(1+M556)</f>
        <v/>
      </c>
      <c r="BA556" s="76">
        <f>cost_fin_total*$BD556</f>
        <v/>
      </c>
      <c r="BB556" s="193">
        <f>credit_sales_interest*BD556</f>
        <v/>
      </c>
      <c r="BC556" s="102">
        <f>IFERROR(IF($I$13&gt;0,$I556/$I$13,$S556/$S$13),0)</f>
        <v/>
      </c>
      <c r="BD556" s="102">
        <f>IFERROR($S556/$S$13,0)</f>
        <v/>
      </c>
      <c r="BE556" s="413" t="inlineStr">
        <is>
          <t>$</t>
        </is>
      </c>
    </row>
    <row r="557" ht="12" customFormat="1" customHeight="1" s="65">
      <c r="A557" s="43" t="n">
        <v>542</v>
      </c>
      <c r="B557" s="166" t="n"/>
      <c r="C557" s="166" t="n"/>
      <c r="D557" s="166" t="n"/>
      <c r="E557" s="162" t="n"/>
      <c r="F557" s="166" t="n"/>
      <c r="G557" s="162" t="n"/>
      <c r="H557" s="162" t="n"/>
      <c r="I557" s="189">
        <f>E557*G557</f>
        <v/>
      </c>
      <c r="J557" s="195" t="n"/>
      <c r="K557" s="162" t="n"/>
      <c r="L557" s="168" t="n"/>
      <c r="M557" s="75">
        <f>_xlfn.XLOOKUP(L557,list_vat[Страна],list_vat[Ставка НДС %],0,0)</f>
        <v/>
      </c>
      <c r="N557" s="162">
        <f>IFERROR(IF(L557="Китай",K557,K557/(1+M557)),0)</f>
        <v/>
      </c>
      <c r="O557" s="169" t="n"/>
      <c r="P557" s="76">
        <f>N557*(1-O557)</f>
        <v/>
      </c>
      <c r="Q557" s="162" t="n"/>
      <c r="R557" s="162">
        <f>IF(ISBLANK(Q557),"введи курс",P557/Q557)</f>
        <v/>
      </c>
      <c r="S557" s="196">
        <f>IF(AND(ISNUMBER(E557),ISNUMBER(Q557)),E557*R557,0)</f>
        <v/>
      </c>
      <c r="T557" s="192">
        <f>$BC557*V$11</f>
        <v/>
      </c>
      <c r="U557" s="76">
        <f>$BC557*W$11</f>
        <v/>
      </c>
      <c r="V557" s="193">
        <f>+SUM(T557:U557)</f>
        <v/>
      </c>
      <c r="W557" s="191" t="n"/>
      <c r="X557" s="170" t="n"/>
      <c r="Y557" s="76">
        <f>ROUND(IF(offer_incoterms="DDP",X557*(S557*(1+AW557)+T557),0),2)</f>
        <v/>
      </c>
      <c r="Z557" s="188" t="n"/>
      <c r="AA557" s="192">
        <f>IFERROR(AB557/E557,0)</f>
        <v/>
      </c>
      <c r="AB557" s="76">
        <f>ROUND(SUM(S557,V557,Y557:Z557,BA557:BB557),2)</f>
        <v/>
      </c>
      <c r="AC557" s="797" t="n"/>
      <c r="AD557" s="192">
        <f t="array" ref="AD557">IFERROR(ROUND((_xlfn.IFS(offer_sale_type="поставка",AB557,offer_sale_type="транзит",S557)*(1+AC557))/E557,2),0)</f>
        <v/>
      </c>
      <c r="AE557" s="76">
        <f>AD557*E557</f>
        <v/>
      </c>
      <c r="AF557" s="193">
        <f t="array" ref="AF557">IFERROR(ROUND(_xlfn.IFS(offer_sale_type="поставка",AB557,offer_sale_type="транзит",S557)*AC557,2),0)</f>
        <v/>
      </c>
      <c r="AG557" s="192">
        <f>$BD557*VLOOKUP($AG$3,$AF$4:$AG$7,2,FALSE)</f>
        <v/>
      </c>
      <c r="AH557" s="76">
        <f>SUM(AE557,AG557,AI557)*rate_forex_risk</f>
        <v/>
      </c>
      <c r="AI557" s="193">
        <f>IF(OR(seller_region="TR",offer_sale_type="экспорт"),0,rate_fin_comm)*SUM(AZ557,AZ557*AW557,T557)</f>
        <v/>
      </c>
      <c r="AJ557" s="118">
        <f>IFERROR(ROUND(SUM(AB557,AF557:AI557)/E557,2),0)</f>
        <v/>
      </c>
      <c r="AK557" s="76">
        <f>AJ557*E557</f>
        <v/>
      </c>
      <c r="AL557" s="174">
        <f>ROUND(IFERROR(AM557*E557,0),2)</f>
        <v/>
      </c>
      <c r="AM557" s="175">
        <f>ROUND(AJ557*(1+IF(offer_incoterms="DDP",IF((TODAY()+offer_turnaround_time)&gt;=helpsheet!$L$17,rate_vatRU_from_26,rate_vatRu_till_25),0)),2)</f>
        <v/>
      </c>
      <c r="AN557" s="192">
        <f>AL557-AK557</f>
        <v/>
      </c>
      <c r="AO557" s="76">
        <f>SUM(AY557,Y557:Z557,T557)*IF(AND(offer_incoterms="DDP",offer_sale_type&lt;&gt;"экспорт"),IF((TODAY()+offer_turnaround_time)&gt;=helpsheet!$L$17,rate_vatRU_from_26,rate_vatRu_till_25),0)</f>
        <v/>
      </c>
      <c r="AP557" s="193">
        <f>AN557-AO557</f>
        <v/>
      </c>
      <c r="AQ557" s="118">
        <f>IF(offer_sale_type="транзит",SUM(AF557:AI557,BA557,BB557),0)</f>
        <v/>
      </c>
      <c r="AR557" s="82">
        <f>HYPERLINK("https://www.alta.ru/tnved/code/")&amp;W557&amp;"/"</f>
        <v/>
      </c>
      <c r="AS557" s="157" t="n"/>
      <c r="AT557" s="162" t="n"/>
      <c r="AU557" s="76">
        <f>IF(ISBLANK(AT557),0,AJ557-AT557)</f>
        <v/>
      </c>
      <c r="AV557" s="157" t="n"/>
      <c r="AW557" s="75">
        <f>_xlfn.IFNA(VLOOKUP(L557,list_vat[],3,FALSE),0)</f>
        <v/>
      </c>
      <c r="AX557" s="76">
        <f>IFERROR(ROUND(S557*(1+AW557)/E557,2),0)</f>
        <v/>
      </c>
      <c r="AY557" s="76">
        <f>E557*AX557</f>
        <v/>
      </c>
      <c r="AZ557" s="192">
        <f>S557*(1+M557)</f>
        <v/>
      </c>
      <c r="BA557" s="76">
        <f>cost_fin_total*$BD557</f>
        <v/>
      </c>
      <c r="BB557" s="193">
        <f>credit_sales_interest*BD557</f>
        <v/>
      </c>
      <c r="BC557" s="102">
        <f>IFERROR(IF($I$13&gt;0,$I557/$I$13,$S557/$S$13),0)</f>
        <v/>
      </c>
      <c r="BD557" s="102">
        <f>IFERROR($S557/$S$13,0)</f>
        <v/>
      </c>
      <c r="BE557" s="413" t="inlineStr">
        <is>
          <t>$</t>
        </is>
      </c>
    </row>
    <row r="558" ht="12" customFormat="1" customHeight="1" s="65">
      <c r="A558" s="43" t="n">
        <v>543</v>
      </c>
      <c r="B558" s="166" t="n"/>
      <c r="C558" s="166" t="n"/>
      <c r="D558" s="166" t="n"/>
      <c r="E558" s="162" t="n"/>
      <c r="F558" s="166" t="n"/>
      <c r="G558" s="162" t="n"/>
      <c r="H558" s="162" t="n"/>
      <c r="I558" s="189">
        <f>E558*G558</f>
        <v/>
      </c>
      <c r="J558" s="195" t="n"/>
      <c r="K558" s="162" t="n"/>
      <c r="L558" s="168" t="n"/>
      <c r="M558" s="75">
        <f>_xlfn.XLOOKUP(L558,list_vat[Страна],list_vat[Ставка НДС %],0,0)</f>
        <v/>
      </c>
      <c r="N558" s="162">
        <f>IFERROR(IF(L558="Китай",K558,K558/(1+M558)),0)</f>
        <v/>
      </c>
      <c r="O558" s="169" t="n"/>
      <c r="P558" s="76">
        <f>N558*(1-O558)</f>
        <v/>
      </c>
      <c r="Q558" s="162" t="n"/>
      <c r="R558" s="162">
        <f>IF(ISBLANK(Q558),"введи курс",P558/Q558)</f>
        <v/>
      </c>
      <c r="S558" s="196">
        <f>IF(AND(ISNUMBER(E558),ISNUMBER(Q558)),E558*R558,0)</f>
        <v/>
      </c>
      <c r="T558" s="192">
        <f>$BC558*V$11</f>
        <v/>
      </c>
      <c r="U558" s="76">
        <f>$BC558*W$11</f>
        <v/>
      </c>
      <c r="V558" s="193">
        <f>+SUM(T558:U558)</f>
        <v/>
      </c>
      <c r="W558" s="191" t="n"/>
      <c r="X558" s="170" t="n"/>
      <c r="Y558" s="76">
        <f>ROUND(IF(offer_incoterms="DDP",X558*(S558*(1+AW558)+T558),0),2)</f>
        <v/>
      </c>
      <c r="Z558" s="188" t="n"/>
      <c r="AA558" s="192">
        <f>IFERROR(AB558/E558,0)</f>
        <v/>
      </c>
      <c r="AB558" s="76">
        <f>ROUND(SUM(S558,V558,Y558:Z558,BA558:BB558),2)</f>
        <v/>
      </c>
      <c r="AC558" s="797" t="n"/>
      <c r="AD558" s="192">
        <f t="array" ref="AD558">IFERROR(ROUND((_xlfn.IFS(offer_sale_type="поставка",AB558,offer_sale_type="транзит",S558)*(1+AC558))/E558,2),0)</f>
        <v/>
      </c>
      <c r="AE558" s="76">
        <f>AD558*E558</f>
        <v/>
      </c>
      <c r="AF558" s="193">
        <f t="array" ref="AF558">IFERROR(ROUND(_xlfn.IFS(offer_sale_type="поставка",AB558,offer_sale_type="транзит",S558)*AC558,2),0)</f>
        <v/>
      </c>
      <c r="AG558" s="192">
        <f>$BD558*VLOOKUP($AG$3,$AF$4:$AG$7,2,FALSE)</f>
        <v/>
      </c>
      <c r="AH558" s="76">
        <f>SUM(AE558,AG558,AI558)*rate_forex_risk</f>
        <v/>
      </c>
      <c r="AI558" s="193">
        <f>IF(OR(seller_region="TR",offer_sale_type="экспорт"),0,rate_fin_comm)*SUM(AZ558,AZ558*AW558,T558)</f>
        <v/>
      </c>
      <c r="AJ558" s="118">
        <f>IFERROR(ROUND(SUM(AB558,AF558:AI558)/E558,2),0)</f>
        <v/>
      </c>
      <c r="AK558" s="76">
        <f>AJ558*E558</f>
        <v/>
      </c>
      <c r="AL558" s="174">
        <f>ROUND(IFERROR(AM558*E558,0),2)</f>
        <v/>
      </c>
      <c r="AM558" s="175">
        <f>ROUND(AJ558*(1+IF(offer_incoterms="DDP",IF((TODAY()+offer_turnaround_time)&gt;=helpsheet!$L$17,rate_vatRU_from_26,rate_vatRu_till_25),0)),2)</f>
        <v/>
      </c>
      <c r="AN558" s="192">
        <f>AL558-AK558</f>
        <v/>
      </c>
      <c r="AO558" s="76">
        <f>SUM(AY558,Y558:Z558,T558)*IF(AND(offer_incoterms="DDP",offer_sale_type&lt;&gt;"экспорт"),IF((TODAY()+offer_turnaround_time)&gt;=helpsheet!$L$17,rate_vatRU_from_26,rate_vatRu_till_25),0)</f>
        <v/>
      </c>
      <c r="AP558" s="193">
        <f>AN558-AO558</f>
        <v/>
      </c>
      <c r="AQ558" s="118">
        <f>IF(offer_sale_type="транзит",SUM(AF558:AI558,BA558,BB558),0)</f>
        <v/>
      </c>
      <c r="AR558" s="82">
        <f>HYPERLINK("https://www.alta.ru/tnved/code/")&amp;W558&amp;"/"</f>
        <v/>
      </c>
      <c r="AS558" s="157" t="n"/>
      <c r="AT558" s="162" t="n"/>
      <c r="AU558" s="76">
        <f>IF(ISBLANK(AT558),0,AJ558-AT558)</f>
        <v/>
      </c>
      <c r="AV558" s="157" t="n"/>
      <c r="AW558" s="75">
        <f>_xlfn.IFNA(VLOOKUP(L558,list_vat[],3,FALSE),0)</f>
        <v/>
      </c>
      <c r="AX558" s="76">
        <f>IFERROR(ROUND(S558*(1+AW558)/E558,2),0)</f>
        <v/>
      </c>
      <c r="AY558" s="76">
        <f>E558*AX558</f>
        <v/>
      </c>
      <c r="AZ558" s="192">
        <f>S558*(1+M558)</f>
        <v/>
      </c>
      <c r="BA558" s="76">
        <f>cost_fin_total*$BD558</f>
        <v/>
      </c>
      <c r="BB558" s="193">
        <f>credit_sales_interest*BD558</f>
        <v/>
      </c>
      <c r="BC558" s="102">
        <f>IFERROR(IF($I$13&gt;0,$I558/$I$13,$S558/$S$13),0)</f>
        <v/>
      </c>
      <c r="BD558" s="102">
        <f>IFERROR($S558/$S$13,0)</f>
        <v/>
      </c>
      <c r="BE558" s="413" t="inlineStr">
        <is>
          <t>$</t>
        </is>
      </c>
    </row>
    <row r="559" ht="12" customFormat="1" customHeight="1" s="65">
      <c r="A559" s="43" t="n">
        <v>544</v>
      </c>
      <c r="B559" s="166" t="n"/>
      <c r="C559" s="166" t="n"/>
      <c r="D559" s="166" t="n"/>
      <c r="E559" s="162" t="n"/>
      <c r="F559" s="166" t="n"/>
      <c r="G559" s="162" t="n"/>
      <c r="H559" s="162" t="n"/>
      <c r="I559" s="189">
        <f>E559*G559</f>
        <v/>
      </c>
      <c r="J559" s="195" t="n"/>
      <c r="K559" s="162" t="n"/>
      <c r="L559" s="168" t="n"/>
      <c r="M559" s="75">
        <f>_xlfn.XLOOKUP(L559,list_vat[Страна],list_vat[Ставка НДС %],0,0)</f>
        <v/>
      </c>
      <c r="N559" s="162">
        <f>IFERROR(IF(L559="Китай",K559,K559/(1+M559)),0)</f>
        <v/>
      </c>
      <c r="O559" s="169" t="n"/>
      <c r="P559" s="76">
        <f>N559*(1-O559)</f>
        <v/>
      </c>
      <c r="Q559" s="162" t="n"/>
      <c r="R559" s="162">
        <f>IF(ISBLANK(Q559),"введи курс",P559/Q559)</f>
        <v/>
      </c>
      <c r="S559" s="196">
        <f>IF(AND(ISNUMBER(E559),ISNUMBER(Q559)),E559*R559,0)</f>
        <v/>
      </c>
      <c r="T559" s="192">
        <f>$BC559*V$11</f>
        <v/>
      </c>
      <c r="U559" s="76">
        <f>$BC559*W$11</f>
        <v/>
      </c>
      <c r="V559" s="193">
        <f>+SUM(T559:U559)</f>
        <v/>
      </c>
      <c r="W559" s="191" t="n"/>
      <c r="X559" s="170" t="n"/>
      <c r="Y559" s="76">
        <f>ROUND(IF(offer_incoterms="DDP",X559*(S559*(1+AW559)+T559),0),2)</f>
        <v/>
      </c>
      <c r="Z559" s="188" t="n"/>
      <c r="AA559" s="192">
        <f>IFERROR(AB559/E559,0)</f>
        <v/>
      </c>
      <c r="AB559" s="76">
        <f>ROUND(SUM(S559,V559,Y559:Z559,BA559:BB559),2)</f>
        <v/>
      </c>
      <c r="AC559" s="797" t="n"/>
      <c r="AD559" s="192">
        <f t="array" ref="AD559">IFERROR(ROUND((_xlfn.IFS(offer_sale_type="поставка",AB559,offer_sale_type="транзит",S559)*(1+AC559))/E559,2),0)</f>
        <v/>
      </c>
      <c r="AE559" s="76">
        <f>AD559*E559</f>
        <v/>
      </c>
      <c r="AF559" s="193">
        <f t="array" ref="AF559">IFERROR(ROUND(_xlfn.IFS(offer_sale_type="поставка",AB559,offer_sale_type="транзит",S559)*AC559,2),0)</f>
        <v/>
      </c>
      <c r="AG559" s="192">
        <f>$BD559*VLOOKUP($AG$3,$AF$4:$AG$7,2,FALSE)</f>
        <v/>
      </c>
      <c r="AH559" s="76">
        <f>SUM(AE559,AG559,AI559)*rate_forex_risk</f>
        <v/>
      </c>
      <c r="AI559" s="193">
        <f>IF(OR(seller_region="TR",offer_sale_type="экспорт"),0,rate_fin_comm)*SUM(AZ559,AZ559*AW559,T559)</f>
        <v/>
      </c>
      <c r="AJ559" s="118">
        <f>IFERROR(ROUND(SUM(AB559,AF559:AI559)/E559,2),0)</f>
        <v/>
      </c>
      <c r="AK559" s="76">
        <f>AJ559*E559</f>
        <v/>
      </c>
      <c r="AL559" s="174">
        <f>ROUND(IFERROR(AM559*E559,0),2)</f>
        <v/>
      </c>
      <c r="AM559" s="175">
        <f>ROUND(AJ559*(1+IF(offer_incoterms="DDP",IF((TODAY()+offer_turnaround_time)&gt;=helpsheet!$L$17,rate_vatRU_from_26,rate_vatRu_till_25),0)),2)</f>
        <v/>
      </c>
      <c r="AN559" s="192">
        <f>AL559-AK559</f>
        <v/>
      </c>
      <c r="AO559" s="76">
        <f>SUM(AY559,Y559:Z559,T559)*IF(AND(offer_incoterms="DDP",offer_sale_type&lt;&gt;"экспорт"),IF((TODAY()+offer_turnaround_time)&gt;=helpsheet!$L$17,rate_vatRU_from_26,rate_vatRu_till_25),0)</f>
        <v/>
      </c>
      <c r="AP559" s="193">
        <f>AN559-AO559</f>
        <v/>
      </c>
      <c r="AQ559" s="118">
        <f>IF(offer_sale_type="транзит",SUM(AF559:AI559,BA559,BB559),0)</f>
        <v/>
      </c>
      <c r="AR559" s="82">
        <f>HYPERLINK("https://www.alta.ru/tnved/code/")&amp;W559&amp;"/"</f>
        <v/>
      </c>
      <c r="AS559" s="157" t="n"/>
      <c r="AT559" s="162" t="n"/>
      <c r="AU559" s="76">
        <f>IF(ISBLANK(AT559),0,AJ559-AT559)</f>
        <v/>
      </c>
      <c r="AV559" s="157" t="n"/>
      <c r="AW559" s="75">
        <f>_xlfn.IFNA(VLOOKUP(L559,list_vat[],3,FALSE),0)</f>
        <v/>
      </c>
      <c r="AX559" s="76">
        <f>IFERROR(ROUND(S559*(1+AW559)/E559,2),0)</f>
        <v/>
      </c>
      <c r="AY559" s="76">
        <f>E559*AX559</f>
        <v/>
      </c>
      <c r="AZ559" s="192">
        <f>S559*(1+M559)</f>
        <v/>
      </c>
      <c r="BA559" s="76">
        <f>cost_fin_total*$BD559</f>
        <v/>
      </c>
      <c r="BB559" s="193">
        <f>credit_sales_interest*BD559</f>
        <v/>
      </c>
      <c r="BC559" s="102">
        <f>IFERROR(IF($I$13&gt;0,$I559/$I$13,$S559/$S$13),0)</f>
        <v/>
      </c>
      <c r="BD559" s="102">
        <f>IFERROR($S559/$S$13,0)</f>
        <v/>
      </c>
      <c r="BE559" s="413" t="inlineStr">
        <is>
          <t>$</t>
        </is>
      </c>
    </row>
    <row r="560" ht="12" customFormat="1" customHeight="1" s="65">
      <c r="A560" s="43" t="n">
        <v>545</v>
      </c>
      <c r="B560" s="166" t="n"/>
      <c r="C560" s="166" t="n"/>
      <c r="D560" s="166" t="n"/>
      <c r="E560" s="162" t="n"/>
      <c r="F560" s="166" t="n"/>
      <c r="G560" s="162" t="n"/>
      <c r="H560" s="162" t="n"/>
      <c r="I560" s="189">
        <f>E560*G560</f>
        <v/>
      </c>
      <c r="J560" s="195" t="n"/>
      <c r="K560" s="162" t="n"/>
      <c r="L560" s="168" t="n"/>
      <c r="M560" s="75">
        <f>_xlfn.XLOOKUP(L560,list_vat[Страна],list_vat[Ставка НДС %],0,0)</f>
        <v/>
      </c>
      <c r="N560" s="162">
        <f>IFERROR(IF(L560="Китай",K560,K560/(1+M560)),0)</f>
        <v/>
      </c>
      <c r="O560" s="169" t="n"/>
      <c r="P560" s="76">
        <f>N560*(1-O560)</f>
        <v/>
      </c>
      <c r="Q560" s="162" t="n"/>
      <c r="R560" s="162">
        <f>IF(ISBLANK(Q560),"введи курс",P560/Q560)</f>
        <v/>
      </c>
      <c r="S560" s="196">
        <f>IF(AND(ISNUMBER(E560),ISNUMBER(Q560)),E560*R560,0)</f>
        <v/>
      </c>
      <c r="T560" s="192">
        <f>$BC560*V$11</f>
        <v/>
      </c>
      <c r="U560" s="76">
        <f>$BC560*W$11</f>
        <v/>
      </c>
      <c r="V560" s="193">
        <f>+SUM(T560:U560)</f>
        <v/>
      </c>
      <c r="W560" s="191" t="n"/>
      <c r="X560" s="170" t="n"/>
      <c r="Y560" s="76">
        <f>ROUND(IF(offer_incoterms="DDP",X560*(S560*(1+AW560)+T560),0),2)</f>
        <v/>
      </c>
      <c r="Z560" s="188" t="n"/>
      <c r="AA560" s="192">
        <f>IFERROR(AB560/E560,0)</f>
        <v/>
      </c>
      <c r="AB560" s="76">
        <f>ROUND(SUM(S560,V560,Y560:Z560,BA560:BB560),2)</f>
        <v/>
      </c>
      <c r="AC560" s="797" t="n"/>
      <c r="AD560" s="192">
        <f t="array" ref="AD560">IFERROR(ROUND((_xlfn.IFS(offer_sale_type="поставка",AB560,offer_sale_type="транзит",S560)*(1+AC560))/E560,2),0)</f>
        <v/>
      </c>
      <c r="AE560" s="76">
        <f>AD560*E560</f>
        <v/>
      </c>
      <c r="AF560" s="193">
        <f t="array" ref="AF560">IFERROR(ROUND(_xlfn.IFS(offer_sale_type="поставка",AB560,offer_sale_type="транзит",S560)*AC560,2),0)</f>
        <v/>
      </c>
      <c r="AG560" s="192">
        <f>$BD560*VLOOKUP($AG$3,$AF$4:$AG$7,2,FALSE)</f>
        <v/>
      </c>
      <c r="AH560" s="76">
        <f>SUM(AE560,AG560,AI560)*rate_forex_risk</f>
        <v/>
      </c>
      <c r="AI560" s="193">
        <f>IF(OR(seller_region="TR",offer_sale_type="экспорт"),0,rate_fin_comm)*SUM(AZ560,AZ560*AW560,T560)</f>
        <v/>
      </c>
      <c r="AJ560" s="118">
        <f>IFERROR(ROUND(SUM(AB560,AF560:AI560)/E560,2),0)</f>
        <v/>
      </c>
      <c r="AK560" s="76">
        <f>AJ560*E560</f>
        <v/>
      </c>
      <c r="AL560" s="174">
        <f>ROUND(IFERROR(AM560*E560,0),2)</f>
        <v/>
      </c>
      <c r="AM560" s="175">
        <f>ROUND(AJ560*(1+IF(offer_incoterms="DDP",IF((TODAY()+offer_turnaround_time)&gt;=helpsheet!$L$17,rate_vatRU_from_26,rate_vatRu_till_25),0)),2)</f>
        <v/>
      </c>
      <c r="AN560" s="192">
        <f>AL560-AK560</f>
        <v/>
      </c>
      <c r="AO560" s="76">
        <f>SUM(AY560,Y560:Z560,T560)*IF(AND(offer_incoterms="DDP",offer_sale_type&lt;&gt;"экспорт"),IF((TODAY()+offer_turnaround_time)&gt;=helpsheet!$L$17,rate_vatRU_from_26,rate_vatRu_till_25),0)</f>
        <v/>
      </c>
      <c r="AP560" s="193">
        <f>AN560-AO560</f>
        <v/>
      </c>
      <c r="AQ560" s="118">
        <f>IF(offer_sale_type="транзит",SUM(AF560:AI560,BA560,BB560),0)</f>
        <v/>
      </c>
      <c r="AR560" s="82">
        <f>HYPERLINK("https://www.alta.ru/tnved/code/")&amp;W560&amp;"/"</f>
        <v/>
      </c>
      <c r="AS560" s="157" t="n"/>
      <c r="AT560" s="162" t="n"/>
      <c r="AU560" s="76">
        <f>IF(ISBLANK(AT560),0,AJ560-AT560)</f>
        <v/>
      </c>
      <c r="AV560" s="157" t="n"/>
      <c r="AW560" s="75">
        <f>_xlfn.IFNA(VLOOKUP(L560,list_vat[],3,FALSE),0)</f>
        <v/>
      </c>
      <c r="AX560" s="76">
        <f>IFERROR(ROUND(S560*(1+AW560)/E560,2),0)</f>
        <v/>
      </c>
      <c r="AY560" s="76">
        <f>E560*AX560</f>
        <v/>
      </c>
      <c r="AZ560" s="192">
        <f>S560*(1+M560)</f>
        <v/>
      </c>
      <c r="BA560" s="76">
        <f>cost_fin_total*$BD560</f>
        <v/>
      </c>
      <c r="BB560" s="193">
        <f>credit_sales_interest*BD560</f>
        <v/>
      </c>
      <c r="BC560" s="102">
        <f>IFERROR(IF($I$13&gt;0,$I560/$I$13,$S560/$S$13),0)</f>
        <v/>
      </c>
      <c r="BD560" s="102">
        <f>IFERROR($S560/$S$13,0)</f>
        <v/>
      </c>
      <c r="BE560" s="413" t="inlineStr">
        <is>
          <t>$</t>
        </is>
      </c>
    </row>
    <row r="561" ht="12" customFormat="1" customHeight="1" s="65">
      <c r="A561" s="43" t="n">
        <v>546</v>
      </c>
      <c r="B561" s="166" t="n"/>
      <c r="C561" s="166" t="n"/>
      <c r="D561" s="166" t="n"/>
      <c r="E561" s="162" t="n"/>
      <c r="F561" s="166" t="n"/>
      <c r="G561" s="162" t="n"/>
      <c r="H561" s="162" t="n"/>
      <c r="I561" s="189">
        <f>E561*G561</f>
        <v/>
      </c>
      <c r="J561" s="195" t="n"/>
      <c r="K561" s="162" t="n"/>
      <c r="L561" s="168" t="n"/>
      <c r="M561" s="75">
        <f>_xlfn.XLOOKUP(L561,list_vat[Страна],list_vat[Ставка НДС %],0,0)</f>
        <v/>
      </c>
      <c r="N561" s="162">
        <f>IFERROR(IF(L561="Китай",K561,K561/(1+M561)),0)</f>
        <v/>
      </c>
      <c r="O561" s="169" t="n"/>
      <c r="P561" s="76">
        <f>N561*(1-O561)</f>
        <v/>
      </c>
      <c r="Q561" s="162" t="n"/>
      <c r="R561" s="162">
        <f>IF(ISBLANK(Q561),"введи курс",P561/Q561)</f>
        <v/>
      </c>
      <c r="S561" s="196">
        <f>IF(AND(ISNUMBER(E561),ISNUMBER(Q561)),E561*R561,0)</f>
        <v/>
      </c>
      <c r="T561" s="192">
        <f>$BC561*V$11</f>
        <v/>
      </c>
      <c r="U561" s="76">
        <f>$BC561*W$11</f>
        <v/>
      </c>
      <c r="V561" s="193">
        <f>+SUM(T561:U561)</f>
        <v/>
      </c>
      <c r="W561" s="191" t="n"/>
      <c r="X561" s="170" t="n"/>
      <c r="Y561" s="76">
        <f>ROUND(IF(offer_incoterms="DDP",X561*(S561*(1+AW561)+T561),0),2)</f>
        <v/>
      </c>
      <c r="Z561" s="188" t="n"/>
      <c r="AA561" s="192">
        <f>IFERROR(AB561/E561,0)</f>
        <v/>
      </c>
      <c r="AB561" s="76">
        <f>ROUND(SUM(S561,V561,Y561:Z561,BA561:BB561),2)</f>
        <v/>
      </c>
      <c r="AC561" s="797" t="n"/>
      <c r="AD561" s="192">
        <f t="array" ref="AD561">IFERROR(ROUND((_xlfn.IFS(offer_sale_type="поставка",AB561,offer_sale_type="транзит",S561)*(1+AC561))/E561,2),0)</f>
        <v/>
      </c>
      <c r="AE561" s="76">
        <f>AD561*E561</f>
        <v/>
      </c>
      <c r="AF561" s="193">
        <f t="array" ref="AF561">IFERROR(ROUND(_xlfn.IFS(offer_sale_type="поставка",AB561,offer_sale_type="транзит",S561)*AC561,2),0)</f>
        <v/>
      </c>
      <c r="AG561" s="192">
        <f>$BD561*VLOOKUP($AG$3,$AF$4:$AG$7,2,FALSE)</f>
        <v/>
      </c>
      <c r="AH561" s="76">
        <f>SUM(AE561,AG561,AI561)*rate_forex_risk</f>
        <v/>
      </c>
      <c r="AI561" s="193">
        <f>IF(OR(seller_region="TR",offer_sale_type="экспорт"),0,rate_fin_comm)*SUM(AZ561,AZ561*AW561,T561)</f>
        <v/>
      </c>
      <c r="AJ561" s="118">
        <f>IFERROR(ROUND(SUM(AB561,AF561:AI561)/E561,2),0)</f>
        <v/>
      </c>
      <c r="AK561" s="76">
        <f>AJ561*E561</f>
        <v/>
      </c>
      <c r="AL561" s="174">
        <f>ROUND(IFERROR(AM561*E561,0),2)</f>
        <v/>
      </c>
      <c r="AM561" s="175">
        <f>ROUND(AJ561*(1+IF(offer_incoterms="DDP",IF((TODAY()+offer_turnaround_time)&gt;=helpsheet!$L$17,rate_vatRU_from_26,rate_vatRu_till_25),0)),2)</f>
        <v/>
      </c>
      <c r="AN561" s="192">
        <f>AL561-AK561</f>
        <v/>
      </c>
      <c r="AO561" s="76">
        <f>SUM(AY561,Y561:Z561,T561)*IF(AND(offer_incoterms="DDP",offer_sale_type&lt;&gt;"экспорт"),IF((TODAY()+offer_turnaround_time)&gt;=helpsheet!$L$17,rate_vatRU_from_26,rate_vatRu_till_25),0)</f>
        <v/>
      </c>
      <c r="AP561" s="193">
        <f>AN561-AO561</f>
        <v/>
      </c>
      <c r="AQ561" s="118">
        <f>IF(offer_sale_type="транзит",SUM(AF561:AI561,BA561,BB561),0)</f>
        <v/>
      </c>
      <c r="AR561" s="82">
        <f>HYPERLINK("https://www.alta.ru/tnved/code/")&amp;W561&amp;"/"</f>
        <v/>
      </c>
      <c r="AS561" s="157" t="n"/>
      <c r="AT561" s="162" t="n"/>
      <c r="AU561" s="76">
        <f>IF(ISBLANK(AT561),0,AJ561-AT561)</f>
        <v/>
      </c>
      <c r="AV561" s="157" t="n"/>
      <c r="AW561" s="75">
        <f>_xlfn.IFNA(VLOOKUP(L561,list_vat[],3,FALSE),0)</f>
        <v/>
      </c>
      <c r="AX561" s="76">
        <f>IFERROR(ROUND(S561*(1+AW561)/E561,2),0)</f>
        <v/>
      </c>
      <c r="AY561" s="76">
        <f>E561*AX561</f>
        <v/>
      </c>
      <c r="AZ561" s="192">
        <f>S561*(1+M561)</f>
        <v/>
      </c>
      <c r="BA561" s="76">
        <f>cost_fin_total*$BD561</f>
        <v/>
      </c>
      <c r="BB561" s="193">
        <f>credit_sales_interest*BD561</f>
        <v/>
      </c>
      <c r="BC561" s="102">
        <f>IFERROR(IF($I$13&gt;0,$I561/$I$13,$S561/$S$13),0)</f>
        <v/>
      </c>
      <c r="BD561" s="102">
        <f>IFERROR($S561/$S$13,0)</f>
        <v/>
      </c>
      <c r="BE561" s="413" t="inlineStr">
        <is>
          <t>$</t>
        </is>
      </c>
    </row>
    <row r="562" ht="12" customFormat="1" customHeight="1" s="65">
      <c r="A562" s="43" t="n">
        <v>547</v>
      </c>
      <c r="B562" s="166" t="n"/>
      <c r="C562" s="166" t="n"/>
      <c r="D562" s="166" t="n"/>
      <c r="E562" s="162" t="n"/>
      <c r="F562" s="166" t="n"/>
      <c r="G562" s="162" t="n"/>
      <c r="H562" s="162" t="n"/>
      <c r="I562" s="189">
        <f>E562*G562</f>
        <v/>
      </c>
      <c r="J562" s="195" t="n"/>
      <c r="K562" s="162" t="n"/>
      <c r="L562" s="168" t="n"/>
      <c r="M562" s="75">
        <f>_xlfn.XLOOKUP(L562,list_vat[Страна],list_vat[Ставка НДС %],0,0)</f>
        <v/>
      </c>
      <c r="N562" s="162">
        <f>IFERROR(IF(L562="Китай",K562,K562/(1+M562)),0)</f>
        <v/>
      </c>
      <c r="O562" s="169" t="n"/>
      <c r="P562" s="76">
        <f>N562*(1-O562)</f>
        <v/>
      </c>
      <c r="Q562" s="162" t="n"/>
      <c r="R562" s="162">
        <f>IF(ISBLANK(Q562),"введи курс",P562/Q562)</f>
        <v/>
      </c>
      <c r="S562" s="196">
        <f>IF(AND(ISNUMBER(E562),ISNUMBER(Q562)),E562*R562,0)</f>
        <v/>
      </c>
      <c r="T562" s="192">
        <f>$BC562*V$11</f>
        <v/>
      </c>
      <c r="U562" s="76">
        <f>$BC562*W$11</f>
        <v/>
      </c>
      <c r="V562" s="193">
        <f>+SUM(T562:U562)</f>
        <v/>
      </c>
      <c r="W562" s="191" t="n"/>
      <c r="X562" s="170" t="n"/>
      <c r="Y562" s="76">
        <f>ROUND(IF(offer_incoterms="DDP",X562*(S562*(1+AW562)+T562),0),2)</f>
        <v/>
      </c>
      <c r="Z562" s="188" t="n"/>
      <c r="AA562" s="192">
        <f>IFERROR(AB562/E562,0)</f>
        <v/>
      </c>
      <c r="AB562" s="76">
        <f>ROUND(SUM(S562,V562,Y562:Z562,BA562:BB562),2)</f>
        <v/>
      </c>
      <c r="AC562" s="797" t="n"/>
      <c r="AD562" s="192">
        <f t="array" ref="AD562">IFERROR(ROUND((_xlfn.IFS(offer_sale_type="поставка",AB562,offer_sale_type="транзит",S562)*(1+AC562))/E562,2),0)</f>
        <v/>
      </c>
      <c r="AE562" s="76">
        <f>AD562*E562</f>
        <v/>
      </c>
      <c r="AF562" s="193">
        <f t="array" ref="AF562">IFERROR(ROUND(_xlfn.IFS(offer_sale_type="поставка",AB562,offer_sale_type="транзит",S562)*AC562,2),0)</f>
        <v/>
      </c>
      <c r="AG562" s="192">
        <f>$BD562*VLOOKUP($AG$3,$AF$4:$AG$7,2,FALSE)</f>
        <v/>
      </c>
      <c r="AH562" s="76">
        <f>SUM(AE562,AG562,AI562)*rate_forex_risk</f>
        <v/>
      </c>
      <c r="AI562" s="193">
        <f>IF(OR(seller_region="TR",offer_sale_type="экспорт"),0,rate_fin_comm)*SUM(AZ562,AZ562*AW562,T562)</f>
        <v/>
      </c>
      <c r="AJ562" s="118">
        <f>IFERROR(ROUND(SUM(AB562,AF562:AI562)/E562,2),0)</f>
        <v/>
      </c>
      <c r="AK562" s="76">
        <f>AJ562*E562</f>
        <v/>
      </c>
      <c r="AL562" s="174">
        <f>ROUND(IFERROR(AM562*E562,0),2)</f>
        <v/>
      </c>
      <c r="AM562" s="175">
        <f>ROUND(AJ562*(1+IF(offer_incoterms="DDP",IF((TODAY()+offer_turnaround_time)&gt;=helpsheet!$L$17,rate_vatRU_from_26,rate_vatRu_till_25),0)),2)</f>
        <v/>
      </c>
      <c r="AN562" s="192">
        <f>AL562-AK562</f>
        <v/>
      </c>
      <c r="AO562" s="76">
        <f>SUM(AY562,Y562:Z562,T562)*IF(AND(offer_incoterms="DDP",offer_sale_type&lt;&gt;"экспорт"),IF((TODAY()+offer_turnaround_time)&gt;=helpsheet!$L$17,rate_vatRU_from_26,rate_vatRu_till_25),0)</f>
        <v/>
      </c>
      <c r="AP562" s="193">
        <f>AN562-AO562</f>
        <v/>
      </c>
      <c r="AQ562" s="118">
        <f>IF(offer_sale_type="транзит",SUM(AF562:AI562,BA562,BB562),0)</f>
        <v/>
      </c>
      <c r="AR562" s="82">
        <f>HYPERLINK("https://www.alta.ru/tnved/code/")&amp;W562&amp;"/"</f>
        <v/>
      </c>
      <c r="AS562" s="157" t="n"/>
      <c r="AT562" s="162" t="n"/>
      <c r="AU562" s="76">
        <f>IF(ISBLANK(AT562),0,AJ562-AT562)</f>
        <v/>
      </c>
      <c r="AV562" s="157" t="n"/>
      <c r="AW562" s="75">
        <f>_xlfn.IFNA(VLOOKUP(L562,list_vat[],3,FALSE),0)</f>
        <v/>
      </c>
      <c r="AX562" s="76">
        <f>IFERROR(ROUND(S562*(1+AW562)/E562,2),0)</f>
        <v/>
      </c>
      <c r="AY562" s="76">
        <f>E562*AX562</f>
        <v/>
      </c>
      <c r="AZ562" s="192">
        <f>S562*(1+M562)</f>
        <v/>
      </c>
      <c r="BA562" s="76">
        <f>cost_fin_total*$BD562</f>
        <v/>
      </c>
      <c r="BB562" s="193">
        <f>credit_sales_interest*BD562</f>
        <v/>
      </c>
      <c r="BC562" s="102">
        <f>IFERROR(IF($I$13&gt;0,$I562/$I$13,$S562/$S$13),0)</f>
        <v/>
      </c>
      <c r="BD562" s="102">
        <f>IFERROR($S562/$S$13,0)</f>
        <v/>
      </c>
      <c r="BE562" s="413" t="inlineStr">
        <is>
          <t>$</t>
        </is>
      </c>
    </row>
    <row r="563" ht="12" customFormat="1" customHeight="1" s="65">
      <c r="A563" s="43" t="n">
        <v>548</v>
      </c>
      <c r="B563" s="166" t="n"/>
      <c r="C563" s="166" t="n"/>
      <c r="D563" s="166" t="n"/>
      <c r="E563" s="162" t="n"/>
      <c r="F563" s="166" t="n"/>
      <c r="G563" s="162" t="n"/>
      <c r="H563" s="162" t="n"/>
      <c r="I563" s="189">
        <f>E563*G563</f>
        <v/>
      </c>
      <c r="J563" s="195" t="n"/>
      <c r="K563" s="162" t="n"/>
      <c r="L563" s="168" t="n"/>
      <c r="M563" s="75">
        <f>_xlfn.XLOOKUP(L563,list_vat[Страна],list_vat[Ставка НДС %],0,0)</f>
        <v/>
      </c>
      <c r="N563" s="162">
        <f>IFERROR(IF(L563="Китай",K563,K563/(1+M563)),0)</f>
        <v/>
      </c>
      <c r="O563" s="169" t="n"/>
      <c r="P563" s="76">
        <f>N563*(1-O563)</f>
        <v/>
      </c>
      <c r="Q563" s="162" t="n"/>
      <c r="R563" s="162">
        <f>IF(ISBLANK(Q563),"введи курс",P563/Q563)</f>
        <v/>
      </c>
      <c r="S563" s="196">
        <f>IF(AND(ISNUMBER(E563),ISNUMBER(Q563)),E563*R563,0)</f>
        <v/>
      </c>
      <c r="T563" s="192">
        <f>$BC563*V$11</f>
        <v/>
      </c>
      <c r="U563" s="76">
        <f>$BC563*W$11</f>
        <v/>
      </c>
      <c r="V563" s="193">
        <f>+SUM(T563:U563)</f>
        <v/>
      </c>
      <c r="W563" s="191" t="n"/>
      <c r="X563" s="170" t="n"/>
      <c r="Y563" s="76">
        <f>ROUND(IF(offer_incoterms="DDP",X563*(S563*(1+AW563)+T563),0),2)</f>
        <v/>
      </c>
      <c r="Z563" s="188" t="n"/>
      <c r="AA563" s="192">
        <f>IFERROR(AB563/E563,0)</f>
        <v/>
      </c>
      <c r="AB563" s="76">
        <f>ROUND(SUM(S563,V563,Y563:Z563,BA563:BB563),2)</f>
        <v/>
      </c>
      <c r="AC563" s="797" t="n"/>
      <c r="AD563" s="192">
        <f t="array" ref="AD563">IFERROR(ROUND((_xlfn.IFS(offer_sale_type="поставка",AB563,offer_sale_type="транзит",S563)*(1+AC563))/E563,2),0)</f>
        <v/>
      </c>
      <c r="AE563" s="76">
        <f>AD563*E563</f>
        <v/>
      </c>
      <c r="AF563" s="193">
        <f t="array" ref="AF563">IFERROR(ROUND(_xlfn.IFS(offer_sale_type="поставка",AB563,offer_sale_type="транзит",S563)*AC563,2),0)</f>
        <v/>
      </c>
      <c r="AG563" s="192">
        <f>$BD563*VLOOKUP($AG$3,$AF$4:$AG$7,2,FALSE)</f>
        <v/>
      </c>
      <c r="AH563" s="76">
        <f>SUM(AE563,AG563,AI563)*rate_forex_risk</f>
        <v/>
      </c>
      <c r="AI563" s="193">
        <f>IF(OR(seller_region="TR",offer_sale_type="экспорт"),0,rate_fin_comm)*SUM(AZ563,AZ563*AW563,T563)</f>
        <v/>
      </c>
      <c r="AJ563" s="118">
        <f>IFERROR(ROUND(SUM(AB563,AF563:AI563)/E563,2),0)</f>
        <v/>
      </c>
      <c r="AK563" s="76">
        <f>AJ563*E563</f>
        <v/>
      </c>
      <c r="AL563" s="174">
        <f>ROUND(IFERROR(AM563*E563,0),2)</f>
        <v/>
      </c>
      <c r="AM563" s="175">
        <f>ROUND(AJ563*(1+IF(offer_incoterms="DDP",IF((TODAY()+offer_turnaround_time)&gt;=helpsheet!$L$17,rate_vatRU_from_26,rate_vatRu_till_25),0)),2)</f>
        <v/>
      </c>
      <c r="AN563" s="192">
        <f>AL563-AK563</f>
        <v/>
      </c>
      <c r="AO563" s="76">
        <f>SUM(AY563,Y563:Z563,T563)*IF(AND(offer_incoterms="DDP",offer_sale_type&lt;&gt;"экспорт"),IF((TODAY()+offer_turnaround_time)&gt;=helpsheet!$L$17,rate_vatRU_from_26,rate_vatRu_till_25),0)</f>
        <v/>
      </c>
      <c r="AP563" s="193">
        <f>AN563-AO563</f>
        <v/>
      </c>
      <c r="AQ563" s="118">
        <f>IF(offer_sale_type="транзит",SUM(AF563:AI563,BA563,BB563),0)</f>
        <v/>
      </c>
      <c r="AR563" s="82">
        <f>HYPERLINK("https://www.alta.ru/tnved/code/")&amp;W563&amp;"/"</f>
        <v/>
      </c>
      <c r="AS563" s="157" t="n"/>
      <c r="AT563" s="162" t="n"/>
      <c r="AU563" s="76">
        <f>IF(ISBLANK(AT563),0,AJ563-AT563)</f>
        <v/>
      </c>
      <c r="AV563" s="157" t="n"/>
      <c r="AW563" s="75">
        <f>_xlfn.IFNA(VLOOKUP(L563,list_vat[],3,FALSE),0)</f>
        <v/>
      </c>
      <c r="AX563" s="76">
        <f>IFERROR(ROUND(S563*(1+AW563)/E563,2),0)</f>
        <v/>
      </c>
      <c r="AY563" s="76">
        <f>E563*AX563</f>
        <v/>
      </c>
      <c r="AZ563" s="192">
        <f>S563*(1+M563)</f>
        <v/>
      </c>
      <c r="BA563" s="76">
        <f>cost_fin_total*$BD563</f>
        <v/>
      </c>
      <c r="BB563" s="193">
        <f>credit_sales_interest*BD563</f>
        <v/>
      </c>
      <c r="BC563" s="102">
        <f>IFERROR(IF($I$13&gt;0,$I563/$I$13,$S563/$S$13),0)</f>
        <v/>
      </c>
      <c r="BD563" s="102">
        <f>IFERROR($S563/$S$13,0)</f>
        <v/>
      </c>
      <c r="BE563" s="413" t="inlineStr">
        <is>
          <t>$</t>
        </is>
      </c>
    </row>
    <row r="564" ht="12" customFormat="1" customHeight="1" s="65">
      <c r="A564" s="43" t="n">
        <v>549</v>
      </c>
      <c r="B564" s="166" t="n"/>
      <c r="C564" s="166" t="n"/>
      <c r="D564" s="166" t="n"/>
      <c r="E564" s="162" t="n"/>
      <c r="F564" s="166" t="n"/>
      <c r="G564" s="162" t="n"/>
      <c r="H564" s="162" t="n"/>
      <c r="I564" s="189">
        <f>E564*G564</f>
        <v/>
      </c>
      <c r="J564" s="195" t="n"/>
      <c r="K564" s="162" t="n"/>
      <c r="L564" s="168" t="n"/>
      <c r="M564" s="75">
        <f>_xlfn.XLOOKUP(L564,list_vat[Страна],list_vat[Ставка НДС %],0,0)</f>
        <v/>
      </c>
      <c r="N564" s="162">
        <f>IFERROR(IF(L564="Китай",K564,K564/(1+M564)),0)</f>
        <v/>
      </c>
      <c r="O564" s="169" t="n"/>
      <c r="P564" s="76">
        <f>N564*(1-O564)</f>
        <v/>
      </c>
      <c r="Q564" s="162" t="n"/>
      <c r="R564" s="162">
        <f>IF(ISBLANK(Q564),"введи курс",P564/Q564)</f>
        <v/>
      </c>
      <c r="S564" s="196">
        <f>IF(AND(ISNUMBER(E564),ISNUMBER(Q564)),E564*R564,0)</f>
        <v/>
      </c>
      <c r="T564" s="192">
        <f>$BC564*V$11</f>
        <v/>
      </c>
      <c r="U564" s="76">
        <f>$BC564*W$11</f>
        <v/>
      </c>
      <c r="V564" s="193">
        <f>+SUM(T564:U564)</f>
        <v/>
      </c>
      <c r="W564" s="191" t="n"/>
      <c r="X564" s="170" t="n"/>
      <c r="Y564" s="76">
        <f>ROUND(IF(offer_incoterms="DDP",X564*(S564*(1+AW564)+T564),0),2)</f>
        <v/>
      </c>
      <c r="Z564" s="188" t="n"/>
      <c r="AA564" s="192">
        <f>IFERROR(AB564/E564,0)</f>
        <v/>
      </c>
      <c r="AB564" s="76">
        <f>ROUND(SUM(S564,V564,Y564:Z564,BA564:BB564),2)</f>
        <v/>
      </c>
      <c r="AC564" s="797" t="n"/>
      <c r="AD564" s="192">
        <f t="array" ref="AD564">IFERROR(ROUND((_xlfn.IFS(offer_sale_type="поставка",AB564,offer_sale_type="транзит",S564)*(1+AC564))/E564,2),0)</f>
        <v/>
      </c>
      <c r="AE564" s="76">
        <f>AD564*E564</f>
        <v/>
      </c>
      <c r="AF564" s="193">
        <f t="array" ref="AF564">IFERROR(ROUND(_xlfn.IFS(offer_sale_type="поставка",AB564,offer_sale_type="транзит",S564)*AC564,2),0)</f>
        <v/>
      </c>
      <c r="AG564" s="192">
        <f>$BD564*VLOOKUP($AG$3,$AF$4:$AG$7,2,FALSE)</f>
        <v/>
      </c>
      <c r="AH564" s="76">
        <f>SUM(AE564,AG564,AI564)*rate_forex_risk</f>
        <v/>
      </c>
      <c r="AI564" s="193">
        <f>IF(OR(seller_region="TR",offer_sale_type="экспорт"),0,rate_fin_comm)*SUM(AZ564,AZ564*AW564,T564)</f>
        <v/>
      </c>
      <c r="AJ564" s="118">
        <f>IFERROR(ROUND(SUM(AB564,AF564:AI564)/E564,2),0)</f>
        <v/>
      </c>
      <c r="AK564" s="76">
        <f>AJ564*E564</f>
        <v/>
      </c>
      <c r="AL564" s="174">
        <f>ROUND(IFERROR(AM564*E564,0),2)</f>
        <v/>
      </c>
      <c r="AM564" s="175">
        <f>ROUND(AJ564*(1+IF(offer_incoterms="DDP",IF((TODAY()+offer_turnaround_time)&gt;=helpsheet!$L$17,rate_vatRU_from_26,rate_vatRu_till_25),0)),2)</f>
        <v/>
      </c>
      <c r="AN564" s="192">
        <f>AL564-AK564</f>
        <v/>
      </c>
      <c r="AO564" s="76">
        <f>SUM(AY564,Y564:Z564,T564)*IF(AND(offer_incoterms="DDP",offer_sale_type&lt;&gt;"экспорт"),IF((TODAY()+offer_turnaround_time)&gt;=helpsheet!$L$17,rate_vatRU_from_26,rate_vatRu_till_25),0)</f>
        <v/>
      </c>
      <c r="AP564" s="193">
        <f>AN564-AO564</f>
        <v/>
      </c>
      <c r="AQ564" s="118">
        <f>IF(offer_sale_type="транзит",SUM(AF564:AI564,BA564,BB564),0)</f>
        <v/>
      </c>
      <c r="AR564" s="82">
        <f>HYPERLINK("https://www.alta.ru/tnved/code/")&amp;W564&amp;"/"</f>
        <v/>
      </c>
      <c r="AS564" s="157" t="n"/>
      <c r="AT564" s="162" t="n"/>
      <c r="AU564" s="76">
        <f>IF(ISBLANK(AT564),0,AJ564-AT564)</f>
        <v/>
      </c>
      <c r="AV564" s="157" t="n"/>
      <c r="AW564" s="75">
        <f>_xlfn.IFNA(VLOOKUP(L564,list_vat[],3,FALSE),0)</f>
        <v/>
      </c>
      <c r="AX564" s="76">
        <f>IFERROR(ROUND(S564*(1+AW564)/E564,2),0)</f>
        <v/>
      </c>
      <c r="AY564" s="76">
        <f>E564*AX564</f>
        <v/>
      </c>
      <c r="AZ564" s="192">
        <f>S564*(1+M564)</f>
        <v/>
      </c>
      <c r="BA564" s="76">
        <f>cost_fin_total*$BD564</f>
        <v/>
      </c>
      <c r="BB564" s="193">
        <f>credit_sales_interest*BD564</f>
        <v/>
      </c>
      <c r="BC564" s="102">
        <f>IFERROR(IF($I$13&gt;0,$I564/$I$13,$S564/$S$13),0)</f>
        <v/>
      </c>
      <c r="BD564" s="102">
        <f>IFERROR($S564/$S$13,0)</f>
        <v/>
      </c>
      <c r="BE564" s="413" t="inlineStr">
        <is>
          <t>$</t>
        </is>
      </c>
    </row>
    <row r="565" ht="12" customFormat="1" customHeight="1" s="65">
      <c r="A565" s="43" t="n">
        <v>550</v>
      </c>
      <c r="B565" s="166" t="n"/>
      <c r="C565" s="166" t="n"/>
      <c r="D565" s="166" t="n"/>
      <c r="E565" s="162" t="n"/>
      <c r="F565" s="166" t="n"/>
      <c r="G565" s="162" t="n"/>
      <c r="H565" s="162" t="n"/>
      <c r="I565" s="189">
        <f>E565*G565</f>
        <v/>
      </c>
      <c r="J565" s="195" t="n"/>
      <c r="K565" s="162" t="n"/>
      <c r="L565" s="168" t="n"/>
      <c r="M565" s="75">
        <f>_xlfn.XLOOKUP(L565,list_vat[Страна],list_vat[Ставка НДС %],0,0)</f>
        <v/>
      </c>
      <c r="N565" s="162">
        <f>IFERROR(IF(L565="Китай",K565,K565/(1+M565)),0)</f>
        <v/>
      </c>
      <c r="O565" s="169" t="n"/>
      <c r="P565" s="76">
        <f>N565*(1-O565)</f>
        <v/>
      </c>
      <c r="Q565" s="162" t="n"/>
      <c r="R565" s="162">
        <f>IF(ISBLANK(Q565),"введи курс",P565/Q565)</f>
        <v/>
      </c>
      <c r="S565" s="196">
        <f>IF(AND(ISNUMBER(E565),ISNUMBER(Q565)),E565*R565,0)</f>
        <v/>
      </c>
      <c r="T565" s="192">
        <f>$BC565*V$11</f>
        <v/>
      </c>
      <c r="U565" s="76">
        <f>$BC565*W$11</f>
        <v/>
      </c>
      <c r="V565" s="193">
        <f>+SUM(T565:U565)</f>
        <v/>
      </c>
      <c r="W565" s="191" t="n"/>
      <c r="X565" s="170" t="n"/>
      <c r="Y565" s="76">
        <f>ROUND(IF(offer_incoterms="DDP",X565*(S565*(1+AW565)+T565),0),2)</f>
        <v/>
      </c>
      <c r="Z565" s="188" t="n"/>
      <c r="AA565" s="192">
        <f>IFERROR(AB565/E565,0)</f>
        <v/>
      </c>
      <c r="AB565" s="76">
        <f>ROUND(SUM(S565,V565,Y565:Z565,BA565:BB565),2)</f>
        <v/>
      </c>
      <c r="AC565" s="797" t="n"/>
      <c r="AD565" s="192">
        <f t="array" ref="AD565">IFERROR(ROUND((_xlfn.IFS(offer_sale_type="поставка",AB565,offer_sale_type="транзит",S565)*(1+AC565))/E565,2),0)</f>
        <v/>
      </c>
      <c r="AE565" s="76">
        <f>AD565*E565</f>
        <v/>
      </c>
      <c r="AF565" s="193">
        <f t="array" ref="AF565">IFERROR(ROUND(_xlfn.IFS(offer_sale_type="поставка",AB565,offer_sale_type="транзит",S565)*AC565,2),0)</f>
        <v/>
      </c>
      <c r="AG565" s="192">
        <f>$BD565*VLOOKUP($AG$3,$AF$4:$AG$7,2,FALSE)</f>
        <v/>
      </c>
      <c r="AH565" s="76">
        <f>SUM(AE565,AG565,AI565)*rate_forex_risk</f>
        <v/>
      </c>
      <c r="AI565" s="193">
        <f>IF(OR(seller_region="TR",offer_sale_type="экспорт"),0,rate_fin_comm)*SUM(AZ565,AZ565*AW565,T565)</f>
        <v/>
      </c>
      <c r="AJ565" s="118">
        <f>IFERROR(ROUND(SUM(AB565,AF565:AI565)/E565,2),0)</f>
        <v/>
      </c>
      <c r="AK565" s="76">
        <f>AJ565*E565</f>
        <v/>
      </c>
      <c r="AL565" s="174">
        <f>ROUND(IFERROR(AM565*E565,0),2)</f>
        <v/>
      </c>
      <c r="AM565" s="175">
        <f>ROUND(AJ565*(1+IF(offer_incoterms="DDP",IF((TODAY()+offer_turnaround_time)&gt;=helpsheet!$L$17,rate_vatRU_from_26,rate_vatRu_till_25),0)),2)</f>
        <v/>
      </c>
      <c r="AN565" s="192">
        <f>AL565-AK565</f>
        <v/>
      </c>
      <c r="AO565" s="76">
        <f>SUM(AY565,Y565:Z565,T565)*IF(AND(offer_incoterms="DDP",offer_sale_type&lt;&gt;"экспорт"),IF((TODAY()+offer_turnaround_time)&gt;=helpsheet!$L$17,rate_vatRU_from_26,rate_vatRu_till_25),0)</f>
        <v/>
      </c>
      <c r="AP565" s="193">
        <f>AN565-AO565</f>
        <v/>
      </c>
      <c r="AQ565" s="118">
        <f>IF(offer_sale_type="транзит",SUM(AF565:AI565,BA565,BB565),0)</f>
        <v/>
      </c>
      <c r="AR565" s="82">
        <f>HYPERLINK("https://www.alta.ru/tnved/code/")&amp;W565&amp;"/"</f>
        <v/>
      </c>
      <c r="AS565" s="157" t="n"/>
      <c r="AT565" s="162" t="n"/>
      <c r="AU565" s="76">
        <f>IF(ISBLANK(AT565),0,AJ565-AT565)</f>
        <v/>
      </c>
      <c r="AV565" s="157" t="n"/>
      <c r="AW565" s="75">
        <f>_xlfn.IFNA(VLOOKUP(L565,list_vat[],3,FALSE),0)</f>
        <v/>
      </c>
      <c r="AX565" s="76">
        <f>IFERROR(ROUND(S565*(1+AW565)/E565,2),0)</f>
        <v/>
      </c>
      <c r="AY565" s="76">
        <f>E565*AX565</f>
        <v/>
      </c>
      <c r="AZ565" s="192">
        <f>S565*(1+M565)</f>
        <v/>
      </c>
      <c r="BA565" s="76">
        <f>cost_fin_total*$BD565</f>
        <v/>
      </c>
      <c r="BB565" s="193">
        <f>credit_sales_interest*BD565</f>
        <v/>
      </c>
      <c r="BC565" s="102">
        <f>IFERROR(IF($I$13&gt;0,$I565/$I$13,$S565/$S$13),0)</f>
        <v/>
      </c>
      <c r="BD565" s="102">
        <f>IFERROR($S565/$S$13,0)</f>
        <v/>
      </c>
      <c r="BE565" s="413" t="inlineStr">
        <is>
          <t>$</t>
        </is>
      </c>
    </row>
    <row r="566" ht="12" customFormat="1" customHeight="1" s="65">
      <c r="A566" s="43" t="n">
        <v>551</v>
      </c>
      <c r="B566" s="166" t="n"/>
      <c r="C566" s="166" t="n"/>
      <c r="D566" s="166" t="n"/>
      <c r="E566" s="162" t="n"/>
      <c r="F566" s="166" t="n"/>
      <c r="G566" s="162" t="n"/>
      <c r="H566" s="162" t="n"/>
      <c r="I566" s="189">
        <f>E566*G566</f>
        <v/>
      </c>
      <c r="J566" s="195" t="n"/>
      <c r="K566" s="162" t="n"/>
      <c r="L566" s="168" t="n"/>
      <c r="M566" s="75">
        <f>_xlfn.XLOOKUP(L566,list_vat[Страна],list_vat[Ставка НДС %],0,0)</f>
        <v/>
      </c>
      <c r="N566" s="162">
        <f>IFERROR(IF(L566="Китай",K566,K566/(1+M566)),0)</f>
        <v/>
      </c>
      <c r="O566" s="169" t="n"/>
      <c r="P566" s="76">
        <f>N566*(1-O566)</f>
        <v/>
      </c>
      <c r="Q566" s="162" t="n"/>
      <c r="R566" s="162">
        <f>IF(ISBLANK(Q566),"введи курс",P566/Q566)</f>
        <v/>
      </c>
      <c r="S566" s="196">
        <f>IF(AND(ISNUMBER(E566),ISNUMBER(Q566)),E566*R566,0)</f>
        <v/>
      </c>
      <c r="T566" s="192">
        <f>$BC566*V$11</f>
        <v/>
      </c>
      <c r="U566" s="76">
        <f>$BC566*W$11</f>
        <v/>
      </c>
      <c r="V566" s="193">
        <f>+SUM(T566:U566)</f>
        <v/>
      </c>
      <c r="W566" s="191" t="n"/>
      <c r="X566" s="170" t="n"/>
      <c r="Y566" s="76">
        <f>ROUND(IF(offer_incoterms="DDP",X566*(S566*(1+AW566)+T566),0),2)</f>
        <v/>
      </c>
      <c r="Z566" s="188" t="n"/>
      <c r="AA566" s="192">
        <f>IFERROR(AB566/E566,0)</f>
        <v/>
      </c>
      <c r="AB566" s="76">
        <f>ROUND(SUM(S566,V566,Y566:Z566,BA566:BB566),2)</f>
        <v/>
      </c>
      <c r="AC566" s="797" t="n"/>
      <c r="AD566" s="192">
        <f t="array" ref="AD566">IFERROR(ROUND((_xlfn.IFS(offer_sale_type="поставка",AB566,offer_sale_type="транзит",S566)*(1+AC566))/E566,2),0)</f>
        <v/>
      </c>
      <c r="AE566" s="76">
        <f>AD566*E566</f>
        <v/>
      </c>
      <c r="AF566" s="193">
        <f t="array" ref="AF566">IFERROR(ROUND(_xlfn.IFS(offer_sale_type="поставка",AB566,offer_sale_type="транзит",S566)*AC566,2),0)</f>
        <v/>
      </c>
      <c r="AG566" s="192">
        <f>$BD566*VLOOKUP($AG$3,$AF$4:$AG$7,2,FALSE)</f>
        <v/>
      </c>
      <c r="AH566" s="76">
        <f>SUM(AE566,AG566,AI566)*rate_forex_risk</f>
        <v/>
      </c>
      <c r="AI566" s="193">
        <f>IF(OR(seller_region="TR",offer_sale_type="экспорт"),0,rate_fin_comm)*SUM(AZ566,AZ566*AW566,T566)</f>
        <v/>
      </c>
      <c r="AJ566" s="118">
        <f>IFERROR(ROUND(SUM(AB566,AF566:AI566)/E566,2),0)</f>
        <v/>
      </c>
      <c r="AK566" s="76">
        <f>AJ566*E566</f>
        <v/>
      </c>
      <c r="AL566" s="174">
        <f>ROUND(IFERROR(AM566*E566,0),2)</f>
        <v/>
      </c>
      <c r="AM566" s="175">
        <f>ROUND(AJ566*(1+IF(offer_incoterms="DDP",IF((TODAY()+offer_turnaround_time)&gt;=helpsheet!$L$17,rate_vatRU_from_26,rate_vatRu_till_25),0)),2)</f>
        <v/>
      </c>
      <c r="AN566" s="192">
        <f>AL566-AK566</f>
        <v/>
      </c>
      <c r="AO566" s="76">
        <f>SUM(AY566,Y566:Z566,T566)*IF(AND(offer_incoterms="DDP",offer_sale_type&lt;&gt;"экспорт"),IF((TODAY()+offer_turnaround_time)&gt;=helpsheet!$L$17,rate_vatRU_from_26,rate_vatRu_till_25),0)</f>
        <v/>
      </c>
      <c r="AP566" s="193">
        <f>AN566-AO566</f>
        <v/>
      </c>
      <c r="AQ566" s="118">
        <f>IF(offer_sale_type="транзит",SUM(AF566:AI566,BA566,BB566),0)</f>
        <v/>
      </c>
      <c r="AR566" s="82">
        <f>HYPERLINK("https://www.alta.ru/tnved/code/")&amp;W566&amp;"/"</f>
        <v/>
      </c>
      <c r="AS566" s="157" t="n"/>
      <c r="AT566" s="162" t="n"/>
      <c r="AU566" s="76">
        <f>IF(ISBLANK(AT566),0,AJ566-AT566)</f>
        <v/>
      </c>
      <c r="AV566" s="157" t="n"/>
      <c r="AW566" s="75">
        <f>_xlfn.IFNA(VLOOKUP(L566,list_vat[],3,FALSE),0)</f>
        <v/>
      </c>
      <c r="AX566" s="76">
        <f>IFERROR(ROUND(S566*(1+AW566)/E566,2),0)</f>
        <v/>
      </c>
      <c r="AY566" s="76">
        <f>E566*AX566</f>
        <v/>
      </c>
      <c r="AZ566" s="192">
        <f>S566*(1+M566)</f>
        <v/>
      </c>
      <c r="BA566" s="76">
        <f>cost_fin_total*$BD566</f>
        <v/>
      </c>
      <c r="BB566" s="193">
        <f>credit_sales_interest*BD566</f>
        <v/>
      </c>
      <c r="BC566" s="102">
        <f>IFERROR(IF($I$13&gt;0,$I566/$I$13,$S566/$S$13),0)</f>
        <v/>
      </c>
      <c r="BD566" s="102">
        <f>IFERROR($S566/$S$13,0)</f>
        <v/>
      </c>
      <c r="BE566" s="413" t="inlineStr">
        <is>
          <t>$</t>
        </is>
      </c>
    </row>
    <row r="567" ht="12" customFormat="1" customHeight="1" s="65">
      <c r="A567" s="43" t="n">
        <v>552</v>
      </c>
      <c r="B567" s="166" t="n"/>
      <c r="C567" s="166" t="n"/>
      <c r="D567" s="166" t="n"/>
      <c r="E567" s="162" t="n"/>
      <c r="F567" s="166" t="n"/>
      <c r="G567" s="162" t="n"/>
      <c r="H567" s="162" t="n"/>
      <c r="I567" s="189">
        <f>E567*G567</f>
        <v/>
      </c>
      <c r="J567" s="195" t="n"/>
      <c r="K567" s="162" t="n"/>
      <c r="L567" s="168" t="n"/>
      <c r="M567" s="75">
        <f>_xlfn.XLOOKUP(L567,list_vat[Страна],list_vat[Ставка НДС %],0,0)</f>
        <v/>
      </c>
      <c r="N567" s="162">
        <f>IFERROR(IF(L567="Китай",K567,K567/(1+M567)),0)</f>
        <v/>
      </c>
      <c r="O567" s="169" t="n"/>
      <c r="P567" s="76">
        <f>N567*(1-O567)</f>
        <v/>
      </c>
      <c r="Q567" s="162" t="n"/>
      <c r="R567" s="162">
        <f>IF(ISBLANK(Q567),"введи курс",P567/Q567)</f>
        <v/>
      </c>
      <c r="S567" s="196">
        <f>IF(AND(ISNUMBER(E567),ISNUMBER(Q567)),E567*R567,0)</f>
        <v/>
      </c>
      <c r="T567" s="192">
        <f>$BC567*V$11</f>
        <v/>
      </c>
      <c r="U567" s="76">
        <f>$BC567*W$11</f>
        <v/>
      </c>
      <c r="V567" s="193">
        <f>+SUM(T567:U567)</f>
        <v/>
      </c>
      <c r="W567" s="191" t="n"/>
      <c r="X567" s="170" t="n"/>
      <c r="Y567" s="76">
        <f>ROUND(IF(offer_incoterms="DDP",X567*(S567*(1+AW567)+T567),0),2)</f>
        <v/>
      </c>
      <c r="Z567" s="188" t="n"/>
      <c r="AA567" s="192">
        <f>IFERROR(AB567/E567,0)</f>
        <v/>
      </c>
      <c r="AB567" s="76">
        <f>ROUND(SUM(S567,V567,Y567:Z567,BA567:BB567),2)</f>
        <v/>
      </c>
      <c r="AC567" s="797" t="n"/>
      <c r="AD567" s="192">
        <f t="array" ref="AD567">IFERROR(ROUND((_xlfn.IFS(offer_sale_type="поставка",AB567,offer_sale_type="транзит",S567)*(1+AC567))/E567,2),0)</f>
        <v/>
      </c>
      <c r="AE567" s="76">
        <f>AD567*E567</f>
        <v/>
      </c>
      <c r="AF567" s="193">
        <f t="array" ref="AF567">IFERROR(ROUND(_xlfn.IFS(offer_sale_type="поставка",AB567,offer_sale_type="транзит",S567)*AC567,2),0)</f>
        <v/>
      </c>
      <c r="AG567" s="192">
        <f>$BD567*VLOOKUP($AG$3,$AF$4:$AG$7,2,FALSE)</f>
        <v/>
      </c>
      <c r="AH567" s="76">
        <f>SUM(AE567,AG567,AI567)*rate_forex_risk</f>
        <v/>
      </c>
      <c r="AI567" s="193">
        <f>IF(OR(seller_region="TR",offer_sale_type="экспорт"),0,rate_fin_comm)*SUM(AZ567,AZ567*AW567,T567)</f>
        <v/>
      </c>
      <c r="AJ567" s="118">
        <f>IFERROR(ROUND(SUM(AB567,AF567:AI567)/E567,2),0)</f>
        <v/>
      </c>
      <c r="AK567" s="76">
        <f>AJ567*E567</f>
        <v/>
      </c>
      <c r="AL567" s="174">
        <f>ROUND(IFERROR(AM567*E567,0),2)</f>
        <v/>
      </c>
      <c r="AM567" s="175">
        <f>ROUND(AJ567*(1+IF(offer_incoterms="DDP",IF((TODAY()+offer_turnaround_time)&gt;=helpsheet!$L$17,rate_vatRU_from_26,rate_vatRu_till_25),0)),2)</f>
        <v/>
      </c>
      <c r="AN567" s="192">
        <f>AL567-AK567</f>
        <v/>
      </c>
      <c r="AO567" s="76">
        <f>SUM(AY567,Y567:Z567,T567)*IF(AND(offer_incoterms="DDP",offer_sale_type&lt;&gt;"экспорт"),IF((TODAY()+offer_turnaround_time)&gt;=helpsheet!$L$17,rate_vatRU_from_26,rate_vatRu_till_25),0)</f>
        <v/>
      </c>
      <c r="AP567" s="193">
        <f>AN567-AO567</f>
        <v/>
      </c>
      <c r="AQ567" s="118">
        <f>IF(offer_sale_type="транзит",SUM(AF567:AI567,BA567,BB567),0)</f>
        <v/>
      </c>
      <c r="AR567" s="82">
        <f>HYPERLINK("https://www.alta.ru/tnved/code/")&amp;W567&amp;"/"</f>
        <v/>
      </c>
      <c r="AS567" s="157" t="n"/>
      <c r="AT567" s="162" t="n"/>
      <c r="AU567" s="76">
        <f>IF(ISBLANK(AT567),0,AJ567-AT567)</f>
        <v/>
      </c>
      <c r="AV567" s="157" t="n"/>
      <c r="AW567" s="75">
        <f>_xlfn.IFNA(VLOOKUP(L567,list_vat[],3,FALSE),0)</f>
        <v/>
      </c>
      <c r="AX567" s="76">
        <f>IFERROR(ROUND(S567*(1+AW567)/E567,2),0)</f>
        <v/>
      </c>
      <c r="AY567" s="76">
        <f>E567*AX567</f>
        <v/>
      </c>
      <c r="AZ567" s="192">
        <f>S567*(1+M567)</f>
        <v/>
      </c>
      <c r="BA567" s="76">
        <f>cost_fin_total*$BD567</f>
        <v/>
      </c>
      <c r="BB567" s="193">
        <f>credit_sales_interest*BD567</f>
        <v/>
      </c>
      <c r="BC567" s="102">
        <f>IFERROR(IF($I$13&gt;0,$I567/$I$13,$S567/$S$13),0)</f>
        <v/>
      </c>
      <c r="BD567" s="102">
        <f>IFERROR($S567/$S$13,0)</f>
        <v/>
      </c>
      <c r="BE567" s="413" t="inlineStr">
        <is>
          <t>$</t>
        </is>
      </c>
    </row>
    <row r="568" ht="12" customFormat="1" customHeight="1" s="65">
      <c r="A568" s="43" t="n">
        <v>553</v>
      </c>
      <c r="B568" s="166" t="n"/>
      <c r="C568" s="166" t="n"/>
      <c r="D568" s="166" t="n"/>
      <c r="E568" s="162" t="n"/>
      <c r="F568" s="166" t="n"/>
      <c r="G568" s="162" t="n"/>
      <c r="H568" s="162" t="n"/>
      <c r="I568" s="189">
        <f>E568*G568</f>
        <v/>
      </c>
      <c r="J568" s="195" t="n"/>
      <c r="K568" s="162" t="n"/>
      <c r="L568" s="168" t="n"/>
      <c r="M568" s="75">
        <f>_xlfn.XLOOKUP(L568,list_vat[Страна],list_vat[Ставка НДС %],0,0)</f>
        <v/>
      </c>
      <c r="N568" s="162">
        <f>IFERROR(IF(L568="Китай",K568,K568/(1+M568)),0)</f>
        <v/>
      </c>
      <c r="O568" s="169" t="n"/>
      <c r="P568" s="76">
        <f>N568*(1-O568)</f>
        <v/>
      </c>
      <c r="Q568" s="162" t="n"/>
      <c r="R568" s="162">
        <f>IF(ISBLANK(Q568),"введи курс",P568/Q568)</f>
        <v/>
      </c>
      <c r="S568" s="196">
        <f>IF(AND(ISNUMBER(E568),ISNUMBER(Q568)),E568*R568,0)</f>
        <v/>
      </c>
      <c r="T568" s="192">
        <f>$BC568*V$11</f>
        <v/>
      </c>
      <c r="U568" s="76">
        <f>$BC568*W$11</f>
        <v/>
      </c>
      <c r="V568" s="193">
        <f>+SUM(T568:U568)</f>
        <v/>
      </c>
      <c r="W568" s="191" t="n"/>
      <c r="X568" s="170" t="n"/>
      <c r="Y568" s="76">
        <f>ROUND(IF(offer_incoterms="DDP",X568*(S568*(1+AW568)+T568),0),2)</f>
        <v/>
      </c>
      <c r="Z568" s="188" t="n"/>
      <c r="AA568" s="192">
        <f>IFERROR(AB568/E568,0)</f>
        <v/>
      </c>
      <c r="AB568" s="76">
        <f>ROUND(SUM(S568,V568,Y568:Z568,BA568:BB568),2)</f>
        <v/>
      </c>
      <c r="AC568" s="797" t="n"/>
      <c r="AD568" s="192">
        <f t="array" ref="AD568">IFERROR(ROUND((_xlfn.IFS(offer_sale_type="поставка",AB568,offer_sale_type="транзит",S568)*(1+AC568))/E568,2),0)</f>
        <v/>
      </c>
      <c r="AE568" s="76">
        <f>AD568*E568</f>
        <v/>
      </c>
      <c r="AF568" s="193">
        <f t="array" ref="AF568">IFERROR(ROUND(_xlfn.IFS(offer_sale_type="поставка",AB568,offer_sale_type="транзит",S568)*AC568,2),0)</f>
        <v/>
      </c>
      <c r="AG568" s="192">
        <f>$BD568*VLOOKUP($AG$3,$AF$4:$AG$7,2,FALSE)</f>
        <v/>
      </c>
      <c r="AH568" s="76">
        <f>SUM(AE568,AG568,AI568)*rate_forex_risk</f>
        <v/>
      </c>
      <c r="AI568" s="193">
        <f>IF(OR(seller_region="TR",offer_sale_type="экспорт"),0,rate_fin_comm)*SUM(AZ568,AZ568*AW568,T568)</f>
        <v/>
      </c>
      <c r="AJ568" s="118">
        <f>IFERROR(ROUND(SUM(AB568,AF568:AI568)/E568,2),0)</f>
        <v/>
      </c>
      <c r="AK568" s="76">
        <f>AJ568*E568</f>
        <v/>
      </c>
      <c r="AL568" s="174">
        <f>ROUND(IFERROR(AM568*E568,0),2)</f>
        <v/>
      </c>
      <c r="AM568" s="175">
        <f>ROUND(AJ568*(1+IF(offer_incoterms="DDP",IF((TODAY()+offer_turnaround_time)&gt;=helpsheet!$L$17,rate_vatRU_from_26,rate_vatRu_till_25),0)),2)</f>
        <v/>
      </c>
      <c r="AN568" s="192">
        <f>AL568-AK568</f>
        <v/>
      </c>
      <c r="AO568" s="76">
        <f>SUM(AY568,Y568:Z568,T568)*IF(AND(offer_incoterms="DDP",offer_sale_type&lt;&gt;"экспорт"),IF((TODAY()+offer_turnaround_time)&gt;=helpsheet!$L$17,rate_vatRU_from_26,rate_vatRu_till_25),0)</f>
        <v/>
      </c>
      <c r="AP568" s="193">
        <f>AN568-AO568</f>
        <v/>
      </c>
      <c r="AQ568" s="118">
        <f>IF(offer_sale_type="транзит",SUM(AF568:AI568,BA568,BB568),0)</f>
        <v/>
      </c>
      <c r="AR568" s="82">
        <f>HYPERLINK("https://www.alta.ru/tnved/code/")&amp;W568&amp;"/"</f>
        <v/>
      </c>
      <c r="AS568" s="157" t="n"/>
      <c r="AT568" s="162" t="n"/>
      <c r="AU568" s="76">
        <f>IF(ISBLANK(AT568),0,AJ568-AT568)</f>
        <v/>
      </c>
      <c r="AV568" s="157" t="n"/>
      <c r="AW568" s="75">
        <f>_xlfn.IFNA(VLOOKUP(L568,list_vat[],3,FALSE),0)</f>
        <v/>
      </c>
      <c r="AX568" s="76">
        <f>IFERROR(ROUND(S568*(1+AW568)/E568,2),0)</f>
        <v/>
      </c>
      <c r="AY568" s="76">
        <f>E568*AX568</f>
        <v/>
      </c>
      <c r="AZ568" s="192">
        <f>S568*(1+M568)</f>
        <v/>
      </c>
      <c r="BA568" s="76">
        <f>cost_fin_total*$BD568</f>
        <v/>
      </c>
      <c r="BB568" s="193">
        <f>credit_sales_interest*BD568</f>
        <v/>
      </c>
      <c r="BC568" s="102">
        <f>IFERROR(IF($I$13&gt;0,$I568/$I$13,$S568/$S$13),0)</f>
        <v/>
      </c>
      <c r="BD568" s="102">
        <f>IFERROR($S568/$S$13,0)</f>
        <v/>
      </c>
      <c r="BE568" s="413" t="inlineStr">
        <is>
          <t>$</t>
        </is>
      </c>
    </row>
    <row r="569" ht="12" customFormat="1" customHeight="1" s="65">
      <c r="A569" s="43" t="n">
        <v>554</v>
      </c>
      <c r="B569" s="166" t="n"/>
      <c r="C569" s="166" t="n"/>
      <c r="D569" s="166" t="n"/>
      <c r="E569" s="162" t="n"/>
      <c r="F569" s="166" t="n"/>
      <c r="G569" s="162" t="n"/>
      <c r="H569" s="162" t="n"/>
      <c r="I569" s="189">
        <f>E569*G569</f>
        <v/>
      </c>
      <c r="J569" s="195" t="n"/>
      <c r="K569" s="162" t="n"/>
      <c r="L569" s="168" t="n"/>
      <c r="M569" s="75">
        <f>_xlfn.XLOOKUP(L569,list_vat[Страна],list_vat[Ставка НДС %],0,0)</f>
        <v/>
      </c>
      <c r="N569" s="162">
        <f>IFERROR(IF(L569="Китай",K569,K569/(1+M569)),0)</f>
        <v/>
      </c>
      <c r="O569" s="169" t="n"/>
      <c r="P569" s="76">
        <f>N569*(1-O569)</f>
        <v/>
      </c>
      <c r="Q569" s="162" t="n"/>
      <c r="R569" s="162">
        <f>IF(ISBLANK(Q569),"введи курс",P569/Q569)</f>
        <v/>
      </c>
      <c r="S569" s="196">
        <f>IF(AND(ISNUMBER(E569),ISNUMBER(Q569)),E569*R569,0)</f>
        <v/>
      </c>
      <c r="T569" s="192">
        <f>$BC569*V$11</f>
        <v/>
      </c>
      <c r="U569" s="76">
        <f>$BC569*W$11</f>
        <v/>
      </c>
      <c r="V569" s="193">
        <f>+SUM(T569:U569)</f>
        <v/>
      </c>
      <c r="W569" s="191" t="n"/>
      <c r="X569" s="170" t="n"/>
      <c r="Y569" s="76">
        <f>ROUND(IF(offer_incoterms="DDP",X569*(S569*(1+AW569)+T569),0),2)</f>
        <v/>
      </c>
      <c r="Z569" s="188" t="n"/>
      <c r="AA569" s="192">
        <f>IFERROR(AB569/E569,0)</f>
        <v/>
      </c>
      <c r="AB569" s="76">
        <f>ROUND(SUM(S569,V569,Y569:Z569,BA569:BB569),2)</f>
        <v/>
      </c>
      <c r="AC569" s="797" t="n"/>
      <c r="AD569" s="192">
        <f t="array" ref="AD569">IFERROR(ROUND((_xlfn.IFS(offer_sale_type="поставка",AB569,offer_sale_type="транзит",S569)*(1+AC569))/E569,2),0)</f>
        <v/>
      </c>
      <c r="AE569" s="76">
        <f>AD569*E569</f>
        <v/>
      </c>
      <c r="AF569" s="193">
        <f t="array" ref="AF569">IFERROR(ROUND(_xlfn.IFS(offer_sale_type="поставка",AB569,offer_sale_type="транзит",S569)*AC569,2),0)</f>
        <v/>
      </c>
      <c r="AG569" s="192">
        <f>$BD569*VLOOKUP($AG$3,$AF$4:$AG$7,2,FALSE)</f>
        <v/>
      </c>
      <c r="AH569" s="76">
        <f>SUM(AE569,AG569,AI569)*rate_forex_risk</f>
        <v/>
      </c>
      <c r="AI569" s="193">
        <f>IF(OR(seller_region="TR",offer_sale_type="экспорт"),0,rate_fin_comm)*SUM(AZ569,AZ569*AW569,T569)</f>
        <v/>
      </c>
      <c r="AJ569" s="118">
        <f>IFERROR(ROUND(SUM(AB569,AF569:AI569)/E569,2),0)</f>
        <v/>
      </c>
      <c r="AK569" s="76">
        <f>AJ569*E569</f>
        <v/>
      </c>
      <c r="AL569" s="174">
        <f>ROUND(IFERROR(AM569*E569,0),2)</f>
        <v/>
      </c>
      <c r="AM569" s="175">
        <f>ROUND(AJ569*(1+IF(offer_incoterms="DDP",IF((TODAY()+offer_turnaround_time)&gt;=helpsheet!$L$17,rate_vatRU_from_26,rate_vatRu_till_25),0)),2)</f>
        <v/>
      </c>
      <c r="AN569" s="192">
        <f>AL569-AK569</f>
        <v/>
      </c>
      <c r="AO569" s="76">
        <f>SUM(AY569,Y569:Z569,T569)*IF(AND(offer_incoterms="DDP",offer_sale_type&lt;&gt;"экспорт"),IF((TODAY()+offer_turnaround_time)&gt;=helpsheet!$L$17,rate_vatRU_from_26,rate_vatRu_till_25),0)</f>
        <v/>
      </c>
      <c r="AP569" s="193">
        <f>AN569-AO569</f>
        <v/>
      </c>
      <c r="AQ569" s="118">
        <f>IF(offer_sale_type="транзит",SUM(AF569:AI569,BA569,BB569),0)</f>
        <v/>
      </c>
      <c r="AR569" s="82">
        <f>HYPERLINK("https://www.alta.ru/tnved/code/")&amp;W569&amp;"/"</f>
        <v/>
      </c>
      <c r="AS569" s="157" t="n"/>
      <c r="AT569" s="162" t="n"/>
      <c r="AU569" s="76">
        <f>IF(ISBLANK(AT569),0,AJ569-AT569)</f>
        <v/>
      </c>
      <c r="AV569" s="157" t="n"/>
      <c r="AW569" s="75">
        <f>_xlfn.IFNA(VLOOKUP(L569,list_vat[],3,FALSE),0)</f>
        <v/>
      </c>
      <c r="AX569" s="76">
        <f>IFERROR(ROUND(S569*(1+AW569)/E569,2),0)</f>
        <v/>
      </c>
      <c r="AY569" s="76">
        <f>E569*AX569</f>
        <v/>
      </c>
      <c r="AZ569" s="192">
        <f>S569*(1+M569)</f>
        <v/>
      </c>
      <c r="BA569" s="76">
        <f>cost_fin_total*$BD569</f>
        <v/>
      </c>
      <c r="BB569" s="193">
        <f>credit_sales_interest*BD569</f>
        <v/>
      </c>
      <c r="BC569" s="102">
        <f>IFERROR(IF($I$13&gt;0,$I569/$I$13,$S569/$S$13),0)</f>
        <v/>
      </c>
      <c r="BD569" s="102">
        <f>IFERROR($S569/$S$13,0)</f>
        <v/>
      </c>
      <c r="BE569" s="413" t="inlineStr">
        <is>
          <t>$</t>
        </is>
      </c>
    </row>
    <row r="570" ht="12" customFormat="1" customHeight="1" s="65">
      <c r="A570" s="43" t="n">
        <v>555</v>
      </c>
      <c r="B570" s="166" t="n"/>
      <c r="C570" s="166" t="n"/>
      <c r="D570" s="166" t="n"/>
      <c r="E570" s="162" t="n"/>
      <c r="F570" s="166" t="n"/>
      <c r="G570" s="162" t="n"/>
      <c r="H570" s="162" t="n"/>
      <c r="I570" s="189">
        <f>E570*G570</f>
        <v/>
      </c>
      <c r="J570" s="195" t="n"/>
      <c r="K570" s="162" t="n"/>
      <c r="L570" s="168" t="n"/>
      <c r="M570" s="75">
        <f>_xlfn.XLOOKUP(L570,list_vat[Страна],list_vat[Ставка НДС %],0,0)</f>
        <v/>
      </c>
      <c r="N570" s="162">
        <f>IFERROR(IF(L570="Китай",K570,K570/(1+M570)),0)</f>
        <v/>
      </c>
      <c r="O570" s="169" t="n"/>
      <c r="P570" s="76">
        <f>N570*(1-O570)</f>
        <v/>
      </c>
      <c r="Q570" s="162" t="n"/>
      <c r="R570" s="162">
        <f>IF(ISBLANK(Q570),"введи курс",P570/Q570)</f>
        <v/>
      </c>
      <c r="S570" s="196">
        <f>IF(AND(ISNUMBER(E570),ISNUMBER(Q570)),E570*R570,0)</f>
        <v/>
      </c>
      <c r="T570" s="192">
        <f>$BC570*V$11</f>
        <v/>
      </c>
      <c r="U570" s="76">
        <f>$BC570*W$11</f>
        <v/>
      </c>
      <c r="V570" s="193">
        <f>+SUM(T570:U570)</f>
        <v/>
      </c>
      <c r="W570" s="191" t="n"/>
      <c r="X570" s="170" t="n"/>
      <c r="Y570" s="76">
        <f>ROUND(IF(offer_incoterms="DDP",X570*(S570*(1+AW570)+T570),0),2)</f>
        <v/>
      </c>
      <c r="Z570" s="188" t="n"/>
      <c r="AA570" s="192">
        <f>IFERROR(AB570/E570,0)</f>
        <v/>
      </c>
      <c r="AB570" s="76">
        <f>ROUND(SUM(S570,V570,Y570:Z570,BA570:BB570),2)</f>
        <v/>
      </c>
      <c r="AC570" s="797" t="n"/>
      <c r="AD570" s="192">
        <f t="array" ref="AD570">IFERROR(ROUND((_xlfn.IFS(offer_sale_type="поставка",AB570,offer_sale_type="транзит",S570)*(1+AC570))/E570,2),0)</f>
        <v/>
      </c>
      <c r="AE570" s="76">
        <f>AD570*E570</f>
        <v/>
      </c>
      <c r="AF570" s="193">
        <f t="array" ref="AF570">IFERROR(ROUND(_xlfn.IFS(offer_sale_type="поставка",AB570,offer_sale_type="транзит",S570)*AC570,2),0)</f>
        <v/>
      </c>
      <c r="AG570" s="192">
        <f>$BD570*VLOOKUP($AG$3,$AF$4:$AG$7,2,FALSE)</f>
        <v/>
      </c>
      <c r="AH570" s="76">
        <f>SUM(AE570,AG570,AI570)*rate_forex_risk</f>
        <v/>
      </c>
      <c r="AI570" s="193">
        <f>IF(OR(seller_region="TR",offer_sale_type="экспорт"),0,rate_fin_comm)*SUM(AZ570,AZ570*AW570,T570)</f>
        <v/>
      </c>
      <c r="AJ570" s="118">
        <f>IFERROR(ROUND(SUM(AB570,AF570:AI570)/E570,2),0)</f>
        <v/>
      </c>
      <c r="AK570" s="76">
        <f>AJ570*E570</f>
        <v/>
      </c>
      <c r="AL570" s="174">
        <f>ROUND(IFERROR(AM570*E570,0),2)</f>
        <v/>
      </c>
      <c r="AM570" s="175">
        <f>ROUND(AJ570*(1+IF(offer_incoterms="DDP",IF((TODAY()+offer_turnaround_time)&gt;=helpsheet!$L$17,rate_vatRU_from_26,rate_vatRu_till_25),0)),2)</f>
        <v/>
      </c>
      <c r="AN570" s="192">
        <f>AL570-AK570</f>
        <v/>
      </c>
      <c r="AO570" s="76">
        <f>SUM(AY570,Y570:Z570,T570)*IF(AND(offer_incoterms="DDP",offer_sale_type&lt;&gt;"экспорт"),IF((TODAY()+offer_turnaround_time)&gt;=helpsheet!$L$17,rate_vatRU_from_26,rate_vatRu_till_25),0)</f>
        <v/>
      </c>
      <c r="AP570" s="193">
        <f>AN570-AO570</f>
        <v/>
      </c>
      <c r="AQ570" s="118">
        <f>IF(offer_sale_type="транзит",SUM(AF570:AI570,BA570,BB570),0)</f>
        <v/>
      </c>
      <c r="AR570" s="82">
        <f>HYPERLINK("https://www.alta.ru/tnved/code/")&amp;W570&amp;"/"</f>
        <v/>
      </c>
      <c r="AS570" s="157" t="n"/>
      <c r="AT570" s="162" t="n"/>
      <c r="AU570" s="76">
        <f>IF(ISBLANK(AT570),0,AJ570-AT570)</f>
        <v/>
      </c>
      <c r="AV570" s="157" t="n"/>
      <c r="AW570" s="75">
        <f>_xlfn.IFNA(VLOOKUP(L570,list_vat[],3,FALSE),0)</f>
        <v/>
      </c>
      <c r="AX570" s="76">
        <f>IFERROR(ROUND(S570*(1+AW570)/E570,2),0)</f>
        <v/>
      </c>
      <c r="AY570" s="76">
        <f>E570*AX570</f>
        <v/>
      </c>
      <c r="AZ570" s="192">
        <f>S570*(1+M570)</f>
        <v/>
      </c>
      <c r="BA570" s="76">
        <f>cost_fin_total*$BD570</f>
        <v/>
      </c>
      <c r="BB570" s="193">
        <f>credit_sales_interest*BD570</f>
        <v/>
      </c>
      <c r="BC570" s="102">
        <f>IFERROR(IF($I$13&gt;0,$I570/$I$13,$S570/$S$13),0)</f>
        <v/>
      </c>
      <c r="BD570" s="102">
        <f>IFERROR($S570/$S$13,0)</f>
        <v/>
      </c>
      <c r="BE570" s="413" t="inlineStr">
        <is>
          <t>$</t>
        </is>
      </c>
    </row>
    <row r="571" ht="12" customFormat="1" customHeight="1" s="65">
      <c r="A571" s="43" t="n">
        <v>556</v>
      </c>
      <c r="B571" s="166" t="n"/>
      <c r="C571" s="166" t="n"/>
      <c r="D571" s="166" t="n"/>
      <c r="E571" s="162" t="n"/>
      <c r="F571" s="166" t="n"/>
      <c r="G571" s="162" t="n"/>
      <c r="H571" s="162" t="n"/>
      <c r="I571" s="189">
        <f>E571*G571</f>
        <v/>
      </c>
      <c r="J571" s="195" t="n"/>
      <c r="K571" s="162" t="n"/>
      <c r="L571" s="168" t="n"/>
      <c r="M571" s="75">
        <f>_xlfn.XLOOKUP(L571,list_vat[Страна],list_vat[Ставка НДС %],0,0)</f>
        <v/>
      </c>
      <c r="N571" s="162">
        <f>IFERROR(IF(L571="Китай",K571,K571/(1+M571)),0)</f>
        <v/>
      </c>
      <c r="O571" s="169" t="n"/>
      <c r="P571" s="76">
        <f>N571*(1-O571)</f>
        <v/>
      </c>
      <c r="Q571" s="162" t="n"/>
      <c r="R571" s="162">
        <f>IF(ISBLANK(Q571),"введи курс",P571/Q571)</f>
        <v/>
      </c>
      <c r="S571" s="196">
        <f>IF(AND(ISNUMBER(E571),ISNUMBER(Q571)),E571*R571,0)</f>
        <v/>
      </c>
      <c r="T571" s="192">
        <f>$BC571*V$11</f>
        <v/>
      </c>
      <c r="U571" s="76">
        <f>$BC571*W$11</f>
        <v/>
      </c>
      <c r="V571" s="193">
        <f>+SUM(T571:U571)</f>
        <v/>
      </c>
      <c r="W571" s="191" t="n"/>
      <c r="X571" s="170" t="n"/>
      <c r="Y571" s="76">
        <f>ROUND(IF(offer_incoterms="DDP",X571*(S571*(1+AW571)+T571),0),2)</f>
        <v/>
      </c>
      <c r="Z571" s="188" t="n"/>
      <c r="AA571" s="192">
        <f>IFERROR(AB571/E571,0)</f>
        <v/>
      </c>
      <c r="AB571" s="76">
        <f>ROUND(SUM(S571,V571,Y571:Z571,BA571:BB571),2)</f>
        <v/>
      </c>
      <c r="AC571" s="797" t="n"/>
      <c r="AD571" s="192">
        <f t="array" ref="AD571">IFERROR(ROUND((_xlfn.IFS(offer_sale_type="поставка",AB571,offer_sale_type="транзит",S571)*(1+AC571))/E571,2),0)</f>
        <v/>
      </c>
      <c r="AE571" s="76">
        <f>AD571*E571</f>
        <v/>
      </c>
      <c r="AF571" s="193">
        <f t="array" ref="AF571">IFERROR(ROUND(_xlfn.IFS(offer_sale_type="поставка",AB571,offer_sale_type="транзит",S571)*AC571,2),0)</f>
        <v/>
      </c>
      <c r="AG571" s="192">
        <f>$BD571*VLOOKUP($AG$3,$AF$4:$AG$7,2,FALSE)</f>
        <v/>
      </c>
      <c r="AH571" s="76">
        <f>SUM(AE571,AG571,AI571)*rate_forex_risk</f>
        <v/>
      </c>
      <c r="AI571" s="193">
        <f>IF(OR(seller_region="TR",offer_sale_type="экспорт"),0,rate_fin_comm)*SUM(AZ571,AZ571*AW571,T571)</f>
        <v/>
      </c>
      <c r="AJ571" s="118">
        <f>IFERROR(ROUND(SUM(AB571,AF571:AI571)/E571,2),0)</f>
        <v/>
      </c>
      <c r="AK571" s="76">
        <f>AJ571*E571</f>
        <v/>
      </c>
      <c r="AL571" s="174">
        <f>ROUND(IFERROR(AM571*E571,0),2)</f>
        <v/>
      </c>
      <c r="AM571" s="175">
        <f>ROUND(AJ571*(1+IF(offer_incoterms="DDP",IF((TODAY()+offer_turnaround_time)&gt;=helpsheet!$L$17,rate_vatRU_from_26,rate_vatRu_till_25),0)),2)</f>
        <v/>
      </c>
      <c r="AN571" s="192">
        <f>AL571-AK571</f>
        <v/>
      </c>
      <c r="AO571" s="76">
        <f>SUM(AY571,Y571:Z571,T571)*IF(AND(offer_incoterms="DDP",offer_sale_type&lt;&gt;"экспорт"),IF((TODAY()+offer_turnaround_time)&gt;=helpsheet!$L$17,rate_vatRU_from_26,rate_vatRu_till_25),0)</f>
        <v/>
      </c>
      <c r="AP571" s="193">
        <f>AN571-AO571</f>
        <v/>
      </c>
      <c r="AQ571" s="118">
        <f>IF(offer_sale_type="транзит",SUM(AF571:AI571,BA571,BB571),0)</f>
        <v/>
      </c>
      <c r="AR571" s="82">
        <f>HYPERLINK("https://www.alta.ru/tnved/code/")&amp;W571&amp;"/"</f>
        <v/>
      </c>
      <c r="AS571" s="157" t="n"/>
      <c r="AT571" s="162" t="n"/>
      <c r="AU571" s="76">
        <f>IF(ISBLANK(AT571),0,AJ571-AT571)</f>
        <v/>
      </c>
      <c r="AV571" s="157" t="n"/>
      <c r="AW571" s="75">
        <f>_xlfn.IFNA(VLOOKUP(L571,list_vat[],3,FALSE),0)</f>
        <v/>
      </c>
      <c r="AX571" s="76">
        <f>IFERROR(ROUND(S571*(1+AW571)/E571,2),0)</f>
        <v/>
      </c>
      <c r="AY571" s="76">
        <f>E571*AX571</f>
        <v/>
      </c>
      <c r="AZ571" s="192">
        <f>S571*(1+M571)</f>
        <v/>
      </c>
      <c r="BA571" s="76">
        <f>cost_fin_total*$BD571</f>
        <v/>
      </c>
      <c r="BB571" s="193">
        <f>credit_sales_interest*BD571</f>
        <v/>
      </c>
      <c r="BC571" s="102">
        <f>IFERROR(IF($I$13&gt;0,$I571/$I$13,$S571/$S$13),0)</f>
        <v/>
      </c>
      <c r="BD571" s="102">
        <f>IFERROR($S571/$S$13,0)</f>
        <v/>
      </c>
      <c r="BE571" s="413" t="inlineStr">
        <is>
          <t>$</t>
        </is>
      </c>
    </row>
    <row r="572" ht="12" customFormat="1" customHeight="1" s="65">
      <c r="A572" s="43" t="n">
        <v>557</v>
      </c>
      <c r="B572" s="166" t="n"/>
      <c r="C572" s="166" t="n"/>
      <c r="D572" s="166" t="n"/>
      <c r="E572" s="162" t="n"/>
      <c r="F572" s="166" t="n"/>
      <c r="G572" s="162" t="n"/>
      <c r="H572" s="162" t="n"/>
      <c r="I572" s="189">
        <f>E572*G572</f>
        <v/>
      </c>
      <c r="J572" s="195" t="n"/>
      <c r="K572" s="162" t="n"/>
      <c r="L572" s="168" t="n"/>
      <c r="M572" s="75">
        <f>_xlfn.XLOOKUP(L572,list_vat[Страна],list_vat[Ставка НДС %],0,0)</f>
        <v/>
      </c>
      <c r="N572" s="162">
        <f>IFERROR(IF(L572="Китай",K572,K572/(1+M572)),0)</f>
        <v/>
      </c>
      <c r="O572" s="169" t="n"/>
      <c r="P572" s="76">
        <f>N572*(1-O572)</f>
        <v/>
      </c>
      <c r="Q572" s="162" t="n"/>
      <c r="R572" s="162">
        <f>IF(ISBLANK(Q572),"введи курс",P572/Q572)</f>
        <v/>
      </c>
      <c r="S572" s="196">
        <f>IF(AND(ISNUMBER(E572),ISNUMBER(Q572)),E572*R572,0)</f>
        <v/>
      </c>
      <c r="T572" s="192">
        <f>$BC572*V$11</f>
        <v/>
      </c>
      <c r="U572" s="76">
        <f>$BC572*W$11</f>
        <v/>
      </c>
      <c r="V572" s="193">
        <f>+SUM(T572:U572)</f>
        <v/>
      </c>
      <c r="W572" s="191" t="n"/>
      <c r="X572" s="170" t="n"/>
      <c r="Y572" s="76">
        <f>ROUND(IF(offer_incoterms="DDP",X572*(S572*(1+AW572)+T572),0),2)</f>
        <v/>
      </c>
      <c r="Z572" s="188" t="n"/>
      <c r="AA572" s="192">
        <f>IFERROR(AB572/E572,0)</f>
        <v/>
      </c>
      <c r="AB572" s="76">
        <f>ROUND(SUM(S572,V572,Y572:Z572,BA572:BB572),2)</f>
        <v/>
      </c>
      <c r="AC572" s="797" t="n"/>
      <c r="AD572" s="192">
        <f t="array" ref="AD572">IFERROR(ROUND((_xlfn.IFS(offer_sale_type="поставка",AB572,offer_sale_type="транзит",S572)*(1+AC572))/E572,2),0)</f>
        <v/>
      </c>
      <c r="AE572" s="76">
        <f>AD572*E572</f>
        <v/>
      </c>
      <c r="AF572" s="193">
        <f t="array" ref="AF572">IFERROR(ROUND(_xlfn.IFS(offer_sale_type="поставка",AB572,offer_sale_type="транзит",S572)*AC572,2),0)</f>
        <v/>
      </c>
      <c r="AG572" s="192">
        <f>$BD572*VLOOKUP($AG$3,$AF$4:$AG$7,2,FALSE)</f>
        <v/>
      </c>
      <c r="AH572" s="76">
        <f>SUM(AE572,AG572,AI572)*rate_forex_risk</f>
        <v/>
      </c>
      <c r="AI572" s="193">
        <f>IF(OR(seller_region="TR",offer_sale_type="экспорт"),0,rate_fin_comm)*SUM(AZ572,AZ572*AW572,T572)</f>
        <v/>
      </c>
      <c r="AJ572" s="118">
        <f>IFERROR(ROUND(SUM(AB572,AF572:AI572)/E572,2),0)</f>
        <v/>
      </c>
      <c r="AK572" s="76">
        <f>AJ572*E572</f>
        <v/>
      </c>
      <c r="AL572" s="174">
        <f>ROUND(IFERROR(AM572*E572,0),2)</f>
        <v/>
      </c>
      <c r="AM572" s="175">
        <f>ROUND(AJ572*(1+IF(offer_incoterms="DDP",IF((TODAY()+offer_turnaround_time)&gt;=helpsheet!$L$17,rate_vatRU_from_26,rate_vatRu_till_25),0)),2)</f>
        <v/>
      </c>
      <c r="AN572" s="192">
        <f>AL572-AK572</f>
        <v/>
      </c>
      <c r="AO572" s="76">
        <f>SUM(AY572,Y572:Z572,T572)*IF(AND(offer_incoterms="DDP",offer_sale_type&lt;&gt;"экспорт"),IF((TODAY()+offer_turnaround_time)&gt;=helpsheet!$L$17,rate_vatRU_from_26,rate_vatRu_till_25),0)</f>
        <v/>
      </c>
      <c r="AP572" s="193">
        <f>AN572-AO572</f>
        <v/>
      </c>
      <c r="AQ572" s="118">
        <f>IF(offer_sale_type="транзит",SUM(AF572:AI572,BA572,BB572),0)</f>
        <v/>
      </c>
      <c r="AR572" s="82">
        <f>HYPERLINK("https://www.alta.ru/tnved/code/")&amp;W572&amp;"/"</f>
        <v/>
      </c>
      <c r="AS572" s="157" t="n"/>
      <c r="AT572" s="162" t="n"/>
      <c r="AU572" s="76">
        <f>IF(ISBLANK(AT572),0,AJ572-AT572)</f>
        <v/>
      </c>
      <c r="AV572" s="157" t="n"/>
      <c r="AW572" s="75">
        <f>_xlfn.IFNA(VLOOKUP(L572,list_vat[],3,FALSE),0)</f>
        <v/>
      </c>
      <c r="AX572" s="76">
        <f>IFERROR(ROUND(S572*(1+AW572)/E572,2),0)</f>
        <v/>
      </c>
      <c r="AY572" s="76">
        <f>E572*AX572</f>
        <v/>
      </c>
      <c r="AZ572" s="192">
        <f>S572*(1+M572)</f>
        <v/>
      </c>
      <c r="BA572" s="76">
        <f>cost_fin_total*$BD572</f>
        <v/>
      </c>
      <c r="BB572" s="193">
        <f>credit_sales_interest*BD572</f>
        <v/>
      </c>
      <c r="BC572" s="102">
        <f>IFERROR(IF($I$13&gt;0,$I572/$I$13,$S572/$S$13),0)</f>
        <v/>
      </c>
      <c r="BD572" s="102">
        <f>IFERROR($S572/$S$13,0)</f>
        <v/>
      </c>
      <c r="BE572" s="413" t="inlineStr">
        <is>
          <t>$</t>
        </is>
      </c>
    </row>
    <row r="573" ht="12" customFormat="1" customHeight="1" s="65">
      <c r="A573" s="43" t="n">
        <v>558</v>
      </c>
      <c r="B573" s="166" t="n"/>
      <c r="C573" s="166" t="n"/>
      <c r="D573" s="166" t="n"/>
      <c r="E573" s="162" t="n"/>
      <c r="F573" s="166" t="n"/>
      <c r="G573" s="162" t="n"/>
      <c r="H573" s="162" t="n"/>
      <c r="I573" s="189">
        <f>E573*G573</f>
        <v/>
      </c>
      <c r="J573" s="195" t="n"/>
      <c r="K573" s="162" t="n"/>
      <c r="L573" s="168" t="n"/>
      <c r="M573" s="75">
        <f>_xlfn.XLOOKUP(L573,list_vat[Страна],list_vat[Ставка НДС %],0,0)</f>
        <v/>
      </c>
      <c r="N573" s="162">
        <f>IFERROR(IF(L573="Китай",K573,K573/(1+M573)),0)</f>
        <v/>
      </c>
      <c r="O573" s="169" t="n"/>
      <c r="P573" s="76">
        <f>N573*(1-O573)</f>
        <v/>
      </c>
      <c r="Q573" s="162" t="n"/>
      <c r="R573" s="162">
        <f>IF(ISBLANK(Q573),"введи курс",P573/Q573)</f>
        <v/>
      </c>
      <c r="S573" s="196">
        <f>IF(AND(ISNUMBER(E573),ISNUMBER(Q573)),E573*R573,0)</f>
        <v/>
      </c>
      <c r="T573" s="192">
        <f>$BC573*V$11</f>
        <v/>
      </c>
      <c r="U573" s="76">
        <f>$BC573*W$11</f>
        <v/>
      </c>
      <c r="V573" s="193">
        <f>+SUM(T573:U573)</f>
        <v/>
      </c>
      <c r="W573" s="191" t="n"/>
      <c r="X573" s="170" t="n"/>
      <c r="Y573" s="76">
        <f>ROUND(IF(offer_incoterms="DDP",X573*(S573*(1+AW573)+T573),0),2)</f>
        <v/>
      </c>
      <c r="Z573" s="188" t="n"/>
      <c r="AA573" s="192">
        <f>IFERROR(AB573/E573,0)</f>
        <v/>
      </c>
      <c r="AB573" s="76">
        <f>ROUND(SUM(S573,V573,Y573:Z573,BA573:BB573),2)</f>
        <v/>
      </c>
      <c r="AC573" s="797" t="n"/>
      <c r="AD573" s="192">
        <f t="array" ref="AD573">IFERROR(ROUND((_xlfn.IFS(offer_sale_type="поставка",AB573,offer_sale_type="транзит",S573)*(1+AC573))/E573,2),0)</f>
        <v/>
      </c>
      <c r="AE573" s="76">
        <f>AD573*E573</f>
        <v/>
      </c>
      <c r="AF573" s="193">
        <f t="array" ref="AF573">IFERROR(ROUND(_xlfn.IFS(offer_sale_type="поставка",AB573,offer_sale_type="транзит",S573)*AC573,2),0)</f>
        <v/>
      </c>
      <c r="AG573" s="192">
        <f>$BD573*VLOOKUP($AG$3,$AF$4:$AG$7,2,FALSE)</f>
        <v/>
      </c>
      <c r="AH573" s="76">
        <f>SUM(AE573,AG573,AI573)*rate_forex_risk</f>
        <v/>
      </c>
      <c r="AI573" s="193">
        <f>IF(OR(seller_region="TR",offer_sale_type="экспорт"),0,rate_fin_comm)*SUM(AZ573,AZ573*AW573,T573)</f>
        <v/>
      </c>
      <c r="AJ573" s="118">
        <f>IFERROR(ROUND(SUM(AB573,AF573:AI573)/E573,2),0)</f>
        <v/>
      </c>
      <c r="AK573" s="76">
        <f>AJ573*E573</f>
        <v/>
      </c>
      <c r="AL573" s="174">
        <f>ROUND(IFERROR(AM573*E573,0),2)</f>
        <v/>
      </c>
      <c r="AM573" s="175">
        <f>ROUND(AJ573*(1+IF(offer_incoterms="DDP",IF((TODAY()+offer_turnaround_time)&gt;=helpsheet!$L$17,rate_vatRU_from_26,rate_vatRu_till_25),0)),2)</f>
        <v/>
      </c>
      <c r="AN573" s="192">
        <f>AL573-AK573</f>
        <v/>
      </c>
      <c r="AO573" s="76">
        <f>SUM(AY573,Y573:Z573,T573)*IF(AND(offer_incoterms="DDP",offer_sale_type&lt;&gt;"экспорт"),IF((TODAY()+offer_turnaround_time)&gt;=helpsheet!$L$17,rate_vatRU_from_26,rate_vatRu_till_25),0)</f>
        <v/>
      </c>
      <c r="AP573" s="193">
        <f>AN573-AO573</f>
        <v/>
      </c>
      <c r="AQ573" s="118">
        <f>IF(offer_sale_type="транзит",SUM(AF573:AI573,BA573,BB573),0)</f>
        <v/>
      </c>
      <c r="AR573" s="82">
        <f>HYPERLINK("https://www.alta.ru/tnved/code/")&amp;W573&amp;"/"</f>
        <v/>
      </c>
      <c r="AS573" s="157" t="n"/>
      <c r="AT573" s="162" t="n"/>
      <c r="AU573" s="76">
        <f>IF(ISBLANK(AT573),0,AJ573-AT573)</f>
        <v/>
      </c>
      <c r="AV573" s="157" t="n"/>
      <c r="AW573" s="75">
        <f>_xlfn.IFNA(VLOOKUP(L573,list_vat[],3,FALSE),0)</f>
        <v/>
      </c>
      <c r="AX573" s="76">
        <f>IFERROR(ROUND(S573*(1+AW573)/E573,2),0)</f>
        <v/>
      </c>
      <c r="AY573" s="76">
        <f>E573*AX573</f>
        <v/>
      </c>
      <c r="AZ573" s="192">
        <f>S573*(1+M573)</f>
        <v/>
      </c>
      <c r="BA573" s="76">
        <f>cost_fin_total*$BD573</f>
        <v/>
      </c>
      <c r="BB573" s="193">
        <f>credit_sales_interest*BD573</f>
        <v/>
      </c>
      <c r="BC573" s="102">
        <f>IFERROR(IF($I$13&gt;0,$I573/$I$13,$S573/$S$13),0)</f>
        <v/>
      </c>
      <c r="BD573" s="102">
        <f>IFERROR($S573/$S$13,0)</f>
        <v/>
      </c>
      <c r="BE573" s="413" t="inlineStr">
        <is>
          <t>$</t>
        </is>
      </c>
    </row>
    <row r="574" ht="12" customFormat="1" customHeight="1" s="65">
      <c r="A574" s="43" t="n">
        <v>559</v>
      </c>
      <c r="B574" s="166" t="n"/>
      <c r="C574" s="166" t="n"/>
      <c r="D574" s="166" t="n"/>
      <c r="E574" s="162" t="n"/>
      <c r="F574" s="166" t="n"/>
      <c r="G574" s="162" t="n"/>
      <c r="H574" s="162" t="n"/>
      <c r="I574" s="189">
        <f>E574*G574</f>
        <v/>
      </c>
      <c r="J574" s="195" t="n"/>
      <c r="K574" s="162" t="n"/>
      <c r="L574" s="168" t="n"/>
      <c r="M574" s="75">
        <f>_xlfn.XLOOKUP(L574,list_vat[Страна],list_vat[Ставка НДС %],0,0)</f>
        <v/>
      </c>
      <c r="N574" s="162">
        <f>IFERROR(IF(L574="Китай",K574,K574/(1+M574)),0)</f>
        <v/>
      </c>
      <c r="O574" s="169" t="n"/>
      <c r="P574" s="76">
        <f>N574*(1-O574)</f>
        <v/>
      </c>
      <c r="Q574" s="162" t="n"/>
      <c r="R574" s="162">
        <f>IF(ISBLANK(Q574),"введи курс",P574/Q574)</f>
        <v/>
      </c>
      <c r="S574" s="196">
        <f>IF(AND(ISNUMBER(E574),ISNUMBER(Q574)),E574*R574,0)</f>
        <v/>
      </c>
      <c r="T574" s="192">
        <f>$BC574*V$11</f>
        <v/>
      </c>
      <c r="U574" s="76">
        <f>$BC574*W$11</f>
        <v/>
      </c>
      <c r="V574" s="193">
        <f>+SUM(T574:U574)</f>
        <v/>
      </c>
      <c r="W574" s="191" t="n"/>
      <c r="X574" s="170" t="n"/>
      <c r="Y574" s="76">
        <f>ROUND(IF(offer_incoterms="DDP",X574*(S574*(1+AW574)+T574),0),2)</f>
        <v/>
      </c>
      <c r="Z574" s="188" t="n"/>
      <c r="AA574" s="192">
        <f>IFERROR(AB574/E574,0)</f>
        <v/>
      </c>
      <c r="AB574" s="76">
        <f>ROUND(SUM(S574,V574,Y574:Z574,BA574:BB574),2)</f>
        <v/>
      </c>
      <c r="AC574" s="797" t="n"/>
      <c r="AD574" s="192">
        <f t="array" ref="AD574">IFERROR(ROUND((_xlfn.IFS(offer_sale_type="поставка",AB574,offer_sale_type="транзит",S574)*(1+AC574))/E574,2),0)</f>
        <v/>
      </c>
      <c r="AE574" s="76">
        <f>AD574*E574</f>
        <v/>
      </c>
      <c r="AF574" s="193">
        <f t="array" ref="AF574">IFERROR(ROUND(_xlfn.IFS(offer_sale_type="поставка",AB574,offer_sale_type="транзит",S574)*AC574,2),0)</f>
        <v/>
      </c>
      <c r="AG574" s="192">
        <f>$BD574*VLOOKUP($AG$3,$AF$4:$AG$7,2,FALSE)</f>
        <v/>
      </c>
      <c r="AH574" s="76">
        <f>SUM(AE574,AG574,AI574)*rate_forex_risk</f>
        <v/>
      </c>
      <c r="AI574" s="193">
        <f>IF(OR(seller_region="TR",offer_sale_type="экспорт"),0,rate_fin_comm)*SUM(AZ574,AZ574*AW574,T574)</f>
        <v/>
      </c>
      <c r="AJ574" s="118">
        <f>IFERROR(ROUND(SUM(AB574,AF574:AI574)/E574,2),0)</f>
        <v/>
      </c>
      <c r="AK574" s="76">
        <f>AJ574*E574</f>
        <v/>
      </c>
      <c r="AL574" s="174">
        <f>ROUND(IFERROR(AM574*E574,0),2)</f>
        <v/>
      </c>
      <c r="AM574" s="175">
        <f>ROUND(AJ574*(1+IF(offer_incoterms="DDP",IF((TODAY()+offer_turnaround_time)&gt;=helpsheet!$L$17,rate_vatRU_from_26,rate_vatRu_till_25),0)),2)</f>
        <v/>
      </c>
      <c r="AN574" s="192">
        <f>AL574-AK574</f>
        <v/>
      </c>
      <c r="AO574" s="76">
        <f>SUM(AY574,Y574:Z574,T574)*IF(AND(offer_incoterms="DDP",offer_sale_type&lt;&gt;"экспорт"),IF((TODAY()+offer_turnaround_time)&gt;=helpsheet!$L$17,rate_vatRU_from_26,rate_vatRu_till_25),0)</f>
        <v/>
      </c>
      <c r="AP574" s="193">
        <f>AN574-AO574</f>
        <v/>
      </c>
      <c r="AQ574" s="118">
        <f>IF(offer_sale_type="транзит",SUM(AF574:AI574,BA574,BB574),0)</f>
        <v/>
      </c>
      <c r="AR574" s="82">
        <f>HYPERLINK("https://www.alta.ru/tnved/code/")&amp;W574&amp;"/"</f>
        <v/>
      </c>
      <c r="AS574" s="157" t="n"/>
      <c r="AT574" s="162" t="n"/>
      <c r="AU574" s="76">
        <f>IF(ISBLANK(AT574),0,AJ574-AT574)</f>
        <v/>
      </c>
      <c r="AV574" s="157" t="n"/>
      <c r="AW574" s="75">
        <f>_xlfn.IFNA(VLOOKUP(L574,list_vat[],3,FALSE),0)</f>
        <v/>
      </c>
      <c r="AX574" s="76">
        <f>IFERROR(ROUND(S574*(1+AW574)/E574,2),0)</f>
        <v/>
      </c>
      <c r="AY574" s="76">
        <f>E574*AX574</f>
        <v/>
      </c>
      <c r="AZ574" s="192">
        <f>S574*(1+M574)</f>
        <v/>
      </c>
      <c r="BA574" s="76">
        <f>cost_fin_total*$BD574</f>
        <v/>
      </c>
      <c r="BB574" s="193">
        <f>credit_sales_interest*BD574</f>
        <v/>
      </c>
      <c r="BC574" s="102">
        <f>IFERROR(IF($I$13&gt;0,$I574/$I$13,$S574/$S$13),0)</f>
        <v/>
      </c>
      <c r="BD574" s="102">
        <f>IFERROR($S574/$S$13,0)</f>
        <v/>
      </c>
      <c r="BE574" s="413" t="inlineStr">
        <is>
          <t>$</t>
        </is>
      </c>
    </row>
    <row r="575" ht="12" customFormat="1" customHeight="1" s="65">
      <c r="A575" s="43" t="n">
        <v>560</v>
      </c>
      <c r="B575" s="166" t="n"/>
      <c r="C575" s="166" t="n"/>
      <c r="D575" s="166" t="n"/>
      <c r="E575" s="162" t="n"/>
      <c r="F575" s="166" t="n"/>
      <c r="G575" s="162" t="n"/>
      <c r="H575" s="162" t="n"/>
      <c r="I575" s="189">
        <f>E575*G575</f>
        <v/>
      </c>
      <c r="J575" s="195" t="n"/>
      <c r="K575" s="162" t="n"/>
      <c r="L575" s="168" t="n"/>
      <c r="M575" s="75">
        <f>_xlfn.XLOOKUP(L575,list_vat[Страна],list_vat[Ставка НДС %],0,0)</f>
        <v/>
      </c>
      <c r="N575" s="162">
        <f>IFERROR(IF(L575="Китай",K575,K575/(1+M575)),0)</f>
        <v/>
      </c>
      <c r="O575" s="169" t="n"/>
      <c r="P575" s="76">
        <f>N575*(1-O575)</f>
        <v/>
      </c>
      <c r="Q575" s="162" t="n"/>
      <c r="R575" s="162">
        <f>IF(ISBLANK(Q575),"введи курс",P575/Q575)</f>
        <v/>
      </c>
      <c r="S575" s="196">
        <f>IF(AND(ISNUMBER(E575),ISNUMBER(Q575)),E575*R575,0)</f>
        <v/>
      </c>
      <c r="T575" s="192">
        <f>$BC575*V$11</f>
        <v/>
      </c>
      <c r="U575" s="76">
        <f>$BC575*W$11</f>
        <v/>
      </c>
      <c r="V575" s="193">
        <f>+SUM(T575:U575)</f>
        <v/>
      </c>
      <c r="W575" s="191" t="n"/>
      <c r="X575" s="170" t="n"/>
      <c r="Y575" s="76">
        <f>ROUND(IF(offer_incoterms="DDP",X575*(S575*(1+AW575)+T575),0),2)</f>
        <v/>
      </c>
      <c r="Z575" s="188" t="n"/>
      <c r="AA575" s="192">
        <f>IFERROR(AB575/E575,0)</f>
        <v/>
      </c>
      <c r="AB575" s="76">
        <f>ROUND(SUM(S575,V575,Y575:Z575,BA575:BB575),2)</f>
        <v/>
      </c>
      <c r="AC575" s="797" t="n"/>
      <c r="AD575" s="192">
        <f t="array" ref="AD575">IFERROR(ROUND((_xlfn.IFS(offer_sale_type="поставка",AB575,offer_sale_type="транзит",S575)*(1+AC575))/E575,2),0)</f>
        <v/>
      </c>
      <c r="AE575" s="76">
        <f>AD575*E575</f>
        <v/>
      </c>
      <c r="AF575" s="193">
        <f t="array" ref="AF575">IFERROR(ROUND(_xlfn.IFS(offer_sale_type="поставка",AB575,offer_sale_type="транзит",S575)*AC575,2),0)</f>
        <v/>
      </c>
      <c r="AG575" s="192">
        <f>$BD575*VLOOKUP($AG$3,$AF$4:$AG$7,2,FALSE)</f>
        <v/>
      </c>
      <c r="AH575" s="76">
        <f>SUM(AE575,AG575,AI575)*rate_forex_risk</f>
        <v/>
      </c>
      <c r="AI575" s="193">
        <f>IF(OR(seller_region="TR",offer_sale_type="экспорт"),0,rate_fin_comm)*SUM(AZ575,AZ575*AW575,T575)</f>
        <v/>
      </c>
      <c r="AJ575" s="118">
        <f>IFERROR(ROUND(SUM(AB575,AF575:AI575)/E575,2),0)</f>
        <v/>
      </c>
      <c r="AK575" s="76">
        <f>AJ575*E575</f>
        <v/>
      </c>
      <c r="AL575" s="174">
        <f>ROUND(IFERROR(AM575*E575,0),2)</f>
        <v/>
      </c>
      <c r="AM575" s="175">
        <f>ROUND(AJ575*(1+IF(offer_incoterms="DDP",IF((TODAY()+offer_turnaround_time)&gt;=helpsheet!$L$17,rate_vatRU_from_26,rate_vatRu_till_25),0)),2)</f>
        <v/>
      </c>
      <c r="AN575" s="192">
        <f>AL575-AK575</f>
        <v/>
      </c>
      <c r="AO575" s="76">
        <f>SUM(AY575,Y575:Z575,T575)*IF(AND(offer_incoterms="DDP",offer_sale_type&lt;&gt;"экспорт"),IF((TODAY()+offer_turnaround_time)&gt;=helpsheet!$L$17,rate_vatRU_from_26,rate_vatRu_till_25),0)</f>
        <v/>
      </c>
      <c r="AP575" s="193">
        <f>AN575-AO575</f>
        <v/>
      </c>
      <c r="AQ575" s="118">
        <f>IF(offer_sale_type="транзит",SUM(AF575:AI575,BA575,BB575),0)</f>
        <v/>
      </c>
      <c r="AR575" s="82">
        <f>HYPERLINK("https://www.alta.ru/tnved/code/")&amp;W575&amp;"/"</f>
        <v/>
      </c>
      <c r="AS575" s="157" t="n"/>
      <c r="AT575" s="162" t="n"/>
      <c r="AU575" s="76">
        <f>IF(ISBLANK(AT575),0,AJ575-AT575)</f>
        <v/>
      </c>
      <c r="AV575" s="157" t="n"/>
      <c r="AW575" s="75">
        <f>_xlfn.IFNA(VLOOKUP(L575,list_vat[],3,FALSE),0)</f>
        <v/>
      </c>
      <c r="AX575" s="76">
        <f>IFERROR(ROUND(S575*(1+AW575)/E575,2),0)</f>
        <v/>
      </c>
      <c r="AY575" s="76">
        <f>E575*AX575</f>
        <v/>
      </c>
      <c r="AZ575" s="192">
        <f>S575*(1+M575)</f>
        <v/>
      </c>
      <c r="BA575" s="76">
        <f>cost_fin_total*$BD575</f>
        <v/>
      </c>
      <c r="BB575" s="193">
        <f>credit_sales_interest*BD575</f>
        <v/>
      </c>
      <c r="BC575" s="102">
        <f>IFERROR(IF($I$13&gt;0,$I575/$I$13,$S575/$S$13),0)</f>
        <v/>
      </c>
      <c r="BD575" s="102">
        <f>IFERROR($S575/$S$13,0)</f>
        <v/>
      </c>
      <c r="BE575" s="413" t="inlineStr">
        <is>
          <t>$</t>
        </is>
      </c>
    </row>
    <row r="576" ht="12" customFormat="1" customHeight="1" s="65">
      <c r="A576" s="43" t="n">
        <v>561</v>
      </c>
      <c r="B576" s="166" t="n"/>
      <c r="C576" s="166" t="n"/>
      <c r="D576" s="166" t="n"/>
      <c r="E576" s="162" t="n"/>
      <c r="F576" s="166" t="n"/>
      <c r="G576" s="162" t="n"/>
      <c r="H576" s="162" t="n"/>
      <c r="I576" s="189">
        <f>E576*G576</f>
        <v/>
      </c>
      <c r="J576" s="195" t="n"/>
      <c r="K576" s="162" t="n"/>
      <c r="L576" s="168" t="n"/>
      <c r="M576" s="75">
        <f>_xlfn.XLOOKUP(L576,list_vat[Страна],list_vat[Ставка НДС %],0,0)</f>
        <v/>
      </c>
      <c r="N576" s="162">
        <f>IFERROR(IF(L576="Китай",K576,K576/(1+M576)),0)</f>
        <v/>
      </c>
      <c r="O576" s="169" t="n"/>
      <c r="P576" s="76">
        <f>N576*(1-O576)</f>
        <v/>
      </c>
      <c r="Q576" s="162" t="n"/>
      <c r="R576" s="162">
        <f>IF(ISBLANK(Q576),"введи курс",P576/Q576)</f>
        <v/>
      </c>
      <c r="S576" s="196">
        <f>IF(AND(ISNUMBER(E576),ISNUMBER(Q576)),E576*R576,0)</f>
        <v/>
      </c>
      <c r="T576" s="192">
        <f>$BC576*V$11</f>
        <v/>
      </c>
      <c r="U576" s="76">
        <f>$BC576*W$11</f>
        <v/>
      </c>
      <c r="V576" s="193">
        <f>+SUM(T576:U576)</f>
        <v/>
      </c>
      <c r="W576" s="191" t="n"/>
      <c r="X576" s="170" t="n"/>
      <c r="Y576" s="76">
        <f>ROUND(IF(offer_incoterms="DDP",X576*(S576*(1+AW576)+T576),0),2)</f>
        <v/>
      </c>
      <c r="Z576" s="188" t="n"/>
      <c r="AA576" s="192">
        <f>IFERROR(AB576/E576,0)</f>
        <v/>
      </c>
      <c r="AB576" s="76">
        <f>ROUND(SUM(S576,V576,Y576:Z576,BA576:BB576),2)</f>
        <v/>
      </c>
      <c r="AC576" s="797" t="n"/>
      <c r="AD576" s="192">
        <f t="array" ref="AD576">IFERROR(ROUND((_xlfn.IFS(offer_sale_type="поставка",AB576,offer_sale_type="транзит",S576)*(1+AC576))/E576,2),0)</f>
        <v/>
      </c>
      <c r="AE576" s="76">
        <f>AD576*E576</f>
        <v/>
      </c>
      <c r="AF576" s="193">
        <f t="array" ref="AF576">IFERROR(ROUND(_xlfn.IFS(offer_sale_type="поставка",AB576,offer_sale_type="транзит",S576)*AC576,2),0)</f>
        <v/>
      </c>
      <c r="AG576" s="192">
        <f>$BD576*VLOOKUP($AG$3,$AF$4:$AG$7,2,FALSE)</f>
        <v/>
      </c>
      <c r="AH576" s="76">
        <f>SUM(AE576,AG576,AI576)*rate_forex_risk</f>
        <v/>
      </c>
      <c r="AI576" s="193">
        <f>IF(OR(seller_region="TR",offer_sale_type="экспорт"),0,rate_fin_comm)*SUM(AZ576,AZ576*AW576,T576)</f>
        <v/>
      </c>
      <c r="AJ576" s="118">
        <f>IFERROR(ROUND(SUM(AB576,AF576:AI576)/E576,2),0)</f>
        <v/>
      </c>
      <c r="AK576" s="76">
        <f>AJ576*E576</f>
        <v/>
      </c>
      <c r="AL576" s="174">
        <f>ROUND(IFERROR(AM576*E576,0),2)</f>
        <v/>
      </c>
      <c r="AM576" s="175">
        <f>ROUND(AJ576*(1+IF(offer_incoterms="DDP",IF((TODAY()+offer_turnaround_time)&gt;=helpsheet!$L$17,rate_vatRU_from_26,rate_vatRu_till_25),0)),2)</f>
        <v/>
      </c>
      <c r="AN576" s="192">
        <f>AL576-AK576</f>
        <v/>
      </c>
      <c r="AO576" s="76">
        <f>SUM(AY576,Y576:Z576,T576)*IF(AND(offer_incoterms="DDP",offer_sale_type&lt;&gt;"экспорт"),IF((TODAY()+offer_turnaround_time)&gt;=helpsheet!$L$17,rate_vatRU_from_26,rate_vatRu_till_25),0)</f>
        <v/>
      </c>
      <c r="AP576" s="193">
        <f>AN576-AO576</f>
        <v/>
      </c>
      <c r="AQ576" s="118">
        <f>IF(offer_sale_type="транзит",SUM(AF576:AI576,BA576,BB576),0)</f>
        <v/>
      </c>
      <c r="AR576" s="82">
        <f>HYPERLINK("https://www.alta.ru/tnved/code/")&amp;W576&amp;"/"</f>
        <v/>
      </c>
      <c r="AS576" s="157" t="n"/>
      <c r="AT576" s="162" t="n"/>
      <c r="AU576" s="76">
        <f>IF(ISBLANK(AT576),0,AJ576-AT576)</f>
        <v/>
      </c>
      <c r="AV576" s="157" t="n"/>
      <c r="AW576" s="75">
        <f>_xlfn.IFNA(VLOOKUP(L576,list_vat[],3,FALSE),0)</f>
        <v/>
      </c>
      <c r="AX576" s="76">
        <f>IFERROR(ROUND(S576*(1+AW576)/E576,2),0)</f>
        <v/>
      </c>
      <c r="AY576" s="76">
        <f>E576*AX576</f>
        <v/>
      </c>
      <c r="AZ576" s="192">
        <f>S576*(1+M576)</f>
        <v/>
      </c>
      <c r="BA576" s="76">
        <f>cost_fin_total*$BD576</f>
        <v/>
      </c>
      <c r="BB576" s="193">
        <f>credit_sales_interest*BD576</f>
        <v/>
      </c>
      <c r="BC576" s="102">
        <f>IFERROR(IF($I$13&gt;0,$I576/$I$13,$S576/$S$13),0)</f>
        <v/>
      </c>
      <c r="BD576" s="102">
        <f>IFERROR($S576/$S$13,0)</f>
        <v/>
      </c>
      <c r="BE576" s="413" t="inlineStr">
        <is>
          <t>$</t>
        </is>
      </c>
    </row>
    <row r="577" ht="12" customFormat="1" customHeight="1" s="65">
      <c r="A577" s="43" t="n">
        <v>562</v>
      </c>
      <c r="B577" s="166" t="n"/>
      <c r="C577" s="166" t="n"/>
      <c r="D577" s="166" t="n"/>
      <c r="E577" s="162" t="n"/>
      <c r="F577" s="166" t="n"/>
      <c r="G577" s="162" t="n"/>
      <c r="H577" s="162" t="n"/>
      <c r="I577" s="189">
        <f>E577*G577</f>
        <v/>
      </c>
      <c r="J577" s="195" t="n"/>
      <c r="K577" s="162" t="n"/>
      <c r="L577" s="168" t="n"/>
      <c r="M577" s="75">
        <f>_xlfn.XLOOKUP(L577,list_vat[Страна],list_vat[Ставка НДС %],0,0)</f>
        <v/>
      </c>
      <c r="N577" s="162">
        <f>IFERROR(IF(L577="Китай",K577,K577/(1+M577)),0)</f>
        <v/>
      </c>
      <c r="O577" s="169" t="n"/>
      <c r="P577" s="76">
        <f>N577*(1-O577)</f>
        <v/>
      </c>
      <c r="Q577" s="162" t="n"/>
      <c r="R577" s="162">
        <f>IF(ISBLANK(Q577),"введи курс",P577/Q577)</f>
        <v/>
      </c>
      <c r="S577" s="196">
        <f>IF(AND(ISNUMBER(E577),ISNUMBER(Q577)),E577*R577,0)</f>
        <v/>
      </c>
      <c r="T577" s="192">
        <f>$BC577*V$11</f>
        <v/>
      </c>
      <c r="U577" s="76">
        <f>$BC577*W$11</f>
        <v/>
      </c>
      <c r="V577" s="193">
        <f>+SUM(T577:U577)</f>
        <v/>
      </c>
      <c r="W577" s="191" t="n"/>
      <c r="X577" s="170" t="n"/>
      <c r="Y577" s="76">
        <f>ROUND(IF(offer_incoterms="DDP",X577*(S577*(1+AW577)+T577),0),2)</f>
        <v/>
      </c>
      <c r="Z577" s="188" t="n"/>
      <c r="AA577" s="192">
        <f>IFERROR(AB577/E577,0)</f>
        <v/>
      </c>
      <c r="AB577" s="76">
        <f>ROUND(SUM(S577,V577,Y577:Z577,BA577:BB577),2)</f>
        <v/>
      </c>
      <c r="AC577" s="797" t="n"/>
      <c r="AD577" s="192">
        <f t="array" ref="AD577">IFERROR(ROUND((_xlfn.IFS(offer_sale_type="поставка",AB577,offer_sale_type="транзит",S577)*(1+AC577))/E577,2),0)</f>
        <v/>
      </c>
      <c r="AE577" s="76">
        <f>AD577*E577</f>
        <v/>
      </c>
      <c r="AF577" s="193">
        <f t="array" ref="AF577">IFERROR(ROUND(_xlfn.IFS(offer_sale_type="поставка",AB577,offer_sale_type="транзит",S577)*AC577,2),0)</f>
        <v/>
      </c>
      <c r="AG577" s="192">
        <f>$BD577*VLOOKUP($AG$3,$AF$4:$AG$7,2,FALSE)</f>
        <v/>
      </c>
      <c r="AH577" s="76">
        <f>SUM(AE577,AG577,AI577)*rate_forex_risk</f>
        <v/>
      </c>
      <c r="AI577" s="193">
        <f>IF(OR(seller_region="TR",offer_sale_type="экспорт"),0,rate_fin_comm)*SUM(AZ577,AZ577*AW577,T577)</f>
        <v/>
      </c>
      <c r="AJ577" s="118">
        <f>IFERROR(ROUND(SUM(AB577,AF577:AI577)/E577,2),0)</f>
        <v/>
      </c>
      <c r="AK577" s="76">
        <f>AJ577*E577</f>
        <v/>
      </c>
      <c r="AL577" s="174">
        <f>ROUND(IFERROR(AM577*E577,0),2)</f>
        <v/>
      </c>
      <c r="AM577" s="175">
        <f>ROUND(AJ577*(1+IF(offer_incoterms="DDP",IF((TODAY()+offer_turnaround_time)&gt;=helpsheet!$L$17,rate_vatRU_from_26,rate_vatRu_till_25),0)),2)</f>
        <v/>
      </c>
      <c r="AN577" s="192">
        <f>AL577-AK577</f>
        <v/>
      </c>
      <c r="AO577" s="76">
        <f>SUM(AY577,Y577:Z577,T577)*IF(AND(offer_incoterms="DDP",offer_sale_type&lt;&gt;"экспорт"),IF((TODAY()+offer_turnaround_time)&gt;=helpsheet!$L$17,rate_vatRU_from_26,rate_vatRu_till_25),0)</f>
        <v/>
      </c>
      <c r="AP577" s="193">
        <f>AN577-AO577</f>
        <v/>
      </c>
      <c r="AQ577" s="118">
        <f>IF(offer_sale_type="транзит",SUM(AF577:AI577,BA577,BB577),0)</f>
        <v/>
      </c>
      <c r="AR577" s="82">
        <f>HYPERLINK("https://www.alta.ru/tnved/code/")&amp;W577&amp;"/"</f>
        <v/>
      </c>
      <c r="AS577" s="157" t="n"/>
      <c r="AT577" s="162" t="n"/>
      <c r="AU577" s="76">
        <f>IF(ISBLANK(AT577),0,AJ577-AT577)</f>
        <v/>
      </c>
      <c r="AV577" s="157" t="n"/>
      <c r="AW577" s="75">
        <f>_xlfn.IFNA(VLOOKUP(L577,list_vat[],3,FALSE),0)</f>
        <v/>
      </c>
      <c r="AX577" s="76">
        <f>IFERROR(ROUND(S577*(1+AW577)/E577,2),0)</f>
        <v/>
      </c>
      <c r="AY577" s="76">
        <f>E577*AX577</f>
        <v/>
      </c>
      <c r="AZ577" s="192">
        <f>S577*(1+M577)</f>
        <v/>
      </c>
      <c r="BA577" s="76">
        <f>cost_fin_total*$BD577</f>
        <v/>
      </c>
      <c r="BB577" s="193">
        <f>credit_sales_interest*BD577</f>
        <v/>
      </c>
      <c r="BC577" s="102">
        <f>IFERROR(IF($I$13&gt;0,$I577/$I$13,$S577/$S$13),0)</f>
        <v/>
      </c>
      <c r="BD577" s="102">
        <f>IFERROR($S577/$S$13,0)</f>
        <v/>
      </c>
      <c r="BE577" s="413" t="inlineStr">
        <is>
          <t>$</t>
        </is>
      </c>
    </row>
    <row r="578" ht="12" customFormat="1" customHeight="1" s="65">
      <c r="A578" s="43" t="n">
        <v>563</v>
      </c>
      <c r="B578" s="166" t="n"/>
      <c r="C578" s="166" t="n"/>
      <c r="D578" s="166" t="n"/>
      <c r="E578" s="162" t="n"/>
      <c r="F578" s="166" t="n"/>
      <c r="G578" s="162" t="n"/>
      <c r="H578" s="162" t="n"/>
      <c r="I578" s="189">
        <f>E578*G578</f>
        <v/>
      </c>
      <c r="J578" s="195" t="n"/>
      <c r="K578" s="162" t="n"/>
      <c r="L578" s="168" t="n"/>
      <c r="M578" s="75">
        <f>_xlfn.XLOOKUP(L578,list_vat[Страна],list_vat[Ставка НДС %],0,0)</f>
        <v/>
      </c>
      <c r="N578" s="162">
        <f>IFERROR(IF(L578="Китай",K578,K578/(1+M578)),0)</f>
        <v/>
      </c>
      <c r="O578" s="169" t="n"/>
      <c r="P578" s="76">
        <f>N578*(1-O578)</f>
        <v/>
      </c>
      <c r="Q578" s="162" t="n"/>
      <c r="R578" s="162">
        <f>IF(ISBLANK(Q578),"введи курс",P578/Q578)</f>
        <v/>
      </c>
      <c r="S578" s="196">
        <f>IF(AND(ISNUMBER(E578),ISNUMBER(Q578)),E578*R578,0)</f>
        <v/>
      </c>
      <c r="T578" s="192">
        <f>$BC578*V$11</f>
        <v/>
      </c>
      <c r="U578" s="76">
        <f>$BC578*W$11</f>
        <v/>
      </c>
      <c r="V578" s="193">
        <f>+SUM(T578:U578)</f>
        <v/>
      </c>
      <c r="W578" s="191" t="n"/>
      <c r="X578" s="170" t="n"/>
      <c r="Y578" s="76">
        <f>ROUND(IF(offer_incoterms="DDP",X578*(S578*(1+AW578)+T578),0),2)</f>
        <v/>
      </c>
      <c r="Z578" s="188" t="n"/>
      <c r="AA578" s="192">
        <f>IFERROR(AB578/E578,0)</f>
        <v/>
      </c>
      <c r="AB578" s="76">
        <f>ROUND(SUM(S578,V578,Y578:Z578,BA578:BB578),2)</f>
        <v/>
      </c>
      <c r="AC578" s="797" t="n"/>
      <c r="AD578" s="192">
        <f t="array" ref="AD578">IFERROR(ROUND((_xlfn.IFS(offer_sale_type="поставка",AB578,offer_sale_type="транзит",S578)*(1+AC578))/E578,2),0)</f>
        <v/>
      </c>
      <c r="AE578" s="76">
        <f>AD578*E578</f>
        <v/>
      </c>
      <c r="AF578" s="193">
        <f t="array" ref="AF578">IFERROR(ROUND(_xlfn.IFS(offer_sale_type="поставка",AB578,offer_sale_type="транзит",S578)*AC578,2),0)</f>
        <v/>
      </c>
      <c r="AG578" s="192">
        <f>$BD578*VLOOKUP($AG$3,$AF$4:$AG$7,2,FALSE)</f>
        <v/>
      </c>
      <c r="AH578" s="76">
        <f>SUM(AE578,AG578,AI578)*rate_forex_risk</f>
        <v/>
      </c>
      <c r="AI578" s="193">
        <f>IF(OR(seller_region="TR",offer_sale_type="экспорт"),0,rate_fin_comm)*SUM(AZ578,AZ578*AW578,T578)</f>
        <v/>
      </c>
      <c r="AJ578" s="118">
        <f>IFERROR(ROUND(SUM(AB578,AF578:AI578)/E578,2),0)</f>
        <v/>
      </c>
      <c r="AK578" s="76">
        <f>AJ578*E578</f>
        <v/>
      </c>
      <c r="AL578" s="174">
        <f>ROUND(IFERROR(AM578*E578,0),2)</f>
        <v/>
      </c>
      <c r="AM578" s="175">
        <f>ROUND(AJ578*(1+IF(offer_incoterms="DDP",IF((TODAY()+offer_turnaround_time)&gt;=helpsheet!$L$17,rate_vatRU_from_26,rate_vatRu_till_25),0)),2)</f>
        <v/>
      </c>
      <c r="AN578" s="192">
        <f>AL578-AK578</f>
        <v/>
      </c>
      <c r="AO578" s="76">
        <f>SUM(AY578,Y578:Z578,T578)*IF(AND(offer_incoterms="DDP",offer_sale_type&lt;&gt;"экспорт"),IF((TODAY()+offer_turnaround_time)&gt;=helpsheet!$L$17,rate_vatRU_from_26,rate_vatRu_till_25),0)</f>
        <v/>
      </c>
      <c r="AP578" s="193">
        <f>AN578-AO578</f>
        <v/>
      </c>
      <c r="AQ578" s="118">
        <f>IF(offer_sale_type="транзит",SUM(AF578:AI578,BA578,BB578),0)</f>
        <v/>
      </c>
      <c r="AR578" s="82">
        <f>HYPERLINK("https://www.alta.ru/tnved/code/")&amp;W578&amp;"/"</f>
        <v/>
      </c>
      <c r="AS578" s="157" t="n"/>
      <c r="AT578" s="162" t="n"/>
      <c r="AU578" s="76">
        <f>IF(ISBLANK(AT578),0,AJ578-AT578)</f>
        <v/>
      </c>
      <c r="AV578" s="157" t="n"/>
      <c r="AW578" s="75">
        <f>_xlfn.IFNA(VLOOKUP(L578,list_vat[],3,FALSE),0)</f>
        <v/>
      </c>
      <c r="AX578" s="76">
        <f>IFERROR(ROUND(S578*(1+AW578)/E578,2),0)</f>
        <v/>
      </c>
      <c r="AY578" s="76">
        <f>E578*AX578</f>
        <v/>
      </c>
      <c r="AZ578" s="192">
        <f>S578*(1+M578)</f>
        <v/>
      </c>
      <c r="BA578" s="76">
        <f>cost_fin_total*$BD578</f>
        <v/>
      </c>
      <c r="BB578" s="193">
        <f>credit_sales_interest*BD578</f>
        <v/>
      </c>
      <c r="BC578" s="102">
        <f>IFERROR(IF($I$13&gt;0,$I578/$I$13,$S578/$S$13),0)</f>
        <v/>
      </c>
      <c r="BD578" s="102">
        <f>IFERROR($S578/$S$13,0)</f>
        <v/>
      </c>
      <c r="BE578" s="413" t="inlineStr">
        <is>
          <t>$</t>
        </is>
      </c>
    </row>
    <row r="579" ht="12" customFormat="1" customHeight="1" s="65">
      <c r="A579" s="43" t="n">
        <v>564</v>
      </c>
      <c r="B579" s="166" t="n"/>
      <c r="C579" s="166" t="n"/>
      <c r="D579" s="166" t="n"/>
      <c r="E579" s="162" t="n"/>
      <c r="F579" s="166" t="n"/>
      <c r="G579" s="162" t="n"/>
      <c r="H579" s="162" t="n"/>
      <c r="I579" s="189">
        <f>E579*G579</f>
        <v/>
      </c>
      <c r="J579" s="195" t="n"/>
      <c r="K579" s="162" t="n"/>
      <c r="L579" s="168" t="n"/>
      <c r="M579" s="75">
        <f>_xlfn.XLOOKUP(L579,list_vat[Страна],list_vat[Ставка НДС %],0,0)</f>
        <v/>
      </c>
      <c r="N579" s="162">
        <f>IFERROR(IF(L579="Китай",K579,K579/(1+M579)),0)</f>
        <v/>
      </c>
      <c r="O579" s="169" t="n"/>
      <c r="P579" s="76">
        <f>N579*(1-O579)</f>
        <v/>
      </c>
      <c r="Q579" s="162" t="n"/>
      <c r="R579" s="162">
        <f>IF(ISBLANK(Q579),"введи курс",P579/Q579)</f>
        <v/>
      </c>
      <c r="S579" s="196">
        <f>IF(AND(ISNUMBER(E579),ISNUMBER(Q579)),E579*R579,0)</f>
        <v/>
      </c>
      <c r="T579" s="192">
        <f>$BC579*V$11</f>
        <v/>
      </c>
      <c r="U579" s="76">
        <f>$BC579*W$11</f>
        <v/>
      </c>
      <c r="V579" s="193">
        <f>+SUM(T579:U579)</f>
        <v/>
      </c>
      <c r="W579" s="191" t="n"/>
      <c r="X579" s="170" t="n"/>
      <c r="Y579" s="76">
        <f>ROUND(IF(offer_incoterms="DDP",X579*(S579*(1+AW579)+T579),0),2)</f>
        <v/>
      </c>
      <c r="Z579" s="188" t="n"/>
      <c r="AA579" s="192">
        <f>IFERROR(AB579/E579,0)</f>
        <v/>
      </c>
      <c r="AB579" s="76">
        <f>ROUND(SUM(S579,V579,Y579:Z579,BA579:BB579),2)</f>
        <v/>
      </c>
      <c r="AC579" s="797" t="n"/>
      <c r="AD579" s="192">
        <f t="array" ref="AD579">IFERROR(ROUND((_xlfn.IFS(offer_sale_type="поставка",AB579,offer_sale_type="транзит",S579)*(1+AC579))/E579,2),0)</f>
        <v/>
      </c>
      <c r="AE579" s="76">
        <f>AD579*E579</f>
        <v/>
      </c>
      <c r="AF579" s="193">
        <f t="array" ref="AF579">IFERROR(ROUND(_xlfn.IFS(offer_sale_type="поставка",AB579,offer_sale_type="транзит",S579)*AC579,2),0)</f>
        <v/>
      </c>
      <c r="AG579" s="192">
        <f>$BD579*VLOOKUP($AG$3,$AF$4:$AG$7,2,FALSE)</f>
        <v/>
      </c>
      <c r="AH579" s="76">
        <f>SUM(AE579,AG579,AI579)*rate_forex_risk</f>
        <v/>
      </c>
      <c r="AI579" s="193">
        <f>IF(OR(seller_region="TR",offer_sale_type="экспорт"),0,rate_fin_comm)*SUM(AZ579,AZ579*AW579,T579)</f>
        <v/>
      </c>
      <c r="AJ579" s="118">
        <f>IFERROR(ROUND(SUM(AB579,AF579:AI579)/E579,2),0)</f>
        <v/>
      </c>
      <c r="AK579" s="76">
        <f>AJ579*E579</f>
        <v/>
      </c>
      <c r="AL579" s="174">
        <f>ROUND(IFERROR(AM579*E579,0),2)</f>
        <v/>
      </c>
      <c r="AM579" s="175">
        <f>ROUND(AJ579*(1+IF(offer_incoterms="DDP",IF((TODAY()+offer_turnaround_time)&gt;=helpsheet!$L$17,rate_vatRU_from_26,rate_vatRu_till_25),0)),2)</f>
        <v/>
      </c>
      <c r="AN579" s="192">
        <f>AL579-AK579</f>
        <v/>
      </c>
      <c r="AO579" s="76">
        <f>SUM(AY579,Y579:Z579,T579)*IF(AND(offer_incoterms="DDP",offer_sale_type&lt;&gt;"экспорт"),IF((TODAY()+offer_turnaround_time)&gt;=helpsheet!$L$17,rate_vatRU_from_26,rate_vatRu_till_25),0)</f>
        <v/>
      </c>
      <c r="AP579" s="193">
        <f>AN579-AO579</f>
        <v/>
      </c>
      <c r="AQ579" s="118">
        <f>IF(offer_sale_type="транзит",SUM(AF579:AI579,BA579,BB579),0)</f>
        <v/>
      </c>
      <c r="AR579" s="82">
        <f>HYPERLINK("https://www.alta.ru/tnved/code/")&amp;W579&amp;"/"</f>
        <v/>
      </c>
      <c r="AS579" s="157" t="n"/>
      <c r="AT579" s="162" t="n"/>
      <c r="AU579" s="76">
        <f>IF(ISBLANK(AT579),0,AJ579-AT579)</f>
        <v/>
      </c>
      <c r="AV579" s="157" t="n"/>
      <c r="AW579" s="75">
        <f>_xlfn.IFNA(VLOOKUP(L579,list_vat[],3,FALSE),0)</f>
        <v/>
      </c>
      <c r="AX579" s="76">
        <f>IFERROR(ROUND(S579*(1+AW579)/E579,2),0)</f>
        <v/>
      </c>
      <c r="AY579" s="76">
        <f>E579*AX579</f>
        <v/>
      </c>
      <c r="AZ579" s="192">
        <f>S579*(1+M579)</f>
        <v/>
      </c>
      <c r="BA579" s="76">
        <f>cost_fin_total*$BD579</f>
        <v/>
      </c>
      <c r="BB579" s="193">
        <f>credit_sales_interest*BD579</f>
        <v/>
      </c>
      <c r="BC579" s="102">
        <f>IFERROR(IF($I$13&gt;0,$I579/$I$13,$S579/$S$13),0)</f>
        <v/>
      </c>
      <c r="BD579" s="102">
        <f>IFERROR($S579/$S$13,0)</f>
        <v/>
      </c>
      <c r="BE579" s="413" t="inlineStr">
        <is>
          <t>$</t>
        </is>
      </c>
    </row>
    <row r="580" ht="12" customFormat="1" customHeight="1" s="65">
      <c r="A580" s="43" t="n">
        <v>565</v>
      </c>
      <c r="B580" s="166" t="n"/>
      <c r="C580" s="166" t="n"/>
      <c r="D580" s="166" t="n"/>
      <c r="E580" s="162" t="n"/>
      <c r="F580" s="166" t="n"/>
      <c r="G580" s="162" t="n"/>
      <c r="H580" s="162" t="n"/>
      <c r="I580" s="189">
        <f>E580*G580</f>
        <v/>
      </c>
      <c r="J580" s="195" t="n"/>
      <c r="K580" s="162" t="n"/>
      <c r="L580" s="168" t="n"/>
      <c r="M580" s="75">
        <f>_xlfn.XLOOKUP(L580,list_vat[Страна],list_vat[Ставка НДС %],0,0)</f>
        <v/>
      </c>
      <c r="N580" s="162">
        <f>IFERROR(IF(L580="Китай",K580,K580/(1+M580)),0)</f>
        <v/>
      </c>
      <c r="O580" s="169" t="n"/>
      <c r="P580" s="76">
        <f>N580*(1-O580)</f>
        <v/>
      </c>
      <c r="Q580" s="162" t="n"/>
      <c r="R580" s="162">
        <f>IF(ISBLANK(Q580),"введи курс",P580/Q580)</f>
        <v/>
      </c>
      <c r="S580" s="196">
        <f>IF(AND(ISNUMBER(E580),ISNUMBER(Q580)),E580*R580,0)</f>
        <v/>
      </c>
      <c r="T580" s="192">
        <f>$BC580*V$11</f>
        <v/>
      </c>
      <c r="U580" s="76">
        <f>$BC580*W$11</f>
        <v/>
      </c>
      <c r="V580" s="193">
        <f>+SUM(T580:U580)</f>
        <v/>
      </c>
      <c r="W580" s="191" t="n"/>
      <c r="X580" s="170" t="n"/>
      <c r="Y580" s="76">
        <f>ROUND(IF(offer_incoterms="DDP",X580*(S580*(1+AW580)+T580),0),2)</f>
        <v/>
      </c>
      <c r="Z580" s="188" t="n"/>
      <c r="AA580" s="192">
        <f>IFERROR(AB580/E580,0)</f>
        <v/>
      </c>
      <c r="AB580" s="76">
        <f>ROUND(SUM(S580,V580,Y580:Z580,BA580:BB580),2)</f>
        <v/>
      </c>
      <c r="AC580" s="797" t="n"/>
      <c r="AD580" s="192">
        <f t="array" ref="AD580">IFERROR(ROUND((_xlfn.IFS(offer_sale_type="поставка",AB580,offer_sale_type="транзит",S580)*(1+AC580))/E580,2),0)</f>
        <v/>
      </c>
      <c r="AE580" s="76">
        <f>AD580*E580</f>
        <v/>
      </c>
      <c r="AF580" s="193">
        <f t="array" ref="AF580">IFERROR(ROUND(_xlfn.IFS(offer_sale_type="поставка",AB580,offer_sale_type="транзит",S580)*AC580,2),0)</f>
        <v/>
      </c>
      <c r="AG580" s="192">
        <f>$BD580*VLOOKUP($AG$3,$AF$4:$AG$7,2,FALSE)</f>
        <v/>
      </c>
      <c r="AH580" s="76">
        <f>SUM(AE580,AG580,AI580)*rate_forex_risk</f>
        <v/>
      </c>
      <c r="AI580" s="193">
        <f>IF(OR(seller_region="TR",offer_sale_type="экспорт"),0,rate_fin_comm)*SUM(AZ580,AZ580*AW580,T580)</f>
        <v/>
      </c>
      <c r="AJ580" s="118">
        <f>IFERROR(ROUND(SUM(AB580,AF580:AI580)/E580,2),0)</f>
        <v/>
      </c>
      <c r="AK580" s="76">
        <f>AJ580*E580</f>
        <v/>
      </c>
      <c r="AL580" s="174">
        <f>ROUND(IFERROR(AM580*E580,0),2)</f>
        <v/>
      </c>
      <c r="AM580" s="175">
        <f>ROUND(AJ580*(1+IF(offer_incoterms="DDP",IF((TODAY()+offer_turnaround_time)&gt;=helpsheet!$L$17,rate_vatRU_from_26,rate_vatRu_till_25),0)),2)</f>
        <v/>
      </c>
      <c r="AN580" s="192">
        <f>AL580-AK580</f>
        <v/>
      </c>
      <c r="AO580" s="76">
        <f>SUM(AY580,Y580:Z580,T580)*IF(AND(offer_incoterms="DDP",offer_sale_type&lt;&gt;"экспорт"),IF((TODAY()+offer_turnaround_time)&gt;=helpsheet!$L$17,rate_vatRU_from_26,rate_vatRu_till_25),0)</f>
        <v/>
      </c>
      <c r="AP580" s="193">
        <f>AN580-AO580</f>
        <v/>
      </c>
      <c r="AQ580" s="118">
        <f>IF(offer_sale_type="транзит",SUM(AF580:AI580,BA580,BB580),0)</f>
        <v/>
      </c>
      <c r="AR580" s="82">
        <f>HYPERLINK("https://www.alta.ru/tnved/code/")&amp;W580&amp;"/"</f>
        <v/>
      </c>
      <c r="AS580" s="157" t="n"/>
      <c r="AT580" s="162" t="n"/>
      <c r="AU580" s="76">
        <f>IF(ISBLANK(AT580),0,AJ580-AT580)</f>
        <v/>
      </c>
      <c r="AV580" s="157" t="n"/>
      <c r="AW580" s="75">
        <f>_xlfn.IFNA(VLOOKUP(L580,list_vat[],3,FALSE),0)</f>
        <v/>
      </c>
      <c r="AX580" s="76">
        <f>IFERROR(ROUND(S580*(1+AW580)/E580,2),0)</f>
        <v/>
      </c>
      <c r="AY580" s="76">
        <f>E580*AX580</f>
        <v/>
      </c>
      <c r="AZ580" s="192">
        <f>S580*(1+M580)</f>
        <v/>
      </c>
      <c r="BA580" s="76">
        <f>cost_fin_total*$BD580</f>
        <v/>
      </c>
      <c r="BB580" s="193">
        <f>credit_sales_interest*BD580</f>
        <v/>
      </c>
      <c r="BC580" s="102">
        <f>IFERROR(IF($I$13&gt;0,$I580/$I$13,$S580/$S$13),0)</f>
        <v/>
      </c>
      <c r="BD580" s="102">
        <f>IFERROR($S580/$S$13,0)</f>
        <v/>
      </c>
      <c r="BE580" s="413" t="inlineStr">
        <is>
          <t>$</t>
        </is>
      </c>
    </row>
    <row r="581" ht="12" customFormat="1" customHeight="1" s="65">
      <c r="A581" s="43" t="n">
        <v>566</v>
      </c>
      <c r="B581" s="166" t="n"/>
      <c r="C581" s="166" t="n"/>
      <c r="D581" s="166" t="n"/>
      <c r="E581" s="162" t="n"/>
      <c r="F581" s="166" t="n"/>
      <c r="G581" s="162" t="n"/>
      <c r="H581" s="162" t="n"/>
      <c r="I581" s="189">
        <f>E581*G581</f>
        <v/>
      </c>
      <c r="J581" s="195" t="n"/>
      <c r="K581" s="162" t="n"/>
      <c r="L581" s="168" t="n"/>
      <c r="M581" s="75">
        <f>_xlfn.XLOOKUP(L581,list_vat[Страна],list_vat[Ставка НДС %],0,0)</f>
        <v/>
      </c>
      <c r="N581" s="162">
        <f>IFERROR(IF(L581="Китай",K581,K581/(1+M581)),0)</f>
        <v/>
      </c>
      <c r="O581" s="169" t="n"/>
      <c r="P581" s="76">
        <f>N581*(1-O581)</f>
        <v/>
      </c>
      <c r="Q581" s="162" t="n"/>
      <c r="R581" s="162">
        <f>IF(ISBLANK(Q581),"введи курс",P581/Q581)</f>
        <v/>
      </c>
      <c r="S581" s="196">
        <f>IF(AND(ISNUMBER(E581),ISNUMBER(Q581)),E581*R581,0)</f>
        <v/>
      </c>
      <c r="T581" s="192">
        <f>$BC581*V$11</f>
        <v/>
      </c>
      <c r="U581" s="76">
        <f>$BC581*W$11</f>
        <v/>
      </c>
      <c r="V581" s="193">
        <f>+SUM(T581:U581)</f>
        <v/>
      </c>
      <c r="W581" s="191" t="n"/>
      <c r="X581" s="170" t="n"/>
      <c r="Y581" s="76">
        <f>ROUND(IF(offer_incoterms="DDP",X581*(S581*(1+AW581)+T581),0),2)</f>
        <v/>
      </c>
      <c r="Z581" s="188" t="n"/>
      <c r="AA581" s="192">
        <f>IFERROR(AB581/E581,0)</f>
        <v/>
      </c>
      <c r="AB581" s="76">
        <f>ROUND(SUM(S581,V581,Y581:Z581,BA581:BB581),2)</f>
        <v/>
      </c>
      <c r="AC581" s="797" t="n"/>
      <c r="AD581" s="192">
        <f t="array" ref="AD581">IFERROR(ROUND((_xlfn.IFS(offer_sale_type="поставка",AB581,offer_sale_type="транзит",S581)*(1+AC581))/E581,2),0)</f>
        <v/>
      </c>
      <c r="AE581" s="76">
        <f>AD581*E581</f>
        <v/>
      </c>
      <c r="AF581" s="193">
        <f t="array" ref="AF581">IFERROR(ROUND(_xlfn.IFS(offer_sale_type="поставка",AB581,offer_sale_type="транзит",S581)*AC581,2),0)</f>
        <v/>
      </c>
      <c r="AG581" s="192">
        <f>$BD581*VLOOKUP($AG$3,$AF$4:$AG$7,2,FALSE)</f>
        <v/>
      </c>
      <c r="AH581" s="76">
        <f>SUM(AE581,AG581,AI581)*rate_forex_risk</f>
        <v/>
      </c>
      <c r="AI581" s="193">
        <f>IF(OR(seller_region="TR",offer_sale_type="экспорт"),0,rate_fin_comm)*SUM(AZ581,AZ581*AW581,T581)</f>
        <v/>
      </c>
      <c r="AJ581" s="118">
        <f>IFERROR(ROUND(SUM(AB581,AF581:AI581)/E581,2),0)</f>
        <v/>
      </c>
      <c r="AK581" s="76">
        <f>AJ581*E581</f>
        <v/>
      </c>
      <c r="AL581" s="174">
        <f>ROUND(IFERROR(AM581*E581,0),2)</f>
        <v/>
      </c>
      <c r="AM581" s="175">
        <f>ROUND(AJ581*(1+IF(offer_incoterms="DDP",IF((TODAY()+offer_turnaround_time)&gt;=helpsheet!$L$17,rate_vatRU_from_26,rate_vatRu_till_25),0)),2)</f>
        <v/>
      </c>
      <c r="AN581" s="192">
        <f>AL581-AK581</f>
        <v/>
      </c>
      <c r="AO581" s="76">
        <f>SUM(AY581,Y581:Z581,T581)*IF(AND(offer_incoterms="DDP",offer_sale_type&lt;&gt;"экспорт"),IF((TODAY()+offer_turnaround_time)&gt;=helpsheet!$L$17,rate_vatRU_from_26,rate_vatRu_till_25),0)</f>
        <v/>
      </c>
      <c r="AP581" s="193">
        <f>AN581-AO581</f>
        <v/>
      </c>
      <c r="AQ581" s="118">
        <f>IF(offer_sale_type="транзит",SUM(AF581:AI581,BA581,BB581),0)</f>
        <v/>
      </c>
      <c r="AR581" s="82">
        <f>HYPERLINK("https://www.alta.ru/tnved/code/")&amp;W581&amp;"/"</f>
        <v/>
      </c>
      <c r="AS581" s="157" t="n"/>
      <c r="AT581" s="162" t="n"/>
      <c r="AU581" s="76">
        <f>IF(ISBLANK(AT581),0,AJ581-AT581)</f>
        <v/>
      </c>
      <c r="AV581" s="157" t="n"/>
      <c r="AW581" s="75">
        <f>_xlfn.IFNA(VLOOKUP(L581,list_vat[],3,FALSE),0)</f>
        <v/>
      </c>
      <c r="AX581" s="76">
        <f>IFERROR(ROUND(S581*(1+AW581)/E581,2),0)</f>
        <v/>
      </c>
      <c r="AY581" s="76">
        <f>E581*AX581</f>
        <v/>
      </c>
      <c r="AZ581" s="192">
        <f>S581*(1+M581)</f>
        <v/>
      </c>
      <c r="BA581" s="76">
        <f>cost_fin_total*$BD581</f>
        <v/>
      </c>
      <c r="BB581" s="193">
        <f>credit_sales_interest*BD581</f>
        <v/>
      </c>
      <c r="BC581" s="102">
        <f>IFERROR(IF($I$13&gt;0,$I581/$I$13,$S581/$S$13),0)</f>
        <v/>
      </c>
      <c r="BD581" s="102">
        <f>IFERROR($S581/$S$13,0)</f>
        <v/>
      </c>
      <c r="BE581" s="413" t="inlineStr">
        <is>
          <t>$</t>
        </is>
      </c>
    </row>
    <row r="582" ht="12" customFormat="1" customHeight="1" s="65">
      <c r="A582" s="43" t="n">
        <v>567</v>
      </c>
      <c r="B582" s="166" t="n"/>
      <c r="C582" s="166" t="n"/>
      <c r="D582" s="166" t="n"/>
      <c r="E582" s="162" t="n"/>
      <c r="F582" s="166" t="n"/>
      <c r="G582" s="162" t="n"/>
      <c r="H582" s="162" t="n"/>
      <c r="I582" s="189">
        <f>E582*G582</f>
        <v/>
      </c>
      <c r="J582" s="195" t="n"/>
      <c r="K582" s="162" t="n"/>
      <c r="L582" s="168" t="n"/>
      <c r="M582" s="75">
        <f>_xlfn.XLOOKUP(L582,list_vat[Страна],list_vat[Ставка НДС %],0,0)</f>
        <v/>
      </c>
      <c r="N582" s="162">
        <f>IFERROR(IF(L582="Китай",K582,K582/(1+M582)),0)</f>
        <v/>
      </c>
      <c r="O582" s="169" t="n"/>
      <c r="P582" s="76">
        <f>N582*(1-O582)</f>
        <v/>
      </c>
      <c r="Q582" s="162" t="n"/>
      <c r="R582" s="162">
        <f>IF(ISBLANK(Q582),"введи курс",P582/Q582)</f>
        <v/>
      </c>
      <c r="S582" s="196">
        <f>IF(AND(ISNUMBER(E582),ISNUMBER(Q582)),E582*R582,0)</f>
        <v/>
      </c>
      <c r="T582" s="192">
        <f>$BC582*V$11</f>
        <v/>
      </c>
      <c r="U582" s="76">
        <f>$BC582*W$11</f>
        <v/>
      </c>
      <c r="V582" s="193">
        <f>+SUM(T582:U582)</f>
        <v/>
      </c>
      <c r="W582" s="191" t="n"/>
      <c r="X582" s="170" t="n"/>
      <c r="Y582" s="76">
        <f>ROUND(IF(offer_incoterms="DDP",X582*(S582*(1+AW582)+T582),0),2)</f>
        <v/>
      </c>
      <c r="Z582" s="188" t="n"/>
      <c r="AA582" s="192">
        <f>IFERROR(AB582/E582,0)</f>
        <v/>
      </c>
      <c r="AB582" s="76">
        <f>ROUND(SUM(S582,V582,Y582:Z582,BA582:BB582),2)</f>
        <v/>
      </c>
      <c r="AC582" s="797" t="n"/>
      <c r="AD582" s="192">
        <f t="array" ref="AD582">IFERROR(ROUND((_xlfn.IFS(offer_sale_type="поставка",AB582,offer_sale_type="транзит",S582)*(1+AC582))/E582,2),0)</f>
        <v/>
      </c>
      <c r="AE582" s="76">
        <f>AD582*E582</f>
        <v/>
      </c>
      <c r="AF582" s="193">
        <f t="array" ref="AF582">IFERROR(ROUND(_xlfn.IFS(offer_sale_type="поставка",AB582,offer_sale_type="транзит",S582)*AC582,2),0)</f>
        <v/>
      </c>
      <c r="AG582" s="192">
        <f>$BD582*VLOOKUP($AG$3,$AF$4:$AG$7,2,FALSE)</f>
        <v/>
      </c>
      <c r="AH582" s="76">
        <f>SUM(AE582,AG582,AI582)*rate_forex_risk</f>
        <v/>
      </c>
      <c r="AI582" s="193">
        <f>IF(OR(seller_region="TR",offer_sale_type="экспорт"),0,rate_fin_comm)*SUM(AZ582,AZ582*AW582,T582)</f>
        <v/>
      </c>
      <c r="AJ582" s="118">
        <f>IFERROR(ROUND(SUM(AB582,AF582:AI582)/E582,2),0)</f>
        <v/>
      </c>
      <c r="AK582" s="76">
        <f>AJ582*E582</f>
        <v/>
      </c>
      <c r="AL582" s="174">
        <f>ROUND(IFERROR(AM582*E582,0),2)</f>
        <v/>
      </c>
      <c r="AM582" s="175">
        <f>ROUND(AJ582*(1+IF(offer_incoterms="DDP",IF((TODAY()+offer_turnaround_time)&gt;=helpsheet!$L$17,rate_vatRU_from_26,rate_vatRu_till_25),0)),2)</f>
        <v/>
      </c>
      <c r="AN582" s="192">
        <f>AL582-AK582</f>
        <v/>
      </c>
      <c r="AO582" s="76">
        <f>SUM(AY582,Y582:Z582,T582)*IF(AND(offer_incoterms="DDP",offer_sale_type&lt;&gt;"экспорт"),IF((TODAY()+offer_turnaround_time)&gt;=helpsheet!$L$17,rate_vatRU_from_26,rate_vatRu_till_25),0)</f>
        <v/>
      </c>
      <c r="AP582" s="193">
        <f>AN582-AO582</f>
        <v/>
      </c>
      <c r="AQ582" s="118">
        <f>IF(offer_sale_type="транзит",SUM(AF582:AI582,BA582,BB582),0)</f>
        <v/>
      </c>
      <c r="AR582" s="82">
        <f>HYPERLINK("https://www.alta.ru/tnved/code/")&amp;W582&amp;"/"</f>
        <v/>
      </c>
      <c r="AS582" s="157" t="n"/>
      <c r="AT582" s="162" t="n"/>
      <c r="AU582" s="76">
        <f>IF(ISBLANK(AT582),0,AJ582-AT582)</f>
        <v/>
      </c>
      <c r="AV582" s="157" t="n"/>
      <c r="AW582" s="75">
        <f>_xlfn.IFNA(VLOOKUP(L582,list_vat[],3,FALSE),0)</f>
        <v/>
      </c>
      <c r="AX582" s="76">
        <f>IFERROR(ROUND(S582*(1+AW582)/E582,2),0)</f>
        <v/>
      </c>
      <c r="AY582" s="76">
        <f>E582*AX582</f>
        <v/>
      </c>
      <c r="AZ582" s="192">
        <f>S582*(1+M582)</f>
        <v/>
      </c>
      <c r="BA582" s="76">
        <f>cost_fin_total*$BD582</f>
        <v/>
      </c>
      <c r="BB582" s="193">
        <f>credit_sales_interest*BD582</f>
        <v/>
      </c>
      <c r="BC582" s="102">
        <f>IFERROR(IF($I$13&gt;0,$I582/$I$13,$S582/$S$13),0)</f>
        <v/>
      </c>
      <c r="BD582" s="102">
        <f>IFERROR($S582/$S$13,0)</f>
        <v/>
      </c>
      <c r="BE582" s="413" t="inlineStr">
        <is>
          <t>$</t>
        </is>
      </c>
    </row>
    <row r="583" ht="12" customFormat="1" customHeight="1" s="65">
      <c r="A583" s="43" t="n">
        <v>568</v>
      </c>
      <c r="B583" s="166" t="n"/>
      <c r="C583" s="166" t="n"/>
      <c r="D583" s="166" t="n"/>
      <c r="E583" s="162" t="n"/>
      <c r="F583" s="166" t="n"/>
      <c r="G583" s="162" t="n"/>
      <c r="H583" s="162" t="n"/>
      <c r="I583" s="189">
        <f>E583*G583</f>
        <v/>
      </c>
      <c r="J583" s="195" t="n"/>
      <c r="K583" s="162" t="n"/>
      <c r="L583" s="168" t="n"/>
      <c r="M583" s="75">
        <f>_xlfn.XLOOKUP(L583,list_vat[Страна],list_vat[Ставка НДС %],0,0)</f>
        <v/>
      </c>
      <c r="N583" s="162">
        <f>IFERROR(IF(L583="Китай",K583,K583/(1+M583)),0)</f>
        <v/>
      </c>
      <c r="O583" s="169" t="n"/>
      <c r="P583" s="76">
        <f>N583*(1-O583)</f>
        <v/>
      </c>
      <c r="Q583" s="162" t="n"/>
      <c r="R583" s="162">
        <f>IF(ISBLANK(Q583),"введи курс",P583/Q583)</f>
        <v/>
      </c>
      <c r="S583" s="196">
        <f>IF(AND(ISNUMBER(E583),ISNUMBER(Q583)),E583*R583,0)</f>
        <v/>
      </c>
      <c r="T583" s="192">
        <f>$BC583*V$11</f>
        <v/>
      </c>
      <c r="U583" s="76">
        <f>$BC583*W$11</f>
        <v/>
      </c>
      <c r="V583" s="193">
        <f>+SUM(T583:U583)</f>
        <v/>
      </c>
      <c r="W583" s="191" t="n"/>
      <c r="X583" s="170" t="n"/>
      <c r="Y583" s="76">
        <f>ROUND(IF(offer_incoterms="DDP",X583*(S583*(1+AW583)+T583),0),2)</f>
        <v/>
      </c>
      <c r="Z583" s="188" t="n"/>
      <c r="AA583" s="192">
        <f>IFERROR(AB583/E583,0)</f>
        <v/>
      </c>
      <c r="AB583" s="76">
        <f>ROUND(SUM(S583,V583,Y583:Z583,BA583:BB583),2)</f>
        <v/>
      </c>
      <c r="AC583" s="797" t="n"/>
      <c r="AD583" s="192">
        <f t="array" ref="AD583">IFERROR(ROUND((_xlfn.IFS(offer_sale_type="поставка",AB583,offer_sale_type="транзит",S583)*(1+AC583))/E583,2),0)</f>
        <v/>
      </c>
      <c r="AE583" s="76">
        <f>AD583*E583</f>
        <v/>
      </c>
      <c r="AF583" s="193">
        <f t="array" ref="AF583">IFERROR(ROUND(_xlfn.IFS(offer_sale_type="поставка",AB583,offer_sale_type="транзит",S583)*AC583,2),0)</f>
        <v/>
      </c>
      <c r="AG583" s="192">
        <f>$BD583*VLOOKUP($AG$3,$AF$4:$AG$7,2,FALSE)</f>
        <v/>
      </c>
      <c r="AH583" s="76">
        <f>SUM(AE583,AG583,AI583)*rate_forex_risk</f>
        <v/>
      </c>
      <c r="AI583" s="193">
        <f>IF(OR(seller_region="TR",offer_sale_type="экспорт"),0,rate_fin_comm)*SUM(AZ583,AZ583*AW583,T583)</f>
        <v/>
      </c>
      <c r="AJ583" s="118">
        <f>IFERROR(ROUND(SUM(AB583,AF583:AI583)/E583,2),0)</f>
        <v/>
      </c>
      <c r="AK583" s="76">
        <f>AJ583*E583</f>
        <v/>
      </c>
      <c r="AL583" s="174">
        <f>ROUND(IFERROR(AM583*E583,0),2)</f>
        <v/>
      </c>
      <c r="AM583" s="175">
        <f>ROUND(AJ583*(1+IF(offer_incoterms="DDP",IF((TODAY()+offer_turnaround_time)&gt;=helpsheet!$L$17,rate_vatRU_from_26,rate_vatRu_till_25),0)),2)</f>
        <v/>
      </c>
      <c r="AN583" s="192">
        <f>AL583-AK583</f>
        <v/>
      </c>
      <c r="AO583" s="76">
        <f>SUM(AY583,Y583:Z583,T583)*IF(AND(offer_incoterms="DDP",offer_sale_type&lt;&gt;"экспорт"),IF((TODAY()+offer_turnaround_time)&gt;=helpsheet!$L$17,rate_vatRU_from_26,rate_vatRu_till_25),0)</f>
        <v/>
      </c>
      <c r="AP583" s="193">
        <f>AN583-AO583</f>
        <v/>
      </c>
      <c r="AQ583" s="118">
        <f>IF(offer_sale_type="транзит",SUM(AF583:AI583,BA583,BB583),0)</f>
        <v/>
      </c>
      <c r="AR583" s="82">
        <f>HYPERLINK("https://www.alta.ru/tnved/code/")&amp;W583&amp;"/"</f>
        <v/>
      </c>
      <c r="AS583" s="157" t="n"/>
      <c r="AT583" s="162" t="n"/>
      <c r="AU583" s="76">
        <f>IF(ISBLANK(AT583),0,AJ583-AT583)</f>
        <v/>
      </c>
      <c r="AV583" s="157" t="n"/>
      <c r="AW583" s="75">
        <f>_xlfn.IFNA(VLOOKUP(L583,list_vat[],3,FALSE),0)</f>
        <v/>
      </c>
      <c r="AX583" s="76">
        <f>IFERROR(ROUND(S583*(1+AW583)/E583,2),0)</f>
        <v/>
      </c>
      <c r="AY583" s="76">
        <f>E583*AX583</f>
        <v/>
      </c>
      <c r="AZ583" s="192">
        <f>S583*(1+M583)</f>
        <v/>
      </c>
      <c r="BA583" s="76">
        <f>cost_fin_total*$BD583</f>
        <v/>
      </c>
      <c r="BB583" s="193">
        <f>credit_sales_interest*BD583</f>
        <v/>
      </c>
      <c r="BC583" s="102">
        <f>IFERROR(IF($I$13&gt;0,$I583/$I$13,$S583/$S$13),0)</f>
        <v/>
      </c>
      <c r="BD583" s="102">
        <f>IFERROR($S583/$S$13,0)</f>
        <v/>
      </c>
      <c r="BE583" s="413" t="inlineStr">
        <is>
          <t>$</t>
        </is>
      </c>
    </row>
    <row r="584" ht="12" customFormat="1" customHeight="1" s="65">
      <c r="A584" s="43" t="n">
        <v>569</v>
      </c>
      <c r="B584" s="166" t="n"/>
      <c r="C584" s="166" t="n"/>
      <c r="D584" s="166" t="n"/>
      <c r="E584" s="162" t="n"/>
      <c r="F584" s="166" t="n"/>
      <c r="G584" s="162" t="n"/>
      <c r="H584" s="162" t="n"/>
      <c r="I584" s="189">
        <f>E584*G584</f>
        <v/>
      </c>
      <c r="J584" s="195" t="n"/>
      <c r="K584" s="162" t="n"/>
      <c r="L584" s="168" t="n"/>
      <c r="M584" s="75">
        <f>_xlfn.XLOOKUP(L584,list_vat[Страна],list_vat[Ставка НДС %],0,0)</f>
        <v/>
      </c>
      <c r="N584" s="162">
        <f>IFERROR(IF(L584="Китай",K584,K584/(1+M584)),0)</f>
        <v/>
      </c>
      <c r="O584" s="169" t="n"/>
      <c r="P584" s="76">
        <f>N584*(1-O584)</f>
        <v/>
      </c>
      <c r="Q584" s="162" t="n"/>
      <c r="R584" s="162">
        <f>IF(ISBLANK(Q584),"введи курс",P584/Q584)</f>
        <v/>
      </c>
      <c r="S584" s="196">
        <f>IF(AND(ISNUMBER(E584),ISNUMBER(Q584)),E584*R584,0)</f>
        <v/>
      </c>
      <c r="T584" s="192">
        <f>$BC584*V$11</f>
        <v/>
      </c>
      <c r="U584" s="76">
        <f>$BC584*W$11</f>
        <v/>
      </c>
      <c r="V584" s="193">
        <f>+SUM(T584:U584)</f>
        <v/>
      </c>
      <c r="W584" s="191" t="n"/>
      <c r="X584" s="170" t="n"/>
      <c r="Y584" s="76">
        <f>ROUND(IF(offer_incoterms="DDP",X584*(S584*(1+AW584)+T584),0),2)</f>
        <v/>
      </c>
      <c r="Z584" s="188" t="n"/>
      <c r="AA584" s="192">
        <f>IFERROR(AB584/E584,0)</f>
        <v/>
      </c>
      <c r="AB584" s="76">
        <f>ROUND(SUM(S584,V584,Y584:Z584,BA584:BB584),2)</f>
        <v/>
      </c>
      <c r="AC584" s="797" t="n"/>
      <c r="AD584" s="192">
        <f t="array" ref="AD584">IFERROR(ROUND((_xlfn.IFS(offer_sale_type="поставка",AB584,offer_sale_type="транзит",S584)*(1+AC584))/E584,2),0)</f>
        <v/>
      </c>
      <c r="AE584" s="76">
        <f>AD584*E584</f>
        <v/>
      </c>
      <c r="AF584" s="193">
        <f t="array" ref="AF584">IFERROR(ROUND(_xlfn.IFS(offer_sale_type="поставка",AB584,offer_sale_type="транзит",S584)*AC584,2),0)</f>
        <v/>
      </c>
      <c r="AG584" s="192">
        <f>$BD584*VLOOKUP($AG$3,$AF$4:$AG$7,2,FALSE)</f>
        <v/>
      </c>
      <c r="AH584" s="76">
        <f>SUM(AE584,AG584,AI584)*rate_forex_risk</f>
        <v/>
      </c>
      <c r="AI584" s="193">
        <f>IF(OR(seller_region="TR",offer_sale_type="экспорт"),0,rate_fin_comm)*SUM(AZ584,AZ584*AW584,T584)</f>
        <v/>
      </c>
      <c r="AJ584" s="118">
        <f>IFERROR(ROUND(SUM(AB584,AF584:AI584)/E584,2),0)</f>
        <v/>
      </c>
      <c r="AK584" s="76">
        <f>AJ584*E584</f>
        <v/>
      </c>
      <c r="AL584" s="174">
        <f>ROUND(IFERROR(AM584*E584,0),2)</f>
        <v/>
      </c>
      <c r="AM584" s="175">
        <f>ROUND(AJ584*(1+IF(offer_incoterms="DDP",IF((TODAY()+offer_turnaround_time)&gt;=helpsheet!$L$17,rate_vatRU_from_26,rate_vatRu_till_25),0)),2)</f>
        <v/>
      </c>
      <c r="AN584" s="192">
        <f>AL584-AK584</f>
        <v/>
      </c>
      <c r="AO584" s="76">
        <f>SUM(AY584,Y584:Z584,T584)*IF(AND(offer_incoterms="DDP",offer_sale_type&lt;&gt;"экспорт"),IF((TODAY()+offer_turnaround_time)&gt;=helpsheet!$L$17,rate_vatRU_from_26,rate_vatRu_till_25),0)</f>
        <v/>
      </c>
      <c r="AP584" s="193">
        <f>AN584-AO584</f>
        <v/>
      </c>
      <c r="AQ584" s="118">
        <f>IF(offer_sale_type="транзит",SUM(AF584:AI584,BA584,BB584),0)</f>
        <v/>
      </c>
      <c r="AR584" s="82">
        <f>HYPERLINK("https://www.alta.ru/tnved/code/")&amp;W584&amp;"/"</f>
        <v/>
      </c>
      <c r="AS584" s="157" t="n"/>
      <c r="AT584" s="162" t="n"/>
      <c r="AU584" s="76">
        <f>IF(ISBLANK(AT584),0,AJ584-AT584)</f>
        <v/>
      </c>
      <c r="AV584" s="157" t="n"/>
      <c r="AW584" s="75">
        <f>_xlfn.IFNA(VLOOKUP(L584,list_vat[],3,FALSE),0)</f>
        <v/>
      </c>
      <c r="AX584" s="76">
        <f>IFERROR(ROUND(S584*(1+AW584)/E584,2),0)</f>
        <v/>
      </c>
      <c r="AY584" s="76">
        <f>E584*AX584</f>
        <v/>
      </c>
      <c r="AZ584" s="192">
        <f>S584*(1+M584)</f>
        <v/>
      </c>
      <c r="BA584" s="76">
        <f>cost_fin_total*$BD584</f>
        <v/>
      </c>
      <c r="BB584" s="193">
        <f>credit_sales_interest*BD584</f>
        <v/>
      </c>
      <c r="BC584" s="102">
        <f>IFERROR(IF($I$13&gt;0,$I584/$I$13,$S584/$S$13),0)</f>
        <v/>
      </c>
      <c r="BD584" s="102">
        <f>IFERROR($S584/$S$13,0)</f>
        <v/>
      </c>
      <c r="BE584" s="413" t="inlineStr">
        <is>
          <t>$</t>
        </is>
      </c>
    </row>
    <row r="585" ht="12" customFormat="1" customHeight="1" s="65">
      <c r="A585" s="43" t="n">
        <v>570</v>
      </c>
      <c r="B585" s="166" t="n"/>
      <c r="C585" s="166" t="n"/>
      <c r="D585" s="166" t="n"/>
      <c r="E585" s="162" t="n"/>
      <c r="F585" s="166" t="n"/>
      <c r="G585" s="162" t="n"/>
      <c r="H585" s="162" t="n"/>
      <c r="I585" s="189">
        <f>E585*G585</f>
        <v/>
      </c>
      <c r="J585" s="195" t="n"/>
      <c r="K585" s="162" t="n"/>
      <c r="L585" s="168" t="n"/>
      <c r="M585" s="75">
        <f>_xlfn.XLOOKUP(L585,list_vat[Страна],list_vat[Ставка НДС %],0,0)</f>
        <v/>
      </c>
      <c r="N585" s="162">
        <f>IFERROR(IF(L585="Китай",K585,K585/(1+M585)),0)</f>
        <v/>
      </c>
      <c r="O585" s="169" t="n"/>
      <c r="P585" s="76">
        <f>N585*(1-O585)</f>
        <v/>
      </c>
      <c r="Q585" s="162" t="n"/>
      <c r="R585" s="162">
        <f>IF(ISBLANK(Q585),"введи курс",P585/Q585)</f>
        <v/>
      </c>
      <c r="S585" s="196">
        <f>IF(AND(ISNUMBER(E585),ISNUMBER(Q585)),E585*R585,0)</f>
        <v/>
      </c>
      <c r="T585" s="192">
        <f>$BC585*V$11</f>
        <v/>
      </c>
      <c r="U585" s="76">
        <f>$BC585*W$11</f>
        <v/>
      </c>
      <c r="V585" s="193">
        <f>+SUM(T585:U585)</f>
        <v/>
      </c>
      <c r="W585" s="191" t="n"/>
      <c r="X585" s="170" t="n"/>
      <c r="Y585" s="76">
        <f>ROUND(IF(offer_incoterms="DDP",X585*(S585*(1+AW585)+T585),0),2)</f>
        <v/>
      </c>
      <c r="Z585" s="188" t="n"/>
      <c r="AA585" s="192">
        <f>IFERROR(AB585/E585,0)</f>
        <v/>
      </c>
      <c r="AB585" s="76">
        <f>ROUND(SUM(S585,V585,Y585:Z585,BA585:BB585),2)</f>
        <v/>
      </c>
      <c r="AC585" s="797" t="n"/>
      <c r="AD585" s="192">
        <f t="array" ref="AD585">IFERROR(ROUND((_xlfn.IFS(offer_sale_type="поставка",AB585,offer_sale_type="транзит",S585)*(1+AC585))/E585,2),0)</f>
        <v/>
      </c>
      <c r="AE585" s="76">
        <f>AD585*E585</f>
        <v/>
      </c>
      <c r="AF585" s="193">
        <f t="array" ref="AF585">IFERROR(ROUND(_xlfn.IFS(offer_sale_type="поставка",AB585,offer_sale_type="транзит",S585)*AC585,2),0)</f>
        <v/>
      </c>
      <c r="AG585" s="192">
        <f>$BD585*VLOOKUP($AG$3,$AF$4:$AG$7,2,FALSE)</f>
        <v/>
      </c>
      <c r="AH585" s="76">
        <f>SUM(AE585,AG585,AI585)*rate_forex_risk</f>
        <v/>
      </c>
      <c r="AI585" s="193">
        <f>IF(OR(seller_region="TR",offer_sale_type="экспорт"),0,rate_fin_comm)*SUM(AZ585,AZ585*AW585,T585)</f>
        <v/>
      </c>
      <c r="AJ585" s="118">
        <f>IFERROR(ROUND(SUM(AB585,AF585:AI585)/E585,2),0)</f>
        <v/>
      </c>
      <c r="AK585" s="76">
        <f>AJ585*E585</f>
        <v/>
      </c>
      <c r="AL585" s="174">
        <f>ROUND(IFERROR(AM585*E585,0),2)</f>
        <v/>
      </c>
      <c r="AM585" s="175">
        <f>ROUND(AJ585*(1+IF(offer_incoterms="DDP",IF((TODAY()+offer_turnaround_time)&gt;=helpsheet!$L$17,rate_vatRU_from_26,rate_vatRu_till_25),0)),2)</f>
        <v/>
      </c>
      <c r="AN585" s="192">
        <f>AL585-AK585</f>
        <v/>
      </c>
      <c r="AO585" s="76">
        <f>SUM(AY585,Y585:Z585,T585)*IF(AND(offer_incoterms="DDP",offer_sale_type&lt;&gt;"экспорт"),IF((TODAY()+offer_turnaround_time)&gt;=helpsheet!$L$17,rate_vatRU_from_26,rate_vatRu_till_25),0)</f>
        <v/>
      </c>
      <c r="AP585" s="193">
        <f>AN585-AO585</f>
        <v/>
      </c>
      <c r="AQ585" s="118">
        <f>IF(offer_sale_type="транзит",SUM(AF585:AI585,BA585,BB585),0)</f>
        <v/>
      </c>
      <c r="AR585" s="82">
        <f>HYPERLINK("https://www.alta.ru/tnved/code/")&amp;W585&amp;"/"</f>
        <v/>
      </c>
      <c r="AS585" s="157" t="n"/>
      <c r="AT585" s="162" t="n"/>
      <c r="AU585" s="76">
        <f>IF(ISBLANK(AT585),0,AJ585-AT585)</f>
        <v/>
      </c>
      <c r="AV585" s="157" t="n"/>
      <c r="AW585" s="75">
        <f>_xlfn.IFNA(VLOOKUP(L585,list_vat[],3,FALSE),0)</f>
        <v/>
      </c>
      <c r="AX585" s="76">
        <f>IFERROR(ROUND(S585*(1+AW585)/E585,2),0)</f>
        <v/>
      </c>
      <c r="AY585" s="76">
        <f>E585*AX585</f>
        <v/>
      </c>
      <c r="AZ585" s="192">
        <f>S585*(1+M585)</f>
        <v/>
      </c>
      <c r="BA585" s="76">
        <f>cost_fin_total*$BD585</f>
        <v/>
      </c>
      <c r="BB585" s="193">
        <f>credit_sales_interest*BD585</f>
        <v/>
      </c>
      <c r="BC585" s="102">
        <f>IFERROR(IF($I$13&gt;0,$I585/$I$13,$S585/$S$13),0)</f>
        <v/>
      </c>
      <c r="BD585" s="102">
        <f>IFERROR($S585/$S$13,0)</f>
        <v/>
      </c>
      <c r="BE585" s="413" t="inlineStr">
        <is>
          <t>$</t>
        </is>
      </c>
    </row>
    <row r="586" ht="12" customFormat="1" customHeight="1" s="65">
      <c r="A586" s="43" t="n">
        <v>571</v>
      </c>
      <c r="B586" s="166" t="n"/>
      <c r="C586" s="166" t="n"/>
      <c r="D586" s="166" t="n"/>
      <c r="E586" s="162" t="n"/>
      <c r="F586" s="166" t="n"/>
      <c r="G586" s="162" t="n"/>
      <c r="H586" s="162" t="n"/>
      <c r="I586" s="189">
        <f>E586*G586</f>
        <v/>
      </c>
      <c r="J586" s="195" t="n"/>
      <c r="K586" s="162" t="n"/>
      <c r="L586" s="168" t="n"/>
      <c r="M586" s="75">
        <f>_xlfn.XLOOKUP(L586,list_vat[Страна],list_vat[Ставка НДС %],0,0)</f>
        <v/>
      </c>
      <c r="N586" s="162">
        <f>IFERROR(IF(L586="Китай",K586,K586/(1+M586)),0)</f>
        <v/>
      </c>
      <c r="O586" s="169" t="n"/>
      <c r="P586" s="76">
        <f>N586*(1-O586)</f>
        <v/>
      </c>
      <c r="Q586" s="162" t="n"/>
      <c r="R586" s="162">
        <f>IF(ISBLANK(Q586),"введи курс",P586/Q586)</f>
        <v/>
      </c>
      <c r="S586" s="196">
        <f>IF(AND(ISNUMBER(E586),ISNUMBER(Q586)),E586*R586,0)</f>
        <v/>
      </c>
      <c r="T586" s="192">
        <f>$BC586*V$11</f>
        <v/>
      </c>
      <c r="U586" s="76">
        <f>$BC586*W$11</f>
        <v/>
      </c>
      <c r="V586" s="193">
        <f>+SUM(T586:U586)</f>
        <v/>
      </c>
      <c r="W586" s="191" t="n"/>
      <c r="X586" s="170" t="n"/>
      <c r="Y586" s="76">
        <f>ROUND(IF(offer_incoterms="DDP",X586*(S586*(1+AW586)+T586),0),2)</f>
        <v/>
      </c>
      <c r="Z586" s="188" t="n"/>
      <c r="AA586" s="192">
        <f>IFERROR(AB586/E586,0)</f>
        <v/>
      </c>
      <c r="AB586" s="76">
        <f>ROUND(SUM(S586,V586,Y586:Z586,BA586:BB586),2)</f>
        <v/>
      </c>
      <c r="AC586" s="797" t="n"/>
      <c r="AD586" s="192">
        <f t="array" ref="AD586">IFERROR(ROUND((_xlfn.IFS(offer_sale_type="поставка",AB586,offer_sale_type="транзит",S586)*(1+AC586))/E586,2),0)</f>
        <v/>
      </c>
      <c r="AE586" s="76">
        <f>AD586*E586</f>
        <v/>
      </c>
      <c r="AF586" s="193">
        <f t="array" ref="AF586">IFERROR(ROUND(_xlfn.IFS(offer_sale_type="поставка",AB586,offer_sale_type="транзит",S586)*AC586,2),0)</f>
        <v/>
      </c>
      <c r="AG586" s="192">
        <f>$BD586*VLOOKUP($AG$3,$AF$4:$AG$7,2,FALSE)</f>
        <v/>
      </c>
      <c r="AH586" s="76">
        <f>SUM(AE586,AG586,AI586)*rate_forex_risk</f>
        <v/>
      </c>
      <c r="AI586" s="193">
        <f>IF(OR(seller_region="TR",offer_sale_type="экспорт"),0,rate_fin_comm)*SUM(AZ586,AZ586*AW586,T586)</f>
        <v/>
      </c>
      <c r="AJ586" s="118">
        <f>IFERROR(ROUND(SUM(AB586,AF586:AI586)/E586,2),0)</f>
        <v/>
      </c>
      <c r="AK586" s="76">
        <f>AJ586*E586</f>
        <v/>
      </c>
      <c r="AL586" s="174">
        <f>ROUND(IFERROR(AM586*E586,0),2)</f>
        <v/>
      </c>
      <c r="AM586" s="175">
        <f>ROUND(AJ586*(1+IF(offer_incoterms="DDP",IF((TODAY()+offer_turnaround_time)&gt;=helpsheet!$L$17,rate_vatRU_from_26,rate_vatRu_till_25),0)),2)</f>
        <v/>
      </c>
      <c r="AN586" s="192">
        <f>AL586-AK586</f>
        <v/>
      </c>
      <c r="AO586" s="76">
        <f>SUM(AY586,Y586:Z586,T586)*IF(AND(offer_incoterms="DDP",offer_sale_type&lt;&gt;"экспорт"),IF((TODAY()+offer_turnaround_time)&gt;=helpsheet!$L$17,rate_vatRU_from_26,rate_vatRu_till_25),0)</f>
        <v/>
      </c>
      <c r="AP586" s="193">
        <f>AN586-AO586</f>
        <v/>
      </c>
      <c r="AQ586" s="118">
        <f>IF(offer_sale_type="транзит",SUM(AF586:AI586,BA586,BB586),0)</f>
        <v/>
      </c>
      <c r="AR586" s="82">
        <f>HYPERLINK("https://www.alta.ru/tnved/code/")&amp;W586&amp;"/"</f>
        <v/>
      </c>
      <c r="AS586" s="157" t="n"/>
      <c r="AT586" s="162" t="n"/>
      <c r="AU586" s="76">
        <f>IF(ISBLANK(AT586),0,AJ586-AT586)</f>
        <v/>
      </c>
      <c r="AV586" s="157" t="n"/>
      <c r="AW586" s="75">
        <f>_xlfn.IFNA(VLOOKUP(L586,list_vat[],3,FALSE),0)</f>
        <v/>
      </c>
      <c r="AX586" s="76">
        <f>IFERROR(ROUND(S586*(1+AW586)/E586,2),0)</f>
        <v/>
      </c>
      <c r="AY586" s="76">
        <f>E586*AX586</f>
        <v/>
      </c>
      <c r="AZ586" s="192">
        <f>S586*(1+M586)</f>
        <v/>
      </c>
      <c r="BA586" s="76">
        <f>cost_fin_total*$BD586</f>
        <v/>
      </c>
      <c r="BB586" s="193">
        <f>credit_sales_interest*BD586</f>
        <v/>
      </c>
      <c r="BC586" s="102">
        <f>IFERROR(IF($I$13&gt;0,$I586/$I$13,$S586/$S$13),0)</f>
        <v/>
      </c>
      <c r="BD586" s="102">
        <f>IFERROR($S586/$S$13,0)</f>
        <v/>
      </c>
      <c r="BE586" s="413" t="inlineStr">
        <is>
          <t>$</t>
        </is>
      </c>
    </row>
    <row r="587" ht="12" customFormat="1" customHeight="1" s="65">
      <c r="A587" s="43" t="n">
        <v>572</v>
      </c>
      <c r="B587" s="166" t="n"/>
      <c r="C587" s="166" t="n"/>
      <c r="D587" s="166" t="n"/>
      <c r="E587" s="162" t="n"/>
      <c r="F587" s="166" t="n"/>
      <c r="G587" s="162" t="n"/>
      <c r="H587" s="162" t="n"/>
      <c r="I587" s="189">
        <f>E587*G587</f>
        <v/>
      </c>
      <c r="J587" s="195" t="n"/>
      <c r="K587" s="162" t="n"/>
      <c r="L587" s="168" t="n"/>
      <c r="M587" s="75">
        <f>_xlfn.XLOOKUP(L587,list_vat[Страна],list_vat[Ставка НДС %],0,0)</f>
        <v/>
      </c>
      <c r="N587" s="162">
        <f>IFERROR(IF(L587="Китай",K587,K587/(1+M587)),0)</f>
        <v/>
      </c>
      <c r="O587" s="169" t="n"/>
      <c r="P587" s="76">
        <f>N587*(1-O587)</f>
        <v/>
      </c>
      <c r="Q587" s="162" t="n"/>
      <c r="R587" s="162">
        <f>IF(ISBLANK(Q587),"введи курс",P587/Q587)</f>
        <v/>
      </c>
      <c r="S587" s="196">
        <f>IF(AND(ISNUMBER(E587),ISNUMBER(Q587)),E587*R587,0)</f>
        <v/>
      </c>
      <c r="T587" s="192">
        <f>$BC587*V$11</f>
        <v/>
      </c>
      <c r="U587" s="76">
        <f>$BC587*W$11</f>
        <v/>
      </c>
      <c r="V587" s="193">
        <f>+SUM(T587:U587)</f>
        <v/>
      </c>
      <c r="W587" s="191" t="n"/>
      <c r="X587" s="170" t="n"/>
      <c r="Y587" s="76">
        <f>ROUND(IF(offer_incoterms="DDP",X587*(S587*(1+AW587)+T587),0),2)</f>
        <v/>
      </c>
      <c r="Z587" s="188" t="n"/>
      <c r="AA587" s="192">
        <f>IFERROR(AB587/E587,0)</f>
        <v/>
      </c>
      <c r="AB587" s="76">
        <f>ROUND(SUM(S587,V587,Y587:Z587,BA587:BB587),2)</f>
        <v/>
      </c>
      <c r="AC587" s="797" t="n"/>
      <c r="AD587" s="192">
        <f t="array" ref="AD587">IFERROR(ROUND((_xlfn.IFS(offer_sale_type="поставка",AB587,offer_sale_type="транзит",S587)*(1+AC587))/E587,2),0)</f>
        <v/>
      </c>
      <c r="AE587" s="76">
        <f>AD587*E587</f>
        <v/>
      </c>
      <c r="AF587" s="193">
        <f t="array" ref="AF587">IFERROR(ROUND(_xlfn.IFS(offer_sale_type="поставка",AB587,offer_sale_type="транзит",S587)*AC587,2),0)</f>
        <v/>
      </c>
      <c r="AG587" s="192">
        <f>$BD587*VLOOKUP($AG$3,$AF$4:$AG$7,2,FALSE)</f>
        <v/>
      </c>
      <c r="AH587" s="76">
        <f>SUM(AE587,AG587,AI587)*rate_forex_risk</f>
        <v/>
      </c>
      <c r="AI587" s="193">
        <f>IF(OR(seller_region="TR",offer_sale_type="экспорт"),0,rate_fin_comm)*SUM(AZ587,AZ587*AW587,T587)</f>
        <v/>
      </c>
      <c r="AJ587" s="118">
        <f>IFERROR(ROUND(SUM(AB587,AF587:AI587)/E587,2),0)</f>
        <v/>
      </c>
      <c r="AK587" s="76">
        <f>AJ587*E587</f>
        <v/>
      </c>
      <c r="AL587" s="174">
        <f>ROUND(IFERROR(AM587*E587,0),2)</f>
        <v/>
      </c>
      <c r="AM587" s="175">
        <f>ROUND(AJ587*(1+IF(offer_incoterms="DDP",IF((TODAY()+offer_turnaround_time)&gt;=helpsheet!$L$17,rate_vatRU_from_26,rate_vatRu_till_25),0)),2)</f>
        <v/>
      </c>
      <c r="AN587" s="192">
        <f>AL587-AK587</f>
        <v/>
      </c>
      <c r="AO587" s="76">
        <f>SUM(AY587,Y587:Z587,T587)*IF(AND(offer_incoterms="DDP",offer_sale_type&lt;&gt;"экспорт"),IF((TODAY()+offer_turnaround_time)&gt;=helpsheet!$L$17,rate_vatRU_from_26,rate_vatRu_till_25),0)</f>
        <v/>
      </c>
      <c r="AP587" s="193">
        <f>AN587-AO587</f>
        <v/>
      </c>
      <c r="AQ587" s="118">
        <f>IF(offer_sale_type="транзит",SUM(AF587:AI587,BA587,BB587),0)</f>
        <v/>
      </c>
      <c r="AR587" s="82">
        <f>HYPERLINK("https://www.alta.ru/tnved/code/")&amp;W587&amp;"/"</f>
        <v/>
      </c>
      <c r="AS587" s="157" t="n"/>
      <c r="AT587" s="162" t="n"/>
      <c r="AU587" s="76">
        <f>IF(ISBLANK(AT587),0,AJ587-AT587)</f>
        <v/>
      </c>
      <c r="AV587" s="157" t="n"/>
      <c r="AW587" s="75">
        <f>_xlfn.IFNA(VLOOKUP(L587,list_vat[],3,FALSE),0)</f>
        <v/>
      </c>
      <c r="AX587" s="76">
        <f>IFERROR(ROUND(S587*(1+AW587)/E587,2),0)</f>
        <v/>
      </c>
      <c r="AY587" s="76">
        <f>E587*AX587</f>
        <v/>
      </c>
      <c r="AZ587" s="192">
        <f>S587*(1+M587)</f>
        <v/>
      </c>
      <c r="BA587" s="76">
        <f>cost_fin_total*$BD587</f>
        <v/>
      </c>
      <c r="BB587" s="193">
        <f>credit_sales_interest*BD587</f>
        <v/>
      </c>
      <c r="BC587" s="102">
        <f>IFERROR(IF($I$13&gt;0,$I587/$I$13,$S587/$S$13),0)</f>
        <v/>
      </c>
      <c r="BD587" s="102">
        <f>IFERROR($S587/$S$13,0)</f>
        <v/>
      </c>
      <c r="BE587" s="413" t="inlineStr">
        <is>
          <t>$</t>
        </is>
      </c>
    </row>
    <row r="588" ht="12" customFormat="1" customHeight="1" s="65">
      <c r="A588" s="43" t="n">
        <v>573</v>
      </c>
      <c r="B588" s="166" t="n"/>
      <c r="C588" s="166" t="n"/>
      <c r="D588" s="166" t="n"/>
      <c r="E588" s="162" t="n"/>
      <c r="F588" s="166" t="n"/>
      <c r="G588" s="162" t="n"/>
      <c r="H588" s="162" t="n"/>
      <c r="I588" s="189">
        <f>E588*G588</f>
        <v/>
      </c>
      <c r="J588" s="195" t="n"/>
      <c r="K588" s="162" t="n"/>
      <c r="L588" s="168" t="n"/>
      <c r="M588" s="75">
        <f>_xlfn.XLOOKUP(L588,list_vat[Страна],list_vat[Ставка НДС %],0,0)</f>
        <v/>
      </c>
      <c r="N588" s="162">
        <f>IFERROR(IF(L588="Китай",K588,K588/(1+M588)),0)</f>
        <v/>
      </c>
      <c r="O588" s="169" t="n"/>
      <c r="P588" s="76">
        <f>N588*(1-O588)</f>
        <v/>
      </c>
      <c r="Q588" s="162" t="n"/>
      <c r="R588" s="162">
        <f>IF(ISBLANK(Q588),"введи курс",P588/Q588)</f>
        <v/>
      </c>
      <c r="S588" s="196">
        <f>IF(AND(ISNUMBER(E588),ISNUMBER(Q588)),E588*R588,0)</f>
        <v/>
      </c>
      <c r="T588" s="192">
        <f>$BC588*V$11</f>
        <v/>
      </c>
      <c r="U588" s="76">
        <f>$BC588*W$11</f>
        <v/>
      </c>
      <c r="V588" s="193">
        <f>+SUM(T588:U588)</f>
        <v/>
      </c>
      <c r="W588" s="191" t="n"/>
      <c r="X588" s="170" t="n"/>
      <c r="Y588" s="76">
        <f>ROUND(IF(offer_incoterms="DDP",X588*(S588*(1+AW588)+T588),0),2)</f>
        <v/>
      </c>
      <c r="Z588" s="188" t="n"/>
      <c r="AA588" s="192">
        <f>IFERROR(AB588/E588,0)</f>
        <v/>
      </c>
      <c r="AB588" s="76">
        <f>ROUND(SUM(S588,V588,Y588:Z588,BA588:BB588),2)</f>
        <v/>
      </c>
      <c r="AC588" s="797" t="n"/>
      <c r="AD588" s="192">
        <f t="array" ref="AD588">IFERROR(ROUND((_xlfn.IFS(offer_sale_type="поставка",AB588,offer_sale_type="транзит",S588)*(1+AC588))/E588,2),0)</f>
        <v/>
      </c>
      <c r="AE588" s="76">
        <f>AD588*E588</f>
        <v/>
      </c>
      <c r="AF588" s="193">
        <f t="array" ref="AF588">IFERROR(ROUND(_xlfn.IFS(offer_sale_type="поставка",AB588,offer_sale_type="транзит",S588)*AC588,2),0)</f>
        <v/>
      </c>
      <c r="AG588" s="192">
        <f>$BD588*VLOOKUP($AG$3,$AF$4:$AG$7,2,FALSE)</f>
        <v/>
      </c>
      <c r="AH588" s="76">
        <f>SUM(AE588,AG588,AI588)*rate_forex_risk</f>
        <v/>
      </c>
      <c r="AI588" s="193">
        <f>IF(OR(seller_region="TR",offer_sale_type="экспорт"),0,rate_fin_comm)*SUM(AZ588,AZ588*AW588,T588)</f>
        <v/>
      </c>
      <c r="AJ588" s="118">
        <f>IFERROR(ROUND(SUM(AB588,AF588:AI588)/E588,2),0)</f>
        <v/>
      </c>
      <c r="AK588" s="76">
        <f>AJ588*E588</f>
        <v/>
      </c>
      <c r="AL588" s="174">
        <f>ROUND(IFERROR(AM588*E588,0),2)</f>
        <v/>
      </c>
      <c r="AM588" s="175">
        <f>ROUND(AJ588*(1+IF(offer_incoterms="DDP",IF((TODAY()+offer_turnaround_time)&gt;=helpsheet!$L$17,rate_vatRU_from_26,rate_vatRu_till_25),0)),2)</f>
        <v/>
      </c>
      <c r="AN588" s="192">
        <f>AL588-AK588</f>
        <v/>
      </c>
      <c r="AO588" s="76">
        <f>SUM(AY588,Y588:Z588,T588)*IF(AND(offer_incoterms="DDP",offer_sale_type&lt;&gt;"экспорт"),IF((TODAY()+offer_turnaround_time)&gt;=helpsheet!$L$17,rate_vatRU_from_26,rate_vatRu_till_25),0)</f>
        <v/>
      </c>
      <c r="AP588" s="193">
        <f>AN588-AO588</f>
        <v/>
      </c>
      <c r="AQ588" s="118">
        <f>IF(offer_sale_type="транзит",SUM(AF588:AI588,BA588,BB588),0)</f>
        <v/>
      </c>
      <c r="AR588" s="82">
        <f>HYPERLINK("https://www.alta.ru/tnved/code/")&amp;W588&amp;"/"</f>
        <v/>
      </c>
      <c r="AS588" s="157" t="n"/>
      <c r="AT588" s="162" t="n"/>
      <c r="AU588" s="76">
        <f>IF(ISBLANK(AT588),0,AJ588-AT588)</f>
        <v/>
      </c>
      <c r="AV588" s="157" t="n"/>
      <c r="AW588" s="75">
        <f>_xlfn.IFNA(VLOOKUP(L588,list_vat[],3,FALSE),0)</f>
        <v/>
      </c>
      <c r="AX588" s="76">
        <f>IFERROR(ROUND(S588*(1+AW588)/E588,2),0)</f>
        <v/>
      </c>
      <c r="AY588" s="76">
        <f>E588*AX588</f>
        <v/>
      </c>
      <c r="AZ588" s="192">
        <f>S588*(1+M588)</f>
        <v/>
      </c>
      <c r="BA588" s="76">
        <f>cost_fin_total*$BD588</f>
        <v/>
      </c>
      <c r="BB588" s="193">
        <f>credit_sales_interest*BD588</f>
        <v/>
      </c>
      <c r="BC588" s="102">
        <f>IFERROR(IF($I$13&gt;0,$I588/$I$13,$S588/$S$13),0)</f>
        <v/>
      </c>
      <c r="BD588" s="102">
        <f>IFERROR($S588/$S$13,0)</f>
        <v/>
      </c>
      <c r="BE588" s="413" t="inlineStr">
        <is>
          <t>$</t>
        </is>
      </c>
    </row>
    <row r="589" ht="12" customFormat="1" customHeight="1" s="65">
      <c r="A589" s="43" t="n">
        <v>574</v>
      </c>
      <c r="B589" s="166" t="n"/>
      <c r="C589" s="166" t="n"/>
      <c r="D589" s="166" t="n"/>
      <c r="E589" s="162" t="n"/>
      <c r="F589" s="166" t="n"/>
      <c r="G589" s="162" t="n"/>
      <c r="H589" s="162" t="n"/>
      <c r="I589" s="189">
        <f>E589*G589</f>
        <v/>
      </c>
      <c r="J589" s="195" t="n"/>
      <c r="K589" s="162" t="n"/>
      <c r="L589" s="168" t="n"/>
      <c r="M589" s="75">
        <f>_xlfn.XLOOKUP(L589,list_vat[Страна],list_vat[Ставка НДС %],0,0)</f>
        <v/>
      </c>
      <c r="N589" s="162">
        <f>IFERROR(IF(L589="Китай",K589,K589/(1+M589)),0)</f>
        <v/>
      </c>
      <c r="O589" s="169" t="n"/>
      <c r="P589" s="76">
        <f>N589*(1-O589)</f>
        <v/>
      </c>
      <c r="Q589" s="162" t="n"/>
      <c r="R589" s="162">
        <f>IF(ISBLANK(Q589),"введи курс",P589/Q589)</f>
        <v/>
      </c>
      <c r="S589" s="196">
        <f>IF(AND(ISNUMBER(E589),ISNUMBER(Q589)),E589*R589,0)</f>
        <v/>
      </c>
      <c r="T589" s="192">
        <f>$BC589*V$11</f>
        <v/>
      </c>
      <c r="U589" s="76">
        <f>$BC589*W$11</f>
        <v/>
      </c>
      <c r="V589" s="193">
        <f>+SUM(T589:U589)</f>
        <v/>
      </c>
      <c r="W589" s="191" t="n"/>
      <c r="X589" s="170" t="n"/>
      <c r="Y589" s="76">
        <f>ROUND(IF(offer_incoterms="DDP",X589*(S589*(1+AW589)+T589),0),2)</f>
        <v/>
      </c>
      <c r="Z589" s="188" t="n"/>
      <c r="AA589" s="192">
        <f>IFERROR(AB589/E589,0)</f>
        <v/>
      </c>
      <c r="AB589" s="76">
        <f>ROUND(SUM(S589,V589,Y589:Z589,BA589:BB589),2)</f>
        <v/>
      </c>
      <c r="AC589" s="797" t="n"/>
      <c r="AD589" s="192">
        <f t="array" ref="AD589">IFERROR(ROUND((_xlfn.IFS(offer_sale_type="поставка",AB589,offer_sale_type="транзит",S589)*(1+AC589))/E589,2),0)</f>
        <v/>
      </c>
      <c r="AE589" s="76">
        <f>AD589*E589</f>
        <v/>
      </c>
      <c r="AF589" s="193">
        <f t="array" ref="AF589">IFERROR(ROUND(_xlfn.IFS(offer_sale_type="поставка",AB589,offer_sale_type="транзит",S589)*AC589,2),0)</f>
        <v/>
      </c>
      <c r="AG589" s="192">
        <f>$BD589*VLOOKUP($AG$3,$AF$4:$AG$7,2,FALSE)</f>
        <v/>
      </c>
      <c r="AH589" s="76">
        <f>SUM(AE589,AG589,AI589)*rate_forex_risk</f>
        <v/>
      </c>
      <c r="AI589" s="193">
        <f>IF(OR(seller_region="TR",offer_sale_type="экспорт"),0,rate_fin_comm)*SUM(AZ589,AZ589*AW589,T589)</f>
        <v/>
      </c>
      <c r="AJ589" s="118">
        <f>IFERROR(ROUND(SUM(AB589,AF589:AI589)/E589,2),0)</f>
        <v/>
      </c>
      <c r="AK589" s="76">
        <f>AJ589*E589</f>
        <v/>
      </c>
      <c r="AL589" s="174">
        <f>ROUND(IFERROR(AM589*E589,0),2)</f>
        <v/>
      </c>
      <c r="AM589" s="175">
        <f>ROUND(AJ589*(1+IF(offer_incoterms="DDP",IF((TODAY()+offer_turnaround_time)&gt;=helpsheet!$L$17,rate_vatRU_from_26,rate_vatRu_till_25),0)),2)</f>
        <v/>
      </c>
      <c r="AN589" s="192">
        <f>AL589-AK589</f>
        <v/>
      </c>
      <c r="AO589" s="76">
        <f>SUM(AY589,Y589:Z589,T589)*IF(AND(offer_incoterms="DDP",offer_sale_type&lt;&gt;"экспорт"),IF((TODAY()+offer_turnaround_time)&gt;=helpsheet!$L$17,rate_vatRU_from_26,rate_vatRu_till_25),0)</f>
        <v/>
      </c>
      <c r="AP589" s="193">
        <f>AN589-AO589</f>
        <v/>
      </c>
      <c r="AQ589" s="118">
        <f>IF(offer_sale_type="транзит",SUM(AF589:AI589,BA589,BB589),0)</f>
        <v/>
      </c>
      <c r="AR589" s="82">
        <f>HYPERLINK("https://www.alta.ru/tnved/code/")&amp;W589&amp;"/"</f>
        <v/>
      </c>
      <c r="AS589" s="157" t="n"/>
      <c r="AT589" s="162" t="n"/>
      <c r="AU589" s="76">
        <f>IF(ISBLANK(AT589),0,AJ589-AT589)</f>
        <v/>
      </c>
      <c r="AV589" s="157" t="n"/>
      <c r="AW589" s="75">
        <f>_xlfn.IFNA(VLOOKUP(L589,list_vat[],3,FALSE),0)</f>
        <v/>
      </c>
      <c r="AX589" s="76">
        <f>IFERROR(ROUND(S589*(1+AW589)/E589,2),0)</f>
        <v/>
      </c>
      <c r="AY589" s="76">
        <f>E589*AX589</f>
        <v/>
      </c>
      <c r="AZ589" s="192">
        <f>S589*(1+M589)</f>
        <v/>
      </c>
      <c r="BA589" s="76">
        <f>cost_fin_total*$BD589</f>
        <v/>
      </c>
      <c r="BB589" s="193">
        <f>credit_sales_interest*BD589</f>
        <v/>
      </c>
      <c r="BC589" s="102">
        <f>IFERROR(IF($I$13&gt;0,$I589/$I$13,$S589/$S$13),0)</f>
        <v/>
      </c>
      <c r="BD589" s="102">
        <f>IFERROR($S589/$S$13,0)</f>
        <v/>
      </c>
      <c r="BE589" s="413" t="inlineStr">
        <is>
          <t>$</t>
        </is>
      </c>
    </row>
    <row r="590" ht="12" customFormat="1" customHeight="1" s="65">
      <c r="A590" s="43" t="n">
        <v>575</v>
      </c>
      <c r="B590" s="166" t="n"/>
      <c r="C590" s="166" t="n"/>
      <c r="D590" s="166" t="n"/>
      <c r="E590" s="162" t="n"/>
      <c r="F590" s="166" t="n"/>
      <c r="G590" s="162" t="n"/>
      <c r="H590" s="162" t="n"/>
      <c r="I590" s="189">
        <f>E590*G590</f>
        <v/>
      </c>
      <c r="J590" s="195" t="n"/>
      <c r="K590" s="162" t="n"/>
      <c r="L590" s="168" t="n"/>
      <c r="M590" s="75">
        <f>_xlfn.XLOOKUP(L590,list_vat[Страна],list_vat[Ставка НДС %],0,0)</f>
        <v/>
      </c>
      <c r="N590" s="162">
        <f>IFERROR(IF(L590="Китай",K590,K590/(1+M590)),0)</f>
        <v/>
      </c>
      <c r="O590" s="169" t="n"/>
      <c r="P590" s="76">
        <f>N590*(1-O590)</f>
        <v/>
      </c>
      <c r="Q590" s="162" t="n"/>
      <c r="R590" s="162">
        <f>IF(ISBLANK(Q590),"введи курс",P590/Q590)</f>
        <v/>
      </c>
      <c r="S590" s="196">
        <f>IF(AND(ISNUMBER(E590),ISNUMBER(Q590)),E590*R590,0)</f>
        <v/>
      </c>
      <c r="T590" s="192">
        <f>$BC590*V$11</f>
        <v/>
      </c>
      <c r="U590" s="76">
        <f>$BC590*W$11</f>
        <v/>
      </c>
      <c r="V590" s="193">
        <f>+SUM(T590:U590)</f>
        <v/>
      </c>
      <c r="W590" s="191" t="n"/>
      <c r="X590" s="170" t="n"/>
      <c r="Y590" s="76">
        <f>ROUND(IF(offer_incoterms="DDP",X590*(S590*(1+AW590)+T590),0),2)</f>
        <v/>
      </c>
      <c r="Z590" s="188" t="n"/>
      <c r="AA590" s="192">
        <f>IFERROR(AB590/E590,0)</f>
        <v/>
      </c>
      <c r="AB590" s="76">
        <f>ROUND(SUM(S590,V590,Y590:Z590,BA590:BB590),2)</f>
        <v/>
      </c>
      <c r="AC590" s="797" t="n"/>
      <c r="AD590" s="192">
        <f t="array" ref="AD590">IFERROR(ROUND((_xlfn.IFS(offer_sale_type="поставка",AB590,offer_sale_type="транзит",S590)*(1+AC590))/E590,2),0)</f>
        <v/>
      </c>
      <c r="AE590" s="76">
        <f>AD590*E590</f>
        <v/>
      </c>
      <c r="AF590" s="193">
        <f t="array" ref="AF590">IFERROR(ROUND(_xlfn.IFS(offer_sale_type="поставка",AB590,offer_sale_type="транзит",S590)*AC590,2),0)</f>
        <v/>
      </c>
      <c r="AG590" s="192">
        <f>$BD590*VLOOKUP($AG$3,$AF$4:$AG$7,2,FALSE)</f>
        <v/>
      </c>
      <c r="AH590" s="76">
        <f>SUM(AE590,AG590,AI590)*rate_forex_risk</f>
        <v/>
      </c>
      <c r="AI590" s="193">
        <f>IF(OR(seller_region="TR",offer_sale_type="экспорт"),0,rate_fin_comm)*SUM(AZ590,AZ590*AW590,T590)</f>
        <v/>
      </c>
      <c r="AJ590" s="118">
        <f>IFERROR(ROUND(SUM(AB590,AF590:AI590)/E590,2),0)</f>
        <v/>
      </c>
      <c r="AK590" s="76">
        <f>AJ590*E590</f>
        <v/>
      </c>
      <c r="AL590" s="174">
        <f>ROUND(IFERROR(AM590*E590,0),2)</f>
        <v/>
      </c>
      <c r="AM590" s="175">
        <f>ROUND(AJ590*(1+IF(offer_incoterms="DDP",IF((TODAY()+offer_turnaround_time)&gt;=helpsheet!$L$17,rate_vatRU_from_26,rate_vatRu_till_25),0)),2)</f>
        <v/>
      </c>
      <c r="AN590" s="192">
        <f>AL590-AK590</f>
        <v/>
      </c>
      <c r="AO590" s="76">
        <f>SUM(AY590,Y590:Z590,T590)*IF(AND(offer_incoterms="DDP",offer_sale_type&lt;&gt;"экспорт"),IF((TODAY()+offer_turnaround_time)&gt;=helpsheet!$L$17,rate_vatRU_from_26,rate_vatRu_till_25),0)</f>
        <v/>
      </c>
      <c r="AP590" s="193">
        <f>AN590-AO590</f>
        <v/>
      </c>
      <c r="AQ590" s="118">
        <f>IF(offer_sale_type="транзит",SUM(AF590:AI590,BA590,BB590),0)</f>
        <v/>
      </c>
      <c r="AR590" s="82">
        <f>HYPERLINK("https://www.alta.ru/tnved/code/")&amp;W590&amp;"/"</f>
        <v/>
      </c>
      <c r="AS590" s="157" t="n"/>
      <c r="AT590" s="162" t="n"/>
      <c r="AU590" s="76">
        <f>IF(ISBLANK(AT590),0,AJ590-AT590)</f>
        <v/>
      </c>
      <c r="AV590" s="157" t="n"/>
      <c r="AW590" s="75">
        <f>_xlfn.IFNA(VLOOKUP(L590,list_vat[],3,FALSE),0)</f>
        <v/>
      </c>
      <c r="AX590" s="76">
        <f>IFERROR(ROUND(S590*(1+AW590)/E590,2),0)</f>
        <v/>
      </c>
      <c r="AY590" s="76">
        <f>E590*AX590</f>
        <v/>
      </c>
      <c r="AZ590" s="192">
        <f>S590*(1+M590)</f>
        <v/>
      </c>
      <c r="BA590" s="76">
        <f>cost_fin_total*$BD590</f>
        <v/>
      </c>
      <c r="BB590" s="193">
        <f>credit_sales_interest*BD590</f>
        <v/>
      </c>
      <c r="BC590" s="102">
        <f>IFERROR(IF($I$13&gt;0,$I590/$I$13,$S590/$S$13),0)</f>
        <v/>
      </c>
      <c r="BD590" s="102">
        <f>IFERROR($S590/$S$13,0)</f>
        <v/>
      </c>
      <c r="BE590" s="413" t="inlineStr">
        <is>
          <t>$</t>
        </is>
      </c>
    </row>
    <row r="591" ht="12" customFormat="1" customHeight="1" s="65">
      <c r="A591" s="43" t="n">
        <v>576</v>
      </c>
      <c r="B591" s="166" t="n"/>
      <c r="C591" s="166" t="n"/>
      <c r="D591" s="166" t="n"/>
      <c r="E591" s="162" t="n"/>
      <c r="F591" s="166" t="n"/>
      <c r="G591" s="162" t="n"/>
      <c r="H591" s="162" t="n"/>
      <c r="I591" s="189">
        <f>E591*G591</f>
        <v/>
      </c>
      <c r="J591" s="195" t="n"/>
      <c r="K591" s="162" t="n"/>
      <c r="L591" s="168" t="n"/>
      <c r="M591" s="75">
        <f>_xlfn.XLOOKUP(L591,list_vat[Страна],list_vat[Ставка НДС %],0,0)</f>
        <v/>
      </c>
      <c r="N591" s="162">
        <f>IFERROR(IF(L591="Китай",K591,K591/(1+M591)),0)</f>
        <v/>
      </c>
      <c r="O591" s="169" t="n"/>
      <c r="P591" s="76">
        <f>N591*(1-O591)</f>
        <v/>
      </c>
      <c r="Q591" s="162" t="n"/>
      <c r="R591" s="162">
        <f>IF(ISBLANK(Q591),"введи курс",P591/Q591)</f>
        <v/>
      </c>
      <c r="S591" s="196">
        <f>IF(AND(ISNUMBER(E591),ISNUMBER(Q591)),E591*R591,0)</f>
        <v/>
      </c>
      <c r="T591" s="192">
        <f>$BC591*V$11</f>
        <v/>
      </c>
      <c r="U591" s="76">
        <f>$BC591*W$11</f>
        <v/>
      </c>
      <c r="V591" s="193">
        <f>+SUM(T591:U591)</f>
        <v/>
      </c>
      <c r="W591" s="191" t="n"/>
      <c r="X591" s="170" t="n"/>
      <c r="Y591" s="76">
        <f>ROUND(IF(offer_incoterms="DDP",X591*(S591*(1+AW591)+T591),0),2)</f>
        <v/>
      </c>
      <c r="Z591" s="188" t="n"/>
      <c r="AA591" s="192">
        <f>IFERROR(AB591/E591,0)</f>
        <v/>
      </c>
      <c r="AB591" s="76">
        <f>ROUND(SUM(S591,V591,Y591:Z591,BA591:BB591),2)</f>
        <v/>
      </c>
      <c r="AC591" s="797" t="n"/>
      <c r="AD591" s="192">
        <f t="array" ref="AD591">IFERROR(ROUND((_xlfn.IFS(offer_sale_type="поставка",AB591,offer_sale_type="транзит",S591)*(1+AC591))/E591,2),0)</f>
        <v/>
      </c>
      <c r="AE591" s="76">
        <f>AD591*E591</f>
        <v/>
      </c>
      <c r="AF591" s="193">
        <f t="array" ref="AF591">IFERROR(ROUND(_xlfn.IFS(offer_sale_type="поставка",AB591,offer_sale_type="транзит",S591)*AC591,2),0)</f>
        <v/>
      </c>
      <c r="AG591" s="192">
        <f>$BD591*VLOOKUP($AG$3,$AF$4:$AG$7,2,FALSE)</f>
        <v/>
      </c>
      <c r="AH591" s="76">
        <f>SUM(AE591,AG591,AI591)*rate_forex_risk</f>
        <v/>
      </c>
      <c r="AI591" s="193">
        <f>IF(OR(seller_region="TR",offer_sale_type="экспорт"),0,rate_fin_comm)*SUM(AZ591,AZ591*AW591,T591)</f>
        <v/>
      </c>
      <c r="AJ591" s="118">
        <f>IFERROR(ROUND(SUM(AB591,AF591:AI591)/E591,2),0)</f>
        <v/>
      </c>
      <c r="AK591" s="76">
        <f>AJ591*E591</f>
        <v/>
      </c>
      <c r="AL591" s="174">
        <f>ROUND(IFERROR(AM591*E591,0),2)</f>
        <v/>
      </c>
      <c r="AM591" s="175">
        <f>ROUND(AJ591*(1+IF(offer_incoterms="DDP",IF((TODAY()+offer_turnaround_time)&gt;=helpsheet!$L$17,rate_vatRU_from_26,rate_vatRu_till_25),0)),2)</f>
        <v/>
      </c>
      <c r="AN591" s="192">
        <f>AL591-AK591</f>
        <v/>
      </c>
      <c r="AO591" s="76">
        <f>SUM(AY591,Y591:Z591,T591)*IF(AND(offer_incoterms="DDP",offer_sale_type&lt;&gt;"экспорт"),IF((TODAY()+offer_turnaround_time)&gt;=helpsheet!$L$17,rate_vatRU_from_26,rate_vatRu_till_25),0)</f>
        <v/>
      </c>
      <c r="AP591" s="193">
        <f>AN591-AO591</f>
        <v/>
      </c>
      <c r="AQ591" s="118">
        <f>IF(offer_sale_type="транзит",SUM(AF591:AI591,BA591,BB591),0)</f>
        <v/>
      </c>
      <c r="AR591" s="82">
        <f>HYPERLINK("https://www.alta.ru/tnved/code/")&amp;W591&amp;"/"</f>
        <v/>
      </c>
      <c r="AS591" s="157" t="n"/>
      <c r="AT591" s="162" t="n"/>
      <c r="AU591" s="76">
        <f>IF(ISBLANK(AT591),0,AJ591-AT591)</f>
        <v/>
      </c>
      <c r="AV591" s="157" t="n"/>
      <c r="AW591" s="75">
        <f>_xlfn.IFNA(VLOOKUP(L591,list_vat[],3,FALSE),0)</f>
        <v/>
      </c>
      <c r="AX591" s="76">
        <f>IFERROR(ROUND(S591*(1+AW591)/E591,2),0)</f>
        <v/>
      </c>
      <c r="AY591" s="76">
        <f>E591*AX591</f>
        <v/>
      </c>
      <c r="AZ591" s="192">
        <f>S591*(1+M591)</f>
        <v/>
      </c>
      <c r="BA591" s="76">
        <f>cost_fin_total*$BD591</f>
        <v/>
      </c>
      <c r="BB591" s="193">
        <f>credit_sales_interest*BD591</f>
        <v/>
      </c>
      <c r="BC591" s="102">
        <f>IFERROR(IF($I$13&gt;0,$I591/$I$13,$S591/$S$13),0)</f>
        <v/>
      </c>
      <c r="BD591" s="102">
        <f>IFERROR($S591/$S$13,0)</f>
        <v/>
      </c>
      <c r="BE591" s="413" t="inlineStr">
        <is>
          <t>$</t>
        </is>
      </c>
    </row>
    <row r="592" ht="12" customFormat="1" customHeight="1" s="65">
      <c r="A592" s="43" t="n">
        <v>577</v>
      </c>
      <c r="B592" s="166" t="n"/>
      <c r="C592" s="166" t="n"/>
      <c r="D592" s="166" t="n"/>
      <c r="E592" s="162" t="n"/>
      <c r="F592" s="166" t="n"/>
      <c r="G592" s="162" t="n"/>
      <c r="H592" s="162" t="n"/>
      <c r="I592" s="189">
        <f>E592*G592</f>
        <v/>
      </c>
      <c r="J592" s="195" t="n"/>
      <c r="K592" s="162" t="n"/>
      <c r="L592" s="168" t="n"/>
      <c r="M592" s="75">
        <f>_xlfn.XLOOKUP(L592,list_vat[Страна],list_vat[Ставка НДС %],0,0)</f>
        <v/>
      </c>
      <c r="N592" s="162">
        <f>IFERROR(IF(L592="Китай",K592,K592/(1+M592)),0)</f>
        <v/>
      </c>
      <c r="O592" s="169" t="n"/>
      <c r="P592" s="76">
        <f>N592*(1-O592)</f>
        <v/>
      </c>
      <c r="Q592" s="162" t="n"/>
      <c r="R592" s="162">
        <f>IF(ISBLANK(Q592),"введи курс",P592/Q592)</f>
        <v/>
      </c>
      <c r="S592" s="196">
        <f>IF(AND(ISNUMBER(E592),ISNUMBER(Q592)),E592*R592,0)</f>
        <v/>
      </c>
      <c r="T592" s="192">
        <f>$BC592*V$11</f>
        <v/>
      </c>
      <c r="U592" s="76">
        <f>$BC592*W$11</f>
        <v/>
      </c>
      <c r="V592" s="193">
        <f>+SUM(T592:U592)</f>
        <v/>
      </c>
      <c r="W592" s="191" t="n"/>
      <c r="X592" s="170" t="n"/>
      <c r="Y592" s="76">
        <f>ROUND(IF(offer_incoterms="DDP",X592*(S592*(1+AW592)+T592),0),2)</f>
        <v/>
      </c>
      <c r="Z592" s="188" t="n"/>
      <c r="AA592" s="192">
        <f>IFERROR(AB592/E592,0)</f>
        <v/>
      </c>
      <c r="AB592" s="76">
        <f>ROUND(SUM(S592,V592,Y592:Z592,BA592:BB592),2)</f>
        <v/>
      </c>
      <c r="AC592" s="797" t="n"/>
      <c r="AD592" s="192">
        <f t="array" ref="AD592">IFERROR(ROUND((_xlfn.IFS(offer_sale_type="поставка",AB592,offer_sale_type="транзит",S592)*(1+AC592))/E592,2),0)</f>
        <v/>
      </c>
      <c r="AE592" s="76">
        <f>AD592*E592</f>
        <v/>
      </c>
      <c r="AF592" s="193">
        <f t="array" ref="AF592">IFERROR(ROUND(_xlfn.IFS(offer_sale_type="поставка",AB592,offer_sale_type="транзит",S592)*AC592,2),0)</f>
        <v/>
      </c>
      <c r="AG592" s="192">
        <f>$BD592*VLOOKUP($AG$3,$AF$4:$AG$7,2,FALSE)</f>
        <v/>
      </c>
      <c r="AH592" s="76">
        <f>SUM(AE592,AG592,AI592)*rate_forex_risk</f>
        <v/>
      </c>
      <c r="AI592" s="193">
        <f>IF(OR(seller_region="TR",offer_sale_type="экспорт"),0,rate_fin_comm)*SUM(AZ592,AZ592*AW592,T592)</f>
        <v/>
      </c>
      <c r="AJ592" s="118">
        <f>IFERROR(ROUND(SUM(AB592,AF592:AI592)/E592,2),0)</f>
        <v/>
      </c>
      <c r="AK592" s="76">
        <f>AJ592*E592</f>
        <v/>
      </c>
      <c r="AL592" s="174">
        <f>ROUND(IFERROR(AM592*E592,0),2)</f>
        <v/>
      </c>
      <c r="AM592" s="175">
        <f>ROUND(AJ592*(1+IF(offer_incoterms="DDP",IF((TODAY()+offer_turnaround_time)&gt;=helpsheet!$L$17,rate_vatRU_from_26,rate_vatRu_till_25),0)),2)</f>
        <v/>
      </c>
      <c r="AN592" s="192">
        <f>AL592-AK592</f>
        <v/>
      </c>
      <c r="AO592" s="76">
        <f>SUM(AY592,Y592:Z592,T592)*IF(AND(offer_incoterms="DDP",offer_sale_type&lt;&gt;"экспорт"),IF((TODAY()+offer_turnaround_time)&gt;=helpsheet!$L$17,rate_vatRU_from_26,rate_vatRu_till_25),0)</f>
        <v/>
      </c>
      <c r="AP592" s="193">
        <f>AN592-AO592</f>
        <v/>
      </c>
      <c r="AQ592" s="118">
        <f>IF(offer_sale_type="транзит",SUM(AF592:AI592,BA592,BB592),0)</f>
        <v/>
      </c>
      <c r="AR592" s="82">
        <f>HYPERLINK("https://www.alta.ru/tnved/code/")&amp;W592&amp;"/"</f>
        <v/>
      </c>
      <c r="AS592" s="157" t="n"/>
      <c r="AT592" s="162" t="n"/>
      <c r="AU592" s="76">
        <f>IF(ISBLANK(AT592),0,AJ592-AT592)</f>
        <v/>
      </c>
      <c r="AV592" s="157" t="n"/>
      <c r="AW592" s="75">
        <f>_xlfn.IFNA(VLOOKUP(L592,list_vat[],3,FALSE),0)</f>
        <v/>
      </c>
      <c r="AX592" s="76">
        <f>IFERROR(ROUND(S592*(1+AW592)/E592,2),0)</f>
        <v/>
      </c>
      <c r="AY592" s="76">
        <f>E592*AX592</f>
        <v/>
      </c>
      <c r="AZ592" s="192">
        <f>S592*(1+M592)</f>
        <v/>
      </c>
      <c r="BA592" s="76">
        <f>cost_fin_total*$BD592</f>
        <v/>
      </c>
      <c r="BB592" s="193">
        <f>credit_sales_interest*BD592</f>
        <v/>
      </c>
      <c r="BC592" s="102">
        <f>IFERROR(IF($I$13&gt;0,$I592/$I$13,$S592/$S$13),0)</f>
        <v/>
      </c>
      <c r="BD592" s="102">
        <f>IFERROR($S592/$S$13,0)</f>
        <v/>
      </c>
      <c r="BE592" s="413" t="inlineStr">
        <is>
          <t>$</t>
        </is>
      </c>
    </row>
    <row r="593" ht="12" customFormat="1" customHeight="1" s="65">
      <c r="A593" s="43" t="n">
        <v>578</v>
      </c>
      <c r="B593" s="166" t="n"/>
      <c r="C593" s="166" t="n"/>
      <c r="D593" s="166" t="n"/>
      <c r="E593" s="162" t="n"/>
      <c r="F593" s="166" t="n"/>
      <c r="G593" s="162" t="n"/>
      <c r="H593" s="162" t="n"/>
      <c r="I593" s="189">
        <f>E593*G593</f>
        <v/>
      </c>
      <c r="J593" s="195" t="n"/>
      <c r="K593" s="162" t="n"/>
      <c r="L593" s="168" t="n"/>
      <c r="M593" s="75">
        <f>_xlfn.XLOOKUP(L593,list_vat[Страна],list_vat[Ставка НДС %],0,0)</f>
        <v/>
      </c>
      <c r="N593" s="162">
        <f>IFERROR(IF(L593="Китай",K593,K593/(1+M593)),0)</f>
        <v/>
      </c>
      <c r="O593" s="169" t="n"/>
      <c r="P593" s="76">
        <f>N593*(1-O593)</f>
        <v/>
      </c>
      <c r="Q593" s="162" t="n"/>
      <c r="R593" s="162">
        <f>IF(ISBLANK(Q593),"введи курс",P593/Q593)</f>
        <v/>
      </c>
      <c r="S593" s="196">
        <f>IF(AND(ISNUMBER(E593),ISNUMBER(Q593)),E593*R593,0)</f>
        <v/>
      </c>
      <c r="T593" s="192">
        <f>$BC593*V$11</f>
        <v/>
      </c>
      <c r="U593" s="76">
        <f>$BC593*W$11</f>
        <v/>
      </c>
      <c r="V593" s="193">
        <f>+SUM(T593:U593)</f>
        <v/>
      </c>
      <c r="W593" s="191" t="n"/>
      <c r="X593" s="170" t="n"/>
      <c r="Y593" s="76">
        <f>ROUND(IF(offer_incoterms="DDP",X593*(S593*(1+AW593)+T593),0),2)</f>
        <v/>
      </c>
      <c r="Z593" s="188" t="n"/>
      <c r="AA593" s="192">
        <f>IFERROR(AB593/E593,0)</f>
        <v/>
      </c>
      <c r="AB593" s="76">
        <f>ROUND(SUM(S593,V593,Y593:Z593,BA593:BB593),2)</f>
        <v/>
      </c>
      <c r="AC593" s="797" t="n"/>
      <c r="AD593" s="192">
        <f t="array" ref="AD593">IFERROR(ROUND((_xlfn.IFS(offer_sale_type="поставка",AB593,offer_sale_type="транзит",S593)*(1+AC593))/E593,2),0)</f>
        <v/>
      </c>
      <c r="AE593" s="76">
        <f>AD593*E593</f>
        <v/>
      </c>
      <c r="AF593" s="193">
        <f t="array" ref="AF593">IFERROR(ROUND(_xlfn.IFS(offer_sale_type="поставка",AB593,offer_sale_type="транзит",S593)*AC593,2),0)</f>
        <v/>
      </c>
      <c r="AG593" s="192">
        <f>$BD593*VLOOKUP($AG$3,$AF$4:$AG$7,2,FALSE)</f>
        <v/>
      </c>
      <c r="AH593" s="76">
        <f>SUM(AE593,AG593,AI593)*rate_forex_risk</f>
        <v/>
      </c>
      <c r="AI593" s="193">
        <f>IF(OR(seller_region="TR",offer_sale_type="экспорт"),0,rate_fin_comm)*SUM(AZ593,AZ593*AW593,T593)</f>
        <v/>
      </c>
      <c r="AJ593" s="118">
        <f>IFERROR(ROUND(SUM(AB593,AF593:AI593)/E593,2),0)</f>
        <v/>
      </c>
      <c r="AK593" s="76">
        <f>AJ593*E593</f>
        <v/>
      </c>
      <c r="AL593" s="174">
        <f>ROUND(IFERROR(AM593*E593,0),2)</f>
        <v/>
      </c>
      <c r="AM593" s="175">
        <f>ROUND(AJ593*(1+IF(offer_incoterms="DDP",IF((TODAY()+offer_turnaround_time)&gt;=helpsheet!$L$17,rate_vatRU_from_26,rate_vatRu_till_25),0)),2)</f>
        <v/>
      </c>
      <c r="AN593" s="192">
        <f>AL593-AK593</f>
        <v/>
      </c>
      <c r="AO593" s="76">
        <f>SUM(AY593,Y593:Z593,T593)*IF(AND(offer_incoterms="DDP",offer_sale_type&lt;&gt;"экспорт"),IF((TODAY()+offer_turnaround_time)&gt;=helpsheet!$L$17,rate_vatRU_from_26,rate_vatRu_till_25),0)</f>
        <v/>
      </c>
      <c r="AP593" s="193">
        <f>AN593-AO593</f>
        <v/>
      </c>
      <c r="AQ593" s="118">
        <f>IF(offer_sale_type="транзит",SUM(AF593:AI593,BA593,BB593),0)</f>
        <v/>
      </c>
      <c r="AR593" s="82">
        <f>HYPERLINK("https://www.alta.ru/tnved/code/")&amp;W593&amp;"/"</f>
        <v/>
      </c>
      <c r="AS593" s="157" t="n"/>
      <c r="AT593" s="162" t="n"/>
      <c r="AU593" s="76">
        <f>IF(ISBLANK(AT593),0,AJ593-AT593)</f>
        <v/>
      </c>
      <c r="AV593" s="157" t="n"/>
      <c r="AW593" s="75">
        <f>_xlfn.IFNA(VLOOKUP(L593,list_vat[],3,FALSE),0)</f>
        <v/>
      </c>
      <c r="AX593" s="76">
        <f>IFERROR(ROUND(S593*(1+AW593)/E593,2),0)</f>
        <v/>
      </c>
      <c r="AY593" s="76">
        <f>E593*AX593</f>
        <v/>
      </c>
      <c r="AZ593" s="192">
        <f>S593*(1+M593)</f>
        <v/>
      </c>
      <c r="BA593" s="76">
        <f>cost_fin_total*$BD593</f>
        <v/>
      </c>
      <c r="BB593" s="193">
        <f>credit_sales_interest*BD593</f>
        <v/>
      </c>
      <c r="BC593" s="102">
        <f>IFERROR(IF($I$13&gt;0,$I593/$I$13,$S593/$S$13),0)</f>
        <v/>
      </c>
      <c r="BD593" s="102">
        <f>IFERROR($S593/$S$13,0)</f>
        <v/>
      </c>
      <c r="BE593" s="413" t="inlineStr">
        <is>
          <t>$</t>
        </is>
      </c>
    </row>
    <row r="594" ht="12" customFormat="1" customHeight="1" s="65">
      <c r="A594" s="43" t="n">
        <v>579</v>
      </c>
      <c r="B594" s="166" t="n"/>
      <c r="C594" s="166" t="n"/>
      <c r="D594" s="166" t="n"/>
      <c r="E594" s="162" t="n"/>
      <c r="F594" s="166" t="n"/>
      <c r="G594" s="162" t="n"/>
      <c r="H594" s="162" t="n"/>
      <c r="I594" s="189">
        <f>E594*G594</f>
        <v/>
      </c>
      <c r="J594" s="195" t="n"/>
      <c r="K594" s="162" t="n"/>
      <c r="L594" s="168" t="n"/>
      <c r="M594" s="75">
        <f>_xlfn.XLOOKUP(L594,list_vat[Страна],list_vat[Ставка НДС %],0,0)</f>
        <v/>
      </c>
      <c r="N594" s="162">
        <f>IFERROR(IF(L594="Китай",K594,K594/(1+M594)),0)</f>
        <v/>
      </c>
      <c r="O594" s="169" t="n"/>
      <c r="P594" s="76">
        <f>N594*(1-O594)</f>
        <v/>
      </c>
      <c r="Q594" s="162" t="n"/>
      <c r="R594" s="162">
        <f>IF(ISBLANK(Q594),"введи курс",P594/Q594)</f>
        <v/>
      </c>
      <c r="S594" s="196">
        <f>IF(AND(ISNUMBER(E594),ISNUMBER(Q594)),E594*R594,0)</f>
        <v/>
      </c>
      <c r="T594" s="192">
        <f>$BC594*V$11</f>
        <v/>
      </c>
      <c r="U594" s="76">
        <f>$BC594*W$11</f>
        <v/>
      </c>
      <c r="V594" s="193">
        <f>+SUM(T594:U594)</f>
        <v/>
      </c>
      <c r="W594" s="191" t="n"/>
      <c r="X594" s="170" t="n"/>
      <c r="Y594" s="76">
        <f>ROUND(IF(offer_incoterms="DDP",X594*(S594*(1+AW594)+T594),0),2)</f>
        <v/>
      </c>
      <c r="Z594" s="188" t="n"/>
      <c r="AA594" s="192">
        <f>IFERROR(AB594/E594,0)</f>
        <v/>
      </c>
      <c r="AB594" s="76">
        <f>ROUND(SUM(S594,V594,Y594:Z594,BA594:BB594),2)</f>
        <v/>
      </c>
      <c r="AC594" s="797" t="n"/>
      <c r="AD594" s="192">
        <f t="array" ref="AD594">IFERROR(ROUND((_xlfn.IFS(offer_sale_type="поставка",AB594,offer_sale_type="транзит",S594)*(1+AC594))/E594,2),0)</f>
        <v/>
      </c>
      <c r="AE594" s="76">
        <f>AD594*E594</f>
        <v/>
      </c>
      <c r="AF594" s="193">
        <f t="array" ref="AF594">IFERROR(ROUND(_xlfn.IFS(offer_sale_type="поставка",AB594,offer_sale_type="транзит",S594)*AC594,2),0)</f>
        <v/>
      </c>
      <c r="AG594" s="192">
        <f>$BD594*VLOOKUP($AG$3,$AF$4:$AG$7,2,FALSE)</f>
        <v/>
      </c>
      <c r="AH594" s="76">
        <f>SUM(AE594,AG594,AI594)*rate_forex_risk</f>
        <v/>
      </c>
      <c r="AI594" s="193">
        <f>IF(OR(seller_region="TR",offer_sale_type="экспорт"),0,rate_fin_comm)*SUM(AZ594,AZ594*AW594,T594)</f>
        <v/>
      </c>
      <c r="AJ594" s="118">
        <f>IFERROR(ROUND(SUM(AB594,AF594:AI594)/E594,2),0)</f>
        <v/>
      </c>
      <c r="AK594" s="76">
        <f>AJ594*E594</f>
        <v/>
      </c>
      <c r="AL594" s="174">
        <f>ROUND(IFERROR(AM594*E594,0),2)</f>
        <v/>
      </c>
      <c r="AM594" s="175">
        <f>ROUND(AJ594*(1+IF(offer_incoterms="DDP",IF((TODAY()+offer_turnaround_time)&gt;=helpsheet!$L$17,rate_vatRU_from_26,rate_vatRu_till_25),0)),2)</f>
        <v/>
      </c>
      <c r="AN594" s="192">
        <f>AL594-AK594</f>
        <v/>
      </c>
      <c r="AO594" s="76">
        <f>SUM(AY594,Y594:Z594,T594)*IF(AND(offer_incoterms="DDP",offer_sale_type&lt;&gt;"экспорт"),IF((TODAY()+offer_turnaround_time)&gt;=helpsheet!$L$17,rate_vatRU_from_26,rate_vatRu_till_25),0)</f>
        <v/>
      </c>
      <c r="AP594" s="193">
        <f>AN594-AO594</f>
        <v/>
      </c>
      <c r="AQ594" s="118">
        <f>IF(offer_sale_type="транзит",SUM(AF594:AI594,BA594,BB594),0)</f>
        <v/>
      </c>
      <c r="AR594" s="82">
        <f>HYPERLINK("https://www.alta.ru/tnved/code/")&amp;W594&amp;"/"</f>
        <v/>
      </c>
      <c r="AS594" s="157" t="n"/>
      <c r="AT594" s="162" t="n"/>
      <c r="AU594" s="76">
        <f>IF(ISBLANK(AT594),0,AJ594-AT594)</f>
        <v/>
      </c>
      <c r="AV594" s="157" t="n"/>
      <c r="AW594" s="75">
        <f>_xlfn.IFNA(VLOOKUP(L594,list_vat[],3,FALSE),0)</f>
        <v/>
      </c>
      <c r="AX594" s="76">
        <f>IFERROR(ROUND(S594*(1+AW594)/E594,2),0)</f>
        <v/>
      </c>
      <c r="AY594" s="76">
        <f>E594*AX594</f>
        <v/>
      </c>
      <c r="AZ594" s="192">
        <f>S594*(1+M594)</f>
        <v/>
      </c>
      <c r="BA594" s="76">
        <f>cost_fin_total*$BD594</f>
        <v/>
      </c>
      <c r="BB594" s="193">
        <f>credit_sales_interest*BD594</f>
        <v/>
      </c>
      <c r="BC594" s="102">
        <f>IFERROR(IF($I$13&gt;0,$I594/$I$13,$S594/$S$13),0)</f>
        <v/>
      </c>
      <c r="BD594" s="102">
        <f>IFERROR($S594/$S$13,0)</f>
        <v/>
      </c>
      <c r="BE594" s="413" t="inlineStr">
        <is>
          <t>$</t>
        </is>
      </c>
    </row>
    <row r="595" ht="12" customFormat="1" customHeight="1" s="65">
      <c r="A595" s="43" t="n">
        <v>580</v>
      </c>
      <c r="B595" s="166" t="n"/>
      <c r="C595" s="166" t="n"/>
      <c r="D595" s="166" t="n"/>
      <c r="E595" s="162" t="n"/>
      <c r="F595" s="166" t="n"/>
      <c r="G595" s="162" t="n"/>
      <c r="H595" s="162" t="n"/>
      <c r="I595" s="189">
        <f>E595*G595</f>
        <v/>
      </c>
      <c r="J595" s="195" t="n"/>
      <c r="K595" s="162" t="n"/>
      <c r="L595" s="168" t="n"/>
      <c r="M595" s="75">
        <f>_xlfn.XLOOKUP(L595,list_vat[Страна],list_vat[Ставка НДС %],0,0)</f>
        <v/>
      </c>
      <c r="N595" s="162">
        <f>IFERROR(IF(L595="Китай",K595,K595/(1+M595)),0)</f>
        <v/>
      </c>
      <c r="O595" s="169" t="n"/>
      <c r="P595" s="76">
        <f>N595*(1-O595)</f>
        <v/>
      </c>
      <c r="Q595" s="162" t="n"/>
      <c r="R595" s="162">
        <f>IF(ISBLANK(Q595),"введи курс",P595/Q595)</f>
        <v/>
      </c>
      <c r="S595" s="196">
        <f>IF(AND(ISNUMBER(E595),ISNUMBER(Q595)),E595*R595,0)</f>
        <v/>
      </c>
      <c r="T595" s="192">
        <f>$BC595*V$11</f>
        <v/>
      </c>
      <c r="U595" s="76">
        <f>$BC595*W$11</f>
        <v/>
      </c>
      <c r="V595" s="193">
        <f>+SUM(T595:U595)</f>
        <v/>
      </c>
      <c r="W595" s="191" t="n"/>
      <c r="X595" s="170" t="n"/>
      <c r="Y595" s="76">
        <f>ROUND(IF(offer_incoterms="DDP",X595*(S595*(1+AW595)+T595),0),2)</f>
        <v/>
      </c>
      <c r="Z595" s="188" t="n"/>
      <c r="AA595" s="192">
        <f>IFERROR(AB595/E595,0)</f>
        <v/>
      </c>
      <c r="AB595" s="76">
        <f>ROUND(SUM(S595,V595,Y595:Z595,BA595:BB595),2)</f>
        <v/>
      </c>
      <c r="AC595" s="797" t="n"/>
      <c r="AD595" s="192">
        <f t="array" ref="AD595">IFERROR(ROUND((_xlfn.IFS(offer_sale_type="поставка",AB595,offer_sale_type="транзит",S595)*(1+AC595))/E595,2),0)</f>
        <v/>
      </c>
      <c r="AE595" s="76">
        <f>AD595*E595</f>
        <v/>
      </c>
      <c r="AF595" s="193">
        <f t="array" ref="AF595">IFERROR(ROUND(_xlfn.IFS(offer_sale_type="поставка",AB595,offer_sale_type="транзит",S595)*AC595,2),0)</f>
        <v/>
      </c>
      <c r="AG595" s="192">
        <f>$BD595*VLOOKUP($AG$3,$AF$4:$AG$7,2,FALSE)</f>
        <v/>
      </c>
      <c r="AH595" s="76">
        <f>SUM(AE595,AG595,AI595)*rate_forex_risk</f>
        <v/>
      </c>
      <c r="AI595" s="193">
        <f>IF(OR(seller_region="TR",offer_sale_type="экспорт"),0,rate_fin_comm)*SUM(AZ595,AZ595*AW595,T595)</f>
        <v/>
      </c>
      <c r="AJ595" s="118">
        <f>IFERROR(ROUND(SUM(AB595,AF595:AI595)/E595,2),0)</f>
        <v/>
      </c>
      <c r="AK595" s="76">
        <f>AJ595*E595</f>
        <v/>
      </c>
      <c r="AL595" s="174">
        <f>ROUND(IFERROR(AM595*E595,0),2)</f>
        <v/>
      </c>
      <c r="AM595" s="175">
        <f>ROUND(AJ595*(1+IF(offer_incoterms="DDP",IF((TODAY()+offer_turnaround_time)&gt;=helpsheet!$L$17,rate_vatRU_from_26,rate_vatRu_till_25),0)),2)</f>
        <v/>
      </c>
      <c r="AN595" s="192">
        <f>AL595-AK595</f>
        <v/>
      </c>
      <c r="AO595" s="76">
        <f>SUM(AY595,Y595:Z595,T595)*IF(AND(offer_incoterms="DDP",offer_sale_type&lt;&gt;"экспорт"),IF((TODAY()+offer_turnaround_time)&gt;=helpsheet!$L$17,rate_vatRU_from_26,rate_vatRu_till_25),0)</f>
        <v/>
      </c>
      <c r="AP595" s="193">
        <f>AN595-AO595</f>
        <v/>
      </c>
      <c r="AQ595" s="118">
        <f>IF(offer_sale_type="транзит",SUM(AF595:AI595,BA595,BB595),0)</f>
        <v/>
      </c>
      <c r="AR595" s="82">
        <f>HYPERLINK("https://www.alta.ru/tnved/code/")&amp;W595&amp;"/"</f>
        <v/>
      </c>
      <c r="AS595" s="157" t="n"/>
      <c r="AT595" s="162" t="n"/>
      <c r="AU595" s="76">
        <f>IF(ISBLANK(AT595),0,AJ595-AT595)</f>
        <v/>
      </c>
      <c r="AV595" s="157" t="n"/>
      <c r="AW595" s="75">
        <f>_xlfn.IFNA(VLOOKUP(L595,list_vat[],3,FALSE),0)</f>
        <v/>
      </c>
      <c r="AX595" s="76">
        <f>IFERROR(ROUND(S595*(1+AW595)/E595,2),0)</f>
        <v/>
      </c>
      <c r="AY595" s="76">
        <f>E595*AX595</f>
        <v/>
      </c>
      <c r="AZ595" s="192">
        <f>S595*(1+M595)</f>
        <v/>
      </c>
      <c r="BA595" s="76">
        <f>cost_fin_total*$BD595</f>
        <v/>
      </c>
      <c r="BB595" s="193">
        <f>credit_sales_interest*BD595</f>
        <v/>
      </c>
      <c r="BC595" s="102">
        <f>IFERROR(IF($I$13&gt;0,$I595/$I$13,$S595/$S$13),0)</f>
        <v/>
      </c>
      <c r="BD595" s="102">
        <f>IFERROR($S595/$S$13,0)</f>
        <v/>
      </c>
      <c r="BE595" s="413" t="inlineStr">
        <is>
          <t>$</t>
        </is>
      </c>
    </row>
    <row r="596" ht="12" customFormat="1" customHeight="1" s="65">
      <c r="A596" s="43" t="n">
        <v>581</v>
      </c>
      <c r="B596" s="166" t="n"/>
      <c r="C596" s="166" t="n"/>
      <c r="D596" s="166" t="n"/>
      <c r="E596" s="162" t="n"/>
      <c r="F596" s="166" t="n"/>
      <c r="G596" s="162" t="n"/>
      <c r="H596" s="162" t="n"/>
      <c r="I596" s="189">
        <f>E596*G596</f>
        <v/>
      </c>
      <c r="J596" s="195" t="n"/>
      <c r="K596" s="162" t="n"/>
      <c r="L596" s="168" t="n"/>
      <c r="M596" s="75">
        <f>_xlfn.XLOOKUP(L596,list_vat[Страна],list_vat[Ставка НДС %],0,0)</f>
        <v/>
      </c>
      <c r="N596" s="162">
        <f>IFERROR(IF(L596="Китай",K596,K596/(1+M596)),0)</f>
        <v/>
      </c>
      <c r="O596" s="169" t="n"/>
      <c r="P596" s="76">
        <f>N596*(1-O596)</f>
        <v/>
      </c>
      <c r="Q596" s="162" t="n"/>
      <c r="R596" s="162">
        <f>IF(ISBLANK(Q596),"введи курс",P596/Q596)</f>
        <v/>
      </c>
      <c r="S596" s="196">
        <f>IF(AND(ISNUMBER(E596),ISNUMBER(Q596)),E596*R596,0)</f>
        <v/>
      </c>
      <c r="T596" s="192">
        <f>$BC596*V$11</f>
        <v/>
      </c>
      <c r="U596" s="76">
        <f>$BC596*W$11</f>
        <v/>
      </c>
      <c r="V596" s="193">
        <f>+SUM(T596:U596)</f>
        <v/>
      </c>
      <c r="W596" s="191" t="n"/>
      <c r="X596" s="170" t="n"/>
      <c r="Y596" s="76">
        <f>ROUND(IF(offer_incoterms="DDP",X596*(S596*(1+AW596)+T596),0),2)</f>
        <v/>
      </c>
      <c r="Z596" s="188" t="n"/>
      <c r="AA596" s="192">
        <f>IFERROR(AB596/E596,0)</f>
        <v/>
      </c>
      <c r="AB596" s="76">
        <f>ROUND(SUM(S596,V596,Y596:Z596,BA596:BB596),2)</f>
        <v/>
      </c>
      <c r="AC596" s="797" t="n"/>
      <c r="AD596" s="192">
        <f t="array" ref="AD596">IFERROR(ROUND((_xlfn.IFS(offer_sale_type="поставка",AB596,offer_sale_type="транзит",S596)*(1+AC596))/E596,2),0)</f>
        <v/>
      </c>
      <c r="AE596" s="76">
        <f>AD596*E596</f>
        <v/>
      </c>
      <c r="AF596" s="193">
        <f t="array" ref="AF596">IFERROR(ROUND(_xlfn.IFS(offer_sale_type="поставка",AB596,offer_sale_type="транзит",S596)*AC596,2),0)</f>
        <v/>
      </c>
      <c r="AG596" s="192">
        <f>$BD596*VLOOKUP($AG$3,$AF$4:$AG$7,2,FALSE)</f>
        <v/>
      </c>
      <c r="AH596" s="76">
        <f>SUM(AE596,AG596,AI596)*rate_forex_risk</f>
        <v/>
      </c>
      <c r="AI596" s="193">
        <f>IF(OR(seller_region="TR",offer_sale_type="экспорт"),0,rate_fin_comm)*SUM(AZ596,AZ596*AW596,T596)</f>
        <v/>
      </c>
      <c r="AJ596" s="118">
        <f>IFERROR(ROUND(SUM(AB596,AF596:AI596)/E596,2),0)</f>
        <v/>
      </c>
      <c r="AK596" s="76">
        <f>AJ596*E596</f>
        <v/>
      </c>
      <c r="AL596" s="174">
        <f>ROUND(IFERROR(AM596*E596,0),2)</f>
        <v/>
      </c>
      <c r="AM596" s="175">
        <f>ROUND(AJ596*(1+IF(offer_incoterms="DDP",IF((TODAY()+offer_turnaround_time)&gt;=helpsheet!$L$17,rate_vatRU_from_26,rate_vatRu_till_25),0)),2)</f>
        <v/>
      </c>
      <c r="AN596" s="192">
        <f>AL596-AK596</f>
        <v/>
      </c>
      <c r="AO596" s="76">
        <f>SUM(AY596,Y596:Z596,T596)*IF(AND(offer_incoterms="DDP",offer_sale_type&lt;&gt;"экспорт"),IF((TODAY()+offer_turnaround_time)&gt;=helpsheet!$L$17,rate_vatRU_from_26,rate_vatRu_till_25),0)</f>
        <v/>
      </c>
      <c r="AP596" s="193">
        <f>AN596-AO596</f>
        <v/>
      </c>
      <c r="AQ596" s="118">
        <f>IF(offer_sale_type="транзит",SUM(AF596:AI596,BA596,BB596),0)</f>
        <v/>
      </c>
      <c r="AR596" s="82">
        <f>HYPERLINK("https://www.alta.ru/tnved/code/")&amp;W596&amp;"/"</f>
        <v/>
      </c>
      <c r="AS596" s="157" t="n"/>
      <c r="AT596" s="162" t="n"/>
      <c r="AU596" s="76">
        <f>IF(ISBLANK(AT596),0,AJ596-AT596)</f>
        <v/>
      </c>
      <c r="AV596" s="157" t="n"/>
      <c r="AW596" s="75">
        <f>_xlfn.IFNA(VLOOKUP(L596,list_vat[],3,FALSE),0)</f>
        <v/>
      </c>
      <c r="AX596" s="76">
        <f>IFERROR(ROUND(S596*(1+AW596)/E596,2),0)</f>
        <v/>
      </c>
      <c r="AY596" s="76">
        <f>E596*AX596</f>
        <v/>
      </c>
      <c r="AZ596" s="192">
        <f>S596*(1+M596)</f>
        <v/>
      </c>
      <c r="BA596" s="76">
        <f>cost_fin_total*$BD596</f>
        <v/>
      </c>
      <c r="BB596" s="193">
        <f>credit_sales_interest*BD596</f>
        <v/>
      </c>
      <c r="BC596" s="102">
        <f>IFERROR(IF($I$13&gt;0,$I596/$I$13,$S596/$S$13),0)</f>
        <v/>
      </c>
      <c r="BD596" s="102">
        <f>IFERROR($S596/$S$13,0)</f>
        <v/>
      </c>
      <c r="BE596" s="413" t="inlineStr">
        <is>
          <t>$</t>
        </is>
      </c>
    </row>
    <row r="597" ht="12" customFormat="1" customHeight="1" s="65">
      <c r="A597" s="43" t="n">
        <v>582</v>
      </c>
      <c r="B597" s="166" t="n"/>
      <c r="C597" s="166" t="n"/>
      <c r="D597" s="166" t="n"/>
      <c r="E597" s="162" t="n"/>
      <c r="F597" s="166" t="n"/>
      <c r="G597" s="162" t="n"/>
      <c r="H597" s="162" t="n"/>
      <c r="I597" s="189">
        <f>E597*G597</f>
        <v/>
      </c>
      <c r="J597" s="195" t="n"/>
      <c r="K597" s="162" t="n"/>
      <c r="L597" s="168" t="n"/>
      <c r="M597" s="75">
        <f>_xlfn.XLOOKUP(L597,list_vat[Страна],list_vat[Ставка НДС %],0,0)</f>
        <v/>
      </c>
      <c r="N597" s="162">
        <f>IFERROR(IF(L597="Китай",K597,K597/(1+M597)),0)</f>
        <v/>
      </c>
      <c r="O597" s="169" t="n"/>
      <c r="P597" s="76">
        <f>N597*(1-O597)</f>
        <v/>
      </c>
      <c r="Q597" s="162" t="n"/>
      <c r="R597" s="162">
        <f>IF(ISBLANK(Q597),"введи курс",P597/Q597)</f>
        <v/>
      </c>
      <c r="S597" s="196">
        <f>IF(AND(ISNUMBER(E597),ISNUMBER(Q597)),E597*R597,0)</f>
        <v/>
      </c>
      <c r="T597" s="192">
        <f>$BC597*V$11</f>
        <v/>
      </c>
      <c r="U597" s="76">
        <f>$BC597*W$11</f>
        <v/>
      </c>
      <c r="V597" s="193">
        <f>+SUM(T597:U597)</f>
        <v/>
      </c>
      <c r="W597" s="191" t="n"/>
      <c r="X597" s="170" t="n"/>
      <c r="Y597" s="76">
        <f>ROUND(IF(offer_incoterms="DDP",X597*(S597*(1+AW597)+T597),0),2)</f>
        <v/>
      </c>
      <c r="Z597" s="188" t="n"/>
      <c r="AA597" s="192">
        <f>IFERROR(AB597/E597,0)</f>
        <v/>
      </c>
      <c r="AB597" s="76">
        <f>ROUND(SUM(S597,V597,Y597:Z597,BA597:BB597),2)</f>
        <v/>
      </c>
      <c r="AC597" s="797" t="n"/>
      <c r="AD597" s="192">
        <f t="array" ref="AD597">IFERROR(ROUND((_xlfn.IFS(offer_sale_type="поставка",AB597,offer_sale_type="транзит",S597)*(1+AC597))/E597,2),0)</f>
        <v/>
      </c>
      <c r="AE597" s="76">
        <f>AD597*E597</f>
        <v/>
      </c>
      <c r="AF597" s="193">
        <f t="array" ref="AF597">IFERROR(ROUND(_xlfn.IFS(offer_sale_type="поставка",AB597,offer_sale_type="транзит",S597)*AC597,2),0)</f>
        <v/>
      </c>
      <c r="AG597" s="192">
        <f>$BD597*VLOOKUP($AG$3,$AF$4:$AG$7,2,FALSE)</f>
        <v/>
      </c>
      <c r="AH597" s="76">
        <f>SUM(AE597,AG597,AI597)*rate_forex_risk</f>
        <v/>
      </c>
      <c r="AI597" s="193">
        <f>IF(OR(seller_region="TR",offer_sale_type="экспорт"),0,rate_fin_comm)*SUM(AZ597,AZ597*AW597,T597)</f>
        <v/>
      </c>
      <c r="AJ597" s="118">
        <f>IFERROR(ROUND(SUM(AB597,AF597:AI597)/E597,2),0)</f>
        <v/>
      </c>
      <c r="AK597" s="76">
        <f>AJ597*E597</f>
        <v/>
      </c>
      <c r="AL597" s="174">
        <f>ROUND(IFERROR(AM597*E597,0),2)</f>
        <v/>
      </c>
      <c r="AM597" s="175">
        <f>ROUND(AJ597*(1+IF(offer_incoterms="DDP",IF((TODAY()+offer_turnaround_time)&gt;=helpsheet!$L$17,rate_vatRU_from_26,rate_vatRu_till_25),0)),2)</f>
        <v/>
      </c>
      <c r="AN597" s="192">
        <f>AL597-AK597</f>
        <v/>
      </c>
      <c r="AO597" s="76">
        <f>SUM(AY597,Y597:Z597,T597)*IF(AND(offer_incoterms="DDP",offer_sale_type&lt;&gt;"экспорт"),IF((TODAY()+offer_turnaround_time)&gt;=helpsheet!$L$17,rate_vatRU_from_26,rate_vatRu_till_25),0)</f>
        <v/>
      </c>
      <c r="AP597" s="193">
        <f>AN597-AO597</f>
        <v/>
      </c>
      <c r="AQ597" s="118">
        <f>IF(offer_sale_type="транзит",SUM(AF597:AI597,BA597,BB597),0)</f>
        <v/>
      </c>
      <c r="AR597" s="82">
        <f>HYPERLINK("https://www.alta.ru/tnved/code/")&amp;W597&amp;"/"</f>
        <v/>
      </c>
      <c r="AS597" s="157" t="n"/>
      <c r="AT597" s="162" t="n"/>
      <c r="AU597" s="76">
        <f>IF(ISBLANK(AT597),0,AJ597-AT597)</f>
        <v/>
      </c>
      <c r="AV597" s="157" t="n"/>
      <c r="AW597" s="75">
        <f>_xlfn.IFNA(VLOOKUP(L597,list_vat[],3,FALSE),0)</f>
        <v/>
      </c>
      <c r="AX597" s="76">
        <f>IFERROR(ROUND(S597*(1+AW597)/E597,2),0)</f>
        <v/>
      </c>
      <c r="AY597" s="76">
        <f>E597*AX597</f>
        <v/>
      </c>
      <c r="AZ597" s="192">
        <f>S597*(1+M597)</f>
        <v/>
      </c>
      <c r="BA597" s="76">
        <f>cost_fin_total*$BD597</f>
        <v/>
      </c>
      <c r="BB597" s="193">
        <f>credit_sales_interest*BD597</f>
        <v/>
      </c>
      <c r="BC597" s="102">
        <f>IFERROR(IF($I$13&gt;0,$I597/$I$13,$S597/$S$13),0)</f>
        <v/>
      </c>
      <c r="BD597" s="102">
        <f>IFERROR($S597/$S$13,0)</f>
        <v/>
      </c>
      <c r="BE597" s="413" t="inlineStr">
        <is>
          <t>$</t>
        </is>
      </c>
    </row>
    <row r="598" ht="12" customFormat="1" customHeight="1" s="65">
      <c r="A598" s="43" t="n">
        <v>583</v>
      </c>
      <c r="B598" s="166" t="n"/>
      <c r="C598" s="166" t="n"/>
      <c r="D598" s="166" t="n"/>
      <c r="E598" s="162" t="n"/>
      <c r="F598" s="166" t="n"/>
      <c r="G598" s="162" t="n"/>
      <c r="H598" s="162" t="n"/>
      <c r="I598" s="189">
        <f>E598*G598</f>
        <v/>
      </c>
      <c r="J598" s="195" t="n"/>
      <c r="K598" s="162" t="n"/>
      <c r="L598" s="168" t="n"/>
      <c r="M598" s="75">
        <f>_xlfn.XLOOKUP(L598,list_vat[Страна],list_vat[Ставка НДС %],0,0)</f>
        <v/>
      </c>
      <c r="N598" s="162">
        <f>IFERROR(IF(L598="Китай",K598,K598/(1+M598)),0)</f>
        <v/>
      </c>
      <c r="O598" s="169" t="n"/>
      <c r="P598" s="76">
        <f>N598*(1-O598)</f>
        <v/>
      </c>
      <c r="Q598" s="162" t="n"/>
      <c r="R598" s="162">
        <f>IF(ISBLANK(Q598),"введи курс",P598/Q598)</f>
        <v/>
      </c>
      <c r="S598" s="196">
        <f>IF(AND(ISNUMBER(E598),ISNUMBER(Q598)),E598*R598,0)</f>
        <v/>
      </c>
      <c r="T598" s="192">
        <f>$BC598*V$11</f>
        <v/>
      </c>
      <c r="U598" s="76">
        <f>$BC598*W$11</f>
        <v/>
      </c>
      <c r="V598" s="193">
        <f>+SUM(T598:U598)</f>
        <v/>
      </c>
      <c r="W598" s="191" t="n"/>
      <c r="X598" s="170" t="n"/>
      <c r="Y598" s="76">
        <f>ROUND(IF(offer_incoterms="DDP",X598*(S598*(1+AW598)+T598),0),2)</f>
        <v/>
      </c>
      <c r="Z598" s="188" t="n"/>
      <c r="AA598" s="192">
        <f>IFERROR(AB598/E598,0)</f>
        <v/>
      </c>
      <c r="AB598" s="76">
        <f>ROUND(SUM(S598,V598,Y598:Z598,BA598:BB598),2)</f>
        <v/>
      </c>
      <c r="AC598" s="797" t="n"/>
      <c r="AD598" s="192">
        <f t="array" ref="AD598">IFERROR(ROUND((_xlfn.IFS(offer_sale_type="поставка",AB598,offer_sale_type="транзит",S598)*(1+AC598))/E598,2),0)</f>
        <v/>
      </c>
      <c r="AE598" s="76">
        <f>AD598*E598</f>
        <v/>
      </c>
      <c r="AF598" s="193">
        <f t="array" ref="AF598">IFERROR(ROUND(_xlfn.IFS(offer_sale_type="поставка",AB598,offer_sale_type="транзит",S598)*AC598,2),0)</f>
        <v/>
      </c>
      <c r="AG598" s="192">
        <f>$BD598*VLOOKUP($AG$3,$AF$4:$AG$7,2,FALSE)</f>
        <v/>
      </c>
      <c r="AH598" s="76">
        <f>SUM(AE598,AG598,AI598)*rate_forex_risk</f>
        <v/>
      </c>
      <c r="AI598" s="193">
        <f>IF(OR(seller_region="TR",offer_sale_type="экспорт"),0,rate_fin_comm)*SUM(AZ598,AZ598*AW598,T598)</f>
        <v/>
      </c>
      <c r="AJ598" s="118">
        <f>IFERROR(ROUND(SUM(AB598,AF598:AI598)/E598,2),0)</f>
        <v/>
      </c>
      <c r="AK598" s="76">
        <f>AJ598*E598</f>
        <v/>
      </c>
      <c r="AL598" s="174">
        <f>ROUND(IFERROR(AM598*E598,0),2)</f>
        <v/>
      </c>
      <c r="AM598" s="175">
        <f>ROUND(AJ598*(1+IF(offer_incoterms="DDP",IF((TODAY()+offer_turnaround_time)&gt;=helpsheet!$L$17,rate_vatRU_from_26,rate_vatRu_till_25),0)),2)</f>
        <v/>
      </c>
      <c r="AN598" s="192">
        <f>AL598-AK598</f>
        <v/>
      </c>
      <c r="AO598" s="76">
        <f>SUM(AY598,Y598:Z598,T598)*IF(AND(offer_incoterms="DDP",offer_sale_type&lt;&gt;"экспорт"),IF((TODAY()+offer_turnaround_time)&gt;=helpsheet!$L$17,rate_vatRU_from_26,rate_vatRu_till_25),0)</f>
        <v/>
      </c>
      <c r="AP598" s="193">
        <f>AN598-AO598</f>
        <v/>
      </c>
      <c r="AQ598" s="118">
        <f>IF(offer_sale_type="транзит",SUM(AF598:AI598,BA598,BB598),0)</f>
        <v/>
      </c>
      <c r="AR598" s="82">
        <f>HYPERLINK("https://www.alta.ru/tnved/code/")&amp;W598&amp;"/"</f>
        <v/>
      </c>
      <c r="AS598" s="157" t="n"/>
      <c r="AT598" s="162" t="n"/>
      <c r="AU598" s="76">
        <f>IF(ISBLANK(AT598),0,AJ598-AT598)</f>
        <v/>
      </c>
      <c r="AV598" s="157" t="n"/>
      <c r="AW598" s="75">
        <f>_xlfn.IFNA(VLOOKUP(L598,list_vat[],3,FALSE),0)</f>
        <v/>
      </c>
      <c r="AX598" s="76">
        <f>IFERROR(ROUND(S598*(1+AW598)/E598,2),0)</f>
        <v/>
      </c>
      <c r="AY598" s="76">
        <f>E598*AX598</f>
        <v/>
      </c>
      <c r="AZ598" s="192">
        <f>S598*(1+M598)</f>
        <v/>
      </c>
      <c r="BA598" s="76">
        <f>cost_fin_total*$BD598</f>
        <v/>
      </c>
      <c r="BB598" s="193">
        <f>credit_sales_interest*BD598</f>
        <v/>
      </c>
      <c r="BC598" s="102">
        <f>IFERROR(IF($I$13&gt;0,$I598/$I$13,$S598/$S$13),0)</f>
        <v/>
      </c>
      <c r="BD598" s="102">
        <f>IFERROR($S598/$S$13,0)</f>
        <v/>
      </c>
      <c r="BE598" s="413" t="inlineStr">
        <is>
          <t>$</t>
        </is>
      </c>
    </row>
    <row r="599" ht="12" customFormat="1" customHeight="1" s="65">
      <c r="A599" s="43" t="n">
        <v>584</v>
      </c>
      <c r="B599" s="166" t="n"/>
      <c r="C599" s="166" t="n"/>
      <c r="D599" s="166" t="n"/>
      <c r="E599" s="162" t="n"/>
      <c r="F599" s="166" t="n"/>
      <c r="G599" s="162" t="n"/>
      <c r="H599" s="162" t="n"/>
      <c r="I599" s="189">
        <f>E599*G599</f>
        <v/>
      </c>
      <c r="J599" s="195" t="n"/>
      <c r="K599" s="162" t="n"/>
      <c r="L599" s="168" t="n"/>
      <c r="M599" s="75">
        <f>_xlfn.XLOOKUP(L599,list_vat[Страна],list_vat[Ставка НДС %],0,0)</f>
        <v/>
      </c>
      <c r="N599" s="162">
        <f>IFERROR(IF(L599="Китай",K599,K599/(1+M599)),0)</f>
        <v/>
      </c>
      <c r="O599" s="169" t="n"/>
      <c r="P599" s="76">
        <f>N599*(1-O599)</f>
        <v/>
      </c>
      <c r="Q599" s="162" t="n"/>
      <c r="R599" s="162">
        <f>IF(ISBLANK(Q599),"введи курс",P599/Q599)</f>
        <v/>
      </c>
      <c r="S599" s="196">
        <f>IF(AND(ISNUMBER(E599),ISNUMBER(Q599)),E599*R599,0)</f>
        <v/>
      </c>
      <c r="T599" s="192">
        <f>$BC599*V$11</f>
        <v/>
      </c>
      <c r="U599" s="76">
        <f>$BC599*W$11</f>
        <v/>
      </c>
      <c r="V599" s="193">
        <f>+SUM(T599:U599)</f>
        <v/>
      </c>
      <c r="W599" s="191" t="n"/>
      <c r="X599" s="170" t="n"/>
      <c r="Y599" s="76">
        <f>ROUND(IF(offer_incoterms="DDP",X599*(S599*(1+AW599)+T599),0),2)</f>
        <v/>
      </c>
      <c r="Z599" s="188" t="n"/>
      <c r="AA599" s="192">
        <f>IFERROR(AB599/E599,0)</f>
        <v/>
      </c>
      <c r="AB599" s="76">
        <f>ROUND(SUM(S599,V599,Y599:Z599,BA599:BB599),2)</f>
        <v/>
      </c>
      <c r="AC599" s="797" t="n"/>
      <c r="AD599" s="192">
        <f t="array" ref="AD599">IFERROR(ROUND((_xlfn.IFS(offer_sale_type="поставка",AB599,offer_sale_type="транзит",S599)*(1+AC599))/E599,2),0)</f>
        <v/>
      </c>
      <c r="AE599" s="76">
        <f>AD599*E599</f>
        <v/>
      </c>
      <c r="AF599" s="193">
        <f t="array" ref="AF599">IFERROR(ROUND(_xlfn.IFS(offer_sale_type="поставка",AB599,offer_sale_type="транзит",S599)*AC599,2),0)</f>
        <v/>
      </c>
      <c r="AG599" s="192">
        <f>$BD599*VLOOKUP($AG$3,$AF$4:$AG$7,2,FALSE)</f>
        <v/>
      </c>
      <c r="AH599" s="76">
        <f>SUM(AE599,AG599,AI599)*rate_forex_risk</f>
        <v/>
      </c>
      <c r="AI599" s="193">
        <f>IF(OR(seller_region="TR",offer_sale_type="экспорт"),0,rate_fin_comm)*SUM(AZ599,AZ599*AW599,T599)</f>
        <v/>
      </c>
      <c r="AJ599" s="118">
        <f>IFERROR(ROUND(SUM(AB599,AF599:AI599)/E599,2),0)</f>
        <v/>
      </c>
      <c r="AK599" s="76">
        <f>AJ599*E599</f>
        <v/>
      </c>
      <c r="AL599" s="174">
        <f>ROUND(IFERROR(AM599*E599,0),2)</f>
        <v/>
      </c>
      <c r="AM599" s="175">
        <f>ROUND(AJ599*(1+IF(offer_incoterms="DDP",IF((TODAY()+offer_turnaround_time)&gt;=helpsheet!$L$17,rate_vatRU_from_26,rate_vatRu_till_25),0)),2)</f>
        <v/>
      </c>
      <c r="AN599" s="192">
        <f>AL599-AK599</f>
        <v/>
      </c>
      <c r="AO599" s="76">
        <f>SUM(AY599,Y599:Z599,T599)*IF(AND(offer_incoterms="DDP",offer_sale_type&lt;&gt;"экспорт"),IF((TODAY()+offer_turnaround_time)&gt;=helpsheet!$L$17,rate_vatRU_from_26,rate_vatRu_till_25),0)</f>
        <v/>
      </c>
      <c r="AP599" s="193">
        <f>AN599-AO599</f>
        <v/>
      </c>
      <c r="AQ599" s="118">
        <f>IF(offer_sale_type="транзит",SUM(AF599:AI599,BA599,BB599),0)</f>
        <v/>
      </c>
      <c r="AR599" s="82">
        <f>HYPERLINK("https://www.alta.ru/tnved/code/")&amp;W599&amp;"/"</f>
        <v/>
      </c>
      <c r="AS599" s="157" t="n"/>
      <c r="AT599" s="162" t="n"/>
      <c r="AU599" s="76">
        <f>IF(ISBLANK(AT599),0,AJ599-AT599)</f>
        <v/>
      </c>
      <c r="AV599" s="157" t="n"/>
      <c r="AW599" s="75">
        <f>_xlfn.IFNA(VLOOKUP(L599,list_vat[],3,FALSE),0)</f>
        <v/>
      </c>
      <c r="AX599" s="76">
        <f>IFERROR(ROUND(S599*(1+AW599)/E599,2),0)</f>
        <v/>
      </c>
      <c r="AY599" s="76">
        <f>E599*AX599</f>
        <v/>
      </c>
      <c r="AZ599" s="192">
        <f>S599*(1+M599)</f>
        <v/>
      </c>
      <c r="BA599" s="76">
        <f>cost_fin_total*$BD599</f>
        <v/>
      </c>
      <c r="BB599" s="193">
        <f>credit_sales_interest*BD599</f>
        <v/>
      </c>
      <c r="BC599" s="102">
        <f>IFERROR(IF($I$13&gt;0,$I599/$I$13,$S599/$S$13),0)</f>
        <v/>
      </c>
      <c r="BD599" s="102">
        <f>IFERROR($S599/$S$13,0)</f>
        <v/>
      </c>
      <c r="BE599" s="413" t="inlineStr">
        <is>
          <t>$</t>
        </is>
      </c>
    </row>
    <row r="600" ht="12" customFormat="1" customHeight="1" s="65">
      <c r="A600" s="43" t="n">
        <v>585</v>
      </c>
      <c r="B600" s="166" t="n"/>
      <c r="C600" s="166" t="n"/>
      <c r="D600" s="166" t="n"/>
      <c r="E600" s="162" t="n"/>
      <c r="F600" s="166" t="n"/>
      <c r="G600" s="162" t="n"/>
      <c r="H600" s="162" t="n"/>
      <c r="I600" s="189">
        <f>E600*G600</f>
        <v/>
      </c>
      <c r="J600" s="195" t="n"/>
      <c r="K600" s="162" t="n"/>
      <c r="L600" s="168" t="n"/>
      <c r="M600" s="75">
        <f>_xlfn.XLOOKUP(L600,list_vat[Страна],list_vat[Ставка НДС %],0,0)</f>
        <v/>
      </c>
      <c r="N600" s="162">
        <f>IFERROR(IF(L600="Китай",K600,K600/(1+M600)),0)</f>
        <v/>
      </c>
      <c r="O600" s="169" t="n"/>
      <c r="P600" s="76">
        <f>N600*(1-O600)</f>
        <v/>
      </c>
      <c r="Q600" s="162" t="n"/>
      <c r="R600" s="162">
        <f>IF(ISBLANK(Q600),"введи курс",P600/Q600)</f>
        <v/>
      </c>
      <c r="S600" s="196">
        <f>IF(AND(ISNUMBER(E600),ISNUMBER(Q600)),E600*R600,0)</f>
        <v/>
      </c>
      <c r="T600" s="192">
        <f>$BC600*V$11</f>
        <v/>
      </c>
      <c r="U600" s="76">
        <f>$BC600*W$11</f>
        <v/>
      </c>
      <c r="V600" s="193">
        <f>+SUM(T600:U600)</f>
        <v/>
      </c>
      <c r="W600" s="191" t="n"/>
      <c r="X600" s="170" t="n"/>
      <c r="Y600" s="76">
        <f>ROUND(IF(offer_incoterms="DDP",X600*(S600*(1+AW600)+T600),0),2)</f>
        <v/>
      </c>
      <c r="Z600" s="188" t="n"/>
      <c r="AA600" s="192">
        <f>IFERROR(AB600/E600,0)</f>
        <v/>
      </c>
      <c r="AB600" s="76">
        <f>ROUND(SUM(S600,V600,Y600:Z600,BA600:BB600),2)</f>
        <v/>
      </c>
      <c r="AC600" s="797" t="n"/>
      <c r="AD600" s="192">
        <f t="array" ref="AD600">IFERROR(ROUND((_xlfn.IFS(offer_sale_type="поставка",AB600,offer_sale_type="транзит",S600)*(1+AC600))/E600,2),0)</f>
        <v/>
      </c>
      <c r="AE600" s="76">
        <f>AD600*E600</f>
        <v/>
      </c>
      <c r="AF600" s="193">
        <f t="array" ref="AF600">IFERROR(ROUND(_xlfn.IFS(offer_sale_type="поставка",AB600,offer_sale_type="транзит",S600)*AC600,2),0)</f>
        <v/>
      </c>
      <c r="AG600" s="192">
        <f>$BD600*VLOOKUP($AG$3,$AF$4:$AG$7,2,FALSE)</f>
        <v/>
      </c>
      <c r="AH600" s="76">
        <f>SUM(AE600,AG600,AI600)*rate_forex_risk</f>
        <v/>
      </c>
      <c r="AI600" s="193">
        <f>IF(OR(seller_region="TR",offer_sale_type="экспорт"),0,rate_fin_comm)*SUM(AZ600,AZ600*AW600,T600)</f>
        <v/>
      </c>
      <c r="AJ600" s="118">
        <f>IFERROR(ROUND(SUM(AB600,AF600:AI600)/E600,2),0)</f>
        <v/>
      </c>
      <c r="AK600" s="76">
        <f>AJ600*E600</f>
        <v/>
      </c>
      <c r="AL600" s="174">
        <f>ROUND(IFERROR(AM600*E600,0),2)</f>
        <v/>
      </c>
      <c r="AM600" s="175">
        <f>ROUND(AJ600*(1+IF(offer_incoterms="DDP",IF((TODAY()+offer_turnaround_time)&gt;=helpsheet!$L$17,rate_vatRU_from_26,rate_vatRu_till_25),0)),2)</f>
        <v/>
      </c>
      <c r="AN600" s="192">
        <f>AL600-AK600</f>
        <v/>
      </c>
      <c r="AO600" s="76">
        <f>SUM(AY600,Y600:Z600,T600)*IF(AND(offer_incoterms="DDP",offer_sale_type&lt;&gt;"экспорт"),IF((TODAY()+offer_turnaround_time)&gt;=helpsheet!$L$17,rate_vatRU_from_26,rate_vatRu_till_25),0)</f>
        <v/>
      </c>
      <c r="AP600" s="193">
        <f>AN600-AO600</f>
        <v/>
      </c>
      <c r="AQ600" s="118">
        <f>IF(offer_sale_type="транзит",SUM(AF600:AI600,BA600,BB600),0)</f>
        <v/>
      </c>
      <c r="AR600" s="82">
        <f>HYPERLINK("https://www.alta.ru/tnved/code/")&amp;W600&amp;"/"</f>
        <v/>
      </c>
      <c r="AS600" s="157" t="n"/>
      <c r="AT600" s="162" t="n"/>
      <c r="AU600" s="76">
        <f>IF(ISBLANK(AT600),0,AJ600-AT600)</f>
        <v/>
      </c>
      <c r="AV600" s="157" t="n"/>
      <c r="AW600" s="75">
        <f>_xlfn.IFNA(VLOOKUP(L600,list_vat[],3,FALSE),0)</f>
        <v/>
      </c>
      <c r="AX600" s="76">
        <f>IFERROR(ROUND(S600*(1+AW600)/E600,2),0)</f>
        <v/>
      </c>
      <c r="AY600" s="76">
        <f>E600*AX600</f>
        <v/>
      </c>
      <c r="AZ600" s="192">
        <f>S600*(1+M600)</f>
        <v/>
      </c>
      <c r="BA600" s="76">
        <f>cost_fin_total*$BD600</f>
        <v/>
      </c>
      <c r="BB600" s="193">
        <f>credit_sales_interest*BD600</f>
        <v/>
      </c>
      <c r="BC600" s="102">
        <f>IFERROR(IF($I$13&gt;0,$I600/$I$13,$S600/$S$13),0)</f>
        <v/>
      </c>
      <c r="BD600" s="102">
        <f>IFERROR($S600/$S$13,0)</f>
        <v/>
      </c>
      <c r="BE600" s="413" t="inlineStr">
        <is>
          <t>$</t>
        </is>
      </c>
    </row>
    <row r="601" ht="12" customFormat="1" customHeight="1" s="65">
      <c r="A601" s="43" t="n">
        <v>586</v>
      </c>
      <c r="B601" s="166" t="n"/>
      <c r="C601" s="166" t="n"/>
      <c r="D601" s="166" t="n"/>
      <c r="E601" s="162" t="n"/>
      <c r="F601" s="166" t="n"/>
      <c r="G601" s="162" t="n"/>
      <c r="H601" s="162" t="n"/>
      <c r="I601" s="189">
        <f>E601*G601</f>
        <v/>
      </c>
      <c r="J601" s="195" t="n"/>
      <c r="K601" s="162" t="n"/>
      <c r="L601" s="168" t="n"/>
      <c r="M601" s="75">
        <f>_xlfn.XLOOKUP(L601,list_vat[Страна],list_vat[Ставка НДС %],0,0)</f>
        <v/>
      </c>
      <c r="N601" s="162">
        <f>IFERROR(IF(L601="Китай",K601,K601/(1+M601)),0)</f>
        <v/>
      </c>
      <c r="O601" s="169" t="n"/>
      <c r="P601" s="76">
        <f>N601*(1-O601)</f>
        <v/>
      </c>
      <c r="Q601" s="162" t="n"/>
      <c r="R601" s="162">
        <f>IF(ISBLANK(Q601),"введи курс",P601/Q601)</f>
        <v/>
      </c>
      <c r="S601" s="196">
        <f>IF(AND(ISNUMBER(E601),ISNUMBER(Q601)),E601*R601,0)</f>
        <v/>
      </c>
      <c r="T601" s="192">
        <f>$BC601*V$11</f>
        <v/>
      </c>
      <c r="U601" s="76">
        <f>$BC601*W$11</f>
        <v/>
      </c>
      <c r="V601" s="193">
        <f>+SUM(T601:U601)</f>
        <v/>
      </c>
      <c r="W601" s="191" t="n"/>
      <c r="X601" s="170" t="n"/>
      <c r="Y601" s="76">
        <f>ROUND(IF(offer_incoterms="DDP",X601*(S601*(1+AW601)+T601),0),2)</f>
        <v/>
      </c>
      <c r="Z601" s="188" t="n"/>
      <c r="AA601" s="192">
        <f>IFERROR(AB601/E601,0)</f>
        <v/>
      </c>
      <c r="AB601" s="76">
        <f>ROUND(SUM(S601,V601,Y601:Z601,BA601:BB601),2)</f>
        <v/>
      </c>
      <c r="AC601" s="797" t="n"/>
      <c r="AD601" s="192">
        <f t="array" ref="AD601">IFERROR(ROUND((_xlfn.IFS(offer_sale_type="поставка",AB601,offer_sale_type="транзит",S601)*(1+AC601))/E601,2),0)</f>
        <v/>
      </c>
      <c r="AE601" s="76">
        <f>AD601*E601</f>
        <v/>
      </c>
      <c r="AF601" s="193">
        <f t="array" ref="AF601">IFERROR(ROUND(_xlfn.IFS(offer_sale_type="поставка",AB601,offer_sale_type="транзит",S601)*AC601,2),0)</f>
        <v/>
      </c>
      <c r="AG601" s="192">
        <f>$BD601*VLOOKUP($AG$3,$AF$4:$AG$7,2,FALSE)</f>
        <v/>
      </c>
      <c r="AH601" s="76">
        <f>SUM(AE601,AG601,AI601)*rate_forex_risk</f>
        <v/>
      </c>
      <c r="AI601" s="193">
        <f>IF(OR(seller_region="TR",offer_sale_type="экспорт"),0,rate_fin_comm)*SUM(AZ601,AZ601*AW601,T601)</f>
        <v/>
      </c>
      <c r="AJ601" s="118">
        <f>IFERROR(ROUND(SUM(AB601,AF601:AI601)/E601,2),0)</f>
        <v/>
      </c>
      <c r="AK601" s="76">
        <f>AJ601*E601</f>
        <v/>
      </c>
      <c r="AL601" s="174">
        <f>ROUND(IFERROR(AM601*E601,0),2)</f>
        <v/>
      </c>
      <c r="AM601" s="175">
        <f>ROUND(AJ601*(1+IF(offer_incoterms="DDP",IF((TODAY()+offer_turnaround_time)&gt;=helpsheet!$L$17,rate_vatRU_from_26,rate_vatRu_till_25),0)),2)</f>
        <v/>
      </c>
      <c r="AN601" s="192">
        <f>AL601-AK601</f>
        <v/>
      </c>
      <c r="AO601" s="76">
        <f>SUM(AY601,Y601:Z601,T601)*IF(AND(offer_incoterms="DDP",offer_sale_type&lt;&gt;"экспорт"),IF((TODAY()+offer_turnaround_time)&gt;=helpsheet!$L$17,rate_vatRU_from_26,rate_vatRu_till_25),0)</f>
        <v/>
      </c>
      <c r="AP601" s="193">
        <f>AN601-AO601</f>
        <v/>
      </c>
      <c r="AQ601" s="118">
        <f>IF(offer_sale_type="транзит",SUM(AF601:AI601,BA601,BB601),0)</f>
        <v/>
      </c>
      <c r="AR601" s="82">
        <f>HYPERLINK("https://www.alta.ru/tnved/code/")&amp;W601&amp;"/"</f>
        <v/>
      </c>
      <c r="AS601" s="157" t="n"/>
      <c r="AT601" s="162" t="n"/>
      <c r="AU601" s="76">
        <f>IF(ISBLANK(AT601),0,AJ601-AT601)</f>
        <v/>
      </c>
      <c r="AV601" s="157" t="n"/>
      <c r="AW601" s="75">
        <f>_xlfn.IFNA(VLOOKUP(L601,list_vat[],3,FALSE),0)</f>
        <v/>
      </c>
      <c r="AX601" s="76">
        <f>IFERROR(ROUND(S601*(1+AW601)/E601,2),0)</f>
        <v/>
      </c>
      <c r="AY601" s="76">
        <f>E601*AX601</f>
        <v/>
      </c>
      <c r="AZ601" s="192">
        <f>S601*(1+M601)</f>
        <v/>
      </c>
      <c r="BA601" s="76">
        <f>cost_fin_total*$BD601</f>
        <v/>
      </c>
      <c r="BB601" s="193">
        <f>credit_sales_interest*BD601</f>
        <v/>
      </c>
      <c r="BC601" s="102">
        <f>IFERROR(IF($I$13&gt;0,$I601/$I$13,$S601/$S$13),0)</f>
        <v/>
      </c>
      <c r="BD601" s="102">
        <f>IFERROR($S601/$S$13,0)</f>
        <v/>
      </c>
      <c r="BE601" s="413" t="inlineStr">
        <is>
          <t>$</t>
        </is>
      </c>
    </row>
    <row r="602" ht="12" customFormat="1" customHeight="1" s="65">
      <c r="A602" s="43" t="n">
        <v>587</v>
      </c>
      <c r="B602" s="166" t="n"/>
      <c r="C602" s="166" t="n"/>
      <c r="D602" s="166" t="n"/>
      <c r="E602" s="162" t="n"/>
      <c r="F602" s="166" t="n"/>
      <c r="G602" s="162" t="n"/>
      <c r="H602" s="162" t="n"/>
      <c r="I602" s="189">
        <f>E602*G602</f>
        <v/>
      </c>
      <c r="J602" s="195" t="n"/>
      <c r="K602" s="162" t="n"/>
      <c r="L602" s="168" t="n"/>
      <c r="M602" s="75">
        <f>_xlfn.XLOOKUP(L602,list_vat[Страна],list_vat[Ставка НДС %],0,0)</f>
        <v/>
      </c>
      <c r="N602" s="162">
        <f>IFERROR(IF(L602="Китай",K602,K602/(1+M602)),0)</f>
        <v/>
      </c>
      <c r="O602" s="169" t="n"/>
      <c r="P602" s="76">
        <f>N602*(1-O602)</f>
        <v/>
      </c>
      <c r="Q602" s="162" t="n"/>
      <c r="R602" s="162">
        <f>IF(ISBLANK(Q602),"введи курс",P602/Q602)</f>
        <v/>
      </c>
      <c r="S602" s="196">
        <f>IF(AND(ISNUMBER(E602),ISNUMBER(Q602)),E602*R602,0)</f>
        <v/>
      </c>
      <c r="T602" s="192">
        <f>$BC602*V$11</f>
        <v/>
      </c>
      <c r="U602" s="76">
        <f>$BC602*W$11</f>
        <v/>
      </c>
      <c r="V602" s="193">
        <f>+SUM(T602:U602)</f>
        <v/>
      </c>
      <c r="W602" s="191" t="n"/>
      <c r="X602" s="170" t="n"/>
      <c r="Y602" s="76">
        <f>ROUND(IF(offer_incoterms="DDP",X602*(S602*(1+AW602)+T602),0),2)</f>
        <v/>
      </c>
      <c r="Z602" s="188" t="n"/>
      <c r="AA602" s="192">
        <f>IFERROR(AB602/E602,0)</f>
        <v/>
      </c>
      <c r="AB602" s="76">
        <f>ROUND(SUM(S602,V602,Y602:Z602,BA602:BB602),2)</f>
        <v/>
      </c>
      <c r="AC602" s="797" t="n"/>
      <c r="AD602" s="192">
        <f t="array" ref="AD602">IFERROR(ROUND((_xlfn.IFS(offer_sale_type="поставка",AB602,offer_sale_type="транзит",S602)*(1+AC602))/E602,2),0)</f>
        <v/>
      </c>
      <c r="AE602" s="76">
        <f>AD602*E602</f>
        <v/>
      </c>
      <c r="AF602" s="193">
        <f t="array" ref="AF602">IFERROR(ROUND(_xlfn.IFS(offer_sale_type="поставка",AB602,offer_sale_type="транзит",S602)*AC602,2),0)</f>
        <v/>
      </c>
      <c r="AG602" s="192">
        <f>$BD602*VLOOKUP($AG$3,$AF$4:$AG$7,2,FALSE)</f>
        <v/>
      </c>
      <c r="AH602" s="76">
        <f>SUM(AE602,AG602,AI602)*rate_forex_risk</f>
        <v/>
      </c>
      <c r="AI602" s="193">
        <f>IF(OR(seller_region="TR",offer_sale_type="экспорт"),0,rate_fin_comm)*SUM(AZ602,AZ602*AW602,T602)</f>
        <v/>
      </c>
      <c r="AJ602" s="118">
        <f>IFERROR(ROUND(SUM(AB602,AF602:AI602)/E602,2),0)</f>
        <v/>
      </c>
      <c r="AK602" s="76">
        <f>AJ602*E602</f>
        <v/>
      </c>
      <c r="AL602" s="174">
        <f>ROUND(IFERROR(AM602*E602,0),2)</f>
        <v/>
      </c>
      <c r="AM602" s="175">
        <f>ROUND(AJ602*(1+IF(offer_incoterms="DDP",IF((TODAY()+offer_turnaround_time)&gt;=helpsheet!$L$17,rate_vatRU_from_26,rate_vatRu_till_25),0)),2)</f>
        <v/>
      </c>
      <c r="AN602" s="192">
        <f>AL602-AK602</f>
        <v/>
      </c>
      <c r="AO602" s="76">
        <f>SUM(AY602,Y602:Z602,T602)*IF(AND(offer_incoterms="DDP",offer_sale_type&lt;&gt;"экспорт"),IF((TODAY()+offer_turnaround_time)&gt;=helpsheet!$L$17,rate_vatRU_from_26,rate_vatRu_till_25),0)</f>
        <v/>
      </c>
      <c r="AP602" s="193">
        <f>AN602-AO602</f>
        <v/>
      </c>
      <c r="AQ602" s="118">
        <f>IF(offer_sale_type="транзит",SUM(AF602:AI602,BA602,BB602),0)</f>
        <v/>
      </c>
      <c r="AR602" s="82">
        <f>HYPERLINK("https://www.alta.ru/tnved/code/")&amp;W602&amp;"/"</f>
        <v/>
      </c>
      <c r="AS602" s="157" t="n"/>
      <c r="AT602" s="162" t="n"/>
      <c r="AU602" s="76">
        <f>IF(ISBLANK(AT602),0,AJ602-AT602)</f>
        <v/>
      </c>
      <c r="AV602" s="157" t="n"/>
      <c r="AW602" s="75">
        <f>_xlfn.IFNA(VLOOKUP(L602,list_vat[],3,FALSE),0)</f>
        <v/>
      </c>
      <c r="AX602" s="76">
        <f>IFERROR(ROUND(S602*(1+AW602)/E602,2),0)</f>
        <v/>
      </c>
      <c r="AY602" s="76">
        <f>E602*AX602</f>
        <v/>
      </c>
      <c r="AZ602" s="192">
        <f>S602*(1+M602)</f>
        <v/>
      </c>
      <c r="BA602" s="76">
        <f>cost_fin_total*$BD602</f>
        <v/>
      </c>
      <c r="BB602" s="193">
        <f>credit_sales_interest*BD602</f>
        <v/>
      </c>
      <c r="BC602" s="102">
        <f>IFERROR(IF($I$13&gt;0,$I602/$I$13,$S602/$S$13),0)</f>
        <v/>
      </c>
      <c r="BD602" s="102">
        <f>IFERROR($S602/$S$13,0)</f>
        <v/>
      </c>
      <c r="BE602" s="413" t="inlineStr">
        <is>
          <t>$</t>
        </is>
      </c>
    </row>
    <row r="603" ht="12" customFormat="1" customHeight="1" s="65">
      <c r="A603" s="43" t="n">
        <v>588</v>
      </c>
      <c r="B603" s="166" t="n"/>
      <c r="C603" s="166" t="n"/>
      <c r="D603" s="166" t="n"/>
      <c r="E603" s="162" t="n"/>
      <c r="F603" s="166" t="n"/>
      <c r="G603" s="162" t="n"/>
      <c r="H603" s="162" t="n"/>
      <c r="I603" s="189">
        <f>E603*G603</f>
        <v/>
      </c>
      <c r="J603" s="195" t="n"/>
      <c r="K603" s="162" t="n"/>
      <c r="L603" s="168" t="n"/>
      <c r="M603" s="75">
        <f>_xlfn.XLOOKUP(L603,list_vat[Страна],list_vat[Ставка НДС %],0,0)</f>
        <v/>
      </c>
      <c r="N603" s="162">
        <f>IFERROR(IF(L603="Китай",K603,K603/(1+M603)),0)</f>
        <v/>
      </c>
      <c r="O603" s="169" t="n"/>
      <c r="P603" s="76">
        <f>N603*(1-O603)</f>
        <v/>
      </c>
      <c r="Q603" s="162" t="n"/>
      <c r="R603" s="162">
        <f>IF(ISBLANK(Q603),"введи курс",P603/Q603)</f>
        <v/>
      </c>
      <c r="S603" s="196">
        <f>IF(AND(ISNUMBER(E603),ISNUMBER(Q603)),E603*R603,0)</f>
        <v/>
      </c>
      <c r="T603" s="192">
        <f>$BC603*V$11</f>
        <v/>
      </c>
      <c r="U603" s="76">
        <f>$BC603*W$11</f>
        <v/>
      </c>
      <c r="V603" s="193">
        <f>+SUM(T603:U603)</f>
        <v/>
      </c>
      <c r="W603" s="191" t="n"/>
      <c r="X603" s="170" t="n"/>
      <c r="Y603" s="76">
        <f>ROUND(IF(offer_incoterms="DDP",X603*(S603*(1+AW603)+T603),0),2)</f>
        <v/>
      </c>
      <c r="Z603" s="188" t="n"/>
      <c r="AA603" s="192">
        <f>IFERROR(AB603/E603,0)</f>
        <v/>
      </c>
      <c r="AB603" s="76">
        <f>ROUND(SUM(S603,V603,Y603:Z603,BA603:BB603),2)</f>
        <v/>
      </c>
      <c r="AC603" s="797" t="n"/>
      <c r="AD603" s="192">
        <f t="array" ref="AD603">IFERROR(ROUND((_xlfn.IFS(offer_sale_type="поставка",AB603,offer_sale_type="транзит",S603)*(1+AC603))/E603,2),0)</f>
        <v/>
      </c>
      <c r="AE603" s="76">
        <f>AD603*E603</f>
        <v/>
      </c>
      <c r="AF603" s="193">
        <f t="array" ref="AF603">IFERROR(ROUND(_xlfn.IFS(offer_sale_type="поставка",AB603,offer_sale_type="транзит",S603)*AC603,2),0)</f>
        <v/>
      </c>
      <c r="AG603" s="192">
        <f>$BD603*VLOOKUP($AG$3,$AF$4:$AG$7,2,FALSE)</f>
        <v/>
      </c>
      <c r="AH603" s="76">
        <f>SUM(AE603,AG603,AI603)*rate_forex_risk</f>
        <v/>
      </c>
      <c r="AI603" s="193">
        <f>IF(OR(seller_region="TR",offer_sale_type="экспорт"),0,rate_fin_comm)*SUM(AZ603,AZ603*AW603,T603)</f>
        <v/>
      </c>
      <c r="AJ603" s="118">
        <f>IFERROR(ROUND(SUM(AB603,AF603:AI603)/E603,2),0)</f>
        <v/>
      </c>
      <c r="AK603" s="76">
        <f>AJ603*E603</f>
        <v/>
      </c>
      <c r="AL603" s="174">
        <f>ROUND(IFERROR(AM603*E603,0),2)</f>
        <v/>
      </c>
      <c r="AM603" s="175">
        <f>ROUND(AJ603*(1+IF(offer_incoterms="DDP",IF((TODAY()+offer_turnaround_time)&gt;=helpsheet!$L$17,rate_vatRU_from_26,rate_vatRu_till_25),0)),2)</f>
        <v/>
      </c>
      <c r="AN603" s="192">
        <f>AL603-AK603</f>
        <v/>
      </c>
      <c r="AO603" s="76">
        <f>SUM(AY603,Y603:Z603,T603)*IF(AND(offer_incoterms="DDP",offer_sale_type&lt;&gt;"экспорт"),IF((TODAY()+offer_turnaround_time)&gt;=helpsheet!$L$17,rate_vatRU_from_26,rate_vatRu_till_25),0)</f>
        <v/>
      </c>
      <c r="AP603" s="193">
        <f>AN603-AO603</f>
        <v/>
      </c>
      <c r="AQ603" s="118">
        <f>IF(offer_sale_type="транзит",SUM(AF603:AI603,BA603,BB603),0)</f>
        <v/>
      </c>
      <c r="AR603" s="82">
        <f>HYPERLINK("https://www.alta.ru/tnved/code/")&amp;W603&amp;"/"</f>
        <v/>
      </c>
      <c r="AS603" s="157" t="n"/>
      <c r="AT603" s="162" t="n"/>
      <c r="AU603" s="76">
        <f>IF(ISBLANK(AT603),0,AJ603-AT603)</f>
        <v/>
      </c>
      <c r="AV603" s="157" t="n"/>
      <c r="AW603" s="75">
        <f>_xlfn.IFNA(VLOOKUP(L603,list_vat[],3,FALSE),0)</f>
        <v/>
      </c>
      <c r="AX603" s="76">
        <f>IFERROR(ROUND(S603*(1+AW603)/E603,2),0)</f>
        <v/>
      </c>
      <c r="AY603" s="76">
        <f>E603*AX603</f>
        <v/>
      </c>
      <c r="AZ603" s="192">
        <f>S603*(1+M603)</f>
        <v/>
      </c>
      <c r="BA603" s="76">
        <f>cost_fin_total*$BD603</f>
        <v/>
      </c>
      <c r="BB603" s="193">
        <f>credit_sales_interest*BD603</f>
        <v/>
      </c>
      <c r="BC603" s="102">
        <f>IFERROR(IF($I$13&gt;0,$I603/$I$13,$S603/$S$13),0)</f>
        <v/>
      </c>
      <c r="BD603" s="102">
        <f>IFERROR($S603/$S$13,0)</f>
        <v/>
      </c>
      <c r="BE603" s="413" t="inlineStr">
        <is>
          <t>$</t>
        </is>
      </c>
    </row>
    <row r="604" ht="12" customFormat="1" customHeight="1" s="65">
      <c r="A604" s="43" t="n">
        <v>589</v>
      </c>
      <c r="B604" s="166" t="n"/>
      <c r="C604" s="166" t="n"/>
      <c r="D604" s="166" t="n"/>
      <c r="E604" s="162" t="n"/>
      <c r="F604" s="166" t="n"/>
      <c r="G604" s="162" t="n"/>
      <c r="H604" s="162" t="n"/>
      <c r="I604" s="189">
        <f>E604*G604</f>
        <v/>
      </c>
      <c r="J604" s="195" t="n"/>
      <c r="K604" s="162" t="n"/>
      <c r="L604" s="168" t="n"/>
      <c r="M604" s="75">
        <f>_xlfn.XLOOKUP(L604,list_vat[Страна],list_vat[Ставка НДС %],0,0)</f>
        <v/>
      </c>
      <c r="N604" s="162">
        <f>IFERROR(IF(L604="Китай",K604,K604/(1+M604)),0)</f>
        <v/>
      </c>
      <c r="O604" s="169" t="n"/>
      <c r="P604" s="76">
        <f>N604*(1-O604)</f>
        <v/>
      </c>
      <c r="Q604" s="162" t="n"/>
      <c r="R604" s="162">
        <f>IF(ISBLANK(Q604),"введи курс",P604/Q604)</f>
        <v/>
      </c>
      <c r="S604" s="196">
        <f>IF(AND(ISNUMBER(E604),ISNUMBER(Q604)),E604*R604,0)</f>
        <v/>
      </c>
      <c r="T604" s="192">
        <f>$BC604*V$11</f>
        <v/>
      </c>
      <c r="U604" s="76">
        <f>$BC604*W$11</f>
        <v/>
      </c>
      <c r="V604" s="193">
        <f>+SUM(T604:U604)</f>
        <v/>
      </c>
      <c r="W604" s="191" t="n"/>
      <c r="X604" s="170" t="n"/>
      <c r="Y604" s="76">
        <f>ROUND(IF(offer_incoterms="DDP",X604*(S604*(1+AW604)+T604),0),2)</f>
        <v/>
      </c>
      <c r="Z604" s="188" t="n"/>
      <c r="AA604" s="192">
        <f>IFERROR(AB604/E604,0)</f>
        <v/>
      </c>
      <c r="AB604" s="76">
        <f>ROUND(SUM(S604,V604,Y604:Z604,BA604:BB604),2)</f>
        <v/>
      </c>
      <c r="AC604" s="797" t="n"/>
      <c r="AD604" s="192">
        <f t="array" ref="AD604">IFERROR(ROUND((_xlfn.IFS(offer_sale_type="поставка",AB604,offer_sale_type="транзит",S604)*(1+AC604))/E604,2),0)</f>
        <v/>
      </c>
      <c r="AE604" s="76">
        <f>AD604*E604</f>
        <v/>
      </c>
      <c r="AF604" s="193">
        <f t="array" ref="AF604">IFERROR(ROUND(_xlfn.IFS(offer_sale_type="поставка",AB604,offer_sale_type="транзит",S604)*AC604,2),0)</f>
        <v/>
      </c>
      <c r="AG604" s="192">
        <f>$BD604*VLOOKUP($AG$3,$AF$4:$AG$7,2,FALSE)</f>
        <v/>
      </c>
      <c r="AH604" s="76">
        <f>SUM(AE604,AG604,AI604)*rate_forex_risk</f>
        <v/>
      </c>
      <c r="AI604" s="193">
        <f>IF(OR(seller_region="TR",offer_sale_type="экспорт"),0,rate_fin_comm)*SUM(AZ604,AZ604*AW604,T604)</f>
        <v/>
      </c>
      <c r="AJ604" s="118">
        <f>IFERROR(ROUND(SUM(AB604,AF604:AI604)/E604,2),0)</f>
        <v/>
      </c>
      <c r="AK604" s="76">
        <f>AJ604*E604</f>
        <v/>
      </c>
      <c r="AL604" s="174">
        <f>ROUND(IFERROR(AM604*E604,0),2)</f>
        <v/>
      </c>
      <c r="AM604" s="175">
        <f>ROUND(AJ604*(1+IF(offer_incoterms="DDP",IF((TODAY()+offer_turnaround_time)&gt;=helpsheet!$L$17,rate_vatRU_from_26,rate_vatRu_till_25),0)),2)</f>
        <v/>
      </c>
      <c r="AN604" s="192">
        <f>AL604-AK604</f>
        <v/>
      </c>
      <c r="AO604" s="76">
        <f>SUM(AY604,Y604:Z604,T604)*IF(AND(offer_incoterms="DDP",offer_sale_type&lt;&gt;"экспорт"),IF((TODAY()+offer_turnaround_time)&gt;=helpsheet!$L$17,rate_vatRU_from_26,rate_vatRu_till_25),0)</f>
        <v/>
      </c>
      <c r="AP604" s="193">
        <f>AN604-AO604</f>
        <v/>
      </c>
      <c r="AQ604" s="118">
        <f>IF(offer_sale_type="транзит",SUM(AF604:AI604,BA604,BB604),0)</f>
        <v/>
      </c>
      <c r="AR604" s="82">
        <f>HYPERLINK("https://www.alta.ru/tnved/code/")&amp;W604&amp;"/"</f>
        <v/>
      </c>
      <c r="AS604" s="157" t="n"/>
      <c r="AT604" s="162" t="n"/>
      <c r="AU604" s="76">
        <f>IF(ISBLANK(AT604),0,AJ604-AT604)</f>
        <v/>
      </c>
      <c r="AV604" s="157" t="n"/>
      <c r="AW604" s="75">
        <f>_xlfn.IFNA(VLOOKUP(L604,list_vat[],3,FALSE),0)</f>
        <v/>
      </c>
      <c r="AX604" s="76">
        <f>IFERROR(ROUND(S604*(1+AW604)/E604,2),0)</f>
        <v/>
      </c>
      <c r="AY604" s="76">
        <f>E604*AX604</f>
        <v/>
      </c>
      <c r="AZ604" s="192">
        <f>S604*(1+M604)</f>
        <v/>
      </c>
      <c r="BA604" s="76">
        <f>cost_fin_total*$BD604</f>
        <v/>
      </c>
      <c r="BB604" s="193">
        <f>credit_sales_interest*BD604</f>
        <v/>
      </c>
      <c r="BC604" s="102">
        <f>IFERROR(IF($I$13&gt;0,$I604/$I$13,$S604/$S$13),0)</f>
        <v/>
      </c>
      <c r="BD604" s="102">
        <f>IFERROR($S604/$S$13,0)</f>
        <v/>
      </c>
      <c r="BE604" s="413" t="inlineStr">
        <is>
          <t>$</t>
        </is>
      </c>
    </row>
    <row r="605" ht="12" customFormat="1" customHeight="1" s="65">
      <c r="A605" s="43" t="n">
        <v>590</v>
      </c>
      <c r="B605" s="166" t="n"/>
      <c r="C605" s="166" t="n"/>
      <c r="D605" s="166" t="n"/>
      <c r="E605" s="162" t="n"/>
      <c r="F605" s="166" t="n"/>
      <c r="G605" s="162" t="n"/>
      <c r="H605" s="162" t="n"/>
      <c r="I605" s="189">
        <f>E605*G605</f>
        <v/>
      </c>
      <c r="J605" s="195" t="n"/>
      <c r="K605" s="162" t="n"/>
      <c r="L605" s="168" t="n"/>
      <c r="M605" s="75">
        <f>_xlfn.XLOOKUP(L605,list_vat[Страна],list_vat[Ставка НДС %],0,0)</f>
        <v/>
      </c>
      <c r="N605" s="162">
        <f>IFERROR(IF(L605="Китай",K605,K605/(1+M605)),0)</f>
        <v/>
      </c>
      <c r="O605" s="169" t="n"/>
      <c r="P605" s="76">
        <f>N605*(1-O605)</f>
        <v/>
      </c>
      <c r="Q605" s="162" t="n"/>
      <c r="R605" s="162">
        <f>IF(ISBLANK(Q605),"введи курс",P605/Q605)</f>
        <v/>
      </c>
      <c r="S605" s="196">
        <f>IF(AND(ISNUMBER(E605),ISNUMBER(Q605)),E605*R605,0)</f>
        <v/>
      </c>
      <c r="T605" s="192">
        <f>$BC605*V$11</f>
        <v/>
      </c>
      <c r="U605" s="76">
        <f>$BC605*W$11</f>
        <v/>
      </c>
      <c r="V605" s="193">
        <f>+SUM(T605:U605)</f>
        <v/>
      </c>
      <c r="W605" s="191" t="n"/>
      <c r="X605" s="170" t="n"/>
      <c r="Y605" s="76">
        <f>ROUND(IF(offer_incoterms="DDP",X605*(S605*(1+AW605)+T605),0),2)</f>
        <v/>
      </c>
      <c r="Z605" s="188" t="n"/>
      <c r="AA605" s="192">
        <f>IFERROR(AB605/E605,0)</f>
        <v/>
      </c>
      <c r="AB605" s="76">
        <f>ROUND(SUM(S605,V605,Y605:Z605,BA605:BB605),2)</f>
        <v/>
      </c>
      <c r="AC605" s="797" t="n"/>
      <c r="AD605" s="192">
        <f t="array" ref="AD605">IFERROR(ROUND((_xlfn.IFS(offer_sale_type="поставка",AB605,offer_sale_type="транзит",S605)*(1+AC605))/E605,2),0)</f>
        <v/>
      </c>
      <c r="AE605" s="76">
        <f>AD605*E605</f>
        <v/>
      </c>
      <c r="AF605" s="193">
        <f t="array" ref="AF605">IFERROR(ROUND(_xlfn.IFS(offer_sale_type="поставка",AB605,offer_sale_type="транзит",S605)*AC605,2),0)</f>
        <v/>
      </c>
      <c r="AG605" s="192">
        <f>$BD605*VLOOKUP($AG$3,$AF$4:$AG$7,2,FALSE)</f>
        <v/>
      </c>
      <c r="AH605" s="76">
        <f>SUM(AE605,AG605,AI605)*rate_forex_risk</f>
        <v/>
      </c>
      <c r="AI605" s="193">
        <f>IF(OR(seller_region="TR",offer_sale_type="экспорт"),0,rate_fin_comm)*SUM(AZ605,AZ605*AW605,T605)</f>
        <v/>
      </c>
      <c r="AJ605" s="118">
        <f>IFERROR(ROUND(SUM(AB605,AF605:AI605)/E605,2),0)</f>
        <v/>
      </c>
      <c r="AK605" s="76">
        <f>AJ605*E605</f>
        <v/>
      </c>
      <c r="AL605" s="174">
        <f>ROUND(IFERROR(AM605*E605,0),2)</f>
        <v/>
      </c>
      <c r="AM605" s="175">
        <f>ROUND(AJ605*(1+IF(offer_incoterms="DDP",IF((TODAY()+offer_turnaround_time)&gt;=helpsheet!$L$17,rate_vatRU_from_26,rate_vatRu_till_25),0)),2)</f>
        <v/>
      </c>
      <c r="AN605" s="192">
        <f>AL605-AK605</f>
        <v/>
      </c>
      <c r="AO605" s="76">
        <f>SUM(AY605,Y605:Z605,T605)*IF(AND(offer_incoterms="DDP",offer_sale_type&lt;&gt;"экспорт"),IF((TODAY()+offer_turnaround_time)&gt;=helpsheet!$L$17,rate_vatRU_from_26,rate_vatRu_till_25),0)</f>
        <v/>
      </c>
      <c r="AP605" s="193">
        <f>AN605-AO605</f>
        <v/>
      </c>
      <c r="AQ605" s="118">
        <f>IF(offer_sale_type="транзит",SUM(AF605:AI605,BA605,BB605),0)</f>
        <v/>
      </c>
      <c r="AR605" s="82">
        <f>HYPERLINK("https://www.alta.ru/tnved/code/")&amp;W605&amp;"/"</f>
        <v/>
      </c>
      <c r="AS605" s="157" t="n"/>
      <c r="AT605" s="162" t="n"/>
      <c r="AU605" s="76">
        <f>IF(ISBLANK(AT605),0,AJ605-AT605)</f>
        <v/>
      </c>
      <c r="AV605" s="157" t="n"/>
      <c r="AW605" s="75">
        <f>_xlfn.IFNA(VLOOKUP(L605,list_vat[],3,FALSE),0)</f>
        <v/>
      </c>
      <c r="AX605" s="76">
        <f>IFERROR(ROUND(S605*(1+AW605)/E605,2),0)</f>
        <v/>
      </c>
      <c r="AY605" s="76">
        <f>E605*AX605</f>
        <v/>
      </c>
      <c r="AZ605" s="192">
        <f>S605*(1+M605)</f>
        <v/>
      </c>
      <c r="BA605" s="76">
        <f>cost_fin_total*$BD605</f>
        <v/>
      </c>
      <c r="BB605" s="193">
        <f>credit_sales_interest*BD605</f>
        <v/>
      </c>
      <c r="BC605" s="102">
        <f>IFERROR(IF($I$13&gt;0,$I605/$I$13,$S605/$S$13),0)</f>
        <v/>
      </c>
      <c r="BD605" s="102">
        <f>IFERROR($S605/$S$13,0)</f>
        <v/>
      </c>
      <c r="BE605" s="413" t="inlineStr">
        <is>
          <t>$</t>
        </is>
      </c>
    </row>
    <row r="606" ht="12" customFormat="1" customHeight="1" s="65">
      <c r="A606" s="43" t="n">
        <v>591</v>
      </c>
      <c r="B606" s="166" t="n"/>
      <c r="C606" s="166" t="n"/>
      <c r="D606" s="166" t="n"/>
      <c r="E606" s="162" t="n"/>
      <c r="F606" s="166" t="n"/>
      <c r="G606" s="162" t="n"/>
      <c r="H606" s="162" t="n"/>
      <c r="I606" s="189">
        <f>E606*G606</f>
        <v/>
      </c>
      <c r="J606" s="195" t="n"/>
      <c r="K606" s="162" t="n"/>
      <c r="L606" s="168" t="n"/>
      <c r="M606" s="75">
        <f>_xlfn.XLOOKUP(L606,list_vat[Страна],list_vat[Ставка НДС %],0,0)</f>
        <v/>
      </c>
      <c r="N606" s="162">
        <f>IFERROR(IF(L606="Китай",K606,K606/(1+M606)),0)</f>
        <v/>
      </c>
      <c r="O606" s="169" t="n"/>
      <c r="P606" s="76">
        <f>N606*(1-O606)</f>
        <v/>
      </c>
      <c r="Q606" s="162" t="n"/>
      <c r="R606" s="162">
        <f>IF(ISBLANK(Q606),"введи курс",P606/Q606)</f>
        <v/>
      </c>
      <c r="S606" s="196">
        <f>IF(AND(ISNUMBER(E606),ISNUMBER(Q606)),E606*R606,0)</f>
        <v/>
      </c>
      <c r="T606" s="192">
        <f>$BC606*V$11</f>
        <v/>
      </c>
      <c r="U606" s="76">
        <f>$BC606*W$11</f>
        <v/>
      </c>
      <c r="V606" s="193">
        <f>+SUM(T606:U606)</f>
        <v/>
      </c>
      <c r="W606" s="191" t="n"/>
      <c r="X606" s="170" t="n"/>
      <c r="Y606" s="76">
        <f>ROUND(IF(offer_incoterms="DDP",X606*(S606*(1+AW606)+T606),0),2)</f>
        <v/>
      </c>
      <c r="Z606" s="188" t="n"/>
      <c r="AA606" s="192">
        <f>IFERROR(AB606/E606,0)</f>
        <v/>
      </c>
      <c r="AB606" s="76">
        <f>ROUND(SUM(S606,V606,Y606:Z606,BA606:BB606),2)</f>
        <v/>
      </c>
      <c r="AC606" s="797" t="n"/>
      <c r="AD606" s="192">
        <f t="array" ref="AD606">IFERROR(ROUND((_xlfn.IFS(offer_sale_type="поставка",AB606,offer_sale_type="транзит",S606)*(1+AC606))/E606,2),0)</f>
        <v/>
      </c>
      <c r="AE606" s="76">
        <f>AD606*E606</f>
        <v/>
      </c>
      <c r="AF606" s="193">
        <f t="array" ref="AF606">IFERROR(ROUND(_xlfn.IFS(offer_sale_type="поставка",AB606,offer_sale_type="транзит",S606)*AC606,2),0)</f>
        <v/>
      </c>
      <c r="AG606" s="192">
        <f>$BD606*VLOOKUP($AG$3,$AF$4:$AG$7,2,FALSE)</f>
        <v/>
      </c>
      <c r="AH606" s="76">
        <f>SUM(AE606,AG606,AI606)*rate_forex_risk</f>
        <v/>
      </c>
      <c r="AI606" s="193">
        <f>IF(OR(seller_region="TR",offer_sale_type="экспорт"),0,rate_fin_comm)*SUM(AZ606,AZ606*AW606,T606)</f>
        <v/>
      </c>
      <c r="AJ606" s="118">
        <f>IFERROR(ROUND(SUM(AB606,AF606:AI606)/E606,2),0)</f>
        <v/>
      </c>
      <c r="AK606" s="76">
        <f>AJ606*E606</f>
        <v/>
      </c>
      <c r="AL606" s="174">
        <f>ROUND(IFERROR(AM606*E606,0),2)</f>
        <v/>
      </c>
      <c r="AM606" s="175">
        <f>ROUND(AJ606*(1+IF(offer_incoterms="DDP",IF((TODAY()+offer_turnaround_time)&gt;=helpsheet!$L$17,rate_vatRU_from_26,rate_vatRu_till_25),0)),2)</f>
        <v/>
      </c>
      <c r="AN606" s="192">
        <f>AL606-AK606</f>
        <v/>
      </c>
      <c r="AO606" s="76">
        <f>SUM(AY606,Y606:Z606,T606)*IF(AND(offer_incoterms="DDP",offer_sale_type&lt;&gt;"экспорт"),IF((TODAY()+offer_turnaround_time)&gt;=helpsheet!$L$17,rate_vatRU_from_26,rate_vatRu_till_25),0)</f>
        <v/>
      </c>
      <c r="AP606" s="193">
        <f>AN606-AO606</f>
        <v/>
      </c>
      <c r="AQ606" s="118">
        <f>IF(offer_sale_type="транзит",SUM(AF606:AI606,BA606,BB606),0)</f>
        <v/>
      </c>
      <c r="AR606" s="82">
        <f>HYPERLINK("https://www.alta.ru/tnved/code/")&amp;W606&amp;"/"</f>
        <v/>
      </c>
      <c r="AS606" s="157" t="n"/>
      <c r="AT606" s="162" t="n"/>
      <c r="AU606" s="76">
        <f>IF(ISBLANK(AT606),0,AJ606-AT606)</f>
        <v/>
      </c>
      <c r="AV606" s="157" t="n"/>
      <c r="AW606" s="75">
        <f>_xlfn.IFNA(VLOOKUP(L606,list_vat[],3,FALSE),0)</f>
        <v/>
      </c>
      <c r="AX606" s="76">
        <f>IFERROR(ROUND(S606*(1+AW606)/E606,2),0)</f>
        <v/>
      </c>
      <c r="AY606" s="76">
        <f>E606*AX606</f>
        <v/>
      </c>
      <c r="AZ606" s="192">
        <f>S606*(1+M606)</f>
        <v/>
      </c>
      <c r="BA606" s="76">
        <f>cost_fin_total*$BD606</f>
        <v/>
      </c>
      <c r="BB606" s="193">
        <f>credit_sales_interest*BD606</f>
        <v/>
      </c>
      <c r="BC606" s="102">
        <f>IFERROR(IF($I$13&gt;0,$I606/$I$13,$S606/$S$13),0)</f>
        <v/>
      </c>
      <c r="BD606" s="102">
        <f>IFERROR($S606/$S$13,0)</f>
        <v/>
      </c>
      <c r="BE606" s="413" t="inlineStr">
        <is>
          <t>$</t>
        </is>
      </c>
    </row>
    <row r="607" ht="12" customFormat="1" customHeight="1" s="65">
      <c r="A607" s="43" t="n">
        <v>592</v>
      </c>
      <c r="B607" s="166" t="n"/>
      <c r="C607" s="166" t="n"/>
      <c r="D607" s="166" t="n"/>
      <c r="E607" s="162" t="n"/>
      <c r="F607" s="166" t="n"/>
      <c r="G607" s="162" t="n"/>
      <c r="H607" s="162" t="n"/>
      <c r="I607" s="189">
        <f>E607*G607</f>
        <v/>
      </c>
      <c r="J607" s="195" t="n"/>
      <c r="K607" s="162" t="n"/>
      <c r="L607" s="168" t="n"/>
      <c r="M607" s="75">
        <f>_xlfn.XLOOKUP(L607,list_vat[Страна],list_vat[Ставка НДС %],0,0)</f>
        <v/>
      </c>
      <c r="N607" s="162">
        <f>IFERROR(IF(L607="Китай",K607,K607/(1+M607)),0)</f>
        <v/>
      </c>
      <c r="O607" s="169" t="n"/>
      <c r="P607" s="76">
        <f>N607*(1-O607)</f>
        <v/>
      </c>
      <c r="Q607" s="162" t="n"/>
      <c r="R607" s="162">
        <f>IF(ISBLANK(Q607),"введи курс",P607/Q607)</f>
        <v/>
      </c>
      <c r="S607" s="196">
        <f>IF(AND(ISNUMBER(E607),ISNUMBER(Q607)),E607*R607,0)</f>
        <v/>
      </c>
      <c r="T607" s="192">
        <f>$BC607*V$11</f>
        <v/>
      </c>
      <c r="U607" s="76">
        <f>$BC607*W$11</f>
        <v/>
      </c>
      <c r="V607" s="193">
        <f>+SUM(T607:U607)</f>
        <v/>
      </c>
      <c r="W607" s="191" t="n"/>
      <c r="X607" s="170" t="n"/>
      <c r="Y607" s="76">
        <f>ROUND(IF(offer_incoterms="DDP",X607*(S607*(1+AW607)+T607),0),2)</f>
        <v/>
      </c>
      <c r="Z607" s="188" t="n"/>
      <c r="AA607" s="192">
        <f>IFERROR(AB607/E607,0)</f>
        <v/>
      </c>
      <c r="AB607" s="76">
        <f>ROUND(SUM(S607,V607,Y607:Z607,BA607:BB607),2)</f>
        <v/>
      </c>
      <c r="AC607" s="797" t="n"/>
      <c r="AD607" s="192">
        <f t="array" ref="AD607">IFERROR(ROUND((_xlfn.IFS(offer_sale_type="поставка",AB607,offer_sale_type="транзит",S607)*(1+AC607))/E607,2),0)</f>
        <v/>
      </c>
      <c r="AE607" s="76">
        <f>AD607*E607</f>
        <v/>
      </c>
      <c r="AF607" s="193">
        <f t="array" ref="AF607">IFERROR(ROUND(_xlfn.IFS(offer_sale_type="поставка",AB607,offer_sale_type="транзит",S607)*AC607,2),0)</f>
        <v/>
      </c>
      <c r="AG607" s="192">
        <f>$BD607*VLOOKUP($AG$3,$AF$4:$AG$7,2,FALSE)</f>
        <v/>
      </c>
      <c r="AH607" s="76">
        <f>SUM(AE607,AG607,AI607)*rate_forex_risk</f>
        <v/>
      </c>
      <c r="AI607" s="193">
        <f>IF(OR(seller_region="TR",offer_sale_type="экспорт"),0,rate_fin_comm)*SUM(AZ607,AZ607*AW607,T607)</f>
        <v/>
      </c>
      <c r="AJ607" s="118">
        <f>IFERROR(ROUND(SUM(AB607,AF607:AI607)/E607,2),0)</f>
        <v/>
      </c>
      <c r="AK607" s="76">
        <f>AJ607*E607</f>
        <v/>
      </c>
      <c r="AL607" s="174">
        <f>ROUND(IFERROR(AM607*E607,0),2)</f>
        <v/>
      </c>
      <c r="AM607" s="175">
        <f>ROUND(AJ607*(1+IF(offer_incoterms="DDP",IF((TODAY()+offer_turnaround_time)&gt;=helpsheet!$L$17,rate_vatRU_from_26,rate_vatRu_till_25),0)),2)</f>
        <v/>
      </c>
      <c r="AN607" s="192">
        <f>AL607-AK607</f>
        <v/>
      </c>
      <c r="AO607" s="76">
        <f>SUM(AY607,Y607:Z607,T607)*IF(AND(offer_incoterms="DDP",offer_sale_type&lt;&gt;"экспорт"),IF((TODAY()+offer_turnaround_time)&gt;=helpsheet!$L$17,rate_vatRU_from_26,rate_vatRu_till_25),0)</f>
        <v/>
      </c>
      <c r="AP607" s="193">
        <f>AN607-AO607</f>
        <v/>
      </c>
      <c r="AQ607" s="118">
        <f>IF(offer_sale_type="транзит",SUM(AF607:AI607,BA607,BB607),0)</f>
        <v/>
      </c>
      <c r="AR607" s="82">
        <f>HYPERLINK("https://www.alta.ru/tnved/code/")&amp;W607&amp;"/"</f>
        <v/>
      </c>
      <c r="AS607" s="157" t="n"/>
      <c r="AT607" s="162" t="n"/>
      <c r="AU607" s="76">
        <f>IF(ISBLANK(AT607),0,AJ607-AT607)</f>
        <v/>
      </c>
      <c r="AV607" s="157" t="n"/>
      <c r="AW607" s="75">
        <f>_xlfn.IFNA(VLOOKUP(L607,list_vat[],3,FALSE),0)</f>
        <v/>
      </c>
      <c r="AX607" s="76">
        <f>IFERROR(ROUND(S607*(1+AW607)/E607,2),0)</f>
        <v/>
      </c>
      <c r="AY607" s="76">
        <f>E607*AX607</f>
        <v/>
      </c>
      <c r="AZ607" s="192">
        <f>S607*(1+M607)</f>
        <v/>
      </c>
      <c r="BA607" s="76">
        <f>cost_fin_total*$BD607</f>
        <v/>
      </c>
      <c r="BB607" s="193">
        <f>credit_sales_interest*BD607</f>
        <v/>
      </c>
      <c r="BC607" s="102">
        <f>IFERROR(IF($I$13&gt;0,$I607/$I$13,$S607/$S$13),0)</f>
        <v/>
      </c>
      <c r="BD607" s="102">
        <f>IFERROR($S607/$S$13,0)</f>
        <v/>
      </c>
      <c r="BE607" s="413" t="inlineStr">
        <is>
          <t>$</t>
        </is>
      </c>
    </row>
    <row r="608" ht="12" customFormat="1" customHeight="1" s="65">
      <c r="A608" s="43" t="n">
        <v>593</v>
      </c>
      <c r="B608" s="166" t="n"/>
      <c r="C608" s="166" t="n"/>
      <c r="D608" s="166" t="n"/>
      <c r="E608" s="162" t="n"/>
      <c r="F608" s="166" t="n"/>
      <c r="G608" s="162" t="n"/>
      <c r="H608" s="162" t="n"/>
      <c r="I608" s="189">
        <f>E608*G608</f>
        <v/>
      </c>
      <c r="J608" s="195" t="n"/>
      <c r="K608" s="162" t="n"/>
      <c r="L608" s="168" t="n"/>
      <c r="M608" s="75">
        <f>_xlfn.XLOOKUP(L608,list_vat[Страна],list_vat[Ставка НДС %],0,0)</f>
        <v/>
      </c>
      <c r="N608" s="162">
        <f>IFERROR(IF(L608="Китай",K608,K608/(1+M608)),0)</f>
        <v/>
      </c>
      <c r="O608" s="169" t="n"/>
      <c r="P608" s="76">
        <f>N608*(1-O608)</f>
        <v/>
      </c>
      <c r="Q608" s="162" t="n"/>
      <c r="R608" s="162">
        <f>IF(ISBLANK(Q608),"введи курс",P608/Q608)</f>
        <v/>
      </c>
      <c r="S608" s="196">
        <f>IF(AND(ISNUMBER(E608),ISNUMBER(Q608)),E608*R608,0)</f>
        <v/>
      </c>
      <c r="T608" s="192">
        <f>$BC608*V$11</f>
        <v/>
      </c>
      <c r="U608" s="76">
        <f>$BC608*W$11</f>
        <v/>
      </c>
      <c r="V608" s="193">
        <f>+SUM(T608:U608)</f>
        <v/>
      </c>
      <c r="W608" s="191" t="n"/>
      <c r="X608" s="170" t="n"/>
      <c r="Y608" s="76">
        <f>ROUND(IF(offer_incoterms="DDP",X608*(S608*(1+AW608)+T608),0),2)</f>
        <v/>
      </c>
      <c r="Z608" s="188" t="n"/>
      <c r="AA608" s="192">
        <f>IFERROR(AB608/E608,0)</f>
        <v/>
      </c>
      <c r="AB608" s="76">
        <f>ROUND(SUM(S608,V608,Y608:Z608,BA608:BB608),2)</f>
        <v/>
      </c>
      <c r="AC608" s="797" t="n"/>
      <c r="AD608" s="192">
        <f t="array" ref="AD608">IFERROR(ROUND((_xlfn.IFS(offer_sale_type="поставка",AB608,offer_sale_type="транзит",S608)*(1+AC608))/E608,2),0)</f>
        <v/>
      </c>
      <c r="AE608" s="76">
        <f>AD608*E608</f>
        <v/>
      </c>
      <c r="AF608" s="193">
        <f t="array" ref="AF608">IFERROR(ROUND(_xlfn.IFS(offer_sale_type="поставка",AB608,offer_sale_type="транзит",S608)*AC608,2),0)</f>
        <v/>
      </c>
      <c r="AG608" s="192">
        <f>$BD608*VLOOKUP($AG$3,$AF$4:$AG$7,2,FALSE)</f>
        <v/>
      </c>
      <c r="AH608" s="76">
        <f>SUM(AE608,AG608,AI608)*rate_forex_risk</f>
        <v/>
      </c>
      <c r="AI608" s="193">
        <f>IF(OR(seller_region="TR",offer_sale_type="экспорт"),0,rate_fin_comm)*SUM(AZ608,AZ608*AW608,T608)</f>
        <v/>
      </c>
      <c r="AJ608" s="118">
        <f>IFERROR(ROUND(SUM(AB608,AF608:AI608)/E608,2),0)</f>
        <v/>
      </c>
      <c r="AK608" s="76">
        <f>AJ608*E608</f>
        <v/>
      </c>
      <c r="AL608" s="174">
        <f>ROUND(IFERROR(AM608*E608,0),2)</f>
        <v/>
      </c>
      <c r="AM608" s="175">
        <f>ROUND(AJ608*(1+IF(offer_incoterms="DDP",IF((TODAY()+offer_turnaround_time)&gt;=helpsheet!$L$17,rate_vatRU_from_26,rate_vatRu_till_25),0)),2)</f>
        <v/>
      </c>
      <c r="AN608" s="192">
        <f>AL608-AK608</f>
        <v/>
      </c>
      <c r="AO608" s="76">
        <f>SUM(AY608,Y608:Z608,T608)*IF(AND(offer_incoterms="DDP",offer_sale_type&lt;&gt;"экспорт"),IF((TODAY()+offer_turnaround_time)&gt;=helpsheet!$L$17,rate_vatRU_from_26,rate_vatRu_till_25),0)</f>
        <v/>
      </c>
      <c r="AP608" s="193">
        <f>AN608-AO608</f>
        <v/>
      </c>
      <c r="AQ608" s="118">
        <f>IF(offer_sale_type="транзит",SUM(AF608:AI608,BA608,BB608),0)</f>
        <v/>
      </c>
      <c r="AR608" s="82">
        <f>HYPERLINK("https://www.alta.ru/tnved/code/")&amp;W608&amp;"/"</f>
        <v/>
      </c>
      <c r="AS608" s="157" t="n"/>
      <c r="AT608" s="162" t="n"/>
      <c r="AU608" s="76">
        <f>IF(ISBLANK(AT608),0,AJ608-AT608)</f>
        <v/>
      </c>
      <c r="AV608" s="157" t="n"/>
      <c r="AW608" s="75">
        <f>_xlfn.IFNA(VLOOKUP(L608,list_vat[],3,FALSE),0)</f>
        <v/>
      </c>
      <c r="AX608" s="76">
        <f>IFERROR(ROUND(S608*(1+AW608)/E608,2),0)</f>
        <v/>
      </c>
      <c r="AY608" s="76">
        <f>E608*AX608</f>
        <v/>
      </c>
      <c r="AZ608" s="192">
        <f>S608*(1+M608)</f>
        <v/>
      </c>
      <c r="BA608" s="76">
        <f>cost_fin_total*$BD608</f>
        <v/>
      </c>
      <c r="BB608" s="193">
        <f>credit_sales_interest*BD608</f>
        <v/>
      </c>
      <c r="BC608" s="102">
        <f>IFERROR(IF($I$13&gt;0,$I608/$I$13,$S608/$S$13),0)</f>
        <v/>
      </c>
      <c r="BD608" s="102">
        <f>IFERROR($S608/$S$13,0)</f>
        <v/>
      </c>
      <c r="BE608" s="413" t="inlineStr">
        <is>
          <t>$</t>
        </is>
      </c>
    </row>
    <row r="609" ht="12" customFormat="1" customHeight="1" s="65">
      <c r="A609" s="43" t="n">
        <v>594</v>
      </c>
      <c r="B609" s="166" t="n"/>
      <c r="C609" s="166" t="n"/>
      <c r="D609" s="166" t="n"/>
      <c r="E609" s="162" t="n"/>
      <c r="F609" s="166" t="n"/>
      <c r="G609" s="162" t="n"/>
      <c r="H609" s="162" t="n"/>
      <c r="I609" s="189">
        <f>E609*G609</f>
        <v/>
      </c>
      <c r="J609" s="195" t="n"/>
      <c r="K609" s="162" t="n"/>
      <c r="L609" s="168" t="n"/>
      <c r="M609" s="75">
        <f>_xlfn.XLOOKUP(L609,list_vat[Страна],list_vat[Ставка НДС %],0,0)</f>
        <v/>
      </c>
      <c r="N609" s="162">
        <f>IFERROR(IF(L609="Китай",K609,K609/(1+M609)),0)</f>
        <v/>
      </c>
      <c r="O609" s="169" t="n"/>
      <c r="P609" s="76">
        <f>N609*(1-O609)</f>
        <v/>
      </c>
      <c r="Q609" s="162" t="n"/>
      <c r="R609" s="162">
        <f>IF(ISBLANK(Q609),"введи курс",P609/Q609)</f>
        <v/>
      </c>
      <c r="S609" s="196">
        <f>IF(AND(ISNUMBER(E609),ISNUMBER(Q609)),E609*R609,0)</f>
        <v/>
      </c>
      <c r="T609" s="192">
        <f>$BC609*V$11</f>
        <v/>
      </c>
      <c r="U609" s="76">
        <f>$BC609*W$11</f>
        <v/>
      </c>
      <c r="V609" s="193">
        <f>+SUM(T609:U609)</f>
        <v/>
      </c>
      <c r="W609" s="191" t="n"/>
      <c r="X609" s="170" t="n"/>
      <c r="Y609" s="76">
        <f>ROUND(IF(offer_incoterms="DDP",X609*(S609*(1+AW609)+T609),0),2)</f>
        <v/>
      </c>
      <c r="Z609" s="188" t="n"/>
      <c r="AA609" s="192">
        <f>IFERROR(AB609/E609,0)</f>
        <v/>
      </c>
      <c r="AB609" s="76">
        <f>ROUND(SUM(S609,V609,Y609:Z609,BA609:BB609),2)</f>
        <v/>
      </c>
      <c r="AC609" s="797" t="n"/>
      <c r="AD609" s="192">
        <f t="array" ref="AD609">IFERROR(ROUND((_xlfn.IFS(offer_sale_type="поставка",AB609,offer_sale_type="транзит",S609)*(1+AC609))/E609,2),0)</f>
        <v/>
      </c>
      <c r="AE609" s="76">
        <f>AD609*E609</f>
        <v/>
      </c>
      <c r="AF609" s="193">
        <f t="array" ref="AF609">IFERROR(ROUND(_xlfn.IFS(offer_sale_type="поставка",AB609,offer_sale_type="транзит",S609)*AC609,2),0)</f>
        <v/>
      </c>
      <c r="AG609" s="192">
        <f>$BD609*VLOOKUP($AG$3,$AF$4:$AG$7,2,FALSE)</f>
        <v/>
      </c>
      <c r="AH609" s="76">
        <f>SUM(AE609,AG609,AI609)*rate_forex_risk</f>
        <v/>
      </c>
      <c r="AI609" s="193">
        <f>IF(OR(seller_region="TR",offer_sale_type="экспорт"),0,rate_fin_comm)*SUM(AZ609,AZ609*AW609,T609)</f>
        <v/>
      </c>
      <c r="AJ609" s="118">
        <f>IFERROR(ROUND(SUM(AB609,AF609:AI609)/E609,2),0)</f>
        <v/>
      </c>
      <c r="AK609" s="76">
        <f>AJ609*E609</f>
        <v/>
      </c>
      <c r="AL609" s="174">
        <f>ROUND(IFERROR(AM609*E609,0),2)</f>
        <v/>
      </c>
      <c r="AM609" s="175">
        <f>ROUND(AJ609*(1+IF(offer_incoterms="DDP",IF((TODAY()+offer_turnaround_time)&gt;=helpsheet!$L$17,rate_vatRU_from_26,rate_vatRu_till_25),0)),2)</f>
        <v/>
      </c>
      <c r="AN609" s="192">
        <f>AL609-AK609</f>
        <v/>
      </c>
      <c r="AO609" s="76">
        <f>SUM(AY609,Y609:Z609,T609)*IF(AND(offer_incoterms="DDP",offer_sale_type&lt;&gt;"экспорт"),IF((TODAY()+offer_turnaround_time)&gt;=helpsheet!$L$17,rate_vatRU_from_26,rate_vatRu_till_25),0)</f>
        <v/>
      </c>
      <c r="AP609" s="193">
        <f>AN609-AO609</f>
        <v/>
      </c>
      <c r="AQ609" s="118">
        <f>IF(offer_sale_type="транзит",SUM(AF609:AI609,BA609,BB609),0)</f>
        <v/>
      </c>
      <c r="AR609" s="82">
        <f>HYPERLINK("https://www.alta.ru/tnved/code/")&amp;W609&amp;"/"</f>
        <v/>
      </c>
      <c r="AS609" s="157" t="n"/>
      <c r="AT609" s="162" t="n"/>
      <c r="AU609" s="76">
        <f>IF(ISBLANK(AT609),0,AJ609-AT609)</f>
        <v/>
      </c>
      <c r="AV609" s="157" t="n"/>
      <c r="AW609" s="75">
        <f>_xlfn.IFNA(VLOOKUP(L609,list_vat[],3,FALSE),0)</f>
        <v/>
      </c>
      <c r="AX609" s="76">
        <f>IFERROR(ROUND(S609*(1+AW609)/E609,2),0)</f>
        <v/>
      </c>
      <c r="AY609" s="76">
        <f>E609*AX609</f>
        <v/>
      </c>
      <c r="AZ609" s="192">
        <f>S609*(1+M609)</f>
        <v/>
      </c>
      <c r="BA609" s="76">
        <f>cost_fin_total*$BD609</f>
        <v/>
      </c>
      <c r="BB609" s="193">
        <f>credit_sales_interest*BD609</f>
        <v/>
      </c>
      <c r="BC609" s="102">
        <f>IFERROR(IF($I$13&gt;0,$I609/$I$13,$S609/$S$13),0)</f>
        <v/>
      </c>
      <c r="BD609" s="102">
        <f>IFERROR($S609/$S$13,0)</f>
        <v/>
      </c>
      <c r="BE609" s="413" t="inlineStr">
        <is>
          <t>$</t>
        </is>
      </c>
    </row>
    <row r="610" ht="12" customFormat="1" customHeight="1" s="65">
      <c r="A610" s="43" t="n">
        <v>595</v>
      </c>
      <c r="B610" s="166" t="n"/>
      <c r="C610" s="166" t="n"/>
      <c r="D610" s="166" t="n"/>
      <c r="E610" s="162" t="n"/>
      <c r="F610" s="166" t="n"/>
      <c r="G610" s="162" t="n"/>
      <c r="H610" s="162" t="n"/>
      <c r="I610" s="189">
        <f>E610*G610</f>
        <v/>
      </c>
      <c r="J610" s="195" t="n"/>
      <c r="K610" s="162" t="n"/>
      <c r="L610" s="168" t="n"/>
      <c r="M610" s="75">
        <f>_xlfn.XLOOKUP(L610,list_vat[Страна],list_vat[Ставка НДС %],0,0)</f>
        <v/>
      </c>
      <c r="N610" s="162">
        <f>IFERROR(IF(L610="Китай",K610,K610/(1+M610)),0)</f>
        <v/>
      </c>
      <c r="O610" s="169" t="n"/>
      <c r="P610" s="76">
        <f>N610*(1-O610)</f>
        <v/>
      </c>
      <c r="Q610" s="162" t="n"/>
      <c r="R610" s="162">
        <f>IF(ISBLANK(Q610),"введи курс",P610/Q610)</f>
        <v/>
      </c>
      <c r="S610" s="196">
        <f>IF(AND(ISNUMBER(E610),ISNUMBER(Q610)),E610*R610,0)</f>
        <v/>
      </c>
      <c r="T610" s="192">
        <f>$BC610*V$11</f>
        <v/>
      </c>
      <c r="U610" s="76">
        <f>$BC610*W$11</f>
        <v/>
      </c>
      <c r="V610" s="193">
        <f>+SUM(T610:U610)</f>
        <v/>
      </c>
      <c r="W610" s="191" t="n"/>
      <c r="X610" s="170" t="n"/>
      <c r="Y610" s="76">
        <f>ROUND(IF(offer_incoterms="DDP",X610*(S610*(1+AW610)+T610),0),2)</f>
        <v/>
      </c>
      <c r="Z610" s="188" t="n"/>
      <c r="AA610" s="192">
        <f>IFERROR(AB610/E610,0)</f>
        <v/>
      </c>
      <c r="AB610" s="76">
        <f>ROUND(SUM(S610,V610,Y610:Z610,BA610:BB610),2)</f>
        <v/>
      </c>
      <c r="AC610" s="797" t="n"/>
      <c r="AD610" s="192">
        <f t="array" ref="AD610">IFERROR(ROUND((_xlfn.IFS(offer_sale_type="поставка",AB610,offer_sale_type="транзит",S610)*(1+AC610))/E610,2),0)</f>
        <v/>
      </c>
      <c r="AE610" s="76">
        <f>AD610*E610</f>
        <v/>
      </c>
      <c r="AF610" s="193">
        <f t="array" ref="AF610">IFERROR(ROUND(_xlfn.IFS(offer_sale_type="поставка",AB610,offer_sale_type="транзит",S610)*AC610,2),0)</f>
        <v/>
      </c>
      <c r="AG610" s="192">
        <f>$BD610*VLOOKUP($AG$3,$AF$4:$AG$7,2,FALSE)</f>
        <v/>
      </c>
      <c r="AH610" s="76">
        <f>SUM(AE610,AG610,AI610)*rate_forex_risk</f>
        <v/>
      </c>
      <c r="AI610" s="193">
        <f>IF(OR(seller_region="TR",offer_sale_type="экспорт"),0,rate_fin_comm)*SUM(AZ610,AZ610*AW610,T610)</f>
        <v/>
      </c>
      <c r="AJ610" s="118">
        <f>IFERROR(ROUND(SUM(AB610,AF610:AI610)/E610,2),0)</f>
        <v/>
      </c>
      <c r="AK610" s="76">
        <f>AJ610*E610</f>
        <v/>
      </c>
      <c r="AL610" s="174">
        <f>ROUND(IFERROR(AM610*E610,0),2)</f>
        <v/>
      </c>
      <c r="AM610" s="175">
        <f>ROUND(AJ610*(1+IF(offer_incoterms="DDP",IF((TODAY()+offer_turnaround_time)&gt;=helpsheet!$L$17,rate_vatRU_from_26,rate_vatRu_till_25),0)),2)</f>
        <v/>
      </c>
      <c r="AN610" s="192">
        <f>AL610-AK610</f>
        <v/>
      </c>
      <c r="AO610" s="76">
        <f>SUM(AY610,Y610:Z610,T610)*IF(AND(offer_incoterms="DDP",offer_sale_type&lt;&gt;"экспорт"),IF((TODAY()+offer_turnaround_time)&gt;=helpsheet!$L$17,rate_vatRU_from_26,rate_vatRu_till_25),0)</f>
        <v/>
      </c>
      <c r="AP610" s="193">
        <f>AN610-AO610</f>
        <v/>
      </c>
      <c r="AQ610" s="118">
        <f>IF(offer_sale_type="транзит",SUM(AF610:AI610,BA610,BB610),0)</f>
        <v/>
      </c>
      <c r="AR610" s="82">
        <f>HYPERLINK("https://www.alta.ru/tnved/code/")&amp;W610&amp;"/"</f>
        <v/>
      </c>
      <c r="AS610" s="157" t="n"/>
      <c r="AT610" s="162" t="n"/>
      <c r="AU610" s="76">
        <f>IF(ISBLANK(AT610),0,AJ610-AT610)</f>
        <v/>
      </c>
      <c r="AV610" s="157" t="n"/>
      <c r="AW610" s="75">
        <f>_xlfn.IFNA(VLOOKUP(L610,list_vat[],3,FALSE),0)</f>
        <v/>
      </c>
      <c r="AX610" s="76">
        <f>IFERROR(ROUND(S610*(1+AW610)/E610,2),0)</f>
        <v/>
      </c>
      <c r="AY610" s="76">
        <f>E610*AX610</f>
        <v/>
      </c>
      <c r="AZ610" s="192">
        <f>S610*(1+M610)</f>
        <v/>
      </c>
      <c r="BA610" s="76">
        <f>cost_fin_total*$BD610</f>
        <v/>
      </c>
      <c r="BB610" s="193">
        <f>credit_sales_interest*BD610</f>
        <v/>
      </c>
      <c r="BC610" s="102">
        <f>IFERROR(IF($I$13&gt;0,$I610/$I$13,$S610/$S$13),0)</f>
        <v/>
      </c>
      <c r="BD610" s="102">
        <f>IFERROR($S610/$S$13,0)</f>
        <v/>
      </c>
      <c r="BE610" s="413" t="inlineStr">
        <is>
          <t>$</t>
        </is>
      </c>
    </row>
    <row r="611" ht="12" customFormat="1" customHeight="1" s="65">
      <c r="A611" s="43" t="n">
        <v>596</v>
      </c>
      <c r="B611" s="166" t="n"/>
      <c r="C611" s="166" t="n"/>
      <c r="D611" s="166" t="n"/>
      <c r="E611" s="162" t="n"/>
      <c r="F611" s="166" t="n"/>
      <c r="G611" s="162" t="n"/>
      <c r="H611" s="162" t="n"/>
      <c r="I611" s="189">
        <f>E611*G611</f>
        <v/>
      </c>
      <c r="J611" s="195" t="n"/>
      <c r="K611" s="162" t="n"/>
      <c r="L611" s="168" t="n"/>
      <c r="M611" s="75">
        <f>_xlfn.XLOOKUP(L611,list_vat[Страна],list_vat[Ставка НДС %],0,0)</f>
        <v/>
      </c>
      <c r="N611" s="162">
        <f>IFERROR(IF(L611="Китай",K611,K611/(1+M611)),0)</f>
        <v/>
      </c>
      <c r="O611" s="169" t="n"/>
      <c r="P611" s="76">
        <f>N611*(1-O611)</f>
        <v/>
      </c>
      <c r="Q611" s="162" t="n"/>
      <c r="R611" s="162">
        <f>IF(ISBLANK(Q611),"введи курс",P611/Q611)</f>
        <v/>
      </c>
      <c r="S611" s="196">
        <f>IF(AND(ISNUMBER(E611),ISNUMBER(Q611)),E611*R611,0)</f>
        <v/>
      </c>
      <c r="T611" s="192">
        <f>$BC611*V$11</f>
        <v/>
      </c>
      <c r="U611" s="76">
        <f>$BC611*W$11</f>
        <v/>
      </c>
      <c r="V611" s="193">
        <f>+SUM(T611:U611)</f>
        <v/>
      </c>
      <c r="W611" s="191" t="n"/>
      <c r="X611" s="170" t="n"/>
      <c r="Y611" s="76">
        <f>ROUND(IF(offer_incoterms="DDP",X611*(S611*(1+AW611)+T611),0),2)</f>
        <v/>
      </c>
      <c r="Z611" s="188" t="n"/>
      <c r="AA611" s="192">
        <f>IFERROR(AB611/E611,0)</f>
        <v/>
      </c>
      <c r="AB611" s="76">
        <f>ROUND(SUM(S611,V611,Y611:Z611,BA611:BB611),2)</f>
        <v/>
      </c>
      <c r="AC611" s="797" t="n"/>
      <c r="AD611" s="192">
        <f t="array" ref="AD611">IFERROR(ROUND((_xlfn.IFS(offer_sale_type="поставка",AB611,offer_sale_type="транзит",S611)*(1+AC611))/E611,2),0)</f>
        <v/>
      </c>
      <c r="AE611" s="76">
        <f>AD611*E611</f>
        <v/>
      </c>
      <c r="AF611" s="193">
        <f t="array" ref="AF611">IFERROR(ROUND(_xlfn.IFS(offer_sale_type="поставка",AB611,offer_sale_type="транзит",S611)*AC611,2),0)</f>
        <v/>
      </c>
      <c r="AG611" s="192">
        <f>$BD611*VLOOKUP($AG$3,$AF$4:$AG$7,2,FALSE)</f>
        <v/>
      </c>
      <c r="AH611" s="76">
        <f>SUM(AE611,AG611,AI611)*rate_forex_risk</f>
        <v/>
      </c>
      <c r="AI611" s="193">
        <f>IF(OR(seller_region="TR",offer_sale_type="экспорт"),0,rate_fin_comm)*SUM(AZ611,AZ611*AW611,T611)</f>
        <v/>
      </c>
      <c r="AJ611" s="118">
        <f>IFERROR(ROUND(SUM(AB611,AF611:AI611)/E611,2),0)</f>
        <v/>
      </c>
      <c r="AK611" s="76">
        <f>AJ611*E611</f>
        <v/>
      </c>
      <c r="AL611" s="174">
        <f>ROUND(IFERROR(AM611*E611,0),2)</f>
        <v/>
      </c>
      <c r="AM611" s="175">
        <f>ROUND(AJ611*(1+IF(offer_incoterms="DDP",IF((TODAY()+offer_turnaround_time)&gt;=helpsheet!$L$17,rate_vatRU_from_26,rate_vatRu_till_25),0)),2)</f>
        <v/>
      </c>
      <c r="AN611" s="192">
        <f>AL611-AK611</f>
        <v/>
      </c>
      <c r="AO611" s="76">
        <f>SUM(AY611,Y611:Z611,T611)*IF(AND(offer_incoterms="DDP",offer_sale_type&lt;&gt;"экспорт"),IF((TODAY()+offer_turnaround_time)&gt;=helpsheet!$L$17,rate_vatRU_from_26,rate_vatRu_till_25),0)</f>
        <v/>
      </c>
      <c r="AP611" s="193">
        <f>AN611-AO611</f>
        <v/>
      </c>
      <c r="AQ611" s="118">
        <f>IF(offer_sale_type="транзит",SUM(AF611:AI611,BA611,BB611),0)</f>
        <v/>
      </c>
      <c r="AR611" s="82">
        <f>HYPERLINK("https://www.alta.ru/tnved/code/")&amp;W611&amp;"/"</f>
        <v/>
      </c>
      <c r="AS611" s="157" t="n"/>
      <c r="AT611" s="162" t="n"/>
      <c r="AU611" s="76">
        <f>IF(ISBLANK(AT611),0,AJ611-AT611)</f>
        <v/>
      </c>
      <c r="AV611" s="157" t="n"/>
      <c r="AW611" s="75">
        <f>_xlfn.IFNA(VLOOKUP(L611,list_vat[],3,FALSE),0)</f>
        <v/>
      </c>
      <c r="AX611" s="76">
        <f>IFERROR(ROUND(S611*(1+AW611)/E611,2),0)</f>
        <v/>
      </c>
      <c r="AY611" s="76">
        <f>E611*AX611</f>
        <v/>
      </c>
      <c r="AZ611" s="192">
        <f>S611*(1+M611)</f>
        <v/>
      </c>
      <c r="BA611" s="76">
        <f>cost_fin_total*$BD611</f>
        <v/>
      </c>
      <c r="BB611" s="193">
        <f>credit_sales_interest*BD611</f>
        <v/>
      </c>
      <c r="BC611" s="102">
        <f>IFERROR(IF($I$13&gt;0,$I611/$I$13,$S611/$S$13),0)</f>
        <v/>
      </c>
      <c r="BD611" s="102">
        <f>IFERROR($S611/$S$13,0)</f>
        <v/>
      </c>
      <c r="BE611" s="413" t="inlineStr">
        <is>
          <t>$</t>
        </is>
      </c>
    </row>
    <row r="612" ht="12" customFormat="1" customHeight="1" s="65">
      <c r="A612" s="43" t="n">
        <v>597</v>
      </c>
      <c r="B612" s="166" t="n"/>
      <c r="C612" s="166" t="n"/>
      <c r="D612" s="166" t="n"/>
      <c r="E612" s="162" t="n"/>
      <c r="F612" s="166" t="n"/>
      <c r="G612" s="162" t="n"/>
      <c r="H612" s="162" t="n"/>
      <c r="I612" s="189">
        <f>E612*G612</f>
        <v/>
      </c>
      <c r="J612" s="195" t="n"/>
      <c r="K612" s="162" t="n"/>
      <c r="L612" s="168" t="n"/>
      <c r="M612" s="75">
        <f>_xlfn.XLOOKUP(L612,list_vat[Страна],list_vat[Ставка НДС %],0,0)</f>
        <v/>
      </c>
      <c r="N612" s="162">
        <f>IFERROR(IF(L612="Китай",K612,K612/(1+M612)),0)</f>
        <v/>
      </c>
      <c r="O612" s="169" t="n"/>
      <c r="P612" s="76">
        <f>N612*(1-O612)</f>
        <v/>
      </c>
      <c r="Q612" s="162" t="n"/>
      <c r="R612" s="162">
        <f>IF(ISBLANK(Q612),"введи курс",P612/Q612)</f>
        <v/>
      </c>
      <c r="S612" s="196">
        <f>IF(AND(ISNUMBER(E612),ISNUMBER(Q612)),E612*R612,0)</f>
        <v/>
      </c>
      <c r="T612" s="192">
        <f>$BC612*V$11</f>
        <v/>
      </c>
      <c r="U612" s="76">
        <f>$BC612*W$11</f>
        <v/>
      </c>
      <c r="V612" s="193">
        <f>+SUM(T612:U612)</f>
        <v/>
      </c>
      <c r="W612" s="191" t="n"/>
      <c r="X612" s="170" t="n"/>
      <c r="Y612" s="76">
        <f>ROUND(IF(offer_incoterms="DDP",X612*(S612*(1+AW612)+T612),0),2)</f>
        <v/>
      </c>
      <c r="Z612" s="188" t="n"/>
      <c r="AA612" s="192">
        <f>IFERROR(AB612/E612,0)</f>
        <v/>
      </c>
      <c r="AB612" s="76">
        <f>ROUND(SUM(S612,V612,Y612:Z612,BA612:BB612),2)</f>
        <v/>
      </c>
      <c r="AC612" s="797" t="n"/>
      <c r="AD612" s="192">
        <f t="array" ref="AD612">IFERROR(ROUND((_xlfn.IFS(offer_sale_type="поставка",AB612,offer_sale_type="транзит",S612)*(1+AC612))/E612,2),0)</f>
        <v/>
      </c>
      <c r="AE612" s="76">
        <f>AD612*E612</f>
        <v/>
      </c>
      <c r="AF612" s="193">
        <f t="array" ref="AF612">IFERROR(ROUND(_xlfn.IFS(offer_sale_type="поставка",AB612,offer_sale_type="транзит",S612)*AC612,2),0)</f>
        <v/>
      </c>
      <c r="AG612" s="192">
        <f>$BD612*VLOOKUP($AG$3,$AF$4:$AG$7,2,FALSE)</f>
        <v/>
      </c>
      <c r="AH612" s="76">
        <f>SUM(AE612,AG612,AI612)*rate_forex_risk</f>
        <v/>
      </c>
      <c r="AI612" s="193">
        <f>IF(OR(seller_region="TR",offer_sale_type="экспорт"),0,rate_fin_comm)*SUM(AZ612,AZ612*AW612,T612)</f>
        <v/>
      </c>
      <c r="AJ612" s="118">
        <f>IFERROR(ROUND(SUM(AB612,AF612:AI612)/E612,2),0)</f>
        <v/>
      </c>
      <c r="AK612" s="76">
        <f>AJ612*E612</f>
        <v/>
      </c>
      <c r="AL612" s="174">
        <f>ROUND(IFERROR(AM612*E612,0),2)</f>
        <v/>
      </c>
      <c r="AM612" s="175">
        <f>ROUND(AJ612*(1+IF(offer_incoterms="DDP",IF((TODAY()+offer_turnaround_time)&gt;=helpsheet!$L$17,rate_vatRU_from_26,rate_vatRu_till_25),0)),2)</f>
        <v/>
      </c>
      <c r="AN612" s="192">
        <f>AL612-AK612</f>
        <v/>
      </c>
      <c r="AO612" s="76">
        <f>SUM(AY612,Y612:Z612,T612)*IF(AND(offer_incoterms="DDP",offer_sale_type&lt;&gt;"экспорт"),IF((TODAY()+offer_turnaround_time)&gt;=helpsheet!$L$17,rate_vatRU_from_26,rate_vatRu_till_25),0)</f>
        <v/>
      </c>
      <c r="AP612" s="193">
        <f>AN612-AO612</f>
        <v/>
      </c>
      <c r="AQ612" s="118">
        <f>IF(offer_sale_type="транзит",SUM(AF612:AI612,BA612,BB612),0)</f>
        <v/>
      </c>
      <c r="AR612" s="82">
        <f>HYPERLINK("https://www.alta.ru/tnved/code/")&amp;W612&amp;"/"</f>
        <v/>
      </c>
      <c r="AS612" s="157" t="n"/>
      <c r="AT612" s="162" t="n"/>
      <c r="AU612" s="76">
        <f>IF(ISBLANK(AT612),0,AJ612-AT612)</f>
        <v/>
      </c>
      <c r="AV612" s="157" t="n"/>
      <c r="AW612" s="75">
        <f>_xlfn.IFNA(VLOOKUP(L612,list_vat[],3,FALSE),0)</f>
        <v/>
      </c>
      <c r="AX612" s="76">
        <f>IFERROR(ROUND(S612*(1+AW612)/E612,2),0)</f>
        <v/>
      </c>
      <c r="AY612" s="76">
        <f>E612*AX612</f>
        <v/>
      </c>
      <c r="AZ612" s="192">
        <f>S612*(1+M612)</f>
        <v/>
      </c>
      <c r="BA612" s="76">
        <f>cost_fin_total*$BD612</f>
        <v/>
      </c>
      <c r="BB612" s="193">
        <f>credit_sales_interest*BD612</f>
        <v/>
      </c>
      <c r="BC612" s="102">
        <f>IFERROR(IF($I$13&gt;0,$I612/$I$13,$S612/$S$13),0)</f>
        <v/>
      </c>
      <c r="BD612" s="102">
        <f>IFERROR($S612/$S$13,0)</f>
        <v/>
      </c>
      <c r="BE612" s="413" t="inlineStr">
        <is>
          <t>$</t>
        </is>
      </c>
    </row>
    <row r="613" ht="12" customFormat="1" customHeight="1" s="65">
      <c r="A613" s="43" t="n">
        <v>598</v>
      </c>
      <c r="B613" s="166" t="n"/>
      <c r="C613" s="166" t="n"/>
      <c r="D613" s="166" t="n"/>
      <c r="E613" s="162" t="n"/>
      <c r="F613" s="166" t="n"/>
      <c r="G613" s="162" t="n"/>
      <c r="H613" s="162" t="n"/>
      <c r="I613" s="189">
        <f>E613*G613</f>
        <v/>
      </c>
      <c r="J613" s="195" t="n"/>
      <c r="K613" s="162" t="n"/>
      <c r="L613" s="168" t="n"/>
      <c r="M613" s="75">
        <f>_xlfn.XLOOKUP(L613,list_vat[Страна],list_vat[Ставка НДС %],0,0)</f>
        <v/>
      </c>
      <c r="N613" s="162">
        <f>IFERROR(IF(L613="Китай",K613,K613/(1+M613)),0)</f>
        <v/>
      </c>
      <c r="O613" s="169" t="n"/>
      <c r="P613" s="76">
        <f>N613*(1-O613)</f>
        <v/>
      </c>
      <c r="Q613" s="162" t="n"/>
      <c r="R613" s="162">
        <f>IF(ISBLANK(Q613),"введи курс",P613/Q613)</f>
        <v/>
      </c>
      <c r="S613" s="196">
        <f>IF(AND(ISNUMBER(E613),ISNUMBER(Q613)),E613*R613,0)</f>
        <v/>
      </c>
      <c r="T613" s="192">
        <f>$BC613*V$11</f>
        <v/>
      </c>
      <c r="U613" s="76">
        <f>$BC613*W$11</f>
        <v/>
      </c>
      <c r="V613" s="193">
        <f>+SUM(T613:U613)</f>
        <v/>
      </c>
      <c r="W613" s="191" t="n"/>
      <c r="X613" s="170" t="n"/>
      <c r="Y613" s="76">
        <f>ROUND(IF(offer_incoterms="DDP",X613*(S613*(1+AW613)+T613),0),2)</f>
        <v/>
      </c>
      <c r="Z613" s="188" t="n"/>
      <c r="AA613" s="192">
        <f>IFERROR(AB613/E613,0)</f>
        <v/>
      </c>
      <c r="AB613" s="76">
        <f>ROUND(SUM(S613,V613,Y613:Z613,BA613:BB613),2)</f>
        <v/>
      </c>
      <c r="AC613" s="797" t="n"/>
      <c r="AD613" s="192">
        <f t="array" ref="AD613">IFERROR(ROUND((_xlfn.IFS(offer_sale_type="поставка",AB613,offer_sale_type="транзит",S613)*(1+AC613))/E613,2),0)</f>
        <v/>
      </c>
      <c r="AE613" s="76">
        <f>AD613*E613</f>
        <v/>
      </c>
      <c r="AF613" s="193">
        <f t="array" ref="AF613">IFERROR(ROUND(_xlfn.IFS(offer_sale_type="поставка",AB613,offer_sale_type="транзит",S613)*AC613,2),0)</f>
        <v/>
      </c>
      <c r="AG613" s="192">
        <f>$BD613*VLOOKUP($AG$3,$AF$4:$AG$7,2,FALSE)</f>
        <v/>
      </c>
      <c r="AH613" s="76">
        <f>SUM(AE613,AG613,AI613)*rate_forex_risk</f>
        <v/>
      </c>
      <c r="AI613" s="193">
        <f>IF(OR(seller_region="TR",offer_sale_type="экспорт"),0,rate_fin_comm)*SUM(AZ613,AZ613*AW613,T613)</f>
        <v/>
      </c>
      <c r="AJ613" s="118">
        <f>IFERROR(ROUND(SUM(AB613,AF613:AI613)/E613,2),0)</f>
        <v/>
      </c>
      <c r="AK613" s="76">
        <f>AJ613*E613</f>
        <v/>
      </c>
      <c r="AL613" s="174">
        <f>ROUND(IFERROR(AM613*E613,0),2)</f>
        <v/>
      </c>
      <c r="AM613" s="175">
        <f>ROUND(AJ613*(1+IF(offer_incoterms="DDP",IF((TODAY()+offer_turnaround_time)&gt;=helpsheet!$L$17,rate_vatRU_from_26,rate_vatRu_till_25),0)),2)</f>
        <v/>
      </c>
      <c r="AN613" s="192">
        <f>AL613-AK613</f>
        <v/>
      </c>
      <c r="AO613" s="76">
        <f>SUM(AY613,Y613:Z613,T613)*IF(AND(offer_incoterms="DDP",offer_sale_type&lt;&gt;"экспорт"),IF((TODAY()+offer_turnaround_time)&gt;=helpsheet!$L$17,rate_vatRU_from_26,rate_vatRu_till_25),0)</f>
        <v/>
      </c>
      <c r="AP613" s="193">
        <f>AN613-AO613</f>
        <v/>
      </c>
      <c r="AQ613" s="118">
        <f>IF(offer_sale_type="транзит",SUM(AF613:AI613,BA613,BB613),0)</f>
        <v/>
      </c>
      <c r="AR613" s="82">
        <f>HYPERLINK("https://www.alta.ru/tnved/code/")&amp;W613&amp;"/"</f>
        <v/>
      </c>
      <c r="AS613" s="157" t="n"/>
      <c r="AT613" s="162" t="n"/>
      <c r="AU613" s="76">
        <f>IF(ISBLANK(AT613),0,AJ613-AT613)</f>
        <v/>
      </c>
      <c r="AV613" s="157" t="n"/>
      <c r="AW613" s="75">
        <f>_xlfn.IFNA(VLOOKUP(L613,list_vat[],3,FALSE),0)</f>
        <v/>
      </c>
      <c r="AX613" s="76">
        <f>IFERROR(ROUND(S613*(1+AW613)/E613,2),0)</f>
        <v/>
      </c>
      <c r="AY613" s="76">
        <f>E613*AX613</f>
        <v/>
      </c>
      <c r="AZ613" s="192">
        <f>S613*(1+M613)</f>
        <v/>
      </c>
      <c r="BA613" s="76">
        <f>cost_fin_total*$BD613</f>
        <v/>
      </c>
      <c r="BB613" s="193">
        <f>credit_sales_interest*BD613</f>
        <v/>
      </c>
      <c r="BC613" s="102">
        <f>IFERROR(IF($I$13&gt;0,$I613/$I$13,$S613/$S$13),0)</f>
        <v/>
      </c>
      <c r="BD613" s="102">
        <f>IFERROR($S613/$S$13,0)</f>
        <v/>
      </c>
      <c r="BE613" s="413" t="inlineStr">
        <is>
          <t>$</t>
        </is>
      </c>
    </row>
    <row r="614" ht="12" customFormat="1" customHeight="1" s="65">
      <c r="A614" s="43" t="n">
        <v>599</v>
      </c>
      <c r="B614" s="166" t="n"/>
      <c r="C614" s="166" t="n"/>
      <c r="D614" s="166" t="n"/>
      <c r="E614" s="162" t="n"/>
      <c r="F614" s="166" t="n"/>
      <c r="G614" s="162" t="n"/>
      <c r="H614" s="162" t="n"/>
      <c r="I614" s="189">
        <f>E614*G614</f>
        <v/>
      </c>
      <c r="J614" s="195" t="n"/>
      <c r="K614" s="162" t="n"/>
      <c r="L614" s="168" t="n"/>
      <c r="M614" s="75">
        <f>_xlfn.XLOOKUP(L614,list_vat[Страна],list_vat[Ставка НДС %],0,0)</f>
        <v/>
      </c>
      <c r="N614" s="162">
        <f>IFERROR(IF(L614="Китай",K614,K614/(1+M614)),0)</f>
        <v/>
      </c>
      <c r="O614" s="169" t="n"/>
      <c r="P614" s="76">
        <f>N614*(1-O614)</f>
        <v/>
      </c>
      <c r="Q614" s="162" t="n"/>
      <c r="R614" s="162">
        <f>IF(ISBLANK(Q614),"введи курс",P614/Q614)</f>
        <v/>
      </c>
      <c r="S614" s="196">
        <f>IF(AND(ISNUMBER(E614),ISNUMBER(Q614)),E614*R614,0)</f>
        <v/>
      </c>
      <c r="T614" s="192">
        <f>$BC614*V$11</f>
        <v/>
      </c>
      <c r="U614" s="76">
        <f>$BC614*W$11</f>
        <v/>
      </c>
      <c r="V614" s="193">
        <f>+SUM(T614:U614)</f>
        <v/>
      </c>
      <c r="W614" s="191" t="n"/>
      <c r="X614" s="170" t="n"/>
      <c r="Y614" s="76">
        <f>ROUND(IF(offer_incoterms="DDP",X614*(S614*(1+AW614)+T614),0),2)</f>
        <v/>
      </c>
      <c r="Z614" s="188" t="n"/>
      <c r="AA614" s="192">
        <f>IFERROR(AB614/E614,0)</f>
        <v/>
      </c>
      <c r="AB614" s="76">
        <f>ROUND(SUM(S614,V614,Y614:Z614,BA614:BB614),2)</f>
        <v/>
      </c>
      <c r="AC614" s="797" t="n"/>
      <c r="AD614" s="192">
        <f t="array" ref="AD614">IFERROR(ROUND((_xlfn.IFS(offer_sale_type="поставка",AB614,offer_sale_type="транзит",S614)*(1+AC614))/E614,2),0)</f>
        <v/>
      </c>
      <c r="AE614" s="76">
        <f>AD614*E614</f>
        <v/>
      </c>
      <c r="AF614" s="193">
        <f t="array" ref="AF614">IFERROR(ROUND(_xlfn.IFS(offer_sale_type="поставка",AB614,offer_sale_type="транзит",S614)*AC614,2),0)</f>
        <v/>
      </c>
      <c r="AG614" s="192">
        <f>$BD614*VLOOKUP($AG$3,$AF$4:$AG$7,2,FALSE)</f>
        <v/>
      </c>
      <c r="AH614" s="76">
        <f>SUM(AE614,AG614,AI614)*rate_forex_risk</f>
        <v/>
      </c>
      <c r="AI614" s="193">
        <f>IF(OR(seller_region="TR",offer_sale_type="экспорт"),0,rate_fin_comm)*SUM(AZ614,AZ614*AW614,T614)</f>
        <v/>
      </c>
      <c r="AJ614" s="118">
        <f>IFERROR(ROUND(SUM(AB614,AF614:AI614)/E614,2),0)</f>
        <v/>
      </c>
      <c r="AK614" s="76">
        <f>AJ614*E614</f>
        <v/>
      </c>
      <c r="AL614" s="174">
        <f>ROUND(IFERROR(AM614*E614,0),2)</f>
        <v/>
      </c>
      <c r="AM614" s="175">
        <f>ROUND(AJ614*(1+IF(offer_incoterms="DDP",IF((TODAY()+offer_turnaround_time)&gt;=helpsheet!$L$17,rate_vatRU_from_26,rate_vatRu_till_25),0)),2)</f>
        <v/>
      </c>
      <c r="AN614" s="192">
        <f>AL614-AK614</f>
        <v/>
      </c>
      <c r="AO614" s="76">
        <f>SUM(AY614,Y614:Z614,T614)*IF(AND(offer_incoterms="DDP",offer_sale_type&lt;&gt;"экспорт"),IF((TODAY()+offer_turnaround_time)&gt;=helpsheet!$L$17,rate_vatRU_from_26,rate_vatRu_till_25),0)</f>
        <v/>
      </c>
      <c r="AP614" s="193">
        <f>AN614-AO614</f>
        <v/>
      </c>
      <c r="AQ614" s="118">
        <f>IF(offer_sale_type="транзит",SUM(AF614:AI614,BA614,BB614),0)</f>
        <v/>
      </c>
      <c r="AR614" s="82">
        <f>HYPERLINK("https://www.alta.ru/tnved/code/")&amp;W614&amp;"/"</f>
        <v/>
      </c>
      <c r="AS614" s="157" t="n"/>
      <c r="AT614" s="162" t="n"/>
      <c r="AU614" s="76">
        <f>IF(ISBLANK(AT614),0,AJ614-AT614)</f>
        <v/>
      </c>
      <c r="AV614" s="157" t="n"/>
      <c r="AW614" s="75">
        <f>_xlfn.IFNA(VLOOKUP(L614,list_vat[],3,FALSE),0)</f>
        <v/>
      </c>
      <c r="AX614" s="76">
        <f>IFERROR(ROUND(S614*(1+AW614)/E614,2),0)</f>
        <v/>
      </c>
      <c r="AY614" s="76">
        <f>E614*AX614</f>
        <v/>
      </c>
      <c r="AZ614" s="192">
        <f>S614*(1+M614)</f>
        <v/>
      </c>
      <c r="BA614" s="76">
        <f>cost_fin_total*$BD614</f>
        <v/>
      </c>
      <c r="BB614" s="193">
        <f>credit_sales_interest*BD614</f>
        <v/>
      </c>
      <c r="BC614" s="102">
        <f>IFERROR(IF($I$13&gt;0,$I614/$I$13,$S614/$S$13),0)</f>
        <v/>
      </c>
      <c r="BD614" s="102">
        <f>IFERROR($S614/$S$13,0)</f>
        <v/>
      </c>
      <c r="BE614" s="413" t="inlineStr">
        <is>
          <t>$</t>
        </is>
      </c>
    </row>
    <row r="615" ht="12" customFormat="1" customHeight="1" s="65">
      <c r="A615" s="43" t="n">
        <v>600</v>
      </c>
      <c r="B615" s="166" t="n"/>
      <c r="C615" s="166" t="n"/>
      <c r="D615" s="166" t="n"/>
      <c r="E615" s="162" t="n"/>
      <c r="F615" s="166" t="n"/>
      <c r="G615" s="162" t="n"/>
      <c r="H615" s="162" t="n"/>
      <c r="I615" s="189">
        <f>E615*G615</f>
        <v/>
      </c>
      <c r="J615" s="195" t="n"/>
      <c r="K615" s="162" t="n"/>
      <c r="L615" s="168" t="n"/>
      <c r="M615" s="75">
        <f>_xlfn.XLOOKUP(L615,list_vat[Страна],list_vat[Ставка НДС %],0,0)</f>
        <v/>
      </c>
      <c r="N615" s="162">
        <f>IFERROR(IF(L615="Китай",K615,K615/(1+M615)),0)</f>
        <v/>
      </c>
      <c r="O615" s="169" t="n"/>
      <c r="P615" s="76">
        <f>N615*(1-O615)</f>
        <v/>
      </c>
      <c r="Q615" s="162" t="n"/>
      <c r="R615" s="162">
        <f>IF(ISBLANK(Q615),"введи курс",P615/Q615)</f>
        <v/>
      </c>
      <c r="S615" s="196">
        <f>IF(AND(ISNUMBER(E615),ISNUMBER(Q615)),E615*R615,0)</f>
        <v/>
      </c>
      <c r="T615" s="192">
        <f>$BC615*V$11</f>
        <v/>
      </c>
      <c r="U615" s="76">
        <f>$BC615*W$11</f>
        <v/>
      </c>
      <c r="V615" s="193">
        <f>+SUM(T615:U615)</f>
        <v/>
      </c>
      <c r="W615" s="191" t="n"/>
      <c r="X615" s="170" t="n"/>
      <c r="Y615" s="76">
        <f>ROUND(IF(offer_incoterms="DDP",X615*(S615*(1+AW615)+T615),0),2)</f>
        <v/>
      </c>
      <c r="Z615" s="188" t="n"/>
      <c r="AA615" s="192">
        <f>IFERROR(AB615/E615,0)</f>
        <v/>
      </c>
      <c r="AB615" s="76">
        <f>ROUND(SUM(S615,V615,Y615:Z615,BA615:BB615),2)</f>
        <v/>
      </c>
      <c r="AC615" s="797" t="n"/>
      <c r="AD615" s="192">
        <f t="array" ref="AD615">IFERROR(ROUND((_xlfn.IFS(offer_sale_type="поставка",AB615,offer_sale_type="транзит",S615)*(1+AC615))/E615,2),0)</f>
        <v/>
      </c>
      <c r="AE615" s="76">
        <f>AD615*E615</f>
        <v/>
      </c>
      <c r="AF615" s="193">
        <f t="array" ref="AF615">IFERROR(ROUND(_xlfn.IFS(offer_sale_type="поставка",AB615,offer_sale_type="транзит",S615)*AC615,2),0)</f>
        <v/>
      </c>
      <c r="AG615" s="192">
        <f>$BD615*VLOOKUP($AG$3,$AF$4:$AG$7,2,FALSE)</f>
        <v/>
      </c>
      <c r="AH615" s="76">
        <f>SUM(AE615,AG615,AI615)*rate_forex_risk</f>
        <v/>
      </c>
      <c r="AI615" s="193">
        <f>IF(OR(seller_region="TR",offer_sale_type="экспорт"),0,rate_fin_comm)*SUM(AZ615,AZ615*AW615,T615)</f>
        <v/>
      </c>
      <c r="AJ615" s="118">
        <f>IFERROR(ROUND(SUM(AB615,AF615:AI615)/E615,2),0)</f>
        <v/>
      </c>
      <c r="AK615" s="76">
        <f>AJ615*E615</f>
        <v/>
      </c>
      <c r="AL615" s="174">
        <f>ROUND(IFERROR(AM615*E615,0),2)</f>
        <v/>
      </c>
      <c r="AM615" s="175">
        <f>ROUND(AJ615*(1+IF(offer_incoterms="DDP",IF((TODAY()+offer_turnaround_time)&gt;=helpsheet!$L$17,rate_vatRU_from_26,rate_vatRu_till_25),0)),2)</f>
        <v/>
      </c>
      <c r="AN615" s="192">
        <f>AL615-AK615</f>
        <v/>
      </c>
      <c r="AO615" s="76">
        <f>SUM(AY615,Y615:Z615,T615)*IF(AND(offer_incoterms="DDP",offer_sale_type&lt;&gt;"экспорт"),IF((TODAY()+offer_turnaround_time)&gt;=helpsheet!$L$17,rate_vatRU_from_26,rate_vatRu_till_25),0)</f>
        <v/>
      </c>
      <c r="AP615" s="193">
        <f>AN615-AO615</f>
        <v/>
      </c>
      <c r="AQ615" s="118">
        <f>IF(offer_sale_type="транзит",SUM(AF615:AI615,BA615,BB615),0)</f>
        <v/>
      </c>
      <c r="AR615" s="82">
        <f>HYPERLINK("https://www.alta.ru/tnved/code/")&amp;W615&amp;"/"</f>
        <v/>
      </c>
      <c r="AS615" s="157" t="n"/>
      <c r="AT615" s="162" t="n"/>
      <c r="AU615" s="76">
        <f>IF(ISBLANK(AT615),0,AJ615-AT615)</f>
        <v/>
      </c>
      <c r="AV615" s="157" t="n"/>
      <c r="AW615" s="75">
        <f>_xlfn.IFNA(VLOOKUP(L615,list_vat[],3,FALSE),0)</f>
        <v/>
      </c>
      <c r="AX615" s="76">
        <f>IFERROR(ROUND(S615*(1+AW615)/E615,2),0)</f>
        <v/>
      </c>
      <c r="AY615" s="76">
        <f>E615*AX615</f>
        <v/>
      </c>
      <c r="AZ615" s="192">
        <f>S615*(1+M615)</f>
        <v/>
      </c>
      <c r="BA615" s="76">
        <f>cost_fin_total*$BD615</f>
        <v/>
      </c>
      <c r="BB615" s="193">
        <f>credit_sales_interest*BD615</f>
        <v/>
      </c>
      <c r="BC615" s="102">
        <f>IFERROR(IF($I$13&gt;0,$I615/$I$13,$S615/$S$13),0)</f>
        <v/>
      </c>
      <c r="BD615" s="102">
        <f>IFERROR($S615/$S$13,0)</f>
        <v/>
      </c>
      <c r="BE615" s="413" t="inlineStr">
        <is>
          <t>$</t>
        </is>
      </c>
    </row>
    <row r="616" ht="12" customFormat="1" customHeight="1" s="65">
      <c r="A616" s="43" t="n">
        <v>601</v>
      </c>
      <c r="B616" s="166" t="n"/>
      <c r="C616" s="166" t="n"/>
      <c r="D616" s="166" t="n"/>
      <c r="E616" s="162" t="n"/>
      <c r="F616" s="166" t="n"/>
      <c r="G616" s="162" t="n"/>
      <c r="H616" s="162" t="n"/>
      <c r="I616" s="189">
        <f>E616*G616</f>
        <v/>
      </c>
      <c r="J616" s="195" t="n"/>
      <c r="K616" s="162" t="n"/>
      <c r="L616" s="168" t="n"/>
      <c r="M616" s="75">
        <f>_xlfn.XLOOKUP(L616,list_vat[Страна],list_vat[Ставка НДС %],0,0)</f>
        <v/>
      </c>
      <c r="N616" s="162">
        <f>IFERROR(IF(L616="Китай",K616,K616/(1+M616)),0)</f>
        <v/>
      </c>
      <c r="O616" s="169" t="n"/>
      <c r="P616" s="76">
        <f>N616*(1-O616)</f>
        <v/>
      </c>
      <c r="Q616" s="162" t="n"/>
      <c r="R616" s="162">
        <f>IF(ISBLANK(Q616),"введи курс",P616/Q616)</f>
        <v/>
      </c>
      <c r="S616" s="196">
        <f>IF(AND(ISNUMBER(E616),ISNUMBER(Q616)),E616*R616,0)</f>
        <v/>
      </c>
      <c r="T616" s="192">
        <f>$BC616*V$11</f>
        <v/>
      </c>
      <c r="U616" s="76">
        <f>$BC616*W$11</f>
        <v/>
      </c>
      <c r="V616" s="193">
        <f>+SUM(T616:U616)</f>
        <v/>
      </c>
      <c r="W616" s="191" t="n"/>
      <c r="X616" s="170" t="n"/>
      <c r="Y616" s="76">
        <f>ROUND(IF(offer_incoterms="DDP",X616*(S616*(1+AW616)+T616),0),2)</f>
        <v/>
      </c>
      <c r="Z616" s="188" t="n"/>
      <c r="AA616" s="192">
        <f>IFERROR(AB616/E616,0)</f>
        <v/>
      </c>
      <c r="AB616" s="76">
        <f>ROUND(SUM(S616,V616,Y616:Z616,BA616:BB616),2)</f>
        <v/>
      </c>
      <c r="AC616" s="797" t="n"/>
      <c r="AD616" s="192">
        <f t="array" ref="AD616">IFERROR(ROUND((_xlfn.IFS(offer_sale_type="поставка",AB616,offer_sale_type="транзит",S616)*(1+AC616))/E616,2),0)</f>
        <v/>
      </c>
      <c r="AE616" s="76">
        <f>AD616*E616</f>
        <v/>
      </c>
      <c r="AF616" s="193">
        <f t="array" ref="AF616">IFERROR(ROUND(_xlfn.IFS(offer_sale_type="поставка",AB616,offer_sale_type="транзит",S616)*AC616,2),0)</f>
        <v/>
      </c>
      <c r="AG616" s="192">
        <f>$BD616*VLOOKUP($AG$3,$AF$4:$AG$7,2,FALSE)</f>
        <v/>
      </c>
      <c r="AH616" s="76">
        <f>SUM(AE616,AG616,AI616)*rate_forex_risk</f>
        <v/>
      </c>
      <c r="AI616" s="193">
        <f>IF(OR(seller_region="TR",offer_sale_type="экспорт"),0,rate_fin_comm)*SUM(AZ616,AZ616*AW616,T616)</f>
        <v/>
      </c>
      <c r="AJ616" s="118">
        <f>IFERROR(ROUND(SUM(AB616,AF616:AI616)/E616,2),0)</f>
        <v/>
      </c>
      <c r="AK616" s="76">
        <f>AJ616*E616</f>
        <v/>
      </c>
      <c r="AL616" s="174">
        <f>ROUND(IFERROR(AM616*E616,0),2)</f>
        <v/>
      </c>
      <c r="AM616" s="175">
        <f>ROUND(AJ616*(1+IF(offer_incoterms="DDP",IF((TODAY()+offer_turnaround_time)&gt;=helpsheet!$L$17,rate_vatRU_from_26,rate_vatRu_till_25),0)),2)</f>
        <v/>
      </c>
      <c r="AN616" s="192">
        <f>AL616-AK616</f>
        <v/>
      </c>
      <c r="AO616" s="76">
        <f>SUM(AY616,Y616:Z616,T616)*IF(AND(offer_incoterms="DDP",offer_sale_type&lt;&gt;"экспорт"),IF((TODAY()+offer_turnaround_time)&gt;=helpsheet!$L$17,rate_vatRU_from_26,rate_vatRu_till_25),0)</f>
        <v/>
      </c>
      <c r="AP616" s="193">
        <f>AN616-AO616</f>
        <v/>
      </c>
      <c r="AQ616" s="118">
        <f>IF(offer_sale_type="транзит",SUM(AF616:AI616,BA616,BB616),0)</f>
        <v/>
      </c>
      <c r="AR616" s="82">
        <f>HYPERLINK("https://www.alta.ru/tnved/code/")&amp;W616&amp;"/"</f>
        <v/>
      </c>
      <c r="AS616" s="157" t="n"/>
      <c r="AT616" s="162" t="n"/>
      <c r="AU616" s="76">
        <f>IF(ISBLANK(AT616),0,AJ616-AT616)</f>
        <v/>
      </c>
      <c r="AV616" s="157" t="n"/>
      <c r="AW616" s="75">
        <f>_xlfn.IFNA(VLOOKUP(L616,list_vat[],3,FALSE),0)</f>
        <v/>
      </c>
      <c r="AX616" s="76">
        <f>IFERROR(ROUND(S616*(1+AW616)/E616,2),0)</f>
        <v/>
      </c>
      <c r="AY616" s="76">
        <f>E616*AX616</f>
        <v/>
      </c>
      <c r="AZ616" s="192">
        <f>S616*(1+M616)</f>
        <v/>
      </c>
      <c r="BA616" s="76">
        <f>cost_fin_total*$BD616</f>
        <v/>
      </c>
      <c r="BB616" s="193">
        <f>credit_sales_interest*BD616</f>
        <v/>
      </c>
      <c r="BC616" s="102">
        <f>IFERROR(IF($I$13&gt;0,$I616/$I$13,$S616/$S$13),0)</f>
        <v/>
      </c>
      <c r="BD616" s="102">
        <f>IFERROR($S616/$S$13,0)</f>
        <v/>
      </c>
      <c r="BE616" s="413" t="inlineStr">
        <is>
          <t>$</t>
        </is>
      </c>
    </row>
    <row r="617" ht="12" customFormat="1" customHeight="1" s="65">
      <c r="A617" s="43" t="n">
        <v>602</v>
      </c>
      <c r="B617" s="166" t="n"/>
      <c r="C617" s="166" t="n"/>
      <c r="D617" s="166" t="n"/>
      <c r="E617" s="162" t="n"/>
      <c r="F617" s="166" t="n"/>
      <c r="G617" s="162" t="n"/>
      <c r="H617" s="162" t="n"/>
      <c r="I617" s="189">
        <f>E617*G617</f>
        <v/>
      </c>
      <c r="J617" s="195" t="n"/>
      <c r="K617" s="162" t="n"/>
      <c r="L617" s="168" t="n"/>
      <c r="M617" s="75">
        <f>_xlfn.XLOOKUP(L617,list_vat[Страна],list_vat[Ставка НДС %],0,0)</f>
        <v/>
      </c>
      <c r="N617" s="162">
        <f>IFERROR(IF(L617="Китай",K617,K617/(1+M617)),0)</f>
        <v/>
      </c>
      <c r="O617" s="169" t="n"/>
      <c r="P617" s="76">
        <f>N617*(1-O617)</f>
        <v/>
      </c>
      <c r="Q617" s="162" t="n"/>
      <c r="R617" s="162">
        <f>IF(ISBLANK(Q617),"введи курс",P617/Q617)</f>
        <v/>
      </c>
      <c r="S617" s="196">
        <f>IF(AND(ISNUMBER(E617),ISNUMBER(Q617)),E617*R617,0)</f>
        <v/>
      </c>
      <c r="T617" s="192">
        <f>$BC617*V$11</f>
        <v/>
      </c>
      <c r="U617" s="76">
        <f>$BC617*W$11</f>
        <v/>
      </c>
      <c r="V617" s="193">
        <f>+SUM(T617:U617)</f>
        <v/>
      </c>
      <c r="W617" s="191" t="n"/>
      <c r="X617" s="170" t="n"/>
      <c r="Y617" s="76">
        <f>ROUND(IF(offer_incoterms="DDP",X617*(S617*(1+AW617)+T617),0),2)</f>
        <v/>
      </c>
      <c r="Z617" s="188" t="n"/>
      <c r="AA617" s="192">
        <f>IFERROR(AB617/E617,0)</f>
        <v/>
      </c>
      <c r="AB617" s="76">
        <f>ROUND(SUM(S617,V617,Y617:Z617,BA617:BB617),2)</f>
        <v/>
      </c>
      <c r="AC617" s="797" t="n"/>
      <c r="AD617" s="192">
        <f t="array" ref="AD617">IFERROR(ROUND((_xlfn.IFS(offer_sale_type="поставка",AB617,offer_sale_type="транзит",S617)*(1+AC617))/E617,2),0)</f>
        <v/>
      </c>
      <c r="AE617" s="76">
        <f>AD617*E617</f>
        <v/>
      </c>
      <c r="AF617" s="193">
        <f t="array" ref="AF617">IFERROR(ROUND(_xlfn.IFS(offer_sale_type="поставка",AB617,offer_sale_type="транзит",S617)*AC617,2),0)</f>
        <v/>
      </c>
      <c r="AG617" s="192">
        <f>$BD617*VLOOKUP($AG$3,$AF$4:$AG$7,2,FALSE)</f>
        <v/>
      </c>
      <c r="AH617" s="76">
        <f>SUM(AE617,AG617,AI617)*rate_forex_risk</f>
        <v/>
      </c>
      <c r="AI617" s="193">
        <f>IF(OR(seller_region="TR",offer_sale_type="экспорт"),0,rate_fin_comm)*SUM(AZ617,AZ617*AW617,T617)</f>
        <v/>
      </c>
      <c r="AJ617" s="118">
        <f>IFERROR(ROUND(SUM(AB617,AF617:AI617)/E617,2),0)</f>
        <v/>
      </c>
      <c r="AK617" s="76">
        <f>AJ617*E617</f>
        <v/>
      </c>
      <c r="AL617" s="174">
        <f>ROUND(IFERROR(AM617*E617,0),2)</f>
        <v/>
      </c>
      <c r="AM617" s="175">
        <f>ROUND(AJ617*(1+IF(offer_incoterms="DDP",IF((TODAY()+offer_turnaround_time)&gt;=helpsheet!$L$17,rate_vatRU_from_26,rate_vatRu_till_25),0)),2)</f>
        <v/>
      </c>
      <c r="AN617" s="192">
        <f>AL617-AK617</f>
        <v/>
      </c>
      <c r="AO617" s="76">
        <f>SUM(AY617,Y617:Z617,T617)*IF(AND(offer_incoterms="DDP",offer_sale_type&lt;&gt;"экспорт"),IF((TODAY()+offer_turnaround_time)&gt;=helpsheet!$L$17,rate_vatRU_from_26,rate_vatRu_till_25),0)</f>
        <v/>
      </c>
      <c r="AP617" s="193">
        <f>AN617-AO617</f>
        <v/>
      </c>
      <c r="AQ617" s="118">
        <f>IF(offer_sale_type="транзит",SUM(AF617:AI617,BA617,BB617),0)</f>
        <v/>
      </c>
      <c r="AR617" s="82">
        <f>HYPERLINK("https://www.alta.ru/tnved/code/")&amp;W617&amp;"/"</f>
        <v/>
      </c>
      <c r="AS617" s="157" t="n"/>
      <c r="AT617" s="162" t="n"/>
      <c r="AU617" s="76">
        <f>IF(ISBLANK(AT617),0,AJ617-AT617)</f>
        <v/>
      </c>
      <c r="AV617" s="157" t="n"/>
      <c r="AW617" s="75">
        <f>_xlfn.IFNA(VLOOKUP(L617,list_vat[],3,FALSE),0)</f>
        <v/>
      </c>
      <c r="AX617" s="76">
        <f>IFERROR(ROUND(S617*(1+AW617)/E617,2),0)</f>
        <v/>
      </c>
      <c r="AY617" s="76">
        <f>E617*AX617</f>
        <v/>
      </c>
      <c r="AZ617" s="192">
        <f>S617*(1+M617)</f>
        <v/>
      </c>
      <c r="BA617" s="76">
        <f>cost_fin_total*$BD617</f>
        <v/>
      </c>
      <c r="BB617" s="193">
        <f>credit_sales_interest*BD617</f>
        <v/>
      </c>
      <c r="BC617" s="102">
        <f>IFERROR(IF($I$13&gt;0,$I617/$I$13,$S617/$S$13),0)</f>
        <v/>
      </c>
      <c r="BD617" s="102">
        <f>IFERROR($S617/$S$13,0)</f>
        <v/>
      </c>
      <c r="BE617" s="413" t="inlineStr">
        <is>
          <t>$</t>
        </is>
      </c>
    </row>
    <row r="618" ht="12" customFormat="1" customHeight="1" s="65">
      <c r="A618" s="43" t="n">
        <v>603</v>
      </c>
      <c r="B618" s="166" t="n"/>
      <c r="C618" s="166" t="n"/>
      <c r="D618" s="166" t="n"/>
      <c r="E618" s="162" t="n"/>
      <c r="F618" s="166" t="n"/>
      <c r="G618" s="162" t="n"/>
      <c r="H618" s="162" t="n"/>
      <c r="I618" s="189">
        <f>E618*G618</f>
        <v/>
      </c>
      <c r="J618" s="195" t="n"/>
      <c r="K618" s="162" t="n"/>
      <c r="L618" s="168" t="n"/>
      <c r="M618" s="75">
        <f>_xlfn.XLOOKUP(L618,list_vat[Страна],list_vat[Ставка НДС %],0,0)</f>
        <v/>
      </c>
      <c r="N618" s="162">
        <f>IFERROR(IF(L618="Китай",K618,K618/(1+M618)),0)</f>
        <v/>
      </c>
      <c r="O618" s="169" t="n"/>
      <c r="P618" s="76">
        <f>N618*(1-O618)</f>
        <v/>
      </c>
      <c r="Q618" s="162" t="n"/>
      <c r="R618" s="162">
        <f>IF(ISBLANK(Q618),"введи курс",P618/Q618)</f>
        <v/>
      </c>
      <c r="S618" s="196">
        <f>IF(AND(ISNUMBER(E618),ISNUMBER(Q618)),E618*R618,0)</f>
        <v/>
      </c>
      <c r="T618" s="192">
        <f>$BC618*V$11</f>
        <v/>
      </c>
      <c r="U618" s="76">
        <f>$BC618*W$11</f>
        <v/>
      </c>
      <c r="V618" s="193">
        <f>+SUM(T618:U618)</f>
        <v/>
      </c>
      <c r="W618" s="191" t="n"/>
      <c r="X618" s="170" t="n"/>
      <c r="Y618" s="76">
        <f>ROUND(IF(offer_incoterms="DDP",X618*(S618*(1+AW618)+T618),0),2)</f>
        <v/>
      </c>
      <c r="Z618" s="188" t="n"/>
      <c r="AA618" s="192">
        <f>IFERROR(AB618/E618,0)</f>
        <v/>
      </c>
      <c r="AB618" s="76">
        <f>ROUND(SUM(S618,V618,Y618:Z618,BA618:BB618),2)</f>
        <v/>
      </c>
      <c r="AC618" s="797" t="n"/>
      <c r="AD618" s="192">
        <f t="array" ref="AD618">IFERROR(ROUND((_xlfn.IFS(offer_sale_type="поставка",AB618,offer_sale_type="транзит",S618)*(1+AC618))/E618,2),0)</f>
        <v/>
      </c>
      <c r="AE618" s="76">
        <f>AD618*E618</f>
        <v/>
      </c>
      <c r="AF618" s="193">
        <f t="array" ref="AF618">IFERROR(ROUND(_xlfn.IFS(offer_sale_type="поставка",AB618,offer_sale_type="транзит",S618)*AC618,2),0)</f>
        <v/>
      </c>
      <c r="AG618" s="192">
        <f>$BD618*VLOOKUP($AG$3,$AF$4:$AG$7,2,FALSE)</f>
        <v/>
      </c>
      <c r="AH618" s="76">
        <f>SUM(AE618,AG618,AI618)*rate_forex_risk</f>
        <v/>
      </c>
      <c r="AI618" s="193">
        <f>IF(OR(seller_region="TR",offer_sale_type="экспорт"),0,rate_fin_comm)*SUM(AZ618,AZ618*AW618,T618)</f>
        <v/>
      </c>
      <c r="AJ618" s="118">
        <f>IFERROR(ROUND(SUM(AB618,AF618:AI618)/E618,2),0)</f>
        <v/>
      </c>
      <c r="AK618" s="76">
        <f>AJ618*E618</f>
        <v/>
      </c>
      <c r="AL618" s="174">
        <f>ROUND(IFERROR(AM618*E618,0),2)</f>
        <v/>
      </c>
      <c r="AM618" s="175">
        <f>ROUND(AJ618*(1+IF(offer_incoterms="DDP",IF((TODAY()+offer_turnaround_time)&gt;=helpsheet!$L$17,rate_vatRU_from_26,rate_vatRu_till_25),0)),2)</f>
        <v/>
      </c>
      <c r="AN618" s="192">
        <f>AL618-AK618</f>
        <v/>
      </c>
      <c r="AO618" s="76">
        <f>SUM(AY618,Y618:Z618,T618)*IF(AND(offer_incoterms="DDP",offer_sale_type&lt;&gt;"экспорт"),IF((TODAY()+offer_turnaround_time)&gt;=helpsheet!$L$17,rate_vatRU_from_26,rate_vatRu_till_25),0)</f>
        <v/>
      </c>
      <c r="AP618" s="193">
        <f>AN618-AO618</f>
        <v/>
      </c>
      <c r="AQ618" s="118">
        <f>IF(offer_sale_type="транзит",SUM(AF618:AI618,BA618,BB618),0)</f>
        <v/>
      </c>
      <c r="AR618" s="82">
        <f>HYPERLINK("https://www.alta.ru/tnved/code/")&amp;W618&amp;"/"</f>
        <v/>
      </c>
      <c r="AS618" s="157" t="n"/>
      <c r="AT618" s="162" t="n"/>
      <c r="AU618" s="76">
        <f>IF(ISBLANK(AT618),0,AJ618-AT618)</f>
        <v/>
      </c>
      <c r="AV618" s="157" t="n"/>
      <c r="AW618" s="75">
        <f>_xlfn.IFNA(VLOOKUP(L618,list_vat[],3,FALSE),0)</f>
        <v/>
      </c>
      <c r="AX618" s="76">
        <f>IFERROR(ROUND(S618*(1+AW618)/E618,2),0)</f>
        <v/>
      </c>
      <c r="AY618" s="76">
        <f>E618*AX618</f>
        <v/>
      </c>
      <c r="AZ618" s="192">
        <f>S618*(1+M618)</f>
        <v/>
      </c>
      <c r="BA618" s="76">
        <f>cost_fin_total*$BD618</f>
        <v/>
      </c>
      <c r="BB618" s="193">
        <f>credit_sales_interest*BD618</f>
        <v/>
      </c>
      <c r="BC618" s="102">
        <f>IFERROR(IF($I$13&gt;0,$I618/$I$13,$S618/$S$13),0)</f>
        <v/>
      </c>
      <c r="BD618" s="102">
        <f>IFERROR($S618/$S$13,0)</f>
        <v/>
      </c>
      <c r="BE618" s="413" t="inlineStr">
        <is>
          <t>$</t>
        </is>
      </c>
    </row>
    <row r="619" ht="12" customFormat="1" customHeight="1" s="65">
      <c r="A619" s="43" t="n">
        <v>604</v>
      </c>
      <c r="B619" s="166" t="n"/>
      <c r="C619" s="166" t="n"/>
      <c r="D619" s="166" t="n"/>
      <c r="E619" s="162" t="n"/>
      <c r="F619" s="166" t="n"/>
      <c r="G619" s="162" t="n"/>
      <c r="H619" s="162" t="n"/>
      <c r="I619" s="189">
        <f>E619*G619</f>
        <v/>
      </c>
      <c r="J619" s="195" t="n"/>
      <c r="K619" s="162" t="n"/>
      <c r="L619" s="168" t="n"/>
      <c r="M619" s="75">
        <f>_xlfn.XLOOKUP(L619,list_vat[Страна],list_vat[Ставка НДС %],0,0)</f>
        <v/>
      </c>
      <c r="N619" s="162">
        <f>IFERROR(IF(L619="Китай",K619,K619/(1+M619)),0)</f>
        <v/>
      </c>
      <c r="O619" s="169" t="n"/>
      <c r="P619" s="76">
        <f>N619*(1-O619)</f>
        <v/>
      </c>
      <c r="Q619" s="162" t="n"/>
      <c r="R619" s="162">
        <f>IF(ISBLANK(Q619),"введи курс",P619/Q619)</f>
        <v/>
      </c>
      <c r="S619" s="196">
        <f>IF(AND(ISNUMBER(E619),ISNUMBER(Q619)),E619*R619,0)</f>
        <v/>
      </c>
      <c r="T619" s="192">
        <f>$BC619*V$11</f>
        <v/>
      </c>
      <c r="U619" s="76">
        <f>$BC619*W$11</f>
        <v/>
      </c>
      <c r="V619" s="193">
        <f>+SUM(T619:U619)</f>
        <v/>
      </c>
      <c r="W619" s="191" t="n"/>
      <c r="X619" s="170" t="n"/>
      <c r="Y619" s="76">
        <f>ROUND(IF(offer_incoterms="DDP",X619*(S619*(1+AW619)+T619),0),2)</f>
        <v/>
      </c>
      <c r="Z619" s="188" t="n"/>
      <c r="AA619" s="192">
        <f>IFERROR(AB619/E619,0)</f>
        <v/>
      </c>
      <c r="AB619" s="76">
        <f>ROUND(SUM(S619,V619,Y619:Z619,BA619:BB619),2)</f>
        <v/>
      </c>
      <c r="AC619" s="797" t="n"/>
      <c r="AD619" s="192">
        <f t="array" ref="AD619">IFERROR(ROUND((_xlfn.IFS(offer_sale_type="поставка",AB619,offer_sale_type="транзит",S619)*(1+AC619))/E619,2),0)</f>
        <v/>
      </c>
      <c r="AE619" s="76">
        <f>AD619*E619</f>
        <v/>
      </c>
      <c r="AF619" s="193">
        <f t="array" ref="AF619">IFERROR(ROUND(_xlfn.IFS(offer_sale_type="поставка",AB619,offer_sale_type="транзит",S619)*AC619,2),0)</f>
        <v/>
      </c>
      <c r="AG619" s="192">
        <f>$BD619*VLOOKUP($AG$3,$AF$4:$AG$7,2,FALSE)</f>
        <v/>
      </c>
      <c r="AH619" s="76">
        <f>SUM(AE619,AG619,AI619)*rate_forex_risk</f>
        <v/>
      </c>
      <c r="AI619" s="193">
        <f>IF(OR(seller_region="TR",offer_sale_type="экспорт"),0,rate_fin_comm)*SUM(AZ619,AZ619*AW619,T619)</f>
        <v/>
      </c>
      <c r="AJ619" s="118">
        <f>IFERROR(ROUND(SUM(AB619,AF619:AI619)/E619,2),0)</f>
        <v/>
      </c>
      <c r="AK619" s="76">
        <f>AJ619*E619</f>
        <v/>
      </c>
      <c r="AL619" s="174">
        <f>ROUND(IFERROR(AM619*E619,0),2)</f>
        <v/>
      </c>
      <c r="AM619" s="175">
        <f>ROUND(AJ619*(1+IF(offer_incoterms="DDP",IF((TODAY()+offer_turnaround_time)&gt;=helpsheet!$L$17,rate_vatRU_from_26,rate_vatRu_till_25),0)),2)</f>
        <v/>
      </c>
      <c r="AN619" s="192">
        <f>AL619-AK619</f>
        <v/>
      </c>
      <c r="AO619" s="76">
        <f>SUM(AY619,Y619:Z619,T619)*IF(AND(offer_incoterms="DDP",offer_sale_type&lt;&gt;"экспорт"),IF((TODAY()+offer_turnaround_time)&gt;=helpsheet!$L$17,rate_vatRU_from_26,rate_vatRu_till_25),0)</f>
        <v/>
      </c>
      <c r="AP619" s="193">
        <f>AN619-AO619</f>
        <v/>
      </c>
      <c r="AQ619" s="118">
        <f>IF(offer_sale_type="транзит",SUM(AF619:AI619,BA619,BB619),0)</f>
        <v/>
      </c>
      <c r="AR619" s="82">
        <f>HYPERLINK("https://www.alta.ru/tnved/code/")&amp;W619&amp;"/"</f>
        <v/>
      </c>
      <c r="AS619" s="157" t="n"/>
      <c r="AT619" s="162" t="n"/>
      <c r="AU619" s="76">
        <f>IF(ISBLANK(AT619),0,AJ619-AT619)</f>
        <v/>
      </c>
      <c r="AV619" s="157" t="n"/>
      <c r="AW619" s="75">
        <f>_xlfn.IFNA(VLOOKUP(L619,list_vat[],3,FALSE),0)</f>
        <v/>
      </c>
      <c r="AX619" s="76">
        <f>IFERROR(ROUND(S619*(1+AW619)/E619,2),0)</f>
        <v/>
      </c>
      <c r="AY619" s="76">
        <f>E619*AX619</f>
        <v/>
      </c>
      <c r="AZ619" s="192">
        <f>S619*(1+M619)</f>
        <v/>
      </c>
      <c r="BA619" s="76">
        <f>cost_fin_total*$BD619</f>
        <v/>
      </c>
      <c r="BB619" s="193">
        <f>credit_sales_interest*BD619</f>
        <v/>
      </c>
      <c r="BC619" s="102">
        <f>IFERROR(IF($I$13&gt;0,$I619/$I$13,$S619/$S$13),0)</f>
        <v/>
      </c>
      <c r="BD619" s="102">
        <f>IFERROR($S619/$S$13,0)</f>
        <v/>
      </c>
      <c r="BE619" s="413" t="inlineStr">
        <is>
          <t>$</t>
        </is>
      </c>
    </row>
    <row r="620" ht="12" customFormat="1" customHeight="1" s="65">
      <c r="A620" s="43" t="n">
        <v>605</v>
      </c>
      <c r="B620" s="166" t="n"/>
      <c r="C620" s="166" t="n"/>
      <c r="D620" s="166" t="n"/>
      <c r="E620" s="162" t="n"/>
      <c r="F620" s="166" t="n"/>
      <c r="G620" s="162" t="n"/>
      <c r="H620" s="162" t="n"/>
      <c r="I620" s="189">
        <f>E620*G620</f>
        <v/>
      </c>
      <c r="J620" s="195" t="n"/>
      <c r="K620" s="162" t="n"/>
      <c r="L620" s="168" t="n"/>
      <c r="M620" s="75">
        <f>_xlfn.XLOOKUP(L620,list_vat[Страна],list_vat[Ставка НДС %],0,0)</f>
        <v/>
      </c>
      <c r="N620" s="162">
        <f>IFERROR(IF(L620="Китай",K620,K620/(1+M620)),0)</f>
        <v/>
      </c>
      <c r="O620" s="169" t="n"/>
      <c r="P620" s="76">
        <f>N620*(1-O620)</f>
        <v/>
      </c>
      <c r="Q620" s="162" t="n"/>
      <c r="R620" s="162">
        <f>IF(ISBLANK(Q620),"введи курс",P620/Q620)</f>
        <v/>
      </c>
      <c r="S620" s="196">
        <f>IF(AND(ISNUMBER(E620),ISNUMBER(Q620)),E620*R620,0)</f>
        <v/>
      </c>
      <c r="T620" s="192">
        <f>$BC620*V$11</f>
        <v/>
      </c>
      <c r="U620" s="76">
        <f>$BC620*W$11</f>
        <v/>
      </c>
      <c r="V620" s="193">
        <f>+SUM(T620:U620)</f>
        <v/>
      </c>
      <c r="W620" s="191" t="n"/>
      <c r="X620" s="170" t="n"/>
      <c r="Y620" s="76">
        <f>ROUND(IF(offer_incoterms="DDP",X620*(S620*(1+AW620)+T620),0),2)</f>
        <v/>
      </c>
      <c r="Z620" s="188" t="n"/>
      <c r="AA620" s="192">
        <f>IFERROR(AB620/E620,0)</f>
        <v/>
      </c>
      <c r="AB620" s="76">
        <f>ROUND(SUM(S620,V620,Y620:Z620,BA620:BB620),2)</f>
        <v/>
      </c>
      <c r="AC620" s="797" t="n"/>
      <c r="AD620" s="192">
        <f t="array" ref="AD620">IFERROR(ROUND((_xlfn.IFS(offer_sale_type="поставка",AB620,offer_sale_type="транзит",S620)*(1+AC620))/E620,2),0)</f>
        <v/>
      </c>
      <c r="AE620" s="76">
        <f>AD620*E620</f>
        <v/>
      </c>
      <c r="AF620" s="193">
        <f t="array" ref="AF620">IFERROR(ROUND(_xlfn.IFS(offer_sale_type="поставка",AB620,offer_sale_type="транзит",S620)*AC620,2),0)</f>
        <v/>
      </c>
      <c r="AG620" s="192">
        <f>$BD620*VLOOKUP($AG$3,$AF$4:$AG$7,2,FALSE)</f>
        <v/>
      </c>
      <c r="AH620" s="76">
        <f>SUM(AE620,AG620,AI620)*rate_forex_risk</f>
        <v/>
      </c>
      <c r="AI620" s="193">
        <f>IF(OR(seller_region="TR",offer_sale_type="экспорт"),0,rate_fin_comm)*SUM(AZ620,AZ620*AW620,T620)</f>
        <v/>
      </c>
      <c r="AJ620" s="118">
        <f>IFERROR(ROUND(SUM(AB620,AF620:AI620)/E620,2),0)</f>
        <v/>
      </c>
      <c r="AK620" s="76">
        <f>AJ620*E620</f>
        <v/>
      </c>
      <c r="AL620" s="174">
        <f>ROUND(IFERROR(AM620*E620,0),2)</f>
        <v/>
      </c>
      <c r="AM620" s="175">
        <f>ROUND(AJ620*(1+IF(offer_incoterms="DDP",IF((TODAY()+offer_turnaround_time)&gt;=helpsheet!$L$17,rate_vatRU_from_26,rate_vatRu_till_25),0)),2)</f>
        <v/>
      </c>
      <c r="AN620" s="192">
        <f>AL620-AK620</f>
        <v/>
      </c>
      <c r="AO620" s="76">
        <f>SUM(AY620,Y620:Z620,T620)*IF(AND(offer_incoterms="DDP",offer_sale_type&lt;&gt;"экспорт"),IF((TODAY()+offer_turnaround_time)&gt;=helpsheet!$L$17,rate_vatRU_from_26,rate_vatRu_till_25),0)</f>
        <v/>
      </c>
      <c r="AP620" s="193">
        <f>AN620-AO620</f>
        <v/>
      </c>
      <c r="AQ620" s="118">
        <f>IF(offer_sale_type="транзит",SUM(AF620:AI620,BA620,BB620),0)</f>
        <v/>
      </c>
      <c r="AR620" s="82">
        <f>HYPERLINK("https://www.alta.ru/tnved/code/")&amp;W620&amp;"/"</f>
        <v/>
      </c>
      <c r="AS620" s="157" t="n"/>
      <c r="AT620" s="162" t="n"/>
      <c r="AU620" s="76">
        <f>IF(ISBLANK(AT620),0,AJ620-AT620)</f>
        <v/>
      </c>
      <c r="AV620" s="157" t="n"/>
      <c r="AW620" s="75">
        <f>_xlfn.IFNA(VLOOKUP(L620,list_vat[],3,FALSE),0)</f>
        <v/>
      </c>
      <c r="AX620" s="76">
        <f>IFERROR(ROUND(S620*(1+AW620)/E620,2),0)</f>
        <v/>
      </c>
      <c r="AY620" s="76">
        <f>E620*AX620</f>
        <v/>
      </c>
      <c r="AZ620" s="192">
        <f>S620*(1+M620)</f>
        <v/>
      </c>
      <c r="BA620" s="76">
        <f>cost_fin_total*$BD620</f>
        <v/>
      </c>
      <c r="BB620" s="193">
        <f>credit_sales_interest*BD620</f>
        <v/>
      </c>
      <c r="BC620" s="102">
        <f>IFERROR(IF($I$13&gt;0,$I620/$I$13,$S620/$S$13),0)</f>
        <v/>
      </c>
      <c r="BD620" s="102">
        <f>IFERROR($S620/$S$13,0)</f>
        <v/>
      </c>
      <c r="BE620" s="413" t="inlineStr">
        <is>
          <t>$</t>
        </is>
      </c>
    </row>
    <row r="621" ht="12" customFormat="1" customHeight="1" s="65">
      <c r="A621" s="43" t="n">
        <v>606</v>
      </c>
      <c r="B621" s="166" t="n"/>
      <c r="C621" s="166" t="n"/>
      <c r="D621" s="166" t="n"/>
      <c r="E621" s="162" t="n"/>
      <c r="F621" s="166" t="n"/>
      <c r="G621" s="162" t="n"/>
      <c r="H621" s="162" t="n"/>
      <c r="I621" s="189">
        <f>E621*G621</f>
        <v/>
      </c>
      <c r="J621" s="195" t="n"/>
      <c r="K621" s="162" t="n"/>
      <c r="L621" s="168" t="n"/>
      <c r="M621" s="75">
        <f>_xlfn.XLOOKUP(L621,list_vat[Страна],list_vat[Ставка НДС %],0,0)</f>
        <v/>
      </c>
      <c r="N621" s="162">
        <f>IFERROR(IF(L621="Китай",K621,K621/(1+M621)),0)</f>
        <v/>
      </c>
      <c r="O621" s="169" t="n"/>
      <c r="P621" s="76">
        <f>N621*(1-O621)</f>
        <v/>
      </c>
      <c r="Q621" s="162" t="n"/>
      <c r="R621" s="162">
        <f>IF(ISBLANK(Q621),"введи курс",P621/Q621)</f>
        <v/>
      </c>
      <c r="S621" s="196">
        <f>IF(AND(ISNUMBER(E621),ISNUMBER(Q621)),E621*R621,0)</f>
        <v/>
      </c>
      <c r="T621" s="192">
        <f>$BC621*V$11</f>
        <v/>
      </c>
      <c r="U621" s="76">
        <f>$BC621*W$11</f>
        <v/>
      </c>
      <c r="V621" s="193">
        <f>+SUM(T621:U621)</f>
        <v/>
      </c>
      <c r="W621" s="191" t="n"/>
      <c r="X621" s="170" t="n"/>
      <c r="Y621" s="76">
        <f>ROUND(IF(offer_incoterms="DDP",X621*(S621*(1+AW621)+T621),0),2)</f>
        <v/>
      </c>
      <c r="Z621" s="188" t="n"/>
      <c r="AA621" s="192">
        <f>IFERROR(AB621/E621,0)</f>
        <v/>
      </c>
      <c r="AB621" s="76">
        <f>ROUND(SUM(S621,V621,Y621:Z621,BA621:BB621),2)</f>
        <v/>
      </c>
      <c r="AC621" s="797" t="n"/>
      <c r="AD621" s="192">
        <f t="array" ref="AD621">IFERROR(ROUND((_xlfn.IFS(offer_sale_type="поставка",AB621,offer_sale_type="транзит",S621)*(1+AC621))/E621,2),0)</f>
        <v/>
      </c>
      <c r="AE621" s="76">
        <f>AD621*E621</f>
        <v/>
      </c>
      <c r="AF621" s="193">
        <f t="array" ref="AF621">IFERROR(ROUND(_xlfn.IFS(offer_sale_type="поставка",AB621,offer_sale_type="транзит",S621)*AC621,2),0)</f>
        <v/>
      </c>
      <c r="AG621" s="192">
        <f>$BD621*VLOOKUP($AG$3,$AF$4:$AG$7,2,FALSE)</f>
        <v/>
      </c>
      <c r="AH621" s="76">
        <f>SUM(AE621,AG621,AI621)*rate_forex_risk</f>
        <v/>
      </c>
      <c r="AI621" s="193">
        <f>IF(OR(seller_region="TR",offer_sale_type="экспорт"),0,rate_fin_comm)*SUM(AZ621,AZ621*AW621,T621)</f>
        <v/>
      </c>
      <c r="AJ621" s="118">
        <f>IFERROR(ROUND(SUM(AB621,AF621:AI621)/E621,2),0)</f>
        <v/>
      </c>
      <c r="AK621" s="76">
        <f>AJ621*E621</f>
        <v/>
      </c>
      <c r="AL621" s="174">
        <f>ROUND(IFERROR(AM621*E621,0),2)</f>
        <v/>
      </c>
      <c r="AM621" s="175">
        <f>ROUND(AJ621*(1+IF(offer_incoterms="DDP",IF((TODAY()+offer_turnaround_time)&gt;=helpsheet!$L$17,rate_vatRU_from_26,rate_vatRu_till_25),0)),2)</f>
        <v/>
      </c>
      <c r="AN621" s="192">
        <f>AL621-AK621</f>
        <v/>
      </c>
      <c r="AO621" s="76">
        <f>SUM(AY621,Y621:Z621,T621)*IF(AND(offer_incoterms="DDP",offer_sale_type&lt;&gt;"экспорт"),IF((TODAY()+offer_turnaround_time)&gt;=helpsheet!$L$17,rate_vatRU_from_26,rate_vatRu_till_25),0)</f>
        <v/>
      </c>
      <c r="AP621" s="193">
        <f>AN621-AO621</f>
        <v/>
      </c>
      <c r="AQ621" s="118">
        <f>IF(offer_sale_type="транзит",SUM(AF621:AI621,BA621,BB621),0)</f>
        <v/>
      </c>
      <c r="AR621" s="82">
        <f>HYPERLINK("https://www.alta.ru/tnved/code/")&amp;W621&amp;"/"</f>
        <v/>
      </c>
      <c r="AS621" s="157" t="n"/>
      <c r="AT621" s="162" t="n"/>
      <c r="AU621" s="76">
        <f>IF(ISBLANK(AT621),0,AJ621-AT621)</f>
        <v/>
      </c>
      <c r="AV621" s="157" t="n"/>
      <c r="AW621" s="75">
        <f>_xlfn.IFNA(VLOOKUP(L621,list_vat[],3,FALSE),0)</f>
        <v/>
      </c>
      <c r="AX621" s="76">
        <f>IFERROR(ROUND(S621*(1+AW621)/E621,2),0)</f>
        <v/>
      </c>
      <c r="AY621" s="76">
        <f>E621*AX621</f>
        <v/>
      </c>
      <c r="AZ621" s="192">
        <f>S621*(1+M621)</f>
        <v/>
      </c>
      <c r="BA621" s="76">
        <f>cost_fin_total*$BD621</f>
        <v/>
      </c>
      <c r="BB621" s="193">
        <f>credit_sales_interest*BD621</f>
        <v/>
      </c>
      <c r="BC621" s="102">
        <f>IFERROR(IF($I$13&gt;0,$I621/$I$13,$S621/$S$13),0)</f>
        <v/>
      </c>
      <c r="BD621" s="102">
        <f>IFERROR($S621/$S$13,0)</f>
        <v/>
      </c>
      <c r="BE621" s="413" t="inlineStr">
        <is>
          <t>$</t>
        </is>
      </c>
    </row>
    <row r="622" ht="12" customFormat="1" customHeight="1" s="65">
      <c r="A622" s="43" t="n">
        <v>607</v>
      </c>
      <c r="B622" s="166" t="n"/>
      <c r="C622" s="166" t="n"/>
      <c r="D622" s="166" t="n"/>
      <c r="E622" s="162" t="n"/>
      <c r="F622" s="166" t="n"/>
      <c r="G622" s="162" t="n"/>
      <c r="H622" s="162" t="n"/>
      <c r="I622" s="189">
        <f>E622*G622</f>
        <v/>
      </c>
      <c r="J622" s="195" t="n"/>
      <c r="K622" s="162" t="n"/>
      <c r="L622" s="168" t="n"/>
      <c r="M622" s="75">
        <f>_xlfn.XLOOKUP(L622,list_vat[Страна],list_vat[Ставка НДС %],0,0)</f>
        <v/>
      </c>
      <c r="N622" s="162">
        <f>IFERROR(IF(L622="Китай",K622,K622/(1+M622)),0)</f>
        <v/>
      </c>
      <c r="O622" s="169" t="n"/>
      <c r="P622" s="76">
        <f>N622*(1-O622)</f>
        <v/>
      </c>
      <c r="Q622" s="162" t="n"/>
      <c r="R622" s="162">
        <f>IF(ISBLANK(Q622),"введи курс",P622/Q622)</f>
        <v/>
      </c>
      <c r="S622" s="196">
        <f>IF(AND(ISNUMBER(E622),ISNUMBER(Q622)),E622*R622,0)</f>
        <v/>
      </c>
      <c r="T622" s="192">
        <f>$BC622*V$11</f>
        <v/>
      </c>
      <c r="U622" s="76">
        <f>$BC622*W$11</f>
        <v/>
      </c>
      <c r="V622" s="193">
        <f>+SUM(T622:U622)</f>
        <v/>
      </c>
      <c r="W622" s="191" t="n"/>
      <c r="X622" s="170" t="n"/>
      <c r="Y622" s="76">
        <f>ROUND(IF(offer_incoterms="DDP",X622*(S622*(1+AW622)+T622),0),2)</f>
        <v/>
      </c>
      <c r="Z622" s="188" t="n"/>
      <c r="AA622" s="192">
        <f>IFERROR(AB622/E622,0)</f>
        <v/>
      </c>
      <c r="AB622" s="76">
        <f>ROUND(SUM(S622,V622,Y622:Z622,BA622:BB622),2)</f>
        <v/>
      </c>
      <c r="AC622" s="797" t="n"/>
      <c r="AD622" s="192">
        <f t="array" ref="AD622">IFERROR(ROUND((_xlfn.IFS(offer_sale_type="поставка",AB622,offer_sale_type="транзит",S622)*(1+AC622))/E622,2),0)</f>
        <v/>
      </c>
      <c r="AE622" s="76">
        <f>AD622*E622</f>
        <v/>
      </c>
      <c r="AF622" s="193">
        <f t="array" ref="AF622">IFERROR(ROUND(_xlfn.IFS(offer_sale_type="поставка",AB622,offer_sale_type="транзит",S622)*AC622,2),0)</f>
        <v/>
      </c>
      <c r="AG622" s="192">
        <f>$BD622*VLOOKUP($AG$3,$AF$4:$AG$7,2,FALSE)</f>
        <v/>
      </c>
      <c r="AH622" s="76">
        <f>SUM(AE622,AG622,AI622)*rate_forex_risk</f>
        <v/>
      </c>
      <c r="AI622" s="193">
        <f>IF(OR(seller_region="TR",offer_sale_type="экспорт"),0,rate_fin_comm)*SUM(AZ622,AZ622*AW622,T622)</f>
        <v/>
      </c>
      <c r="AJ622" s="118">
        <f>IFERROR(ROUND(SUM(AB622,AF622:AI622)/E622,2),0)</f>
        <v/>
      </c>
      <c r="AK622" s="76">
        <f>AJ622*E622</f>
        <v/>
      </c>
      <c r="AL622" s="174">
        <f>ROUND(IFERROR(AM622*E622,0),2)</f>
        <v/>
      </c>
      <c r="AM622" s="175">
        <f>ROUND(AJ622*(1+IF(offer_incoterms="DDP",IF((TODAY()+offer_turnaround_time)&gt;=helpsheet!$L$17,rate_vatRU_from_26,rate_vatRu_till_25),0)),2)</f>
        <v/>
      </c>
      <c r="AN622" s="192">
        <f>AL622-AK622</f>
        <v/>
      </c>
      <c r="AO622" s="76">
        <f>SUM(AY622,Y622:Z622,T622)*IF(AND(offer_incoterms="DDP",offer_sale_type&lt;&gt;"экспорт"),IF((TODAY()+offer_turnaround_time)&gt;=helpsheet!$L$17,rate_vatRU_from_26,rate_vatRu_till_25),0)</f>
        <v/>
      </c>
      <c r="AP622" s="193">
        <f>AN622-AO622</f>
        <v/>
      </c>
      <c r="AQ622" s="118">
        <f>IF(offer_sale_type="транзит",SUM(AF622:AI622,BA622,BB622),0)</f>
        <v/>
      </c>
      <c r="AR622" s="82">
        <f>HYPERLINK("https://www.alta.ru/tnved/code/")&amp;W622&amp;"/"</f>
        <v/>
      </c>
      <c r="AS622" s="157" t="n"/>
      <c r="AT622" s="162" t="n"/>
      <c r="AU622" s="76">
        <f>IF(ISBLANK(AT622),0,AJ622-AT622)</f>
        <v/>
      </c>
      <c r="AV622" s="157" t="n"/>
      <c r="AW622" s="75">
        <f>_xlfn.IFNA(VLOOKUP(L622,list_vat[],3,FALSE),0)</f>
        <v/>
      </c>
      <c r="AX622" s="76">
        <f>IFERROR(ROUND(S622*(1+AW622)/E622,2),0)</f>
        <v/>
      </c>
      <c r="AY622" s="76">
        <f>E622*AX622</f>
        <v/>
      </c>
      <c r="AZ622" s="192">
        <f>S622*(1+M622)</f>
        <v/>
      </c>
      <c r="BA622" s="76">
        <f>cost_fin_total*$BD622</f>
        <v/>
      </c>
      <c r="BB622" s="193">
        <f>credit_sales_interest*BD622</f>
        <v/>
      </c>
      <c r="BC622" s="102">
        <f>IFERROR(IF($I$13&gt;0,$I622/$I$13,$S622/$S$13),0)</f>
        <v/>
      </c>
      <c r="BD622" s="102">
        <f>IFERROR($S622/$S$13,0)</f>
        <v/>
      </c>
      <c r="BE622" s="413" t="inlineStr">
        <is>
          <t>$</t>
        </is>
      </c>
    </row>
    <row r="623" ht="12" customFormat="1" customHeight="1" s="65">
      <c r="A623" s="43" t="n">
        <v>608</v>
      </c>
      <c r="B623" s="166" t="n"/>
      <c r="C623" s="166" t="n"/>
      <c r="D623" s="166" t="n"/>
      <c r="E623" s="162" t="n"/>
      <c r="F623" s="166" t="n"/>
      <c r="G623" s="162" t="n"/>
      <c r="H623" s="162" t="n"/>
      <c r="I623" s="189">
        <f>E623*G623</f>
        <v/>
      </c>
      <c r="J623" s="195" t="n"/>
      <c r="K623" s="162" t="n"/>
      <c r="L623" s="168" t="n"/>
      <c r="M623" s="75">
        <f>_xlfn.XLOOKUP(L623,list_vat[Страна],list_vat[Ставка НДС %],0,0)</f>
        <v/>
      </c>
      <c r="N623" s="162">
        <f>IFERROR(IF(L623="Китай",K623,K623/(1+M623)),0)</f>
        <v/>
      </c>
      <c r="O623" s="169" t="n"/>
      <c r="P623" s="76">
        <f>N623*(1-O623)</f>
        <v/>
      </c>
      <c r="Q623" s="162" t="n"/>
      <c r="R623" s="162">
        <f>IF(ISBLANK(Q623),"введи курс",P623/Q623)</f>
        <v/>
      </c>
      <c r="S623" s="196">
        <f>IF(AND(ISNUMBER(E623),ISNUMBER(Q623)),E623*R623,0)</f>
        <v/>
      </c>
      <c r="T623" s="192">
        <f>$BC623*V$11</f>
        <v/>
      </c>
      <c r="U623" s="76">
        <f>$BC623*W$11</f>
        <v/>
      </c>
      <c r="V623" s="193">
        <f>+SUM(T623:U623)</f>
        <v/>
      </c>
      <c r="W623" s="191" t="n"/>
      <c r="X623" s="170" t="n"/>
      <c r="Y623" s="76">
        <f>ROUND(IF(offer_incoterms="DDP",X623*(S623*(1+AW623)+T623),0),2)</f>
        <v/>
      </c>
      <c r="Z623" s="188" t="n"/>
      <c r="AA623" s="192">
        <f>IFERROR(AB623/E623,0)</f>
        <v/>
      </c>
      <c r="AB623" s="76">
        <f>ROUND(SUM(S623,V623,Y623:Z623,BA623:BB623),2)</f>
        <v/>
      </c>
      <c r="AC623" s="797" t="n"/>
      <c r="AD623" s="192">
        <f t="array" ref="AD623">IFERROR(ROUND((_xlfn.IFS(offer_sale_type="поставка",AB623,offer_sale_type="транзит",S623)*(1+AC623))/E623,2),0)</f>
        <v/>
      </c>
      <c r="AE623" s="76">
        <f>AD623*E623</f>
        <v/>
      </c>
      <c r="AF623" s="193">
        <f t="array" ref="AF623">IFERROR(ROUND(_xlfn.IFS(offer_sale_type="поставка",AB623,offer_sale_type="транзит",S623)*AC623,2),0)</f>
        <v/>
      </c>
      <c r="AG623" s="192">
        <f>$BD623*VLOOKUP($AG$3,$AF$4:$AG$7,2,FALSE)</f>
        <v/>
      </c>
      <c r="AH623" s="76">
        <f>SUM(AE623,AG623,AI623)*rate_forex_risk</f>
        <v/>
      </c>
      <c r="AI623" s="193">
        <f>IF(OR(seller_region="TR",offer_sale_type="экспорт"),0,rate_fin_comm)*SUM(AZ623,AZ623*AW623,T623)</f>
        <v/>
      </c>
      <c r="AJ623" s="118">
        <f>IFERROR(ROUND(SUM(AB623,AF623:AI623)/E623,2),0)</f>
        <v/>
      </c>
      <c r="AK623" s="76">
        <f>AJ623*E623</f>
        <v/>
      </c>
      <c r="AL623" s="174">
        <f>ROUND(IFERROR(AM623*E623,0),2)</f>
        <v/>
      </c>
      <c r="AM623" s="175">
        <f>ROUND(AJ623*(1+IF(offer_incoterms="DDP",IF((TODAY()+offer_turnaround_time)&gt;=helpsheet!$L$17,rate_vatRU_from_26,rate_vatRu_till_25),0)),2)</f>
        <v/>
      </c>
      <c r="AN623" s="192">
        <f>AL623-AK623</f>
        <v/>
      </c>
      <c r="AO623" s="76">
        <f>SUM(AY623,Y623:Z623,T623)*IF(AND(offer_incoterms="DDP",offer_sale_type&lt;&gt;"экспорт"),IF((TODAY()+offer_turnaround_time)&gt;=helpsheet!$L$17,rate_vatRU_from_26,rate_vatRu_till_25),0)</f>
        <v/>
      </c>
      <c r="AP623" s="193">
        <f>AN623-AO623</f>
        <v/>
      </c>
      <c r="AQ623" s="118">
        <f>IF(offer_sale_type="транзит",SUM(AF623:AI623,BA623,BB623),0)</f>
        <v/>
      </c>
      <c r="AR623" s="82">
        <f>HYPERLINK("https://www.alta.ru/tnved/code/")&amp;W623&amp;"/"</f>
        <v/>
      </c>
      <c r="AS623" s="157" t="n"/>
      <c r="AT623" s="162" t="n"/>
      <c r="AU623" s="76">
        <f>IF(ISBLANK(AT623),0,AJ623-AT623)</f>
        <v/>
      </c>
      <c r="AV623" s="157" t="n"/>
      <c r="AW623" s="75">
        <f>_xlfn.IFNA(VLOOKUP(L623,list_vat[],3,FALSE),0)</f>
        <v/>
      </c>
      <c r="AX623" s="76">
        <f>IFERROR(ROUND(S623*(1+AW623)/E623,2),0)</f>
        <v/>
      </c>
      <c r="AY623" s="76">
        <f>E623*AX623</f>
        <v/>
      </c>
      <c r="AZ623" s="192">
        <f>S623*(1+M623)</f>
        <v/>
      </c>
      <c r="BA623" s="76">
        <f>cost_fin_total*$BD623</f>
        <v/>
      </c>
      <c r="BB623" s="193">
        <f>credit_sales_interest*BD623</f>
        <v/>
      </c>
      <c r="BC623" s="102">
        <f>IFERROR(IF($I$13&gt;0,$I623/$I$13,$S623/$S$13),0)</f>
        <v/>
      </c>
      <c r="BD623" s="102">
        <f>IFERROR($S623/$S$13,0)</f>
        <v/>
      </c>
      <c r="BE623" s="413" t="inlineStr">
        <is>
          <t>$</t>
        </is>
      </c>
    </row>
    <row r="624" ht="12" customFormat="1" customHeight="1" s="65">
      <c r="A624" s="43" t="n">
        <v>609</v>
      </c>
      <c r="B624" s="166" t="n"/>
      <c r="C624" s="166" t="n"/>
      <c r="D624" s="166" t="n"/>
      <c r="E624" s="162" t="n"/>
      <c r="F624" s="166" t="n"/>
      <c r="G624" s="162" t="n"/>
      <c r="H624" s="162" t="n"/>
      <c r="I624" s="189">
        <f>E624*G624</f>
        <v/>
      </c>
      <c r="J624" s="195" t="n"/>
      <c r="K624" s="162" t="n"/>
      <c r="L624" s="168" t="n"/>
      <c r="M624" s="75">
        <f>_xlfn.XLOOKUP(L624,list_vat[Страна],list_vat[Ставка НДС %],0,0)</f>
        <v/>
      </c>
      <c r="N624" s="162">
        <f>IFERROR(IF(L624="Китай",K624,K624/(1+M624)),0)</f>
        <v/>
      </c>
      <c r="O624" s="169" t="n"/>
      <c r="P624" s="76">
        <f>N624*(1-O624)</f>
        <v/>
      </c>
      <c r="Q624" s="162" t="n"/>
      <c r="R624" s="162">
        <f>IF(ISBLANK(Q624),"введи курс",P624/Q624)</f>
        <v/>
      </c>
      <c r="S624" s="196">
        <f>IF(AND(ISNUMBER(E624),ISNUMBER(Q624)),E624*R624,0)</f>
        <v/>
      </c>
      <c r="T624" s="192">
        <f>$BC624*V$11</f>
        <v/>
      </c>
      <c r="U624" s="76">
        <f>$BC624*W$11</f>
        <v/>
      </c>
      <c r="V624" s="193">
        <f>+SUM(T624:U624)</f>
        <v/>
      </c>
      <c r="W624" s="191" t="n"/>
      <c r="X624" s="170" t="n"/>
      <c r="Y624" s="76">
        <f>ROUND(IF(offer_incoterms="DDP",X624*(S624*(1+AW624)+T624),0),2)</f>
        <v/>
      </c>
      <c r="Z624" s="188" t="n"/>
      <c r="AA624" s="192">
        <f>IFERROR(AB624/E624,0)</f>
        <v/>
      </c>
      <c r="AB624" s="76">
        <f>ROUND(SUM(S624,V624,Y624:Z624,BA624:BB624),2)</f>
        <v/>
      </c>
      <c r="AC624" s="797" t="n"/>
      <c r="AD624" s="192">
        <f t="array" ref="AD624">IFERROR(ROUND((_xlfn.IFS(offer_sale_type="поставка",AB624,offer_sale_type="транзит",S624)*(1+AC624))/E624,2),0)</f>
        <v/>
      </c>
      <c r="AE624" s="76">
        <f>AD624*E624</f>
        <v/>
      </c>
      <c r="AF624" s="193">
        <f t="array" ref="AF624">IFERROR(ROUND(_xlfn.IFS(offer_sale_type="поставка",AB624,offer_sale_type="транзит",S624)*AC624,2),0)</f>
        <v/>
      </c>
      <c r="AG624" s="192">
        <f>$BD624*VLOOKUP($AG$3,$AF$4:$AG$7,2,FALSE)</f>
        <v/>
      </c>
      <c r="AH624" s="76">
        <f>SUM(AE624,AG624,AI624)*rate_forex_risk</f>
        <v/>
      </c>
      <c r="AI624" s="193">
        <f>IF(OR(seller_region="TR",offer_sale_type="экспорт"),0,rate_fin_comm)*SUM(AZ624,AZ624*AW624,T624)</f>
        <v/>
      </c>
      <c r="AJ624" s="118">
        <f>IFERROR(ROUND(SUM(AB624,AF624:AI624)/E624,2),0)</f>
        <v/>
      </c>
      <c r="AK624" s="76">
        <f>AJ624*E624</f>
        <v/>
      </c>
      <c r="AL624" s="174">
        <f>ROUND(IFERROR(AM624*E624,0),2)</f>
        <v/>
      </c>
      <c r="AM624" s="175">
        <f>ROUND(AJ624*(1+IF(offer_incoterms="DDP",IF((TODAY()+offer_turnaround_time)&gt;=helpsheet!$L$17,rate_vatRU_from_26,rate_vatRu_till_25),0)),2)</f>
        <v/>
      </c>
      <c r="AN624" s="192">
        <f>AL624-AK624</f>
        <v/>
      </c>
      <c r="AO624" s="76">
        <f>SUM(AY624,Y624:Z624,T624)*IF(AND(offer_incoterms="DDP",offer_sale_type&lt;&gt;"экспорт"),IF((TODAY()+offer_turnaround_time)&gt;=helpsheet!$L$17,rate_vatRU_from_26,rate_vatRu_till_25),0)</f>
        <v/>
      </c>
      <c r="AP624" s="193">
        <f>AN624-AO624</f>
        <v/>
      </c>
      <c r="AQ624" s="118">
        <f>IF(offer_sale_type="транзит",SUM(AF624:AI624,BA624,BB624),0)</f>
        <v/>
      </c>
      <c r="AR624" s="82">
        <f>HYPERLINK("https://www.alta.ru/tnved/code/")&amp;W624&amp;"/"</f>
        <v/>
      </c>
      <c r="AS624" s="157" t="n"/>
      <c r="AT624" s="162" t="n"/>
      <c r="AU624" s="76">
        <f>IF(ISBLANK(AT624),0,AJ624-AT624)</f>
        <v/>
      </c>
      <c r="AV624" s="157" t="n"/>
      <c r="AW624" s="75">
        <f>_xlfn.IFNA(VLOOKUP(L624,list_vat[],3,FALSE),0)</f>
        <v/>
      </c>
      <c r="AX624" s="76">
        <f>IFERROR(ROUND(S624*(1+AW624)/E624,2),0)</f>
        <v/>
      </c>
      <c r="AY624" s="76">
        <f>E624*AX624</f>
        <v/>
      </c>
      <c r="AZ624" s="192">
        <f>S624*(1+M624)</f>
        <v/>
      </c>
      <c r="BA624" s="76">
        <f>cost_fin_total*$BD624</f>
        <v/>
      </c>
      <c r="BB624" s="193">
        <f>credit_sales_interest*BD624</f>
        <v/>
      </c>
      <c r="BC624" s="102">
        <f>IFERROR(IF($I$13&gt;0,$I624/$I$13,$S624/$S$13),0)</f>
        <v/>
      </c>
      <c r="BD624" s="102">
        <f>IFERROR($S624/$S$13,0)</f>
        <v/>
      </c>
      <c r="BE624" s="413" t="inlineStr">
        <is>
          <t>$</t>
        </is>
      </c>
    </row>
    <row r="625" ht="12" customFormat="1" customHeight="1" s="65">
      <c r="A625" s="43" t="n">
        <v>610</v>
      </c>
      <c r="B625" s="166" t="n"/>
      <c r="C625" s="166" t="n"/>
      <c r="D625" s="166" t="n"/>
      <c r="E625" s="162" t="n"/>
      <c r="F625" s="166" t="n"/>
      <c r="G625" s="162" t="n"/>
      <c r="H625" s="162" t="n"/>
      <c r="I625" s="189">
        <f>E625*G625</f>
        <v/>
      </c>
      <c r="J625" s="195" t="n"/>
      <c r="K625" s="162" t="n"/>
      <c r="L625" s="168" t="n"/>
      <c r="M625" s="75">
        <f>_xlfn.XLOOKUP(L625,list_vat[Страна],list_vat[Ставка НДС %],0,0)</f>
        <v/>
      </c>
      <c r="N625" s="162">
        <f>IFERROR(IF(L625="Китай",K625,K625/(1+M625)),0)</f>
        <v/>
      </c>
      <c r="O625" s="169" t="n"/>
      <c r="P625" s="76">
        <f>N625*(1-O625)</f>
        <v/>
      </c>
      <c r="Q625" s="162" t="n"/>
      <c r="R625" s="162">
        <f>IF(ISBLANK(Q625),"введи курс",P625/Q625)</f>
        <v/>
      </c>
      <c r="S625" s="196">
        <f>IF(AND(ISNUMBER(E625),ISNUMBER(Q625)),E625*R625,0)</f>
        <v/>
      </c>
      <c r="T625" s="192">
        <f>$BC625*V$11</f>
        <v/>
      </c>
      <c r="U625" s="76">
        <f>$BC625*W$11</f>
        <v/>
      </c>
      <c r="V625" s="193">
        <f>+SUM(T625:U625)</f>
        <v/>
      </c>
      <c r="W625" s="191" t="n"/>
      <c r="X625" s="170" t="n"/>
      <c r="Y625" s="76">
        <f>ROUND(IF(offer_incoterms="DDP",X625*(S625*(1+AW625)+T625),0),2)</f>
        <v/>
      </c>
      <c r="Z625" s="188" t="n"/>
      <c r="AA625" s="192">
        <f>IFERROR(AB625/E625,0)</f>
        <v/>
      </c>
      <c r="AB625" s="76">
        <f>ROUND(SUM(S625,V625,Y625:Z625,BA625:BB625),2)</f>
        <v/>
      </c>
      <c r="AC625" s="797" t="n"/>
      <c r="AD625" s="192">
        <f t="array" ref="AD625">IFERROR(ROUND((_xlfn.IFS(offer_sale_type="поставка",AB625,offer_sale_type="транзит",S625)*(1+AC625))/E625,2),0)</f>
        <v/>
      </c>
      <c r="AE625" s="76">
        <f>AD625*E625</f>
        <v/>
      </c>
      <c r="AF625" s="193">
        <f t="array" ref="AF625">IFERROR(ROUND(_xlfn.IFS(offer_sale_type="поставка",AB625,offer_sale_type="транзит",S625)*AC625,2),0)</f>
        <v/>
      </c>
      <c r="AG625" s="192">
        <f>$BD625*VLOOKUP($AG$3,$AF$4:$AG$7,2,FALSE)</f>
        <v/>
      </c>
      <c r="AH625" s="76">
        <f>SUM(AE625,AG625,AI625)*rate_forex_risk</f>
        <v/>
      </c>
      <c r="AI625" s="193">
        <f>IF(OR(seller_region="TR",offer_sale_type="экспорт"),0,rate_fin_comm)*SUM(AZ625,AZ625*AW625,T625)</f>
        <v/>
      </c>
      <c r="AJ625" s="118">
        <f>IFERROR(ROUND(SUM(AB625,AF625:AI625)/E625,2),0)</f>
        <v/>
      </c>
      <c r="AK625" s="76">
        <f>AJ625*E625</f>
        <v/>
      </c>
      <c r="AL625" s="174">
        <f>ROUND(IFERROR(AM625*E625,0),2)</f>
        <v/>
      </c>
      <c r="AM625" s="175">
        <f>ROUND(AJ625*(1+IF(offer_incoterms="DDP",IF((TODAY()+offer_turnaround_time)&gt;=helpsheet!$L$17,rate_vatRU_from_26,rate_vatRu_till_25),0)),2)</f>
        <v/>
      </c>
      <c r="AN625" s="192">
        <f>AL625-AK625</f>
        <v/>
      </c>
      <c r="AO625" s="76">
        <f>SUM(AY625,Y625:Z625,T625)*IF(AND(offer_incoterms="DDP",offer_sale_type&lt;&gt;"экспорт"),IF((TODAY()+offer_turnaround_time)&gt;=helpsheet!$L$17,rate_vatRU_from_26,rate_vatRu_till_25),0)</f>
        <v/>
      </c>
      <c r="AP625" s="193">
        <f>AN625-AO625</f>
        <v/>
      </c>
      <c r="AQ625" s="118">
        <f>IF(offer_sale_type="транзит",SUM(AF625:AI625,BA625,BB625),0)</f>
        <v/>
      </c>
      <c r="AR625" s="82">
        <f>HYPERLINK("https://www.alta.ru/tnved/code/")&amp;W625&amp;"/"</f>
        <v/>
      </c>
      <c r="AS625" s="157" t="n"/>
      <c r="AT625" s="162" t="n"/>
      <c r="AU625" s="76">
        <f>IF(ISBLANK(AT625),0,AJ625-AT625)</f>
        <v/>
      </c>
      <c r="AV625" s="157" t="n"/>
      <c r="AW625" s="75">
        <f>_xlfn.IFNA(VLOOKUP(L625,list_vat[],3,FALSE),0)</f>
        <v/>
      </c>
      <c r="AX625" s="76">
        <f>IFERROR(ROUND(S625*(1+AW625)/E625,2),0)</f>
        <v/>
      </c>
      <c r="AY625" s="76">
        <f>E625*AX625</f>
        <v/>
      </c>
      <c r="AZ625" s="192">
        <f>S625*(1+M625)</f>
        <v/>
      </c>
      <c r="BA625" s="76">
        <f>cost_fin_total*$BD625</f>
        <v/>
      </c>
      <c r="BB625" s="193">
        <f>credit_sales_interest*BD625</f>
        <v/>
      </c>
      <c r="BC625" s="102">
        <f>IFERROR(IF($I$13&gt;0,$I625/$I$13,$S625/$S$13),0)</f>
        <v/>
      </c>
      <c r="BD625" s="102">
        <f>IFERROR($S625/$S$13,0)</f>
        <v/>
      </c>
      <c r="BE625" s="413" t="inlineStr">
        <is>
          <t>$</t>
        </is>
      </c>
    </row>
    <row r="626" ht="12" customFormat="1" customHeight="1" s="65">
      <c r="A626" s="43" t="n">
        <v>611</v>
      </c>
      <c r="B626" s="166" t="n"/>
      <c r="C626" s="166" t="n"/>
      <c r="D626" s="166" t="n"/>
      <c r="E626" s="162" t="n"/>
      <c r="F626" s="166" t="n"/>
      <c r="G626" s="162" t="n"/>
      <c r="H626" s="162" t="n"/>
      <c r="I626" s="189">
        <f>E626*G626</f>
        <v/>
      </c>
      <c r="J626" s="195" t="n"/>
      <c r="K626" s="162" t="n"/>
      <c r="L626" s="168" t="n"/>
      <c r="M626" s="75">
        <f>_xlfn.XLOOKUP(L626,list_vat[Страна],list_vat[Ставка НДС %],0,0)</f>
        <v/>
      </c>
      <c r="N626" s="162">
        <f>IFERROR(IF(L626="Китай",K626,K626/(1+M626)),0)</f>
        <v/>
      </c>
      <c r="O626" s="169" t="n"/>
      <c r="P626" s="76">
        <f>N626*(1-O626)</f>
        <v/>
      </c>
      <c r="Q626" s="162" t="n"/>
      <c r="R626" s="162">
        <f>IF(ISBLANK(Q626),"введи курс",P626/Q626)</f>
        <v/>
      </c>
      <c r="S626" s="196">
        <f>IF(AND(ISNUMBER(E626),ISNUMBER(Q626)),E626*R626,0)</f>
        <v/>
      </c>
      <c r="T626" s="192">
        <f>$BC626*V$11</f>
        <v/>
      </c>
      <c r="U626" s="76">
        <f>$BC626*W$11</f>
        <v/>
      </c>
      <c r="V626" s="193">
        <f>+SUM(T626:U626)</f>
        <v/>
      </c>
      <c r="W626" s="191" t="n"/>
      <c r="X626" s="170" t="n"/>
      <c r="Y626" s="76">
        <f>ROUND(IF(offer_incoterms="DDP",X626*(S626*(1+AW626)+T626),0),2)</f>
        <v/>
      </c>
      <c r="Z626" s="188" t="n"/>
      <c r="AA626" s="192">
        <f>IFERROR(AB626/E626,0)</f>
        <v/>
      </c>
      <c r="AB626" s="76">
        <f>ROUND(SUM(S626,V626,Y626:Z626,BA626:BB626),2)</f>
        <v/>
      </c>
      <c r="AC626" s="797" t="n"/>
      <c r="AD626" s="192">
        <f t="array" ref="AD626">IFERROR(ROUND((_xlfn.IFS(offer_sale_type="поставка",AB626,offer_sale_type="транзит",S626)*(1+AC626))/E626,2),0)</f>
        <v/>
      </c>
      <c r="AE626" s="76">
        <f>AD626*E626</f>
        <v/>
      </c>
      <c r="AF626" s="193">
        <f t="array" ref="AF626">IFERROR(ROUND(_xlfn.IFS(offer_sale_type="поставка",AB626,offer_sale_type="транзит",S626)*AC626,2),0)</f>
        <v/>
      </c>
      <c r="AG626" s="192">
        <f>$BD626*VLOOKUP($AG$3,$AF$4:$AG$7,2,FALSE)</f>
        <v/>
      </c>
      <c r="AH626" s="76">
        <f>SUM(AE626,AG626,AI626)*rate_forex_risk</f>
        <v/>
      </c>
      <c r="AI626" s="193">
        <f>IF(OR(seller_region="TR",offer_sale_type="экспорт"),0,rate_fin_comm)*SUM(AZ626,AZ626*AW626,T626)</f>
        <v/>
      </c>
      <c r="AJ626" s="118">
        <f>IFERROR(ROUND(SUM(AB626,AF626:AI626)/E626,2),0)</f>
        <v/>
      </c>
      <c r="AK626" s="76">
        <f>AJ626*E626</f>
        <v/>
      </c>
      <c r="AL626" s="174">
        <f>ROUND(IFERROR(AM626*E626,0),2)</f>
        <v/>
      </c>
      <c r="AM626" s="175">
        <f>ROUND(AJ626*(1+IF(offer_incoterms="DDP",IF((TODAY()+offer_turnaround_time)&gt;=helpsheet!$L$17,rate_vatRU_from_26,rate_vatRu_till_25),0)),2)</f>
        <v/>
      </c>
      <c r="AN626" s="192">
        <f>AL626-AK626</f>
        <v/>
      </c>
      <c r="AO626" s="76">
        <f>SUM(AY626,Y626:Z626,T626)*IF(AND(offer_incoterms="DDP",offer_sale_type&lt;&gt;"экспорт"),IF((TODAY()+offer_turnaround_time)&gt;=helpsheet!$L$17,rate_vatRU_from_26,rate_vatRu_till_25),0)</f>
        <v/>
      </c>
      <c r="AP626" s="193">
        <f>AN626-AO626</f>
        <v/>
      </c>
      <c r="AQ626" s="118">
        <f>IF(offer_sale_type="транзит",SUM(AF626:AI626,BA626,BB626),0)</f>
        <v/>
      </c>
      <c r="AR626" s="82">
        <f>HYPERLINK("https://www.alta.ru/tnved/code/")&amp;W626&amp;"/"</f>
        <v/>
      </c>
      <c r="AS626" s="157" t="n"/>
      <c r="AT626" s="162" t="n"/>
      <c r="AU626" s="76">
        <f>IF(ISBLANK(AT626),0,AJ626-AT626)</f>
        <v/>
      </c>
      <c r="AV626" s="157" t="n"/>
      <c r="AW626" s="75">
        <f>_xlfn.IFNA(VLOOKUP(L626,list_vat[],3,FALSE),0)</f>
        <v/>
      </c>
      <c r="AX626" s="76">
        <f>IFERROR(ROUND(S626*(1+AW626)/E626,2),0)</f>
        <v/>
      </c>
      <c r="AY626" s="76">
        <f>E626*AX626</f>
        <v/>
      </c>
      <c r="AZ626" s="192">
        <f>S626*(1+M626)</f>
        <v/>
      </c>
      <c r="BA626" s="76">
        <f>cost_fin_total*$BD626</f>
        <v/>
      </c>
      <c r="BB626" s="193">
        <f>credit_sales_interest*BD626</f>
        <v/>
      </c>
      <c r="BC626" s="102">
        <f>IFERROR(IF($I$13&gt;0,$I626/$I$13,$S626/$S$13),0)</f>
        <v/>
      </c>
      <c r="BD626" s="102">
        <f>IFERROR($S626/$S$13,0)</f>
        <v/>
      </c>
      <c r="BE626" s="413" t="inlineStr">
        <is>
          <t>$</t>
        </is>
      </c>
    </row>
    <row r="627" ht="12" customFormat="1" customHeight="1" s="65">
      <c r="A627" s="43" t="n">
        <v>612</v>
      </c>
      <c r="B627" s="166" t="n"/>
      <c r="C627" s="166" t="n"/>
      <c r="D627" s="166" t="n"/>
      <c r="E627" s="162" t="n"/>
      <c r="F627" s="166" t="n"/>
      <c r="G627" s="162" t="n"/>
      <c r="H627" s="162" t="n"/>
      <c r="I627" s="189">
        <f>E627*G627</f>
        <v/>
      </c>
      <c r="J627" s="195" t="n"/>
      <c r="K627" s="162" t="n"/>
      <c r="L627" s="168" t="n"/>
      <c r="M627" s="75">
        <f>_xlfn.XLOOKUP(L627,list_vat[Страна],list_vat[Ставка НДС %],0,0)</f>
        <v/>
      </c>
      <c r="N627" s="162">
        <f>IFERROR(IF(L627="Китай",K627,K627/(1+M627)),0)</f>
        <v/>
      </c>
      <c r="O627" s="169" t="n"/>
      <c r="P627" s="76">
        <f>N627*(1-O627)</f>
        <v/>
      </c>
      <c r="Q627" s="162" t="n"/>
      <c r="R627" s="162">
        <f>IF(ISBLANK(Q627),"введи курс",P627/Q627)</f>
        <v/>
      </c>
      <c r="S627" s="196">
        <f>IF(AND(ISNUMBER(E627),ISNUMBER(Q627)),E627*R627,0)</f>
        <v/>
      </c>
      <c r="T627" s="192">
        <f>$BC627*V$11</f>
        <v/>
      </c>
      <c r="U627" s="76">
        <f>$BC627*W$11</f>
        <v/>
      </c>
      <c r="V627" s="193">
        <f>+SUM(T627:U627)</f>
        <v/>
      </c>
      <c r="W627" s="191" t="n"/>
      <c r="X627" s="170" t="n"/>
      <c r="Y627" s="76">
        <f>ROUND(IF(offer_incoterms="DDP",X627*(S627*(1+AW627)+T627),0),2)</f>
        <v/>
      </c>
      <c r="Z627" s="188" t="n"/>
      <c r="AA627" s="192">
        <f>IFERROR(AB627/E627,0)</f>
        <v/>
      </c>
      <c r="AB627" s="76">
        <f>ROUND(SUM(S627,V627,Y627:Z627,BA627:BB627),2)</f>
        <v/>
      </c>
      <c r="AC627" s="797" t="n"/>
      <c r="AD627" s="192">
        <f t="array" ref="AD627">IFERROR(ROUND((_xlfn.IFS(offer_sale_type="поставка",AB627,offer_sale_type="транзит",S627)*(1+AC627))/E627,2),0)</f>
        <v/>
      </c>
      <c r="AE627" s="76">
        <f>AD627*E627</f>
        <v/>
      </c>
      <c r="AF627" s="193">
        <f t="array" ref="AF627">IFERROR(ROUND(_xlfn.IFS(offer_sale_type="поставка",AB627,offer_sale_type="транзит",S627)*AC627,2),0)</f>
        <v/>
      </c>
      <c r="AG627" s="192">
        <f>$BD627*VLOOKUP($AG$3,$AF$4:$AG$7,2,FALSE)</f>
        <v/>
      </c>
      <c r="AH627" s="76">
        <f>SUM(AE627,AG627,AI627)*rate_forex_risk</f>
        <v/>
      </c>
      <c r="AI627" s="193">
        <f>IF(OR(seller_region="TR",offer_sale_type="экспорт"),0,rate_fin_comm)*SUM(AZ627,AZ627*AW627,T627)</f>
        <v/>
      </c>
      <c r="AJ627" s="118">
        <f>IFERROR(ROUND(SUM(AB627,AF627:AI627)/E627,2),0)</f>
        <v/>
      </c>
      <c r="AK627" s="76">
        <f>AJ627*E627</f>
        <v/>
      </c>
      <c r="AL627" s="174">
        <f>ROUND(IFERROR(AM627*E627,0),2)</f>
        <v/>
      </c>
      <c r="AM627" s="175">
        <f>ROUND(AJ627*(1+IF(offer_incoterms="DDP",IF((TODAY()+offer_turnaround_time)&gt;=helpsheet!$L$17,rate_vatRU_from_26,rate_vatRu_till_25),0)),2)</f>
        <v/>
      </c>
      <c r="AN627" s="192">
        <f>AL627-AK627</f>
        <v/>
      </c>
      <c r="AO627" s="76">
        <f>SUM(AY627,Y627:Z627,T627)*IF(AND(offer_incoterms="DDP",offer_sale_type&lt;&gt;"экспорт"),IF((TODAY()+offer_turnaround_time)&gt;=helpsheet!$L$17,rate_vatRU_from_26,rate_vatRu_till_25),0)</f>
        <v/>
      </c>
      <c r="AP627" s="193">
        <f>AN627-AO627</f>
        <v/>
      </c>
      <c r="AQ627" s="118">
        <f>IF(offer_sale_type="транзит",SUM(AF627:AI627,BA627,BB627),0)</f>
        <v/>
      </c>
      <c r="AR627" s="82">
        <f>HYPERLINK("https://www.alta.ru/tnved/code/")&amp;W627&amp;"/"</f>
        <v/>
      </c>
      <c r="AS627" s="157" t="n"/>
      <c r="AT627" s="162" t="n"/>
      <c r="AU627" s="76">
        <f>IF(ISBLANK(AT627),0,AJ627-AT627)</f>
        <v/>
      </c>
      <c r="AV627" s="157" t="n"/>
      <c r="AW627" s="75">
        <f>_xlfn.IFNA(VLOOKUP(L627,list_vat[],3,FALSE),0)</f>
        <v/>
      </c>
      <c r="AX627" s="76">
        <f>IFERROR(ROUND(S627*(1+AW627)/E627,2),0)</f>
        <v/>
      </c>
      <c r="AY627" s="76">
        <f>E627*AX627</f>
        <v/>
      </c>
      <c r="AZ627" s="192">
        <f>S627*(1+M627)</f>
        <v/>
      </c>
      <c r="BA627" s="76">
        <f>cost_fin_total*$BD627</f>
        <v/>
      </c>
      <c r="BB627" s="193">
        <f>credit_sales_interest*BD627</f>
        <v/>
      </c>
      <c r="BC627" s="102">
        <f>IFERROR(IF($I$13&gt;0,$I627/$I$13,$S627/$S$13),0)</f>
        <v/>
      </c>
      <c r="BD627" s="102">
        <f>IFERROR($S627/$S$13,0)</f>
        <v/>
      </c>
      <c r="BE627" s="413" t="inlineStr">
        <is>
          <t>$</t>
        </is>
      </c>
    </row>
    <row r="628" ht="12" customFormat="1" customHeight="1" s="65">
      <c r="A628" s="43" t="n">
        <v>613</v>
      </c>
      <c r="B628" s="166" t="n"/>
      <c r="C628" s="166" t="n"/>
      <c r="D628" s="166" t="n"/>
      <c r="E628" s="162" t="n"/>
      <c r="F628" s="166" t="n"/>
      <c r="G628" s="162" t="n"/>
      <c r="H628" s="162" t="n"/>
      <c r="I628" s="189">
        <f>E628*G628</f>
        <v/>
      </c>
      <c r="J628" s="195" t="n"/>
      <c r="K628" s="162" t="n"/>
      <c r="L628" s="168" t="n"/>
      <c r="M628" s="75">
        <f>_xlfn.XLOOKUP(L628,list_vat[Страна],list_vat[Ставка НДС %],0,0)</f>
        <v/>
      </c>
      <c r="N628" s="162">
        <f>IFERROR(IF(L628="Китай",K628,K628/(1+M628)),0)</f>
        <v/>
      </c>
      <c r="O628" s="169" t="n"/>
      <c r="P628" s="76">
        <f>N628*(1-O628)</f>
        <v/>
      </c>
      <c r="Q628" s="162" t="n"/>
      <c r="R628" s="162">
        <f>IF(ISBLANK(Q628),"введи курс",P628/Q628)</f>
        <v/>
      </c>
      <c r="S628" s="196">
        <f>IF(AND(ISNUMBER(E628),ISNUMBER(Q628)),E628*R628,0)</f>
        <v/>
      </c>
      <c r="T628" s="192">
        <f>$BC628*V$11</f>
        <v/>
      </c>
      <c r="U628" s="76">
        <f>$BC628*W$11</f>
        <v/>
      </c>
      <c r="V628" s="193">
        <f>+SUM(T628:U628)</f>
        <v/>
      </c>
      <c r="W628" s="191" t="n"/>
      <c r="X628" s="170" t="n"/>
      <c r="Y628" s="76">
        <f>ROUND(IF(offer_incoterms="DDP",X628*(S628*(1+AW628)+T628),0),2)</f>
        <v/>
      </c>
      <c r="Z628" s="188" t="n"/>
      <c r="AA628" s="192">
        <f>IFERROR(AB628/E628,0)</f>
        <v/>
      </c>
      <c r="AB628" s="76">
        <f>ROUND(SUM(S628,V628,Y628:Z628,BA628:BB628),2)</f>
        <v/>
      </c>
      <c r="AC628" s="797" t="n"/>
      <c r="AD628" s="192">
        <f t="array" ref="AD628">IFERROR(ROUND((_xlfn.IFS(offer_sale_type="поставка",AB628,offer_sale_type="транзит",S628)*(1+AC628))/E628,2),0)</f>
        <v/>
      </c>
      <c r="AE628" s="76">
        <f>AD628*E628</f>
        <v/>
      </c>
      <c r="AF628" s="193">
        <f t="array" ref="AF628">IFERROR(ROUND(_xlfn.IFS(offer_sale_type="поставка",AB628,offer_sale_type="транзит",S628)*AC628,2),0)</f>
        <v/>
      </c>
      <c r="AG628" s="192">
        <f>$BD628*VLOOKUP($AG$3,$AF$4:$AG$7,2,FALSE)</f>
        <v/>
      </c>
      <c r="AH628" s="76">
        <f>SUM(AE628,AG628,AI628)*rate_forex_risk</f>
        <v/>
      </c>
      <c r="AI628" s="193">
        <f>IF(OR(seller_region="TR",offer_sale_type="экспорт"),0,rate_fin_comm)*SUM(AZ628,AZ628*AW628,T628)</f>
        <v/>
      </c>
      <c r="AJ628" s="118">
        <f>IFERROR(ROUND(SUM(AB628,AF628:AI628)/E628,2),0)</f>
        <v/>
      </c>
      <c r="AK628" s="76">
        <f>AJ628*E628</f>
        <v/>
      </c>
      <c r="AL628" s="174">
        <f>ROUND(IFERROR(AM628*E628,0),2)</f>
        <v/>
      </c>
      <c r="AM628" s="175">
        <f>ROUND(AJ628*(1+IF(offer_incoterms="DDP",IF((TODAY()+offer_turnaround_time)&gt;=helpsheet!$L$17,rate_vatRU_from_26,rate_vatRu_till_25),0)),2)</f>
        <v/>
      </c>
      <c r="AN628" s="192">
        <f>AL628-AK628</f>
        <v/>
      </c>
      <c r="AO628" s="76">
        <f>SUM(AY628,Y628:Z628,T628)*IF(AND(offer_incoterms="DDP",offer_sale_type&lt;&gt;"экспорт"),IF((TODAY()+offer_turnaround_time)&gt;=helpsheet!$L$17,rate_vatRU_from_26,rate_vatRu_till_25),0)</f>
        <v/>
      </c>
      <c r="AP628" s="193">
        <f>AN628-AO628</f>
        <v/>
      </c>
      <c r="AQ628" s="118">
        <f>IF(offer_sale_type="транзит",SUM(AF628:AI628,BA628,BB628),0)</f>
        <v/>
      </c>
      <c r="AR628" s="82">
        <f>HYPERLINK("https://www.alta.ru/tnved/code/")&amp;W628&amp;"/"</f>
        <v/>
      </c>
      <c r="AS628" s="157" t="n"/>
      <c r="AT628" s="162" t="n"/>
      <c r="AU628" s="76">
        <f>IF(ISBLANK(AT628),0,AJ628-AT628)</f>
        <v/>
      </c>
      <c r="AV628" s="157" t="n"/>
      <c r="AW628" s="75">
        <f>_xlfn.IFNA(VLOOKUP(L628,list_vat[],3,FALSE),0)</f>
        <v/>
      </c>
      <c r="AX628" s="76">
        <f>IFERROR(ROUND(S628*(1+AW628)/E628,2),0)</f>
        <v/>
      </c>
      <c r="AY628" s="76">
        <f>E628*AX628</f>
        <v/>
      </c>
      <c r="AZ628" s="192">
        <f>S628*(1+M628)</f>
        <v/>
      </c>
      <c r="BA628" s="76">
        <f>cost_fin_total*$BD628</f>
        <v/>
      </c>
      <c r="BB628" s="193">
        <f>credit_sales_interest*BD628</f>
        <v/>
      </c>
      <c r="BC628" s="102">
        <f>IFERROR(IF($I$13&gt;0,$I628/$I$13,$S628/$S$13),0)</f>
        <v/>
      </c>
      <c r="BD628" s="102">
        <f>IFERROR($S628/$S$13,0)</f>
        <v/>
      </c>
      <c r="BE628" s="413" t="inlineStr">
        <is>
          <t>$</t>
        </is>
      </c>
    </row>
    <row r="629" ht="12" customFormat="1" customHeight="1" s="65">
      <c r="A629" s="43" t="n">
        <v>614</v>
      </c>
      <c r="B629" s="166" t="n"/>
      <c r="C629" s="166" t="n"/>
      <c r="D629" s="166" t="n"/>
      <c r="E629" s="162" t="n"/>
      <c r="F629" s="166" t="n"/>
      <c r="G629" s="162" t="n"/>
      <c r="H629" s="162" t="n"/>
      <c r="I629" s="189">
        <f>E629*G629</f>
        <v/>
      </c>
      <c r="J629" s="195" t="n"/>
      <c r="K629" s="162" t="n"/>
      <c r="L629" s="168" t="n"/>
      <c r="M629" s="75">
        <f>_xlfn.XLOOKUP(L629,list_vat[Страна],list_vat[Ставка НДС %],0,0)</f>
        <v/>
      </c>
      <c r="N629" s="162">
        <f>IFERROR(IF(L629="Китай",K629,K629/(1+M629)),0)</f>
        <v/>
      </c>
      <c r="O629" s="169" t="n"/>
      <c r="P629" s="76">
        <f>N629*(1-O629)</f>
        <v/>
      </c>
      <c r="Q629" s="162" t="n"/>
      <c r="R629" s="162">
        <f>IF(ISBLANK(Q629),"введи курс",P629/Q629)</f>
        <v/>
      </c>
      <c r="S629" s="196">
        <f>IF(AND(ISNUMBER(E629),ISNUMBER(Q629)),E629*R629,0)</f>
        <v/>
      </c>
      <c r="T629" s="192">
        <f>$BC629*V$11</f>
        <v/>
      </c>
      <c r="U629" s="76">
        <f>$BC629*W$11</f>
        <v/>
      </c>
      <c r="V629" s="193">
        <f>+SUM(T629:U629)</f>
        <v/>
      </c>
      <c r="W629" s="191" t="n"/>
      <c r="X629" s="170" t="n"/>
      <c r="Y629" s="76">
        <f>ROUND(IF(offer_incoterms="DDP",X629*(S629*(1+AW629)+T629),0),2)</f>
        <v/>
      </c>
      <c r="Z629" s="188" t="n"/>
      <c r="AA629" s="192">
        <f>IFERROR(AB629/E629,0)</f>
        <v/>
      </c>
      <c r="AB629" s="76">
        <f>ROUND(SUM(S629,V629,Y629:Z629,BA629:BB629),2)</f>
        <v/>
      </c>
      <c r="AC629" s="797" t="n"/>
      <c r="AD629" s="192">
        <f t="array" ref="AD629">IFERROR(ROUND((_xlfn.IFS(offer_sale_type="поставка",AB629,offer_sale_type="транзит",S629)*(1+AC629))/E629,2),0)</f>
        <v/>
      </c>
      <c r="AE629" s="76">
        <f>AD629*E629</f>
        <v/>
      </c>
      <c r="AF629" s="193">
        <f t="array" ref="AF629">IFERROR(ROUND(_xlfn.IFS(offer_sale_type="поставка",AB629,offer_sale_type="транзит",S629)*AC629,2),0)</f>
        <v/>
      </c>
      <c r="AG629" s="192">
        <f>$BD629*VLOOKUP($AG$3,$AF$4:$AG$7,2,FALSE)</f>
        <v/>
      </c>
      <c r="AH629" s="76">
        <f>SUM(AE629,AG629,AI629)*rate_forex_risk</f>
        <v/>
      </c>
      <c r="AI629" s="193">
        <f>IF(OR(seller_region="TR",offer_sale_type="экспорт"),0,rate_fin_comm)*SUM(AZ629,AZ629*AW629,T629)</f>
        <v/>
      </c>
      <c r="AJ629" s="118">
        <f>IFERROR(ROUND(SUM(AB629,AF629:AI629)/E629,2),0)</f>
        <v/>
      </c>
      <c r="AK629" s="76">
        <f>AJ629*E629</f>
        <v/>
      </c>
      <c r="AL629" s="174">
        <f>ROUND(IFERROR(AM629*E629,0),2)</f>
        <v/>
      </c>
      <c r="AM629" s="175">
        <f>ROUND(AJ629*(1+IF(offer_incoterms="DDP",IF((TODAY()+offer_turnaround_time)&gt;=helpsheet!$L$17,rate_vatRU_from_26,rate_vatRu_till_25),0)),2)</f>
        <v/>
      </c>
      <c r="AN629" s="192">
        <f>AL629-AK629</f>
        <v/>
      </c>
      <c r="AO629" s="76">
        <f>SUM(AY629,Y629:Z629,T629)*IF(AND(offer_incoterms="DDP",offer_sale_type&lt;&gt;"экспорт"),IF((TODAY()+offer_turnaround_time)&gt;=helpsheet!$L$17,rate_vatRU_from_26,rate_vatRu_till_25),0)</f>
        <v/>
      </c>
      <c r="AP629" s="193">
        <f>AN629-AO629</f>
        <v/>
      </c>
      <c r="AQ629" s="118">
        <f>IF(offer_sale_type="транзит",SUM(AF629:AI629,BA629,BB629),0)</f>
        <v/>
      </c>
      <c r="AR629" s="82">
        <f>HYPERLINK("https://www.alta.ru/tnved/code/")&amp;W629&amp;"/"</f>
        <v/>
      </c>
      <c r="AS629" s="157" t="n"/>
      <c r="AT629" s="162" t="n"/>
      <c r="AU629" s="76">
        <f>IF(ISBLANK(AT629),0,AJ629-AT629)</f>
        <v/>
      </c>
      <c r="AV629" s="157" t="n"/>
      <c r="AW629" s="75">
        <f>_xlfn.IFNA(VLOOKUP(L629,list_vat[],3,FALSE),0)</f>
        <v/>
      </c>
      <c r="AX629" s="76">
        <f>IFERROR(ROUND(S629*(1+AW629)/E629,2),0)</f>
        <v/>
      </c>
      <c r="AY629" s="76">
        <f>E629*AX629</f>
        <v/>
      </c>
      <c r="AZ629" s="192">
        <f>S629*(1+M629)</f>
        <v/>
      </c>
      <c r="BA629" s="76">
        <f>cost_fin_total*$BD629</f>
        <v/>
      </c>
      <c r="BB629" s="193">
        <f>credit_sales_interest*BD629</f>
        <v/>
      </c>
      <c r="BC629" s="102">
        <f>IFERROR(IF($I$13&gt;0,$I629/$I$13,$S629/$S$13),0)</f>
        <v/>
      </c>
      <c r="BD629" s="102">
        <f>IFERROR($S629/$S$13,0)</f>
        <v/>
      </c>
      <c r="BE629" s="413" t="inlineStr">
        <is>
          <t>$</t>
        </is>
      </c>
    </row>
    <row r="630" ht="12" customFormat="1" customHeight="1" s="65">
      <c r="A630" s="43" t="n">
        <v>615</v>
      </c>
      <c r="B630" s="166" t="n"/>
      <c r="C630" s="166" t="n"/>
      <c r="D630" s="166" t="n"/>
      <c r="E630" s="162" t="n"/>
      <c r="F630" s="166" t="n"/>
      <c r="G630" s="162" t="n"/>
      <c r="H630" s="162" t="n"/>
      <c r="I630" s="189">
        <f>E630*G630</f>
        <v/>
      </c>
      <c r="J630" s="195" t="n"/>
      <c r="K630" s="162" t="n"/>
      <c r="L630" s="168" t="n"/>
      <c r="M630" s="75">
        <f>_xlfn.XLOOKUP(L630,list_vat[Страна],list_vat[Ставка НДС %],0,0)</f>
        <v/>
      </c>
      <c r="N630" s="162">
        <f>IFERROR(IF(L630="Китай",K630,K630/(1+M630)),0)</f>
        <v/>
      </c>
      <c r="O630" s="169" t="n"/>
      <c r="P630" s="76">
        <f>N630*(1-O630)</f>
        <v/>
      </c>
      <c r="Q630" s="162" t="n"/>
      <c r="R630" s="162">
        <f>IF(ISBLANK(Q630),"введи курс",P630/Q630)</f>
        <v/>
      </c>
      <c r="S630" s="196">
        <f>IF(AND(ISNUMBER(E630),ISNUMBER(Q630)),E630*R630,0)</f>
        <v/>
      </c>
      <c r="T630" s="192">
        <f>$BC630*V$11</f>
        <v/>
      </c>
      <c r="U630" s="76">
        <f>$BC630*W$11</f>
        <v/>
      </c>
      <c r="V630" s="193">
        <f>+SUM(T630:U630)</f>
        <v/>
      </c>
      <c r="W630" s="191" t="n"/>
      <c r="X630" s="170" t="n"/>
      <c r="Y630" s="76">
        <f>ROUND(IF(offer_incoterms="DDP",X630*(S630*(1+AW630)+T630),0),2)</f>
        <v/>
      </c>
      <c r="Z630" s="188" t="n"/>
      <c r="AA630" s="192">
        <f>IFERROR(AB630/E630,0)</f>
        <v/>
      </c>
      <c r="AB630" s="76">
        <f>ROUND(SUM(S630,V630,Y630:Z630,BA630:BB630),2)</f>
        <v/>
      </c>
      <c r="AC630" s="797" t="n"/>
      <c r="AD630" s="192">
        <f t="array" ref="AD630">IFERROR(ROUND((_xlfn.IFS(offer_sale_type="поставка",AB630,offer_sale_type="транзит",S630)*(1+AC630))/E630,2),0)</f>
        <v/>
      </c>
      <c r="AE630" s="76">
        <f>AD630*E630</f>
        <v/>
      </c>
      <c r="AF630" s="193">
        <f t="array" ref="AF630">IFERROR(ROUND(_xlfn.IFS(offer_sale_type="поставка",AB630,offer_sale_type="транзит",S630)*AC630,2),0)</f>
        <v/>
      </c>
      <c r="AG630" s="192">
        <f>$BD630*VLOOKUP($AG$3,$AF$4:$AG$7,2,FALSE)</f>
        <v/>
      </c>
      <c r="AH630" s="76">
        <f>SUM(AE630,AG630,AI630)*rate_forex_risk</f>
        <v/>
      </c>
      <c r="AI630" s="193">
        <f>IF(OR(seller_region="TR",offer_sale_type="экспорт"),0,rate_fin_comm)*SUM(AZ630,AZ630*AW630,T630)</f>
        <v/>
      </c>
      <c r="AJ630" s="118">
        <f>IFERROR(ROUND(SUM(AB630,AF630:AI630)/E630,2),0)</f>
        <v/>
      </c>
      <c r="AK630" s="76">
        <f>AJ630*E630</f>
        <v/>
      </c>
      <c r="AL630" s="174">
        <f>ROUND(IFERROR(AM630*E630,0),2)</f>
        <v/>
      </c>
      <c r="AM630" s="175">
        <f>ROUND(AJ630*(1+IF(offer_incoterms="DDP",IF((TODAY()+offer_turnaround_time)&gt;=helpsheet!$L$17,rate_vatRU_from_26,rate_vatRu_till_25),0)),2)</f>
        <v/>
      </c>
      <c r="AN630" s="192">
        <f>AL630-AK630</f>
        <v/>
      </c>
      <c r="AO630" s="76">
        <f>SUM(AY630,Y630:Z630,T630)*IF(AND(offer_incoterms="DDP",offer_sale_type&lt;&gt;"экспорт"),IF((TODAY()+offer_turnaround_time)&gt;=helpsheet!$L$17,rate_vatRU_from_26,rate_vatRu_till_25),0)</f>
        <v/>
      </c>
      <c r="AP630" s="193">
        <f>AN630-AO630</f>
        <v/>
      </c>
      <c r="AQ630" s="118">
        <f>IF(offer_sale_type="транзит",SUM(AF630:AI630,BA630,BB630),0)</f>
        <v/>
      </c>
      <c r="AR630" s="82">
        <f>HYPERLINK("https://www.alta.ru/tnved/code/")&amp;W630&amp;"/"</f>
        <v/>
      </c>
      <c r="AS630" s="157" t="n"/>
      <c r="AT630" s="162" t="n"/>
      <c r="AU630" s="76">
        <f>IF(ISBLANK(AT630),0,AJ630-AT630)</f>
        <v/>
      </c>
      <c r="AV630" s="157" t="n"/>
      <c r="AW630" s="75">
        <f>_xlfn.IFNA(VLOOKUP(L630,list_vat[],3,FALSE),0)</f>
        <v/>
      </c>
      <c r="AX630" s="76">
        <f>IFERROR(ROUND(S630*(1+AW630)/E630,2),0)</f>
        <v/>
      </c>
      <c r="AY630" s="76">
        <f>E630*AX630</f>
        <v/>
      </c>
      <c r="AZ630" s="192">
        <f>S630*(1+M630)</f>
        <v/>
      </c>
      <c r="BA630" s="76">
        <f>cost_fin_total*$BD630</f>
        <v/>
      </c>
      <c r="BB630" s="193">
        <f>credit_sales_interest*BD630</f>
        <v/>
      </c>
      <c r="BC630" s="102">
        <f>IFERROR(IF($I$13&gt;0,$I630/$I$13,$S630/$S$13),0)</f>
        <v/>
      </c>
      <c r="BD630" s="102">
        <f>IFERROR($S630/$S$13,0)</f>
        <v/>
      </c>
      <c r="BE630" s="413" t="inlineStr">
        <is>
          <t>$</t>
        </is>
      </c>
    </row>
    <row r="631" ht="12" customFormat="1" customHeight="1" s="65">
      <c r="A631" s="43" t="n">
        <v>616</v>
      </c>
      <c r="B631" s="166" t="n"/>
      <c r="C631" s="166" t="n"/>
      <c r="D631" s="166" t="n"/>
      <c r="E631" s="162" t="n"/>
      <c r="F631" s="166" t="n"/>
      <c r="G631" s="162" t="n"/>
      <c r="H631" s="162" t="n"/>
      <c r="I631" s="189">
        <f>E631*G631</f>
        <v/>
      </c>
      <c r="J631" s="195" t="n"/>
      <c r="K631" s="162" t="n"/>
      <c r="L631" s="168" t="n"/>
      <c r="M631" s="75">
        <f>_xlfn.XLOOKUP(L631,list_vat[Страна],list_vat[Ставка НДС %],0,0)</f>
        <v/>
      </c>
      <c r="N631" s="162">
        <f>IFERROR(IF(L631="Китай",K631,K631/(1+M631)),0)</f>
        <v/>
      </c>
      <c r="O631" s="169" t="n"/>
      <c r="P631" s="76">
        <f>N631*(1-O631)</f>
        <v/>
      </c>
      <c r="Q631" s="162" t="n"/>
      <c r="R631" s="162">
        <f>IF(ISBLANK(Q631),"введи курс",P631/Q631)</f>
        <v/>
      </c>
      <c r="S631" s="196">
        <f>IF(AND(ISNUMBER(E631),ISNUMBER(Q631)),E631*R631,0)</f>
        <v/>
      </c>
      <c r="T631" s="192">
        <f>$BC631*V$11</f>
        <v/>
      </c>
      <c r="U631" s="76">
        <f>$BC631*W$11</f>
        <v/>
      </c>
      <c r="V631" s="193">
        <f>+SUM(T631:U631)</f>
        <v/>
      </c>
      <c r="W631" s="191" t="n"/>
      <c r="X631" s="170" t="n"/>
      <c r="Y631" s="76">
        <f>ROUND(IF(offer_incoterms="DDP",X631*(S631*(1+AW631)+T631),0),2)</f>
        <v/>
      </c>
      <c r="Z631" s="188" t="n"/>
      <c r="AA631" s="192">
        <f>IFERROR(AB631/E631,0)</f>
        <v/>
      </c>
      <c r="AB631" s="76">
        <f>ROUND(SUM(S631,V631,Y631:Z631,BA631:BB631),2)</f>
        <v/>
      </c>
      <c r="AC631" s="797" t="n"/>
      <c r="AD631" s="192">
        <f t="array" ref="AD631">IFERROR(ROUND((_xlfn.IFS(offer_sale_type="поставка",AB631,offer_sale_type="транзит",S631)*(1+AC631))/E631,2),0)</f>
        <v/>
      </c>
      <c r="AE631" s="76">
        <f>AD631*E631</f>
        <v/>
      </c>
      <c r="AF631" s="193">
        <f t="array" ref="AF631">IFERROR(ROUND(_xlfn.IFS(offer_sale_type="поставка",AB631,offer_sale_type="транзит",S631)*AC631,2),0)</f>
        <v/>
      </c>
      <c r="AG631" s="192">
        <f>$BD631*VLOOKUP($AG$3,$AF$4:$AG$7,2,FALSE)</f>
        <v/>
      </c>
      <c r="AH631" s="76">
        <f>SUM(AE631,AG631,AI631)*rate_forex_risk</f>
        <v/>
      </c>
      <c r="AI631" s="193">
        <f>IF(OR(seller_region="TR",offer_sale_type="экспорт"),0,rate_fin_comm)*SUM(AZ631,AZ631*AW631,T631)</f>
        <v/>
      </c>
      <c r="AJ631" s="118">
        <f>IFERROR(ROUND(SUM(AB631,AF631:AI631)/E631,2),0)</f>
        <v/>
      </c>
      <c r="AK631" s="76">
        <f>AJ631*E631</f>
        <v/>
      </c>
      <c r="AL631" s="174">
        <f>ROUND(IFERROR(AM631*E631,0),2)</f>
        <v/>
      </c>
      <c r="AM631" s="175">
        <f>ROUND(AJ631*(1+IF(offer_incoterms="DDP",IF((TODAY()+offer_turnaround_time)&gt;=helpsheet!$L$17,rate_vatRU_from_26,rate_vatRu_till_25),0)),2)</f>
        <v/>
      </c>
      <c r="AN631" s="192">
        <f>AL631-AK631</f>
        <v/>
      </c>
      <c r="AO631" s="76">
        <f>SUM(AY631,Y631:Z631,T631)*IF(AND(offer_incoterms="DDP",offer_sale_type&lt;&gt;"экспорт"),IF((TODAY()+offer_turnaround_time)&gt;=helpsheet!$L$17,rate_vatRU_from_26,rate_vatRu_till_25),0)</f>
        <v/>
      </c>
      <c r="AP631" s="193">
        <f>AN631-AO631</f>
        <v/>
      </c>
      <c r="AQ631" s="118">
        <f>IF(offer_sale_type="транзит",SUM(AF631:AI631,BA631,BB631),0)</f>
        <v/>
      </c>
      <c r="AR631" s="82">
        <f>HYPERLINK("https://www.alta.ru/tnved/code/")&amp;W631&amp;"/"</f>
        <v/>
      </c>
      <c r="AS631" s="157" t="n"/>
      <c r="AT631" s="162" t="n"/>
      <c r="AU631" s="76">
        <f>IF(ISBLANK(AT631),0,AJ631-AT631)</f>
        <v/>
      </c>
      <c r="AV631" s="157" t="n"/>
      <c r="AW631" s="75">
        <f>_xlfn.IFNA(VLOOKUP(L631,list_vat[],3,FALSE),0)</f>
        <v/>
      </c>
      <c r="AX631" s="76">
        <f>IFERROR(ROUND(S631*(1+AW631)/E631,2),0)</f>
        <v/>
      </c>
      <c r="AY631" s="76">
        <f>E631*AX631</f>
        <v/>
      </c>
      <c r="AZ631" s="192">
        <f>S631*(1+M631)</f>
        <v/>
      </c>
      <c r="BA631" s="76">
        <f>cost_fin_total*$BD631</f>
        <v/>
      </c>
      <c r="BB631" s="193">
        <f>credit_sales_interest*BD631</f>
        <v/>
      </c>
      <c r="BC631" s="102">
        <f>IFERROR(IF($I$13&gt;0,$I631/$I$13,$S631/$S$13),0)</f>
        <v/>
      </c>
      <c r="BD631" s="102">
        <f>IFERROR($S631/$S$13,0)</f>
        <v/>
      </c>
      <c r="BE631" s="413" t="inlineStr">
        <is>
          <t>$</t>
        </is>
      </c>
    </row>
    <row r="632" ht="12" customFormat="1" customHeight="1" s="65">
      <c r="A632" s="43" t="n">
        <v>617</v>
      </c>
      <c r="B632" s="166" t="n"/>
      <c r="C632" s="166" t="n"/>
      <c r="D632" s="166" t="n"/>
      <c r="E632" s="162" t="n"/>
      <c r="F632" s="166" t="n"/>
      <c r="G632" s="162" t="n"/>
      <c r="H632" s="162" t="n"/>
      <c r="I632" s="189">
        <f>E632*G632</f>
        <v/>
      </c>
      <c r="J632" s="195" t="n"/>
      <c r="K632" s="162" t="n"/>
      <c r="L632" s="168" t="n"/>
      <c r="M632" s="75">
        <f>_xlfn.XLOOKUP(L632,list_vat[Страна],list_vat[Ставка НДС %],0,0)</f>
        <v/>
      </c>
      <c r="N632" s="162">
        <f>IFERROR(IF(L632="Китай",K632,K632/(1+M632)),0)</f>
        <v/>
      </c>
      <c r="O632" s="169" t="n"/>
      <c r="P632" s="76">
        <f>N632*(1-O632)</f>
        <v/>
      </c>
      <c r="Q632" s="162" t="n"/>
      <c r="R632" s="162">
        <f>IF(ISBLANK(Q632),"введи курс",P632/Q632)</f>
        <v/>
      </c>
      <c r="S632" s="196">
        <f>IF(AND(ISNUMBER(E632),ISNUMBER(Q632)),E632*R632,0)</f>
        <v/>
      </c>
      <c r="T632" s="192">
        <f>$BC632*V$11</f>
        <v/>
      </c>
      <c r="U632" s="76">
        <f>$BC632*W$11</f>
        <v/>
      </c>
      <c r="V632" s="193">
        <f>+SUM(T632:U632)</f>
        <v/>
      </c>
      <c r="W632" s="191" t="n"/>
      <c r="X632" s="170" t="n"/>
      <c r="Y632" s="76">
        <f>ROUND(IF(offer_incoterms="DDP",X632*(S632*(1+AW632)+T632),0),2)</f>
        <v/>
      </c>
      <c r="Z632" s="188" t="n"/>
      <c r="AA632" s="192">
        <f>IFERROR(AB632/E632,0)</f>
        <v/>
      </c>
      <c r="AB632" s="76">
        <f>ROUND(SUM(S632,V632,Y632:Z632,BA632:BB632),2)</f>
        <v/>
      </c>
      <c r="AC632" s="797" t="n"/>
      <c r="AD632" s="192">
        <f t="array" ref="AD632">IFERROR(ROUND((_xlfn.IFS(offer_sale_type="поставка",AB632,offer_sale_type="транзит",S632)*(1+AC632))/E632,2),0)</f>
        <v/>
      </c>
      <c r="AE632" s="76">
        <f>AD632*E632</f>
        <v/>
      </c>
      <c r="AF632" s="193">
        <f t="array" ref="AF632">IFERROR(ROUND(_xlfn.IFS(offer_sale_type="поставка",AB632,offer_sale_type="транзит",S632)*AC632,2),0)</f>
        <v/>
      </c>
      <c r="AG632" s="192">
        <f>$BD632*VLOOKUP($AG$3,$AF$4:$AG$7,2,FALSE)</f>
        <v/>
      </c>
      <c r="AH632" s="76">
        <f>SUM(AE632,AG632,AI632)*rate_forex_risk</f>
        <v/>
      </c>
      <c r="AI632" s="193">
        <f>IF(OR(seller_region="TR",offer_sale_type="экспорт"),0,rate_fin_comm)*SUM(AZ632,AZ632*AW632,T632)</f>
        <v/>
      </c>
      <c r="AJ632" s="118">
        <f>IFERROR(ROUND(SUM(AB632,AF632:AI632)/E632,2),0)</f>
        <v/>
      </c>
      <c r="AK632" s="76">
        <f>AJ632*E632</f>
        <v/>
      </c>
      <c r="AL632" s="174">
        <f>ROUND(IFERROR(AM632*E632,0),2)</f>
        <v/>
      </c>
      <c r="AM632" s="175">
        <f>ROUND(AJ632*(1+IF(offer_incoterms="DDP",IF((TODAY()+offer_turnaround_time)&gt;=helpsheet!$L$17,rate_vatRU_from_26,rate_vatRu_till_25),0)),2)</f>
        <v/>
      </c>
      <c r="AN632" s="192">
        <f>AL632-AK632</f>
        <v/>
      </c>
      <c r="AO632" s="76">
        <f>SUM(AY632,Y632:Z632,T632)*IF(AND(offer_incoterms="DDP",offer_sale_type&lt;&gt;"экспорт"),IF((TODAY()+offer_turnaround_time)&gt;=helpsheet!$L$17,rate_vatRU_from_26,rate_vatRu_till_25),0)</f>
        <v/>
      </c>
      <c r="AP632" s="193">
        <f>AN632-AO632</f>
        <v/>
      </c>
      <c r="AQ632" s="118">
        <f>IF(offer_sale_type="транзит",SUM(AF632:AI632,BA632,BB632),0)</f>
        <v/>
      </c>
      <c r="AR632" s="82">
        <f>HYPERLINK("https://www.alta.ru/tnved/code/")&amp;W632&amp;"/"</f>
        <v/>
      </c>
      <c r="AS632" s="157" t="n"/>
      <c r="AT632" s="162" t="n"/>
      <c r="AU632" s="76">
        <f>IF(ISBLANK(AT632),0,AJ632-AT632)</f>
        <v/>
      </c>
      <c r="AV632" s="157" t="n"/>
      <c r="AW632" s="75">
        <f>_xlfn.IFNA(VLOOKUP(L632,list_vat[],3,FALSE),0)</f>
        <v/>
      </c>
      <c r="AX632" s="76">
        <f>IFERROR(ROUND(S632*(1+AW632)/E632,2),0)</f>
        <v/>
      </c>
      <c r="AY632" s="76">
        <f>E632*AX632</f>
        <v/>
      </c>
      <c r="AZ632" s="192">
        <f>S632*(1+M632)</f>
        <v/>
      </c>
      <c r="BA632" s="76">
        <f>cost_fin_total*$BD632</f>
        <v/>
      </c>
      <c r="BB632" s="193">
        <f>credit_sales_interest*BD632</f>
        <v/>
      </c>
      <c r="BC632" s="102">
        <f>IFERROR(IF($I$13&gt;0,$I632/$I$13,$S632/$S$13),0)</f>
        <v/>
      </c>
      <c r="BD632" s="102">
        <f>IFERROR($S632/$S$13,0)</f>
        <v/>
      </c>
      <c r="BE632" s="413" t="inlineStr">
        <is>
          <t>$</t>
        </is>
      </c>
    </row>
    <row r="633" ht="12" customFormat="1" customHeight="1" s="65">
      <c r="A633" s="43" t="n">
        <v>618</v>
      </c>
      <c r="B633" s="166" t="n"/>
      <c r="C633" s="166" t="n"/>
      <c r="D633" s="166" t="n"/>
      <c r="E633" s="162" t="n"/>
      <c r="F633" s="166" t="n"/>
      <c r="G633" s="162" t="n"/>
      <c r="H633" s="162" t="n"/>
      <c r="I633" s="189">
        <f>E633*G633</f>
        <v/>
      </c>
      <c r="J633" s="195" t="n"/>
      <c r="K633" s="162" t="n"/>
      <c r="L633" s="168" t="n"/>
      <c r="M633" s="75">
        <f>_xlfn.XLOOKUP(L633,list_vat[Страна],list_vat[Ставка НДС %],0,0)</f>
        <v/>
      </c>
      <c r="N633" s="162">
        <f>IFERROR(IF(L633="Китай",K633,K633/(1+M633)),0)</f>
        <v/>
      </c>
      <c r="O633" s="169" t="n"/>
      <c r="P633" s="76">
        <f>N633*(1-O633)</f>
        <v/>
      </c>
      <c r="Q633" s="162" t="n"/>
      <c r="R633" s="162">
        <f>IF(ISBLANK(Q633),"введи курс",P633/Q633)</f>
        <v/>
      </c>
      <c r="S633" s="196">
        <f>IF(AND(ISNUMBER(E633),ISNUMBER(Q633)),E633*R633,0)</f>
        <v/>
      </c>
      <c r="T633" s="192">
        <f>$BC633*V$11</f>
        <v/>
      </c>
      <c r="U633" s="76">
        <f>$BC633*W$11</f>
        <v/>
      </c>
      <c r="V633" s="193">
        <f>+SUM(T633:U633)</f>
        <v/>
      </c>
      <c r="W633" s="191" t="n"/>
      <c r="X633" s="170" t="n"/>
      <c r="Y633" s="76">
        <f>ROUND(IF(offer_incoterms="DDP",X633*(S633*(1+AW633)+T633),0),2)</f>
        <v/>
      </c>
      <c r="Z633" s="188" t="n"/>
      <c r="AA633" s="192">
        <f>IFERROR(AB633/E633,0)</f>
        <v/>
      </c>
      <c r="AB633" s="76">
        <f>ROUND(SUM(S633,V633,Y633:Z633,BA633:BB633),2)</f>
        <v/>
      </c>
      <c r="AC633" s="797" t="n"/>
      <c r="AD633" s="192">
        <f t="array" ref="AD633">IFERROR(ROUND((_xlfn.IFS(offer_sale_type="поставка",AB633,offer_sale_type="транзит",S633)*(1+AC633))/E633,2),0)</f>
        <v/>
      </c>
      <c r="AE633" s="76">
        <f>AD633*E633</f>
        <v/>
      </c>
      <c r="AF633" s="193">
        <f t="array" ref="AF633">IFERROR(ROUND(_xlfn.IFS(offer_sale_type="поставка",AB633,offer_sale_type="транзит",S633)*AC633,2),0)</f>
        <v/>
      </c>
      <c r="AG633" s="192">
        <f>$BD633*VLOOKUP($AG$3,$AF$4:$AG$7,2,FALSE)</f>
        <v/>
      </c>
      <c r="AH633" s="76">
        <f>SUM(AE633,AG633,AI633)*rate_forex_risk</f>
        <v/>
      </c>
      <c r="AI633" s="193">
        <f>IF(OR(seller_region="TR",offer_sale_type="экспорт"),0,rate_fin_comm)*SUM(AZ633,AZ633*AW633,T633)</f>
        <v/>
      </c>
      <c r="AJ633" s="118">
        <f>IFERROR(ROUND(SUM(AB633,AF633:AI633)/E633,2),0)</f>
        <v/>
      </c>
      <c r="AK633" s="76">
        <f>AJ633*E633</f>
        <v/>
      </c>
      <c r="AL633" s="174">
        <f>ROUND(IFERROR(AM633*E633,0),2)</f>
        <v/>
      </c>
      <c r="AM633" s="175">
        <f>ROUND(AJ633*(1+IF(offer_incoterms="DDP",IF((TODAY()+offer_turnaround_time)&gt;=helpsheet!$L$17,rate_vatRU_from_26,rate_vatRu_till_25),0)),2)</f>
        <v/>
      </c>
      <c r="AN633" s="192">
        <f>AL633-AK633</f>
        <v/>
      </c>
      <c r="AO633" s="76">
        <f>SUM(AY633,Y633:Z633,T633)*IF(AND(offer_incoterms="DDP",offer_sale_type&lt;&gt;"экспорт"),IF((TODAY()+offer_turnaround_time)&gt;=helpsheet!$L$17,rate_vatRU_from_26,rate_vatRu_till_25),0)</f>
        <v/>
      </c>
      <c r="AP633" s="193">
        <f>AN633-AO633</f>
        <v/>
      </c>
      <c r="AQ633" s="118">
        <f>IF(offer_sale_type="транзит",SUM(AF633:AI633,BA633,BB633),0)</f>
        <v/>
      </c>
      <c r="AR633" s="82">
        <f>HYPERLINK("https://www.alta.ru/tnved/code/")&amp;W633&amp;"/"</f>
        <v/>
      </c>
      <c r="AS633" s="157" t="n"/>
      <c r="AT633" s="162" t="n"/>
      <c r="AU633" s="76">
        <f>IF(ISBLANK(AT633),0,AJ633-AT633)</f>
        <v/>
      </c>
      <c r="AV633" s="157" t="n"/>
      <c r="AW633" s="75">
        <f>_xlfn.IFNA(VLOOKUP(L633,list_vat[],3,FALSE),0)</f>
        <v/>
      </c>
      <c r="AX633" s="76">
        <f>IFERROR(ROUND(S633*(1+AW633)/E633,2),0)</f>
        <v/>
      </c>
      <c r="AY633" s="76">
        <f>E633*AX633</f>
        <v/>
      </c>
      <c r="AZ633" s="192">
        <f>S633*(1+M633)</f>
        <v/>
      </c>
      <c r="BA633" s="76">
        <f>cost_fin_total*$BD633</f>
        <v/>
      </c>
      <c r="BB633" s="193">
        <f>credit_sales_interest*BD633</f>
        <v/>
      </c>
      <c r="BC633" s="102">
        <f>IFERROR(IF($I$13&gt;0,$I633/$I$13,$S633/$S$13),0)</f>
        <v/>
      </c>
      <c r="BD633" s="102">
        <f>IFERROR($S633/$S$13,0)</f>
        <v/>
      </c>
      <c r="BE633" s="413" t="inlineStr">
        <is>
          <t>$</t>
        </is>
      </c>
    </row>
    <row r="634" ht="12" customFormat="1" customHeight="1" s="65">
      <c r="A634" s="43" t="n">
        <v>619</v>
      </c>
      <c r="B634" s="166" t="n"/>
      <c r="C634" s="166" t="n"/>
      <c r="D634" s="166" t="n"/>
      <c r="E634" s="162" t="n"/>
      <c r="F634" s="166" t="n"/>
      <c r="G634" s="162" t="n"/>
      <c r="H634" s="162" t="n"/>
      <c r="I634" s="189">
        <f>E634*G634</f>
        <v/>
      </c>
      <c r="J634" s="195" t="n"/>
      <c r="K634" s="162" t="n"/>
      <c r="L634" s="168" t="n"/>
      <c r="M634" s="75">
        <f>_xlfn.XLOOKUP(L634,list_vat[Страна],list_vat[Ставка НДС %],0,0)</f>
        <v/>
      </c>
      <c r="N634" s="162">
        <f>IFERROR(IF(L634="Китай",K634,K634/(1+M634)),0)</f>
        <v/>
      </c>
      <c r="O634" s="169" t="n"/>
      <c r="P634" s="76">
        <f>N634*(1-O634)</f>
        <v/>
      </c>
      <c r="Q634" s="162" t="n"/>
      <c r="R634" s="162">
        <f>IF(ISBLANK(Q634),"введи курс",P634/Q634)</f>
        <v/>
      </c>
      <c r="S634" s="196">
        <f>IF(AND(ISNUMBER(E634),ISNUMBER(Q634)),E634*R634,0)</f>
        <v/>
      </c>
      <c r="T634" s="192">
        <f>$BC634*V$11</f>
        <v/>
      </c>
      <c r="U634" s="76">
        <f>$BC634*W$11</f>
        <v/>
      </c>
      <c r="V634" s="193">
        <f>+SUM(T634:U634)</f>
        <v/>
      </c>
      <c r="W634" s="191" t="n"/>
      <c r="X634" s="170" t="n"/>
      <c r="Y634" s="76">
        <f>ROUND(IF(offer_incoterms="DDP",X634*(S634*(1+AW634)+T634),0),2)</f>
        <v/>
      </c>
      <c r="Z634" s="188" t="n"/>
      <c r="AA634" s="192">
        <f>IFERROR(AB634/E634,0)</f>
        <v/>
      </c>
      <c r="AB634" s="76">
        <f>ROUND(SUM(S634,V634,Y634:Z634,BA634:BB634),2)</f>
        <v/>
      </c>
      <c r="AC634" s="797" t="n"/>
      <c r="AD634" s="192">
        <f t="array" ref="AD634">IFERROR(ROUND((_xlfn.IFS(offer_sale_type="поставка",AB634,offer_sale_type="транзит",S634)*(1+AC634))/E634,2),0)</f>
        <v/>
      </c>
      <c r="AE634" s="76">
        <f>AD634*E634</f>
        <v/>
      </c>
      <c r="AF634" s="193">
        <f t="array" ref="AF634">IFERROR(ROUND(_xlfn.IFS(offer_sale_type="поставка",AB634,offer_sale_type="транзит",S634)*AC634,2),0)</f>
        <v/>
      </c>
      <c r="AG634" s="192">
        <f>$BD634*VLOOKUP($AG$3,$AF$4:$AG$7,2,FALSE)</f>
        <v/>
      </c>
      <c r="AH634" s="76">
        <f>SUM(AE634,AG634,AI634)*rate_forex_risk</f>
        <v/>
      </c>
      <c r="AI634" s="193">
        <f>IF(OR(seller_region="TR",offer_sale_type="экспорт"),0,rate_fin_comm)*SUM(AZ634,AZ634*AW634,T634)</f>
        <v/>
      </c>
      <c r="AJ634" s="118">
        <f>IFERROR(ROUND(SUM(AB634,AF634:AI634)/E634,2),0)</f>
        <v/>
      </c>
      <c r="AK634" s="76">
        <f>AJ634*E634</f>
        <v/>
      </c>
      <c r="AL634" s="174">
        <f>ROUND(IFERROR(AM634*E634,0),2)</f>
        <v/>
      </c>
      <c r="AM634" s="175">
        <f>ROUND(AJ634*(1+IF(offer_incoterms="DDP",IF((TODAY()+offer_turnaround_time)&gt;=helpsheet!$L$17,rate_vatRU_from_26,rate_vatRu_till_25),0)),2)</f>
        <v/>
      </c>
      <c r="AN634" s="192">
        <f>AL634-AK634</f>
        <v/>
      </c>
      <c r="AO634" s="76">
        <f>SUM(AY634,Y634:Z634,T634)*IF(AND(offer_incoterms="DDP",offer_sale_type&lt;&gt;"экспорт"),IF((TODAY()+offer_turnaround_time)&gt;=helpsheet!$L$17,rate_vatRU_from_26,rate_vatRu_till_25),0)</f>
        <v/>
      </c>
      <c r="AP634" s="193">
        <f>AN634-AO634</f>
        <v/>
      </c>
      <c r="AQ634" s="118">
        <f>IF(offer_sale_type="транзит",SUM(AF634:AI634,BA634,BB634),0)</f>
        <v/>
      </c>
      <c r="AR634" s="82">
        <f>HYPERLINK("https://www.alta.ru/tnved/code/")&amp;W634&amp;"/"</f>
        <v/>
      </c>
      <c r="AS634" s="157" t="n"/>
      <c r="AT634" s="162" t="n"/>
      <c r="AU634" s="76">
        <f>IF(ISBLANK(AT634),0,AJ634-AT634)</f>
        <v/>
      </c>
      <c r="AV634" s="157" t="n"/>
      <c r="AW634" s="75">
        <f>_xlfn.IFNA(VLOOKUP(L634,list_vat[],3,FALSE),0)</f>
        <v/>
      </c>
      <c r="AX634" s="76">
        <f>IFERROR(ROUND(S634*(1+AW634)/E634,2),0)</f>
        <v/>
      </c>
      <c r="AY634" s="76">
        <f>E634*AX634</f>
        <v/>
      </c>
      <c r="AZ634" s="192">
        <f>S634*(1+M634)</f>
        <v/>
      </c>
      <c r="BA634" s="76">
        <f>cost_fin_total*$BD634</f>
        <v/>
      </c>
      <c r="BB634" s="193">
        <f>credit_sales_interest*BD634</f>
        <v/>
      </c>
      <c r="BC634" s="102">
        <f>IFERROR(IF($I$13&gt;0,$I634/$I$13,$S634/$S$13),0)</f>
        <v/>
      </c>
      <c r="BD634" s="102">
        <f>IFERROR($S634/$S$13,0)</f>
        <v/>
      </c>
      <c r="BE634" s="413" t="inlineStr">
        <is>
          <t>$</t>
        </is>
      </c>
    </row>
    <row r="635" ht="12" customFormat="1" customHeight="1" s="65">
      <c r="A635" s="43" t="n">
        <v>620</v>
      </c>
      <c r="B635" s="166" t="n"/>
      <c r="C635" s="166" t="n"/>
      <c r="D635" s="166" t="n"/>
      <c r="E635" s="162" t="n"/>
      <c r="F635" s="166" t="n"/>
      <c r="G635" s="162" t="n"/>
      <c r="H635" s="162" t="n"/>
      <c r="I635" s="189">
        <f>E635*G635</f>
        <v/>
      </c>
      <c r="J635" s="195" t="n"/>
      <c r="K635" s="162" t="n"/>
      <c r="L635" s="168" t="n"/>
      <c r="M635" s="75">
        <f>_xlfn.XLOOKUP(L635,list_vat[Страна],list_vat[Ставка НДС %],0,0)</f>
        <v/>
      </c>
      <c r="N635" s="162">
        <f>IFERROR(IF(L635="Китай",K635,K635/(1+M635)),0)</f>
        <v/>
      </c>
      <c r="O635" s="169" t="n"/>
      <c r="P635" s="76">
        <f>N635*(1-O635)</f>
        <v/>
      </c>
      <c r="Q635" s="162" t="n"/>
      <c r="R635" s="162">
        <f>IF(ISBLANK(Q635),"введи курс",P635/Q635)</f>
        <v/>
      </c>
      <c r="S635" s="196">
        <f>IF(AND(ISNUMBER(E635),ISNUMBER(Q635)),E635*R635,0)</f>
        <v/>
      </c>
      <c r="T635" s="192">
        <f>$BC635*V$11</f>
        <v/>
      </c>
      <c r="U635" s="76">
        <f>$BC635*W$11</f>
        <v/>
      </c>
      <c r="V635" s="193">
        <f>+SUM(T635:U635)</f>
        <v/>
      </c>
      <c r="W635" s="191" t="n"/>
      <c r="X635" s="170" t="n"/>
      <c r="Y635" s="76">
        <f>ROUND(IF(offer_incoterms="DDP",X635*(S635*(1+AW635)+T635),0),2)</f>
        <v/>
      </c>
      <c r="Z635" s="188" t="n"/>
      <c r="AA635" s="192">
        <f>IFERROR(AB635/E635,0)</f>
        <v/>
      </c>
      <c r="AB635" s="76">
        <f>ROUND(SUM(S635,V635,Y635:Z635,BA635:BB635),2)</f>
        <v/>
      </c>
      <c r="AC635" s="797" t="n"/>
      <c r="AD635" s="192">
        <f t="array" ref="AD635">IFERROR(ROUND((_xlfn.IFS(offer_sale_type="поставка",AB635,offer_sale_type="транзит",S635)*(1+AC635))/E635,2),0)</f>
        <v/>
      </c>
      <c r="AE635" s="76">
        <f>AD635*E635</f>
        <v/>
      </c>
      <c r="AF635" s="193">
        <f t="array" ref="AF635">IFERROR(ROUND(_xlfn.IFS(offer_sale_type="поставка",AB635,offer_sale_type="транзит",S635)*AC635,2),0)</f>
        <v/>
      </c>
      <c r="AG635" s="192">
        <f>$BD635*VLOOKUP($AG$3,$AF$4:$AG$7,2,FALSE)</f>
        <v/>
      </c>
      <c r="AH635" s="76">
        <f>SUM(AE635,AG635,AI635)*rate_forex_risk</f>
        <v/>
      </c>
      <c r="AI635" s="193">
        <f>IF(OR(seller_region="TR",offer_sale_type="экспорт"),0,rate_fin_comm)*SUM(AZ635,AZ635*AW635,T635)</f>
        <v/>
      </c>
      <c r="AJ635" s="118">
        <f>IFERROR(ROUND(SUM(AB635,AF635:AI635)/E635,2),0)</f>
        <v/>
      </c>
      <c r="AK635" s="76">
        <f>AJ635*E635</f>
        <v/>
      </c>
      <c r="AL635" s="174">
        <f>ROUND(IFERROR(AM635*E635,0),2)</f>
        <v/>
      </c>
      <c r="AM635" s="175">
        <f>ROUND(AJ635*(1+IF(offer_incoterms="DDP",IF((TODAY()+offer_turnaround_time)&gt;=helpsheet!$L$17,rate_vatRU_from_26,rate_vatRu_till_25),0)),2)</f>
        <v/>
      </c>
      <c r="AN635" s="192">
        <f>AL635-AK635</f>
        <v/>
      </c>
      <c r="AO635" s="76">
        <f>SUM(AY635,Y635:Z635,T635)*IF(AND(offer_incoterms="DDP",offer_sale_type&lt;&gt;"экспорт"),IF((TODAY()+offer_turnaround_time)&gt;=helpsheet!$L$17,rate_vatRU_from_26,rate_vatRu_till_25),0)</f>
        <v/>
      </c>
      <c r="AP635" s="193">
        <f>AN635-AO635</f>
        <v/>
      </c>
      <c r="AQ635" s="118">
        <f>IF(offer_sale_type="транзит",SUM(AF635:AI635,BA635,BB635),0)</f>
        <v/>
      </c>
      <c r="AR635" s="82">
        <f>HYPERLINK("https://www.alta.ru/tnved/code/")&amp;W635&amp;"/"</f>
        <v/>
      </c>
      <c r="AS635" s="157" t="n"/>
      <c r="AT635" s="162" t="n"/>
      <c r="AU635" s="76">
        <f>IF(ISBLANK(AT635),0,AJ635-AT635)</f>
        <v/>
      </c>
      <c r="AV635" s="157" t="n"/>
      <c r="AW635" s="75">
        <f>_xlfn.IFNA(VLOOKUP(L635,list_vat[],3,FALSE),0)</f>
        <v/>
      </c>
      <c r="AX635" s="76">
        <f>IFERROR(ROUND(S635*(1+AW635)/E635,2),0)</f>
        <v/>
      </c>
      <c r="AY635" s="76">
        <f>E635*AX635</f>
        <v/>
      </c>
      <c r="AZ635" s="192">
        <f>S635*(1+M635)</f>
        <v/>
      </c>
      <c r="BA635" s="76">
        <f>cost_fin_total*$BD635</f>
        <v/>
      </c>
      <c r="BB635" s="193">
        <f>credit_sales_interest*BD635</f>
        <v/>
      </c>
      <c r="BC635" s="102">
        <f>IFERROR(IF($I$13&gt;0,$I635/$I$13,$S635/$S$13),0)</f>
        <v/>
      </c>
      <c r="BD635" s="102">
        <f>IFERROR($S635/$S$13,0)</f>
        <v/>
      </c>
      <c r="BE635" s="413" t="inlineStr">
        <is>
          <t>$</t>
        </is>
      </c>
    </row>
    <row r="636" ht="12" customFormat="1" customHeight="1" s="65">
      <c r="A636" s="43" t="n">
        <v>621</v>
      </c>
      <c r="B636" s="166" t="n"/>
      <c r="C636" s="166" t="n"/>
      <c r="D636" s="166" t="n"/>
      <c r="E636" s="162" t="n"/>
      <c r="F636" s="166" t="n"/>
      <c r="G636" s="162" t="n"/>
      <c r="H636" s="162" t="n"/>
      <c r="I636" s="189">
        <f>E636*G636</f>
        <v/>
      </c>
      <c r="J636" s="195" t="n"/>
      <c r="K636" s="162" t="n"/>
      <c r="L636" s="168" t="n"/>
      <c r="M636" s="75">
        <f>_xlfn.XLOOKUP(L636,list_vat[Страна],list_vat[Ставка НДС %],0,0)</f>
        <v/>
      </c>
      <c r="N636" s="162">
        <f>IFERROR(IF(L636="Китай",K636,K636/(1+M636)),0)</f>
        <v/>
      </c>
      <c r="O636" s="169" t="n"/>
      <c r="P636" s="76">
        <f>N636*(1-O636)</f>
        <v/>
      </c>
      <c r="Q636" s="162" t="n"/>
      <c r="R636" s="162">
        <f>IF(ISBLANK(Q636),"введи курс",P636/Q636)</f>
        <v/>
      </c>
      <c r="S636" s="196">
        <f>IF(AND(ISNUMBER(E636),ISNUMBER(Q636)),E636*R636,0)</f>
        <v/>
      </c>
      <c r="T636" s="192">
        <f>$BC636*V$11</f>
        <v/>
      </c>
      <c r="U636" s="76">
        <f>$BC636*W$11</f>
        <v/>
      </c>
      <c r="V636" s="193">
        <f>+SUM(T636:U636)</f>
        <v/>
      </c>
      <c r="W636" s="191" t="n"/>
      <c r="X636" s="170" t="n"/>
      <c r="Y636" s="76">
        <f>ROUND(IF(offer_incoterms="DDP",X636*(S636*(1+AW636)+T636),0),2)</f>
        <v/>
      </c>
      <c r="Z636" s="188" t="n"/>
      <c r="AA636" s="192">
        <f>IFERROR(AB636/E636,0)</f>
        <v/>
      </c>
      <c r="AB636" s="76">
        <f>ROUND(SUM(S636,V636,Y636:Z636,BA636:BB636),2)</f>
        <v/>
      </c>
      <c r="AC636" s="797" t="n"/>
      <c r="AD636" s="192">
        <f t="array" ref="AD636">IFERROR(ROUND((_xlfn.IFS(offer_sale_type="поставка",AB636,offer_sale_type="транзит",S636)*(1+AC636))/E636,2),0)</f>
        <v/>
      </c>
      <c r="AE636" s="76">
        <f>AD636*E636</f>
        <v/>
      </c>
      <c r="AF636" s="193">
        <f t="array" ref="AF636">IFERROR(ROUND(_xlfn.IFS(offer_sale_type="поставка",AB636,offer_sale_type="транзит",S636)*AC636,2),0)</f>
        <v/>
      </c>
      <c r="AG636" s="192">
        <f>$BD636*VLOOKUP($AG$3,$AF$4:$AG$7,2,FALSE)</f>
        <v/>
      </c>
      <c r="AH636" s="76">
        <f>SUM(AE636,AG636,AI636)*rate_forex_risk</f>
        <v/>
      </c>
      <c r="AI636" s="193">
        <f>IF(OR(seller_region="TR",offer_sale_type="экспорт"),0,rate_fin_comm)*SUM(AZ636,AZ636*AW636,T636)</f>
        <v/>
      </c>
      <c r="AJ636" s="118">
        <f>IFERROR(ROUND(SUM(AB636,AF636:AI636)/E636,2),0)</f>
        <v/>
      </c>
      <c r="AK636" s="76">
        <f>AJ636*E636</f>
        <v/>
      </c>
      <c r="AL636" s="174">
        <f>ROUND(IFERROR(AM636*E636,0),2)</f>
        <v/>
      </c>
      <c r="AM636" s="175">
        <f>ROUND(AJ636*(1+IF(offer_incoterms="DDP",IF((TODAY()+offer_turnaround_time)&gt;=helpsheet!$L$17,rate_vatRU_from_26,rate_vatRu_till_25),0)),2)</f>
        <v/>
      </c>
      <c r="AN636" s="192">
        <f>AL636-AK636</f>
        <v/>
      </c>
      <c r="AO636" s="76">
        <f>SUM(AY636,Y636:Z636,T636)*IF(AND(offer_incoterms="DDP",offer_sale_type&lt;&gt;"экспорт"),IF((TODAY()+offer_turnaround_time)&gt;=helpsheet!$L$17,rate_vatRU_from_26,rate_vatRu_till_25),0)</f>
        <v/>
      </c>
      <c r="AP636" s="193">
        <f>AN636-AO636</f>
        <v/>
      </c>
      <c r="AQ636" s="118">
        <f>IF(offer_sale_type="транзит",SUM(AF636:AI636,BA636,BB636),0)</f>
        <v/>
      </c>
      <c r="AR636" s="82">
        <f>HYPERLINK("https://www.alta.ru/tnved/code/")&amp;W636&amp;"/"</f>
        <v/>
      </c>
      <c r="AS636" s="157" t="n"/>
      <c r="AT636" s="162" t="n"/>
      <c r="AU636" s="76">
        <f>IF(ISBLANK(AT636),0,AJ636-AT636)</f>
        <v/>
      </c>
      <c r="AV636" s="157" t="n"/>
      <c r="AW636" s="75">
        <f>_xlfn.IFNA(VLOOKUP(L636,list_vat[],3,FALSE),0)</f>
        <v/>
      </c>
      <c r="AX636" s="76">
        <f>IFERROR(ROUND(S636*(1+AW636)/E636,2),0)</f>
        <v/>
      </c>
      <c r="AY636" s="76">
        <f>E636*AX636</f>
        <v/>
      </c>
      <c r="AZ636" s="192">
        <f>S636*(1+M636)</f>
        <v/>
      </c>
      <c r="BA636" s="76">
        <f>cost_fin_total*$BD636</f>
        <v/>
      </c>
      <c r="BB636" s="193">
        <f>credit_sales_interest*BD636</f>
        <v/>
      </c>
      <c r="BC636" s="102">
        <f>IFERROR(IF($I$13&gt;0,$I636/$I$13,$S636/$S$13),0)</f>
        <v/>
      </c>
      <c r="BD636" s="102">
        <f>IFERROR($S636/$S$13,0)</f>
        <v/>
      </c>
      <c r="BE636" s="413" t="inlineStr">
        <is>
          <t>$</t>
        </is>
      </c>
    </row>
    <row r="637" ht="12" customFormat="1" customHeight="1" s="65">
      <c r="A637" s="43" t="n">
        <v>622</v>
      </c>
      <c r="B637" s="166" t="n"/>
      <c r="C637" s="166" t="n"/>
      <c r="D637" s="166" t="n"/>
      <c r="E637" s="162" t="n"/>
      <c r="F637" s="166" t="n"/>
      <c r="G637" s="162" t="n"/>
      <c r="H637" s="162" t="n"/>
      <c r="I637" s="189">
        <f>E637*G637</f>
        <v/>
      </c>
      <c r="J637" s="195" t="n"/>
      <c r="K637" s="162" t="n"/>
      <c r="L637" s="168" t="n"/>
      <c r="M637" s="75">
        <f>_xlfn.XLOOKUP(L637,list_vat[Страна],list_vat[Ставка НДС %],0,0)</f>
        <v/>
      </c>
      <c r="N637" s="162">
        <f>IFERROR(IF(L637="Китай",K637,K637/(1+M637)),0)</f>
        <v/>
      </c>
      <c r="O637" s="169" t="n"/>
      <c r="P637" s="76">
        <f>N637*(1-O637)</f>
        <v/>
      </c>
      <c r="Q637" s="162" t="n"/>
      <c r="R637" s="162">
        <f>IF(ISBLANK(Q637),"введи курс",P637/Q637)</f>
        <v/>
      </c>
      <c r="S637" s="196">
        <f>IF(AND(ISNUMBER(E637),ISNUMBER(Q637)),E637*R637,0)</f>
        <v/>
      </c>
      <c r="T637" s="192">
        <f>$BC637*V$11</f>
        <v/>
      </c>
      <c r="U637" s="76">
        <f>$BC637*W$11</f>
        <v/>
      </c>
      <c r="V637" s="193">
        <f>+SUM(T637:U637)</f>
        <v/>
      </c>
      <c r="W637" s="191" t="n"/>
      <c r="X637" s="170" t="n"/>
      <c r="Y637" s="76">
        <f>ROUND(IF(offer_incoterms="DDP",X637*(S637*(1+AW637)+T637),0),2)</f>
        <v/>
      </c>
      <c r="Z637" s="188" t="n"/>
      <c r="AA637" s="192">
        <f>IFERROR(AB637/E637,0)</f>
        <v/>
      </c>
      <c r="AB637" s="76">
        <f>ROUND(SUM(S637,V637,Y637:Z637,BA637:BB637),2)</f>
        <v/>
      </c>
      <c r="AC637" s="797" t="n"/>
      <c r="AD637" s="192">
        <f t="array" ref="AD637">IFERROR(ROUND((_xlfn.IFS(offer_sale_type="поставка",AB637,offer_sale_type="транзит",S637)*(1+AC637))/E637,2),0)</f>
        <v/>
      </c>
      <c r="AE637" s="76">
        <f>AD637*E637</f>
        <v/>
      </c>
      <c r="AF637" s="193">
        <f t="array" ref="AF637">IFERROR(ROUND(_xlfn.IFS(offer_sale_type="поставка",AB637,offer_sale_type="транзит",S637)*AC637,2),0)</f>
        <v/>
      </c>
      <c r="AG637" s="192">
        <f>$BD637*VLOOKUP($AG$3,$AF$4:$AG$7,2,FALSE)</f>
        <v/>
      </c>
      <c r="AH637" s="76">
        <f>SUM(AE637,AG637,AI637)*rate_forex_risk</f>
        <v/>
      </c>
      <c r="AI637" s="193">
        <f>IF(OR(seller_region="TR",offer_sale_type="экспорт"),0,rate_fin_comm)*SUM(AZ637,AZ637*AW637,T637)</f>
        <v/>
      </c>
      <c r="AJ637" s="118">
        <f>IFERROR(ROUND(SUM(AB637,AF637:AI637)/E637,2),0)</f>
        <v/>
      </c>
      <c r="AK637" s="76">
        <f>AJ637*E637</f>
        <v/>
      </c>
      <c r="AL637" s="174">
        <f>ROUND(IFERROR(AM637*E637,0),2)</f>
        <v/>
      </c>
      <c r="AM637" s="175">
        <f>ROUND(AJ637*(1+IF(offer_incoterms="DDP",IF((TODAY()+offer_turnaround_time)&gt;=helpsheet!$L$17,rate_vatRU_from_26,rate_vatRu_till_25),0)),2)</f>
        <v/>
      </c>
      <c r="AN637" s="192">
        <f>AL637-AK637</f>
        <v/>
      </c>
      <c r="AO637" s="76">
        <f>SUM(AY637,Y637:Z637,T637)*IF(AND(offer_incoterms="DDP",offer_sale_type&lt;&gt;"экспорт"),IF((TODAY()+offer_turnaround_time)&gt;=helpsheet!$L$17,rate_vatRU_from_26,rate_vatRu_till_25),0)</f>
        <v/>
      </c>
      <c r="AP637" s="193">
        <f>AN637-AO637</f>
        <v/>
      </c>
      <c r="AQ637" s="118">
        <f>IF(offer_sale_type="транзит",SUM(AF637:AI637,BA637,BB637),0)</f>
        <v/>
      </c>
      <c r="AR637" s="82">
        <f>HYPERLINK("https://www.alta.ru/tnved/code/")&amp;W637&amp;"/"</f>
        <v/>
      </c>
      <c r="AS637" s="157" t="n"/>
      <c r="AT637" s="162" t="n"/>
      <c r="AU637" s="76">
        <f>IF(ISBLANK(AT637),0,AJ637-AT637)</f>
        <v/>
      </c>
      <c r="AV637" s="157" t="n"/>
      <c r="AW637" s="75">
        <f>_xlfn.IFNA(VLOOKUP(L637,list_vat[],3,FALSE),0)</f>
        <v/>
      </c>
      <c r="AX637" s="76">
        <f>IFERROR(ROUND(S637*(1+AW637)/E637,2),0)</f>
        <v/>
      </c>
      <c r="AY637" s="76">
        <f>E637*AX637</f>
        <v/>
      </c>
      <c r="AZ637" s="192">
        <f>S637*(1+M637)</f>
        <v/>
      </c>
      <c r="BA637" s="76">
        <f>cost_fin_total*$BD637</f>
        <v/>
      </c>
      <c r="BB637" s="193">
        <f>credit_sales_interest*BD637</f>
        <v/>
      </c>
      <c r="BC637" s="102">
        <f>IFERROR(IF($I$13&gt;0,$I637/$I$13,$S637/$S$13),0)</f>
        <v/>
      </c>
      <c r="BD637" s="102">
        <f>IFERROR($S637/$S$13,0)</f>
        <v/>
      </c>
      <c r="BE637" s="413" t="inlineStr">
        <is>
          <t>$</t>
        </is>
      </c>
    </row>
    <row r="638" ht="12" customFormat="1" customHeight="1" s="65">
      <c r="A638" s="43" t="n">
        <v>623</v>
      </c>
      <c r="B638" s="166" t="n"/>
      <c r="C638" s="166" t="n"/>
      <c r="D638" s="166" t="n"/>
      <c r="E638" s="162" t="n"/>
      <c r="F638" s="166" t="n"/>
      <c r="G638" s="162" t="n"/>
      <c r="H638" s="162" t="n"/>
      <c r="I638" s="189">
        <f>E638*G638</f>
        <v/>
      </c>
      <c r="J638" s="195" t="n"/>
      <c r="K638" s="162" t="n"/>
      <c r="L638" s="168" t="n"/>
      <c r="M638" s="75">
        <f>_xlfn.XLOOKUP(L638,list_vat[Страна],list_vat[Ставка НДС %],0,0)</f>
        <v/>
      </c>
      <c r="N638" s="162">
        <f>IFERROR(IF(L638="Китай",K638,K638/(1+M638)),0)</f>
        <v/>
      </c>
      <c r="O638" s="169" t="n"/>
      <c r="P638" s="76">
        <f>N638*(1-O638)</f>
        <v/>
      </c>
      <c r="Q638" s="162" t="n"/>
      <c r="R638" s="162">
        <f>IF(ISBLANK(Q638),"введи курс",P638/Q638)</f>
        <v/>
      </c>
      <c r="S638" s="196">
        <f>IF(AND(ISNUMBER(E638),ISNUMBER(Q638)),E638*R638,0)</f>
        <v/>
      </c>
      <c r="T638" s="192">
        <f>$BC638*V$11</f>
        <v/>
      </c>
      <c r="U638" s="76">
        <f>$BC638*W$11</f>
        <v/>
      </c>
      <c r="V638" s="193">
        <f>+SUM(T638:U638)</f>
        <v/>
      </c>
      <c r="W638" s="191" t="n"/>
      <c r="X638" s="170" t="n"/>
      <c r="Y638" s="76">
        <f>ROUND(IF(offer_incoterms="DDP",X638*(S638*(1+AW638)+T638),0),2)</f>
        <v/>
      </c>
      <c r="Z638" s="188" t="n"/>
      <c r="AA638" s="192">
        <f>IFERROR(AB638/E638,0)</f>
        <v/>
      </c>
      <c r="AB638" s="76">
        <f>ROUND(SUM(S638,V638,Y638:Z638,BA638:BB638),2)</f>
        <v/>
      </c>
      <c r="AC638" s="797" t="n"/>
      <c r="AD638" s="192">
        <f t="array" ref="AD638">IFERROR(ROUND((_xlfn.IFS(offer_sale_type="поставка",AB638,offer_sale_type="транзит",S638)*(1+AC638))/E638,2),0)</f>
        <v/>
      </c>
      <c r="AE638" s="76">
        <f>AD638*E638</f>
        <v/>
      </c>
      <c r="AF638" s="193">
        <f t="array" ref="AF638">IFERROR(ROUND(_xlfn.IFS(offer_sale_type="поставка",AB638,offer_sale_type="транзит",S638)*AC638,2),0)</f>
        <v/>
      </c>
      <c r="AG638" s="192">
        <f>$BD638*VLOOKUP($AG$3,$AF$4:$AG$7,2,FALSE)</f>
        <v/>
      </c>
      <c r="AH638" s="76">
        <f>SUM(AE638,AG638,AI638)*rate_forex_risk</f>
        <v/>
      </c>
      <c r="AI638" s="193">
        <f>IF(OR(seller_region="TR",offer_sale_type="экспорт"),0,rate_fin_comm)*SUM(AZ638,AZ638*AW638,T638)</f>
        <v/>
      </c>
      <c r="AJ638" s="118">
        <f>IFERROR(ROUND(SUM(AB638,AF638:AI638)/E638,2),0)</f>
        <v/>
      </c>
      <c r="AK638" s="76">
        <f>AJ638*E638</f>
        <v/>
      </c>
      <c r="AL638" s="174">
        <f>ROUND(IFERROR(AM638*E638,0),2)</f>
        <v/>
      </c>
      <c r="AM638" s="175">
        <f>ROUND(AJ638*(1+IF(offer_incoterms="DDP",IF((TODAY()+offer_turnaround_time)&gt;=helpsheet!$L$17,rate_vatRU_from_26,rate_vatRu_till_25),0)),2)</f>
        <v/>
      </c>
      <c r="AN638" s="192">
        <f>AL638-AK638</f>
        <v/>
      </c>
      <c r="AO638" s="76">
        <f>SUM(AY638,Y638:Z638,T638)*IF(AND(offer_incoterms="DDP",offer_sale_type&lt;&gt;"экспорт"),IF((TODAY()+offer_turnaround_time)&gt;=helpsheet!$L$17,rate_vatRU_from_26,rate_vatRu_till_25),0)</f>
        <v/>
      </c>
      <c r="AP638" s="193">
        <f>AN638-AO638</f>
        <v/>
      </c>
      <c r="AQ638" s="118">
        <f>IF(offer_sale_type="транзит",SUM(AF638:AI638,BA638,BB638),0)</f>
        <v/>
      </c>
      <c r="AR638" s="82">
        <f>HYPERLINK("https://www.alta.ru/tnved/code/")&amp;W638&amp;"/"</f>
        <v/>
      </c>
      <c r="AS638" s="157" t="n"/>
      <c r="AT638" s="162" t="n"/>
      <c r="AU638" s="76">
        <f>IF(ISBLANK(AT638),0,AJ638-AT638)</f>
        <v/>
      </c>
      <c r="AV638" s="157" t="n"/>
      <c r="AW638" s="75">
        <f>_xlfn.IFNA(VLOOKUP(L638,list_vat[],3,FALSE),0)</f>
        <v/>
      </c>
      <c r="AX638" s="76">
        <f>IFERROR(ROUND(S638*(1+AW638)/E638,2),0)</f>
        <v/>
      </c>
      <c r="AY638" s="76">
        <f>E638*AX638</f>
        <v/>
      </c>
      <c r="AZ638" s="192">
        <f>S638*(1+M638)</f>
        <v/>
      </c>
      <c r="BA638" s="76">
        <f>cost_fin_total*$BD638</f>
        <v/>
      </c>
      <c r="BB638" s="193">
        <f>credit_sales_interest*BD638</f>
        <v/>
      </c>
      <c r="BC638" s="102">
        <f>IFERROR(IF($I$13&gt;0,$I638/$I$13,$S638/$S$13),0)</f>
        <v/>
      </c>
      <c r="BD638" s="102">
        <f>IFERROR($S638/$S$13,0)</f>
        <v/>
      </c>
      <c r="BE638" s="413" t="inlineStr">
        <is>
          <t>$</t>
        </is>
      </c>
    </row>
    <row r="639" ht="12" customFormat="1" customHeight="1" s="65">
      <c r="A639" s="43" t="n">
        <v>624</v>
      </c>
      <c r="B639" s="166" t="n"/>
      <c r="C639" s="166" t="n"/>
      <c r="D639" s="166" t="n"/>
      <c r="E639" s="162" t="n"/>
      <c r="F639" s="166" t="n"/>
      <c r="G639" s="162" t="n"/>
      <c r="H639" s="162" t="n"/>
      <c r="I639" s="189">
        <f>E639*G639</f>
        <v/>
      </c>
      <c r="J639" s="195" t="n"/>
      <c r="K639" s="162" t="n"/>
      <c r="L639" s="168" t="n"/>
      <c r="M639" s="75">
        <f>_xlfn.XLOOKUP(L639,list_vat[Страна],list_vat[Ставка НДС %],0,0)</f>
        <v/>
      </c>
      <c r="N639" s="162">
        <f>IFERROR(IF(L639="Китай",K639,K639/(1+M639)),0)</f>
        <v/>
      </c>
      <c r="O639" s="169" t="n"/>
      <c r="P639" s="76">
        <f>N639*(1-O639)</f>
        <v/>
      </c>
      <c r="Q639" s="162" t="n"/>
      <c r="R639" s="162">
        <f>IF(ISBLANK(Q639),"введи курс",P639/Q639)</f>
        <v/>
      </c>
      <c r="S639" s="196">
        <f>IF(AND(ISNUMBER(E639),ISNUMBER(Q639)),E639*R639,0)</f>
        <v/>
      </c>
      <c r="T639" s="192">
        <f>$BC639*V$11</f>
        <v/>
      </c>
      <c r="U639" s="76">
        <f>$BC639*W$11</f>
        <v/>
      </c>
      <c r="V639" s="193">
        <f>+SUM(T639:U639)</f>
        <v/>
      </c>
      <c r="W639" s="191" t="n"/>
      <c r="X639" s="170" t="n"/>
      <c r="Y639" s="76">
        <f>ROUND(IF(offer_incoterms="DDP",X639*(S639*(1+AW639)+T639),0),2)</f>
        <v/>
      </c>
      <c r="Z639" s="188" t="n"/>
      <c r="AA639" s="192">
        <f>IFERROR(AB639/E639,0)</f>
        <v/>
      </c>
      <c r="AB639" s="76">
        <f>ROUND(SUM(S639,V639,Y639:Z639,BA639:BB639),2)</f>
        <v/>
      </c>
      <c r="AC639" s="797" t="n"/>
      <c r="AD639" s="192">
        <f t="array" ref="AD639">IFERROR(ROUND((_xlfn.IFS(offer_sale_type="поставка",AB639,offer_sale_type="транзит",S639)*(1+AC639))/E639,2),0)</f>
        <v/>
      </c>
      <c r="AE639" s="76">
        <f>AD639*E639</f>
        <v/>
      </c>
      <c r="AF639" s="193">
        <f t="array" ref="AF639">IFERROR(ROUND(_xlfn.IFS(offer_sale_type="поставка",AB639,offer_sale_type="транзит",S639)*AC639,2),0)</f>
        <v/>
      </c>
      <c r="AG639" s="192">
        <f>$BD639*VLOOKUP($AG$3,$AF$4:$AG$7,2,FALSE)</f>
        <v/>
      </c>
      <c r="AH639" s="76">
        <f>SUM(AE639,AG639,AI639)*rate_forex_risk</f>
        <v/>
      </c>
      <c r="AI639" s="193">
        <f>IF(OR(seller_region="TR",offer_sale_type="экспорт"),0,rate_fin_comm)*SUM(AZ639,AZ639*AW639,T639)</f>
        <v/>
      </c>
      <c r="AJ639" s="118">
        <f>IFERROR(ROUND(SUM(AB639,AF639:AI639)/E639,2),0)</f>
        <v/>
      </c>
      <c r="AK639" s="76">
        <f>AJ639*E639</f>
        <v/>
      </c>
      <c r="AL639" s="174">
        <f>ROUND(IFERROR(AM639*E639,0),2)</f>
        <v/>
      </c>
      <c r="AM639" s="175">
        <f>ROUND(AJ639*(1+IF(offer_incoterms="DDP",IF((TODAY()+offer_turnaround_time)&gt;=helpsheet!$L$17,rate_vatRU_from_26,rate_vatRu_till_25),0)),2)</f>
        <v/>
      </c>
      <c r="AN639" s="192">
        <f>AL639-AK639</f>
        <v/>
      </c>
      <c r="AO639" s="76">
        <f>SUM(AY639,Y639:Z639,T639)*IF(AND(offer_incoterms="DDP",offer_sale_type&lt;&gt;"экспорт"),IF((TODAY()+offer_turnaround_time)&gt;=helpsheet!$L$17,rate_vatRU_from_26,rate_vatRu_till_25),0)</f>
        <v/>
      </c>
      <c r="AP639" s="193">
        <f>AN639-AO639</f>
        <v/>
      </c>
      <c r="AQ639" s="118">
        <f>IF(offer_sale_type="транзит",SUM(AF639:AI639,BA639,BB639),0)</f>
        <v/>
      </c>
      <c r="AR639" s="82">
        <f>HYPERLINK("https://www.alta.ru/tnved/code/")&amp;W639&amp;"/"</f>
        <v/>
      </c>
      <c r="AS639" s="157" t="n"/>
      <c r="AT639" s="162" t="n"/>
      <c r="AU639" s="76">
        <f>IF(ISBLANK(AT639),0,AJ639-AT639)</f>
        <v/>
      </c>
      <c r="AV639" s="157" t="n"/>
      <c r="AW639" s="75">
        <f>_xlfn.IFNA(VLOOKUP(L639,list_vat[],3,FALSE),0)</f>
        <v/>
      </c>
      <c r="AX639" s="76">
        <f>IFERROR(ROUND(S639*(1+AW639)/E639,2),0)</f>
        <v/>
      </c>
      <c r="AY639" s="76">
        <f>E639*AX639</f>
        <v/>
      </c>
      <c r="AZ639" s="192">
        <f>S639*(1+M639)</f>
        <v/>
      </c>
      <c r="BA639" s="76">
        <f>cost_fin_total*$BD639</f>
        <v/>
      </c>
      <c r="BB639" s="193">
        <f>credit_sales_interest*BD639</f>
        <v/>
      </c>
      <c r="BC639" s="102">
        <f>IFERROR(IF($I$13&gt;0,$I639/$I$13,$S639/$S$13),0)</f>
        <v/>
      </c>
      <c r="BD639" s="102">
        <f>IFERROR($S639/$S$13,0)</f>
        <v/>
      </c>
      <c r="BE639" s="413" t="inlineStr">
        <is>
          <t>$</t>
        </is>
      </c>
    </row>
    <row r="640" ht="12" customFormat="1" customHeight="1" s="65">
      <c r="A640" s="43" t="n">
        <v>625</v>
      </c>
      <c r="B640" s="166" t="n"/>
      <c r="C640" s="166" t="n"/>
      <c r="D640" s="166" t="n"/>
      <c r="E640" s="162" t="n"/>
      <c r="F640" s="166" t="n"/>
      <c r="G640" s="162" t="n"/>
      <c r="H640" s="162" t="n"/>
      <c r="I640" s="189">
        <f>E640*G640</f>
        <v/>
      </c>
      <c r="J640" s="195" t="n"/>
      <c r="K640" s="162" t="n"/>
      <c r="L640" s="168" t="n"/>
      <c r="M640" s="75">
        <f>_xlfn.XLOOKUP(L640,list_vat[Страна],list_vat[Ставка НДС %],0,0)</f>
        <v/>
      </c>
      <c r="N640" s="162">
        <f>IFERROR(IF(L640="Китай",K640,K640/(1+M640)),0)</f>
        <v/>
      </c>
      <c r="O640" s="169" t="n"/>
      <c r="P640" s="76">
        <f>N640*(1-O640)</f>
        <v/>
      </c>
      <c r="Q640" s="162" t="n"/>
      <c r="R640" s="162">
        <f>IF(ISBLANK(Q640),"введи курс",P640/Q640)</f>
        <v/>
      </c>
      <c r="S640" s="196">
        <f>IF(AND(ISNUMBER(E640),ISNUMBER(Q640)),E640*R640,0)</f>
        <v/>
      </c>
      <c r="T640" s="192">
        <f>$BC640*V$11</f>
        <v/>
      </c>
      <c r="U640" s="76">
        <f>$BC640*W$11</f>
        <v/>
      </c>
      <c r="V640" s="193">
        <f>+SUM(T640:U640)</f>
        <v/>
      </c>
      <c r="W640" s="191" t="n"/>
      <c r="X640" s="170" t="n"/>
      <c r="Y640" s="76">
        <f>ROUND(IF(offer_incoterms="DDP",X640*(S640*(1+AW640)+T640),0),2)</f>
        <v/>
      </c>
      <c r="Z640" s="188" t="n"/>
      <c r="AA640" s="192">
        <f>IFERROR(AB640/E640,0)</f>
        <v/>
      </c>
      <c r="AB640" s="76">
        <f>ROUND(SUM(S640,V640,Y640:Z640,BA640:BB640),2)</f>
        <v/>
      </c>
      <c r="AC640" s="797" t="n"/>
      <c r="AD640" s="192">
        <f t="array" ref="AD640">IFERROR(ROUND((_xlfn.IFS(offer_sale_type="поставка",AB640,offer_sale_type="транзит",S640)*(1+AC640))/E640,2),0)</f>
        <v/>
      </c>
      <c r="AE640" s="76">
        <f>AD640*E640</f>
        <v/>
      </c>
      <c r="AF640" s="193">
        <f t="array" ref="AF640">IFERROR(ROUND(_xlfn.IFS(offer_sale_type="поставка",AB640,offer_sale_type="транзит",S640)*AC640,2),0)</f>
        <v/>
      </c>
      <c r="AG640" s="192">
        <f>$BD640*VLOOKUP($AG$3,$AF$4:$AG$7,2,FALSE)</f>
        <v/>
      </c>
      <c r="AH640" s="76">
        <f>SUM(AE640,AG640,AI640)*rate_forex_risk</f>
        <v/>
      </c>
      <c r="AI640" s="193">
        <f>IF(OR(seller_region="TR",offer_sale_type="экспорт"),0,rate_fin_comm)*SUM(AZ640,AZ640*AW640,T640)</f>
        <v/>
      </c>
      <c r="AJ640" s="118">
        <f>IFERROR(ROUND(SUM(AB640,AF640:AI640)/E640,2),0)</f>
        <v/>
      </c>
      <c r="AK640" s="76">
        <f>AJ640*E640</f>
        <v/>
      </c>
      <c r="AL640" s="174">
        <f>ROUND(IFERROR(AM640*E640,0),2)</f>
        <v/>
      </c>
      <c r="AM640" s="175">
        <f>ROUND(AJ640*(1+IF(offer_incoterms="DDP",IF((TODAY()+offer_turnaround_time)&gt;=helpsheet!$L$17,rate_vatRU_from_26,rate_vatRu_till_25),0)),2)</f>
        <v/>
      </c>
      <c r="AN640" s="192">
        <f>AL640-AK640</f>
        <v/>
      </c>
      <c r="AO640" s="76">
        <f>SUM(AY640,Y640:Z640,T640)*IF(AND(offer_incoterms="DDP",offer_sale_type&lt;&gt;"экспорт"),IF((TODAY()+offer_turnaround_time)&gt;=helpsheet!$L$17,rate_vatRU_from_26,rate_vatRu_till_25),0)</f>
        <v/>
      </c>
      <c r="AP640" s="193">
        <f>AN640-AO640</f>
        <v/>
      </c>
      <c r="AQ640" s="118">
        <f>IF(offer_sale_type="транзит",SUM(AF640:AI640,BA640,BB640),0)</f>
        <v/>
      </c>
      <c r="AR640" s="82">
        <f>HYPERLINK("https://www.alta.ru/tnved/code/")&amp;W640&amp;"/"</f>
        <v/>
      </c>
      <c r="AS640" s="157" t="n"/>
      <c r="AT640" s="162" t="n"/>
      <c r="AU640" s="76">
        <f>IF(ISBLANK(AT640),0,AJ640-AT640)</f>
        <v/>
      </c>
      <c r="AV640" s="157" t="n"/>
      <c r="AW640" s="75">
        <f>_xlfn.IFNA(VLOOKUP(L640,list_vat[],3,FALSE),0)</f>
        <v/>
      </c>
      <c r="AX640" s="76">
        <f>IFERROR(ROUND(S640*(1+AW640)/E640,2),0)</f>
        <v/>
      </c>
      <c r="AY640" s="76">
        <f>E640*AX640</f>
        <v/>
      </c>
      <c r="AZ640" s="192">
        <f>S640*(1+M640)</f>
        <v/>
      </c>
      <c r="BA640" s="76">
        <f>cost_fin_total*$BD640</f>
        <v/>
      </c>
      <c r="BB640" s="193">
        <f>credit_sales_interest*BD640</f>
        <v/>
      </c>
      <c r="BC640" s="102">
        <f>IFERROR(IF($I$13&gt;0,$I640/$I$13,$S640/$S$13),0)</f>
        <v/>
      </c>
      <c r="BD640" s="102">
        <f>IFERROR($S640/$S$13,0)</f>
        <v/>
      </c>
      <c r="BE640" s="413" t="inlineStr">
        <is>
          <t>$</t>
        </is>
      </c>
    </row>
    <row r="641" ht="12" customFormat="1" customHeight="1" s="65">
      <c r="A641" s="43" t="n">
        <v>626</v>
      </c>
      <c r="B641" s="166" t="n"/>
      <c r="C641" s="166" t="n"/>
      <c r="D641" s="166" t="n"/>
      <c r="E641" s="162" t="n"/>
      <c r="F641" s="166" t="n"/>
      <c r="G641" s="162" t="n"/>
      <c r="H641" s="162" t="n"/>
      <c r="I641" s="189">
        <f>E641*G641</f>
        <v/>
      </c>
      <c r="J641" s="195" t="n"/>
      <c r="K641" s="162" t="n"/>
      <c r="L641" s="168" t="n"/>
      <c r="M641" s="75">
        <f>_xlfn.XLOOKUP(L641,list_vat[Страна],list_vat[Ставка НДС %],0,0)</f>
        <v/>
      </c>
      <c r="N641" s="162">
        <f>IFERROR(IF(L641="Китай",K641,K641/(1+M641)),0)</f>
        <v/>
      </c>
      <c r="O641" s="169" t="n"/>
      <c r="P641" s="76">
        <f>N641*(1-O641)</f>
        <v/>
      </c>
      <c r="Q641" s="162" t="n"/>
      <c r="R641" s="162">
        <f>IF(ISBLANK(Q641),"введи курс",P641/Q641)</f>
        <v/>
      </c>
      <c r="S641" s="196">
        <f>IF(AND(ISNUMBER(E641),ISNUMBER(Q641)),E641*R641,0)</f>
        <v/>
      </c>
      <c r="T641" s="192">
        <f>$BC641*V$11</f>
        <v/>
      </c>
      <c r="U641" s="76">
        <f>$BC641*W$11</f>
        <v/>
      </c>
      <c r="V641" s="193">
        <f>+SUM(T641:U641)</f>
        <v/>
      </c>
      <c r="W641" s="191" t="n"/>
      <c r="X641" s="170" t="n"/>
      <c r="Y641" s="76">
        <f>ROUND(IF(offer_incoterms="DDP",X641*(S641*(1+AW641)+T641),0),2)</f>
        <v/>
      </c>
      <c r="Z641" s="188" t="n"/>
      <c r="AA641" s="192">
        <f>IFERROR(AB641/E641,0)</f>
        <v/>
      </c>
      <c r="AB641" s="76">
        <f>ROUND(SUM(S641,V641,Y641:Z641,BA641:BB641),2)</f>
        <v/>
      </c>
      <c r="AC641" s="797" t="n"/>
      <c r="AD641" s="192">
        <f t="array" ref="AD641">IFERROR(ROUND((_xlfn.IFS(offer_sale_type="поставка",AB641,offer_sale_type="транзит",S641)*(1+AC641))/E641,2),0)</f>
        <v/>
      </c>
      <c r="AE641" s="76">
        <f>AD641*E641</f>
        <v/>
      </c>
      <c r="AF641" s="193">
        <f t="array" ref="AF641">IFERROR(ROUND(_xlfn.IFS(offer_sale_type="поставка",AB641,offer_sale_type="транзит",S641)*AC641,2),0)</f>
        <v/>
      </c>
      <c r="AG641" s="192">
        <f>$BD641*VLOOKUP($AG$3,$AF$4:$AG$7,2,FALSE)</f>
        <v/>
      </c>
      <c r="AH641" s="76">
        <f>SUM(AE641,AG641,AI641)*rate_forex_risk</f>
        <v/>
      </c>
      <c r="AI641" s="193">
        <f>IF(OR(seller_region="TR",offer_sale_type="экспорт"),0,rate_fin_comm)*SUM(AZ641,AZ641*AW641,T641)</f>
        <v/>
      </c>
      <c r="AJ641" s="118">
        <f>IFERROR(ROUND(SUM(AB641,AF641:AI641)/E641,2),0)</f>
        <v/>
      </c>
      <c r="AK641" s="76">
        <f>AJ641*E641</f>
        <v/>
      </c>
      <c r="AL641" s="174">
        <f>ROUND(IFERROR(AM641*E641,0),2)</f>
        <v/>
      </c>
      <c r="AM641" s="175">
        <f>ROUND(AJ641*(1+IF(offer_incoterms="DDP",IF((TODAY()+offer_turnaround_time)&gt;=helpsheet!$L$17,rate_vatRU_from_26,rate_vatRu_till_25),0)),2)</f>
        <v/>
      </c>
      <c r="AN641" s="192">
        <f>AL641-AK641</f>
        <v/>
      </c>
      <c r="AO641" s="76">
        <f>SUM(AY641,Y641:Z641,T641)*IF(AND(offer_incoterms="DDP",offer_sale_type&lt;&gt;"экспорт"),IF((TODAY()+offer_turnaround_time)&gt;=helpsheet!$L$17,rate_vatRU_from_26,rate_vatRu_till_25),0)</f>
        <v/>
      </c>
      <c r="AP641" s="193">
        <f>AN641-AO641</f>
        <v/>
      </c>
      <c r="AQ641" s="118">
        <f>IF(offer_sale_type="транзит",SUM(AF641:AI641,BA641,BB641),0)</f>
        <v/>
      </c>
      <c r="AR641" s="82">
        <f>HYPERLINK("https://www.alta.ru/tnved/code/")&amp;W641&amp;"/"</f>
        <v/>
      </c>
      <c r="AS641" s="157" t="n"/>
      <c r="AT641" s="162" t="n"/>
      <c r="AU641" s="76">
        <f>IF(ISBLANK(AT641),0,AJ641-AT641)</f>
        <v/>
      </c>
      <c r="AV641" s="157" t="n"/>
      <c r="AW641" s="75">
        <f>_xlfn.IFNA(VLOOKUP(L641,list_vat[],3,FALSE),0)</f>
        <v/>
      </c>
      <c r="AX641" s="76">
        <f>IFERROR(ROUND(S641*(1+AW641)/E641,2),0)</f>
        <v/>
      </c>
      <c r="AY641" s="76">
        <f>E641*AX641</f>
        <v/>
      </c>
      <c r="AZ641" s="192">
        <f>S641*(1+M641)</f>
        <v/>
      </c>
      <c r="BA641" s="76">
        <f>cost_fin_total*$BD641</f>
        <v/>
      </c>
      <c r="BB641" s="193">
        <f>credit_sales_interest*BD641</f>
        <v/>
      </c>
      <c r="BC641" s="102">
        <f>IFERROR(IF($I$13&gt;0,$I641/$I$13,$S641/$S$13),0)</f>
        <v/>
      </c>
      <c r="BD641" s="102">
        <f>IFERROR($S641/$S$13,0)</f>
        <v/>
      </c>
      <c r="BE641" s="413" t="inlineStr">
        <is>
          <t>$</t>
        </is>
      </c>
    </row>
    <row r="642" ht="12" customFormat="1" customHeight="1" s="65">
      <c r="A642" s="43" t="n">
        <v>627</v>
      </c>
      <c r="B642" s="166" t="n"/>
      <c r="C642" s="166" t="n"/>
      <c r="D642" s="166" t="n"/>
      <c r="E642" s="162" t="n"/>
      <c r="F642" s="166" t="n"/>
      <c r="G642" s="162" t="n"/>
      <c r="H642" s="162" t="n"/>
      <c r="I642" s="189">
        <f>E642*G642</f>
        <v/>
      </c>
      <c r="J642" s="195" t="n"/>
      <c r="K642" s="162" t="n"/>
      <c r="L642" s="168" t="n"/>
      <c r="M642" s="75">
        <f>_xlfn.XLOOKUP(L642,list_vat[Страна],list_vat[Ставка НДС %],0,0)</f>
        <v/>
      </c>
      <c r="N642" s="162">
        <f>IFERROR(IF(L642="Китай",K642,K642/(1+M642)),0)</f>
        <v/>
      </c>
      <c r="O642" s="169" t="n"/>
      <c r="P642" s="76">
        <f>N642*(1-O642)</f>
        <v/>
      </c>
      <c r="Q642" s="162" t="n"/>
      <c r="R642" s="162">
        <f>IF(ISBLANK(Q642),"введи курс",P642/Q642)</f>
        <v/>
      </c>
      <c r="S642" s="196">
        <f>IF(AND(ISNUMBER(E642),ISNUMBER(Q642)),E642*R642,0)</f>
        <v/>
      </c>
      <c r="T642" s="192">
        <f>$BC642*V$11</f>
        <v/>
      </c>
      <c r="U642" s="76">
        <f>$BC642*W$11</f>
        <v/>
      </c>
      <c r="V642" s="193">
        <f>+SUM(T642:U642)</f>
        <v/>
      </c>
      <c r="W642" s="191" t="n"/>
      <c r="X642" s="170" t="n"/>
      <c r="Y642" s="76">
        <f>ROUND(IF(offer_incoterms="DDP",X642*(S642*(1+AW642)+T642),0),2)</f>
        <v/>
      </c>
      <c r="Z642" s="188" t="n"/>
      <c r="AA642" s="192">
        <f>IFERROR(AB642/E642,0)</f>
        <v/>
      </c>
      <c r="AB642" s="76">
        <f>ROUND(SUM(S642,V642,Y642:Z642,BA642:BB642),2)</f>
        <v/>
      </c>
      <c r="AC642" s="797" t="n"/>
      <c r="AD642" s="192">
        <f t="array" ref="AD642">IFERROR(ROUND((_xlfn.IFS(offer_sale_type="поставка",AB642,offer_sale_type="транзит",S642)*(1+AC642))/E642,2),0)</f>
        <v/>
      </c>
      <c r="AE642" s="76">
        <f>AD642*E642</f>
        <v/>
      </c>
      <c r="AF642" s="193">
        <f t="array" ref="AF642">IFERROR(ROUND(_xlfn.IFS(offer_sale_type="поставка",AB642,offer_sale_type="транзит",S642)*AC642,2),0)</f>
        <v/>
      </c>
      <c r="AG642" s="192">
        <f>$BD642*VLOOKUP($AG$3,$AF$4:$AG$7,2,FALSE)</f>
        <v/>
      </c>
      <c r="AH642" s="76">
        <f>SUM(AE642,AG642,AI642)*rate_forex_risk</f>
        <v/>
      </c>
      <c r="AI642" s="193">
        <f>IF(OR(seller_region="TR",offer_sale_type="экспорт"),0,rate_fin_comm)*SUM(AZ642,AZ642*AW642,T642)</f>
        <v/>
      </c>
      <c r="AJ642" s="118">
        <f>IFERROR(ROUND(SUM(AB642,AF642:AI642)/E642,2),0)</f>
        <v/>
      </c>
      <c r="AK642" s="76">
        <f>AJ642*E642</f>
        <v/>
      </c>
      <c r="AL642" s="174">
        <f>ROUND(IFERROR(AM642*E642,0),2)</f>
        <v/>
      </c>
      <c r="AM642" s="175">
        <f>ROUND(AJ642*(1+IF(offer_incoterms="DDP",IF((TODAY()+offer_turnaround_time)&gt;=helpsheet!$L$17,rate_vatRU_from_26,rate_vatRu_till_25),0)),2)</f>
        <v/>
      </c>
      <c r="AN642" s="192">
        <f>AL642-AK642</f>
        <v/>
      </c>
      <c r="AO642" s="76">
        <f>SUM(AY642,Y642:Z642,T642)*IF(AND(offer_incoterms="DDP",offer_sale_type&lt;&gt;"экспорт"),IF((TODAY()+offer_turnaround_time)&gt;=helpsheet!$L$17,rate_vatRU_from_26,rate_vatRu_till_25),0)</f>
        <v/>
      </c>
      <c r="AP642" s="193">
        <f>AN642-AO642</f>
        <v/>
      </c>
      <c r="AQ642" s="118">
        <f>IF(offer_sale_type="транзит",SUM(AF642:AI642,BA642,BB642),0)</f>
        <v/>
      </c>
      <c r="AR642" s="82">
        <f>HYPERLINK("https://www.alta.ru/tnved/code/")&amp;W642&amp;"/"</f>
        <v/>
      </c>
      <c r="AS642" s="157" t="n"/>
      <c r="AT642" s="162" t="n"/>
      <c r="AU642" s="76">
        <f>IF(ISBLANK(AT642),0,AJ642-AT642)</f>
        <v/>
      </c>
      <c r="AV642" s="157" t="n"/>
      <c r="AW642" s="75">
        <f>_xlfn.IFNA(VLOOKUP(L642,list_vat[],3,FALSE),0)</f>
        <v/>
      </c>
      <c r="AX642" s="76">
        <f>IFERROR(ROUND(S642*(1+AW642)/E642,2),0)</f>
        <v/>
      </c>
      <c r="AY642" s="76">
        <f>E642*AX642</f>
        <v/>
      </c>
      <c r="AZ642" s="192">
        <f>S642*(1+M642)</f>
        <v/>
      </c>
      <c r="BA642" s="76">
        <f>cost_fin_total*$BD642</f>
        <v/>
      </c>
      <c r="BB642" s="193">
        <f>credit_sales_interest*BD642</f>
        <v/>
      </c>
      <c r="BC642" s="102">
        <f>IFERROR(IF($I$13&gt;0,$I642/$I$13,$S642/$S$13),0)</f>
        <v/>
      </c>
      <c r="BD642" s="102">
        <f>IFERROR($S642/$S$13,0)</f>
        <v/>
      </c>
      <c r="BE642" s="413" t="inlineStr">
        <is>
          <t>$</t>
        </is>
      </c>
    </row>
    <row r="643" ht="12" customFormat="1" customHeight="1" s="65">
      <c r="A643" s="43" t="n">
        <v>628</v>
      </c>
      <c r="B643" s="166" t="n"/>
      <c r="C643" s="166" t="n"/>
      <c r="D643" s="166" t="n"/>
      <c r="E643" s="162" t="n"/>
      <c r="F643" s="166" t="n"/>
      <c r="G643" s="162" t="n"/>
      <c r="H643" s="162" t="n"/>
      <c r="I643" s="189">
        <f>E643*G643</f>
        <v/>
      </c>
      <c r="J643" s="195" t="n"/>
      <c r="K643" s="162" t="n"/>
      <c r="L643" s="168" t="n"/>
      <c r="M643" s="75">
        <f>_xlfn.XLOOKUP(L643,list_vat[Страна],list_vat[Ставка НДС %],0,0)</f>
        <v/>
      </c>
      <c r="N643" s="162">
        <f>IFERROR(IF(L643="Китай",K643,K643/(1+M643)),0)</f>
        <v/>
      </c>
      <c r="O643" s="169" t="n"/>
      <c r="P643" s="76">
        <f>N643*(1-O643)</f>
        <v/>
      </c>
      <c r="Q643" s="162" t="n"/>
      <c r="R643" s="162">
        <f>IF(ISBLANK(Q643),"введи курс",P643/Q643)</f>
        <v/>
      </c>
      <c r="S643" s="196">
        <f>IF(AND(ISNUMBER(E643),ISNUMBER(Q643)),E643*R643,0)</f>
        <v/>
      </c>
      <c r="T643" s="192">
        <f>$BC643*V$11</f>
        <v/>
      </c>
      <c r="U643" s="76">
        <f>$BC643*W$11</f>
        <v/>
      </c>
      <c r="V643" s="193">
        <f>+SUM(T643:U643)</f>
        <v/>
      </c>
      <c r="W643" s="191" t="n"/>
      <c r="X643" s="170" t="n"/>
      <c r="Y643" s="76">
        <f>ROUND(IF(offer_incoterms="DDP",X643*(S643*(1+AW643)+T643),0),2)</f>
        <v/>
      </c>
      <c r="Z643" s="188" t="n"/>
      <c r="AA643" s="192">
        <f>IFERROR(AB643/E643,0)</f>
        <v/>
      </c>
      <c r="AB643" s="76">
        <f>ROUND(SUM(S643,V643,Y643:Z643,BA643:BB643),2)</f>
        <v/>
      </c>
      <c r="AC643" s="797" t="n"/>
      <c r="AD643" s="192">
        <f t="array" ref="AD643">IFERROR(ROUND((_xlfn.IFS(offer_sale_type="поставка",AB643,offer_sale_type="транзит",S643)*(1+AC643))/E643,2),0)</f>
        <v/>
      </c>
      <c r="AE643" s="76">
        <f>AD643*E643</f>
        <v/>
      </c>
      <c r="AF643" s="193">
        <f t="array" ref="AF643">IFERROR(ROUND(_xlfn.IFS(offer_sale_type="поставка",AB643,offer_sale_type="транзит",S643)*AC643,2),0)</f>
        <v/>
      </c>
      <c r="AG643" s="192">
        <f>$BD643*VLOOKUP($AG$3,$AF$4:$AG$7,2,FALSE)</f>
        <v/>
      </c>
      <c r="AH643" s="76">
        <f>SUM(AE643,AG643,AI643)*rate_forex_risk</f>
        <v/>
      </c>
      <c r="AI643" s="193">
        <f>IF(OR(seller_region="TR",offer_sale_type="экспорт"),0,rate_fin_comm)*SUM(AZ643,AZ643*AW643,T643)</f>
        <v/>
      </c>
      <c r="AJ643" s="118">
        <f>IFERROR(ROUND(SUM(AB643,AF643:AI643)/E643,2),0)</f>
        <v/>
      </c>
      <c r="AK643" s="76">
        <f>AJ643*E643</f>
        <v/>
      </c>
      <c r="AL643" s="174">
        <f>ROUND(IFERROR(AM643*E643,0),2)</f>
        <v/>
      </c>
      <c r="AM643" s="175">
        <f>ROUND(AJ643*(1+IF(offer_incoterms="DDP",IF((TODAY()+offer_turnaround_time)&gt;=helpsheet!$L$17,rate_vatRU_from_26,rate_vatRu_till_25),0)),2)</f>
        <v/>
      </c>
      <c r="AN643" s="192">
        <f>AL643-AK643</f>
        <v/>
      </c>
      <c r="AO643" s="76">
        <f>SUM(AY643,Y643:Z643,T643)*IF(AND(offer_incoterms="DDP",offer_sale_type&lt;&gt;"экспорт"),IF((TODAY()+offer_turnaround_time)&gt;=helpsheet!$L$17,rate_vatRU_from_26,rate_vatRu_till_25),0)</f>
        <v/>
      </c>
      <c r="AP643" s="193">
        <f>AN643-AO643</f>
        <v/>
      </c>
      <c r="AQ643" s="118">
        <f>IF(offer_sale_type="транзит",SUM(AF643:AI643,BA643,BB643),0)</f>
        <v/>
      </c>
      <c r="AR643" s="82">
        <f>HYPERLINK("https://www.alta.ru/tnved/code/")&amp;W643&amp;"/"</f>
        <v/>
      </c>
      <c r="AS643" s="157" t="n"/>
      <c r="AT643" s="162" t="n"/>
      <c r="AU643" s="76">
        <f>IF(ISBLANK(AT643),0,AJ643-AT643)</f>
        <v/>
      </c>
      <c r="AV643" s="157" t="n"/>
      <c r="AW643" s="75">
        <f>_xlfn.IFNA(VLOOKUP(L643,list_vat[],3,FALSE),0)</f>
        <v/>
      </c>
      <c r="AX643" s="76">
        <f>IFERROR(ROUND(S643*(1+AW643)/E643,2),0)</f>
        <v/>
      </c>
      <c r="AY643" s="76">
        <f>E643*AX643</f>
        <v/>
      </c>
      <c r="AZ643" s="192">
        <f>S643*(1+M643)</f>
        <v/>
      </c>
      <c r="BA643" s="76">
        <f>cost_fin_total*$BD643</f>
        <v/>
      </c>
      <c r="BB643" s="193">
        <f>credit_sales_interest*BD643</f>
        <v/>
      </c>
      <c r="BC643" s="102">
        <f>IFERROR(IF($I$13&gt;0,$I643/$I$13,$S643/$S$13),0)</f>
        <v/>
      </c>
      <c r="BD643" s="102">
        <f>IFERROR($S643/$S$13,0)</f>
        <v/>
      </c>
      <c r="BE643" s="413" t="inlineStr">
        <is>
          <t>$</t>
        </is>
      </c>
    </row>
    <row r="644" ht="12" customFormat="1" customHeight="1" s="65">
      <c r="A644" s="43" t="n">
        <v>629</v>
      </c>
      <c r="B644" s="166" t="n"/>
      <c r="C644" s="166" t="n"/>
      <c r="D644" s="166" t="n"/>
      <c r="E644" s="162" t="n"/>
      <c r="F644" s="166" t="n"/>
      <c r="G644" s="162" t="n"/>
      <c r="H644" s="162" t="n"/>
      <c r="I644" s="189">
        <f>E644*G644</f>
        <v/>
      </c>
      <c r="J644" s="195" t="n"/>
      <c r="K644" s="162" t="n"/>
      <c r="L644" s="168" t="n"/>
      <c r="M644" s="75">
        <f>_xlfn.XLOOKUP(L644,list_vat[Страна],list_vat[Ставка НДС %],0,0)</f>
        <v/>
      </c>
      <c r="N644" s="162">
        <f>IFERROR(IF(L644="Китай",K644,K644/(1+M644)),0)</f>
        <v/>
      </c>
      <c r="O644" s="169" t="n"/>
      <c r="P644" s="76">
        <f>N644*(1-O644)</f>
        <v/>
      </c>
      <c r="Q644" s="162" t="n"/>
      <c r="R644" s="162">
        <f>IF(ISBLANK(Q644),"введи курс",P644/Q644)</f>
        <v/>
      </c>
      <c r="S644" s="196">
        <f>IF(AND(ISNUMBER(E644),ISNUMBER(Q644)),E644*R644,0)</f>
        <v/>
      </c>
      <c r="T644" s="192">
        <f>$BC644*V$11</f>
        <v/>
      </c>
      <c r="U644" s="76">
        <f>$BC644*W$11</f>
        <v/>
      </c>
      <c r="V644" s="193">
        <f>+SUM(T644:U644)</f>
        <v/>
      </c>
      <c r="W644" s="191" t="n"/>
      <c r="X644" s="170" t="n"/>
      <c r="Y644" s="76">
        <f>ROUND(IF(offer_incoterms="DDP",X644*(S644*(1+AW644)+T644),0),2)</f>
        <v/>
      </c>
      <c r="Z644" s="188" t="n"/>
      <c r="AA644" s="192">
        <f>IFERROR(AB644/E644,0)</f>
        <v/>
      </c>
      <c r="AB644" s="76">
        <f>ROUND(SUM(S644,V644,Y644:Z644,BA644:BB644),2)</f>
        <v/>
      </c>
      <c r="AC644" s="797" t="n"/>
      <c r="AD644" s="192">
        <f t="array" ref="AD644">IFERROR(ROUND((_xlfn.IFS(offer_sale_type="поставка",AB644,offer_sale_type="транзит",S644)*(1+AC644))/E644,2),0)</f>
        <v/>
      </c>
      <c r="AE644" s="76">
        <f>AD644*E644</f>
        <v/>
      </c>
      <c r="AF644" s="193">
        <f t="array" ref="AF644">IFERROR(ROUND(_xlfn.IFS(offer_sale_type="поставка",AB644,offer_sale_type="транзит",S644)*AC644,2),0)</f>
        <v/>
      </c>
      <c r="AG644" s="192">
        <f>$BD644*VLOOKUP($AG$3,$AF$4:$AG$7,2,FALSE)</f>
        <v/>
      </c>
      <c r="AH644" s="76">
        <f>SUM(AE644,AG644,AI644)*rate_forex_risk</f>
        <v/>
      </c>
      <c r="AI644" s="193">
        <f>IF(OR(seller_region="TR",offer_sale_type="экспорт"),0,rate_fin_comm)*SUM(AZ644,AZ644*AW644,T644)</f>
        <v/>
      </c>
      <c r="AJ644" s="118">
        <f>IFERROR(ROUND(SUM(AB644,AF644:AI644)/E644,2),0)</f>
        <v/>
      </c>
      <c r="AK644" s="76">
        <f>AJ644*E644</f>
        <v/>
      </c>
      <c r="AL644" s="174">
        <f>ROUND(IFERROR(AM644*E644,0),2)</f>
        <v/>
      </c>
      <c r="AM644" s="175">
        <f>ROUND(AJ644*(1+IF(offer_incoterms="DDP",IF((TODAY()+offer_turnaround_time)&gt;=helpsheet!$L$17,rate_vatRU_from_26,rate_vatRu_till_25),0)),2)</f>
        <v/>
      </c>
      <c r="AN644" s="192">
        <f>AL644-AK644</f>
        <v/>
      </c>
      <c r="AO644" s="76">
        <f>SUM(AY644,Y644:Z644,T644)*IF(AND(offer_incoterms="DDP",offer_sale_type&lt;&gt;"экспорт"),IF((TODAY()+offer_turnaround_time)&gt;=helpsheet!$L$17,rate_vatRU_from_26,rate_vatRu_till_25),0)</f>
        <v/>
      </c>
      <c r="AP644" s="193">
        <f>AN644-AO644</f>
        <v/>
      </c>
      <c r="AQ644" s="118">
        <f>IF(offer_sale_type="транзит",SUM(AF644:AI644,BA644,BB644),0)</f>
        <v/>
      </c>
      <c r="AR644" s="82">
        <f>HYPERLINK("https://www.alta.ru/tnved/code/")&amp;W644&amp;"/"</f>
        <v/>
      </c>
      <c r="AS644" s="157" t="n"/>
      <c r="AT644" s="162" t="n"/>
      <c r="AU644" s="76">
        <f>IF(ISBLANK(AT644),0,AJ644-AT644)</f>
        <v/>
      </c>
      <c r="AV644" s="157" t="n"/>
      <c r="AW644" s="75">
        <f>_xlfn.IFNA(VLOOKUP(L644,list_vat[],3,FALSE),0)</f>
        <v/>
      </c>
      <c r="AX644" s="76">
        <f>IFERROR(ROUND(S644*(1+AW644)/E644,2),0)</f>
        <v/>
      </c>
      <c r="AY644" s="76">
        <f>E644*AX644</f>
        <v/>
      </c>
      <c r="AZ644" s="192">
        <f>S644*(1+M644)</f>
        <v/>
      </c>
      <c r="BA644" s="76">
        <f>cost_fin_total*$BD644</f>
        <v/>
      </c>
      <c r="BB644" s="193">
        <f>credit_sales_interest*BD644</f>
        <v/>
      </c>
      <c r="BC644" s="102">
        <f>IFERROR(IF($I$13&gt;0,$I644/$I$13,$S644/$S$13),0)</f>
        <v/>
      </c>
      <c r="BD644" s="102">
        <f>IFERROR($S644/$S$13,0)</f>
        <v/>
      </c>
      <c r="BE644" s="413" t="inlineStr">
        <is>
          <t>$</t>
        </is>
      </c>
    </row>
    <row r="645" ht="12" customFormat="1" customHeight="1" s="65">
      <c r="A645" s="43" t="n">
        <v>630</v>
      </c>
      <c r="B645" s="166" t="n"/>
      <c r="C645" s="166" t="n"/>
      <c r="D645" s="166" t="n"/>
      <c r="E645" s="162" t="n"/>
      <c r="F645" s="166" t="n"/>
      <c r="G645" s="162" t="n"/>
      <c r="H645" s="162" t="n"/>
      <c r="I645" s="189">
        <f>E645*G645</f>
        <v/>
      </c>
      <c r="J645" s="195" t="n"/>
      <c r="K645" s="162" t="n"/>
      <c r="L645" s="168" t="n"/>
      <c r="M645" s="75">
        <f>_xlfn.XLOOKUP(L645,list_vat[Страна],list_vat[Ставка НДС %],0,0)</f>
        <v/>
      </c>
      <c r="N645" s="162">
        <f>IFERROR(IF(L645="Китай",K645,K645/(1+M645)),0)</f>
        <v/>
      </c>
      <c r="O645" s="169" t="n"/>
      <c r="P645" s="76">
        <f>N645*(1-O645)</f>
        <v/>
      </c>
      <c r="Q645" s="162" t="n"/>
      <c r="R645" s="162">
        <f>IF(ISBLANK(Q645),"введи курс",P645/Q645)</f>
        <v/>
      </c>
      <c r="S645" s="196">
        <f>IF(AND(ISNUMBER(E645),ISNUMBER(Q645)),E645*R645,0)</f>
        <v/>
      </c>
      <c r="T645" s="192">
        <f>$BC645*V$11</f>
        <v/>
      </c>
      <c r="U645" s="76">
        <f>$BC645*W$11</f>
        <v/>
      </c>
      <c r="V645" s="193">
        <f>+SUM(T645:U645)</f>
        <v/>
      </c>
      <c r="W645" s="191" t="n"/>
      <c r="X645" s="170" t="n"/>
      <c r="Y645" s="76">
        <f>ROUND(IF(offer_incoterms="DDP",X645*(S645*(1+AW645)+T645),0),2)</f>
        <v/>
      </c>
      <c r="Z645" s="188" t="n"/>
      <c r="AA645" s="192">
        <f>IFERROR(AB645/E645,0)</f>
        <v/>
      </c>
      <c r="AB645" s="76">
        <f>ROUND(SUM(S645,V645,Y645:Z645,BA645:BB645),2)</f>
        <v/>
      </c>
      <c r="AC645" s="797" t="n"/>
      <c r="AD645" s="192">
        <f t="array" ref="AD645">IFERROR(ROUND((_xlfn.IFS(offer_sale_type="поставка",AB645,offer_sale_type="транзит",S645)*(1+AC645))/E645,2),0)</f>
        <v/>
      </c>
      <c r="AE645" s="76">
        <f>AD645*E645</f>
        <v/>
      </c>
      <c r="AF645" s="193">
        <f t="array" ref="AF645">IFERROR(ROUND(_xlfn.IFS(offer_sale_type="поставка",AB645,offer_sale_type="транзит",S645)*AC645,2),0)</f>
        <v/>
      </c>
      <c r="AG645" s="192">
        <f>$BD645*VLOOKUP($AG$3,$AF$4:$AG$7,2,FALSE)</f>
        <v/>
      </c>
      <c r="AH645" s="76">
        <f>SUM(AE645,AG645,AI645)*rate_forex_risk</f>
        <v/>
      </c>
      <c r="AI645" s="193">
        <f>IF(OR(seller_region="TR",offer_sale_type="экспорт"),0,rate_fin_comm)*SUM(AZ645,AZ645*AW645,T645)</f>
        <v/>
      </c>
      <c r="AJ645" s="118">
        <f>IFERROR(ROUND(SUM(AB645,AF645:AI645)/E645,2),0)</f>
        <v/>
      </c>
      <c r="AK645" s="76">
        <f>AJ645*E645</f>
        <v/>
      </c>
      <c r="AL645" s="174">
        <f>ROUND(IFERROR(AM645*E645,0),2)</f>
        <v/>
      </c>
      <c r="AM645" s="175">
        <f>ROUND(AJ645*(1+IF(offer_incoterms="DDP",IF((TODAY()+offer_turnaround_time)&gt;=helpsheet!$L$17,rate_vatRU_from_26,rate_vatRu_till_25),0)),2)</f>
        <v/>
      </c>
      <c r="AN645" s="192">
        <f>AL645-AK645</f>
        <v/>
      </c>
      <c r="AO645" s="76">
        <f>SUM(AY645,Y645:Z645,T645)*IF(AND(offer_incoterms="DDP",offer_sale_type&lt;&gt;"экспорт"),IF((TODAY()+offer_turnaround_time)&gt;=helpsheet!$L$17,rate_vatRU_from_26,rate_vatRu_till_25),0)</f>
        <v/>
      </c>
      <c r="AP645" s="193">
        <f>AN645-AO645</f>
        <v/>
      </c>
      <c r="AQ645" s="118">
        <f>IF(offer_sale_type="транзит",SUM(AF645:AI645,BA645,BB645),0)</f>
        <v/>
      </c>
      <c r="AR645" s="82">
        <f>HYPERLINK("https://www.alta.ru/tnved/code/")&amp;W645&amp;"/"</f>
        <v/>
      </c>
      <c r="AS645" s="157" t="n"/>
      <c r="AT645" s="162" t="n"/>
      <c r="AU645" s="76">
        <f>IF(ISBLANK(AT645),0,AJ645-AT645)</f>
        <v/>
      </c>
      <c r="AV645" s="157" t="n"/>
      <c r="AW645" s="75">
        <f>_xlfn.IFNA(VLOOKUP(L645,list_vat[],3,FALSE),0)</f>
        <v/>
      </c>
      <c r="AX645" s="76">
        <f>IFERROR(ROUND(S645*(1+AW645)/E645,2),0)</f>
        <v/>
      </c>
      <c r="AY645" s="76">
        <f>E645*AX645</f>
        <v/>
      </c>
      <c r="AZ645" s="192">
        <f>S645*(1+M645)</f>
        <v/>
      </c>
      <c r="BA645" s="76">
        <f>cost_fin_total*$BD645</f>
        <v/>
      </c>
      <c r="BB645" s="193">
        <f>credit_sales_interest*BD645</f>
        <v/>
      </c>
      <c r="BC645" s="102">
        <f>IFERROR(IF($I$13&gt;0,$I645/$I$13,$S645/$S$13),0)</f>
        <v/>
      </c>
      <c r="BD645" s="102">
        <f>IFERROR($S645/$S$13,0)</f>
        <v/>
      </c>
      <c r="BE645" s="413" t="inlineStr">
        <is>
          <t>$</t>
        </is>
      </c>
    </row>
    <row r="646" ht="12" customFormat="1" customHeight="1" s="65">
      <c r="A646" s="43" t="n">
        <v>631</v>
      </c>
      <c r="B646" s="166" t="n"/>
      <c r="C646" s="166" t="n"/>
      <c r="D646" s="166" t="n"/>
      <c r="E646" s="162" t="n"/>
      <c r="F646" s="166" t="n"/>
      <c r="G646" s="162" t="n"/>
      <c r="H646" s="162" t="n"/>
      <c r="I646" s="189">
        <f>E646*G646</f>
        <v/>
      </c>
      <c r="J646" s="195" t="n"/>
      <c r="K646" s="162" t="n"/>
      <c r="L646" s="168" t="n"/>
      <c r="M646" s="75">
        <f>_xlfn.XLOOKUP(L646,list_vat[Страна],list_vat[Ставка НДС %],0,0)</f>
        <v/>
      </c>
      <c r="N646" s="162">
        <f>IFERROR(IF(L646="Китай",K646,K646/(1+M646)),0)</f>
        <v/>
      </c>
      <c r="O646" s="169" t="n"/>
      <c r="P646" s="76">
        <f>N646*(1-O646)</f>
        <v/>
      </c>
      <c r="Q646" s="162" t="n"/>
      <c r="R646" s="162">
        <f>IF(ISBLANK(Q646),"введи курс",P646/Q646)</f>
        <v/>
      </c>
      <c r="S646" s="196">
        <f>IF(AND(ISNUMBER(E646),ISNUMBER(Q646)),E646*R646,0)</f>
        <v/>
      </c>
      <c r="T646" s="192">
        <f>$BC646*V$11</f>
        <v/>
      </c>
      <c r="U646" s="76">
        <f>$BC646*W$11</f>
        <v/>
      </c>
      <c r="V646" s="193">
        <f>+SUM(T646:U646)</f>
        <v/>
      </c>
      <c r="W646" s="191" t="n"/>
      <c r="X646" s="170" t="n"/>
      <c r="Y646" s="76">
        <f>ROUND(IF(offer_incoterms="DDP",X646*(S646*(1+AW646)+T646),0),2)</f>
        <v/>
      </c>
      <c r="Z646" s="188" t="n"/>
      <c r="AA646" s="192">
        <f>IFERROR(AB646/E646,0)</f>
        <v/>
      </c>
      <c r="AB646" s="76">
        <f>ROUND(SUM(S646,V646,Y646:Z646,BA646:BB646),2)</f>
        <v/>
      </c>
      <c r="AC646" s="797" t="n"/>
      <c r="AD646" s="192">
        <f t="array" ref="AD646">IFERROR(ROUND((_xlfn.IFS(offer_sale_type="поставка",AB646,offer_sale_type="транзит",S646)*(1+AC646))/E646,2),0)</f>
        <v/>
      </c>
      <c r="AE646" s="76">
        <f>AD646*E646</f>
        <v/>
      </c>
      <c r="AF646" s="193">
        <f t="array" ref="AF646">IFERROR(ROUND(_xlfn.IFS(offer_sale_type="поставка",AB646,offer_sale_type="транзит",S646)*AC646,2),0)</f>
        <v/>
      </c>
      <c r="AG646" s="192">
        <f>$BD646*VLOOKUP($AG$3,$AF$4:$AG$7,2,FALSE)</f>
        <v/>
      </c>
      <c r="AH646" s="76">
        <f>SUM(AE646,AG646,AI646)*rate_forex_risk</f>
        <v/>
      </c>
      <c r="AI646" s="193">
        <f>IF(OR(seller_region="TR",offer_sale_type="экспорт"),0,rate_fin_comm)*SUM(AZ646,AZ646*AW646,T646)</f>
        <v/>
      </c>
      <c r="AJ646" s="118">
        <f>IFERROR(ROUND(SUM(AB646,AF646:AI646)/E646,2),0)</f>
        <v/>
      </c>
      <c r="AK646" s="76">
        <f>AJ646*E646</f>
        <v/>
      </c>
      <c r="AL646" s="174">
        <f>ROUND(IFERROR(AM646*E646,0),2)</f>
        <v/>
      </c>
      <c r="AM646" s="175">
        <f>ROUND(AJ646*(1+IF(offer_incoterms="DDP",IF((TODAY()+offer_turnaround_time)&gt;=helpsheet!$L$17,rate_vatRU_from_26,rate_vatRu_till_25),0)),2)</f>
        <v/>
      </c>
      <c r="AN646" s="192">
        <f>AL646-AK646</f>
        <v/>
      </c>
      <c r="AO646" s="76">
        <f>SUM(AY646,Y646:Z646,T646)*IF(AND(offer_incoterms="DDP",offer_sale_type&lt;&gt;"экспорт"),IF((TODAY()+offer_turnaround_time)&gt;=helpsheet!$L$17,rate_vatRU_from_26,rate_vatRu_till_25),0)</f>
        <v/>
      </c>
      <c r="AP646" s="193">
        <f>AN646-AO646</f>
        <v/>
      </c>
      <c r="AQ646" s="118">
        <f>IF(offer_sale_type="транзит",SUM(AF646:AI646,BA646,BB646),0)</f>
        <v/>
      </c>
      <c r="AR646" s="82">
        <f>HYPERLINK("https://www.alta.ru/tnved/code/")&amp;W646&amp;"/"</f>
        <v/>
      </c>
      <c r="AS646" s="157" t="n"/>
      <c r="AT646" s="162" t="n"/>
      <c r="AU646" s="76">
        <f>IF(ISBLANK(AT646),0,AJ646-AT646)</f>
        <v/>
      </c>
      <c r="AV646" s="157" t="n"/>
      <c r="AW646" s="75">
        <f>_xlfn.IFNA(VLOOKUP(L646,list_vat[],3,FALSE),0)</f>
        <v/>
      </c>
      <c r="AX646" s="76">
        <f>IFERROR(ROUND(S646*(1+AW646)/E646,2),0)</f>
        <v/>
      </c>
      <c r="AY646" s="76">
        <f>E646*AX646</f>
        <v/>
      </c>
      <c r="AZ646" s="192">
        <f>S646*(1+M646)</f>
        <v/>
      </c>
      <c r="BA646" s="76">
        <f>cost_fin_total*$BD646</f>
        <v/>
      </c>
      <c r="BB646" s="193">
        <f>credit_sales_interest*BD646</f>
        <v/>
      </c>
      <c r="BC646" s="102">
        <f>IFERROR(IF($I$13&gt;0,$I646/$I$13,$S646/$S$13),0)</f>
        <v/>
      </c>
      <c r="BD646" s="102">
        <f>IFERROR($S646/$S$13,0)</f>
        <v/>
      </c>
      <c r="BE646" s="413" t="inlineStr">
        <is>
          <t>$</t>
        </is>
      </c>
    </row>
    <row r="647" ht="12" customFormat="1" customHeight="1" s="65">
      <c r="A647" s="43" t="n">
        <v>632</v>
      </c>
      <c r="B647" s="166" t="n"/>
      <c r="C647" s="166" t="n"/>
      <c r="D647" s="166" t="n"/>
      <c r="E647" s="162" t="n"/>
      <c r="F647" s="166" t="n"/>
      <c r="G647" s="162" t="n"/>
      <c r="H647" s="162" t="n"/>
      <c r="I647" s="189">
        <f>E647*G647</f>
        <v/>
      </c>
      <c r="J647" s="195" t="n"/>
      <c r="K647" s="162" t="n"/>
      <c r="L647" s="168" t="n"/>
      <c r="M647" s="75">
        <f>_xlfn.XLOOKUP(L647,list_vat[Страна],list_vat[Ставка НДС %],0,0)</f>
        <v/>
      </c>
      <c r="N647" s="162">
        <f>IFERROR(IF(L647="Китай",K647,K647/(1+M647)),0)</f>
        <v/>
      </c>
      <c r="O647" s="169" t="n"/>
      <c r="P647" s="76">
        <f>N647*(1-O647)</f>
        <v/>
      </c>
      <c r="Q647" s="162" t="n"/>
      <c r="R647" s="162">
        <f>IF(ISBLANK(Q647),"введи курс",P647/Q647)</f>
        <v/>
      </c>
      <c r="S647" s="196">
        <f>IF(AND(ISNUMBER(E647),ISNUMBER(Q647)),E647*R647,0)</f>
        <v/>
      </c>
      <c r="T647" s="192">
        <f>$BC647*V$11</f>
        <v/>
      </c>
      <c r="U647" s="76">
        <f>$BC647*W$11</f>
        <v/>
      </c>
      <c r="V647" s="193">
        <f>+SUM(T647:U647)</f>
        <v/>
      </c>
      <c r="W647" s="191" t="n"/>
      <c r="X647" s="170" t="n"/>
      <c r="Y647" s="76">
        <f>ROUND(IF(offer_incoterms="DDP",X647*(S647*(1+AW647)+T647),0),2)</f>
        <v/>
      </c>
      <c r="Z647" s="188" t="n"/>
      <c r="AA647" s="192">
        <f>IFERROR(AB647/E647,0)</f>
        <v/>
      </c>
      <c r="AB647" s="76">
        <f>ROUND(SUM(S647,V647,Y647:Z647,BA647:BB647),2)</f>
        <v/>
      </c>
      <c r="AC647" s="797" t="n"/>
      <c r="AD647" s="192">
        <f t="array" ref="AD647">IFERROR(ROUND((_xlfn.IFS(offer_sale_type="поставка",AB647,offer_sale_type="транзит",S647)*(1+AC647))/E647,2),0)</f>
        <v/>
      </c>
      <c r="AE647" s="76">
        <f>AD647*E647</f>
        <v/>
      </c>
      <c r="AF647" s="193">
        <f t="array" ref="AF647">IFERROR(ROUND(_xlfn.IFS(offer_sale_type="поставка",AB647,offer_sale_type="транзит",S647)*AC647,2),0)</f>
        <v/>
      </c>
      <c r="AG647" s="192">
        <f>$BD647*VLOOKUP($AG$3,$AF$4:$AG$7,2,FALSE)</f>
        <v/>
      </c>
      <c r="AH647" s="76">
        <f>SUM(AE647,AG647,AI647)*rate_forex_risk</f>
        <v/>
      </c>
      <c r="AI647" s="193">
        <f>IF(OR(seller_region="TR",offer_sale_type="экспорт"),0,rate_fin_comm)*SUM(AZ647,AZ647*AW647,T647)</f>
        <v/>
      </c>
      <c r="AJ647" s="118">
        <f>IFERROR(ROUND(SUM(AB647,AF647:AI647)/E647,2),0)</f>
        <v/>
      </c>
      <c r="AK647" s="76">
        <f>AJ647*E647</f>
        <v/>
      </c>
      <c r="AL647" s="174">
        <f>ROUND(IFERROR(AM647*E647,0),2)</f>
        <v/>
      </c>
      <c r="AM647" s="175">
        <f>ROUND(AJ647*(1+IF(offer_incoterms="DDP",IF((TODAY()+offer_turnaround_time)&gt;=helpsheet!$L$17,rate_vatRU_from_26,rate_vatRu_till_25),0)),2)</f>
        <v/>
      </c>
      <c r="AN647" s="192">
        <f>AL647-AK647</f>
        <v/>
      </c>
      <c r="AO647" s="76">
        <f>SUM(AY647,Y647:Z647,T647)*IF(AND(offer_incoterms="DDP",offer_sale_type&lt;&gt;"экспорт"),IF((TODAY()+offer_turnaround_time)&gt;=helpsheet!$L$17,rate_vatRU_from_26,rate_vatRu_till_25),0)</f>
        <v/>
      </c>
      <c r="AP647" s="193">
        <f>AN647-AO647</f>
        <v/>
      </c>
      <c r="AQ647" s="118">
        <f>IF(offer_sale_type="транзит",SUM(AF647:AI647,BA647,BB647),0)</f>
        <v/>
      </c>
      <c r="AR647" s="82">
        <f>HYPERLINK("https://www.alta.ru/tnved/code/")&amp;W647&amp;"/"</f>
        <v/>
      </c>
      <c r="AS647" s="157" t="n"/>
      <c r="AT647" s="162" t="n"/>
      <c r="AU647" s="76">
        <f>IF(ISBLANK(AT647),0,AJ647-AT647)</f>
        <v/>
      </c>
      <c r="AV647" s="157" t="n"/>
      <c r="AW647" s="75">
        <f>_xlfn.IFNA(VLOOKUP(L647,list_vat[],3,FALSE),0)</f>
        <v/>
      </c>
      <c r="AX647" s="76">
        <f>IFERROR(ROUND(S647*(1+AW647)/E647,2),0)</f>
        <v/>
      </c>
      <c r="AY647" s="76">
        <f>E647*AX647</f>
        <v/>
      </c>
      <c r="AZ647" s="192">
        <f>S647*(1+M647)</f>
        <v/>
      </c>
      <c r="BA647" s="76">
        <f>cost_fin_total*$BD647</f>
        <v/>
      </c>
      <c r="BB647" s="193">
        <f>credit_sales_interest*BD647</f>
        <v/>
      </c>
      <c r="BC647" s="102">
        <f>IFERROR(IF($I$13&gt;0,$I647/$I$13,$S647/$S$13),0)</f>
        <v/>
      </c>
      <c r="BD647" s="102">
        <f>IFERROR($S647/$S$13,0)</f>
        <v/>
      </c>
      <c r="BE647" s="413" t="inlineStr">
        <is>
          <t>$</t>
        </is>
      </c>
    </row>
    <row r="648" ht="12" customFormat="1" customHeight="1" s="65">
      <c r="A648" s="43" t="n">
        <v>633</v>
      </c>
      <c r="B648" s="166" t="n"/>
      <c r="C648" s="166" t="n"/>
      <c r="D648" s="166" t="n"/>
      <c r="E648" s="162" t="n"/>
      <c r="F648" s="166" t="n"/>
      <c r="G648" s="162" t="n"/>
      <c r="H648" s="162" t="n"/>
      <c r="I648" s="189">
        <f>E648*G648</f>
        <v/>
      </c>
      <c r="J648" s="195" t="n"/>
      <c r="K648" s="162" t="n"/>
      <c r="L648" s="168" t="n"/>
      <c r="M648" s="75">
        <f>_xlfn.XLOOKUP(L648,list_vat[Страна],list_vat[Ставка НДС %],0,0)</f>
        <v/>
      </c>
      <c r="N648" s="162">
        <f>IFERROR(IF(L648="Китай",K648,K648/(1+M648)),0)</f>
        <v/>
      </c>
      <c r="O648" s="169" t="n"/>
      <c r="P648" s="76">
        <f>N648*(1-O648)</f>
        <v/>
      </c>
      <c r="Q648" s="162" t="n"/>
      <c r="R648" s="162">
        <f>IF(ISBLANK(Q648),"введи курс",P648/Q648)</f>
        <v/>
      </c>
      <c r="S648" s="196">
        <f>IF(AND(ISNUMBER(E648),ISNUMBER(Q648)),E648*R648,0)</f>
        <v/>
      </c>
      <c r="T648" s="192">
        <f>$BC648*V$11</f>
        <v/>
      </c>
      <c r="U648" s="76">
        <f>$BC648*W$11</f>
        <v/>
      </c>
      <c r="V648" s="193">
        <f>+SUM(T648:U648)</f>
        <v/>
      </c>
      <c r="W648" s="191" t="n"/>
      <c r="X648" s="170" t="n"/>
      <c r="Y648" s="76">
        <f>ROUND(IF(offer_incoterms="DDP",X648*(S648*(1+AW648)+T648),0),2)</f>
        <v/>
      </c>
      <c r="Z648" s="188" t="n"/>
      <c r="AA648" s="192">
        <f>IFERROR(AB648/E648,0)</f>
        <v/>
      </c>
      <c r="AB648" s="76">
        <f>ROUND(SUM(S648,V648,Y648:Z648,BA648:BB648),2)</f>
        <v/>
      </c>
      <c r="AC648" s="797" t="n"/>
      <c r="AD648" s="192">
        <f t="array" ref="AD648">IFERROR(ROUND((_xlfn.IFS(offer_sale_type="поставка",AB648,offer_sale_type="транзит",S648)*(1+AC648))/E648,2),0)</f>
        <v/>
      </c>
      <c r="AE648" s="76">
        <f>AD648*E648</f>
        <v/>
      </c>
      <c r="AF648" s="193">
        <f t="array" ref="AF648">IFERROR(ROUND(_xlfn.IFS(offer_sale_type="поставка",AB648,offer_sale_type="транзит",S648)*AC648,2),0)</f>
        <v/>
      </c>
      <c r="AG648" s="192">
        <f>$BD648*VLOOKUP($AG$3,$AF$4:$AG$7,2,FALSE)</f>
        <v/>
      </c>
      <c r="AH648" s="76">
        <f>SUM(AE648,AG648,AI648)*rate_forex_risk</f>
        <v/>
      </c>
      <c r="AI648" s="193">
        <f>IF(OR(seller_region="TR",offer_sale_type="экспорт"),0,rate_fin_comm)*SUM(AZ648,AZ648*AW648,T648)</f>
        <v/>
      </c>
      <c r="AJ648" s="118">
        <f>IFERROR(ROUND(SUM(AB648,AF648:AI648)/E648,2),0)</f>
        <v/>
      </c>
      <c r="AK648" s="76">
        <f>AJ648*E648</f>
        <v/>
      </c>
      <c r="AL648" s="174">
        <f>ROUND(IFERROR(AM648*E648,0),2)</f>
        <v/>
      </c>
      <c r="AM648" s="175">
        <f>ROUND(AJ648*(1+IF(offer_incoterms="DDP",IF((TODAY()+offer_turnaround_time)&gt;=helpsheet!$L$17,rate_vatRU_from_26,rate_vatRu_till_25),0)),2)</f>
        <v/>
      </c>
      <c r="AN648" s="192">
        <f>AL648-AK648</f>
        <v/>
      </c>
      <c r="AO648" s="76">
        <f>SUM(AY648,Y648:Z648,T648)*IF(AND(offer_incoterms="DDP",offer_sale_type&lt;&gt;"экспорт"),IF((TODAY()+offer_turnaround_time)&gt;=helpsheet!$L$17,rate_vatRU_from_26,rate_vatRu_till_25),0)</f>
        <v/>
      </c>
      <c r="AP648" s="193">
        <f>AN648-AO648</f>
        <v/>
      </c>
      <c r="AQ648" s="118">
        <f>IF(offer_sale_type="транзит",SUM(AF648:AI648,BA648,BB648),0)</f>
        <v/>
      </c>
      <c r="AR648" s="82">
        <f>HYPERLINK("https://www.alta.ru/tnved/code/")&amp;W648&amp;"/"</f>
        <v/>
      </c>
      <c r="AS648" s="157" t="n"/>
      <c r="AT648" s="162" t="n"/>
      <c r="AU648" s="76">
        <f>IF(ISBLANK(AT648),0,AJ648-AT648)</f>
        <v/>
      </c>
      <c r="AV648" s="157" t="n"/>
      <c r="AW648" s="75">
        <f>_xlfn.IFNA(VLOOKUP(L648,list_vat[],3,FALSE),0)</f>
        <v/>
      </c>
      <c r="AX648" s="76">
        <f>IFERROR(ROUND(S648*(1+AW648)/E648,2),0)</f>
        <v/>
      </c>
      <c r="AY648" s="76">
        <f>E648*AX648</f>
        <v/>
      </c>
      <c r="AZ648" s="192">
        <f>S648*(1+M648)</f>
        <v/>
      </c>
      <c r="BA648" s="76">
        <f>cost_fin_total*$BD648</f>
        <v/>
      </c>
      <c r="BB648" s="193">
        <f>credit_sales_interest*BD648</f>
        <v/>
      </c>
      <c r="BC648" s="102">
        <f>IFERROR(IF($I$13&gt;0,$I648/$I$13,$S648/$S$13),0)</f>
        <v/>
      </c>
      <c r="BD648" s="102">
        <f>IFERROR($S648/$S$13,0)</f>
        <v/>
      </c>
      <c r="BE648" s="413" t="inlineStr">
        <is>
          <t>$</t>
        </is>
      </c>
    </row>
    <row r="649" ht="12" customFormat="1" customHeight="1" s="65">
      <c r="A649" s="43" t="n">
        <v>634</v>
      </c>
      <c r="B649" s="166" t="n"/>
      <c r="C649" s="166" t="n"/>
      <c r="D649" s="166" t="n"/>
      <c r="E649" s="162" t="n"/>
      <c r="F649" s="166" t="n"/>
      <c r="G649" s="162" t="n"/>
      <c r="H649" s="162" t="n"/>
      <c r="I649" s="189">
        <f>E649*G649</f>
        <v/>
      </c>
      <c r="J649" s="195" t="n"/>
      <c r="K649" s="162" t="n"/>
      <c r="L649" s="168" t="n"/>
      <c r="M649" s="75">
        <f>_xlfn.XLOOKUP(L649,list_vat[Страна],list_vat[Ставка НДС %],0,0)</f>
        <v/>
      </c>
      <c r="N649" s="162">
        <f>IFERROR(IF(L649="Китай",K649,K649/(1+M649)),0)</f>
        <v/>
      </c>
      <c r="O649" s="169" t="n"/>
      <c r="P649" s="76">
        <f>N649*(1-O649)</f>
        <v/>
      </c>
      <c r="Q649" s="162" t="n"/>
      <c r="R649" s="162">
        <f>IF(ISBLANK(Q649),"введи курс",P649/Q649)</f>
        <v/>
      </c>
      <c r="S649" s="196">
        <f>IF(AND(ISNUMBER(E649),ISNUMBER(Q649)),E649*R649,0)</f>
        <v/>
      </c>
      <c r="T649" s="192">
        <f>$BC649*V$11</f>
        <v/>
      </c>
      <c r="U649" s="76">
        <f>$BC649*W$11</f>
        <v/>
      </c>
      <c r="V649" s="193">
        <f>+SUM(T649:U649)</f>
        <v/>
      </c>
      <c r="W649" s="191" t="n"/>
      <c r="X649" s="170" t="n"/>
      <c r="Y649" s="76">
        <f>ROUND(IF(offer_incoterms="DDP",X649*(S649*(1+AW649)+T649),0),2)</f>
        <v/>
      </c>
      <c r="Z649" s="188" t="n"/>
      <c r="AA649" s="192">
        <f>IFERROR(AB649/E649,0)</f>
        <v/>
      </c>
      <c r="AB649" s="76">
        <f>ROUND(SUM(S649,V649,Y649:Z649,BA649:BB649),2)</f>
        <v/>
      </c>
      <c r="AC649" s="797" t="n"/>
      <c r="AD649" s="192">
        <f t="array" ref="AD649">IFERROR(ROUND((_xlfn.IFS(offer_sale_type="поставка",AB649,offer_sale_type="транзит",S649)*(1+AC649))/E649,2),0)</f>
        <v/>
      </c>
      <c r="AE649" s="76">
        <f>AD649*E649</f>
        <v/>
      </c>
      <c r="AF649" s="193">
        <f t="array" ref="AF649">IFERROR(ROUND(_xlfn.IFS(offer_sale_type="поставка",AB649,offer_sale_type="транзит",S649)*AC649,2),0)</f>
        <v/>
      </c>
      <c r="AG649" s="192">
        <f>$BD649*VLOOKUP($AG$3,$AF$4:$AG$7,2,FALSE)</f>
        <v/>
      </c>
      <c r="AH649" s="76">
        <f>SUM(AE649,AG649,AI649)*rate_forex_risk</f>
        <v/>
      </c>
      <c r="AI649" s="193">
        <f>IF(OR(seller_region="TR",offer_sale_type="экспорт"),0,rate_fin_comm)*SUM(AZ649,AZ649*AW649,T649)</f>
        <v/>
      </c>
      <c r="AJ649" s="118">
        <f>IFERROR(ROUND(SUM(AB649,AF649:AI649)/E649,2),0)</f>
        <v/>
      </c>
      <c r="AK649" s="76">
        <f>AJ649*E649</f>
        <v/>
      </c>
      <c r="AL649" s="174">
        <f>ROUND(IFERROR(AM649*E649,0),2)</f>
        <v/>
      </c>
      <c r="AM649" s="175">
        <f>ROUND(AJ649*(1+IF(offer_incoterms="DDP",IF((TODAY()+offer_turnaround_time)&gt;=helpsheet!$L$17,rate_vatRU_from_26,rate_vatRu_till_25),0)),2)</f>
        <v/>
      </c>
      <c r="AN649" s="192">
        <f>AL649-AK649</f>
        <v/>
      </c>
      <c r="AO649" s="76">
        <f>SUM(AY649,Y649:Z649,T649)*IF(AND(offer_incoterms="DDP",offer_sale_type&lt;&gt;"экспорт"),IF((TODAY()+offer_turnaround_time)&gt;=helpsheet!$L$17,rate_vatRU_from_26,rate_vatRu_till_25),0)</f>
        <v/>
      </c>
      <c r="AP649" s="193">
        <f>AN649-AO649</f>
        <v/>
      </c>
      <c r="AQ649" s="118">
        <f>IF(offer_sale_type="транзит",SUM(AF649:AI649,BA649,BB649),0)</f>
        <v/>
      </c>
      <c r="AR649" s="82">
        <f>HYPERLINK("https://www.alta.ru/tnved/code/")&amp;W649&amp;"/"</f>
        <v/>
      </c>
      <c r="AS649" s="157" t="n"/>
      <c r="AT649" s="162" t="n"/>
      <c r="AU649" s="76">
        <f>IF(ISBLANK(AT649),0,AJ649-AT649)</f>
        <v/>
      </c>
      <c r="AV649" s="157" t="n"/>
      <c r="AW649" s="75">
        <f>_xlfn.IFNA(VLOOKUP(L649,list_vat[],3,FALSE),0)</f>
        <v/>
      </c>
      <c r="AX649" s="76">
        <f>IFERROR(ROUND(S649*(1+AW649)/E649,2),0)</f>
        <v/>
      </c>
      <c r="AY649" s="76">
        <f>E649*AX649</f>
        <v/>
      </c>
      <c r="AZ649" s="192">
        <f>S649*(1+M649)</f>
        <v/>
      </c>
      <c r="BA649" s="76">
        <f>cost_fin_total*$BD649</f>
        <v/>
      </c>
      <c r="BB649" s="193">
        <f>credit_sales_interest*BD649</f>
        <v/>
      </c>
      <c r="BC649" s="102">
        <f>IFERROR(IF($I$13&gt;0,$I649/$I$13,$S649/$S$13),0)</f>
        <v/>
      </c>
      <c r="BD649" s="102">
        <f>IFERROR($S649/$S$13,0)</f>
        <v/>
      </c>
      <c r="BE649" s="413" t="inlineStr">
        <is>
          <t>$</t>
        </is>
      </c>
    </row>
    <row r="650" ht="12" customFormat="1" customHeight="1" s="65">
      <c r="A650" s="43" t="n">
        <v>635</v>
      </c>
      <c r="B650" s="166" t="n"/>
      <c r="C650" s="166" t="n"/>
      <c r="D650" s="166" t="n"/>
      <c r="E650" s="162" t="n"/>
      <c r="F650" s="166" t="n"/>
      <c r="G650" s="162" t="n"/>
      <c r="H650" s="162" t="n"/>
      <c r="I650" s="189">
        <f>E650*G650</f>
        <v/>
      </c>
      <c r="J650" s="195" t="n"/>
      <c r="K650" s="162" t="n"/>
      <c r="L650" s="168" t="n"/>
      <c r="M650" s="75">
        <f>_xlfn.XLOOKUP(L650,list_vat[Страна],list_vat[Ставка НДС %],0,0)</f>
        <v/>
      </c>
      <c r="N650" s="162">
        <f>IFERROR(IF(L650="Китай",K650,K650/(1+M650)),0)</f>
        <v/>
      </c>
      <c r="O650" s="169" t="n"/>
      <c r="P650" s="76">
        <f>N650*(1-O650)</f>
        <v/>
      </c>
      <c r="Q650" s="162" t="n"/>
      <c r="R650" s="162">
        <f>IF(ISBLANK(Q650),"введи курс",P650/Q650)</f>
        <v/>
      </c>
      <c r="S650" s="196">
        <f>IF(AND(ISNUMBER(E650),ISNUMBER(Q650)),E650*R650,0)</f>
        <v/>
      </c>
      <c r="T650" s="192">
        <f>$BC650*V$11</f>
        <v/>
      </c>
      <c r="U650" s="76">
        <f>$BC650*W$11</f>
        <v/>
      </c>
      <c r="V650" s="193">
        <f>+SUM(T650:U650)</f>
        <v/>
      </c>
      <c r="W650" s="191" t="n"/>
      <c r="X650" s="170" t="n"/>
      <c r="Y650" s="76">
        <f>ROUND(IF(offer_incoterms="DDP",X650*(S650*(1+AW650)+T650),0),2)</f>
        <v/>
      </c>
      <c r="Z650" s="188" t="n"/>
      <c r="AA650" s="192">
        <f>IFERROR(AB650/E650,0)</f>
        <v/>
      </c>
      <c r="AB650" s="76">
        <f>ROUND(SUM(S650,V650,Y650:Z650,BA650:BB650),2)</f>
        <v/>
      </c>
      <c r="AC650" s="797" t="n"/>
      <c r="AD650" s="192">
        <f t="array" ref="AD650">IFERROR(ROUND((_xlfn.IFS(offer_sale_type="поставка",AB650,offer_sale_type="транзит",S650)*(1+AC650))/E650,2),0)</f>
        <v/>
      </c>
      <c r="AE650" s="76">
        <f>AD650*E650</f>
        <v/>
      </c>
      <c r="AF650" s="193">
        <f t="array" ref="AF650">IFERROR(ROUND(_xlfn.IFS(offer_sale_type="поставка",AB650,offer_sale_type="транзит",S650)*AC650,2),0)</f>
        <v/>
      </c>
      <c r="AG650" s="192">
        <f>$BD650*VLOOKUP($AG$3,$AF$4:$AG$7,2,FALSE)</f>
        <v/>
      </c>
      <c r="AH650" s="76">
        <f>SUM(AE650,AG650,AI650)*rate_forex_risk</f>
        <v/>
      </c>
      <c r="AI650" s="193">
        <f>IF(OR(seller_region="TR",offer_sale_type="экспорт"),0,rate_fin_comm)*SUM(AZ650,AZ650*AW650,T650)</f>
        <v/>
      </c>
      <c r="AJ650" s="118">
        <f>IFERROR(ROUND(SUM(AB650,AF650:AI650)/E650,2),0)</f>
        <v/>
      </c>
      <c r="AK650" s="76">
        <f>AJ650*E650</f>
        <v/>
      </c>
      <c r="AL650" s="174">
        <f>ROUND(IFERROR(AM650*E650,0),2)</f>
        <v/>
      </c>
      <c r="AM650" s="175">
        <f>ROUND(AJ650*(1+IF(offer_incoterms="DDP",IF((TODAY()+offer_turnaround_time)&gt;=helpsheet!$L$17,rate_vatRU_from_26,rate_vatRu_till_25),0)),2)</f>
        <v/>
      </c>
      <c r="AN650" s="192">
        <f>AL650-AK650</f>
        <v/>
      </c>
      <c r="AO650" s="76">
        <f>SUM(AY650,Y650:Z650,T650)*IF(AND(offer_incoterms="DDP",offer_sale_type&lt;&gt;"экспорт"),IF((TODAY()+offer_turnaround_time)&gt;=helpsheet!$L$17,rate_vatRU_from_26,rate_vatRu_till_25),0)</f>
        <v/>
      </c>
      <c r="AP650" s="193">
        <f>AN650-AO650</f>
        <v/>
      </c>
      <c r="AQ650" s="118">
        <f>IF(offer_sale_type="транзит",SUM(AF650:AI650,BA650,BB650),0)</f>
        <v/>
      </c>
      <c r="AR650" s="82">
        <f>HYPERLINK("https://www.alta.ru/tnved/code/")&amp;W650&amp;"/"</f>
        <v/>
      </c>
      <c r="AS650" s="157" t="n"/>
      <c r="AT650" s="162" t="n"/>
      <c r="AU650" s="76">
        <f>IF(ISBLANK(AT650),0,AJ650-AT650)</f>
        <v/>
      </c>
      <c r="AV650" s="157" t="n"/>
      <c r="AW650" s="75">
        <f>_xlfn.IFNA(VLOOKUP(L650,list_vat[],3,FALSE),0)</f>
        <v/>
      </c>
      <c r="AX650" s="76">
        <f>IFERROR(ROUND(S650*(1+AW650)/E650,2),0)</f>
        <v/>
      </c>
      <c r="AY650" s="76">
        <f>E650*AX650</f>
        <v/>
      </c>
      <c r="AZ650" s="192">
        <f>S650*(1+M650)</f>
        <v/>
      </c>
      <c r="BA650" s="76">
        <f>cost_fin_total*$BD650</f>
        <v/>
      </c>
      <c r="BB650" s="193">
        <f>credit_sales_interest*BD650</f>
        <v/>
      </c>
      <c r="BC650" s="102">
        <f>IFERROR(IF($I$13&gt;0,$I650/$I$13,$S650/$S$13),0)</f>
        <v/>
      </c>
      <c r="BD650" s="102">
        <f>IFERROR($S650/$S$13,0)</f>
        <v/>
      </c>
      <c r="BE650" s="413" t="inlineStr">
        <is>
          <t>$</t>
        </is>
      </c>
    </row>
    <row r="651" ht="12" customFormat="1" customHeight="1" s="65">
      <c r="A651" s="43" t="n">
        <v>636</v>
      </c>
      <c r="B651" s="166" t="n"/>
      <c r="C651" s="166" t="n"/>
      <c r="D651" s="166" t="n"/>
      <c r="E651" s="162" t="n"/>
      <c r="F651" s="166" t="n"/>
      <c r="G651" s="162" t="n"/>
      <c r="H651" s="162" t="n"/>
      <c r="I651" s="189">
        <f>E651*G651</f>
        <v/>
      </c>
      <c r="J651" s="195" t="n"/>
      <c r="K651" s="162" t="n"/>
      <c r="L651" s="168" t="n"/>
      <c r="M651" s="75">
        <f>_xlfn.XLOOKUP(L651,list_vat[Страна],list_vat[Ставка НДС %],0,0)</f>
        <v/>
      </c>
      <c r="N651" s="162">
        <f>IFERROR(IF(L651="Китай",K651,K651/(1+M651)),0)</f>
        <v/>
      </c>
      <c r="O651" s="169" t="n"/>
      <c r="P651" s="76">
        <f>N651*(1-O651)</f>
        <v/>
      </c>
      <c r="Q651" s="162" t="n"/>
      <c r="R651" s="162">
        <f>IF(ISBLANK(Q651),"введи курс",P651/Q651)</f>
        <v/>
      </c>
      <c r="S651" s="196">
        <f>IF(AND(ISNUMBER(E651),ISNUMBER(Q651)),E651*R651,0)</f>
        <v/>
      </c>
      <c r="T651" s="192">
        <f>$BC651*V$11</f>
        <v/>
      </c>
      <c r="U651" s="76">
        <f>$BC651*W$11</f>
        <v/>
      </c>
      <c r="V651" s="193">
        <f>+SUM(T651:U651)</f>
        <v/>
      </c>
      <c r="W651" s="191" t="n"/>
      <c r="X651" s="170" t="n"/>
      <c r="Y651" s="76">
        <f>ROUND(IF(offer_incoterms="DDP",X651*(S651*(1+AW651)+T651),0),2)</f>
        <v/>
      </c>
      <c r="Z651" s="188" t="n"/>
      <c r="AA651" s="192">
        <f>IFERROR(AB651/E651,0)</f>
        <v/>
      </c>
      <c r="AB651" s="76">
        <f>ROUND(SUM(S651,V651,Y651:Z651,BA651:BB651),2)</f>
        <v/>
      </c>
      <c r="AC651" s="797" t="n"/>
      <c r="AD651" s="192">
        <f t="array" ref="AD651">IFERROR(ROUND((_xlfn.IFS(offer_sale_type="поставка",AB651,offer_sale_type="транзит",S651)*(1+AC651))/E651,2),0)</f>
        <v/>
      </c>
      <c r="AE651" s="76">
        <f>AD651*E651</f>
        <v/>
      </c>
      <c r="AF651" s="193">
        <f t="array" ref="AF651">IFERROR(ROUND(_xlfn.IFS(offer_sale_type="поставка",AB651,offer_sale_type="транзит",S651)*AC651,2),0)</f>
        <v/>
      </c>
      <c r="AG651" s="192">
        <f>$BD651*VLOOKUP($AG$3,$AF$4:$AG$7,2,FALSE)</f>
        <v/>
      </c>
      <c r="AH651" s="76">
        <f>SUM(AE651,AG651,AI651)*rate_forex_risk</f>
        <v/>
      </c>
      <c r="AI651" s="193">
        <f>IF(OR(seller_region="TR",offer_sale_type="экспорт"),0,rate_fin_comm)*SUM(AZ651,AZ651*AW651,T651)</f>
        <v/>
      </c>
      <c r="AJ651" s="118">
        <f>IFERROR(ROUND(SUM(AB651,AF651:AI651)/E651,2),0)</f>
        <v/>
      </c>
      <c r="AK651" s="76">
        <f>AJ651*E651</f>
        <v/>
      </c>
      <c r="AL651" s="174">
        <f>ROUND(IFERROR(AM651*E651,0),2)</f>
        <v/>
      </c>
      <c r="AM651" s="175">
        <f>ROUND(AJ651*(1+IF(offer_incoterms="DDP",IF((TODAY()+offer_turnaround_time)&gt;=helpsheet!$L$17,rate_vatRU_from_26,rate_vatRu_till_25),0)),2)</f>
        <v/>
      </c>
      <c r="AN651" s="192">
        <f>AL651-AK651</f>
        <v/>
      </c>
      <c r="AO651" s="76">
        <f>SUM(AY651,Y651:Z651,T651)*IF(AND(offer_incoterms="DDP",offer_sale_type&lt;&gt;"экспорт"),IF((TODAY()+offer_turnaround_time)&gt;=helpsheet!$L$17,rate_vatRU_from_26,rate_vatRu_till_25),0)</f>
        <v/>
      </c>
      <c r="AP651" s="193">
        <f>AN651-AO651</f>
        <v/>
      </c>
      <c r="AQ651" s="118">
        <f>IF(offer_sale_type="транзит",SUM(AF651:AI651,BA651,BB651),0)</f>
        <v/>
      </c>
      <c r="AR651" s="82">
        <f>HYPERLINK("https://www.alta.ru/tnved/code/")&amp;W651&amp;"/"</f>
        <v/>
      </c>
      <c r="AS651" s="157" t="n"/>
      <c r="AT651" s="162" t="n"/>
      <c r="AU651" s="76">
        <f>IF(ISBLANK(AT651),0,AJ651-AT651)</f>
        <v/>
      </c>
      <c r="AV651" s="157" t="n"/>
      <c r="AW651" s="75">
        <f>_xlfn.IFNA(VLOOKUP(L651,list_vat[],3,FALSE),0)</f>
        <v/>
      </c>
      <c r="AX651" s="76">
        <f>IFERROR(ROUND(S651*(1+AW651)/E651,2),0)</f>
        <v/>
      </c>
      <c r="AY651" s="76">
        <f>E651*AX651</f>
        <v/>
      </c>
      <c r="AZ651" s="192">
        <f>S651*(1+M651)</f>
        <v/>
      </c>
      <c r="BA651" s="76">
        <f>cost_fin_total*$BD651</f>
        <v/>
      </c>
      <c r="BB651" s="193">
        <f>credit_sales_interest*BD651</f>
        <v/>
      </c>
      <c r="BC651" s="102">
        <f>IFERROR(IF($I$13&gt;0,$I651/$I$13,$S651/$S$13),0)</f>
        <v/>
      </c>
      <c r="BD651" s="102">
        <f>IFERROR($S651/$S$13,0)</f>
        <v/>
      </c>
      <c r="BE651" s="413" t="inlineStr">
        <is>
          <t>$</t>
        </is>
      </c>
    </row>
    <row r="652" ht="12" customFormat="1" customHeight="1" s="65">
      <c r="A652" s="43" t="n">
        <v>637</v>
      </c>
      <c r="B652" s="166" t="n"/>
      <c r="C652" s="166" t="n"/>
      <c r="D652" s="166" t="n"/>
      <c r="E652" s="162" t="n"/>
      <c r="F652" s="166" t="n"/>
      <c r="G652" s="162" t="n"/>
      <c r="H652" s="162" t="n"/>
      <c r="I652" s="189">
        <f>E652*G652</f>
        <v/>
      </c>
      <c r="J652" s="195" t="n"/>
      <c r="K652" s="162" t="n"/>
      <c r="L652" s="168" t="n"/>
      <c r="M652" s="75">
        <f>_xlfn.XLOOKUP(L652,list_vat[Страна],list_vat[Ставка НДС %],0,0)</f>
        <v/>
      </c>
      <c r="N652" s="162">
        <f>IFERROR(IF(L652="Китай",K652,K652/(1+M652)),0)</f>
        <v/>
      </c>
      <c r="O652" s="169" t="n"/>
      <c r="P652" s="76">
        <f>N652*(1-O652)</f>
        <v/>
      </c>
      <c r="Q652" s="162" t="n"/>
      <c r="R652" s="162">
        <f>IF(ISBLANK(Q652),"введи курс",P652/Q652)</f>
        <v/>
      </c>
      <c r="S652" s="196">
        <f>IF(AND(ISNUMBER(E652),ISNUMBER(Q652)),E652*R652,0)</f>
        <v/>
      </c>
      <c r="T652" s="192">
        <f>$BC652*V$11</f>
        <v/>
      </c>
      <c r="U652" s="76">
        <f>$BC652*W$11</f>
        <v/>
      </c>
      <c r="V652" s="193">
        <f>+SUM(T652:U652)</f>
        <v/>
      </c>
      <c r="W652" s="191" t="n"/>
      <c r="X652" s="170" t="n"/>
      <c r="Y652" s="76">
        <f>ROUND(IF(offer_incoterms="DDP",X652*(S652*(1+AW652)+T652),0),2)</f>
        <v/>
      </c>
      <c r="Z652" s="188" t="n"/>
      <c r="AA652" s="192">
        <f>IFERROR(AB652/E652,0)</f>
        <v/>
      </c>
      <c r="AB652" s="76">
        <f>ROUND(SUM(S652,V652,Y652:Z652,BA652:BB652),2)</f>
        <v/>
      </c>
      <c r="AC652" s="797" t="n"/>
      <c r="AD652" s="192">
        <f t="array" ref="AD652">IFERROR(ROUND((_xlfn.IFS(offer_sale_type="поставка",AB652,offer_sale_type="транзит",S652)*(1+AC652))/E652,2),0)</f>
        <v/>
      </c>
      <c r="AE652" s="76">
        <f>AD652*E652</f>
        <v/>
      </c>
      <c r="AF652" s="193">
        <f t="array" ref="AF652">IFERROR(ROUND(_xlfn.IFS(offer_sale_type="поставка",AB652,offer_sale_type="транзит",S652)*AC652,2),0)</f>
        <v/>
      </c>
      <c r="AG652" s="192">
        <f>$BD652*VLOOKUP($AG$3,$AF$4:$AG$7,2,FALSE)</f>
        <v/>
      </c>
      <c r="AH652" s="76">
        <f>SUM(AE652,AG652,AI652)*rate_forex_risk</f>
        <v/>
      </c>
      <c r="AI652" s="193">
        <f>IF(OR(seller_region="TR",offer_sale_type="экспорт"),0,rate_fin_comm)*SUM(AZ652,AZ652*AW652,T652)</f>
        <v/>
      </c>
      <c r="AJ652" s="118">
        <f>IFERROR(ROUND(SUM(AB652,AF652:AI652)/E652,2),0)</f>
        <v/>
      </c>
      <c r="AK652" s="76">
        <f>AJ652*E652</f>
        <v/>
      </c>
      <c r="AL652" s="174">
        <f>ROUND(IFERROR(AM652*E652,0),2)</f>
        <v/>
      </c>
      <c r="AM652" s="175">
        <f>ROUND(AJ652*(1+IF(offer_incoterms="DDP",IF((TODAY()+offer_turnaround_time)&gt;=helpsheet!$L$17,rate_vatRU_from_26,rate_vatRu_till_25),0)),2)</f>
        <v/>
      </c>
      <c r="AN652" s="192">
        <f>AL652-AK652</f>
        <v/>
      </c>
      <c r="AO652" s="76">
        <f>SUM(AY652,Y652:Z652,T652)*IF(AND(offer_incoterms="DDP",offer_sale_type&lt;&gt;"экспорт"),IF((TODAY()+offer_turnaround_time)&gt;=helpsheet!$L$17,rate_vatRU_from_26,rate_vatRu_till_25),0)</f>
        <v/>
      </c>
      <c r="AP652" s="193">
        <f>AN652-AO652</f>
        <v/>
      </c>
      <c r="AQ652" s="118">
        <f>IF(offer_sale_type="транзит",SUM(AF652:AI652,BA652,BB652),0)</f>
        <v/>
      </c>
      <c r="AR652" s="82">
        <f>HYPERLINK("https://www.alta.ru/tnved/code/")&amp;W652&amp;"/"</f>
        <v/>
      </c>
      <c r="AS652" s="157" t="n"/>
      <c r="AT652" s="162" t="n"/>
      <c r="AU652" s="76">
        <f>IF(ISBLANK(AT652),0,AJ652-AT652)</f>
        <v/>
      </c>
      <c r="AV652" s="157" t="n"/>
      <c r="AW652" s="75">
        <f>_xlfn.IFNA(VLOOKUP(L652,list_vat[],3,FALSE),0)</f>
        <v/>
      </c>
      <c r="AX652" s="76">
        <f>IFERROR(ROUND(S652*(1+AW652)/E652,2),0)</f>
        <v/>
      </c>
      <c r="AY652" s="76">
        <f>E652*AX652</f>
        <v/>
      </c>
      <c r="AZ652" s="192">
        <f>S652*(1+M652)</f>
        <v/>
      </c>
      <c r="BA652" s="76">
        <f>cost_fin_total*$BD652</f>
        <v/>
      </c>
      <c r="BB652" s="193">
        <f>credit_sales_interest*BD652</f>
        <v/>
      </c>
      <c r="BC652" s="102">
        <f>IFERROR(IF($I$13&gt;0,$I652/$I$13,$S652/$S$13),0)</f>
        <v/>
      </c>
      <c r="BD652" s="102">
        <f>IFERROR($S652/$S$13,0)</f>
        <v/>
      </c>
      <c r="BE652" s="413" t="inlineStr">
        <is>
          <t>$</t>
        </is>
      </c>
    </row>
    <row r="653" ht="12" customFormat="1" customHeight="1" s="65">
      <c r="A653" s="43" t="n">
        <v>638</v>
      </c>
      <c r="B653" s="166" t="n"/>
      <c r="C653" s="166" t="n"/>
      <c r="D653" s="166" t="n"/>
      <c r="E653" s="162" t="n"/>
      <c r="F653" s="166" t="n"/>
      <c r="G653" s="162" t="n"/>
      <c r="H653" s="162" t="n"/>
      <c r="I653" s="189">
        <f>E653*G653</f>
        <v/>
      </c>
      <c r="J653" s="195" t="n"/>
      <c r="K653" s="162" t="n"/>
      <c r="L653" s="168" t="n"/>
      <c r="M653" s="75">
        <f>_xlfn.XLOOKUP(L653,list_vat[Страна],list_vat[Ставка НДС %],0,0)</f>
        <v/>
      </c>
      <c r="N653" s="162">
        <f>IFERROR(IF(L653="Китай",K653,K653/(1+M653)),0)</f>
        <v/>
      </c>
      <c r="O653" s="169" t="n"/>
      <c r="P653" s="76">
        <f>N653*(1-O653)</f>
        <v/>
      </c>
      <c r="Q653" s="162" t="n"/>
      <c r="R653" s="162">
        <f>IF(ISBLANK(Q653),"введи курс",P653/Q653)</f>
        <v/>
      </c>
      <c r="S653" s="196">
        <f>IF(AND(ISNUMBER(E653),ISNUMBER(Q653)),E653*R653,0)</f>
        <v/>
      </c>
      <c r="T653" s="192">
        <f>$BC653*V$11</f>
        <v/>
      </c>
      <c r="U653" s="76">
        <f>$BC653*W$11</f>
        <v/>
      </c>
      <c r="V653" s="193">
        <f>+SUM(T653:U653)</f>
        <v/>
      </c>
      <c r="W653" s="191" t="n"/>
      <c r="X653" s="170" t="n"/>
      <c r="Y653" s="76">
        <f>ROUND(IF(offer_incoterms="DDP",X653*(S653*(1+AW653)+T653),0),2)</f>
        <v/>
      </c>
      <c r="Z653" s="188" t="n"/>
      <c r="AA653" s="192">
        <f>IFERROR(AB653/E653,0)</f>
        <v/>
      </c>
      <c r="AB653" s="76">
        <f>ROUND(SUM(S653,V653,Y653:Z653,BA653:BB653),2)</f>
        <v/>
      </c>
      <c r="AC653" s="797" t="n"/>
      <c r="AD653" s="192">
        <f t="array" ref="AD653">IFERROR(ROUND((_xlfn.IFS(offer_sale_type="поставка",AB653,offer_sale_type="транзит",S653)*(1+AC653))/E653,2),0)</f>
        <v/>
      </c>
      <c r="AE653" s="76">
        <f>AD653*E653</f>
        <v/>
      </c>
      <c r="AF653" s="193">
        <f t="array" ref="AF653">IFERROR(ROUND(_xlfn.IFS(offer_sale_type="поставка",AB653,offer_sale_type="транзит",S653)*AC653,2),0)</f>
        <v/>
      </c>
      <c r="AG653" s="192">
        <f>$BD653*VLOOKUP($AG$3,$AF$4:$AG$7,2,FALSE)</f>
        <v/>
      </c>
      <c r="AH653" s="76">
        <f>SUM(AE653,AG653,AI653)*rate_forex_risk</f>
        <v/>
      </c>
      <c r="AI653" s="193">
        <f>IF(OR(seller_region="TR",offer_sale_type="экспорт"),0,rate_fin_comm)*SUM(AZ653,AZ653*AW653,T653)</f>
        <v/>
      </c>
      <c r="AJ653" s="118">
        <f>IFERROR(ROUND(SUM(AB653,AF653:AI653)/E653,2),0)</f>
        <v/>
      </c>
      <c r="AK653" s="76">
        <f>AJ653*E653</f>
        <v/>
      </c>
      <c r="AL653" s="174">
        <f>ROUND(IFERROR(AM653*E653,0),2)</f>
        <v/>
      </c>
      <c r="AM653" s="175">
        <f>ROUND(AJ653*(1+IF(offer_incoterms="DDP",IF((TODAY()+offer_turnaround_time)&gt;=helpsheet!$L$17,rate_vatRU_from_26,rate_vatRu_till_25),0)),2)</f>
        <v/>
      </c>
      <c r="AN653" s="192">
        <f>AL653-AK653</f>
        <v/>
      </c>
      <c r="AO653" s="76">
        <f>SUM(AY653,Y653:Z653,T653)*IF(AND(offer_incoterms="DDP",offer_sale_type&lt;&gt;"экспорт"),IF((TODAY()+offer_turnaround_time)&gt;=helpsheet!$L$17,rate_vatRU_from_26,rate_vatRu_till_25),0)</f>
        <v/>
      </c>
      <c r="AP653" s="193">
        <f>AN653-AO653</f>
        <v/>
      </c>
      <c r="AQ653" s="118">
        <f>IF(offer_sale_type="транзит",SUM(AF653:AI653,BA653,BB653),0)</f>
        <v/>
      </c>
      <c r="AR653" s="82">
        <f>HYPERLINK("https://www.alta.ru/tnved/code/")&amp;W653&amp;"/"</f>
        <v/>
      </c>
      <c r="AS653" s="157" t="n"/>
      <c r="AT653" s="162" t="n"/>
      <c r="AU653" s="76">
        <f>IF(ISBLANK(AT653),0,AJ653-AT653)</f>
        <v/>
      </c>
      <c r="AV653" s="157" t="n"/>
      <c r="AW653" s="75">
        <f>_xlfn.IFNA(VLOOKUP(L653,list_vat[],3,FALSE),0)</f>
        <v/>
      </c>
      <c r="AX653" s="76">
        <f>IFERROR(ROUND(S653*(1+AW653)/E653,2),0)</f>
        <v/>
      </c>
      <c r="AY653" s="76">
        <f>E653*AX653</f>
        <v/>
      </c>
      <c r="AZ653" s="192">
        <f>S653*(1+M653)</f>
        <v/>
      </c>
      <c r="BA653" s="76">
        <f>cost_fin_total*$BD653</f>
        <v/>
      </c>
      <c r="BB653" s="193">
        <f>credit_sales_interest*BD653</f>
        <v/>
      </c>
      <c r="BC653" s="102">
        <f>IFERROR(IF($I$13&gt;0,$I653/$I$13,$S653/$S$13),0)</f>
        <v/>
      </c>
      <c r="BD653" s="102">
        <f>IFERROR($S653/$S$13,0)</f>
        <v/>
      </c>
      <c r="BE653" s="413" t="inlineStr">
        <is>
          <t>$</t>
        </is>
      </c>
    </row>
    <row r="654" ht="12" customFormat="1" customHeight="1" s="65">
      <c r="A654" s="43" t="n">
        <v>639</v>
      </c>
      <c r="B654" s="166" t="n"/>
      <c r="C654" s="166" t="n"/>
      <c r="D654" s="166" t="n"/>
      <c r="E654" s="162" t="n"/>
      <c r="F654" s="166" t="n"/>
      <c r="G654" s="162" t="n"/>
      <c r="H654" s="162" t="n"/>
      <c r="I654" s="189">
        <f>E654*G654</f>
        <v/>
      </c>
      <c r="J654" s="195" t="n"/>
      <c r="K654" s="162" t="n"/>
      <c r="L654" s="168" t="n"/>
      <c r="M654" s="75">
        <f>_xlfn.XLOOKUP(L654,list_vat[Страна],list_vat[Ставка НДС %],0,0)</f>
        <v/>
      </c>
      <c r="N654" s="162">
        <f>IFERROR(IF(L654="Китай",K654,K654/(1+M654)),0)</f>
        <v/>
      </c>
      <c r="O654" s="169" t="n"/>
      <c r="P654" s="76">
        <f>N654*(1-O654)</f>
        <v/>
      </c>
      <c r="Q654" s="162" t="n"/>
      <c r="R654" s="162">
        <f>IF(ISBLANK(Q654),"введи курс",P654/Q654)</f>
        <v/>
      </c>
      <c r="S654" s="196">
        <f>IF(AND(ISNUMBER(E654),ISNUMBER(Q654)),E654*R654,0)</f>
        <v/>
      </c>
      <c r="T654" s="192">
        <f>$BC654*V$11</f>
        <v/>
      </c>
      <c r="U654" s="76">
        <f>$BC654*W$11</f>
        <v/>
      </c>
      <c r="V654" s="193">
        <f>+SUM(T654:U654)</f>
        <v/>
      </c>
      <c r="W654" s="191" t="n"/>
      <c r="X654" s="170" t="n"/>
      <c r="Y654" s="76">
        <f>ROUND(IF(offer_incoterms="DDP",X654*(S654*(1+AW654)+T654),0),2)</f>
        <v/>
      </c>
      <c r="Z654" s="188" t="n"/>
      <c r="AA654" s="192">
        <f>IFERROR(AB654/E654,0)</f>
        <v/>
      </c>
      <c r="AB654" s="76">
        <f>ROUND(SUM(S654,V654,Y654:Z654,BA654:BB654),2)</f>
        <v/>
      </c>
      <c r="AC654" s="797" t="n"/>
      <c r="AD654" s="192">
        <f t="array" ref="AD654">IFERROR(ROUND((_xlfn.IFS(offer_sale_type="поставка",AB654,offer_sale_type="транзит",S654)*(1+AC654))/E654,2),0)</f>
        <v/>
      </c>
      <c r="AE654" s="76">
        <f>AD654*E654</f>
        <v/>
      </c>
      <c r="AF654" s="193">
        <f t="array" ref="AF654">IFERROR(ROUND(_xlfn.IFS(offer_sale_type="поставка",AB654,offer_sale_type="транзит",S654)*AC654,2),0)</f>
        <v/>
      </c>
      <c r="AG654" s="192">
        <f>$BD654*VLOOKUP($AG$3,$AF$4:$AG$7,2,FALSE)</f>
        <v/>
      </c>
      <c r="AH654" s="76">
        <f>SUM(AE654,AG654,AI654)*rate_forex_risk</f>
        <v/>
      </c>
      <c r="AI654" s="193">
        <f>IF(OR(seller_region="TR",offer_sale_type="экспорт"),0,rate_fin_comm)*SUM(AZ654,AZ654*AW654,T654)</f>
        <v/>
      </c>
      <c r="AJ654" s="118">
        <f>IFERROR(ROUND(SUM(AB654,AF654:AI654)/E654,2),0)</f>
        <v/>
      </c>
      <c r="AK654" s="76">
        <f>AJ654*E654</f>
        <v/>
      </c>
      <c r="AL654" s="174">
        <f>ROUND(IFERROR(AM654*E654,0),2)</f>
        <v/>
      </c>
      <c r="AM654" s="175">
        <f>ROUND(AJ654*(1+IF(offer_incoterms="DDP",IF((TODAY()+offer_turnaround_time)&gt;=helpsheet!$L$17,rate_vatRU_from_26,rate_vatRu_till_25),0)),2)</f>
        <v/>
      </c>
      <c r="AN654" s="192">
        <f>AL654-AK654</f>
        <v/>
      </c>
      <c r="AO654" s="76">
        <f>SUM(AY654,Y654:Z654,T654)*IF(AND(offer_incoterms="DDP",offer_sale_type&lt;&gt;"экспорт"),IF((TODAY()+offer_turnaround_time)&gt;=helpsheet!$L$17,rate_vatRU_from_26,rate_vatRu_till_25),0)</f>
        <v/>
      </c>
      <c r="AP654" s="193">
        <f>AN654-AO654</f>
        <v/>
      </c>
      <c r="AQ654" s="118">
        <f>IF(offer_sale_type="транзит",SUM(AF654:AI654,BA654,BB654),0)</f>
        <v/>
      </c>
      <c r="AR654" s="82">
        <f>HYPERLINK("https://www.alta.ru/tnved/code/")&amp;W654&amp;"/"</f>
        <v/>
      </c>
      <c r="AS654" s="157" t="n"/>
      <c r="AT654" s="162" t="n"/>
      <c r="AU654" s="76">
        <f>IF(ISBLANK(AT654),0,AJ654-AT654)</f>
        <v/>
      </c>
      <c r="AV654" s="157" t="n"/>
      <c r="AW654" s="75">
        <f>_xlfn.IFNA(VLOOKUP(L654,list_vat[],3,FALSE),0)</f>
        <v/>
      </c>
      <c r="AX654" s="76">
        <f>IFERROR(ROUND(S654*(1+AW654)/E654,2),0)</f>
        <v/>
      </c>
      <c r="AY654" s="76">
        <f>E654*AX654</f>
        <v/>
      </c>
      <c r="AZ654" s="192">
        <f>S654*(1+M654)</f>
        <v/>
      </c>
      <c r="BA654" s="76">
        <f>cost_fin_total*$BD654</f>
        <v/>
      </c>
      <c r="BB654" s="193">
        <f>credit_sales_interest*BD654</f>
        <v/>
      </c>
      <c r="BC654" s="102">
        <f>IFERROR(IF($I$13&gt;0,$I654/$I$13,$S654/$S$13),0)</f>
        <v/>
      </c>
      <c r="BD654" s="102">
        <f>IFERROR($S654/$S$13,0)</f>
        <v/>
      </c>
      <c r="BE654" s="413" t="inlineStr">
        <is>
          <t>$</t>
        </is>
      </c>
    </row>
    <row r="655" ht="12" customFormat="1" customHeight="1" s="65">
      <c r="A655" s="43" t="n">
        <v>640</v>
      </c>
      <c r="B655" s="166" t="n"/>
      <c r="C655" s="166" t="n"/>
      <c r="D655" s="166" t="n"/>
      <c r="E655" s="162" t="n"/>
      <c r="F655" s="166" t="n"/>
      <c r="G655" s="162" t="n"/>
      <c r="H655" s="162" t="n"/>
      <c r="I655" s="189">
        <f>E655*G655</f>
        <v/>
      </c>
      <c r="J655" s="195" t="n"/>
      <c r="K655" s="162" t="n"/>
      <c r="L655" s="168" t="n"/>
      <c r="M655" s="75">
        <f>_xlfn.XLOOKUP(L655,list_vat[Страна],list_vat[Ставка НДС %],0,0)</f>
        <v/>
      </c>
      <c r="N655" s="162">
        <f>IFERROR(IF(L655="Китай",K655,K655/(1+M655)),0)</f>
        <v/>
      </c>
      <c r="O655" s="169" t="n"/>
      <c r="P655" s="76">
        <f>N655*(1-O655)</f>
        <v/>
      </c>
      <c r="Q655" s="162" t="n"/>
      <c r="R655" s="162">
        <f>IF(ISBLANK(Q655),"введи курс",P655/Q655)</f>
        <v/>
      </c>
      <c r="S655" s="196">
        <f>IF(AND(ISNUMBER(E655),ISNUMBER(Q655)),E655*R655,0)</f>
        <v/>
      </c>
      <c r="T655" s="192">
        <f>$BC655*V$11</f>
        <v/>
      </c>
      <c r="U655" s="76">
        <f>$BC655*W$11</f>
        <v/>
      </c>
      <c r="V655" s="193">
        <f>+SUM(T655:U655)</f>
        <v/>
      </c>
      <c r="W655" s="191" t="n"/>
      <c r="X655" s="170" t="n"/>
      <c r="Y655" s="76">
        <f>ROUND(IF(offer_incoterms="DDP",X655*(S655*(1+AW655)+T655),0),2)</f>
        <v/>
      </c>
      <c r="Z655" s="188" t="n"/>
      <c r="AA655" s="192">
        <f>IFERROR(AB655/E655,0)</f>
        <v/>
      </c>
      <c r="AB655" s="76">
        <f>ROUND(SUM(S655,V655,Y655:Z655,BA655:BB655),2)</f>
        <v/>
      </c>
      <c r="AC655" s="797" t="n"/>
      <c r="AD655" s="192">
        <f t="array" ref="AD655">IFERROR(ROUND((_xlfn.IFS(offer_sale_type="поставка",AB655,offer_sale_type="транзит",S655)*(1+AC655))/E655,2),0)</f>
        <v/>
      </c>
      <c r="AE655" s="76">
        <f>AD655*E655</f>
        <v/>
      </c>
      <c r="AF655" s="193">
        <f t="array" ref="AF655">IFERROR(ROUND(_xlfn.IFS(offer_sale_type="поставка",AB655,offer_sale_type="транзит",S655)*AC655,2),0)</f>
        <v/>
      </c>
      <c r="AG655" s="192">
        <f>$BD655*VLOOKUP($AG$3,$AF$4:$AG$7,2,FALSE)</f>
        <v/>
      </c>
      <c r="AH655" s="76">
        <f>SUM(AE655,AG655,AI655)*rate_forex_risk</f>
        <v/>
      </c>
      <c r="AI655" s="193">
        <f>IF(OR(seller_region="TR",offer_sale_type="экспорт"),0,rate_fin_comm)*SUM(AZ655,AZ655*AW655,T655)</f>
        <v/>
      </c>
      <c r="AJ655" s="118">
        <f>IFERROR(ROUND(SUM(AB655,AF655:AI655)/E655,2),0)</f>
        <v/>
      </c>
      <c r="AK655" s="76">
        <f>AJ655*E655</f>
        <v/>
      </c>
      <c r="AL655" s="174">
        <f>ROUND(IFERROR(AM655*E655,0),2)</f>
        <v/>
      </c>
      <c r="AM655" s="175">
        <f>ROUND(AJ655*(1+IF(offer_incoterms="DDP",IF((TODAY()+offer_turnaround_time)&gt;=helpsheet!$L$17,rate_vatRU_from_26,rate_vatRu_till_25),0)),2)</f>
        <v/>
      </c>
      <c r="AN655" s="192">
        <f>AL655-AK655</f>
        <v/>
      </c>
      <c r="AO655" s="76">
        <f>SUM(AY655,Y655:Z655,T655)*IF(AND(offer_incoterms="DDP",offer_sale_type&lt;&gt;"экспорт"),IF((TODAY()+offer_turnaround_time)&gt;=helpsheet!$L$17,rate_vatRU_from_26,rate_vatRu_till_25),0)</f>
        <v/>
      </c>
      <c r="AP655" s="193">
        <f>AN655-AO655</f>
        <v/>
      </c>
      <c r="AQ655" s="118">
        <f>IF(offer_sale_type="транзит",SUM(AF655:AI655,BA655,BB655),0)</f>
        <v/>
      </c>
      <c r="AR655" s="82">
        <f>HYPERLINK("https://www.alta.ru/tnved/code/")&amp;W655&amp;"/"</f>
        <v/>
      </c>
      <c r="AS655" s="157" t="n"/>
      <c r="AT655" s="162" t="n"/>
      <c r="AU655" s="76">
        <f>IF(ISBLANK(AT655),0,AJ655-AT655)</f>
        <v/>
      </c>
      <c r="AV655" s="157" t="n"/>
      <c r="AW655" s="75">
        <f>_xlfn.IFNA(VLOOKUP(L655,list_vat[],3,FALSE),0)</f>
        <v/>
      </c>
      <c r="AX655" s="76">
        <f>IFERROR(ROUND(S655*(1+AW655)/E655,2),0)</f>
        <v/>
      </c>
      <c r="AY655" s="76">
        <f>E655*AX655</f>
        <v/>
      </c>
      <c r="AZ655" s="192">
        <f>S655*(1+M655)</f>
        <v/>
      </c>
      <c r="BA655" s="76">
        <f>cost_fin_total*$BD655</f>
        <v/>
      </c>
      <c r="BB655" s="193">
        <f>credit_sales_interest*BD655</f>
        <v/>
      </c>
      <c r="BC655" s="102">
        <f>IFERROR(IF($I$13&gt;0,$I655/$I$13,$S655/$S$13),0)</f>
        <v/>
      </c>
      <c r="BD655" s="102">
        <f>IFERROR($S655/$S$13,0)</f>
        <v/>
      </c>
      <c r="BE655" s="413" t="inlineStr">
        <is>
          <t>$</t>
        </is>
      </c>
    </row>
    <row r="656" ht="12" customFormat="1" customHeight="1" s="65">
      <c r="A656" s="43" t="n">
        <v>641</v>
      </c>
      <c r="B656" s="166" t="n"/>
      <c r="C656" s="166" t="n"/>
      <c r="D656" s="166" t="n"/>
      <c r="E656" s="162" t="n"/>
      <c r="F656" s="166" t="n"/>
      <c r="G656" s="162" t="n"/>
      <c r="H656" s="162" t="n"/>
      <c r="I656" s="189">
        <f>E656*G656</f>
        <v/>
      </c>
      <c r="J656" s="195" t="n"/>
      <c r="K656" s="162" t="n"/>
      <c r="L656" s="168" t="n"/>
      <c r="M656" s="75">
        <f>_xlfn.XLOOKUP(L656,list_vat[Страна],list_vat[Ставка НДС %],0,0)</f>
        <v/>
      </c>
      <c r="N656" s="162">
        <f>IFERROR(IF(L656="Китай",K656,K656/(1+M656)),0)</f>
        <v/>
      </c>
      <c r="O656" s="169" t="n"/>
      <c r="P656" s="76">
        <f>N656*(1-O656)</f>
        <v/>
      </c>
      <c r="Q656" s="162" t="n"/>
      <c r="R656" s="162">
        <f>IF(ISBLANK(Q656),"введи курс",P656/Q656)</f>
        <v/>
      </c>
      <c r="S656" s="196">
        <f>IF(AND(ISNUMBER(E656),ISNUMBER(Q656)),E656*R656,0)</f>
        <v/>
      </c>
      <c r="T656" s="192">
        <f>$BC656*V$11</f>
        <v/>
      </c>
      <c r="U656" s="76">
        <f>$BC656*W$11</f>
        <v/>
      </c>
      <c r="V656" s="193">
        <f>+SUM(T656:U656)</f>
        <v/>
      </c>
      <c r="W656" s="191" t="n"/>
      <c r="X656" s="170" t="n"/>
      <c r="Y656" s="76">
        <f>ROUND(IF(offer_incoterms="DDP",X656*(S656*(1+AW656)+T656),0),2)</f>
        <v/>
      </c>
      <c r="Z656" s="188" t="n"/>
      <c r="AA656" s="192">
        <f>IFERROR(AB656/E656,0)</f>
        <v/>
      </c>
      <c r="AB656" s="76">
        <f>ROUND(SUM(S656,V656,Y656:Z656,BA656:BB656),2)</f>
        <v/>
      </c>
      <c r="AC656" s="797" t="n"/>
      <c r="AD656" s="192">
        <f t="array" ref="AD656">IFERROR(ROUND((_xlfn.IFS(offer_sale_type="поставка",AB656,offer_sale_type="транзит",S656)*(1+AC656))/E656,2),0)</f>
        <v/>
      </c>
      <c r="AE656" s="76">
        <f>AD656*E656</f>
        <v/>
      </c>
      <c r="AF656" s="193">
        <f t="array" ref="AF656">IFERROR(ROUND(_xlfn.IFS(offer_sale_type="поставка",AB656,offer_sale_type="транзит",S656)*AC656,2),0)</f>
        <v/>
      </c>
      <c r="AG656" s="192">
        <f>$BD656*VLOOKUP($AG$3,$AF$4:$AG$7,2,FALSE)</f>
        <v/>
      </c>
      <c r="AH656" s="76">
        <f>SUM(AE656,AG656,AI656)*rate_forex_risk</f>
        <v/>
      </c>
      <c r="AI656" s="193">
        <f>IF(OR(seller_region="TR",offer_sale_type="экспорт"),0,rate_fin_comm)*SUM(AZ656,AZ656*AW656,T656)</f>
        <v/>
      </c>
      <c r="AJ656" s="118">
        <f>IFERROR(ROUND(SUM(AB656,AF656:AI656)/E656,2),0)</f>
        <v/>
      </c>
      <c r="AK656" s="76">
        <f>AJ656*E656</f>
        <v/>
      </c>
      <c r="AL656" s="174">
        <f>ROUND(IFERROR(AM656*E656,0),2)</f>
        <v/>
      </c>
      <c r="AM656" s="175">
        <f>ROUND(AJ656*(1+IF(offer_incoterms="DDP",IF((TODAY()+offer_turnaround_time)&gt;=helpsheet!$L$17,rate_vatRU_from_26,rate_vatRu_till_25),0)),2)</f>
        <v/>
      </c>
      <c r="AN656" s="192">
        <f>AL656-AK656</f>
        <v/>
      </c>
      <c r="AO656" s="76">
        <f>SUM(AY656,Y656:Z656,T656)*IF(AND(offer_incoterms="DDP",offer_sale_type&lt;&gt;"экспорт"),IF((TODAY()+offer_turnaround_time)&gt;=helpsheet!$L$17,rate_vatRU_from_26,rate_vatRu_till_25),0)</f>
        <v/>
      </c>
      <c r="AP656" s="193">
        <f>AN656-AO656</f>
        <v/>
      </c>
      <c r="AQ656" s="118">
        <f>IF(offer_sale_type="транзит",SUM(AF656:AI656,BA656,BB656),0)</f>
        <v/>
      </c>
      <c r="AR656" s="82">
        <f>HYPERLINK("https://www.alta.ru/tnved/code/")&amp;W656&amp;"/"</f>
        <v/>
      </c>
      <c r="AS656" s="157" t="n"/>
      <c r="AT656" s="162" t="n"/>
      <c r="AU656" s="76">
        <f>IF(ISBLANK(AT656),0,AJ656-AT656)</f>
        <v/>
      </c>
      <c r="AV656" s="157" t="n"/>
      <c r="AW656" s="75">
        <f>_xlfn.IFNA(VLOOKUP(L656,list_vat[],3,FALSE),0)</f>
        <v/>
      </c>
      <c r="AX656" s="76">
        <f>IFERROR(ROUND(S656*(1+AW656)/E656,2),0)</f>
        <v/>
      </c>
      <c r="AY656" s="76">
        <f>E656*AX656</f>
        <v/>
      </c>
      <c r="AZ656" s="192">
        <f>S656*(1+M656)</f>
        <v/>
      </c>
      <c r="BA656" s="76">
        <f>cost_fin_total*$BD656</f>
        <v/>
      </c>
      <c r="BB656" s="193">
        <f>credit_sales_interest*BD656</f>
        <v/>
      </c>
      <c r="BC656" s="102">
        <f>IFERROR(IF($I$13&gt;0,$I656/$I$13,$S656/$S$13),0)</f>
        <v/>
      </c>
      <c r="BD656" s="102">
        <f>IFERROR($S656/$S$13,0)</f>
        <v/>
      </c>
      <c r="BE656" s="413" t="inlineStr">
        <is>
          <t>$</t>
        </is>
      </c>
    </row>
    <row r="657" ht="12" customFormat="1" customHeight="1" s="65">
      <c r="A657" s="43" t="n">
        <v>642</v>
      </c>
      <c r="B657" s="166" t="n"/>
      <c r="C657" s="166" t="n"/>
      <c r="D657" s="166" t="n"/>
      <c r="E657" s="162" t="n"/>
      <c r="F657" s="166" t="n"/>
      <c r="G657" s="162" t="n"/>
      <c r="H657" s="162" t="n"/>
      <c r="I657" s="189">
        <f>E657*G657</f>
        <v/>
      </c>
      <c r="J657" s="195" t="n"/>
      <c r="K657" s="162" t="n"/>
      <c r="L657" s="168" t="n"/>
      <c r="M657" s="75">
        <f>_xlfn.XLOOKUP(L657,list_vat[Страна],list_vat[Ставка НДС %],0,0)</f>
        <v/>
      </c>
      <c r="N657" s="162">
        <f>IFERROR(IF(L657="Китай",K657,K657/(1+M657)),0)</f>
        <v/>
      </c>
      <c r="O657" s="169" t="n"/>
      <c r="P657" s="76">
        <f>N657*(1-O657)</f>
        <v/>
      </c>
      <c r="Q657" s="162" t="n"/>
      <c r="R657" s="162">
        <f>IF(ISBLANK(Q657),"введи курс",P657/Q657)</f>
        <v/>
      </c>
      <c r="S657" s="196">
        <f>IF(AND(ISNUMBER(E657),ISNUMBER(Q657)),E657*R657,0)</f>
        <v/>
      </c>
      <c r="T657" s="192">
        <f>$BC657*V$11</f>
        <v/>
      </c>
      <c r="U657" s="76">
        <f>$BC657*W$11</f>
        <v/>
      </c>
      <c r="V657" s="193">
        <f>+SUM(T657:U657)</f>
        <v/>
      </c>
      <c r="W657" s="191" t="n"/>
      <c r="X657" s="170" t="n"/>
      <c r="Y657" s="76">
        <f>ROUND(IF(offer_incoterms="DDP",X657*(S657*(1+AW657)+T657),0),2)</f>
        <v/>
      </c>
      <c r="Z657" s="188" t="n"/>
      <c r="AA657" s="192">
        <f>IFERROR(AB657/E657,0)</f>
        <v/>
      </c>
      <c r="AB657" s="76">
        <f>ROUND(SUM(S657,V657,Y657:Z657,BA657:BB657),2)</f>
        <v/>
      </c>
      <c r="AC657" s="797" t="n"/>
      <c r="AD657" s="192">
        <f t="array" ref="AD657">IFERROR(ROUND((_xlfn.IFS(offer_sale_type="поставка",AB657,offer_sale_type="транзит",S657)*(1+AC657))/E657,2),0)</f>
        <v/>
      </c>
      <c r="AE657" s="76">
        <f>AD657*E657</f>
        <v/>
      </c>
      <c r="AF657" s="193">
        <f t="array" ref="AF657">IFERROR(ROUND(_xlfn.IFS(offer_sale_type="поставка",AB657,offer_sale_type="транзит",S657)*AC657,2),0)</f>
        <v/>
      </c>
      <c r="AG657" s="192">
        <f>$BD657*VLOOKUP($AG$3,$AF$4:$AG$7,2,FALSE)</f>
        <v/>
      </c>
      <c r="AH657" s="76">
        <f>SUM(AE657,AG657,AI657)*rate_forex_risk</f>
        <v/>
      </c>
      <c r="AI657" s="193">
        <f>IF(OR(seller_region="TR",offer_sale_type="экспорт"),0,rate_fin_comm)*SUM(AZ657,AZ657*AW657,T657)</f>
        <v/>
      </c>
      <c r="AJ657" s="118">
        <f>IFERROR(ROUND(SUM(AB657,AF657:AI657)/E657,2),0)</f>
        <v/>
      </c>
      <c r="AK657" s="76">
        <f>AJ657*E657</f>
        <v/>
      </c>
      <c r="AL657" s="174">
        <f>ROUND(IFERROR(AM657*E657,0),2)</f>
        <v/>
      </c>
      <c r="AM657" s="175">
        <f>ROUND(AJ657*(1+IF(offer_incoterms="DDP",IF((TODAY()+offer_turnaround_time)&gt;=helpsheet!$L$17,rate_vatRU_from_26,rate_vatRu_till_25),0)),2)</f>
        <v/>
      </c>
      <c r="AN657" s="192">
        <f>AL657-AK657</f>
        <v/>
      </c>
      <c r="AO657" s="76">
        <f>SUM(AY657,Y657:Z657,T657)*IF(AND(offer_incoterms="DDP",offer_sale_type&lt;&gt;"экспорт"),IF((TODAY()+offer_turnaround_time)&gt;=helpsheet!$L$17,rate_vatRU_from_26,rate_vatRu_till_25),0)</f>
        <v/>
      </c>
      <c r="AP657" s="193">
        <f>AN657-AO657</f>
        <v/>
      </c>
      <c r="AQ657" s="118">
        <f>IF(offer_sale_type="транзит",SUM(AF657:AI657,BA657,BB657),0)</f>
        <v/>
      </c>
      <c r="AR657" s="82">
        <f>HYPERLINK("https://www.alta.ru/tnved/code/")&amp;W657&amp;"/"</f>
        <v/>
      </c>
      <c r="AS657" s="157" t="n"/>
      <c r="AT657" s="162" t="n"/>
      <c r="AU657" s="76">
        <f>IF(ISBLANK(AT657),0,AJ657-AT657)</f>
        <v/>
      </c>
      <c r="AV657" s="157" t="n"/>
      <c r="AW657" s="75">
        <f>_xlfn.IFNA(VLOOKUP(L657,list_vat[],3,FALSE),0)</f>
        <v/>
      </c>
      <c r="AX657" s="76">
        <f>IFERROR(ROUND(S657*(1+AW657)/E657,2),0)</f>
        <v/>
      </c>
      <c r="AY657" s="76">
        <f>E657*AX657</f>
        <v/>
      </c>
      <c r="AZ657" s="192">
        <f>S657*(1+M657)</f>
        <v/>
      </c>
      <c r="BA657" s="76">
        <f>cost_fin_total*$BD657</f>
        <v/>
      </c>
      <c r="BB657" s="193">
        <f>credit_sales_interest*BD657</f>
        <v/>
      </c>
      <c r="BC657" s="102">
        <f>IFERROR(IF($I$13&gt;0,$I657/$I$13,$S657/$S$13),0)</f>
        <v/>
      </c>
      <c r="BD657" s="102">
        <f>IFERROR($S657/$S$13,0)</f>
        <v/>
      </c>
      <c r="BE657" s="413" t="inlineStr">
        <is>
          <t>$</t>
        </is>
      </c>
    </row>
    <row r="658" ht="12" customFormat="1" customHeight="1" s="65">
      <c r="A658" s="43" t="n">
        <v>643</v>
      </c>
      <c r="B658" s="166" t="n"/>
      <c r="C658" s="166" t="n"/>
      <c r="D658" s="166" t="n"/>
      <c r="E658" s="162" t="n"/>
      <c r="F658" s="166" t="n"/>
      <c r="G658" s="162" t="n"/>
      <c r="H658" s="162" t="n"/>
      <c r="I658" s="189">
        <f>E658*G658</f>
        <v/>
      </c>
      <c r="J658" s="195" t="n"/>
      <c r="K658" s="162" t="n"/>
      <c r="L658" s="168" t="n"/>
      <c r="M658" s="75">
        <f>_xlfn.XLOOKUP(L658,list_vat[Страна],list_vat[Ставка НДС %],0,0)</f>
        <v/>
      </c>
      <c r="N658" s="162">
        <f>IFERROR(IF(L658="Китай",K658,K658/(1+M658)),0)</f>
        <v/>
      </c>
      <c r="O658" s="169" t="n"/>
      <c r="P658" s="76">
        <f>N658*(1-O658)</f>
        <v/>
      </c>
      <c r="Q658" s="162" t="n"/>
      <c r="R658" s="162">
        <f>IF(ISBLANK(Q658),"введи курс",P658/Q658)</f>
        <v/>
      </c>
      <c r="S658" s="196">
        <f>IF(AND(ISNUMBER(E658),ISNUMBER(Q658)),E658*R658,0)</f>
        <v/>
      </c>
      <c r="T658" s="192">
        <f>$BC658*V$11</f>
        <v/>
      </c>
      <c r="U658" s="76">
        <f>$BC658*W$11</f>
        <v/>
      </c>
      <c r="V658" s="193">
        <f>+SUM(T658:U658)</f>
        <v/>
      </c>
      <c r="W658" s="191" t="n"/>
      <c r="X658" s="170" t="n"/>
      <c r="Y658" s="76">
        <f>ROUND(IF(offer_incoterms="DDP",X658*(S658*(1+AW658)+T658),0),2)</f>
        <v/>
      </c>
      <c r="Z658" s="188" t="n"/>
      <c r="AA658" s="192">
        <f>IFERROR(AB658/E658,0)</f>
        <v/>
      </c>
      <c r="AB658" s="76">
        <f>ROUND(SUM(S658,V658,Y658:Z658,BA658:BB658),2)</f>
        <v/>
      </c>
      <c r="AC658" s="797" t="n"/>
      <c r="AD658" s="192">
        <f t="array" ref="AD658">IFERROR(ROUND((_xlfn.IFS(offer_sale_type="поставка",AB658,offer_sale_type="транзит",S658)*(1+AC658))/E658,2),0)</f>
        <v/>
      </c>
      <c r="AE658" s="76">
        <f>AD658*E658</f>
        <v/>
      </c>
      <c r="AF658" s="193">
        <f t="array" ref="AF658">IFERROR(ROUND(_xlfn.IFS(offer_sale_type="поставка",AB658,offer_sale_type="транзит",S658)*AC658,2),0)</f>
        <v/>
      </c>
      <c r="AG658" s="192">
        <f>$BD658*VLOOKUP($AG$3,$AF$4:$AG$7,2,FALSE)</f>
        <v/>
      </c>
      <c r="AH658" s="76">
        <f>SUM(AE658,AG658,AI658)*rate_forex_risk</f>
        <v/>
      </c>
      <c r="AI658" s="193">
        <f>IF(OR(seller_region="TR",offer_sale_type="экспорт"),0,rate_fin_comm)*SUM(AZ658,AZ658*AW658,T658)</f>
        <v/>
      </c>
      <c r="AJ658" s="118">
        <f>IFERROR(ROUND(SUM(AB658,AF658:AI658)/E658,2),0)</f>
        <v/>
      </c>
      <c r="AK658" s="76">
        <f>AJ658*E658</f>
        <v/>
      </c>
      <c r="AL658" s="174">
        <f>ROUND(IFERROR(AM658*E658,0),2)</f>
        <v/>
      </c>
      <c r="AM658" s="175">
        <f>ROUND(AJ658*(1+IF(offer_incoterms="DDP",IF((TODAY()+offer_turnaround_time)&gt;=helpsheet!$L$17,rate_vatRU_from_26,rate_vatRu_till_25),0)),2)</f>
        <v/>
      </c>
      <c r="AN658" s="192">
        <f>AL658-AK658</f>
        <v/>
      </c>
      <c r="AO658" s="76">
        <f>SUM(AY658,Y658:Z658,T658)*IF(AND(offer_incoterms="DDP",offer_sale_type&lt;&gt;"экспорт"),IF((TODAY()+offer_turnaround_time)&gt;=helpsheet!$L$17,rate_vatRU_from_26,rate_vatRu_till_25),0)</f>
        <v/>
      </c>
      <c r="AP658" s="193">
        <f>AN658-AO658</f>
        <v/>
      </c>
      <c r="AQ658" s="118">
        <f>IF(offer_sale_type="транзит",SUM(AF658:AI658,BA658,BB658),0)</f>
        <v/>
      </c>
      <c r="AR658" s="82">
        <f>HYPERLINK("https://www.alta.ru/tnved/code/")&amp;W658&amp;"/"</f>
        <v/>
      </c>
      <c r="AS658" s="157" t="n"/>
      <c r="AT658" s="162" t="n"/>
      <c r="AU658" s="76">
        <f>IF(ISBLANK(AT658),0,AJ658-AT658)</f>
        <v/>
      </c>
      <c r="AV658" s="157" t="n"/>
      <c r="AW658" s="75">
        <f>_xlfn.IFNA(VLOOKUP(L658,list_vat[],3,FALSE),0)</f>
        <v/>
      </c>
      <c r="AX658" s="76">
        <f>IFERROR(ROUND(S658*(1+AW658)/E658,2),0)</f>
        <v/>
      </c>
      <c r="AY658" s="76">
        <f>E658*AX658</f>
        <v/>
      </c>
      <c r="AZ658" s="192">
        <f>S658*(1+M658)</f>
        <v/>
      </c>
      <c r="BA658" s="76">
        <f>cost_fin_total*$BD658</f>
        <v/>
      </c>
      <c r="BB658" s="193">
        <f>credit_sales_interest*BD658</f>
        <v/>
      </c>
      <c r="BC658" s="102">
        <f>IFERROR(IF($I$13&gt;0,$I658/$I$13,$S658/$S$13),0)</f>
        <v/>
      </c>
      <c r="BD658" s="102">
        <f>IFERROR($S658/$S$13,0)</f>
        <v/>
      </c>
      <c r="BE658" s="413" t="inlineStr">
        <is>
          <t>$</t>
        </is>
      </c>
    </row>
    <row r="659" ht="12" customFormat="1" customHeight="1" s="65">
      <c r="A659" s="43" t="n">
        <v>644</v>
      </c>
      <c r="B659" s="166" t="n"/>
      <c r="C659" s="166" t="n"/>
      <c r="D659" s="166" t="n"/>
      <c r="E659" s="162" t="n"/>
      <c r="F659" s="166" t="n"/>
      <c r="G659" s="162" t="n"/>
      <c r="H659" s="162" t="n"/>
      <c r="I659" s="189">
        <f>E659*G659</f>
        <v/>
      </c>
      <c r="J659" s="195" t="n"/>
      <c r="K659" s="162" t="n"/>
      <c r="L659" s="168" t="n"/>
      <c r="M659" s="75">
        <f>_xlfn.XLOOKUP(L659,list_vat[Страна],list_vat[Ставка НДС %],0,0)</f>
        <v/>
      </c>
      <c r="N659" s="162">
        <f>IFERROR(IF(L659="Китай",K659,K659/(1+M659)),0)</f>
        <v/>
      </c>
      <c r="O659" s="169" t="n"/>
      <c r="P659" s="76">
        <f>N659*(1-O659)</f>
        <v/>
      </c>
      <c r="Q659" s="162" t="n"/>
      <c r="R659" s="162">
        <f>IF(ISBLANK(Q659),"введи курс",P659/Q659)</f>
        <v/>
      </c>
      <c r="S659" s="196">
        <f>IF(AND(ISNUMBER(E659),ISNUMBER(Q659)),E659*R659,0)</f>
        <v/>
      </c>
      <c r="T659" s="192">
        <f>$BC659*V$11</f>
        <v/>
      </c>
      <c r="U659" s="76">
        <f>$BC659*W$11</f>
        <v/>
      </c>
      <c r="V659" s="193">
        <f>+SUM(T659:U659)</f>
        <v/>
      </c>
      <c r="W659" s="191" t="n"/>
      <c r="X659" s="170" t="n"/>
      <c r="Y659" s="76">
        <f>ROUND(IF(offer_incoterms="DDP",X659*(S659*(1+AW659)+T659),0),2)</f>
        <v/>
      </c>
      <c r="Z659" s="188" t="n"/>
      <c r="AA659" s="192">
        <f>IFERROR(AB659/E659,0)</f>
        <v/>
      </c>
      <c r="AB659" s="76">
        <f>ROUND(SUM(S659,V659,Y659:Z659,BA659:BB659),2)</f>
        <v/>
      </c>
      <c r="AC659" s="797" t="n"/>
      <c r="AD659" s="192">
        <f t="array" ref="AD659">IFERROR(ROUND((_xlfn.IFS(offer_sale_type="поставка",AB659,offer_sale_type="транзит",S659)*(1+AC659))/E659,2),0)</f>
        <v/>
      </c>
      <c r="AE659" s="76">
        <f>AD659*E659</f>
        <v/>
      </c>
      <c r="AF659" s="193">
        <f t="array" ref="AF659">IFERROR(ROUND(_xlfn.IFS(offer_sale_type="поставка",AB659,offer_sale_type="транзит",S659)*AC659,2),0)</f>
        <v/>
      </c>
      <c r="AG659" s="192">
        <f>$BD659*VLOOKUP($AG$3,$AF$4:$AG$7,2,FALSE)</f>
        <v/>
      </c>
      <c r="AH659" s="76">
        <f>SUM(AE659,AG659,AI659)*rate_forex_risk</f>
        <v/>
      </c>
      <c r="AI659" s="193">
        <f>IF(OR(seller_region="TR",offer_sale_type="экспорт"),0,rate_fin_comm)*SUM(AZ659,AZ659*AW659,T659)</f>
        <v/>
      </c>
      <c r="AJ659" s="118">
        <f>IFERROR(ROUND(SUM(AB659,AF659:AI659)/E659,2),0)</f>
        <v/>
      </c>
      <c r="AK659" s="76">
        <f>AJ659*E659</f>
        <v/>
      </c>
      <c r="AL659" s="174">
        <f>ROUND(IFERROR(AM659*E659,0),2)</f>
        <v/>
      </c>
      <c r="AM659" s="175">
        <f>ROUND(AJ659*(1+IF(offer_incoterms="DDP",IF((TODAY()+offer_turnaround_time)&gt;=helpsheet!$L$17,rate_vatRU_from_26,rate_vatRu_till_25),0)),2)</f>
        <v/>
      </c>
      <c r="AN659" s="192">
        <f>AL659-AK659</f>
        <v/>
      </c>
      <c r="AO659" s="76">
        <f>SUM(AY659,Y659:Z659,T659)*IF(AND(offer_incoterms="DDP",offer_sale_type&lt;&gt;"экспорт"),IF((TODAY()+offer_turnaround_time)&gt;=helpsheet!$L$17,rate_vatRU_from_26,rate_vatRu_till_25),0)</f>
        <v/>
      </c>
      <c r="AP659" s="193">
        <f>AN659-AO659</f>
        <v/>
      </c>
      <c r="AQ659" s="118">
        <f>IF(offer_sale_type="транзит",SUM(AF659:AI659,BA659,BB659),0)</f>
        <v/>
      </c>
      <c r="AR659" s="82">
        <f>HYPERLINK("https://www.alta.ru/tnved/code/")&amp;W659&amp;"/"</f>
        <v/>
      </c>
      <c r="AS659" s="157" t="n"/>
      <c r="AT659" s="162" t="n"/>
      <c r="AU659" s="76">
        <f>IF(ISBLANK(AT659),0,AJ659-AT659)</f>
        <v/>
      </c>
      <c r="AV659" s="157" t="n"/>
      <c r="AW659" s="75">
        <f>_xlfn.IFNA(VLOOKUP(L659,list_vat[],3,FALSE),0)</f>
        <v/>
      </c>
      <c r="AX659" s="76">
        <f>IFERROR(ROUND(S659*(1+AW659)/E659,2),0)</f>
        <v/>
      </c>
      <c r="AY659" s="76">
        <f>E659*AX659</f>
        <v/>
      </c>
      <c r="AZ659" s="192">
        <f>S659*(1+M659)</f>
        <v/>
      </c>
      <c r="BA659" s="76">
        <f>cost_fin_total*$BD659</f>
        <v/>
      </c>
      <c r="BB659" s="193">
        <f>credit_sales_interest*BD659</f>
        <v/>
      </c>
      <c r="BC659" s="102">
        <f>IFERROR(IF($I$13&gt;0,$I659/$I$13,$S659/$S$13),0)</f>
        <v/>
      </c>
      <c r="BD659" s="102">
        <f>IFERROR($S659/$S$13,0)</f>
        <v/>
      </c>
      <c r="BE659" s="413" t="inlineStr">
        <is>
          <t>$</t>
        </is>
      </c>
    </row>
    <row r="660" ht="12" customFormat="1" customHeight="1" s="65">
      <c r="A660" s="43" t="n">
        <v>645</v>
      </c>
      <c r="B660" s="166" t="n"/>
      <c r="C660" s="166" t="n"/>
      <c r="D660" s="166" t="n"/>
      <c r="E660" s="162" t="n"/>
      <c r="F660" s="166" t="n"/>
      <c r="G660" s="162" t="n"/>
      <c r="H660" s="162" t="n"/>
      <c r="I660" s="189">
        <f>E660*G660</f>
        <v/>
      </c>
      <c r="J660" s="195" t="n"/>
      <c r="K660" s="162" t="n"/>
      <c r="L660" s="168" t="n"/>
      <c r="M660" s="75">
        <f>_xlfn.XLOOKUP(L660,list_vat[Страна],list_vat[Ставка НДС %],0,0)</f>
        <v/>
      </c>
      <c r="N660" s="162">
        <f>IFERROR(IF(L660="Китай",K660,K660/(1+M660)),0)</f>
        <v/>
      </c>
      <c r="O660" s="169" t="n"/>
      <c r="P660" s="76">
        <f>N660*(1-O660)</f>
        <v/>
      </c>
      <c r="Q660" s="162" t="n"/>
      <c r="R660" s="162">
        <f>IF(ISBLANK(Q660),"введи курс",P660/Q660)</f>
        <v/>
      </c>
      <c r="S660" s="196">
        <f>IF(AND(ISNUMBER(E660),ISNUMBER(Q660)),E660*R660,0)</f>
        <v/>
      </c>
      <c r="T660" s="192">
        <f>$BC660*V$11</f>
        <v/>
      </c>
      <c r="U660" s="76">
        <f>$BC660*W$11</f>
        <v/>
      </c>
      <c r="V660" s="193">
        <f>+SUM(T660:U660)</f>
        <v/>
      </c>
      <c r="W660" s="191" t="n"/>
      <c r="X660" s="170" t="n"/>
      <c r="Y660" s="76">
        <f>ROUND(IF(offer_incoterms="DDP",X660*(S660*(1+AW660)+T660),0),2)</f>
        <v/>
      </c>
      <c r="Z660" s="188" t="n"/>
      <c r="AA660" s="192">
        <f>IFERROR(AB660/E660,0)</f>
        <v/>
      </c>
      <c r="AB660" s="76">
        <f>ROUND(SUM(S660,V660,Y660:Z660,BA660:BB660),2)</f>
        <v/>
      </c>
      <c r="AC660" s="797" t="n"/>
      <c r="AD660" s="192">
        <f t="array" ref="AD660">IFERROR(ROUND((_xlfn.IFS(offer_sale_type="поставка",AB660,offer_sale_type="транзит",S660)*(1+AC660))/E660,2),0)</f>
        <v/>
      </c>
      <c r="AE660" s="76">
        <f>AD660*E660</f>
        <v/>
      </c>
      <c r="AF660" s="193">
        <f t="array" ref="AF660">IFERROR(ROUND(_xlfn.IFS(offer_sale_type="поставка",AB660,offer_sale_type="транзит",S660)*AC660,2),0)</f>
        <v/>
      </c>
      <c r="AG660" s="192">
        <f>$BD660*VLOOKUP($AG$3,$AF$4:$AG$7,2,FALSE)</f>
        <v/>
      </c>
      <c r="AH660" s="76">
        <f>SUM(AE660,AG660,AI660)*rate_forex_risk</f>
        <v/>
      </c>
      <c r="AI660" s="193">
        <f>IF(OR(seller_region="TR",offer_sale_type="экспорт"),0,rate_fin_comm)*SUM(AZ660,AZ660*AW660,T660)</f>
        <v/>
      </c>
      <c r="AJ660" s="118">
        <f>IFERROR(ROUND(SUM(AB660,AF660:AI660)/E660,2),0)</f>
        <v/>
      </c>
      <c r="AK660" s="76">
        <f>AJ660*E660</f>
        <v/>
      </c>
      <c r="AL660" s="174">
        <f>ROUND(IFERROR(AM660*E660,0),2)</f>
        <v/>
      </c>
      <c r="AM660" s="175">
        <f>ROUND(AJ660*(1+IF(offer_incoterms="DDP",IF((TODAY()+offer_turnaround_time)&gt;=helpsheet!$L$17,rate_vatRU_from_26,rate_vatRu_till_25),0)),2)</f>
        <v/>
      </c>
      <c r="AN660" s="192">
        <f>AL660-AK660</f>
        <v/>
      </c>
      <c r="AO660" s="76">
        <f>SUM(AY660,Y660:Z660,T660)*IF(AND(offer_incoterms="DDP",offer_sale_type&lt;&gt;"экспорт"),IF((TODAY()+offer_turnaround_time)&gt;=helpsheet!$L$17,rate_vatRU_from_26,rate_vatRu_till_25),0)</f>
        <v/>
      </c>
      <c r="AP660" s="193">
        <f>AN660-AO660</f>
        <v/>
      </c>
      <c r="AQ660" s="118">
        <f>IF(offer_sale_type="транзит",SUM(AF660:AI660,BA660,BB660),0)</f>
        <v/>
      </c>
      <c r="AR660" s="82">
        <f>HYPERLINK("https://www.alta.ru/tnved/code/")&amp;W660&amp;"/"</f>
        <v/>
      </c>
      <c r="AS660" s="157" t="n"/>
      <c r="AT660" s="162" t="n"/>
      <c r="AU660" s="76">
        <f>IF(ISBLANK(AT660),0,AJ660-AT660)</f>
        <v/>
      </c>
      <c r="AV660" s="157" t="n"/>
      <c r="AW660" s="75">
        <f>_xlfn.IFNA(VLOOKUP(L660,list_vat[],3,FALSE),0)</f>
        <v/>
      </c>
      <c r="AX660" s="76">
        <f>IFERROR(ROUND(S660*(1+AW660)/E660,2),0)</f>
        <v/>
      </c>
      <c r="AY660" s="76">
        <f>E660*AX660</f>
        <v/>
      </c>
      <c r="AZ660" s="192">
        <f>S660*(1+M660)</f>
        <v/>
      </c>
      <c r="BA660" s="76">
        <f>cost_fin_total*$BD660</f>
        <v/>
      </c>
      <c r="BB660" s="193">
        <f>credit_sales_interest*BD660</f>
        <v/>
      </c>
      <c r="BC660" s="102">
        <f>IFERROR(IF($I$13&gt;0,$I660/$I$13,$S660/$S$13),0)</f>
        <v/>
      </c>
      <c r="BD660" s="102">
        <f>IFERROR($S660/$S$13,0)</f>
        <v/>
      </c>
      <c r="BE660" s="413" t="inlineStr">
        <is>
          <t>$</t>
        </is>
      </c>
    </row>
    <row r="661" ht="12" customFormat="1" customHeight="1" s="65">
      <c r="A661" s="43" t="n">
        <v>646</v>
      </c>
      <c r="B661" s="166" t="n"/>
      <c r="C661" s="166" t="n"/>
      <c r="D661" s="166" t="n"/>
      <c r="E661" s="162" t="n"/>
      <c r="F661" s="166" t="n"/>
      <c r="G661" s="162" t="n"/>
      <c r="H661" s="162" t="n"/>
      <c r="I661" s="189">
        <f>E661*G661</f>
        <v/>
      </c>
      <c r="J661" s="195" t="n"/>
      <c r="K661" s="162" t="n"/>
      <c r="L661" s="168" t="n"/>
      <c r="M661" s="75">
        <f>_xlfn.XLOOKUP(L661,list_vat[Страна],list_vat[Ставка НДС %],0,0)</f>
        <v/>
      </c>
      <c r="N661" s="162">
        <f>IFERROR(IF(L661="Китай",K661,K661/(1+M661)),0)</f>
        <v/>
      </c>
      <c r="O661" s="169" t="n"/>
      <c r="P661" s="76">
        <f>N661*(1-O661)</f>
        <v/>
      </c>
      <c r="Q661" s="162" t="n"/>
      <c r="R661" s="162">
        <f>IF(ISBLANK(Q661),"введи курс",P661/Q661)</f>
        <v/>
      </c>
      <c r="S661" s="196">
        <f>IF(AND(ISNUMBER(E661),ISNUMBER(Q661)),E661*R661,0)</f>
        <v/>
      </c>
      <c r="T661" s="192">
        <f>$BC661*V$11</f>
        <v/>
      </c>
      <c r="U661" s="76">
        <f>$BC661*W$11</f>
        <v/>
      </c>
      <c r="V661" s="193">
        <f>+SUM(T661:U661)</f>
        <v/>
      </c>
      <c r="W661" s="191" t="n"/>
      <c r="X661" s="170" t="n"/>
      <c r="Y661" s="76">
        <f>ROUND(IF(offer_incoterms="DDP",X661*(S661*(1+AW661)+T661),0),2)</f>
        <v/>
      </c>
      <c r="Z661" s="188" t="n"/>
      <c r="AA661" s="192">
        <f>IFERROR(AB661/E661,0)</f>
        <v/>
      </c>
      <c r="AB661" s="76">
        <f>ROUND(SUM(S661,V661,Y661:Z661,BA661:BB661),2)</f>
        <v/>
      </c>
      <c r="AC661" s="797" t="n"/>
      <c r="AD661" s="192">
        <f t="array" ref="AD661">IFERROR(ROUND((_xlfn.IFS(offer_sale_type="поставка",AB661,offer_sale_type="транзит",S661)*(1+AC661))/E661,2),0)</f>
        <v/>
      </c>
      <c r="AE661" s="76">
        <f>AD661*E661</f>
        <v/>
      </c>
      <c r="AF661" s="193">
        <f t="array" ref="AF661">IFERROR(ROUND(_xlfn.IFS(offer_sale_type="поставка",AB661,offer_sale_type="транзит",S661)*AC661,2),0)</f>
        <v/>
      </c>
      <c r="AG661" s="192">
        <f>$BD661*VLOOKUP($AG$3,$AF$4:$AG$7,2,FALSE)</f>
        <v/>
      </c>
      <c r="AH661" s="76">
        <f>SUM(AE661,AG661,AI661)*rate_forex_risk</f>
        <v/>
      </c>
      <c r="AI661" s="193">
        <f>IF(OR(seller_region="TR",offer_sale_type="экспорт"),0,rate_fin_comm)*SUM(AZ661,AZ661*AW661,T661)</f>
        <v/>
      </c>
      <c r="AJ661" s="118">
        <f>IFERROR(ROUND(SUM(AB661,AF661:AI661)/E661,2),0)</f>
        <v/>
      </c>
      <c r="AK661" s="76">
        <f>AJ661*E661</f>
        <v/>
      </c>
      <c r="AL661" s="174">
        <f>ROUND(IFERROR(AM661*E661,0),2)</f>
        <v/>
      </c>
      <c r="AM661" s="175">
        <f>ROUND(AJ661*(1+IF(offer_incoterms="DDP",IF((TODAY()+offer_turnaround_time)&gt;=helpsheet!$L$17,rate_vatRU_from_26,rate_vatRu_till_25),0)),2)</f>
        <v/>
      </c>
      <c r="AN661" s="192">
        <f>AL661-AK661</f>
        <v/>
      </c>
      <c r="AO661" s="76">
        <f>SUM(AY661,Y661:Z661,T661)*IF(AND(offer_incoterms="DDP",offer_sale_type&lt;&gt;"экспорт"),IF((TODAY()+offer_turnaround_time)&gt;=helpsheet!$L$17,rate_vatRU_from_26,rate_vatRu_till_25),0)</f>
        <v/>
      </c>
      <c r="AP661" s="193">
        <f>AN661-AO661</f>
        <v/>
      </c>
      <c r="AQ661" s="118">
        <f>IF(offer_sale_type="транзит",SUM(AF661:AI661,BA661,BB661),0)</f>
        <v/>
      </c>
      <c r="AR661" s="82">
        <f>HYPERLINK("https://www.alta.ru/tnved/code/")&amp;W661&amp;"/"</f>
        <v/>
      </c>
      <c r="AS661" s="157" t="n"/>
      <c r="AT661" s="162" t="n"/>
      <c r="AU661" s="76">
        <f>IF(ISBLANK(AT661),0,AJ661-AT661)</f>
        <v/>
      </c>
      <c r="AV661" s="157" t="n"/>
      <c r="AW661" s="75">
        <f>_xlfn.IFNA(VLOOKUP(L661,list_vat[],3,FALSE),0)</f>
        <v/>
      </c>
      <c r="AX661" s="76">
        <f>IFERROR(ROUND(S661*(1+AW661)/E661,2),0)</f>
        <v/>
      </c>
      <c r="AY661" s="76">
        <f>E661*AX661</f>
        <v/>
      </c>
      <c r="AZ661" s="192">
        <f>S661*(1+M661)</f>
        <v/>
      </c>
      <c r="BA661" s="76">
        <f>cost_fin_total*$BD661</f>
        <v/>
      </c>
      <c r="BB661" s="193">
        <f>credit_sales_interest*BD661</f>
        <v/>
      </c>
      <c r="BC661" s="102">
        <f>IFERROR(IF($I$13&gt;0,$I661/$I$13,$S661/$S$13),0)</f>
        <v/>
      </c>
      <c r="BD661" s="102">
        <f>IFERROR($S661/$S$13,0)</f>
        <v/>
      </c>
      <c r="BE661" s="413" t="inlineStr">
        <is>
          <t>$</t>
        </is>
      </c>
    </row>
    <row r="662" ht="12" customFormat="1" customHeight="1" s="65">
      <c r="A662" s="43" t="n">
        <v>647</v>
      </c>
      <c r="B662" s="166" t="n"/>
      <c r="C662" s="166" t="n"/>
      <c r="D662" s="166" t="n"/>
      <c r="E662" s="162" t="n"/>
      <c r="F662" s="166" t="n"/>
      <c r="G662" s="162" t="n"/>
      <c r="H662" s="162" t="n"/>
      <c r="I662" s="189">
        <f>E662*G662</f>
        <v/>
      </c>
      <c r="J662" s="195" t="n"/>
      <c r="K662" s="162" t="n"/>
      <c r="L662" s="168" t="n"/>
      <c r="M662" s="75">
        <f>_xlfn.XLOOKUP(L662,list_vat[Страна],list_vat[Ставка НДС %],0,0)</f>
        <v/>
      </c>
      <c r="N662" s="162">
        <f>IFERROR(IF(L662="Китай",K662,K662/(1+M662)),0)</f>
        <v/>
      </c>
      <c r="O662" s="169" t="n"/>
      <c r="P662" s="76">
        <f>N662*(1-O662)</f>
        <v/>
      </c>
      <c r="Q662" s="162" t="n"/>
      <c r="R662" s="162">
        <f>IF(ISBLANK(Q662),"введи курс",P662/Q662)</f>
        <v/>
      </c>
      <c r="S662" s="196">
        <f>IF(AND(ISNUMBER(E662),ISNUMBER(Q662)),E662*R662,0)</f>
        <v/>
      </c>
      <c r="T662" s="192">
        <f>$BC662*V$11</f>
        <v/>
      </c>
      <c r="U662" s="76">
        <f>$BC662*W$11</f>
        <v/>
      </c>
      <c r="V662" s="193">
        <f>+SUM(T662:U662)</f>
        <v/>
      </c>
      <c r="W662" s="191" t="n"/>
      <c r="X662" s="170" t="n"/>
      <c r="Y662" s="76">
        <f>ROUND(IF(offer_incoterms="DDP",X662*(S662*(1+AW662)+T662),0),2)</f>
        <v/>
      </c>
      <c r="Z662" s="188" t="n"/>
      <c r="AA662" s="192">
        <f>IFERROR(AB662/E662,0)</f>
        <v/>
      </c>
      <c r="AB662" s="76">
        <f>ROUND(SUM(S662,V662,Y662:Z662,BA662:BB662),2)</f>
        <v/>
      </c>
      <c r="AC662" s="797" t="n"/>
      <c r="AD662" s="192">
        <f t="array" ref="AD662">IFERROR(ROUND((_xlfn.IFS(offer_sale_type="поставка",AB662,offer_sale_type="транзит",S662)*(1+AC662))/E662,2),0)</f>
        <v/>
      </c>
      <c r="AE662" s="76">
        <f>AD662*E662</f>
        <v/>
      </c>
      <c r="AF662" s="193">
        <f t="array" ref="AF662">IFERROR(ROUND(_xlfn.IFS(offer_sale_type="поставка",AB662,offer_sale_type="транзит",S662)*AC662,2),0)</f>
        <v/>
      </c>
      <c r="AG662" s="192">
        <f>$BD662*VLOOKUP($AG$3,$AF$4:$AG$7,2,FALSE)</f>
        <v/>
      </c>
      <c r="AH662" s="76">
        <f>SUM(AE662,AG662,AI662)*rate_forex_risk</f>
        <v/>
      </c>
      <c r="AI662" s="193">
        <f>IF(OR(seller_region="TR",offer_sale_type="экспорт"),0,rate_fin_comm)*SUM(AZ662,AZ662*AW662,T662)</f>
        <v/>
      </c>
      <c r="AJ662" s="118">
        <f>IFERROR(ROUND(SUM(AB662,AF662:AI662)/E662,2),0)</f>
        <v/>
      </c>
      <c r="AK662" s="76">
        <f>AJ662*E662</f>
        <v/>
      </c>
      <c r="AL662" s="174">
        <f>ROUND(IFERROR(AM662*E662,0),2)</f>
        <v/>
      </c>
      <c r="AM662" s="175">
        <f>ROUND(AJ662*(1+IF(offer_incoterms="DDP",IF((TODAY()+offer_turnaround_time)&gt;=helpsheet!$L$17,rate_vatRU_from_26,rate_vatRu_till_25),0)),2)</f>
        <v/>
      </c>
      <c r="AN662" s="192">
        <f>AL662-AK662</f>
        <v/>
      </c>
      <c r="AO662" s="76">
        <f>SUM(AY662,Y662:Z662,T662)*IF(AND(offer_incoterms="DDP",offer_sale_type&lt;&gt;"экспорт"),IF((TODAY()+offer_turnaround_time)&gt;=helpsheet!$L$17,rate_vatRU_from_26,rate_vatRu_till_25),0)</f>
        <v/>
      </c>
      <c r="AP662" s="193">
        <f>AN662-AO662</f>
        <v/>
      </c>
      <c r="AQ662" s="118">
        <f>IF(offer_sale_type="транзит",SUM(AF662:AI662,BA662,BB662),0)</f>
        <v/>
      </c>
      <c r="AR662" s="82">
        <f>HYPERLINK("https://www.alta.ru/tnved/code/")&amp;W662&amp;"/"</f>
        <v/>
      </c>
      <c r="AS662" s="157" t="n"/>
      <c r="AT662" s="162" t="n"/>
      <c r="AU662" s="76">
        <f>IF(ISBLANK(AT662),0,AJ662-AT662)</f>
        <v/>
      </c>
      <c r="AV662" s="157" t="n"/>
      <c r="AW662" s="75">
        <f>_xlfn.IFNA(VLOOKUP(L662,list_vat[],3,FALSE),0)</f>
        <v/>
      </c>
      <c r="AX662" s="76">
        <f>IFERROR(ROUND(S662*(1+AW662)/E662,2),0)</f>
        <v/>
      </c>
      <c r="AY662" s="76">
        <f>E662*AX662</f>
        <v/>
      </c>
      <c r="AZ662" s="192">
        <f>S662*(1+M662)</f>
        <v/>
      </c>
      <c r="BA662" s="76">
        <f>cost_fin_total*$BD662</f>
        <v/>
      </c>
      <c r="BB662" s="193">
        <f>credit_sales_interest*BD662</f>
        <v/>
      </c>
      <c r="BC662" s="102">
        <f>IFERROR(IF($I$13&gt;0,$I662/$I$13,$S662/$S$13),0)</f>
        <v/>
      </c>
      <c r="BD662" s="102">
        <f>IFERROR($S662/$S$13,0)</f>
        <v/>
      </c>
      <c r="BE662" s="413" t="inlineStr">
        <is>
          <t>$</t>
        </is>
      </c>
    </row>
    <row r="663" ht="12" customFormat="1" customHeight="1" s="65">
      <c r="A663" s="43" t="n">
        <v>648</v>
      </c>
      <c r="B663" s="166" t="n"/>
      <c r="C663" s="166" t="n"/>
      <c r="D663" s="166" t="n"/>
      <c r="E663" s="162" t="n"/>
      <c r="F663" s="166" t="n"/>
      <c r="G663" s="162" t="n"/>
      <c r="H663" s="162" t="n"/>
      <c r="I663" s="189">
        <f>E663*G663</f>
        <v/>
      </c>
      <c r="J663" s="195" t="n"/>
      <c r="K663" s="162" t="n"/>
      <c r="L663" s="168" t="n"/>
      <c r="M663" s="75">
        <f>_xlfn.XLOOKUP(L663,list_vat[Страна],list_vat[Ставка НДС %],0,0)</f>
        <v/>
      </c>
      <c r="N663" s="162">
        <f>IFERROR(IF(L663="Китай",K663,K663/(1+M663)),0)</f>
        <v/>
      </c>
      <c r="O663" s="169" t="n"/>
      <c r="P663" s="76">
        <f>N663*(1-O663)</f>
        <v/>
      </c>
      <c r="Q663" s="162" t="n"/>
      <c r="R663" s="162">
        <f>IF(ISBLANK(Q663),"введи курс",P663/Q663)</f>
        <v/>
      </c>
      <c r="S663" s="196">
        <f>IF(AND(ISNUMBER(E663),ISNUMBER(Q663)),E663*R663,0)</f>
        <v/>
      </c>
      <c r="T663" s="192">
        <f>$BC663*V$11</f>
        <v/>
      </c>
      <c r="U663" s="76">
        <f>$BC663*W$11</f>
        <v/>
      </c>
      <c r="V663" s="193">
        <f>+SUM(T663:U663)</f>
        <v/>
      </c>
      <c r="W663" s="191" t="n"/>
      <c r="X663" s="170" t="n"/>
      <c r="Y663" s="76">
        <f>ROUND(IF(offer_incoterms="DDP",X663*(S663*(1+AW663)+T663),0),2)</f>
        <v/>
      </c>
      <c r="Z663" s="188" t="n"/>
      <c r="AA663" s="192">
        <f>IFERROR(AB663/E663,0)</f>
        <v/>
      </c>
      <c r="AB663" s="76">
        <f>ROUND(SUM(S663,V663,Y663:Z663,BA663:BB663),2)</f>
        <v/>
      </c>
      <c r="AC663" s="797" t="n"/>
      <c r="AD663" s="192">
        <f t="array" ref="AD663">IFERROR(ROUND((_xlfn.IFS(offer_sale_type="поставка",AB663,offer_sale_type="транзит",S663)*(1+AC663))/E663,2),0)</f>
        <v/>
      </c>
      <c r="AE663" s="76">
        <f>AD663*E663</f>
        <v/>
      </c>
      <c r="AF663" s="193">
        <f t="array" ref="AF663">IFERROR(ROUND(_xlfn.IFS(offer_sale_type="поставка",AB663,offer_sale_type="транзит",S663)*AC663,2),0)</f>
        <v/>
      </c>
      <c r="AG663" s="192">
        <f>$BD663*VLOOKUP($AG$3,$AF$4:$AG$7,2,FALSE)</f>
        <v/>
      </c>
      <c r="AH663" s="76">
        <f>SUM(AE663,AG663,AI663)*rate_forex_risk</f>
        <v/>
      </c>
      <c r="AI663" s="193">
        <f>IF(OR(seller_region="TR",offer_sale_type="экспорт"),0,rate_fin_comm)*SUM(AZ663,AZ663*AW663,T663)</f>
        <v/>
      </c>
      <c r="AJ663" s="118">
        <f>IFERROR(ROUND(SUM(AB663,AF663:AI663)/E663,2),0)</f>
        <v/>
      </c>
      <c r="AK663" s="76">
        <f>AJ663*E663</f>
        <v/>
      </c>
      <c r="AL663" s="174">
        <f>ROUND(IFERROR(AM663*E663,0),2)</f>
        <v/>
      </c>
      <c r="AM663" s="175">
        <f>ROUND(AJ663*(1+IF(offer_incoterms="DDP",IF((TODAY()+offer_turnaround_time)&gt;=helpsheet!$L$17,rate_vatRU_from_26,rate_vatRu_till_25),0)),2)</f>
        <v/>
      </c>
      <c r="AN663" s="192">
        <f>AL663-AK663</f>
        <v/>
      </c>
      <c r="AO663" s="76">
        <f>SUM(AY663,Y663:Z663,T663)*IF(AND(offer_incoterms="DDP",offer_sale_type&lt;&gt;"экспорт"),IF((TODAY()+offer_turnaround_time)&gt;=helpsheet!$L$17,rate_vatRU_from_26,rate_vatRu_till_25),0)</f>
        <v/>
      </c>
      <c r="AP663" s="193">
        <f>AN663-AO663</f>
        <v/>
      </c>
      <c r="AQ663" s="118">
        <f>IF(offer_sale_type="транзит",SUM(AF663:AI663,BA663,BB663),0)</f>
        <v/>
      </c>
      <c r="AR663" s="82">
        <f>HYPERLINK("https://www.alta.ru/tnved/code/")&amp;W663&amp;"/"</f>
        <v/>
      </c>
      <c r="AS663" s="157" t="n"/>
      <c r="AT663" s="162" t="n"/>
      <c r="AU663" s="76">
        <f>IF(ISBLANK(AT663),0,AJ663-AT663)</f>
        <v/>
      </c>
      <c r="AV663" s="157" t="n"/>
      <c r="AW663" s="75">
        <f>_xlfn.IFNA(VLOOKUP(L663,list_vat[],3,FALSE),0)</f>
        <v/>
      </c>
      <c r="AX663" s="76">
        <f>IFERROR(ROUND(S663*(1+AW663)/E663,2),0)</f>
        <v/>
      </c>
      <c r="AY663" s="76">
        <f>E663*AX663</f>
        <v/>
      </c>
      <c r="AZ663" s="192">
        <f>S663*(1+M663)</f>
        <v/>
      </c>
      <c r="BA663" s="76">
        <f>cost_fin_total*$BD663</f>
        <v/>
      </c>
      <c r="BB663" s="193">
        <f>credit_sales_interest*BD663</f>
        <v/>
      </c>
      <c r="BC663" s="102">
        <f>IFERROR(IF($I$13&gt;0,$I663/$I$13,$S663/$S$13),0)</f>
        <v/>
      </c>
      <c r="BD663" s="102">
        <f>IFERROR($S663/$S$13,0)</f>
        <v/>
      </c>
      <c r="BE663" s="413" t="inlineStr">
        <is>
          <t>$</t>
        </is>
      </c>
    </row>
    <row r="664" ht="12" customFormat="1" customHeight="1" s="65">
      <c r="A664" s="43" t="n">
        <v>649</v>
      </c>
      <c r="B664" s="166" t="n"/>
      <c r="C664" s="166" t="n"/>
      <c r="D664" s="166" t="n"/>
      <c r="E664" s="162" t="n"/>
      <c r="F664" s="166" t="n"/>
      <c r="G664" s="162" t="n"/>
      <c r="H664" s="162" t="n"/>
      <c r="I664" s="189">
        <f>E664*G664</f>
        <v/>
      </c>
      <c r="J664" s="195" t="n"/>
      <c r="K664" s="162" t="n"/>
      <c r="L664" s="168" t="n"/>
      <c r="M664" s="75">
        <f>_xlfn.XLOOKUP(L664,list_vat[Страна],list_vat[Ставка НДС %],0,0)</f>
        <v/>
      </c>
      <c r="N664" s="162">
        <f>IFERROR(IF(L664="Китай",K664,K664/(1+M664)),0)</f>
        <v/>
      </c>
      <c r="O664" s="169" t="n"/>
      <c r="P664" s="76">
        <f>N664*(1-O664)</f>
        <v/>
      </c>
      <c r="Q664" s="162" t="n"/>
      <c r="R664" s="162">
        <f>IF(ISBLANK(Q664),"введи курс",P664/Q664)</f>
        <v/>
      </c>
      <c r="S664" s="196">
        <f>IF(AND(ISNUMBER(E664),ISNUMBER(Q664)),E664*R664,0)</f>
        <v/>
      </c>
      <c r="T664" s="192">
        <f>$BC664*V$11</f>
        <v/>
      </c>
      <c r="U664" s="76">
        <f>$BC664*W$11</f>
        <v/>
      </c>
      <c r="V664" s="193">
        <f>+SUM(T664:U664)</f>
        <v/>
      </c>
      <c r="W664" s="191" t="n"/>
      <c r="X664" s="170" t="n"/>
      <c r="Y664" s="76">
        <f>ROUND(IF(offer_incoterms="DDP",X664*(S664*(1+AW664)+T664),0),2)</f>
        <v/>
      </c>
      <c r="Z664" s="188" t="n"/>
      <c r="AA664" s="192">
        <f>IFERROR(AB664/E664,0)</f>
        <v/>
      </c>
      <c r="AB664" s="76">
        <f>ROUND(SUM(S664,V664,Y664:Z664,BA664:BB664),2)</f>
        <v/>
      </c>
      <c r="AC664" s="797" t="n"/>
      <c r="AD664" s="192">
        <f t="array" ref="AD664">IFERROR(ROUND((_xlfn.IFS(offer_sale_type="поставка",AB664,offer_sale_type="транзит",S664)*(1+AC664))/E664,2),0)</f>
        <v/>
      </c>
      <c r="AE664" s="76">
        <f>AD664*E664</f>
        <v/>
      </c>
      <c r="AF664" s="193">
        <f t="array" ref="AF664">IFERROR(ROUND(_xlfn.IFS(offer_sale_type="поставка",AB664,offer_sale_type="транзит",S664)*AC664,2),0)</f>
        <v/>
      </c>
      <c r="AG664" s="192">
        <f>$BD664*VLOOKUP($AG$3,$AF$4:$AG$7,2,FALSE)</f>
        <v/>
      </c>
      <c r="AH664" s="76">
        <f>SUM(AE664,AG664,AI664)*rate_forex_risk</f>
        <v/>
      </c>
      <c r="AI664" s="193">
        <f>IF(OR(seller_region="TR",offer_sale_type="экспорт"),0,rate_fin_comm)*SUM(AZ664,AZ664*AW664,T664)</f>
        <v/>
      </c>
      <c r="AJ664" s="118">
        <f>IFERROR(ROUND(SUM(AB664,AF664:AI664)/E664,2),0)</f>
        <v/>
      </c>
      <c r="AK664" s="76">
        <f>AJ664*E664</f>
        <v/>
      </c>
      <c r="AL664" s="174">
        <f>ROUND(IFERROR(AM664*E664,0),2)</f>
        <v/>
      </c>
      <c r="AM664" s="175">
        <f>ROUND(AJ664*(1+IF(offer_incoterms="DDP",IF((TODAY()+offer_turnaround_time)&gt;=helpsheet!$L$17,rate_vatRU_from_26,rate_vatRu_till_25),0)),2)</f>
        <v/>
      </c>
      <c r="AN664" s="192">
        <f>AL664-AK664</f>
        <v/>
      </c>
      <c r="AO664" s="76">
        <f>SUM(AY664,Y664:Z664,T664)*IF(AND(offer_incoterms="DDP",offer_sale_type&lt;&gt;"экспорт"),IF((TODAY()+offer_turnaround_time)&gt;=helpsheet!$L$17,rate_vatRU_from_26,rate_vatRu_till_25),0)</f>
        <v/>
      </c>
      <c r="AP664" s="193">
        <f>AN664-AO664</f>
        <v/>
      </c>
      <c r="AQ664" s="118">
        <f>IF(offer_sale_type="транзит",SUM(AF664:AI664,BA664,BB664),0)</f>
        <v/>
      </c>
      <c r="AR664" s="82">
        <f>HYPERLINK("https://www.alta.ru/tnved/code/")&amp;W664&amp;"/"</f>
        <v/>
      </c>
      <c r="AS664" s="157" t="n"/>
      <c r="AT664" s="162" t="n"/>
      <c r="AU664" s="76">
        <f>IF(ISBLANK(AT664),0,AJ664-AT664)</f>
        <v/>
      </c>
      <c r="AV664" s="157" t="n"/>
      <c r="AW664" s="75">
        <f>_xlfn.IFNA(VLOOKUP(L664,list_vat[],3,FALSE),0)</f>
        <v/>
      </c>
      <c r="AX664" s="76">
        <f>IFERROR(ROUND(S664*(1+AW664)/E664,2),0)</f>
        <v/>
      </c>
      <c r="AY664" s="76">
        <f>E664*AX664</f>
        <v/>
      </c>
      <c r="AZ664" s="192">
        <f>S664*(1+M664)</f>
        <v/>
      </c>
      <c r="BA664" s="76">
        <f>cost_fin_total*$BD664</f>
        <v/>
      </c>
      <c r="BB664" s="193">
        <f>credit_sales_interest*BD664</f>
        <v/>
      </c>
      <c r="BC664" s="102">
        <f>IFERROR(IF($I$13&gt;0,$I664/$I$13,$S664/$S$13),0)</f>
        <v/>
      </c>
      <c r="BD664" s="102">
        <f>IFERROR($S664/$S$13,0)</f>
        <v/>
      </c>
      <c r="BE664" s="413" t="inlineStr">
        <is>
          <t>$</t>
        </is>
      </c>
    </row>
    <row r="665" ht="12" customFormat="1" customHeight="1" s="65">
      <c r="A665" s="43" t="n">
        <v>650</v>
      </c>
      <c r="B665" s="166" t="n"/>
      <c r="C665" s="166" t="n"/>
      <c r="D665" s="166" t="n"/>
      <c r="E665" s="162" t="n"/>
      <c r="F665" s="166" t="n"/>
      <c r="G665" s="162" t="n"/>
      <c r="H665" s="162" t="n"/>
      <c r="I665" s="189">
        <f>E665*G665</f>
        <v/>
      </c>
      <c r="J665" s="195" t="n"/>
      <c r="K665" s="162" t="n"/>
      <c r="L665" s="168" t="n"/>
      <c r="M665" s="75">
        <f>_xlfn.XLOOKUP(L665,list_vat[Страна],list_vat[Ставка НДС %],0,0)</f>
        <v/>
      </c>
      <c r="N665" s="162">
        <f>IFERROR(IF(L665="Китай",K665,K665/(1+M665)),0)</f>
        <v/>
      </c>
      <c r="O665" s="169" t="n"/>
      <c r="P665" s="76">
        <f>N665*(1-O665)</f>
        <v/>
      </c>
      <c r="Q665" s="162" t="n"/>
      <c r="R665" s="162">
        <f>IF(ISBLANK(Q665),"введи курс",P665/Q665)</f>
        <v/>
      </c>
      <c r="S665" s="196">
        <f>IF(AND(ISNUMBER(E665),ISNUMBER(Q665)),E665*R665,0)</f>
        <v/>
      </c>
      <c r="T665" s="192">
        <f>$BC665*V$11</f>
        <v/>
      </c>
      <c r="U665" s="76">
        <f>$BC665*W$11</f>
        <v/>
      </c>
      <c r="V665" s="193">
        <f>+SUM(T665:U665)</f>
        <v/>
      </c>
      <c r="W665" s="191" t="n"/>
      <c r="X665" s="170" t="n"/>
      <c r="Y665" s="76">
        <f>ROUND(IF(offer_incoterms="DDP",X665*(S665*(1+AW665)+T665),0),2)</f>
        <v/>
      </c>
      <c r="Z665" s="188" t="n"/>
      <c r="AA665" s="192">
        <f>IFERROR(AB665/E665,0)</f>
        <v/>
      </c>
      <c r="AB665" s="76">
        <f>ROUND(SUM(S665,V665,Y665:Z665,BA665:BB665),2)</f>
        <v/>
      </c>
      <c r="AC665" s="797" t="n"/>
      <c r="AD665" s="192">
        <f t="array" ref="AD665">IFERROR(ROUND((_xlfn.IFS(offer_sale_type="поставка",AB665,offer_sale_type="транзит",S665)*(1+AC665))/E665,2),0)</f>
        <v/>
      </c>
      <c r="AE665" s="76">
        <f>AD665*E665</f>
        <v/>
      </c>
      <c r="AF665" s="193">
        <f t="array" ref="AF665">IFERROR(ROUND(_xlfn.IFS(offer_sale_type="поставка",AB665,offer_sale_type="транзит",S665)*AC665,2),0)</f>
        <v/>
      </c>
      <c r="AG665" s="192">
        <f>$BD665*VLOOKUP($AG$3,$AF$4:$AG$7,2,FALSE)</f>
        <v/>
      </c>
      <c r="AH665" s="76">
        <f>SUM(AE665,AG665,AI665)*rate_forex_risk</f>
        <v/>
      </c>
      <c r="AI665" s="193">
        <f>IF(OR(seller_region="TR",offer_sale_type="экспорт"),0,rate_fin_comm)*SUM(AZ665,AZ665*AW665,T665)</f>
        <v/>
      </c>
      <c r="AJ665" s="118">
        <f>IFERROR(ROUND(SUM(AB665,AF665:AI665)/E665,2),0)</f>
        <v/>
      </c>
      <c r="AK665" s="76">
        <f>AJ665*E665</f>
        <v/>
      </c>
      <c r="AL665" s="174">
        <f>ROUND(IFERROR(AM665*E665,0),2)</f>
        <v/>
      </c>
      <c r="AM665" s="175">
        <f>ROUND(AJ665*(1+IF(offer_incoterms="DDP",IF((TODAY()+offer_turnaround_time)&gt;=helpsheet!$L$17,rate_vatRU_from_26,rate_vatRu_till_25),0)),2)</f>
        <v/>
      </c>
      <c r="AN665" s="192">
        <f>AL665-AK665</f>
        <v/>
      </c>
      <c r="AO665" s="76">
        <f>SUM(AY665,Y665:Z665,T665)*IF(AND(offer_incoterms="DDP",offer_sale_type&lt;&gt;"экспорт"),IF((TODAY()+offer_turnaround_time)&gt;=helpsheet!$L$17,rate_vatRU_from_26,rate_vatRu_till_25),0)</f>
        <v/>
      </c>
      <c r="AP665" s="193">
        <f>AN665-AO665</f>
        <v/>
      </c>
      <c r="AQ665" s="118">
        <f>IF(offer_sale_type="транзит",SUM(AF665:AI665,BA665,BB665),0)</f>
        <v/>
      </c>
      <c r="AR665" s="82">
        <f>HYPERLINK("https://www.alta.ru/tnved/code/")&amp;W665&amp;"/"</f>
        <v/>
      </c>
      <c r="AS665" s="157" t="n"/>
      <c r="AT665" s="162" t="n"/>
      <c r="AU665" s="76">
        <f>IF(ISBLANK(AT665),0,AJ665-AT665)</f>
        <v/>
      </c>
      <c r="AV665" s="157" t="n"/>
      <c r="AW665" s="75">
        <f>_xlfn.IFNA(VLOOKUP(L665,list_vat[],3,FALSE),0)</f>
        <v/>
      </c>
      <c r="AX665" s="76">
        <f>IFERROR(ROUND(S665*(1+AW665)/E665,2),0)</f>
        <v/>
      </c>
      <c r="AY665" s="76">
        <f>E665*AX665</f>
        <v/>
      </c>
      <c r="AZ665" s="192">
        <f>S665*(1+M665)</f>
        <v/>
      </c>
      <c r="BA665" s="76">
        <f>cost_fin_total*$BD665</f>
        <v/>
      </c>
      <c r="BB665" s="193">
        <f>credit_sales_interest*BD665</f>
        <v/>
      </c>
      <c r="BC665" s="102">
        <f>IFERROR(IF($I$13&gt;0,$I665/$I$13,$S665/$S$13),0)</f>
        <v/>
      </c>
      <c r="BD665" s="102">
        <f>IFERROR($S665/$S$13,0)</f>
        <v/>
      </c>
      <c r="BE665" s="413" t="inlineStr">
        <is>
          <t>$</t>
        </is>
      </c>
    </row>
    <row r="666" ht="12" customFormat="1" customHeight="1" s="65">
      <c r="A666" s="43" t="n">
        <v>651</v>
      </c>
      <c r="B666" s="166" t="n"/>
      <c r="C666" s="166" t="n"/>
      <c r="D666" s="166" t="n"/>
      <c r="E666" s="162" t="n"/>
      <c r="F666" s="166" t="n"/>
      <c r="G666" s="162" t="n"/>
      <c r="H666" s="162" t="n"/>
      <c r="I666" s="189">
        <f>E666*G666</f>
        <v/>
      </c>
      <c r="J666" s="195" t="n"/>
      <c r="K666" s="162" t="n"/>
      <c r="L666" s="168" t="n"/>
      <c r="M666" s="75">
        <f>_xlfn.XLOOKUP(L666,list_vat[Страна],list_vat[Ставка НДС %],0,0)</f>
        <v/>
      </c>
      <c r="N666" s="162">
        <f>IFERROR(IF(L666="Китай",K666,K666/(1+M666)),0)</f>
        <v/>
      </c>
      <c r="O666" s="169" t="n"/>
      <c r="P666" s="76">
        <f>N666*(1-O666)</f>
        <v/>
      </c>
      <c r="Q666" s="162" t="n"/>
      <c r="R666" s="162">
        <f>IF(ISBLANK(Q666),"введи курс",P666/Q666)</f>
        <v/>
      </c>
      <c r="S666" s="196">
        <f>IF(AND(ISNUMBER(E666),ISNUMBER(Q666)),E666*R666,0)</f>
        <v/>
      </c>
      <c r="T666" s="192">
        <f>$BC666*V$11</f>
        <v/>
      </c>
      <c r="U666" s="76">
        <f>$BC666*W$11</f>
        <v/>
      </c>
      <c r="V666" s="193">
        <f>+SUM(T666:U666)</f>
        <v/>
      </c>
      <c r="W666" s="191" t="n"/>
      <c r="X666" s="170" t="n"/>
      <c r="Y666" s="76">
        <f>ROUND(IF(offer_incoterms="DDP",X666*(S666*(1+AW666)+T666),0),2)</f>
        <v/>
      </c>
      <c r="Z666" s="188" t="n"/>
      <c r="AA666" s="192">
        <f>IFERROR(AB666/E666,0)</f>
        <v/>
      </c>
      <c r="AB666" s="76">
        <f>ROUND(SUM(S666,V666,Y666:Z666,BA666:BB666),2)</f>
        <v/>
      </c>
      <c r="AC666" s="797" t="n"/>
      <c r="AD666" s="192">
        <f t="array" ref="AD666">IFERROR(ROUND((_xlfn.IFS(offer_sale_type="поставка",AB666,offer_sale_type="транзит",S666)*(1+AC666))/E666,2),0)</f>
        <v/>
      </c>
      <c r="AE666" s="76">
        <f>AD666*E666</f>
        <v/>
      </c>
      <c r="AF666" s="193">
        <f t="array" ref="AF666">IFERROR(ROUND(_xlfn.IFS(offer_sale_type="поставка",AB666,offer_sale_type="транзит",S666)*AC666,2),0)</f>
        <v/>
      </c>
      <c r="AG666" s="192">
        <f>$BD666*VLOOKUP($AG$3,$AF$4:$AG$7,2,FALSE)</f>
        <v/>
      </c>
      <c r="AH666" s="76">
        <f>SUM(AE666,AG666,AI666)*rate_forex_risk</f>
        <v/>
      </c>
      <c r="AI666" s="193">
        <f>IF(OR(seller_region="TR",offer_sale_type="экспорт"),0,rate_fin_comm)*SUM(AZ666,AZ666*AW666,T666)</f>
        <v/>
      </c>
      <c r="AJ666" s="118">
        <f>IFERROR(ROUND(SUM(AB666,AF666:AI666)/E666,2),0)</f>
        <v/>
      </c>
      <c r="AK666" s="76">
        <f>AJ666*E666</f>
        <v/>
      </c>
      <c r="AL666" s="174">
        <f>ROUND(IFERROR(AM666*E666,0),2)</f>
        <v/>
      </c>
      <c r="AM666" s="175">
        <f>ROUND(AJ666*(1+IF(offer_incoterms="DDP",IF((TODAY()+offer_turnaround_time)&gt;=helpsheet!$L$17,rate_vatRU_from_26,rate_vatRu_till_25),0)),2)</f>
        <v/>
      </c>
      <c r="AN666" s="192">
        <f>AL666-AK666</f>
        <v/>
      </c>
      <c r="AO666" s="76">
        <f>SUM(AY666,Y666:Z666,T666)*IF(AND(offer_incoterms="DDP",offer_sale_type&lt;&gt;"экспорт"),IF((TODAY()+offer_turnaround_time)&gt;=helpsheet!$L$17,rate_vatRU_from_26,rate_vatRu_till_25),0)</f>
        <v/>
      </c>
      <c r="AP666" s="193">
        <f>AN666-AO666</f>
        <v/>
      </c>
      <c r="AQ666" s="118">
        <f>IF(offer_sale_type="транзит",SUM(AF666:AI666,BA666,BB666),0)</f>
        <v/>
      </c>
      <c r="AR666" s="82">
        <f>HYPERLINK("https://www.alta.ru/tnved/code/")&amp;W666&amp;"/"</f>
        <v/>
      </c>
      <c r="AS666" s="157" t="n"/>
      <c r="AT666" s="162" t="n"/>
      <c r="AU666" s="76">
        <f>IF(ISBLANK(AT666),0,AJ666-AT666)</f>
        <v/>
      </c>
      <c r="AV666" s="157" t="n"/>
      <c r="AW666" s="75">
        <f>_xlfn.IFNA(VLOOKUP(L666,list_vat[],3,FALSE),0)</f>
        <v/>
      </c>
      <c r="AX666" s="76">
        <f>IFERROR(ROUND(S666*(1+AW666)/E666,2),0)</f>
        <v/>
      </c>
      <c r="AY666" s="76">
        <f>E666*AX666</f>
        <v/>
      </c>
      <c r="AZ666" s="192">
        <f>S666*(1+M666)</f>
        <v/>
      </c>
      <c r="BA666" s="76">
        <f>cost_fin_total*$BD666</f>
        <v/>
      </c>
      <c r="BB666" s="193">
        <f>credit_sales_interest*BD666</f>
        <v/>
      </c>
      <c r="BC666" s="102">
        <f>IFERROR(IF($I$13&gt;0,$I666/$I$13,$S666/$S$13),0)</f>
        <v/>
      </c>
      <c r="BD666" s="102">
        <f>IFERROR($S666/$S$13,0)</f>
        <v/>
      </c>
      <c r="BE666" s="413" t="inlineStr">
        <is>
          <t>$</t>
        </is>
      </c>
    </row>
    <row r="667" ht="12" customFormat="1" customHeight="1" s="65">
      <c r="A667" s="43" t="n">
        <v>652</v>
      </c>
      <c r="B667" s="166" t="n"/>
      <c r="C667" s="166" t="n"/>
      <c r="D667" s="166" t="n"/>
      <c r="E667" s="162" t="n"/>
      <c r="F667" s="166" t="n"/>
      <c r="G667" s="162" t="n"/>
      <c r="H667" s="162" t="n"/>
      <c r="I667" s="189">
        <f>E667*G667</f>
        <v/>
      </c>
      <c r="J667" s="195" t="n"/>
      <c r="K667" s="162" t="n"/>
      <c r="L667" s="168" t="n"/>
      <c r="M667" s="75">
        <f>_xlfn.XLOOKUP(L667,list_vat[Страна],list_vat[Ставка НДС %],0,0)</f>
        <v/>
      </c>
      <c r="N667" s="162">
        <f>IFERROR(IF(L667="Китай",K667,K667/(1+M667)),0)</f>
        <v/>
      </c>
      <c r="O667" s="169" t="n"/>
      <c r="P667" s="76">
        <f>N667*(1-O667)</f>
        <v/>
      </c>
      <c r="Q667" s="162" t="n"/>
      <c r="R667" s="162">
        <f>IF(ISBLANK(Q667),"введи курс",P667/Q667)</f>
        <v/>
      </c>
      <c r="S667" s="196">
        <f>IF(AND(ISNUMBER(E667),ISNUMBER(Q667)),E667*R667,0)</f>
        <v/>
      </c>
      <c r="T667" s="192">
        <f>$BC667*V$11</f>
        <v/>
      </c>
      <c r="U667" s="76">
        <f>$BC667*W$11</f>
        <v/>
      </c>
      <c r="V667" s="193">
        <f>+SUM(T667:U667)</f>
        <v/>
      </c>
      <c r="W667" s="191" t="n"/>
      <c r="X667" s="170" t="n"/>
      <c r="Y667" s="76">
        <f>ROUND(IF(offer_incoterms="DDP",X667*(S667*(1+AW667)+T667),0),2)</f>
        <v/>
      </c>
      <c r="Z667" s="188" t="n"/>
      <c r="AA667" s="192">
        <f>IFERROR(AB667/E667,0)</f>
        <v/>
      </c>
      <c r="AB667" s="76">
        <f>ROUND(SUM(S667,V667,Y667:Z667,BA667:BB667),2)</f>
        <v/>
      </c>
      <c r="AC667" s="797" t="n"/>
      <c r="AD667" s="192">
        <f t="array" ref="AD667">IFERROR(ROUND((_xlfn.IFS(offer_sale_type="поставка",AB667,offer_sale_type="транзит",S667)*(1+AC667))/E667,2),0)</f>
        <v/>
      </c>
      <c r="AE667" s="76">
        <f>AD667*E667</f>
        <v/>
      </c>
      <c r="AF667" s="193">
        <f t="array" ref="AF667">IFERROR(ROUND(_xlfn.IFS(offer_sale_type="поставка",AB667,offer_sale_type="транзит",S667)*AC667,2),0)</f>
        <v/>
      </c>
      <c r="AG667" s="192">
        <f>$BD667*VLOOKUP($AG$3,$AF$4:$AG$7,2,FALSE)</f>
        <v/>
      </c>
      <c r="AH667" s="76">
        <f>SUM(AE667,AG667,AI667)*rate_forex_risk</f>
        <v/>
      </c>
      <c r="AI667" s="193">
        <f>IF(OR(seller_region="TR",offer_sale_type="экспорт"),0,rate_fin_comm)*SUM(AZ667,AZ667*AW667,T667)</f>
        <v/>
      </c>
      <c r="AJ667" s="118">
        <f>IFERROR(ROUND(SUM(AB667,AF667:AI667)/E667,2),0)</f>
        <v/>
      </c>
      <c r="AK667" s="76">
        <f>AJ667*E667</f>
        <v/>
      </c>
      <c r="AL667" s="174">
        <f>ROUND(IFERROR(AM667*E667,0),2)</f>
        <v/>
      </c>
      <c r="AM667" s="175">
        <f>ROUND(AJ667*(1+IF(offer_incoterms="DDP",IF((TODAY()+offer_turnaround_time)&gt;=helpsheet!$L$17,rate_vatRU_from_26,rate_vatRu_till_25),0)),2)</f>
        <v/>
      </c>
      <c r="AN667" s="192">
        <f>AL667-AK667</f>
        <v/>
      </c>
      <c r="AO667" s="76">
        <f>SUM(AY667,Y667:Z667,T667)*IF(AND(offer_incoterms="DDP",offer_sale_type&lt;&gt;"экспорт"),IF((TODAY()+offer_turnaround_time)&gt;=helpsheet!$L$17,rate_vatRU_from_26,rate_vatRu_till_25),0)</f>
        <v/>
      </c>
      <c r="AP667" s="193">
        <f>AN667-AO667</f>
        <v/>
      </c>
      <c r="AQ667" s="118">
        <f>IF(offer_sale_type="транзит",SUM(AF667:AI667,BA667,BB667),0)</f>
        <v/>
      </c>
      <c r="AR667" s="82">
        <f>HYPERLINK("https://www.alta.ru/tnved/code/")&amp;W667&amp;"/"</f>
        <v/>
      </c>
      <c r="AS667" s="157" t="n"/>
      <c r="AT667" s="162" t="n"/>
      <c r="AU667" s="76">
        <f>IF(ISBLANK(AT667),0,AJ667-AT667)</f>
        <v/>
      </c>
      <c r="AV667" s="157" t="n"/>
      <c r="AW667" s="75">
        <f>_xlfn.IFNA(VLOOKUP(L667,list_vat[],3,FALSE),0)</f>
        <v/>
      </c>
      <c r="AX667" s="76">
        <f>IFERROR(ROUND(S667*(1+AW667)/E667,2),0)</f>
        <v/>
      </c>
      <c r="AY667" s="76">
        <f>E667*AX667</f>
        <v/>
      </c>
      <c r="AZ667" s="192">
        <f>S667*(1+M667)</f>
        <v/>
      </c>
      <c r="BA667" s="76">
        <f>cost_fin_total*$BD667</f>
        <v/>
      </c>
      <c r="BB667" s="193">
        <f>credit_sales_interest*BD667</f>
        <v/>
      </c>
      <c r="BC667" s="102">
        <f>IFERROR(IF($I$13&gt;0,$I667/$I$13,$S667/$S$13),0)</f>
        <v/>
      </c>
      <c r="BD667" s="102">
        <f>IFERROR($S667/$S$13,0)</f>
        <v/>
      </c>
      <c r="BE667" s="413" t="inlineStr">
        <is>
          <t>$</t>
        </is>
      </c>
    </row>
    <row r="668" ht="12" customFormat="1" customHeight="1" s="65">
      <c r="A668" s="43" t="n">
        <v>653</v>
      </c>
      <c r="B668" s="166" t="n"/>
      <c r="C668" s="166" t="n"/>
      <c r="D668" s="166" t="n"/>
      <c r="E668" s="162" t="n"/>
      <c r="F668" s="166" t="n"/>
      <c r="G668" s="162" t="n"/>
      <c r="H668" s="162" t="n"/>
      <c r="I668" s="189">
        <f>E668*G668</f>
        <v/>
      </c>
      <c r="J668" s="195" t="n"/>
      <c r="K668" s="162" t="n"/>
      <c r="L668" s="168" t="n"/>
      <c r="M668" s="75">
        <f>_xlfn.XLOOKUP(L668,list_vat[Страна],list_vat[Ставка НДС %],0,0)</f>
        <v/>
      </c>
      <c r="N668" s="162">
        <f>IFERROR(IF(L668="Китай",K668,K668/(1+M668)),0)</f>
        <v/>
      </c>
      <c r="O668" s="169" t="n"/>
      <c r="P668" s="76">
        <f>N668*(1-O668)</f>
        <v/>
      </c>
      <c r="Q668" s="162" t="n"/>
      <c r="R668" s="162">
        <f>IF(ISBLANK(Q668),"введи курс",P668/Q668)</f>
        <v/>
      </c>
      <c r="S668" s="196">
        <f>IF(AND(ISNUMBER(E668),ISNUMBER(Q668)),E668*R668,0)</f>
        <v/>
      </c>
      <c r="T668" s="192">
        <f>$BC668*V$11</f>
        <v/>
      </c>
      <c r="U668" s="76">
        <f>$BC668*W$11</f>
        <v/>
      </c>
      <c r="V668" s="193">
        <f>+SUM(T668:U668)</f>
        <v/>
      </c>
      <c r="W668" s="191" t="n"/>
      <c r="X668" s="170" t="n"/>
      <c r="Y668" s="76">
        <f>ROUND(IF(offer_incoterms="DDP",X668*(S668*(1+AW668)+T668),0),2)</f>
        <v/>
      </c>
      <c r="Z668" s="188" t="n"/>
      <c r="AA668" s="192">
        <f>IFERROR(AB668/E668,0)</f>
        <v/>
      </c>
      <c r="AB668" s="76">
        <f>ROUND(SUM(S668,V668,Y668:Z668,BA668:BB668),2)</f>
        <v/>
      </c>
      <c r="AC668" s="797" t="n"/>
      <c r="AD668" s="192">
        <f t="array" ref="AD668">IFERROR(ROUND((_xlfn.IFS(offer_sale_type="поставка",AB668,offer_sale_type="транзит",S668)*(1+AC668))/E668,2),0)</f>
        <v/>
      </c>
      <c r="AE668" s="76">
        <f>AD668*E668</f>
        <v/>
      </c>
      <c r="AF668" s="193">
        <f t="array" ref="AF668">IFERROR(ROUND(_xlfn.IFS(offer_sale_type="поставка",AB668,offer_sale_type="транзит",S668)*AC668,2),0)</f>
        <v/>
      </c>
      <c r="AG668" s="192">
        <f>$BD668*VLOOKUP($AG$3,$AF$4:$AG$7,2,FALSE)</f>
        <v/>
      </c>
      <c r="AH668" s="76">
        <f>SUM(AE668,AG668,AI668)*rate_forex_risk</f>
        <v/>
      </c>
      <c r="AI668" s="193">
        <f>IF(OR(seller_region="TR",offer_sale_type="экспорт"),0,rate_fin_comm)*SUM(AZ668,AZ668*AW668,T668)</f>
        <v/>
      </c>
      <c r="AJ668" s="118">
        <f>IFERROR(ROUND(SUM(AB668,AF668:AI668)/E668,2),0)</f>
        <v/>
      </c>
      <c r="AK668" s="76">
        <f>AJ668*E668</f>
        <v/>
      </c>
      <c r="AL668" s="174">
        <f>ROUND(IFERROR(AM668*E668,0),2)</f>
        <v/>
      </c>
      <c r="AM668" s="175">
        <f>ROUND(AJ668*(1+IF(offer_incoterms="DDP",IF((TODAY()+offer_turnaround_time)&gt;=helpsheet!$L$17,rate_vatRU_from_26,rate_vatRu_till_25),0)),2)</f>
        <v/>
      </c>
      <c r="AN668" s="192">
        <f>AL668-AK668</f>
        <v/>
      </c>
      <c r="AO668" s="76">
        <f>SUM(AY668,Y668:Z668,T668)*IF(AND(offer_incoterms="DDP",offer_sale_type&lt;&gt;"экспорт"),IF((TODAY()+offer_turnaround_time)&gt;=helpsheet!$L$17,rate_vatRU_from_26,rate_vatRu_till_25),0)</f>
        <v/>
      </c>
      <c r="AP668" s="193">
        <f>AN668-AO668</f>
        <v/>
      </c>
      <c r="AQ668" s="118">
        <f>IF(offer_sale_type="транзит",SUM(AF668:AI668,BA668,BB668),0)</f>
        <v/>
      </c>
      <c r="AR668" s="82">
        <f>HYPERLINK("https://www.alta.ru/tnved/code/")&amp;W668&amp;"/"</f>
        <v/>
      </c>
      <c r="AS668" s="157" t="n"/>
      <c r="AT668" s="162" t="n"/>
      <c r="AU668" s="76">
        <f>IF(ISBLANK(AT668),0,AJ668-AT668)</f>
        <v/>
      </c>
      <c r="AV668" s="157" t="n"/>
      <c r="AW668" s="75">
        <f>_xlfn.IFNA(VLOOKUP(L668,list_vat[],3,FALSE),0)</f>
        <v/>
      </c>
      <c r="AX668" s="76">
        <f>IFERROR(ROUND(S668*(1+AW668)/E668,2),0)</f>
        <v/>
      </c>
      <c r="AY668" s="76">
        <f>E668*AX668</f>
        <v/>
      </c>
      <c r="AZ668" s="192">
        <f>S668*(1+M668)</f>
        <v/>
      </c>
      <c r="BA668" s="76">
        <f>cost_fin_total*$BD668</f>
        <v/>
      </c>
      <c r="BB668" s="193">
        <f>credit_sales_interest*BD668</f>
        <v/>
      </c>
      <c r="BC668" s="102">
        <f>IFERROR(IF($I$13&gt;0,$I668/$I$13,$S668/$S$13),0)</f>
        <v/>
      </c>
      <c r="BD668" s="102">
        <f>IFERROR($S668/$S$13,0)</f>
        <v/>
      </c>
      <c r="BE668" s="413" t="inlineStr">
        <is>
          <t>$</t>
        </is>
      </c>
    </row>
    <row r="669" ht="12" customFormat="1" customHeight="1" s="65">
      <c r="A669" s="43" t="n">
        <v>654</v>
      </c>
      <c r="B669" s="166" t="n"/>
      <c r="C669" s="166" t="n"/>
      <c r="D669" s="166" t="n"/>
      <c r="E669" s="162" t="n"/>
      <c r="F669" s="166" t="n"/>
      <c r="G669" s="162" t="n"/>
      <c r="H669" s="162" t="n"/>
      <c r="I669" s="189">
        <f>E669*G669</f>
        <v/>
      </c>
      <c r="J669" s="195" t="n"/>
      <c r="K669" s="162" t="n"/>
      <c r="L669" s="168" t="n"/>
      <c r="M669" s="75">
        <f>_xlfn.XLOOKUP(L669,list_vat[Страна],list_vat[Ставка НДС %],0,0)</f>
        <v/>
      </c>
      <c r="N669" s="162">
        <f>IFERROR(IF(L669="Китай",K669,K669/(1+M669)),0)</f>
        <v/>
      </c>
      <c r="O669" s="169" t="n"/>
      <c r="P669" s="76">
        <f>N669*(1-O669)</f>
        <v/>
      </c>
      <c r="Q669" s="162" t="n"/>
      <c r="R669" s="162">
        <f>IF(ISBLANK(Q669),"введи курс",P669/Q669)</f>
        <v/>
      </c>
      <c r="S669" s="196">
        <f>IF(AND(ISNUMBER(E669),ISNUMBER(Q669)),E669*R669,0)</f>
        <v/>
      </c>
      <c r="T669" s="192">
        <f>$BC669*V$11</f>
        <v/>
      </c>
      <c r="U669" s="76">
        <f>$BC669*W$11</f>
        <v/>
      </c>
      <c r="V669" s="193">
        <f>+SUM(T669:U669)</f>
        <v/>
      </c>
      <c r="W669" s="191" t="n"/>
      <c r="X669" s="170" t="n"/>
      <c r="Y669" s="76">
        <f>ROUND(IF(offer_incoterms="DDP",X669*(S669*(1+AW669)+T669),0),2)</f>
        <v/>
      </c>
      <c r="Z669" s="188" t="n"/>
      <c r="AA669" s="192">
        <f>IFERROR(AB669/E669,0)</f>
        <v/>
      </c>
      <c r="AB669" s="76">
        <f>ROUND(SUM(S669,V669,Y669:Z669,BA669:BB669),2)</f>
        <v/>
      </c>
      <c r="AC669" s="797" t="n"/>
      <c r="AD669" s="192">
        <f t="array" ref="AD669">IFERROR(ROUND((_xlfn.IFS(offer_sale_type="поставка",AB669,offer_sale_type="транзит",S669)*(1+AC669))/E669,2),0)</f>
        <v/>
      </c>
      <c r="AE669" s="76">
        <f>AD669*E669</f>
        <v/>
      </c>
      <c r="AF669" s="193">
        <f t="array" ref="AF669">IFERROR(ROUND(_xlfn.IFS(offer_sale_type="поставка",AB669,offer_sale_type="транзит",S669)*AC669,2),0)</f>
        <v/>
      </c>
      <c r="AG669" s="192">
        <f>$BD669*VLOOKUP($AG$3,$AF$4:$AG$7,2,FALSE)</f>
        <v/>
      </c>
      <c r="AH669" s="76">
        <f>SUM(AE669,AG669,AI669)*rate_forex_risk</f>
        <v/>
      </c>
      <c r="AI669" s="193">
        <f>IF(OR(seller_region="TR",offer_sale_type="экспорт"),0,rate_fin_comm)*SUM(AZ669,AZ669*AW669,T669)</f>
        <v/>
      </c>
      <c r="AJ669" s="118">
        <f>IFERROR(ROUND(SUM(AB669,AF669:AI669)/E669,2),0)</f>
        <v/>
      </c>
      <c r="AK669" s="76">
        <f>AJ669*E669</f>
        <v/>
      </c>
      <c r="AL669" s="174">
        <f>ROUND(IFERROR(AM669*E669,0),2)</f>
        <v/>
      </c>
      <c r="AM669" s="175">
        <f>ROUND(AJ669*(1+IF(offer_incoterms="DDP",IF((TODAY()+offer_turnaround_time)&gt;=helpsheet!$L$17,rate_vatRU_from_26,rate_vatRu_till_25),0)),2)</f>
        <v/>
      </c>
      <c r="AN669" s="192">
        <f>AL669-AK669</f>
        <v/>
      </c>
      <c r="AO669" s="76">
        <f>SUM(AY669,Y669:Z669,T669)*IF(AND(offer_incoterms="DDP",offer_sale_type&lt;&gt;"экспорт"),IF((TODAY()+offer_turnaround_time)&gt;=helpsheet!$L$17,rate_vatRU_from_26,rate_vatRu_till_25),0)</f>
        <v/>
      </c>
      <c r="AP669" s="193">
        <f>AN669-AO669</f>
        <v/>
      </c>
      <c r="AQ669" s="118">
        <f>IF(offer_sale_type="транзит",SUM(AF669:AI669,BA669,BB669),0)</f>
        <v/>
      </c>
      <c r="AR669" s="82">
        <f>HYPERLINK("https://www.alta.ru/tnved/code/")&amp;W669&amp;"/"</f>
        <v/>
      </c>
      <c r="AS669" s="157" t="n"/>
      <c r="AT669" s="162" t="n"/>
      <c r="AU669" s="76">
        <f>IF(ISBLANK(AT669),0,AJ669-AT669)</f>
        <v/>
      </c>
      <c r="AV669" s="157" t="n"/>
      <c r="AW669" s="75">
        <f>_xlfn.IFNA(VLOOKUP(L669,list_vat[],3,FALSE),0)</f>
        <v/>
      </c>
      <c r="AX669" s="76">
        <f>IFERROR(ROUND(S669*(1+AW669)/E669,2),0)</f>
        <v/>
      </c>
      <c r="AY669" s="76">
        <f>E669*AX669</f>
        <v/>
      </c>
      <c r="AZ669" s="192">
        <f>S669*(1+M669)</f>
        <v/>
      </c>
      <c r="BA669" s="76">
        <f>cost_fin_total*$BD669</f>
        <v/>
      </c>
      <c r="BB669" s="193">
        <f>credit_sales_interest*BD669</f>
        <v/>
      </c>
      <c r="BC669" s="102">
        <f>IFERROR(IF($I$13&gt;0,$I669/$I$13,$S669/$S$13),0)</f>
        <v/>
      </c>
      <c r="BD669" s="102">
        <f>IFERROR($S669/$S$13,0)</f>
        <v/>
      </c>
      <c r="BE669" s="413" t="inlineStr">
        <is>
          <t>$</t>
        </is>
      </c>
    </row>
    <row r="670" ht="12" customFormat="1" customHeight="1" s="65">
      <c r="A670" s="43" t="n">
        <v>655</v>
      </c>
      <c r="B670" s="166" t="n"/>
      <c r="C670" s="166" t="n"/>
      <c r="D670" s="166" t="n"/>
      <c r="E670" s="162" t="n"/>
      <c r="F670" s="166" t="n"/>
      <c r="G670" s="162" t="n"/>
      <c r="H670" s="162" t="n"/>
      <c r="I670" s="189">
        <f>E670*G670</f>
        <v/>
      </c>
      <c r="J670" s="195" t="n"/>
      <c r="K670" s="162" t="n"/>
      <c r="L670" s="168" t="n"/>
      <c r="M670" s="75">
        <f>_xlfn.XLOOKUP(L670,list_vat[Страна],list_vat[Ставка НДС %],0,0)</f>
        <v/>
      </c>
      <c r="N670" s="162">
        <f>IFERROR(IF(L670="Китай",K670,K670/(1+M670)),0)</f>
        <v/>
      </c>
      <c r="O670" s="169" t="n"/>
      <c r="P670" s="76">
        <f>N670*(1-O670)</f>
        <v/>
      </c>
      <c r="Q670" s="162" t="n"/>
      <c r="R670" s="162">
        <f>IF(ISBLANK(Q670),"введи курс",P670/Q670)</f>
        <v/>
      </c>
      <c r="S670" s="196">
        <f>IF(AND(ISNUMBER(E670),ISNUMBER(Q670)),E670*R670,0)</f>
        <v/>
      </c>
      <c r="T670" s="192">
        <f>$BC670*V$11</f>
        <v/>
      </c>
      <c r="U670" s="76">
        <f>$BC670*W$11</f>
        <v/>
      </c>
      <c r="V670" s="193">
        <f>+SUM(T670:U670)</f>
        <v/>
      </c>
      <c r="W670" s="191" t="n"/>
      <c r="X670" s="170" t="n"/>
      <c r="Y670" s="76">
        <f>ROUND(IF(offer_incoterms="DDP",X670*(S670*(1+AW670)+T670),0),2)</f>
        <v/>
      </c>
      <c r="Z670" s="188" t="n"/>
      <c r="AA670" s="192">
        <f>IFERROR(AB670/E670,0)</f>
        <v/>
      </c>
      <c r="AB670" s="76">
        <f>ROUND(SUM(S670,V670,Y670:Z670,BA670:BB670),2)</f>
        <v/>
      </c>
      <c r="AC670" s="797" t="n"/>
      <c r="AD670" s="192">
        <f t="array" ref="AD670">IFERROR(ROUND((_xlfn.IFS(offer_sale_type="поставка",AB670,offer_sale_type="транзит",S670)*(1+AC670))/E670,2),0)</f>
        <v/>
      </c>
      <c r="AE670" s="76">
        <f>AD670*E670</f>
        <v/>
      </c>
      <c r="AF670" s="193">
        <f t="array" ref="AF670">IFERROR(ROUND(_xlfn.IFS(offer_sale_type="поставка",AB670,offer_sale_type="транзит",S670)*AC670,2),0)</f>
        <v/>
      </c>
      <c r="AG670" s="192">
        <f>$BD670*VLOOKUP($AG$3,$AF$4:$AG$7,2,FALSE)</f>
        <v/>
      </c>
      <c r="AH670" s="76">
        <f>SUM(AE670,AG670,AI670)*rate_forex_risk</f>
        <v/>
      </c>
      <c r="AI670" s="193">
        <f>IF(OR(seller_region="TR",offer_sale_type="экспорт"),0,rate_fin_comm)*SUM(AZ670,AZ670*AW670,T670)</f>
        <v/>
      </c>
      <c r="AJ670" s="118">
        <f>IFERROR(ROUND(SUM(AB670,AF670:AI670)/E670,2),0)</f>
        <v/>
      </c>
      <c r="AK670" s="76">
        <f>AJ670*E670</f>
        <v/>
      </c>
      <c r="AL670" s="174">
        <f>ROUND(IFERROR(AM670*E670,0),2)</f>
        <v/>
      </c>
      <c r="AM670" s="175">
        <f>ROUND(AJ670*(1+IF(offer_incoterms="DDP",IF((TODAY()+offer_turnaround_time)&gt;=helpsheet!$L$17,rate_vatRU_from_26,rate_vatRu_till_25),0)),2)</f>
        <v/>
      </c>
      <c r="AN670" s="192">
        <f>AL670-AK670</f>
        <v/>
      </c>
      <c r="AO670" s="76">
        <f>SUM(AY670,Y670:Z670,T670)*IF(AND(offer_incoterms="DDP",offer_sale_type&lt;&gt;"экспорт"),IF((TODAY()+offer_turnaround_time)&gt;=helpsheet!$L$17,rate_vatRU_from_26,rate_vatRu_till_25),0)</f>
        <v/>
      </c>
      <c r="AP670" s="193">
        <f>AN670-AO670</f>
        <v/>
      </c>
      <c r="AQ670" s="118">
        <f>IF(offer_sale_type="транзит",SUM(AF670:AI670,BA670,BB670),0)</f>
        <v/>
      </c>
      <c r="AR670" s="82">
        <f>HYPERLINK("https://www.alta.ru/tnved/code/")&amp;W670&amp;"/"</f>
        <v/>
      </c>
      <c r="AS670" s="157" t="n"/>
      <c r="AT670" s="162" t="n"/>
      <c r="AU670" s="76">
        <f>IF(ISBLANK(AT670),0,AJ670-AT670)</f>
        <v/>
      </c>
      <c r="AV670" s="157" t="n"/>
      <c r="AW670" s="75">
        <f>_xlfn.IFNA(VLOOKUP(L670,list_vat[],3,FALSE),0)</f>
        <v/>
      </c>
      <c r="AX670" s="76">
        <f>IFERROR(ROUND(S670*(1+AW670)/E670,2),0)</f>
        <v/>
      </c>
      <c r="AY670" s="76">
        <f>E670*AX670</f>
        <v/>
      </c>
      <c r="AZ670" s="192">
        <f>S670*(1+M670)</f>
        <v/>
      </c>
      <c r="BA670" s="76">
        <f>cost_fin_total*$BD670</f>
        <v/>
      </c>
      <c r="BB670" s="193">
        <f>credit_sales_interest*BD670</f>
        <v/>
      </c>
      <c r="BC670" s="102">
        <f>IFERROR(IF($I$13&gt;0,$I670/$I$13,$S670/$S$13),0)</f>
        <v/>
      </c>
      <c r="BD670" s="102">
        <f>IFERROR($S670/$S$13,0)</f>
        <v/>
      </c>
      <c r="BE670" s="413" t="inlineStr">
        <is>
          <t>$</t>
        </is>
      </c>
    </row>
    <row r="671" ht="12" customFormat="1" customHeight="1" s="65">
      <c r="A671" s="43" t="n">
        <v>656</v>
      </c>
      <c r="B671" s="166" t="n"/>
      <c r="C671" s="166" t="n"/>
      <c r="D671" s="166" t="n"/>
      <c r="E671" s="162" t="n"/>
      <c r="F671" s="166" t="n"/>
      <c r="G671" s="162" t="n"/>
      <c r="H671" s="162" t="n"/>
      <c r="I671" s="189">
        <f>E671*G671</f>
        <v/>
      </c>
      <c r="J671" s="195" t="n"/>
      <c r="K671" s="162" t="n"/>
      <c r="L671" s="168" t="n"/>
      <c r="M671" s="75">
        <f>_xlfn.XLOOKUP(L671,list_vat[Страна],list_vat[Ставка НДС %],0,0)</f>
        <v/>
      </c>
      <c r="N671" s="162">
        <f>IFERROR(IF(L671="Китай",K671,K671/(1+M671)),0)</f>
        <v/>
      </c>
      <c r="O671" s="169" t="n"/>
      <c r="P671" s="76">
        <f>N671*(1-O671)</f>
        <v/>
      </c>
      <c r="Q671" s="162" t="n"/>
      <c r="R671" s="162">
        <f>IF(ISBLANK(Q671),"введи курс",P671/Q671)</f>
        <v/>
      </c>
      <c r="S671" s="196">
        <f>IF(AND(ISNUMBER(E671),ISNUMBER(Q671)),E671*R671,0)</f>
        <v/>
      </c>
      <c r="T671" s="192">
        <f>$BC671*V$11</f>
        <v/>
      </c>
      <c r="U671" s="76">
        <f>$BC671*W$11</f>
        <v/>
      </c>
      <c r="V671" s="193">
        <f>+SUM(T671:U671)</f>
        <v/>
      </c>
      <c r="W671" s="191" t="n"/>
      <c r="X671" s="170" t="n"/>
      <c r="Y671" s="76">
        <f>ROUND(IF(offer_incoterms="DDP",X671*(S671*(1+AW671)+T671),0),2)</f>
        <v/>
      </c>
      <c r="Z671" s="188" t="n"/>
      <c r="AA671" s="192">
        <f>IFERROR(AB671/E671,0)</f>
        <v/>
      </c>
      <c r="AB671" s="76">
        <f>ROUND(SUM(S671,V671,Y671:Z671,BA671:BB671),2)</f>
        <v/>
      </c>
      <c r="AC671" s="797" t="n"/>
      <c r="AD671" s="192">
        <f t="array" ref="AD671">IFERROR(ROUND((_xlfn.IFS(offer_sale_type="поставка",AB671,offer_sale_type="транзит",S671)*(1+AC671))/E671,2),0)</f>
        <v/>
      </c>
      <c r="AE671" s="76">
        <f>AD671*E671</f>
        <v/>
      </c>
      <c r="AF671" s="193">
        <f t="array" ref="AF671">IFERROR(ROUND(_xlfn.IFS(offer_sale_type="поставка",AB671,offer_sale_type="транзит",S671)*AC671,2),0)</f>
        <v/>
      </c>
      <c r="AG671" s="192">
        <f>$BD671*VLOOKUP($AG$3,$AF$4:$AG$7,2,FALSE)</f>
        <v/>
      </c>
      <c r="AH671" s="76">
        <f>SUM(AE671,AG671,AI671)*rate_forex_risk</f>
        <v/>
      </c>
      <c r="AI671" s="193">
        <f>IF(OR(seller_region="TR",offer_sale_type="экспорт"),0,rate_fin_comm)*SUM(AZ671,AZ671*AW671,T671)</f>
        <v/>
      </c>
      <c r="AJ671" s="118">
        <f>IFERROR(ROUND(SUM(AB671,AF671:AI671)/E671,2),0)</f>
        <v/>
      </c>
      <c r="AK671" s="76">
        <f>AJ671*E671</f>
        <v/>
      </c>
      <c r="AL671" s="174">
        <f>ROUND(IFERROR(AM671*E671,0),2)</f>
        <v/>
      </c>
      <c r="AM671" s="175">
        <f>ROUND(AJ671*(1+IF(offer_incoterms="DDP",IF((TODAY()+offer_turnaround_time)&gt;=helpsheet!$L$17,rate_vatRU_from_26,rate_vatRu_till_25),0)),2)</f>
        <v/>
      </c>
      <c r="AN671" s="192">
        <f>AL671-AK671</f>
        <v/>
      </c>
      <c r="AO671" s="76">
        <f>SUM(AY671,Y671:Z671,T671)*IF(AND(offer_incoterms="DDP",offer_sale_type&lt;&gt;"экспорт"),IF((TODAY()+offer_turnaround_time)&gt;=helpsheet!$L$17,rate_vatRU_from_26,rate_vatRu_till_25),0)</f>
        <v/>
      </c>
      <c r="AP671" s="193">
        <f>AN671-AO671</f>
        <v/>
      </c>
      <c r="AQ671" s="118">
        <f>IF(offer_sale_type="транзит",SUM(AF671:AI671,BA671,BB671),0)</f>
        <v/>
      </c>
      <c r="AR671" s="82">
        <f>HYPERLINK("https://www.alta.ru/tnved/code/")&amp;W671&amp;"/"</f>
        <v/>
      </c>
      <c r="AS671" s="157" t="n"/>
      <c r="AT671" s="162" t="n"/>
      <c r="AU671" s="76">
        <f>IF(ISBLANK(AT671),0,AJ671-AT671)</f>
        <v/>
      </c>
      <c r="AV671" s="157" t="n"/>
      <c r="AW671" s="75">
        <f>_xlfn.IFNA(VLOOKUP(L671,list_vat[],3,FALSE),0)</f>
        <v/>
      </c>
      <c r="AX671" s="76">
        <f>IFERROR(ROUND(S671*(1+AW671)/E671,2),0)</f>
        <v/>
      </c>
      <c r="AY671" s="76">
        <f>E671*AX671</f>
        <v/>
      </c>
      <c r="AZ671" s="192">
        <f>S671*(1+M671)</f>
        <v/>
      </c>
      <c r="BA671" s="76">
        <f>cost_fin_total*$BD671</f>
        <v/>
      </c>
      <c r="BB671" s="193">
        <f>credit_sales_interest*BD671</f>
        <v/>
      </c>
      <c r="BC671" s="102">
        <f>IFERROR(IF($I$13&gt;0,$I671/$I$13,$S671/$S$13),0)</f>
        <v/>
      </c>
      <c r="BD671" s="102">
        <f>IFERROR($S671/$S$13,0)</f>
        <v/>
      </c>
      <c r="BE671" s="413" t="inlineStr">
        <is>
          <t>$</t>
        </is>
      </c>
    </row>
    <row r="672" ht="12" customFormat="1" customHeight="1" s="65">
      <c r="A672" s="43" t="n">
        <v>657</v>
      </c>
      <c r="B672" s="166" t="n"/>
      <c r="C672" s="166" t="n"/>
      <c r="D672" s="166" t="n"/>
      <c r="E672" s="162" t="n"/>
      <c r="F672" s="166" t="n"/>
      <c r="G672" s="162" t="n"/>
      <c r="H672" s="162" t="n"/>
      <c r="I672" s="189">
        <f>E672*G672</f>
        <v/>
      </c>
      <c r="J672" s="195" t="n"/>
      <c r="K672" s="162" t="n"/>
      <c r="L672" s="168" t="n"/>
      <c r="M672" s="75">
        <f>_xlfn.XLOOKUP(L672,list_vat[Страна],list_vat[Ставка НДС %],0,0)</f>
        <v/>
      </c>
      <c r="N672" s="162">
        <f>IFERROR(IF(L672="Китай",K672,K672/(1+M672)),0)</f>
        <v/>
      </c>
      <c r="O672" s="169" t="n"/>
      <c r="P672" s="76">
        <f>N672*(1-O672)</f>
        <v/>
      </c>
      <c r="Q672" s="162" t="n"/>
      <c r="R672" s="162">
        <f>IF(ISBLANK(Q672),"введи курс",P672/Q672)</f>
        <v/>
      </c>
      <c r="S672" s="196">
        <f>IF(AND(ISNUMBER(E672),ISNUMBER(Q672)),E672*R672,0)</f>
        <v/>
      </c>
      <c r="T672" s="192">
        <f>$BC672*V$11</f>
        <v/>
      </c>
      <c r="U672" s="76">
        <f>$BC672*W$11</f>
        <v/>
      </c>
      <c r="V672" s="193">
        <f>+SUM(T672:U672)</f>
        <v/>
      </c>
      <c r="W672" s="191" t="n"/>
      <c r="X672" s="170" t="n"/>
      <c r="Y672" s="76">
        <f>ROUND(IF(offer_incoterms="DDP",X672*(S672*(1+AW672)+T672),0),2)</f>
        <v/>
      </c>
      <c r="Z672" s="188" t="n"/>
      <c r="AA672" s="192">
        <f>IFERROR(AB672/E672,0)</f>
        <v/>
      </c>
      <c r="AB672" s="76">
        <f>ROUND(SUM(S672,V672,Y672:Z672,BA672:BB672),2)</f>
        <v/>
      </c>
      <c r="AC672" s="797" t="n"/>
      <c r="AD672" s="192">
        <f t="array" ref="AD672">IFERROR(ROUND((_xlfn.IFS(offer_sale_type="поставка",AB672,offer_sale_type="транзит",S672)*(1+AC672))/E672,2),0)</f>
        <v/>
      </c>
      <c r="AE672" s="76">
        <f>AD672*E672</f>
        <v/>
      </c>
      <c r="AF672" s="193">
        <f t="array" ref="AF672">IFERROR(ROUND(_xlfn.IFS(offer_sale_type="поставка",AB672,offer_sale_type="транзит",S672)*AC672,2),0)</f>
        <v/>
      </c>
      <c r="AG672" s="192">
        <f>$BD672*VLOOKUP($AG$3,$AF$4:$AG$7,2,FALSE)</f>
        <v/>
      </c>
      <c r="AH672" s="76">
        <f>SUM(AE672,AG672,AI672)*rate_forex_risk</f>
        <v/>
      </c>
      <c r="AI672" s="193">
        <f>IF(OR(seller_region="TR",offer_sale_type="экспорт"),0,rate_fin_comm)*SUM(AZ672,AZ672*AW672,T672)</f>
        <v/>
      </c>
      <c r="AJ672" s="118">
        <f>IFERROR(ROUND(SUM(AB672,AF672:AI672)/E672,2),0)</f>
        <v/>
      </c>
      <c r="AK672" s="76">
        <f>AJ672*E672</f>
        <v/>
      </c>
      <c r="AL672" s="174">
        <f>ROUND(IFERROR(AM672*E672,0),2)</f>
        <v/>
      </c>
      <c r="AM672" s="175">
        <f>ROUND(AJ672*(1+IF(offer_incoterms="DDP",IF((TODAY()+offer_turnaround_time)&gt;=helpsheet!$L$17,rate_vatRU_from_26,rate_vatRu_till_25),0)),2)</f>
        <v/>
      </c>
      <c r="AN672" s="192">
        <f>AL672-AK672</f>
        <v/>
      </c>
      <c r="AO672" s="76">
        <f>SUM(AY672,Y672:Z672,T672)*IF(AND(offer_incoterms="DDP",offer_sale_type&lt;&gt;"экспорт"),IF((TODAY()+offer_turnaround_time)&gt;=helpsheet!$L$17,rate_vatRU_from_26,rate_vatRu_till_25),0)</f>
        <v/>
      </c>
      <c r="AP672" s="193">
        <f>AN672-AO672</f>
        <v/>
      </c>
      <c r="AQ672" s="118">
        <f>IF(offer_sale_type="транзит",SUM(AF672:AI672,BA672,BB672),0)</f>
        <v/>
      </c>
      <c r="AR672" s="82">
        <f>HYPERLINK("https://www.alta.ru/tnved/code/")&amp;W672&amp;"/"</f>
        <v/>
      </c>
      <c r="AS672" s="157" t="n"/>
      <c r="AT672" s="162" t="n"/>
      <c r="AU672" s="76">
        <f>IF(ISBLANK(AT672),0,AJ672-AT672)</f>
        <v/>
      </c>
      <c r="AV672" s="157" t="n"/>
      <c r="AW672" s="75">
        <f>_xlfn.IFNA(VLOOKUP(L672,list_vat[],3,FALSE),0)</f>
        <v/>
      </c>
      <c r="AX672" s="76">
        <f>IFERROR(ROUND(S672*(1+AW672)/E672,2),0)</f>
        <v/>
      </c>
      <c r="AY672" s="76">
        <f>E672*AX672</f>
        <v/>
      </c>
      <c r="AZ672" s="192">
        <f>S672*(1+M672)</f>
        <v/>
      </c>
      <c r="BA672" s="76">
        <f>cost_fin_total*$BD672</f>
        <v/>
      </c>
      <c r="BB672" s="193">
        <f>credit_sales_interest*BD672</f>
        <v/>
      </c>
      <c r="BC672" s="102">
        <f>IFERROR(IF($I$13&gt;0,$I672/$I$13,$S672/$S$13),0)</f>
        <v/>
      </c>
      <c r="BD672" s="102">
        <f>IFERROR($S672/$S$13,0)</f>
        <v/>
      </c>
      <c r="BE672" s="413" t="inlineStr">
        <is>
          <t>$</t>
        </is>
      </c>
    </row>
    <row r="673" ht="12" customFormat="1" customHeight="1" s="65">
      <c r="A673" s="43" t="n">
        <v>658</v>
      </c>
      <c r="B673" s="166" t="n"/>
      <c r="C673" s="166" t="n"/>
      <c r="D673" s="166" t="n"/>
      <c r="E673" s="162" t="n"/>
      <c r="F673" s="166" t="n"/>
      <c r="G673" s="162" t="n"/>
      <c r="H673" s="162" t="n"/>
      <c r="I673" s="189">
        <f>E673*G673</f>
        <v/>
      </c>
      <c r="J673" s="195" t="n"/>
      <c r="K673" s="162" t="n"/>
      <c r="L673" s="168" t="n"/>
      <c r="M673" s="75">
        <f>_xlfn.XLOOKUP(L673,list_vat[Страна],list_vat[Ставка НДС %],0,0)</f>
        <v/>
      </c>
      <c r="N673" s="162">
        <f>IFERROR(IF(L673="Китай",K673,K673/(1+M673)),0)</f>
        <v/>
      </c>
      <c r="O673" s="169" t="n"/>
      <c r="P673" s="76">
        <f>N673*(1-O673)</f>
        <v/>
      </c>
      <c r="Q673" s="162" t="n"/>
      <c r="R673" s="162">
        <f>IF(ISBLANK(Q673),"введи курс",P673/Q673)</f>
        <v/>
      </c>
      <c r="S673" s="196">
        <f>IF(AND(ISNUMBER(E673),ISNUMBER(Q673)),E673*R673,0)</f>
        <v/>
      </c>
      <c r="T673" s="192">
        <f>$BC673*V$11</f>
        <v/>
      </c>
      <c r="U673" s="76">
        <f>$BC673*W$11</f>
        <v/>
      </c>
      <c r="V673" s="193">
        <f>+SUM(T673:U673)</f>
        <v/>
      </c>
      <c r="W673" s="191" t="n"/>
      <c r="X673" s="170" t="n"/>
      <c r="Y673" s="76">
        <f>ROUND(IF(offer_incoterms="DDP",X673*(S673*(1+AW673)+T673),0),2)</f>
        <v/>
      </c>
      <c r="Z673" s="188" t="n"/>
      <c r="AA673" s="192">
        <f>IFERROR(AB673/E673,0)</f>
        <v/>
      </c>
      <c r="AB673" s="76">
        <f>ROUND(SUM(S673,V673,Y673:Z673,BA673:BB673),2)</f>
        <v/>
      </c>
      <c r="AC673" s="797" t="n"/>
      <c r="AD673" s="192">
        <f t="array" ref="AD673">IFERROR(ROUND((_xlfn.IFS(offer_sale_type="поставка",AB673,offer_sale_type="транзит",S673)*(1+AC673))/E673,2),0)</f>
        <v/>
      </c>
      <c r="AE673" s="76">
        <f>AD673*E673</f>
        <v/>
      </c>
      <c r="AF673" s="193">
        <f t="array" ref="AF673">IFERROR(ROUND(_xlfn.IFS(offer_sale_type="поставка",AB673,offer_sale_type="транзит",S673)*AC673,2),0)</f>
        <v/>
      </c>
      <c r="AG673" s="192">
        <f>$BD673*VLOOKUP($AG$3,$AF$4:$AG$7,2,FALSE)</f>
        <v/>
      </c>
      <c r="AH673" s="76">
        <f>SUM(AE673,AG673,AI673)*rate_forex_risk</f>
        <v/>
      </c>
      <c r="AI673" s="193">
        <f>IF(OR(seller_region="TR",offer_sale_type="экспорт"),0,rate_fin_comm)*SUM(AZ673,AZ673*AW673,T673)</f>
        <v/>
      </c>
      <c r="AJ673" s="118">
        <f>IFERROR(ROUND(SUM(AB673,AF673:AI673)/E673,2),0)</f>
        <v/>
      </c>
      <c r="AK673" s="76">
        <f>AJ673*E673</f>
        <v/>
      </c>
      <c r="AL673" s="174">
        <f>ROUND(IFERROR(AM673*E673,0),2)</f>
        <v/>
      </c>
      <c r="AM673" s="175">
        <f>ROUND(AJ673*(1+IF(offer_incoterms="DDP",IF((TODAY()+offer_turnaround_time)&gt;=helpsheet!$L$17,rate_vatRU_from_26,rate_vatRu_till_25),0)),2)</f>
        <v/>
      </c>
      <c r="AN673" s="192">
        <f>AL673-AK673</f>
        <v/>
      </c>
      <c r="AO673" s="76">
        <f>SUM(AY673,Y673:Z673,T673)*IF(AND(offer_incoterms="DDP",offer_sale_type&lt;&gt;"экспорт"),IF((TODAY()+offer_turnaround_time)&gt;=helpsheet!$L$17,rate_vatRU_from_26,rate_vatRu_till_25),0)</f>
        <v/>
      </c>
      <c r="AP673" s="193">
        <f>AN673-AO673</f>
        <v/>
      </c>
      <c r="AQ673" s="118">
        <f>IF(offer_sale_type="транзит",SUM(AF673:AI673,BA673,BB673),0)</f>
        <v/>
      </c>
      <c r="AR673" s="82">
        <f>HYPERLINK("https://www.alta.ru/tnved/code/")&amp;W673&amp;"/"</f>
        <v/>
      </c>
      <c r="AS673" s="157" t="n"/>
      <c r="AT673" s="162" t="n"/>
      <c r="AU673" s="76">
        <f>IF(ISBLANK(AT673),0,AJ673-AT673)</f>
        <v/>
      </c>
      <c r="AV673" s="157" t="n"/>
      <c r="AW673" s="75">
        <f>_xlfn.IFNA(VLOOKUP(L673,list_vat[],3,FALSE),0)</f>
        <v/>
      </c>
      <c r="AX673" s="76">
        <f>IFERROR(ROUND(S673*(1+AW673)/E673,2),0)</f>
        <v/>
      </c>
      <c r="AY673" s="76">
        <f>E673*AX673</f>
        <v/>
      </c>
      <c r="AZ673" s="192">
        <f>S673*(1+M673)</f>
        <v/>
      </c>
      <c r="BA673" s="76">
        <f>cost_fin_total*$BD673</f>
        <v/>
      </c>
      <c r="BB673" s="193">
        <f>credit_sales_interest*BD673</f>
        <v/>
      </c>
      <c r="BC673" s="102">
        <f>IFERROR(IF($I$13&gt;0,$I673/$I$13,$S673/$S$13),0)</f>
        <v/>
      </c>
      <c r="BD673" s="102">
        <f>IFERROR($S673/$S$13,0)</f>
        <v/>
      </c>
      <c r="BE673" s="413" t="inlineStr">
        <is>
          <t>$</t>
        </is>
      </c>
    </row>
    <row r="674" ht="12" customFormat="1" customHeight="1" s="65">
      <c r="A674" s="43" t="n">
        <v>659</v>
      </c>
      <c r="B674" s="166" t="n"/>
      <c r="C674" s="166" t="n"/>
      <c r="D674" s="166" t="n"/>
      <c r="E674" s="162" t="n"/>
      <c r="F674" s="166" t="n"/>
      <c r="G674" s="162" t="n"/>
      <c r="H674" s="162" t="n"/>
      <c r="I674" s="189">
        <f>E674*G674</f>
        <v/>
      </c>
      <c r="J674" s="195" t="n"/>
      <c r="K674" s="162" t="n"/>
      <c r="L674" s="168" t="n"/>
      <c r="M674" s="75">
        <f>_xlfn.XLOOKUP(L674,list_vat[Страна],list_vat[Ставка НДС %],0,0)</f>
        <v/>
      </c>
      <c r="N674" s="162">
        <f>IFERROR(IF(L674="Китай",K674,K674/(1+M674)),0)</f>
        <v/>
      </c>
      <c r="O674" s="169" t="n"/>
      <c r="P674" s="76">
        <f>N674*(1-O674)</f>
        <v/>
      </c>
      <c r="Q674" s="162" t="n"/>
      <c r="R674" s="162">
        <f>IF(ISBLANK(Q674),"введи курс",P674/Q674)</f>
        <v/>
      </c>
      <c r="S674" s="196">
        <f>IF(AND(ISNUMBER(E674),ISNUMBER(Q674)),E674*R674,0)</f>
        <v/>
      </c>
      <c r="T674" s="192">
        <f>$BC674*V$11</f>
        <v/>
      </c>
      <c r="U674" s="76">
        <f>$BC674*W$11</f>
        <v/>
      </c>
      <c r="V674" s="193">
        <f>+SUM(T674:U674)</f>
        <v/>
      </c>
      <c r="W674" s="191" t="n"/>
      <c r="X674" s="170" t="n"/>
      <c r="Y674" s="76">
        <f>ROUND(IF(offer_incoterms="DDP",X674*(S674*(1+AW674)+T674),0),2)</f>
        <v/>
      </c>
      <c r="Z674" s="188" t="n"/>
      <c r="AA674" s="192">
        <f>IFERROR(AB674/E674,0)</f>
        <v/>
      </c>
      <c r="AB674" s="76">
        <f>ROUND(SUM(S674,V674,Y674:Z674,BA674:BB674),2)</f>
        <v/>
      </c>
      <c r="AC674" s="797" t="n"/>
      <c r="AD674" s="192">
        <f t="array" ref="AD674">IFERROR(ROUND((_xlfn.IFS(offer_sale_type="поставка",AB674,offer_sale_type="транзит",S674)*(1+AC674))/E674,2),0)</f>
        <v/>
      </c>
      <c r="AE674" s="76">
        <f>AD674*E674</f>
        <v/>
      </c>
      <c r="AF674" s="193">
        <f t="array" ref="AF674">IFERROR(ROUND(_xlfn.IFS(offer_sale_type="поставка",AB674,offer_sale_type="транзит",S674)*AC674,2),0)</f>
        <v/>
      </c>
      <c r="AG674" s="192">
        <f>$BD674*VLOOKUP($AG$3,$AF$4:$AG$7,2,FALSE)</f>
        <v/>
      </c>
      <c r="AH674" s="76">
        <f>SUM(AE674,AG674,AI674)*rate_forex_risk</f>
        <v/>
      </c>
      <c r="AI674" s="193">
        <f>IF(OR(seller_region="TR",offer_sale_type="экспорт"),0,rate_fin_comm)*SUM(AZ674,AZ674*AW674,T674)</f>
        <v/>
      </c>
      <c r="AJ674" s="118">
        <f>IFERROR(ROUND(SUM(AB674,AF674:AI674)/E674,2),0)</f>
        <v/>
      </c>
      <c r="AK674" s="76">
        <f>AJ674*E674</f>
        <v/>
      </c>
      <c r="AL674" s="174">
        <f>ROUND(IFERROR(AM674*E674,0),2)</f>
        <v/>
      </c>
      <c r="AM674" s="175">
        <f>ROUND(AJ674*(1+IF(offer_incoterms="DDP",IF((TODAY()+offer_turnaround_time)&gt;=helpsheet!$L$17,rate_vatRU_from_26,rate_vatRu_till_25),0)),2)</f>
        <v/>
      </c>
      <c r="AN674" s="192">
        <f>AL674-AK674</f>
        <v/>
      </c>
      <c r="AO674" s="76">
        <f>SUM(AY674,Y674:Z674,T674)*IF(AND(offer_incoterms="DDP",offer_sale_type&lt;&gt;"экспорт"),IF((TODAY()+offer_turnaround_time)&gt;=helpsheet!$L$17,rate_vatRU_from_26,rate_vatRu_till_25),0)</f>
        <v/>
      </c>
      <c r="AP674" s="193">
        <f>AN674-AO674</f>
        <v/>
      </c>
      <c r="AQ674" s="118">
        <f>IF(offer_sale_type="транзит",SUM(AF674:AI674,BA674,BB674),0)</f>
        <v/>
      </c>
      <c r="AR674" s="82">
        <f>HYPERLINK("https://www.alta.ru/tnved/code/")&amp;W674&amp;"/"</f>
        <v/>
      </c>
      <c r="AS674" s="157" t="n"/>
      <c r="AT674" s="162" t="n"/>
      <c r="AU674" s="76">
        <f>IF(ISBLANK(AT674),0,AJ674-AT674)</f>
        <v/>
      </c>
      <c r="AV674" s="157" t="n"/>
      <c r="AW674" s="75">
        <f>_xlfn.IFNA(VLOOKUP(L674,list_vat[],3,FALSE),0)</f>
        <v/>
      </c>
      <c r="AX674" s="76">
        <f>IFERROR(ROUND(S674*(1+AW674)/E674,2),0)</f>
        <v/>
      </c>
      <c r="AY674" s="76">
        <f>E674*AX674</f>
        <v/>
      </c>
      <c r="AZ674" s="192">
        <f>S674*(1+M674)</f>
        <v/>
      </c>
      <c r="BA674" s="76">
        <f>cost_fin_total*$BD674</f>
        <v/>
      </c>
      <c r="BB674" s="193">
        <f>credit_sales_interest*BD674</f>
        <v/>
      </c>
      <c r="BC674" s="102">
        <f>IFERROR(IF($I$13&gt;0,$I674/$I$13,$S674/$S$13),0)</f>
        <v/>
      </c>
      <c r="BD674" s="102">
        <f>IFERROR($S674/$S$13,0)</f>
        <v/>
      </c>
      <c r="BE674" s="413" t="inlineStr">
        <is>
          <t>$</t>
        </is>
      </c>
    </row>
    <row r="675" ht="12" customFormat="1" customHeight="1" s="65">
      <c r="A675" s="43" t="n">
        <v>660</v>
      </c>
      <c r="B675" s="166" t="n"/>
      <c r="C675" s="166" t="n"/>
      <c r="D675" s="166" t="n"/>
      <c r="E675" s="162" t="n"/>
      <c r="F675" s="166" t="n"/>
      <c r="G675" s="162" t="n"/>
      <c r="H675" s="162" t="n"/>
      <c r="I675" s="189">
        <f>E675*G675</f>
        <v/>
      </c>
      <c r="J675" s="195" t="n"/>
      <c r="K675" s="162" t="n"/>
      <c r="L675" s="168" t="n"/>
      <c r="M675" s="75">
        <f>_xlfn.XLOOKUP(L675,list_vat[Страна],list_vat[Ставка НДС %],0,0)</f>
        <v/>
      </c>
      <c r="N675" s="162">
        <f>IFERROR(IF(L675="Китай",K675,K675/(1+M675)),0)</f>
        <v/>
      </c>
      <c r="O675" s="169" t="n"/>
      <c r="P675" s="76">
        <f>N675*(1-O675)</f>
        <v/>
      </c>
      <c r="Q675" s="162" t="n"/>
      <c r="R675" s="162">
        <f>IF(ISBLANK(Q675),"введи курс",P675/Q675)</f>
        <v/>
      </c>
      <c r="S675" s="196">
        <f>IF(AND(ISNUMBER(E675),ISNUMBER(Q675)),E675*R675,0)</f>
        <v/>
      </c>
      <c r="T675" s="192">
        <f>$BC675*V$11</f>
        <v/>
      </c>
      <c r="U675" s="76">
        <f>$BC675*W$11</f>
        <v/>
      </c>
      <c r="V675" s="193">
        <f>+SUM(T675:U675)</f>
        <v/>
      </c>
      <c r="W675" s="191" t="n"/>
      <c r="X675" s="170" t="n"/>
      <c r="Y675" s="76">
        <f>ROUND(IF(offer_incoterms="DDP",X675*(S675*(1+AW675)+T675),0),2)</f>
        <v/>
      </c>
      <c r="Z675" s="188" t="n"/>
      <c r="AA675" s="192">
        <f>IFERROR(AB675/E675,0)</f>
        <v/>
      </c>
      <c r="AB675" s="76">
        <f>ROUND(SUM(S675,V675,Y675:Z675,BA675:BB675),2)</f>
        <v/>
      </c>
      <c r="AC675" s="797" t="n"/>
      <c r="AD675" s="192">
        <f t="array" ref="AD675">IFERROR(ROUND((_xlfn.IFS(offer_sale_type="поставка",AB675,offer_sale_type="транзит",S675)*(1+AC675))/E675,2),0)</f>
        <v/>
      </c>
      <c r="AE675" s="76">
        <f>AD675*E675</f>
        <v/>
      </c>
      <c r="AF675" s="193">
        <f t="array" ref="AF675">IFERROR(ROUND(_xlfn.IFS(offer_sale_type="поставка",AB675,offer_sale_type="транзит",S675)*AC675,2),0)</f>
        <v/>
      </c>
      <c r="AG675" s="192">
        <f>$BD675*VLOOKUP($AG$3,$AF$4:$AG$7,2,FALSE)</f>
        <v/>
      </c>
      <c r="AH675" s="76">
        <f>SUM(AE675,AG675,AI675)*rate_forex_risk</f>
        <v/>
      </c>
      <c r="AI675" s="193">
        <f>IF(OR(seller_region="TR",offer_sale_type="экспорт"),0,rate_fin_comm)*SUM(AZ675,AZ675*AW675,T675)</f>
        <v/>
      </c>
      <c r="AJ675" s="118">
        <f>IFERROR(ROUND(SUM(AB675,AF675:AI675)/E675,2),0)</f>
        <v/>
      </c>
      <c r="AK675" s="76">
        <f>AJ675*E675</f>
        <v/>
      </c>
      <c r="AL675" s="174">
        <f>ROUND(IFERROR(AM675*E675,0),2)</f>
        <v/>
      </c>
      <c r="AM675" s="175">
        <f>ROUND(AJ675*(1+IF(offer_incoterms="DDP",IF((TODAY()+offer_turnaround_time)&gt;=helpsheet!$L$17,rate_vatRU_from_26,rate_vatRu_till_25),0)),2)</f>
        <v/>
      </c>
      <c r="AN675" s="192">
        <f>AL675-AK675</f>
        <v/>
      </c>
      <c r="AO675" s="76">
        <f>SUM(AY675,Y675:Z675,T675)*IF(AND(offer_incoterms="DDP",offer_sale_type&lt;&gt;"экспорт"),IF((TODAY()+offer_turnaround_time)&gt;=helpsheet!$L$17,rate_vatRU_from_26,rate_vatRu_till_25),0)</f>
        <v/>
      </c>
      <c r="AP675" s="193">
        <f>AN675-AO675</f>
        <v/>
      </c>
      <c r="AQ675" s="118">
        <f>IF(offer_sale_type="транзит",SUM(AF675:AI675,BA675,BB675),0)</f>
        <v/>
      </c>
      <c r="AR675" s="82">
        <f>HYPERLINK("https://www.alta.ru/tnved/code/")&amp;W675&amp;"/"</f>
        <v/>
      </c>
      <c r="AS675" s="157" t="n"/>
      <c r="AT675" s="162" t="n"/>
      <c r="AU675" s="76">
        <f>IF(ISBLANK(AT675),0,AJ675-AT675)</f>
        <v/>
      </c>
      <c r="AV675" s="157" t="n"/>
      <c r="AW675" s="75">
        <f>_xlfn.IFNA(VLOOKUP(L675,list_vat[],3,FALSE),0)</f>
        <v/>
      </c>
      <c r="AX675" s="76">
        <f>IFERROR(ROUND(S675*(1+AW675)/E675,2),0)</f>
        <v/>
      </c>
      <c r="AY675" s="76">
        <f>E675*AX675</f>
        <v/>
      </c>
      <c r="AZ675" s="192">
        <f>S675*(1+M675)</f>
        <v/>
      </c>
      <c r="BA675" s="76">
        <f>cost_fin_total*$BD675</f>
        <v/>
      </c>
      <c r="BB675" s="193">
        <f>credit_sales_interest*BD675</f>
        <v/>
      </c>
      <c r="BC675" s="102">
        <f>IFERROR(IF($I$13&gt;0,$I675/$I$13,$S675/$S$13),0)</f>
        <v/>
      </c>
      <c r="BD675" s="102">
        <f>IFERROR($S675/$S$13,0)</f>
        <v/>
      </c>
      <c r="BE675" s="413" t="inlineStr">
        <is>
          <t>$</t>
        </is>
      </c>
    </row>
    <row r="676" ht="12" customFormat="1" customHeight="1" s="65">
      <c r="A676" s="43" t="n">
        <v>661</v>
      </c>
      <c r="B676" s="166" t="n"/>
      <c r="C676" s="166" t="n"/>
      <c r="D676" s="166" t="n"/>
      <c r="E676" s="162" t="n"/>
      <c r="F676" s="166" t="n"/>
      <c r="G676" s="162" t="n"/>
      <c r="H676" s="162" t="n"/>
      <c r="I676" s="189">
        <f>E676*G676</f>
        <v/>
      </c>
      <c r="J676" s="195" t="n"/>
      <c r="K676" s="162" t="n"/>
      <c r="L676" s="168" t="n"/>
      <c r="M676" s="75">
        <f>_xlfn.XLOOKUP(L676,list_vat[Страна],list_vat[Ставка НДС %],0,0)</f>
        <v/>
      </c>
      <c r="N676" s="162">
        <f>IFERROR(IF(L676="Китай",K676,K676/(1+M676)),0)</f>
        <v/>
      </c>
      <c r="O676" s="169" t="n"/>
      <c r="P676" s="76">
        <f>N676*(1-O676)</f>
        <v/>
      </c>
      <c r="Q676" s="162" t="n"/>
      <c r="R676" s="162">
        <f>IF(ISBLANK(Q676),"введи курс",P676/Q676)</f>
        <v/>
      </c>
      <c r="S676" s="196">
        <f>IF(AND(ISNUMBER(E676),ISNUMBER(Q676)),E676*R676,0)</f>
        <v/>
      </c>
      <c r="T676" s="192">
        <f>$BC676*V$11</f>
        <v/>
      </c>
      <c r="U676" s="76">
        <f>$BC676*W$11</f>
        <v/>
      </c>
      <c r="V676" s="193">
        <f>+SUM(T676:U676)</f>
        <v/>
      </c>
      <c r="W676" s="191" t="n"/>
      <c r="X676" s="170" t="n"/>
      <c r="Y676" s="76">
        <f>ROUND(IF(offer_incoterms="DDP",X676*(S676*(1+AW676)+T676),0),2)</f>
        <v/>
      </c>
      <c r="Z676" s="188" t="n"/>
      <c r="AA676" s="192">
        <f>IFERROR(AB676/E676,0)</f>
        <v/>
      </c>
      <c r="AB676" s="76">
        <f>ROUND(SUM(S676,V676,Y676:Z676,BA676:BB676),2)</f>
        <v/>
      </c>
      <c r="AC676" s="797" t="n"/>
      <c r="AD676" s="192">
        <f t="array" ref="AD676">IFERROR(ROUND((_xlfn.IFS(offer_sale_type="поставка",AB676,offer_sale_type="транзит",S676)*(1+AC676))/E676,2),0)</f>
        <v/>
      </c>
      <c r="AE676" s="76">
        <f>AD676*E676</f>
        <v/>
      </c>
      <c r="AF676" s="193">
        <f t="array" ref="AF676">IFERROR(ROUND(_xlfn.IFS(offer_sale_type="поставка",AB676,offer_sale_type="транзит",S676)*AC676,2),0)</f>
        <v/>
      </c>
      <c r="AG676" s="192">
        <f>$BD676*VLOOKUP($AG$3,$AF$4:$AG$7,2,FALSE)</f>
        <v/>
      </c>
      <c r="AH676" s="76">
        <f>SUM(AE676,AG676,AI676)*rate_forex_risk</f>
        <v/>
      </c>
      <c r="AI676" s="193">
        <f>IF(OR(seller_region="TR",offer_sale_type="экспорт"),0,rate_fin_comm)*SUM(AZ676,AZ676*AW676,T676)</f>
        <v/>
      </c>
      <c r="AJ676" s="118">
        <f>IFERROR(ROUND(SUM(AB676,AF676:AI676)/E676,2),0)</f>
        <v/>
      </c>
      <c r="AK676" s="76">
        <f>AJ676*E676</f>
        <v/>
      </c>
      <c r="AL676" s="174">
        <f>ROUND(IFERROR(AM676*E676,0),2)</f>
        <v/>
      </c>
      <c r="AM676" s="175">
        <f>ROUND(AJ676*(1+IF(offer_incoterms="DDP",IF((TODAY()+offer_turnaround_time)&gt;=helpsheet!$L$17,rate_vatRU_from_26,rate_vatRu_till_25),0)),2)</f>
        <v/>
      </c>
      <c r="AN676" s="192">
        <f>AL676-AK676</f>
        <v/>
      </c>
      <c r="AO676" s="76">
        <f>SUM(AY676,Y676:Z676,T676)*IF(AND(offer_incoterms="DDP",offer_sale_type&lt;&gt;"экспорт"),IF((TODAY()+offer_turnaround_time)&gt;=helpsheet!$L$17,rate_vatRU_from_26,rate_vatRu_till_25),0)</f>
        <v/>
      </c>
      <c r="AP676" s="193">
        <f>AN676-AO676</f>
        <v/>
      </c>
      <c r="AQ676" s="118">
        <f>IF(offer_sale_type="транзит",SUM(AF676:AI676,BA676,BB676),0)</f>
        <v/>
      </c>
      <c r="AR676" s="82">
        <f>HYPERLINK("https://www.alta.ru/tnved/code/")&amp;W676&amp;"/"</f>
        <v/>
      </c>
      <c r="AS676" s="157" t="n"/>
      <c r="AT676" s="162" t="n"/>
      <c r="AU676" s="76">
        <f>IF(ISBLANK(AT676),0,AJ676-AT676)</f>
        <v/>
      </c>
      <c r="AV676" s="157" t="n"/>
      <c r="AW676" s="75">
        <f>_xlfn.IFNA(VLOOKUP(L676,list_vat[],3,FALSE),0)</f>
        <v/>
      </c>
      <c r="AX676" s="76">
        <f>IFERROR(ROUND(S676*(1+AW676)/E676,2),0)</f>
        <v/>
      </c>
      <c r="AY676" s="76">
        <f>E676*AX676</f>
        <v/>
      </c>
      <c r="AZ676" s="192">
        <f>S676*(1+M676)</f>
        <v/>
      </c>
      <c r="BA676" s="76">
        <f>cost_fin_total*$BD676</f>
        <v/>
      </c>
      <c r="BB676" s="193">
        <f>credit_sales_interest*BD676</f>
        <v/>
      </c>
      <c r="BC676" s="102">
        <f>IFERROR(IF($I$13&gt;0,$I676/$I$13,$S676/$S$13),0)</f>
        <v/>
      </c>
      <c r="BD676" s="102">
        <f>IFERROR($S676/$S$13,0)</f>
        <v/>
      </c>
      <c r="BE676" s="413" t="inlineStr">
        <is>
          <t>$</t>
        </is>
      </c>
    </row>
    <row r="677" ht="12" customFormat="1" customHeight="1" s="65">
      <c r="A677" s="43" t="n">
        <v>662</v>
      </c>
      <c r="B677" s="166" t="n"/>
      <c r="C677" s="166" t="n"/>
      <c r="D677" s="166" t="n"/>
      <c r="E677" s="162" t="n"/>
      <c r="F677" s="166" t="n"/>
      <c r="G677" s="162" t="n"/>
      <c r="H677" s="162" t="n"/>
      <c r="I677" s="189">
        <f>E677*G677</f>
        <v/>
      </c>
      <c r="J677" s="195" t="n"/>
      <c r="K677" s="162" t="n"/>
      <c r="L677" s="168" t="n"/>
      <c r="M677" s="75">
        <f>_xlfn.XLOOKUP(L677,list_vat[Страна],list_vat[Ставка НДС %],0,0)</f>
        <v/>
      </c>
      <c r="N677" s="162">
        <f>IFERROR(IF(L677="Китай",K677,K677/(1+M677)),0)</f>
        <v/>
      </c>
      <c r="O677" s="169" t="n"/>
      <c r="P677" s="76">
        <f>N677*(1-O677)</f>
        <v/>
      </c>
      <c r="Q677" s="162" t="n"/>
      <c r="R677" s="162">
        <f>IF(ISBLANK(Q677),"введи курс",P677/Q677)</f>
        <v/>
      </c>
      <c r="S677" s="196">
        <f>IF(AND(ISNUMBER(E677),ISNUMBER(Q677)),E677*R677,0)</f>
        <v/>
      </c>
      <c r="T677" s="192">
        <f>$BC677*V$11</f>
        <v/>
      </c>
      <c r="U677" s="76">
        <f>$BC677*W$11</f>
        <v/>
      </c>
      <c r="V677" s="193">
        <f>+SUM(T677:U677)</f>
        <v/>
      </c>
      <c r="W677" s="191" t="n"/>
      <c r="X677" s="170" t="n"/>
      <c r="Y677" s="76">
        <f>ROUND(IF(offer_incoterms="DDP",X677*(S677*(1+AW677)+T677),0),2)</f>
        <v/>
      </c>
      <c r="Z677" s="188" t="n"/>
      <c r="AA677" s="192">
        <f>IFERROR(AB677/E677,0)</f>
        <v/>
      </c>
      <c r="AB677" s="76">
        <f>ROUND(SUM(S677,V677,Y677:Z677,BA677:BB677),2)</f>
        <v/>
      </c>
      <c r="AC677" s="797" t="n"/>
      <c r="AD677" s="192">
        <f t="array" ref="AD677">IFERROR(ROUND((_xlfn.IFS(offer_sale_type="поставка",AB677,offer_sale_type="транзит",S677)*(1+AC677))/E677,2),0)</f>
        <v/>
      </c>
      <c r="AE677" s="76">
        <f>AD677*E677</f>
        <v/>
      </c>
      <c r="AF677" s="193">
        <f t="array" ref="AF677">IFERROR(ROUND(_xlfn.IFS(offer_sale_type="поставка",AB677,offer_sale_type="транзит",S677)*AC677,2),0)</f>
        <v/>
      </c>
      <c r="AG677" s="192">
        <f>$BD677*VLOOKUP($AG$3,$AF$4:$AG$7,2,FALSE)</f>
        <v/>
      </c>
      <c r="AH677" s="76">
        <f>SUM(AE677,AG677,AI677)*rate_forex_risk</f>
        <v/>
      </c>
      <c r="AI677" s="193">
        <f>IF(OR(seller_region="TR",offer_sale_type="экспорт"),0,rate_fin_comm)*SUM(AZ677,AZ677*AW677,T677)</f>
        <v/>
      </c>
      <c r="AJ677" s="118">
        <f>IFERROR(ROUND(SUM(AB677,AF677:AI677)/E677,2),0)</f>
        <v/>
      </c>
      <c r="AK677" s="76">
        <f>AJ677*E677</f>
        <v/>
      </c>
      <c r="AL677" s="174">
        <f>ROUND(IFERROR(AM677*E677,0),2)</f>
        <v/>
      </c>
      <c r="AM677" s="175">
        <f>ROUND(AJ677*(1+IF(offer_incoterms="DDP",IF((TODAY()+offer_turnaround_time)&gt;=helpsheet!$L$17,rate_vatRU_from_26,rate_vatRu_till_25),0)),2)</f>
        <v/>
      </c>
      <c r="AN677" s="192">
        <f>AL677-AK677</f>
        <v/>
      </c>
      <c r="AO677" s="76">
        <f>SUM(AY677,Y677:Z677,T677)*IF(AND(offer_incoterms="DDP",offer_sale_type&lt;&gt;"экспорт"),IF((TODAY()+offer_turnaround_time)&gt;=helpsheet!$L$17,rate_vatRU_from_26,rate_vatRu_till_25),0)</f>
        <v/>
      </c>
      <c r="AP677" s="193">
        <f>AN677-AO677</f>
        <v/>
      </c>
      <c r="AQ677" s="118">
        <f>IF(offer_sale_type="транзит",SUM(AF677:AI677,BA677,BB677),0)</f>
        <v/>
      </c>
      <c r="AR677" s="82">
        <f>HYPERLINK("https://www.alta.ru/tnved/code/")&amp;W677&amp;"/"</f>
        <v/>
      </c>
      <c r="AS677" s="157" t="n"/>
      <c r="AT677" s="162" t="n"/>
      <c r="AU677" s="76">
        <f>IF(ISBLANK(AT677),0,AJ677-AT677)</f>
        <v/>
      </c>
      <c r="AV677" s="157" t="n"/>
      <c r="AW677" s="75">
        <f>_xlfn.IFNA(VLOOKUP(L677,list_vat[],3,FALSE),0)</f>
        <v/>
      </c>
      <c r="AX677" s="76">
        <f>IFERROR(ROUND(S677*(1+AW677)/E677,2),0)</f>
        <v/>
      </c>
      <c r="AY677" s="76">
        <f>E677*AX677</f>
        <v/>
      </c>
      <c r="AZ677" s="192">
        <f>S677*(1+M677)</f>
        <v/>
      </c>
      <c r="BA677" s="76">
        <f>cost_fin_total*$BD677</f>
        <v/>
      </c>
      <c r="BB677" s="193">
        <f>credit_sales_interest*BD677</f>
        <v/>
      </c>
      <c r="BC677" s="102">
        <f>IFERROR(IF($I$13&gt;0,$I677/$I$13,$S677/$S$13),0)</f>
        <v/>
      </c>
      <c r="BD677" s="102">
        <f>IFERROR($S677/$S$13,0)</f>
        <v/>
      </c>
      <c r="BE677" s="413" t="inlineStr">
        <is>
          <t>$</t>
        </is>
      </c>
    </row>
    <row r="678" ht="12" customFormat="1" customHeight="1" s="65">
      <c r="A678" s="43" t="n">
        <v>663</v>
      </c>
      <c r="B678" s="166" t="n"/>
      <c r="C678" s="166" t="n"/>
      <c r="D678" s="166" t="n"/>
      <c r="E678" s="162" t="n"/>
      <c r="F678" s="166" t="n"/>
      <c r="G678" s="162" t="n"/>
      <c r="H678" s="162" t="n"/>
      <c r="I678" s="189">
        <f>E678*G678</f>
        <v/>
      </c>
      <c r="J678" s="195" t="n"/>
      <c r="K678" s="162" t="n"/>
      <c r="L678" s="168" t="n"/>
      <c r="M678" s="75">
        <f>_xlfn.XLOOKUP(L678,list_vat[Страна],list_vat[Ставка НДС %],0,0)</f>
        <v/>
      </c>
      <c r="N678" s="162">
        <f>IFERROR(IF(L678="Китай",K678,K678/(1+M678)),0)</f>
        <v/>
      </c>
      <c r="O678" s="169" t="n"/>
      <c r="P678" s="76">
        <f>N678*(1-O678)</f>
        <v/>
      </c>
      <c r="Q678" s="162" t="n"/>
      <c r="R678" s="162">
        <f>IF(ISBLANK(Q678),"введи курс",P678/Q678)</f>
        <v/>
      </c>
      <c r="S678" s="196">
        <f>IF(AND(ISNUMBER(E678),ISNUMBER(Q678)),E678*R678,0)</f>
        <v/>
      </c>
      <c r="T678" s="192">
        <f>$BC678*V$11</f>
        <v/>
      </c>
      <c r="U678" s="76">
        <f>$BC678*W$11</f>
        <v/>
      </c>
      <c r="V678" s="193">
        <f>+SUM(T678:U678)</f>
        <v/>
      </c>
      <c r="W678" s="191" t="n"/>
      <c r="X678" s="170" t="n"/>
      <c r="Y678" s="76">
        <f>ROUND(IF(offer_incoterms="DDP",X678*(S678*(1+AW678)+T678),0),2)</f>
        <v/>
      </c>
      <c r="Z678" s="188" t="n"/>
      <c r="AA678" s="192">
        <f>IFERROR(AB678/E678,0)</f>
        <v/>
      </c>
      <c r="AB678" s="76">
        <f>ROUND(SUM(S678,V678,Y678:Z678,BA678:BB678),2)</f>
        <v/>
      </c>
      <c r="AC678" s="797" t="n"/>
      <c r="AD678" s="192">
        <f t="array" ref="AD678">IFERROR(ROUND((_xlfn.IFS(offer_sale_type="поставка",AB678,offer_sale_type="транзит",S678)*(1+AC678))/E678,2),0)</f>
        <v/>
      </c>
      <c r="AE678" s="76">
        <f>AD678*E678</f>
        <v/>
      </c>
      <c r="AF678" s="193">
        <f t="array" ref="AF678">IFERROR(ROUND(_xlfn.IFS(offer_sale_type="поставка",AB678,offer_sale_type="транзит",S678)*AC678,2),0)</f>
        <v/>
      </c>
      <c r="AG678" s="192">
        <f>$BD678*VLOOKUP($AG$3,$AF$4:$AG$7,2,FALSE)</f>
        <v/>
      </c>
      <c r="AH678" s="76">
        <f>SUM(AE678,AG678,AI678)*rate_forex_risk</f>
        <v/>
      </c>
      <c r="AI678" s="193">
        <f>IF(OR(seller_region="TR",offer_sale_type="экспорт"),0,rate_fin_comm)*SUM(AZ678,AZ678*AW678,T678)</f>
        <v/>
      </c>
      <c r="AJ678" s="118">
        <f>IFERROR(ROUND(SUM(AB678,AF678:AI678)/E678,2),0)</f>
        <v/>
      </c>
      <c r="AK678" s="76">
        <f>AJ678*E678</f>
        <v/>
      </c>
      <c r="AL678" s="174">
        <f>ROUND(IFERROR(AM678*E678,0),2)</f>
        <v/>
      </c>
      <c r="AM678" s="175">
        <f>ROUND(AJ678*(1+IF(offer_incoterms="DDP",IF((TODAY()+offer_turnaround_time)&gt;=helpsheet!$L$17,rate_vatRU_from_26,rate_vatRu_till_25),0)),2)</f>
        <v/>
      </c>
      <c r="AN678" s="192">
        <f>AL678-AK678</f>
        <v/>
      </c>
      <c r="AO678" s="76">
        <f>SUM(AY678,Y678:Z678,T678)*IF(AND(offer_incoterms="DDP",offer_sale_type&lt;&gt;"экспорт"),IF((TODAY()+offer_turnaround_time)&gt;=helpsheet!$L$17,rate_vatRU_from_26,rate_vatRu_till_25),0)</f>
        <v/>
      </c>
      <c r="AP678" s="193">
        <f>AN678-AO678</f>
        <v/>
      </c>
      <c r="AQ678" s="118">
        <f>IF(offer_sale_type="транзит",SUM(AF678:AI678,BA678,BB678),0)</f>
        <v/>
      </c>
      <c r="AR678" s="82">
        <f>HYPERLINK("https://www.alta.ru/tnved/code/")&amp;W678&amp;"/"</f>
        <v/>
      </c>
      <c r="AS678" s="157" t="n"/>
      <c r="AT678" s="162" t="n"/>
      <c r="AU678" s="76">
        <f>IF(ISBLANK(AT678),0,AJ678-AT678)</f>
        <v/>
      </c>
      <c r="AV678" s="157" t="n"/>
      <c r="AW678" s="75">
        <f>_xlfn.IFNA(VLOOKUP(L678,list_vat[],3,FALSE),0)</f>
        <v/>
      </c>
      <c r="AX678" s="76">
        <f>IFERROR(ROUND(S678*(1+AW678)/E678,2),0)</f>
        <v/>
      </c>
      <c r="AY678" s="76">
        <f>E678*AX678</f>
        <v/>
      </c>
      <c r="AZ678" s="192">
        <f>S678*(1+M678)</f>
        <v/>
      </c>
      <c r="BA678" s="76">
        <f>cost_fin_total*$BD678</f>
        <v/>
      </c>
      <c r="BB678" s="193">
        <f>credit_sales_interest*BD678</f>
        <v/>
      </c>
      <c r="BC678" s="102">
        <f>IFERROR(IF($I$13&gt;0,$I678/$I$13,$S678/$S$13),0)</f>
        <v/>
      </c>
      <c r="BD678" s="102">
        <f>IFERROR($S678/$S$13,0)</f>
        <v/>
      </c>
      <c r="BE678" s="413" t="inlineStr">
        <is>
          <t>$</t>
        </is>
      </c>
    </row>
    <row r="679" ht="12" customFormat="1" customHeight="1" s="65">
      <c r="A679" s="43" t="n">
        <v>664</v>
      </c>
      <c r="B679" s="166" t="n"/>
      <c r="C679" s="166" t="n"/>
      <c r="D679" s="166" t="n"/>
      <c r="E679" s="162" t="n"/>
      <c r="F679" s="166" t="n"/>
      <c r="G679" s="162" t="n"/>
      <c r="H679" s="162" t="n"/>
      <c r="I679" s="189">
        <f>E679*G679</f>
        <v/>
      </c>
      <c r="J679" s="195" t="n"/>
      <c r="K679" s="162" t="n"/>
      <c r="L679" s="168" t="n"/>
      <c r="M679" s="75">
        <f>_xlfn.XLOOKUP(L679,list_vat[Страна],list_vat[Ставка НДС %],0,0)</f>
        <v/>
      </c>
      <c r="N679" s="162">
        <f>IFERROR(IF(L679="Китай",K679,K679/(1+M679)),0)</f>
        <v/>
      </c>
      <c r="O679" s="169" t="n"/>
      <c r="P679" s="76">
        <f>N679*(1-O679)</f>
        <v/>
      </c>
      <c r="Q679" s="162" t="n"/>
      <c r="R679" s="162">
        <f>IF(ISBLANK(Q679),"введи курс",P679/Q679)</f>
        <v/>
      </c>
      <c r="S679" s="196">
        <f>IF(AND(ISNUMBER(E679),ISNUMBER(Q679)),E679*R679,0)</f>
        <v/>
      </c>
      <c r="T679" s="192">
        <f>$BC679*V$11</f>
        <v/>
      </c>
      <c r="U679" s="76">
        <f>$BC679*W$11</f>
        <v/>
      </c>
      <c r="V679" s="193">
        <f>+SUM(T679:U679)</f>
        <v/>
      </c>
      <c r="W679" s="191" t="n"/>
      <c r="X679" s="170" t="n"/>
      <c r="Y679" s="76">
        <f>ROUND(IF(offer_incoterms="DDP",X679*(S679*(1+AW679)+T679),0),2)</f>
        <v/>
      </c>
      <c r="Z679" s="188" t="n"/>
      <c r="AA679" s="192">
        <f>IFERROR(AB679/E679,0)</f>
        <v/>
      </c>
      <c r="AB679" s="76">
        <f>ROUND(SUM(S679,V679,Y679:Z679,BA679:BB679),2)</f>
        <v/>
      </c>
      <c r="AC679" s="797" t="n"/>
      <c r="AD679" s="192">
        <f t="array" ref="AD679">IFERROR(ROUND((_xlfn.IFS(offer_sale_type="поставка",AB679,offer_sale_type="транзит",S679)*(1+AC679))/E679,2),0)</f>
        <v/>
      </c>
      <c r="AE679" s="76">
        <f>AD679*E679</f>
        <v/>
      </c>
      <c r="AF679" s="193">
        <f t="array" ref="AF679">IFERROR(ROUND(_xlfn.IFS(offer_sale_type="поставка",AB679,offer_sale_type="транзит",S679)*AC679,2),0)</f>
        <v/>
      </c>
      <c r="AG679" s="192">
        <f>$BD679*VLOOKUP($AG$3,$AF$4:$AG$7,2,FALSE)</f>
        <v/>
      </c>
      <c r="AH679" s="76">
        <f>SUM(AE679,AG679,AI679)*rate_forex_risk</f>
        <v/>
      </c>
      <c r="AI679" s="193">
        <f>IF(OR(seller_region="TR",offer_sale_type="экспорт"),0,rate_fin_comm)*SUM(AZ679,AZ679*AW679,T679)</f>
        <v/>
      </c>
      <c r="AJ679" s="118">
        <f>IFERROR(ROUND(SUM(AB679,AF679:AI679)/E679,2),0)</f>
        <v/>
      </c>
      <c r="AK679" s="76">
        <f>AJ679*E679</f>
        <v/>
      </c>
      <c r="AL679" s="174">
        <f>ROUND(IFERROR(AM679*E679,0),2)</f>
        <v/>
      </c>
      <c r="AM679" s="175">
        <f>ROUND(AJ679*(1+IF(offer_incoterms="DDP",IF((TODAY()+offer_turnaround_time)&gt;=helpsheet!$L$17,rate_vatRU_from_26,rate_vatRu_till_25),0)),2)</f>
        <v/>
      </c>
      <c r="AN679" s="192">
        <f>AL679-AK679</f>
        <v/>
      </c>
      <c r="AO679" s="76">
        <f>SUM(AY679,Y679:Z679,T679)*IF(AND(offer_incoterms="DDP",offer_sale_type&lt;&gt;"экспорт"),IF((TODAY()+offer_turnaround_time)&gt;=helpsheet!$L$17,rate_vatRU_from_26,rate_vatRu_till_25),0)</f>
        <v/>
      </c>
      <c r="AP679" s="193">
        <f>AN679-AO679</f>
        <v/>
      </c>
      <c r="AQ679" s="118">
        <f>IF(offer_sale_type="транзит",SUM(AF679:AI679,BA679,BB679),0)</f>
        <v/>
      </c>
      <c r="AR679" s="82">
        <f>HYPERLINK("https://www.alta.ru/tnved/code/")&amp;W679&amp;"/"</f>
        <v/>
      </c>
      <c r="AS679" s="157" t="n"/>
      <c r="AT679" s="162" t="n"/>
      <c r="AU679" s="76">
        <f>IF(ISBLANK(AT679),0,AJ679-AT679)</f>
        <v/>
      </c>
      <c r="AV679" s="157" t="n"/>
      <c r="AW679" s="75">
        <f>_xlfn.IFNA(VLOOKUP(L679,list_vat[],3,FALSE),0)</f>
        <v/>
      </c>
      <c r="AX679" s="76">
        <f>IFERROR(ROUND(S679*(1+AW679)/E679,2),0)</f>
        <v/>
      </c>
      <c r="AY679" s="76">
        <f>E679*AX679</f>
        <v/>
      </c>
      <c r="AZ679" s="192">
        <f>S679*(1+M679)</f>
        <v/>
      </c>
      <c r="BA679" s="76">
        <f>cost_fin_total*$BD679</f>
        <v/>
      </c>
      <c r="BB679" s="193">
        <f>credit_sales_interest*BD679</f>
        <v/>
      </c>
      <c r="BC679" s="102">
        <f>IFERROR(IF($I$13&gt;0,$I679/$I$13,$S679/$S$13),0)</f>
        <v/>
      </c>
      <c r="BD679" s="102">
        <f>IFERROR($S679/$S$13,0)</f>
        <v/>
      </c>
      <c r="BE679" s="413" t="inlineStr">
        <is>
          <t>$</t>
        </is>
      </c>
    </row>
    <row r="680" ht="12" customFormat="1" customHeight="1" s="65">
      <c r="A680" s="43" t="n">
        <v>665</v>
      </c>
      <c r="B680" s="166" t="n"/>
      <c r="C680" s="166" t="n"/>
      <c r="D680" s="166" t="n"/>
      <c r="E680" s="162" t="n"/>
      <c r="F680" s="166" t="n"/>
      <c r="G680" s="162" t="n"/>
      <c r="H680" s="162" t="n"/>
      <c r="I680" s="189">
        <f>E680*G680</f>
        <v/>
      </c>
      <c r="J680" s="195" t="n"/>
      <c r="K680" s="162" t="n"/>
      <c r="L680" s="168" t="n"/>
      <c r="M680" s="75">
        <f>_xlfn.XLOOKUP(L680,list_vat[Страна],list_vat[Ставка НДС %],0,0)</f>
        <v/>
      </c>
      <c r="N680" s="162">
        <f>IFERROR(IF(L680="Китай",K680,K680/(1+M680)),0)</f>
        <v/>
      </c>
      <c r="O680" s="169" t="n"/>
      <c r="P680" s="76">
        <f>N680*(1-O680)</f>
        <v/>
      </c>
      <c r="Q680" s="162" t="n"/>
      <c r="R680" s="162">
        <f>IF(ISBLANK(Q680),"введи курс",P680/Q680)</f>
        <v/>
      </c>
      <c r="S680" s="196">
        <f>IF(AND(ISNUMBER(E680),ISNUMBER(Q680)),E680*R680,0)</f>
        <v/>
      </c>
      <c r="T680" s="192">
        <f>$BC680*V$11</f>
        <v/>
      </c>
      <c r="U680" s="76">
        <f>$BC680*W$11</f>
        <v/>
      </c>
      <c r="V680" s="193">
        <f>+SUM(T680:U680)</f>
        <v/>
      </c>
      <c r="W680" s="191" t="n"/>
      <c r="X680" s="170" t="n"/>
      <c r="Y680" s="76">
        <f>ROUND(IF(offer_incoterms="DDP",X680*(S680*(1+AW680)+T680),0),2)</f>
        <v/>
      </c>
      <c r="Z680" s="188" t="n"/>
      <c r="AA680" s="192">
        <f>IFERROR(AB680/E680,0)</f>
        <v/>
      </c>
      <c r="AB680" s="76">
        <f>ROUND(SUM(S680,V680,Y680:Z680,BA680:BB680),2)</f>
        <v/>
      </c>
      <c r="AC680" s="797" t="n"/>
      <c r="AD680" s="192">
        <f t="array" ref="AD680">IFERROR(ROUND((_xlfn.IFS(offer_sale_type="поставка",AB680,offer_sale_type="транзит",S680)*(1+AC680))/E680,2),0)</f>
        <v/>
      </c>
      <c r="AE680" s="76">
        <f>AD680*E680</f>
        <v/>
      </c>
      <c r="AF680" s="193">
        <f t="array" ref="AF680">IFERROR(ROUND(_xlfn.IFS(offer_sale_type="поставка",AB680,offer_sale_type="транзит",S680)*AC680,2),0)</f>
        <v/>
      </c>
      <c r="AG680" s="192">
        <f>$BD680*VLOOKUP($AG$3,$AF$4:$AG$7,2,FALSE)</f>
        <v/>
      </c>
      <c r="AH680" s="76">
        <f>SUM(AE680,AG680,AI680)*rate_forex_risk</f>
        <v/>
      </c>
      <c r="AI680" s="193">
        <f>IF(OR(seller_region="TR",offer_sale_type="экспорт"),0,rate_fin_comm)*SUM(AZ680,AZ680*AW680,T680)</f>
        <v/>
      </c>
      <c r="AJ680" s="118">
        <f>IFERROR(ROUND(SUM(AB680,AF680:AI680)/E680,2),0)</f>
        <v/>
      </c>
      <c r="AK680" s="76">
        <f>AJ680*E680</f>
        <v/>
      </c>
      <c r="AL680" s="174">
        <f>ROUND(IFERROR(AM680*E680,0),2)</f>
        <v/>
      </c>
      <c r="AM680" s="175">
        <f>ROUND(AJ680*(1+IF(offer_incoterms="DDP",IF((TODAY()+offer_turnaround_time)&gt;=helpsheet!$L$17,rate_vatRU_from_26,rate_vatRu_till_25),0)),2)</f>
        <v/>
      </c>
      <c r="AN680" s="192">
        <f>AL680-AK680</f>
        <v/>
      </c>
      <c r="AO680" s="76">
        <f>SUM(AY680,Y680:Z680,T680)*IF(AND(offer_incoterms="DDP",offer_sale_type&lt;&gt;"экспорт"),IF((TODAY()+offer_turnaround_time)&gt;=helpsheet!$L$17,rate_vatRU_from_26,rate_vatRu_till_25),0)</f>
        <v/>
      </c>
      <c r="AP680" s="193">
        <f>AN680-AO680</f>
        <v/>
      </c>
      <c r="AQ680" s="118">
        <f>IF(offer_sale_type="транзит",SUM(AF680:AI680,BA680,BB680),0)</f>
        <v/>
      </c>
      <c r="AR680" s="82">
        <f>HYPERLINK("https://www.alta.ru/tnved/code/")&amp;W680&amp;"/"</f>
        <v/>
      </c>
      <c r="AS680" s="157" t="n"/>
      <c r="AT680" s="162" t="n"/>
      <c r="AU680" s="76">
        <f>IF(ISBLANK(AT680),0,AJ680-AT680)</f>
        <v/>
      </c>
      <c r="AV680" s="157" t="n"/>
      <c r="AW680" s="75">
        <f>_xlfn.IFNA(VLOOKUP(L680,list_vat[],3,FALSE),0)</f>
        <v/>
      </c>
      <c r="AX680" s="76">
        <f>IFERROR(ROUND(S680*(1+AW680)/E680,2),0)</f>
        <v/>
      </c>
      <c r="AY680" s="76">
        <f>E680*AX680</f>
        <v/>
      </c>
      <c r="AZ680" s="192">
        <f>S680*(1+M680)</f>
        <v/>
      </c>
      <c r="BA680" s="76">
        <f>cost_fin_total*$BD680</f>
        <v/>
      </c>
      <c r="BB680" s="193">
        <f>credit_sales_interest*BD680</f>
        <v/>
      </c>
      <c r="BC680" s="102">
        <f>IFERROR(IF($I$13&gt;0,$I680/$I$13,$S680/$S$13),0)</f>
        <v/>
      </c>
      <c r="BD680" s="102">
        <f>IFERROR($S680/$S$13,0)</f>
        <v/>
      </c>
      <c r="BE680" s="413" t="inlineStr">
        <is>
          <t>$</t>
        </is>
      </c>
    </row>
    <row r="681" ht="12" customFormat="1" customHeight="1" s="65">
      <c r="A681" s="43" t="n">
        <v>666</v>
      </c>
      <c r="B681" s="166" t="n"/>
      <c r="C681" s="166" t="n"/>
      <c r="D681" s="166" t="n"/>
      <c r="E681" s="162" t="n"/>
      <c r="F681" s="166" t="n"/>
      <c r="G681" s="162" t="n"/>
      <c r="H681" s="162" t="n"/>
      <c r="I681" s="189">
        <f>E681*G681</f>
        <v/>
      </c>
      <c r="J681" s="195" t="n"/>
      <c r="K681" s="162" t="n"/>
      <c r="L681" s="168" t="n"/>
      <c r="M681" s="75">
        <f>_xlfn.XLOOKUP(L681,list_vat[Страна],list_vat[Ставка НДС %],0,0)</f>
        <v/>
      </c>
      <c r="N681" s="162">
        <f>IFERROR(IF(L681="Китай",K681,K681/(1+M681)),0)</f>
        <v/>
      </c>
      <c r="O681" s="169" t="n"/>
      <c r="P681" s="76">
        <f>N681*(1-O681)</f>
        <v/>
      </c>
      <c r="Q681" s="162" t="n"/>
      <c r="R681" s="162">
        <f>IF(ISBLANK(Q681),"введи курс",P681/Q681)</f>
        <v/>
      </c>
      <c r="S681" s="196">
        <f>IF(AND(ISNUMBER(E681),ISNUMBER(Q681)),E681*R681,0)</f>
        <v/>
      </c>
      <c r="T681" s="192">
        <f>$BC681*V$11</f>
        <v/>
      </c>
      <c r="U681" s="76">
        <f>$BC681*W$11</f>
        <v/>
      </c>
      <c r="V681" s="193">
        <f>+SUM(T681:U681)</f>
        <v/>
      </c>
      <c r="W681" s="191" t="n"/>
      <c r="X681" s="170" t="n"/>
      <c r="Y681" s="76">
        <f>ROUND(IF(offer_incoterms="DDP",X681*(S681*(1+AW681)+T681),0),2)</f>
        <v/>
      </c>
      <c r="Z681" s="188" t="n"/>
      <c r="AA681" s="192">
        <f>IFERROR(AB681/E681,0)</f>
        <v/>
      </c>
      <c r="AB681" s="76">
        <f>ROUND(SUM(S681,V681,Y681:Z681,BA681:BB681),2)</f>
        <v/>
      </c>
      <c r="AC681" s="797" t="n"/>
      <c r="AD681" s="192">
        <f t="array" ref="AD681">IFERROR(ROUND((_xlfn.IFS(offer_sale_type="поставка",AB681,offer_sale_type="транзит",S681)*(1+AC681))/E681,2),0)</f>
        <v/>
      </c>
      <c r="AE681" s="76">
        <f>AD681*E681</f>
        <v/>
      </c>
      <c r="AF681" s="193">
        <f t="array" ref="AF681">IFERROR(ROUND(_xlfn.IFS(offer_sale_type="поставка",AB681,offer_sale_type="транзит",S681)*AC681,2),0)</f>
        <v/>
      </c>
      <c r="AG681" s="192">
        <f>$BD681*VLOOKUP($AG$3,$AF$4:$AG$7,2,FALSE)</f>
        <v/>
      </c>
      <c r="AH681" s="76">
        <f>SUM(AE681,AG681,AI681)*rate_forex_risk</f>
        <v/>
      </c>
      <c r="AI681" s="193">
        <f>IF(OR(seller_region="TR",offer_sale_type="экспорт"),0,rate_fin_comm)*SUM(AZ681,AZ681*AW681,T681)</f>
        <v/>
      </c>
      <c r="AJ681" s="118">
        <f>IFERROR(ROUND(SUM(AB681,AF681:AI681)/E681,2),0)</f>
        <v/>
      </c>
      <c r="AK681" s="76">
        <f>AJ681*E681</f>
        <v/>
      </c>
      <c r="AL681" s="174">
        <f>ROUND(IFERROR(AM681*E681,0),2)</f>
        <v/>
      </c>
      <c r="AM681" s="175">
        <f>ROUND(AJ681*(1+IF(offer_incoterms="DDP",IF((TODAY()+offer_turnaround_time)&gt;=helpsheet!$L$17,rate_vatRU_from_26,rate_vatRu_till_25),0)),2)</f>
        <v/>
      </c>
      <c r="AN681" s="192">
        <f>AL681-AK681</f>
        <v/>
      </c>
      <c r="AO681" s="76">
        <f>SUM(AY681,Y681:Z681,T681)*IF(AND(offer_incoterms="DDP",offer_sale_type&lt;&gt;"экспорт"),IF((TODAY()+offer_turnaround_time)&gt;=helpsheet!$L$17,rate_vatRU_from_26,rate_vatRu_till_25),0)</f>
        <v/>
      </c>
      <c r="AP681" s="193">
        <f>AN681-AO681</f>
        <v/>
      </c>
      <c r="AQ681" s="118">
        <f>IF(offer_sale_type="транзит",SUM(AF681:AI681,BA681,BB681),0)</f>
        <v/>
      </c>
      <c r="AR681" s="82">
        <f>HYPERLINK("https://www.alta.ru/tnved/code/")&amp;W681&amp;"/"</f>
        <v/>
      </c>
      <c r="AS681" s="157" t="n"/>
      <c r="AT681" s="162" t="n"/>
      <c r="AU681" s="76">
        <f>IF(ISBLANK(AT681),0,AJ681-AT681)</f>
        <v/>
      </c>
      <c r="AV681" s="157" t="n"/>
      <c r="AW681" s="75">
        <f>_xlfn.IFNA(VLOOKUP(L681,list_vat[],3,FALSE),0)</f>
        <v/>
      </c>
      <c r="AX681" s="76">
        <f>IFERROR(ROUND(S681*(1+AW681)/E681,2),0)</f>
        <v/>
      </c>
      <c r="AY681" s="76">
        <f>E681*AX681</f>
        <v/>
      </c>
      <c r="AZ681" s="192">
        <f>S681*(1+M681)</f>
        <v/>
      </c>
      <c r="BA681" s="76">
        <f>cost_fin_total*$BD681</f>
        <v/>
      </c>
      <c r="BB681" s="193">
        <f>credit_sales_interest*BD681</f>
        <v/>
      </c>
      <c r="BC681" s="102">
        <f>IFERROR(IF($I$13&gt;0,$I681/$I$13,$S681/$S$13),0)</f>
        <v/>
      </c>
      <c r="BD681" s="102">
        <f>IFERROR($S681/$S$13,0)</f>
        <v/>
      </c>
      <c r="BE681" s="413" t="inlineStr">
        <is>
          <t>$</t>
        </is>
      </c>
    </row>
    <row r="682" ht="12" customFormat="1" customHeight="1" s="65">
      <c r="A682" s="43" t="n">
        <v>667</v>
      </c>
      <c r="B682" s="166" t="n"/>
      <c r="C682" s="166" t="n"/>
      <c r="D682" s="166" t="n"/>
      <c r="E682" s="162" t="n"/>
      <c r="F682" s="166" t="n"/>
      <c r="G682" s="162" t="n"/>
      <c r="H682" s="162" t="n"/>
      <c r="I682" s="189">
        <f>E682*G682</f>
        <v/>
      </c>
      <c r="J682" s="195" t="n"/>
      <c r="K682" s="162" t="n"/>
      <c r="L682" s="168" t="n"/>
      <c r="M682" s="75">
        <f>_xlfn.XLOOKUP(L682,list_vat[Страна],list_vat[Ставка НДС %],0,0)</f>
        <v/>
      </c>
      <c r="N682" s="162">
        <f>IFERROR(IF(L682="Китай",K682,K682/(1+M682)),0)</f>
        <v/>
      </c>
      <c r="O682" s="169" t="n"/>
      <c r="P682" s="76">
        <f>N682*(1-O682)</f>
        <v/>
      </c>
      <c r="Q682" s="162" t="n"/>
      <c r="R682" s="162">
        <f>IF(ISBLANK(Q682),"введи курс",P682/Q682)</f>
        <v/>
      </c>
      <c r="S682" s="196">
        <f>IF(AND(ISNUMBER(E682),ISNUMBER(Q682)),E682*R682,0)</f>
        <v/>
      </c>
      <c r="T682" s="192">
        <f>$BC682*V$11</f>
        <v/>
      </c>
      <c r="U682" s="76">
        <f>$BC682*W$11</f>
        <v/>
      </c>
      <c r="V682" s="193">
        <f>+SUM(T682:U682)</f>
        <v/>
      </c>
      <c r="W682" s="191" t="n"/>
      <c r="X682" s="170" t="n"/>
      <c r="Y682" s="76">
        <f>ROUND(IF(offer_incoterms="DDP",X682*(S682*(1+AW682)+T682),0),2)</f>
        <v/>
      </c>
      <c r="Z682" s="188" t="n"/>
      <c r="AA682" s="192">
        <f>IFERROR(AB682/E682,0)</f>
        <v/>
      </c>
      <c r="AB682" s="76">
        <f>ROUND(SUM(S682,V682,Y682:Z682,BA682:BB682),2)</f>
        <v/>
      </c>
      <c r="AC682" s="797" t="n"/>
      <c r="AD682" s="192">
        <f t="array" ref="AD682">IFERROR(ROUND((_xlfn.IFS(offer_sale_type="поставка",AB682,offer_sale_type="транзит",S682)*(1+AC682))/E682,2),0)</f>
        <v/>
      </c>
      <c r="AE682" s="76">
        <f>AD682*E682</f>
        <v/>
      </c>
      <c r="AF682" s="193">
        <f t="array" ref="AF682">IFERROR(ROUND(_xlfn.IFS(offer_sale_type="поставка",AB682,offer_sale_type="транзит",S682)*AC682,2),0)</f>
        <v/>
      </c>
      <c r="AG682" s="192">
        <f>$BD682*VLOOKUP($AG$3,$AF$4:$AG$7,2,FALSE)</f>
        <v/>
      </c>
      <c r="AH682" s="76">
        <f>SUM(AE682,AG682,AI682)*rate_forex_risk</f>
        <v/>
      </c>
      <c r="AI682" s="193">
        <f>IF(OR(seller_region="TR",offer_sale_type="экспорт"),0,rate_fin_comm)*SUM(AZ682,AZ682*AW682,T682)</f>
        <v/>
      </c>
      <c r="AJ682" s="118">
        <f>IFERROR(ROUND(SUM(AB682,AF682:AI682)/E682,2),0)</f>
        <v/>
      </c>
      <c r="AK682" s="76">
        <f>AJ682*E682</f>
        <v/>
      </c>
      <c r="AL682" s="174">
        <f>ROUND(IFERROR(AM682*E682,0),2)</f>
        <v/>
      </c>
      <c r="AM682" s="175">
        <f>ROUND(AJ682*(1+IF(offer_incoterms="DDP",IF((TODAY()+offer_turnaround_time)&gt;=helpsheet!$L$17,rate_vatRU_from_26,rate_vatRu_till_25),0)),2)</f>
        <v/>
      </c>
      <c r="AN682" s="192">
        <f>AL682-AK682</f>
        <v/>
      </c>
      <c r="AO682" s="76">
        <f>SUM(AY682,Y682:Z682,T682)*IF(AND(offer_incoterms="DDP",offer_sale_type&lt;&gt;"экспорт"),IF((TODAY()+offer_turnaround_time)&gt;=helpsheet!$L$17,rate_vatRU_from_26,rate_vatRu_till_25),0)</f>
        <v/>
      </c>
      <c r="AP682" s="193">
        <f>AN682-AO682</f>
        <v/>
      </c>
      <c r="AQ682" s="118">
        <f>IF(offer_sale_type="транзит",SUM(AF682:AI682,BA682,BB682),0)</f>
        <v/>
      </c>
      <c r="AR682" s="82">
        <f>HYPERLINK("https://www.alta.ru/tnved/code/")&amp;W682&amp;"/"</f>
        <v/>
      </c>
      <c r="AS682" s="157" t="n"/>
      <c r="AT682" s="162" t="n"/>
      <c r="AU682" s="76">
        <f>IF(ISBLANK(AT682),0,AJ682-AT682)</f>
        <v/>
      </c>
      <c r="AV682" s="157" t="n"/>
      <c r="AW682" s="75">
        <f>_xlfn.IFNA(VLOOKUP(L682,list_vat[],3,FALSE),0)</f>
        <v/>
      </c>
      <c r="AX682" s="76">
        <f>IFERROR(ROUND(S682*(1+AW682)/E682,2),0)</f>
        <v/>
      </c>
      <c r="AY682" s="76">
        <f>E682*AX682</f>
        <v/>
      </c>
      <c r="AZ682" s="192">
        <f>S682*(1+M682)</f>
        <v/>
      </c>
      <c r="BA682" s="76">
        <f>cost_fin_total*$BD682</f>
        <v/>
      </c>
      <c r="BB682" s="193">
        <f>credit_sales_interest*BD682</f>
        <v/>
      </c>
      <c r="BC682" s="102">
        <f>IFERROR(IF($I$13&gt;0,$I682/$I$13,$S682/$S$13),0)</f>
        <v/>
      </c>
      <c r="BD682" s="102">
        <f>IFERROR($S682/$S$13,0)</f>
        <v/>
      </c>
      <c r="BE682" s="413" t="inlineStr">
        <is>
          <t>$</t>
        </is>
      </c>
    </row>
    <row r="683" ht="12" customFormat="1" customHeight="1" s="65">
      <c r="A683" s="43" t="n">
        <v>668</v>
      </c>
      <c r="B683" s="166" t="n"/>
      <c r="C683" s="166" t="n"/>
      <c r="D683" s="166" t="n"/>
      <c r="E683" s="162" t="n"/>
      <c r="F683" s="166" t="n"/>
      <c r="G683" s="162" t="n"/>
      <c r="H683" s="162" t="n"/>
      <c r="I683" s="189">
        <f>E683*G683</f>
        <v/>
      </c>
      <c r="J683" s="195" t="n"/>
      <c r="K683" s="162" t="n"/>
      <c r="L683" s="168" t="n"/>
      <c r="M683" s="75">
        <f>_xlfn.XLOOKUP(L683,list_vat[Страна],list_vat[Ставка НДС %],0,0)</f>
        <v/>
      </c>
      <c r="N683" s="162">
        <f>IFERROR(IF(L683="Китай",K683,K683/(1+M683)),0)</f>
        <v/>
      </c>
      <c r="O683" s="169" t="n"/>
      <c r="P683" s="76">
        <f>N683*(1-O683)</f>
        <v/>
      </c>
      <c r="Q683" s="162" t="n"/>
      <c r="R683" s="162">
        <f>IF(ISBLANK(Q683),"введи курс",P683/Q683)</f>
        <v/>
      </c>
      <c r="S683" s="196">
        <f>IF(AND(ISNUMBER(E683),ISNUMBER(Q683)),E683*R683,0)</f>
        <v/>
      </c>
      <c r="T683" s="192">
        <f>$BC683*V$11</f>
        <v/>
      </c>
      <c r="U683" s="76">
        <f>$BC683*W$11</f>
        <v/>
      </c>
      <c r="V683" s="193">
        <f>+SUM(T683:U683)</f>
        <v/>
      </c>
      <c r="W683" s="191" t="n"/>
      <c r="X683" s="170" t="n"/>
      <c r="Y683" s="76">
        <f>ROUND(IF(offer_incoterms="DDP",X683*(S683*(1+AW683)+T683),0),2)</f>
        <v/>
      </c>
      <c r="Z683" s="188" t="n"/>
      <c r="AA683" s="192">
        <f>IFERROR(AB683/E683,0)</f>
        <v/>
      </c>
      <c r="AB683" s="76">
        <f>ROUND(SUM(S683,V683,Y683:Z683,BA683:BB683),2)</f>
        <v/>
      </c>
      <c r="AC683" s="797" t="n"/>
      <c r="AD683" s="192">
        <f t="array" ref="AD683">IFERROR(ROUND((_xlfn.IFS(offer_sale_type="поставка",AB683,offer_sale_type="транзит",S683)*(1+AC683))/E683,2),0)</f>
        <v/>
      </c>
      <c r="AE683" s="76">
        <f>AD683*E683</f>
        <v/>
      </c>
      <c r="AF683" s="193">
        <f t="array" ref="AF683">IFERROR(ROUND(_xlfn.IFS(offer_sale_type="поставка",AB683,offer_sale_type="транзит",S683)*AC683,2),0)</f>
        <v/>
      </c>
      <c r="AG683" s="192">
        <f>$BD683*VLOOKUP($AG$3,$AF$4:$AG$7,2,FALSE)</f>
        <v/>
      </c>
      <c r="AH683" s="76">
        <f>SUM(AE683,AG683,AI683)*rate_forex_risk</f>
        <v/>
      </c>
      <c r="AI683" s="193">
        <f>IF(OR(seller_region="TR",offer_sale_type="экспорт"),0,rate_fin_comm)*SUM(AZ683,AZ683*AW683,T683)</f>
        <v/>
      </c>
      <c r="AJ683" s="118">
        <f>IFERROR(ROUND(SUM(AB683,AF683:AI683)/E683,2),0)</f>
        <v/>
      </c>
      <c r="AK683" s="76">
        <f>AJ683*E683</f>
        <v/>
      </c>
      <c r="AL683" s="174">
        <f>ROUND(IFERROR(AM683*E683,0),2)</f>
        <v/>
      </c>
      <c r="AM683" s="175">
        <f>ROUND(AJ683*(1+IF(offer_incoterms="DDP",IF((TODAY()+offer_turnaround_time)&gt;=helpsheet!$L$17,rate_vatRU_from_26,rate_vatRu_till_25),0)),2)</f>
        <v/>
      </c>
      <c r="AN683" s="192">
        <f>AL683-AK683</f>
        <v/>
      </c>
      <c r="AO683" s="76">
        <f>SUM(AY683,Y683:Z683,T683)*IF(AND(offer_incoterms="DDP",offer_sale_type&lt;&gt;"экспорт"),IF((TODAY()+offer_turnaround_time)&gt;=helpsheet!$L$17,rate_vatRU_from_26,rate_vatRu_till_25),0)</f>
        <v/>
      </c>
      <c r="AP683" s="193">
        <f>AN683-AO683</f>
        <v/>
      </c>
      <c r="AQ683" s="118">
        <f>IF(offer_sale_type="транзит",SUM(AF683:AI683,BA683,BB683),0)</f>
        <v/>
      </c>
      <c r="AR683" s="82">
        <f>HYPERLINK("https://www.alta.ru/tnved/code/")&amp;W683&amp;"/"</f>
        <v/>
      </c>
      <c r="AS683" s="157" t="n"/>
      <c r="AT683" s="162" t="n"/>
      <c r="AU683" s="76">
        <f>IF(ISBLANK(AT683),0,AJ683-AT683)</f>
        <v/>
      </c>
      <c r="AV683" s="157" t="n"/>
      <c r="AW683" s="75">
        <f>_xlfn.IFNA(VLOOKUP(L683,list_vat[],3,FALSE),0)</f>
        <v/>
      </c>
      <c r="AX683" s="76">
        <f>IFERROR(ROUND(S683*(1+AW683)/E683,2),0)</f>
        <v/>
      </c>
      <c r="AY683" s="76">
        <f>E683*AX683</f>
        <v/>
      </c>
      <c r="AZ683" s="192">
        <f>S683*(1+M683)</f>
        <v/>
      </c>
      <c r="BA683" s="76">
        <f>cost_fin_total*$BD683</f>
        <v/>
      </c>
      <c r="BB683" s="193">
        <f>credit_sales_interest*BD683</f>
        <v/>
      </c>
      <c r="BC683" s="102">
        <f>IFERROR(IF($I$13&gt;0,$I683/$I$13,$S683/$S$13),0)</f>
        <v/>
      </c>
      <c r="BD683" s="102">
        <f>IFERROR($S683/$S$13,0)</f>
        <v/>
      </c>
      <c r="BE683" s="413" t="inlineStr">
        <is>
          <t>$</t>
        </is>
      </c>
    </row>
    <row r="684" ht="12" customFormat="1" customHeight="1" s="65">
      <c r="A684" s="43" t="n">
        <v>669</v>
      </c>
      <c r="B684" s="166" t="n"/>
      <c r="C684" s="166" t="n"/>
      <c r="D684" s="166" t="n"/>
      <c r="E684" s="162" t="n"/>
      <c r="F684" s="166" t="n"/>
      <c r="G684" s="162" t="n"/>
      <c r="H684" s="162" t="n"/>
      <c r="I684" s="189">
        <f>E684*G684</f>
        <v/>
      </c>
      <c r="J684" s="195" t="n"/>
      <c r="K684" s="162" t="n"/>
      <c r="L684" s="168" t="n"/>
      <c r="M684" s="75">
        <f>_xlfn.XLOOKUP(L684,list_vat[Страна],list_vat[Ставка НДС %],0,0)</f>
        <v/>
      </c>
      <c r="N684" s="162">
        <f>IFERROR(IF(L684="Китай",K684,K684/(1+M684)),0)</f>
        <v/>
      </c>
      <c r="O684" s="169" t="n"/>
      <c r="P684" s="76">
        <f>N684*(1-O684)</f>
        <v/>
      </c>
      <c r="Q684" s="162" t="n"/>
      <c r="R684" s="162">
        <f>IF(ISBLANK(Q684),"введи курс",P684/Q684)</f>
        <v/>
      </c>
      <c r="S684" s="196">
        <f>IF(AND(ISNUMBER(E684),ISNUMBER(Q684)),E684*R684,0)</f>
        <v/>
      </c>
      <c r="T684" s="192">
        <f>$BC684*V$11</f>
        <v/>
      </c>
      <c r="U684" s="76">
        <f>$BC684*W$11</f>
        <v/>
      </c>
      <c r="V684" s="193">
        <f>+SUM(T684:U684)</f>
        <v/>
      </c>
      <c r="W684" s="191" t="n"/>
      <c r="X684" s="170" t="n"/>
      <c r="Y684" s="76">
        <f>ROUND(IF(offer_incoterms="DDP",X684*(S684*(1+AW684)+T684),0),2)</f>
        <v/>
      </c>
      <c r="Z684" s="188" t="n"/>
      <c r="AA684" s="192">
        <f>IFERROR(AB684/E684,0)</f>
        <v/>
      </c>
      <c r="AB684" s="76">
        <f>ROUND(SUM(S684,V684,Y684:Z684,BA684:BB684),2)</f>
        <v/>
      </c>
      <c r="AC684" s="797" t="n"/>
      <c r="AD684" s="192">
        <f t="array" ref="AD684">IFERROR(ROUND((_xlfn.IFS(offer_sale_type="поставка",AB684,offer_sale_type="транзит",S684)*(1+AC684))/E684,2),0)</f>
        <v/>
      </c>
      <c r="AE684" s="76">
        <f>AD684*E684</f>
        <v/>
      </c>
      <c r="AF684" s="193">
        <f t="array" ref="AF684">IFERROR(ROUND(_xlfn.IFS(offer_sale_type="поставка",AB684,offer_sale_type="транзит",S684)*AC684,2),0)</f>
        <v/>
      </c>
      <c r="AG684" s="192">
        <f>$BD684*VLOOKUP($AG$3,$AF$4:$AG$7,2,FALSE)</f>
        <v/>
      </c>
      <c r="AH684" s="76">
        <f>SUM(AE684,AG684,AI684)*rate_forex_risk</f>
        <v/>
      </c>
      <c r="AI684" s="193">
        <f>IF(OR(seller_region="TR",offer_sale_type="экспорт"),0,rate_fin_comm)*SUM(AZ684,AZ684*AW684,T684)</f>
        <v/>
      </c>
      <c r="AJ684" s="118">
        <f>IFERROR(ROUND(SUM(AB684,AF684:AI684)/E684,2),0)</f>
        <v/>
      </c>
      <c r="AK684" s="76">
        <f>AJ684*E684</f>
        <v/>
      </c>
      <c r="AL684" s="174">
        <f>ROUND(IFERROR(AM684*E684,0),2)</f>
        <v/>
      </c>
      <c r="AM684" s="175">
        <f>ROUND(AJ684*(1+IF(offer_incoterms="DDP",IF((TODAY()+offer_turnaround_time)&gt;=helpsheet!$L$17,rate_vatRU_from_26,rate_vatRu_till_25),0)),2)</f>
        <v/>
      </c>
      <c r="AN684" s="192">
        <f>AL684-AK684</f>
        <v/>
      </c>
      <c r="AO684" s="76">
        <f>SUM(AY684,Y684:Z684,T684)*IF(AND(offer_incoterms="DDP",offer_sale_type&lt;&gt;"экспорт"),IF((TODAY()+offer_turnaround_time)&gt;=helpsheet!$L$17,rate_vatRU_from_26,rate_vatRu_till_25),0)</f>
        <v/>
      </c>
      <c r="AP684" s="193">
        <f>AN684-AO684</f>
        <v/>
      </c>
      <c r="AQ684" s="118">
        <f>IF(offer_sale_type="транзит",SUM(AF684:AI684,BA684,BB684),0)</f>
        <v/>
      </c>
      <c r="AR684" s="82">
        <f>HYPERLINK("https://www.alta.ru/tnved/code/")&amp;W684&amp;"/"</f>
        <v/>
      </c>
      <c r="AS684" s="157" t="n"/>
      <c r="AT684" s="162" t="n"/>
      <c r="AU684" s="76">
        <f>IF(ISBLANK(AT684),0,AJ684-AT684)</f>
        <v/>
      </c>
      <c r="AV684" s="157" t="n"/>
      <c r="AW684" s="75">
        <f>_xlfn.IFNA(VLOOKUP(L684,list_vat[],3,FALSE),0)</f>
        <v/>
      </c>
      <c r="AX684" s="76">
        <f>IFERROR(ROUND(S684*(1+AW684)/E684,2),0)</f>
        <v/>
      </c>
      <c r="AY684" s="76">
        <f>E684*AX684</f>
        <v/>
      </c>
      <c r="AZ684" s="192">
        <f>S684*(1+M684)</f>
        <v/>
      </c>
      <c r="BA684" s="76">
        <f>cost_fin_total*$BD684</f>
        <v/>
      </c>
      <c r="BB684" s="193">
        <f>credit_sales_interest*BD684</f>
        <v/>
      </c>
      <c r="BC684" s="102">
        <f>IFERROR(IF($I$13&gt;0,$I684/$I$13,$S684/$S$13),0)</f>
        <v/>
      </c>
      <c r="BD684" s="102">
        <f>IFERROR($S684/$S$13,0)</f>
        <v/>
      </c>
      <c r="BE684" s="413" t="inlineStr">
        <is>
          <t>$</t>
        </is>
      </c>
    </row>
    <row r="685" ht="12" customFormat="1" customHeight="1" s="65">
      <c r="A685" s="43" t="n">
        <v>670</v>
      </c>
      <c r="B685" s="166" t="n"/>
      <c r="C685" s="166" t="n"/>
      <c r="D685" s="166" t="n"/>
      <c r="E685" s="162" t="n"/>
      <c r="F685" s="166" t="n"/>
      <c r="G685" s="162" t="n"/>
      <c r="H685" s="162" t="n"/>
      <c r="I685" s="189">
        <f>E685*G685</f>
        <v/>
      </c>
      <c r="J685" s="195" t="n"/>
      <c r="K685" s="162" t="n"/>
      <c r="L685" s="168" t="n"/>
      <c r="M685" s="75">
        <f>_xlfn.XLOOKUP(L685,list_vat[Страна],list_vat[Ставка НДС %],0,0)</f>
        <v/>
      </c>
      <c r="N685" s="162">
        <f>IFERROR(IF(L685="Китай",K685,K685/(1+M685)),0)</f>
        <v/>
      </c>
      <c r="O685" s="169" t="n"/>
      <c r="P685" s="76">
        <f>N685*(1-O685)</f>
        <v/>
      </c>
      <c r="Q685" s="162" t="n"/>
      <c r="R685" s="162">
        <f>IF(ISBLANK(Q685),"введи курс",P685/Q685)</f>
        <v/>
      </c>
      <c r="S685" s="196">
        <f>IF(AND(ISNUMBER(E685),ISNUMBER(Q685)),E685*R685,0)</f>
        <v/>
      </c>
      <c r="T685" s="192">
        <f>$BC685*V$11</f>
        <v/>
      </c>
      <c r="U685" s="76">
        <f>$BC685*W$11</f>
        <v/>
      </c>
      <c r="V685" s="193">
        <f>+SUM(T685:U685)</f>
        <v/>
      </c>
      <c r="W685" s="191" t="n"/>
      <c r="X685" s="170" t="n"/>
      <c r="Y685" s="76">
        <f>ROUND(IF(offer_incoterms="DDP",X685*(S685*(1+AW685)+T685),0),2)</f>
        <v/>
      </c>
      <c r="Z685" s="188" t="n"/>
      <c r="AA685" s="192">
        <f>IFERROR(AB685/E685,0)</f>
        <v/>
      </c>
      <c r="AB685" s="76">
        <f>ROUND(SUM(S685,V685,Y685:Z685,BA685:BB685),2)</f>
        <v/>
      </c>
      <c r="AC685" s="797" t="n"/>
      <c r="AD685" s="192">
        <f t="array" ref="AD685">IFERROR(ROUND((_xlfn.IFS(offer_sale_type="поставка",AB685,offer_sale_type="транзит",S685)*(1+AC685))/E685,2),0)</f>
        <v/>
      </c>
      <c r="AE685" s="76">
        <f>AD685*E685</f>
        <v/>
      </c>
      <c r="AF685" s="193">
        <f t="array" ref="AF685">IFERROR(ROUND(_xlfn.IFS(offer_sale_type="поставка",AB685,offer_sale_type="транзит",S685)*AC685,2),0)</f>
        <v/>
      </c>
      <c r="AG685" s="192">
        <f>$BD685*VLOOKUP($AG$3,$AF$4:$AG$7,2,FALSE)</f>
        <v/>
      </c>
      <c r="AH685" s="76">
        <f>SUM(AE685,AG685,AI685)*rate_forex_risk</f>
        <v/>
      </c>
      <c r="AI685" s="193">
        <f>IF(OR(seller_region="TR",offer_sale_type="экспорт"),0,rate_fin_comm)*SUM(AZ685,AZ685*AW685,T685)</f>
        <v/>
      </c>
      <c r="AJ685" s="118">
        <f>IFERROR(ROUND(SUM(AB685,AF685:AI685)/E685,2),0)</f>
        <v/>
      </c>
      <c r="AK685" s="76">
        <f>AJ685*E685</f>
        <v/>
      </c>
      <c r="AL685" s="174">
        <f>ROUND(IFERROR(AM685*E685,0),2)</f>
        <v/>
      </c>
      <c r="AM685" s="175">
        <f>ROUND(AJ685*(1+IF(offer_incoterms="DDP",IF((TODAY()+offer_turnaround_time)&gt;=helpsheet!$L$17,rate_vatRU_from_26,rate_vatRu_till_25),0)),2)</f>
        <v/>
      </c>
      <c r="AN685" s="192">
        <f>AL685-AK685</f>
        <v/>
      </c>
      <c r="AO685" s="76">
        <f>SUM(AY685,Y685:Z685,T685)*IF(AND(offer_incoterms="DDP",offer_sale_type&lt;&gt;"экспорт"),IF((TODAY()+offer_turnaround_time)&gt;=helpsheet!$L$17,rate_vatRU_from_26,rate_vatRu_till_25),0)</f>
        <v/>
      </c>
      <c r="AP685" s="193">
        <f>AN685-AO685</f>
        <v/>
      </c>
      <c r="AQ685" s="118">
        <f>IF(offer_sale_type="транзит",SUM(AF685:AI685,BA685,BB685),0)</f>
        <v/>
      </c>
      <c r="AR685" s="82">
        <f>HYPERLINK("https://www.alta.ru/tnved/code/")&amp;W685&amp;"/"</f>
        <v/>
      </c>
      <c r="AS685" s="157" t="n"/>
      <c r="AT685" s="162" t="n"/>
      <c r="AU685" s="76">
        <f>IF(ISBLANK(AT685),0,AJ685-AT685)</f>
        <v/>
      </c>
      <c r="AV685" s="157" t="n"/>
      <c r="AW685" s="75">
        <f>_xlfn.IFNA(VLOOKUP(L685,list_vat[],3,FALSE),0)</f>
        <v/>
      </c>
      <c r="AX685" s="76">
        <f>IFERROR(ROUND(S685*(1+AW685)/E685,2),0)</f>
        <v/>
      </c>
      <c r="AY685" s="76">
        <f>E685*AX685</f>
        <v/>
      </c>
      <c r="AZ685" s="192">
        <f>S685*(1+M685)</f>
        <v/>
      </c>
      <c r="BA685" s="76">
        <f>cost_fin_total*$BD685</f>
        <v/>
      </c>
      <c r="BB685" s="193">
        <f>credit_sales_interest*BD685</f>
        <v/>
      </c>
      <c r="BC685" s="102">
        <f>IFERROR(IF($I$13&gt;0,$I685/$I$13,$S685/$S$13),0)</f>
        <v/>
      </c>
      <c r="BD685" s="102">
        <f>IFERROR($S685/$S$13,0)</f>
        <v/>
      </c>
      <c r="BE685" s="413" t="inlineStr">
        <is>
          <t>$</t>
        </is>
      </c>
    </row>
    <row r="686" ht="12" customFormat="1" customHeight="1" s="65">
      <c r="A686" s="43" t="n">
        <v>671</v>
      </c>
      <c r="B686" s="166" t="n"/>
      <c r="C686" s="166" t="n"/>
      <c r="D686" s="166" t="n"/>
      <c r="E686" s="162" t="n"/>
      <c r="F686" s="166" t="n"/>
      <c r="G686" s="162" t="n"/>
      <c r="H686" s="162" t="n"/>
      <c r="I686" s="189">
        <f>E686*G686</f>
        <v/>
      </c>
      <c r="J686" s="195" t="n"/>
      <c r="K686" s="162" t="n"/>
      <c r="L686" s="168" t="n"/>
      <c r="M686" s="75">
        <f>_xlfn.XLOOKUP(L686,list_vat[Страна],list_vat[Ставка НДС %],0,0)</f>
        <v/>
      </c>
      <c r="N686" s="162">
        <f>IFERROR(IF(L686="Китай",K686,K686/(1+M686)),0)</f>
        <v/>
      </c>
      <c r="O686" s="169" t="n"/>
      <c r="P686" s="76">
        <f>N686*(1-O686)</f>
        <v/>
      </c>
      <c r="Q686" s="162" t="n"/>
      <c r="R686" s="162">
        <f>IF(ISBLANK(Q686),"введи курс",P686/Q686)</f>
        <v/>
      </c>
      <c r="S686" s="196">
        <f>IF(AND(ISNUMBER(E686),ISNUMBER(Q686)),E686*R686,0)</f>
        <v/>
      </c>
      <c r="T686" s="192">
        <f>$BC686*V$11</f>
        <v/>
      </c>
      <c r="U686" s="76">
        <f>$BC686*W$11</f>
        <v/>
      </c>
      <c r="V686" s="193">
        <f>+SUM(T686:U686)</f>
        <v/>
      </c>
      <c r="W686" s="191" t="n"/>
      <c r="X686" s="170" t="n"/>
      <c r="Y686" s="76">
        <f>ROUND(IF(offer_incoterms="DDP",X686*(S686*(1+AW686)+T686),0),2)</f>
        <v/>
      </c>
      <c r="Z686" s="188" t="n"/>
      <c r="AA686" s="192">
        <f>IFERROR(AB686/E686,0)</f>
        <v/>
      </c>
      <c r="AB686" s="76">
        <f>ROUND(SUM(S686,V686,Y686:Z686,BA686:BB686),2)</f>
        <v/>
      </c>
      <c r="AC686" s="797" t="n"/>
      <c r="AD686" s="192">
        <f t="array" ref="AD686">IFERROR(ROUND((_xlfn.IFS(offer_sale_type="поставка",AB686,offer_sale_type="транзит",S686)*(1+AC686))/E686,2),0)</f>
        <v/>
      </c>
      <c r="AE686" s="76">
        <f>AD686*E686</f>
        <v/>
      </c>
      <c r="AF686" s="193">
        <f t="array" ref="AF686">IFERROR(ROUND(_xlfn.IFS(offer_sale_type="поставка",AB686,offer_sale_type="транзит",S686)*AC686,2),0)</f>
        <v/>
      </c>
      <c r="AG686" s="192">
        <f>$BD686*VLOOKUP($AG$3,$AF$4:$AG$7,2,FALSE)</f>
        <v/>
      </c>
      <c r="AH686" s="76">
        <f>SUM(AE686,AG686,AI686)*rate_forex_risk</f>
        <v/>
      </c>
      <c r="AI686" s="193">
        <f>IF(OR(seller_region="TR",offer_sale_type="экспорт"),0,rate_fin_comm)*SUM(AZ686,AZ686*AW686,T686)</f>
        <v/>
      </c>
      <c r="AJ686" s="118">
        <f>IFERROR(ROUND(SUM(AB686,AF686:AI686)/E686,2),0)</f>
        <v/>
      </c>
      <c r="AK686" s="76">
        <f>AJ686*E686</f>
        <v/>
      </c>
      <c r="AL686" s="174">
        <f>ROUND(IFERROR(AM686*E686,0),2)</f>
        <v/>
      </c>
      <c r="AM686" s="175">
        <f>ROUND(AJ686*(1+IF(offer_incoterms="DDP",IF((TODAY()+offer_turnaround_time)&gt;=helpsheet!$L$17,rate_vatRU_from_26,rate_vatRu_till_25),0)),2)</f>
        <v/>
      </c>
      <c r="AN686" s="192">
        <f>AL686-AK686</f>
        <v/>
      </c>
      <c r="AO686" s="76">
        <f>SUM(AY686,Y686:Z686,T686)*IF(AND(offer_incoterms="DDP",offer_sale_type&lt;&gt;"экспорт"),IF((TODAY()+offer_turnaround_time)&gt;=helpsheet!$L$17,rate_vatRU_from_26,rate_vatRu_till_25),0)</f>
        <v/>
      </c>
      <c r="AP686" s="193">
        <f>AN686-AO686</f>
        <v/>
      </c>
      <c r="AQ686" s="118">
        <f>IF(offer_sale_type="транзит",SUM(AF686:AI686,BA686,BB686),0)</f>
        <v/>
      </c>
      <c r="AR686" s="82">
        <f>HYPERLINK("https://www.alta.ru/tnved/code/")&amp;W686&amp;"/"</f>
        <v/>
      </c>
      <c r="AS686" s="157" t="n"/>
      <c r="AT686" s="162" t="n"/>
      <c r="AU686" s="76">
        <f>IF(ISBLANK(AT686),0,AJ686-AT686)</f>
        <v/>
      </c>
      <c r="AV686" s="157" t="n"/>
      <c r="AW686" s="75">
        <f>_xlfn.IFNA(VLOOKUP(L686,list_vat[],3,FALSE),0)</f>
        <v/>
      </c>
      <c r="AX686" s="76">
        <f>IFERROR(ROUND(S686*(1+AW686)/E686,2),0)</f>
        <v/>
      </c>
      <c r="AY686" s="76">
        <f>E686*AX686</f>
        <v/>
      </c>
      <c r="AZ686" s="192">
        <f>S686*(1+M686)</f>
        <v/>
      </c>
      <c r="BA686" s="76">
        <f>cost_fin_total*$BD686</f>
        <v/>
      </c>
      <c r="BB686" s="193">
        <f>credit_sales_interest*BD686</f>
        <v/>
      </c>
      <c r="BC686" s="102">
        <f>IFERROR(IF($I$13&gt;0,$I686/$I$13,$S686/$S$13),0)</f>
        <v/>
      </c>
      <c r="BD686" s="102">
        <f>IFERROR($S686/$S$13,0)</f>
        <v/>
      </c>
      <c r="BE686" s="413" t="inlineStr">
        <is>
          <t>$</t>
        </is>
      </c>
    </row>
    <row r="687" ht="12" customFormat="1" customHeight="1" s="65">
      <c r="A687" s="43" t="n">
        <v>672</v>
      </c>
      <c r="B687" s="166" t="n"/>
      <c r="C687" s="166" t="n"/>
      <c r="D687" s="166" t="n"/>
      <c r="E687" s="162" t="n"/>
      <c r="F687" s="166" t="n"/>
      <c r="G687" s="162" t="n"/>
      <c r="H687" s="162" t="n"/>
      <c r="I687" s="189">
        <f>E687*G687</f>
        <v/>
      </c>
      <c r="J687" s="195" t="n"/>
      <c r="K687" s="162" t="n"/>
      <c r="L687" s="168" t="n"/>
      <c r="M687" s="75">
        <f>_xlfn.XLOOKUP(L687,list_vat[Страна],list_vat[Ставка НДС %],0,0)</f>
        <v/>
      </c>
      <c r="N687" s="162">
        <f>IFERROR(IF(L687="Китай",K687,K687/(1+M687)),0)</f>
        <v/>
      </c>
      <c r="O687" s="169" t="n"/>
      <c r="P687" s="76">
        <f>N687*(1-O687)</f>
        <v/>
      </c>
      <c r="Q687" s="162" t="n"/>
      <c r="R687" s="162">
        <f>IF(ISBLANK(Q687),"введи курс",P687/Q687)</f>
        <v/>
      </c>
      <c r="S687" s="196">
        <f>IF(AND(ISNUMBER(E687),ISNUMBER(Q687)),E687*R687,0)</f>
        <v/>
      </c>
      <c r="T687" s="192">
        <f>$BC687*V$11</f>
        <v/>
      </c>
      <c r="U687" s="76">
        <f>$BC687*W$11</f>
        <v/>
      </c>
      <c r="V687" s="193">
        <f>+SUM(T687:U687)</f>
        <v/>
      </c>
      <c r="W687" s="191" t="n"/>
      <c r="X687" s="170" t="n"/>
      <c r="Y687" s="76">
        <f>ROUND(IF(offer_incoterms="DDP",X687*(S687*(1+AW687)+T687),0),2)</f>
        <v/>
      </c>
      <c r="Z687" s="188" t="n"/>
      <c r="AA687" s="192">
        <f>IFERROR(AB687/E687,0)</f>
        <v/>
      </c>
      <c r="AB687" s="76">
        <f>ROUND(SUM(S687,V687,Y687:Z687,BA687:BB687),2)</f>
        <v/>
      </c>
      <c r="AC687" s="797" t="n"/>
      <c r="AD687" s="192">
        <f t="array" ref="AD687">IFERROR(ROUND((_xlfn.IFS(offer_sale_type="поставка",AB687,offer_sale_type="транзит",S687)*(1+AC687))/E687,2),0)</f>
        <v/>
      </c>
      <c r="AE687" s="76">
        <f>AD687*E687</f>
        <v/>
      </c>
      <c r="AF687" s="193">
        <f t="array" ref="AF687">IFERROR(ROUND(_xlfn.IFS(offer_sale_type="поставка",AB687,offer_sale_type="транзит",S687)*AC687,2),0)</f>
        <v/>
      </c>
      <c r="AG687" s="192">
        <f>$BD687*VLOOKUP($AG$3,$AF$4:$AG$7,2,FALSE)</f>
        <v/>
      </c>
      <c r="AH687" s="76">
        <f>SUM(AE687,AG687,AI687)*rate_forex_risk</f>
        <v/>
      </c>
      <c r="AI687" s="193">
        <f>IF(OR(seller_region="TR",offer_sale_type="экспорт"),0,rate_fin_comm)*SUM(AZ687,AZ687*AW687,T687)</f>
        <v/>
      </c>
      <c r="AJ687" s="118">
        <f>IFERROR(ROUND(SUM(AB687,AF687:AI687)/E687,2),0)</f>
        <v/>
      </c>
      <c r="AK687" s="76">
        <f>AJ687*E687</f>
        <v/>
      </c>
      <c r="AL687" s="174">
        <f>ROUND(IFERROR(AM687*E687,0),2)</f>
        <v/>
      </c>
      <c r="AM687" s="175">
        <f>ROUND(AJ687*(1+IF(offer_incoterms="DDP",IF((TODAY()+offer_turnaround_time)&gt;=helpsheet!$L$17,rate_vatRU_from_26,rate_vatRu_till_25),0)),2)</f>
        <v/>
      </c>
      <c r="AN687" s="192">
        <f>AL687-AK687</f>
        <v/>
      </c>
      <c r="AO687" s="76">
        <f>SUM(AY687,Y687:Z687,T687)*IF(AND(offer_incoterms="DDP",offer_sale_type&lt;&gt;"экспорт"),IF((TODAY()+offer_turnaround_time)&gt;=helpsheet!$L$17,rate_vatRU_from_26,rate_vatRu_till_25),0)</f>
        <v/>
      </c>
      <c r="AP687" s="193">
        <f>AN687-AO687</f>
        <v/>
      </c>
      <c r="AQ687" s="118">
        <f>IF(offer_sale_type="транзит",SUM(AF687:AI687,BA687,BB687),0)</f>
        <v/>
      </c>
      <c r="AR687" s="82">
        <f>HYPERLINK("https://www.alta.ru/tnved/code/")&amp;W687&amp;"/"</f>
        <v/>
      </c>
      <c r="AS687" s="157" t="n"/>
      <c r="AT687" s="162" t="n"/>
      <c r="AU687" s="76">
        <f>IF(ISBLANK(AT687),0,AJ687-AT687)</f>
        <v/>
      </c>
      <c r="AV687" s="157" t="n"/>
      <c r="AW687" s="75">
        <f>_xlfn.IFNA(VLOOKUP(L687,list_vat[],3,FALSE),0)</f>
        <v/>
      </c>
      <c r="AX687" s="76">
        <f>IFERROR(ROUND(S687*(1+AW687)/E687,2),0)</f>
        <v/>
      </c>
      <c r="AY687" s="76">
        <f>E687*AX687</f>
        <v/>
      </c>
      <c r="AZ687" s="192">
        <f>S687*(1+M687)</f>
        <v/>
      </c>
      <c r="BA687" s="76">
        <f>cost_fin_total*$BD687</f>
        <v/>
      </c>
      <c r="BB687" s="193">
        <f>credit_sales_interest*BD687</f>
        <v/>
      </c>
      <c r="BC687" s="102">
        <f>IFERROR(IF($I$13&gt;0,$I687/$I$13,$S687/$S$13),0)</f>
        <v/>
      </c>
      <c r="BD687" s="102">
        <f>IFERROR($S687/$S$13,0)</f>
        <v/>
      </c>
      <c r="BE687" s="413" t="inlineStr">
        <is>
          <t>$</t>
        </is>
      </c>
    </row>
    <row r="688" ht="12" customFormat="1" customHeight="1" s="65">
      <c r="A688" s="43" t="n">
        <v>673</v>
      </c>
      <c r="B688" s="166" t="n"/>
      <c r="C688" s="166" t="n"/>
      <c r="D688" s="166" t="n"/>
      <c r="E688" s="162" t="n"/>
      <c r="F688" s="166" t="n"/>
      <c r="G688" s="162" t="n"/>
      <c r="H688" s="162" t="n"/>
      <c r="I688" s="189">
        <f>E688*G688</f>
        <v/>
      </c>
      <c r="J688" s="195" t="n"/>
      <c r="K688" s="162" t="n"/>
      <c r="L688" s="168" t="n"/>
      <c r="M688" s="75">
        <f>_xlfn.XLOOKUP(L688,list_vat[Страна],list_vat[Ставка НДС %],0,0)</f>
        <v/>
      </c>
      <c r="N688" s="162">
        <f>IFERROR(IF(L688="Китай",K688,K688/(1+M688)),0)</f>
        <v/>
      </c>
      <c r="O688" s="169" t="n"/>
      <c r="P688" s="76">
        <f>N688*(1-O688)</f>
        <v/>
      </c>
      <c r="Q688" s="162" t="n"/>
      <c r="R688" s="162">
        <f>IF(ISBLANK(Q688),"введи курс",P688/Q688)</f>
        <v/>
      </c>
      <c r="S688" s="196">
        <f>IF(AND(ISNUMBER(E688),ISNUMBER(Q688)),E688*R688,0)</f>
        <v/>
      </c>
      <c r="T688" s="192">
        <f>$BC688*V$11</f>
        <v/>
      </c>
      <c r="U688" s="76">
        <f>$BC688*W$11</f>
        <v/>
      </c>
      <c r="V688" s="193">
        <f>+SUM(T688:U688)</f>
        <v/>
      </c>
      <c r="W688" s="191" t="n"/>
      <c r="X688" s="170" t="n"/>
      <c r="Y688" s="76">
        <f>ROUND(IF(offer_incoterms="DDP",X688*(S688*(1+AW688)+T688),0),2)</f>
        <v/>
      </c>
      <c r="Z688" s="188" t="n"/>
      <c r="AA688" s="192">
        <f>IFERROR(AB688/E688,0)</f>
        <v/>
      </c>
      <c r="AB688" s="76">
        <f>ROUND(SUM(S688,V688,Y688:Z688,BA688:BB688),2)</f>
        <v/>
      </c>
      <c r="AC688" s="797" t="n"/>
      <c r="AD688" s="192">
        <f t="array" ref="AD688">IFERROR(ROUND((_xlfn.IFS(offer_sale_type="поставка",AB688,offer_sale_type="транзит",S688)*(1+AC688))/E688,2),0)</f>
        <v/>
      </c>
      <c r="AE688" s="76">
        <f>AD688*E688</f>
        <v/>
      </c>
      <c r="AF688" s="193">
        <f t="array" ref="AF688">IFERROR(ROUND(_xlfn.IFS(offer_sale_type="поставка",AB688,offer_sale_type="транзит",S688)*AC688,2),0)</f>
        <v/>
      </c>
      <c r="AG688" s="192">
        <f>$BD688*VLOOKUP($AG$3,$AF$4:$AG$7,2,FALSE)</f>
        <v/>
      </c>
      <c r="AH688" s="76">
        <f>SUM(AE688,AG688,AI688)*rate_forex_risk</f>
        <v/>
      </c>
      <c r="AI688" s="193">
        <f>IF(OR(seller_region="TR",offer_sale_type="экспорт"),0,rate_fin_comm)*SUM(AZ688,AZ688*AW688,T688)</f>
        <v/>
      </c>
      <c r="AJ688" s="118">
        <f>IFERROR(ROUND(SUM(AB688,AF688:AI688)/E688,2),0)</f>
        <v/>
      </c>
      <c r="AK688" s="76">
        <f>AJ688*E688</f>
        <v/>
      </c>
      <c r="AL688" s="174">
        <f>ROUND(IFERROR(AM688*E688,0),2)</f>
        <v/>
      </c>
      <c r="AM688" s="175">
        <f>ROUND(AJ688*(1+IF(offer_incoterms="DDP",IF((TODAY()+offer_turnaround_time)&gt;=helpsheet!$L$17,rate_vatRU_from_26,rate_vatRu_till_25),0)),2)</f>
        <v/>
      </c>
      <c r="AN688" s="192">
        <f>AL688-AK688</f>
        <v/>
      </c>
      <c r="AO688" s="76">
        <f>SUM(AY688,Y688:Z688,T688)*IF(AND(offer_incoterms="DDP",offer_sale_type&lt;&gt;"экспорт"),IF((TODAY()+offer_turnaround_time)&gt;=helpsheet!$L$17,rate_vatRU_from_26,rate_vatRu_till_25),0)</f>
        <v/>
      </c>
      <c r="AP688" s="193">
        <f>AN688-AO688</f>
        <v/>
      </c>
      <c r="AQ688" s="118">
        <f>IF(offer_sale_type="транзит",SUM(AF688:AI688,BA688,BB688),0)</f>
        <v/>
      </c>
      <c r="AR688" s="82">
        <f>HYPERLINK("https://www.alta.ru/tnved/code/")&amp;W688&amp;"/"</f>
        <v/>
      </c>
      <c r="AS688" s="157" t="n"/>
      <c r="AT688" s="162" t="n"/>
      <c r="AU688" s="76">
        <f>IF(ISBLANK(AT688),0,AJ688-AT688)</f>
        <v/>
      </c>
      <c r="AV688" s="157" t="n"/>
      <c r="AW688" s="75">
        <f>_xlfn.IFNA(VLOOKUP(L688,list_vat[],3,FALSE),0)</f>
        <v/>
      </c>
      <c r="AX688" s="76">
        <f>IFERROR(ROUND(S688*(1+AW688)/E688,2),0)</f>
        <v/>
      </c>
      <c r="AY688" s="76">
        <f>E688*AX688</f>
        <v/>
      </c>
      <c r="AZ688" s="192">
        <f>S688*(1+M688)</f>
        <v/>
      </c>
      <c r="BA688" s="76">
        <f>cost_fin_total*$BD688</f>
        <v/>
      </c>
      <c r="BB688" s="193">
        <f>credit_sales_interest*BD688</f>
        <v/>
      </c>
      <c r="BC688" s="102">
        <f>IFERROR(IF($I$13&gt;0,$I688/$I$13,$S688/$S$13),0)</f>
        <v/>
      </c>
      <c r="BD688" s="102">
        <f>IFERROR($S688/$S$13,0)</f>
        <v/>
      </c>
      <c r="BE688" s="413" t="inlineStr">
        <is>
          <t>$</t>
        </is>
      </c>
    </row>
    <row r="689" ht="12" customFormat="1" customHeight="1" s="65">
      <c r="A689" s="43" t="n">
        <v>674</v>
      </c>
      <c r="B689" s="166" t="n"/>
      <c r="C689" s="166" t="n"/>
      <c r="D689" s="166" t="n"/>
      <c r="E689" s="162" t="n"/>
      <c r="F689" s="166" t="n"/>
      <c r="G689" s="162" t="n"/>
      <c r="H689" s="162" t="n"/>
      <c r="I689" s="189">
        <f>E689*G689</f>
        <v/>
      </c>
      <c r="J689" s="195" t="n"/>
      <c r="K689" s="162" t="n"/>
      <c r="L689" s="168" t="n"/>
      <c r="M689" s="75">
        <f>_xlfn.XLOOKUP(L689,list_vat[Страна],list_vat[Ставка НДС %],0,0)</f>
        <v/>
      </c>
      <c r="N689" s="162">
        <f>IFERROR(IF(L689="Китай",K689,K689/(1+M689)),0)</f>
        <v/>
      </c>
      <c r="O689" s="169" t="n"/>
      <c r="P689" s="76">
        <f>N689*(1-O689)</f>
        <v/>
      </c>
      <c r="Q689" s="162" t="n"/>
      <c r="R689" s="162">
        <f>IF(ISBLANK(Q689),"введи курс",P689/Q689)</f>
        <v/>
      </c>
      <c r="S689" s="196">
        <f>IF(AND(ISNUMBER(E689),ISNUMBER(Q689)),E689*R689,0)</f>
        <v/>
      </c>
      <c r="T689" s="192">
        <f>$BC689*V$11</f>
        <v/>
      </c>
      <c r="U689" s="76">
        <f>$BC689*W$11</f>
        <v/>
      </c>
      <c r="V689" s="193">
        <f>+SUM(T689:U689)</f>
        <v/>
      </c>
      <c r="W689" s="191" t="n"/>
      <c r="X689" s="170" t="n"/>
      <c r="Y689" s="76">
        <f>ROUND(IF(offer_incoterms="DDP",X689*(S689*(1+AW689)+T689),0),2)</f>
        <v/>
      </c>
      <c r="Z689" s="188" t="n"/>
      <c r="AA689" s="192">
        <f>IFERROR(AB689/E689,0)</f>
        <v/>
      </c>
      <c r="AB689" s="76">
        <f>ROUND(SUM(S689,V689,Y689:Z689,BA689:BB689),2)</f>
        <v/>
      </c>
      <c r="AC689" s="797" t="n"/>
      <c r="AD689" s="192">
        <f t="array" ref="AD689">IFERROR(ROUND((_xlfn.IFS(offer_sale_type="поставка",AB689,offer_sale_type="транзит",S689)*(1+AC689))/E689,2),0)</f>
        <v/>
      </c>
      <c r="AE689" s="76">
        <f>AD689*E689</f>
        <v/>
      </c>
      <c r="AF689" s="193">
        <f t="array" ref="AF689">IFERROR(ROUND(_xlfn.IFS(offer_sale_type="поставка",AB689,offer_sale_type="транзит",S689)*AC689,2),0)</f>
        <v/>
      </c>
      <c r="AG689" s="192">
        <f>$BD689*VLOOKUP($AG$3,$AF$4:$AG$7,2,FALSE)</f>
        <v/>
      </c>
      <c r="AH689" s="76">
        <f>SUM(AE689,AG689,AI689)*rate_forex_risk</f>
        <v/>
      </c>
      <c r="AI689" s="193">
        <f>IF(OR(seller_region="TR",offer_sale_type="экспорт"),0,rate_fin_comm)*SUM(AZ689,AZ689*AW689,T689)</f>
        <v/>
      </c>
      <c r="AJ689" s="118">
        <f>IFERROR(ROUND(SUM(AB689,AF689:AI689)/E689,2),0)</f>
        <v/>
      </c>
      <c r="AK689" s="76">
        <f>AJ689*E689</f>
        <v/>
      </c>
      <c r="AL689" s="174">
        <f>ROUND(IFERROR(AM689*E689,0),2)</f>
        <v/>
      </c>
      <c r="AM689" s="175">
        <f>ROUND(AJ689*(1+IF(offer_incoterms="DDP",IF((TODAY()+offer_turnaround_time)&gt;=helpsheet!$L$17,rate_vatRU_from_26,rate_vatRu_till_25),0)),2)</f>
        <v/>
      </c>
      <c r="AN689" s="192">
        <f>AL689-AK689</f>
        <v/>
      </c>
      <c r="AO689" s="76">
        <f>SUM(AY689,Y689:Z689,T689)*IF(AND(offer_incoterms="DDP",offer_sale_type&lt;&gt;"экспорт"),IF((TODAY()+offer_turnaround_time)&gt;=helpsheet!$L$17,rate_vatRU_from_26,rate_vatRu_till_25),0)</f>
        <v/>
      </c>
      <c r="AP689" s="193">
        <f>AN689-AO689</f>
        <v/>
      </c>
      <c r="AQ689" s="118">
        <f>IF(offer_sale_type="транзит",SUM(AF689:AI689,BA689,BB689),0)</f>
        <v/>
      </c>
      <c r="AR689" s="82">
        <f>HYPERLINK("https://www.alta.ru/tnved/code/")&amp;W689&amp;"/"</f>
        <v/>
      </c>
      <c r="AS689" s="157" t="n"/>
      <c r="AT689" s="162" t="n"/>
      <c r="AU689" s="76">
        <f>IF(ISBLANK(AT689),0,AJ689-AT689)</f>
        <v/>
      </c>
      <c r="AV689" s="157" t="n"/>
      <c r="AW689" s="75">
        <f>_xlfn.IFNA(VLOOKUP(L689,list_vat[],3,FALSE),0)</f>
        <v/>
      </c>
      <c r="AX689" s="76">
        <f>IFERROR(ROUND(S689*(1+AW689)/E689,2),0)</f>
        <v/>
      </c>
      <c r="AY689" s="76">
        <f>E689*AX689</f>
        <v/>
      </c>
      <c r="AZ689" s="192">
        <f>S689*(1+M689)</f>
        <v/>
      </c>
      <c r="BA689" s="76">
        <f>cost_fin_total*$BD689</f>
        <v/>
      </c>
      <c r="BB689" s="193">
        <f>credit_sales_interest*BD689</f>
        <v/>
      </c>
      <c r="BC689" s="102">
        <f>IFERROR(IF($I$13&gt;0,$I689/$I$13,$S689/$S$13),0)</f>
        <v/>
      </c>
      <c r="BD689" s="102">
        <f>IFERROR($S689/$S$13,0)</f>
        <v/>
      </c>
      <c r="BE689" s="413" t="inlineStr">
        <is>
          <t>$</t>
        </is>
      </c>
    </row>
    <row r="690" ht="12" customFormat="1" customHeight="1" s="65">
      <c r="A690" s="43" t="n">
        <v>675</v>
      </c>
      <c r="B690" s="166" t="n"/>
      <c r="C690" s="166" t="n"/>
      <c r="D690" s="166" t="n"/>
      <c r="E690" s="162" t="n"/>
      <c r="F690" s="166" t="n"/>
      <c r="G690" s="162" t="n"/>
      <c r="H690" s="162" t="n"/>
      <c r="I690" s="189">
        <f>E690*G690</f>
        <v/>
      </c>
      <c r="J690" s="195" t="n"/>
      <c r="K690" s="162" t="n"/>
      <c r="L690" s="168" t="n"/>
      <c r="M690" s="75">
        <f>_xlfn.XLOOKUP(L690,list_vat[Страна],list_vat[Ставка НДС %],0,0)</f>
        <v/>
      </c>
      <c r="N690" s="162">
        <f>IFERROR(IF(L690="Китай",K690,K690/(1+M690)),0)</f>
        <v/>
      </c>
      <c r="O690" s="169" t="n"/>
      <c r="P690" s="76">
        <f>N690*(1-O690)</f>
        <v/>
      </c>
      <c r="Q690" s="162" t="n"/>
      <c r="R690" s="162">
        <f>IF(ISBLANK(Q690),"введи курс",P690/Q690)</f>
        <v/>
      </c>
      <c r="S690" s="196">
        <f>IF(AND(ISNUMBER(E690),ISNUMBER(Q690)),E690*R690,0)</f>
        <v/>
      </c>
      <c r="T690" s="192">
        <f>$BC690*V$11</f>
        <v/>
      </c>
      <c r="U690" s="76">
        <f>$BC690*W$11</f>
        <v/>
      </c>
      <c r="V690" s="193">
        <f>+SUM(T690:U690)</f>
        <v/>
      </c>
      <c r="W690" s="191" t="n"/>
      <c r="X690" s="170" t="n"/>
      <c r="Y690" s="76">
        <f>ROUND(IF(offer_incoterms="DDP",X690*(S690*(1+AW690)+T690),0),2)</f>
        <v/>
      </c>
      <c r="Z690" s="188" t="n"/>
      <c r="AA690" s="192">
        <f>IFERROR(AB690/E690,0)</f>
        <v/>
      </c>
      <c r="AB690" s="76">
        <f>ROUND(SUM(S690,V690,Y690:Z690,BA690:BB690),2)</f>
        <v/>
      </c>
      <c r="AC690" s="797" t="n"/>
      <c r="AD690" s="192">
        <f t="array" ref="AD690">IFERROR(ROUND((_xlfn.IFS(offer_sale_type="поставка",AB690,offer_sale_type="транзит",S690)*(1+AC690))/E690,2),0)</f>
        <v/>
      </c>
      <c r="AE690" s="76">
        <f>AD690*E690</f>
        <v/>
      </c>
      <c r="AF690" s="193">
        <f t="array" ref="AF690">IFERROR(ROUND(_xlfn.IFS(offer_sale_type="поставка",AB690,offer_sale_type="транзит",S690)*AC690,2),0)</f>
        <v/>
      </c>
      <c r="AG690" s="192">
        <f>$BD690*VLOOKUP($AG$3,$AF$4:$AG$7,2,FALSE)</f>
        <v/>
      </c>
      <c r="AH690" s="76">
        <f>SUM(AE690,AG690,AI690)*rate_forex_risk</f>
        <v/>
      </c>
      <c r="AI690" s="193">
        <f>IF(OR(seller_region="TR",offer_sale_type="экспорт"),0,rate_fin_comm)*SUM(AZ690,AZ690*AW690,T690)</f>
        <v/>
      </c>
      <c r="AJ690" s="118">
        <f>IFERROR(ROUND(SUM(AB690,AF690:AI690)/E690,2),0)</f>
        <v/>
      </c>
      <c r="AK690" s="76">
        <f>AJ690*E690</f>
        <v/>
      </c>
      <c r="AL690" s="174">
        <f>ROUND(IFERROR(AM690*E690,0),2)</f>
        <v/>
      </c>
      <c r="AM690" s="175">
        <f>ROUND(AJ690*(1+IF(offer_incoterms="DDP",IF((TODAY()+offer_turnaround_time)&gt;=helpsheet!$L$17,rate_vatRU_from_26,rate_vatRu_till_25),0)),2)</f>
        <v/>
      </c>
      <c r="AN690" s="192">
        <f>AL690-AK690</f>
        <v/>
      </c>
      <c r="AO690" s="76">
        <f>SUM(AY690,Y690:Z690,T690)*IF(AND(offer_incoterms="DDP",offer_sale_type&lt;&gt;"экспорт"),IF((TODAY()+offer_turnaround_time)&gt;=helpsheet!$L$17,rate_vatRU_from_26,rate_vatRu_till_25),0)</f>
        <v/>
      </c>
      <c r="AP690" s="193">
        <f>AN690-AO690</f>
        <v/>
      </c>
      <c r="AQ690" s="118">
        <f>IF(offer_sale_type="транзит",SUM(AF690:AI690,BA690,BB690),0)</f>
        <v/>
      </c>
      <c r="AR690" s="82">
        <f>HYPERLINK("https://www.alta.ru/tnved/code/")&amp;W690&amp;"/"</f>
        <v/>
      </c>
      <c r="AS690" s="157" t="n"/>
      <c r="AT690" s="162" t="n"/>
      <c r="AU690" s="76">
        <f>IF(ISBLANK(AT690),0,AJ690-AT690)</f>
        <v/>
      </c>
      <c r="AV690" s="157" t="n"/>
      <c r="AW690" s="75">
        <f>_xlfn.IFNA(VLOOKUP(L690,list_vat[],3,FALSE),0)</f>
        <v/>
      </c>
      <c r="AX690" s="76">
        <f>IFERROR(ROUND(S690*(1+AW690)/E690,2),0)</f>
        <v/>
      </c>
      <c r="AY690" s="76">
        <f>E690*AX690</f>
        <v/>
      </c>
      <c r="AZ690" s="192">
        <f>S690*(1+M690)</f>
        <v/>
      </c>
      <c r="BA690" s="76">
        <f>cost_fin_total*$BD690</f>
        <v/>
      </c>
      <c r="BB690" s="193">
        <f>credit_sales_interest*BD690</f>
        <v/>
      </c>
      <c r="BC690" s="102">
        <f>IFERROR(IF($I$13&gt;0,$I690/$I$13,$S690/$S$13),0)</f>
        <v/>
      </c>
      <c r="BD690" s="102">
        <f>IFERROR($S690/$S$13,0)</f>
        <v/>
      </c>
      <c r="BE690" s="413" t="inlineStr">
        <is>
          <t>$</t>
        </is>
      </c>
    </row>
    <row r="691" ht="12" customFormat="1" customHeight="1" s="65">
      <c r="A691" s="43" t="n">
        <v>676</v>
      </c>
      <c r="B691" s="166" t="n"/>
      <c r="C691" s="166" t="n"/>
      <c r="D691" s="166" t="n"/>
      <c r="E691" s="162" t="n"/>
      <c r="F691" s="166" t="n"/>
      <c r="G691" s="162" t="n"/>
      <c r="H691" s="162" t="n"/>
      <c r="I691" s="189">
        <f>E691*G691</f>
        <v/>
      </c>
      <c r="J691" s="195" t="n"/>
      <c r="K691" s="162" t="n"/>
      <c r="L691" s="168" t="n"/>
      <c r="M691" s="75">
        <f>_xlfn.XLOOKUP(L691,list_vat[Страна],list_vat[Ставка НДС %],0,0)</f>
        <v/>
      </c>
      <c r="N691" s="162">
        <f>IFERROR(IF(L691="Китай",K691,K691/(1+M691)),0)</f>
        <v/>
      </c>
      <c r="O691" s="169" t="n"/>
      <c r="P691" s="76">
        <f>N691*(1-O691)</f>
        <v/>
      </c>
      <c r="Q691" s="162" t="n"/>
      <c r="R691" s="162">
        <f>IF(ISBLANK(Q691),"введи курс",P691/Q691)</f>
        <v/>
      </c>
      <c r="S691" s="196">
        <f>IF(AND(ISNUMBER(E691),ISNUMBER(Q691)),E691*R691,0)</f>
        <v/>
      </c>
      <c r="T691" s="192">
        <f>$BC691*V$11</f>
        <v/>
      </c>
      <c r="U691" s="76">
        <f>$BC691*W$11</f>
        <v/>
      </c>
      <c r="V691" s="193">
        <f>+SUM(T691:U691)</f>
        <v/>
      </c>
      <c r="W691" s="191" t="n"/>
      <c r="X691" s="170" t="n"/>
      <c r="Y691" s="76">
        <f>ROUND(IF(offer_incoterms="DDP",X691*(S691*(1+AW691)+T691),0),2)</f>
        <v/>
      </c>
      <c r="Z691" s="188" t="n"/>
      <c r="AA691" s="192">
        <f>IFERROR(AB691/E691,0)</f>
        <v/>
      </c>
      <c r="AB691" s="76">
        <f>ROUND(SUM(S691,V691,Y691:Z691,BA691:BB691),2)</f>
        <v/>
      </c>
      <c r="AC691" s="797" t="n"/>
      <c r="AD691" s="192">
        <f t="array" ref="AD691">IFERROR(ROUND((_xlfn.IFS(offer_sale_type="поставка",AB691,offer_sale_type="транзит",S691)*(1+AC691))/E691,2),0)</f>
        <v/>
      </c>
      <c r="AE691" s="76">
        <f>AD691*E691</f>
        <v/>
      </c>
      <c r="AF691" s="193">
        <f t="array" ref="AF691">IFERROR(ROUND(_xlfn.IFS(offer_sale_type="поставка",AB691,offer_sale_type="транзит",S691)*AC691,2),0)</f>
        <v/>
      </c>
      <c r="AG691" s="192">
        <f>$BD691*VLOOKUP($AG$3,$AF$4:$AG$7,2,FALSE)</f>
        <v/>
      </c>
      <c r="AH691" s="76">
        <f>SUM(AE691,AG691,AI691)*rate_forex_risk</f>
        <v/>
      </c>
      <c r="AI691" s="193">
        <f>IF(OR(seller_region="TR",offer_sale_type="экспорт"),0,rate_fin_comm)*SUM(AZ691,AZ691*AW691,T691)</f>
        <v/>
      </c>
      <c r="AJ691" s="118">
        <f>IFERROR(ROUND(SUM(AB691,AF691:AI691)/E691,2),0)</f>
        <v/>
      </c>
      <c r="AK691" s="76">
        <f>AJ691*E691</f>
        <v/>
      </c>
      <c r="AL691" s="174">
        <f>ROUND(IFERROR(AM691*E691,0),2)</f>
        <v/>
      </c>
      <c r="AM691" s="175">
        <f>ROUND(AJ691*(1+IF(offer_incoterms="DDP",IF((TODAY()+offer_turnaround_time)&gt;=helpsheet!$L$17,rate_vatRU_from_26,rate_vatRu_till_25),0)),2)</f>
        <v/>
      </c>
      <c r="AN691" s="192">
        <f>AL691-AK691</f>
        <v/>
      </c>
      <c r="AO691" s="76">
        <f>SUM(AY691,Y691:Z691,T691)*IF(AND(offer_incoterms="DDP",offer_sale_type&lt;&gt;"экспорт"),IF((TODAY()+offer_turnaround_time)&gt;=helpsheet!$L$17,rate_vatRU_from_26,rate_vatRu_till_25),0)</f>
        <v/>
      </c>
      <c r="AP691" s="193">
        <f>AN691-AO691</f>
        <v/>
      </c>
      <c r="AQ691" s="118">
        <f>IF(offer_sale_type="транзит",SUM(AF691:AI691,BA691,BB691),0)</f>
        <v/>
      </c>
      <c r="AR691" s="82">
        <f>HYPERLINK("https://www.alta.ru/tnved/code/")&amp;W691&amp;"/"</f>
        <v/>
      </c>
      <c r="AS691" s="157" t="n"/>
      <c r="AT691" s="162" t="n"/>
      <c r="AU691" s="76">
        <f>IF(ISBLANK(AT691),0,AJ691-AT691)</f>
        <v/>
      </c>
      <c r="AV691" s="157" t="n"/>
      <c r="AW691" s="75">
        <f>_xlfn.IFNA(VLOOKUP(L691,list_vat[],3,FALSE),0)</f>
        <v/>
      </c>
      <c r="AX691" s="76">
        <f>IFERROR(ROUND(S691*(1+AW691)/E691,2),0)</f>
        <v/>
      </c>
      <c r="AY691" s="76">
        <f>E691*AX691</f>
        <v/>
      </c>
      <c r="AZ691" s="192">
        <f>S691*(1+M691)</f>
        <v/>
      </c>
      <c r="BA691" s="76">
        <f>cost_fin_total*$BD691</f>
        <v/>
      </c>
      <c r="BB691" s="193">
        <f>credit_sales_interest*BD691</f>
        <v/>
      </c>
      <c r="BC691" s="102">
        <f>IFERROR(IF($I$13&gt;0,$I691/$I$13,$S691/$S$13),0)</f>
        <v/>
      </c>
      <c r="BD691" s="102">
        <f>IFERROR($S691/$S$13,0)</f>
        <v/>
      </c>
      <c r="BE691" s="413" t="inlineStr">
        <is>
          <t>$</t>
        </is>
      </c>
    </row>
    <row r="692" ht="12" customFormat="1" customHeight="1" s="65">
      <c r="A692" s="43" t="n">
        <v>677</v>
      </c>
      <c r="B692" s="166" t="n"/>
      <c r="C692" s="166" t="n"/>
      <c r="D692" s="166" t="n"/>
      <c r="E692" s="162" t="n"/>
      <c r="F692" s="166" t="n"/>
      <c r="G692" s="162" t="n"/>
      <c r="H692" s="162" t="n"/>
      <c r="I692" s="189">
        <f>E692*G692</f>
        <v/>
      </c>
      <c r="J692" s="195" t="n"/>
      <c r="K692" s="162" t="n"/>
      <c r="L692" s="168" t="n"/>
      <c r="M692" s="75">
        <f>_xlfn.XLOOKUP(L692,list_vat[Страна],list_vat[Ставка НДС %],0,0)</f>
        <v/>
      </c>
      <c r="N692" s="162">
        <f>IFERROR(IF(L692="Китай",K692,K692/(1+M692)),0)</f>
        <v/>
      </c>
      <c r="O692" s="169" t="n"/>
      <c r="P692" s="76">
        <f>N692*(1-O692)</f>
        <v/>
      </c>
      <c r="Q692" s="162" t="n"/>
      <c r="R692" s="162">
        <f>IF(ISBLANK(Q692),"введи курс",P692/Q692)</f>
        <v/>
      </c>
      <c r="S692" s="196">
        <f>IF(AND(ISNUMBER(E692),ISNUMBER(Q692)),E692*R692,0)</f>
        <v/>
      </c>
      <c r="T692" s="192">
        <f>$BC692*V$11</f>
        <v/>
      </c>
      <c r="U692" s="76">
        <f>$BC692*W$11</f>
        <v/>
      </c>
      <c r="V692" s="193">
        <f>+SUM(T692:U692)</f>
        <v/>
      </c>
      <c r="W692" s="191" t="n"/>
      <c r="X692" s="170" t="n"/>
      <c r="Y692" s="76">
        <f>ROUND(IF(offer_incoterms="DDP",X692*(S692*(1+AW692)+T692),0),2)</f>
        <v/>
      </c>
      <c r="Z692" s="188" t="n"/>
      <c r="AA692" s="192">
        <f>IFERROR(AB692/E692,0)</f>
        <v/>
      </c>
      <c r="AB692" s="76">
        <f>ROUND(SUM(S692,V692,Y692:Z692,BA692:BB692),2)</f>
        <v/>
      </c>
      <c r="AC692" s="797" t="n"/>
      <c r="AD692" s="192">
        <f t="array" ref="AD692">IFERROR(ROUND((_xlfn.IFS(offer_sale_type="поставка",AB692,offer_sale_type="транзит",S692)*(1+AC692))/E692,2),0)</f>
        <v/>
      </c>
      <c r="AE692" s="76">
        <f>AD692*E692</f>
        <v/>
      </c>
      <c r="AF692" s="193">
        <f t="array" ref="AF692">IFERROR(ROUND(_xlfn.IFS(offer_sale_type="поставка",AB692,offer_sale_type="транзит",S692)*AC692,2),0)</f>
        <v/>
      </c>
      <c r="AG692" s="192">
        <f>$BD692*VLOOKUP($AG$3,$AF$4:$AG$7,2,FALSE)</f>
        <v/>
      </c>
      <c r="AH692" s="76">
        <f>SUM(AE692,AG692,AI692)*rate_forex_risk</f>
        <v/>
      </c>
      <c r="AI692" s="193">
        <f>IF(OR(seller_region="TR",offer_sale_type="экспорт"),0,rate_fin_comm)*SUM(AZ692,AZ692*AW692,T692)</f>
        <v/>
      </c>
      <c r="AJ692" s="118">
        <f>IFERROR(ROUND(SUM(AB692,AF692:AI692)/E692,2),0)</f>
        <v/>
      </c>
      <c r="AK692" s="76">
        <f>AJ692*E692</f>
        <v/>
      </c>
      <c r="AL692" s="174">
        <f>ROUND(IFERROR(AM692*E692,0),2)</f>
        <v/>
      </c>
      <c r="AM692" s="175">
        <f>ROUND(AJ692*(1+IF(offer_incoterms="DDP",IF((TODAY()+offer_turnaround_time)&gt;=helpsheet!$L$17,rate_vatRU_from_26,rate_vatRu_till_25),0)),2)</f>
        <v/>
      </c>
      <c r="AN692" s="192">
        <f>AL692-AK692</f>
        <v/>
      </c>
      <c r="AO692" s="76">
        <f>SUM(AY692,Y692:Z692,T692)*IF(AND(offer_incoterms="DDP",offer_sale_type&lt;&gt;"экспорт"),IF((TODAY()+offer_turnaround_time)&gt;=helpsheet!$L$17,rate_vatRU_from_26,rate_vatRu_till_25),0)</f>
        <v/>
      </c>
      <c r="AP692" s="193">
        <f>AN692-AO692</f>
        <v/>
      </c>
      <c r="AQ692" s="118">
        <f>IF(offer_sale_type="транзит",SUM(AF692:AI692,BA692,BB692),0)</f>
        <v/>
      </c>
      <c r="AR692" s="82">
        <f>HYPERLINK("https://www.alta.ru/tnved/code/")&amp;W692&amp;"/"</f>
        <v/>
      </c>
      <c r="AS692" s="157" t="n"/>
      <c r="AT692" s="162" t="n"/>
      <c r="AU692" s="76">
        <f>IF(ISBLANK(AT692),0,AJ692-AT692)</f>
        <v/>
      </c>
      <c r="AV692" s="157" t="n"/>
      <c r="AW692" s="75">
        <f>_xlfn.IFNA(VLOOKUP(L692,list_vat[],3,FALSE),0)</f>
        <v/>
      </c>
      <c r="AX692" s="76">
        <f>IFERROR(ROUND(S692*(1+AW692)/E692,2),0)</f>
        <v/>
      </c>
      <c r="AY692" s="76">
        <f>E692*AX692</f>
        <v/>
      </c>
      <c r="AZ692" s="192">
        <f>S692*(1+M692)</f>
        <v/>
      </c>
      <c r="BA692" s="76">
        <f>cost_fin_total*$BD692</f>
        <v/>
      </c>
      <c r="BB692" s="193">
        <f>credit_sales_interest*BD692</f>
        <v/>
      </c>
      <c r="BC692" s="102">
        <f>IFERROR(IF($I$13&gt;0,$I692/$I$13,$S692/$S$13),0)</f>
        <v/>
      </c>
      <c r="BD692" s="102">
        <f>IFERROR($S692/$S$13,0)</f>
        <v/>
      </c>
      <c r="BE692" s="413" t="inlineStr">
        <is>
          <t>$</t>
        </is>
      </c>
    </row>
    <row r="693" ht="12" customFormat="1" customHeight="1" s="65">
      <c r="A693" s="43" t="n">
        <v>678</v>
      </c>
      <c r="B693" s="166" t="n"/>
      <c r="C693" s="166" t="n"/>
      <c r="D693" s="166" t="n"/>
      <c r="E693" s="162" t="n"/>
      <c r="F693" s="166" t="n"/>
      <c r="G693" s="162" t="n"/>
      <c r="H693" s="162" t="n"/>
      <c r="I693" s="189">
        <f>E693*G693</f>
        <v/>
      </c>
      <c r="J693" s="195" t="n"/>
      <c r="K693" s="162" t="n"/>
      <c r="L693" s="168" t="n"/>
      <c r="M693" s="75">
        <f>_xlfn.XLOOKUP(L693,list_vat[Страна],list_vat[Ставка НДС %],0,0)</f>
        <v/>
      </c>
      <c r="N693" s="162">
        <f>IFERROR(IF(L693="Китай",K693,K693/(1+M693)),0)</f>
        <v/>
      </c>
      <c r="O693" s="169" t="n"/>
      <c r="P693" s="76">
        <f>N693*(1-O693)</f>
        <v/>
      </c>
      <c r="Q693" s="162" t="n"/>
      <c r="R693" s="162">
        <f>IF(ISBLANK(Q693),"введи курс",P693/Q693)</f>
        <v/>
      </c>
      <c r="S693" s="196">
        <f>IF(AND(ISNUMBER(E693),ISNUMBER(Q693)),E693*R693,0)</f>
        <v/>
      </c>
      <c r="T693" s="192">
        <f>$BC693*V$11</f>
        <v/>
      </c>
      <c r="U693" s="76">
        <f>$BC693*W$11</f>
        <v/>
      </c>
      <c r="V693" s="193">
        <f>+SUM(T693:U693)</f>
        <v/>
      </c>
      <c r="W693" s="191" t="n"/>
      <c r="X693" s="170" t="n"/>
      <c r="Y693" s="76">
        <f>ROUND(IF(offer_incoterms="DDP",X693*(S693*(1+AW693)+T693),0),2)</f>
        <v/>
      </c>
      <c r="Z693" s="188" t="n"/>
      <c r="AA693" s="192">
        <f>IFERROR(AB693/E693,0)</f>
        <v/>
      </c>
      <c r="AB693" s="76">
        <f>ROUND(SUM(S693,V693,Y693:Z693,BA693:BB693),2)</f>
        <v/>
      </c>
      <c r="AC693" s="797" t="n"/>
      <c r="AD693" s="192">
        <f t="array" ref="AD693">IFERROR(ROUND((_xlfn.IFS(offer_sale_type="поставка",AB693,offer_sale_type="транзит",S693)*(1+AC693))/E693,2),0)</f>
        <v/>
      </c>
      <c r="AE693" s="76">
        <f>AD693*E693</f>
        <v/>
      </c>
      <c r="AF693" s="193">
        <f t="array" ref="AF693">IFERROR(ROUND(_xlfn.IFS(offer_sale_type="поставка",AB693,offer_sale_type="транзит",S693)*AC693,2),0)</f>
        <v/>
      </c>
      <c r="AG693" s="192">
        <f>$BD693*VLOOKUP($AG$3,$AF$4:$AG$7,2,FALSE)</f>
        <v/>
      </c>
      <c r="AH693" s="76">
        <f>SUM(AE693,AG693,AI693)*rate_forex_risk</f>
        <v/>
      </c>
      <c r="AI693" s="193">
        <f>IF(OR(seller_region="TR",offer_sale_type="экспорт"),0,rate_fin_comm)*SUM(AZ693,AZ693*AW693,T693)</f>
        <v/>
      </c>
      <c r="AJ693" s="118">
        <f>IFERROR(ROUND(SUM(AB693,AF693:AI693)/E693,2),0)</f>
        <v/>
      </c>
      <c r="AK693" s="76">
        <f>AJ693*E693</f>
        <v/>
      </c>
      <c r="AL693" s="174">
        <f>ROUND(IFERROR(AM693*E693,0),2)</f>
        <v/>
      </c>
      <c r="AM693" s="175">
        <f>ROUND(AJ693*(1+IF(offer_incoterms="DDP",IF((TODAY()+offer_turnaround_time)&gt;=helpsheet!$L$17,rate_vatRU_from_26,rate_vatRu_till_25),0)),2)</f>
        <v/>
      </c>
      <c r="AN693" s="192">
        <f>AL693-AK693</f>
        <v/>
      </c>
      <c r="AO693" s="76">
        <f>SUM(AY693,Y693:Z693,T693)*IF(AND(offer_incoterms="DDP",offer_sale_type&lt;&gt;"экспорт"),IF((TODAY()+offer_turnaround_time)&gt;=helpsheet!$L$17,rate_vatRU_from_26,rate_vatRu_till_25),0)</f>
        <v/>
      </c>
      <c r="AP693" s="193">
        <f>AN693-AO693</f>
        <v/>
      </c>
      <c r="AQ693" s="118">
        <f>IF(offer_sale_type="транзит",SUM(AF693:AI693,BA693,BB693),0)</f>
        <v/>
      </c>
      <c r="AR693" s="82">
        <f>HYPERLINK("https://www.alta.ru/tnved/code/")&amp;W693&amp;"/"</f>
        <v/>
      </c>
      <c r="AS693" s="157" t="n"/>
      <c r="AT693" s="162" t="n"/>
      <c r="AU693" s="76">
        <f>IF(ISBLANK(AT693),0,AJ693-AT693)</f>
        <v/>
      </c>
      <c r="AV693" s="157" t="n"/>
      <c r="AW693" s="75">
        <f>_xlfn.IFNA(VLOOKUP(L693,list_vat[],3,FALSE),0)</f>
        <v/>
      </c>
      <c r="AX693" s="76">
        <f>IFERROR(ROUND(S693*(1+AW693)/E693,2),0)</f>
        <v/>
      </c>
      <c r="AY693" s="76">
        <f>E693*AX693</f>
        <v/>
      </c>
      <c r="AZ693" s="192">
        <f>S693*(1+M693)</f>
        <v/>
      </c>
      <c r="BA693" s="76">
        <f>cost_fin_total*$BD693</f>
        <v/>
      </c>
      <c r="BB693" s="193">
        <f>credit_sales_interest*BD693</f>
        <v/>
      </c>
      <c r="BC693" s="102">
        <f>IFERROR(IF($I$13&gt;0,$I693/$I$13,$S693/$S$13),0)</f>
        <v/>
      </c>
      <c r="BD693" s="102">
        <f>IFERROR($S693/$S$13,0)</f>
        <v/>
      </c>
      <c r="BE693" s="413" t="inlineStr">
        <is>
          <t>$</t>
        </is>
      </c>
    </row>
    <row r="694" ht="12" customFormat="1" customHeight="1" s="65">
      <c r="A694" s="43" t="n">
        <v>679</v>
      </c>
      <c r="B694" s="166" t="n"/>
      <c r="C694" s="166" t="n"/>
      <c r="D694" s="166" t="n"/>
      <c r="E694" s="162" t="n"/>
      <c r="F694" s="166" t="n"/>
      <c r="G694" s="162" t="n"/>
      <c r="H694" s="162" t="n"/>
      <c r="I694" s="189">
        <f>E694*G694</f>
        <v/>
      </c>
      <c r="J694" s="195" t="n"/>
      <c r="K694" s="162" t="n"/>
      <c r="L694" s="168" t="n"/>
      <c r="M694" s="75">
        <f>_xlfn.XLOOKUP(L694,list_vat[Страна],list_vat[Ставка НДС %],0,0)</f>
        <v/>
      </c>
      <c r="N694" s="162">
        <f>IFERROR(IF(L694="Китай",K694,K694/(1+M694)),0)</f>
        <v/>
      </c>
      <c r="O694" s="169" t="n"/>
      <c r="P694" s="76">
        <f>N694*(1-O694)</f>
        <v/>
      </c>
      <c r="Q694" s="162" t="n"/>
      <c r="R694" s="162">
        <f>IF(ISBLANK(Q694),"введи курс",P694/Q694)</f>
        <v/>
      </c>
      <c r="S694" s="196">
        <f>IF(AND(ISNUMBER(E694),ISNUMBER(Q694)),E694*R694,0)</f>
        <v/>
      </c>
      <c r="T694" s="192">
        <f>$BC694*V$11</f>
        <v/>
      </c>
      <c r="U694" s="76">
        <f>$BC694*W$11</f>
        <v/>
      </c>
      <c r="V694" s="193">
        <f>+SUM(T694:U694)</f>
        <v/>
      </c>
      <c r="W694" s="191" t="n"/>
      <c r="X694" s="170" t="n"/>
      <c r="Y694" s="76">
        <f>ROUND(IF(offer_incoterms="DDP",X694*(S694*(1+AW694)+T694),0),2)</f>
        <v/>
      </c>
      <c r="Z694" s="188" t="n"/>
      <c r="AA694" s="192">
        <f>IFERROR(AB694/E694,0)</f>
        <v/>
      </c>
      <c r="AB694" s="76">
        <f>ROUND(SUM(S694,V694,Y694:Z694,BA694:BB694),2)</f>
        <v/>
      </c>
      <c r="AC694" s="797" t="n"/>
      <c r="AD694" s="192">
        <f t="array" ref="AD694">IFERROR(ROUND((_xlfn.IFS(offer_sale_type="поставка",AB694,offer_sale_type="транзит",S694)*(1+AC694))/E694,2),0)</f>
        <v/>
      </c>
      <c r="AE694" s="76">
        <f>AD694*E694</f>
        <v/>
      </c>
      <c r="AF694" s="193">
        <f t="array" ref="AF694">IFERROR(ROUND(_xlfn.IFS(offer_sale_type="поставка",AB694,offer_sale_type="транзит",S694)*AC694,2),0)</f>
        <v/>
      </c>
      <c r="AG694" s="192">
        <f>$BD694*VLOOKUP($AG$3,$AF$4:$AG$7,2,FALSE)</f>
        <v/>
      </c>
      <c r="AH694" s="76">
        <f>SUM(AE694,AG694,AI694)*rate_forex_risk</f>
        <v/>
      </c>
      <c r="AI694" s="193">
        <f>IF(OR(seller_region="TR",offer_sale_type="экспорт"),0,rate_fin_comm)*SUM(AZ694,AZ694*AW694,T694)</f>
        <v/>
      </c>
      <c r="AJ694" s="118">
        <f>IFERROR(ROUND(SUM(AB694,AF694:AI694)/E694,2),0)</f>
        <v/>
      </c>
      <c r="AK694" s="76">
        <f>AJ694*E694</f>
        <v/>
      </c>
      <c r="AL694" s="174">
        <f>ROUND(IFERROR(AM694*E694,0),2)</f>
        <v/>
      </c>
      <c r="AM694" s="175">
        <f>ROUND(AJ694*(1+IF(offer_incoterms="DDP",IF((TODAY()+offer_turnaround_time)&gt;=helpsheet!$L$17,rate_vatRU_from_26,rate_vatRu_till_25),0)),2)</f>
        <v/>
      </c>
      <c r="AN694" s="192">
        <f>AL694-AK694</f>
        <v/>
      </c>
      <c r="AO694" s="76">
        <f>SUM(AY694,Y694:Z694,T694)*IF(AND(offer_incoterms="DDP",offer_sale_type&lt;&gt;"экспорт"),IF((TODAY()+offer_turnaround_time)&gt;=helpsheet!$L$17,rate_vatRU_from_26,rate_vatRu_till_25),0)</f>
        <v/>
      </c>
      <c r="AP694" s="193">
        <f>AN694-AO694</f>
        <v/>
      </c>
      <c r="AQ694" s="118">
        <f>IF(offer_sale_type="транзит",SUM(AF694:AI694,BA694,BB694),0)</f>
        <v/>
      </c>
      <c r="AR694" s="82">
        <f>HYPERLINK("https://www.alta.ru/tnved/code/")&amp;W694&amp;"/"</f>
        <v/>
      </c>
      <c r="AS694" s="157" t="n"/>
      <c r="AT694" s="162" t="n"/>
      <c r="AU694" s="76">
        <f>IF(ISBLANK(AT694),0,AJ694-AT694)</f>
        <v/>
      </c>
      <c r="AV694" s="157" t="n"/>
      <c r="AW694" s="75">
        <f>_xlfn.IFNA(VLOOKUP(L694,list_vat[],3,FALSE),0)</f>
        <v/>
      </c>
      <c r="AX694" s="76">
        <f>IFERROR(ROUND(S694*(1+AW694)/E694,2),0)</f>
        <v/>
      </c>
      <c r="AY694" s="76">
        <f>E694*AX694</f>
        <v/>
      </c>
      <c r="AZ694" s="192">
        <f>S694*(1+M694)</f>
        <v/>
      </c>
      <c r="BA694" s="76">
        <f>cost_fin_total*$BD694</f>
        <v/>
      </c>
      <c r="BB694" s="193">
        <f>credit_sales_interest*BD694</f>
        <v/>
      </c>
      <c r="BC694" s="102">
        <f>IFERROR(IF($I$13&gt;0,$I694/$I$13,$S694/$S$13),0)</f>
        <v/>
      </c>
      <c r="BD694" s="102">
        <f>IFERROR($S694/$S$13,0)</f>
        <v/>
      </c>
      <c r="BE694" s="413" t="inlineStr">
        <is>
          <t>$</t>
        </is>
      </c>
    </row>
    <row r="695" ht="12" customFormat="1" customHeight="1" s="65">
      <c r="A695" s="43" t="n">
        <v>680</v>
      </c>
      <c r="B695" s="166" t="n"/>
      <c r="C695" s="166" t="n"/>
      <c r="D695" s="166" t="n"/>
      <c r="E695" s="162" t="n"/>
      <c r="F695" s="166" t="n"/>
      <c r="G695" s="162" t="n"/>
      <c r="H695" s="162" t="n"/>
      <c r="I695" s="189">
        <f>E695*G695</f>
        <v/>
      </c>
      <c r="J695" s="195" t="n"/>
      <c r="K695" s="162" t="n"/>
      <c r="L695" s="168" t="n"/>
      <c r="M695" s="75">
        <f>_xlfn.XLOOKUP(L695,list_vat[Страна],list_vat[Ставка НДС %],0,0)</f>
        <v/>
      </c>
      <c r="N695" s="162">
        <f>IFERROR(IF(L695="Китай",K695,K695/(1+M695)),0)</f>
        <v/>
      </c>
      <c r="O695" s="169" t="n"/>
      <c r="P695" s="76">
        <f>N695*(1-O695)</f>
        <v/>
      </c>
      <c r="Q695" s="162" t="n"/>
      <c r="R695" s="162">
        <f>IF(ISBLANK(Q695),"введи курс",P695/Q695)</f>
        <v/>
      </c>
      <c r="S695" s="196">
        <f>IF(AND(ISNUMBER(E695),ISNUMBER(Q695)),E695*R695,0)</f>
        <v/>
      </c>
      <c r="T695" s="192">
        <f>$BC695*V$11</f>
        <v/>
      </c>
      <c r="U695" s="76">
        <f>$BC695*W$11</f>
        <v/>
      </c>
      <c r="V695" s="193">
        <f>+SUM(T695:U695)</f>
        <v/>
      </c>
      <c r="W695" s="191" t="n"/>
      <c r="X695" s="170" t="n"/>
      <c r="Y695" s="76">
        <f>ROUND(IF(offer_incoterms="DDP",X695*(S695*(1+AW695)+T695),0),2)</f>
        <v/>
      </c>
      <c r="Z695" s="188" t="n"/>
      <c r="AA695" s="192">
        <f>IFERROR(AB695/E695,0)</f>
        <v/>
      </c>
      <c r="AB695" s="76">
        <f>ROUND(SUM(S695,V695,Y695:Z695,BA695:BB695),2)</f>
        <v/>
      </c>
      <c r="AC695" s="797" t="n"/>
      <c r="AD695" s="192">
        <f t="array" ref="AD695">IFERROR(ROUND((_xlfn.IFS(offer_sale_type="поставка",AB695,offer_sale_type="транзит",S695)*(1+AC695))/E695,2),0)</f>
        <v/>
      </c>
      <c r="AE695" s="76">
        <f>AD695*E695</f>
        <v/>
      </c>
      <c r="AF695" s="193">
        <f t="array" ref="AF695">IFERROR(ROUND(_xlfn.IFS(offer_sale_type="поставка",AB695,offer_sale_type="транзит",S695)*AC695,2),0)</f>
        <v/>
      </c>
      <c r="AG695" s="192">
        <f>$BD695*VLOOKUP($AG$3,$AF$4:$AG$7,2,FALSE)</f>
        <v/>
      </c>
      <c r="AH695" s="76">
        <f>SUM(AE695,AG695,AI695)*rate_forex_risk</f>
        <v/>
      </c>
      <c r="AI695" s="193">
        <f>IF(OR(seller_region="TR",offer_sale_type="экспорт"),0,rate_fin_comm)*SUM(AZ695,AZ695*AW695,T695)</f>
        <v/>
      </c>
      <c r="AJ695" s="118">
        <f>IFERROR(ROUND(SUM(AB695,AF695:AI695)/E695,2),0)</f>
        <v/>
      </c>
      <c r="AK695" s="76">
        <f>AJ695*E695</f>
        <v/>
      </c>
      <c r="AL695" s="174">
        <f>ROUND(IFERROR(AM695*E695,0),2)</f>
        <v/>
      </c>
      <c r="AM695" s="175">
        <f>ROUND(AJ695*(1+IF(offer_incoterms="DDP",IF((TODAY()+offer_turnaround_time)&gt;=helpsheet!$L$17,rate_vatRU_from_26,rate_vatRu_till_25),0)),2)</f>
        <v/>
      </c>
      <c r="AN695" s="192">
        <f>AL695-AK695</f>
        <v/>
      </c>
      <c r="AO695" s="76">
        <f>SUM(AY695,Y695:Z695,T695)*IF(AND(offer_incoterms="DDP",offer_sale_type&lt;&gt;"экспорт"),IF((TODAY()+offer_turnaround_time)&gt;=helpsheet!$L$17,rate_vatRU_from_26,rate_vatRu_till_25),0)</f>
        <v/>
      </c>
      <c r="AP695" s="193">
        <f>AN695-AO695</f>
        <v/>
      </c>
      <c r="AQ695" s="118">
        <f>IF(offer_sale_type="транзит",SUM(AF695:AI695,BA695,BB695),0)</f>
        <v/>
      </c>
      <c r="AR695" s="82">
        <f>HYPERLINK("https://www.alta.ru/tnved/code/")&amp;W695&amp;"/"</f>
        <v/>
      </c>
      <c r="AS695" s="157" t="n"/>
      <c r="AT695" s="162" t="n"/>
      <c r="AU695" s="76">
        <f>IF(ISBLANK(AT695),0,AJ695-AT695)</f>
        <v/>
      </c>
      <c r="AV695" s="157" t="n"/>
      <c r="AW695" s="75">
        <f>_xlfn.IFNA(VLOOKUP(L695,list_vat[],3,FALSE),0)</f>
        <v/>
      </c>
      <c r="AX695" s="76">
        <f>IFERROR(ROUND(S695*(1+AW695)/E695,2),0)</f>
        <v/>
      </c>
      <c r="AY695" s="76">
        <f>E695*AX695</f>
        <v/>
      </c>
      <c r="AZ695" s="192">
        <f>S695*(1+M695)</f>
        <v/>
      </c>
      <c r="BA695" s="76">
        <f>cost_fin_total*$BD695</f>
        <v/>
      </c>
      <c r="BB695" s="193">
        <f>credit_sales_interest*BD695</f>
        <v/>
      </c>
      <c r="BC695" s="102">
        <f>IFERROR(IF($I$13&gt;0,$I695/$I$13,$S695/$S$13),0)</f>
        <v/>
      </c>
      <c r="BD695" s="102">
        <f>IFERROR($S695/$S$13,0)</f>
        <v/>
      </c>
      <c r="BE695" s="413" t="inlineStr">
        <is>
          <t>$</t>
        </is>
      </c>
    </row>
    <row r="696" ht="12" customFormat="1" customHeight="1" s="65">
      <c r="A696" s="43" t="n">
        <v>681</v>
      </c>
      <c r="B696" s="166" t="n"/>
      <c r="C696" s="166" t="n"/>
      <c r="D696" s="166" t="n"/>
      <c r="E696" s="162" t="n"/>
      <c r="F696" s="166" t="n"/>
      <c r="G696" s="162" t="n"/>
      <c r="H696" s="162" t="n"/>
      <c r="I696" s="189">
        <f>E696*G696</f>
        <v/>
      </c>
      <c r="J696" s="195" t="n"/>
      <c r="K696" s="162" t="n"/>
      <c r="L696" s="168" t="n"/>
      <c r="M696" s="75">
        <f>_xlfn.XLOOKUP(L696,list_vat[Страна],list_vat[Ставка НДС %],0,0)</f>
        <v/>
      </c>
      <c r="N696" s="162">
        <f>IFERROR(IF(L696="Китай",K696,K696/(1+M696)),0)</f>
        <v/>
      </c>
      <c r="O696" s="169" t="n"/>
      <c r="P696" s="76">
        <f>N696*(1-O696)</f>
        <v/>
      </c>
      <c r="Q696" s="162" t="n"/>
      <c r="R696" s="162">
        <f>IF(ISBLANK(Q696),"введи курс",P696/Q696)</f>
        <v/>
      </c>
      <c r="S696" s="196">
        <f>IF(AND(ISNUMBER(E696),ISNUMBER(Q696)),E696*R696,0)</f>
        <v/>
      </c>
      <c r="T696" s="192">
        <f>$BC696*V$11</f>
        <v/>
      </c>
      <c r="U696" s="76">
        <f>$BC696*W$11</f>
        <v/>
      </c>
      <c r="V696" s="193">
        <f>+SUM(T696:U696)</f>
        <v/>
      </c>
      <c r="W696" s="191" t="n"/>
      <c r="X696" s="170" t="n"/>
      <c r="Y696" s="76">
        <f>ROUND(IF(offer_incoterms="DDP",X696*(S696*(1+AW696)+T696),0),2)</f>
        <v/>
      </c>
      <c r="Z696" s="188" t="n"/>
      <c r="AA696" s="192">
        <f>IFERROR(AB696/E696,0)</f>
        <v/>
      </c>
      <c r="AB696" s="76">
        <f>ROUND(SUM(S696,V696,Y696:Z696,BA696:BB696),2)</f>
        <v/>
      </c>
      <c r="AC696" s="797" t="n"/>
      <c r="AD696" s="192">
        <f t="array" ref="AD696">IFERROR(ROUND((_xlfn.IFS(offer_sale_type="поставка",AB696,offer_sale_type="транзит",S696)*(1+AC696))/E696,2),0)</f>
        <v/>
      </c>
      <c r="AE696" s="76">
        <f>AD696*E696</f>
        <v/>
      </c>
      <c r="AF696" s="193">
        <f t="array" ref="AF696">IFERROR(ROUND(_xlfn.IFS(offer_sale_type="поставка",AB696,offer_sale_type="транзит",S696)*AC696,2),0)</f>
        <v/>
      </c>
      <c r="AG696" s="192">
        <f>$BD696*VLOOKUP($AG$3,$AF$4:$AG$7,2,FALSE)</f>
        <v/>
      </c>
      <c r="AH696" s="76">
        <f>SUM(AE696,AG696,AI696)*rate_forex_risk</f>
        <v/>
      </c>
      <c r="AI696" s="193">
        <f>IF(OR(seller_region="TR",offer_sale_type="экспорт"),0,rate_fin_comm)*SUM(AZ696,AZ696*AW696,T696)</f>
        <v/>
      </c>
      <c r="AJ696" s="118">
        <f>IFERROR(ROUND(SUM(AB696,AF696:AI696)/E696,2),0)</f>
        <v/>
      </c>
      <c r="AK696" s="76">
        <f>AJ696*E696</f>
        <v/>
      </c>
      <c r="AL696" s="174">
        <f>ROUND(IFERROR(AM696*E696,0),2)</f>
        <v/>
      </c>
      <c r="AM696" s="175">
        <f>ROUND(AJ696*(1+IF(offer_incoterms="DDP",IF((TODAY()+offer_turnaround_time)&gt;=helpsheet!$L$17,rate_vatRU_from_26,rate_vatRu_till_25),0)),2)</f>
        <v/>
      </c>
      <c r="AN696" s="192">
        <f>AL696-AK696</f>
        <v/>
      </c>
      <c r="AO696" s="76">
        <f>SUM(AY696,Y696:Z696,T696)*IF(AND(offer_incoterms="DDP",offer_sale_type&lt;&gt;"экспорт"),IF((TODAY()+offer_turnaround_time)&gt;=helpsheet!$L$17,rate_vatRU_from_26,rate_vatRu_till_25),0)</f>
        <v/>
      </c>
      <c r="AP696" s="193">
        <f>AN696-AO696</f>
        <v/>
      </c>
      <c r="AQ696" s="118">
        <f>IF(offer_sale_type="транзит",SUM(AF696:AI696,BA696,BB696),0)</f>
        <v/>
      </c>
      <c r="AR696" s="82">
        <f>HYPERLINK("https://www.alta.ru/tnved/code/")&amp;W696&amp;"/"</f>
        <v/>
      </c>
      <c r="AS696" s="157" t="n"/>
      <c r="AT696" s="162" t="n"/>
      <c r="AU696" s="76">
        <f>IF(ISBLANK(AT696),0,AJ696-AT696)</f>
        <v/>
      </c>
      <c r="AV696" s="157" t="n"/>
      <c r="AW696" s="75">
        <f>_xlfn.IFNA(VLOOKUP(L696,list_vat[],3,FALSE),0)</f>
        <v/>
      </c>
      <c r="AX696" s="76">
        <f>IFERROR(ROUND(S696*(1+AW696)/E696,2),0)</f>
        <v/>
      </c>
      <c r="AY696" s="76">
        <f>E696*AX696</f>
        <v/>
      </c>
      <c r="AZ696" s="192">
        <f>S696*(1+M696)</f>
        <v/>
      </c>
      <c r="BA696" s="76">
        <f>cost_fin_total*$BD696</f>
        <v/>
      </c>
      <c r="BB696" s="193">
        <f>credit_sales_interest*BD696</f>
        <v/>
      </c>
      <c r="BC696" s="102">
        <f>IFERROR(IF($I$13&gt;0,$I696/$I$13,$S696/$S$13),0)</f>
        <v/>
      </c>
      <c r="BD696" s="102">
        <f>IFERROR($S696/$S$13,0)</f>
        <v/>
      </c>
      <c r="BE696" s="413" t="inlineStr">
        <is>
          <t>$</t>
        </is>
      </c>
    </row>
    <row r="697" ht="12" customFormat="1" customHeight="1" s="65">
      <c r="A697" s="43" t="n">
        <v>682</v>
      </c>
      <c r="B697" s="166" t="n"/>
      <c r="C697" s="166" t="n"/>
      <c r="D697" s="166" t="n"/>
      <c r="E697" s="162" t="n"/>
      <c r="F697" s="166" t="n"/>
      <c r="G697" s="162" t="n"/>
      <c r="H697" s="162" t="n"/>
      <c r="I697" s="189">
        <f>E697*G697</f>
        <v/>
      </c>
      <c r="J697" s="195" t="n"/>
      <c r="K697" s="162" t="n"/>
      <c r="L697" s="168" t="n"/>
      <c r="M697" s="75">
        <f>_xlfn.XLOOKUP(L697,list_vat[Страна],list_vat[Ставка НДС %],0,0)</f>
        <v/>
      </c>
      <c r="N697" s="162">
        <f>IFERROR(IF(L697="Китай",K697,K697/(1+M697)),0)</f>
        <v/>
      </c>
      <c r="O697" s="169" t="n"/>
      <c r="P697" s="76">
        <f>N697*(1-O697)</f>
        <v/>
      </c>
      <c r="Q697" s="162" t="n"/>
      <c r="R697" s="162">
        <f>IF(ISBLANK(Q697),"введи курс",P697/Q697)</f>
        <v/>
      </c>
      <c r="S697" s="196">
        <f>IF(AND(ISNUMBER(E697),ISNUMBER(Q697)),E697*R697,0)</f>
        <v/>
      </c>
      <c r="T697" s="192">
        <f>$BC697*V$11</f>
        <v/>
      </c>
      <c r="U697" s="76">
        <f>$BC697*W$11</f>
        <v/>
      </c>
      <c r="V697" s="193">
        <f>+SUM(T697:U697)</f>
        <v/>
      </c>
      <c r="W697" s="191" t="n"/>
      <c r="X697" s="170" t="n"/>
      <c r="Y697" s="76">
        <f>ROUND(IF(offer_incoterms="DDP",X697*(S697*(1+AW697)+T697),0),2)</f>
        <v/>
      </c>
      <c r="Z697" s="188" t="n"/>
      <c r="AA697" s="192">
        <f>IFERROR(AB697/E697,0)</f>
        <v/>
      </c>
      <c r="AB697" s="76">
        <f>ROUND(SUM(S697,V697,Y697:Z697,BA697:BB697),2)</f>
        <v/>
      </c>
      <c r="AC697" s="797" t="n"/>
      <c r="AD697" s="192">
        <f t="array" ref="AD697">IFERROR(ROUND((_xlfn.IFS(offer_sale_type="поставка",AB697,offer_sale_type="транзит",S697)*(1+AC697))/E697,2),0)</f>
        <v/>
      </c>
      <c r="AE697" s="76">
        <f>AD697*E697</f>
        <v/>
      </c>
      <c r="AF697" s="193">
        <f t="array" ref="AF697">IFERROR(ROUND(_xlfn.IFS(offer_sale_type="поставка",AB697,offer_sale_type="транзит",S697)*AC697,2),0)</f>
        <v/>
      </c>
      <c r="AG697" s="192">
        <f>$BD697*VLOOKUP($AG$3,$AF$4:$AG$7,2,FALSE)</f>
        <v/>
      </c>
      <c r="AH697" s="76">
        <f>SUM(AE697,AG697,AI697)*rate_forex_risk</f>
        <v/>
      </c>
      <c r="AI697" s="193">
        <f>IF(OR(seller_region="TR",offer_sale_type="экспорт"),0,rate_fin_comm)*SUM(AZ697,AZ697*AW697,T697)</f>
        <v/>
      </c>
      <c r="AJ697" s="118">
        <f>IFERROR(ROUND(SUM(AB697,AF697:AI697)/E697,2),0)</f>
        <v/>
      </c>
      <c r="AK697" s="76">
        <f>AJ697*E697</f>
        <v/>
      </c>
      <c r="AL697" s="174">
        <f>ROUND(IFERROR(AM697*E697,0),2)</f>
        <v/>
      </c>
      <c r="AM697" s="175">
        <f>ROUND(AJ697*(1+IF(offer_incoterms="DDP",IF((TODAY()+offer_turnaround_time)&gt;=helpsheet!$L$17,rate_vatRU_from_26,rate_vatRu_till_25),0)),2)</f>
        <v/>
      </c>
      <c r="AN697" s="192">
        <f>AL697-AK697</f>
        <v/>
      </c>
      <c r="AO697" s="76">
        <f>SUM(AY697,Y697:Z697,T697)*IF(AND(offer_incoterms="DDP",offer_sale_type&lt;&gt;"экспорт"),IF((TODAY()+offer_turnaround_time)&gt;=helpsheet!$L$17,rate_vatRU_from_26,rate_vatRu_till_25),0)</f>
        <v/>
      </c>
      <c r="AP697" s="193">
        <f>AN697-AO697</f>
        <v/>
      </c>
      <c r="AQ697" s="118">
        <f>IF(offer_sale_type="транзит",SUM(AF697:AI697,BA697,BB697),0)</f>
        <v/>
      </c>
      <c r="AR697" s="82">
        <f>HYPERLINK("https://www.alta.ru/tnved/code/")&amp;W697&amp;"/"</f>
        <v/>
      </c>
      <c r="AS697" s="157" t="n"/>
      <c r="AT697" s="162" t="n"/>
      <c r="AU697" s="76">
        <f>IF(ISBLANK(AT697),0,AJ697-AT697)</f>
        <v/>
      </c>
      <c r="AV697" s="157" t="n"/>
      <c r="AW697" s="75">
        <f>_xlfn.IFNA(VLOOKUP(L697,list_vat[],3,FALSE),0)</f>
        <v/>
      </c>
      <c r="AX697" s="76">
        <f>IFERROR(ROUND(S697*(1+AW697)/E697,2),0)</f>
        <v/>
      </c>
      <c r="AY697" s="76">
        <f>E697*AX697</f>
        <v/>
      </c>
      <c r="AZ697" s="192">
        <f>S697*(1+M697)</f>
        <v/>
      </c>
      <c r="BA697" s="76">
        <f>cost_fin_total*$BD697</f>
        <v/>
      </c>
      <c r="BB697" s="193">
        <f>credit_sales_interest*BD697</f>
        <v/>
      </c>
      <c r="BC697" s="102">
        <f>IFERROR(IF($I$13&gt;0,$I697/$I$13,$S697/$S$13),0)</f>
        <v/>
      </c>
      <c r="BD697" s="102">
        <f>IFERROR($S697/$S$13,0)</f>
        <v/>
      </c>
      <c r="BE697" s="413" t="inlineStr">
        <is>
          <t>$</t>
        </is>
      </c>
    </row>
    <row r="698" ht="12" customFormat="1" customHeight="1" s="65">
      <c r="A698" s="43" t="n">
        <v>683</v>
      </c>
      <c r="B698" s="166" t="n"/>
      <c r="C698" s="166" t="n"/>
      <c r="D698" s="166" t="n"/>
      <c r="E698" s="162" t="n"/>
      <c r="F698" s="166" t="n"/>
      <c r="G698" s="162" t="n"/>
      <c r="H698" s="162" t="n"/>
      <c r="I698" s="189">
        <f>E698*G698</f>
        <v/>
      </c>
      <c r="J698" s="195" t="n"/>
      <c r="K698" s="162" t="n"/>
      <c r="L698" s="168" t="n"/>
      <c r="M698" s="75">
        <f>_xlfn.XLOOKUP(L698,list_vat[Страна],list_vat[Ставка НДС %],0,0)</f>
        <v/>
      </c>
      <c r="N698" s="162">
        <f>IFERROR(IF(L698="Китай",K698,K698/(1+M698)),0)</f>
        <v/>
      </c>
      <c r="O698" s="169" t="n"/>
      <c r="P698" s="76">
        <f>N698*(1-O698)</f>
        <v/>
      </c>
      <c r="Q698" s="162" t="n"/>
      <c r="R698" s="162">
        <f>IF(ISBLANK(Q698),"введи курс",P698/Q698)</f>
        <v/>
      </c>
      <c r="S698" s="196">
        <f>IF(AND(ISNUMBER(E698),ISNUMBER(Q698)),E698*R698,0)</f>
        <v/>
      </c>
      <c r="T698" s="192">
        <f>$BC698*V$11</f>
        <v/>
      </c>
      <c r="U698" s="76">
        <f>$BC698*W$11</f>
        <v/>
      </c>
      <c r="V698" s="193">
        <f>+SUM(T698:U698)</f>
        <v/>
      </c>
      <c r="W698" s="191" t="n"/>
      <c r="X698" s="170" t="n"/>
      <c r="Y698" s="76">
        <f>ROUND(IF(offer_incoterms="DDP",X698*(S698*(1+AW698)+T698),0),2)</f>
        <v/>
      </c>
      <c r="Z698" s="188" t="n"/>
      <c r="AA698" s="192">
        <f>IFERROR(AB698/E698,0)</f>
        <v/>
      </c>
      <c r="AB698" s="76">
        <f>ROUND(SUM(S698,V698,Y698:Z698,BA698:BB698),2)</f>
        <v/>
      </c>
      <c r="AC698" s="797" t="n"/>
      <c r="AD698" s="192">
        <f t="array" ref="AD698">IFERROR(ROUND((_xlfn.IFS(offer_sale_type="поставка",AB698,offer_sale_type="транзит",S698)*(1+AC698))/E698,2),0)</f>
        <v/>
      </c>
      <c r="AE698" s="76">
        <f>AD698*E698</f>
        <v/>
      </c>
      <c r="AF698" s="193">
        <f t="array" ref="AF698">IFERROR(ROUND(_xlfn.IFS(offer_sale_type="поставка",AB698,offer_sale_type="транзит",S698)*AC698,2),0)</f>
        <v/>
      </c>
      <c r="AG698" s="192">
        <f>$BD698*VLOOKUP($AG$3,$AF$4:$AG$7,2,FALSE)</f>
        <v/>
      </c>
      <c r="AH698" s="76">
        <f>SUM(AE698,AG698,AI698)*rate_forex_risk</f>
        <v/>
      </c>
      <c r="AI698" s="193">
        <f>IF(OR(seller_region="TR",offer_sale_type="экспорт"),0,rate_fin_comm)*SUM(AZ698,AZ698*AW698,T698)</f>
        <v/>
      </c>
      <c r="AJ698" s="118">
        <f>IFERROR(ROUND(SUM(AB698,AF698:AI698)/E698,2),0)</f>
        <v/>
      </c>
      <c r="AK698" s="76">
        <f>AJ698*E698</f>
        <v/>
      </c>
      <c r="AL698" s="174">
        <f>ROUND(IFERROR(AM698*E698,0),2)</f>
        <v/>
      </c>
      <c r="AM698" s="175">
        <f>ROUND(AJ698*(1+IF(offer_incoterms="DDP",IF((TODAY()+offer_turnaround_time)&gt;=helpsheet!$L$17,rate_vatRU_from_26,rate_vatRu_till_25),0)),2)</f>
        <v/>
      </c>
      <c r="AN698" s="192">
        <f>AL698-AK698</f>
        <v/>
      </c>
      <c r="AO698" s="76">
        <f>SUM(AY698,Y698:Z698,T698)*IF(AND(offer_incoterms="DDP",offer_sale_type&lt;&gt;"экспорт"),IF((TODAY()+offer_turnaround_time)&gt;=helpsheet!$L$17,rate_vatRU_from_26,rate_vatRu_till_25),0)</f>
        <v/>
      </c>
      <c r="AP698" s="193">
        <f>AN698-AO698</f>
        <v/>
      </c>
      <c r="AQ698" s="118">
        <f>IF(offer_sale_type="транзит",SUM(AF698:AI698,BA698,BB698),0)</f>
        <v/>
      </c>
      <c r="AR698" s="82">
        <f>HYPERLINK("https://www.alta.ru/tnved/code/")&amp;W698&amp;"/"</f>
        <v/>
      </c>
      <c r="AS698" s="157" t="n"/>
      <c r="AT698" s="162" t="n"/>
      <c r="AU698" s="76">
        <f>IF(ISBLANK(AT698),0,AJ698-AT698)</f>
        <v/>
      </c>
      <c r="AV698" s="157" t="n"/>
      <c r="AW698" s="75">
        <f>_xlfn.IFNA(VLOOKUP(L698,list_vat[],3,FALSE),0)</f>
        <v/>
      </c>
      <c r="AX698" s="76">
        <f>IFERROR(ROUND(S698*(1+AW698)/E698,2),0)</f>
        <v/>
      </c>
      <c r="AY698" s="76">
        <f>E698*AX698</f>
        <v/>
      </c>
      <c r="AZ698" s="192">
        <f>S698*(1+M698)</f>
        <v/>
      </c>
      <c r="BA698" s="76">
        <f>cost_fin_total*$BD698</f>
        <v/>
      </c>
      <c r="BB698" s="193">
        <f>credit_sales_interest*BD698</f>
        <v/>
      </c>
      <c r="BC698" s="102">
        <f>IFERROR(IF($I$13&gt;0,$I698/$I$13,$S698/$S$13),0)</f>
        <v/>
      </c>
      <c r="BD698" s="102">
        <f>IFERROR($S698/$S$13,0)</f>
        <v/>
      </c>
      <c r="BE698" s="413" t="inlineStr">
        <is>
          <t>$</t>
        </is>
      </c>
    </row>
    <row r="699" ht="12" customFormat="1" customHeight="1" s="65">
      <c r="A699" s="43" t="n">
        <v>684</v>
      </c>
      <c r="B699" s="166" t="n"/>
      <c r="C699" s="166" t="n"/>
      <c r="D699" s="166" t="n"/>
      <c r="E699" s="162" t="n"/>
      <c r="F699" s="166" t="n"/>
      <c r="G699" s="162" t="n"/>
      <c r="H699" s="162" t="n"/>
      <c r="I699" s="189">
        <f>E699*G699</f>
        <v/>
      </c>
      <c r="J699" s="195" t="n"/>
      <c r="K699" s="162" t="n"/>
      <c r="L699" s="168" t="n"/>
      <c r="M699" s="75">
        <f>_xlfn.XLOOKUP(L699,list_vat[Страна],list_vat[Ставка НДС %],0,0)</f>
        <v/>
      </c>
      <c r="N699" s="162">
        <f>IFERROR(IF(L699="Китай",K699,K699/(1+M699)),0)</f>
        <v/>
      </c>
      <c r="O699" s="169" t="n"/>
      <c r="P699" s="76">
        <f>N699*(1-O699)</f>
        <v/>
      </c>
      <c r="Q699" s="162" t="n"/>
      <c r="R699" s="162">
        <f>IF(ISBLANK(Q699),"введи курс",P699/Q699)</f>
        <v/>
      </c>
      <c r="S699" s="196">
        <f>IF(AND(ISNUMBER(E699),ISNUMBER(Q699)),E699*R699,0)</f>
        <v/>
      </c>
      <c r="T699" s="192">
        <f>$BC699*V$11</f>
        <v/>
      </c>
      <c r="U699" s="76">
        <f>$BC699*W$11</f>
        <v/>
      </c>
      <c r="V699" s="193">
        <f>+SUM(T699:U699)</f>
        <v/>
      </c>
      <c r="W699" s="191" t="n"/>
      <c r="X699" s="170" t="n"/>
      <c r="Y699" s="76">
        <f>ROUND(IF(offer_incoterms="DDP",X699*(S699*(1+AW699)+T699),0),2)</f>
        <v/>
      </c>
      <c r="Z699" s="188" t="n"/>
      <c r="AA699" s="192">
        <f>IFERROR(AB699/E699,0)</f>
        <v/>
      </c>
      <c r="AB699" s="76">
        <f>ROUND(SUM(S699,V699,Y699:Z699,BA699:BB699),2)</f>
        <v/>
      </c>
      <c r="AC699" s="797" t="n"/>
      <c r="AD699" s="192">
        <f t="array" ref="AD699">IFERROR(ROUND((_xlfn.IFS(offer_sale_type="поставка",AB699,offer_sale_type="транзит",S699)*(1+AC699))/E699,2),0)</f>
        <v/>
      </c>
      <c r="AE699" s="76">
        <f>AD699*E699</f>
        <v/>
      </c>
      <c r="AF699" s="193">
        <f t="array" ref="AF699">IFERROR(ROUND(_xlfn.IFS(offer_sale_type="поставка",AB699,offer_sale_type="транзит",S699)*AC699,2),0)</f>
        <v/>
      </c>
      <c r="AG699" s="192">
        <f>$BD699*VLOOKUP($AG$3,$AF$4:$AG$7,2,FALSE)</f>
        <v/>
      </c>
      <c r="AH699" s="76">
        <f>SUM(AE699,AG699,AI699)*rate_forex_risk</f>
        <v/>
      </c>
      <c r="AI699" s="193">
        <f>IF(OR(seller_region="TR",offer_sale_type="экспорт"),0,rate_fin_comm)*SUM(AZ699,AZ699*AW699,T699)</f>
        <v/>
      </c>
      <c r="AJ699" s="118">
        <f>IFERROR(ROUND(SUM(AB699,AF699:AI699)/E699,2),0)</f>
        <v/>
      </c>
      <c r="AK699" s="76">
        <f>AJ699*E699</f>
        <v/>
      </c>
      <c r="AL699" s="174">
        <f>ROUND(IFERROR(AM699*E699,0),2)</f>
        <v/>
      </c>
      <c r="AM699" s="175">
        <f>ROUND(AJ699*(1+IF(offer_incoterms="DDP",IF((TODAY()+offer_turnaround_time)&gt;=helpsheet!$L$17,rate_vatRU_from_26,rate_vatRu_till_25),0)),2)</f>
        <v/>
      </c>
      <c r="AN699" s="192">
        <f>AL699-AK699</f>
        <v/>
      </c>
      <c r="AO699" s="76">
        <f>SUM(AY699,Y699:Z699,T699)*IF(AND(offer_incoterms="DDP",offer_sale_type&lt;&gt;"экспорт"),IF((TODAY()+offer_turnaround_time)&gt;=helpsheet!$L$17,rate_vatRU_from_26,rate_vatRu_till_25),0)</f>
        <v/>
      </c>
      <c r="AP699" s="193">
        <f>AN699-AO699</f>
        <v/>
      </c>
      <c r="AQ699" s="118">
        <f>IF(offer_sale_type="транзит",SUM(AF699:AI699,BA699,BB699),0)</f>
        <v/>
      </c>
      <c r="AR699" s="82">
        <f>HYPERLINK("https://www.alta.ru/tnved/code/")&amp;W699&amp;"/"</f>
        <v/>
      </c>
      <c r="AS699" s="157" t="n"/>
      <c r="AT699" s="162" t="n"/>
      <c r="AU699" s="76">
        <f>IF(ISBLANK(AT699),0,AJ699-AT699)</f>
        <v/>
      </c>
      <c r="AV699" s="157" t="n"/>
      <c r="AW699" s="75">
        <f>_xlfn.IFNA(VLOOKUP(L699,list_vat[],3,FALSE),0)</f>
        <v/>
      </c>
      <c r="AX699" s="76">
        <f>IFERROR(ROUND(S699*(1+AW699)/E699,2),0)</f>
        <v/>
      </c>
      <c r="AY699" s="76">
        <f>E699*AX699</f>
        <v/>
      </c>
      <c r="AZ699" s="192">
        <f>S699*(1+M699)</f>
        <v/>
      </c>
      <c r="BA699" s="76">
        <f>cost_fin_total*$BD699</f>
        <v/>
      </c>
      <c r="BB699" s="193">
        <f>credit_sales_interest*BD699</f>
        <v/>
      </c>
      <c r="BC699" s="102">
        <f>IFERROR(IF($I$13&gt;0,$I699/$I$13,$S699/$S$13),0)</f>
        <v/>
      </c>
      <c r="BD699" s="102">
        <f>IFERROR($S699/$S$13,0)</f>
        <v/>
      </c>
      <c r="BE699" s="413" t="inlineStr">
        <is>
          <t>$</t>
        </is>
      </c>
    </row>
    <row r="700" ht="12" customFormat="1" customHeight="1" s="65">
      <c r="A700" s="43" t="n">
        <v>685</v>
      </c>
      <c r="B700" s="166" t="n"/>
      <c r="C700" s="166" t="n"/>
      <c r="D700" s="166" t="n"/>
      <c r="E700" s="162" t="n"/>
      <c r="F700" s="166" t="n"/>
      <c r="G700" s="162" t="n"/>
      <c r="H700" s="162" t="n"/>
      <c r="I700" s="189">
        <f>E700*G700</f>
        <v/>
      </c>
      <c r="J700" s="195" t="n"/>
      <c r="K700" s="162" t="n"/>
      <c r="L700" s="168" t="n"/>
      <c r="M700" s="75">
        <f>_xlfn.XLOOKUP(L700,list_vat[Страна],list_vat[Ставка НДС %],0,0)</f>
        <v/>
      </c>
      <c r="N700" s="162">
        <f>IFERROR(IF(L700="Китай",K700,K700/(1+M700)),0)</f>
        <v/>
      </c>
      <c r="O700" s="169" t="n"/>
      <c r="P700" s="76">
        <f>N700*(1-O700)</f>
        <v/>
      </c>
      <c r="Q700" s="162" t="n"/>
      <c r="R700" s="162">
        <f>IF(ISBLANK(Q700),"введи курс",P700/Q700)</f>
        <v/>
      </c>
      <c r="S700" s="196">
        <f>IF(AND(ISNUMBER(E700),ISNUMBER(Q700)),E700*R700,0)</f>
        <v/>
      </c>
      <c r="T700" s="192">
        <f>$BC700*V$11</f>
        <v/>
      </c>
      <c r="U700" s="76">
        <f>$BC700*W$11</f>
        <v/>
      </c>
      <c r="V700" s="193">
        <f>+SUM(T700:U700)</f>
        <v/>
      </c>
      <c r="W700" s="191" t="n"/>
      <c r="X700" s="170" t="n"/>
      <c r="Y700" s="76">
        <f>ROUND(IF(offer_incoterms="DDP",X700*(S700*(1+AW700)+T700),0),2)</f>
        <v/>
      </c>
      <c r="Z700" s="188" t="n"/>
      <c r="AA700" s="192">
        <f>IFERROR(AB700/E700,0)</f>
        <v/>
      </c>
      <c r="AB700" s="76">
        <f>ROUND(SUM(S700,V700,Y700:Z700,BA700:BB700),2)</f>
        <v/>
      </c>
      <c r="AC700" s="797" t="n"/>
      <c r="AD700" s="192">
        <f t="array" ref="AD700">IFERROR(ROUND((_xlfn.IFS(offer_sale_type="поставка",AB700,offer_sale_type="транзит",S700)*(1+AC700))/E700,2),0)</f>
        <v/>
      </c>
      <c r="AE700" s="76">
        <f>AD700*E700</f>
        <v/>
      </c>
      <c r="AF700" s="193">
        <f t="array" ref="AF700">IFERROR(ROUND(_xlfn.IFS(offer_sale_type="поставка",AB700,offer_sale_type="транзит",S700)*AC700,2),0)</f>
        <v/>
      </c>
      <c r="AG700" s="192">
        <f>$BD700*VLOOKUP($AG$3,$AF$4:$AG$7,2,FALSE)</f>
        <v/>
      </c>
      <c r="AH700" s="76">
        <f>SUM(AE700,AG700,AI700)*rate_forex_risk</f>
        <v/>
      </c>
      <c r="AI700" s="193">
        <f>IF(OR(seller_region="TR",offer_sale_type="экспорт"),0,rate_fin_comm)*SUM(AZ700,AZ700*AW700,T700)</f>
        <v/>
      </c>
      <c r="AJ700" s="118">
        <f>IFERROR(ROUND(SUM(AB700,AF700:AI700)/E700,2),0)</f>
        <v/>
      </c>
      <c r="AK700" s="76">
        <f>AJ700*E700</f>
        <v/>
      </c>
      <c r="AL700" s="174">
        <f>ROUND(IFERROR(AM700*E700,0),2)</f>
        <v/>
      </c>
      <c r="AM700" s="175">
        <f>ROUND(AJ700*(1+IF(offer_incoterms="DDP",IF((TODAY()+offer_turnaround_time)&gt;=helpsheet!$L$17,rate_vatRU_from_26,rate_vatRu_till_25),0)),2)</f>
        <v/>
      </c>
      <c r="AN700" s="192">
        <f>AL700-AK700</f>
        <v/>
      </c>
      <c r="AO700" s="76">
        <f>SUM(AY700,Y700:Z700,T700)*IF(AND(offer_incoterms="DDP",offer_sale_type&lt;&gt;"экспорт"),IF((TODAY()+offer_turnaround_time)&gt;=helpsheet!$L$17,rate_vatRU_from_26,rate_vatRu_till_25),0)</f>
        <v/>
      </c>
      <c r="AP700" s="193">
        <f>AN700-AO700</f>
        <v/>
      </c>
      <c r="AQ700" s="118">
        <f>IF(offer_sale_type="транзит",SUM(AF700:AI700,BA700,BB700),0)</f>
        <v/>
      </c>
      <c r="AR700" s="82">
        <f>HYPERLINK("https://www.alta.ru/tnved/code/")&amp;W700&amp;"/"</f>
        <v/>
      </c>
      <c r="AS700" s="157" t="n"/>
      <c r="AT700" s="162" t="n"/>
      <c r="AU700" s="76">
        <f>IF(ISBLANK(AT700),0,AJ700-AT700)</f>
        <v/>
      </c>
      <c r="AV700" s="157" t="n"/>
      <c r="AW700" s="75">
        <f>_xlfn.IFNA(VLOOKUP(L700,list_vat[],3,FALSE),0)</f>
        <v/>
      </c>
      <c r="AX700" s="76">
        <f>IFERROR(ROUND(S700*(1+AW700)/E700,2),0)</f>
        <v/>
      </c>
      <c r="AY700" s="76">
        <f>E700*AX700</f>
        <v/>
      </c>
      <c r="AZ700" s="192">
        <f>S700*(1+M700)</f>
        <v/>
      </c>
      <c r="BA700" s="76">
        <f>cost_fin_total*$BD700</f>
        <v/>
      </c>
      <c r="BB700" s="193">
        <f>credit_sales_interest*BD700</f>
        <v/>
      </c>
      <c r="BC700" s="102">
        <f>IFERROR(IF($I$13&gt;0,$I700/$I$13,$S700/$S$13),0)</f>
        <v/>
      </c>
      <c r="BD700" s="102">
        <f>IFERROR($S700/$S$13,0)</f>
        <v/>
      </c>
      <c r="BE700" s="413" t="inlineStr">
        <is>
          <t>$</t>
        </is>
      </c>
    </row>
    <row r="701" ht="12" customFormat="1" customHeight="1" s="65">
      <c r="A701" s="43" t="n">
        <v>686</v>
      </c>
      <c r="B701" s="166" t="n"/>
      <c r="C701" s="166" t="n"/>
      <c r="D701" s="166" t="n"/>
      <c r="E701" s="162" t="n"/>
      <c r="F701" s="166" t="n"/>
      <c r="G701" s="162" t="n"/>
      <c r="H701" s="162" t="n"/>
      <c r="I701" s="189">
        <f>E701*G701</f>
        <v/>
      </c>
      <c r="J701" s="195" t="n"/>
      <c r="K701" s="162" t="n"/>
      <c r="L701" s="168" t="n"/>
      <c r="M701" s="75">
        <f>_xlfn.XLOOKUP(L701,list_vat[Страна],list_vat[Ставка НДС %],0,0)</f>
        <v/>
      </c>
      <c r="N701" s="162">
        <f>IFERROR(IF(L701="Китай",K701,K701/(1+M701)),0)</f>
        <v/>
      </c>
      <c r="O701" s="169" t="n"/>
      <c r="P701" s="76">
        <f>N701*(1-O701)</f>
        <v/>
      </c>
      <c r="Q701" s="162" t="n"/>
      <c r="R701" s="162">
        <f>IF(ISBLANK(Q701),"введи курс",P701/Q701)</f>
        <v/>
      </c>
      <c r="S701" s="196">
        <f>IF(AND(ISNUMBER(E701),ISNUMBER(Q701)),E701*R701,0)</f>
        <v/>
      </c>
      <c r="T701" s="192">
        <f>$BC701*V$11</f>
        <v/>
      </c>
      <c r="U701" s="76">
        <f>$BC701*W$11</f>
        <v/>
      </c>
      <c r="V701" s="193">
        <f>+SUM(T701:U701)</f>
        <v/>
      </c>
      <c r="W701" s="191" t="n"/>
      <c r="X701" s="170" t="n"/>
      <c r="Y701" s="76">
        <f>ROUND(IF(offer_incoterms="DDP",X701*(S701*(1+AW701)+T701),0),2)</f>
        <v/>
      </c>
      <c r="Z701" s="188" t="n"/>
      <c r="AA701" s="192">
        <f>IFERROR(AB701/E701,0)</f>
        <v/>
      </c>
      <c r="AB701" s="76">
        <f>ROUND(SUM(S701,V701,Y701:Z701,BA701:BB701),2)</f>
        <v/>
      </c>
      <c r="AC701" s="797" t="n"/>
      <c r="AD701" s="192">
        <f t="array" ref="AD701">IFERROR(ROUND((_xlfn.IFS(offer_sale_type="поставка",AB701,offer_sale_type="транзит",S701)*(1+AC701))/E701,2),0)</f>
        <v/>
      </c>
      <c r="AE701" s="76">
        <f>AD701*E701</f>
        <v/>
      </c>
      <c r="AF701" s="193">
        <f t="array" ref="AF701">IFERROR(ROUND(_xlfn.IFS(offer_sale_type="поставка",AB701,offer_sale_type="транзит",S701)*AC701,2),0)</f>
        <v/>
      </c>
      <c r="AG701" s="192">
        <f>$BD701*VLOOKUP($AG$3,$AF$4:$AG$7,2,FALSE)</f>
        <v/>
      </c>
      <c r="AH701" s="76">
        <f>SUM(AE701,AG701,AI701)*rate_forex_risk</f>
        <v/>
      </c>
      <c r="AI701" s="193">
        <f>IF(OR(seller_region="TR",offer_sale_type="экспорт"),0,rate_fin_comm)*SUM(AZ701,AZ701*AW701,T701)</f>
        <v/>
      </c>
      <c r="AJ701" s="118">
        <f>IFERROR(ROUND(SUM(AB701,AF701:AI701)/E701,2),0)</f>
        <v/>
      </c>
      <c r="AK701" s="76">
        <f>AJ701*E701</f>
        <v/>
      </c>
      <c r="AL701" s="174">
        <f>ROUND(IFERROR(AM701*E701,0),2)</f>
        <v/>
      </c>
      <c r="AM701" s="175">
        <f>ROUND(AJ701*(1+IF(offer_incoterms="DDP",IF((TODAY()+offer_turnaround_time)&gt;=helpsheet!$L$17,rate_vatRU_from_26,rate_vatRu_till_25),0)),2)</f>
        <v/>
      </c>
      <c r="AN701" s="192">
        <f>AL701-AK701</f>
        <v/>
      </c>
      <c r="AO701" s="76">
        <f>SUM(AY701,Y701:Z701,T701)*IF(AND(offer_incoterms="DDP",offer_sale_type&lt;&gt;"экспорт"),IF((TODAY()+offer_turnaround_time)&gt;=helpsheet!$L$17,rate_vatRU_from_26,rate_vatRu_till_25),0)</f>
        <v/>
      </c>
      <c r="AP701" s="193">
        <f>AN701-AO701</f>
        <v/>
      </c>
      <c r="AQ701" s="118">
        <f>IF(offer_sale_type="транзит",SUM(AF701:AI701,BA701,BB701),0)</f>
        <v/>
      </c>
      <c r="AR701" s="82">
        <f>HYPERLINK("https://www.alta.ru/tnved/code/")&amp;W701&amp;"/"</f>
        <v/>
      </c>
      <c r="AS701" s="157" t="n"/>
      <c r="AT701" s="162" t="n"/>
      <c r="AU701" s="76">
        <f>IF(ISBLANK(AT701),0,AJ701-AT701)</f>
        <v/>
      </c>
      <c r="AV701" s="157" t="n"/>
      <c r="AW701" s="75">
        <f>_xlfn.IFNA(VLOOKUP(L701,list_vat[],3,FALSE),0)</f>
        <v/>
      </c>
      <c r="AX701" s="76">
        <f>IFERROR(ROUND(S701*(1+AW701)/E701,2),0)</f>
        <v/>
      </c>
      <c r="AY701" s="76">
        <f>E701*AX701</f>
        <v/>
      </c>
      <c r="AZ701" s="192">
        <f>S701*(1+M701)</f>
        <v/>
      </c>
      <c r="BA701" s="76">
        <f>cost_fin_total*$BD701</f>
        <v/>
      </c>
      <c r="BB701" s="193">
        <f>credit_sales_interest*BD701</f>
        <v/>
      </c>
      <c r="BC701" s="102">
        <f>IFERROR(IF($I$13&gt;0,$I701/$I$13,$S701/$S$13),0)</f>
        <v/>
      </c>
      <c r="BD701" s="102">
        <f>IFERROR($S701/$S$13,0)</f>
        <v/>
      </c>
      <c r="BE701" s="413" t="inlineStr">
        <is>
          <t>$</t>
        </is>
      </c>
    </row>
    <row r="702" ht="12" customFormat="1" customHeight="1" s="65">
      <c r="A702" s="43" t="n">
        <v>687</v>
      </c>
      <c r="B702" s="166" t="n"/>
      <c r="C702" s="166" t="n"/>
      <c r="D702" s="166" t="n"/>
      <c r="E702" s="162" t="n"/>
      <c r="F702" s="166" t="n"/>
      <c r="G702" s="162" t="n"/>
      <c r="H702" s="162" t="n"/>
      <c r="I702" s="189">
        <f>E702*G702</f>
        <v/>
      </c>
      <c r="J702" s="195" t="n"/>
      <c r="K702" s="162" t="n"/>
      <c r="L702" s="168" t="n"/>
      <c r="M702" s="75">
        <f>_xlfn.XLOOKUP(L702,list_vat[Страна],list_vat[Ставка НДС %],0,0)</f>
        <v/>
      </c>
      <c r="N702" s="162">
        <f>IFERROR(IF(L702="Китай",K702,K702/(1+M702)),0)</f>
        <v/>
      </c>
      <c r="O702" s="169" t="n"/>
      <c r="P702" s="76">
        <f>N702*(1-O702)</f>
        <v/>
      </c>
      <c r="Q702" s="162" t="n"/>
      <c r="R702" s="162">
        <f>IF(ISBLANK(Q702),"введи курс",P702/Q702)</f>
        <v/>
      </c>
      <c r="S702" s="196">
        <f>IF(AND(ISNUMBER(E702),ISNUMBER(Q702)),E702*R702,0)</f>
        <v/>
      </c>
      <c r="T702" s="192">
        <f>$BC702*V$11</f>
        <v/>
      </c>
      <c r="U702" s="76">
        <f>$BC702*W$11</f>
        <v/>
      </c>
      <c r="V702" s="193">
        <f>+SUM(T702:U702)</f>
        <v/>
      </c>
      <c r="W702" s="191" t="n"/>
      <c r="X702" s="170" t="n"/>
      <c r="Y702" s="76">
        <f>ROUND(IF(offer_incoterms="DDP",X702*(S702*(1+AW702)+T702),0),2)</f>
        <v/>
      </c>
      <c r="Z702" s="188" t="n"/>
      <c r="AA702" s="192">
        <f>IFERROR(AB702/E702,0)</f>
        <v/>
      </c>
      <c r="AB702" s="76">
        <f>ROUND(SUM(S702,V702,Y702:Z702,BA702:BB702),2)</f>
        <v/>
      </c>
      <c r="AC702" s="797" t="n"/>
      <c r="AD702" s="192">
        <f t="array" ref="AD702">IFERROR(ROUND((_xlfn.IFS(offer_sale_type="поставка",AB702,offer_sale_type="транзит",S702)*(1+AC702))/E702,2),0)</f>
        <v/>
      </c>
      <c r="AE702" s="76">
        <f>AD702*E702</f>
        <v/>
      </c>
      <c r="AF702" s="193">
        <f t="array" ref="AF702">IFERROR(ROUND(_xlfn.IFS(offer_sale_type="поставка",AB702,offer_sale_type="транзит",S702)*AC702,2),0)</f>
        <v/>
      </c>
      <c r="AG702" s="192">
        <f>$BD702*VLOOKUP($AG$3,$AF$4:$AG$7,2,FALSE)</f>
        <v/>
      </c>
      <c r="AH702" s="76">
        <f>SUM(AE702,AG702,AI702)*rate_forex_risk</f>
        <v/>
      </c>
      <c r="AI702" s="193">
        <f>IF(OR(seller_region="TR",offer_sale_type="экспорт"),0,rate_fin_comm)*SUM(AZ702,AZ702*AW702,T702)</f>
        <v/>
      </c>
      <c r="AJ702" s="118">
        <f>IFERROR(ROUND(SUM(AB702,AF702:AI702)/E702,2),0)</f>
        <v/>
      </c>
      <c r="AK702" s="76">
        <f>AJ702*E702</f>
        <v/>
      </c>
      <c r="AL702" s="174">
        <f>ROUND(IFERROR(AM702*E702,0),2)</f>
        <v/>
      </c>
      <c r="AM702" s="175">
        <f>ROUND(AJ702*(1+IF(offer_incoterms="DDP",IF((TODAY()+offer_turnaround_time)&gt;=helpsheet!$L$17,rate_vatRU_from_26,rate_vatRu_till_25),0)),2)</f>
        <v/>
      </c>
      <c r="AN702" s="192">
        <f>AL702-AK702</f>
        <v/>
      </c>
      <c r="AO702" s="76">
        <f>SUM(AY702,Y702:Z702,T702)*IF(AND(offer_incoterms="DDP",offer_sale_type&lt;&gt;"экспорт"),IF((TODAY()+offer_turnaround_time)&gt;=helpsheet!$L$17,rate_vatRU_from_26,rate_vatRu_till_25),0)</f>
        <v/>
      </c>
      <c r="AP702" s="193">
        <f>AN702-AO702</f>
        <v/>
      </c>
      <c r="AQ702" s="118">
        <f>IF(offer_sale_type="транзит",SUM(AF702:AI702,BA702,BB702),0)</f>
        <v/>
      </c>
      <c r="AR702" s="82">
        <f>HYPERLINK("https://www.alta.ru/tnved/code/")&amp;W702&amp;"/"</f>
        <v/>
      </c>
      <c r="AS702" s="157" t="n"/>
      <c r="AT702" s="162" t="n"/>
      <c r="AU702" s="76">
        <f>IF(ISBLANK(AT702),0,AJ702-AT702)</f>
        <v/>
      </c>
      <c r="AV702" s="157" t="n"/>
      <c r="AW702" s="75">
        <f>_xlfn.IFNA(VLOOKUP(L702,list_vat[],3,FALSE),0)</f>
        <v/>
      </c>
      <c r="AX702" s="76">
        <f>IFERROR(ROUND(S702*(1+AW702)/E702,2),0)</f>
        <v/>
      </c>
      <c r="AY702" s="76">
        <f>E702*AX702</f>
        <v/>
      </c>
      <c r="AZ702" s="192">
        <f>S702*(1+M702)</f>
        <v/>
      </c>
      <c r="BA702" s="76">
        <f>cost_fin_total*$BD702</f>
        <v/>
      </c>
      <c r="BB702" s="193">
        <f>credit_sales_interest*BD702</f>
        <v/>
      </c>
      <c r="BC702" s="102">
        <f>IFERROR(IF($I$13&gt;0,$I702/$I$13,$S702/$S$13),0)</f>
        <v/>
      </c>
      <c r="BD702" s="102">
        <f>IFERROR($S702/$S$13,0)</f>
        <v/>
      </c>
      <c r="BE702" s="413" t="inlineStr">
        <is>
          <t>$</t>
        </is>
      </c>
    </row>
    <row r="703" ht="12" customFormat="1" customHeight="1" s="65">
      <c r="A703" s="43" t="n">
        <v>688</v>
      </c>
      <c r="B703" s="166" t="n"/>
      <c r="C703" s="166" t="n"/>
      <c r="D703" s="166" t="n"/>
      <c r="E703" s="162" t="n"/>
      <c r="F703" s="166" t="n"/>
      <c r="G703" s="162" t="n"/>
      <c r="H703" s="162" t="n"/>
      <c r="I703" s="189">
        <f>E703*G703</f>
        <v/>
      </c>
      <c r="J703" s="195" t="n"/>
      <c r="K703" s="162" t="n"/>
      <c r="L703" s="168" t="n"/>
      <c r="M703" s="75">
        <f>_xlfn.XLOOKUP(L703,list_vat[Страна],list_vat[Ставка НДС %],0,0)</f>
        <v/>
      </c>
      <c r="N703" s="162">
        <f>IFERROR(IF(L703="Китай",K703,K703/(1+M703)),0)</f>
        <v/>
      </c>
      <c r="O703" s="169" t="n"/>
      <c r="P703" s="76">
        <f>N703*(1-O703)</f>
        <v/>
      </c>
      <c r="Q703" s="162" t="n"/>
      <c r="R703" s="162">
        <f>IF(ISBLANK(Q703),"введи курс",P703/Q703)</f>
        <v/>
      </c>
      <c r="S703" s="196">
        <f>IF(AND(ISNUMBER(E703),ISNUMBER(Q703)),E703*R703,0)</f>
        <v/>
      </c>
      <c r="T703" s="192">
        <f>$BC703*V$11</f>
        <v/>
      </c>
      <c r="U703" s="76">
        <f>$BC703*W$11</f>
        <v/>
      </c>
      <c r="V703" s="193">
        <f>+SUM(T703:U703)</f>
        <v/>
      </c>
      <c r="W703" s="191" t="n"/>
      <c r="X703" s="170" t="n"/>
      <c r="Y703" s="76">
        <f>ROUND(IF(offer_incoterms="DDP",X703*(S703*(1+AW703)+T703),0),2)</f>
        <v/>
      </c>
      <c r="Z703" s="188" t="n"/>
      <c r="AA703" s="192">
        <f>IFERROR(AB703/E703,0)</f>
        <v/>
      </c>
      <c r="AB703" s="76">
        <f>ROUND(SUM(S703,V703,Y703:Z703,BA703:BB703),2)</f>
        <v/>
      </c>
      <c r="AC703" s="797" t="n"/>
      <c r="AD703" s="192">
        <f t="array" ref="AD703">IFERROR(ROUND((_xlfn.IFS(offer_sale_type="поставка",AB703,offer_sale_type="транзит",S703)*(1+AC703))/E703,2),0)</f>
        <v/>
      </c>
      <c r="AE703" s="76">
        <f>AD703*E703</f>
        <v/>
      </c>
      <c r="AF703" s="193">
        <f t="array" ref="AF703">IFERROR(ROUND(_xlfn.IFS(offer_sale_type="поставка",AB703,offer_sale_type="транзит",S703)*AC703,2),0)</f>
        <v/>
      </c>
      <c r="AG703" s="192">
        <f>$BD703*VLOOKUP($AG$3,$AF$4:$AG$7,2,FALSE)</f>
        <v/>
      </c>
      <c r="AH703" s="76">
        <f>SUM(AE703,AG703,AI703)*rate_forex_risk</f>
        <v/>
      </c>
      <c r="AI703" s="193">
        <f>IF(OR(seller_region="TR",offer_sale_type="экспорт"),0,rate_fin_comm)*SUM(AZ703,AZ703*AW703,T703)</f>
        <v/>
      </c>
      <c r="AJ703" s="118">
        <f>IFERROR(ROUND(SUM(AB703,AF703:AI703)/E703,2),0)</f>
        <v/>
      </c>
      <c r="AK703" s="76">
        <f>AJ703*E703</f>
        <v/>
      </c>
      <c r="AL703" s="174">
        <f>ROUND(IFERROR(AM703*E703,0),2)</f>
        <v/>
      </c>
      <c r="AM703" s="175">
        <f>ROUND(AJ703*(1+IF(offer_incoterms="DDP",IF((TODAY()+offer_turnaround_time)&gt;=helpsheet!$L$17,rate_vatRU_from_26,rate_vatRu_till_25),0)),2)</f>
        <v/>
      </c>
      <c r="AN703" s="192">
        <f>AL703-AK703</f>
        <v/>
      </c>
      <c r="AO703" s="76">
        <f>SUM(AY703,Y703:Z703,T703)*IF(AND(offer_incoterms="DDP",offer_sale_type&lt;&gt;"экспорт"),IF((TODAY()+offer_turnaround_time)&gt;=helpsheet!$L$17,rate_vatRU_from_26,rate_vatRu_till_25),0)</f>
        <v/>
      </c>
      <c r="AP703" s="193">
        <f>AN703-AO703</f>
        <v/>
      </c>
      <c r="AQ703" s="118">
        <f>IF(offer_sale_type="транзит",SUM(AF703:AI703,BA703,BB703),0)</f>
        <v/>
      </c>
      <c r="AR703" s="82">
        <f>HYPERLINK("https://www.alta.ru/tnved/code/")&amp;W703&amp;"/"</f>
        <v/>
      </c>
      <c r="AS703" s="157" t="n"/>
      <c r="AT703" s="162" t="n"/>
      <c r="AU703" s="76">
        <f>IF(ISBLANK(AT703),0,AJ703-AT703)</f>
        <v/>
      </c>
      <c r="AV703" s="157" t="n"/>
      <c r="AW703" s="75">
        <f>_xlfn.IFNA(VLOOKUP(L703,list_vat[],3,FALSE),0)</f>
        <v/>
      </c>
      <c r="AX703" s="76">
        <f>IFERROR(ROUND(S703*(1+AW703)/E703,2),0)</f>
        <v/>
      </c>
      <c r="AY703" s="76">
        <f>E703*AX703</f>
        <v/>
      </c>
      <c r="AZ703" s="192">
        <f>S703*(1+M703)</f>
        <v/>
      </c>
      <c r="BA703" s="76">
        <f>cost_fin_total*$BD703</f>
        <v/>
      </c>
      <c r="BB703" s="193">
        <f>credit_sales_interest*BD703</f>
        <v/>
      </c>
      <c r="BC703" s="102">
        <f>IFERROR(IF($I$13&gt;0,$I703/$I$13,$S703/$S$13),0)</f>
        <v/>
      </c>
      <c r="BD703" s="102">
        <f>IFERROR($S703/$S$13,0)</f>
        <v/>
      </c>
      <c r="BE703" s="413" t="inlineStr">
        <is>
          <t>$</t>
        </is>
      </c>
    </row>
    <row r="704" ht="12" customFormat="1" customHeight="1" s="65">
      <c r="A704" s="43" t="n">
        <v>689</v>
      </c>
      <c r="B704" s="166" t="n"/>
      <c r="C704" s="166" t="n"/>
      <c r="D704" s="166" t="n"/>
      <c r="E704" s="162" t="n"/>
      <c r="F704" s="166" t="n"/>
      <c r="G704" s="162" t="n"/>
      <c r="H704" s="162" t="n"/>
      <c r="I704" s="189">
        <f>E704*G704</f>
        <v/>
      </c>
      <c r="J704" s="195" t="n"/>
      <c r="K704" s="162" t="n"/>
      <c r="L704" s="168" t="n"/>
      <c r="M704" s="75">
        <f>_xlfn.XLOOKUP(L704,list_vat[Страна],list_vat[Ставка НДС %],0,0)</f>
        <v/>
      </c>
      <c r="N704" s="162">
        <f>IFERROR(IF(L704="Китай",K704,K704/(1+M704)),0)</f>
        <v/>
      </c>
      <c r="O704" s="169" t="n"/>
      <c r="P704" s="76">
        <f>N704*(1-O704)</f>
        <v/>
      </c>
      <c r="Q704" s="162" t="n"/>
      <c r="R704" s="162">
        <f>IF(ISBLANK(Q704),"введи курс",P704/Q704)</f>
        <v/>
      </c>
      <c r="S704" s="196">
        <f>IF(AND(ISNUMBER(E704),ISNUMBER(Q704)),E704*R704,0)</f>
        <v/>
      </c>
      <c r="T704" s="192">
        <f>$BC704*V$11</f>
        <v/>
      </c>
      <c r="U704" s="76">
        <f>$BC704*W$11</f>
        <v/>
      </c>
      <c r="V704" s="193">
        <f>+SUM(T704:U704)</f>
        <v/>
      </c>
      <c r="W704" s="191" t="n"/>
      <c r="X704" s="170" t="n"/>
      <c r="Y704" s="76">
        <f>ROUND(IF(offer_incoterms="DDP",X704*(S704*(1+AW704)+T704),0),2)</f>
        <v/>
      </c>
      <c r="Z704" s="188" t="n"/>
      <c r="AA704" s="192">
        <f>IFERROR(AB704/E704,0)</f>
        <v/>
      </c>
      <c r="AB704" s="76">
        <f>ROUND(SUM(S704,V704,Y704:Z704,BA704:BB704),2)</f>
        <v/>
      </c>
      <c r="AC704" s="797" t="n"/>
      <c r="AD704" s="192">
        <f t="array" ref="AD704">IFERROR(ROUND((_xlfn.IFS(offer_sale_type="поставка",AB704,offer_sale_type="транзит",S704)*(1+AC704))/E704,2),0)</f>
        <v/>
      </c>
      <c r="AE704" s="76">
        <f>AD704*E704</f>
        <v/>
      </c>
      <c r="AF704" s="193">
        <f t="array" ref="AF704">IFERROR(ROUND(_xlfn.IFS(offer_sale_type="поставка",AB704,offer_sale_type="транзит",S704)*AC704,2),0)</f>
        <v/>
      </c>
      <c r="AG704" s="192">
        <f>$BD704*VLOOKUP($AG$3,$AF$4:$AG$7,2,FALSE)</f>
        <v/>
      </c>
      <c r="AH704" s="76">
        <f>SUM(AE704,AG704,AI704)*rate_forex_risk</f>
        <v/>
      </c>
      <c r="AI704" s="193">
        <f>IF(OR(seller_region="TR",offer_sale_type="экспорт"),0,rate_fin_comm)*SUM(AZ704,AZ704*AW704,T704)</f>
        <v/>
      </c>
      <c r="AJ704" s="118">
        <f>IFERROR(ROUND(SUM(AB704,AF704:AI704)/E704,2),0)</f>
        <v/>
      </c>
      <c r="AK704" s="76">
        <f>AJ704*E704</f>
        <v/>
      </c>
      <c r="AL704" s="174">
        <f>ROUND(IFERROR(AM704*E704,0),2)</f>
        <v/>
      </c>
      <c r="AM704" s="175">
        <f>ROUND(AJ704*(1+IF(offer_incoterms="DDP",IF((TODAY()+offer_turnaround_time)&gt;=helpsheet!$L$17,rate_vatRU_from_26,rate_vatRu_till_25),0)),2)</f>
        <v/>
      </c>
      <c r="AN704" s="192">
        <f>AL704-AK704</f>
        <v/>
      </c>
      <c r="AO704" s="76">
        <f>SUM(AY704,Y704:Z704,T704)*IF(AND(offer_incoterms="DDP",offer_sale_type&lt;&gt;"экспорт"),IF((TODAY()+offer_turnaround_time)&gt;=helpsheet!$L$17,rate_vatRU_from_26,rate_vatRu_till_25),0)</f>
        <v/>
      </c>
      <c r="AP704" s="193">
        <f>AN704-AO704</f>
        <v/>
      </c>
      <c r="AQ704" s="118">
        <f>IF(offer_sale_type="транзит",SUM(AF704:AI704,BA704,BB704),0)</f>
        <v/>
      </c>
      <c r="AR704" s="82">
        <f>HYPERLINK("https://www.alta.ru/tnved/code/")&amp;W704&amp;"/"</f>
        <v/>
      </c>
      <c r="AS704" s="157" t="n"/>
      <c r="AT704" s="162" t="n"/>
      <c r="AU704" s="76">
        <f>IF(ISBLANK(AT704),0,AJ704-AT704)</f>
        <v/>
      </c>
      <c r="AV704" s="157" t="n"/>
      <c r="AW704" s="75">
        <f>_xlfn.IFNA(VLOOKUP(L704,list_vat[],3,FALSE),0)</f>
        <v/>
      </c>
      <c r="AX704" s="76">
        <f>IFERROR(ROUND(S704*(1+AW704)/E704,2),0)</f>
        <v/>
      </c>
      <c r="AY704" s="76">
        <f>E704*AX704</f>
        <v/>
      </c>
      <c r="AZ704" s="192">
        <f>S704*(1+M704)</f>
        <v/>
      </c>
      <c r="BA704" s="76">
        <f>cost_fin_total*$BD704</f>
        <v/>
      </c>
      <c r="BB704" s="193">
        <f>credit_sales_interest*BD704</f>
        <v/>
      </c>
      <c r="BC704" s="102">
        <f>IFERROR(IF($I$13&gt;0,$I704/$I$13,$S704/$S$13),0)</f>
        <v/>
      </c>
      <c r="BD704" s="102">
        <f>IFERROR($S704/$S$13,0)</f>
        <v/>
      </c>
      <c r="BE704" s="413" t="inlineStr">
        <is>
          <t>$</t>
        </is>
      </c>
    </row>
    <row r="705" ht="12" customFormat="1" customHeight="1" s="65">
      <c r="A705" s="43" t="n">
        <v>690</v>
      </c>
      <c r="B705" s="166" t="n"/>
      <c r="C705" s="166" t="n"/>
      <c r="D705" s="166" t="n"/>
      <c r="E705" s="162" t="n"/>
      <c r="F705" s="166" t="n"/>
      <c r="G705" s="162" t="n"/>
      <c r="H705" s="162" t="n"/>
      <c r="I705" s="189">
        <f>E705*G705</f>
        <v/>
      </c>
      <c r="J705" s="195" t="n"/>
      <c r="K705" s="162" t="n"/>
      <c r="L705" s="168" t="n"/>
      <c r="M705" s="75">
        <f>_xlfn.XLOOKUP(L705,list_vat[Страна],list_vat[Ставка НДС %],0,0)</f>
        <v/>
      </c>
      <c r="N705" s="162">
        <f>IFERROR(IF(L705="Китай",K705,K705/(1+M705)),0)</f>
        <v/>
      </c>
      <c r="O705" s="169" t="n"/>
      <c r="P705" s="76">
        <f>N705*(1-O705)</f>
        <v/>
      </c>
      <c r="Q705" s="162" t="n"/>
      <c r="R705" s="162">
        <f>IF(ISBLANK(Q705),"введи курс",P705/Q705)</f>
        <v/>
      </c>
      <c r="S705" s="196">
        <f>IF(AND(ISNUMBER(E705),ISNUMBER(Q705)),E705*R705,0)</f>
        <v/>
      </c>
      <c r="T705" s="192">
        <f>$BC705*V$11</f>
        <v/>
      </c>
      <c r="U705" s="76">
        <f>$BC705*W$11</f>
        <v/>
      </c>
      <c r="V705" s="193">
        <f>+SUM(T705:U705)</f>
        <v/>
      </c>
      <c r="W705" s="191" t="n"/>
      <c r="X705" s="170" t="n"/>
      <c r="Y705" s="76">
        <f>ROUND(IF(offer_incoterms="DDP",X705*(S705*(1+AW705)+T705),0),2)</f>
        <v/>
      </c>
      <c r="Z705" s="188" t="n"/>
      <c r="AA705" s="192">
        <f>IFERROR(AB705/E705,0)</f>
        <v/>
      </c>
      <c r="AB705" s="76">
        <f>ROUND(SUM(S705,V705,Y705:Z705,BA705:BB705),2)</f>
        <v/>
      </c>
      <c r="AC705" s="797" t="n"/>
      <c r="AD705" s="192">
        <f t="array" ref="AD705">IFERROR(ROUND((_xlfn.IFS(offer_sale_type="поставка",AB705,offer_sale_type="транзит",S705)*(1+AC705))/E705,2),0)</f>
        <v/>
      </c>
      <c r="AE705" s="76">
        <f>AD705*E705</f>
        <v/>
      </c>
      <c r="AF705" s="193">
        <f t="array" ref="AF705">IFERROR(ROUND(_xlfn.IFS(offer_sale_type="поставка",AB705,offer_sale_type="транзит",S705)*AC705,2),0)</f>
        <v/>
      </c>
      <c r="AG705" s="192">
        <f>$BD705*VLOOKUP($AG$3,$AF$4:$AG$7,2,FALSE)</f>
        <v/>
      </c>
      <c r="AH705" s="76">
        <f>SUM(AE705,AG705,AI705)*rate_forex_risk</f>
        <v/>
      </c>
      <c r="AI705" s="193">
        <f>IF(OR(seller_region="TR",offer_sale_type="экспорт"),0,rate_fin_comm)*SUM(AZ705,AZ705*AW705,T705)</f>
        <v/>
      </c>
      <c r="AJ705" s="118">
        <f>IFERROR(ROUND(SUM(AB705,AF705:AI705)/E705,2),0)</f>
        <v/>
      </c>
      <c r="AK705" s="76">
        <f>AJ705*E705</f>
        <v/>
      </c>
      <c r="AL705" s="174">
        <f>ROUND(IFERROR(AM705*E705,0),2)</f>
        <v/>
      </c>
      <c r="AM705" s="175">
        <f>ROUND(AJ705*(1+IF(offer_incoterms="DDP",IF((TODAY()+offer_turnaround_time)&gt;=helpsheet!$L$17,rate_vatRU_from_26,rate_vatRu_till_25),0)),2)</f>
        <v/>
      </c>
      <c r="AN705" s="192">
        <f>AL705-AK705</f>
        <v/>
      </c>
      <c r="AO705" s="76">
        <f>SUM(AY705,Y705:Z705,T705)*IF(AND(offer_incoterms="DDP",offer_sale_type&lt;&gt;"экспорт"),IF((TODAY()+offer_turnaround_time)&gt;=helpsheet!$L$17,rate_vatRU_from_26,rate_vatRu_till_25),0)</f>
        <v/>
      </c>
      <c r="AP705" s="193">
        <f>AN705-AO705</f>
        <v/>
      </c>
      <c r="AQ705" s="118">
        <f>IF(offer_sale_type="транзит",SUM(AF705:AI705,BA705,BB705),0)</f>
        <v/>
      </c>
      <c r="AR705" s="82">
        <f>HYPERLINK("https://www.alta.ru/tnved/code/")&amp;W705&amp;"/"</f>
        <v/>
      </c>
      <c r="AS705" s="157" t="n"/>
      <c r="AT705" s="162" t="n"/>
      <c r="AU705" s="76">
        <f>IF(ISBLANK(AT705),0,AJ705-AT705)</f>
        <v/>
      </c>
      <c r="AV705" s="157" t="n"/>
      <c r="AW705" s="75">
        <f>_xlfn.IFNA(VLOOKUP(L705,list_vat[],3,FALSE),0)</f>
        <v/>
      </c>
      <c r="AX705" s="76">
        <f>IFERROR(ROUND(S705*(1+AW705)/E705,2),0)</f>
        <v/>
      </c>
      <c r="AY705" s="76">
        <f>E705*AX705</f>
        <v/>
      </c>
      <c r="AZ705" s="192">
        <f>S705*(1+M705)</f>
        <v/>
      </c>
      <c r="BA705" s="76">
        <f>cost_fin_total*$BD705</f>
        <v/>
      </c>
      <c r="BB705" s="193">
        <f>credit_sales_interest*BD705</f>
        <v/>
      </c>
      <c r="BC705" s="102">
        <f>IFERROR(IF($I$13&gt;0,$I705/$I$13,$S705/$S$13),0)</f>
        <v/>
      </c>
      <c r="BD705" s="102">
        <f>IFERROR($S705/$S$13,0)</f>
        <v/>
      </c>
      <c r="BE705" s="413" t="inlineStr">
        <is>
          <t>$</t>
        </is>
      </c>
    </row>
    <row r="706" ht="12" customFormat="1" customHeight="1" s="65">
      <c r="A706" s="43" t="n">
        <v>691</v>
      </c>
      <c r="B706" s="166" t="n"/>
      <c r="C706" s="166" t="n"/>
      <c r="D706" s="166" t="n"/>
      <c r="E706" s="162" t="n"/>
      <c r="F706" s="166" t="n"/>
      <c r="G706" s="162" t="n"/>
      <c r="H706" s="162" t="n"/>
      <c r="I706" s="189">
        <f>E706*G706</f>
        <v/>
      </c>
      <c r="J706" s="195" t="n"/>
      <c r="K706" s="162" t="n"/>
      <c r="L706" s="168" t="n"/>
      <c r="M706" s="75">
        <f>_xlfn.XLOOKUP(L706,list_vat[Страна],list_vat[Ставка НДС %],0,0)</f>
        <v/>
      </c>
      <c r="N706" s="162">
        <f>IFERROR(IF(L706="Китай",K706,K706/(1+M706)),0)</f>
        <v/>
      </c>
      <c r="O706" s="169" t="n"/>
      <c r="P706" s="76">
        <f>N706*(1-O706)</f>
        <v/>
      </c>
      <c r="Q706" s="162" t="n"/>
      <c r="R706" s="162">
        <f>IF(ISBLANK(Q706),"введи курс",P706/Q706)</f>
        <v/>
      </c>
      <c r="S706" s="196">
        <f>IF(AND(ISNUMBER(E706),ISNUMBER(Q706)),E706*R706,0)</f>
        <v/>
      </c>
      <c r="T706" s="192">
        <f>$BC706*V$11</f>
        <v/>
      </c>
      <c r="U706" s="76">
        <f>$BC706*W$11</f>
        <v/>
      </c>
      <c r="V706" s="193">
        <f>+SUM(T706:U706)</f>
        <v/>
      </c>
      <c r="W706" s="191" t="n"/>
      <c r="X706" s="170" t="n"/>
      <c r="Y706" s="76">
        <f>ROUND(IF(offer_incoterms="DDP",X706*(S706*(1+AW706)+T706),0),2)</f>
        <v/>
      </c>
      <c r="Z706" s="188" t="n"/>
      <c r="AA706" s="192">
        <f>IFERROR(AB706/E706,0)</f>
        <v/>
      </c>
      <c r="AB706" s="76">
        <f>ROUND(SUM(S706,V706,Y706:Z706,BA706:BB706),2)</f>
        <v/>
      </c>
      <c r="AC706" s="797" t="n"/>
      <c r="AD706" s="192">
        <f t="array" ref="AD706">IFERROR(ROUND((_xlfn.IFS(offer_sale_type="поставка",AB706,offer_sale_type="транзит",S706)*(1+AC706))/E706,2),0)</f>
        <v/>
      </c>
      <c r="AE706" s="76">
        <f>AD706*E706</f>
        <v/>
      </c>
      <c r="AF706" s="193">
        <f t="array" ref="AF706">IFERROR(ROUND(_xlfn.IFS(offer_sale_type="поставка",AB706,offer_sale_type="транзит",S706)*AC706,2),0)</f>
        <v/>
      </c>
      <c r="AG706" s="192">
        <f>$BD706*VLOOKUP($AG$3,$AF$4:$AG$7,2,FALSE)</f>
        <v/>
      </c>
      <c r="AH706" s="76">
        <f>SUM(AE706,AG706,AI706)*rate_forex_risk</f>
        <v/>
      </c>
      <c r="AI706" s="193">
        <f>IF(OR(seller_region="TR",offer_sale_type="экспорт"),0,rate_fin_comm)*SUM(AZ706,AZ706*AW706,T706)</f>
        <v/>
      </c>
      <c r="AJ706" s="118">
        <f>IFERROR(ROUND(SUM(AB706,AF706:AI706)/E706,2),0)</f>
        <v/>
      </c>
      <c r="AK706" s="76">
        <f>AJ706*E706</f>
        <v/>
      </c>
      <c r="AL706" s="174">
        <f>ROUND(IFERROR(AM706*E706,0),2)</f>
        <v/>
      </c>
      <c r="AM706" s="175">
        <f>ROUND(AJ706*(1+IF(offer_incoterms="DDP",IF((TODAY()+offer_turnaround_time)&gt;=helpsheet!$L$17,rate_vatRU_from_26,rate_vatRu_till_25),0)),2)</f>
        <v/>
      </c>
      <c r="AN706" s="192">
        <f>AL706-AK706</f>
        <v/>
      </c>
      <c r="AO706" s="76">
        <f>SUM(AY706,Y706:Z706,T706)*IF(AND(offer_incoterms="DDP",offer_sale_type&lt;&gt;"экспорт"),IF((TODAY()+offer_turnaround_time)&gt;=helpsheet!$L$17,rate_vatRU_from_26,rate_vatRu_till_25),0)</f>
        <v/>
      </c>
      <c r="AP706" s="193">
        <f>AN706-AO706</f>
        <v/>
      </c>
      <c r="AQ706" s="118">
        <f>IF(offer_sale_type="транзит",SUM(AF706:AI706,BA706,BB706),0)</f>
        <v/>
      </c>
      <c r="AR706" s="82">
        <f>HYPERLINK("https://www.alta.ru/tnved/code/")&amp;W706&amp;"/"</f>
        <v/>
      </c>
      <c r="AS706" s="157" t="n"/>
      <c r="AT706" s="162" t="n"/>
      <c r="AU706" s="76">
        <f>IF(ISBLANK(AT706),0,AJ706-AT706)</f>
        <v/>
      </c>
      <c r="AV706" s="157" t="n"/>
      <c r="AW706" s="75">
        <f>_xlfn.IFNA(VLOOKUP(L706,list_vat[],3,FALSE),0)</f>
        <v/>
      </c>
      <c r="AX706" s="76">
        <f>IFERROR(ROUND(S706*(1+AW706)/E706,2),0)</f>
        <v/>
      </c>
      <c r="AY706" s="76">
        <f>E706*AX706</f>
        <v/>
      </c>
      <c r="AZ706" s="192">
        <f>S706*(1+M706)</f>
        <v/>
      </c>
      <c r="BA706" s="76">
        <f>cost_fin_total*$BD706</f>
        <v/>
      </c>
      <c r="BB706" s="193">
        <f>credit_sales_interest*BD706</f>
        <v/>
      </c>
      <c r="BC706" s="102">
        <f>IFERROR(IF($I$13&gt;0,$I706/$I$13,$S706/$S$13),0)</f>
        <v/>
      </c>
      <c r="BD706" s="102">
        <f>IFERROR($S706/$S$13,0)</f>
        <v/>
      </c>
      <c r="BE706" s="413" t="inlineStr">
        <is>
          <t>$</t>
        </is>
      </c>
    </row>
    <row r="707" ht="12" customFormat="1" customHeight="1" s="65">
      <c r="A707" s="43" t="n">
        <v>692</v>
      </c>
      <c r="B707" s="166" t="n"/>
      <c r="C707" s="166" t="n"/>
      <c r="D707" s="166" t="n"/>
      <c r="E707" s="162" t="n"/>
      <c r="F707" s="166" t="n"/>
      <c r="G707" s="162" t="n"/>
      <c r="H707" s="162" t="n"/>
      <c r="I707" s="189">
        <f>E707*G707</f>
        <v/>
      </c>
      <c r="J707" s="195" t="n"/>
      <c r="K707" s="162" t="n"/>
      <c r="L707" s="168" t="n"/>
      <c r="M707" s="75">
        <f>_xlfn.XLOOKUP(L707,list_vat[Страна],list_vat[Ставка НДС %],0,0)</f>
        <v/>
      </c>
      <c r="N707" s="162">
        <f>IFERROR(IF(L707="Китай",K707,K707/(1+M707)),0)</f>
        <v/>
      </c>
      <c r="O707" s="169" t="n"/>
      <c r="P707" s="76">
        <f>N707*(1-O707)</f>
        <v/>
      </c>
      <c r="Q707" s="162" t="n"/>
      <c r="R707" s="162">
        <f>IF(ISBLANK(Q707),"введи курс",P707/Q707)</f>
        <v/>
      </c>
      <c r="S707" s="196">
        <f>IF(AND(ISNUMBER(E707),ISNUMBER(Q707)),E707*R707,0)</f>
        <v/>
      </c>
      <c r="T707" s="192">
        <f>$BC707*V$11</f>
        <v/>
      </c>
      <c r="U707" s="76">
        <f>$BC707*W$11</f>
        <v/>
      </c>
      <c r="V707" s="193">
        <f>+SUM(T707:U707)</f>
        <v/>
      </c>
      <c r="W707" s="191" t="n"/>
      <c r="X707" s="170" t="n"/>
      <c r="Y707" s="76">
        <f>ROUND(IF(offer_incoterms="DDP",X707*(S707*(1+AW707)+T707),0),2)</f>
        <v/>
      </c>
      <c r="Z707" s="188" t="n"/>
      <c r="AA707" s="192">
        <f>IFERROR(AB707/E707,0)</f>
        <v/>
      </c>
      <c r="AB707" s="76">
        <f>ROUND(SUM(S707,V707,Y707:Z707,BA707:BB707),2)</f>
        <v/>
      </c>
      <c r="AC707" s="797" t="n"/>
      <c r="AD707" s="192">
        <f t="array" ref="AD707">IFERROR(ROUND((_xlfn.IFS(offer_sale_type="поставка",AB707,offer_sale_type="транзит",S707)*(1+AC707))/E707,2),0)</f>
        <v/>
      </c>
      <c r="AE707" s="76">
        <f>AD707*E707</f>
        <v/>
      </c>
      <c r="AF707" s="193">
        <f t="array" ref="AF707">IFERROR(ROUND(_xlfn.IFS(offer_sale_type="поставка",AB707,offer_sale_type="транзит",S707)*AC707,2),0)</f>
        <v/>
      </c>
      <c r="AG707" s="192">
        <f>$BD707*VLOOKUP($AG$3,$AF$4:$AG$7,2,FALSE)</f>
        <v/>
      </c>
      <c r="AH707" s="76">
        <f>SUM(AE707,AG707,AI707)*rate_forex_risk</f>
        <v/>
      </c>
      <c r="AI707" s="193">
        <f>IF(OR(seller_region="TR",offer_sale_type="экспорт"),0,rate_fin_comm)*SUM(AZ707,AZ707*AW707,T707)</f>
        <v/>
      </c>
      <c r="AJ707" s="118">
        <f>IFERROR(ROUND(SUM(AB707,AF707:AI707)/E707,2),0)</f>
        <v/>
      </c>
      <c r="AK707" s="76">
        <f>AJ707*E707</f>
        <v/>
      </c>
      <c r="AL707" s="174">
        <f>ROUND(IFERROR(AM707*E707,0),2)</f>
        <v/>
      </c>
      <c r="AM707" s="175">
        <f>ROUND(AJ707*(1+IF(offer_incoterms="DDP",IF((TODAY()+offer_turnaround_time)&gt;=helpsheet!$L$17,rate_vatRU_from_26,rate_vatRu_till_25),0)),2)</f>
        <v/>
      </c>
      <c r="AN707" s="192">
        <f>AL707-AK707</f>
        <v/>
      </c>
      <c r="AO707" s="76">
        <f>SUM(AY707,Y707:Z707,T707)*IF(AND(offer_incoterms="DDP",offer_sale_type&lt;&gt;"экспорт"),IF((TODAY()+offer_turnaround_time)&gt;=helpsheet!$L$17,rate_vatRU_from_26,rate_vatRu_till_25),0)</f>
        <v/>
      </c>
      <c r="AP707" s="193">
        <f>AN707-AO707</f>
        <v/>
      </c>
      <c r="AQ707" s="118">
        <f>IF(offer_sale_type="транзит",SUM(AF707:AI707,BA707,BB707),0)</f>
        <v/>
      </c>
      <c r="AR707" s="82">
        <f>HYPERLINK("https://www.alta.ru/tnved/code/")&amp;W707&amp;"/"</f>
        <v/>
      </c>
      <c r="AS707" s="157" t="n"/>
      <c r="AT707" s="162" t="n"/>
      <c r="AU707" s="76">
        <f>IF(ISBLANK(AT707),0,AJ707-AT707)</f>
        <v/>
      </c>
      <c r="AV707" s="157" t="n"/>
      <c r="AW707" s="75">
        <f>_xlfn.IFNA(VLOOKUP(L707,list_vat[],3,FALSE),0)</f>
        <v/>
      </c>
      <c r="AX707" s="76">
        <f>IFERROR(ROUND(S707*(1+AW707)/E707,2),0)</f>
        <v/>
      </c>
      <c r="AY707" s="76">
        <f>E707*AX707</f>
        <v/>
      </c>
      <c r="AZ707" s="192">
        <f>S707*(1+M707)</f>
        <v/>
      </c>
      <c r="BA707" s="76">
        <f>cost_fin_total*$BD707</f>
        <v/>
      </c>
      <c r="BB707" s="193">
        <f>credit_sales_interest*BD707</f>
        <v/>
      </c>
      <c r="BC707" s="102">
        <f>IFERROR(IF($I$13&gt;0,$I707/$I$13,$S707/$S$13),0)</f>
        <v/>
      </c>
      <c r="BD707" s="102">
        <f>IFERROR($S707/$S$13,0)</f>
        <v/>
      </c>
      <c r="BE707" s="413" t="inlineStr">
        <is>
          <t>$</t>
        </is>
      </c>
    </row>
    <row r="708" ht="12" customFormat="1" customHeight="1" s="65">
      <c r="A708" s="43" t="n">
        <v>693</v>
      </c>
      <c r="B708" s="166" t="n"/>
      <c r="C708" s="166" t="n"/>
      <c r="D708" s="166" t="n"/>
      <c r="E708" s="162" t="n"/>
      <c r="F708" s="166" t="n"/>
      <c r="G708" s="162" t="n"/>
      <c r="H708" s="162" t="n"/>
      <c r="I708" s="189">
        <f>E708*G708</f>
        <v/>
      </c>
      <c r="J708" s="195" t="n"/>
      <c r="K708" s="162" t="n"/>
      <c r="L708" s="168" t="n"/>
      <c r="M708" s="75">
        <f>_xlfn.XLOOKUP(L708,list_vat[Страна],list_vat[Ставка НДС %],0,0)</f>
        <v/>
      </c>
      <c r="N708" s="162">
        <f>IFERROR(IF(L708="Китай",K708,K708/(1+M708)),0)</f>
        <v/>
      </c>
      <c r="O708" s="169" t="n"/>
      <c r="P708" s="76">
        <f>N708*(1-O708)</f>
        <v/>
      </c>
      <c r="Q708" s="162" t="n"/>
      <c r="R708" s="162">
        <f>IF(ISBLANK(Q708),"введи курс",P708/Q708)</f>
        <v/>
      </c>
      <c r="S708" s="196">
        <f>IF(AND(ISNUMBER(E708),ISNUMBER(Q708)),E708*R708,0)</f>
        <v/>
      </c>
      <c r="T708" s="192">
        <f>$BC708*V$11</f>
        <v/>
      </c>
      <c r="U708" s="76">
        <f>$BC708*W$11</f>
        <v/>
      </c>
      <c r="V708" s="193">
        <f>+SUM(T708:U708)</f>
        <v/>
      </c>
      <c r="W708" s="191" t="n"/>
      <c r="X708" s="170" t="n"/>
      <c r="Y708" s="76">
        <f>ROUND(IF(offer_incoterms="DDP",X708*(S708*(1+AW708)+T708),0),2)</f>
        <v/>
      </c>
      <c r="Z708" s="188" t="n"/>
      <c r="AA708" s="192">
        <f>IFERROR(AB708/E708,0)</f>
        <v/>
      </c>
      <c r="AB708" s="76">
        <f>ROUND(SUM(S708,V708,Y708:Z708,BA708:BB708),2)</f>
        <v/>
      </c>
      <c r="AC708" s="797" t="n"/>
      <c r="AD708" s="192">
        <f t="array" ref="AD708">IFERROR(ROUND((_xlfn.IFS(offer_sale_type="поставка",AB708,offer_sale_type="транзит",S708)*(1+AC708))/E708,2),0)</f>
        <v/>
      </c>
      <c r="AE708" s="76">
        <f>AD708*E708</f>
        <v/>
      </c>
      <c r="AF708" s="193">
        <f t="array" ref="AF708">IFERROR(ROUND(_xlfn.IFS(offer_sale_type="поставка",AB708,offer_sale_type="транзит",S708)*AC708,2),0)</f>
        <v/>
      </c>
      <c r="AG708" s="192">
        <f>$BD708*VLOOKUP($AG$3,$AF$4:$AG$7,2,FALSE)</f>
        <v/>
      </c>
      <c r="AH708" s="76">
        <f>SUM(AE708,AG708,AI708)*rate_forex_risk</f>
        <v/>
      </c>
      <c r="AI708" s="193">
        <f>IF(OR(seller_region="TR",offer_sale_type="экспорт"),0,rate_fin_comm)*SUM(AZ708,AZ708*AW708,T708)</f>
        <v/>
      </c>
      <c r="AJ708" s="118">
        <f>IFERROR(ROUND(SUM(AB708,AF708:AI708)/E708,2),0)</f>
        <v/>
      </c>
      <c r="AK708" s="76">
        <f>AJ708*E708</f>
        <v/>
      </c>
      <c r="AL708" s="174">
        <f>ROUND(IFERROR(AM708*E708,0),2)</f>
        <v/>
      </c>
      <c r="AM708" s="175">
        <f>ROUND(AJ708*(1+IF(offer_incoterms="DDP",IF((TODAY()+offer_turnaround_time)&gt;=helpsheet!$L$17,rate_vatRU_from_26,rate_vatRu_till_25),0)),2)</f>
        <v/>
      </c>
      <c r="AN708" s="192">
        <f>AL708-AK708</f>
        <v/>
      </c>
      <c r="AO708" s="76">
        <f>SUM(AY708,Y708:Z708,T708)*IF(AND(offer_incoterms="DDP",offer_sale_type&lt;&gt;"экспорт"),IF((TODAY()+offer_turnaround_time)&gt;=helpsheet!$L$17,rate_vatRU_from_26,rate_vatRu_till_25),0)</f>
        <v/>
      </c>
      <c r="AP708" s="193">
        <f>AN708-AO708</f>
        <v/>
      </c>
      <c r="AQ708" s="118">
        <f>IF(offer_sale_type="транзит",SUM(AF708:AI708,BA708,BB708),0)</f>
        <v/>
      </c>
      <c r="AR708" s="82">
        <f>HYPERLINK("https://www.alta.ru/tnved/code/")&amp;W708&amp;"/"</f>
        <v/>
      </c>
      <c r="AS708" s="157" t="n"/>
      <c r="AT708" s="162" t="n"/>
      <c r="AU708" s="76">
        <f>IF(ISBLANK(AT708),0,AJ708-AT708)</f>
        <v/>
      </c>
      <c r="AV708" s="157" t="n"/>
      <c r="AW708" s="75">
        <f>_xlfn.IFNA(VLOOKUP(L708,list_vat[],3,FALSE),0)</f>
        <v/>
      </c>
      <c r="AX708" s="76">
        <f>IFERROR(ROUND(S708*(1+AW708)/E708,2),0)</f>
        <v/>
      </c>
      <c r="AY708" s="76">
        <f>E708*AX708</f>
        <v/>
      </c>
      <c r="AZ708" s="192">
        <f>S708*(1+M708)</f>
        <v/>
      </c>
      <c r="BA708" s="76">
        <f>cost_fin_total*$BD708</f>
        <v/>
      </c>
      <c r="BB708" s="193">
        <f>credit_sales_interest*BD708</f>
        <v/>
      </c>
      <c r="BC708" s="102">
        <f>IFERROR(IF($I$13&gt;0,$I708/$I$13,$S708/$S$13),0)</f>
        <v/>
      </c>
      <c r="BD708" s="102">
        <f>IFERROR($S708/$S$13,0)</f>
        <v/>
      </c>
      <c r="BE708" s="413" t="inlineStr">
        <is>
          <t>$</t>
        </is>
      </c>
    </row>
    <row r="709" ht="12" customFormat="1" customHeight="1" s="65">
      <c r="A709" s="43" t="n">
        <v>694</v>
      </c>
      <c r="B709" s="166" t="n"/>
      <c r="C709" s="166" t="n"/>
      <c r="D709" s="166" t="n"/>
      <c r="E709" s="162" t="n"/>
      <c r="F709" s="166" t="n"/>
      <c r="G709" s="162" t="n"/>
      <c r="H709" s="162" t="n"/>
      <c r="I709" s="189">
        <f>E709*G709</f>
        <v/>
      </c>
      <c r="J709" s="195" t="n"/>
      <c r="K709" s="162" t="n"/>
      <c r="L709" s="168" t="n"/>
      <c r="M709" s="75">
        <f>_xlfn.XLOOKUP(L709,list_vat[Страна],list_vat[Ставка НДС %],0,0)</f>
        <v/>
      </c>
      <c r="N709" s="162">
        <f>IFERROR(IF(L709="Китай",K709,K709/(1+M709)),0)</f>
        <v/>
      </c>
      <c r="O709" s="169" t="n"/>
      <c r="P709" s="76">
        <f>N709*(1-O709)</f>
        <v/>
      </c>
      <c r="Q709" s="162" t="n"/>
      <c r="R709" s="162">
        <f>IF(ISBLANK(Q709),"введи курс",P709/Q709)</f>
        <v/>
      </c>
      <c r="S709" s="196">
        <f>IF(AND(ISNUMBER(E709),ISNUMBER(Q709)),E709*R709,0)</f>
        <v/>
      </c>
      <c r="T709" s="192">
        <f>$BC709*V$11</f>
        <v/>
      </c>
      <c r="U709" s="76">
        <f>$BC709*W$11</f>
        <v/>
      </c>
      <c r="V709" s="193">
        <f>+SUM(T709:U709)</f>
        <v/>
      </c>
      <c r="W709" s="191" t="n"/>
      <c r="X709" s="170" t="n"/>
      <c r="Y709" s="76">
        <f>ROUND(IF(offer_incoterms="DDP",X709*(S709*(1+AW709)+T709),0),2)</f>
        <v/>
      </c>
      <c r="Z709" s="188" t="n"/>
      <c r="AA709" s="192">
        <f>IFERROR(AB709/E709,0)</f>
        <v/>
      </c>
      <c r="AB709" s="76">
        <f>ROUND(SUM(S709,V709,Y709:Z709,BA709:BB709),2)</f>
        <v/>
      </c>
      <c r="AC709" s="797" t="n"/>
      <c r="AD709" s="192">
        <f t="array" ref="AD709">IFERROR(ROUND((_xlfn.IFS(offer_sale_type="поставка",AB709,offer_sale_type="транзит",S709)*(1+AC709))/E709,2),0)</f>
        <v/>
      </c>
      <c r="AE709" s="76">
        <f>AD709*E709</f>
        <v/>
      </c>
      <c r="AF709" s="193">
        <f t="array" ref="AF709">IFERROR(ROUND(_xlfn.IFS(offer_sale_type="поставка",AB709,offer_sale_type="транзит",S709)*AC709,2),0)</f>
        <v/>
      </c>
      <c r="AG709" s="192">
        <f>$BD709*VLOOKUP($AG$3,$AF$4:$AG$7,2,FALSE)</f>
        <v/>
      </c>
      <c r="AH709" s="76">
        <f>SUM(AE709,AG709,AI709)*rate_forex_risk</f>
        <v/>
      </c>
      <c r="AI709" s="193">
        <f>IF(OR(seller_region="TR",offer_sale_type="экспорт"),0,rate_fin_comm)*SUM(AZ709,AZ709*AW709,T709)</f>
        <v/>
      </c>
      <c r="AJ709" s="118">
        <f>IFERROR(ROUND(SUM(AB709,AF709:AI709)/E709,2),0)</f>
        <v/>
      </c>
      <c r="AK709" s="76">
        <f>AJ709*E709</f>
        <v/>
      </c>
      <c r="AL709" s="174">
        <f>ROUND(IFERROR(AM709*E709,0),2)</f>
        <v/>
      </c>
      <c r="AM709" s="175">
        <f>ROUND(AJ709*(1+IF(offer_incoterms="DDP",IF((TODAY()+offer_turnaround_time)&gt;=helpsheet!$L$17,rate_vatRU_from_26,rate_vatRu_till_25),0)),2)</f>
        <v/>
      </c>
      <c r="AN709" s="192">
        <f>AL709-AK709</f>
        <v/>
      </c>
      <c r="AO709" s="76">
        <f>SUM(AY709,Y709:Z709,T709)*IF(AND(offer_incoterms="DDP",offer_sale_type&lt;&gt;"экспорт"),IF((TODAY()+offer_turnaround_time)&gt;=helpsheet!$L$17,rate_vatRU_from_26,rate_vatRu_till_25),0)</f>
        <v/>
      </c>
      <c r="AP709" s="193">
        <f>AN709-AO709</f>
        <v/>
      </c>
      <c r="AQ709" s="118">
        <f>IF(offer_sale_type="транзит",SUM(AF709:AI709,BA709,BB709),0)</f>
        <v/>
      </c>
      <c r="AR709" s="82">
        <f>HYPERLINK("https://www.alta.ru/tnved/code/")&amp;W709&amp;"/"</f>
        <v/>
      </c>
      <c r="AS709" s="157" t="n"/>
      <c r="AT709" s="162" t="n"/>
      <c r="AU709" s="76">
        <f>IF(ISBLANK(AT709),0,AJ709-AT709)</f>
        <v/>
      </c>
      <c r="AV709" s="157" t="n"/>
      <c r="AW709" s="75">
        <f>_xlfn.IFNA(VLOOKUP(L709,list_vat[],3,FALSE),0)</f>
        <v/>
      </c>
      <c r="AX709" s="76">
        <f>IFERROR(ROUND(S709*(1+AW709)/E709,2),0)</f>
        <v/>
      </c>
      <c r="AY709" s="76">
        <f>E709*AX709</f>
        <v/>
      </c>
      <c r="AZ709" s="192">
        <f>S709*(1+M709)</f>
        <v/>
      </c>
      <c r="BA709" s="76">
        <f>cost_fin_total*$BD709</f>
        <v/>
      </c>
      <c r="BB709" s="193">
        <f>credit_sales_interest*BD709</f>
        <v/>
      </c>
      <c r="BC709" s="102">
        <f>IFERROR(IF($I$13&gt;0,$I709/$I$13,$S709/$S$13),0)</f>
        <v/>
      </c>
      <c r="BD709" s="102">
        <f>IFERROR($S709/$S$13,0)</f>
        <v/>
      </c>
      <c r="BE709" s="413" t="inlineStr">
        <is>
          <t>$</t>
        </is>
      </c>
    </row>
    <row r="710" ht="12" customFormat="1" customHeight="1" s="65">
      <c r="A710" s="43" t="n">
        <v>695</v>
      </c>
      <c r="B710" s="166" t="n"/>
      <c r="C710" s="166" t="n"/>
      <c r="D710" s="166" t="n"/>
      <c r="E710" s="162" t="n"/>
      <c r="F710" s="166" t="n"/>
      <c r="G710" s="162" t="n"/>
      <c r="H710" s="162" t="n"/>
      <c r="I710" s="189">
        <f>E710*G710</f>
        <v/>
      </c>
      <c r="J710" s="195" t="n"/>
      <c r="K710" s="162" t="n"/>
      <c r="L710" s="168" t="n"/>
      <c r="M710" s="75">
        <f>_xlfn.XLOOKUP(L710,list_vat[Страна],list_vat[Ставка НДС %],0,0)</f>
        <v/>
      </c>
      <c r="N710" s="162">
        <f>IFERROR(IF(L710="Китай",K710,K710/(1+M710)),0)</f>
        <v/>
      </c>
      <c r="O710" s="169" t="n"/>
      <c r="P710" s="76">
        <f>N710*(1-O710)</f>
        <v/>
      </c>
      <c r="Q710" s="162" t="n"/>
      <c r="R710" s="162">
        <f>IF(ISBLANK(Q710),"введи курс",P710/Q710)</f>
        <v/>
      </c>
      <c r="S710" s="196">
        <f>IF(AND(ISNUMBER(E710),ISNUMBER(Q710)),E710*R710,0)</f>
        <v/>
      </c>
      <c r="T710" s="192">
        <f>$BC710*V$11</f>
        <v/>
      </c>
      <c r="U710" s="76">
        <f>$BC710*W$11</f>
        <v/>
      </c>
      <c r="V710" s="193">
        <f>+SUM(T710:U710)</f>
        <v/>
      </c>
      <c r="W710" s="191" t="n"/>
      <c r="X710" s="170" t="n"/>
      <c r="Y710" s="76">
        <f>ROUND(IF(offer_incoterms="DDP",X710*(S710*(1+AW710)+T710),0),2)</f>
        <v/>
      </c>
      <c r="Z710" s="188" t="n"/>
      <c r="AA710" s="192">
        <f>IFERROR(AB710/E710,0)</f>
        <v/>
      </c>
      <c r="AB710" s="76">
        <f>ROUND(SUM(S710,V710,Y710:Z710,BA710:BB710),2)</f>
        <v/>
      </c>
      <c r="AC710" s="797" t="n"/>
      <c r="AD710" s="192">
        <f t="array" ref="AD710">IFERROR(ROUND((_xlfn.IFS(offer_sale_type="поставка",AB710,offer_sale_type="транзит",S710)*(1+AC710))/E710,2),0)</f>
        <v/>
      </c>
      <c r="AE710" s="76">
        <f>AD710*E710</f>
        <v/>
      </c>
      <c r="AF710" s="193">
        <f t="array" ref="AF710">IFERROR(ROUND(_xlfn.IFS(offer_sale_type="поставка",AB710,offer_sale_type="транзит",S710)*AC710,2),0)</f>
        <v/>
      </c>
      <c r="AG710" s="192">
        <f>$BD710*VLOOKUP($AG$3,$AF$4:$AG$7,2,FALSE)</f>
        <v/>
      </c>
      <c r="AH710" s="76">
        <f>SUM(AE710,AG710,AI710)*rate_forex_risk</f>
        <v/>
      </c>
      <c r="AI710" s="193">
        <f>IF(OR(seller_region="TR",offer_sale_type="экспорт"),0,rate_fin_comm)*SUM(AZ710,AZ710*AW710,T710)</f>
        <v/>
      </c>
      <c r="AJ710" s="118">
        <f>IFERROR(ROUND(SUM(AB710,AF710:AI710)/E710,2),0)</f>
        <v/>
      </c>
      <c r="AK710" s="76">
        <f>AJ710*E710</f>
        <v/>
      </c>
      <c r="AL710" s="174">
        <f>ROUND(IFERROR(AM710*E710,0),2)</f>
        <v/>
      </c>
      <c r="AM710" s="175">
        <f>ROUND(AJ710*(1+IF(offer_incoterms="DDP",IF((TODAY()+offer_turnaround_time)&gt;=helpsheet!$L$17,rate_vatRU_from_26,rate_vatRu_till_25),0)),2)</f>
        <v/>
      </c>
      <c r="AN710" s="192">
        <f>AL710-AK710</f>
        <v/>
      </c>
      <c r="AO710" s="76">
        <f>SUM(AY710,Y710:Z710,T710)*IF(AND(offer_incoterms="DDP",offer_sale_type&lt;&gt;"экспорт"),IF((TODAY()+offer_turnaround_time)&gt;=helpsheet!$L$17,rate_vatRU_from_26,rate_vatRu_till_25),0)</f>
        <v/>
      </c>
      <c r="AP710" s="193">
        <f>AN710-AO710</f>
        <v/>
      </c>
      <c r="AQ710" s="118">
        <f>IF(offer_sale_type="транзит",SUM(AF710:AI710,BA710,BB710),0)</f>
        <v/>
      </c>
      <c r="AR710" s="82">
        <f>HYPERLINK("https://www.alta.ru/tnved/code/")&amp;W710&amp;"/"</f>
        <v/>
      </c>
      <c r="AS710" s="157" t="n"/>
      <c r="AT710" s="162" t="n"/>
      <c r="AU710" s="76">
        <f>IF(ISBLANK(AT710),0,AJ710-AT710)</f>
        <v/>
      </c>
      <c r="AV710" s="157" t="n"/>
      <c r="AW710" s="75">
        <f>_xlfn.IFNA(VLOOKUP(L710,list_vat[],3,FALSE),0)</f>
        <v/>
      </c>
      <c r="AX710" s="76">
        <f>IFERROR(ROUND(S710*(1+AW710)/E710,2),0)</f>
        <v/>
      </c>
      <c r="AY710" s="76">
        <f>E710*AX710</f>
        <v/>
      </c>
      <c r="AZ710" s="192">
        <f>S710*(1+M710)</f>
        <v/>
      </c>
      <c r="BA710" s="76">
        <f>cost_fin_total*$BD710</f>
        <v/>
      </c>
      <c r="BB710" s="193">
        <f>credit_sales_interest*BD710</f>
        <v/>
      </c>
      <c r="BC710" s="102">
        <f>IFERROR(IF($I$13&gt;0,$I710/$I$13,$S710/$S$13),0)</f>
        <v/>
      </c>
      <c r="BD710" s="102">
        <f>IFERROR($S710/$S$13,0)</f>
        <v/>
      </c>
      <c r="BE710" s="413" t="inlineStr">
        <is>
          <t>$</t>
        </is>
      </c>
    </row>
    <row r="711" ht="12" customFormat="1" customHeight="1" s="65">
      <c r="A711" s="43" t="n">
        <v>696</v>
      </c>
      <c r="B711" s="166" t="n"/>
      <c r="C711" s="166" t="n"/>
      <c r="D711" s="166" t="n"/>
      <c r="E711" s="162" t="n"/>
      <c r="F711" s="166" t="n"/>
      <c r="G711" s="162" t="n"/>
      <c r="H711" s="162" t="n"/>
      <c r="I711" s="189">
        <f>E711*G711</f>
        <v/>
      </c>
      <c r="J711" s="195" t="n"/>
      <c r="K711" s="162" t="n"/>
      <c r="L711" s="168" t="n"/>
      <c r="M711" s="75">
        <f>_xlfn.XLOOKUP(L711,list_vat[Страна],list_vat[Ставка НДС %],0,0)</f>
        <v/>
      </c>
      <c r="N711" s="162">
        <f>IFERROR(IF(L711="Китай",K711,K711/(1+M711)),0)</f>
        <v/>
      </c>
      <c r="O711" s="169" t="n"/>
      <c r="P711" s="76">
        <f>N711*(1-O711)</f>
        <v/>
      </c>
      <c r="Q711" s="162" t="n"/>
      <c r="R711" s="162">
        <f>IF(ISBLANK(Q711),"введи курс",P711/Q711)</f>
        <v/>
      </c>
      <c r="S711" s="196">
        <f>IF(AND(ISNUMBER(E711),ISNUMBER(Q711)),E711*R711,0)</f>
        <v/>
      </c>
      <c r="T711" s="192">
        <f>$BC711*V$11</f>
        <v/>
      </c>
      <c r="U711" s="76">
        <f>$BC711*W$11</f>
        <v/>
      </c>
      <c r="V711" s="193">
        <f>+SUM(T711:U711)</f>
        <v/>
      </c>
      <c r="W711" s="191" t="n"/>
      <c r="X711" s="170" t="n"/>
      <c r="Y711" s="76">
        <f>ROUND(IF(offer_incoterms="DDP",X711*(S711*(1+AW711)+T711),0),2)</f>
        <v/>
      </c>
      <c r="Z711" s="188" t="n"/>
      <c r="AA711" s="192">
        <f>IFERROR(AB711/E711,0)</f>
        <v/>
      </c>
      <c r="AB711" s="76">
        <f>ROUND(SUM(S711,V711,Y711:Z711,BA711:BB711),2)</f>
        <v/>
      </c>
      <c r="AC711" s="797" t="n"/>
      <c r="AD711" s="192">
        <f t="array" ref="AD711">IFERROR(ROUND((_xlfn.IFS(offer_sale_type="поставка",AB711,offer_sale_type="транзит",S711)*(1+AC711))/E711,2),0)</f>
        <v/>
      </c>
      <c r="AE711" s="76">
        <f>AD711*E711</f>
        <v/>
      </c>
      <c r="AF711" s="193">
        <f t="array" ref="AF711">IFERROR(ROUND(_xlfn.IFS(offer_sale_type="поставка",AB711,offer_sale_type="транзит",S711)*AC711,2),0)</f>
        <v/>
      </c>
      <c r="AG711" s="192">
        <f>$BD711*VLOOKUP($AG$3,$AF$4:$AG$7,2,FALSE)</f>
        <v/>
      </c>
      <c r="AH711" s="76">
        <f>SUM(AE711,AG711,AI711)*rate_forex_risk</f>
        <v/>
      </c>
      <c r="AI711" s="193">
        <f>IF(OR(seller_region="TR",offer_sale_type="экспорт"),0,rate_fin_comm)*SUM(AZ711,AZ711*AW711,T711)</f>
        <v/>
      </c>
      <c r="AJ711" s="118">
        <f>IFERROR(ROUND(SUM(AB711,AF711:AI711)/E711,2),0)</f>
        <v/>
      </c>
      <c r="AK711" s="76">
        <f>AJ711*E711</f>
        <v/>
      </c>
      <c r="AL711" s="174">
        <f>ROUND(IFERROR(AM711*E711,0),2)</f>
        <v/>
      </c>
      <c r="AM711" s="175">
        <f>ROUND(AJ711*(1+IF(offer_incoterms="DDP",IF((TODAY()+offer_turnaround_time)&gt;=helpsheet!$L$17,rate_vatRU_from_26,rate_vatRu_till_25),0)),2)</f>
        <v/>
      </c>
      <c r="AN711" s="192">
        <f>AL711-AK711</f>
        <v/>
      </c>
      <c r="AO711" s="76">
        <f>SUM(AY711,Y711:Z711,T711)*IF(AND(offer_incoterms="DDP",offer_sale_type&lt;&gt;"экспорт"),IF((TODAY()+offer_turnaround_time)&gt;=helpsheet!$L$17,rate_vatRU_from_26,rate_vatRu_till_25),0)</f>
        <v/>
      </c>
      <c r="AP711" s="193">
        <f>AN711-AO711</f>
        <v/>
      </c>
      <c r="AQ711" s="118">
        <f>IF(offer_sale_type="транзит",SUM(AF711:AI711,BA711,BB711),0)</f>
        <v/>
      </c>
      <c r="AR711" s="82">
        <f>HYPERLINK("https://www.alta.ru/tnved/code/")&amp;W711&amp;"/"</f>
        <v/>
      </c>
      <c r="AS711" s="157" t="n"/>
      <c r="AT711" s="162" t="n"/>
      <c r="AU711" s="76">
        <f>IF(ISBLANK(AT711),0,AJ711-AT711)</f>
        <v/>
      </c>
      <c r="AV711" s="157" t="n"/>
      <c r="AW711" s="75">
        <f>_xlfn.IFNA(VLOOKUP(L711,list_vat[],3,FALSE),0)</f>
        <v/>
      </c>
      <c r="AX711" s="76">
        <f>IFERROR(ROUND(S711*(1+AW711)/E711,2),0)</f>
        <v/>
      </c>
      <c r="AY711" s="76">
        <f>E711*AX711</f>
        <v/>
      </c>
      <c r="AZ711" s="192">
        <f>S711*(1+M711)</f>
        <v/>
      </c>
      <c r="BA711" s="76">
        <f>cost_fin_total*$BD711</f>
        <v/>
      </c>
      <c r="BB711" s="193">
        <f>credit_sales_interest*BD711</f>
        <v/>
      </c>
      <c r="BC711" s="102">
        <f>IFERROR(IF($I$13&gt;0,$I711/$I$13,$S711/$S$13),0)</f>
        <v/>
      </c>
      <c r="BD711" s="102">
        <f>IFERROR($S711/$S$13,0)</f>
        <v/>
      </c>
      <c r="BE711" s="413" t="inlineStr">
        <is>
          <t>$</t>
        </is>
      </c>
    </row>
    <row r="712" ht="12" customFormat="1" customHeight="1" s="65">
      <c r="A712" s="43" t="n">
        <v>697</v>
      </c>
      <c r="B712" s="166" t="n"/>
      <c r="C712" s="166" t="n"/>
      <c r="D712" s="166" t="n"/>
      <c r="E712" s="162" t="n"/>
      <c r="F712" s="166" t="n"/>
      <c r="G712" s="162" t="n"/>
      <c r="H712" s="162" t="n"/>
      <c r="I712" s="189">
        <f>E712*G712</f>
        <v/>
      </c>
      <c r="J712" s="195" t="n"/>
      <c r="K712" s="162" t="n"/>
      <c r="L712" s="168" t="n"/>
      <c r="M712" s="75">
        <f>_xlfn.XLOOKUP(L712,list_vat[Страна],list_vat[Ставка НДС %],0,0)</f>
        <v/>
      </c>
      <c r="N712" s="162">
        <f>IFERROR(IF(L712="Китай",K712,K712/(1+M712)),0)</f>
        <v/>
      </c>
      <c r="O712" s="169" t="n"/>
      <c r="P712" s="76">
        <f>N712*(1-O712)</f>
        <v/>
      </c>
      <c r="Q712" s="162" t="n"/>
      <c r="R712" s="162">
        <f>IF(ISBLANK(Q712),"введи курс",P712/Q712)</f>
        <v/>
      </c>
      <c r="S712" s="196">
        <f>IF(AND(ISNUMBER(E712),ISNUMBER(Q712)),E712*R712,0)</f>
        <v/>
      </c>
      <c r="T712" s="192">
        <f>$BC712*V$11</f>
        <v/>
      </c>
      <c r="U712" s="76">
        <f>$BC712*W$11</f>
        <v/>
      </c>
      <c r="V712" s="193">
        <f>+SUM(T712:U712)</f>
        <v/>
      </c>
      <c r="W712" s="191" t="n"/>
      <c r="X712" s="170" t="n"/>
      <c r="Y712" s="76">
        <f>ROUND(IF(offer_incoterms="DDP",X712*(S712*(1+AW712)+T712),0),2)</f>
        <v/>
      </c>
      <c r="Z712" s="188" t="n"/>
      <c r="AA712" s="192">
        <f>IFERROR(AB712/E712,0)</f>
        <v/>
      </c>
      <c r="AB712" s="76">
        <f>ROUND(SUM(S712,V712,Y712:Z712,BA712:BB712),2)</f>
        <v/>
      </c>
      <c r="AC712" s="797" t="n"/>
      <c r="AD712" s="192">
        <f t="array" ref="AD712">IFERROR(ROUND((_xlfn.IFS(offer_sale_type="поставка",AB712,offer_sale_type="транзит",S712)*(1+AC712))/E712,2),0)</f>
        <v/>
      </c>
      <c r="AE712" s="76">
        <f>AD712*E712</f>
        <v/>
      </c>
      <c r="AF712" s="193">
        <f t="array" ref="AF712">IFERROR(ROUND(_xlfn.IFS(offer_sale_type="поставка",AB712,offer_sale_type="транзит",S712)*AC712,2),0)</f>
        <v/>
      </c>
      <c r="AG712" s="192">
        <f>$BD712*VLOOKUP($AG$3,$AF$4:$AG$7,2,FALSE)</f>
        <v/>
      </c>
      <c r="AH712" s="76">
        <f>SUM(AE712,AG712,AI712)*rate_forex_risk</f>
        <v/>
      </c>
      <c r="AI712" s="193">
        <f>IF(OR(seller_region="TR",offer_sale_type="экспорт"),0,rate_fin_comm)*SUM(AZ712,AZ712*AW712,T712)</f>
        <v/>
      </c>
      <c r="AJ712" s="118">
        <f>IFERROR(ROUND(SUM(AB712,AF712:AI712)/E712,2),0)</f>
        <v/>
      </c>
      <c r="AK712" s="76">
        <f>AJ712*E712</f>
        <v/>
      </c>
      <c r="AL712" s="174">
        <f>ROUND(IFERROR(AM712*E712,0),2)</f>
        <v/>
      </c>
      <c r="AM712" s="175">
        <f>ROUND(AJ712*(1+IF(offer_incoterms="DDP",IF((TODAY()+offer_turnaround_time)&gt;=helpsheet!$L$17,rate_vatRU_from_26,rate_vatRu_till_25),0)),2)</f>
        <v/>
      </c>
      <c r="AN712" s="192">
        <f>AL712-AK712</f>
        <v/>
      </c>
      <c r="AO712" s="76">
        <f>SUM(AY712,Y712:Z712,T712)*IF(AND(offer_incoterms="DDP",offer_sale_type&lt;&gt;"экспорт"),IF((TODAY()+offer_turnaround_time)&gt;=helpsheet!$L$17,rate_vatRU_from_26,rate_vatRu_till_25),0)</f>
        <v/>
      </c>
      <c r="AP712" s="193">
        <f>AN712-AO712</f>
        <v/>
      </c>
      <c r="AQ712" s="118">
        <f>IF(offer_sale_type="транзит",SUM(AF712:AI712,BA712,BB712),0)</f>
        <v/>
      </c>
      <c r="AR712" s="82">
        <f>HYPERLINK("https://www.alta.ru/tnved/code/")&amp;W712&amp;"/"</f>
        <v/>
      </c>
      <c r="AS712" s="157" t="n"/>
      <c r="AT712" s="162" t="n"/>
      <c r="AU712" s="76">
        <f>IF(ISBLANK(AT712),0,AJ712-AT712)</f>
        <v/>
      </c>
      <c r="AV712" s="157" t="n"/>
      <c r="AW712" s="75">
        <f>_xlfn.IFNA(VLOOKUP(L712,list_vat[],3,FALSE),0)</f>
        <v/>
      </c>
      <c r="AX712" s="76">
        <f>IFERROR(ROUND(S712*(1+AW712)/E712,2),0)</f>
        <v/>
      </c>
      <c r="AY712" s="76">
        <f>E712*AX712</f>
        <v/>
      </c>
      <c r="AZ712" s="192">
        <f>S712*(1+M712)</f>
        <v/>
      </c>
      <c r="BA712" s="76">
        <f>cost_fin_total*$BD712</f>
        <v/>
      </c>
      <c r="BB712" s="193">
        <f>credit_sales_interest*BD712</f>
        <v/>
      </c>
      <c r="BC712" s="102">
        <f>IFERROR(IF($I$13&gt;0,$I712/$I$13,$S712/$S$13),0)</f>
        <v/>
      </c>
      <c r="BD712" s="102">
        <f>IFERROR($S712/$S$13,0)</f>
        <v/>
      </c>
      <c r="BE712" s="413" t="inlineStr">
        <is>
          <t>$</t>
        </is>
      </c>
    </row>
    <row r="713" ht="12" customFormat="1" customHeight="1" s="65">
      <c r="A713" s="43" t="n">
        <v>698</v>
      </c>
      <c r="B713" s="166" t="n"/>
      <c r="C713" s="166" t="n"/>
      <c r="D713" s="166" t="n"/>
      <c r="E713" s="162" t="n"/>
      <c r="F713" s="166" t="n"/>
      <c r="G713" s="162" t="n"/>
      <c r="H713" s="162" t="n"/>
      <c r="I713" s="189">
        <f>E713*G713</f>
        <v/>
      </c>
      <c r="J713" s="195" t="n"/>
      <c r="K713" s="162" t="n"/>
      <c r="L713" s="168" t="n"/>
      <c r="M713" s="75">
        <f>_xlfn.XLOOKUP(L713,list_vat[Страна],list_vat[Ставка НДС %],0,0)</f>
        <v/>
      </c>
      <c r="N713" s="162">
        <f>IFERROR(IF(L713="Китай",K713,K713/(1+M713)),0)</f>
        <v/>
      </c>
      <c r="O713" s="169" t="n"/>
      <c r="P713" s="76">
        <f>N713*(1-O713)</f>
        <v/>
      </c>
      <c r="Q713" s="162" t="n"/>
      <c r="R713" s="162">
        <f>IF(ISBLANK(Q713),"введи курс",P713/Q713)</f>
        <v/>
      </c>
      <c r="S713" s="196">
        <f>IF(AND(ISNUMBER(E713),ISNUMBER(Q713)),E713*R713,0)</f>
        <v/>
      </c>
      <c r="T713" s="192">
        <f>$BC713*V$11</f>
        <v/>
      </c>
      <c r="U713" s="76">
        <f>$BC713*W$11</f>
        <v/>
      </c>
      <c r="V713" s="193">
        <f>+SUM(T713:U713)</f>
        <v/>
      </c>
      <c r="W713" s="191" t="n"/>
      <c r="X713" s="170" t="n"/>
      <c r="Y713" s="76">
        <f>ROUND(IF(offer_incoterms="DDP",X713*(S713*(1+AW713)+T713),0),2)</f>
        <v/>
      </c>
      <c r="Z713" s="188" t="n"/>
      <c r="AA713" s="192">
        <f>IFERROR(AB713/E713,0)</f>
        <v/>
      </c>
      <c r="AB713" s="76">
        <f>ROUND(SUM(S713,V713,Y713:Z713,BA713:BB713),2)</f>
        <v/>
      </c>
      <c r="AC713" s="797" t="n"/>
      <c r="AD713" s="192">
        <f t="array" ref="AD713">IFERROR(ROUND((_xlfn.IFS(offer_sale_type="поставка",AB713,offer_sale_type="транзит",S713)*(1+AC713))/E713,2),0)</f>
        <v/>
      </c>
      <c r="AE713" s="76">
        <f>AD713*E713</f>
        <v/>
      </c>
      <c r="AF713" s="193">
        <f t="array" ref="AF713">IFERROR(ROUND(_xlfn.IFS(offer_sale_type="поставка",AB713,offer_sale_type="транзит",S713)*AC713,2),0)</f>
        <v/>
      </c>
      <c r="AG713" s="192">
        <f>$BD713*VLOOKUP($AG$3,$AF$4:$AG$7,2,FALSE)</f>
        <v/>
      </c>
      <c r="AH713" s="76">
        <f>SUM(AE713,AG713,AI713)*rate_forex_risk</f>
        <v/>
      </c>
      <c r="AI713" s="193">
        <f>IF(OR(seller_region="TR",offer_sale_type="экспорт"),0,rate_fin_comm)*SUM(AZ713,AZ713*AW713,T713)</f>
        <v/>
      </c>
      <c r="AJ713" s="118">
        <f>IFERROR(ROUND(SUM(AB713,AF713:AI713)/E713,2),0)</f>
        <v/>
      </c>
      <c r="AK713" s="76">
        <f>AJ713*E713</f>
        <v/>
      </c>
      <c r="AL713" s="174">
        <f>ROUND(IFERROR(AM713*E713,0),2)</f>
        <v/>
      </c>
      <c r="AM713" s="175">
        <f>ROUND(AJ713*(1+IF(offer_incoterms="DDP",IF((TODAY()+offer_turnaround_time)&gt;=helpsheet!$L$17,rate_vatRU_from_26,rate_vatRu_till_25),0)),2)</f>
        <v/>
      </c>
      <c r="AN713" s="192">
        <f>AL713-AK713</f>
        <v/>
      </c>
      <c r="AO713" s="76">
        <f>SUM(AY713,Y713:Z713,T713)*IF(AND(offer_incoterms="DDP",offer_sale_type&lt;&gt;"экспорт"),IF((TODAY()+offer_turnaround_time)&gt;=helpsheet!$L$17,rate_vatRU_from_26,rate_vatRu_till_25),0)</f>
        <v/>
      </c>
      <c r="AP713" s="193">
        <f>AN713-AO713</f>
        <v/>
      </c>
      <c r="AQ713" s="118">
        <f>IF(offer_sale_type="транзит",SUM(AF713:AI713,BA713,BB713),0)</f>
        <v/>
      </c>
      <c r="AR713" s="82">
        <f>HYPERLINK("https://www.alta.ru/tnved/code/")&amp;W713&amp;"/"</f>
        <v/>
      </c>
      <c r="AS713" s="157" t="n"/>
      <c r="AT713" s="162" t="n"/>
      <c r="AU713" s="76">
        <f>IF(ISBLANK(AT713),0,AJ713-AT713)</f>
        <v/>
      </c>
      <c r="AV713" s="157" t="n"/>
      <c r="AW713" s="75">
        <f>_xlfn.IFNA(VLOOKUP(L713,list_vat[],3,FALSE),0)</f>
        <v/>
      </c>
      <c r="AX713" s="76">
        <f>IFERROR(ROUND(S713*(1+AW713)/E713,2),0)</f>
        <v/>
      </c>
      <c r="AY713" s="76">
        <f>E713*AX713</f>
        <v/>
      </c>
      <c r="AZ713" s="192">
        <f>S713*(1+M713)</f>
        <v/>
      </c>
      <c r="BA713" s="76">
        <f>cost_fin_total*$BD713</f>
        <v/>
      </c>
      <c r="BB713" s="193">
        <f>credit_sales_interest*BD713</f>
        <v/>
      </c>
      <c r="BC713" s="102">
        <f>IFERROR(IF($I$13&gt;0,$I713/$I$13,$S713/$S$13),0)</f>
        <v/>
      </c>
      <c r="BD713" s="102">
        <f>IFERROR($S713/$S$13,0)</f>
        <v/>
      </c>
      <c r="BE713" s="413" t="inlineStr">
        <is>
          <t>$</t>
        </is>
      </c>
    </row>
    <row r="714" ht="12" customFormat="1" customHeight="1" s="65">
      <c r="A714" s="43" t="n">
        <v>699</v>
      </c>
      <c r="B714" s="166" t="n"/>
      <c r="C714" s="166" t="n"/>
      <c r="D714" s="166" t="n"/>
      <c r="E714" s="162" t="n"/>
      <c r="F714" s="166" t="n"/>
      <c r="G714" s="162" t="n"/>
      <c r="H714" s="162" t="n"/>
      <c r="I714" s="189">
        <f>E714*G714</f>
        <v/>
      </c>
      <c r="J714" s="195" t="n"/>
      <c r="K714" s="162" t="n"/>
      <c r="L714" s="168" t="n"/>
      <c r="M714" s="75">
        <f>_xlfn.XLOOKUP(L714,list_vat[Страна],list_vat[Ставка НДС %],0,0)</f>
        <v/>
      </c>
      <c r="N714" s="162">
        <f>IFERROR(IF(L714="Китай",K714,K714/(1+M714)),0)</f>
        <v/>
      </c>
      <c r="O714" s="169" t="n"/>
      <c r="P714" s="76">
        <f>N714*(1-O714)</f>
        <v/>
      </c>
      <c r="Q714" s="162" t="n"/>
      <c r="R714" s="162">
        <f>IF(ISBLANK(Q714),"введи курс",P714/Q714)</f>
        <v/>
      </c>
      <c r="S714" s="196">
        <f>IF(AND(ISNUMBER(E714),ISNUMBER(Q714)),E714*R714,0)</f>
        <v/>
      </c>
      <c r="T714" s="192">
        <f>$BC714*V$11</f>
        <v/>
      </c>
      <c r="U714" s="76">
        <f>$BC714*W$11</f>
        <v/>
      </c>
      <c r="V714" s="193">
        <f>+SUM(T714:U714)</f>
        <v/>
      </c>
      <c r="W714" s="191" t="n"/>
      <c r="X714" s="170" t="n"/>
      <c r="Y714" s="76">
        <f>ROUND(IF(offer_incoterms="DDP",X714*(S714*(1+AW714)+T714),0),2)</f>
        <v/>
      </c>
      <c r="Z714" s="188" t="n"/>
      <c r="AA714" s="192">
        <f>IFERROR(AB714/E714,0)</f>
        <v/>
      </c>
      <c r="AB714" s="76">
        <f>ROUND(SUM(S714,V714,Y714:Z714,BA714:BB714),2)</f>
        <v/>
      </c>
      <c r="AC714" s="797" t="n"/>
      <c r="AD714" s="192">
        <f t="array" ref="AD714">IFERROR(ROUND((_xlfn.IFS(offer_sale_type="поставка",AB714,offer_sale_type="транзит",S714)*(1+AC714))/E714,2),0)</f>
        <v/>
      </c>
      <c r="AE714" s="76">
        <f>AD714*E714</f>
        <v/>
      </c>
      <c r="AF714" s="193">
        <f t="array" ref="AF714">IFERROR(ROUND(_xlfn.IFS(offer_sale_type="поставка",AB714,offer_sale_type="транзит",S714)*AC714,2),0)</f>
        <v/>
      </c>
      <c r="AG714" s="192">
        <f>$BD714*VLOOKUP($AG$3,$AF$4:$AG$7,2,FALSE)</f>
        <v/>
      </c>
      <c r="AH714" s="76">
        <f>SUM(AE714,AG714,AI714)*rate_forex_risk</f>
        <v/>
      </c>
      <c r="AI714" s="193">
        <f>IF(OR(seller_region="TR",offer_sale_type="экспорт"),0,rate_fin_comm)*SUM(AZ714,AZ714*AW714,T714)</f>
        <v/>
      </c>
      <c r="AJ714" s="118">
        <f>IFERROR(ROUND(SUM(AB714,AF714:AI714)/E714,2),0)</f>
        <v/>
      </c>
      <c r="AK714" s="76">
        <f>AJ714*E714</f>
        <v/>
      </c>
      <c r="AL714" s="174">
        <f>ROUND(IFERROR(AM714*E714,0),2)</f>
        <v/>
      </c>
      <c r="AM714" s="175">
        <f>ROUND(AJ714*(1+IF(offer_incoterms="DDP",IF((TODAY()+offer_turnaround_time)&gt;=helpsheet!$L$17,rate_vatRU_from_26,rate_vatRu_till_25),0)),2)</f>
        <v/>
      </c>
      <c r="AN714" s="192">
        <f>AL714-AK714</f>
        <v/>
      </c>
      <c r="AO714" s="76">
        <f>SUM(AY714,Y714:Z714,T714)*IF(AND(offer_incoterms="DDP",offer_sale_type&lt;&gt;"экспорт"),IF((TODAY()+offer_turnaround_time)&gt;=helpsheet!$L$17,rate_vatRU_from_26,rate_vatRu_till_25),0)</f>
        <v/>
      </c>
      <c r="AP714" s="193">
        <f>AN714-AO714</f>
        <v/>
      </c>
      <c r="AQ714" s="118">
        <f>IF(offer_sale_type="транзит",SUM(AF714:AI714,BA714,BB714),0)</f>
        <v/>
      </c>
      <c r="AR714" s="82">
        <f>HYPERLINK("https://www.alta.ru/tnved/code/")&amp;W714&amp;"/"</f>
        <v/>
      </c>
      <c r="AS714" s="157" t="n"/>
      <c r="AT714" s="162" t="n"/>
      <c r="AU714" s="76">
        <f>IF(ISBLANK(AT714),0,AJ714-AT714)</f>
        <v/>
      </c>
      <c r="AV714" s="157" t="n"/>
      <c r="AW714" s="75">
        <f>_xlfn.IFNA(VLOOKUP(L714,list_vat[],3,FALSE),0)</f>
        <v/>
      </c>
      <c r="AX714" s="76">
        <f>IFERROR(ROUND(S714*(1+AW714)/E714,2),0)</f>
        <v/>
      </c>
      <c r="AY714" s="76">
        <f>E714*AX714</f>
        <v/>
      </c>
      <c r="AZ714" s="192">
        <f>S714*(1+M714)</f>
        <v/>
      </c>
      <c r="BA714" s="76">
        <f>cost_fin_total*$BD714</f>
        <v/>
      </c>
      <c r="BB714" s="193">
        <f>credit_sales_interest*BD714</f>
        <v/>
      </c>
      <c r="BC714" s="102">
        <f>IFERROR(IF($I$13&gt;0,$I714/$I$13,$S714/$S$13),0)</f>
        <v/>
      </c>
      <c r="BD714" s="102">
        <f>IFERROR($S714/$S$13,0)</f>
        <v/>
      </c>
      <c r="BE714" s="413" t="inlineStr">
        <is>
          <t>$</t>
        </is>
      </c>
    </row>
    <row r="715" ht="12" customFormat="1" customHeight="1" s="65">
      <c r="A715" s="43" t="n">
        <v>700</v>
      </c>
      <c r="B715" s="166" t="n"/>
      <c r="C715" s="166" t="n"/>
      <c r="D715" s="166" t="n"/>
      <c r="E715" s="162" t="n"/>
      <c r="F715" s="166" t="n"/>
      <c r="G715" s="162" t="n"/>
      <c r="H715" s="162" t="n"/>
      <c r="I715" s="189">
        <f>E715*G715</f>
        <v/>
      </c>
      <c r="J715" s="195" t="n"/>
      <c r="K715" s="162" t="n"/>
      <c r="L715" s="168" t="n"/>
      <c r="M715" s="75">
        <f>_xlfn.XLOOKUP(L715,list_vat[Страна],list_vat[Ставка НДС %],0,0)</f>
        <v/>
      </c>
      <c r="N715" s="162">
        <f>IFERROR(IF(L715="Китай",K715,K715/(1+M715)),0)</f>
        <v/>
      </c>
      <c r="O715" s="169" t="n"/>
      <c r="P715" s="76">
        <f>N715*(1-O715)</f>
        <v/>
      </c>
      <c r="Q715" s="162" t="n"/>
      <c r="R715" s="162">
        <f>IF(ISBLANK(Q715),"введи курс",P715/Q715)</f>
        <v/>
      </c>
      <c r="S715" s="196">
        <f>IF(AND(ISNUMBER(E715),ISNUMBER(Q715)),E715*R715,0)</f>
        <v/>
      </c>
      <c r="T715" s="192">
        <f>$BC715*V$11</f>
        <v/>
      </c>
      <c r="U715" s="76">
        <f>$BC715*W$11</f>
        <v/>
      </c>
      <c r="V715" s="193">
        <f>+SUM(T715:U715)</f>
        <v/>
      </c>
      <c r="W715" s="191" t="n"/>
      <c r="X715" s="170" t="n"/>
      <c r="Y715" s="76">
        <f>ROUND(IF(offer_incoterms="DDP",X715*(S715*(1+AW715)+T715),0),2)</f>
        <v/>
      </c>
      <c r="Z715" s="188" t="n"/>
      <c r="AA715" s="192">
        <f>IFERROR(AB715/E715,0)</f>
        <v/>
      </c>
      <c r="AB715" s="76">
        <f>ROUND(SUM(S715,V715,Y715:Z715,BA715:BB715),2)</f>
        <v/>
      </c>
      <c r="AC715" s="797" t="n"/>
      <c r="AD715" s="192">
        <f t="array" ref="AD715">IFERROR(ROUND((_xlfn.IFS(offer_sale_type="поставка",AB715,offer_sale_type="транзит",S715)*(1+AC715))/E715,2),0)</f>
        <v/>
      </c>
      <c r="AE715" s="76">
        <f>AD715*E715</f>
        <v/>
      </c>
      <c r="AF715" s="193">
        <f t="array" ref="AF715">IFERROR(ROUND(_xlfn.IFS(offer_sale_type="поставка",AB715,offer_sale_type="транзит",S715)*AC715,2),0)</f>
        <v/>
      </c>
      <c r="AG715" s="192">
        <f>$BD715*VLOOKUP($AG$3,$AF$4:$AG$7,2,FALSE)</f>
        <v/>
      </c>
      <c r="AH715" s="76">
        <f>SUM(AE715,AG715,AI715)*rate_forex_risk</f>
        <v/>
      </c>
      <c r="AI715" s="193">
        <f>IF(OR(seller_region="TR",offer_sale_type="экспорт"),0,rate_fin_comm)*SUM(AZ715,AZ715*AW715,T715)</f>
        <v/>
      </c>
      <c r="AJ715" s="118">
        <f>IFERROR(ROUND(SUM(AB715,AF715:AI715)/E715,2),0)</f>
        <v/>
      </c>
      <c r="AK715" s="76">
        <f>AJ715*E715</f>
        <v/>
      </c>
      <c r="AL715" s="174">
        <f>ROUND(IFERROR(AM715*E715,0),2)</f>
        <v/>
      </c>
      <c r="AM715" s="175">
        <f>ROUND(AJ715*(1+IF(offer_incoterms="DDP",IF((TODAY()+offer_turnaround_time)&gt;=helpsheet!$L$17,rate_vatRU_from_26,rate_vatRu_till_25),0)),2)</f>
        <v/>
      </c>
      <c r="AN715" s="192">
        <f>AL715-AK715</f>
        <v/>
      </c>
      <c r="AO715" s="76">
        <f>SUM(AY715,Y715:Z715,T715)*IF(AND(offer_incoterms="DDP",offer_sale_type&lt;&gt;"экспорт"),IF((TODAY()+offer_turnaround_time)&gt;=helpsheet!$L$17,rate_vatRU_from_26,rate_vatRu_till_25),0)</f>
        <v/>
      </c>
      <c r="AP715" s="193">
        <f>AN715-AO715</f>
        <v/>
      </c>
      <c r="AQ715" s="118">
        <f>IF(offer_sale_type="транзит",SUM(AF715:AI715,BA715,BB715),0)</f>
        <v/>
      </c>
      <c r="AR715" s="82">
        <f>HYPERLINK("https://www.alta.ru/tnved/code/")&amp;W715&amp;"/"</f>
        <v/>
      </c>
      <c r="AS715" s="157" t="n"/>
      <c r="AT715" s="162" t="n"/>
      <c r="AU715" s="76">
        <f>IF(ISBLANK(AT715),0,AJ715-AT715)</f>
        <v/>
      </c>
      <c r="AV715" s="157" t="n"/>
      <c r="AW715" s="75">
        <f>_xlfn.IFNA(VLOOKUP(L715,list_vat[],3,FALSE),0)</f>
        <v/>
      </c>
      <c r="AX715" s="76">
        <f>IFERROR(ROUND(S715*(1+AW715)/E715,2),0)</f>
        <v/>
      </c>
      <c r="AY715" s="76">
        <f>E715*AX715</f>
        <v/>
      </c>
      <c r="AZ715" s="192">
        <f>S715*(1+M715)</f>
        <v/>
      </c>
      <c r="BA715" s="76">
        <f>cost_fin_total*$BD715</f>
        <v/>
      </c>
      <c r="BB715" s="193">
        <f>credit_sales_interest*BD715</f>
        <v/>
      </c>
      <c r="BC715" s="102">
        <f>IFERROR(IF($I$13&gt;0,$I715/$I$13,$S715/$S$13),0)</f>
        <v/>
      </c>
      <c r="BD715" s="102">
        <f>IFERROR($S715/$S$13,0)</f>
        <v/>
      </c>
      <c r="BE715" s="413" t="inlineStr">
        <is>
          <t>$</t>
        </is>
      </c>
    </row>
    <row r="716" ht="12" customFormat="1" customHeight="1" s="65">
      <c r="A716" s="43" t="n">
        <v>701</v>
      </c>
      <c r="B716" s="166" t="n"/>
      <c r="C716" s="166" t="n"/>
      <c r="D716" s="166" t="n"/>
      <c r="E716" s="162" t="n"/>
      <c r="F716" s="166" t="n"/>
      <c r="G716" s="162" t="n"/>
      <c r="H716" s="162" t="n"/>
      <c r="I716" s="189">
        <f>E716*G716</f>
        <v/>
      </c>
      <c r="J716" s="195" t="n"/>
      <c r="K716" s="162" t="n"/>
      <c r="L716" s="168" t="n"/>
      <c r="M716" s="75">
        <f>_xlfn.XLOOKUP(L716,list_vat[Страна],list_vat[Ставка НДС %],0,0)</f>
        <v/>
      </c>
      <c r="N716" s="162">
        <f>IFERROR(IF(L716="Китай",K716,K716/(1+M716)),0)</f>
        <v/>
      </c>
      <c r="O716" s="169" t="n"/>
      <c r="P716" s="76">
        <f>N716*(1-O716)</f>
        <v/>
      </c>
      <c r="Q716" s="162" t="n"/>
      <c r="R716" s="162">
        <f>IF(ISBLANK(Q716),"введи курс",P716/Q716)</f>
        <v/>
      </c>
      <c r="S716" s="196">
        <f>IF(AND(ISNUMBER(E716),ISNUMBER(Q716)),E716*R716,0)</f>
        <v/>
      </c>
      <c r="T716" s="192">
        <f>$BC716*V$11</f>
        <v/>
      </c>
      <c r="U716" s="76">
        <f>$BC716*W$11</f>
        <v/>
      </c>
      <c r="V716" s="193">
        <f>+SUM(T716:U716)</f>
        <v/>
      </c>
      <c r="W716" s="191" t="n"/>
      <c r="X716" s="170" t="n"/>
      <c r="Y716" s="76">
        <f>ROUND(IF(offer_incoterms="DDP",X716*(S716*(1+AW716)+T716),0),2)</f>
        <v/>
      </c>
      <c r="Z716" s="188" t="n"/>
      <c r="AA716" s="192">
        <f>IFERROR(AB716/E716,0)</f>
        <v/>
      </c>
      <c r="AB716" s="76">
        <f>ROUND(SUM(S716,V716,Y716:Z716,BA716:BB716),2)</f>
        <v/>
      </c>
      <c r="AC716" s="797" t="n"/>
      <c r="AD716" s="192">
        <f t="array" ref="AD716">IFERROR(ROUND((_xlfn.IFS(offer_sale_type="поставка",AB716,offer_sale_type="транзит",S716)*(1+AC716))/E716,2),0)</f>
        <v/>
      </c>
      <c r="AE716" s="76">
        <f>AD716*E716</f>
        <v/>
      </c>
      <c r="AF716" s="193">
        <f t="array" ref="AF716">IFERROR(ROUND(_xlfn.IFS(offer_sale_type="поставка",AB716,offer_sale_type="транзит",S716)*AC716,2),0)</f>
        <v/>
      </c>
      <c r="AG716" s="192">
        <f>$BD716*VLOOKUP($AG$3,$AF$4:$AG$7,2,FALSE)</f>
        <v/>
      </c>
      <c r="AH716" s="76">
        <f>SUM(AE716,AG716,AI716)*rate_forex_risk</f>
        <v/>
      </c>
      <c r="AI716" s="193">
        <f>IF(OR(seller_region="TR",offer_sale_type="экспорт"),0,rate_fin_comm)*SUM(AZ716,AZ716*AW716,T716)</f>
        <v/>
      </c>
      <c r="AJ716" s="118">
        <f>IFERROR(ROUND(SUM(AB716,AF716:AI716)/E716,2),0)</f>
        <v/>
      </c>
      <c r="AK716" s="76">
        <f>AJ716*E716</f>
        <v/>
      </c>
      <c r="AL716" s="174">
        <f>ROUND(IFERROR(AM716*E716,0),2)</f>
        <v/>
      </c>
      <c r="AM716" s="175">
        <f>ROUND(AJ716*(1+IF(offer_incoterms="DDP",IF((TODAY()+offer_turnaround_time)&gt;=helpsheet!$L$17,rate_vatRU_from_26,rate_vatRu_till_25),0)),2)</f>
        <v/>
      </c>
      <c r="AN716" s="192">
        <f>AL716-AK716</f>
        <v/>
      </c>
      <c r="AO716" s="76">
        <f>SUM(AY716,Y716:Z716,T716)*IF(AND(offer_incoterms="DDP",offer_sale_type&lt;&gt;"экспорт"),IF((TODAY()+offer_turnaround_time)&gt;=helpsheet!$L$17,rate_vatRU_from_26,rate_vatRu_till_25),0)</f>
        <v/>
      </c>
      <c r="AP716" s="193">
        <f>AN716-AO716</f>
        <v/>
      </c>
      <c r="AQ716" s="118">
        <f>IF(offer_sale_type="транзит",SUM(AF716:AI716,BA716,BB716),0)</f>
        <v/>
      </c>
      <c r="AR716" s="82">
        <f>HYPERLINK("https://www.alta.ru/tnved/code/")&amp;W716&amp;"/"</f>
        <v/>
      </c>
      <c r="AS716" s="157" t="n"/>
      <c r="AT716" s="162" t="n"/>
      <c r="AU716" s="76">
        <f>IF(ISBLANK(AT716),0,AJ716-AT716)</f>
        <v/>
      </c>
      <c r="AV716" s="157" t="n"/>
      <c r="AW716" s="75">
        <f>_xlfn.IFNA(VLOOKUP(L716,list_vat[],3,FALSE),0)</f>
        <v/>
      </c>
      <c r="AX716" s="76">
        <f>IFERROR(ROUND(S716*(1+AW716)/E716,2),0)</f>
        <v/>
      </c>
      <c r="AY716" s="76">
        <f>E716*AX716</f>
        <v/>
      </c>
      <c r="AZ716" s="192">
        <f>S716*(1+M716)</f>
        <v/>
      </c>
      <c r="BA716" s="76">
        <f>cost_fin_total*$BD716</f>
        <v/>
      </c>
      <c r="BB716" s="193">
        <f>credit_sales_interest*BD716</f>
        <v/>
      </c>
      <c r="BC716" s="102">
        <f>IFERROR(IF($I$13&gt;0,$I716/$I$13,$S716/$S$13),0)</f>
        <v/>
      </c>
      <c r="BD716" s="102">
        <f>IFERROR($S716/$S$13,0)</f>
        <v/>
      </c>
      <c r="BE716" s="413" t="inlineStr">
        <is>
          <t>$</t>
        </is>
      </c>
    </row>
    <row r="717" ht="12" customFormat="1" customHeight="1" s="65">
      <c r="A717" s="43" t="n">
        <v>702</v>
      </c>
      <c r="B717" s="166" t="n"/>
      <c r="C717" s="166" t="n"/>
      <c r="D717" s="166" t="n"/>
      <c r="E717" s="162" t="n"/>
      <c r="F717" s="166" t="n"/>
      <c r="G717" s="162" t="n"/>
      <c r="H717" s="162" t="n"/>
      <c r="I717" s="189">
        <f>E717*G717</f>
        <v/>
      </c>
      <c r="J717" s="195" t="n"/>
      <c r="K717" s="162" t="n"/>
      <c r="L717" s="168" t="n"/>
      <c r="M717" s="75">
        <f>_xlfn.XLOOKUP(L717,list_vat[Страна],list_vat[Ставка НДС %],0,0)</f>
        <v/>
      </c>
      <c r="N717" s="162">
        <f>IFERROR(IF(L717="Китай",K717,K717/(1+M717)),0)</f>
        <v/>
      </c>
      <c r="O717" s="169" t="n"/>
      <c r="P717" s="76">
        <f>N717*(1-O717)</f>
        <v/>
      </c>
      <c r="Q717" s="162" t="n"/>
      <c r="R717" s="162">
        <f>IF(ISBLANK(Q717),"введи курс",P717/Q717)</f>
        <v/>
      </c>
      <c r="S717" s="196">
        <f>IF(AND(ISNUMBER(E717),ISNUMBER(Q717)),E717*R717,0)</f>
        <v/>
      </c>
      <c r="T717" s="192">
        <f>$BC717*V$11</f>
        <v/>
      </c>
      <c r="U717" s="76">
        <f>$BC717*W$11</f>
        <v/>
      </c>
      <c r="V717" s="193">
        <f>+SUM(T717:U717)</f>
        <v/>
      </c>
      <c r="W717" s="191" t="n"/>
      <c r="X717" s="170" t="n"/>
      <c r="Y717" s="76">
        <f>ROUND(IF(offer_incoterms="DDP",X717*(S717*(1+AW717)+T717),0),2)</f>
        <v/>
      </c>
      <c r="Z717" s="188" t="n"/>
      <c r="AA717" s="192">
        <f>IFERROR(AB717/E717,0)</f>
        <v/>
      </c>
      <c r="AB717" s="76">
        <f>ROUND(SUM(S717,V717,Y717:Z717,BA717:BB717),2)</f>
        <v/>
      </c>
      <c r="AC717" s="797" t="n"/>
      <c r="AD717" s="192">
        <f t="array" ref="AD717">IFERROR(ROUND((_xlfn.IFS(offer_sale_type="поставка",AB717,offer_sale_type="транзит",S717)*(1+AC717))/E717,2),0)</f>
        <v/>
      </c>
      <c r="AE717" s="76">
        <f>AD717*E717</f>
        <v/>
      </c>
      <c r="AF717" s="193">
        <f t="array" ref="AF717">IFERROR(ROUND(_xlfn.IFS(offer_sale_type="поставка",AB717,offer_sale_type="транзит",S717)*AC717,2),0)</f>
        <v/>
      </c>
      <c r="AG717" s="192">
        <f>$BD717*VLOOKUP($AG$3,$AF$4:$AG$7,2,FALSE)</f>
        <v/>
      </c>
      <c r="AH717" s="76">
        <f>SUM(AE717,AG717,AI717)*rate_forex_risk</f>
        <v/>
      </c>
      <c r="AI717" s="193">
        <f>IF(OR(seller_region="TR",offer_sale_type="экспорт"),0,rate_fin_comm)*SUM(AZ717,AZ717*AW717,T717)</f>
        <v/>
      </c>
      <c r="AJ717" s="118">
        <f>IFERROR(ROUND(SUM(AB717,AF717:AI717)/E717,2),0)</f>
        <v/>
      </c>
      <c r="AK717" s="76">
        <f>AJ717*E717</f>
        <v/>
      </c>
      <c r="AL717" s="174">
        <f>ROUND(IFERROR(AM717*E717,0),2)</f>
        <v/>
      </c>
      <c r="AM717" s="175">
        <f>ROUND(AJ717*(1+IF(offer_incoterms="DDP",IF((TODAY()+offer_turnaround_time)&gt;=helpsheet!$L$17,rate_vatRU_from_26,rate_vatRu_till_25),0)),2)</f>
        <v/>
      </c>
      <c r="AN717" s="192">
        <f>AL717-AK717</f>
        <v/>
      </c>
      <c r="AO717" s="76">
        <f>SUM(AY717,Y717:Z717,T717)*IF(AND(offer_incoterms="DDP",offer_sale_type&lt;&gt;"экспорт"),IF((TODAY()+offer_turnaround_time)&gt;=helpsheet!$L$17,rate_vatRU_from_26,rate_vatRu_till_25),0)</f>
        <v/>
      </c>
      <c r="AP717" s="193">
        <f>AN717-AO717</f>
        <v/>
      </c>
      <c r="AQ717" s="118">
        <f>IF(offer_sale_type="транзит",SUM(AF717:AI717,BA717,BB717),0)</f>
        <v/>
      </c>
      <c r="AR717" s="82">
        <f>HYPERLINK("https://www.alta.ru/tnved/code/")&amp;W717&amp;"/"</f>
        <v/>
      </c>
      <c r="AS717" s="157" t="n"/>
      <c r="AT717" s="162" t="n"/>
      <c r="AU717" s="76">
        <f>IF(ISBLANK(AT717),0,AJ717-AT717)</f>
        <v/>
      </c>
      <c r="AV717" s="157" t="n"/>
      <c r="AW717" s="75">
        <f>_xlfn.IFNA(VLOOKUP(L717,list_vat[],3,FALSE),0)</f>
        <v/>
      </c>
      <c r="AX717" s="76">
        <f>IFERROR(ROUND(S717*(1+AW717)/E717,2),0)</f>
        <v/>
      </c>
      <c r="AY717" s="76">
        <f>E717*AX717</f>
        <v/>
      </c>
      <c r="AZ717" s="192">
        <f>S717*(1+M717)</f>
        <v/>
      </c>
      <c r="BA717" s="76">
        <f>cost_fin_total*$BD717</f>
        <v/>
      </c>
      <c r="BB717" s="193">
        <f>credit_sales_interest*BD717</f>
        <v/>
      </c>
      <c r="BC717" s="102">
        <f>IFERROR(IF($I$13&gt;0,$I717/$I$13,$S717/$S$13),0)</f>
        <v/>
      </c>
      <c r="BD717" s="102">
        <f>IFERROR($S717/$S$13,0)</f>
        <v/>
      </c>
      <c r="BE717" s="413" t="inlineStr">
        <is>
          <t>$</t>
        </is>
      </c>
    </row>
    <row r="718" ht="12" customFormat="1" customHeight="1" s="65">
      <c r="A718" s="43" t="n">
        <v>703</v>
      </c>
      <c r="B718" s="166" t="n"/>
      <c r="C718" s="166" t="n"/>
      <c r="D718" s="166" t="n"/>
      <c r="E718" s="162" t="n"/>
      <c r="F718" s="166" t="n"/>
      <c r="G718" s="162" t="n"/>
      <c r="H718" s="162" t="n"/>
      <c r="I718" s="189">
        <f>E718*G718</f>
        <v/>
      </c>
      <c r="J718" s="195" t="n"/>
      <c r="K718" s="162" t="n"/>
      <c r="L718" s="168" t="n"/>
      <c r="M718" s="75">
        <f>_xlfn.XLOOKUP(L718,list_vat[Страна],list_vat[Ставка НДС %],0,0)</f>
        <v/>
      </c>
      <c r="N718" s="162">
        <f>IFERROR(IF(L718="Китай",K718,K718/(1+M718)),0)</f>
        <v/>
      </c>
      <c r="O718" s="169" t="n"/>
      <c r="P718" s="76">
        <f>N718*(1-O718)</f>
        <v/>
      </c>
      <c r="Q718" s="162" t="n"/>
      <c r="R718" s="162">
        <f>IF(ISBLANK(Q718),"введи курс",P718/Q718)</f>
        <v/>
      </c>
      <c r="S718" s="196">
        <f>IF(AND(ISNUMBER(E718),ISNUMBER(Q718)),E718*R718,0)</f>
        <v/>
      </c>
      <c r="T718" s="192">
        <f>$BC718*V$11</f>
        <v/>
      </c>
      <c r="U718" s="76">
        <f>$BC718*W$11</f>
        <v/>
      </c>
      <c r="V718" s="193">
        <f>+SUM(T718:U718)</f>
        <v/>
      </c>
      <c r="W718" s="191" t="n"/>
      <c r="X718" s="170" t="n"/>
      <c r="Y718" s="76">
        <f>ROUND(IF(offer_incoterms="DDP",X718*(S718*(1+AW718)+T718),0),2)</f>
        <v/>
      </c>
      <c r="Z718" s="188" t="n"/>
      <c r="AA718" s="192">
        <f>IFERROR(AB718/E718,0)</f>
        <v/>
      </c>
      <c r="AB718" s="76">
        <f>ROUND(SUM(S718,V718,Y718:Z718,BA718:BB718),2)</f>
        <v/>
      </c>
      <c r="AC718" s="797" t="n"/>
      <c r="AD718" s="192">
        <f t="array" ref="AD718">IFERROR(ROUND((_xlfn.IFS(offer_sale_type="поставка",AB718,offer_sale_type="транзит",S718)*(1+AC718))/E718,2),0)</f>
        <v/>
      </c>
      <c r="AE718" s="76">
        <f>AD718*E718</f>
        <v/>
      </c>
      <c r="AF718" s="193">
        <f t="array" ref="AF718">IFERROR(ROUND(_xlfn.IFS(offer_sale_type="поставка",AB718,offer_sale_type="транзит",S718)*AC718,2),0)</f>
        <v/>
      </c>
      <c r="AG718" s="192">
        <f>$BD718*VLOOKUP($AG$3,$AF$4:$AG$7,2,FALSE)</f>
        <v/>
      </c>
      <c r="AH718" s="76">
        <f>SUM(AE718,AG718,AI718)*rate_forex_risk</f>
        <v/>
      </c>
      <c r="AI718" s="193">
        <f>IF(OR(seller_region="TR",offer_sale_type="экспорт"),0,rate_fin_comm)*SUM(AZ718,AZ718*AW718,T718)</f>
        <v/>
      </c>
      <c r="AJ718" s="118">
        <f>IFERROR(ROUND(SUM(AB718,AF718:AI718)/E718,2),0)</f>
        <v/>
      </c>
      <c r="AK718" s="76">
        <f>AJ718*E718</f>
        <v/>
      </c>
      <c r="AL718" s="174">
        <f>ROUND(IFERROR(AM718*E718,0),2)</f>
        <v/>
      </c>
      <c r="AM718" s="175">
        <f>ROUND(AJ718*(1+IF(offer_incoterms="DDP",IF((TODAY()+offer_turnaround_time)&gt;=helpsheet!$L$17,rate_vatRU_from_26,rate_vatRu_till_25),0)),2)</f>
        <v/>
      </c>
      <c r="AN718" s="192">
        <f>AL718-AK718</f>
        <v/>
      </c>
      <c r="AO718" s="76">
        <f>SUM(AY718,Y718:Z718,T718)*IF(AND(offer_incoterms="DDP",offer_sale_type&lt;&gt;"экспорт"),IF((TODAY()+offer_turnaround_time)&gt;=helpsheet!$L$17,rate_vatRU_from_26,rate_vatRu_till_25),0)</f>
        <v/>
      </c>
      <c r="AP718" s="193">
        <f>AN718-AO718</f>
        <v/>
      </c>
      <c r="AQ718" s="118">
        <f>IF(offer_sale_type="транзит",SUM(AF718:AI718,BA718,BB718),0)</f>
        <v/>
      </c>
      <c r="AR718" s="82">
        <f>HYPERLINK("https://www.alta.ru/tnved/code/")&amp;W718&amp;"/"</f>
        <v/>
      </c>
      <c r="AS718" s="157" t="n"/>
      <c r="AT718" s="162" t="n"/>
      <c r="AU718" s="76">
        <f>IF(ISBLANK(AT718),0,AJ718-AT718)</f>
        <v/>
      </c>
      <c r="AV718" s="157" t="n"/>
      <c r="AW718" s="75">
        <f>_xlfn.IFNA(VLOOKUP(L718,list_vat[],3,FALSE),0)</f>
        <v/>
      </c>
      <c r="AX718" s="76">
        <f>IFERROR(ROUND(S718*(1+AW718)/E718,2),0)</f>
        <v/>
      </c>
      <c r="AY718" s="76">
        <f>E718*AX718</f>
        <v/>
      </c>
      <c r="AZ718" s="192">
        <f>S718*(1+M718)</f>
        <v/>
      </c>
      <c r="BA718" s="76">
        <f>cost_fin_total*$BD718</f>
        <v/>
      </c>
      <c r="BB718" s="193">
        <f>credit_sales_interest*BD718</f>
        <v/>
      </c>
      <c r="BC718" s="102">
        <f>IFERROR(IF($I$13&gt;0,$I718/$I$13,$S718/$S$13),0)</f>
        <v/>
      </c>
      <c r="BD718" s="102">
        <f>IFERROR($S718/$S$13,0)</f>
        <v/>
      </c>
      <c r="BE718" s="413" t="inlineStr">
        <is>
          <t>$</t>
        </is>
      </c>
    </row>
    <row r="719" ht="12" customFormat="1" customHeight="1" s="65">
      <c r="A719" s="43" t="n">
        <v>704</v>
      </c>
      <c r="B719" s="166" t="n"/>
      <c r="C719" s="166" t="n"/>
      <c r="D719" s="166" t="n"/>
      <c r="E719" s="162" t="n"/>
      <c r="F719" s="166" t="n"/>
      <c r="G719" s="162" t="n"/>
      <c r="H719" s="162" t="n"/>
      <c r="I719" s="189">
        <f>E719*G719</f>
        <v/>
      </c>
      <c r="J719" s="195" t="n"/>
      <c r="K719" s="162" t="n"/>
      <c r="L719" s="168" t="n"/>
      <c r="M719" s="75">
        <f>_xlfn.XLOOKUP(L719,list_vat[Страна],list_vat[Ставка НДС %],0,0)</f>
        <v/>
      </c>
      <c r="N719" s="162">
        <f>IFERROR(IF(L719="Китай",K719,K719/(1+M719)),0)</f>
        <v/>
      </c>
      <c r="O719" s="169" t="n"/>
      <c r="P719" s="76">
        <f>N719*(1-O719)</f>
        <v/>
      </c>
      <c r="Q719" s="162" t="n"/>
      <c r="R719" s="162">
        <f>IF(ISBLANK(Q719),"введи курс",P719/Q719)</f>
        <v/>
      </c>
      <c r="S719" s="196">
        <f>IF(AND(ISNUMBER(E719),ISNUMBER(Q719)),E719*R719,0)</f>
        <v/>
      </c>
      <c r="T719" s="192">
        <f>$BC719*V$11</f>
        <v/>
      </c>
      <c r="U719" s="76">
        <f>$BC719*W$11</f>
        <v/>
      </c>
      <c r="V719" s="193">
        <f>+SUM(T719:U719)</f>
        <v/>
      </c>
      <c r="W719" s="191" t="n"/>
      <c r="X719" s="170" t="n"/>
      <c r="Y719" s="76">
        <f>ROUND(IF(offer_incoterms="DDP",X719*(S719*(1+AW719)+T719),0),2)</f>
        <v/>
      </c>
      <c r="Z719" s="188" t="n"/>
      <c r="AA719" s="192">
        <f>IFERROR(AB719/E719,0)</f>
        <v/>
      </c>
      <c r="AB719" s="76">
        <f>ROUND(SUM(S719,V719,Y719:Z719,BA719:BB719),2)</f>
        <v/>
      </c>
      <c r="AC719" s="797" t="n"/>
      <c r="AD719" s="192">
        <f t="array" ref="AD719">IFERROR(ROUND((_xlfn.IFS(offer_sale_type="поставка",AB719,offer_sale_type="транзит",S719)*(1+AC719))/E719,2),0)</f>
        <v/>
      </c>
      <c r="AE719" s="76">
        <f>AD719*E719</f>
        <v/>
      </c>
      <c r="AF719" s="193">
        <f t="array" ref="AF719">IFERROR(ROUND(_xlfn.IFS(offer_sale_type="поставка",AB719,offer_sale_type="транзит",S719)*AC719,2),0)</f>
        <v/>
      </c>
      <c r="AG719" s="192">
        <f>$BD719*VLOOKUP($AG$3,$AF$4:$AG$7,2,FALSE)</f>
        <v/>
      </c>
      <c r="AH719" s="76">
        <f>SUM(AE719,AG719,AI719)*rate_forex_risk</f>
        <v/>
      </c>
      <c r="AI719" s="193">
        <f>IF(OR(seller_region="TR",offer_sale_type="экспорт"),0,rate_fin_comm)*SUM(AZ719,AZ719*AW719,T719)</f>
        <v/>
      </c>
      <c r="AJ719" s="118">
        <f>IFERROR(ROUND(SUM(AB719,AF719:AI719)/E719,2),0)</f>
        <v/>
      </c>
      <c r="AK719" s="76">
        <f>AJ719*E719</f>
        <v/>
      </c>
      <c r="AL719" s="174">
        <f>ROUND(IFERROR(AM719*E719,0),2)</f>
        <v/>
      </c>
      <c r="AM719" s="175">
        <f>ROUND(AJ719*(1+IF(offer_incoterms="DDP",IF((TODAY()+offer_turnaround_time)&gt;=helpsheet!$L$17,rate_vatRU_from_26,rate_vatRu_till_25),0)),2)</f>
        <v/>
      </c>
      <c r="AN719" s="192">
        <f>AL719-AK719</f>
        <v/>
      </c>
      <c r="AO719" s="76">
        <f>SUM(AY719,Y719:Z719,T719)*IF(AND(offer_incoterms="DDP",offer_sale_type&lt;&gt;"экспорт"),IF((TODAY()+offer_turnaround_time)&gt;=helpsheet!$L$17,rate_vatRU_from_26,rate_vatRu_till_25),0)</f>
        <v/>
      </c>
      <c r="AP719" s="193">
        <f>AN719-AO719</f>
        <v/>
      </c>
      <c r="AQ719" s="118">
        <f>IF(offer_sale_type="транзит",SUM(AF719:AI719,BA719,BB719),0)</f>
        <v/>
      </c>
      <c r="AR719" s="82">
        <f>HYPERLINK("https://www.alta.ru/tnved/code/")&amp;W719&amp;"/"</f>
        <v/>
      </c>
      <c r="AS719" s="157" t="n"/>
      <c r="AT719" s="162" t="n"/>
      <c r="AU719" s="76">
        <f>IF(ISBLANK(AT719),0,AJ719-AT719)</f>
        <v/>
      </c>
      <c r="AV719" s="157" t="n"/>
      <c r="AW719" s="75">
        <f>_xlfn.IFNA(VLOOKUP(L719,list_vat[],3,FALSE),0)</f>
        <v/>
      </c>
      <c r="AX719" s="76">
        <f>IFERROR(ROUND(S719*(1+AW719)/E719,2),0)</f>
        <v/>
      </c>
      <c r="AY719" s="76">
        <f>E719*AX719</f>
        <v/>
      </c>
      <c r="AZ719" s="192">
        <f>S719*(1+M719)</f>
        <v/>
      </c>
      <c r="BA719" s="76">
        <f>cost_fin_total*$BD719</f>
        <v/>
      </c>
      <c r="BB719" s="193">
        <f>credit_sales_interest*BD719</f>
        <v/>
      </c>
      <c r="BC719" s="102">
        <f>IFERROR(IF($I$13&gt;0,$I719/$I$13,$S719/$S$13),0)</f>
        <v/>
      </c>
      <c r="BD719" s="102">
        <f>IFERROR($S719/$S$13,0)</f>
        <v/>
      </c>
      <c r="BE719" s="413" t="inlineStr">
        <is>
          <t>$</t>
        </is>
      </c>
    </row>
    <row r="720" ht="12" customFormat="1" customHeight="1" s="65">
      <c r="A720" s="43" t="n">
        <v>705</v>
      </c>
      <c r="B720" s="166" t="n"/>
      <c r="C720" s="166" t="n"/>
      <c r="D720" s="166" t="n"/>
      <c r="E720" s="162" t="n"/>
      <c r="F720" s="166" t="n"/>
      <c r="G720" s="162" t="n"/>
      <c r="H720" s="162" t="n"/>
      <c r="I720" s="189">
        <f>E720*G720</f>
        <v/>
      </c>
      <c r="J720" s="195" t="n"/>
      <c r="K720" s="162" t="n"/>
      <c r="L720" s="168" t="n"/>
      <c r="M720" s="75">
        <f>_xlfn.XLOOKUP(L720,list_vat[Страна],list_vat[Ставка НДС %],0,0)</f>
        <v/>
      </c>
      <c r="N720" s="162">
        <f>IFERROR(IF(L720="Китай",K720,K720/(1+M720)),0)</f>
        <v/>
      </c>
      <c r="O720" s="169" t="n"/>
      <c r="P720" s="76">
        <f>N720*(1-O720)</f>
        <v/>
      </c>
      <c r="Q720" s="162" t="n"/>
      <c r="R720" s="162">
        <f>IF(ISBLANK(Q720),"введи курс",P720/Q720)</f>
        <v/>
      </c>
      <c r="S720" s="196">
        <f>IF(AND(ISNUMBER(E720),ISNUMBER(Q720)),E720*R720,0)</f>
        <v/>
      </c>
      <c r="T720" s="192">
        <f>$BC720*V$11</f>
        <v/>
      </c>
      <c r="U720" s="76">
        <f>$BC720*W$11</f>
        <v/>
      </c>
      <c r="V720" s="193">
        <f>+SUM(T720:U720)</f>
        <v/>
      </c>
      <c r="W720" s="191" t="n"/>
      <c r="X720" s="170" t="n"/>
      <c r="Y720" s="76">
        <f>ROUND(IF(offer_incoterms="DDP",X720*(S720*(1+AW720)+T720),0),2)</f>
        <v/>
      </c>
      <c r="Z720" s="188" t="n"/>
      <c r="AA720" s="192">
        <f>IFERROR(AB720/E720,0)</f>
        <v/>
      </c>
      <c r="AB720" s="76">
        <f>ROUND(SUM(S720,V720,Y720:Z720,BA720:BB720),2)</f>
        <v/>
      </c>
      <c r="AC720" s="797" t="n"/>
      <c r="AD720" s="192">
        <f t="array" ref="AD720">IFERROR(ROUND((_xlfn.IFS(offer_sale_type="поставка",AB720,offer_sale_type="транзит",S720)*(1+AC720))/E720,2),0)</f>
        <v/>
      </c>
      <c r="AE720" s="76">
        <f>AD720*E720</f>
        <v/>
      </c>
      <c r="AF720" s="193">
        <f t="array" ref="AF720">IFERROR(ROUND(_xlfn.IFS(offer_sale_type="поставка",AB720,offer_sale_type="транзит",S720)*AC720,2),0)</f>
        <v/>
      </c>
      <c r="AG720" s="192">
        <f>$BD720*VLOOKUP($AG$3,$AF$4:$AG$7,2,FALSE)</f>
        <v/>
      </c>
      <c r="AH720" s="76">
        <f>SUM(AE720,AG720,AI720)*rate_forex_risk</f>
        <v/>
      </c>
      <c r="AI720" s="193">
        <f>IF(OR(seller_region="TR",offer_sale_type="экспорт"),0,rate_fin_comm)*SUM(AZ720,AZ720*AW720,T720)</f>
        <v/>
      </c>
      <c r="AJ720" s="118">
        <f>IFERROR(ROUND(SUM(AB720,AF720:AI720)/E720,2),0)</f>
        <v/>
      </c>
      <c r="AK720" s="76">
        <f>AJ720*E720</f>
        <v/>
      </c>
      <c r="AL720" s="174">
        <f>ROUND(IFERROR(AM720*E720,0),2)</f>
        <v/>
      </c>
      <c r="AM720" s="175">
        <f>ROUND(AJ720*(1+IF(offer_incoterms="DDP",IF((TODAY()+offer_turnaround_time)&gt;=helpsheet!$L$17,rate_vatRU_from_26,rate_vatRu_till_25),0)),2)</f>
        <v/>
      </c>
      <c r="AN720" s="192">
        <f>AL720-AK720</f>
        <v/>
      </c>
      <c r="AO720" s="76">
        <f>SUM(AY720,Y720:Z720,T720)*IF(AND(offer_incoterms="DDP",offer_sale_type&lt;&gt;"экспорт"),IF((TODAY()+offer_turnaround_time)&gt;=helpsheet!$L$17,rate_vatRU_from_26,rate_vatRu_till_25),0)</f>
        <v/>
      </c>
      <c r="AP720" s="193">
        <f>AN720-AO720</f>
        <v/>
      </c>
      <c r="AQ720" s="118">
        <f>IF(offer_sale_type="транзит",SUM(AF720:AI720,BA720,BB720),0)</f>
        <v/>
      </c>
      <c r="AR720" s="82">
        <f>HYPERLINK("https://www.alta.ru/tnved/code/")&amp;W720&amp;"/"</f>
        <v/>
      </c>
      <c r="AS720" s="157" t="n"/>
      <c r="AT720" s="162" t="n"/>
      <c r="AU720" s="76">
        <f>IF(ISBLANK(AT720),0,AJ720-AT720)</f>
        <v/>
      </c>
      <c r="AV720" s="157" t="n"/>
      <c r="AW720" s="75">
        <f>_xlfn.IFNA(VLOOKUP(L720,list_vat[],3,FALSE),0)</f>
        <v/>
      </c>
      <c r="AX720" s="76">
        <f>IFERROR(ROUND(S720*(1+AW720)/E720,2),0)</f>
        <v/>
      </c>
      <c r="AY720" s="76">
        <f>E720*AX720</f>
        <v/>
      </c>
      <c r="AZ720" s="192">
        <f>S720*(1+M720)</f>
        <v/>
      </c>
      <c r="BA720" s="76">
        <f>cost_fin_total*$BD720</f>
        <v/>
      </c>
      <c r="BB720" s="193">
        <f>credit_sales_interest*BD720</f>
        <v/>
      </c>
      <c r="BC720" s="102">
        <f>IFERROR(IF($I$13&gt;0,$I720/$I$13,$S720/$S$13),0)</f>
        <v/>
      </c>
      <c r="BD720" s="102">
        <f>IFERROR($S720/$S$13,0)</f>
        <v/>
      </c>
      <c r="BE720" s="413" t="inlineStr">
        <is>
          <t>$</t>
        </is>
      </c>
    </row>
    <row r="721" ht="12" customFormat="1" customHeight="1" s="65">
      <c r="A721" s="43" t="n">
        <v>706</v>
      </c>
      <c r="B721" s="166" t="n"/>
      <c r="C721" s="166" t="n"/>
      <c r="D721" s="166" t="n"/>
      <c r="E721" s="162" t="n"/>
      <c r="F721" s="166" t="n"/>
      <c r="G721" s="162" t="n"/>
      <c r="H721" s="162" t="n"/>
      <c r="I721" s="189">
        <f>E721*G721</f>
        <v/>
      </c>
      <c r="J721" s="195" t="n"/>
      <c r="K721" s="162" t="n"/>
      <c r="L721" s="168" t="n"/>
      <c r="M721" s="75">
        <f>_xlfn.XLOOKUP(L721,list_vat[Страна],list_vat[Ставка НДС %],0,0)</f>
        <v/>
      </c>
      <c r="N721" s="162">
        <f>IFERROR(IF(L721="Китай",K721,K721/(1+M721)),0)</f>
        <v/>
      </c>
      <c r="O721" s="169" t="n"/>
      <c r="P721" s="76">
        <f>N721*(1-O721)</f>
        <v/>
      </c>
      <c r="Q721" s="162" t="n"/>
      <c r="R721" s="162">
        <f>IF(ISBLANK(Q721),"введи курс",P721/Q721)</f>
        <v/>
      </c>
      <c r="S721" s="196">
        <f>IF(AND(ISNUMBER(E721),ISNUMBER(Q721)),E721*R721,0)</f>
        <v/>
      </c>
      <c r="T721" s="192">
        <f>$BC721*V$11</f>
        <v/>
      </c>
      <c r="U721" s="76">
        <f>$BC721*W$11</f>
        <v/>
      </c>
      <c r="V721" s="193">
        <f>+SUM(T721:U721)</f>
        <v/>
      </c>
      <c r="W721" s="191" t="n"/>
      <c r="X721" s="170" t="n"/>
      <c r="Y721" s="76">
        <f>ROUND(IF(offer_incoterms="DDP",X721*(S721*(1+AW721)+T721),0),2)</f>
        <v/>
      </c>
      <c r="Z721" s="188" t="n"/>
      <c r="AA721" s="192">
        <f>IFERROR(AB721/E721,0)</f>
        <v/>
      </c>
      <c r="AB721" s="76">
        <f>ROUND(SUM(S721,V721,Y721:Z721,BA721:BB721),2)</f>
        <v/>
      </c>
      <c r="AC721" s="797" t="n"/>
      <c r="AD721" s="192">
        <f t="array" ref="AD721">IFERROR(ROUND((_xlfn.IFS(offer_sale_type="поставка",AB721,offer_sale_type="транзит",S721)*(1+AC721))/E721,2),0)</f>
        <v/>
      </c>
      <c r="AE721" s="76">
        <f>AD721*E721</f>
        <v/>
      </c>
      <c r="AF721" s="193">
        <f t="array" ref="AF721">IFERROR(ROUND(_xlfn.IFS(offer_sale_type="поставка",AB721,offer_sale_type="транзит",S721)*AC721,2),0)</f>
        <v/>
      </c>
      <c r="AG721" s="192">
        <f>$BD721*VLOOKUP($AG$3,$AF$4:$AG$7,2,FALSE)</f>
        <v/>
      </c>
      <c r="AH721" s="76">
        <f>SUM(AE721,AG721,AI721)*rate_forex_risk</f>
        <v/>
      </c>
      <c r="AI721" s="193">
        <f>IF(OR(seller_region="TR",offer_sale_type="экспорт"),0,rate_fin_comm)*SUM(AZ721,AZ721*AW721,T721)</f>
        <v/>
      </c>
      <c r="AJ721" s="118">
        <f>IFERROR(ROUND(SUM(AB721,AF721:AI721)/E721,2),0)</f>
        <v/>
      </c>
      <c r="AK721" s="76">
        <f>AJ721*E721</f>
        <v/>
      </c>
      <c r="AL721" s="174">
        <f>ROUND(IFERROR(AM721*E721,0),2)</f>
        <v/>
      </c>
      <c r="AM721" s="175">
        <f>ROUND(AJ721*(1+IF(offer_incoterms="DDP",IF((TODAY()+offer_turnaround_time)&gt;=helpsheet!$L$17,rate_vatRU_from_26,rate_vatRu_till_25),0)),2)</f>
        <v/>
      </c>
      <c r="AN721" s="192">
        <f>AL721-AK721</f>
        <v/>
      </c>
      <c r="AO721" s="76">
        <f>SUM(AY721,Y721:Z721,T721)*IF(AND(offer_incoterms="DDP",offer_sale_type&lt;&gt;"экспорт"),IF((TODAY()+offer_turnaround_time)&gt;=helpsheet!$L$17,rate_vatRU_from_26,rate_vatRu_till_25),0)</f>
        <v/>
      </c>
      <c r="AP721" s="193">
        <f>AN721-AO721</f>
        <v/>
      </c>
      <c r="AQ721" s="118">
        <f>IF(offer_sale_type="транзит",SUM(AF721:AI721,BA721,BB721),0)</f>
        <v/>
      </c>
      <c r="AR721" s="82">
        <f>HYPERLINK("https://www.alta.ru/tnved/code/")&amp;W721&amp;"/"</f>
        <v/>
      </c>
      <c r="AS721" s="157" t="n"/>
      <c r="AT721" s="162" t="n"/>
      <c r="AU721" s="76">
        <f>IF(ISBLANK(AT721),0,AJ721-AT721)</f>
        <v/>
      </c>
      <c r="AV721" s="157" t="n"/>
      <c r="AW721" s="75">
        <f>_xlfn.IFNA(VLOOKUP(L721,list_vat[],3,FALSE),0)</f>
        <v/>
      </c>
      <c r="AX721" s="76">
        <f>IFERROR(ROUND(S721*(1+AW721)/E721,2),0)</f>
        <v/>
      </c>
      <c r="AY721" s="76">
        <f>E721*AX721</f>
        <v/>
      </c>
      <c r="AZ721" s="192">
        <f>S721*(1+M721)</f>
        <v/>
      </c>
      <c r="BA721" s="76">
        <f>cost_fin_total*$BD721</f>
        <v/>
      </c>
      <c r="BB721" s="193">
        <f>credit_sales_interest*BD721</f>
        <v/>
      </c>
      <c r="BC721" s="102">
        <f>IFERROR(IF($I$13&gt;0,$I721/$I$13,$S721/$S$13),0)</f>
        <v/>
      </c>
      <c r="BD721" s="102">
        <f>IFERROR($S721/$S$13,0)</f>
        <v/>
      </c>
      <c r="BE721" s="413" t="inlineStr">
        <is>
          <t>$</t>
        </is>
      </c>
    </row>
    <row r="722" ht="12" customFormat="1" customHeight="1" s="65">
      <c r="A722" s="43" t="n">
        <v>707</v>
      </c>
      <c r="B722" s="166" t="n"/>
      <c r="C722" s="166" t="n"/>
      <c r="D722" s="166" t="n"/>
      <c r="E722" s="162" t="n"/>
      <c r="F722" s="166" t="n"/>
      <c r="G722" s="162" t="n"/>
      <c r="H722" s="162" t="n"/>
      <c r="I722" s="189">
        <f>E722*G722</f>
        <v/>
      </c>
      <c r="J722" s="195" t="n"/>
      <c r="K722" s="162" t="n"/>
      <c r="L722" s="168" t="n"/>
      <c r="M722" s="75">
        <f>_xlfn.XLOOKUP(L722,list_vat[Страна],list_vat[Ставка НДС %],0,0)</f>
        <v/>
      </c>
      <c r="N722" s="162">
        <f>IFERROR(IF(L722="Китай",K722,K722/(1+M722)),0)</f>
        <v/>
      </c>
      <c r="O722" s="169" t="n"/>
      <c r="P722" s="76">
        <f>N722*(1-O722)</f>
        <v/>
      </c>
      <c r="Q722" s="162" t="n"/>
      <c r="R722" s="162">
        <f>IF(ISBLANK(Q722),"введи курс",P722/Q722)</f>
        <v/>
      </c>
      <c r="S722" s="196">
        <f>IF(AND(ISNUMBER(E722),ISNUMBER(Q722)),E722*R722,0)</f>
        <v/>
      </c>
      <c r="T722" s="192">
        <f>$BC722*V$11</f>
        <v/>
      </c>
      <c r="U722" s="76">
        <f>$BC722*W$11</f>
        <v/>
      </c>
      <c r="V722" s="193">
        <f>+SUM(T722:U722)</f>
        <v/>
      </c>
      <c r="W722" s="191" t="n"/>
      <c r="X722" s="170" t="n"/>
      <c r="Y722" s="76">
        <f>ROUND(IF(offer_incoterms="DDP",X722*(S722*(1+AW722)+T722),0),2)</f>
        <v/>
      </c>
      <c r="Z722" s="188" t="n"/>
      <c r="AA722" s="192">
        <f>IFERROR(AB722/E722,0)</f>
        <v/>
      </c>
      <c r="AB722" s="76">
        <f>ROUND(SUM(S722,V722,Y722:Z722,BA722:BB722),2)</f>
        <v/>
      </c>
      <c r="AC722" s="797" t="n"/>
      <c r="AD722" s="192">
        <f t="array" ref="AD722">IFERROR(ROUND((_xlfn.IFS(offer_sale_type="поставка",AB722,offer_sale_type="транзит",S722)*(1+AC722))/E722,2),0)</f>
        <v/>
      </c>
      <c r="AE722" s="76">
        <f>AD722*E722</f>
        <v/>
      </c>
      <c r="AF722" s="193">
        <f t="array" ref="AF722">IFERROR(ROUND(_xlfn.IFS(offer_sale_type="поставка",AB722,offer_sale_type="транзит",S722)*AC722,2),0)</f>
        <v/>
      </c>
      <c r="AG722" s="192">
        <f>$BD722*VLOOKUP($AG$3,$AF$4:$AG$7,2,FALSE)</f>
        <v/>
      </c>
      <c r="AH722" s="76">
        <f>SUM(AE722,AG722,AI722)*rate_forex_risk</f>
        <v/>
      </c>
      <c r="AI722" s="193">
        <f>IF(OR(seller_region="TR",offer_sale_type="экспорт"),0,rate_fin_comm)*SUM(AZ722,AZ722*AW722,T722)</f>
        <v/>
      </c>
      <c r="AJ722" s="118">
        <f>IFERROR(ROUND(SUM(AB722,AF722:AI722)/E722,2),0)</f>
        <v/>
      </c>
      <c r="AK722" s="76">
        <f>AJ722*E722</f>
        <v/>
      </c>
      <c r="AL722" s="174">
        <f>ROUND(IFERROR(AM722*E722,0),2)</f>
        <v/>
      </c>
      <c r="AM722" s="175">
        <f>ROUND(AJ722*(1+IF(offer_incoterms="DDP",IF((TODAY()+offer_turnaround_time)&gt;=helpsheet!$L$17,rate_vatRU_from_26,rate_vatRu_till_25),0)),2)</f>
        <v/>
      </c>
      <c r="AN722" s="192">
        <f>AL722-AK722</f>
        <v/>
      </c>
      <c r="AO722" s="76">
        <f>SUM(AY722,Y722:Z722,T722)*IF(AND(offer_incoterms="DDP",offer_sale_type&lt;&gt;"экспорт"),IF((TODAY()+offer_turnaround_time)&gt;=helpsheet!$L$17,rate_vatRU_from_26,rate_vatRu_till_25),0)</f>
        <v/>
      </c>
      <c r="AP722" s="193">
        <f>AN722-AO722</f>
        <v/>
      </c>
      <c r="AQ722" s="118">
        <f>IF(offer_sale_type="транзит",SUM(AF722:AI722,BA722,BB722),0)</f>
        <v/>
      </c>
      <c r="AR722" s="82">
        <f>HYPERLINK("https://www.alta.ru/tnved/code/")&amp;W722&amp;"/"</f>
        <v/>
      </c>
      <c r="AS722" s="157" t="n"/>
      <c r="AT722" s="162" t="n"/>
      <c r="AU722" s="76">
        <f>IF(ISBLANK(AT722),0,AJ722-AT722)</f>
        <v/>
      </c>
      <c r="AV722" s="157" t="n"/>
      <c r="AW722" s="75">
        <f>_xlfn.IFNA(VLOOKUP(L722,list_vat[],3,FALSE),0)</f>
        <v/>
      </c>
      <c r="AX722" s="76">
        <f>IFERROR(ROUND(S722*(1+AW722)/E722,2),0)</f>
        <v/>
      </c>
      <c r="AY722" s="76">
        <f>E722*AX722</f>
        <v/>
      </c>
      <c r="AZ722" s="192">
        <f>S722*(1+M722)</f>
        <v/>
      </c>
      <c r="BA722" s="76">
        <f>cost_fin_total*$BD722</f>
        <v/>
      </c>
      <c r="BB722" s="193">
        <f>credit_sales_interest*BD722</f>
        <v/>
      </c>
      <c r="BC722" s="102">
        <f>IFERROR(IF($I$13&gt;0,$I722/$I$13,$S722/$S$13),0)</f>
        <v/>
      </c>
      <c r="BD722" s="102">
        <f>IFERROR($S722/$S$13,0)</f>
        <v/>
      </c>
      <c r="BE722" s="413" t="inlineStr">
        <is>
          <t>$</t>
        </is>
      </c>
    </row>
    <row r="723" ht="12" customFormat="1" customHeight="1" s="65">
      <c r="A723" s="43" t="n">
        <v>708</v>
      </c>
      <c r="B723" s="166" t="n"/>
      <c r="C723" s="166" t="n"/>
      <c r="D723" s="166" t="n"/>
      <c r="E723" s="162" t="n"/>
      <c r="F723" s="166" t="n"/>
      <c r="G723" s="162" t="n"/>
      <c r="H723" s="162" t="n"/>
      <c r="I723" s="189">
        <f>E723*G723</f>
        <v/>
      </c>
      <c r="J723" s="195" t="n"/>
      <c r="K723" s="162" t="n"/>
      <c r="L723" s="168" t="n"/>
      <c r="M723" s="75">
        <f>_xlfn.XLOOKUP(L723,list_vat[Страна],list_vat[Ставка НДС %],0,0)</f>
        <v/>
      </c>
      <c r="N723" s="162">
        <f>IFERROR(IF(L723="Китай",K723,K723/(1+M723)),0)</f>
        <v/>
      </c>
      <c r="O723" s="169" t="n"/>
      <c r="P723" s="76">
        <f>N723*(1-O723)</f>
        <v/>
      </c>
      <c r="Q723" s="162" t="n"/>
      <c r="R723" s="162">
        <f>IF(ISBLANK(Q723),"введи курс",P723/Q723)</f>
        <v/>
      </c>
      <c r="S723" s="196">
        <f>IF(AND(ISNUMBER(E723),ISNUMBER(Q723)),E723*R723,0)</f>
        <v/>
      </c>
      <c r="T723" s="192">
        <f>$BC723*V$11</f>
        <v/>
      </c>
      <c r="U723" s="76">
        <f>$BC723*W$11</f>
        <v/>
      </c>
      <c r="V723" s="193">
        <f>+SUM(T723:U723)</f>
        <v/>
      </c>
      <c r="W723" s="191" t="n"/>
      <c r="X723" s="170" t="n"/>
      <c r="Y723" s="76">
        <f>ROUND(IF(offer_incoterms="DDP",X723*(S723*(1+AW723)+T723),0),2)</f>
        <v/>
      </c>
      <c r="Z723" s="188" t="n"/>
      <c r="AA723" s="192">
        <f>IFERROR(AB723/E723,0)</f>
        <v/>
      </c>
      <c r="AB723" s="76">
        <f>ROUND(SUM(S723,V723,Y723:Z723,BA723:BB723),2)</f>
        <v/>
      </c>
      <c r="AC723" s="797" t="n"/>
      <c r="AD723" s="192">
        <f t="array" ref="AD723">IFERROR(ROUND((_xlfn.IFS(offer_sale_type="поставка",AB723,offer_sale_type="транзит",S723)*(1+AC723))/E723,2),0)</f>
        <v/>
      </c>
      <c r="AE723" s="76">
        <f>AD723*E723</f>
        <v/>
      </c>
      <c r="AF723" s="193">
        <f t="array" ref="AF723">IFERROR(ROUND(_xlfn.IFS(offer_sale_type="поставка",AB723,offer_sale_type="транзит",S723)*AC723,2),0)</f>
        <v/>
      </c>
      <c r="AG723" s="192">
        <f>$BD723*VLOOKUP($AG$3,$AF$4:$AG$7,2,FALSE)</f>
        <v/>
      </c>
      <c r="AH723" s="76">
        <f>SUM(AE723,AG723,AI723)*rate_forex_risk</f>
        <v/>
      </c>
      <c r="AI723" s="193">
        <f>IF(OR(seller_region="TR",offer_sale_type="экспорт"),0,rate_fin_comm)*SUM(AZ723,AZ723*AW723,T723)</f>
        <v/>
      </c>
      <c r="AJ723" s="118">
        <f>IFERROR(ROUND(SUM(AB723,AF723:AI723)/E723,2),0)</f>
        <v/>
      </c>
      <c r="AK723" s="76">
        <f>AJ723*E723</f>
        <v/>
      </c>
      <c r="AL723" s="174">
        <f>ROUND(IFERROR(AM723*E723,0),2)</f>
        <v/>
      </c>
      <c r="AM723" s="175">
        <f>ROUND(AJ723*(1+IF(offer_incoterms="DDP",IF((TODAY()+offer_turnaround_time)&gt;=helpsheet!$L$17,rate_vatRU_from_26,rate_vatRu_till_25),0)),2)</f>
        <v/>
      </c>
      <c r="AN723" s="192">
        <f>AL723-AK723</f>
        <v/>
      </c>
      <c r="AO723" s="76">
        <f>SUM(AY723,Y723:Z723,T723)*IF(AND(offer_incoterms="DDP",offer_sale_type&lt;&gt;"экспорт"),IF((TODAY()+offer_turnaround_time)&gt;=helpsheet!$L$17,rate_vatRU_from_26,rate_vatRu_till_25),0)</f>
        <v/>
      </c>
      <c r="AP723" s="193">
        <f>AN723-AO723</f>
        <v/>
      </c>
      <c r="AQ723" s="118">
        <f>IF(offer_sale_type="транзит",SUM(AF723:AI723,BA723,BB723),0)</f>
        <v/>
      </c>
      <c r="AR723" s="82">
        <f>HYPERLINK("https://www.alta.ru/tnved/code/")&amp;W723&amp;"/"</f>
        <v/>
      </c>
      <c r="AS723" s="157" t="n"/>
      <c r="AT723" s="162" t="n"/>
      <c r="AU723" s="76">
        <f>IF(ISBLANK(AT723),0,AJ723-AT723)</f>
        <v/>
      </c>
      <c r="AV723" s="157" t="n"/>
      <c r="AW723" s="75">
        <f>_xlfn.IFNA(VLOOKUP(L723,list_vat[],3,FALSE),0)</f>
        <v/>
      </c>
      <c r="AX723" s="76">
        <f>IFERROR(ROUND(S723*(1+AW723)/E723,2),0)</f>
        <v/>
      </c>
      <c r="AY723" s="76">
        <f>E723*AX723</f>
        <v/>
      </c>
      <c r="AZ723" s="192">
        <f>S723*(1+M723)</f>
        <v/>
      </c>
      <c r="BA723" s="76">
        <f>cost_fin_total*$BD723</f>
        <v/>
      </c>
      <c r="BB723" s="193">
        <f>credit_sales_interest*BD723</f>
        <v/>
      </c>
      <c r="BC723" s="102">
        <f>IFERROR(IF($I$13&gt;0,$I723/$I$13,$S723/$S$13),0)</f>
        <v/>
      </c>
      <c r="BD723" s="102">
        <f>IFERROR($S723/$S$13,0)</f>
        <v/>
      </c>
      <c r="BE723" s="413" t="inlineStr">
        <is>
          <t>$</t>
        </is>
      </c>
    </row>
    <row r="724" ht="12" customFormat="1" customHeight="1" s="65">
      <c r="A724" s="43" t="n">
        <v>709</v>
      </c>
      <c r="B724" s="166" t="n"/>
      <c r="C724" s="166" t="n"/>
      <c r="D724" s="166" t="n"/>
      <c r="E724" s="162" t="n"/>
      <c r="F724" s="166" t="n"/>
      <c r="G724" s="162" t="n"/>
      <c r="H724" s="162" t="n"/>
      <c r="I724" s="189">
        <f>E724*G724</f>
        <v/>
      </c>
      <c r="J724" s="195" t="n"/>
      <c r="K724" s="162" t="n"/>
      <c r="L724" s="168" t="n"/>
      <c r="M724" s="75">
        <f>_xlfn.XLOOKUP(L724,list_vat[Страна],list_vat[Ставка НДС %],0,0)</f>
        <v/>
      </c>
      <c r="N724" s="162">
        <f>IFERROR(IF(L724="Китай",K724,K724/(1+M724)),0)</f>
        <v/>
      </c>
      <c r="O724" s="169" t="n"/>
      <c r="P724" s="76">
        <f>N724*(1-O724)</f>
        <v/>
      </c>
      <c r="Q724" s="162" t="n"/>
      <c r="R724" s="162">
        <f>IF(ISBLANK(Q724),"введи курс",P724/Q724)</f>
        <v/>
      </c>
      <c r="S724" s="196">
        <f>IF(AND(ISNUMBER(E724),ISNUMBER(Q724)),E724*R724,0)</f>
        <v/>
      </c>
      <c r="T724" s="192">
        <f>$BC724*V$11</f>
        <v/>
      </c>
      <c r="U724" s="76">
        <f>$BC724*W$11</f>
        <v/>
      </c>
      <c r="V724" s="193">
        <f>+SUM(T724:U724)</f>
        <v/>
      </c>
      <c r="W724" s="191" t="n"/>
      <c r="X724" s="170" t="n"/>
      <c r="Y724" s="76">
        <f>ROUND(IF(offer_incoterms="DDP",X724*(S724*(1+AW724)+T724),0),2)</f>
        <v/>
      </c>
      <c r="Z724" s="188" t="n"/>
      <c r="AA724" s="192">
        <f>IFERROR(AB724/E724,0)</f>
        <v/>
      </c>
      <c r="AB724" s="76">
        <f>ROUND(SUM(S724,V724,Y724:Z724,BA724:BB724),2)</f>
        <v/>
      </c>
      <c r="AC724" s="797" t="n"/>
      <c r="AD724" s="192">
        <f t="array" ref="AD724">IFERROR(ROUND((_xlfn.IFS(offer_sale_type="поставка",AB724,offer_sale_type="транзит",S724)*(1+AC724))/E724,2),0)</f>
        <v/>
      </c>
      <c r="AE724" s="76">
        <f>AD724*E724</f>
        <v/>
      </c>
      <c r="AF724" s="193">
        <f t="array" ref="AF724">IFERROR(ROUND(_xlfn.IFS(offer_sale_type="поставка",AB724,offer_sale_type="транзит",S724)*AC724,2),0)</f>
        <v/>
      </c>
      <c r="AG724" s="192">
        <f>$BD724*VLOOKUP($AG$3,$AF$4:$AG$7,2,FALSE)</f>
        <v/>
      </c>
      <c r="AH724" s="76">
        <f>SUM(AE724,AG724,AI724)*rate_forex_risk</f>
        <v/>
      </c>
      <c r="AI724" s="193">
        <f>IF(OR(seller_region="TR",offer_sale_type="экспорт"),0,rate_fin_comm)*SUM(AZ724,AZ724*AW724,T724)</f>
        <v/>
      </c>
      <c r="AJ724" s="118">
        <f>IFERROR(ROUND(SUM(AB724,AF724:AI724)/E724,2),0)</f>
        <v/>
      </c>
      <c r="AK724" s="76">
        <f>AJ724*E724</f>
        <v/>
      </c>
      <c r="AL724" s="174">
        <f>ROUND(IFERROR(AM724*E724,0),2)</f>
        <v/>
      </c>
      <c r="AM724" s="175">
        <f>ROUND(AJ724*(1+IF(offer_incoterms="DDP",IF((TODAY()+offer_turnaround_time)&gt;=helpsheet!$L$17,rate_vatRU_from_26,rate_vatRu_till_25),0)),2)</f>
        <v/>
      </c>
      <c r="AN724" s="192">
        <f>AL724-AK724</f>
        <v/>
      </c>
      <c r="AO724" s="76">
        <f>SUM(AY724,Y724:Z724,T724)*IF(AND(offer_incoterms="DDP",offer_sale_type&lt;&gt;"экспорт"),IF((TODAY()+offer_turnaround_time)&gt;=helpsheet!$L$17,rate_vatRU_from_26,rate_vatRu_till_25),0)</f>
        <v/>
      </c>
      <c r="AP724" s="193">
        <f>AN724-AO724</f>
        <v/>
      </c>
      <c r="AQ724" s="118">
        <f>IF(offer_sale_type="транзит",SUM(AF724:AI724,BA724,BB724),0)</f>
        <v/>
      </c>
      <c r="AR724" s="82">
        <f>HYPERLINK("https://www.alta.ru/tnved/code/")&amp;W724&amp;"/"</f>
        <v/>
      </c>
      <c r="AS724" s="157" t="n"/>
      <c r="AT724" s="162" t="n"/>
      <c r="AU724" s="76">
        <f>IF(ISBLANK(AT724),0,AJ724-AT724)</f>
        <v/>
      </c>
      <c r="AV724" s="157" t="n"/>
      <c r="AW724" s="75">
        <f>_xlfn.IFNA(VLOOKUP(L724,list_vat[],3,FALSE),0)</f>
        <v/>
      </c>
      <c r="AX724" s="76">
        <f>IFERROR(ROUND(S724*(1+AW724)/E724,2),0)</f>
        <v/>
      </c>
      <c r="AY724" s="76">
        <f>E724*AX724</f>
        <v/>
      </c>
      <c r="AZ724" s="192">
        <f>S724*(1+M724)</f>
        <v/>
      </c>
      <c r="BA724" s="76">
        <f>cost_fin_total*$BD724</f>
        <v/>
      </c>
      <c r="BB724" s="193">
        <f>credit_sales_interest*BD724</f>
        <v/>
      </c>
      <c r="BC724" s="102">
        <f>IFERROR(IF($I$13&gt;0,$I724/$I$13,$S724/$S$13),0)</f>
        <v/>
      </c>
      <c r="BD724" s="102">
        <f>IFERROR($S724/$S$13,0)</f>
        <v/>
      </c>
      <c r="BE724" s="413" t="inlineStr">
        <is>
          <t>$</t>
        </is>
      </c>
    </row>
    <row r="725" ht="12" customFormat="1" customHeight="1" s="65">
      <c r="A725" s="43" t="n">
        <v>710</v>
      </c>
      <c r="B725" s="166" t="n"/>
      <c r="C725" s="166" t="n"/>
      <c r="D725" s="166" t="n"/>
      <c r="E725" s="162" t="n"/>
      <c r="F725" s="166" t="n"/>
      <c r="G725" s="162" t="n"/>
      <c r="H725" s="162" t="n"/>
      <c r="I725" s="189">
        <f>E725*G725</f>
        <v/>
      </c>
      <c r="J725" s="195" t="n"/>
      <c r="K725" s="162" t="n"/>
      <c r="L725" s="168" t="n"/>
      <c r="M725" s="75">
        <f>_xlfn.XLOOKUP(L725,list_vat[Страна],list_vat[Ставка НДС %],0,0)</f>
        <v/>
      </c>
      <c r="N725" s="162">
        <f>IFERROR(IF(L725="Китай",K725,K725/(1+M725)),0)</f>
        <v/>
      </c>
      <c r="O725" s="169" t="n"/>
      <c r="P725" s="76">
        <f>N725*(1-O725)</f>
        <v/>
      </c>
      <c r="Q725" s="162" t="n"/>
      <c r="R725" s="162">
        <f>IF(ISBLANK(Q725),"введи курс",P725/Q725)</f>
        <v/>
      </c>
      <c r="S725" s="196">
        <f>IF(AND(ISNUMBER(E725),ISNUMBER(Q725)),E725*R725,0)</f>
        <v/>
      </c>
      <c r="T725" s="192">
        <f>$BC725*V$11</f>
        <v/>
      </c>
      <c r="U725" s="76">
        <f>$BC725*W$11</f>
        <v/>
      </c>
      <c r="V725" s="193">
        <f>+SUM(T725:U725)</f>
        <v/>
      </c>
      <c r="W725" s="191" t="n"/>
      <c r="X725" s="170" t="n"/>
      <c r="Y725" s="76">
        <f>ROUND(IF(offer_incoterms="DDP",X725*(S725*(1+AW725)+T725),0),2)</f>
        <v/>
      </c>
      <c r="Z725" s="188" t="n"/>
      <c r="AA725" s="192">
        <f>IFERROR(AB725/E725,0)</f>
        <v/>
      </c>
      <c r="AB725" s="76">
        <f>ROUND(SUM(S725,V725,Y725:Z725,BA725:BB725),2)</f>
        <v/>
      </c>
      <c r="AC725" s="797" t="n"/>
      <c r="AD725" s="192">
        <f t="array" ref="AD725">IFERROR(ROUND((_xlfn.IFS(offer_sale_type="поставка",AB725,offer_sale_type="транзит",S725)*(1+AC725))/E725,2),0)</f>
        <v/>
      </c>
      <c r="AE725" s="76">
        <f>AD725*E725</f>
        <v/>
      </c>
      <c r="AF725" s="193">
        <f t="array" ref="AF725">IFERROR(ROUND(_xlfn.IFS(offer_sale_type="поставка",AB725,offer_sale_type="транзит",S725)*AC725,2),0)</f>
        <v/>
      </c>
      <c r="AG725" s="192">
        <f>$BD725*VLOOKUP($AG$3,$AF$4:$AG$7,2,FALSE)</f>
        <v/>
      </c>
      <c r="AH725" s="76">
        <f>SUM(AE725,AG725,AI725)*rate_forex_risk</f>
        <v/>
      </c>
      <c r="AI725" s="193">
        <f>IF(OR(seller_region="TR",offer_sale_type="экспорт"),0,rate_fin_comm)*SUM(AZ725,AZ725*AW725,T725)</f>
        <v/>
      </c>
      <c r="AJ725" s="118">
        <f>IFERROR(ROUND(SUM(AB725,AF725:AI725)/E725,2),0)</f>
        <v/>
      </c>
      <c r="AK725" s="76">
        <f>AJ725*E725</f>
        <v/>
      </c>
      <c r="AL725" s="174">
        <f>ROUND(IFERROR(AM725*E725,0),2)</f>
        <v/>
      </c>
      <c r="AM725" s="175">
        <f>ROUND(AJ725*(1+IF(offer_incoterms="DDP",IF((TODAY()+offer_turnaround_time)&gt;=helpsheet!$L$17,rate_vatRU_from_26,rate_vatRu_till_25),0)),2)</f>
        <v/>
      </c>
      <c r="AN725" s="192">
        <f>AL725-AK725</f>
        <v/>
      </c>
      <c r="AO725" s="76">
        <f>SUM(AY725,Y725:Z725,T725)*IF(AND(offer_incoterms="DDP",offer_sale_type&lt;&gt;"экспорт"),IF((TODAY()+offer_turnaround_time)&gt;=helpsheet!$L$17,rate_vatRU_from_26,rate_vatRu_till_25),0)</f>
        <v/>
      </c>
      <c r="AP725" s="193">
        <f>AN725-AO725</f>
        <v/>
      </c>
      <c r="AQ725" s="118">
        <f>IF(offer_sale_type="транзит",SUM(AF725:AI725,BA725,BB725),0)</f>
        <v/>
      </c>
      <c r="AR725" s="82">
        <f>HYPERLINK("https://www.alta.ru/tnved/code/")&amp;W725&amp;"/"</f>
        <v/>
      </c>
      <c r="AS725" s="157" t="n"/>
      <c r="AT725" s="162" t="n"/>
      <c r="AU725" s="76">
        <f>IF(ISBLANK(AT725),0,AJ725-AT725)</f>
        <v/>
      </c>
      <c r="AV725" s="157" t="n"/>
      <c r="AW725" s="75">
        <f>_xlfn.IFNA(VLOOKUP(L725,list_vat[],3,FALSE),0)</f>
        <v/>
      </c>
      <c r="AX725" s="76">
        <f>IFERROR(ROUND(S725*(1+AW725)/E725,2),0)</f>
        <v/>
      </c>
      <c r="AY725" s="76">
        <f>E725*AX725</f>
        <v/>
      </c>
      <c r="AZ725" s="192">
        <f>S725*(1+M725)</f>
        <v/>
      </c>
      <c r="BA725" s="76">
        <f>cost_fin_total*$BD725</f>
        <v/>
      </c>
      <c r="BB725" s="193">
        <f>credit_sales_interest*BD725</f>
        <v/>
      </c>
      <c r="BC725" s="102">
        <f>IFERROR(IF($I$13&gt;0,$I725/$I$13,$S725/$S$13),0)</f>
        <v/>
      </c>
      <c r="BD725" s="102">
        <f>IFERROR($S725/$S$13,0)</f>
        <v/>
      </c>
      <c r="BE725" s="413" t="inlineStr">
        <is>
          <t>$</t>
        </is>
      </c>
    </row>
    <row r="726" ht="12" customFormat="1" customHeight="1" s="65">
      <c r="A726" s="43" t="n">
        <v>711</v>
      </c>
      <c r="B726" s="166" t="n"/>
      <c r="C726" s="166" t="n"/>
      <c r="D726" s="166" t="n"/>
      <c r="E726" s="162" t="n"/>
      <c r="F726" s="166" t="n"/>
      <c r="G726" s="162" t="n"/>
      <c r="H726" s="162" t="n"/>
      <c r="I726" s="189">
        <f>E726*G726</f>
        <v/>
      </c>
      <c r="J726" s="195" t="n"/>
      <c r="K726" s="162" t="n"/>
      <c r="L726" s="168" t="n"/>
      <c r="M726" s="75">
        <f>_xlfn.XLOOKUP(L726,list_vat[Страна],list_vat[Ставка НДС %],0,0)</f>
        <v/>
      </c>
      <c r="N726" s="162">
        <f>IFERROR(IF(L726="Китай",K726,K726/(1+M726)),0)</f>
        <v/>
      </c>
      <c r="O726" s="169" t="n"/>
      <c r="P726" s="76">
        <f>N726*(1-O726)</f>
        <v/>
      </c>
      <c r="Q726" s="162" t="n"/>
      <c r="R726" s="162">
        <f>IF(ISBLANK(Q726),"введи курс",P726/Q726)</f>
        <v/>
      </c>
      <c r="S726" s="196">
        <f>IF(AND(ISNUMBER(E726),ISNUMBER(Q726)),E726*R726,0)</f>
        <v/>
      </c>
      <c r="T726" s="192">
        <f>$BC726*V$11</f>
        <v/>
      </c>
      <c r="U726" s="76">
        <f>$BC726*W$11</f>
        <v/>
      </c>
      <c r="V726" s="193">
        <f>+SUM(T726:U726)</f>
        <v/>
      </c>
      <c r="W726" s="191" t="n"/>
      <c r="X726" s="170" t="n"/>
      <c r="Y726" s="76">
        <f>ROUND(IF(offer_incoterms="DDP",X726*(S726*(1+AW726)+T726),0),2)</f>
        <v/>
      </c>
      <c r="Z726" s="188" t="n"/>
      <c r="AA726" s="192">
        <f>IFERROR(AB726/E726,0)</f>
        <v/>
      </c>
      <c r="AB726" s="76">
        <f>ROUND(SUM(S726,V726,Y726:Z726,BA726:BB726),2)</f>
        <v/>
      </c>
      <c r="AC726" s="797" t="n"/>
      <c r="AD726" s="192">
        <f t="array" ref="AD726">IFERROR(ROUND((_xlfn.IFS(offer_sale_type="поставка",AB726,offer_sale_type="транзит",S726)*(1+AC726))/E726,2),0)</f>
        <v/>
      </c>
      <c r="AE726" s="76">
        <f>AD726*E726</f>
        <v/>
      </c>
      <c r="AF726" s="193">
        <f t="array" ref="AF726">IFERROR(ROUND(_xlfn.IFS(offer_sale_type="поставка",AB726,offer_sale_type="транзит",S726)*AC726,2),0)</f>
        <v/>
      </c>
      <c r="AG726" s="192">
        <f>$BD726*VLOOKUP($AG$3,$AF$4:$AG$7,2,FALSE)</f>
        <v/>
      </c>
      <c r="AH726" s="76">
        <f>SUM(AE726,AG726,AI726)*rate_forex_risk</f>
        <v/>
      </c>
      <c r="AI726" s="193">
        <f>IF(OR(seller_region="TR",offer_sale_type="экспорт"),0,rate_fin_comm)*SUM(AZ726,AZ726*AW726,T726)</f>
        <v/>
      </c>
      <c r="AJ726" s="118">
        <f>IFERROR(ROUND(SUM(AB726,AF726:AI726)/E726,2),0)</f>
        <v/>
      </c>
      <c r="AK726" s="76">
        <f>AJ726*E726</f>
        <v/>
      </c>
      <c r="AL726" s="174">
        <f>ROUND(IFERROR(AM726*E726,0),2)</f>
        <v/>
      </c>
      <c r="AM726" s="175">
        <f>ROUND(AJ726*(1+IF(offer_incoterms="DDP",IF((TODAY()+offer_turnaround_time)&gt;=helpsheet!$L$17,rate_vatRU_from_26,rate_vatRu_till_25),0)),2)</f>
        <v/>
      </c>
      <c r="AN726" s="192">
        <f>AL726-AK726</f>
        <v/>
      </c>
      <c r="AO726" s="76">
        <f>SUM(AY726,Y726:Z726,T726)*IF(AND(offer_incoterms="DDP",offer_sale_type&lt;&gt;"экспорт"),IF((TODAY()+offer_turnaround_time)&gt;=helpsheet!$L$17,rate_vatRU_from_26,rate_vatRu_till_25),0)</f>
        <v/>
      </c>
      <c r="AP726" s="193">
        <f>AN726-AO726</f>
        <v/>
      </c>
      <c r="AQ726" s="118">
        <f>IF(offer_sale_type="транзит",SUM(AF726:AI726,BA726,BB726),0)</f>
        <v/>
      </c>
      <c r="AR726" s="82">
        <f>HYPERLINK("https://www.alta.ru/tnved/code/")&amp;W726&amp;"/"</f>
        <v/>
      </c>
      <c r="AS726" s="157" t="n"/>
      <c r="AT726" s="162" t="n"/>
      <c r="AU726" s="76">
        <f>IF(ISBLANK(AT726),0,AJ726-AT726)</f>
        <v/>
      </c>
      <c r="AV726" s="157" t="n"/>
      <c r="AW726" s="75">
        <f>_xlfn.IFNA(VLOOKUP(L726,list_vat[],3,FALSE),0)</f>
        <v/>
      </c>
      <c r="AX726" s="76">
        <f>IFERROR(ROUND(S726*(1+AW726)/E726,2),0)</f>
        <v/>
      </c>
      <c r="AY726" s="76">
        <f>E726*AX726</f>
        <v/>
      </c>
      <c r="AZ726" s="192">
        <f>S726*(1+M726)</f>
        <v/>
      </c>
      <c r="BA726" s="76">
        <f>cost_fin_total*$BD726</f>
        <v/>
      </c>
      <c r="BB726" s="193">
        <f>credit_sales_interest*BD726</f>
        <v/>
      </c>
      <c r="BC726" s="102">
        <f>IFERROR(IF($I$13&gt;0,$I726/$I$13,$S726/$S$13),0)</f>
        <v/>
      </c>
      <c r="BD726" s="102">
        <f>IFERROR($S726/$S$13,0)</f>
        <v/>
      </c>
      <c r="BE726" s="413" t="inlineStr">
        <is>
          <t>$</t>
        </is>
      </c>
    </row>
    <row r="727" ht="12" customFormat="1" customHeight="1" s="65">
      <c r="A727" s="43" t="n">
        <v>712</v>
      </c>
      <c r="B727" s="166" t="n"/>
      <c r="C727" s="166" t="n"/>
      <c r="D727" s="166" t="n"/>
      <c r="E727" s="162" t="n"/>
      <c r="F727" s="166" t="n"/>
      <c r="G727" s="162" t="n"/>
      <c r="H727" s="162" t="n"/>
      <c r="I727" s="189">
        <f>E727*G727</f>
        <v/>
      </c>
      <c r="J727" s="195" t="n"/>
      <c r="K727" s="162" t="n"/>
      <c r="L727" s="168" t="n"/>
      <c r="M727" s="75">
        <f>_xlfn.XLOOKUP(L727,list_vat[Страна],list_vat[Ставка НДС %],0,0)</f>
        <v/>
      </c>
      <c r="N727" s="162">
        <f>IFERROR(IF(L727="Китай",K727,K727/(1+M727)),0)</f>
        <v/>
      </c>
      <c r="O727" s="169" t="n"/>
      <c r="P727" s="76">
        <f>N727*(1-O727)</f>
        <v/>
      </c>
      <c r="Q727" s="162" t="n"/>
      <c r="R727" s="162">
        <f>IF(ISBLANK(Q727),"введи курс",P727/Q727)</f>
        <v/>
      </c>
      <c r="S727" s="196">
        <f>IF(AND(ISNUMBER(E727),ISNUMBER(Q727)),E727*R727,0)</f>
        <v/>
      </c>
      <c r="T727" s="192">
        <f>$BC727*V$11</f>
        <v/>
      </c>
      <c r="U727" s="76">
        <f>$BC727*W$11</f>
        <v/>
      </c>
      <c r="V727" s="193">
        <f>+SUM(T727:U727)</f>
        <v/>
      </c>
      <c r="W727" s="191" t="n"/>
      <c r="X727" s="170" t="n"/>
      <c r="Y727" s="76">
        <f>ROUND(IF(offer_incoterms="DDP",X727*(S727*(1+AW727)+T727),0),2)</f>
        <v/>
      </c>
      <c r="Z727" s="188" t="n"/>
      <c r="AA727" s="192">
        <f>IFERROR(AB727/E727,0)</f>
        <v/>
      </c>
      <c r="AB727" s="76">
        <f>ROUND(SUM(S727,V727,Y727:Z727,BA727:BB727),2)</f>
        <v/>
      </c>
      <c r="AC727" s="797" t="n"/>
      <c r="AD727" s="192">
        <f t="array" ref="AD727">IFERROR(ROUND((_xlfn.IFS(offer_sale_type="поставка",AB727,offer_sale_type="транзит",S727)*(1+AC727))/E727,2),0)</f>
        <v/>
      </c>
      <c r="AE727" s="76">
        <f>AD727*E727</f>
        <v/>
      </c>
      <c r="AF727" s="193">
        <f t="array" ref="AF727">IFERROR(ROUND(_xlfn.IFS(offer_sale_type="поставка",AB727,offer_sale_type="транзит",S727)*AC727,2),0)</f>
        <v/>
      </c>
      <c r="AG727" s="192">
        <f>$BD727*VLOOKUP($AG$3,$AF$4:$AG$7,2,FALSE)</f>
        <v/>
      </c>
      <c r="AH727" s="76">
        <f>SUM(AE727,AG727,AI727)*rate_forex_risk</f>
        <v/>
      </c>
      <c r="AI727" s="193">
        <f>IF(OR(seller_region="TR",offer_sale_type="экспорт"),0,rate_fin_comm)*SUM(AZ727,AZ727*AW727,T727)</f>
        <v/>
      </c>
      <c r="AJ727" s="118">
        <f>IFERROR(ROUND(SUM(AB727,AF727:AI727)/E727,2),0)</f>
        <v/>
      </c>
      <c r="AK727" s="76">
        <f>AJ727*E727</f>
        <v/>
      </c>
      <c r="AL727" s="174">
        <f>ROUND(IFERROR(AM727*E727,0),2)</f>
        <v/>
      </c>
      <c r="AM727" s="175">
        <f>ROUND(AJ727*(1+IF(offer_incoterms="DDP",IF((TODAY()+offer_turnaround_time)&gt;=helpsheet!$L$17,rate_vatRU_from_26,rate_vatRu_till_25),0)),2)</f>
        <v/>
      </c>
      <c r="AN727" s="192">
        <f>AL727-AK727</f>
        <v/>
      </c>
      <c r="AO727" s="76">
        <f>SUM(AY727,Y727:Z727,T727)*IF(AND(offer_incoterms="DDP",offer_sale_type&lt;&gt;"экспорт"),IF((TODAY()+offer_turnaround_time)&gt;=helpsheet!$L$17,rate_vatRU_from_26,rate_vatRu_till_25),0)</f>
        <v/>
      </c>
      <c r="AP727" s="193">
        <f>AN727-AO727</f>
        <v/>
      </c>
      <c r="AQ727" s="118">
        <f>IF(offer_sale_type="транзит",SUM(AF727:AI727,BA727,BB727),0)</f>
        <v/>
      </c>
      <c r="AR727" s="82">
        <f>HYPERLINK("https://www.alta.ru/tnved/code/")&amp;W727&amp;"/"</f>
        <v/>
      </c>
      <c r="AS727" s="157" t="n"/>
      <c r="AT727" s="162" t="n"/>
      <c r="AU727" s="76">
        <f>IF(ISBLANK(AT727),0,AJ727-AT727)</f>
        <v/>
      </c>
      <c r="AV727" s="157" t="n"/>
      <c r="AW727" s="75">
        <f>_xlfn.IFNA(VLOOKUP(L727,list_vat[],3,FALSE),0)</f>
        <v/>
      </c>
      <c r="AX727" s="76">
        <f>IFERROR(ROUND(S727*(1+AW727)/E727,2),0)</f>
        <v/>
      </c>
      <c r="AY727" s="76">
        <f>E727*AX727</f>
        <v/>
      </c>
      <c r="AZ727" s="192">
        <f>S727*(1+M727)</f>
        <v/>
      </c>
      <c r="BA727" s="76">
        <f>cost_fin_total*$BD727</f>
        <v/>
      </c>
      <c r="BB727" s="193">
        <f>credit_sales_interest*BD727</f>
        <v/>
      </c>
      <c r="BC727" s="102">
        <f>IFERROR(IF($I$13&gt;0,$I727/$I$13,$S727/$S$13),0)</f>
        <v/>
      </c>
      <c r="BD727" s="102">
        <f>IFERROR($S727/$S$13,0)</f>
        <v/>
      </c>
      <c r="BE727" s="413" t="inlineStr">
        <is>
          <t>$</t>
        </is>
      </c>
    </row>
    <row r="728" ht="12" customFormat="1" customHeight="1" s="65">
      <c r="A728" s="43" t="n">
        <v>713</v>
      </c>
      <c r="B728" s="166" t="n"/>
      <c r="C728" s="166" t="n"/>
      <c r="D728" s="166" t="n"/>
      <c r="E728" s="162" t="n"/>
      <c r="F728" s="166" t="n"/>
      <c r="G728" s="162" t="n"/>
      <c r="H728" s="162" t="n"/>
      <c r="I728" s="189">
        <f>E728*G728</f>
        <v/>
      </c>
      <c r="J728" s="195" t="n"/>
      <c r="K728" s="162" t="n"/>
      <c r="L728" s="168" t="n"/>
      <c r="M728" s="75">
        <f>_xlfn.XLOOKUP(L728,list_vat[Страна],list_vat[Ставка НДС %],0,0)</f>
        <v/>
      </c>
      <c r="N728" s="162">
        <f>IFERROR(IF(L728="Китай",K728,K728/(1+M728)),0)</f>
        <v/>
      </c>
      <c r="O728" s="169" t="n"/>
      <c r="P728" s="76">
        <f>N728*(1-O728)</f>
        <v/>
      </c>
      <c r="Q728" s="162" t="n"/>
      <c r="R728" s="162">
        <f>IF(ISBLANK(Q728),"введи курс",P728/Q728)</f>
        <v/>
      </c>
      <c r="S728" s="196">
        <f>IF(AND(ISNUMBER(E728),ISNUMBER(Q728)),E728*R728,0)</f>
        <v/>
      </c>
      <c r="T728" s="192">
        <f>$BC728*V$11</f>
        <v/>
      </c>
      <c r="U728" s="76">
        <f>$BC728*W$11</f>
        <v/>
      </c>
      <c r="V728" s="193">
        <f>+SUM(T728:U728)</f>
        <v/>
      </c>
      <c r="W728" s="191" t="n"/>
      <c r="X728" s="170" t="n"/>
      <c r="Y728" s="76">
        <f>ROUND(IF(offer_incoterms="DDP",X728*(S728*(1+AW728)+T728),0),2)</f>
        <v/>
      </c>
      <c r="Z728" s="188" t="n"/>
      <c r="AA728" s="192">
        <f>IFERROR(AB728/E728,0)</f>
        <v/>
      </c>
      <c r="AB728" s="76">
        <f>ROUND(SUM(S728,V728,Y728:Z728,BA728:BB728),2)</f>
        <v/>
      </c>
      <c r="AC728" s="797" t="n"/>
      <c r="AD728" s="192">
        <f t="array" ref="AD728">IFERROR(ROUND((_xlfn.IFS(offer_sale_type="поставка",AB728,offer_sale_type="транзит",S728)*(1+AC728))/E728,2),0)</f>
        <v/>
      </c>
      <c r="AE728" s="76">
        <f>AD728*E728</f>
        <v/>
      </c>
      <c r="AF728" s="193">
        <f t="array" ref="AF728">IFERROR(ROUND(_xlfn.IFS(offer_sale_type="поставка",AB728,offer_sale_type="транзит",S728)*AC728,2),0)</f>
        <v/>
      </c>
      <c r="AG728" s="192">
        <f>$BD728*VLOOKUP($AG$3,$AF$4:$AG$7,2,FALSE)</f>
        <v/>
      </c>
      <c r="AH728" s="76">
        <f>SUM(AE728,AG728,AI728)*rate_forex_risk</f>
        <v/>
      </c>
      <c r="AI728" s="193">
        <f>IF(OR(seller_region="TR",offer_sale_type="экспорт"),0,rate_fin_comm)*SUM(AZ728,AZ728*AW728,T728)</f>
        <v/>
      </c>
      <c r="AJ728" s="118">
        <f>IFERROR(ROUND(SUM(AB728,AF728:AI728)/E728,2),0)</f>
        <v/>
      </c>
      <c r="AK728" s="76">
        <f>AJ728*E728</f>
        <v/>
      </c>
      <c r="AL728" s="174">
        <f>ROUND(IFERROR(AM728*E728,0),2)</f>
        <v/>
      </c>
      <c r="AM728" s="175">
        <f>ROUND(AJ728*(1+IF(offer_incoterms="DDP",IF((TODAY()+offer_turnaround_time)&gt;=helpsheet!$L$17,rate_vatRU_from_26,rate_vatRu_till_25),0)),2)</f>
        <v/>
      </c>
      <c r="AN728" s="192">
        <f>AL728-AK728</f>
        <v/>
      </c>
      <c r="AO728" s="76">
        <f>SUM(AY728,Y728:Z728,T728)*IF(AND(offer_incoterms="DDP",offer_sale_type&lt;&gt;"экспорт"),IF((TODAY()+offer_turnaround_time)&gt;=helpsheet!$L$17,rate_vatRU_from_26,rate_vatRu_till_25),0)</f>
        <v/>
      </c>
      <c r="AP728" s="193">
        <f>AN728-AO728</f>
        <v/>
      </c>
      <c r="AQ728" s="118">
        <f>IF(offer_sale_type="транзит",SUM(AF728:AI728,BA728,BB728),0)</f>
        <v/>
      </c>
      <c r="AR728" s="82">
        <f>HYPERLINK("https://www.alta.ru/tnved/code/")&amp;W728&amp;"/"</f>
        <v/>
      </c>
      <c r="AS728" s="157" t="n"/>
      <c r="AT728" s="162" t="n"/>
      <c r="AU728" s="76">
        <f>IF(ISBLANK(AT728),0,AJ728-AT728)</f>
        <v/>
      </c>
      <c r="AV728" s="157" t="n"/>
      <c r="AW728" s="75">
        <f>_xlfn.IFNA(VLOOKUP(L728,list_vat[],3,FALSE),0)</f>
        <v/>
      </c>
      <c r="AX728" s="76">
        <f>IFERROR(ROUND(S728*(1+AW728)/E728,2),0)</f>
        <v/>
      </c>
      <c r="AY728" s="76">
        <f>E728*AX728</f>
        <v/>
      </c>
      <c r="AZ728" s="192">
        <f>S728*(1+M728)</f>
        <v/>
      </c>
      <c r="BA728" s="76">
        <f>cost_fin_total*$BD728</f>
        <v/>
      </c>
      <c r="BB728" s="193">
        <f>credit_sales_interest*BD728</f>
        <v/>
      </c>
      <c r="BC728" s="102">
        <f>IFERROR(IF($I$13&gt;0,$I728/$I$13,$S728/$S$13),0)</f>
        <v/>
      </c>
      <c r="BD728" s="102">
        <f>IFERROR($S728/$S$13,0)</f>
        <v/>
      </c>
      <c r="BE728" s="413" t="inlineStr">
        <is>
          <t>$</t>
        </is>
      </c>
    </row>
    <row r="729" ht="12" customFormat="1" customHeight="1" s="65">
      <c r="A729" s="43" t="n">
        <v>714</v>
      </c>
      <c r="B729" s="166" t="n"/>
      <c r="C729" s="166" t="n"/>
      <c r="D729" s="166" t="n"/>
      <c r="E729" s="162" t="n"/>
      <c r="F729" s="166" t="n"/>
      <c r="G729" s="162" t="n"/>
      <c r="H729" s="162" t="n"/>
      <c r="I729" s="189">
        <f>E729*G729</f>
        <v/>
      </c>
      <c r="J729" s="195" t="n"/>
      <c r="K729" s="162" t="n"/>
      <c r="L729" s="168" t="n"/>
      <c r="M729" s="75">
        <f>_xlfn.XLOOKUP(L729,list_vat[Страна],list_vat[Ставка НДС %],0,0)</f>
        <v/>
      </c>
      <c r="N729" s="162">
        <f>IFERROR(IF(L729="Китай",K729,K729/(1+M729)),0)</f>
        <v/>
      </c>
      <c r="O729" s="169" t="n"/>
      <c r="P729" s="76">
        <f>N729*(1-O729)</f>
        <v/>
      </c>
      <c r="Q729" s="162" t="n"/>
      <c r="R729" s="162">
        <f>IF(ISBLANK(Q729),"введи курс",P729/Q729)</f>
        <v/>
      </c>
      <c r="S729" s="196">
        <f>IF(AND(ISNUMBER(E729),ISNUMBER(Q729)),E729*R729,0)</f>
        <v/>
      </c>
      <c r="T729" s="192">
        <f>$BC729*V$11</f>
        <v/>
      </c>
      <c r="U729" s="76">
        <f>$BC729*W$11</f>
        <v/>
      </c>
      <c r="V729" s="193">
        <f>+SUM(T729:U729)</f>
        <v/>
      </c>
      <c r="W729" s="191" t="n"/>
      <c r="X729" s="170" t="n"/>
      <c r="Y729" s="76">
        <f>ROUND(IF(offer_incoterms="DDP",X729*(S729*(1+AW729)+T729),0),2)</f>
        <v/>
      </c>
      <c r="Z729" s="188" t="n"/>
      <c r="AA729" s="192">
        <f>IFERROR(AB729/E729,0)</f>
        <v/>
      </c>
      <c r="AB729" s="76">
        <f>ROUND(SUM(S729,V729,Y729:Z729,BA729:BB729),2)</f>
        <v/>
      </c>
      <c r="AC729" s="797" t="n"/>
      <c r="AD729" s="192">
        <f t="array" ref="AD729">IFERROR(ROUND((_xlfn.IFS(offer_sale_type="поставка",AB729,offer_sale_type="транзит",S729)*(1+AC729))/E729,2),0)</f>
        <v/>
      </c>
      <c r="AE729" s="76">
        <f>AD729*E729</f>
        <v/>
      </c>
      <c r="AF729" s="193">
        <f t="array" ref="AF729">IFERROR(ROUND(_xlfn.IFS(offer_sale_type="поставка",AB729,offer_sale_type="транзит",S729)*AC729,2),0)</f>
        <v/>
      </c>
      <c r="AG729" s="192">
        <f>$BD729*VLOOKUP($AG$3,$AF$4:$AG$7,2,FALSE)</f>
        <v/>
      </c>
      <c r="AH729" s="76">
        <f>SUM(AE729,AG729,AI729)*rate_forex_risk</f>
        <v/>
      </c>
      <c r="AI729" s="193">
        <f>IF(OR(seller_region="TR",offer_sale_type="экспорт"),0,rate_fin_comm)*SUM(AZ729,AZ729*AW729,T729)</f>
        <v/>
      </c>
      <c r="AJ729" s="118">
        <f>IFERROR(ROUND(SUM(AB729,AF729:AI729)/E729,2),0)</f>
        <v/>
      </c>
      <c r="AK729" s="76">
        <f>AJ729*E729</f>
        <v/>
      </c>
      <c r="AL729" s="174">
        <f>ROUND(IFERROR(AM729*E729,0),2)</f>
        <v/>
      </c>
      <c r="AM729" s="175">
        <f>ROUND(AJ729*(1+IF(offer_incoterms="DDP",IF((TODAY()+offer_turnaround_time)&gt;=helpsheet!$L$17,rate_vatRU_from_26,rate_vatRu_till_25),0)),2)</f>
        <v/>
      </c>
      <c r="AN729" s="192">
        <f>AL729-AK729</f>
        <v/>
      </c>
      <c r="AO729" s="76">
        <f>SUM(AY729,Y729:Z729,T729)*IF(AND(offer_incoterms="DDP",offer_sale_type&lt;&gt;"экспорт"),IF((TODAY()+offer_turnaround_time)&gt;=helpsheet!$L$17,rate_vatRU_from_26,rate_vatRu_till_25),0)</f>
        <v/>
      </c>
      <c r="AP729" s="193">
        <f>AN729-AO729</f>
        <v/>
      </c>
      <c r="AQ729" s="118">
        <f>IF(offer_sale_type="транзит",SUM(AF729:AI729,BA729,BB729),0)</f>
        <v/>
      </c>
      <c r="AR729" s="82">
        <f>HYPERLINK("https://www.alta.ru/tnved/code/")&amp;W729&amp;"/"</f>
        <v/>
      </c>
      <c r="AS729" s="157" t="n"/>
      <c r="AT729" s="162" t="n"/>
      <c r="AU729" s="76">
        <f>IF(ISBLANK(AT729),0,AJ729-AT729)</f>
        <v/>
      </c>
      <c r="AV729" s="157" t="n"/>
      <c r="AW729" s="75">
        <f>_xlfn.IFNA(VLOOKUP(L729,list_vat[],3,FALSE),0)</f>
        <v/>
      </c>
      <c r="AX729" s="76">
        <f>IFERROR(ROUND(S729*(1+AW729)/E729,2),0)</f>
        <v/>
      </c>
      <c r="AY729" s="76">
        <f>E729*AX729</f>
        <v/>
      </c>
      <c r="AZ729" s="192">
        <f>S729*(1+M729)</f>
        <v/>
      </c>
      <c r="BA729" s="76">
        <f>cost_fin_total*$BD729</f>
        <v/>
      </c>
      <c r="BB729" s="193">
        <f>credit_sales_interest*BD729</f>
        <v/>
      </c>
      <c r="BC729" s="102">
        <f>IFERROR(IF($I$13&gt;0,$I729/$I$13,$S729/$S$13),0)</f>
        <v/>
      </c>
      <c r="BD729" s="102">
        <f>IFERROR($S729/$S$13,0)</f>
        <v/>
      </c>
      <c r="BE729" s="413" t="inlineStr">
        <is>
          <t>$</t>
        </is>
      </c>
    </row>
    <row r="730" ht="12" customFormat="1" customHeight="1" s="65">
      <c r="A730" s="43" t="n">
        <v>715</v>
      </c>
      <c r="B730" s="166" t="n"/>
      <c r="C730" s="166" t="n"/>
      <c r="D730" s="166" t="n"/>
      <c r="E730" s="162" t="n"/>
      <c r="F730" s="166" t="n"/>
      <c r="G730" s="162" t="n"/>
      <c r="H730" s="162" t="n"/>
      <c r="I730" s="189">
        <f>E730*G730</f>
        <v/>
      </c>
      <c r="J730" s="195" t="n"/>
      <c r="K730" s="162" t="n"/>
      <c r="L730" s="168" t="n"/>
      <c r="M730" s="75">
        <f>_xlfn.XLOOKUP(L730,list_vat[Страна],list_vat[Ставка НДС %],0,0)</f>
        <v/>
      </c>
      <c r="N730" s="162">
        <f>IFERROR(IF(L730="Китай",K730,K730/(1+M730)),0)</f>
        <v/>
      </c>
      <c r="O730" s="169" t="n"/>
      <c r="P730" s="76">
        <f>N730*(1-O730)</f>
        <v/>
      </c>
      <c r="Q730" s="162" t="n"/>
      <c r="R730" s="162">
        <f>IF(ISBLANK(Q730),"введи курс",P730/Q730)</f>
        <v/>
      </c>
      <c r="S730" s="196">
        <f>IF(AND(ISNUMBER(E730),ISNUMBER(Q730)),E730*R730,0)</f>
        <v/>
      </c>
      <c r="T730" s="192">
        <f>$BC730*V$11</f>
        <v/>
      </c>
      <c r="U730" s="76">
        <f>$BC730*W$11</f>
        <v/>
      </c>
      <c r="V730" s="193">
        <f>+SUM(T730:U730)</f>
        <v/>
      </c>
      <c r="W730" s="191" t="n"/>
      <c r="X730" s="170" t="n"/>
      <c r="Y730" s="76">
        <f>ROUND(IF(offer_incoterms="DDP",X730*(S730*(1+AW730)+T730),0),2)</f>
        <v/>
      </c>
      <c r="Z730" s="188" t="n"/>
      <c r="AA730" s="192">
        <f>IFERROR(AB730/E730,0)</f>
        <v/>
      </c>
      <c r="AB730" s="76">
        <f>ROUND(SUM(S730,V730,Y730:Z730,BA730:BB730),2)</f>
        <v/>
      </c>
      <c r="AC730" s="797" t="n"/>
      <c r="AD730" s="192">
        <f t="array" ref="AD730">IFERROR(ROUND((_xlfn.IFS(offer_sale_type="поставка",AB730,offer_sale_type="транзит",S730)*(1+AC730))/E730,2),0)</f>
        <v/>
      </c>
      <c r="AE730" s="76">
        <f>AD730*E730</f>
        <v/>
      </c>
      <c r="AF730" s="193">
        <f t="array" ref="AF730">IFERROR(ROUND(_xlfn.IFS(offer_sale_type="поставка",AB730,offer_sale_type="транзит",S730)*AC730,2),0)</f>
        <v/>
      </c>
      <c r="AG730" s="192">
        <f>$BD730*VLOOKUP($AG$3,$AF$4:$AG$7,2,FALSE)</f>
        <v/>
      </c>
      <c r="AH730" s="76">
        <f>SUM(AE730,AG730,AI730)*rate_forex_risk</f>
        <v/>
      </c>
      <c r="AI730" s="193">
        <f>IF(OR(seller_region="TR",offer_sale_type="экспорт"),0,rate_fin_comm)*SUM(AZ730,AZ730*AW730,T730)</f>
        <v/>
      </c>
      <c r="AJ730" s="118">
        <f>IFERROR(ROUND(SUM(AB730,AF730:AI730)/E730,2),0)</f>
        <v/>
      </c>
      <c r="AK730" s="76">
        <f>AJ730*E730</f>
        <v/>
      </c>
      <c r="AL730" s="174">
        <f>ROUND(IFERROR(AM730*E730,0),2)</f>
        <v/>
      </c>
      <c r="AM730" s="175">
        <f>ROUND(AJ730*(1+IF(offer_incoterms="DDP",IF((TODAY()+offer_turnaround_time)&gt;=helpsheet!$L$17,rate_vatRU_from_26,rate_vatRu_till_25),0)),2)</f>
        <v/>
      </c>
      <c r="AN730" s="192">
        <f>AL730-AK730</f>
        <v/>
      </c>
      <c r="AO730" s="76">
        <f>SUM(AY730,Y730:Z730,T730)*IF(AND(offer_incoterms="DDP",offer_sale_type&lt;&gt;"экспорт"),IF((TODAY()+offer_turnaround_time)&gt;=helpsheet!$L$17,rate_vatRU_from_26,rate_vatRu_till_25),0)</f>
        <v/>
      </c>
      <c r="AP730" s="193">
        <f>AN730-AO730</f>
        <v/>
      </c>
      <c r="AQ730" s="118">
        <f>IF(offer_sale_type="транзит",SUM(AF730:AI730,BA730,BB730),0)</f>
        <v/>
      </c>
      <c r="AR730" s="82">
        <f>HYPERLINK("https://www.alta.ru/tnved/code/")&amp;W730&amp;"/"</f>
        <v/>
      </c>
      <c r="AS730" s="157" t="n"/>
      <c r="AT730" s="162" t="n"/>
      <c r="AU730" s="76">
        <f>IF(ISBLANK(AT730),0,AJ730-AT730)</f>
        <v/>
      </c>
      <c r="AV730" s="157" t="n"/>
      <c r="AW730" s="75">
        <f>_xlfn.IFNA(VLOOKUP(L730,list_vat[],3,FALSE),0)</f>
        <v/>
      </c>
      <c r="AX730" s="76">
        <f>IFERROR(ROUND(S730*(1+AW730)/E730,2),0)</f>
        <v/>
      </c>
      <c r="AY730" s="76">
        <f>E730*AX730</f>
        <v/>
      </c>
      <c r="AZ730" s="192">
        <f>S730*(1+M730)</f>
        <v/>
      </c>
      <c r="BA730" s="76">
        <f>cost_fin_total*$BD730</f>
        <v/>
      </c>
      <c r="BB730" s="193">
        <f>credit_sales_interest*BD730</f>
        <v/>
      </c>
      <c r="BC730" s="102">
        <f>IFERROR(IF($I$13&gt;0,$I730/$I$13,$S730/$S$13),0)</f>
        <v/>
      </c>
      <c r="BD730" s="102">
        <f>IFERROR($S730/$S$13,0)</f>
        <v/>
      </c>
      <c r="BE730" s="413" t="inlineStr">
        <is>
          <t>$</t>
        </is>
      </c>
    </row>
    <row r="731" ht="12" customFormat="1" customHeight="1" s="65">
      <c r="A731" s="43" t="n">
        <v>716</v>
      </c>
      <c r="B731" s="166" t="n"/>
      <c r="C731" s="166" t="n"/>
      <c r="D731" s="166" t="n"/>
      <c r="E731" s="162" t="n"/>
      <c r="F731" s="166" t="n"/>
      <c r="G731" s="162" t="n"/>
      <c r="H731" s="162" t="n"/>
      <c r="I731" s="189">
        <f>E731*G731</f>
        <v/>
      </c>
      <c r="J731" s="195" t="n"/>
      <c r="K731" s="162" t="n"/>
      <c r="L731" s="168" t="n"/>
      <c r="M731" s="75">
        <f>_xlfn.XLOOKUP(L731,list_vat[Страна],list_vat[Ставка НДС %],0,0)</f>
        <v/>
      </c>
      <c r="N731" s="162">
        <f>IFERROR(IF(L731="Китай",K731,K731/(1+M731)),0)</f>
        <v/>
      </c>
      <c r="O731" s="169" t="n"/>
      <c r="P731" s="76">
        <f>N731*(1-O731)</f>
        <v/>
      </c>
      <c r="Q731" s="162" t="n"/>
      <c r="R731" s="162">
        <f>IF(ISBLANK(Q731),"введи курс",P731/Q731)</f>
        <v/>
      </c>
      <c r="S731" s="196">
        <f>IF(AND(ISNUMBER(E731),ISNUMBER(Q731)),E731*R731,0)</f>
        <v/>
      </c>
      <c r="T731" s="192">
        <f>$BC731*V$11</f>
        <v/>
      </c>
      <c r="U731" s="76">
        <f>$BC731*W$11</f>
        <v/>
      </c>
      <c r="V731" s="193">
        <f>+SUM(T731:U731)</f>
        <v/>
      </c>
      <c r="W731" s="191" t="n"/>
      <c r="X731" s="170" t="n"/>
      <c r="Y731" s="76">
        <f>ROUND(IF(offer_incoterms="DDP",X731*(S731*(1+AW731)+T731),0),2)</f>
        <v/>
      </c>
      <c r="Z731" s="188" t="n"/>
      <c r="AA731" s="192">
        <f>IFERROR(AB731/E731,0)</f>
        <v/>
      </c>
      <c r="AB731" s="76">
        <f>ROUND(SUM(S731,V731,Y731:Z731,BA731:BB731),2)</f>
        <v/>
      </c>
      <c r="AC731" s="797" t="n"/>
      <c r="AD731" s="192">
        <f t="array" ref="AD731">IFERROR(ROUND((_xlfn.IFS(offer_sale_type="поставка",AB731,offer_sale_type="транзит",S731)*(1+AC731))/E731,2),0)</f>
        <v/>
      </c>
      <c r="AE731" s="76">
        <f>AD731*E731</f>
        <v/>
      </c>
      <c r="AF731" s="193">
        <f t="array" ref="AF731">IFERROR(ROUND(_xlfn.IFS(offer_sale_type="поставка",AB731,offer_sale_type="транзит",S731)*AC731,2),0)</f>
        <v/>
      </c>
      <c r="AG731" s="192">
        <f>$BD731*VLOOKUP($AG$3,$AF$4:$AG$7,2,FALSE)</f>
        <v/>
      </c>
      <c r="AH731" s="76">
        <f>SUM(AE731,AG731,AI731)*rate_forex_risk</f>
        <v/>
      </c>
      <c r="AI731" s="193">
        <f>IF(OR(seller_region="TR",offer_sale_type="экспорт"),0,rate_fin_comm)*SUM(AZ731,AZ731*AW731,T731)</f>
        <v/>
      </c>
      <c r="AJ731" s="118">
        <f>IFERROR(ROUND(SUM(AB731,AF731:AI731)/E731,2),0)</f>
        <v/>
      </c>
      <c r="AK731" s="76">
        <f>AJ731*E731</f>
        <v/>
      </c>
      <c r="AL731" s="174">
        <f>ROUND(IFERROR(AM731*E731,0),2)</f>
        <v/>
      </c>
      <c r="AM731" s="175">
        <f>ROUND(AJ731*(1+IF(offer_incoterms="DDP",IF((TODAY()+offer_turnaround_time)&gt;=helpsheet!$L$17,rate_vatRU_from_26,rate_vatRu_till_25),0)),2)</f>
        <v/>
      </c>
      <c r="AN731" s="192">
        <f>AL731-AK731</f>
        <v/>
      </c>
      <c r="AO731" s="76">
        <f>SUM(AY731,Y731:Z731,T731)*IF(AND(offer_incoterms="DDP",offer_sale_type&lt;&gt;"экспорт"),IF((TODAY()+offer_turnaround_time)&gt;=helpsheet!$L$17,rate_vatRU_from_26,rate_vatRu_till_25),0)</f>
        <v/>
      </c>
      <c r="AP731" s="193">
        <f>AN731-AO731</f>
        <v/>
      </c>
      <c r="AQ731" s="118">
        <f>IF(offer_sale_type="транзит",SUM(AF731:AI731,BA731,BB731),0)</f>
        <v/>
      </c>
      <c r="AR731" s="82">
        <f>HYPERLINK("https://www.alta.ru/tnved/code/")&amp;W731&amp;"/"</f>
        <v/>
      </c>
      <c r="AS731" s="157" t="n"/>
      <c r="AT731" s="162" t="n"/>
      <c r="AU731" s="76">
        <f>IF(ISBLANK(AT731),0,AJ731-AT731)</f>
        <v/>
      </c>
      <c r="AV731" s="157" t="n"/>
      <c r="AW731" s="75">
        <f>_xlfn.IFNA(VLOOKUP(L731,list_vat[],3,FALSE),0)</f>
        <v/>
      </c>
      <c r="AX731" s="76">
        <f>IFERROR(ROUND(S731*(1+AW731)/E731,2),0)</f>
        <v/>
      </c>
      <c r="AY731" s="76">
        <f>E731*AX731</f>
        <v/>
      </c>
      <c r="AZ731" s="192">
        <f>S731*(1+M731)</f>
        <v/>
      </c>
      <c r="BA731" s="76">
        <f>cost_fin_total*$BD731</f>
        <v/>
      </c>
      <c r="BB731" s="193">
        <f>credit_sales_interest*BD731</f>
        <v/>
      </c>
      <c r="BC731" s="102">
        <f>IFERROR(IF($I$13&gt;0,$I731/$I$13,$S731/$S$13),0)</f>
        <v/>
      </c>
      <c r="BD731" s="102">
        <f>IFERROR($S731/$S$13,0)</f>
        <v/>
      </c>
      <c r="BE731" s="413" t="inlineStr">
        <is>
          <t>$</t>
        </is>
      </c>
    </row>
    <row r="732" ht="12" customFormat="1" customHeight="1" s="65">
      <c r="A732" s="43" t="n">
        <v>717</v>
      </c>
      <c r="B732" s="166" t="n"/>
      <c r="C732" s="166" t="n"/>
      <c r="D732" s="166" t="n"/>
      <c r="E732" s="162" t="n"/>
      <c r="F732" s="166" t="n"/>
      <c r="G732" s="162" t="n"/>
      <c r="H732" s="162" t="n"/>
      <c r="I732" s="189">
        <f>E732*G732</f>
        <v/>
      </c>
      <c r="J732" s="195" t="n"/>
      <c r="K732" s="162" t="n"/>
      <c r="L732" s="168" t="n"/>
      <c r="M732" s="75">
        <f>_xlfn.XLOOKUP(L732,list_vat[Страна],list_vat[Ставка НДС %],0,0)</f>
        <v/>
      </c>
      <c r="N732" s="162">
        <f>IFERROR(IF(L732="Китай",K732,K732/(1+M732)),0)</f>
        <v/>
      </c>
      <c r="O732" s="169" t="n"/>
      <c r="P732" s="76">
        <f>N732*(1-O732)</f>
        <v/>
      </c>
      <c r="Q732" s="162" t="n"/>
      <c r="R732" s="162">
        <f>IF(ISBLANK(Q732),"введи курс",P732/Q732)</f>
        <v/>
      </c>
      <c r="S732" s="196">
        <f>IF(AND(ISNUMBER(E732),ISNUMBER(Q732)),E732*R732,0)</f>
        <v/>
      </c>
      <c r="T732" s="192">
        <f>$BC732*V$11</f>
        <v/>
      </c>
      <c r="U732" s="76">
        <f>$BC732*W$11</f>
        <v/>
      </c>
      <c r="V732" s="193">
        <f>+SUM(T732:U732)</f>
        <v/>
      </c>
      <c r="W732" s="191" t="n"/>
      <c r="X732" s="170" t="n"/>
      <c r="Y732" s="76">
        <f>ROUND(IF(offer_incoterms="DDP",X732*(S732*(1+AW732)+T732),0),2)</f>
        <v/>
      </c>
      <c r="Z732" s="188" t="n"/>
      <c r="AA732" s="192">
        <f>IFERROR(AB732/E732,0)</f>
        <v/>
      </c>
      <c r="AB732" s="76">
        <f>ROUND(SUM(S732,V732,Y732:Z732,BA732:BB732),2)</f>
        <v/>
      </c>
      <c r="AC732" s="797" t="n"/>
      <c r="AD732" s="192">
        <f t="array" ref="AD732">IFERROR(ROUND((_xlfn.IFS(offer_sale_type="поставка",AB732,offer_sale_type="транзит",S732)*(1+AC732))/E732,2),0)</f>
        <v/>
      </c>
      <c r="AE732" s="76">
        <f>AD732*E732</f>
        <v/>
      </c>
      <c r="AF732" s="193">
        <f t="array" ref="AF732">IFERROR(ROUND(_xlfn.IFS(offer_sale_type="поставка",AB732,offer_sale_type="транзит",S732)*AC732,2),0)</f>
        <v/>
      </c>
      <c r="AG732" s="192">
        <f>$BD732*VLOOKUP($AG$3,$AF$4:$AG$7,2,FALSE)</f>
        <v/>
      </c>
      <c r="AH732" s="76">
        <f>SUM(AE732,AG732,AI732)*rate_forex_risk</f>
        <v/>
      </c>
      <c r="AI732" s="193">
        <f>IF(OR(seller_region="TR",offer_sale_type="экспорт"),0,rate_fin_comm)*SUM(AZ732,AZ732*AW732,T732)</f>
        <v/>
      </c>
      <c r="AJ732" s="118">
        <f>IFERROR(ROUND(SUM(AB732,AF732:AI732)/E732,2),0)</f>
        <v/>
      </c>
      <c r="AK732" s="76">
        <f>AJ732*E732</f>
        <v/>
      </c>
      <c r="AL732" s="174">
        <f>ROUND(IFERROR(AM732*E732,0),2)</f>
        <v/>
      </c>
      <c r="AM732" s="175">
        <f>ROUND(AJ732*(1+IF(offer_incoterms="DDP",IF((TODAY()+offer_turnaround_time)&gt;=helpsheet!$L$17,rate_vatRU_from_26,rate_vatRu_till_25),0)),2)</f>
        <v/>
      </c>
      <c r="AN732" s="192">
        <f>AL732-AK732</f>
        <v/>
      </c>
      <c r="AO732" s="76">
        <f>SUM(AY732,Y732:Z732,T732)*IF(AND(offer_incoterms="DDP",offer_sale_type&lt;&gt;"экспорт"),IF((TODAY()+offer_turnaround_time)&gt;=helpsheet!$L$17,rate_vatRU_from_26,rate_vatRu_till_25),0)</f>
        <v/>
      </c>
      <c r="AP732" s="193">
        <f>AN732-AO732</f>
        <v/>
      </c>
      <c r="AQ732" s="118">
        <f>IF(offer_sale_type="транзит",SUM(AF732:AI732,BA732,BB732),0)</f>
        <v/>
      </c>
      <c r="AR732" s="82">
        <f>HYPERLINK("https://www.alta.ru/tnved/code/")&amp;W732&amp;"/"</f>
        <v/>
      </c>
      <c r="AS732" s="157" t="n"/>
      <c r="AT732" s="162" t="n"/>
      <c r="AU732" s="76">
        <f>IF(ISBLANK(AT732),0,AJ732-AT732)</f>
        <v/>
      </c>
      <c r="AV732" s="157" t="n"/>
      <c r="AW732" s="75">
        <f>_xlfn.IFNA(VLOOKUP(L732,list_vat[],3,FALSE),0)</f>
        <v/>
      </c>
      <c r="AX732" s="76">
        <f>IFERROR(ROUND(S732*(1+AW732)/E732,2),0)</f>
        <v/>
      </c>
      <c r="AY732" s="76">
        <f>E732*AX732</f>
        <v/>
      </c>
      <c r="AZ732" s="192">
        <f>S732*(1+M732)</f>
        <v/>
      </c>
      <c r="BA732" s="76">
        <f>cost_fin_total*$BD732</f>
        <v/>
      </c>
      <c r="BB732" s="193">
        <f>credit_sales_interest*BD732</f>
        <v/>
      </c>
      <c r="BC732" s="102">
        <f>IFERROR(IF($I$13&gt;0,$I732/$I$13,$S732/$S$13),0)</f>
        <v/>
      </c>
      <c r="BD732" s="102">
        <f>IFERROR($S732/$S$13,0)</f>
        <v/>
      </c>
      <c r="BE732" s="413" t="inlineStr">
        <is>
          <t>$</t>
        </is>
      </c>
    </row>
    <row r="733" ht="12" customFormat="1" customHeight="1" s="65">
      <c r="A733" s="43" t="n">
        <v>718</v>
      </c>
      <c r="B733" s="166" t="n"/>
      <c r="C733" s="166" t="n"/>
      <c r="D733" s="166" t="n"/>
      <c r="E733" s="162" t="n"/>
      <c r="F733" s="166" t="n"/>
      <c r="G733" s="162" t="n"/>
      <c r="H733" s="162" t="n"/>
      <c r="I733" s="189">
        <f>E733*G733</f>
        <v/>
      </c>
      <c r="J733" s="195" t="n"/>
      <c r="K733" s="162" t="n"/>
      <c r="L733" s="168" t="n"/>
      <c r="M733" s="75">
        <f>_xlfn.XLOOKUP(L733,list_vat[Страна],list_vat[Ставка НДС %],0,0)</f>
        <v/>
      </c>
      <c r="N733" s="162">
        <f>IFERROR(IF(L733="Китай",K733,K733/(1+M733)),0)</f>
        <v/>
      </c>
      <c r="O733" s="169" t="n"/>
      <c r="P733" s="76">
        <f>N733*(1-O733)</f>
        <v/>
      </c>
      <c r="Q733" s="162" t="n"/>
      <c r="R733" s="162">
        <f>IF(ISBLANK(Q733),"введи курс",P733/Q733)</f>
        <v/>
      </c>
      <c r="S733" s="196">
        <f>IF(AND(ISNUMBER(E733),ISNUMBER(Q733)),E733*R733,0)</f>
        <v/>
      </c>
      <c r="T733" s="192">
        <f>$BC733*V$11</f>
        <v/>
      </c>
      <c r="U733" s="76">
        <f>$BC733*W$11</f>
        <v/>
      </c>
      <c r="V733" s="193">
        <f>+SUM(T733:U733)</f>
        <v/>
      </c>
      <c r="W733" s="191" t="n"/>
      <c r="X733" s="170" t="n"/>
      <c r="Y733" s="76">
        <f>ROUND(IF(offer_incoterms="DDP",X733*(S733*(1+AW733)+T733),0),2)</f>
        <v/>
      </c>
      <c r="Z733" s="188" t="n"/>
      <c r="AA733" s="192">
        <f>IFERROR(AB733/E733,0)</f>
        <v/>
      </c>
      <c r="AB733" s="76">
        <f>ROUND(SUM(S733,V733,Y733:Z733,BA733:BB733),2)</f>
        <v/>
      </c>
      <c r="AC733" s="797" t="n"/>
      <c r="AD733" s="192">
        <f t="array" ref="AD733">IFERROR(ROUND((_xlfn.IFS(offer_sale_type="поставка",AB733,offer_sale_type="транзит",S733)*(1+AC733))/E733,2),0)</f>
        <v/>
      </c>
      <c r="AE733" s="76">
        <f>AD733*E733</f>
        <v/>
      </c>
      <c r="AF733" s="193">
        <f t="array" ref="AF733">IFERROR(ROUND(_xlfn.IFS(offer_sale_type="поставка",AB733,offer_sale_type="транзит",S733)*AC733,2),0)</f>
        <v/>
      </c>
      <c r="AG733" s="192">
        <f>$BD733*VLOOKUP($AG$3,$AF$4:$AG$7,2,FALSE)</f>
        <v/>
      </c>
      <c r="AH733" s="76">
        <f>SUM(AE733,AG733,AI733)*rate_forex_risk</f>
        <v/>
      </c>
      <c r="AI733" s="193">
        <f>IF(OR(seller_region="TR",offer_sale_type="экспорт"),0,rate_fin_comm)*SUM(AZ733,AZ733*AW733,T733)</f>
        <v/>
      </c>
      <c r="AJ733" s="118">
        <f>IFERROR(ROUND(SUM(AB733,AF733:AI733)/E733,2),0)</f>
        <v/>
      </c>
      <c r="AK733" s="76">
        <f>AJ733*E733</f>
        <v/>
      </c>
      <c r="AL733" s="174">
        <f>ROUND(IFERROR(AM733*E733,0),2)</f>
        <v/>
      </c>
      <c r="AM733" s="175">
        <f>ROUND(AJ733*(1+IF(offer_incoterms="DDP",IF((TODAY()+offer_turnaround_time)&gt;=helpsheet!$L$17,rate_vatRU_from_26,rate_vatRu_till_25),0)),2)</f>
        <v/>
      </c>
      <c r="AN733" s="192">
        <f>AL733-AK733</f>
        <v/>
      </c>
      <c r="AO733" s="76">
        <f>SUM(AY733,Y733:Z733,T733)*IF(AND(offer_incoterms="DDP",offer_sale_type&lt;&gt;"экспорт"),IF((TODAY()+offer_turnaround_time)&gt;=helpsheet!$L$17,rate_vatRU_from_26,rate_vatRu_till_25),0)</f>
        <v/>
      </c>
      <c r="AP733" s="193">
        <f>AN733-AO733</f>
        <v/>
      </c>
      <c r="AQ733" s="118">
        <f>IF(offer_sale_type="транзит",SUM(AF733:AI733,BA733,BB733),0)</f>
        <v/>
      </c>
      <c r="AR733" s="82">
        <f>HYPERLINK("https://www.alta.ru/tnved/code/")&amp;W733&amp;"/"</f>
        <v/>
      </c>
      <c r="AS733" s="157" t="n"/>
      <c r="AT733" s="162" t="n"/>
      <c r="AU733" s="76">
        <f>IF(ISBLANK(AT733),0,AJ733-AT733)</f>
        <v/>
      </c>
      <c r="AV733" s="157" t="n"/>
      <c r="AW733" s="75">
        <f>_xlfn.IFNA(VLOOKUP(L733,list_vat[],3,FALSE),0)</f>
        <v/>
      </c>
      <c r="AX733" s="76">
        <f>IFERROR(ROUND(S733*(1+AW733)/E733,2),0)</f>
        <v/>
      </c>
      <c r="AY733" s="76">
        <f>E733*AX733</f>
        <v/>
      </c>
      <c r="AZ733" s="192">
        <f>S733*(1+M733)</f>
        <v/>
      </c>
      <c r="BA733" s="76">
        <f>cost_fin_total*$BD733</f>
        <v/>
      </c>
      <c r="BB733" s="193">
        <f>credit_sales_interest*BD733</f>
        <v/>
      </c>
      <c r="BC733" s="102">
        <f>IFERROR(IF($I$13&gt;0,$I733/$I$13,$S733/$S$13),0)</f>
        <v/>
      </c>
      <c r="BD733" s="102">
        <f>IFERROR($S733/$S$13,0)</f>
        <v/>
      </c>
      <c r="BE733" s="413" t="inlineStr">
        <is>
          <t>$</t>
        </is>
      </c>
    </row>
    <row r="734" ht="12" customFormat="1" customHeight="1" s="65">
      <c r="A734" s="43" t="n">
        <v>719</v>
      </c>
      <c r="B734" s="166" t="n"/>
      <c r="C734" s="166" t="n"/>
      <c r="D734" s="166" t="n"/>
      <c r="E734" s="162" t="n"/>
      <c r="F734" s="166" t="n"/>
      <c r="G734" s="162" t="n"/>
      <c r="H734" s="162" t="n"/>
      <c r="I734" s="189">
        <f>E734*G734</f>
        <v/>
      </c>
      <c r="J734" s="195" t="n"/>
      <c r="K734" s="162" t="n"/>
      <c r="L734" s="168" t="n"/>
      <c r="M734" s="75">
        <f>_xlfn.XLOOKUP(L734,list_vat[Страна],list_vat[Ставка НДС %],0,0)</f>
        <v/>
      </c>
      <c r="N734" s="162">
        <f>IFERROR(IF(L734="Китай",K734,K734/(1+M734)),0)</f>
        <v/>
      </c>
      <c r="O734" s="169" t="n"/>
      <c r="P734" s="76">
        <f>N734*(1-O734)</f>
        <v/>
      </c>
      <c r="Q734" s="162" t="n"/>
      <c r="R734" s="162">
        <f>IF(ISBLANK(Q734),"введи курс",P734/Q734)</f>
        <v/>
      </c>
      <c r="S734" s="196">
        <f>IF(AND(ISNUMBER(E734),ISNUMBER(Q734)),E734*R734,0)</f>
        <v/>
      </c>
      <c r="T734" s="192">
        <f>$BC734*V$11</f>
        <v/>
      </c>
      <c r="U734" s="76">
        <f>$BC734*W$11</f>
        <v/>
      </c>
      <c r="V734" s="193">
        <f>+SUM(T734:U734)</f>
        <v/>
      </c>
      <c r="W734" s="191" t="n"/>
      <c r="X734" s="170" t="n"/>
      <c r="Y734" s="76">
        <f>ROUND(IF(offer_incoterms="DDP",X734*(S734*(1+AW734)+T734),0),2)</f>
        <v/>
      </c>
      <c r="Z734" s="188" t="n"/>
      <c r="AA734" s="192">
        <f>IFERROR(AB734/E734,0)</f>
        <v/>
      </c>
      <c r="AB734" s="76">
        <f>ROUND(SUM(S734,V734,Y734:Z734,BA734:BB734),2)</f>
        <v/>
      </c>
      <c r="AC734" s="797" t="n"/>
      <c r="AD734" s="192">
        <f t="array" ref="AD734">IFERROR(ROUND((_xlfn.IFS(offer_sale_type="поставка",AB734,offer_sale_type="транзит",S734)*(1+AC734))/E734,2),0)</f>
        <v/>
      </c>
      <c r="AE734" s="76">
        <f>AD734*E734</f>
        <v/>
      </c>
      <c r="AF734" s="193">
        <f t="array" ref="AF734">IFERROR(ROUND(_xlfn.IFS(offer_sale_type="поставка",AB734,offer_sale_type="транзит",S734)*AC734,2),0)</f>
        <v/>
      </c>
      <c r="AG734" s="192">
        <f>$BD734*VLOOKUP($AG$3,$AF$4:$AG$7,2,FALSE)</f>
        <v/>
      </c>
      <c r="AH734" s="76">
        <f>SUM(AE734,AG734,AI734)*rate_forex_risk</f>
        <v/>
      </c>
      <c r="AI734" s="193">
        <f>IF(OR(seller_region="TR",offer_sale_type="экспорт"),0,rate_fin_comm)*SUM(AZ734,AZ734*AW734,T734)</f>
        <v/>
      </c>
      <c r="AJ734" s="118">
        <f>IFERROR(ROUND(SUM(AB734,AF734:AI734)/E734,2),0)</f>
        <v/>
      </c>
      <c r="AK734" s="76">
        <f>AJ734*E734</f>
        <v/>
      </c>
      <c r="AL734" s="174">
        <f>ROUND(IFERROR(AM734*E734,0),2)</f>
        <v/>
      </c>
      <c r="AM734" s="175">
        <f>ROUND(AJ734*(1+IF(offer_incoterms="DDP",IF((TODAY()+offer_turnaround_time)&gt;=helpsheet!$L$17,rate_vatRU_from_26,rate_vatRu_till_25),0)),2)</f>
        <v/>
      </c>
      <c r="AN734" s="192">
        <f>AL734-AK734</f>
        <v/>
      </c>
      <c r="AO734" s="76">
        <f>SUM(AY734,Y734:Z734,T734)*IF(AND(offer_incoterms="DDP",offer_sale_type&lt;&gt;"экспорт"),IF((TODAY()+offer_turnaround_time)&gt;=helpsheet!$L$17,rate_vatRU_from_26,rate_vatRu_till_25),0)</f>
        <v/>
      </c>
      <c r="AP734" s="193">
        <f>AN734-AO734</f>
        <v/>
      </c>
      <c r="AQ734" s="118">
        <f>IF(offer_sale_type="транзит",SUM(AF734:AI734,BA734,BB734),0)</f>
        <v/>
      </c>
      <c r="AR734" s="82">
        <f>HYPERLINK("https://www.alta.ru/tnved/code/")&amp;W734&amp;"/"</f>
        <v/>
      </c>
      <c r="AS734" s="157" t="n"/>
      <c r="AT734" s="162" t="n"/>
      <c r="AU734" s="76">
        <f>IF(ISBLANK(AT734),0,AJ734-AT734)</f>
        <v/>
      </c>
      <c r="AV734" s="157" t="n"/>
      <c r="AW734" s="75">
        <f>_xlfn.IFNA(VLOOKUP(L734,list_vat[],3,FALSE),0)</f>
        <v/>
      </c>
      <c r="AX734" s="76">
        <f>IFERROR(ROUND(S734*(1+AW734)/E734,2),0)</f>
        <v/>
      </c>
      <c r="AY734" s="76">
        <f>E734*AX734</f>
        <v/>
      </c>
      <c r="AZ734" s="192">
        <f>S734*(1+M734)</f>
        <v/>
      </c>
      <c r="BA734" s="76">
        <f>cost_fin_total*$BD734</f>
        <v/>
      </c>
      <c r="BB734" s="193">
        <f>credit_sales_interest*BD734</f>
        <v/>
      </c>
      <c r="BC734" s="102">
        <f>IFERROR(IF($I$13&gt;0,$I734/$I$13,$S734/$S$13),0)</f>
        <v/>
      </c>
      <c r="BD734" s="102">
        <f>IFERROR($S734/$S$13,0)</f>
        <v/>
      </c>
      <c r="BE734" s="413" t="inlineStr">
        <is>
          <t>$</t>
        </is>
      </c>
    </row>
    <row r="735" ht="12" customFormat="1" customHeight="1" s="65">
      <c r="A735" s="43" t="n">
        <v>720</v>
      </c>
      <c r="B735" s="166" t="n"/>
      <c r="C735" s="166" t="n"/>
      <c r="D735" s="166" t="n"/>
      <c r="E735" s="162" t="n"/>
      <c r="F735" s="166" t="n"/>
      <c r="G735" s="162" t="n"/>
      <c r="H735" s="162" t="n"/>
      <c r="I735" s="189">
        <f>E735*G735</f>
        <v/>
      </c>
      <c r="J735" s="195" t="n"/>
      <c r="K735" s="162" t="n"/>
      <c r="L735" s="168" t="n"/>
      <c r="M735" s="75">
        <f>_xlfn.XLOOKUP(L735,list_vat[Страна],list_vat[Ставка НДС %],0,0)</f>
        <v/>
      </c>
      <c r="N735" s="162">
        <f>IFERROR(IF(L735="Китай",K735,K735/(1+M735)),0)</f>
        <v/>
      </c>
      <c r="O735" s="169" t="n"/>
      <c r="P735" s="76">
        <f>N735*(1-O735)</f>
        <v/>
      </c>
      <c r="Q735" s="162" t="n"/>
      <c r="R735" s="162">
        <f>IF(ISBLANK(Q735),"введи курс",P735/Q735)</f>
        <v/>
      </c>
      <c r="S735" s="196">
        <f>IF(AND(ISNUMBER(E735),ISNUMBER(Q735)),E735*R735,0)</f>
        <v/>
      </c>
      <c r="T735" s="192">
        <f>$BC735*V$11</f>
        <v/>
      </c>
      <c r="U735" s="76">
        <f>$BC735*W$11</f>
        <v/>
      </c>
      <c r="V735" s="193">
        <f>+SUM(T735:U735)</f>
        <v/>
      </c>
      <c r="W735" s="191" t="n"/>
      <c r="X735" s="170" t="n"/>
      <c r="Y735" s="76">
        <f>ROUND(IF(offer_incoterms="DDP",X735*(S735*(1+AW735)+T735),0),2)</f>
        <v/>
      </c>
      <c r="Z735" s="188" t="n"/>
      <c r="AA735" s="192">
        <f>IFERROR(AB735/E735,0)</f>
        <v/>
      </c>
      <c r="AB735" s="76">
        <f>ROUND(SUM(S735,V735,Y735:Z735,BA735:BB735),2)</f>
        <v/>
      </c>
      <c r="AC735" s="797" t="n"/>
      <c r="AD735" s="192">
        <f t="array" ref="AD735">IFERROR(ROUND((_xlfn.IFS(offer_sale_type="поставка",AB735,offer_sale_type="транзит",S735)*(1+AC735))/E735,2),0)</f>
        <v/>
      </c>
      <c r="AE735" s="76">
        <f>AD735*E735</f>
        <v/>
      </c>
      <c r="AF735" s="193">
        <f t="array" ref="AF735">IFERROR(ROUND(_xlfn.IFS(offer_sale_type="поставка",AB735,offer_sale_type="транзит",S735)*AC735,2),0)</f>
        <v/>
      </c>
      <c r="AG735" s="192">
        <f>$BD735*VLOOKUP($AG$3,$AF$4:$AG$7,2,FALSE)</f>
        <v/>
      </c>
      <c r="AH735" s="76">
        <f>SUM(AE735,AG735,AI735)*rate_forex_risk</f>
        <v/>
      </c>
      <c r="AI735" s="193">
        <f>IF(OR(seller_region="TR",offer_sale_type="экспорт"),0,rate_fin_comm)*SUM(AZ735,AZ735*AW735,T735)</f>
        <v/>
      </c>
      <c r="AJ735" s="118">
        <f>IFERROR(ROUND(SUM(AB735,AF735:AI735)/E735,2),0)</f>
        <v/>
      </c>
      <c r="AK735" s="76">
        <f>AJ735*E735</f>
        <v/>
      </c>
      <c r="AL735" s="174">
        <f>ROUND(IFERROR(AM735*E735,0),2)</f>
        <v/>
      </c>
      <c r="AM735" s="175">
        <f>ROUND(AJ735*(1+IF(offer_incoterms="DDP",IF((TODAY()+offer_turnaround_time)&gt;=helpsheet!$L$17,rate_vatRU_from_26,rate_vatRu_till_25),0)),2)</f>
        <v/>
      </c>
      <c r="AN735" s="192">
        <f>AL735-AK735</f>
        <v/>
      </c>
      <c r="AO735" s="76">
        <f>SUM(AY735,Y735:Z735,T735)*IF(AND(offer_incoterms="DDP",offer_sale_type&lt;&gt;"экспорт"),IF((TODAY()+offer_turnaround_time)&gt;=helpsheet!$L$17,rate_vatRU_from_26,rate_vatRu_till_25),0)</f>
        <v/>
      </c>
      <c r="AP735" s="193">
        <f>AN735-AO735</f>
        <v/>
      </c>
      <c r="AQ735" s="118">
        <f>IF(offer_sale_type="транзит",SUM(AF735:AI735,BA735,BB735),0)</f>
        <v/>
      </c>
      <c r="AR735" s="82">
        <f>HYPERLINK("https://www.alta.ru/tnved/code/")&amp;W735&amp;"/"</f>
        <v/>
      </c>
      <c r="AS735" s="157" t="n"/>
      <c r="AT735" s="162" t="n"/>
      <c r="AU735" s="76">
        <f>IF(ISBLANK(AT735),0,AJ735-AT735)</f>
        <v/>
      </c>
      <c r="AV735" s="157" t="n"/>
      <c r="AW735" s="75">
        <f>_xlfn.IFNA(VLOOKUP(L735,list_vat[],3,FALSE),0)</f>
        <v/>
      </c>
      <c r="AX735" s="76">
        <f>IFERROR(ROUND(S735*(1+AW735)/E735,2),0)</f>
        <v/>
      </c>
      <c r="AY735" s="76">
        <f>E735*AX735</f>
        <v/>
      </c>
      <c r="AZ735" s="192">
        <f>S735*(1+M735)</f>
        <v/>
      </c>
      <c r="BA735" s="76">
        <f>cost_fin_total*$BD735</f>
        <v/>
      </c>
      <c r="BB735" s="193">
        <f>credit_sales_interest*BD735</f>
        <v/>
      </c>
      <c r="BC735" s="102">
        <f>IFERROR(IF($I$13&gt;0,$I735/$I$13,$S735/$S$13),0)</f>
        <v/>
      </c>
      <c r="BD735" s="102">
        <f>IFERROR($S735/$S$13,0)</f>
        <v/>
      </c>
      <c r="BE735" s="413" t="inlineStr">
        <is>
          <t>$</t>
        </is>
      </c>
    </row>
    <row r="736" ht="12" customFormat="1" customHeight="1" s="65">
      <c r="A736" s="43" t="n">
        <v>721</v>
      </c>
      <c r="B736" s="166" t="n"/>
      <c r="C736" s="166" t="n"/>
      <c r="D736" s="166" t="n"/>
      <c r="E736" s="162" t="n"/>
      <c r="F736" s="166" t="n"/>
      <c r="G736" s="162" t="n"/>
      <c r="H736" s="162" t="n"/>
      <c r="I736" s="189">
        <f>E736*G736</f>
        <v/>
      </c>
      <c r="J736" s="195" t="n"/>
      <c r="K736" s="162" t="n"/>
      <c r="L736" s="168" t="n"/>
      <c r="M736" s="75">
        <f>_xlfn.XLOOKUP(L736,list_vat[Страна],list_vat[Ставка НДС %],0,0)</f>
        <v/>
      </c>
      <c r="N736" s="162">
        <f>IFERROR(IF(L736="Китай",K736,K736/(1+M736)),0)</f>
        <v/>
      </c>
      <c r="O736" s="169" t="n"/>
      <c r="P736" s="76">
        <f>N736*(1-O736)</f>
        <v/>
      </c>
      <c r="Q736" s="162" t="n"/>
      <c r="R736" s="162">
        <f>IF(ISBLANK(Q736),"введи курс",P736/Q736)</f>
        <v/>
      </c>
      <c r="S736" s="196">
        <f>IF(AND(ISNUMBER(E736),ISNUMBER(Q736)),E736*R736,0)</f>
        <v/>
      </c>
      <c r="T736" s="192">
        <f>$BC736*V$11</f>
        <v/>
      </c>
      <c r="U736" s="76">
        <f>$BC736*W$11</f>
        <v/>
      </c>
      <c r="V736" s="193">
        <f>+SUM(T736:U736)</f>
        <v/>
      </c>
      <c r="W736" s="191" t="n"/>
      <c r="X736" s="170" t="n"/>
      <c r="Y736" s="76">
        <f>ROUND(IF(offer_incoterms="DDP",X736*(S736*(1+AW736)+T736),0),2)</f>
        <v/>
      </c>
      <c r="Z736" s="188" t="n"/>
      <c r="AA736" s="192">
        <f>IFERROR(AB736/E736,0)</f>
        <v/>
      </c>
      <c r="AB736" s="76">
        <f>ROUND(SUM(S736,V736,Y736:Z736,BA736:BB736),2)</f>
        <v/>
      </c>
      <c r="AC736" s="797" t="n"/>
      <c r="AD736" s="192">
        <f t="array" ref="AD736">IFERROR(ROUND((_xlfn.IFS(offer_sale_type="поставка",AB736,offer_sale_type="транзит",S736)*(1+AC736))/E736,2),0)</f>
        <v/>
      </c>
      <c r="AE736" s="76">
        <f>AD736*E736</f>
        <v/>
      </c>
      <c r="AF736" s="193">
        <f t="array" ref="AF736">IFERROR(ROUND(_xlfn.IFS(offer_sale_type="поставка",AB736,offer_sale_type="транзит",S736)*AC736,2),0)</f>
        <v/>
      </c>
      <c r="AG736" s="192">
        <f>$BD736*VLOOKUP($AG$3,$AF$4:$AG$7,2,FALSE)</f>
        <v/>
      </c>
      <c r="AH736" s="76">
        <f>SUM(AE736,AG736,AI736)*rate_forex_risk</f>
        <v/>
      </c>
      <c r="AI736" s="193">
        <f>IF(OR(seller_region="TR",offer_sale_type="экспорт"),0,rate_fin_comm)*SUM(AZ736,AZ736*AW736,T736)</f>
        <v/>
      </c>
      <c r="AJ736" s="118">
        <f>IFERROR(ROUND(SUM(AB736,AF736:AI736)/E736,2),0)</f>
        <v/>
      </c>
      <c r="AK736" s="76">
        <f>AJ736*E736</f>
        <v/>
      </c>
      <c r="AL736" s="174">
        <f>ROUND(IFERROR(AM736*E736,0),2)</f>
        <v/>
      </c>
      <c r="AM736" s="175">
        <f>ROUND(AJ736*(1+IF(offer_incoterms="DDP",IF((TODAY()+offer_turnaround_time)&gt;=helpsheet!$L$17,rate_vatRU_from_26,rate_vatRu_till_25),0)),2)</f>
        <v/>
      </c>
      <c r="AN736" s="192">
        <f>AL736-AK736</f>
        <v/>
      </c>
      <c r="AO736" s="76">
        <f>SUM(AY736,Y736:Z736,T736)*IF(AND(offer_incoterms="DDP",offer_sale_type&lt;&gt;"экспорт"),IF((TODAY()+offer_turnaround_time)&gt;=helpsheet!$L$17,rate_vatRU_from_26,rate_vatRu_till_25),0)</f>
        <v/>
      </c>
      <c r="AP736" s="193">
        <f>AN736-AO736</f>
        <v/>
      </c>
      <c r="AQ736" s="118">
        <f>IF(offer_sale_type="транзит",SUM(AF736:AI736,BA736,BB736),0)</f>
        <v/>
      </c>
      <c r="AR736" s="82">
        <f>HYPERLINK("https://www.alta.ru/tnved/code/")&amp;W736&amp;"/"</f>
        <v/>
      </c>
      <c r="AS736" s="157" t="n"/>
      <c r="AT736" s="162" t="n"/>
      <c r="AU736" s="76">
        <f>IF(ISBLANK(AT736),0,AJ736-AT736)</f>
        <v/>
      </c>
      <c r="AV736" s="157" t="n"/>
      <c r="AW736" s="75">
        <f>_xlfn.IFNA(VLOOKUP(L736,list_vat[],3,FALSE),0)</f>
        <v/>
      </c>
      <c r="AX736" s="76">
        <f>IFERROR(ROUND(S736*(1+AW736)/E736,2),0)</f>
        <v/>
      </c>
      <c r="AY736" s="76">
        <f>E736*AX736</f>
        <v/>
      </c>
      <c r="AZ736" s="192">
        <f>S736*(1+M736)</f>
        <v/>
      </c>
      <c r="BA736" s="76">
        <f>cost_fin_total*$BD736</f>
        <v/>
      </c>
      <c r="BB736" s="193">
        <f>credit_sales_interest*BD736</f>
        <v/>
      </c>
      <c r="BC736" s="102">
        <f>IFERROR(IF($I$13&gt;0,$I736/$I$13,$S736/$S$13),0)</f>
        <v/>
      </c>
      <c r="BD736" s="102">
        <f>IFERROR($S736/$S$13,0)</f>
        <v/>
      </c>
      <c r="BE736" s="413" t="inlineStr">
        <is>
          <t>$</t>
        </is>
      </c>
    </row>
    <row r="737" ht="12" customFormat="1" customHeight="1" s="65">
      <c r="A737" s="43" t="n">
        <v>722</v>
      </c>
      <c r="B737" s="166" t="n"/>
      <c r="C737" s="166" t="n"/>
      <c r="D737" s="166" t="n"/>
      <c r="E737" s="162" t="n"/>
      <c r="F737" s="166" t="n"/>
      <c r="G737" s="162" t="n"/>
      <c r="H737" s="162" t="n"/>
      <c r="I737" s="189">
        <f>E737*G737</f>
        <v/>
      </c>
      <c r="J737" s="195" t="n"/>
      <c r="K737" s="162" t="n"/>
      <c r="L737" s="168" t="n"/>
      <c r="M737" s="75">
        <f>_xlfn.XLOOKUP(L737,list_vat[Страна],list_vat[Ставка НДС %],0,0)</f>
        <v/>
      </c>
      <c r="N737" s="162">
        <f>IFERROR(IF(L737="Китай",K737,K737/(1+M737)),0)</f>
        <v/>
      </c>
      <c r="O737" s="169" t="n"/>
      <c r="P737" s="76">
        <f>N737*(1-O737)</f>
        <v/>
      </c>
      <c r="Q737" s="162" t="n"/>
      <c r="R737" s="162">
        <f>IF(ISBLANK(Q737),"введи курс",P737/Q737)</f>
        <v/>
      </c>
      <c r="S737" s="196">
        <f>IF(AND(ISNUMBER(E737),ISNUMBER(Q737)),E737*R737,0)</f>
        <v/>
      </c>
      <c r="T737" s="192">
        <f>$BC737*V$11</f>
        <v/>
      </c>
      <c r="U737" s="76">
        <f>$BC737*W$11</f>
        <v/>
      </c>
      <c r="V737" s="193">
        <f>+SUM(T737:U737)</f>
        <v/>
      </c>
      <c r="W737" s="191" t="n"/>
      <c r="X737" s="170" t="n"/>
      <c r="Y737" s="76">
        <f>ROUND(IF(offer_incoterms="DDP",X737*(S737*(1+AW737)+T737),0),2)</f>
        <v/>
      </c>
      <c r="Z737" s="188" t="n"/>
      <c r="AA737" s="192">
        <f>IFERROR(AB737/E737,0)</f>
        <v/>
      </c>
      <c r="AB737" s="76">
        <f>ROUND(SUM(S737,V737,Y737:Z737,BA737:BB737),2)</f>
        <v/>
      </c>
      <c r="AC737" s="797" t="n"/>
      <c r="AD737" s="192">
        <f t="array" ref="AD737">IFERROR(ROUND((_xlfn.IFS(offer_sale_type="поставка",AB737,offer_sale_type="транзит",S737)*(1+AC737))/E737,2),0)</f>
        <v/>
      </c>
      <c r="AE737" s="76">
        <f>AD737*E737</f>
        <v/>
      </c>
      <c r="AF737" s="193">
        <f t="array" ref="AF737">IFERROR(ROUND(_xlfn.IFS(offer_sale_type="поставка",AB737,offer_sale_type="транзит",S737)*AC737,2),0)</f>
        <v/>
      </c>
      <c r="AG737" s="192">
        <f>$BD737*VLOOKUP($AG$3,$AF$4:$AG$7,2,FALSE)</f>
        <v/>
      </c>
      <c r="AH737" s="76">
        <f>SUM(AE737,AG737,AI737)*rate_forex_risk</f>
        <v/>
      </c>
      <c r="AI737" s="193">
        <f>IF(OR(seller_region="TR",offer_sale_type="экспорт"),0,rate_fin_comm)*SUM(AZ737,AZ737*AW737,T737)</f>
        <v/>
      </c>
      <c r="AJ737" s="118">
        <f>IFERROR(ROUND(SUM(AB737,AF737:AI737)/E737,2),0)</f>
        <v/>
      </c>
      <c r="AK737" s="76">
        <f>AJ737*E737</f>
        <v/>
      </c>
      <c r="AL737" s="174">
        <f>ROUND(IFERROR(AM737*E737,0),2)</f>
        <v/>
      </c>
      <c r="AM737" s="175">
        <f>ROUND(AJ737*(1+IF(offer_incoterms="DDP",IF((TODAY()+offer_turnaround_time)&gt;=helpsheet!$L$17,rate_vatRU_from_26,rate_vatRu_till_25),0)),2)</f>
        <v/>
      </c>
      <c r="AN737" s="192">
        <f>AL737-AK737</f>
        <v/>
      </c>
      <c r="AO737" s="76">
        <f>SUM(AY737,Y737:Z737,T737)*IF(AND(offer_incoterms="DDP",offer_sale_type&lt;&gt;"экспорт"),IF((TODAY()+offer_turnaround_time)&gt;=helpsheet!$L$17,rate_vatRU_from_26,rate_vatRu_till_25),0)</f>
        <v/>
      </c>
      <c r="AP737" s="193">
        <f>AN737-AO737</f>
        <v/>
      </c>
      <c r="AQ737" s="118">
        <f>IF(offer_sale_type="транзит",SUM(AF737:AI737,BA737,BB737),0)</f>
        <v/>
      </c>
      <c r="AR737" s="82">
        <f>HYPERLINK("https://www.alta.ru/tnved/code/")&amp;W737&amp;"/"</f>
        <v/>
      </c>
      <c r="AS737" s="157" t="n"/>
      <c r="AT737" s="162" t="n"/>
      <c r="AU737" s="76">
        <f>IF(ISBLANK(AT737),0,AJ737-AT737)</f>
        <v/>
      </c>
      <c r="AV737" s="157" t="n"/>
      <c r="AW737" s="75">
        <f>_xlfn.IFNA(VLOOKUP(L737,list_vat[],3,FALSE),0)</f>
        <v/>
      </c>
      <c r="AX737" s="76">
        <f>IFERROR(ROUND(S737*(1+AW737)/E737,2),0)</f>
        <v/>
      </c>
      <c r="AY737" s="76">
        <f>E737*AX737</f>
        <v/>
      </c>
      <c r="AZ737" s="192">
        <f>S737*(1+M737)</f>
        <v/>
      </c>
      <c r="BA737" s="76">
        <f>cost_fin_total*$BD737</f>
        <v/>
      </c>
      <c r="BB737" s="193">
        <f>credit_sales_interest*BD737</f>
        <v/>
      </c>
      <c r="BC737" s="102">
        <f>IFERROR(IF($I$13&gt;0,$I737/$I$13,$S737/$S$13),0)</f>
        <v/>
      </c>
      <c r="BD737" s="102">
        <f>IFERROR($S737/$S$13,0)</f>
        <v/>
      </c>
      <c r="BE737" s="413" t="inlineStr">
        <is>
          <t>$</t>
        </is>
      </c>
    </row>
    <row r="738" ht="12" customFormat="1" customHeight="1" s="65">
      <c r="A738" s="43" t="n">
        <v>723</v>
      </c>
      <c r="B738" s="166" t="n"/>
      <c r="C738" s="166" t="n"/>
      <c r="D738" s="166" t="n"/>
      <c r="E738" s="162" t="n"/>
      <c r="F738" s="166" t="n"/>
      <c r="G738" s="162" t="n"/>
      <c r="H738" s="162" t="n"/>
      <c r="I738" s="189">
        <f>E738*G738</f>
        <v/>
      </c>
      <c r="J738" s="195" t="n"/>
      <c r="K738" s="162" t="n"/>
      <c r="L738" s="168" t="n"/>
      <c r="M738" s="75">
        <f>_xlfn.XLOOKUP(L738,list_vat[Страна],list_vat[Ставка НДС %],0,0)</f>
        <v/>
      </c>
      <c r="N738" s="162">
        <f>IFERROR(IF(L738="Китай",K738,K738/(1+M738)),0)</f>
        <v/>
      </c>
      <c r="O738" s="169" t="n"/>
      <c r="P738" s="76">
        <f>N738*(1-O738)</f>
        <v/>
      </c>
      <c r="Q738" s="162" t="n"/>
      <c r="R738" s="162">
        <f>IF(ISBLANK(Q738),"введи курс",P738/Q738)</f>
        <v/>
      </c>
      <c r="S738" s="196">
        <f>IF(AND(ISNUMBER(E738),ISNUMBER(Q738)),E738*R738,0)</f>
        <v/>
      </c>
      <c r="T738" s="192">
        <f>$BC738*V$11</f>
        <v/>
      </c>
      <c r="U738" s="76">
        <f>$BC738*W$11</f>
        <v/>
      </c>
      <c r="V738" s="193">
        <f>+SUM(T738:U738)</f>
        <v/>
      </c>
      <c r="W738" s="191" t="n"/>
      <c r="X738" s="170" t="n"/>
      <c r="Y738" s="76">
        <f>ROUND(IF(offer_incoterms="DDP",X738*(S738*(1+AW738)+T738),0),2)</f>
        <v/>
      </c>
      <c r="Z738" s="188" t="n"/>
      <c r="AA738" s="192">
        <f>IFERROR(AB738/E738,0)</f>
        <v/>
      </c>
      <c r="AB738" s="76">
        <f>ROUND(SUM(S738,V738,Y738:Z738,BA738:BB738),2)</f>
        <v/>
      </c>
      <c r="AC738" s="797" t="n"/>
      <c r="AD738" s="192">
        <f t="array" ref="AD738">IFERROR(ROUND((_xlfn.IFS(offer_sale_type="поставка",AB738,offer_sale_type="транзит",S738)*(1+AC738))/E738,2),0)</f>
        <v/>
      </c>
      <c r="AE738" s="76">
        <f>AD738*E738</f>
        <v/>
      </c>
      <c r="AF738" s="193">
        <f t="array" ref="AF738">IFERROR(ROUND(_xlfn.IFS(offer_sale_type="поставка",AB738,offer_sale_type="транзит",S738)*AC738,2),0)</f>
        <v/>
      </c>
      <c r="AG738" s="192">
        <f>$BD738*VLOOKUP($AG$3,$AF$4:$AG$7,2,FALSE)</f>
        <v/>
      </c>
      <c r="AH738" s="76">
        <f>SUM(AE738,AG738,AI738)*rate_forex_risk</f>
        <v/>
      </c>
      <c r="AI738" s="193">
        <f>IF(OR(seller_region="TR",offer_sale_type="экспорт"),0,rate_fin_comm)*SUM(AZ738,AZ738*AW738,T738)</f>
        <v/>
      </c>
      <c r="AJ738" s="118">
        <f>IFERROR(ROUND(SUM(AB738,AF738:AI738)/E738,2),0)</f>
        <v/>
      </c>
      <c r="AK738" s="76">
        <f>AJ738*E738</f>
        <v/>
      </c>
      <c r="AL738" s="174">
        <f>ROUND(IFERROR(AM738*E738,0),2)</f>
        <v/>
      </c>
      <c r="AM738" s="175">
        <f>ROUND(AJ738*(1+IF(offer_incoterms="DDP",IF((TODAY()+offer_turnaround_time)&gt;=helpsheet!$L$17,rate_vatRU_from_26,rate_vatRu_till_25),0)),2)</f>
        <v/>
      </c>
      <c r="AN738" s="192">
        <f>AL738-AK738</f>
        <v/>
      </c>
      <c r="AO738" s="76">
        <f>SUM(AY738,Y738:Z738,T738)*IF(AND(offer_incoterms="DDP",offer_sale_type&lt;&gt;"экспорт"),IF((TODAY()+offer_turnaround_time)&gt;=helpsheet!$L$17,rate_vatRU_from_26,rate_vatRu_till_25),0)</f>
        <v/>
      </c>
      <c r="AP738" s="193">
        <f>AN738-AO738</f>
        <v/>
      </c>
      <c r="AQ738" s="118">
        <f>IF(offer_sale_type="транзит",SUM(AF738:AI738,BA738,BB738),0)</f>
        <v/>
      </c>
      <c r="AR738" s="82">
        <f>HYPERLINK("https://www.alta.ru/tnved/code/")&amp;W738&amp;"/"</f>
        <v/>
      </c>
      <c r="AS738" s="157" t="n"/>
      <c r="AT738" s="162" t="n"/>
      <c r="AU738" s="76">
        <f>IF(ISBLANK(AT738),0,AJ738-AT738)</f>
        <v/>
      </c>
      <c r="AV738" s="157" t="n"/>
      <c r="AW738" s="75">
        <f>_xlfn.IFNA(VLOOKUP(L738,list_vat[],3,FALSE),0)</f>
        <v/>
      </c>
      <c r="AX738" s="76">
        <f>IFERROR(ROUND(S738*(1+AW738)/E738,2),0)</f>
        <v/>
      </c>
      <c r="AY738" s="76">
        <f>E738*AX738</f>
        <v/>
      </c>
      <c r="AZ738" s="192">
        <f>S738*(1+M738)</f>
        <v/>
      </c>
      <c r="BA738" s="76">
        <f>cost_fin_total*$BD738</f>
        <v/>
      </c>
      <c r="BB738" s="193">
        <f>credit_sales_interest*BD738</f>
        <v/>
      </c>
      <c r="BC738" s="102">
        <f>IFERROR(IF($I$13&gt;0,$I738/$I$13,$S738/$S$13),0)</f>
        <v/>
      </c>
      <c r="BD738" s="102">
        <f>IFERROR($S738/$S$13,0)</f>
        <v/>
      </c>
      <c r="BE738" s="413" t="inlineStr">
        <is>
          <t>$</t>
        </is>
      </c>
    </row>
    <row r="739" ht="12" customFormat="1" customHeight="1" s="65">
      <c r="A739" s="43" t="n">
        <v>724</v>
      </c>
      <c r="B739" s="166" t="n"/>
      <c r="C739" s="166" t="n"/>
      <c r="D739" s="166" t="n"/>
      <c r="E739" s="162" t="n"/>
      <c r="F739" s="166" t="n"/>
      <c r="G739" s="162" t="n"/>
      <c r="H739" s="162" t="n"/>
      <c r="I739" s="189">
        <f>E739*G739</f>
        <v/>
      </c>
      <c r="J739" s="195" t="n"/>
      <c r="K739" s="162" t="n"/>
      <c r="L739" s="168" t="n"/>
      <c r="M739" s="75">
        <f>_xlfn.XLOOKUP(L739,list_vat[Страна],list_vat[Ставка НДС %],0,0)</f>
        <v/>
      </c>
      <c r="N739" s="162">
        <f>IFERROR(IF(L739="Китай",K739,K739/(1+M739)),0)</f>
        <v/>
      </c>
      <c r="O739" s="169" t="n"/>
      <c r="P739" s="76">
        <f>N739*(1-O739)</f>
        <v/>
      </c>
      <c r="Q739" s="162" t="n"/>
      <c r="R739" s="162">
        <f>IF(ISBLANK(Q739),"введи курс",P739/Q739)</f>
        <v/>
      </c>
      <c r="S739" s="196">
        <f>IF(AND(ISNUMBER(E739),ISNUMBER(Q739)),E739*R739,0)</f>
        <v/>
      </c>
      <c r="T739" s="192">
        <f>$BC739*V$11</f>
        <v/>
      </c>
      <c r="U739" s="76">
        <f>$BC739*W$11</f>
        <v/>
      </c>
      <c r="V739" s="193">
        <f>+SUM(T739:U739)</f>
        <v/>
      </c>
      <c r="W739" s="191" t="n"/>
      <c r="X739" s="170" t="n"/>
      <c r="Y739" s="76">
        <f>ROUND(IF(offer_incoterms="DDP",X739*(S739*(1+AW739)+T739),0),2)</f>
        <v/>
      </c>
      <c r="Z739" s="188" t="n"/>
      <c r="AA739" s="192">
        <f>IFERROR(AB739/E739,0)</f>
        <v/>
      </c>
      <c r="AB739" s="76">
        <f>ROUND(SUM(S739,V739,Y739:Z739,BA739:BB739),2)</f>
        <v/>
      </c>
      <c r="AC739" s="797" t="n"/>
      <c r="AD739" s="192">
        <f t="array" ref="AD739">IFERROR(ROUND((_xlfn.IFS(offer_sale_type="поставка",AB739,offer_sale_type="транзит",S739)*(1+AC739))/E739,2),0)</f>
        <v/>
      </c>
      <c r="AE739" s="76">
        <f>AD739*E739</f>
        <v/>
      </c>
      <c r="AF739" s="193">
        <f t="array" ref="AF739">IFERROR(ROUND(_xlfn.IFS(offer_sale_type="поставка",AB739,offer_sale_type="транзит",S739)*AC739,2),0)</f>
        <v/>
      </c>
      <c r="AG739" s="192">
        <f>$BD739*VLOOKUP($AG$3,$AF$4:$AG$7,2,FALSE)</f>
        <v/>
      </c>
      <c r="AH739" s="76">
        <f>SUM(AE739,AG739,AI739)*rate_forex_risk</f>
        <v/>
      </c>
      <c r="AI739" s="193">
        <f>IF(OR(seller_region="TR",offer_sale_type="экспорт"),0,rate_fin_comm)*SUM(AZ739,AZ739*AW739,T739)</f>
        <v/>
      </c>
      <c r="AJ739" s="118">
        <f>IFERROR(ROUND(SUM(AB739,AF739:AI739)/E739,2),0)</f>
        <v/>
      </c>
      <c r="AK739" s="76">
        <f>AJ739*E739</f>
        <v/>
      </c>
      <c r="AL739" s="174">
        <f>ROUND(IFERROR(AM739*E739,0),2)</f>
        <v/>
      </c>
      <c r="AM739" s="175">
        <f>ROUND(AJ739*(1+IF(offer_incoterms="DDP",IF((TODAY()+offer_turnaround_time)&gt;=helpsheet!$L$17,rate_vatRU_from_26,rate_vatRu_till_25),0)),2)</f>
        <v/>
      </c>
      <c r="AN739" s="192">
        <f>AL739-AK739</f>
        <v/>
      </c>
      <c r="AO739" s="76">
        <f>SUM(AY739,Y739:Z739,T739)*IF(AND(offer_incoterms="DDP",offer_sale_type&lt;&gt;"экспорт"),IF((TODAY()+offer_turnaround_time)&gt;=helpsheet!$L$17,rate_vatRU_from_26,rate_vatRu_till_25),0)</f>
        <v/>
      </c>
      <c r="AP739" s="193">
        <f>AN739-AO739</f>
        <v/>
      </c>
      <c r="AQ739" s="118">
        <f>IF(offer_sale_type="транзит",SUM(AF739:AI739,BA739,BB739),0)</f>
        <v/>
      </c>
      <c r="AR739" s="82">
        <f>HYPERLINK("https://www.alta.ru/tnved/code/")&amp;W739&amp;"/"</f>
        <v/>
      </c>
      <c r="AS739" s="157" t="n"/>
      <c r="AT739" s="162" t="n"/>
      <c r="AU739" s="76">
        <f>IF(ISBLANK(AT739),0,AJ739-AT739)</f>
        <v/>
      </c>
      <c r="AV739" s="157" t="n"/>
      <c r="AW739" s="75">
        <f>_xlfn.IFNA(VLOOKUP(L739,list_vat[],3,FALSE),0)</f>
        <v/>
      </c>
      <c r="AX739" s="76">
        <f>IFERROR(ROUND(S739*(1+AW739)/E739,2),0)</f>
        <v/>
      </c>
      <c r="AY739" s="76">
        <f>E739*AX739</f>
        <v/>
      </c>
      <c r="AZ739" s="192">
        <f>S739*(1+M739)</f>
        <v/>
      </c>
      <c r="BA739" s="76">
        <f>cost_fin_total*$BD739</f>
        <v/>
      </c>
      <c r="BB739" s="193">
        <f>credit_sales_interest*BD739</f>
        <v/>
      </c>
      <c r="BC739" s="102">
        <f>IFERROR(IF($I$13&gt;0,$I739/$I$13,$S739/$S$13),0)</f>
        <v/>
      </c>
      <c r="BD739" s="102">
        <f>IFERROR($S739/$S$13,0)</f>
        <v/>
      </c>
      <c r="BE739" s="413" t="inlineStr">
        <is>
          <t>$</t>
        </is>
      </c>
    </row>
    <row r="740" ht="12" customFormat="1" customHeight="1" s="65">
      <c r="A740" s="43" t="n">
        <v>725</v>
      </c>
      <c r="B740" s="166" t="n"/>
      <c r="C740" s="166" t="n"/>
      <c r="D740" s="166" t="n"/>
      <c r="E740" s="162" t="n"/>
      <c r="F740" s="166" t="n"/>
      <c r="G740" s="162" t="n"/>
      <c r="H740" s="162" t="n"/>
      <c r="I740" s="189">
        <f>E740*G740</f>
        <v/>
      </c>
      <c r="J740" s="195" t="n"/>
      <c r="K740" s="162" t="n"/>
      <c r="L740" s="168" t="n"/>
      <c r="M740" s="75">
        <f>_xlfn.XLOOKUP(L740,list_vat[Страна],list_vat[Ставка НДС %],0,0)</f>
        <v/>
      </c>
      <c r="N740" s="162">
        <f>IFERROR(IF(L740="Китай",K740,K740/(1+M740)),0)</f>
        <v/>
      </c>
      <c r="O740" s="169" t="n"/>
      <c r="P740" s="76">
        <f>N740*(1-O740)</f>
        <v/>
      </c>
      <c r="Q740" s="162" t="n"/>
      <c r="R740" s="162">
        <f>IF(ISBLANK(Q740),"введи курс",P740/Q740)</f>
        <v/>
      </c>
      <c r="S740" s="196">
        <f>IF(AND(ISNUMBER(E740),ISNUMBER(Q740)),E740*R740,0)</f>
        <v/>
      </c>
      <c r="T740" s="192">
        <f>$BC740*V$11</f>
        <v/>
      </c>
      <c r="U740" s="76">
        <f>$BC740*W$11</f>
        <v/>
      </c>
      <c r="V740" s="193">
        <f>+SUM(T740:U740)</f>
        <v/>
      </c>
      <c r="W740" s="191" t="n"/>
      <c r="X740" s="170" t="n"/>
      <c r="Y740" s="76">
        <f>ROUND(IF(offer_incoterms="DDP",X740*(S740*(1+AW740)+T740),0),2)</f>
        <v/>
      </c>
      <c r="Z740" s="188" t="n"/>
      <c r="AA740" s="192">
        <f>IFERROR(AB740/E740,0)</f>
        <v/>
      </c>
      <c r="AB740" s="76">
        <f>ROUND(SUM(S740,V740,Y740:Z740,BA740:BB740),2)</f>
        <v/>
      </c>
      <c r="AC740" s="797" t="n"/>
      <c r="AD740" s="192">
        <f t="array" ref="AD740">IFERROR(ROUND((_xlfn.IFS(offer_sale_type="поставка",AB740,offer_sale_type="транзит",S740)*(1+AC740))/E740,2),0)</f>
        <v/>
      </c>
      <c r="AE740" s="76">
        <f>AD740*E740</f>
        <v/>
      </c>
      <c r="AF740" s="193">
        <f t="array" ref="AF740">IFERROR(ROUND(_xlfn.IFS(offer_sale_type="поставка",AB740,offer_sale_type="транзит",S740)*AC740,2),0)</f>
        <v/>
      </c>
      <c r="AG740" s="192">
        <f>$BD740*VLOOKUP($AG$3,$AF$4:$AG$7,2,FALSE)</f>
        <v/>
      </c>
      <c r="AH740" s="76">
        <f>SUM(AE740,AG740,AI740)*rate_forex_risk</f>
        <v/>
      </c>
      <c r="AI740" s="193">
        <f>IF(OR(seller_region="TR",offer_sale_type="экспорт"),0,rate_fin_comm)*SUM(AZ740,AZ740*AW740,T740)</f>
        <v/>
      </c>
      <c r="AJ740" s="118">
        <f>IFERROR(ROUND(SUM(AB740,AF740:AI740)/E740,2),0)</f>
        <v/>
      </c>
      <c r="AK740" s="76">
        <f>AJ740*E740</f>
        <v/>
      </c>
      <c r="AL740" s="174">
        <f>ROUND(IFERROR(AM740*E740,0),2)</f>
        <v/>
      </c>
      <c r="AM740" s="175">
        <f>ROUND(AJ740*(1+IF(offer_incoterms="DDP",IF((TODAY()+offer_turnaround_time)&gt;=helpsheet!$L$17,rate_vatRU_from_26,rate_vatRu_till_25),0)),2)</f>
        <v/>
      </c>
      <c r="AN740" s="192">
        <f>AL740-AK740</f>
        <v/>
      </c>
      <c r="AO740" s="76">
        <f>SUM(AY740,Y740:Z740,T740)*IF(AND(offer_incoterms="DDP",offer_sale_type&lt;&gt;"экспорт"),IF((TODAY()+offer_turnaround_time)&gt;=helpsheet!$L$17,rate_vatRU_from_26,rate_vatRu_till_25),0)</f>
        <v/>
      </c>
      <c r="AP740" s="193">
        <f>AN740-AO740</f>
        <v/>
      </c>
      <c r="AQ740" s="118">
        <f>IF(offer_sale_type="транзит",SUM(AF740:AI740,BA740,BB740),0)</f>
        <v/>
      </c>
      <c r="AR740" s="82">
        <f>HYPERLINK("https://www.alta.ru/tnved/code/")&amp;W740&amp;"/"</f>
        <v/>
      </c>
      <c r="AS740" s="157" t="n"/>
      <c r="AT740" s="162" t="n"/>
      <c r="AU740" s="76">
        <f>IF(ISBLANK(AT740),0,AJ740-AT740)</f>
        <v/>
      </c>
      <c r="AV740" s="157" t="n"/>
      <c r="AW740" s="75">
        <f>_xlfn.IFNA(VLOOKUP(L740,list_vat[],3,FALSE),0)</f>
        <v/>
      </c>
      <c r="AX740" s="76">
        <f>IFERROR(ROUND(S740*(1+AW740)/E740,2),0)</f>
        <v/>
      </c>
      <c r="AY740" s="76">
        <f>E740*AX740</f>
        <v/>
      </c>
      <c r="AZ740" s="192">
        <f>S740*(1+M740)</f>
        <v/>
      </c>
      <c r="BA740" s="76">
        <f>cost_fin_total*$BD740</f>
        <v/>
      </c>
      <c r="BB740" s="193">
        <f>credit_sales_interest*BD740</f>
        <v/>
      </c>
      <c r="BC740" s="102">
        <f>IFERROR(IF($I$13&gt;0,$I740/$I$13,$S740/$S$13),0)</f>
        <v/>
      </c>
      <c r="BD740" s="102">
        <f>IFERROR($S740/$S$13,0)</f>
        <v/>
      </c>
      <c r="BE740" s="413" t="inlineStr">
        <is>
          <t>$</t>
        </is>
      </c>
    </row>
    <row r="741" ht="12" customFormat="1" customHeight="1" s="65">
      <c r="A741" s="43" t="n">
        <v>726</v>
      </c>
      <c r="B741" s="166" t="n"/>
      <c r="C741" s="166" t="n"/>
      <c r="D741" s="166" t="n"/>
      <c r="E741" s="162" t="n"/>
      <c r="F741" s="166" t="n"/>
      <c r="G741" s="162" t="n"/>
      <c r="H741" s="162" t="n"/>
      <c r="I741" s="189">
        <f>E741*G741</f>
        <v/>
      </c>
      <c r="J741" s="195" t="n"/>
      <c r="K741" s="162" t="n"/>
      <c r="L741" s="168" t="n"/>
      <c r="M741" s="75">
        <f>_xlfn.XLOOKUP(L741,list_vat[Страна],list_vat[Ставка НДС %],0,0)</f>
        <v/>
      </c>
      <c r="N741" s="162">
        <f>IFERROR(IF(L741="Китай",K741,K741/(1+M741)),0)</f>
        <v/>
      </c>
      <c r="O741" s="169" t="n"/>
      <c r="P741" s="76">
        <f>N741*(1-O741)</f>
        <v/>
      </c>
      <c r="Q741" s="162" t="n"/>
      <c r="R741" s="162">
        <f>IF(ISBLANK(Q741),"введи курс",P741/Q741)</f>
        <v/>
      </c>
      <c r="S741" s="196">
        <f>IF(AND(ISNUMBER(E741),ISNUMBER(Q741)),E741*R741,0)</f>
        <v/>
      </c>
      <c r="T741" s="192">
        <f>$BC741*V$11</f>
        <v/>
      </c>
      <c r="U741" s="76">
        <f>$BC741*W$11</f>
        <v/>
      </c>
      <c r="V741" s="193">
        <f>+SUM(T741:U741)</f>
        <v/>
      </c>
      <c r="W741" s="191" t="n"/>
      <c r="X741" s="170" t="n"/>
      <c r="Y741" s="76">
        <f>ROUND(IF(offer_incoterms="DDP",X741*(S741*(1+AW741)+T741),0),2)</f>
        <v/>
      </c>
      <c r="Z741" s="188" t="n"/>
      <c r="AA741" s="192">
        <f>IFERROR(AB741/E741,0)</f>
        <v/>
      </c>
      <c r="AB741" s="76">
        <f>ROUND(SUM(S741,V741,Y741:Z741,BA741:BB741),2)</f>
        <v/>
      </c>
      <c r="AC741" s="797" t="n"/>
      <c r="AD741" s="192">
        <f t="array" ref="AD741">IFERROR(ROUND((_xlfn.IFS(offer_sale_type="поставка",AB741,offer_sale_type="транзит",S741)*(1+AC741))/E741,2),0)</f>
        <v/>
      </c>
      <c r="AE741" s="76">
        <f>AD741*E741</f>
        <v/>
      </c>
      <c r="AF741" s="193">
        <f t="array" ref="AF741">IFERROR(ROUND(_xlfn.IFS(offer_sale_type="поставка",AB741,offer_sale_type="транзит",S741)*AC741,2),0)</f>
        <v/>
      </c>
      <c r="AG741" s="192">
        <f>$BD741*VLOOKUP($AG$3,$AF$4:$AG$7,2,FALSE)</f>
        <v/>
      </c>
      <c r="AH741" s="76">
        <f>SUM(AE741,AG741,AI741)*rate_forex_risk</f>
        <v/>
      </c>
      <c r="AI741" s="193">
        <f>IF(OR(seller_region="TR",offer_sale_type="экспорт"),0,rate_fin_comm)*SUM(AZ741,AZ741*AW741,T741)</f>
        <v/>
      </c>
      <c r="AJ741" s="118">
        <f>IFERROR(ROUND(SUM(AB741,AF741:AI741)/E741,2),0)</f>
        <v/>
      </c>
      <c r="AK741" s="76">
        <f>AJ741*E741</f>
        <v/>
      </c>
      <c r="AL741" s="174">
        <f>ROUND(IFERROR(AM741*E741,0),2)</f>
        <v/>
      </c>
      <c r="AM741" s="175">
        <f>ROUND(AJ741*(1+IF(offer_incoterms="DDP",IF((TODAY()+offer_turnaround_time)&gt;=helpsheet!$L$17,rate_vatRU_from_26,rate_vatRu_till_25),0)),2)</f>
        <v/>
      </c>
      <c r="AN741" s="192">
        <f>AL741-AK741</f>
        <v/>
      </c>
      <c r="AO741" s="76">
        <f>SUM(AY741,Y741:Z741,T741)*IF(AND(offer_incoterms="DDP",offer_sale_type&lt;&gt;"экспорт"),IF((TODAY()+offer_turnaround_time)&gt;=helpsheet!$L$17,rate_vatRU_from_26,rate_vatRu_till_25),0)</f>
        <v/>
      </c>
      <c r="AP741" s="193">
        <f>AN741-AO741</f>
        <v/>
      </c>
      <c r="AQ741" s="118">
        <f>IF(offer_sale_type="транзит",SUM(AF741:AI741,BA741,BB741),0)</f>
        <v/>
      </c>
      <c r="AR741" s="82">
        <f>HYPERLINK("https://www.alta.ru/tnved/code/")&amp;W741&amp;"/"</f>
        <v/>
      </c>
      <c r="AS741" s="157" t="n"/>
      <c r="AT741" s="162" t="n"/>
      <c r="AU741" s="76">
        <f>IF(ISBLANK(AT741),0,AJ741-AT741)</f>
        <v/>
      </c>
      <c r="AV741" s="157" t="n"/>
      <c r="AW741" s="75">
        <f>_xlfn.IFNA(VLOOKUP(L741,list_vat[],3,FALSE),0)</f>
        <v/>
      </c>
      <c r="AX741" s="76">
        <f>IFERROR(ROUND(S741*(1+AW741)/E741,2),0)</f>
        <v/>
      </c>
      <c r="AY741" s="76">
        <f>E741*AX741</f>
        <v/>
      </c>
      <c r="AZ741" s="192">
        <f>S741*(1+M741)</f>
        <v/>
      </c>
      <c r="BA741" s="76">
        <f>cost_fin_total*$BD741</f>
        <v/>
      </c>
      <c r="BB741" s="193">
        <f>credit_sales_interest*BD741</f>
        <v/>
      </c>
      <c r="BC741" s="102">
        <f>IFERROR(IF($I$13&gt;0,$I741/$I$13,$S741/$S$13),0)</f>
        <v/>
      </c>
      <c r="BD741" s="102">
        <f>IFERROR($S741/$S$13,0)</f>
        <v/>
      </c>
      <c r="BE741" s="413" t="inlineStr">
        <is>
          <t>$</t>
        </is>
      </c>
    </row>
    <row r="742" ht="12" customFormat="1" customHeight="1" s="65">
      <c r="A742" s="43" t="n">
        <v>727</v>
      </c>
      <c r="B742" s="166" t="n"/>
      <c r="C742" s="166" t="n"/>
      <c r="D742" s="166" t="n"/>
      <c r="E742" s="162" t="n"/>
      <c r="F742" s="166" t="n"/>
      <c r="G742" s="162" t="n"/>
      <c r="H742" s="162" t="n"/>
      <c r="I742" s="189">
        <f>E742*G742</f>
        <v/>
      </c>
      <c r="J742" s="195" t="n"/>
      <c r="K742" s="162" t="n"/>
      <c r="L742" s="168" t="n"/>
      <c r="M742" s="75">
        <f>_xlfn.XLOOKUP(L742,list_vat[Страна],list_vat[Ставка НДС %],0,0)</f>
        <v/>
      </c>
      <c r="N742" s="162">
        <f>IFERROR(IF(L742="Китай",K742,K742/(1+M742)),0)</f>
        <v/>
      </c>
      <c r="O742" s="169" t="n"/>
      <c r="P742" s="76">
        <f>N742*(1-O742)</f>
        <v/>
      </c>
      <c r="Q742" s="162" t="n"/>
      <c r="R742" s="162">
        <f>IF(ISBLANK(Q742),"введи курс",P742/Q742)</f>
        <v/>
      </c>
      <c r="S742" s="196">
        <f>IF(AND(ISNUMBER(E742),ISNUMBER(Q742)),E742*R742,0)</f>
        <v/>
      </c>
      <c r="T742" s="192">
        <f>$BC742*V$11</f>
        <v/>
      </c>
      <c r="U742" s="76">
        <f>$BC742*W$11</f>
        <v/>
      </c>
      <c r="V742" s="193">
        <f>+SUM(T742:U742)</f>
        <v/>
      </c>
      <c r="W742" s="191" t="n"/>
      <c r="X742" s="170" t="n"/>
      <c r="Y742" s="76">
        <f>ROUND(IF(offer_incoterms="DDP",X742*(S742*(1+AW742)+T742),0),2)</f>
        <v/>
      </c>
      <c r="Z742" s="188" t="n"/>
      <c r="AA742" s="192">
        <f>IFERROR(AB742/E742,0)</f>
        <v/>
      </c>
      <c r="AB742" s="76">
        <f>ROUND(SUM(S742,V742,Y742:Z742,BA742:BB742),2)</f>
        <v/>
      </c>
      <c r="AC742" s="797" t="n"/>
      <c r="AD742" s="192">
        <f t="array" ref="AD742">IFERROR(ROUND((_xlfn.IFS(offer_sale_type="поставка",AB742,offer_sale_type="транзит",S742)*(1+AC742))/E742,2),0)</f>
        <v/>
      </c>
      <c r="AE742" s="76">
        <f>AD742*E742</f>
        <v/>
      </c>
      <c r="AF742" s="193">
        <f t="array" ref="AF742">IFERROR(ROUND(_xlfn.IFS(offer_sale_type="поставка",AB742,offer_sale_type="транзит",S742)*AC742,2),0)</f>
        <v/>
      </c>
      <c r="AG742" s="192">
        <f>$BD742*VLOOKUP($AG$3,$AF$4:$AG$7,2,FALSE)</f>
        <v/>
      </c>
      <c r="AH742" s="76">
        <f>SUM(AE742,AG742,AI742)*rate_forex_risk</f>
        <v/>
      </c>
      <c r="AI742" s="193">
        <f>IF(OR(seller_region="TR",offer_sale_type="экспорт"),0,rate_fin_comm)*SUM(AZ742,AZ742*AW742,T742)</f>
        <v/>
      </c>
      <c r="AJ742" s="118">
        <f>IFERROR(ROUND(SUM(AB742,AF742:AI742)/E742,2),0)</f>
        <v/>
      </c>
      <c r="AK742" s="76">
        <f>AJ742*E742</f>
        <v/>
      </c>
      <c r="AL742" s="174">
        <f>ROUND(IFERROR(AM742*E742,0),2)</f>
        <v/>
      </c>
      <c r="AM742" s="175">
        <f>ROUND(AJ742*(1+IF(offer_incoterms="DDP",IF((TODAY()+offer_turnaround_time)&gt;=helpsheet!$L$17,rate_vatRU_from_26,rate_vatRu_till_25),0)),2)</f>
        <v/>
      </c>
      <c r="AN742" s="192">
        <f>AL742-AK742</f>
        <v/>
      </c>
      <c r="AO742" s="76">
        <f>SUM(AY742,Y742:Z742,T742)*IF(AND(offer_incoterms="DDP",offer_sale_type&lt;&gt;"экспорт"),IF((TODAY()+offer_turnaround_time)&gt;=helpsheet!$L$17,rate_vatRU_from_26,rate_vatRu_till_25),0)</f>
        <v/>
      </c>
      <c r="AP742" s="193">
        <f>AN742-AO742</f>
        <v/>
      </c>
      <c r="AQ742" s="118">
        <f>IF(offer_sale_type="транзит",SUM(AF742:AI742,BA742,BB742),0)</f>
        <v/>
      </c>
      <c r="AR742" s="82">
        <f>HYPERLINK("https://www.alta.ru/tnved/code/")&amp;W742&amp;"/"</f>
        <v/>
      </c>
      <c r="AS742" s="157" t="n"/>
      <c r="AT742" s="162" t="n"/>
      <c r="AU742" s="76">
        <f>IF(ISBLANK(AT742),0,AJ742-AT742)</f>
        <v/>
      </c>
      <c r="AV742" s="157" t="n"/>
      <c r="AW742" s="75">
        <f>_xlfn.IFNA(VLOOKUP(L742,list_vat[],3,FALSE),0)</f>
        <v/>
      </c>
      <c r="AX742" s="76">
        <f>IFERROR(ROUND(S742*(1+AW742)/E742,2),0)</f>
        <v/>
      </c>
      <c r="AY742" s="76">
        <f>E742*AX742</f>
        <v/>
      </c>
      <c r="AZ742" s="192">
        <f>S742*(1+M742)</f>
        <v/>
      </c>
      <c r="BA742" s="76">
        <f>cost_fin_total*$BD742</f>
        <v/>
      </c>
      <c r="BB742" s="193">
        <f>credit_sales_interest*BD742</f>
        <v/>
      </c>
      <c r="BC742" s="102">
        <f>IFERROR(IF($I$13&gt;0,$I742/$I$13,$S742/$S$13),0)</f>
        <v/>
      </c>
      <c r="BD742" s="102">
        <f>IFERROR($S742/$S$13,0)</f>
        <v/>
      </c>
      <c r="BE742" s="413" t="inlineStr">
        <is>
          <t>$</t>
        </is>
      </c>
    </row>
    <row r="743" ht="12" customFormat="1" customHeight="1" s="65">
      <c r="A743" s="43" t="n">
        <v>728</v>
      </c>
      <c r="B743" s="166" t="n"/>
      <c r="C743" s="166" t="n"/>
      <c r="D743" s="166" t="n"/>
      <c r="E743" s="162" t="n"/>
      <c r="F743" s="166" t="n"/>
      <c r="G743" s="162" t="n"/>
      <c r="H743" s="162" t="n"/>
      <c r="I743" s="189">
        <f>E743*G743</f>
        <v/>
      </c>
      <c r="J743" s="195" t="n"/>
      <c r="K743" s="162" t="n"/>
      <c r="L743" s="168" t="n"/>
      <c r="M743" s="75">
        <f>_xlfn.XLOOKUP(L743,list_vat[Страна],list_vat[Ставка НДС %],0,0)</f>
        <v/>
      </c>
      <c r="N743" s="162">
        <f>IFERROR(IF(L743="Китай",K743,K743/(1+M743)),0)</f>
        <v/>
      </c>
      <c r="O743" s="169" t="n"/>
      <c r="P743" s="76">
        <f>N743*(1-O743)</f>
        <v/>
      </c>
      <c r="Q743" s="162" t="n"/>
      <c r="R743" s="162">
        <f>IF(ISBLANK(Q743),"введи курс",P743/Q743)</f>
        <v/>
      </c>
      <c r="S743" s="196">
        <f>IF(AND(ISNUMBER(E743),ISNUMBER(Q743)),E743*R743,0)</f>
        <v/>
      </c>
      <c r="T743" s="192">
        <f>$BC743*V$11</f>
        <v/>
      </c>
      <c r="U743" s="76">
        <f>$BC743*W$11</f>
        <v/>
      </c>
      <c r="V743" s="193">
        <f>+SUM(T743:U743)</f>
        <v/>
      </c>
      <c r="W743" s="191" t="n"/>
      <c r="X743" s="170" t="n"/>
      <c r="Y743" s="76">
        <f>ROUND(IF(offer_incoterms="DDP",X743*(S743*(1+AW743)+T743),0),2)</f>
        <v/>
      </c>
      <c r="Z743" s="188" t="n"/>
      <c r="AA743" s="192">
        <f>IFERROR(AB743/E743,0)</f>
        <v/>
      </c>
      <c r="AB743" s="76">
        <f>ROUND(SUM(S743,V743,Y743:Z743,BA743:BB743),2)</f>
        <v/>
      </c>
      <c r="AC743" s="797" t="n"/>
      <c r="AD743" s="192">
        <f t="array" ref="AD743">IFERROR(ROUND((_xlfn.IFS(offer_sale_type="поставка",AB743,offer_sale_type="транзит",S743)*(1+AC743))/E743,2),0)</f>
        <v/>
      </c>
      <c r="AE743" s="76">
        <f>AD743*E743</f>
        <v/>
      </c>
      <c r="AF743" s="193">
        <f t="array" ref="AF743">IFERROR(ROUND(_xlfn.IFS(offer_sale_type="поставка",AB743,offer_sale_type="транзит",S743)*AC743,2),0)</f>
        <v/>
      </c>
      <c r="AG743" s="192">
        <f>$BD743*VLOOKUP($AG$3,$AF$4:$AG$7,2,FALSE)</f>
        <v/>
      </c>
      <c r="AH743" s="76">
        <f>SUM(AE743,AG743,AI743)*rate_forex_risk</f>
        <v/>
      </c>
      <c r="AI743" s="193">
        <f>IF(OR(seller_region="TR",offer_sale_type="экспорт"),0,rate_fin_comm)*SUM(AZ743,AZ743*AW743,T743)</f>
        <v/>
      </c>
      <c r="AJ743" s="118">
        <f>IFERROR(ROUND(SUM(AB743,AF743:AI743)/E743,2),0)</f>
        <v/>
      </c>
      <c r="AK743" s="76">
        <f>AJ743*E743</f>
        <v/>
      </c>
      <c r="AL743" s="174">
        <f>ROUND(IFERROR(AM743*E743,0),2)</f>
        <v/>
      </c>
      <c r="AM743" s="175">
        <f>ROUND(AJ743*(1+IF(offer_incoterms="DDP",IF((TODAY()+offer_turnaround_time)&gt;=helpsheet!$L$17,rate_vatRU_from_26,rate_vatRu_till_25),0)),2)</f>
        <v/>
      </c>
      <c r="AN743" s="192">
        <f>AL743-AK743</f>
        <v/>
      </c>
      <c r="AO743" s="76">
        <f>SUM(AY743,Y743:Z743,T743)*IF(AND(offer_incoterms="DDP",offer_sale_type&lt;&gt;"экспорт"),IF((TODAY()+offer_turnaround_time)&gt;=helpsheet!$L$17,rate_vatRU_from_26,rate_vatRu_till_25),0)</f>
        <v/>
      </c>
      <c r="AP743" s="193">
        <f>AN743-AO743</f>
        <v/>
      </c>
      <c r="AQ743" s="118">
        <f>IF(offer_sale_type="транзит",SUM(AF743:AI743,BA743,BB743),0)</f>
        <v/>
      </c>
      <c r="AR743" s="82">
        <f>HYPERLINK("https://www.alta.ru/tnved/code/")&amp;W743&amp;"/"</f>
        <v/>
      </c>
      <c r="AS743" s="157" t="n"/>
      <c r="AT743" s="162" t="n"/>
      <c r="AU743" s="76">
        <f>IF(ISBLANK(AT743),0,AJ743-AT743)</f>
        <v/>
      </c>
      <c r="AV743" s="157" t="n"/>
      <c r="AW743" s="75">
        <f>_xlfn.IFNA(VLOOKUP(L743,list_vat[],3,FALSE),0)</f>
        <v/>
      </c>
      <c r="AX743" s="76">
        <f>IFERROR(ROUND(S743*(1+AW743)/E743,2),0)</f>
        <v/>
      </c>
      <c r="AY743" s="76">
        <f>E743*AX743</f>
        <v/>
      </c>
      <c r="AZ743" s="192">
        <f>S743*(1+M743)</f>
        <v/>
      </c>
      <c r="BA743" s="76">
        <f>cost_fin_total*$BD743</f>
        <v/>
      </c>
      <c r="BB743" s="193">
        <f>credit_sales_interest*BD743</f>
        <v/>
      </c>
      <c r="BC743" s="102">
        <f>IFERROR(IF($I$13&gt;0,$I743/$I$13,$S743/$S$13),0)</f>
        <v/>
      </c>
      <c r="BD743" s="102">
        <f>IFERROR($S743/$S$13,0)</f>
        <v/>
      </c>
      <c r="BE743" s="413" t="inlineStr">
        <is>
          <t>$</t>
        </is>
      </c>
    </row>
    <row r="744" ht="12" customFormat="1" customHeight="1" s="65">
      <c r="A744" s="43" t="n">
        <v>729</v>
      </c>
      <c r="B744" s="166" t="n"/>
      <c r="C744" s="166" t="n"/>
      <c r="D744" s="166" t="n"/>
      <c r="E744" s="162" t="n"/>
      <c r="F744" s="166" t="n"/>
      <c r="G744" s="162" t="n"/>
      <c r="H744" s="162" t="n"/>
      <c r="I744" s="189">
        <f>E744*G744</f>
        <v/>
      </c>
      <c r="J744" s="195" t="n"/>
      <c r="K744" s="162" t="n"/>
      <c r="L744" s="168" t="n"/>
      <c r="M744" s="75">
        <f>_xlfn.XLOOKUP(L744,list_vat[Страна],list_vat[Ставка НДС %],0,0)</f>
        <v/>
      </c>
      <c r="N744" s="162">
        <f>IFERROR(IF(L744="Китай",K744,K744/(1+M744)),0)</f>
        <v/>
      </c>
      <c r="O744" s="169" t="n"/>
      <c r="P744" s="76">
        <f>N744*(1-O744)</f>
        <v/>
      </c>
      <c r="Q744" s="162" t="n"/>
      <c r="R744" s="162">
        <f>IF(ISBLANK(Q744),"введи курс",P744/Q744)</f>
        <v/>
      </c>
      <c r="S744" s="196">
        <f>IF(AND(ISNUMBER(E744),ISNUMBER(Q744)),E744*R744,0)</f>
        <v/>
      </c>
      <c r="T744" s="192">
        <f>$BC744*V$11</f>
        <v/>
      </c>
      <c r="U744" s="76">
        <f>$BC744*W$11</f>
        <v/>
      </c>
      <c r="V744" s="193">
        <f>+SUM(T744:U744)</f>
        <v/>
      </c>
      <c r="W744" s="191" t="n"/>
      <c r="X744" s="170" t="n"/>
      <c r="Y744" s="76">
        <f>ROUND(IF(offer_incoterms="DDP",X744*(S744*(1+AW744)+T744),0),2)</f>
        <v/>
      </c>
      <c r="Z744" s="188" t="n"/>
      <c r="AA744" s="192">
        <f>IFERROR(AB744/E744,0)</f>
        <v/>
      </c>
      <c r="AB744" s="76">
        <f>ROUND(SUM(S744,V744,Y744:Z744,BA744:BB744),2)</f>
        <v/>
      </c>
      <c r="AC744" s="797" t="n"/>
      <c r="AD744" s="192">
        <f t="array" ref="AD744">IFERROR(ROUND((_xlfn.IFS(offer_sale_type="поставка",AB744,offer_sale_type="транзит",S744)*(1+AC744))/E744,2),0)</f>
        <v/>
      </c>
      <c r="AE744" s="76">
        <f>AD744*E744</f>
        <v/>
      </c>
      <c r="AF744" s="193">
        <f t="array" ref="AF744">IFERROR(ROUND(_xlfn.IFS(offer_sale_type="поставка",AB744,offer_sale_type="транзит",S744)*AC744,2),0)</f>
        <v/>
      </c>
      <c r="AG744" s="192">
        <f>$BD744*VLOOKUP($AG$3,$AF$4:$AG$7,2,FALSE)</f>
        <v/>
      </c>
      <c r="AH744" s="76">
        <f>SUM(AE744,AG744,AI744)*rate_forex_risk</f>
        <v/>
      </c>
      <c r="AI744" s="193">
        <f>IF(OR(seller_region="TR",offer_sale_type="экспорт"),0,rate_fin_comm)*SUM(AZ744,AZ744*AW744,T744)</f>
        <v/>
      </c>
      <c r="AJ744" s="118">
        <f>IFERROR(ROUND(SUM(AB744,AF744:AI744)/E744,2),0)</f>
        <v/>
      </c>
      <c r="AK744" s="76">
        <f>AJ744*E744</f>
        <v/>
      </c>
      <c r="AL744" s="174">
        <f>ROUND(IFERROR(AM744*E744,0),2)</f>
        <v/>
      </c>
      <c r="AM744" s="175">
        <f>ROUND(AJ744*(1+IF(offer_incoterms="DDP",IF((TODAY()+offer_turnaround_time)&gt;=helpsheet!$L$17,rate_vatRU_from_26,rate_vatRu_till_25),0)),2)</f>
        <v/>
      </c>
      <c r="AN744" s="192">
        <f>AL744-AK744</f>
        <v/>
      </c>
      <c r="AO744" s="76">
        <f>SUM(AY744,Y744:Z744,T744)*IF(AND(offer_incoterms="DDP",offer_sale_type&lt;&gt;"экспорт"),IF((TODAY()+offer_turnaround_time)&gt;=helpsheet!$L$17,rate_vatRU_from_26,rate_vatRu_till_25),0)</f>
        <v/>
      </c>
      <c r="AP744" s="193">
        <f>AN744-AO744</f>
        <v/>
      </c>
      <c r="AQ744" s="118">
        <f>IF(offer_sale_type="транзит",SUM(AF744:AI744,BA744,BB744),0)</f>
        <v/>
      </c>
      <c r="AR744" s="82">
        <f>HYPERLINK("https://www.alta.ru/tnved/code/")&amp;W744&amp;"/"</f>
        <v/>
      </c>
      <c r="AS744" s="157" t="n"/>
      <c r="AT744" s="162" t="n"/>
      <c r="AU744" s="76">
        <f>IF(ISBLANK(AT744),0,AJ744-AT744)</f>
        <v/>
      </c>
      <c r="AV744" s="157" t="n"/>
      <c r="AW744" s="75">
        <f>_xlfn.IFNA(VLOOKUP(L744,list_vat[],3,FALSE),0)</f>
        <v/>
      </c>
      <c r="AX744" s="76">
        <f>IFERROR(ROUND(S744*(1+AW744)/E744,2),0)</f>
        <v/>
      </c>
      <c r="AY744" s="76">
        <f>E744*AX744</f>
        <v/>
      </c>
      <c r="AZ744" s="192">
        <f>S744*(1+M744)</f>
        <v/>
      </c>
      <c r="BA744" s="76">
        <f>cost_fin_total*$BD744</f>
        <v/>
      </c>
      <c r="BB744" s="193">
        <f>credit_sales_interest*BD744</f>
        <v/>
      </c>
      <c r="BC744" s="102">
        <f>IFERROR(IF($I$13&gt;0,$I744/$I$13,$S744/$S$13),0)</f>
        <v/>
      </c>
      <c r="BD744" s="102">
        <f>IFERROR($S744/$S$13,0)</f>
        <v/>
      </c>
      <c r="BE744" s="413" t="inlineStr">
        <is>
          <t>$</t>
        </is>
      </c>
    </row>
    <row r="745" ht="12" customFormat="1" customHeight="1" s="65">
      <c r="A745" s="43" t="n">
        <v>730</v>
      </c>
      <c r="B745" s="166" t="n"/>
      <c r="C745" s="166" t="n"/>
      <c r="D745" s="166" t="n"/>
      <c r="E745" s="162" t="n"/>
      <c r="F745" s="166" t="n"/>
      <c r="G745" s="162" t="n"/>
      <c r="H745" s="162" t="n"/>
      <c r="I745" s="189">
        <f>E745*G745</f>
        <v/>
      </c>
      <c r="J745" s="195" t="n"/>
      <c r="K745" s="162" t="n"/>
      <c r="L745" s="168" t="n"/>
      <c r="M745" s="75">
        <f>_xlfn.XLOOKUP(L745,list_vat[Страна],list_vat[Ставка НДС %],0,0)</f>
        <v/>
      </c>
      <c r="N745" s="162">
        <f>IFERROR(IF(L745="Китай",K745,K745/(1+M745)),0)</f>
        <v/>
      </c>
      <c r="O745" s="169" t="n"/>
      <c r="P745" s="76">
        <f>N745*(1-O745)</f>
        <v/>
      </c>
      <c r="Q745" s="162" t="n"/>
      <c r="R745" s="162">
        <f>IF(ISBLANK(Q745),"введи курс",P745/Q745)</f>
        <v/>
      </c>
      <c r="S745" s="196">
        <f>IF(AND(ISNUMBER(E745),ISNUMBER(Q745)),E745*R745,0)</f>
        <v/>
      </c>
      <c r="T745" s="192">
        <f>$BC745*V$11</f>
        <v/>
      </c>
      <c r="U745" s="76">
        <f>$BC745*W$11</f>
        <v/>
      </c>
      <c r="V745" s="193">
        <f>+SUM(T745:U745)</f>
        <v/>
      </c>
      <c r="W745" s="191" t="n"/>
      <c r="X745" s="170" t="n"/>
      <c r="Y745" s="76">
        <f>ROUND(IF(offer_incoterms="DDP",X745*(S745*(1+AW745)+T745),0),2)</f>
        <v/>
      </c>
      <c r="Z745" s="188" t="n"/>
      <c r="AA745" s="192">
        <f>IFERROR(AB745/E745,0)</f>
        <v/>
      </c>
      <c r="AB745" s="76">
        <f>ROUND(SUM(S745,V745,Y745:Z745,BA745:BB745),2)</f>
        <v/>
      </c>
      <c r="AC745" s="797" t="n"/>
      <c r="AD745" s="192">
        <f t="array" ref="AD745">IFERROR(ROUND((_xlfn.IFS(offer_sale_type="поставка",AB745,offer_sale_type="транзит",S745)*(1+AC745))/E745,2),0)</f>
        <v/>
      </c>
      <c r="AE745" s="76">
        <f>AD745*E745</f>
        <v/>
      </c>
      <c r="AF745" s="193">
        <f t="array" ref="AF745">IFERROR(ROUND(_xlfn.IFS(offer_sale_type="поставка",AB745,offer_sale_type="транзит",S745)*AC745,2),0)</f>
        <v/>
      </c>
      <c r="AG745" s="192">
        <f>$BD745*VLOOKUP($AG$3,$AF$4:$AG$7,2,FALSE)</f>
        <v/>
      </c>
      <c r="AH745" s="76">
        <f>SUM(AE745,AG745,AI745)*rate_forex_risk</f>
        <v/>
      </c>
      <c r="AI745" s="193">
        <f>IF(OR(seller_region="TR",offer_sale_type="экспорт"),0,rate_fin_comm)*SUM(AZ745,AZ745*AW745,T745)</f>
        <v/>
      </c>
      <c r="AJ745" s="118">
        <f>IFERROR(ROUND(SUM(AB745,AF745:AI745)/E745,2),0)</f>
        <v/>
      </c>
      <c r="AK745" s="76">
        <f>AJ745*E745</f>
        <v/>
      </c>
      <c r="AL745" s="174">
        <f>ROUND(IFERROR(AM745*E745,0),2)</f>
        <v/>
      </c>
      <c r="AM745" s="175">
        <f>ROUND(AJ745*(1+IF(offer_incoterms="DDP",IF((TODAY()+offer_turnaround_time)&gt;=helpsheet!$L$17,rate_vatRU_from_26,rate_vatRu_till_25),0)),2)</f>
        <v/>
      </c>
      <c r="AN745" s="192">
        <f>AL745-AK745</f>
        <v/>
      </c>
      <c r="AO745" s="76">
        <f>SUM(AY745,Y745:Z745,T745)*IF(AND(offer_incoterms="DDP",offer_sale_type&lt;&gt;"экспорт"),IF((TODAY()+offer_turnaround_time)&gt;=helpsheet!$L$17,rate_vatRU_from_26,rate_vatRu_till_25),0)</f>
        <v/>
      </c>
      <c r="AP745" s="193">
        <f>AN745-AO745</f>
        <v/>
      </c>
      <c r="AQ745" s="118">
        <f>IF(offer_sale_type="транзит",SUM(AF745:AI745,BA745,BB745),0)</f>
        <v/>
      </c>
      <c r="AR745" s="82">
        <f>HYPERLINK("https://www.alta.ru/tnved/code/")&amp;W745&amp;"/"</f>
        <v/>
      </c>
      <c r="AS745" s="157" t="n"/>
      <c r="AT745" s="162" t="n"/>
      <c r="AU745" s="76">
        <f>IF(ISBLANK(AT745),0,AJ745-AT745)</f>
        <v/>
      </c>
      <c r="AV745" s="157" t="n"/>
      <c r="AW745" s="75">
        <f>_xlfn.IFNA(VLOOKUP(L745,list_vat[],3,FALSE),0)</f>
        <v/>
      </c>
      <c r="AX745" s="76">
        <f>IFERROR(ROUND(S745*(1+AW745)/E745,2),0)</f>
        <v/>
      </c>
      <c r="AY745" s="76">
        <f>E745*AX745</f>
        <v/>
      </c>
      <c r="AZ745" s="192">
        <f>S745*(1+M745)</f>
        <v/>
      </c>
      <c r="BA745" s="76">
        <f>cost_fin_total*$BD745</f>
        <v/>
      </c>
      <c r="BB745" s="193">
        <f>credit_sales_interest*BD745</f>
        <v/>
      </c>
      <c r="BC745" s="102">
        <f>IFERROR(IF($I$13&gt;0,$I745/$I$13,$S745/$S$13),0)</f>
        <v/>
      </c>
      <c r="BD745" s="102">
        <f>IFERROR($S745/$S$13,0)</f>
        <v/>
      </c>
      <c r="BE745" s="413" t="inlineStr">
        <is>
          <t>$</t>
        </is>
      </c>
    </row>
    <row r="746" ht="12" customFormat="1" customHeight="1" s="65">
      <c r="A746" s="43" t="n">
        <v>731</v>
      </c>
      <c r="B746" s="166" t="n"/>
      <c r="C746" s="166" t="n"/>
      <c r="D746" s="166" t="n"/>
      <c r="E746" s="162" t="n"/>
      <c r="F746" s="166" t="n"/>
      <c r="G746" s="162" t="n"/>
      <c r="H746" s="162" t="n"/>
      <c r="I746" s="189">
        <f>E746*G746</f>
        <v/>
      </c>
      <c r="J746" s="195" t="n"/>
      <c r="K746" s="162" t="n"/>
      <c r="L746" s="168" t="n"/>
      <c r="M746" s="75">
        <f>_xlfn.XLOOKUP(L746,list_vat[Страна],list_vat[Ставка НДС %],0,0)</f>
        <v/>
      </c>
      <c r="N746" s="162">
        <f>IFERROR(IF(L746="Китай",K746,K746/(1+M746)),0)</f>
        <v/>
      </c>
      <c r="O746" s="169" t="n"/>
      <c r="P746" s="76">
        <f>N746*(1-O746)</f>
        <v/>
      </c>
      <c r="Q746" s="162" t="n"/>
      <c r="R746" s="162">
        <f>IF(ISBLANK(Q746),"введи курс",P746/Q746)</f>
        <v/>
      </c>
      <c r="S746" s="196">
        <f>IF(AND(ISNUMBER(E746),ISNUMBER(Q746)),E746*R746,0)</f>
        <v/>
      </c>
      <c r="T746" s="192">
        <f>$BC746*V$11</f>
        <v/>
      </c>
      <c r="U746" s="76">
        <f>$BC746*W$11</f>
        <v/>
      </c>
      <c r="V746" s="193">
        <f>+SUM(T746:U746)</f>
        <v/>
      </c>
      <c r="W746" s="191" t="n"/>
      <c r="X746" s="170" t="n"/>
      <c r="Y746" s="76">
        <f>ROUND(IF(offer_incoterms="DDP",X746*(S746*(1+AW746)+T746),0),2)</f>
        <v/>
      </c>
      <c r="Z746" s="188" t="n"/>
      <c r="AA746" s="192">
        <f>IFERROR(AB746/E746,0)</f>
        <v/>
      </c>
      <c r="AB746" s="76">
        <f>ROUND(SUM(S746,V746,Y746:Z746,BA746:BB746),2)</f>
        <v/>
      </c>
      <c r="AC746" s="797" t="n"/>
      <c r="AD746" s="192">
        <f t="array" ref="AD746">IFERROR(ROUND((_xlfn.IFS(offer_sale_type="поставка",AB746,offer_sale_type="транзит",S746)*(1+AC746))/E746,2),0)</f>
        <v/>
      </c>
      <c r="AE746" s="76">
        <f>AD746*E746</f>
        <v/>
      </c>
      <c r="AF746" s="193">
        <f t="array" ref="AF746">IFERROR(ROUND(_xlfn.IFS(offer_sale_type="поставка",AB746,offer_sale_type="транзит",S746)*AC746,2),0)</f>
        <v/>
      </c>
      <c r="AG746" s="192">
        <f>$BD746*VLOOKUP($AG$3,$AF$4:$AG$7,2,FALSE)</f>
        <v/>
      </c>
      <c r="AH746" s="76">
        <f>SUM(AE746,AG746,AI746)*rate_forex_risk</f>
        <v/>
      </c>
      <c r="AI746" s="193">
        <f>IF(OR(seller_region="TR",offer_sale_type="экспорт"),0,rate_fin_comm)*SUM(AZ746,AZ746*AW746,T746)</f>
        <v/>
      </c>
      <c r="AJ746" s="118">
        <f>IFERROR(ROUND(SUM(AB746,AF746:AI746)/E746,2),0)</f>
        <v/>
      </c>
      <c r="AK746" s="76">
        <f>AJ746*E746</f>
        <v/>
      </c>
      <c r="AL746" s="174">
        <f>ROUND(IFERROR(AM746*E746,0),2)</f>
        <v/>
      </c>
      <c r="AM746" s="175">
        <f>ROUND(AJ746*(1+IF(offer_incoterms="DDP",IF((TODAY()+offer_turnaround_time)&gt;=helpsheet!$L$17,rate_vatRU_from_26,rate_vatRu_till_25),0)),2)</f>
        <v/>
      </c>
      <c r="AN746" s="192">
        <f>AL746-AK746</f>
        <v/>
      </c>
      <c r="AO746" s="76">
        <f>SUM(AY746,Y746:Z746,T746)*IF(AND(offer_incoterms="DDP",offer_sale_type&lt;&gt;"экспорт"),IF((TODAY()+offer_turnaround_time)&gt;=helpsheet!$L$17,rate_vatRU_from_26,rate_vatRu_till_25),0)</f>
        <v/>
      </c>
      <c r="AP746" s="193">
        <f>AN746-AO746</f>
        <v/>
      </c>
      <c r="AQ746" s="118">
        <f>IF(offer_sale_type="транзит",SUM(AF746:AI746,BA746,BB746),0)</f>
        <v/>
      </c>
      <c r="AR746" s="82">
        <f>HYPERLINK("https://www.alta.ru/tnved/code/")&amp;W746&amp;"/"</f>
        <v/>
      </c>
      <c r="AS746" s="157" t="n"/>
      <c r="AT746" s="162" t="n"/>
      <c r="AU746" s="76">
        <f>IF(ISBLANK(AT746),0,AJ746-AT746)</f>
        <v/>
      </c>
      <c r="AV746" s="157" t="n"/>
      <c r="AW746" s="75">
        <f>_xlfn.IFNA(VLOOKUP(L746,list_vat[],3,FALSE),0)</f>
        <v/>
      </c>
      <c r="AX746" s="76">
        <f>IFERROR(ROUND(S746*(1+AW746)/E746,2),0)</f>
        <v/>
      </c>
      <c r="AY746" s="76">
        <f>E746*AX746</f>
        <v/>
      </c>
      <c r="AZ746" s="192">
        <f>S746*(1+M746)</f>
        <v/>
      </c>
      <c r="BA746" s="76">
        <f>cost_fin_total*$BD746</f>
        <v/>
      </c>
      <c r="BB746" s="193">
        <f>credit_sales_interest*BD746</f>
        <v/>
      </c>
      <c r="BC746" s="102">
        <f>IFERROR(IF($I$13&gt;0,$I746/$I$13,$S746/$S$13),0)</f>
        <v/>
      </c>
      <c r="BD746" s="102">
        <f>IFERROR($S746/$S$13,0)</f>
        <v/>
      </c>
      <c r="BE746" s="413" t="inlineStr">
        <is>
          <t>$</t>
        </is>
      </c>
    </row>
    <row r="747" ht="12" customFormat="1" customHeight="1" s="65">
      <c r="A747" s="43" t="n">
        <v>732</v>
      </c>
      <c r="B747" s="166" t="n"/>
      <c r="C747" s="166" t="n"/>
      <c r="D747" s="166" t="n"/>
      <c r="E747" s="162" t="n"/>
      <c r="F747" s="166" t="n"/>
      <c r="G747" s="162" t="n"/>
      <c r="H747" s="162" t="n"/>
      <c r="I747" s="189">
        <f>E747*G747</f>
        <v/>
      </c>
      <c r="J747" s="195" t="n"/>
      <c r="K747" s="162" t="n"/>
      <c r="L747" s="168" t="n"/>
      <c r="M747" s="75">
        <f>_xlfn.XLOOKUP(L747,list_vat[Страна],list_vat[Ставка НДС %],0,0)</f>
        <v/>
      </c>
      <c r="N747" s="162">
        <f>IFERROR(IF(L747="Китай",K747,K747/(1+M747)),0)</f>
        <v/>
      </c>
      <c r="O747" s="169" t="n"/>
      <c r="P747" s="76">
        <f>N747*(1-O747)</f>
        <v/>
      </c>
      <c r="Q747" s="162" t="n"/>
      <c r="R747" s="162">
        <f>IF(ISBLANK(Q747),"введи курс",P747/Q747)</f>
        <v/>
      </c>
      <c r="S747" s="196">
        <f>IF(AND(ISNUMBER(E747),ISNUMBER(Q747)),E747*R747,0)</f>
        <v/>
      </c>
      <c r="T747" s="192">
        <f>$BC747*V$11</f>
        <v/>
      </c>
      <c r="U747" s="76">
        <f>$BC747*W$11</f>
        <v/>
      </c>
      <c r="V747" s="193">
        <f>+SUM(T747:U747)</f>
        <v/>
      </c>
      <c r="W747" s="191" t="n"/>
      <c r="X747" s="170" t="n"/>
      <c r="Y747" s="76">
        <f>ROUND(IF(offer_incoterms="DDP",X747*(S747*(1+AW747)+T747),0),2)</f>
        <v/>
      </c>
      <c r="Z747" s="188" t="n"/>
      <c r="AA747" s="192">
        <f>IFERROR(AB747/E747,0)</f>
        <v/>
      </c>
      <c r="AB747" s="76">
        <f>ROUND(SUM(S747,V747,Y747:Z747,BA747:BB747),2)</f>
        <v/>
      </c>
      <c r="AC747" s="797" t="n"/>
      <c r="AD747" s="192">
        <f t="array" ref="AD747">IFERROR(ROUND((_xlfn.IFS(offer_sale_type="поставка",AB747,offer_sale_type="транзит",S747)*(1+AC747))/E747,2),0)</f>
        <v/>
      </c>
      <c r="AE747" s="76">
        <f>AD747*E747</f>
        <v/>
      </c>
      <c r="AF747" s="193">
        <f t="array" ref="AF747">IFERROR(ROUND(_xlfn.IFS(offer_sale_type="поставка",AB747,offer_sale_type="транзит",S747)*AC747,2),0)</f>
        <v/>
      </c>
      <c r="AG747" s="192">
        <f>$BD747*VLOOKUP($AG$3,$AF$4:$AG$7,2,FALSE)</f>
        <v/>
      </c>
      <c r="AH747" s="76">
        <f>SUM(AE747,AG747,AI747)*rate_forex_risk</f>
        <v/>
      </c>
      <c r="AI747" s="193">
        <f>IF(OR(seller_region="TR",offer_sale_type="экспорт"),0,rate_fin_comm)*SUM(AZ747,AZ747*AW747,T747)</f>
        <v/>
      </c>
      <c r="AJ747" s="118">
        <f>IFERROR(ROUND(SUM(AB747,AF747:AI747)/E747,2),0)</f>
        <v/>
      </c>
      <c r="AK747" s="76">
        <f>AJ747*E747</f>
        <v/>
      </c>
      <c r="AL747" s="174">
        <f>ROUND(IFERROR(AM747*E747,0),2)</f>
        <v/>
      </c>
      <c r="AM747" s="175">
        <f>ROUND(AJ747*(1+IF(offer_incoterms="DDP",IF((TODAY()+offer_turnaround_time)&gt;=helpsheet!$L$17,rate_vatRU_from_26,rate_vatRu_till_25),0)),2)</f>
        <v/>
      </c>
      <c r="AN747" s="192">
        <f>AL747-AK747</f>
        <v/>
      </c>
      <c r="AO747" s="76">
        <f>SUM(AY747,Y747:Z747,T747)*IF(AND(offer_incoterms="DDP",offer_sale_type&lt;&gt;"экспорт"),IF((TODAY()+offer_turnaround_time)&gt;=helpsheet!$L$17,rate_vatRU_from_26,rate_vatRu_till_25),0)</f>
        <v/>
      </c>
      <c r="AP747" s="193">
        <f>AN747-AO747</f>
        <v/>
      </c>
      <c r="AQ747" s="118">
        <f>IF(offer_sale_type="транзит",SUM(AF747:AI747,BA747,BB747),0)</f>
        <v/>
      </c>
      <c r="AR747" s="82">
        <f>HYPERLINK("https://www.alta.ru/tnved/code/")&amp;W747&amp;"/"</f>
        <v/>
      </c>
      <c r="AS747" s="157" t="n"/>
      <c r="AT747" s="162" t="n"/>
      <c r="AU747" s="76">
        <f>IF(ISBLANK(AT747),0,AJ747-AT747)</f>
        <v/>
      </c>
      <c r="AV747" s="157" t="n"/>
      <c r="AW747" s="75">
        <f>_xlfn.IFNA(VLOOKUP(L747,list_vat[],3,FALSE),0)</f>
        <v/>
      </c>
      <c r="AX747" s="76">
        <f>IFERROR(ROUND(S747*(1+AW747)/E747,2),0)</f>
        <v/>
      </c>
      <c r="AY747" s="76">
        <f>E747*AX747</f>
        <v/>
      </c>
      <c r="AZ747" s="192">
        <f>S747*(1+M747)</f>
        <v/>
      </c>
      <c r="BA747" s="76">
        <f>cost_fin_total*$BD747</f>
        <v/>
      </c>
      <c r="BB747" s="193">
        <f>credit_sales_interest*BD747</f>
        <v/>
      </c>
      <c r="BC747" s="102">
        <f>IFERROR(IF($I$13&gt;0,$I747/$I$13,$S747/$S$13),0)</f>
        <v/>
      </c>
      <c r="BD747" s="102">
        <f>IFERROR($S747/$S$13,0)</f>
        <v/>
      </c>
      <c r="BE747" s="413" t="inlineStr">
        <is>
          <t>$</t>
        </is>
      </c>
    </row>
    <row r="748" ht="12" customFormat="1" customHeight="1" s="65">
      <c r="A748" s="43" t="n">
        <v>733</v>
      </c>
      <c r="B748" s="166" t="n"/>
      <c r="C748" s="166" t="n"/>
      <c r="D748" s="166" t="n"/>
      <c r="E748" s="162" t="n"/>
      <c r="F748" s="166" t="n"/>
      <c r="G748" s="162" t="n"/>
      <c r="H748" s="162" t="n"/>
      <c r="I748" s="189">
        <f>E748*G748</f>
        <v/>
      </c>
      <c r="J748" s="195" t="n"/>
      <c r="K748" s="162" t="n"/>
      <c r="L748" s="168" t="n"/>
      <c r="M748" s="75">
        <f>_xlfn.XLOOKUP(L748,list_vat[Страна],list_vat[Ставка НДС %],0,0)</f>
        <v/>
      </c>
      <c r="N748" s="162">
        <f>IFERROR(IF(L748="Китай",K748,K748/(1+M748)),0)</f>
        <v/>
      </c>
      <c r="O748" s="169" t="n"/>
      <c r="P748" s="76">
        <f>N748*(1-O748)</f>
        <v/>
      </c>
      <c r="Q748" s="162" t="n"/>
      <c r="R748" s="162">
        <f>IF(ISBLANK(Q748),"введи курс",P748/Q748)</f>
        <v/>
      </c>
      <c r="S748" s="196">
        <f>IF(AND(ISNUMBER(E748),ISNUMBER(Q748)),E748*R748,0)</f>
        <v/>
      </c>
      <c r="T748" s="192">
        <f>$BC748*V$11</f>
        <v/>
      </c>
      <c r="U748" s="76">
        <f>$BC748*W$11</f>
        <v/>
      </c>
      <c r="V748" s="193">
        <f>+SUM(T748:U748)</f>
        <v/>
      </c>
      <c r="W748" s="191" t="n"/>
      <c r="X748" s="170" t="n"/>
      <c r="Y748" s="76">
        <f>ROUND(IF(offer_incoterms="DDP",X748*(S748*(1+AW748)+T748),0),2)</f>
        <v/>
      </c>
      <c r="Z748" s="188" t="n"/>
      <c r="AA748" s="192">
        <f>IFERROR(AB748/E748,0)</f>
        <v/>
      </c>
      <c r="AB748" s="76">
        <f>ROUND(SUM(S748,V748,Y748:Z748,BA748:BB748),2)</f>
        <v/>
      </c>
      <c r="AC748" s="797" t="n"/>
      <c r="AD748" s="192">
        <f t="array" ref="AD748">IFERROR(ROUND((_xlfn.IFS(offer_sale_type="поставка",AB748,offer_sale_type="транзит",S748)*(1+AC748))/E748,2),0)</f>
        <v/>
      </c>
      <c r="AE748" s="76">
        <f>AD748*E748</f>
        <v/>
      </c>
      <c r="AF748" s="193">
        <f t="array" ref="AF748">IFERROR(ROUND(_xlfn.IFS(offer_sale_type="поставка",AB748,offer_sale_type="транзит",S748)*AC748,2),0)</f>
        <v/>
      </c>
      <c r="AG748" s="192">
        <f>$BD748*VLOOKUP($AG$3,$AF$4:$AG$7,2,FALSE)</f>
        <v/>
      </c>
      <c r="AH748" s="76">
        <f>SUM(AE748,AG748,AI748)*rate_forex_risk</f>
        <v/>
      </c>
      <c r="AI748" s="193">
        <f>IF(OR(seller_region="TR",offer_sale_type="экспорт"),0,rate_fin_comm)*SUM(AZ748,AZ748*AW748,T748)</f>
        <v/>
      </c>
      <c r="AJ748" s="118">
        <f>IFERROR(ROUND(SUM(AB748,AF748:AI748)/E748,2),0)</f>
        <v/>
      </c>
      <c r="AK748" s="76">
        <f>AJ748*E748</f>
        <v/>
      </c>
      <c r="AL748" s="174">
        <f>ROUND(IFERROR(AM748*E748,0),2)</f>
        <v/>
      </c>
      <c r="AM748" s="175">
        <f>ROUND(AJ748*(1+IF(offer_incoterms="DDP",IF((TODAY()+offer_turnaround_time)&gt;=helpsheet!$L$17,rate_vatRU_from_26,rate_vatRu_till_25),0)),2)</f>
        <v/>
      </c>
      <c r="AN748" s="192">
        <f>AL748-AK748</f>
        <v/>
      </c>
      <c r="AO748" s="76">
        <f>SUM(AY748,Y748:Z748,T748)*IF(AND(offer_incoterms="DDP",offer_sale_type&lt;&gt;"экспорт"),IF((TODAY()+offer_turnaround_time)&gt;=helpsheet!$L$17,rate_vatRU_from_26,rate_vatRu_till_25),0)</f>
        <v/>
      </c>
      <c r="AP748" s="193">
        <f>AN748-AO748</f>
        <v/>
      </c>
      <c r="AQ748" s="118">
        <f>IF(offer_sale_type="транзит",SUM(AF748:AI748,BA748,BB748),0)</f>
        <v/>
      </c>
      <c r="AR748" s="82">
        <f>HYPERLINK("https://www.alta.ru/tnved/code/")&amp;W748&amp;"/"</f>
        <v/>
      </c>
      <c r="AS748" s="157" t="n"/>
      <c r="AT748" s="162" t="n"/>
      <c r="AU748" s="76">
        <f>IF(ISBLANK(AT748),0,AJ748-AT748)</f>
        <v/>
      </c>
      <c r="AV748" s="157" t="n"/>
      <c r="AW748" s="75">
        <f>_xlfn.IFNA(VLOOKUP(L748,list_vat[],3,FALSE),0)</f>
        <v/>
      </c>
      <c r="AX748" s="76">
        <f>IFERROR(ROUND(S748*(1+AW748)/E748,2),0)</f>
        <v/>
      </c>
      <c r="AY748" s="76">
        <f>E748*AX748</f>
        <v/>
      </c>
      <c r="AZ748" s="192">
        <f>S748*(1+M748)</f>
        <v/>
      </c>
      <c r="BA748" s="76">
        <f>cost_fin_total*$BD748</f>
        <v/>
      </c>
      <c r="BB748" s="193">
        <f>credit_sales_interest*BD748</f>
        <v/>
      </c>
      <c r="BC748" s="102">
        <f>IFERROR(IF($I$13&gt;0,$I748/$I$13,$S748/$S$13),0)</f>
        <v/>
      </c>
      <c r="BD748" s="102">
        <f>IFERROR($S748/$S$13,0)</f>
        <v/>
      </c>
      <c r="BE748" s="413" t="inlineStr">
        <is>
          <t>$</t>
        </is>
      </c>
    </row>
    <row r="749" ht="12" customFormat="1" customHeight="1" s="65">
      <c r="A749" s="43" t="n">
        <v>734</v>
      </c>
      <c r="B749" s="166" t="n"/>
      <c r="C749" s="166" t="n"/>
      <c r="D749" s="166" t="n"/>
      <c r="E749" s="162" t="n"/>
      <c r="F749" s="166" t="n"/>
      <c r="G749" s="162" t="n"/>
      <c r="H749" s="162" t="n"/>
      <c r="I749" s="189">
        <f>E749*G749</f>
        <v/>
      </c>
      <c r="J749" s="195" t="n"/>
      <c r="K749" s="162" t="n"/>
      <c r="L749" s="168" t="n"/>
      <c r="M749" s="75">
        <f>_xlfn.XLOOKUP(L749,list_vat[Страна],list_vat[Ставка НДС %],0,0)</f>
        <v/>
      </c>
      <c r="N749" s="162">
        <f>IFERROR(IF(L749="Китай",K749,K749/(1+M749)),0)</f>
        <v/>
      </c>
      <c r="O749" s="169" t="n"/>
      <c r="P749" s="76">
        <f>N749*(1-O749)</f>
        <v/>
      </c>
      <c r="Q749" s="162" t="n"/>
      <c r="R749" s="162">
        <f>IF(ISBLANK(Q749),"введи курс",P749/Q749)</f>
        <v/>
      </c>
      <c r="S749" s="196">
        <f>IF(AND(ISNUMBER(E749),ISNUMBER(Q749)),E749*R749,0)</f>
        <v/>
      </c>
      <c r="T749" s="192">
        <f>$BC749*V$11</f>
        <v/>
      </c>
      <c r="U749" s="76">
        <f>$BC749*W$11</f>
        <v/>
      </c>
      <c r="V749" s="193">
        <f>+SUM(T749:U749)</f>
        <v/>
      </c>
      <c r="W749" s="191" t="n"/>
      <c r="X749" s="170" t="n"/>
      <c r="Y749" s="76">
        <f>ROUND(IF(offer_incoterms="DDP",X749*(S749*(1+AW749)+T749),0),2)</f>
        <v/>
      </c>
      <c r="Z749" s="188" t="n"/>
      <c r="AA749" s="192">
        <f>IFERROR(AB749/E749,0)</f>
        <v/>
      </c>
      <c r="AB749" s="76">
        <f>ROUND(SUM(S749,V749,Y749:Z749,BA749:BB749),2)</f>
        <v/>
      </c>
      <c r="AC749" s="797" t="n"/>
      <c r="AD749" s="192">
        <f t="array" ref="AD749">IFERROR(ROUND((_xlfn.IFS(offer_sale_type="поставка",AB749,offer_sale_type="транзит",S749)*(1+AC749))/E749,2),0)</f>
        <v/>
      </c>
      <c r="AE749" s="76">
        <f>AD749*E749</f>
        <v/>
      </c>
      <c r="AF749" s="193">
        <f t="array" ref="AF749">IFERROR(ROUND(_xlfn.IFS(offer_sale_type="поставка",AB749,offer_sale_type="транзит",S749)*AC749,2),0)</f>
        <v/>
      </c>
      <c r="AG749" s="192">
        <f>$BD749*VLOOKUP($AG$3,$AF$4:$AG$7,2,FALSE)</f>
        <v/>
      </c>
      <c r="AH749" s="76">
        <f>SUM(AE749,AG749,AI749)*rate_forex_risk</f>
        <v/>
      </c>
      <c r="AI749" s="193">
        <f>IF(OR(seller_region="TR",offer_sale_type="экспорт"),0,rate_fin_comm)*SUM(AZ749,AZ749*AW749,T749)</f>
        <v/>
      </c>
      <c r="AJ749" s="118">
        <f>IFERROR(ROUND(SUM(AB749,AF749:AI749)/E749,2),0)</f>
        <v/>
      </c>
      <c r="AK749" s="76">
        <f>AJ749*E749</f>
        <v/>
      </c>
      <c r="AL749" s="174">
        <f>ROUND(IFERROR(AM749*E749,0),2)</f>
        <v/>
      </c>
      <c r="AM749" s="175">
        <f>ROUND(AJ749*(1+IF(offer_incoterms="DDP",IF((TODAY()+offer_turnaround_time)&gt;=helpsheet!$L$17,rate_vatRU_from_26,rate_vatRu_till_25),0)),2)</f>
        <v/>
      </c>
      <c r="AN749" s="192">
        <f>AL749-AK749</f>
        <v/>
      </c>
      <c r="AO749" s="76">
        <f>SUM(AY749,Y749:Z749,T749)*IF(AND(offer_incoterms="DDP",offer_sale_type&lt;&gt;"экспорт"),IF((TODAY()+offer_turnaround_time)&gt;=helpsheet!$L$17,rate_vatRU_from_26,rate_vatRu_till_25),0)</f>
        <v/>
      </c>
      <c r="AP749" s="193">
        <f>AN749-AO749</f>
        <v/>
      </c>
      <c r="AQ749" s="118">
        <f>IF(offer_sale_type="транзит",SUM(AF749:AI749,BA749,BB749),0)</f>
        <v/>
      </c>
      <c r="AR749" s="82">
        <f>HYPERLINK("https://www.alta.ru/tnved/code/")&amp;W749&amp;"/"</f>
        <v/>
      </c>
      <c r="AS749" s="157" t="n"/>
      <c r="AT749" s="162" t="n"/>
      <c r="AU749" s="76">
        <f>IF(ISBLANK(AT749),0,AJ749-AT749)</f>
        <v/>
      </c>
      <c r="AV749" s="157" t="n"/>
      <c r="AW749" s="75">
        <f>_xlfn.IFNA(VLOOKUP(L749,list_vat[],3,FALSE),0)</f>
        <v/>
      </c>
      <c r="AX749" s="76">
        <f>IFERROR(ROUND(S749*(1+AW749)/E749,2),0)</f>
        <v/>
      </c>
      <c r="AY749" s="76">
        <f>E749*AX749</f>
        <v/>
      </c>
      <c r="AZ749" s="192">
        <f>S749*(1+M749)</f>
        <v/>
      </c>
      <c r="BA749" s="76">
        <f>cost_fin_total*$BD749</f>
        <v/>
      </c>
      <c r="BB749" s="193">
        <f>credit_sales_interest*BD749</f>
        <v/>
      </c>
      <c r="BC749" s="102">
        <f>IFERROR(IF($I$13&gt;0,$I749/$I$13,$S749/$S$13),0)</f>
        <v/>
      </c>
      <c r="BD749" s="102">
        <f>IFERROR($S749/$S$13,0)</f>
        <v/>
      </c>
      <c r="BE749" s="413" t="inlineStr">
        <is>
          <t>$</t>
        </is>
      </c>
    </row>
    <row r="750" ht="12" customFormat="1" customHeight="1" s="65">
      <c r="A750" s="43" t="n">
        <v>735</v>
      </c>
      <c r="B750" s="166" t="n"/>
      <c r="C750" s="166" t="n"/>
      <c r="D750" s="166" t="n"/>
      <c r="E750" s="162" t="n"/>
      <c r="F750" s="166" t="n"/>
      <c r="G750" s="162" t="n"/>
      <c r="H750" s="162" t="n"/>
      <c r="I750" s="189">
        <f>E750*G750</f>
        <v/>
      </c>
      <c r="J750" s="195" t="n"/>
      <c r="K750" s="162" t="n"/>
      <c r="L750" s="168" t="n"/>
      <c r="M750" s="75">
        <f>_xlfn.XLOOKUP(L750,list_vat[Страна],list_vat[Ставка НДС %],0,0)</f>
        <v/>
      </c>
      <c r="N750" s="162">
        <f>IFERROR(IF(L750="Китай",K750,K750/(1+M750)),0)</f>
        <v/>
      </c>
      <c r="O750" s="169" t="n"/>
      <c r="P750" s="76">
        <f>N750*(1-O750)</f>
        <v/>
      </c>
      <c r="Q750" s="162" t="n"/>
      <c r="R750" s="162">
        <f>IF(ISBLANK(Q750),"введи курс",P750/Q750)</f>
        <v/>
      </c>
      <c r="S750" s="196">
        <f>IF(AND(ISNUMBER(E750),ISNUMBER(Q750)),E750*R750,0)</f>
        <v/>
      </c>
      <c r="T750" s="192">
        <f>$BC750*V$11</f>
        <v/>
      </c>
      <c r="U750" s="76">
        <f>$BC750*W$11</f>
        <v/>
      </c>
      <c r="V750" s="193">
        <f>+SUM(T750:U750)</f>
        <v/>
      </c>
      <c r="W750" s="191" t="n"/>
      <c r="X750" s="170" t="n"/>
      <c r="Y750" s="76">
        <f>ROUND(IF(offer_incoterms="DDP",X750*(S750*(1+AW750)+T750),0),2)</f>
        <v/>
      </c>
      <c r="Z750" s="188" t="n"/>
      <c r="AA750" s="192">
        <f>IFERROR(AB750/E750,0)</f>
        <v/>
      </c>
      <c r="AB750" s="76">
        <f>ROUND(SUM(S750,V750,Y750:Z750,BA750:BB750),2)</f>
        <v/>
      </c>
      <c r="AC750" s="797" t="n"/>
      <c r="AD750" s="192">
        <f t="array" ref="AD750">IFERROR(ROUND((_xlfn.IFS(offer_sale_type="поставка",AB750,offer_sale_type="транзит",S750)*(1+AC750))/E750,2),0)</f>
        <v/>
      </c>
      <c r="AE750" s="76">
        <f>AD750*E750</f>
        <v/>
      </c>
      <c r="AF750" s="193">
        <f t="array" ref="AF750">IFERROR(ROUND(_xlfn.IFS(offer_sale_type="поставка",AB750,offer_sale_type="транзит",S750)*AC750,2),0)</f>
        <v/>
      </c>
      <c r="AG750" s="192">
        <f>$BD750*VLOOKUP($AG$3,$AF$4:$AG$7,2,FALSE)</f>
        <v/>
      </c>
      <c r="AH750" s="76">
        <f>SUM(AE750,AG750,AI750)*rate_forex_risk</f>
        <v/>
      </c>
      <c r="AI750" s="193">
        <f>IF(OR(seller_region="TR",offer_sale_type="экспорт"),0,rate_fin_comm)*SUM(AZ750,AZ750*AW750,T750)</f>
        <v/>
      </c>
      <c r="AJ750" s="118">
        <f>IFERROR(ROUND(SUM(AB750,AF750:AI750)/E750,2),0)</f>
        <v/>
      </c>
      <c r="AK750" s="76">
        <f>AJ750*E750</f>
        <v/>
      </c>
      <c r="AL750" s="174">
        <f>ROUND(IFERROR(AM750*E750,0),2)</f>
        <v/>
      </c>
      <c r="AM750" s="175">
        <f>ROUND(AJ750*(1+IF(offer_incoterms="DDP",IF((TODAY()+offer_turnaround_time)&gt;=helpsheet!$L$17,rate_vatRU_from_26,rate_vatRu_till_25),0)),2)</f>
        <v/>
      </c>
      <c r="AN750" s="192">
        <f>AL750-AK750</f>
        <v/>
      </c>
      <c r="AO750" s="76">
        <f>SUM(AY750,Y750:Z750,T750)*IF(AND(offer_incoterms="DDP",offer_sale_type&lt;&gt;"экспорт"),IF((TODAY()+offer_turnaround_time)&gt;=helpsheet!$L$17,rate_vatRU_from_26,rate_vatRu_till_25),0)</f>
        <v/>
      </c>
      <c r="AP750" s="193">
        <f>AN750-AO750</f>
        <v/>
      </c>
      <c r="AQ750" s="118">
        <f>IF(offer_sale_type="транзит",SUM(AF750:AI750,BA750,BB750),0)</f>
        <v/>
      </c>
      <c r="AR750" s="82">
        <f>HYPERLINK("https://www.alta.ru/tnved/code/")&amp;W750&amp;"/"</f>
        <v/>
      </c>
      <c r="AS750" s="157" t="n"/>
      <c r="AT750" s="162" t="n"/>
      <c r="AU750" s="76">
        <f>IF(ISBLANK(AT750),0,AJ750-AT750)</f>
        <v/>
      </c>
      <c r="AV750" s="157" t="n"/>
      <c r="AW750" s="75">
        <f>_xlfn.IFNA(VLOOKUP(L750,list_vat[],3,FALSE),0)</f>
        <v/>
      </c>
      <c r="AX750" s="76">
        <f>IFERROR(ROUND(S750*(1+AW750)/E750,2),0)</f>
        <v/>
      </c>
      <c r="AY750" s="76">
        <f>E750*AX750</f>
        <v/>
      </c>
      <c r="AZ750" s="192">
        <f>S750*(1+M750)</f>
        <v/>
      </c>
      <c r="BA750" s="76">
        <f>cost_fin_total*$BD750</f>
        <v/>
      </c>
      <c r="BB750" s="193">
        <f>credit_sales_interest*BD750</f>
        <v/>
      </c>
      <c r="BC750" s="102">
        <f>IFERROR(IF($I$13&gt;0,$I750/$I$13,$S750/$S$13),0)</f>
        <v/>
      </c>
      <c r="BD750" s="102">
        <f>IFERROR($S750/$S$13,0)</f>
        <v/>
      </c>
      <c r="BE750" s="413" t="inlineStr">
        <is>
          <t>$</t>
        </is>
      </c>
    </row>
    <row r="751" ht="12" customFormat="1" customHeight="1" s="65">
      <c r="A751" s="43" t="n">
        <v>736</v>
      </c>
      <c r="B751" s="166" t="n"/>
      <c r="C751" s="166" t="n"/>
      <c r="D751" s="166" t="n"/>
      <c r="E751" s="162" t="n"/>
      <c r="F751" s="166" t="n"/>
      <c r="G751" s="162" t="n"/>
      <c r="H751" s="162" t="n"/>
      <c r="I751" s="189">
        <f>E751*G751</f>
        <v/>
      </c>
      <c r="J751" s="195" t="n"/>
      <c r="K751" s="162" t="n"/>
      <c r="L751" s="168" t="n"/>
      <c r="M751" s="75">
        <f>_xlfn.XLOOKUP(L751,list_vat[Страна],list_vat[Ставка НДС %],0,0)</f>
        <v/>
      </c>
      <c r="N751" s="162">
        <f>IFERROR(IF(L751="Китай",K751,K751/(1+M751)),0)</f>
        <v/>
      </c>
      <c r="O751" s="169" t="n"/>
      <c r="P751" s="76">
        <f>N751*(1-O751)</f>
        <v/>
      </c>
      <c r="Q751" s="162" t="n"/>
      <c r="R751" s="162">
        <f>IF(ISBLANK(Q751),"введи курс",P751/Q751)</f>
        <v/>
      </c>
      <c r="S751" s="196">
        <f>IF(AND(ISNUMBER(E751),ISNUMBER(Q751)),E751*R751,0)</f>
        <v/>
      </c>
      <c r="T751" s="192">
        <f>$BC751*V$11</f>
        <v/>
      </c>
      <c r="U751" s="76">
        <f>$BC751*W$11</f>
        <v/>
      </c>
      <c r="V751" s="193">
        <f>+SUM(T751:U751)</f>
        <v/>
      </c>
      <c r="W751" s="191" t="n"/>
      <c r="X751" s="170" t="n"/>
      <c r="Y751" s="76">
        <f>ROUND(IF(offer_incoterms="DDP",X751*(S751*(1+AW751)+T751),0),2)</f>
        <v/>
      </c>
      <c r="Z751" s="188" t="n"/>
      <c r="AA751" s="192">
        <f>IFERROR(AB751/E751,0)</f>
        <v/>
      </c>
      <c r="AB751" s="76">
        <f>ROUND(SUM(S751,V751,Y751:Z751,BA751:BB751),2)</f>
        <v/>
      </c>
      <c r="AC751" s="797" t="n"/>
      <c r="AD751" s="192">
        <f t="array" ref="AD751">IFERROR(ROUND((_xlfn.IFS(offer_sale_type="поставка",AB751,offer_sale_type="транзит",S751)*(1+AC751))/E751,2),0)</f>
        <v/>
      </c>
      <c r="AE751" s="76">
        <f>AD751*E751</f>
        <v/>
      </c>
      <c r="AF751" s="193">
        <f t="array" ref="AF751">IFERROR(ROUND(_xlfn.IFS(offer_sale_type="поставка",AB751,offer_sale_type="транзит",S751)*AC751,2),0)</f>
        <v/>
      </c>
      <c r="AG751" s="192">
        <f>$BD751*VLOOKUP($AG$3,$AF$4:$AG$7,2,FALSE)</f>
        <v/>
      </c>
      <c r="AH751" s="76">
        <f>SUM(AE751,AG751,AI751)*rate_forex_risk</f>
        <v/>
      </c>
      <c r="AI751" s="193">
        <f>IF(OR(seller_region="TR",offer_sale_type="экспорт"),0,rate_fin_comm)*SUM(AZ751,AZ751*AW751,T751)</f>
        <v/>
      </c>
      <c r="AJ751" s="118">
        <f>IFERROR(ROUND(SUM(AB751,AF751:AI751)/E751,2),0)</f>
        <v/>
      </c>
      <c r="AK751" s="76">
        <f>AJ751*E751</f>
        <v/>
      </c>
      <c r="AL751" s="174">
        <f>ROUND(IFERROR(AM751*E751,0),2)</f>
        <v/>
      </c>
      <c r="AM751" s="175">
        <f>ROUND(AJ751*(1+IF(offer_incoterms="DDP",IF((TODAY()+offer_turnaround_time)&gt;=helpsheet!$L$17,rate_vatRU_from_26,rate_vatRu_till_25),0)),2)</f>
        <v/>
      </c>
      <c r="AN751" s="192">
        <f>AL751-AK751</f>
        <v/>
      </c>
      <c r="AO751" s="76">
        <f>SUM(AY751,Y751:Z751,T751)*IF(AND(offer_incoterms="DDP",offer_sale_type&lt;&gt;"экспорт"),IF((TODAY()+offer_turnaround_time)&gt;=helpsheet!$L$17,rate_vatRU_from_26,rate_vatRu_till_25),0)</f>
        <v/>
      </c>
      <c r="AP751" s="193">
        <f>AN751-AO751</f>
        <v/>
      </c>
      <c r="AQ751" s="118">
        <f>IF(offer_sale_type="транзит",SUM(AF751:AI751,BA751,BB751),0)</f>
        <v/>
      </c>
      <c r="AR751" s="82">
        <f>HYPERLINK("https://www.alta.ru/tnved/code/")&amp;W751&amp;"/"</f>
        <v/>
      </c>
      <c r="AS751" s="157" t="n"/>
      <c r="AT751" s="162" t="n"/>
      <c r="AU751" s="76">
        <f>IF(ISBLANK(AT751),0,AJ751-AT751)</f>
        <v/>
      </c>
      <c r="AV751" s="157" t="n"/>
      <c r="AW751" s="75">
        <f>_xlfn.IFNA(VLOOKUP(L751,list_vat[],3,FALSE),0)</f>
        <v/>
      </c>
      <c r="AX751" s="76">
        <f>IFERROR(ROUND(S751*(1+AW751)/E751,2),0)</f>
        <v/>
      </c>
      <c r="AY751" s="76">
        <f>E751*AX751</f>
        <v/>
      </c>
      <c r="AZ751" s="192">
        <f>S751*(1+M751)</f>
        <v/>
      </c>
      <c r="BA751" s="76">
        <f>cost_fin_total*$BD751</f>
        <v/>
      </c>
      <c r="BB751" s="193">
        <f>credit_sales_interest*BD751</f>
        <v/>
      </c>
      <c r="BC751" s="102">
        <f>IFERROR(IF($I$13&gt;0,$I751/$I$13,$S751/$S$13),0)</f>
        <v/>
      </c>
      <c r="BD751" s="102">
        <f>IFERROR($S751/$S$13,0)</f>
        <v/>
      </c>
      <c r="BE751" s="413" t="inlineStr">
        <is>
          <t>$</t>
        </is>
      </c>
    </row>
    <row r="752" ht="12" customFormat="1" customHeight="1" s="65">
      <c r="A752" s="43" t="n">
        <v>737</v>
      </c>
      <c r="B752" s="166" t="n"/>
      <c r="C752" s="166" t="n"/>
      <c r="D752" s="166" t="n"/>
      <c r="E752" s="162" t="n"/>
      <c r="F752" s="166" t="n"/>
      <c r="G752" s="162" t="n"/>
      <c r="H752" s="162" t="n"/>
      <c r="I752" s="189">
        <f>E752*G752</f>
        <v/>
      </c>
      <c r="J752" s="195" t="n"/>
      <c r="K752" s="162" t="n"/>
      <c r="L752" s="168" t="n"/>
      <c r="M752" s="75">
        <f>_xlfn.XLOOKUP(L752,list_vat[Страна],list_vat[Ставка НДС %],0,0)</f>
        <v/>
      </c>
      <c r="N752" s="162">
        <f>IFERROR(IF(L752="Китай",K752,K752/(1+M752)),0)</f>
        <v/>
      </c>
      <c r="O752" s="169" t="n"/>
      <c r="P752" s="76">
        <f>N752*(1-O752)</f>
        <v/>
      </c>
      <c r="Q752" s="162" t="n"/>
      <c r="R752" s="162">
        <f>IF(ISBLANK(Q752),"введи курс",P752/Q752)</f>
        <v/>
      </c>
      <c r="S752" s="196">
        <f>IF(AND(ISNUMBER(E752),ISNUMBER(Q752)),E752*R752,0)</f>
        <v/>
      </c>
      <c r="T752" s="192">
        <f>$BC752*V$11</f>
        <v/>
      </c>
      <c r="U752" s="76">
        <f>$BC752*W$11</f>
        <v/>
      </c>
      <c r="V752" s="193">
        <f>+SUM(T752:U752)</f>
        <v/>
      </c>
      <c r="W752" s="191" t="n"/>
      <c r="X752" s="170" t="n"/>
      <c r="Y752" s="76">
        <f>ROUND(IF(offer_incoterms="DDP",X752*(S752*(1+AW752)+T752),0),2)</f>
        <v/>
      </c>
      <c r="Z752" s="188" t="n"/>
      <c r="AA752" s="192">
        <f>IFERROR(AB752/E752,0)</f>
        <v/>
      </c>
      <c r="AB752" s="76">
        <f>ROUND(SUM(S752,V752,Y752:Z752,BA752:BB752),2)</f>
        <v/>
      </c>
      <c r="AC752" s="797" t="n"/>
      <c r="AD752" s="192">
        <f t="array" ref="AD752">IFERROR(ROUND((_xlfn.IFS(offer_sale_type="поставка",AB752,offer_sale_type="транзит",S752)*(1+AC752))/E752,2),0)</f>
        <v/>
      </c>
      <c r="AE752" s="76">
        <f>AD752*E752</f>
        <v/>
      </c>
      <c r="AF752" s="193">
        <f t="array" ref="AF752">IFERROR(ROUND(_xlfn.IFS(offer_sale_type="поставка",AB752,offer_sale_type="транзит",S752)*AC752,2),0)</f>
        <v/>
      </c>
      <c r="AG752" s="192">
        <f>$BD752*VLOOKUP($AG$3,$AF$4:$AG$7,2,FALSE)</f>
        <v/>
      </c>
      <c r="AH752" s="76">
        <f>SUM(AE752,AG752,AI752)*rate_forex_risk</f>
        <v/>
      </c>
      <c r="AI752" s="193">
        <f>IF(OR(seller_region="TR",offer_sale_type="экспорт"),0,rate_fin_comm)*SUM(AZ752,AZ752*AW752,T752)</f>
        <v/>
      </c>
      <c r="AJ752" s="118">
        <f>IFERROR(ROUND(SUM(AB752,AF752:AI752)/E752,2),0)</f>
        <v/>
      </c>
      <c r="AK752" s="76">
        <f>AJ752*E752</f>
        <v/>
      </c>
      <c r="AL752" s="174">
        <f>ROUND(IFERROR(AM752*E752,0),2)</f>
        <v/>
      </c>
      <c r="AM752" s="175">
        <f>ROUND(AJ752*(1+IF(offer_incoterms="DDP",IF((TODAY()+offer_turnaround_time)&gt;=helpsheet!$L$17,rate_vatRU_from_26,rate_vatRu_till_25),0)),2)</f>
        <v/>
      </c>
      <c r="AN752" s="192">
        <f>AL752-AK752</f>
        <v/>
      </c>
      <c r="AO752" s="76">
        <f>SUM(AY752,Y752:Z752,T752)*IF(AND(offer_incoterms="DDP",offer_sale_type&lt;&gt;"экспорт"),IF((TODAY()+offer_turnaround_time)&gt;=helpsheet!$L$17,rate_vatRU_from_26,rate_vatRu_till_25),0)</f>
        <v/>
      </c>
      <c r="AP752" s="193">
        <f>AN752-AO752</f>
        <v/>
      </c>
      <c r="AQ752" s="118">
        <f>IF(offer_sale_type="транзит",SUM(AF752:AI752,BA752,BB752),0)</f>
        <v/>
      </c>
      <c r="AR752" s="82">
        <f>HYPERLINK("https://www.alta.ru/tnved/code/")&amp;W752&amp;"/"</f>
        <v/>
      </c>
      <c r="AS752" s="157" t="n"/>
      <c r="AT752" s="162" t="n"/>
      <c r="AU752" s="76">
        <f>IF(ISBLANK(AT752),0,AJ752-AT752)</f>
        <v/>
      </c>
      <c r="AV752" s="157" t="n"/>
      <c r="AW752" s="75">
        <f>_xlfn.IFNA(VLOOKUP(L752,list_vat[],3,FALSE),0)</f>
        <v/>
      </c>
      <c r="AX752" s="76">
        <f>IFERROR(ROUND(S752*(1+AW752)/E752,2),0)</f>
        <v/>
      </c>
      <c r="AY752" s="76">
        <f>E752*AX752</f>
        <v/>
      </c>
      <c r="AZ752" s="192">
        <f>S752*(1+M752)</f>
        <v/>
      </c>
      <c r="BA752" s="76">
        <f>cost_fin_total*$BD752</f>
        <v/>
      </c>
      <c r="BB752" s="193">
        <f>credit_sales_interest*BD752</f>
        <v/>
      </c>
      <c r="BC752" s="102">
        <f>IFERROR(IF($I$13&gt;0,$I752/$I$13,$S752/$S$13),0)</f>
        <v/>
      </c>
      <c r="BD752" s="102">
        <f>IFERROR($S752/$S$13,0)</f>
        <v/>
      </c>
      <c r="BE752" s="413" t="inlineStr">
        <is>
          <t>$</t>
        </is>
      </c>
    </row>
    <row r="753" ht="12" customFormat="1" customHeight="1" s="65">
      <c r="A753" s="43" t="n">
        <v>738</v>
      </c>
      <c r="B753" s="166" t="n"/>
      <c r="C753" s="166" t="n"/>
      <c r="D753" s="166" t="n"/>
      <c r="E753" s="162" t="n"/>
      <c r="F753" s="166" t="n"/>
      <c r="G753" s="162" t="n"/>
      <c r="H753" s="162" t="n"/>
      <c r="I753" s="189">
        <f>E753*G753</f>
        <v/>
      </c>
      <c r="J753" s="195" t="n"/>
      <c r="K753" s="162" t="n"/>
      <c r="L753" s="168" t="n"/>
      <c r="M753" s="75">
        <f>_xlfn.XLOOKUP(L753,list_vat[Страна],list_vat[Ставка НДС %],0,0)</f>
        <v/>
      </c>
      <c r="N753" s="162">
        <f>IFERROR(IF(L753="Китай",K753,K753/(1+M753)),0)</f>
        <v/>
      </c>
      <c r="O753" s="169" t="n"/>
      <c r="P753" s="76">
        <f>N753*(1-O753)</f>
        <v/>
      </c>
      <c r="Q753" s="162" t="n"/>
      <c r="R753" s="162">
        <f>IF(ISBLANK(Q753),"введи курс",P753/Q753)</f>
        <v/>
      </c>
      <c r="S753" s="196">
        <f>IF(AND(ISNUMBER(E753),ISNUMBER(Q753)),E753*R753,0)</f>
        <v/>
      </c>
      <c r="T753" s="192">
        <f>$BC753*V$11</f>
        <v/>
      </c>
      <c r="U753" s="76">
        <f>$BC753*W$11</f>
        <v/>
      </c>
      <c r="V753" s="193">
        <f>+SUM(T753:U753)</f>
        <v/>
      </c>
      <c r="W753" s="191" t="n"/>
      <c r="X753" s="170" t="n"/>
      <c r="Y753" s="76">
        <f>ROUND(IF(offer_incoterms="DDP",X753*(S753*(1+AW753)+T753),0),2)</f>
        <v/>
      </c>
      <c r="Z753" s="188" t="n"/>
      <c r="AA753" s="192">
        <f>IFERROR(AB753/E753,0)</f>
        <v/>
      </c>
      <c r="AB753" s="76">
        <f>ROUND(SUM(S753,V753,Y753:Z753,BA753:BB753),2)</f>
        <v/>
      </c>
      <c r="AC753" s="797" t="n"/>
      <c r="AD753" s="192">
        <f t="array" ref="AD753">IFERROR(ROUND((_xlfn.IFS(offer_sale_type="поставка",AB753,offer_sale_type="транзит",S753)*(1+AC753))/E753,2),0)</f>
        <v/>
      </c>
      <c r="AE753" s="76">
        <f>AD753*E753</f>
        <v/>
      </c>
      <c r="AF753" s="193">
        <f t="array" ref="AF753">IFERROR(ROUND(_xlfn.IFS(offer_sale_type="поставка",AB753,offer_sale_type="транзит",S753)*AC753,2),0)</f>
        <v/>
      </c>
      <c r="AG753" s="192">
        <f>$BD753*VLOOKUP($AG$3,$AF$4:$AG$7,2,FALSE)</f>
        <v/>
      </c>
      <c r="AH753" s="76">
        <f>SUM(AE753,AG753,AI753)*rate_forex_risk</f>
        <v/>
      </c>
      <c r="AI753" s="193">
        <f>IF(OR(seller_region="TR",offer_sale_type="экспорт"),0,rate_fin_comm)*SUM(AZ753,AZ753*AW753,T753)</f>
        <v/>
      </c>
      <c r="AJ753" s="118">
        <f>IFERROR(ROUND(SUM(AB753,AF753:AI753)/E753,2),0)</f>
        <v/>
      </c>
      <c r="AK753" s="76">
        <f>AJ753*E753</f>
        <v/>
      </c>
      <c r="AL753" s="174">
        <f>ROUND(IFERROR(AM753*E753,0),2)</f>
        <v/>
      </c>
      <c r="AM753" s="175">
        <f>ROUND(AJ753*(1+IF(offer_incoterms="DDP",IF((TODAY()+offer_turnaround_time)&gt;=helpsheet!$L$17,rate_vatRU_from_26,rate_vatRu_till_25),0)),2)</f>
        <v/>
      </c>
      <c r="AN753" s="192">
        <f>AL753-AK753</f>
        <v/>
      </c>
      <c r="AO753" s="76">
        <f>SUM(AY753,Y753:Z753,T753)*IF(AND(offer_incoterms="DDP",offer_sale_type&lt;&gt;"экспорт"),IF((TODAY()+offer_turnaround_time)&gt;=helpsheet!$L$17,rate_vatRU_from_26,rate_vatRu_till_25),0)</f>
        <v/>
      </c>
      <c r="AP753" s="193">
        <f>AN753-AO753</f>
        <v/>
      </c>
      <c r="AQ753" s="118">
        <f>IF(offer_sale_type="транзит",SUM(AF753:AI753,BA753,BB753),0)</f>
        <v/>
      </c>
      <c r="AR753" s="82">
        <f>HYPERLINK("https://www.alta.ru/tnved/code/")&amp;W753&amp;"/"</f>
        <v/>
      </c>
      <c r="AS753" s="157" t="n"/>
      <c r="AT753" s="162" t="n"/>
      <c r="AU753" s="76">
        <f>IF(ISBLANK(AT753),0,AJ753-AT753)</f>
        <v/>
      </c>
      <c r="AV753" s="157" t="n"/>
      <c r="AW753" s="75">
        <f>_xlfn.IFNA(VLOOKUP(L753,list_vat[],3,FALSE),0)</f>
        <v/>
      </c>
      <c r="AX753" s="76">
        <f>IFERROR(ROUND(S753*(1+AW753)/E753,2),0)</f>
        <v/>
      </c>
      <c r="AY753" s="76">
        <f>E753*AX753</f>
        <v/>
      </c>
      <c r="AZ753" s="192">
        <f>S753*(1+M753)</f>
        <v/>
      </c>
      <c r="BA753" s="76">
        <f>cost_fin_total*$BD753</f>
        <v/>
      </c>
      <c r="BB753" s="193">
        <f>credit_sales_interest*BD753</f>
        <v/>
      </c>
      <c r="BC753" s="102">
        <f>IFERROR(IF($I$13&gt;0,$I753/$I$13,$S753/$S$13),0)</f>
        <v/>
      </c>
      <c r="BD753" s="102">
        <f>IFERROR($S753/$S$13,0)</f>
        <v/>
      </c>
      <c r="BE753" s="413" t="inlineStr">
        <is>
          <t>$</t>
        </is>
      </c>
    </row>
    <row r="754" ht="12" customFormat="1" customHeight="1" s="65">
      <c r="A754" s="43" t="n">
        <v>739</v>
      </c>
      <c r="B754" s="166" t="n"/>
      <c r="C754" s="166" t="n"/>
      <c r="D754" s="166" t="n"/>
      <c r="E754" s="162" t="n"/>
      <c r="F754" s="166" t="n"/>
      <c r="G754" s="162" t="n"/>
      <c r="H754" s="162" t="n"/>
      <c r="I754" s="189">
        <f>E754*G754</f>
        <v/>
      </c>
      <c r="J754" s="195" t="n"/>
      <c r="K754" s="162" t="n"/>
      <c r="L754" s="168" t="n"/>
      <c r="M754" s="75">
        <f>_xlfn.XLOOKUP(L754,list_vat[Страна],list_vat[Ставка НДС %],0,0)</f>
        <v/>
      </c>
      <c r="N754" s="162">
        <f>IFERROR(IF(L754="Китай",K754,K754/(1+M754)),0)</f>
        <v/>
      </c>
      <c r="O754" s="169" t="n"/>
      <c r="P754" s="76">
        <f>N754*(1-O754)</f>
        <v/>
      </c>
      <c r="Q754" s="162" t="n"/>
      <c r="R754" s="162">
        <f>IF(ISBLANK(Q754),"введи курс",P754/Q754)</f>
        <v/>
      </c>
      <c r="S754" s="196">
        <f>IF(AND(ISNUMBER(E754),ISNUMBER(Q754)),E754*R754,0)</f>
        <v/>
      </c>
      <c r="T754" s="192">
        <f>$BC754*V$11</f>
        <v/>
      </c>
      <c r="U754" s="76">
        <f>$BC754*W$11</f>
        <v/>
      </c>
      <c r="V754" s="193">
        <f>+SUM(T754:U754)</f>
        <v/>
      </c>
      <c r="W754" s="191" t="n"/>
      <c r="X754" s="170" t="n"/>
      <c r="Y754" s="76">
        <f>ROUND(IF(offer_incoterms="DDP",X754*(S754*(1+AW754)+T754),0),2)</f>
        <v/>
      </c>
      <c r="Z754" s="188" t="n"/>
      <c r="AA754" s="192">
        <f>IFERROR(AB754/E754,0)</f>
        <v/>
      </c>
      <c r="AB754" s="76">
        <f>ROUND(SUM(S754,V754,Y754:Z754,BA754:BB754),2)</f>
        <v/>
      </c>
      <c r="AC754" s="797" t="n"/>
      <c r="AD754" s="192">
        <f t="array" ref="AD754">IFERROR(ROUND((_xlfn.IFS(offer_sale_type="поставка",AB754,offer_sale_type="транзит",S754)*(1+AC754))/E754,2),0)</f>
        <v/>
      </c>
      <c r="AE754" s="76">
        <f>AD754*E754</f>
        <v/>
      </c>
      <c r="AF754" s="193">
        <f t="array" ref="AF754">IFERROR(ROUND(_xlfn.IFS(offer_sale_type="поставка",AB754,offer_sale_type="транзит",S754)*AC754,2),0)</f>
        <v/>
      </c>
      <c r="AG754" s="192">
        <f>$BD754*VLOOKUP($AG$3,$AF$4:$AG$7,2,FALSE)</f>
        <v/>
      </c>
      <c r="AH754" s="76">
        <f>SUM(AE754,AG754,AI754)*rate_forex_risk</f>
        <v/>
      </c>
      <c r="AI754" s="193">
        <f>IF(OR(seller_region="TR",offer_sale_type="экспорт"),0,rate_fin_comm)*SUM(AZ754,AZ754*AW754,T754)</f>
        <v/>
      </c>
      <c r="AJ754" s="118">
        <f>IFERROR(ROUND(SUM(AB754,AF754:AI754)/E754,2),0)</f>
        <v/>
      </c>
      <c r="AK754" s="76">
        <f>AJ754*E754</f>
        <v/>
      </c>
      <c r="AL754" s="174">
        <f>ROUND(IFERROR(AM754*E754,0),2)</f>
        <v/>
      </c>
      <c r="AM754" s="175">
        <f>ROUND(AJ754*(1+IF(offer_incoterms="DDP",IF((TODAY()+offer_turnaround_time)&gt;=helpsheet!$L$17,rate_vatRU_from_26,rate_vatRu_till_25),0)),2)</f>
        <v/>
      </c>
      <c r="AN754" s="192">
        <f>AL754-AK754</f>
        <v/>
      </c>
      <c r="AO754" s="76">
        <f>SUM(AY754,Y754:Z754,T754)*IF(AND(offer_incoterms="DDP",offer_sale_type&lt;&gt;"экспорт"),IF((TODAY()+offer_turnaround_time)&gt;=helpsheet!$L$17,rate_vatRU_from_26,rate_vatRu_till_25),0)</f>
        <v/>
      </c>
      <c r="AP754" s="193">
        <f>AN754-AO754</f>
        <v/>
      </c>
      <c r="AQ754" s="118">
        <f>IF(offer_sale_type="транзит",SUM(AF754:AI754,BA754,BB754),0)</f>
        <v/>
      </c>
      <c r="AR754" s="82">
        <f>HYPERLINK("https://www.alta.ru/tnved/code/")&amp;W754&amp;"/"</f>
        <v/>
      </c>
      <c r="AS754" s="157" t="n"/>
      <c r="AT754" s="162" t="n"/>
      <c r="AU754" s="76">
        <f>IF(ISBLANK(AT754),0,AJ754-AT754)</f>
        <v/>
      </c>
      <c r="AV754" s="157" t="n"/>
      <c r="AW754" s="75">
        <f>_xlfn.IFNA(VLOOKUP(L754,list_vat[],3,FALSE),0)</f>
        <v/>
      </c>
      <c r="AX754" s="76">
        <f>IFERROR(ROUND(S754*(1+AW754)/E754,2),0)</f>
        <v/>
      </c>
      <c r="AY754" s="76">
        <f>E754*AX754</f>
        <v/>
      </c>
      <c r="AZ754" s="192">
        <f>S754*(1+M754)</f>
        <v/>
      </c>
      <c r="BA754" s="76">
        <f>cost_fin_total*$BD754</f>
        <v/>
      </c>
      <c r="BB754" s="193">
        <f>credit_sales_interest*BD754</f>
        <v/>
      </c>
      <c r="BC754" s="102">
        <f>IFERROR(IF($I$13&gt;0,$I754/$I$13,$S754/$S$13),0)</f>
        <v/>
      </c>
      <c r="BD754" s="102">
        <f>IFERROR($S754/$S$13,0)</f>
        <v/>
      </c>
      <c r="BE754" s="413" t="inlineStr">
        <is>
          <t>$</t>
        </is>
      </c>
    </row>
    <row r="755" ht="12" customFormat="1" customHeight="1" s="65">
      <c r="A755" s="43" t="n">
        <v>740</v>
      </c>
      <c r="B755" s="166" t="n"/>
      <c r="C755" s="166" t="n"/>
      <c r="D755" s="166" t="n"/>
      <c r="E755" s="162" t="n"/>
      <c r="F755" s="166" t="n"/>
      <c r="G755" s="162" t="n"/>
      <c r="H755" s="162" t="n"/>
      <c r="I755" s="189">
        <f>E755*G755</f>
        <v/>
      </c>
      <c r="J755" s="195" t="n"/>
      <c r="K755" s="162" t="n"/>
      <c r="L755" s="168" t="n"/>
      <c r="M755" s="75">
        <f>_xlfn.XLOOKUP(L755,list_vat[Страна],list_vat[Ставка НДС %],0,0)</f>
        <v/>
      </c>
      <c r="N755" s="162">
        <f>IFERROR(IF(L755="Китай",K755,K755/(1+M755)),0)</f>
        <v/>
      </c>
      <c r="O755" s="169" t="n"/>
      <c r="P755" s="76">
        <f>N755*(1-O755)</f>
        <v/>
      </c>
      <c r="Q755" s="162" t="n"/>
      <c r="R755" s="162">
        <f>IF(ISBLANK(Q755),"введи курс",P755/Q755)</f>
        <v/>
      </c>
      <c r="S755" s="196">
        <f>IF(AND(ISNUMBER(E755),ISNUMBER(Q755)),E755*R755,0)</f>
        <v/>
      </c>
      <c r="T755" s="192">
        <f>$BC755*V$11</f>
        <v/>
      </c>
      <c r="U755" s="76">
        <f>$BC755*W$11</f>
        <v/>
      </c>
      <c r="V755" s="193">
        <f>+SUM(T755:U755)</f>
        <v/>
      </c>
      <c r="W755" s="191" t="n"/>
      <c r="X755" s="170" t="n"/>
      <c r="Y755" s="76">
        <f>ROUND(IF(offer_incoterms="DDP",X755*(S755*(1+AW755)+T755),0),2)</f>
        <v/>
      </c>
      <c r="Z755" s="188" t="n"/>
      <c r="AA755" s="192">
        <f>IFERROR(AB755/E755,0)</f>
        <v/>
      </c>
      <c r="AB755" s="76">
        <f>ROUND(SUM(S755,V755,Y755:Z755,BA755:BB755),2)</f>
        <v/>
      </c>
      <c r="AC755" s="797" t="n"/>
      <c r="AD755" s="192">
        <f t="array" ref="AD755">IFERROR(ROUND((_xlfn.IFS(offer_sale_type="поставка",AB755,offer_sale_type="транзит",S755)*(1+AC755))/E755,2),0)</f>
        <v/>
      </c>
      <c r="AE755" s="76">
        <f>AD755*E755</f>
        <v/>
      </c>
      <c r="AF755" s="193">
        <f t="array" ref="AF755">IFERROR(ROUND(_xlfn.IFS(offer_sale_type="поставка",AB755,offer_sale_type="транзит",S755)*AC755,2),0)</f>
        <v/>
      </c>
      <c r="AG755" s="192">
        <f>$BD755*VLOOKUP($AG$3,$AF$4:$AG$7,2,FALSE)</f>
        <v/>
      </c>
      <c r="AH755" s="76">
        <f>SUM(AE755,AG755,AI755)*rate_forex_risk</f>
        <v/>
      </c>
      <c r="AI755" s="193">
        <f>IF(OR(seller_region="TR",offer_sale_type="экспорт"),0,rate_fin_comm)*SUM(AZ755,AZ755*AW755,T755)</f>
        <v/>
      </c>
      <c r="AJ755" s="118">
        <f>IFERROR(ROUND(SUM(AB755,AF755:AI755)/E755,2),0)</f>
        <v/>
      </c>
      <c r="AK755" s="76">
        <f>AJ755*E755</f>
        <v/>
      </c>
      <c r="AL755" s="174">
        <f>ROUND(IFERROR(AM755*E755,0),2)</f>
        <v/>
      </c>
      <c r="AM755" s="175">
        <f>ROUND(AJ755*(1+IF(offer_incoterms="DDP",IF((TODAY()+offer_turnaround_time)&gt;=helpsheet!$L$17,rate_vatRU_from_26,rate_vatRu_till_25),0)),2)</f>
        <v/>
      </c>
      <c r="AN755" s="192">
        <f>AL755-AK755</f>
        <v/>
      </c>
      <c r="AO755" s="76">
        <f>SUM(AY755,Y755:Z755,T755)*IF(AND(offer_incoterms="DDP",offer_sale_type&lt;&gt;"экспорт"),IF((TODAY()+offer_turnaround_time)&gt;=helpsheet!$L$17,rate_vatRU_from_26,rate_vatRu_till_25),0)</f>
        <v/>
      </c>
      <c r="AP755" s="193">
        <f>AN755-AO755</f>
        <v/>
      </c>
      <c r="AQ755" s="118">
        <f>IF(offer_sale_type="транзит",SUM(AF755:AI755,BA755,BB755),0)</f>
        <v/>
      </c>
      <c r="AR755" s="82">
        <f>HYPERLINK("https://www.alta.ru/tnved/code/")&amp;W755&amp;"/"</f>
        <v/>
      </c>
      <c r="AS755" s="157" t="n"/>
      <c r="AT755" s="162" t="n"/>
      <c r="AU755" s="76">
        <f>IF(ISBLANK(AT755),0,AJ755-AT755)</f>
        <v/>
      </c>
      <c r="AV755" s="157" t="n"/>
      <c r="AW755" s="75">
        <f>_xlfn.IFNA(VLOOKUP(L755,list_vat[],3,FALSE),0)</f>
        <v/>
      </c>
      <c r="AX755" s="76">
        <f>IFERROR(ROUND(S755*(1+AW755)/E755,2),0)</f>
        <v/>
      </c>
      <c r="AY755" s="76">
        <f>E755*AX755</f>
        <v/>
      </c>
      <c r="AZ755" s="192">
        <f>S755*(1+M755)</f>
        <v/>
      </c>
      <c r="BA755" s="76">
        <f>cost_fin_total*$BD755</f>
        <v/>
      </c>
      <c r="BB755" s="193">
        <f>credit_sales_interest*BD755</f>
        <v/>
      </c>
      <c r="BC755" s="102">
        <f>IFERROR(IF($I$13&gt;0,$I755/$I$13,$S755/$S$13),0)</f>
        <v/>
      </c>
      <c r="BD755" s="102">
        <f>IFERROR($S755/$S$13,0)</f>
        <v/>
      </c>
      <c r="BE755" s="413" t="inlineStr">
        <is>
          <t>$</t>
        </is>
      </c>
    </row>
    <row r="756" ht="12" customFormat="1" customHeight="1" s="65">
      <c r="A756" s="43" t="n">
        <v>741</v>
      </c>
      <c r="B756" s="166" t="n"/>
      <c r="C756" s="166" t="n"/>
      <c r="D756" s="166" t="n"/>
      <c r="E756" s="162" t="n"/>
      <c r="F756" s="166" t="n"/>
      <c r="G756" s="162" t="n"/>
      <c r="H756" s="162" t="n"/>
      <c r="I756" s="189">
        <f>E756*G756</f>
        <v/>
      </c>
      <c r="J756" s="195" t="n"/>
      <c r="K756" s="162" t="n"/>
      <c r="L756" s="168" t="n"/>
      <c r="M756" s="75">
        <f>_xlfn.XLOOKUP(L756,list_vat[Страна],list_vat[Ставка НДС %],0,0)</f>
        <v/>
      </c>
      <c r="N756" s="162">
        <f>IFERROR(IF(L756="Китай",K756,K756/(1+M756)),0)</f>
        <v/>
      </c>
      <c r="O756" s="169" t="n"/>
      <c r="P756" s="76">
        <f>N756*(1-O756)</f>
        <v/>
      </c>
      <c r="Q756" s="162" t="n"/>
      <c r="R756" s="162">
        <f>IF(ISBLANK(Q756),"введи курс",P756/Q756)</f>
        <v/>
      </c>
      <c r="S756" s="196">
        <f>IF(AND(ISNUMBER(E756),ISNUMBER(Q756)),E756*R756,0)</f>
        <v/>
      </c>
      <c r="T756" s="192">
        <f>$BC756*V$11</f>
        <v/>
      </c>
      <c r="U756" s="76">
        <f>$BC756*W$11</f>
        <v/>
      </c>
      <c r="V756" s="193">
        <f>+SUM(T756:U756)</f>
        <v/>
      </c>
      <c r="W756" s="191" t="n"/>
      <c r="X756" s="170" t="n"/>
      <c r="Y756" s="76">
        <f>ROUND(IF(offer_incoterms="DDP",X756*(S756*(1+AW756)+T756),0),2)</f>
        <v/>
      </c>
      <c r="Z756" s="188" t="n"/>
      <c r="AA756" s="192">
        <f>IFERROR(AB756/E756,0)</f>
        <v/>
      </c>
      <c r="AB756" s="76">
        <f>ROUND(SUM(S756,V756,Y756:Z756,BA756:BB756),2)</f>
        <v/>
      </c>
      <c r="AC756" s="797" t="n"/>
      <c r="AD756" s="192">
        <f t="array" ref="AD756">IFERROR(ROUND((_xlfn.IFS(offer_sale_type="поставка",AB756,offer_sale_type="транзит",S756)*(1+AC756))/E756,2),0)</f>
        <v/>
      </c>
      <c r="AE756" s="76">
        <f>AD756*E756</f>
        <v/>
      </c>
      <c r="AF756" s="193">
        <f t="array" ref="AF756">IFERROR(ROUND(_xlfn.IFS(offer_sale_type="поставка",AB756,offer_sale_type="транзит",S756)*AC756,2),0)</f>
        <v/>
      </c>
      <c r="AG756" s="192">
        <f>$BD756*VLOOKUP($AG$3,$AF$4:$AG$7,2,FALSE)</f>
        <v/>
      </c>
      <c r="AH756" s="76">
        <f>SUM(AE756,AG756,AI756)*rate_forex_risk</f>
        <v/>
      </c>
      <c r="AI756" s="193">
        <f>IF(OR(seller_region="TR",offer_sale_type="экспорт"),0,rate_fin_comm)*SUM(AZ756,AZ756*AW756,T756)</f>
        <v/>
      </c>
      <c r="AJ756" s="118">
        <f>IFERROR(ROUND(SUM(AB756,AF756:AI756)/E756,2),0)</f>
        <v/>
      </c>
      <c r="AK756" s="76">
        <f>AJ756*E756</f>
        <v/>
      </c>
      <c r="AL756" s="174">
        <f>ROUND(IFERROR(AM756*E756,0),2)</f>
        <v/>
      </c>
      <c r="AM756" s="175">
        <f>ROUND(AJ756*(1+IF(offer_incoterms="DDP",IF((TODAY()+offer_turnaround_time)&gt;=helpsheet!$L$17,rate_vatRU_from_26,rate_vatRu_till_25),0)),2)</f>
        <v/>
      </c>
      <c r="AN756" s="192">
        <f>AL756-AK756</f>
        <v/>
      </c>
      <c r="AO756" s="76">
        <f>SUM(AY756,Y756:Z756,T756)*IF(AND(offer_incoterms="DDP",offer_sale_type&lt;&gt;"экспорт"),IF((TODAY()+offer_turnaround_time)&gt;=helpsheet!$L$17,rate_vatRU_from_26,rate_vatRu_till_25),0)</f>
        <v/>
      </c>
      <c r="AP756" s="193">
        <f>AN756-AO756</f>
        <v/>
      </c>
      <c r="AQ756" s="118">
        <f>IF(offer_sale_type="транзит",SUM(AF756:AI756,BA756,BB756),0)</f>
        <v/>
      </c>
      <c r="AR756" s="82">
        <f>HYPERLINK("https://www.alta.ru/tnved/code/")&amp;W756&amp;"/"</f>
        <v/>
      </c>
      <c r="AS756" s="157" t="n"/>
      <c r="AT756" s="162" t="n"/>
      <c r="AU756" s="76">
        <f>IF(ISBLANK(AT756),0,AJ756-AT756)</f>
        <v/>
      </c>
      <c r="AV756" s="157" t="n"/>
      <c r="AW756" s="75">
        <f>_xlfn.IFNA(VLOOKUP(L756,list_vat[],3,FALSE),0)</f>
        <v/>
      </c>
      <c r="AX756" s="76">
        <f>IFERROR(ROUND(S756*(1+AW756)/E756,2),0)</f>
        <v/>
      </c>
      <c r="AY756" s="76">
        <f>E756*AX756</f>
        <v/>
      </c>
      <c r="AZ756" s="192">
        <f>S756*(1+M756)</f>
        <v/>
      </c>
      <c r="BA756" s="76">
        <f>cost_fin_total*$BD756</f>
        <v/>
      </c>
      <c r="BB756" s="193">
        <f>credit_sales_interest*BD756</f>
        <v/>
      </c>
      <c r="BC756" s="102">
        <f>IFERROR(IF($I$13&gt;0,$I756/$I$13,$S756/$S$13),0)</f>
        <v/>
      </c>
      <c r="BD756" s="102">
        <f>IFERROR($S756/$S$13,0)</f>
        <v/>
      </c>
      <c r="BE756" s="413" t="inlineStr">
        <is>
          <t>$</t>
        </is>
      </c>
    </row>
    <row r="757" ht="12" customFormat="1" customHeight="1" s="65">
      <c r="A757" s="43" t="n">
        <v>742</v>
      </c>
      <c r="B757" s="166" t="n"/>
      <c r="C757" s="166" t="n"/>
      <c r="D757" s="166" t="n"/>
      <c r="E757" s="162" t="n"/>
      <c r="F757" s="166" t="n"/>
      <c r="G757" s="162" t="n"/>
      <c r="H757" s="162" t="n"/>
      <c r="I757" s="189">
        <f>E757*G757</f>
        <v/>
      </c>
      <c r="J757" s="195" t="n"/>
      <c r="K757" s="162" t="n"/>
      <c r="L757" s="168" t="n"/>
      <c r="M757" s="75">
        <f>_xlfn.XLOOKUP(L757,list_vat[Страна],list_vat[Ставка НДС %],0,0)</f>
        <v/>
      </c>
      <c r="N757" s="162">
        <f>IFERROR(IF(L757="Китай",K757,K757/(1+M757)),0)</f>
        <v/>
      </c>
      <c r="O757" s="169" t="n"/>
      <c r="P757" s="76">
        <f>N757*(1-O757)</f>
        <v/>
      </c>
      <c r="Q757" s="162" t="n"/>
      <c r="R757" s="162">
        <f>IF(ISBLANK(Q757),"введи курс",P757/Q757)</f>
        <v/>
      </c>
      <c r="S757" s="196">
        <f>IF(AND(ISNUMBER(E757),ISNUMBER(Q757)),E757*R757,0)</f>
        <v/>
      </c>
      <c r="T757" s="192">
        <f>$BC757*V$11</f>
        <v/>
      </c>
      <c r="U757" s="76">
        <f>$BC757*W$11</f>
        <v/>
      </c>
      <c r="V757" s="193">
        <f>+SUM(T757:U757)</f>
        <v/>
      </c>
      <c r="W757" s="191" t="n"/>
      <c r="X757" s="170" t="n"/>
      <c r="Y757" s="76">
        <f>ROUND(IF(offer_incoterms="DDP",X757*(S757*(1+AW757)+T757),0),2)</f>
        <v/>
      </c>
      <c r="Z757" s="188" t="n"/>
      <c r="AA757" s="192">
        <f>IFERROR(AB757/E757,0)</f>
        <v/>
      </c>
      <c r="AB757" s="76">
        <f>ROUND(SUM(S757,V757,Y757:Z757,BA757:BB757),2)</f>
        <v/>
      </c>
      <c r="AC757" s="797" t="n"/>
      <c r="AD757" s="192">
        <f t="array" ref="AD757">IFERROR(ROUND((_xlfn.IFS(offer_sale_type="поставка",AB757,offer_sale_type="транзит",S757)*(1+AC757))/E757,2),0)</f>
        <v/>
      </c>
      <c r="AE757" s="76">
        <f>AD757*E757</f>
        <v/>
      </c>
      <c r="AF757" s="193">
        <f t="array" ref="AF757">IFERROR(ROUND(_xlfn.IFS(offer_sale_type="поставка",AB757,offer_sale_type="транзит",S757)*AC757,2),0)</f>
        <v/>
      </c>
      <c r="AG757" s="192">
        <f>$BD757*VLOOKUP($AG$3,$AF$4:$AG$7,2,FALSE)</f>
        <v/>
      </c>
      <c r="AH757" s="76">
        <f>SUM(AE757,AG757,AI757)*rate_forex_risk</f>
        <v/>
      </c>
      <c r="AI757" s="193">
        <f>IF(OR(seller_region="TR",offer_sale_type="экспорт"),0,rate_fin_comm)*SUM(AZ757,AZ757*AW757,T757)</f>
        <v/>
      </c>
      <c r="AJ757" s="118">
        <f>IFERROR(ROUND(SUM(AB757,AF757:AI757)/E757,2),0)</f>
        <v/>
      </c>
      <c r="AK757" s="76">
        <f>AJ757*E757</f>
        <v/>
      </c>
      <c r="AL757" s="174">
        <f>ROUND(IFERROR(AM757*E757,0),2)</f>
        <v/>
      </c>
      <c r="AM757" s="175">
        <f>ROUND(AJ757*(1+IF(offer_incoterms="DDP",IF((TODAY()+offer_turnaround_time)&gt;=helpsheet!$L$17,rate_vatRU_from_26,rate_vatRu_till_25),0)),2)</f>
        <v/>
      </c>
      <c r="AN757" s="192">
        <f>AL757-AK757</f>
        <v/>
      </c>
      <c r="AO757" s="76">
        <f>SUM(AY757,Y757:Z757,T757)*IF(AND(offer_incoterms="DDP",offer_sale_type&lt;&gt;"экспорт"),IF((TODAY()+offer_turnaround_time)&gt;=helpsheet!$L$17,rate_vatRU_from_26,rate_vatRu_till_25),0)</f>
        <v/>
      </c>
      <c r="AP757" s="193">
        <f>AN757-AO757</f>
        <v/>
      </c>
      <c r="AQ757" s="118">
        <f>IF(offer_sale_type="транзит",SUM(AF757:AI757,BA757,BB757),0)</f>
        <v/>
      </c>
      <c r="AR757" s="82">
        <f>HYPERLINK("https://www.alta.ru/tnved/code/")&amp;W757&amp;"/"</f>
        <v/>
      </c>
      <c r="AS757" s="157" t="n"/>
      <c r="AT757" s="162" t="n"/>
      <c r="AU757" s="76">
        <f>IF(ISBLANK(AT757),0,AJ757-AT757)</f>
        <v/>
      </c>
      <c r="AV757" s="157" t="n"/>
      <c r="AW757" s="75">
        <f>_xlfn.IFNA(VLOOKUP(L757,list_vat[],3,FALSE),0)</f>
        <v/>
      </c>
      <c r="AX757" s="76">
        <f>IFERROR(ROUND(S757*(1+AW757)/E757,2),0)</f>
        <v/>
      </c>
      <c r="AY757" s="76">
        <f>E757*AX757</f>
        <v/>
      </c>
      <c r="AZ757" s="192">
        <f>S757*(1+M757)</f>
        <v/>
      </c>
      <c r="BA757" s="76">
        <f>cost_fin_total*$BD757</f>
        <v/>
      </c>
      <c r="BB757" s="193">
        <f>credit_sales_interest*BD757</f>
        <v/>
      </c>
      <c r="BC757" s="102">
        <f>IFERROR(IF($I$13&gt;0,$I757/$I$13,$S757/$S$13),0)</f>
        <v/>
      </c>
      <c r="BD757" s="102">
        <f>IFERROR($S757/$S$13,0)</f>
        <v/>
      </c>
      <c r="BE757" s="413" t="inlineStr">
        <is>
          <t>$</t>
        </is>
      </c>
    </row>
    <row r="758" ht="12" customFormat="1" customHeight="1" s="65">
      <c r="A758" s="43" t="n">
        <v>743</v>
      </c>
      <c r="B758" s="166" t="n"/>
      <c r="C758" s="166" t="n"/>
      <c r="D758" s="166" t="n"/>
      <c r="E758" s="162" t="n"/>
      <c r="F758" s="166" t="n"/>
      <c r="G758" s="162" t="n"/>
      <c r="H758" s="162" t="n"/>
      <c r="I758" s="189">
        <f>E758*G758</f>
        <v/>
      </c>
      <c r="J758" s="195" t="n"/>
      <c r="K758" s="162" t="n"/>
      <c r="L758" s="168" t="n"/>
      <c r="M758" s="75">
        <f>_xlfn.XLOOKUP(L758,list_vat[Страна],list_vat[Ставка НДС %],0,0)</f>
        <v/>
      </c>
      <c r="N758" s="162">
        <f>IFERROR(IF(L758="Китай",K758,K758/(1+M758)),0)</f>
        <v/>
      </c>
      <c r="O758" s="169" t="n"/>
      <c r="P758" s="76">
        <f>N758*(1-O758)</f>
        <v/>
      </c>
      <c r="Q758" s="162" t="n"/>
      <c r="R758" s="162">
        <f>IF(ISBLANK(Q758),"введи курс",P758/Q758)</f>
        <v/>
      </c>
      <c r="S758" s="196">
        <f>IF(AND(ISNUMBER(E758),ISNUMBER(Q758)),E758*R758,0)</f>
        <v/>
      </c>
      <c r="T758" s="192">
        <f>$BC758*V$11</f>
        <v/>
      </c>
      <c r="U758" s="76">
        <f>$BC758*W$11</f>
        <v/>
      </c>
      <c r="V758" s="193">
        <f>+SUM(T758:U758)</f>
        <v/>
      </c>
      <c r="W758" s="191" t="n"/>
      <c r="X758" s="170" t="n"/>
      <c r="Y758" s="76">
        <f>ROUND(IF(offer_incoterms="DDP",X758*(S758*(1+AW758)+T758),0),2)</f>
        <v/>
      </c>
      <c r="Z758" s="188" t="n"/>
      <c r="AA758" s="192">
        <f>IFERROR(AB758/E758,0)</f>
        <v/>
      </c>
      <c r="AB758" s="76">
        <f>ROUND(SUM(S758,V758,Y758:Z758,BA758:BB758),2)</f>
        <v/>
      </c>
      <c r="AC758" s="797" t="n"/>
      <c r="AD758" s="192">
        <f t="array" ref="AD758">IFERROR(ROUND((_xlfn.IFS(offer_sale_type="поставка",AB758,offer_sale_type="транзит",S758)*(1+AC758))/E758,2),0)</f>
        <v/>
      </c>
      <c r="AE758" s="76">
        <f>AD758*E758</f>
        <v/>
      </c>
      <c r="AF758" s="193">
        <f t="array" ref="AF758">IFERROR(ROUND(_xlfn.IFS(offer_sale_type="поставка",AB758,offer_sale_type="транзит",S758)*AC758,2),0)</f>
        <v/>
      </c>
      <c r="AG758" s="192">
        <f>$BD758*VLOOKUP($AG$3,$AF$4:$AG$7,2,FALSE)</f>
        <v/>
      </c>
      <c r="AH758" s="76">
        <f>SUM(AE758,AG758,AI758)*rate_forex_risk</f>
        <v/>
      </c>
      <c r="AI758" s="193">
        <f>IF(OR(seller_region="TR",offer_sale_type="экспорт"),0,rate_fin_comm)*SUM(AZ758,AZ758*AW758,T758)</f>
        <v/>
      </c>
      <c r="AJ758" s="118">
        <f>IFERROR(ROUND(SUM(AB758,AF758:AI758)/E758,2),0)</f>
        <v/>
      </c>
      <c r="AK758" s="76">
        <f>AJ758*E758</f>
        <v/>
      </c>
      <c r="AL758" s="174">
        <f>ROUND(IFERROR(AM758*E758,0),2)</f>
        <v/>
      </c>
      <c r="AM758" s="175">
        <f>ROUND(AJ758*(1+IF(offer_incoterms="DDP",IF((TODAY()+offer_turnaround_time)&gt;=helpsheet!$L$17,rate_vatRU_from_26,rate_vatRu_till_25),0)),2)</f>
        <v/>
      </c>
      <c r="AN758" s="192">
        <f>AL758-AK758</f>
        <v/>
      </c>
      <c r="AO758" s="76">
        <f>SUM(AY758,Y758:Z758,T758)*IF(AND(offer_incoterms="DDP",offer_sale_type&lt;&gt;"экспорт"),IF((TODAY()+offer_turnaround_time)&gt;=helpsheet!$L$17,rate_vatRU_from_26,rate_vatRu_till_25),0)</f>
        <v/>
      </c>
      <c r="AP758" s="193">
        <f>AN758-AO758</f>
        <v/>
      </c>
      <c r="AQ758" s="118">
        <f>IF(offer_sale_type="транзит",SUM(AF758:AI758,BA758,BB758),0)</f>
        <v/>
      </c>
      <c r="AR758" s="82">
        <f>HYPERLINK("https://www.alta.ru/tnved/code/")&amp;W758&amp;"/"</f>
        <v/>
      </c>
      <c r="AS758" s="157" t="n"/>
      <c r="AT758" s="162" t="n"/>
      <c r="AU758" s="76">
        <f>IF(ISBLANK(AT758),0,AJ758-AT758)</f>
        <v/>
      </c>
      <c r="AV758" s="157" t="n"/>
      <c r="AW758" s="75">
        <f>_xlfn.IFNA(VLOOKUP(L758,list_vat[],3,FALSE),0)</f>
        <v/>
      </c>
      <c r="AX758" s="76">
        <f>IFERROR(ROUND(S758*(1+AW758)/E758,2),0)</f>
        <v/>
      </c>
      <c r="AY758" s="76">
        <f>E758*AX758</f>
        <v/>
      </c>
      <c r="AZ758" s="192">
        <f>S758*(1+M758)</f>
        <v/>
      </c>
      <c r="BA758" s="76">
        <f>cost_fin_total*$BD758</f>
        <v/>
      </c>
      <c r="BB758" s="193">
        <f>credit_sales_interest*BD758</f>
        <v/>
      </c>
      <c r="BC758" s="102">
        <f>IFERROR(IF($I$13&gt;0,$I758/$I$13,$S758/$S$13),0)</f>
        <v/>
      </c>
      <c r="BD758" s="102">
        <f>IFERROR($S758/$S$13,0)</f>
        <v/>
      </c>
      <c r="BE758" s="413" t="inlineStr">
        <is>
          <t>$</t>
        </is>
      </c>
    </row>
    <row r="759" ht="12" customFormat="1" customHeight="1" s="65">
      <c r="A759" s="43" t="n">
        <v>744</v>
      </c>
      <c r="B759" s="166" t="n"/>
      <c r="C759" s="166" t="n"/>
      <c r="D759" s="166" t="n"/>
      <c r="E759" s="162" t="n"/>
      <c r="F759" s="166" t="n"/>
      <c r="G759" s="162" t="n"/>
      <c r="H759" s="162" t="n"/>
      <c r="I759" s="189">
        <f>E759*G759</f>
        <v/>
      </c>
      <c r="J759" s="195" t="n"/>
      <c r="K759" s="162" t="n"/>
      <c r="L759" s="168" t="n"/>
      <c r="M759" s="75">
        <f>_xlfn.XLOOKUP(L759,list_vat[Страна],list_vat[Ставка НДС %],0,0)</f>
        <v/>
      </c>
      <c r="N759" s="162">
        <f>IFERROR(IF(L759="Китай",K759,K759/(1+M759)),0)</f>
        <v/>
      </c>
      <c r="O759" s="169" t="n"/>
      <c r="P759" s="76">
        <f>N759*(1-O759)</f>
        <v/>
      </c>
      <c r="Q759" s="162" t="n"/>
      <c r="R759" s="162">
        <f>IF(ISBLANK(Q759),"введи курс",P759/Q759)</f>
        <v/>
      </c>
      <c r="S759" s="196">
        <f>IF(AND(ISNUMBER(E759),ISNUMBER(Q759)),E759*R759,0)</f>
        <v/>
      </c>
      <c r="T759" s="192">
        <f>$BC759*V$11</f>
        <v/>
      </c>
      <c r="U759" s="76">
        <f>$BC759*W$11</f>
        <v/>
      </c>
      <c r="V759" s="193">
        <f>+SUM(T759:U759)</f>
        <v/>
      </c>
      <c r="W759" s="191" t="n"/>
      <c r="X759" s="170" t="n"/>
      <c r="Y759" s="76">
        <f>ROUND(IF(offer_incoterms="DDP",X759*(S759*(1+AW759)+T759),0),2)</f>
        <v/>
      </c>
      <c r="Z759" s="188" t="n"/>
      <c r="AA759" s="192">
        <f>IFERROR(AB759/E759,0)</f>
        <v/>
      </c>
      <c r="AB759" s="76">
        <f>ROUND(SUM(S759,V759,Y759:Z759,BA759:BB759),2)</f>
        <v/>
      </c>
      <c r="AC759" s="797" t="n"/>
      <c r="AD759" s="192">
        <f t="array" ref="AD759">IFERROR(ROUND((_xlfn.IFS(offer_sale_type="поставка",AB759,offer_sale_type="транзит",S759)*(1+AC759))/E759,2),0)</f>
        <v/>
      </c>
      <c r="AE759" s="76">
        <f>AD759*E759</f>
        <v/>
      </c>
      <c r="AF759" s="193">
        <f t="array" ref="AF759">IFERROR(ROUND(_xlfn.IFS(offer_sale_type="поставка",AB759,offer_sale_type="транзит",S759)*AC759,2),0)</f>
        <v/>
      </c>
      <c r="AG759" s="192">
        <f>$BD759*VLOOKUP($AG$3,$AF$4:$AG$7,2,FALSE)</f>
        <v/>
      </c>
      <c r="AH759" s="76">
        <f>SUM(AE759,AG759,AI759)*rate_forex_risk</f>
        <v/>
      </c>
      <c r="AI759" s="193">
        <f>IF(OR(seller_region="TR",offer_sale_type="экспорт"),0,rate_fin_comm)*SUM(AZ759,AZ759*AW759,T759)</f>
        <v/>
      </c>
      <c r="AJ759" s="118">
        <f>IFERROR(ROUND(SUM(AB759,AF759:AI759)/E759,2),0)</f>
        <v/>
      </c>
      <c r="AK759" s="76">
        <f>AJ759*E759</f>
        <v/>
      </c>
      <c r="AL759" s="174">
        <f>ROUND(IFERROR(AM759*E759,0),2)</f>
        <v/>
      </c>
      <c r="AM759" s="175">
        <f>ROUND(AJ759*(1+IF(offer_incoterms="DDP",IF((TODAY()+offer_turnaround_time)&gt;=helpsheet!$L$17,rate_vatRU_from_26,rate_vatRu_till_25),0)),2)</f>
        <v/>
      </c>
      <c r="AN759" s="192">
        <f>AL759-AK759</f>
        <v/>
      </c>
      <c r="AO759" s="76">
        <f>SUM(AY759,Y759:Z759,T759)*IF(AND(offer_incoterms="DDP",offer_sale_type&lt;&gt;"экспорт"),IF((TODAY()+offer_turnaround_time)&gt;=helpsheet!$L$17,rate_vatRU_from_26,rate_vatRu_till_25),0)</f>
        <v/>
      </c>
      <c r="AP759" s="193">
        <f>AN759-AO759</f>
        <v/>
      </c>
      <c r="AQ759" s="118">
        <f>IF(offer_sale_type="транзит",SUM(AF759:AI759,BA759,BB759),0)</f>
        <v/>
      </c>
      <c r="AR759" s="82">
        <f>HYPERLINK("https://www.alta.ru/tnved/code/")&amp;W759&amp;"/"</f>
        <v/>
      </c>
      <c r="AS759" s="157" t="n"/>
      <c r="AT759" s="162" t="n"/>
      <c r="AU759" s="76">
        <f>IF(ISBLANK(AT759),0,AJ759-AT759)</f>
        <v/>
      </c>
      <c r="AV759" s="157" t="n"/>
      <c r="AW759" s="75">
        <f>_xlfn.IFNA(VLOOKUP(L759,list_vat[],3,FALSE),0)</f>
        <v/>
      </c>
      <c r="AX759" s="76">
        <f>IFERROR(ROUND(S759*(1+AW759)/E759,2),0)</f>
        <v/>
      </c>
      <c r="AY759" s="76">
        <f>E759*AX759</f>
        <v/>
      </c>
      <c r="AZ759" s="192">
        <f>S759*(1+M759)</f>
        <v/>
      </c>
      <c r="BA759" s="76">
        <f>cost_fin_total*$BD759</f>
        <v/>
      </c>
      <c r="BB759" s="193">
        <f>credit_sales_interest*BD759</f>
        <v/>
      </c>
      <c r="BC759" s="102">
        <f>IFERROR(IF($I$13&gt;0,$I759/$I$13,$S759/$S$13),0)</f>
        <v/>
      </c>
      <c r="BD759" s="102">
        <f>IFERROR($S759/$S$13,0)</f>
        <v/>
      </c>
      <c r="BE759" s="413" t="inlineStr">
        <is>
          <t>$</t>
        </is>
      </c>
    </row>
    <row r="760" ht="12" customFormat="1" customHeight="1" s="65">
      <c r="A760" s="43" t="n">
        <v>745</v>
      </c>
      <c r="B760" s="166" t="n"/>
      <c r="C760" s="166" t="n"/>
      <c r="D760" s="166" t="n"/>
      <c r="E760" s="162" t="n"/>
      <c r="F760" s="166" t="n"/>
      <c r="G760" s="162" t="n"/>
      <c r="H760" s="162" t="n"/>
      <c r="I760" s="189">
        <f>E760*G760</f>
        <v/>
      </c>
      <c r="J760" s="195" t="n"/>
      <c r="K760" s="162" t="n"/>
      <c r="L760" s="168" t="n"/>
      <c r="M760" s="75">
        <f>_xlfn.XLOOKUP(L760,list_vat[Страна],list_vat[Ставка НДС %],0,0)</f>
        <v/>
      </c>
      <c r="N760" s="162">
        <f>IFERROR(IF(L760="Китай",K760,K760/(1+M760)),0)</f>
        <v/>
      </c>
      <c r="O760" s="169" t="n"/>
      <c r="P760" s="76">
        <f>N760*(1-O760)</f>
        <v/>
      </c>
      <c r="Q760" s="162" t="n"/>
      <c r="R760" s="162">
        <f>IF(ISBLANK(Q760),"введи курс",P760/Q760)</f>
        <v/>
      </c>
      <c r="S760" s="196">
        <f>IF(AND(ISNUMBER(E760),ISNUMBER(Q760)),E760*R760,0)</f>
        <v/>
      </c>
      <c r="T760" s="192">
        <f>$BC760*V$11</f>
        <v/>
      </c>
      <c r="U760" s="76">
        <f>$BC760*W$11</f>
        <v/>
      </c>
      <c r="V760" s="193">
        <f>+SUM(T760:U760)</f>
        <v/>
      </c>
      <c r="W760" s="191" t="n"/>
      <c r="X760" s="170" t="n"/>
      <c r="Y760" s="76">
        <f>ROUND(IF(offer_incoterms="DDP",X760*(S760*(1+AW760)+T760),0),2)</f>
        <v/>
      </c>
      <c r="Z760" s="188" t="n"/>
      <c r="AA760" s="192">
        <f>IFERROR(AB760/E760,0)</f>
        <v/>
      </c>
      <c r="AB760" s="76">
        <f>ROUND(SUM(S760,V760,Y760:Z760,BA760:BB760),2)</f>
        <v/>
      </c>
      <c r="AC760" s="797" t="n"/>
      <c r="AD760" s="192">
        <f t="array" ref="AD760">IFERROR(ROUND((_xlfn.IFS(offer_sale_type="поставка",AB760,offer_sale_type="транзит",S760)*(1+AC760))/E760,2),0)</f>
        <v/>
      </c>
      <c r="AE760" s="76">
        <f>AD760*E760</f>
        <v/>
      </c>
      <c r="AF760" s="193">
        <f t="array" ref="AF760">IFERROR(ROUND(_xlfn.IFS(offer_sale_type="поставка",AB760,offer_sale_type="транзит",S760)*AC760,2),0)</f>
        <v/>
      </c>
      <c r="AG760" s="192">
        <f>$BD760*VLOOKUP($AG$3,$AF$4:$AG$7,2,FALSE)</f>
        <v/>
      </c>
      <c r="AH760" s="76">
        <f>SUM(AE760,AG760,AI760)*rate_forex_risk</f>
        <v/>
      </c>
      <c r="AI760" s="193">
        <f>IF(OR(seller_region="TR",offer_sale_type="экспорт"),0,rate_fin_comm)*SUM(AZ760,AZ760*AW760,T760)</f>
        <v/>
      </c>
      <c r="AJ760" s="118">
        <f>IFERROR(ROUND(SUM(AB760,AF760:AI760)/E760,2),0)</f>
        <v/>
      </c>
      <c r="AK760" s="76">
        <f>AJ760*E760</f>
        <v/>
      </c>
      <c r="AL760" s="174">
        <f>ROUND(IFERROR(AM760*E760,0),2)</f>
        <v/>
      </c>
      <c r="AM760" s="175">
        <f>ROUND(AJ760*(1+IF(offer_incoterms="DDP",IF((TODAY()+offer_turnaround_time)&gt;=helpsheet!$L$17,rate_vatRU_from_26,rate_vatRu_till_25),0)),2)</f>
        <v/>
      </c>
      <c r="AN760" s="192">
        <f>AL760-AK760</f>
        <v/>
      </c>
      <c r="AO760" s="76">
        <f>SUM(AY760,Y760:Z760,T760)*IF(AND(offer_incoterms="DDP",offer_sale_type&lt;&gt;"экспорт"),IF((TODAY()+offer_turnaround_time)&gt;=helpsheet!$L$17,rate_vatRU_from_26,rate_vatRu_till_25),0)</f>
        <v/>
      </c>
      <c r="AP760" s="193">
        <f>AN760-AO760</f>
        <v/>
      </c>
      <c r="AQ760" s="118">
        <f>IF(offer_sale_type="транзит",SUM(AF760:AI760,BA760,BB760),0)</f>
        <v/>
      </c>
      <c r="AR760" s="82">
        <f>HYPERLINK("https://www.alta.ru/tnved/code/")&amp;W760&amp;"/"</f>
        <v/>
      </c>
      <c r="AS760" s="157" t="n"/>
      <c r="AT760" s="162" t="n"/>
      <c r="AU760" s="76">
        <f>IF(ISBLANK(AT760),0,AJ760-AT760)</f>
        <v/>
      </c>
      <c r="AV760" s="157" t="n"/>
      <c r="AW760" s="75">
        <f>_xlfn.IFNA(VLOOKUP(L760,list_vat[],3,FALSE),0)</f>
        <v/>
      </c>
      <c r="AX760" s="76">
        <f>IFERROR(ROUND(S760*(1+AW760)/E760,2),0)</f>
        <v/>
      </c>
      <c r="AY760" s="76">
        <f>E760*AX760</f>
        <v/>
      </c>
      <c r="AZ760" s="192">
        <f>S760*(1+M760)</f>
        <v/>
      </c>
      <c r="BA760" s="76">
        <f>cost_fin_total*$BD760</f>
        <v/>
      </c>
      <c r="BB760" s="193">
        <f>credit_sales_interest*BD760</f>
        <v/>
      </c>
      <c r="BC760" s="102">
        <f>IFERROR(IF($I$13&gt;0,$I760/$I$13,$S760/$S$13),0)</f>
        <v/>
      </c>
      <c r="BD760" s="102">
        <f>IFERROR($S760/$S$13,0)</f>
        <v/>
      </c>
      <c r="BE760" s="413" t="inlineStr">
        <is>
          <t>$</t>
        </is>
      </c>
    </row>
    <row r="761" ht="12" customFormat="1" customHeight="1" s="65">
      <c r="A761" s="43" t="n">
        <v>746</v>
      </c>
      <c r="B761" s="166" t="n"/>
      <c r="C761" s="166" t="n"/>
      <c r="D761" s="166" t="n"/>
      <c r="E761" s="162" t="n"/>
      <c r="F761" s="166" t="n"/>
      <c r="G761" s="162" t="n"/>
      <c r="H761" s="162" t="n"/>
      <c r="I761" s="189">
        <f>E761*G761</f>
        <v/>
      </c>
      <c r="J761" s="195" t="n"/>
      <c r="K761" s="162" t="n"/>
      <c r="L761" s="168" t="n"/>
      <c r="M761" s="75">
        <f>_xlfn.XLOOKUP(L761,list_vat[Страна],list_vat[Ставка НДС %],0,0)</f>
        <v/>
      </c>
      <c r="N761" s="162">
        <f>IFERROR(IF(L761="Китай",K761,K761/(1+M761)),0)</f>
        <v/>
      </c>
      <c r="O761" s="169" t="n"/>
      <c r="P761" s="76">
        <f>N761*(1-O761)</f>
        <v/>
      </c>
      <c r="Q761" s="162" t="n"/>
      <c r="R761" s="162">
        <f>IF(ISBLANK(Q761),"введи курс",P761/Q761)</f>
        <v/>
      </c>
      <c r="S761" s="196">
        <f>IF(AND(ISNUMBER(E761),ISNUMBER(Q761)),E761*R761,0)</f>
        <v/>
      </c>
      <c r="T761" s="192">
        <f>$BC761*V$11</f>
        <v/>
      </c>
      <c r="U761" s="76">
        <f>$BC761*W$11</f>
        <v/>
      </c>
      <c r="V761" s="193">
        <f>+SUM(T761:U761)</f>
        <v/>
      </c>
      <c r="W761" s="191" t="n"/>
      <c r="X761" s="170" t="n"/>
      <c r="Y761" s="76">
        <f>ROUND(IF(offer_incoterms="DDP",X761*(S761*(1+AW761)+T761),0),2)</f>
        <v/>
      </c>
      <c r="Z761" s="188" t="n"/>
      <c r="AA761" s="192">
        <f>IFERROR(AB761/E761,0)</f>
        <v/>
      </c>
      <c r="AB761" s="76">
        <f>ROUND(SUM(S761,V761,Y761:Z761,BA761:BB761),2)</f>
        <v/>
      </c>
      <c r="AC761" s="797" t="n"/>
      <c r="AD761" s="192">
        <f t="array" ref="AD761">IFERROR(ROUND((_xlfn.IFS(offer_sale_type="поставка",AB761,offer_sale_type="транзит",S761)*(1+AC761))/E761,2),0)</f>
        <v/>
      </c>
      <c r="AE761" s="76">
        <f>AD761*E761</f>
        <v/>
      </c>
      <c r="AF761" s="193">
        <f t="array" ref="AF761">IFERROR(ROUND(_xlfn.IFS(offer_sale_type="поставка",AB761,offer_sale_type="транзит",S761)*AC761,2),0)</f>
        <v/>
      </c>
      <c r="AG761" s="192">
        <f>$BD761*VLOOKUP($AG$3,$AF$4:$AG$7,2,FALSE)</f>
        <v/>
      </c>
      <c r="AH761" s="76">
        <f>SUM(AE761,AG761,AI761)*rate_forex_risk</f>
        <v/>
      </c>
      <c r="AI761" s="193">
        <f>IF(OR(seller_region="TR",offer_sale_type="экспорт"),0,rate_fin_comm)*SUM(AZ761,AZ761*AW761,T761)</f>
        <v/>
      </c>
      <c r="AJ761" s="118">
        <f>IFERROR(ROUND(SUM(AB761,AF761:AI761)/E761,2),0)</f>
        <v/>
      </c>
      <c r="AK761" s="76">
        <f>AJ761*E761</f>
        <v/>
      </c>
      <c r="AL761" s="174">
        <f>ROUND(IFERROR(AM761*E761,0),2)</f>
        <v/>
      </c>
      <c r="AM761" s="175">
        <f>ROUND(AJ761*(1+IF(offer_incoterms="DDP",IF((TODAY()+offer_turnaround_time)&gt;=helpsheet!$L$17,rate_vatRU_from_26,rate_vatRu_till_25),0)),2)</f>
        <v/>
      </c>
      <c r="AN761" s="192">
        <f>AL761-AK761</f>
        <v/>
      </c>
      <c r="AO761" s="76">
        <f>SUM(AY761,Y761:Z761,T761)*IF(AND(offer_incoterms="DDP",offer_sale_type&lt;&gt;"экспорт"),IF((TODAY()+offer_turnaround_time)&gt;=helpsheet!$L$17,rate_vatRU_from_26,rate_vatRu_till_25),0)</f>
        <v/>
      </c>
      <c r="AP761" s="193">
        <f>AN761-AO761</f>
        <v/>
      </c>
      <c r="AQ761" s="118">
        <f>IF(offer_sale_type="транзит",SUM(AF761:AI761,BA761,BB761),0)</f>
        <v/>
      </c>
      <c r="AR761" s="82">
        <f>HYPERLINK("https://www.alta.ru/tnved/code/")&amp;W761&amp;"/"</f>
        <v/>
      </c>
      <c r="AS761" s="157" t="n"/>
      <c r="AT761" s="162" t="n"/>
      <c r="AU761" s="76">
        <f>IF(ISBLANK(AT761),0,AJ761-AT761)</f>
        <v/>
      </c>
      <c r="AV761" s="157" t="n"/>
      <c r="AW761" s="75">
        <f>_xlfn.IFNA(VLOOKUP(L761,list_vat[],3,FALSE),0)</f>
        <v/>
      </c>
      <c r="AX761" s="76">
        <f>IFERROR(ROUND(S761*(1+AW761)/E761,2),0)</f>
        <v/>
      </c>
      <c r="AY761" s="76">
        <f>E761*AX761</f>
        <v/>
      </c>
      <c r="AZ761" s="192">
        <f>S761*(1+M761)</f>
        <v/>
      </c>
      <c r="BA761" s="76">
        <f>cost_fin_total*$BD761</f>
        <v/>
      </c>
      <c r="BB761" s="193">
        <f>credit_sales_interest*BD761</f>
        <v/>
      </c>
      <c r="BC761" s="102">
        <f>IFERROR(IF($I$13&gt;0,$I761/$I$13,$S761/$S$13),0)</f>
        <v/>
      </c>
      <c r="BD761" s="102">
        <f>IFERROR($S761/$S$13,0)</f>
        <v/>
      </c>
      <c r="BE761" s="413" t="inlineStr">
        <is>
          <t>$</t>
        </is>
      </c>
    </row>
    <row r="762" ht="12" customFormat="1" customHeight="1" s="65">
      <c r="A762" s="43" t="n">
        <v>747</v>
      </c>
      <c r="B762" s="166" t="n"/>
      <c r="C762" s="166" t="n"/>
      <c r="D762" s="166" t="n"/>
      <c r="E762" s="162" t="n"/>
      <c r="F762" s="166" t="n"/>
      <c r="G762" s="162" t="n"/>
      <c r="H762" s="162" t="n"/>
      <c r="I762" s="189">
        <f>E762*G762</f>
        <v/>
      </c>
      <c r="J762" s="195" t="n"/>
      <c r="K762" s="162" t="n"/>
      <c r="L762" s="168" t="n"/>
      <c r="M762" s="75">
        <f>_xlfn.XLOOKUP(L762,list_vat[Страна],list_vat[Ставка НДС %],0,0)</f>
        <v/>
      </c>
      <c r="N762" s="162">
        <f>IFERROR(IF(L762="Китай",K762,K762/(1+M762)),0)</f>
        <v/>
      </c>
      <c r="O762" s="169" t="n"/>
      <c r="P762" s="76">
        <f>N762*(1-O762)</f>
        <v/>
      </c>
      <c r="Q762" s="162" t="n"/>
      <c r="R762" s="162">
        <f>IF(ISBLANK(Q762),"введи курс",P762/Q762)</f>
        <v/>
      </c>
      <c r="S762" s="196">
        <f>IF(AND(ISNUMBER(E762),ISNUMBER(Q762)),E762*R762,0)</f>
        <v/>
      </c>
      <c r="T762" s="192">
        <f>$BC762*V$11</f>
        <v/>
      </c>
      <c r="U762" s="76">
        <f>$BC762*W$11</f>
        <v/>
      </c>
      <c r="V762" s="193">
        <f>+SUM(T762:U762)</f>
        <v/>
      </c>
      <c r="W762" s="191" t="n"/>
      <c r="X762" s="170" t="n"/>
      <c r="Y762" s="76">
        <f>ROUND(IF(offer_incoterms="DDP",X762*(S762*(1+AW762)+T762),0),2)</f>
        <v/>
      </c>
      <c r="Z762" s="188" t="n"/>
      <c r="AA762" s="192">
        <f>IFERROR(AB762/E762,0)</f>
        <v/>
      </c>
      <c r="AB762" s="76">
        <f>ROUND(SUM(S762,V762,Y762:Z762,BA762:BB762),2)</f>
        <v/>
      </c>
      <c r="AC762" s="797" t="n"/>
      <c r="AD762" s="192">
        <f t="array" ref="AD762">IFERROR(ROUND((_xlfn.IFS(offer_sale_type="поставка",AB762,offer_sale_type="транзит",S762)*(1+AC762))/E762,2),0)</f>
        <v/>
      </c>
      <c r="AE762" s="76">
        <f>AD762*E762</f>
        <v/>
      </c>
      <c r="AF762" s="193">
        <f t="array" ref="AF762">IFERROR(ROUND(_xlfn.IFS(offer_sale_type="поставка",AB762,offer_sale_type="транзит",S762)*AC762,2),0)</f>
        <v/>
      </c>
      <c r="AG762" s="192">
        <f>$BD762*VLOOKUP($AG$3,$AF$4:$AG$7,2,FALSE)</f>
        <v/>
      </c>
      <c r="AH762" s="76">
        <f>SUM(AE762,AG762,AI762)*rate_forex_risk</f>
        <v/>
      </c>
      <c r="AI762" s="193">
        <f>IF(OR(seller_region="TR",offer_sale_type="экспорт"),0,rate_fin_comm)*SUM(AZ762,AZ762*AW762,T762)</f>
        <v/>
      </c>
      <c r="AJ762" s="118">
        <f>IFERROR(ROUND(SUM(AB762,AF762:AI762)/E762,2),0)</f>
        <v/>
      </c>
      <c r="AK762" s="76">
        <f>AJ762*E762</f>
        <v/>
      </c>
      <c r="AL762" s="174">
        <f>ROUND(IFERROR(AM762*E762,0),2)</f>
        <v/>
      </c>
      <c r="AM762" s="175">
        <f>ROUND(AJ762*(1+IF(offer_incoterms="DDP",IF((TODAY()+offer_turnaround_time)&gt;=helpsheet!$L$17,rate_vatRU_from_26,rate_vatRu_till_25),0)),2)</f>
        <v/>
      </c>
      <c r="AN762" s="192">
        <f>AL762-AK762</f>
        <v/>
      </c>
      <c r="AO762" s="76">
        <f>SUM(AY762,Y762:Z762,T762)*IF(AND(offer_incoterms="DDP",offer_sale_type&lt;&gt;"экспорт"),IF((TODAY()+offer_turnaround_time)&gt;=helpsheet!$L$17,rate_vatRU_from_26,rate_vatRu_till_25),0)</f>
        <v/>
      </c>
      <c r="AP762" s="193">
        <f>AN762-AO762</f>
        <v/>
      </c>
      <c r="AQ762" s="118">
        <f>IF(offer_sale_type="транзит",SUM(AF762:AI762,BA762,BB762),0)</f>
        <v/>
      </c>
      <c r="AR762" s="82">
        <f>HYPERLINK("https://www.alta.ru/tnved/code/")&amp;W762&amp;"/"</f>
        <v/>
      </c>
      <c r="AS762" s="157" t="n"/>
      <c r="AT762" s="162" t="n"/>
      <c r="AU762" s="76">
        <f>IF(ISBLANK(AT762),0,AJ762-AT762)</f>
        <v/>
      </c>
      <c r="AV762" s="157" t="n"/>
      <c r="AW762" s="75">
        <f>_xlfn.IFNA(VLOOKUP(L762,list_vat[],3,FALSE),0)</f>
        <v/>
      </c>
      <c r="AX762" s="76">
        <f>IFERROR(ROUND(S762*(1+AW762)/E762,2),0)</f>
        <v/>
      </c>
      <c r="AY762" s="76">
        <f>E762*AX762</f>
        <v/>
      </c>
      <c r="AZ762" s="192">
        <f>S762*(1+M762)</f>
        <v/>
      </c>
      <c r="BA762" s="76">
        <f>cost_fin_total*$BD762</f>
        <v/>
      </c>
      <c r="BB762" s="193">
        <f>credit_sales_interest*BD762</f>
        <v/>
      </c>
      <c r="BC762" s="102">
        <f>IFERROR(IF($I$13&gt;0,$I762/$I$13,$S762/$S$13),0)</f>
        <v/>
      </c>
      <c r="BD762" s="102">
        <f>IFERROR($S762/$S$13,0)</f>
        <v/>
      </c>
      <c r="BE762" s="413" t="inlineStr">
        <is>
          <t>$</t>
        </is>
      </c>
    </row>
    <row r="763" ht="12" customFormat="1" customHeight="1" s="65">
      <c r="A763" s="43" t="n">
        <v>748</v>
      </c>
      <c r="B763" s="166" t="n"/>
      <c r="C763" s="166" t="n"/>
      <c r="D763" s="166" t="n"/>
      <c r="E763" s="162" t="n"/>
      <c r="F763" s="166" t="n"/>
      <c r="G763" s="162" t="n"/>
      <c r="H763" s="162" t="n"/>
      <c r="I763" s="189">
        <f>E763*G763</f>
        <v/>
      </c>
      <c r="J763" s="195" t="n"/>
      <c r="K763" s="162" t="n"/>
      <c r="L763" s="168" t="n"/>
      <c r="M763" s="75">
        <f>_xlfn.XLOOKUP(L763,list_vat[Страна],list_vat[Ставка НДС %],0,0)</f>
        <v/>
      </c>
      <c r="N763" s="162">
        <f>IFERROR(IF(L763="Китай",K763,K763/(1+M763)),0)</f>
        <v/>
      </c>
      <c r="O763" s="169" t="n"/>
      <c r="P763" s="76">
        <f>N763*(1-O763)</f>
        <v/>
      </c>
      <c r="Q763" s="162" t="n"/>
      <c r="R763" s="162">
        <f>IF(ISBLANK(Q763),"введи курс",P763/Q763)</f>
        <v/>
      </c>
      <c r="S763" s="196">
        <f>IF(AND(ISNUMBER(E763),ISNUMBER(Q763)),E763*R763,0)</f>
        <v/>
      </c>
      <c r="T763" s="192">
        <f>$BC763*V$11</f>
        <v/>
      </c>
      <c r="U763" s="76">
        <f>$BC763*W$11</f>
        <v/>
      </c>
      <c r="V763" s="193">
        <f>+SUM(T763:U763)</f>
        <v/>
      </c>
      <c r="W763" s="191" t="n"/>
      <c r="X763" s="170" t="n"/>
      <c r="Y763" s="76">
        <f>ROUND(IF(offer_incoterms="DDP",X763*(S763*(1+AW763)+T763),0),2)</f>
        <v/>
      </c>
      <c r="Z763" s="188" t="n"/>
      <c r="AA763" s="192">
        <f>IFERROR(AB763/E763,0)</f>
        <v/>
      </c>
      <c r="AB763" s="76">
        <f>ROUND(SUM(S763,V763,Y763:Z763,BA763:BB763),2)</f>
        <v/>
      </c>
      <c r="AC763" s="797" t="n"/>
      <c r="AD763" s="192">
        <f t="array" ref="AD763">IFERROR(ROUND((_xlfn.IFS(offer_sale_type="поставка",AB763,offer_sale_type="транзит",S763)*(1+AC763))/E763,2),0)</f>
        <v/>
      </c>
      <c r="AE763" s="76">
        <f>AD763*E763</f>
        <v/>
      </c>
      <c r="AF763" s="193">
        <f t="array" ref="AF763">IFERROR(ROUND(_xlfn.IFS(offer_sale_type="поставка",AB763,offer_sale_type="транзит",S763)*AC763,2),0)</f>
        <v/>
      </c>
      <c r="AG763" s="192">
        <f>$BD763*VLOOKUP($AG$3,$AF$4:$AG$7,2,FALSE)</f>
        <v/>
      </c>
      <c r="AH763" s="76">
        <f>SUM(AE763,AG763,AI763)*rate_forex_risk</f>
        <v/>
      </c>
      <c r="AI763" s="193">
        <f>IF(OR(seller_region="TR",offer_sale_type="экспорт"),0,rate_fin_comm)*SUM(AZ763,AZ763*AW763,T763)</f>
        <v/>
      </c>
      <c r="AJ763" s="118">
        <f>IFERROR(ROUND(SUM(AB763,AF763:AI763)/E763,2),0)</f>
        <v/>
      </c>
      <c r="AK763" s="76">
        <f>AJ763*E763</f>
        <v/>
      </c>
      <c r="AL763" s="174">
        <f>ROUND(IFERROR(AM763*E763,0),2)</f>
        <v/>
      </c>
      <c r="AM763" s="175">
        <f>ROUND(AJ763*(1+IF(offer_incoterms="DDP",IF((TODAY()+offer_turnaround_time)&gt;=helpsheet!$L$17,rate_vatRU_from_26,rate_vatRu_till_25),0)),2)</f>
        <v/>
      </c>
      <c r="AN763" s="192">
        <f>AL763-AK763</f>
        <v/>
      </c>
      <c r="AO763" s="76">
        <f>SUM(AY763,Y763:Z763,T763)*IF(AND(offer_incoterms="DDP",offer_sale_type&lt;&gt;"экспорт"),IF((TODAY()+offer_turnaround_time)&gt;=helpsheet!$L$17,rate_vatRU_from_26,rate_vatRu_till_25),0)</f>
        <v/>
      </c>
      <c r="AP763" s="193">
        <f>AN763-AO763</f>
        <v/>
      </c>
      <c r="AQ763" s="118">
        <f>IF(offer_sale_type="транзит",SUM(AF763:AI763,BA763,BB763),0)</f>
        <v/>
      </c>
      <c r="AR763" s="82">
        <f>HYPERLINK("https://www.alta.ru/tnved/code/")&amp;W763&amp;"/"</f>
        <v/>
      </c>
      <c r="AS763" s="157" t="n"/>
      <c r="AT763" s="162" t="n"/>
      <c r="AU763" s="76">
        <f>IF(ISBLANK(AT763),0,AJ763-AT763)</f>
        <v/>
      </c>
      <c r="AV763" s="157" t="n"/>
      <c r="AW763" s="75">
        <f>_xlfn.IFNA(VLOOKUP(L763,list_vat[],3,FALSE),0)</f>
        <v/>
      </c>
      <c r="AX763" s="76">
        <f>IFERROR(ROUND(S763*(1+AW763)/E763,2),0)</f>
        <v/>
      </c>
      <c r="AY763" s="76">
        <f>E763*AX763</f>
        <v/>
      </c>
      <c r="AZ763" s="192">
        <f>S763*(1+M763)</f>
        <v/>
      </c>
      <c r="BA763" s="76">
        <f>cost_fin_total*$BD763</f>
        <v/>
      </c>
      <c r="BB763" s="193">
        <f>credit_sales_interest*BD763</f>
        <v/>
      </c>
      <c r="BC763" s="102">
        <f>IFERROR(IF($I$13&gt;0,$I763/$I$13,$S763/$S$13),0)</f>
        <v/>
      </c>
      <c r="BD763" s="102">
        <f>IFERROR($S763/$S$13,0)</f>
        <v/>
      </c>
      <c r="BE763" s="413" t="inlineStr">
        <is>
          <t>$</t>
        </is>
      </c>
    </row>
    <row r="764" ht="12" customFormat="1" customHeight="1" s="65">
      <c r="A764" s="43" t="n">
        <v>749</v>
      </c>
      <c r="B764" s="166" t="n"/>
      <c r="C764" s="166" t="n"/>
      <c r="D764" s="166" t="n"/>
      <c r="E764" s="162" t="n"/>
      <c r="F764" s="166" t="n"/>
      <c r="G764" s="162" t="n"/>
      <c r="H764" s="162" t="n"/>
      <c r="I764" s="189">
        <f>E764*G764</f>
        <v/>
      </c>
      <c r="J764" s="195" t="n"/>
      <c r="K764" s="162" t="n"/>
      <c r="L764" s="168" t="n"/>
      <c r="M764" s="75">
        <f>_xlfn.XLOOKUP(L764,list_vat[Страна],list_vat[Ставка НДС %],0,0)</f>
        <v/>
      </c>
      <c r="N764" s="162">
        <f>IFERROR(IF(L764="Китай",K764,K764/(1+M764)),0)</f>
        <v/>
      </c>
      <c r="O764" s="169" t="n"/>
      <c r="P764" s="76">
        <f>N764*(1-O764)</f>
        <v/>
      </c>
      <c r="Q764" s="162" t="n"/>
      <c r="R764" s="162">
        <f>IF(ISBLANK(Q764),"введи курс",P764/Q764)</f>
        <v/>
      </c>
      <c r="S764" s="196">
        <f>IF(AND(ISNUMBER(E764),ISNUMBER(Q764)),E764*R764,0)</f>
        <v/>
      </c>
      <c r="T764" s="192">
        <f>$BC764*V$11</f>
        <v/>
      </c>
      <c r="U764" s="76">
        <f>$BC764*W$11</f>
        <v/>
      </c>
      <c r="V764" s="193">
        <f>+SUM(T764:U764)</f>
        <v/>
      </c>
      <c r="W764" s="191" t="n"/>
      <c r="X764" s="170" t="n"/>
      <c r="Y764" s="76">
        <f>ROUND(IF(offer_incoterms="DDP",X764*(S764*(1+AW764)+T764),0),2)</f>
        <v/>
      </c>
      <c r="Z764" s="188" t="n"/>
      <c r="AA764" s="192">
        <f>IFERROR(AB764/E764,0)</f>
        <v/>
      </c>
      <c r="AB764" s="76">
        <f>ROUND(SUM(S764,V764,Y764:Z764,BA764:BB764),2)</f>
        <v/>
      </c>
      <c r="AC764" s="797" t="n"/>
      <c r="AD764" s="192">
        <f t="array" ref="AD764">IFERROR(ROUND((_xlfn.IFS(offer_sale_type="поставка",AB764,offer_sale_type="транзит",S764)*(1+AC764))/E764,2),0)</f>
        <v/>
      </c>
      <c r="AE764" s="76">
        <f>AD764*E764</f>
        <v/>
      </c>
      <c r="AF764" s="193">
        <f t="array" ref="AF764">IFERROR(ROUND(_xlfn.IFS(offer_sale_type="поставка",AB764,offer_sale_type="транзит",S764)*AC764,2),0)</f>
        <v/>
      </c>
      <c r="AG764" s="192">
        <f>$BD764*VLOOKUP($AG$3,$AF$4:$AG$7,2,FALSE)</f>
        <v/>
      </c>
      <c r="AH764" s="76">
        <f>SUM(AE764,AG764,AI764)*rate_forex_risk</f>
        <v/>
      </c>
      <c r="AI764" s="193">
        <f>IF(OR(seller_region="TR",offer_sale_type="экспорт"),0,rate_fin_comm)*SUM(AZ764,AZ764*AW764,T764)</f>
        <v/>
      </c>
      <c r="AJ764" s="118">
        <f>IFERROR(ROUND(SUM(AB764,AF764:AI764)/E764,2),0)</f>
        <v/>
      </c>
      <c r="AK764" s="76">
        <f>AJ764*E764</f>
        <v/>
      </c>
      <c r="AL764" s="174">
        <f>ROUND(IFERROR(AM764*E764,0),2)</f>
        <v/>
      </c>
      <c r="AM764" s="175">
        <f>ROUND(AJ764*(1+IF(offer_incoterms="DDP",IF((TODAY()+offer_turnaround_time)&gt;=helpsheet!$L$17,rate_vatRU_from_26,rate_vatRu_till_25),0)),2)</f>
        <v/>
      </c>
      <c r="AN764" s="192">
        <f>AL764-AK764</f>
        <v/>
      </c>
      <c r="AO764" s="76">
        <f>SUM(AY764,Y764:Z764,T764)*IF(AND(offer_incoterms="DDP",offer_sale_type&lt;&gt;"экспорт"),IF((TODAY()+offer_turnaround_time)&gt;=helpsheet!$L$17,rate_vatRU_from_26,rate_vatRu_till_25),0)</f>
        <v/>
      </c>
      <c r="AP764" s="193">
        <f>AN764-AO764</f>
        <v/>
      </c>
      <c r="AQ764" s="118">
        <f>IF(offer_sale_type="транзит",SUM(AF764:AI764,BA764,BB764),0)</f>
        <v/>
      </c>
      <c r="AR764" s="82">
        <f>HYPERLINK("https://www.alta.ru/tnved/code/")&amp;W764&amp;"/"</f>
        <v/>
      </c>
      <c r="AS764" s="157" t="n"/>
      <c r="AT764" s="162" t="n"/>
      <c r="AU764" s="76">
        <f>IF(ISBLANK(AT764),0,AJ764-AT764)</f>
        <v/>
      </c>
      <c r="AV764" s="157" t="n"/>
      <c r="AW764" s="75">
        <f>_xlfn.IFNA(VLOOKUP(L764,list_vat[],3,FALSE),0)</f>
        <v/>
      </c>
      <c r="AX764" s="76">
        <f>IFERROR(ROUND(S764*(1+AW764)/E764,2),0)</f>
        <v/>
      </c>
      <c r="AY764" s="76">
        <f>E764*AX764</f>
        <v/>
      </c>
      <c r="AZ764" s="192">
        <f>S764*(1+M764)</f>
        <v/>
      </c>
      <c r="BA764" s="76">
        <f>cost_fin_total*$BD764</f>
        <v/>
      </c>
      <c r="BB764" s="193">
        <f>credit_sales_interest*BD764</f>
        <v/>
      </c>
      <c r="BC764" s="102">
        <f>IFERROR(IF($I$13&gt;0,$I764/$I$13,$S764/$S$13),0)</f>
        <v/>
      </c>
      <c r="BD764" s="102">
        <f>IFERROR($S764/$S$13,0)</f>
        <v/>
      </c>
      <c r="BE764" s="413" t="inlineStr">
        <is>
          <t>$</t>
        </is>
      </c>
    </row>
    <row r="765" ht="12" customFormat="1" customHeight="1" s="65">
      <c r="A765" s="43" t="n">
        <v>750</v>
      </c>
      <c r="B765" s="166" t="n"/>
      <c r="C765" s="166" t="n"/>
      <c r="D765" s="166" t="n"/>
      <c r="E765" s="162" t="n"/>
      <c r="F765" s="166" t="n"/>
      <c r="G765" s="162" t="n"/>
      <c r="H765" s="162" t="n"/>
      <c r="I765" s="189">
        <f>E765*G765</f>
        <v/>
      </c>
      <c r="J765" s="195" t="n"/>
      <c r="K765" s="162" t="n"/>
      <c r="L765" s="168" t="n"/>
      <c r="M765" s="75">
        <f>_xlfn.XLOOKUP(L765,list_vat[Страна],list_vat[Ставка НДС %],0,0)</f>
        <v/>
      </c>
      <c r="N765" s="162">
        <f>IFERROR(IF(L765="Китай",K765,K765/(1+M765)),0)</f>
        <v/>
      </c>
      <c r="O765" s="169" t="n"/>
      <c r="P765" s="76">
        <f>N765*(1-O765)</f>
        <v/>
      </c>
      <c r="Q765" s="162" t="n"/>
      <c r="R765" s="162">
        <f>IF(ISBLANK(Q765),"введи курс",P765/Q765)</f>
        <v/>
      </c>
      <c r="S765" s="196">
        <f>IF(AND(ISNUMBER(E765),ISNUMBER(Q765)),E765*R765,0)</f>
        <v/>
      </c>
      <c r="T765" s="192">
        <f>$BC765*V$11</f>
        <v/>
      </c>
      <c r="U765" s="76">
        <f>$BC765*W$11</f>
        <v/>
      </c>
      <c r="V765" s="193">
        <f>+SUM(T765:U765)</f>
        <v/>
      </c>
      <c r="W765" s="191" t="n"/>
      <c r="X765" s="170" t="n"/>
      <c r="Y765" s="76">
        <f>ROUND(IF(offer_incoterms="DDP",X765*(S765*(1+AW765)+T765),0),2)</f>
        <v/>
      </c>
      <c r="Z765" s="188" t="n"/>
      <c r="AA765" s="192">
        <f>IFERROR(AB765/E765,0)</f>
        <v/>
      </c>
      <c r="AB765" s="76">
        <f>ROUND(SUM(S765,V765,Y765:Z765,BA765:BB765),2)</f>
        <v/>
      </c>
      <c r="AC765" s="797" t="n"/>
      <c r="AD765" s="192">
        <f t="array" ref="AD765">IFERROR(ROUND((_xlfn.IFS(offer_sale_type="поставка",AB765,offer_sale_type="транзит",S765)*(1+AC765))/E765,2),0)</f>
        <v/>
      </c>
      <c r="AE765" s="76">
        <f>AD765*E765</f>
        <v/>
      </c>
      <c r="AF765" s="193">
        <f t="array" ref="AF765">IFERROR(ROUND(_xlfn.IFS(offer_sale_type="поставка",AB765,offer_sale_type="транзит",S765)*AC765,2),0)</f>
        <v/>
      </c>
      <c r="AG765" s="192">
        <f>$BD765*VLOOKUP($AG$3,$AF$4:$AG$7,2,FALSE)</f>
        <v/>
      </c>
      <c r="AH765" s="76">
        <f>SUM(AE765,AG765,AI765)*rate_forex_risk</f>
        <v/>
      </c>
      <c r="AI765" s="193">
        <f>IF(OR(seller_region="TR",offer_sale_type="экспорт"),0,rate_fin_comm)*SUM(AZ765,AZ765*AW765,T765)</f>
        <v/>
      </c>
      <c r="AJ765" s="118">
        <f>IFERROR(ROUND(SUM(AB765,AF765:AI765)/E765,2),0)</f>
        <v/>
      </c>
      <c r="AK765" s="76">
        <f>AJ765*E765</f>
        <v/>
      </c>
      <c r="AL765" s="174">
        <f>ROUND(IFERROR(AM765*E765,0),2)</f>
        <v/>
      </c>
      <c r="AM765" s="175">
        <f>ROUND(AJ765*(1+IF(offer_incoterms="DDP",IF((TODAY()+offer_turnaround_time)&gt;=helpsheet!$L$17,rate_vatRU_from_26,rate_vatRu_till_25),0)),2)</f>
        <v/>
      </c>
      <c r="AN765" s="192">
        <f>AL765-AK765</f>
        <v/>
      </c>
      <c r="AO765" s="76">
        <f>SUM(AY765,Y765:Z765,T765)*IF(AND(offer_incoterms="DDP",offer_sale_type&lt;&gt;"экспорт"),IF((TODAY()+offer_turnaround_time)&gt;=helpsheet!$L$17,rate_vatRU_from_26,rate_vatRu_till_25),0)</f>
        <v/>
      </c>
      <c r="AP765" s="193">
        <f>AN765-AO765</f>
        <v/>
      </c>
      <c r="AQ765" s="118">
        <f>IF(offer_sale_type="транзит",SUM(AF765:AI765,BA765,BB765),0)</f>
        <v/>
      </c>
      <c r="AR765" s="82">
        <f>HYPERLINK("https://www.alta.ru/tnved/code/")&amp;W765&amp;"/"</f>
        <v/>
      </c>
      <c r="AS765" s="157" t="n"/>
      <c r="AT765" s="162" t="n"/>
      <c r="AU765" s="76">
        <f>IF(ISBLANK(AT765),0,AJ765-AT765)</f>
        <v/>
      </c>
      <c r="AV765" s="157" t="n"/>
      <c r="AW765" s="75">
        <f>_xlfn.IFNA(VLOOKUP(L765,list_vat[],3,FALSE),0)</f>
        <v/>
      </c>
      <c r="AX765" s="76">
        <f>IFERROR(ROUND(S765*(1+AW765)/E765,2),0)</f>
        <v/>
      </c>
      <c r="AY765" s="76">
        <f>E765*AX765</f>
        <v/>
      </c>
      <c r="AZ765" s="192">
        <f>S765*(1+M765)</f>
        <v/>
      </c>
      <c r="BA765" s="76">
        <f>cost_fin_total*$BD765</f>
        <v/>
      </c>
      <c r="BB765" s="193">
        <f>credit_sales_interest*BD765</f>
        <v/>
      </c>
      <c r="BC765" s="102">
        <f>IFERROR(IF($I$13&gt;0,$I765/$I$13,$S765/$S$13),0)</f>
        <v/>
      </c>
      <c r="BD765" s="102">
        <f>IFERROR($S765/$S$13,0)</f>
        <v/>
      </c>
      <c r="BE765" s="413" t="inlineStr">
        <is>
          <t>$</t>
        </is>
      </c>
    </row>
    <row r="766" ht="12" customFormat="1" customHeight="1" s="65">
      <c r="A766" s="43" t="n">
        <v>751</v>
      </c>
      <c r="B766" s="166" t="n"/>
      <c r="C766" s="166" t="n"/>
      <c r="D766" s="166" t="n"/>
      <c r="E766" s="162" t="n"/>
      <c r="F766" s="166" t="n"/>
      <c r="G766" s="162" t="n"/>
      <c r="H766" s="162" t="n"/>
      <c r="I766" s="189">
        <f>E766*G766</f>
        <v/>
      </c>
      <c r="J766" s="195" t="n"/>
      <c r="K766" s="162" t="n"/>
      <c r="L766" s="168" t="n"/>
      <c r="M766" s="75">
        <f>_xlfn.XLOOKUP(L766,list_vat[Страна],list_vat[Ставка НДС %],0,0)</f>
        <v/>
      </c>
      <c r="N766" s="162">
        <f>IFERROR(IF(L766="Китай",K766,K766/(1+M766)),0)</f>
        <v/>
      </c>
      <c r="O766" s="169" t="n"/>
      <c r="P766" s="76">
        <f>N766*(1-O766)</f>
        <v/>
      </c>
      <c r="Q766" s="162" t="n"/>
      <c r="R766" s="162">
        <f>IF(ISBLANK(Q766),"введи курс",P766/Q766)</f>
        <v/>
      </c>
      <c r="S766" s="196">
        <f>IF(AND(ISNUMBER(E766),ISNUMBER(Q766)),E766*R766,0)</f>
        <v/>
      </c>
      <c r="T766" s="192">
        <f>$BC766*V$11</f>
        <v/>
      </c>
      <c r="U766" s="76">
        <f>$BC766*W$11</f>
        <v/>
      </c>
      <c r="V766" s="193">
        <f>+SUM(T766:U766)</f>
        <v/>
      </c>
      <c r="W766" s="191" t="n"/>
      <c r="X766" s="170" t="n"/>
      <c r="Y766" s="76">
        <f>ROUND(IF(offer_incoterms="DDP",X766*(S766*(1+AW766)+T766),0),2)</f>
        <v/>
      </c>
      <c r="Z766" s="188" t="n"/>
      <c r="AA766" s="192">
        <f>IFERROR(AB766/E766,0)</f>
        <v/>
      </c>
      <c r="AB766" s="76">
        <f>ROUND(SUM(S766,V766,Y766:Z766,BA766:BB766),2)</f>
        <v/>
      </c>
      <c r="AC766" s="797" t="n"/>
      <c r="AD766" s="192">
        <f t="array" ref="AD766">IFERROR(ROUND((_xlfn.IFS(offer_sale_type="поставка",AB766,offer_sale_type="транзит",S766)*(1+AC766))/E766,2),0)</f>
        <v/>
      </c>
      <c r="AE766" s="76">
        <f>AD766*E766</f>
        <v/>
      </c>
      <c r="AF766" s="193">
        <f t="array" ref="AF766">IFERROR(ROUND(_xlfn.IFS(offer_sale_type="поставка",AB766,offer_sale_type="транзит",S766)*AC766,2),0)</f>
        <v/>
      </c>
      <c r="AG766" s="192">
        <f>$BD766*VLOOKUP($AG$3,$AF$4:$AG$7,2,FALSE)</f>
        <v/>
      </c>
      <c r="AH766" s="76">
        <f>SUM(AE766,AG766,AI766)*rate_forex_risk</f>
        <v/>
      </c>
      <c r="AI766" s="193">
        <f>IF(OR(seller_region="TR",offer_sale_type="экспорт"),0,rate_fin_comm)*SUM(AZ766,AZ766*AW766,T766)</f>
        <v/>
      </c>
      <c r="AJ766" s="118">
        <f>IFERROR(ROUND(SUM(AB766,AF766:AI766)/E766,2),0)</f>
        <v/>
      </c>
      <c r="AK766" s="76">
        <f>AJ766*E766</f>
        <v/>
      </c>
      <c r="AL766" s="174">
        <f>ROUND(IFERROR(AM766*E766,0),2)</f>
        <v/>
      </c>
      <c r="AM766" s="175">
        <f>ROUND(AJ766*(1+IF(offer_incoterms="DDP",IF((TODAY()+offer_turnaround_time)&gt;=helpsheet!$L$17,rate_vatRU_from_26,rate_vatRu_till_25),0)),2)</f>
        <v/>
      </c>
      <c r="AN766" s="192">
        <f>AL766-AK766</f>
        <v/>
      </c>
      <c r="AO766" s="76">
        <f>SUM(AY766,Y766:Z766,T766)*IF(AND(offer_incoterms="DDP",offer_sale_type&lt;&gt;"экспорт"),IF((TODAY()+offer_turnaround_time)&gt;=helpsheet!$L$17,rate_vatRU_from_26,rate_vatRu_till_25),0)</f>
        <v/>
      </c>
      <c r="AP766" s="193">
        <f>AN766-AO766</f>
        <v/>
      </c>
      <c r="AQ766" s="118">
        <f>IF(offer_sale_type="транзит",SUM(AF766:AI766,BA766,BB766),0)</f>
        <v/>
      </c>
      <c r="AR766" s="82">
        <f>HYPERLINK("https://www.alta.ru/tnved/code/")&amp;W766&amp;"/"</f>
        <v/>
      </c>
      <c r="AS766" s="157" t="n"/>
      <c r="AT766" s="162" t="n"/>
      <c r="AU766" s="76">
        <f>IF(ISBLANK(AT766),0,AJ766-AT766)</f>
        <v/>
      </c>
      <c r="AV766" s="157" t="n"/>
      <c r="AW766" s="75">
        <f>_xlfn.IFNA(VLOOKUP(L766,list_vat[],3,FALSE),0)</f>
        <v/>
      </c>
      <c r="AX766" s="76">
        <f>IFERROR(ROUND(S766*(1+AW766)/E766,2),0)</f>
        <v/>
      </c>
      <c r="AY766" s="76">
        <f>E766*AX766</f>
        <v/>
      </c>
      <c r="AZ766" s="192">
        <f>S766*(1+M766)</f>
        <v/>
      </c>
      <c r="BA766" s="76">
        <f>cost_fin_total*$BD766</f>
        <v/>
      </c>
      <c r="BB766" s="193">
        <f>credit_sales_interest*BD766</f>
        <v/>
      </c>
      <c r="BC766" s="102">
        <f>IFERROR(IF($I$13&gt;0,$I766/$I$13,$S766/$S$13),0)</f>
        <v/>
      </c>
      <c r="BD766" s="102">
        <f>IFERROR($S766/$S$13,0)</f>
        <v/>
      </c>
      <c r="BE766" s="413" t="inlineStr">
        <is>
          <t>$</t>
        </is>
      </c>
    </row>
    <row r="767" ht="12" customFormat="1" customHeight="1" s="65">
      <c r="A767" s="43" t="n">
        <v>752</v>
      </c>
      <c r="B767" s="166" t="n"/>
      <c r="C767" s="166" t="n"/>
      <c r="D767" s="166" t="n"/>
      <c r="E767" s="162" t="n"/>
      <c r="F767" s="166" t="n"/>
      <c r="G767" s="162" t="n"/>
      <c r="H767" s="162" t="n"/>
      <c r="I767" s="189">
        <f>E767*G767</f>
        <v/>
      </c>
      <c r="J767" s="195" t="n"/>
      <c r="K767" s="162" t="n"/>
      <c r="L767" s="168" t="n"/>
      <c r="M767" s="75">
        <f>_xlfn.XLOOKUP(L767,list_vat[Страна],list_vat[Ставка НДС %],0,0)</f>
        <v/>
      </c>
      <c r="N767" s="162">
        <f>IFERROR(IF(L767="Китай",K767,K767/(1+M767)),0)</f>
        <v/>
      </c>
      <c r="O767" s="169" t="n"/>
      <c r="P767" s="76">
        <f>N767*(1-O767)</f>
        <v/>
      </c>
      <c r="Q767" s="162" t="n"/>
      <c r="R767" s="162">
        <f>IF(ISBLANK(Q767),"введи курс",P767/Q767)</f>
        <v/>
      </c>
      <c r="S767" s="196">
        <f>IF(AND(ISNUMBER(E767),ISNUMBER(Q767)),E767*R767,0)</f>
        <v/>
      </c>
      <c r="T767" s="192">
        <f>$BC767*V$11</f>
        <v/>
      </c>
      <c r="U767" s="76">
        <f>$BC767*W$11</f>
        <v/>
      </c>
      <c r="V767" s="193">
        <f>+SUM(T767:U767)</f>
        <v/>
      </c>
      <c r="W767" s="191" t="n"/>
      <c r="X767" s="170" t="n"/>
      <c r="Y767" s="76">
        <f>ROUND(IF(offer_incoterms="DDP",X767*(S767*(1+AW767)+T767),0),2)</f>
        <v/>
      </c>
      <c r="Z767" s="188" t="n"/>
      <c r="AA767" s="192">
        <f>IFERROR(AB767/E767,0)</f>
        <v/>
      </c>
      <c r="AB767" s="76">
        <f>ROUND(SUM(S767,V767,Y767:Z767,BA767:BB767),2)</f>
        <v/>
      </c>
      <c r="AC767" s="797" t="n"/>
      <c r="AD767" s="192">
        <f t="array" ref="AD767">IFERROR(ROUND((_xlfn.IFS(offer_sale_type="поставка",AB767,offer_sale_type="транзит",S767)*(1+AC767))/E767,2),0)</f>
        <v/>
      </c>
      <c r="AE767" s="76">
        <f>AD767*E767</f>
        <v/>
      </c>
      <c r="AF767" s="193">
        <f t="array" ref="AF767">IFERROR(ROUND(_xlfn.IFS(offer_sale_type="поставка",AB767,offer_sale_type="транзит",S767)*AC767,2),0)</f>
        <v/>
      </c>
      <c r="AG767" s="192">
        <f>$BD767*VLOOKUP($AG$3,$AF$4:$AG$7,2,FALSE)</f>
        <v/>
      </c>
      <c r="AH767" s="76">
        <f>SUM(AE767,AG767,AI767)*rate_forex_risk</f>
        <v/>
      </c>
      <c r="AI767" s="193">
        <f>IF(OR(seller_region="TR",offer_sale_type="экспорт"),0,rate_fin_comm)*SUM(AZ767,AZ767*AW767,T767)</f>
        <v/>
      </c>
      <c r="AJ767" s="118">
        <f>IFERROR(ROUND(SUM(AB767,AF767:AI767)/E767,2),0)</f>
        <v/>
      </c>
      <c r="AK767" s="76">
        <f>AJ767*E767</f>
        <v/>
      </c>
      <c r="AL767" s="174">
        <f>ROUND(IFERROR(AM767*E767,0),2)</f>
        <v/>
      </c>
      <c r="AM767" s="175">
        <f>ROUND(AJ767*(1+IF(offer_incoterms="DDP",IF((TODAY()+offer_turnaround_time)&gt;=helpsheet!$L$17,rate_vatRU_from_26,rate_vatRu_till_25),0)),2)</f>
        <v/>
      </c>
      <c r="AN767" s="192">
        <f>AL767-AK767</f>
        <v/>
      </c>
      <c r="AO767" s="76">
        <f>SUM(AY767,Y767:Z767,T767)*IF(AND(offer_incoterms="DDP",offer_sale_type&lt;&gt;"экспорт"),IF((TODAY()+offer_turnaround_time)&gt;=helpsheet!$L$17,rate_vatRU_from_26,rate_vatRu_till_25),0)</f>
        <v/>
      </c>
      <c r="AP767" s="193">
        <f>AN767-AO767</f>
        <v/>
      </c>
      <c r="AQ767" s="118">
        <f>IF(offer_sale_type="транзит",SUM(AF767:AI767,BA767,BB767),0)</f>
        <v/>
      </c>
      <c r="AR767" s="82">
        <f>HYPERLINK("https://www.alta.ru/tnved/code/")&amp;W767&amp;"/"</f>
        <v/>
      </c>
      <c r="AS767" s="157" t="n"/>
      <c r="AT767" s="162" t="n"/>
      <c r="AU767" s="76">
        <f>IF(ISBLANK(AT767),0,AJ767-AT767)</f>
        <v/>
      </c>
      <c r="AV767" s="157" t="n"/>
      <c r="AW767" s="75">
        <f>_xlfn.IFNA(VLOOKUP(L767,list_vat[],3,FALSE),0)</f>
        <v/>
      </c>
      <c r="AX767" s="76">
        <f>IFERROR(ROUND(S767*(1+AW767)/E767,2),0)</f>
        <v/>
      </c>
      <c r="AY767" s="76">
        <f>E767*AX767</f>
        <v/>
      </c>
      <c r="AZ767" s="192">
        <f>S767*(1+M767)</f>
        <v/>
      </c>
      <c r="BA767" s="76">
        <f>cost_fin_total*$BD767</f>
        <v/>
      </c>
      <c r="BB767" s="193">
        <f>credit_sales_interest*BD767</f>
        <v/>
      </c>
      <c r="BC767" s="102">
        <f>IFERROR(IF($I$13&gt;0,$I767/$I$13,$S767/$S$13),0)</f>
        <v/>
      </c>
      <c r="BD767" s="102">
        <f>IFERROR($S767/$S$13,0)</f>
        <v/>
      </c>
      <c r="BE767" s="413" t="inlineStr">
        <is>
          <t>$</t>
        </is>
      </c>
    </row>
    <row r="768" ht="12" customFormat="1" customHeight="1" s="65">
      <c r="A768" s="43" t="n">
        <v>753</v>
      </c>
      <c r="B768" s="166" t="n"/>
      <c r="C768" s="166" t="n"/>
      <c r="D768" s="166" t="n"/>
      <c r="E768" s="162" t="n"/>
      <c r="F768" s="166" t="n"/>
      <c r="G768" s="162" t="n"/>
      <c r="H768" s="162" t="n"/>
      <c r="I768" s="189">
        <f>E768*G768</f>
        <v/>
      </c>
      <c r="J768" s="195" t="n"/>
      <c r="K768" s="162" t="n"/>
      <c r="L768" s="168" t="n"/>
      <c r="M768" s="75">
        <f>_xlfn.XLOOKUP(L768,list_vat[Страна],list_vat[Ставка НДС %],0,0)</f>
        <v/>
      </c>
      <c r="N768" s="162">
        <f>IFERROR(IF(L768="Китай",K768,K768/(1+M768)),0)</f>
        <v/>
      </c>
      <c r="O768" s="169" t="n"/>
      <c r="P768" s="76">
        <f>N768*(1-O768)</f>
        <v/>
      </c>
      <c r="Q768" s="162" t="n"/>
      <c r="R768" s="162">
        <f>IF(ISBLANK(Q768),"введи курс",P768/Q768)</f>
        <v/>
      </c>
      <c r="S768" s="196">
        <f>IF(AND(ISNUMBER(E768),ISNUMBER(Q768)),E768*R768,0)</f>
        <v/>
      </c>
      <c r="T768" s="192">
        <f>$BC768*V$11</f>
        <v/>
      </c>
      <c r="U768" s="76">
        <f>$BC768*W$11</f>
        <v/>
      </c>
      <c r="V768" s="193">
        <f>+SUM(T768:U768)</f>
        <v/>
      </c>
      <c r="W768" s="191" t="n"/>
      <c r="X768" s="170" t="n"/>
      <c r="Y768" s="76">
        <f>ROUND(IF(offer_incoterms="DDP",X768*(S768*(1+AW768)+T768),0),2)</f>
        <v/>
      </c>
      <c r="Z768" s="188" t="n"/>
      <c r="AA768" s="192">
        <f>IFERROR(AB768/E768,0)</f>
        <v/>
      </c>
      <c r="AB768" s="76">
        <f>ROUND(SUM(S768,V768,Y768:Z768,BA768:BB768),2)</f>
        <v/>
      </c>
      <c r="AC768" s="797" t="n"/>
      <c r="AD768" s="192">
        <f t="array" ref="AD768">IFERROR(ROUND((_xlfn.IFS(offer_sale_type="поставка",AB768,offer_sale_type="транзит",S768)*(1+AC768))/E768,2),0)</f>
        <v/>
      </c>
      <c r="AE768" s="76">
        <f>AD768*E768</f>
        <v/>
      </c>
      <c r="AF768" s="193">
        <f t="array" ref="AF768">IFERROR(ROUND(_xlfn.IFS(offer_sale_type="поставка",AB768,offer_sale_type="транзит",S768)*AC768,2),0)</f>
        <v/>
      </c>
      <c r="AG768" s="192">
        <f>$BD768*VLOOKUP($AG$3,$AF$4:$AG$7,2,FALSE)</f>
        <v/>
      </c>
      <c r="AH768" s="76">
        <f>SUM(AE768,AG768,AI768)*rate_forex_risk</f>
        <v/>
      </c>
      <c r="AI768" s="193">
        <f>IF(OR(seller_region="TR",offer_sale_type="экспорт"),0,rate_fin_comm)*SUM(AZ768,AZ768*AW768,T768)</f>
        <v/>
      </c>
      <c r="AJ768" s="118">
        <f>IFERROR(ROUND(SUM(AB768,AF768:AI768)/E768,2),0)</f>
        <v/>
      </c>
      <c r="AK768" s="76">
        <f>AJ768*E768</f>
        <v/>
      </c>
      <c r="AL768" s="174">
        <f>ROUND(IFERROR(AM768*E768,0),2)</f>
        <v/>
      </c>
      <c r="AM768" s="175">
        <f>ROUND(AJ768*(1+IF(offer_incoterms="DDP",IF((TODAY()+offer_turnaround_time)&gt;=helpsheet!$L$17,rate_vatRU_from_26,rate_vatRu_till_25),0)),2)</f>
        <v/>
      </c>
      <c r="AN768" s="192">
        <f>AL768-AK768</f>
        <v/>
      </c>
      <c r="AO768" s="76">
        <f>SUM(AY768,Y768:Z768,T768)*IF(AND(offer_incoterms="DDP",offer_sale_type&lt;&gt;"экспорт"),IF((TODAY()+offer_turnaround_time)&gt;=helpsheet!$L$17,rate_vatRU_from_26,rate_vatRu_till_25),0)</f>
        <v/>
      </c>
      <c r="AP768" s="193">
        <f>AN768-AO768</f>
        <v/>
      </c>
      <c r="AQ768" s="118">
        <f>IF(offer_sale_type="транзит",SUM(AF768:AI768,BA768,BB768),0)</f>
        <v/>
      </c>
      <c r="AR768" s="82">
        <f>HYPERLINK("https://www.alta.ru/tnved/code/")&amp;W768&amp;"/"</f>
        <v/>
      </c>
      <c r="AS768" s="157" t="n"/>
      <c r="AT768" s="162" t="n"/>
      <c r="AU768" s="76">
        <f>IF(ISBLANK(AT768),0,AJ768-AT768)</f>
        <v/>
      </c>
      <c r="AV768" s="157" t="n"/>
      <c r="AW768" s="75">
        <f>_xlfn.IFNA(VLOOKUP(L768,list_vat[],3,FALSE),0)</f>
        <v/>
      </c>
      <c r="AX768" s="76">
        <f>IFERROR(ROUND(S768*(1+AW768)/E768,2),0)</f>
        <v/>
      </c>
      <c r="AY768" s="76">
        <f>E768*AX768</f>
        <v/>
      </c>
      <c r="AZ768" s="192">
        <f>S768*(1+M768)</f>
        <v/>
      </c>
      <c r="BA768" s="76">
        <f>cost_fin_total*$BD768</f>
        <v/>
      </c>
      <c r="BB768" s="193">
        <f>credit_sales_interest*BD768</f>
        <v/>
      </c>
      <c r="BC768" s="102">
        <f>IFERROR(IF($I$13&gt;0,$I768/$I$13,$S768/$S$13),0)</f>
        <v/>
      </c>
      <c r="BD768" s="102">
        <f>IFERROR($S768/$S$13,0)</f>
        <v/>
      </c>
      <c r="BE768" s="413" t="inlineStr">
        <is>
          <t>$</t>
        </is>
      </c>
    </row>
    <row r="769" ht="12" customFormat="1" customHeight="1" s="65">
      <c r="A769" s="43" t="n">
        <v>754</v>
      </c>
      <c r="B769" s="166" t="n"/>
      <c r="C769" s="166" t="n"/>
      <c r="D769" s="166" t="n"/>
      <c r="E769" s="162" t="n"/>
      <c r="F769" s="166" t="n"/>
      <c r="G769" s="162" t="n"/>
      <c r="H769" s="162" t="n"/>
      <c r="I769" s="189">
        <f>E769*G769</f>
        <v/>
      </c>
      <c r="J769" s="195" t="n"/>
      <c r="K769" s="162" t="n"/>
      <c r="L769" s="168" t="n"/>
      <c r="M769" s="75">
        <f>_xlfn.XLOOKUP(L769,list_vat[Страна],list_vat[Ставка НДС %],0,0)</f>
        <v/>
      </c>
      <c r="N769" s="162">
        <f>IFERROR(IF(L769="Китай",K769,K769/(1+M769)),0)</f>
        <v/>
      </c>
      <c r="O769" s="169" t="n"/>
      <c r="P769" s="76">
        <f>N769*(1-O769)</f>
        <v/>
      </c>
      <c r="Q769" s="162" t="n"/>
      <c r="R769" s="162">
        <f>IF(ISBLANK(Q769),"введи курс",P769/Q769)</f>
        <v/>
      </c>
      <c r="S769" s="196">
        <f>IF(AND(ISNUMBER(E769),ISNUMBER(Q769)),E769*R769,0)</f>
        <v/>
      </c>
      <c r="T769" s="192">
        <f>$BC769*V$11</f>
        <v/>
      </c>
      <c r="U769" s="76">
        <f>$BC769*W$11</f>
        <v/>
      </c>
      <c r="V769" s="193">
        <f>+SUM(T769:U769)</f>
        <v/>
      </c>
      <c r="W769" s="191" t="n"/>
      <c r="X769" s="170" t="n"/>
      <c r="Y769" s="76">
        <f>ROUND(IF(offer_incoterms="DDP",X769*(S769*(1+AW769)+T769),0),2)</f>
        <v/>
      </c>
      <c r="Z769" s="188" t="n"/>
      <c r="AA769" s="192">
        <f>IFERROR(AB769/E769,0)</f>
        <v/>
      </c>
      <c r="AB769" s="76">
        <f>ROUND(SUM(S769,V769,Y769:Z769,BA769:BB769),2)</f>
        <v/>
      </c>
      <c r="AC769" s="797" t="n"/>
      <c r="AD769" s="192">
        <f t="array" ref="AD769">IFERROR(ROUND((_xlfn.IFS(offer_sale_type="поставка",AB769,offer_sale_type="транзит",S769)*(1+AC769))/E769,2),0)</f>
        <v/>
      </c>
      <c r="AE769" s="76">
        <f>AD769*E769</f>
        <v/>
      </c>
      <c r="AF769" s="193">
        <f t="array" ref="AF769">IFERROR(ROUND(_xlfn.IFS(offer_sale_type="поставка",AB769,offer_sale_type="транзит",S769)*AC769,2),0)</f>
        <v/>
      </c>
      <c r="AG769" s="192">
        <f>$BD769*VLOOKUP($AG$3,$AF$4:$AG$7,2,FALSE)</f>
        <v/>
      </c>
      <c r="AH769" s="76">
        <f>SUM(AE769,AG769,AI769)*rate_forex_risk</f>
        <v/>
      </c>
      <c r="AI769" s="193">
        <f>IF(OR(seller_region="TR",offer_sale_type="экспорт"),0,rate_fin_comm)*SUM(AZ769,AZ769*AW769,T769)</f>
        <v/>
      </c>
      <c r="AJ769" s="118">
        <f>IFERROR(ROUND(SUM(AB769,AF769:AI769)/E769,2),0)</f>
        <v/>
      </c>
      <c r="AK769" s="76">
        <f>AJ769*E769</f>
        <v/>
      </c>
      <c r="AL769" s="174">
        <f>ROUND(IFERROR(AM769*E769,0),2)</f>
        <v/>
      </c>
      <c r="AM769" s="175">
        <f>ROUND(AJ769*(1+IF(offer_incoterms="DDP",IF((TODAY()+offer_turnaround_time)&gt;=helpsheet!$L$17,rate_vatRU_from_26,rate_vatRu_till_25),0)),2)</f>
        <v/>
      </c>
      <c r="AN769" s="192">
        <f>AL769-AK769</f>
        <v/>
      </c>
      <c r="AO769" s="76">
        <f>SUM(AY769,Y769:Z769,T769)*IF(AND(offer_incoterms="DDP",offer_sale_type&lt;&gt;"экспорт"),IF((TODAY()+offer_turnaround_time)&gt;=helpsheet!$L$17,rate_vatRU_from_26,rate_vatRu_till_25),0)</f>
        <v/>
      </c>
      <c r="AP769" s="193">
        <f>AN769-AO769</f>
        <v/>
      </c>
      <c r="AQ769" s="118">
        <f>IF(offer_sale_type="транзит",SUM(AF769:AI769,BA769,BB769),0)</f>
        <v/>
      </c>
      <c r="AR769" s="82">
        <f>HYPERLINK("https://www.alta.ru/tnved/code/")&amp;W769&amp;"/"</f>
        <v/>
      </c>
      <c r="AS769" s="157" t="n"/>
      <c r="AT769" s="162" t="n"/>
      <c r="AU769" s="76">
        <f>IF(ISBLANK(AT769),0,AJ769-AT769)</f>
        <v/>
      </c>
      <c r="AV769" s="157" t="n"/>
      <c r="AW769" s="75">
        <f>_xlfn.IFNA(VLOOKUP(L769,list_vat[],3,FALSE),0)</f>
        <v/>
      </c>
      <c r="AX769" s="76">
        <f>IFERROR(ROUND(S769*(1+AW769)/E769,2),0)</f>
        <v/>
      </c>
      <c r="AY769" s="76">
        <f>E769*AX769</f>
        <v/>
      </c>
      <c r="AZ769" s="192">
        <f>S769*(1+M769)</f>
        <v/>
      </c>
      <c r="BA769" s="76">
        <f>cost_fin_total*$BD769</f>
        <v/>
      </c>
      <c r="BB769" s="193">
        <f>credit_sales_interest*BD769</f>
        <v/>
      </c>
      <c r="BC769" s="102">
        <f>IFERROR(IF($I$13&gt;0,$I769/$I$13,$S769/$S$13),0)</f>
        <v/>
      </c>
      <c r="BD769" s="102">
        <f>IFERROR($S769/$S$13,0)</f>
        <v/>
      </c>
      <c r="BE769" s="413" t="inlineStr">
        <is>
          <t>$</t>
        </is>
      </c>
    </row>
    <row r="770" ht="12" customFormat="1" customHeight="1" s="65">
      <c r="A770" s="43" t="n">
        <v>755</v>
      </c>
      <c r="B770" s="166" t="n"/>
      <c r="C770" s="166" t="n"/>
      <c r="D770" s="166" t="n"/>
      <c r="E770" s="162" t="n"/>
      <c r="F770" s="166" t="n"/>
      <c r="G770" s="162" t="n"/>
      <c r="H770" s="162" t="n"/>
      <c r="I770" s="189">
        <f>E770*G770</f>
        <v/>
      </c>
      <c r="J770" s="195" t="n"/>
      <c r="K770" s="162" t="n"/>
      <c r="L770" s="168" t="n"/>
      <c r="M770" s="75">
        <f>_xlfn.XLOOKUP(L770,list_vat[Страна],list_vat[Ставка НДС %],0,0)</f>
        <v/>
      </c>
      <c r="N770" s="162">
        <f>IFERROR(IF(L770="Китай",K770,K770/(1+M770)),0)</f>
        <v/>
      </c>
      <c r="O770" s="169" t="n"/>
      <c r="P770" s="76">
        <f>N770*(1-O770)</f>
        <v/>
      </c>
      <c r="Q770" s="162" t="n"/>
      <c r="R770" s="162">
        <f>IF(ISBLANK(Q770),"введи курс",P770/Q770)</f>
        <v/>
      </c>
      <c r="S770" s="196">
        <f>IF(AND(ISNUMBER(E770),ISNUMBER(Q770)),E770*R770,0)</f>
        <v/>
      </c>
      <c r="T770" s="192">
        <f>$BC770*V$11</f>
        <v/>
      </c>
      <c r="U770" s="76">
        <f>$BC770*W$11</f>
        <v/>
      </c>
      <c r="V770" s="193">
        <f>+SUM(T770:U770)</f>
        <v/>
      </c>
      <c r="W770" s="191" t="n"/>
      <c r="X770" s="170" t="n"/>
      <c r="Y770" s="76">
        <f>ROUND(IF(offer_incoterms="DDP",X770*(S770*(1+AW770)+T770),0),2)</f>
        <v/>
      </c>
      <c r="Z770" s="188" t="n"/>
      <c r="AA770" s="192">
        <f>IFERROR(AB770/E770,0)</f>
        <v/>
      </c>
      <c r="AB770" s="76">
        <f>ROUND(SUM(S770,V770,Y770:Z770,BA770:BB770),2)</f>
        <v/>
      </c>
      <c r="AC770" s="797" t="n"/>
      <c r="AD770" s="192">
        <f t="array" ref="AD770">IFERROR(ROUND((_xlfn.IFS(offer_sale_type="поставка",AB770,offer_sale_type="транзит",S770)*(1+AC770))/E770,2),0)</f>
        <v/>
      </c>
      <c r="AE770" s="76">
        <f>AD770*E770</f>
        <v/>
      </c>
      <c r="AF770" s="193">
        <f t="array" ref="AF770">IFERROR(ROUND(_xlfn.IFS(offer_sale_type="поставка",AB770,offer_sale_type="транзит",S770)*AC770,2),0)</f>
        <v/>
      </c>
      <c r="AG770" s="192">
        <f>$BD770*VLOOKUP($AG$3,$AF$4:$AG$7,2,FALSE)</f>
        <v/>
      </c>
      <c r="AH770" s="76">
        <f>SUM(AE770,AG770,AI770)*rate_forex_risk</f>
        <v/>
      </c>
      <c r="AI770" s="193">
        <f>IF(OR(seller_region="TR",offer_sale_type="экспорт"),0,rate_fin_comm)*SUM(AZ770,AZ770*AW770,T770)</f>
        <v/>
      </c>
      <c r="AJ770" s="118">
        <f>IFERROR(ROUND(SUM(AB770,AF770:AI770)/E770,2),0)</f>
        <v/>
      </c>
      <c r="AK770" s="76">
        <f>AJ770*E770</f>
        <v/>
      </c>
      <c r="AL770" s="174">
        <f>ROUND(IFERROR(AM770*E770,0),2)</f>
        <v/>
      </c>
      <c r="AM770" s="175">
        <f>ROUND(AJ770*(1+IF(offer_incoterms="DDP",IF((TODAY()+offer_turnaround_time)&gt;=helpsheet!$L$17,rate_vatRU_from_26,rate_vatRu_till_25),0)),2)</f>
        <v/>
      </c>
      <c r="AN770" s="192">
        <f>AL770-AK770</f>
        <v/>
      </c>
      <c r="AO770" s="76">
        <f>SUM(AY770,Y770:Z770,T770)*IF(AND(offer_incoterms="DDP",offer_sale_type&lt;&gt;"экспорт"),IF((TODAY()+offer_turnaround_time)&gt;=helpsheet!$L$17,rate_vatRU_from_26,rate_vatRu_till_25),0)</f>
        <v/>
      </c>
      <c r="AP770" s="193">
        <f>AN770-AO770</f>
        <v/>
      </c>
      <c r="AQ770" s="118">
        <f>IF(offer_sale_type="транзит",SUM(AF770:AI770,BA770,BB770),0)</f>
        <v/>
      </c>
      <c r="AR770" s="82">
        <f>HYPERLINK("https://www.alta.ru/tnved/code/")&amp;W770&amp;"/"</f>
        <v/>
      </c>
      <c r="AS770" s="157" t="n"/>
      <c r="AT770" s="162" t="n"/>
      <c r="AU770" s="76">
        <f>IF(ISBLANK(AT770),0,AJ770-AT770)</f>
        <v/>
      </c>
      <c r="AV770" s="157" t="n"/>
      <c r="AW770" s="75">
        <f>_xlfn.IFNA(VLOOKUP(L770,list_vat[],3,FALSE),0)</f>
        <v/>
      </c>
      <c r="AX770" s="76">
        <f>IFERROR(ROUND(S770*(1+AW770)/E770,2),0)</f>
        <v/>
      </c>
      <c r="AY770" s="76">
        <f>E770*AX770</f>
        <v/>
      </c>
      <c r="AZ770" s="192">
        <f>S770*(1+M770)</f>
        <v/>
      </c>
      <c r="BA770" s="76">
        <f>cost_fin_total*$BD770</f>
        <v/>
      </c>
      <c r="BB770" s="193">
        <f>credit_sales_interest*BD770</f>
        <v/>
      </c>
      <c r="BC770" s="102">
        <f>IFERROR(IF($I$13&gt;0,$I770/$I$13,$S770/$S$13),0)</f>
        <v/>
      </c>
      <c r="BD770" s="102">
        <f>IFERROR($S770/$S$13,0)</f>
        <v/>
      </c>
      <c r="BE770" s="413" t="inlineStr">
        <is>
          <t>$</t>
        </is>
      </c>
    </row>
    <row r="771" ht="12" customFormat="1" customHeight="1" s="65">
      <c r="A771" s="43" t="n">
        <v>756</v>
      </c>
      <c r="B771" s="166" t="n"/>
      <c r="C771" s="166" t="n"/>
      <c r="D771" s="166" t="n"/>
      <c r="E771" s="162" t="n"/>
      <c r="F771" s="166" t="n"/>
      <c r="G771" s="162" t="n"/>
      <c r="H771" s="162" t="n"/>
      <c r="I771" s="189">
        <f>E771*G771</f>
        <v/>
      </c>
      <c r="J771" s="195" t="n"/>
      <c r="K771" s="162" t="n"/>
      <c r="L771" s="168" t="n"/>
      <c r="M771" s="75">
        <f>_xlfn.XLOOKUP(L771,list_vat[Страна],list_vat[Ставка НДС %],0,0)</f>
        <v/>
      </c>
      <c r="N771" s="162">
        <f>IFERROR(IF(L771="Китай",K771,K771/(1+M771)),0)</f>
        <v/>
      </c>
      <c r="O771" s="169" t="n"/>
      <c r="P771" s="76">
        <f>N771*(1-O771)</f>
        <v/>
      </c>
      <c r="Q771" s="162" t="n"/>
      <c r="R771" s="162">
        <f>IF(ISBLANK(Q771),"введи курс",P771/Q771)</f>
        <v/>
      </c>
      <c r="S771" s="196">
        <f>IF(AND(ISNUMBER(E771),ISNUMBER(Q771)),E771*R771,0)</f>
        <v/>
      </c>
      <c r="T771" s="192">
        <f>$BC771*V$11</f>
        <v/>
      </c>
      <c r="U771" s="76">
        <f>$BC771*W$11</f>
        <v/>
      </c>
      <c r="V771" s="193">
        <f>+SUM(T771:U771)</f>
        <v/>
      </c>
      <c r="W771" s="191" t="n"/>
      <c r="X771" s="170" t="n"/>
      <c r="Y771" s="76">
        <f>ROUND(IF(offer_incoterms="DDP",X771*(S771*(1+AW771)+T771),0),2)</f>
        <v/>
      </c>
      <c r="Z771" s="188" t="n"/>
      <c r="AA771" s="192">
        <f>IFERROR(AB771/E771,0)</f>
        <v/>
      </c>
      <c r="AB771" s="76">
        <f>ROUND(SUM(S771,V771,Y771:Z771,BA771:BB771),2)</f>
        <v/>
      </c>
      <c r="AC771" s="797" t="n"/>
      <c r="AD771" s="192">
        <f t="array" ref="AD771">IFERROR(ROUND((_xlfn.IFS(offer_sale_type="поставка",AB771,offer_sale_type="транзит",S771)*(1+AC771))/E771,2),0)</f>
        <v/>
      </c>
      <c r="AE771" s="76">
        <f>AD771*E771</f>
        <v/>
      </c>
      <c r="AF771" s="193">
        <f t="array" ref="AF771">IFERROR(ROUND(_xlfn.IFS(offer_sale_type="поставка",AB771,offer_sale_type="транзит",S771)*AC771,2),0)</f>
        <v/>
      </c>
      <c r="AG771" s="192">
        <f>$BD771*VLOOKUP($AG$3,$AF$4:$AG$7,2,FALSE)</f>
        <v/>
      </c>
      <c r="AH771" s="76">
        <f>SUM(AE771,AG771,AI771)*rate_forex_risk</f>
        <v/>
      </c>
      <c r="AI771" s="193">
        <f>IF(OR(seller_region="TR",offer_sale_type="экспорт"),0,rate_fin_comm)*SUM(AZ771,AZ771*AW771,T771)</f>
        <v/>
      </c>
      <c r="AJ771" s="118">
        <f>IFERROR(ROUND(SUM(AB771,AF771:AI771)/E771,2),0)</f>
        <v/>
      </c>
      <c r="AK771" s="76">
        <f>AJ771*E771</f>
        <v/>
      </c>
      <c r="AL771" s="174">
        <f>ROUND(IFERROR(AM771*E771,0),2)</f>
        <v/>
      </c>
      <c r="AM771" s="175">
        <f>ROUND(AJ771*(1+IF(offer_incoterms="DDP",IF((TODAY()+offer_turnaround_time)&gt;=helpsheet!$L$17,rate_vatRU_from_26,rate_vatRu_till_25),0)),2)</f>
        <v/>
      </c>
      <c r="AN771" s="192">
        <f>AL771-AK771</f>
        <v/>
      </c>
      <c r="AO771" s="76">
        <f>SUM(AY771,Y771:Z771,T771)*IF(AND(offer_incoterms="DDP",offer_sale_type&lt;&gt;"экспорт"),IF((TODAY()+offer_turnaround_time)&gt;=helpsheet!$L$17,rate_vatRU_from_26,rate_vatRu_till_25),0)</f>
        <v/>
      </c>
      <c r="AP771" s="193">
        <f>AN771-AO771</f>
        <v/>
      </c>
      <c r="AQ771" s="118">
        <f>IF(offer_sale_type="транзит",SUM(AF771:AI771,BA771,BB771),0)</f>
        <v/>
      </c>
      <c r="AR771" s="82">
        <f>HYPERLINK("https://www.alta.ru/tnved/code/")&amp;W771&amp;"/"</f>
        <v/>
      </c>
      <c r="AS771" s="157" t="n"/>
      <c r="AT771" s="162" t="n"/>
      <c r="AU771" s="76">
        <f>IF(ISBLANK(AT771),0,AJ771-AT771)</f>
        <v/>
      </c>
      <c r="AV771" s="157" t="n"/>
      <c r="AW771" s="75">
        <f>_xlfn.IFNA(VLOOKUP(L771,list_vat[],3,FALSE),0)</f>
        <v/>
      </c>
      <c r="AX771" s="76">
        <f>IFERROR(ROUND(S771*(1+AW771)/E771,2),0)</f>
        <v/>
      </c>
      <c r="AY771" s="76">
        <f>E771*AX771</f>
        <v/>
      </c>
      <c r="AZ771" s="192">
        <f>S771*(1+M771)</f>
        <v/>
      </c>
      <c r="BA771" s="76">
        <f>cost_fin_total*$BD771</f>
        <v/>
      </c>
      <c r="BB771" s="193">
        <f>credit_sales_interest*BD771</f>
        <v/>
      </c>
      <c r="BC771" s="102">
        <f>IFERROR(IF($I$13&gt;0,$I771/$I$13,$S771/$S$13),0)</f>
        <v/>
      </c>
      <c r="BD771" s="102">
        <f>IFERROR($S771/$S$13,0)</f>
        <v/>
      </c>
      <c r="BE771" s="413" t="inlineStr">
        <is>
          <t>$</t>
        </is>
      </c>
    </row>
    <row r="772" ht="12" customFormat="1" customHeight="1" s="65">
      <c r="A772" s="43" t="n">
        <v>757</v>
      </c>
      <c r="B772" s="166" t="n"/>
      <c r="C772" s="166" t="n"/>
      <c r="D772" s="166" t="n"/>
      <c r="E772" s="162" t="n"/>
      <c r="F772" s="166" t="n"/>
      <c r="G772" s="162" t="n"/>
      <c r="H772" s="162" t="n"/>
      <c r="I772" s="189">
        <f>E772*G772</f>
        <v/>
      </c>
      <c r="J772" s="195" t="n"/>
      <c r="K772" s="162" t="n"/>
      <c r="L772" s="168" t="n"/>
      <c r="M772" s="75">
        <f>_xlfn.XLOOKUP(L772,list_vat[Страна],list_vat[Ставка НДС %],0,0)</f>
        <v/>
      </c>
      <c r="N772" s="162">
        <f>IFERROR(IF(L772="Китай",K772,K772/(1+M772)),0)</f>
        <v/>
      </c>
      <c r="O772" s="169" t="n"/>
      <c r="P772" s="76">
        <f>N772*(1-O772)</f>
        <v/>
      </c>
      <c r="Q772" s="162" t="n"/>
      <c r="R772" s="162">
        <f>IF(ISBLANK(Q772),"введи курс",P772/Q772)</f>
        <v/>
      </c>
      <c r="S772" s="196">
        <f>IF(AND(ISNUMBER(E772),ISNUMBER(Q772)),E772*R772,0)</f>
        <v/>
      </c>
      <c r="T772" s="192">
        <f>$BC772*V$11</f>
        <v/>
      </c>
      <c r="U772" s="76">
        <f>$BC772*W$11</f>
        <v/>
      </c>
      <c r="V772" s="193">
        <f>+SUM(T772:U772)</f>
        <v/>
      </c>
      <c r="W772" s="191" t="n"/>
      <c r="X772" s="170" t="n"/>
      <c r="Y772" s="76">
        <f>ROUND(IF(offer_incoterms="DDP",X772*(S772*(1+AW772)+T772),0),2)</f>
        <v/>
      </c>
      <c r="Z772" s="188" t="n"/>
      <c r="AA772" s="192">
        <f>IFERROR(AB772/E772,0)</f>
        <v/>
      </c>
      <c r="AB772" s="76">
        <f>ROUND(SUM(S772,V772,Y772:Z772,BA772:BB772),2)</f>
        <v/>
      </c>
      <c r="AC772" s="797" t="n"/>
      <c r="AD772" s="192">
        <f t="array" ref="AD772">IFERROR(ROUND((_xlfn.IFS(offer_sale_type="поставка",AB772,offer_sale_type="транзит",S772)*(1+AC772))/E772,2),0)</f>
        <v/>
      </c>
      <c r="AE772" s="76">
        <f>AD772*E772</f>
        <v/>
      </c>
      <c r="AF772" s="193">
        <f t="array" ref="AF772">IFERROR(ROUND(_xlfn.IFS(offer_sale_type="поставка",AB772,offer_sale_type="транзит",S772)*AC772,2),0)</f>
        <v/>
      </c>
      <c r="AG772" s="192">
        <f>$BD772*VLOOKUP($AG$3,$AF$4:$AG$7,2,FALSE)</f>
        <v/>
      </c>
      <c r="AH772" s="76">
        <f>SUM(AE772,AG772,AI772)*rate_forex_risk</f>
        <v/>
      </c>
      <c r="AI772" s="193">
        <f>IF(OR(seller_region="TR",offer_sale_type="экспорт"),0,rate_fin_comm)*SUM(AZ772,AZ772*AW772,T772)</f>
        <v/>
      </c>
      <c r="AJ772" s="118">
        <f>IFERROR(ROUND(SUM(AB772,AF772:AI772)/E772,2),0)</f>
        <v/>
      </c>
      <c r="AK772" s="76">
        <f>AJ772*E772</f>
        <v/>
      </c>
      <c r="AL772" s="174">
        <f>ROUND(IFERROR(AM772*E772,0),2)</f>
        <v/>
      </c>
      <c r="AM772" s="175">
        <f>ROUND(AJ772*(1+IF(offer_incoterms="DDP",IF((TODAY()+offer_turnaround_time)&gt;=helpsheet!$L$17,rate_vatRU_from_26,rate_vatRu_till_25),0)),2)</f>
        <v/>
      </c>
      <c r="AN772" s="192">
        <f>AL772-AK772</f>
        <v/>
      </c>
      <c r="AO772" s="76">
        <f>SUM(AY772,Y772:Z772,T772)*IF(AND(offer_incoterms="DDP",offer_sale_type&lt;&gt;"экспорт"),IF((TODAY()+offer_turnaround_time)&gt;=helpsheet!$L$17,rate_vatRU_from_26,rate_vatRu_till_25),0)</f>
        <v/>
      </c>
      <c r="AP772" s="193">
        <f>AN772-AO772</f>
        <v/>
      </c>
      <c r="AQ772" s="118">
        <f>IF(offer_sale_type="транзит",SUM(AF772:AI772,BA772,BB772),0)</f>
        <v/>
      </c>
      <c r="AR772" s="82">
        <f>HYPERLINK("https://www.alta.ru/tnved/code/")&amp;W772&amp;"/"</f>
        <v/>
      </c>
      <c r="AS772" s="157" t="n"/>
      <c r="AT772" s="162" t="n"/>
      <c r="AU772" s="76">
        <f>IF(ISBLANK(AT772),0,AJ772-AT772)</f>
        <v/>
      </c>
      <c r="AV772" s="157" t="n"/>
      <c r="AW772" s="75">
        <f>_xlfn.IFNA(VLOOKUP(L772,list_vat[],3,FALSE),0)</f>
        <v/>
      </c>
      <c r="AX772" s="76">
        <f>IFERROR(ROUND(S772*(1+AW772)/E772,2),0)</f>
        <v/>
      </c>
      <c r="AY772" s="76">
        <f>E772*AX772</f>
        <v/>
      </c>
      <c r="AZ772" s="192">
        <f>S772*(1+M772)</f>
        <v/>
      </c>
      <c r="BA772" s="76">
        <f>cost_fin_total*$BD772</f>
        <v/>
      </c>
      <c r="BB772" s="193">
        <f>credit_sales_interest*BD772</f>
        <v/>
      </c>
      <c r="BC772" s="102">
        <f>IFERROR(IF($I$13&gt;0,$I772/$I$13,$S772/$S$13),0)</f>
        <v/>
      </c>
      <c r="BD772" s="102">
        <f>IFERROR($S772/$S$13,0)</f>
        <v/>
      </c>
      <c r="BE772" s="413" t="inlineStr">
        <is>
          <t>$</t>
        </is>
      </c>
    </row>
    <row r="773" ht="12" customFormat="1" customHeight="1" s="65">
      <c r="A773" s="43" t="n">
        <v>758</v>
      </c>
      <c r="B773" s="166" t="n"/>
      <c r="C773" s="166" t="n"/>
      <c r="D773" s="166" t="n"/>
      <c r="E773" s="162" t="n"/>
      <c r="F773" s="166" t="n"/>
      <c r="G773" s="162" t="n"/>
      <c r="H773" s="162" t="n"/>
      <c r="I773" s="189">
        <f>E773*G773</f>
        <v/>
      </c>
      <c r="J773" s="195" t="n"/>
      <c r="K773" s="162" t="n"/>
      <c r="L773" s="168" t="n"/>
      <c r="M773" s="75">
        <f>_xlfn.XLOOKUP(L773,list_vat[Страна],list_vat[Ставка НДС %],0,0)</f>
        <v/>
      </c>
      <c r="N773" s="162">
        <f>IFERROR(IF(L773="Китай",K773,K773/(1+M773)),0)</f>
        <v/>
      </c>
      <c r="O773" s="169" t="n"/>
      <c r="P773" s="76">
        <f>N773*(1-O773)</f>
        <v/>
      </c>
      <c r="Q773" s="162" t="n"/>
      <c r="R773" s="162">
        <f>IF(ISBLANK(Q773),"введи курс",P773/Q773)</f>
        <v/>
      </c>
      <c r="S773" s="196">
        <f>IF(AND(ISNUMBER(E773),ISNUMBER(Q773)),E773*R773,0)</f>
        <v/>
      </c>
      <c r="T773" s="192">
        <f>$BC773*V$11</f>
        <v/>
      </c>
      <c r="U773" s="76">
        <f>$BC773*W$11</f>
        <v/>
      </c>
      <c r="V773" s="193">
        <f>+SUM(T773:U773)</f>
        <v/>
      </c>
      <c r="W773" s="191" t="n"/>
      <c r="X773" s="170" t="n"/>
      <c r="Y773" s="76">
        <f>ROUND(IF(offer_incoterms="DDP",X773*(S773*(1+AW773)+T773),0),2)</f>
        <v/>
      </c>
      <c r="Z773" s="188" t="n"/>
      <c r="AA773" s="192">
        <f>IFERROR(AB773/E773,0)</f>
        <v/>
      </c>
      <c r="AB773" s="76">
        <f>ROUND(SUM(S773,V773,Y773:Z773,BA773:BB773),2)</f>
        <v/>
      </c>
      <c r="AC773" s="797" t="n"/>
      <c r="AD773" s="192">
        <f t="array" ref="AD773">IFERROR(ROUND((_xlfn.IFS(offer_sale_type="поставка",AB773,offer_sale_type="транзит",S773)*(1+AC773))/E773,2),0)</f>
        <v/>
      </c>
      <c r="AE773" s="76">
        <f>AD773*E773</f>
        <v/>
      </c>
      <c r="AF773" s="193">
        <f t="array" ref="AF773">IFERROR(ROUND(_xlfn.IFS(offer_sale_type="поставка",AB773,offer_sale_type="транзит",S773)*AC773,2),0)</f>
        <v/>
      </c>
      <c r="AG773" s="192">
        <f>$BD773*VLOOKUP($AG$3,$AF$4:$AG$7,2,FALSE)</f>
        <v/>
      </c>
      <c r="AH773" s="76">
        <f>SUM(AE773,AG773,AI773)*rate_forex_risk</f>
        <v/>
      </c>
      <c r="AI773" s="193">
        <f>IF(OR(seller_region="TR",offer_sale_type="экспорт"),0,rate_fin_comm)*SUM(AZ773,AZ773*AW773,T773)</f>
        <v/>
      </c>
      <c r="AJ773" s="118">
        <f>IFERROR(ROUND(SUM(AB773,AF773:AI773)/E773,2),0)</f>
        <v/>
      </c>
      <c r="AK773" s="76">
        <f>AJ773*E773</f>
        <v/>
      </c>
      <c r="AL773" s="174">
        <f>ROUND(IFERROR(AM773*E773,0),2)</f>
        <v/>
      </c>
      <c r="AM773" s="175">
        <f>ROUND(AJ773*(1+IF(offer_incoterms="DDP",IF((TODAY()+offer_turnaround_time)&gt;=helpsheet!$L$17,rate_vatRU_from_26,rate_vatRu_till_25),0)),2)</f>
        <v/>
      </c>
      <c r="AN773" s="192">
        <f>AL773-AK773</f>
        <v/>
      </c>
      <c r="AO773" s="76">
        <f>SUM(AY773,Y773:Z773,T773)*IF(AND(offer_incoterms="DDP",offer_sale_type&lt;&gt;"экспорт"),IF((TODAY()+offer_turnaround_time)&gt;=helpsheet!$L$17,rate_vatRU_from_26,rate_vatRu_till_25),0)</f>
        <v/>
      </c>
      <c r="AP773" s="193">
        <f>AN773-AO773</f>
        <v/>
      </c>
      <c r="AQ773" s="118">
        <f>IF(offer_sale_type="транзит",SUM(AF773:AI773,BA773,BB773),0)</f>
        <v/>
      </c>
      <c r="AR773" s="82">
        <f>HYPERLINK("https://www.alta.ru/tnved/code/")&amp;W773&amp;"/"</f>
        <v/>
      </c>
      <c r="AS773" s="157" t="n"/>
      <c r="AT773" s="162" t="n"/>
      <c r="AU773" s="76">
        <f>IF(ISBLANK(AT773),0,AJ773-AT773)</f>
        <v/>
      </c>
      <c r="AV773" s="157" t="n"/>
      <c r="AW773" s="75">
        <f>_xlfn.IFNA(VLOOKUP(L773,list_vat[],3,FALSE),0)</f>
        <v/>
      </c>
      <c r="AX773" s="76">
        <f>IFERROR(ROUND(S773*(1+AW773)/E773,2),0)</f>
        <v/>
      </c>
      <c r="AY773" s="76">
        <f>E773*AX773</f>
        <v/>
      </c>
      <c r="AZ773" s="192">
        <f>S773*(1+M773)</f>
        <v/>
      </c>
      <c r="BA773" s="76">
        <f>cost_fin_total*$BD773</f>
        <v/>
      </c>
      <c r="BB773" s="193">
        <f>credit_sales_interest*BD773</f>
        <v/>
      </c>
      <c r="BC773" s="102">
        <f>IFERROR(IF($I$13&gt;0,$I773/$I$13,$S773/$S$13),0)</f>
        <v/>
      </c>
      <c r="BD773" s="102">
        <f>IFERROR($S773/$S$13,0)</f>
        <v/>
      </c>
      <c r="BE773" s="413" t="inlineStr">
        <is>
          <t>$</t>
        </is>
      </c>
    </row>
    <row r="774" ht="12" customFormat="1" customHeight="1" s="65">
      <c r="A774" s="43" t="n">
        <v>759</v>
      </c>
      <c r="B774" s="166" t="n"/>
      <c r="C774" s="166" t="n"/>
      <c r="D774" s="166" t="n"/>
      <c r="E774" s="162" t="n"/>
      <c r="F774" s="166" t="n"/>
      <c r="G774" s="162" t="n"/>
      <c r="H774" s="162" t="n"/>
      <c r="I774" s="189">
        <f>E774*G774</f>
        <v/>
      </c>
      <c r="J774" s="195" t="n"/>
      <c r="K774" s="162" t="n"/>
      <c r="L774" s="168" t="n"/>
      <c r="M774" s="75">
        <f>_xlfn.XLOOKUP(L774,list_vat[Страна],list_vat[Ставка НДС %],0,0)</f>
        <v/>
      </c>
      <c r="N774" s="162">
        <f>IFERROR(IF(L774="Китай",K774,K774/(1+M774)),0)</f>
        <v/>
      </c>
      <c r="O774" s="169" t="n"/>
      <c r="P774" s="76">
        <f>N774*(1-O774)</f>
        <v/>
      </c>
      <c r="Q774" s="162" t="n"/>
      <c r="R774" s="162">
        <f>IF(ISBLANK(Q774),"введи курс",P774/Q774)</f>
        <v/>
      </c>
      <c r="S774" s="196">
        <f>IF(AND(ISNUMBER(E774),ISNUMBER(Q774)),E774*R774,0)</f>
        <v/>
      </c>
      <c r="T774" s="192">
        <f>$BC774*V$11</f>
        <v/>
      </c>
      <c r="U774" s="76">
        <f>$BC774*W$11</f>
        <v/>
      </c>
      <c r="V774" s="193">
        <f>+SUM(T774:U774)</f>
        <v/>
      </c>
      <c r="W774" s="191" t="n"/>
      <c r="X774" s="170" t="n"/>
      <c r="Y774" s="76">
        <f>ROUND(IF(offer_incoterms="DDP",X774*(S774*(1+AW774)+T774),0),2)</f>
        <v/>
      </c>
      <c r="Z774" s="188" t="n"/>
      <c r="AA774" s="192">
        <f>IFERROR(AB774/E774,0)</f>
        <v/>
      </c>
      <c r="AB774" s="76">
        <f>ROUND(SUM(S774,V774,Y774:Z774,BA774:BB774),2)</f>
        <v/>
      </c>
      <c r="AC774" s="797" t="n"/>
      <c r="AD774" s="192">
        <f t="array" ref="AD774">IFERROR(ROUND((_xlfn.IFS(offer_sale_type="поставка",AB774,offer_sale_type="транзит",S774)*(1+AC774))/E774,2),0)</f>
        <v/>
      </c>
      <c r="AE774" s="76">
        <f>AD774*E774</f>
        <v/>
      </c>
      <c r="AF774" s="193">
        <f t="array" ref="AF774">IFERROR(ROUND(_xlfn.IFS(offer_sale_type="поставка",AB774,offer_sale_type="транзит",S774)*AC774,2),0)</f>
        <v/>
      </c>
      <c r="AG774" s="192">
        <f>$BD774*VLOOKUP($AG$3,$AF$4:$AG$7,2,FALSE)</f>
        <v/>
      </c>
      <c r="AH774" s="76">
        <f>SUM(AE774,AG774,AI774)*rate_forex_risk</f>
        <v/>
      </c>
      <c r="AI774" s="193">
        <f>IF(OR(seller_region="TR",offer_sale_type="экспорт"),0,rate_fin_comm)*SUM(AZ774,AZ774*AW774,T774)</f>
        <v/>
      </c>
      <c r="AJ774" s="118">
        <f>IFERROR(ROUND(SUM(AB774,AF774:AI774)/E774,2),0)</f>
        <v/>
      </c>
      <c r="AK774" s="76">
        <f>AJ774*E774</f>
        <v/>
      </c>
      <c r="AL774" s="174">
        <f>ROUND(IFERROR(AM774*E774,0),2)</f>
        <v/>
      </c>
      <c r="AM774" s="175">
        <f>ROUND(AJ774*(1+IF(offer_incoterms="DDP",IF((TODAY()+offer_turnaround_time)&gt;=helpsheet!$L$17,rate_vatRU_from_26,rate_vatRu_till_25),0)),2)</f>
        <v/>
      </c>
      <c r="AN774" s="192">
        <f>AL774-AK774</f>
        <v/>
      </c>
      <c r="AO774" s="76">
        <f>SUM(AY774,Y774:Z774,T774)*IF(AND(offer_incoterms="DDP",offer_sale_type&lt;&gt;"экспорт"),IF((TODAY()+offer_turnaround_time)&gt;=helpsheet!$L$17,rate_vatRU_from_26,rate_vatRu_till_25),0)</f>
        <v/>
      </c>
      <c r="AP774" s="193">
        <f>AN774-AO774</f>
        <v/>
      </c>
      <c r="AQ774" s="118">
        <f>IF(offer_sale_type="транзит",SUM(AF774:AI774,BA774,BB774),0)</f>
        <v/>
      </c>
      <c r="AR774" s="82">
        <f>HYPERLINK("https://www.alta.ru/tnved/code/")&amp;W774&amp;"/"</f>
        <v/>
      </c>
      <c r="AS774" s="157" t="n"/>
      <c r="AT774" s="162" t="n"/>
      <c r="AU774" s="76">
        <f>IF(ISBLANK(AT774),0,AJ774-AT774)</f>
        <v/>
      </c>
      <c r="AV774" s="157" t="n"/>
      <c r="AW774" s="75">
        <f>_xlfn.IFNA(VLOOKUP(L774,list_vat[],3,FALSE),0)</f>
        <v/>
      </c>
      <c r="AX774" s="76">
        <f>IFERROR(ROUND(S774*(1+AW774)/E774,2),0)</f>
        <v/>
      </c>
      <c r="AY774" s="76">
        <f>E774*AX774</f>
        <v/>
      </c>
      <c r="AZ774" s="192">
        <f>S774*(1+M774)</f>
        <v/>
      </c>
      <c r="BA774" s="76">
        <f>cost_fin_total*$BD774</f>
        <v/>
      </c>
      <c r="BB774" s="193">
        <f>credit_sales_interest*BD774</f>
        <v/>
      </c>
      <c r="BC774" s="102">
        <f>IFERROR(IF($I$13&gt;0,$I774/$I$13,$S774/$S$13),0)</f>
        <v/>
      </c>
      <c r="BD774" s="102">
        <f>IFERROR($S774/$S$13,0)</f>
        <v/>
      </c>
      <c r="BE774" s="413" t="inlineStr">
        <is>
          <t>$</t>
        </is>
      </c>
    </row>
    <row r="775" ht="12" customFormat="1" customHeight="1" s="65">
      <c r="A775" s="43" t="n">
        <v>760</v>
      </c>
      <c r="B775" s="166" t="n"/>
      <c r="C775" s="166" t="n"/>
      <c r="D775" s="166" t="n"/>
      <c r="E775" s="162" t="n"/>
      <c r="F775" s="166" t="n"/>
      <c r="G775" s="162" t="n"/>
      <c r="H775" s="162" t="n"/>
      <c r="I775" s="189">
        <f>E775*G775</f>
        <v/>
      </c>
      <c r="J775" s="195" t="n"/>
      <c r="K775" s="162" t="n"/>
      <c r="L775" s="168" t="n"/>
      <c r="M775" s="75">
        <f>_xlfn.XLOOKUP(L775,list_vat[Страна],list_vat[Ставка НДС %],0,0)</f>
        <v/>
      </c>
      <c r="N775" s="162">
        <f>IFERROR(IF(L775="Китай",K775,K775/(1+M775)),0)</f>
        <v/>
      </c>
      <c r="O775" s="169" t="n"/>
      <c r="P775" s="76">
        <f>N775*(1-O775)</f>
        <v/>
      </c>
      <c r="Q775" s="162" t="n"/>
      <c r="R775" s="162">
        <f>IF(ISBLANK(Q775),"введи курс",P775/Q775)</f>
        <v/>
      </c>
      <c r="S775" s="196">
        <f>IF(AND(ISNUMBER(E775),ISNUMBER(Q775)),E775*R775,0)</f>
        <v/>
      </c>
      <c r="T775" s="192">
        <f>$BC775*V$11</f>
        <v/>
      </c>
      <c r="U775" s="76">
        <f>$BC775*W$11</f>
        <v/>
      </c>
      <c r="V775" s="193">
        <f>+SUM(T775:U775)</f>
        <v/>
      </c>
      <c r="W775" s="191" t="n"/>
      <c r="X775" s="170" t="n"/>
      <c r="Y775" s="76">
        <f>ROUND(IF(offer_incoterms="DDP",X775*(S775*(1+AW775)+T775),0),2)</f>
        <v/>
      </c>
      <c r="Z775" s="188" t="n"/>
      <c r="AA775" s="192">
        <f>IFERROR(AB775/E775,0)</f>
        <v/>
      </c>
      <c r="AB775" s="76">
        <f>ROUND(SUM(S775,V775,Y775:Z775,BA775:BB775),2)</f>
        <v/>
      </c>
      <c r="AC775" s="797" t="n"/>
      <c r="AD775" s="192">
        <f t="array" ref="AD775">IFERROR(ROUND((_xlfn.IFS(offer_sale_type="поставка",AB775,offer_sale_type="транзит",S775)*(1+AC775))/E775,2),0)</f>
        <v/>
      </c>
      <c r="AE775" s="76">
        <f>AD775*E775</f>
        <v/>
      </c>
      <c r="AF775" s="193">
        <f t="array" ref="AF775">IFERROR(ROUND(_xlfn.IFS(offer_sale_type="поставка",AB775,offer_sale_type="транзит",S775)*AC775,2),0)</f>
        <v/>
      </c>
      <c r="AG775" s="192">
        <f>$BD775*VLOOKUP($AG$3,$AF$4:$AG$7,2,FALSE)</f>
        <v/>
      </c>
      <c r="AH775" s="76">
        <f>SUM(AE775,AG775,AI775)*rate_forex_risk</f>
        <v/>
      </c>
      <c r="AI775" s="193">
        <f>IF(OR(seller_region="TR",offer_sale_type="экспорт"),0,rate_fin_comm)*SUM(AZ775,AZ775*AW775,T775)</f>
        <v/>
      </c>
      <c r="AJ775" s="118">
        <f>IFERROR(ROUND(SUM(AB775,AF775:AI775)/E775,2),0)</f>
        <v/>
      </c>
      <c r="AK775" s="76">
        <f>AJ775*E775</f>
        <v/>
      </c>
      <c r="AL775" s="174">
        <f>ROUND(IFERROR(AM775*E775,0),2)</f>
        <v/>
      </c>
      <c r="AM775" s="175">
        <f>ROUND(AJ775*(1+IF(offer_incoterms="DDP",IF((TODAY()+offer_turnaround_time)&gt;=helpsheet!$L$17,rate_vatRU_from_26,rate_vatRu_till_25),0)),2)</f>
        <v/>
      </c>
      <c r="AN775" s="192">
        <f>AL775-AK775</f>
        <v/>
      </c>
      <c r="AO775" s="76">
        <f>SUM(AY775,Y775:Z775,T775)*IF(AND(offer_incoterms="DDP",offer_sale_type&lt;&gt;"экспорт"),IF((TODAY()+offer_turnaround_time)&gt;=helpsheet!$L$17,rate_vatRU_from_26,rate_vatRu_till_25),0)</f>
        <v/>
      </c>
      <c r="AP775" s="193">
        <f>AN775-AO775</f>
        <v/>
      </c>
      <c r="AQ775" s="118">
        <f>IF(offer_sale_type="транзит",SUM(AF775:AI775,BA775,BB775),0)</f>
        <v/>
      </c>
      <c r="AR775" s="82">
        <f>HYPERLINK("https://www.alta.ru/tnved/code/")&amp;W775&amp;"/"</f>
        <v/>
      </c>
      <c r="AS775" s="157" t="n"/>
      <c r="AT775" s="162" t="n"/>
      <c r="AU775" s="76">
        <f>IF(ISBLANK(AT775),0,AJ775-AT775)</f>
        <v/>
      </c>
      <c r="AV775" s="157" t="n"/>
      <c r="AW775" s="75">
        <f>_xlfn.IFNA(VLOOKUP(L775,list_vat[],3,FALSE),0)</f>
        <v/>
      </c>
      <c r="AX775" s="76">
        <f>IFERROR(ROUND(S775*(1+AW775)/E775,2),0)</f>
        <v/>
      </c>
      <c r="AY775" s="76">
        <f>E775*AX775</f>
        <v/>
      </c>
      <c r="AZ775" s="192">
        <f>S775*(1+M775)</f>
        <v/>
      </c>
      <c r="BA775" s="76">
        <f>cost_fin_total*$BD775</f>
        <v/>
      </c>
      <c r="BB775" s="193">
        <f>credit_sales_interest*BD775</f>
        <v/>
      </c>
      <c r="BC775" s="102">
        <f>IFERROR(IF($I$13&gt;0,$I775/$I$13,$S775/$S$13),0)</f>
        <v/>
      </c>
      <c r="BD775" s="102">
        <f>IFERROR($S775/$S$13,0)</f>
        <v/>
      </c>
      <c r="BE775" s="413" t="inlineStr">
        <is>
          <t>$</t>
        </is>
      </c>
    </row>
    <row r="776" ht="12" customFormat="1" customHeight="1" s="65">
      <c r="A776" s="43" t="n">
        <v>761</v>
      </c>
      <c r="B776" s="166" t="n"/>
      <c r="C776" s="166" t="n"/>
      <c r="D776" s="166" t="n"/>
      <c r="E776" s="162" t="n"/>
      <c r="F776" s="166" t="n"/>
      <c r="G776" s="162" t="n"/>
      <c r="H776" s="162" t="n"/>
      <c r="I776" s="189">
        <f>E776*G776</f>
        <v/>
      </c>
      <c r="J776" s="195" t="n"/>
      <c r="K776" s="162" t="n"/>
      <c r="L776" s="168" t="n"/>
      <c r="M776" s="75">
        <f>_xlfn.XLOOKUP(L776,list_vat[Страна],list_vat[Ставка НДС %],0,0)</f>
        <v/>
      </c>
      <c r="N776" s="162">
        <f>IFERROR(IF(L776="Китай",K776,K776/(1+M776)),0)</f>
        <v/>
      </c>
      <c r="O776" s="169" t="n"/>
      <c r="P776" s="76">
        <f>N776*(1-O776)</f>
        <v/>
      </c>
      <c r="Q776" s="162" t="n"/>
      <c r="R776" s="162">
        <f>IF(ISBLANK(Q776),"введи курс",P776/Q776)</f>
        <v/>
      </c>
      <c r="S776" s="196">
        <f>IF(AND(ISNUMBER(E776),ISNUMBER(Q776)),E776*R776,0)</f>
        <v/>
      </c>
      <c r="T776" s="192">
        <f>$BC776*V$11</f>
        <v/>
      </c>
      <c r="U776" s="76">
        <f>$BC776*W$11</f>
        <v/>
      </c>
      <c r="V776" s="193">
        <f>+SUM(T776:U776)</f>
        <v/>
      </c>
      <c r="W776" s="191" t="n"/>
      <c r="X776" s="170" t="n"/>
      <c r="Y776" s="76">
        <f>ROUND(IF(offer_incoterms="DDP",X776*(S776*(1+AW776)+T776),0),2)</f>
        <v/>
      </c>
      <c r="Z776" s="188" t="n"/>
      <c r="AA776" s="192">
        <f>IFERROR(AB776/E776,0)</f>
        <v/>
      </c>
      <c r="AB776" s="76">
        <f>ROUND(SUM(S776,V776,Y776:Z776,BA776:BB776),2)</f>
        <v/>
      </c>
      <c r="AC776" s="797" t="n"/>
      <c r="AD776" s="192">
        <f t="array" ref="AD776">IFERROR(ROUND((_xlfn.IFS(offer_sale_type="поставка",AB776,offer_sale_type="транзит",S776)*(1+AC776))/E776,2),0)</f>
        <v/>
      </c>
      <c r="AE776" s="76">
        <f>AD776*E776</f>
        <v/>
      </c>
      <c r="AF776" s="193">
        <f t="array" ref="AF776">IFERROR(ROUND(_xlfn.IFS(offer_sale_type="поставка",AB776,offer_sale_type="транзит",S776)*AC776,2),0)</f>
        <v/>
      </c>
      <c r="AG776" s="192">
        <f>$BD776*VLOOKUP($AG$3,$AF$4:$AG$7,2,FALSE)</f>
        <v/>
      </c>
      <c r="AH776" s="76">
        <f>SUM(AE776,AG776,AI776)*rate_forex_risk</f>
        <v/>
      </c>
      <c r="AI776" s="193">
        <f>IF(OR(seller_region="TR",offer_sale_type="экспорт"),0,rate_fin_comm)*SUM(AZ776,AZ776*AW776,T776)</f>
        <v/>
      </c>
      <c r="AJ776" s="118">
        <f>IFERROR(ROUND(SUM(AB776,AF776:AI776)/E776,2),0)</f>
        <v/>
      </c>
      <c r="AK776" s="76">
        <f>AJ776*E776</f>
        <v/>
      </c>
      <c r="AL776" s="174">
        <f>ROUND(IFERROR(AM776*E776,0),2)</f>
        <v/>
      </c>
      <c r="AM776" s="175">
        <f>ROUND(AJ776*(1+IF(offer_incoterms="DDP",IF((TODAY()+offer_turnaround_time)&gt;=helpsheet!$L$17,rate_vatRU_from_26,rate_vatRu_till_25),0)),2)</f>
        <v/>
      </c>
      <c r="AN776" s="192">
        <f>AL776-AK776</f>
        <v/>
      </c>
      <c r="AO776" s="76">
        <f>SUM(AY776,Y776:Z776,T776)*IF(AND(offer_incoterms="DDP",offer_sale_type&lt;&gt;"экспорт"),IF((TODAY()+offer_turnaround_time)&gt;=helpsheet!$L$17,rate_vatRU_from_26,rate_vatRu_till_25),0)</f>
        <v/>
      </c>
      <c r="AP776" s="193">
        <f>AN776-AO776</f>
        <v/>
      </c>
      <c r="AQ776" s="118">
        <f>IF(offer_sale_type="транзит",SUM(AF776:AI776,BA776,BB776),0)</f>
        <v/>
      </c>
      <c r="AR776" s="82">
        <f>HYPERLINK("https://www.alta.ru/tnved/code/")&amp;W776&amp;"/"</f>
        <v/>
      </c>
      <c r="AS776" s="157" t="n"/>
      <c r="AT776" s="162" t="n"/>
      <c r="AU776" s="76">
        <f>IF(ISBLANK(AT776),0,AJ776-AT776)</f>
        <v/>
      </c>
      <c r="AV776" s="157" t="n"/>
      <c r="AW776" s="75">
        <f>_xlfn.IFNA(VLOOKUP(L776,list_vat[],3,FALSE),0)</f>
        <v/>
      </c>
      <c r="AX776" s="76">
        <f>IFERROR(ROUND(S776*(1+AW776)/E776,2),0)</f>
        <v/>
      </c>
      <c r="AY776" s="76">
        <f>E776*AX776</f>
        <v/>
      </c>
      <c r="AZ776" s="192">
        <f>S776*(1+M776)</f>
        <v/>
      </c>
      <c r="BA776" s="76">
        <f>cost_fin_total*$BD776</f>
        <v/>
      </c>
      <c r="BB776" s="193">
        <f>credit_sales_interest*BD776</f>
        <v/>
      </c>
      <c r="BC776" s="102">
        <f>IFERROR(IF($I$13&gt;0,$I776/$I$13,$S776/$S$13),0)</f>
        <v/>
      </c>
      <c r="BD776" s="102">
        <f>IFERROR($S776/$S$13,0)</f>
        <v/>
      </c>
      <c r="BE776" s="413" t="inlineStr">
        <is>
          <t>$</t>
        </is>
      </c>
    </row>
    <row r="777" ht="12" customFormat="1" customHeight="1" s="65">
      <c r="A777" s="43" t="n">
        <v>762</v>
      </c>
      <c r="B777" s="166" t="n"/>
      <c r="C777" s="166" t="n"/>
      <c r="D777" s="166" t="n"/>
      <c r="E777" s="162" t="n"/>
      <c r="F777" s="166" t="n"/>
      <c r="G777" s="162" t="n"/>
      <c r="H777" s="162" t="n"/>
      <c r="I777" s="189">
        <f>E777*G777</f>
        <v/>
      </c>
      <c r="J777" s="195" t="n"/>
      <c r="K777" s="162" t="n"/>
      <c r="L777" s="168" t="n"/>
      <c r="M777" s="75">
        <f>_xlfn.XLOOKUP(L777,list_vat[Страна],list_vat[Ставка НДС %],0,0)</f>
        <v/>
      </c>
      <c r="N777" s="162">
        <f>IFERROR(IF(L777="Китай",K777,K777/(1+M777)),0)</f>
        <v/>
      </c>
      <c r="O777" s="169" t="n"/>
      <c r="P777" s="76">
        <f>N777*(1-O777)</f>
        <v/>
      </c>
      <c r="Q777" s="162" t="n"/>
      <c r="R777" s="162">
        <f>IF(ISBLANK(Q777),"введи курс",P777/Q777)</f>
        <v/>
      </c>
      <c r="S777" s="196">
        <f>IF(AND(ISNUMBER(E777),ISNUMBER(Q777)),E777*R777,0)</f>
        <v/>
      </c>
      <c r="T777" s="192">
        <f>$BC777*V$11</f>
        <v/>
      </c>
      <c r="U777" s="76">
        <f>$BC777*W$11</f>
        <v/>
      </c>
      <c r="V777" s="193">
        <f>+SUM(T777:U777)</f>
        <v/>
      </c>
      <c r="W777" s="191" t="n"/>
      <c r="X777" s="170" t="n"/>
      <c r="Y777" s="76">
        <f>ROUND(IF(offer_incoterms="DDP",X777*(S777*(1+AW777)+T777),0),2)</f>
        <v/>
      </c>
      <c r="Z777" s="188" t="n"/>
      <c r="AA777" s="192">
        <f>IFERROR(AB777/E777,0)</f>
        <v/>
      </c>
      <c r="AB777" s="76">
        <f>ROUND(SUM(S777,V777,Y777:Z777,BA777:BB777),2)</f>
        <v/>
      </c>
      <c r="AC777" s="797" t="n"/>
      <c r="AD777" s="192">
        <f t="array" ref="AD777">IFERROR(ROUND((_xlfn.IFS(offer_sale_type="поставка",AB777,offer_sale_type="транзит",S777)*(1+AC777))/E777,2),0)</f>
        <v/>
      </c>
      <c r="AE777" s="76">
        <f>AD777*E777</f>
        <v/>
      </c>
      <c r="AF777" s="193">
        <f t="array" ref="AF777">IFERROR(ROUND(_xlfn.IFS(offer_sale_type="поставка",AB777,offer_sale_type="транзит",S777)*AC777,2),0)</f>
        <v/>
      </c>
      <c r="AG777" s="192">
        <f>$BD777*VLOOKUP($AG$3,$AF$4:$AG$7,2,FALSE)</f>
        <v/>
      </c>
      <c r="AH777" s="76">
        <f>SUM(AE777,AG777,AI777)*rate_forex_risk</f>
        <v/>
      </c>
      <c r="AI777" s="193">
        <f>IF(OR(seller_region="TR",offer_sale_type="экспорт"),0,rate_fin_comm)*SUM(AZ777,AZ777*AW777,T777)</f>
        <v/>
      </c>
      <c r="AJ777" s="118">
        <f>IFERROR(ROUND(SUM(AB777,AF777:AI777)/E777,2),0)</f>
        <v/>
      </c>
      <c r="AK777" s="76">
        <f>AJ777*E777</f>
        <v/>
      </c>
      <c r="AL777" s="174">
        <f>ROUND(IFERROR(AM777*E777,0),2)</f>
        <v/>
      </c>
      <c r="AM777" s="175">
        <f>ROUND(AJ777*(1+IF(offer_incoterms="DDP",IF((TODAY()+offer_turnaround_time)&gt;=helpsheet!$L$17,rate_vatRU_from_26,rate_vatRu_till_25),0)),2)</f>
        <v/>
      </c>
      <c r="AN777" s="192">
        <f>AL777-AK777</f>
        <v/>
      </c>
      <c r="AO777" s="76">
        <f>SUM(AY777,Y777:Z777,T777)*IF(AND(offer_incoterms="DDP",offer_sale_type&lt;&gt;"экспорт"),IF((TODAY()+offer_turnaround_time)&gt;=helpsheet!$L$17,rate_vatRU_from_26,rate_vatRu_till_25),0)</f>
        <v/>
      </c>
      <c r="AP777" s="193">
        <f>AN777-AO777</f>
        <v/>
      </c>
      <c r="AQ777" s="118">
        <f>IF(offer_sale_type="транзит",SUM(AF777:AI777,BA777,BB777),0)</f>
        <v/>
      </c>
      <c r="AR777" s="82">
        <f>HYPERLINK("https://www.alta.ru/tnved/code/")&amp;W777&amp;"/"</f>
        <v/>
      </c>
      <c r="AS777" s="157" t="n"/>
      <c r="AT777" s="162" t="n"/>
      <c r="AU777" s="76">
        <f>IF(ISBLANK(AT777),0,AJ777-AT777)</f>
        <v/>
      </c>
      <c r="AV777" s="157" t="n"/>
      <c r="AW777" s="75">
        <f>_xlfn.IFNA(VLOOKUP(L777,list_vat[],3,FALSE),0)</f>
        <v/>
      </c>
      <c r="AX777" s="76">
        <f>IFERROR(ROUND(S777*(1+AW777)/E777,2),0)</f>
        <v/>
      </c>
      <c r="AY777" s="76">
        <f>E777*AX777</f>
        <v/>
      </c>
      <c r="AZ777" s="192">
        <f>S777*(1+M777)</f>
        <v/>
      </c>
      <c r="BA777" s="76">
        <f>cost_fin_total*$BD777</f>
        <v/>
      </c>
      <c r="BB777" s="193">
        <f>credit_sales_interest*BD777</f>
        <v/>
      </c>
      <c r="BC777" s="102">
        <f>IFERROR(IF($I$13&gt;0,$I777/$I$13,$S777/$S$13),0)</f>
        <v/>
      </c>
      <c r="BD777" s="102">
        <f>IFERROR($S777/$S$13,0)</f>
        <v/>
      </c>
      <c r="BE777" s="413" t="inlineStr">
        <is>
          <t>$</t>
        </is>
      </c>
    </row>
    <row r="778" ht="12" customFormat="1" customHeight="1" s="65">
      <c r="A778" s="43" t="n">
        <v>763</v>
      </c>
      <c r="B778" s="166" t="n"/>
      <c r="C778" s="166" t="n"/>
      <c r="D778" s="166" t="n"/>
      <c r="E778" s="162" t="n"/>
      <c r="F778" s="166" t="n"/>
      <c r="G778" s="162" t="n"/>
      <c r="H778" s="162" t="n"/>
      <c r="I778" s="189">
        <f>E778*G778</f>
        <v/>
      </c>
      <c r="J778" s="195" t="n"/>
      <c r="K778" s="162" t="n"/>
      <c r="L778" s="168" t="n"/>
      <c r="M778" s="75">
        <f>_xlfn.XLOOKUP(L778,list_vat[Страна],list_vat[Ставка НДС %],0,0)</f>
        <v/>
      </c>
      <c r="N778" s="162">
        <f>IFERROR(IF(L778="Китай",K778,K778/(1+M778)),0)</f>
        <v/>
      </c>
      <c r="O778" s="169" t="n"/>
      <c r="P778" s="76">
        <f>N778*(1-O778)</f>
        <v/>
      </c>
      <c r="Q778" s="162" t="n"/>
      <c r="R778" s="162">
        <f>IF(ISBLANK(Q778),"введи курс",P778/Q778)</f>
        <v/>
      </c>
      <c r="S778" s="196">
        <f>IF(AND(ISNUMBER(E778),ISNUMBER(Q778)),E778*R778,0)</f>
        <v/>
      </c>
      <c r="T778" s="192">
        <f>$BC778*V$11</f>
        <v/>
      </c>
      <c r="U778" s="76">
        <f>$BC778*W$11</f>
        <v/>
      </c>
      <c r="V778" s="193">
        <f>+SUM(T778:U778)</f>
        <v/>
      </c>
      <c r="W778" s="191" t="n"/>
      <c r="X778" s="170" t="n"/>
      <c r="Y778" s="76">
        <f>ROUND(IF(offer_incoterms="DDP",X778*(S778*(1+AW778)+T778),0),2)</f>
        <v/>
      </c>
      <c r="Z778" s="188" t="n"/>
      <c r="AA778" s="192">
        <f>IFERROR(AB778/E778,0)</f>
        <v/>
      </c>
      <c r="AB778" s="76">
        <f>ROUND(SUM(S778,V778,Y778:Z778,BA778:BB778),2)</f>
        <v/>
      </c>
      <c r="AC778" s="797" t="n"/>
      <c r="AD778" s="192">
        <f t="array" ref="AD778">IFERROR(ROUND((_xlfn.IFS(offer_sale_type="поставка",AB778,offer_sale_type="транзит",S778)*(1+AC778))/E778,2),0)</f>
        <v/>
      </c>
      <c r="AE778" s="76">
        <f>AD778*E778</f>
        <v/>
      </c>
      <c r="AF778" s="193">
        <f t="array" ref="AF778">IFERROR(ROUND(_xlfn.IFS(offer_sale_type="поставка",AB778,offer_sale_type="транзит",S778)*AC778,2),0)</f>
        <v/>
      </c>
      <c r="AG778" s="192">
        <f>$BD778*VLOOKUP($AG$3,$AF$4:$AG$7,2,FALSE)</f>
        <v/>
      </c>
      <c r="AH778" s="76">
        <f>SUM(AE778,AG778,AI778)*rate_forex_risk</f>
        <v/>
      </c>
      <c r="AI778" s="193">
        <f>IF(OR(seller_region="TR",offer_sale_type="экспорт"),0,rate_fin_comm)*SUM(AZ778,AZ778*AW778,T778)</f>
        <v/>
      </c>
      <c r="AJ778" s="118">
        <f>IFERROR(ROUND(SUM(AB778,AF778:AI778)/E778,2),0)</f>
        <v/>
      </c>
      <c r="AK778" s="76">
        <f>AJ778*E778</f>
        <v/>
      </c>
      <c r="AL778" s="174">
        <f>ROUND(IFERROR(AM778*E778,0),2)</f>
        <v/>
      </c>
      <c r="AM778" s="175">
        <f>ROUND(AJ778*(1+IF(offer_incoterms="DDP",IF((TODAY()+offer_turnaround_time)&gt;=helpsheet!$L$17,rate_vatRU_from_26,rate_vatRu_till_25),0)),2)</f>
        <v/>
      </c>
      <c r="AN778" s="192">
        <f>AL778-AK778</f>
        <v/>
      </c>
      <c r="AO778" s="76">
        <f>SUM(AY778,Y778:Z778,T778)*IF(AND(offer_incoterms="DDP",offer_sale_type&lt;&gt;"экспорт"),IF((TODAY()+offer_turnaround_time)&gt;=helpsheet!$L$17,rate_vatRU_from_26,rate_vatRu_till_25),0)</f>
        <v/>
      </c>
      <c r="AP778" s="193">
        <f>AN778-AO778</f>
        <v/>
      </c>
      <c r="AQ778" s="118">
        <f>IF(offer_sale_type="транзит",SUM(AF778:AI778,BA778,BB778),0)</f>
        <v/>
      </c>
      <c r="AR778" s="82">
        <f>HYPERLINK("https://www.alta.ru/tnved/code/")&amp;W778&amp;"/"</f>
        <v/>
      </c>
      <c r="AS778" s="157" t="n"/>
      <c r="AT778" s="162" t="n"/>
      <c r="AU778" s="76">
        <f>IF(ISBLANK(AT778),0,AJ778-AT778)</f>
        <v/>
      </c>
      <c r="AV778" s="157" t="n"/>
      <c r="AW778" s="75">
        <f>_xlfn.IFNA(VLOOKUP(L778,list_vat[],3,FALSE),0)</f>
        <v/>
      </c>
      <c r="AX778" s="76">
        <f>IFERROR(ROUND(S778*(1+AW778)/E778,2),0)</f>
        <v/>
      </c>
      <c r="AY778" s="76">
        <f>E778*AX778</f>
        <v/>
      </c>
      <c r="AZ778" s="192">
        <f>S778*(1+M778)</f>
        <v/>
      </c>
      <c r="BA778" s="76">
        <f>cost_fin_total*$BD778</f>
        <v/>
      </c>
      <c r="BB778" s="193">
        <f>credit_sales_interest*BD778</f>
        <v/>
      </c>
      <c r="BC778" s="102">
        <f>IFERROR(IF($I$13&gt;0,$I778/$I$13,$S778/$S$13),0)</f>
        <v/>
      </c>
      <c r="BD778" s="102">
        <f>IFERROR($S778/$S$13,0)</f>
        <v/>
      </c>
      <c r="BE778" s="413" t="inlineStr">
        <is>
          <t>$</t>
        </is>
      </c>
    </row>
    <row r="779" ht="12" customFormat="1" customHeight="1" s="65">
      <c r="A779" s="43" t="n">
        <v>764</v>
      </c>
      <c r="B779" s="166" t="n"/>
      <c r="C779" s="166" t="n"/>
      <c r="D779" s="166" t="n"/>
      <c r="E779" s="162" t="n"/>
      <c r="F779" s="166" t="n"/>
      <c r="G779" s="162" t="n"/>
      <c r="H779" s="162" t="n"/>
      <c r="I779" s="189">
        <f>E779*G779</f>
        <v/>
      </c>
      <c r="J779" s="195" t="n"/>
      <c r="K779" s="162" t="n"/>
      <c r="L779" s="168" t="n"/>
      <c r="M779" s="75">
        <f>_xlfn.XLOOKUP(L779,list_vat[Страна],list_vat[Ставка НДС %],0,0)</f>
        <v/>
      </c>
      <c r="N779" s="162">
        <f>IFERROR(IF(L779="Китай",K779,K779/(1+M779)),0)</f>
        <v/>
      </c>
      <c r="O779" s="169" t="n"/>
      <c r="P779" s="76">
        <f>N779*(1-O779)</f>
        <v/>
      </c>
      <c r="Q779" s="162" t="n"/>
      <c r="R779" s="162">
        <f>IF(ISBLANK(Q779),"введи курс",P779/Q779)</f>
        <v/>
      </c>
      <c r="S779" s="196">
        <f>IF(AND(ISNUMBER(E779),ISNUMBER(Q779)),E779*R779,0)</f>
        <v/>
      </c>
      <c r="T779" s="192">
        <f>$BC779*V$11</f>
        <v/>
      </c>
      <c r="U779" s="76">
        <f>$BC779*W$11</f>
        <v/>
      </c>
      <c r="V779" s="193">
        <f>+SUM(T779:U779)</f>
        <v/>
      </c>
      <c r="W779" s="191" t="n"/>
      <c r="X779" s="170" t="n"/>
      <c r="Y779" s="76">
        <f>ROUND(IF(offer_incoterms="DDP",X779*(S779*(1+AW779)+T779),0),2)</f>
        <v/>
      </c>
      <c r="Z779" s="188" t="n"/>
      <c r="AA779" s="192">
        <f>IFERROR(AB779/E779,0)</f>
        <v/>
      </c>
      <c r="AB779" s="76">
        <f>ROUND(SUM(S779,V779,Y779:Z779,BA779:BB779),2)</f>
        <v/>
      </c>
      <c r="AC779" s="797" t="n"/>
      <c r="AD779" s="192">
        <f t="array" ref="AD779">IFERROR(ROUND((_xlfn.IFS(offer_sale_type="поставка",AB779,offer_sale_type="транзит",S779)*(1+AC779))/E779,2),0)</f>
        <v/>
      </c>
      <c r="AE779" s="76">
        <f>AD779*E779</f>
        <v/>
      </c>
      <c r="AF779" s="193">
        <f t="array" ref="AF779">IFERROR(ROUND(_xlfn.IFS(offer_sale_type="поставка",AB779,offer_sale_type="транзит",S779)*AC779,2),0)</f>
        <v/>
      </c>
      <c r="AG779" s="192">
        <f>$BD779*VLOOKUP($AG$3,$AF$4:$AG$7,2,FALSE)</f>
        <v/>
      </c>
      <c r="AH779" s="76">
        <f>SUM(AE779,AG779,AI779)*rate_forex_risk</f>
        <v/>
      </c>
      <c r="AI779" s="193">
        <f>IF(OR(seller_region="TR",offer_sale_type="экспорт"),0,rate_fin_comm)*SUM(AZ779,AZ779*AW779,T779)</f>
        <v/>
      </c>
      <c r="AJ779" s="118">
        <f>IFERROR(ROUND(SUM(AB779,AF779:AI779)/E779,2),0)</f>
        <v/>
      </c>
      <c r="AK779" s="76">
        <f>AJ779*E779</f>
        <v/>
      </c>
      <c r="AL779" s="174">
        <f>ROUND(IFERROR(AM779*E779,0),2)</f>
        <v/>
      </c>
      <c r="AM779" s="175">
        <f>ROUND(AJ779*(1+IF(offer_incoterms="DDP",IF((TODAY()+offer_turnaround_time)&gt;=helpsheet!$L$17,rate_vatRU_from_26,rate_vatRu_till_25),0)),2)</f>
        <v/>
      </c>
      <c r="AN779" s="192">
        <f>AL779-AK779</f>
        <v/>
      </c>
      <c r="AO779" s="76">
        <f>SUM(AY779,Y779:Z779,T779)*IF(AND(offer_incoterms="DDP",offer_sale_type&lt;&gt;"экспорт"),IF((TODAY()+offer_turnaround_time)&gt;=helpsheet!$L$17,rate_vatRU_from_26,rate_vatRu_till_25),0)</f>
        <v/>
      </c>
      <c r="AP779" s="193">
        <f>AN779-AO779</f>
        <v/>
      </c>
      <c r="AQ779" s="118">
        <f>IF(offer_sale_type="транзит",SUM(AF779:AI779,BA779,BB779),0)</f>
        <v/>
      </c>
      <c r="AR779" s="82">
        <f>HYPERLINK("https://www.alta.ru/tnved/code/")&amp;W779&amp;"/"</f>
        <v/>
      </c>
      <c r="AS779" s="157" t="n"/>
      <c r="AT779" s="162" t="n"/>
      <c r="AU779" s="76">
        <f>IF(ISBLANK(AT779),0,AJ779-AT779)</f>
        <v/>
      </c>
      <c r="AV779" s="157" t="n"/>
      <c r="AW779" s="75">
        <f>_xlfn.IFNA(VLOOKUP(L779,list_vat[],3,FALSE),0)</f>
        <v/>
      </c>
      <c r="AX779" s="76">
        <f>IFERROR(ROUND(S779*(1+AW779)/E779,2),0)</f>
        <v/>
      </c>
      <c r="AY779" s="76">
        <f>E779*AX779</f>
        <v/>
      </c>
      <c r="AZ779" s="192">
        <f>S779*(1+M779)</f>
        <v/>
      </c>
      <c r="BA779" s="76">
        <f>cost_fin_total*$BD779</f>
        <v/>
      </c>
      <c r="BB779" s="193">
        <f>credit_sales_interest*BD779</f>
        <v/>
      </c>
      <c r="BC779" s="102">
        <f>IFERROR(IF($I$13&gt;0,$I779/$I$13,$S779/$S$13),0)</f>
        <v/>
      </c>
      <c r="BD779" s="102">
        <f>IFERROR($S779/$S$13,0)</f>
        <v/>
      </c>
      <c r="BE779" s="413" t="inlineStr">
        <is>
          <t>$</t>
        </is>
      </c>
    </row>
    <row r="780" ht="12" customFormat="1" customHeight="1" s="65">
      <c r="A780" s="43" t="n">
        <v>765</v>
      </c>
      <c r="B780" s="166" t="n"/>
      <c r="C780" s="166" t="n"/>
      <c r="D780" s="166" t="n"/>
      <c r="E780" s="162" t="n"/>
      <c r="F780" s="166" t="n"/>
      <c r="G780" s="162" t="n"/>
      <c r="H780" s="162" t="n"/>
      <c r="I780" s="189">
        <f>E780*G780</f>
        <v/>
      </c>
      <c r="J780" s="195" t="n"/>
      <c r="K780" s="162" t="n"/>
      <c r="L780" s="168" t="n"/>
      <c r="M780" s="75">
        <f>_xlfn.XLOOKUP(L780,list_vat[Страна],list_vat[Ставка НДС %],0,0)</f>
        <v/>
      </c>
      <c r="N780" s="162">
        <f>IFERROR(IF(L780="Китай",K780,K780/(1+M780)),0)</f>
        <v/>
      </c>
      <c r="O780" s="169" t="n"/>
      <c r="P780" s="76">
        <f>N780*(1-O780)</f>
        <v/>
      </c>
      <c r="Q780" s="162" t="n"/>
      <c r="R780" s="162">
        <f>IF(ISBLANK(Q780),"введи курс",P780/Q780)</f>
        <v/>
      </c>
      <c r="S780" s="196">
        <f>IF(AND(ISNUMBER(E780),ISNUMBER(Q780)),E780*R780,0)</f>
        <v/>
      </c>
      <c r="T780" s="192">
        <f>$BC780*V$11</f>
        <v/>
      </c>
      <c r="U780" s="76">
        <f>$BC780*W$11</f>
        <v/>
      </c>
      <c r="V780" s="193">
        <f>+SUM(T780:U780)</f>
        <v/>
      </c>
      <c r="W780" s="191" t="n"/>
      <c r="X780" s="170" t="n"/>
      <c r="Y780" s="76">
        <f>ROUND(IF(offer_incoterms="DDP",X780*(S780*(1+AW780)+T780),0),2)</f>
        <v/>
      </c>
      <c r="Z780" s="188" t="n"/>
      <c r="AA780" s="192">
        <f>IFERROR(AB780/E780,0)</f>
        <v/>
      </c>
      <c r="AB780" s="76">
        <f>ROUND(SUM(S780,V780,Y780:Z780,BA780:BB780),2)</f>
        <v/>
      </c>
      <c r="AC780" s="797" t="n"/>
      <c r="AD780" s="192">
        <f t="array" ref="AD780">IFERROR(ROUND((_xlfn.IFS(offer_sale_type="поставка",AB780,offer_sale_type="транзит",S780)*(1+AC780))/E780,2),0)</f>
        <v/>
      </c>
      <c r="AE780" s="76">
        <f>AD780*E780</f>
        <v/>
      </c>
      <c r="AF780" s="193">
        <f t="array" ref="AF780">IFERROR(ROUND(_xlfn.IFS(offer_sale_type="поставка",AB780,offer_sale_type="транзит",S780)*AC780,2),0)</f>
        <v/>
      </c>
      <c r="AG780" s="192">
        <f>$BD780*VLOOKUP($AG$3,$AF$4:$AG$7,2,FALSE)</f>
        <v/>
      </c>
      <c r="AH780" s="76">
        <f>SUM(AE780,AG780,AI780)*rate_forex_risk</f>
        <v/>
      </c>
      <c r="AI780" s="193">
        <f>IF(OR(seller_region="TR",offer_sale_type="экспорт"),0,rate_fin_comm)*SUM(AZ780,AZ780*AW780,T780)</f>
        <v/>
      </c>
      <c r="AJ780" s="118">
        <f>IFERROR(ROUND(SUM(AB780,AF780:AI780)/E780,2),0)</f>
        <v/>
      </c>
      <c r="AK780" s="76">
        <f>AJ780*E780</f>
        <v/>
      </c>
      <c r="AL780" s="174">
        <f>ROUND(IFERROR(AM780*E780,0),2)</f>
        <v/>
      </c>
      <c r="AM780" s="175">
        <f>ROUND(AJ780*(1+IF(offer_incoterms="DDP",IF((TODAY()+offer_turnaround_time)&gt;=helpsheet!$L$17,rate_vatRU_from_26,rate_vatRu_till_25),0)),2)</f>
        <v/>
      </c>
      <c r="AN780" s="192">
        <f>AL780-AK780</f>
        <v/>
      </c>
      <c r="AO780" s="76">
        <f>SUM(AY780,Y780:Z780,T780)*IF(AND(offer_incoterms="DDP",offer_sale_type&lt;&gt;"экспорт"),IF((TODAY()+offer_turnaround_time)&gt;=helpsheet!$L$17,rate_vatRU_from_26,rate_vatRu_till_25),0)</f>
        <v/>
      </c>
      <c r="AP780" s="193">
        <f>AN780-AO780</f>
        <v/>
      </c>
      <c r="AQ780" s="118">
        <f>IF(offer_sale_type="транзит",SUM(AF780:AI780,BA780,BB780),0)</f>
        <v/>
      </c>
      <c r="AR780" s="82">
        <f>HYPERLINK("https://www.alta.ru/tnved/code/")&amp;W780&amp;"/"</f>
        <v/>
      </c>
      <c r="AS780" s="157" t="n"/>
      <c r="AT780" s="162" t="n"/>
      <c r="AU780" s="76">
        <f>IF(ISBLANK(AT780),0,AJ780-AT780)</f>
        <v/>
      </c>
      <c r="AV780" s="157" t="n"/>
      <c r="AW780" s="75">
        <f>_xlfn.IFNA(VLOOKUP(L780,list_vat[],3,FALSE),0)</f>
        <v/>
      </c>
      <c r="AX780" s="76">
        <f>IFERROR(ROUND(S780*(1+AW780)/E780,2),0)</f>
        <v/>
      </c>
      <c r="AY780" s="76">
        <f>E780*AX780</f>
        <v/>
      </c>
      <c r="AZ780" s="192">
        <f>S780*(1+M780)</f>
        <v/>
      </c>
      <c r="BA780" s="76">
        <f>cost_fin_total*$BD780</f>
        <v/>
      </c>
      <c r="BB780" s="193">
        <f>credit_sales_interest*BD780</f>
        <v/>
      </c>
      <c r="BC780" s="102">
        <f>IFERROR(IF($I$13&gt;0,$I780/$I$13,$S780/$S$13),0)</f>
        <v/>
      </c>
      <c r="BD780" s="102">
        <f>IFERROR($S780/$S$13,0)</f>
        <v/>
      </c>
      <c r="BE780" s="413" t="inlineStr">
        <is>
          <t>$</t>
        </is>
      </c>
    </row>
    <row r="781" ht="12" customFormat="1" customHeight="1" s="65">
      <c r="A781" s="43" t="n">
        <v>766</v>
      </c>
      <c r="B781" s="166" t="n"/>
      <c r="C781" s="166" t="n"/>
      <c r="D781" s="166" t="n"/>
      <c r="E781" s="162" t="n"/>
      <c r="F781" s="166" t="n"/>
      <c r="G781" s="162" t="n"/>
      <c r="H781" s="162" t="n"/>
      <c r="I781" s="189">
        <f>E781*G781</f>
        <v/>
      </c>
      <c r="J781" s="195" t="n"/>
      <c r="K781" s="162" t="n"/>
      <c r="L781" s="168" t="n"/>
      <c r="M781" s="75">
        <f>_xlfn.XLOOKUP(L781,list_vat[Страна],list_vat[Ставка НДС %],0,0)</f>
        <v/>
      </c>
      <c r="N781" s="162">
        <f>IFERROR(IF(L781="Китай",K781,K781/(1+M781)),0)</f>
        <v/>
      </c>
      <c r="O781" s="169" t="n"/>
      <c r="P781" s="76">
        <f>N781*(1-O781)</f>
        <v/>
      </c>
      <c r="Q781" s="162" t="n"/>
      <c r="R781" s="162">
        <f>IF(ISBLANK(Q781),"введи курс",P781/Q781)</f>
        <v/>
      </c>
      <c r="S781" s="196">
        <f>IF(AND(ISNUMBER(E781),ISNUMBER(Q781)),E781*R781,0)</f>
        <v/>
      </c>
      <c r="T781" s="192">
        <f>$BC781*V$11</f>
        <v/>
      </c>
      <c r="U781" s="76">
        <f>$BC781*W$11</f>
        <v/>
      </c>
      <c r="V781" s="193">
        <f>+SUM(T781:U781)</f>
        <v/>
      </c>
      <c r="W781" s="191" t="n"/>
      <c r="X781" s="170" t="n"/>
      <c r="Y781" s="76">
        <f>ROUND(IF(offer_incoterms="DDP",X781*(S781*(1+AW781)+T781),0),2)</f>
        <v/>
      </c>
      <c r="Z781" s="188" t="n"/>
      <c r="AA781" s="192">
        <f>IFERROR(AB781/E781,0)</f>
        <v/>
      </c>
      <c r="AB781" s="76">
        <f>ROUND(SUM(S781,V781,Y781:Z781,BA781:BB781),2)</f>
        <v/>
      </c>
      <c r="AC781" s="797" t="n"/>
      <c r="AD781" s="192">
        <f t="array" ref="AD781">IFERROR(ROUND((_xlfn.IFS(offer_sale_type="поставка",AB781,offer_sale_type="транзит",S781)*(1+AC781))/E781,2),0)</f>
        <v/>
      </c>
      <c r="AE781" s="76">
        <f>AD781*E781</f>
        <v/>
      </c>
      <c r="AF781" s="193">
        <f t="array" ref="AF781">IFERROR(ROUND(_xlfn.IFS(offer_sale_type="поставка",AB781,offer_sale_type="транзит",S781)*AC781,2),0)</f>
        <v/>
      </c>
      <c r="AG781" s="192">
        <f>$BD781*VLOOKUP($AG$3,$AF$4:$AG$7,2,FALSE)</f>
        <v/>
      </c>
      <c r="AH781" s="76">
        <f>SUM(AE781,AG781,AI781)*rate_forex_risk</f>
        <v/>
      </c>
      <c r="AI781" s="193">
        <f>IF(OR(seller_region="TR",offer_sale_type="экспорт"),0,rate_fin_comm)*SUM(AZ781,AZ781*AW781,T781)</f>
        <v/>
      </c>
      <c r="AJ781" s="118">
        <f>IFERROR(ROUND(SUM(AB781,AF781:AI781)/E781,2),0)</f>
        <v/>
      </c>
      <c r="AK781" s="76">
        <f>AJ781*E781</f>
        <v/>
      </c>
      <c r="AL781" s="174">
        <f>ROUND(IFERROR(AM781*E781,0),2)</f>
        <v/>
      </c>
      <c r="AM781" s="175">
        <f>ROUND(AJ781*(1+IF(offer_incoterms="DDP",IF((TODAY()+offer_turnaround_time)&gt;=helpsheet!$L$17,rate_vatRU_from_26,rate_vatRu_till_25),0)),2)</f>
        <v/>
      </c>
      <c r="AN781" s="192">
        <f>AL781-AK781</f>
        <v/>
      </c>
      <c r="AO781" s="76">
        <f>SUM(AY781,Y781:Z781,T781)*IF(AND(offer_incoterms="DDP",offer_sale_type&lt;&gt;"экспорт"),IF((TODAY()+offer_turnaround_time)&gt;=helpsheet!$L$17,rate_vatRU_from_26,rate_vatRu_till_25),0)</f>
        <v/>
      </c>
      <c r="AP781" s="193">
        <f>AN781-AO781</f>
        <v/>
      </c>
      <c r="AQ781" s="118">
        <f>IF(offer_sale_type="транзит",SUM(AF781:AI781,BA781,BB781),0)</f>
        <v/>
      </c>
      <c r="AR781" s="82">
        <f>HYPERLINK("https://www.alta.ru/tnved/code/")&amp;W781&amp;"/"</f>
        <v/>
      </c>
      <c r="AS781" s="157" t="n"/>
      <c r="AT781" s="162" t="n"/>
      <c r="AU781" s="76">
        <f>IF(ISBLANK(AT781),0,AJ781-AT781)</f>
        <v/>
      </c>
      <c r="AV781" s="157" t="n"/>
      <c r="AW781" s="75">
        <f>_xlfn.IFNA(VLOOKUP(L781,list_vat[],3,FALSE),0)</f>
        <v/>
      </c>
      <c r="AX781" s="76">
        <f>IFERROR(ROUND(S781*(1+AW781)/E781,2),0)</f>
        <v/>
      </c>
      <c r="AY781" s="76">
        <f>E781*AX781</f>
        <v/>
      </c>
      <c r="AZ781" s="192">
        <f>S781*(1+M781)</f>
        <v/>
      </c>
      <c r="BA781" s="76">
        <f>cost_fin_total*$BD781</f>
        <v/>
      </c>
      <c r="BB781" s="193">
        <f>credit_sales_interest*BD781</f>
        <v/>
      </c>
      <c r="BC781" s="102">
        <f>IFERROR(IF($I$13&gt;0,$I781/$I$13,$S781/$S$13),0)</f>
        <v/>
      </c>
      <c r="BD781" s="102">
        <f>IFERROR($S781/$S$13,0)</f>
        <v/>
      </c>
      <c r="BE781" s="413" t="inlineStr">
        <is>
          <t>$</t>
        </is>
      </c>
    </row>
    <row r="782" ht="12" customFormat="1" customHeight="1" s="65">
      <c r="A782" s="43" t="n">
        <v>767</v>
      </c>
      <c r="B782" s="166" t="n"/>
      <c r="C782" s="166" t="n"/>
      <c r="D782" s="166" t="n"/>
      <c r="E782" s="162" t="n"/>
      <c r="F782" s="166" t="n"/>
      <c r="G782" s="162" t="n"/>
      <c r="H782" s="162" t="n"/>
      <c r="I782" s="189">
        <f>E782*G782</f>
        <v/>
      </c>
      <c r="J782" s="195" t="n"/>
      <c r="K782" s="162" t="n"/>
      <c r="L782" s="168" t="n"/>
      <c r="M782" s="75">
        <f>_xlfn.XLOOKUP(L782,list_vat[Страна],list_vat[Ставка НДС %],0,0)</f>
        <v/>
      </c>
      <c r="N782" s="162">
        <f>IFERROR(IF(L782="Китай",K782,K782/(1+M782)),0)</f>
        <v/>
      </c>
      <c r="O782" s="169" t="n"/>
      <c r="P782" s="76">
        <f>N782*(1-O782)</f>
        <v/>
      </c>
      <c r="Q782" s="162" t="n"/>
      <c r="R782" s="162">
        <f>IF(ISBLANK(Q782),"введи курс",P782/Q782)</f>
        <v/>
      </c>
      <c r="S782" s="196">
        <f>IF(AND(ISNUMBER(E782),ISNUMBER(Q782)),E782*R782,0)</f>
        <v/>
      </c>
      <c r="T782" s="192">
        <f>$BC782*V$11</f>
        <v/>
      </c>
      <c r="U782" s="76">
        <f>$BC782*W$11</f>
        <v/>
      </c>
      <c r="V782" s="193">
        <f>+SUM(T782:U782)</f>
        <v/>
      </c>
      <c r="W782" s="191" t="n"/>
      <c r="X782" s="170" t="n"/>
      <c r="Y782" s="76">
        <f>ROUND(IF(offer_incoterms="DDP",X782*(S782*(1+AW782)+T782),0),2)</f>
        <v/>
      </c>
      <c r="Z782" s="188" t="n"/>
      <c r="AA782" s="192">
        <f>IFERROR(AB782/E782,0)</f>
        <v/>
      </c>
      <c r="AB782" s="76">
        <f>ROUND(SUM(S782,V782,Y782:Z782,BA782:BB782),2)</f>
        <v/>
      </c>
      <c r="AC782" s="797" t="n"/>
      <c r="AD782" s="192">
        <f t="array" ref="AD782">IFERROR(ROUND((_xlfn.IFS(offer_sale_type="поставка",AB782,offer_sale_type="транзит",S782)*(1+AC782))/E782,2),0)</f>
        <v/>
      </c>
      <c r="AE782" s="76">
        <f>AD782*E782</f>
        <v/>
      </c>
      <c r="AF782" s="193">
        <f t="array" ref="AF782">IFERROR(ROUND(_xlfn.IFS(offer_sale_type="поставка",AB782,offer_sale_type="транзит",S782)*AC782,2),0)</f>
        <v/>
      </c>
      <c r="AG782" s="192">
        <f>$BD782*VLOOKUP($AG$3,$AF$4:$AG$7,2,FALSE)</f>
        <v/>
      </c>
      <c r="AH782" s="76">
        <f>SUM(AE782,AG782,AI782)*rate_forex_risk</f>
        <v/>
      </c>
      <c r="AI782" s="193">
        <f>IF(OR(seller_region="TR",offer_sale_type="экспорт"),0,rate_fin_comm)*SUM(AZ782,AZ782*AW782,T782)</f>
        <v/>
      </c>
      <c r="AJ782" s="118">
        <f>IFERROR(ROUND(SUM(AB782,AF782:AI782)/E782,2),0)</f>
        <v/>
      </c>
      <c r="AK782" s="76">
        <f>AJ782*E782</f>
        <v/>
      </c>
      <c r="AL782" s="174">
        <f>ROUND(IFERROR(AM782*E782,0),2)</f>
        <v/>
      </c>
      <c r="AM782" s="175">
        <f>ROUND(AJ782*(1+IF(offer_incoterms="DDP",IF((TODAY()+offer_turnaround_time)&gt;=helpsheet!$L$17,rate_vatRU_from_26,rate_vatRu_till_25),0)),2)</f>
        <v/>
      </c>
      <c r="AN782" s="192">
        <f>AL782-AK782</f>
        <v/>
      </c>
      <c r="AO782" s="76">
        <f>SUM(AY782,Y782:Z782,T782)*IF(AND(offer_incoterms="DDP",offer_sale_type&lt;&gt;"экспорт"),IF((TODAY()+offer_turnaround_time)&gt;=helpsheet!$L$17,rate_vatRU_from_26,rate_vatRu_till_25),0)</f>
        <v/>
      </c>
      <c r="AP782" s="193">
        <f>AN782-AO782</f>
        <v/>
      </c>
      <c r="AQ782" s="118">
        <f>IF(offer_sale_type="транзит",SUM(AF782:AI782,BA782,BB782),0)</f>
        <v/>
      </c>
      <c r="AR782" s="82">
        <f>HYPERLINK("https://www.alta.ru/tnved/code/")&amp;W782&amp;"/"</f>
        <v/>
      </c>
      <c r="AS782" s="157" t="n"/>
      <c r="AT782" s="162" t="n"/>
      <c r="AU782" s="76">
        <f>IF(ISBLANK(AT782),0,AJ782-AT782)</f>
        <v/>
      </c>
      <c r="AV782" s="157" t="n"/>
      <c r="AW782" s="75">
        <f>_xlfn.IFNA(VLOOKUP(L782,list_vat[],3,FALSE),0)</f>
        <v/>
      </c>
      <c r="AX782" s="76">
        <f>IFERROR(ROUND(S782*(1+AW782)/E782,2),0)</f>
        <v/>
      </c>
      <c r="AY782" s="76">
        <f>E782*AX782</f>
        <v/>
      </c>
      <c r="AZ782" s="192">
        <f>S782*(1+M782)</f>
        <v/>
      </c>
      <c r="BA782" s="76">
        <f>cost_fin_total*$BD782</f>
        <v/>
      </c>
      <c r="BB782" s="193">
        <f>credit_sales_interest*BD782</f>
        <v/>
      </c>
      <c r="BC782" s="102">
        <f>IFERROR(IF($I$13&gt;0,$I782/$I$13,$S782/$S$13),0)</f>
        <v/>
      </c>
      <c r="BD782" s="102">
        <f>IFERROR($S782/$S$13,0)</f>
        <v/>
      </c>
      <c r="BE782" s="413" t="inlineStr">
        <is>
          <t>$</t>
        </is>
      </c>
    </row>
    <row r="783" ht="12" customFormat="1" customHeight="1" s="65">
      <c r="A783" s="43" t="n">
        <v>768</v>
      </c>
      <c r="B783" s="166" t="n"/>
      <c r="C783" s="166" t="n"/>
      <c r="D783" s="166" t="n"/>
      <c r="E783" s="162" t="n"/>
      <c r="F783" s="166" t="n"/>
      <c r="G783" s="162" t="n"/>
      <c r="H783" s="162" t="n"/>
      <c r="I783" s="189">
        <f>E783*G783</f>
        <v/>
      </c>
      <c r="J783" s="195" t="n"/>
      <c r="K783" s="162" t="n"/>
      <c r="L783" s="168" t="n"/>
      <c r="M783" s="75">
        <f>_xlfn.XLOOKUP(L783,list_vat[Страна],list_vat[Ставка НДС %],0,0)</f>
        <v/>
      </c>
      <c r="N783" s="162">
        <f>IFERROR(IF(L783="Китай",K783,K783/(1+M783)),0)</f>
        <v/>
      </c>
      <c r="O783" s="169" t="n"/>
      <c r="P783" s="76">
        <f>N783*(1-O783)</f>
        <v/>
      </c>
      <c r="Q783" s="162" t="n"/>
      <c r="R783" s="162">
        <f>IF(ISBLANK(Q783),"введи курс",P783/Q783)</f>
        <v/>
      </c>
      <c r="S783" s="196">
        <f>IF(AND(ISNUMBER(E783),ISNUMBER(Q783)),E783*R783,0)</f>
        <v/>
      </c>
      <c r="T783" s="192">
        <f>$BC783*V$11</f>
        <v/>
      </c>
      <c r="U783" s="76">
        <f>$BC783*W$11</f>
        <v/>
      </c>
      <c r="V783" s="193">
        <f>+SUM(T783:U783)</f>
        <v/>
      </c>
      <c r="W783" s="191" t="n"/>
      <c r="X783" s="170" t="n"/>
      <c r="Y783" s="76">
        <f>ROUND(IF(offer_incoterms="DDP",X783*(S783*(1+AW783)+T783),0),2)</f>
        <v/>
      </c>
      <c r="Z783" s="188" t="n"/>
      <c r="AA783" s="192">
        <f>IFERROR(AB783/E783,0)</f>
        <v/>
      </c>
      <c r="AB783" s="76">
        <f>ROUND(SUM(S783,V783,Y783:Z783,BA783:BB783),2)</f>
        <v/>
      </c>
      <c r="AC783" s="797" t="n"/>
      <c r="AD783" s="192">
        <f t="array" ref="AD783">IFERROR(ROUND((_xlfn.IFS(offer_sale_type="поставка",AB783,offer_sale_type="транзит",S783)*(1+AC783))/E783,2),0)</f>
        <v/>
      </c>
      <c r="AE783" s="76">
        <f>AD783*E783</f>
        <v/>
      </c>
      <c r="AF783" s="193">
        <f t="array" ref="AF783">IFERROR(ROUND(_xlfn.IFS(offer_sale_type="поставка",AB783,offer_sale_type="транзит",S783)*AC783,2),0)</f>
        <v/>
      </c>
      <c r="AG783" s="192">
        <f>$BD783*VLOOKUP($AG$3,$AF$4:$AG$7,2,FALSE)</f>
        <v/>
      </c>
      <c r="AH783" s="76">
        <f>SUM(AE783,AG783,AI783)*rate_forex_risk</f>
        <v/>
      </c>
      <c r="AI783" s="193">
        <f>IF(OR(seller_region="TR",offer_sale_type="экспорт"),0,rate_fin_comm)*SUM(AZ783,AZ783*AW783,T783)</f>
        <v/>
      </c>
      <c r="AJ783" s="118">
        <f>IFERROR(ROUND(SUM(AB783,AF783:AI783)/E783,2),0)</f>
        <v/>
      </c>
      <c r="AK783" s="76">
        <f>AJ783*E783</f>
        <v/>
      </c>
      <c r="AL783" s="174">
        <f>ROUND(IFERROR(AM783*E783,0),2)</f>
        <v/>
      </c>
      <c r="AM783" s="175">
        <f>ROUND(AJ783*(1+IF(offer_incoterms="DDP",IF((TODAY()+offer_turnaround_time)&gt;=helpsheet!$L$17,rate_vatRU_from_26,rate_vatRu_till_25),0)),2)</f>
        <v/>
      </c>
      <c r="AN783" s="192">
        <f>AL783-AK783</f>
        <v/>
      </c>
      <c r="AO783" s="76">
        <f>SUM(AY783,Y783:Z783,T783)*IF(AND(offer_incoterms="DDP",offer_sale_type&lt;&gt;"экспорт"),IF((TODAY()+offer_turnaround_time)&gt;=helpsheet!$L$17,rate_vatRU_from_26,rate_vatRu_till_25),0)</f>
        <v/>
      </c>
      <c r="AP783" s="193">
        <f>AN783-AO783</f>
        <v/>
      </c>
      <c r="AQ783" s="118">
        <f>IF(offer_sale_type="транзит",SUM(AF783:AI783,BA783,BB783),0)</f>
        <v/>
      </c>
      <c r="AR783" s="82">
        <f>HYPERLINK("https://www.alta.ru/tnved/code/")&amp;W783&amp;"/"</f>
        <v/>
      </c>
      <c r="AS783" s="157" t="n"/>
      <c r="AT783" s="162" t="n"/>
      <c r="AU783" s="76">
        <f>IF(ISBLANK(AT783),0,AJ783-AT783)</f>
        <v/>
      </c>
      <c r="AV783" s="157" t="n"/>
      <c r="AW783" s="75">
        <f>_xlfn.IFNA(VLOOKUP(L783,list_vat[],3,FALSE),0)</f>
        <v/>
      </c>
      <c r="AX783" s="76">
        <f>IFERROR(ROUND(S783*(1+AW783)/E783,2),0)</f>
        <v/>
      </c>
      <c r="AY783" s="76">
        <f>E783*AX783</f>
        <v/>
      </c>
      <c r="AZ783" s="192">
        <f>S783*(1+M783)</f>
        <v/>
      </c>
      <c r="BA783" s="76">
        <f>cost_fin_total*$BD783</f>
        <v/>
      </c>
      <c r="BB783" s="193">
        <f>credit_sales_interest*BD783</f>
        <v/>
      </c>
      <c r="BC783" s="102">
        <f>IFERROR(IF($I$13&gt;0,$I783/$I$13,$S783/$S$13),0)</f>
        <v/>
      </c>
      <c r="BD783" s="102">
        <f>IFERROR($S783/$S$13,0)</f>
        <v/>
      </c>
      <c r="BE783" s="413" t="inlineStr">
        <is>
          <t>$</t>
        </is>
      </c>
    </row>
    <row r="784" ht="12" customFormat="1" customHeight="1" s="65">
      <c r="A784" s="43" t="n">
        <v>769</v>
      </c>
      <c r="B784" s="166" t="n"/>
      <c r="C784" s="166" t="n"/>
      <c r="D784" s="166" t="n"/>
      <c r="E784" s="162" t="n"/>
      <c r="F784" s="166" t="n"/>
      <c r="G784" s="162" t="n"/>
      <c r="H784" s="162" t="n"/>
      <c r="I784" s="189">
        <f>E784*G784</f>
        <v/>
      </c>
      <c r="J784" s="195" t="n"/>
      <c r="K784" s="162" t="n"/>
      <c r="L784" s="168" t="n"/>
      <c r="M784" s="75">
        <f>_xlfn.XLOOKUP(L784,list_vat[Страна],list_vat[Ставка НДС %],0,0)</f>
        <v/>
      </c>
      <c r="N784" s="162">
        <f>IFERROR(IF(L784="Китай",K784,K784/(1+M784)),0)</f>
        <v/>
      </c>
      <c r="O784" s="169" t="n"/>
      <c r="P784" s="76">
        <f>N784*(1-O784)</f>
        <v/>
      </c>
      <c r="Q784" s="162" t="n"/>
      <c r="R784" s="162">
        <f>IF(ISBLANK(Q784),"введи курс",P784/Q784)</f>
        <v/>
      </c>
      <c r="S784" s="196">
        <f>IF(AND(ISNUMBER(E784),ISNUMBER(Q784)),E784*R784,0)</f>
        <v/>
      </c>
      <c r="T784" s="192">
        <f>$BC784*V$11</f>
        <v/>
      </c>
      <c r="U784" s="76">
        <f>$BC784*W$11</f>
        <v/>
      </c>
      <c r="V784" s="193">
        <f>+SUM(T784:U784)</f>
        <v/>
      </c>
      <c r="W784" s="191" t="n"/>
      <c r="X784" s="170" t="n"/>
      <c r="Y784" s="76">
        <f>ROUND(IF(offer_incoterms="DDP",X784*(S784*(1+AW784)+T784),0),2)</f>
        <v/>
      </c>
      <c r="Z784" s="188" t="n"/>
      <c r="AA784" s="192">
        <f>IFERROR(AB784/E784,0)</f>
        <v/>
      </c>
      <c r="AB784" s="76">
        <f>ROUND(SUM(S784,V784,Y784:Z784,BA784:BB784),2)</f>
        <v/>
      </c>
      <c r="AC784" s="797" t="n"/>
      <c r="AD784" s="192">
        <f t="array" ref="AD784">IFERROR(ROUND((_xlfn.IFS(offer_sale_type="поставка",AB784,offer_sale_type="транзит",S784)*(1+AC784))/E784,2),0)</f>
        <v/>
      </c>
      <c r="AE784" s="76">
        <f>AD784*E784</f>
        <v/>
      </c>
      <c r="AF784" s="193">
        <f t="array" ref="AF784">IFERROR(ROUND(_xlfn.IFS(offer_sale_type="поставка",AB784,offer_sale_type="транзит",S784)*AC784,2),0)</f>
        <v/>
      </c>
      <c r="AG784" s="192">
        <f>$BD784*VLOOKUP($AG$3,$AF$4:$AG$7,2,FALSE)</f>
        <v/>
      </c>
      <c r="AH784" s="76">
        <f>SUM(AE784,AG784,AI784)*rate_forex_risk</f>
        <v/>
      </c>
      <c r="AI784" s="193">
        <f>IF(OR(seller_region="TR",offer_sale_type="экспорт"),0,rate_fin_comm)*SUM(AZ784,AZ784*AW784,T784)</f>
        <v/>
      </c>
      <c r="AJ784" s="118">
        <f>IFERROR(ROUND(SUM(AB784,AF784:AI784)/E784,2),0)</f>
        <v/>
      </c>
      <c r="AK784" s="76">
        <f>AJ784*E784</f>
        <v/>
      </c>
      <c r="AL784" s="174">
        <f>ROUND(IFERROR(AM784*E784,0),2)</f>
        <v/>
      </c>
      <c r="AM784" s="175">
        <f>ROUND(AJ784*(1+IF(offer_incoterms="DDP",IF((TODAY()+offer_turnaround_time)&gt;=helpsheet!$L$17,rate_vatRU_from_26,rate_vatRu_till_25),0)),2)</f>
        <v/>
      </c>
      <c r="AN784" s="192">
        <f>AL784-AK784</f>
        <v/>
      </c>
      <c r="AO784" s="76">
        <f>SUM(AY784,Y784:Z784,T784)*IF(AND(offer_incoterms="DDP",offer_sale_type&lt;&gt;"экспорт"),IF((TODAY()+offer_turnaround_time)&gt;=helpsheet!$L$17,rate_vatRU_from_26,rate_vatRu_till_25),0)</f>
        <v/>
      </c>
      <c r="AP784" s="193">
        <f>AN784-AO784</f>
        <v/>
      </c>
      <c r="AQ784" s="118">
        <f>IF(offer_sale_type="транзит",SUM(AF784:AI784,BA784,BB784),0)</f>
        <v/>
      </c>
      <c r="AR784" s="82">
        <f>HYPERLINK("https://www.alta.ru/tnved/code/")&amp;W784&amp;"/"</f>
        <v/>
      </c>
      <c r="AS784" s="157" t="n"/>
      <c r="AT784" s="162" t="n"/>
      <c r="AU784" s="76">
        <f>IF(ISBLANK(AT784),0,AJ784-AT784)</f>
        <v/>
      </c>
      <c r="AV784" s="157" t="n"/>
      <c r="AW784" s="75">
        <f>_xlfn.IFNA(VLOOKUP(L784,list_vat[],3,FALSE),0)</f>
        <v/>
      </c>
      <c r="AX784" s="76">
        <f>IFERROR(ROUND(S784*(1+AW784)/E784,2),0)</f>
        <v/>
      </c>
      <c r="AY784" s="76">
        <f>E784*AX784</f>
        <v/>
      </c>
      <c r="AZ784" s="192">
        <f>S784*(1+M784)</f>
        <v/>
      </c>
      <c r="BA784" s="76">
        <f>cost_fin_total*$BD784</f>
        <v/>
      </c>
      <c r="BB784" s="193">
        <f>credit_sales_interest*BD784</f>
        <v/>
      </c>
      <c r="BC784" s="102">
        <f>IFERROR(IF($I$13&gt;0,$I784/$I$13,$S784/$S$13),0)</f>
        <v/>
      </c>
      <c r="BD784" s="102">
        <f>IFERROR($S784/$S$13,0)</f>
        <v/>
      </c>
      <c r="BE784" s="413" t="inlineStr">
        <is>
          <t>$</t>
        </is>
      </c>
    </row>
    <row r="785" ht="12" customFormat="1" customHeight="1" s="65">
      <c r="A785" s="43" t="n">
        <v>770</v>
      </c>
      <c r="B785" s="166" t="n"/>
      <c r="C785" s="166" t="n"/>
      <c r="D785" s="166" t="n"/>
      <c r="E785" s="162" t="n"/>
      <c r="F785" s="166" t="n"/>
      <c r="G785" s="162" t="n"/>
      <c r="H785" s="162" t="n"/>
      <c r="I785" s="189">
        <f>E785*G785</f>
        <v/>
      </c>
      <c r="J785" s="195" t="n"/>
      <c r="K785" s="162" t="n"/>
      <c r="L785" s="168" t="n"/>
      <c r="M785" s="75">
        <f>_xlfn.XLOOKUP(L785,list_vat[Страна],list_vat[Ставка НДС %],0,0)</f>
        <v/>
      </c>
      <c r="N785" s="162">
        <f>IFERROR(IF(L785="Китай",K785,K785/(1+M785)),0)</f>
        <v/>
      </c>
      <c r="O785" s="169" t="n"/>
      <c r="P785" s="76">
        <f>N785*(1-O785)</f>
        <v/>
      </c>
      <c r="Q785" s="162" t="n"/>
      <c r="R785" s="162">
        <f>IF(ISBLANK(Q785),"введи курс",P785/Q785)</f>
        <v/>
      </c>
      <c r="S785" s="196">
        <f>IF(AND(ISNUMBER(E785),ISNUMBER(Q785)),E785*R785,0)</f>
        <v/>
      </c>
      <c r="T785" s="192">
        <f>$BC785*V$11</f>
        <v/>
      </c>
      <c r="U785" s="76">
        <f>$BC785*W$11</f>
        <v/>
      </c>
      <c r="V785" s="193">
        <f>+SUM(T785:U785)</f>
        <v/>
      </c>
      <c r="W785" s="191" t="n"/>
      <c r="X785" s="170" t="n"/>
      <c r="Y785" s="76">
        <f>ROUND(IF(offer_incoterms="DDP",X785*(S785*(1+AW785)+T785),0),2)</f>
        <v/>
      </c>
      <c r="Z785" s="188" t="n"/>
      <c r="AA785" s="192">
        <f>IFERROR(AB785/E785,0)</f>
        <v/>
      </c>
      <c r="AB785" s="76">
        <f>ROUND(SUM(S785,V785,Y785:Z785,BA785:BB785),2)</f>
        <v/>
      </c>
      <c r="AC785" s="797" t="n"/>
      <c r="AD785" s="192">
        <f t="array" ref="AD785">IFERROR(ROUND((_xlfn.IFS(offer_sale_type="поставка",AB785,offer_sale_type="транзит",S785)*(1+AC785))/E785,2),0)</f>
        <v/>
      </c>
      <c r="AE785" s="76">
        <f>AD785*E785</f>
        <v/>
      </c>
      <c r="AF785" s="193">
        <f t="array" ref="AF785">IFERROR(ROUND(_xlfn.IFS(offer_sale_type="поставка",AB785,offer_sale_type="транзит",S785)*AC785,2),0)</f>
        <v/>
      </c>
      <c r="AG785" s="192">
        <f>$BD785*VLOOKUP($AG$3,$AF$4:$AG$7,2,FALSE)</f>
        <v/>
      </c>
      <c r="AH785" s="76">
        <f>SUM(AE785,AG785,AI785)*rate_forex_risk</f>
        <v/>
      </c>
      <c r="AI785" s="193">
        <f>IF(OR(seller_region="TR",offer_sale_type="экспорт"),0,rate_fin_comm)*SUM(AZ785,AZ785*AW785,T785)</f>
        <v/>
      </c>
      <c r="AJ785" s="118">
        <f>IFERROR(ROUND(SUM(AB785,AF785:AI785)/E785,2),0)</f>
        <v/>
      </c>
      <c r="AK785" s="76">
        <f>AJ785*E785</f>
        <v/>
      </c>
      <c r="AL785" s="174">
        <f>ROUND(IFERROR(AM785*E785,0),2)</f>
        <v/>
      </c>
      <c r="AM785" s="175">
        <f>ROUND(AJ785*(1+IF(offer_incoterms="DDP",IF((TODAY()+offer_turnaround_time)&gt;=helpsheet!$L$17,rate_vatRU_from_26,rate_vatRu_till_25),0)),2)</f>
        <v/>
      </c>
      <c r="AN785" s="192">
        <f>AL785-AK785</f>
        <v/>
      </c>
      <c r="AO785" s="76">
        <f>SUM(AY785,Y785:Z785,T785)*IF(AND(offer_incoterms="DDP",offer_sale_type&lt;&gt;"экспорт"),IF((TODAY()+offer_turnaround_time)&gt;=helpsheet!$L$17,rate_vatRU_from_26,rate_vatRu_till_25),0)</f>
        <v/>
      </c>
      <c r="AP785" s="193">
        <f>AN785-AO785</f>
        <v/>
      </c>
      <c r="AQ785" s="118">
        <f>IF(offer_sale_type="транзит",SUM(AF785:AI785,BA785,BB785),0)</f>
        <v/>
      </c>
      <c r="AR785" s="82">
        <f>HYPERLINK("https://www.alta.ru/tnved/code/")&amp;W785&amp;"/"</f>
        <v/>
      </c>
      <c r="AS785" s="157" t="n"/>
      <c r="AT785" s="162" t="n"/>
      <c r="AU785" s="76">
        <f>IF(ISBLANK(AT785),0,AJ785-AT785)</f>
        <v/>
      </c>
      <c r="AV785" s="157" t="n"/>
      <c r="AW785" s="75">
        <f>_xlfn.IFNA(VLOOKUP(L785,list_vat[],3,FALSE),0)</f>
        <v/>
      </c>
      <c r="AX785" s="76">
        <f>IFERROR(ROUND(S785*(1+AW785)/E785,2),0)</f>
        <v/>
      </c>
      <c r="AY785" s="76">
        <f>E785*AX785</f>
        <v/>
      </c>
      <c r="AZ785" s="192">
        <f>S785*(1+M785)</f>
        <v/>
      </c>
      <c r="BA785" s="76">
        <f>cost_fin_total*$BD785</f>
        <v/>
      </c>
      <c r="BB785" s="193">
        <f>credit_sales_interest*BD785</f>
        <v/>
      </c>
      <c r="BC785" s="102">
        <f>IFERROR(IF($I$13&gt;0,$I785/$I$13,$S785/$S$13),0)</f>
        <v/>
      </c>
      <c r="BD785" s="102">
        <f>IFERROR($S785/$S$13,0)</f>
        <v/>
      </c>
      <c r="BE785" s="413" t="inlineStr">
        <is>
          <t>$</t>
        </is>
      </c>
    </row>
    <row r="786" ht="12" customFormat="1" customHeight="1" s="65">
      <c r="A786" s="43" t="n">
        <v>771</v>
      </c>
      <c r="B786" s="166" t="n"/>
      <c r="C786" s="166" t="n"/>
      <c r="D786" s="166" t="n"/>
      <c r="E786" s="162" t="n"/>
      <c r="F786" s="166" t="n"/>
      <c r="G786" s="162" t="n"/>
      <c r="H786" s="162" t="n"/>
      <c r="I786" s="189">
        <f>E786*G786</f>
        <v/>
      </c>
      <c r="J786" s="195" t="n"/>
      <c r="K786" s="162" t="n"/>
      <c r="L786" s="168" t="n"/>
      <c r="M786" s="75">
        <f>_xlfn.XLOOKUP(L786,list_vat[Страна],list_vat[Ставка НДС %],0,0)</f>
        <v/>
      </c>
      <c r="N786" s="162">
        <f>IFERROR(IF(L786="Китай",K786,K786/(1+M786)),0)</f>
        <v/>
      </c>
      <c r="O786" s="169" t="n"/>
      <c r="P786" s="76">
        <f>N786*(1-O786)</f>
        <v/>
      </c>
      <c r="Q786" s="162" t="n"/>
      <c r="R786" s="162">
        <f>IF(ISBLANK(Q786),"введи курс",P786/Q786)</f>
        <v/>
      </c>
      <c r="S786" s="196">
        <f>IF(AND(ISNUMBER(E786),ISNUMBER(Q786)),E786*R786,0)</f>
        <v/>
      </c>
      <c r="T786" s="192">
        <f>$BC786*V$11</f>
        <v/>
      </c>
      <c r="U786" s="76">
        <f>$BC786*W$11</f>
        <v/>
      </c>
      <c r="V786" s="193">
        <f>+SUM(T786:U786)</f>
        <v/>
      </c>
      <c r="W786" s="191" t="n"/>
      <c r="X786" s="170" t="n"/>
      <c r="Y786" s="76">
        <f>ROUND(IF(offer_incoterms="DDP",X786*(S786*(1+AW786)+T786),0),2)</f>
        <v/>
      </c>
      <c r="Z786" s="188" t="n"/>
      <c r="AA786" s="192">
        <f>IFERROR(AB786/E786,0)</f>
        <v/>
      </c>
      <c r="AB786" s="76">
        <f>ROUND(SUM(S786,V786,Y786:Z786,BA786:BB786),2)</f>
        <v/>
      </c>
      <c r="AC786" s="797" t="n"/>
      <c r="AD786" s="192">
        <f t="array" ref="AD786">IFERROR(ROUND((_xlfn.IFS(offer_sale_type="поставка",AB786,offer_sale_type="транзит",S786)*(1+AC786))/E786,2),0)</f>
        <v/>
      </c>
      <c r="AE786" s="76">
        <f>AD786*E786</f>
        <v/>
      </c>
      <c r="AF786" s="193">
        <f t="array" ref="AF786">IFERROR(ROUND(_xlfn.IFS(offer_sale_type="поставка",AB786,offer_sale_type="транзит",S786)*AC786,2),0)</f>
        <v/>
      </c>
      <c r="AG786" s="192">
        <f>$BD786*VLOOKUP($AG$3,$AF$4:$AG$7,2,FALSE)</f>
        <v/>
      </c>
      <c r="AH786" s="76">
        <f>SUM(AE786,AG786,AI786)*rate_forex_risk</f>
        <v/>
      </c>
      <c r="AI786" s="193">
        <f>IF(OR(seller_region="TR",offer_sale_type="экспорт"),0,rate_fin_comm)*SUM(AZ786,AZ786*AW786,T786)</f>
        <v/>
      </c>
      <c r="AJ786" s="118">
        <f>IFERROR(ROUND(SUM(AB786,AF786:AI786)/E786,2),0)</f>
        <v/>
      </c>
      <c r="AK786" s="76">
        <f>AJ786*E786</f>
        <v/>
      </c>
      <c r="AL786" s="174">
        <f>ROUND(IFERROR(AM786*E786,0),2)</f>
        <v/>
      </c>
      <c r="AM786" s="175">
        <f>ROUND(AJ786*(1+IF(offer_incoterms="DDP",IF((TODAY()+offer_turnaround_time)&gt;=helpsheet!$L$17,rate_vatRU_from_26,rate_vatRu_till_25),0)),2)</f>
        <v/>
      </c>
      <c r="AN786" s="192">
        <f>AL786-AK786</f>
        <v/>
      </c>
      <c r="AO786" s="76">
        <f>SUM(AY786,Y786:Z786,T786)*IF(AND(offer_incoterms="DDP",offer_sale_type&lt;&gt;"экспорт"),IF((TODAY()+offer_turnaround_time)&gt;=helpsheet!$L$17,rate_vatRU_from_26,rate_vatRu_till_25),0)</f>
        <v/>
      </c>
      <c r="AP786" s="193">
        <f>AN786-AO786</f>
        <v/>
      </c>
      <c r="AQ786" s="118">
        <f>IF(offer_sale_type="транзит",SUM(AF786:AI786,BA786,BB786),0)</f>
        <v/>
      </c>
      <c r="AR786" s="82">
        <f>HYPERLINK("https://www.alta.ru/tnved/code/")&amp;W786&amp;"/"</f>
        <v/>
      </c>
      <c r="AS786" s="157" t="n"/>
      <c r="AT786" s="162" t="n"/>
      <c r="AU786" s="76">
        <f>IF(ISBLANK(AT786),0,AJ786-AT786)</f>
        <v/>
      </c>
      <c r="AV786" s="157" t="n"/>
      <c r="AW786" s="75">
        <f>_xlfn.IFNA(VLOOKUP(L786,list_vat[],3,FALSE),0)</f>
        <v/>
      </c>
      <c r="AX786" s="76">
        <f>IFERROR(ROUND(S786*(1+AW786)/E786,2),0)</f>
        <v/>
      </c>
      <c r="AY786" s="76">
        <f>E786*AX786</f>
        <v/>
      </c>
      <c r="AZ786" s="192">
        <f>S786*(1+M786)</f>
        <v/>
      </c>
      <c r="BA786" s="76">
        <f>cost_fin_total*$BD786</f>
        <v/>
      </c>
      <c r="BB786" s="193">
        <f>credit_sales_interest*BD786</f>
        <v/>
      </c>
      <c r="BC786" s="102">
        <f>IFERROR(IF($I$13&gt;0,$I786/$I$13,$S786/$S$13),0)</f>
        <v/>
      </c>
      <c r="BD786" s="102">
        <f>IFERROR($S786/$S$13,0)</f>
        <v/>
      </c>
      <c r="BE786" s="413" t="inlineStr">
        <is>
          <t>$</t>
        </is>
      </c>
    </row>
    <row r="787" ht="12" customFormat="1" customHeight="1" s="65">
      <c r="A787" s="43" t="n">
        <v>772</v>
      </c>
      <c r="B787" s="166" t="n"/>
      <c r="C787" s="166" t="n"/>
      <c r="D787" s="166" t="n"/>
      <c r="E787" s="162" t="n"/>
      <c r="F787" s="166" t="n"/>
      <c r="G787" s="162" t="n"/>
      <c r="H787" s="162" t="n"/>
      <c r="I787" s="189">
        <f>E787*G787</f>
        <v/>
      </c>
      <c r="J787" s="195" t="n"/>
      <c r="K787" s="162" t="n"/>
      <c r="L787" s="168" t="n"/>
      <c r="M787" s="75">
        <f>_xlfn.XLOOKUP(L787,list_vat[Страна],list_vat[Ставка НДС %],0,0)</f>
        <v/>
      </c>
      <c r="N787" s="162">
        <f>IFERROR(IF(L787="Китай",K787,K787/(1+M787)),0)</f>
        <v/>
      </c>
      <c r="O787" s="169" t="n"/>
      <c r="P787" s="76">
        <f>N787*(1-O787)</f>
        <v/>
      </c>
      <c r="Q787" s="162" t="n"/>
      <c r="R787" s="162">
        <f>IF(ISBLANK(Q787),"введи курс",P787/Q787)</f>
        <v/>
      </c>
      <c r="S787" s="196">
        <f>IF(AND(ISNUMBER(E787),ISNUMBER(Q787)),E787*R787,0)</f>
        <v/>
      </c>
      <c r="T787" s="192">
        <f>$BC787*V$11</f>
        <v/>
      </c>
      <c r="U787" s="76">
        <f>$BC787*W$11</f>
        <v/>
      </c>
      <c r="V787" s="193">
        <f>+SUM(T787:U787)</f>
        <v/>
      </c>
      <c r="W787" s="191" t="n"/>
      <c r="X787" s="170" t="n"/>
      <c r="Y787" s="76">
        <f>ROUND(IF(offer_incoterms="DDP",X787*(S787*(1+AW787)+T787),0),2)</f>
        <v/>
      </c>
      <c r="Z787" s="188" t="n"/>
      <c r="AA787" s="192">
        <f>IFERROR(AB787/E787,0)</f>
        <v/>
      </c>
      <c r="AB787" s="76">
        <f>ROUND(SUM(S787,V787,Y787:Z787,BA787:BB787),2)</f>
        <v/>
      </c>
      <c r="AC787" s="797" t="n"/>
      <c r="AD787" s="192">
        <f t="array" ref="AD787">IFERROR(ROUND((_xlfn.IFS(offer_sale_type="поставка",AB787,offer_sale_type="транзит",S787)*(1+AC787))/E787,2),0)</f>
        <v/>
      </c>
      <c r="AE787" s="76">
        <f>AD787*E787</f>
        <v/>
      </c>
      <c r="AF787" s="193">
        <f t="array" ref="AF787">IFERROR(ROUND(_xlfn.IFS(offer_sale_type="поставка",AB787,offer_sale_type="транзит",S787)*AC787,2),0)</f>
        <v/>
      </c>
      <c r="AG787" s="192">
        <f>$BD787*VLOOKUP($AG$3,$AF$4:$AG$7,2,FALSE)</f>
        <v/>
      </c>
      <c r="AH787" s="76">
        <f>SUM(AE787,AG787,AI787)*rate_forex_risk</f>
        <v/>
      </c>
      <c r="AI787" s="193">
        <f>IF(OR(seller_region="TR",offer_sale_type="экспорт"),0,rate_fin_comm)*SUM(AZ787,AZ787*AW787,T787)</f>
        <v/>
      </c>
      <c r="AJ787" s="118">
        <f>IFERROR(ROUND(SUM(AB787,AF787:AI787)/E787,2),0)</f>
        <v/>
      </c>
      <c r="AK787" s="76">
        <f>AJ787*E787</f>
        <v/>
      </c>
      <c r="AL787" s="174">
        <f>ROUND(IFERROR(AM787*E787,0),2)</f>
        <v/>
      </c>
      <c r="AM787" s="175">
        <f>ROUND(AJ787*(1+IF(offer_incoterms="DDP",IF((TODAY()+offer_turnaround_time)&gt;=helpsheet!$L$17,rate_vatRU_from_26,rate_vatRu_till_25),0)),2)</f>
        <v/>
      </c>
      <c r="AN787" s="192">
        <f>AL787-AK787</f>
        <v/>
      </c>
      <c r="AO787" s="76">
        <f>SUM(AY787,Y787:Z787,T787)*IF(AND(offer_incoterms="DDP",offer_sale_type&lt;&gt;"экспорт"),IF((TODAY()+offer_turnaround_time)&gt;=helpsheet!$L$17,rate_vatRU_from_26,rate_vatRu_till_25),0)</f>
        <v/>
      </c>
      <c r="AP787" s="193">
        <f>AN787-AO787</f>
        <v/>
      </c>
      <c r="AQ787" s="118">
        <f>IF(offer_sale_type="транзит",SUM(AF787:AI787,BA787,BB787),0)</f>
        <v/>
      </c>
      <c r="AR787" s="82">
        <f>HYPERLINK("https://www.alta.ru/tnved/code/")&amp;W787&amp;"/"</f>
        <v/>
      </c>
      <c r="AS787" s="157" t="n"/>
      <c r="AT787" s="162" t="n"/>
      <c r="AU787" s="76">
        <f>IF(ISBLANK(AT787),0,AJ787-AT787)</f>
        <v/>
      </c>
      <c r="AV787" s="157" t="n"/>
      <c r="AW787" s="75">
        <f>_xlfn.IFNA(VLOOKUP(L787,list_vat[],3,FALSE),0)</f>
        <v/>
      </c>
      <c r="AX787" s="76">
        <f>IFERROR(ROUND(S787*(1+AW787)/E787,2),0)</f>
        <v/>
      </c>
      <c r="AY787" s="76">
        <f>E787*AX787</f>
        <v/>
      </c>
      <c r="AZ787" s="192">
        <f>S787*(1+M787)</f>
        <v/>
      </c>
      <c r="BA787" s="76">
        <f>cost_fin_total*$BD787</f>
        <v/>
      </c>
      <c r="BB787" s="193">
        <f>credit_sales_interest*BD787</f>
        <v/>
      </c>
      <c r="BC787" s="102">
        <f>IFERROR(IF($I$13&gt;0,$I787/$I$13,$S787/$S$13),0)</f>
        <v/>
      </c>
      <c r="BD787" s="102">
        <f>IFERROR($S787/$S$13,0)</f>
        <v/>
      </c>
      <c r="BE787" s="413" t="inlineStr">
        <is>
          <t>$</t>
        </is>
      </c>
    </row>
    <row r="788" ht="12" customFormat="1" customHeight="1" s="65">
      <c r="A788" s="43" t="n">
        <v>773</v>
      </c>
      <c r="B788" s="166" t="n"/>
      <c r="C788" s="166" t="n"/>
      <c r="D788" s="166" t="n"/>
      <c r="E788" s="162" t="n"/>
      <c r="F788" s="166" t="n"/>
      <c r="G788" s="162" t="n"/>
      <c r="H788" s="162" t="n"/>
      <c r="I788" s="189">
        <f>E788*G788</f>
        <v/>
      </c>
      <c r="J788" s="195" t="n"/>
      <c r="K788" s="162" t="n"/>
      <c r="L788" s="168" t="n"/>
      <c r="M788" s="75">
        <f>_xlfn.XLOOKUP(L788,list_vat[Страна],list_vat[Ставка НДС %],0,0)</f>
        <v/>
      </c>
      <c r="N788" s="162">
        <f>IFERROR(IF(L788="Китай",K788,K788/(1+M788)),0)</f>
        <v/>
      </c>
      <c r="O788" s="169" t="n"/>
      <c r="P788" s="76">
        <f>N788*(1-O788)</f>
        <v/>
      </c>
      <c r="Q788" s="162" t="n"/>
      <c r="R788" s="162">
        <f>IF(ISBLANK(Q788),"введи курс",P788/Q788)</f>
        <v/>
      </c>
      <c r="S788" s="196">
        <f>IF(AND(ISNUMBER(E788),ISNUMBER(Q788)),E788*R788,0)</f>
        <v/>
      </c>
      <c r="T788" s="192">
        <f>$BC788*V$11</f>
        <v/>
      </c>
      <c r="U788" s="76">
        <f>$BC788*W$11</f>
        <v/>
      </c>
      <c r="V788" s="193">
        <f>+SUM(T788:U788)</f>
        <v/>
      </c>
      <c r="W788" s="191" t="n"/>
      <c r="X788" s="170" t="n"/>
      <c r="Y788" s="76">
        <f>ROUND(IF(offer_incoterms="DDP",X788*(S788*(1+AW788)+T788),0),2)</f>
        <v/>
      </c>
      <c r="Z788" s="188" t="n"/>
      <c r="AA788" s="192">
        <f>IFERROR(AB788/E788,0)</f>
        <v/>
      </c>
      <c r="AB788" s="76">
        <f>ROUND(SUM(S788,V788,Y788:Z788,BA788:BB788),2)</f>
        <v/>
      </c>
      <c r="AC788" s="797" t="n"/>
      <c r="AD788" s="192">
        <f t="array" ref="AD788">IFERROR(ROUND((_xlfn.IFS(offer_sale_type="поставка",AB788,offer_sale_type="транзит",S788)*(1+AC788))/E788,2),0)</f>
        <v/>
      </c>
      <c r="AE788" s="76">
        <f>AD788*E788</f>
        <v/>
      </c>
      <c r="AF788" s="193">
        <f t="array" ref="AF788">IFERROR(ROUND(_xlfn.IFS(offer_sale_type="поставка",AB788,offer_sale_type="транзит",S788)*AC788,2),0)</f>
        <v/>
      </c>
      <c r="AG788" s="192">
        <f>$BD788*VLOOKUP($AG$3,$AF$4:$AG$7,2,FALSE)</f>
        <v/>
      </c>
      <c r="AH788" s="76">
        <f>SUM(AE788,AG788,AI788)*rate_forex_risk</f>
        <v/>
      </c>
      <c r="AI788" s="193">
        <f>IF(OR(seller_region="TR",offer_sale_type="экспорт"),0,rate_fin_comm)*SUM(AZ788,AZ788*AW788,T788)</f>
        <v/>
      </c>
      <c r="AJ788" s="118">
        <f>IFERROR(ROUND(SUM(AB788,AF788:AI788)/E788,2),0)</f>
        <v/>
      </c>
      <c r="AK788" s="76">
        <f>AJ788*E788</f>
        <v/>
      </c>
      <c r="AL788" s="174">
        <f>ROUND(IFERROR(AM788*E788,0),2)</f>
        <v/>
      </c>
      <c r="AM788" s="175">
        <f>ROUND(AJ788*(1+IF(offer_incoterms="DDP",IF((TODAY()+offer_turnaround_time)&gt;=helpsheet!$L$17,rate_vatRU_from_26,rate_vatRu_till_25),0)),2)</f>
        <v/>
      </c>
      <c r="AN788" s="192">
        <f>AL788-AK788</f>
        <v/>
      </c>
      <c r="AO788" s="76">
        <f>SUM(AY788,Y788:Z788,T788)*IF(AND(offer_incoterms="DDP",offer_sale_type&lt;&gt;"экспорт"),IF((TODAY()+offer_turnaround_time)&gt;=helpsheet!$L$17,rate_vatRU_from_26,rate_vatRu_till_25),0)</f>
        <v/>
      </c>
      <c r="AP788" s="193">
        <f>AN788-AO788</f>
        <v/>
      </c>
      <c r="AQ788" s="118">
        <f>IF(offer_sale_type="транзит",SUM(AF788:AI788,BA788,BB788),0)</f>
        <v/>
      </c>
      <c r="AR788" s="82">
        <f>HYPERLINK("https://www.alta.ru/tnved/code/")&amp;W788&amp;"/"</f>
        <v/>
      </c>
      <c r="AS788" s="157" t="n"/>
      <c r="AT788" s="162" t="n"/>
      <c r="AU788" s="76">
        <f>IF(ISBLANK(AT788),0,AJ788-AT788)</f>
        <v/>
      </c>
      <c r="AV788" s="157" t="n"/>
      <c r="AW788" s="75">
        <f>_xlfn.IFNA(VLOOKUP(L788,list_vat[],3,FALSE),0)</f>
        <v/>
      </c>
      <c r="AX788" s="76">
        <f>IFERROR(ROUND(S788*(1+AW788)/E788,2),0)</f>
        <v/>
      </c>
      <c r="AY788" s="76">
        <f>E788*AX788</f>
        <v/>
      </c>
      <c r="AZ788" s="192">
        <f>S788*(1+M788)</f>
        <v/>
      </c>
      <c r="BA788" s="76">
        <f>cost_fin_total*$BD788</f>
        <v/>
      </c>
      <c r="BB788" s="193">
        <f>credit_sales_interest*BD788</f>
        <v/>
      </c>
      <c r="BC788" s="102">
        <f>IFERROR(IF($I$13&gt;0,$I788/$I$13,$S788/$S$13),0)</f>
        <v/>
      </c>
      <c r="BD788" s="102">
        <f>IFERROR($S788/$S$13,0)</f>
        <v/>
      </c>
      <c r="BE788" s="413" t="inlineStr">
        <is>
          <t>$</t>
        </is>
      </c>
    </row>
    <row r="789" ht="12" customFormat="1" customHeight="1" s="65">
      <c r="A789" s="43" t="n">
        <v>774</v>
      </c>
      <c r="B789" s="166" t="n"/>
      <c r="C789" s="166" t="n"/>
      <c r="D789" s="166" t="n"/>
      <c r="E789" s="162" t="n"/>
      <c r="F789" s="166" t="n"/>
      <c r="G789" s="162" t="n"/>
      <c r="H789" s="162" t="n"/>
      <c r="I789" s="189">
        <f>E789*G789</f>
        <v/>
      </c>
      <c r="J789" s="195" t="n"/>
      <c r="K789" s="162" t="n"/>
      <c r="L789" s="168" t="n"/>
      <c r="M789" s="75">
        <f>_xlfn.XLOOKUP(L789,list_vat[Страна],list_vat[Ставка НДС %],0,0)</f>
        <v/>
      </c>
      <c r="N789" s="162">
        <f>IFERROR(IF(L789="Китай",K789,K789/(1+M789)),0)</f>
        <v/>
      </c>
      <c r="O789" s="169" t="n"/>
      <c r="P789" s="76">
        <f>N789*(1-O789)</f>
        <v/>
      </c>
      <c r="Q789" s="162" t="n"/>
      <c r="R789" s="162">
        <f>IF(ISBLANK(Q789),"введи курс",P789/Q789)</f>
        <v/>
      </c>
      <c r="S789" s="196">
        <f>IF(AND(ISNUMBER(E789),ISNUMBER(Q789)),E789*R789,0)</f>
        <v/>
      </c>
      <c r="T789" s="192">
        <f>$BC789*V$11</f>
        <v/>
      </c>
      <c r="U789" s="76">
        <f>$BC789*W$11</f>
        <v/>
      </c>
      <c r="V789" s="193">
        <f>+SUM(T789:U789)</f>
        <v/>
      </c>
      <c r="W789" s="191" t="n"/>
      <c r="X789" s="170" t="n"/>
      <c r="Y789" s="76">
        <f>ROUND(IF(offer_incoterms="DDP",X789*(S789*(1+AW789)+T789),0),2)</f>
        <v/>
      </c>
      <c r="Z789" s="188" t="n"/>
      <c r="AA789" s="192">
        <f>IFERROR(AB789/E789,0)</f>
        <v/>
      </c>
      <c r="AB789" s="76">
        <f>ROUND(SUM(S789,V789,Y789:Z789,BA789:BB789),2)</f>
        <v/>
      </c>
      <c r="AC789" s="797" t="n"/>
      <c r="AD789" s="192">
        <f t="array" ref="AD789">IFERROR(ROUND((_xlfn.IFS(offer_sale_type="поставка",AB789,offer_sale_type="транзит",S789)*(1+AC789))/E789,2),0)</f>
        <v/>
      </c>
      <c r="AE789" s="76">
        <f>AD789*E789</f>
        <v/>
      </c>
      <c r="AF789" s="193">
        <f t="array" ref="AF789">IFERROR(ROUND(_xlfn.IFS(offer_sale_type="поставка",AB789,offer_sale_type="транзит",S789)*AC789,2),0)</f>
        <v/>
      </c>
      <c r="AG789" s="192">
        <f>$BD789*VLOOKUP($AG$3,$AF$4:$AG$7,2,FALSE)</f>
        <v/>
      </c>
      <c r="AH789" s="76">
        <f>SUM(AE789,AG789,AI789)*rate_forex_risk</f>
        <v/>
      </c>
      <c r="AI789" s="193">
        <f>IF(OR(seller_region="TR",offer_sale_type="экспорт"),0,rate_fin_comm)*SUM(AZ789,AZ789*AW789,T789)</f>
        <v/>
      </c>
      <c r="AJ789" s="118">
        <f>IFERROR(ROUND(SUM(AB789,AF789:AI789)/E789,2),0)</f>
        <v/>
      </c>
      <c r="AK789" s="76">
        <f>AJ789*E789</f>
        <v/>
      </c>
      <c r="AL789" s="174">
        <f>ROUND(IFERROR(AM789*E789,0),2)</f>
        <v/>
      </c>
      <c r="AM789" s="175">
        <f>ROUND(AJ789*(1+IF(offer_incoterms="DDP",IF((TODAY()+offer_turnaround_time)&gt;=helpsheet!$L$17,rate_vatRU_from_26,rate_vatRu_till_25),0)),2)</f>
        <v/>
      </c>
      <c r="AN789" s="192">
        <f>AL789-AK789</f>
        <v/>
      </c>
      <c r="AO789" s="76">
        <f>SUM(AY789,Y789:Z789,T789)*IF(AND(offer_incoterms="DDP",offer_sale_type&lt;&gt;"экспорт"),IF((TODAY()+offer_turnaround_time)&gt;=helpsheet!$L$17,rate_vatRU_from_26,rate_vatRu_till_25),0)</f>
        <v/>
      </c>
      <c r="AP789" s="193">
        <f>AN789-AO789</f>
        <v/>
      </c>
      <c r="AQ789" s="118">
        <f>IF(offer_sale_type="транзит",SUM(AF789:AI789,BA789,BB789),0)</f>
        <v/>
      </c>
      <c r="AR789" s="82">
        <f>HYPERLINK("https://www.alta.ru/tnved/code/")&amp;W789&amp;"/"</f>
        <v/>
      </c>
      <c r="AS789" s="157" t="n"/>
      <c r="AT789" s="162" t="n"/>
      <c r="AU789" s="76">
        <f>IF(ISBLANK(AT789),0,AJ789-AT789)</f>
        <v/>
      </c>
      <c r="AV789" s="157" t="n"/>
      <c r="AW789" s="75">
        <f>_xlfn.IFNA(VLOOKUP(L789,list_vat[],3,FALSE),0)</f>
        <v/>
      </c>
      <c r="AX789" s="76">
        <f>IFERROR(ROUND(S789*(1+AW789)/E789,2),0)</f>
        <v/>
      </c>
      <c r="AY789" s="76">
        <f>E789*AX789</f>
        <v/>
      </c>
      <c r="AZ789" s="192">
        <f>S789*(1+M789)</f>
        <v/>
      </c>
      <c r="BA789" s="76">
        <f>cost_fin_total*$BD789</f>
        <v/>
      </c>
      <c r="BB789" s="193">
        <f>credit_sales_interest*BD789</f>
        <v/>
      </c>
      <c r="BC789" s="102">
        <f>IFERROR(IF($I$13&gt;0,$I789/$I$13,$S789/$S$13),0)</f>
        <v/>
      </c>
      <c r="BD789" s="102">
        <f>IFERROR($S789/$S$13,0)</f>
        <v/>
      </c>
      <c r="BE789" s="413" t="inlineStr">
        <is>
          <t>$</t>
        </is>
      </c>
    </row>
    <row r="790" ht="12" customFormat="1" customHeight="1" s="65">
      <c r="A790" s="43" t="n">
        <v>775</v>
      </c>
      <c r="B790" s="166" t="n"/>
      <c r="C790" s="166" t="n"/>
      <c r="D790" s="166" t="n"/>
      <c r="E790" s="162" t="n"/>
      <c r="F790" s="166" t="n"/>
      <c r="G790" s="162" t="n"/>
      <c r="H790" s="162" t="n"/>
      <c r="I790" s="189">
        <f>E790*G790</f>
        <v/>
      </c>
      <c r="J790" s="195" t="n"/>
      <c r="K790" s="162" t="n"/>
      <c r="L790" s="168" t="n"/>
      <c r="M790" s="75">
        <f>_xlfn.XLOOKUP(L790,list_vat[Страна],list_vat[Ставка НДС %],0,0)</f>
        <v/>
      </c>
      <c r="N790" s="162">
        <f>IFERROR(IF(L790="Китай",K790,K790/(1+M790)),0)</f>
        <v/>
      </c>
      <c r="O790" s="169" t="n"/>
      <c r="P790" s="76">
        <f>N790*(1-O790)</f>
        <v/>
      </c>
      <c r="Q790" s="162" t="n"/>
      <c r="R790" s="162">
        <f>IF(ISBLANK(Q790),"введи курс",P790/Q790)</f>
        <v/>
      </c>
      <c r="S790" s="196">
        <f>IF(AND(ISNUMBER(E790),ISNUMBER(Q790)),E790*R790,0)</f>
        <v/>
      </c>
      <c r="T790" s="192">
        <f>$BC790*V$11</f>
        <v/>
      </c>
      <c r="U790" s="76">
        <f>$BC790*W$11</f>
        <v/>
      </c>
      <c r="V790" s="193">
        <f>+SUM(T790:U790)</f>
        <v/>
      </c>
      <c r="W790" s="191" t="n"/>
      <c r="X790" s="170" t="n"/>
      <c r="Y790" s="76">
        <f>ROUND(IF(offer_incoterms="DDP",X790*(S790*(1+AW790)+T790),0),2)</f>
        <v/>
      </c>
      <c r="Z790" s="188" t="n"/>
      <c r="AA790" s="192">
        <f>IFERROR(AB790/E790,0)</f>
        <v/>
      </c>
      <c r="AB790" s="76">
        <f>ROUND(SUM(S790,V790,Y790:Z790,BA790:BB790),2)</f>
        <v/>
      </c>
      <c r="AC790" s="797" t="n"/>
      <c r="AD790" s="192">
        <f t="array" ref="AD790">IFERROR(ROUND((_xlfn.IFS(offer_sale_type="поставка",AB790,offer_sale_type="транзит",S790)*(1+AC790))/E790,2),0)</f>
        <v/>
      </c>
      <c r="AE790" s="76">
        <f>AD790*E790</f>
        <v/>
      </c>
      <c r="AF790" s="193">
        <f t="array" ref="AF790">IFERROR(ROUND(_xlfn.IFS(offer_sale_type="поставка",AB790,offer_sale_type="транзит",S790)*AC790,2),0)</f>
        <v/>
      </c>
      <c r="AG790" s="192">
        <f>$BD790*VLOOKUP($AG$3,$AF$4:$AG$7,2,FALSE)</f>
        <v/>
      </c>
      <c r="AH790" s="76">
        <f>SUM(AE790,AG790,AI790)*rate_forex_risk</f>
        <v/>
      </c>
      <c r="AI790" s="193">
        <f>IF(OR(seller_region="TR",offer_sale_type="экспорт"),0,rate_fin_comm)*SUM(AZ790,AZ790*AW790,T790)</f>
        <v/>
      </c>
      <c r="AJ790" s="118">
        <f>IFERROR(ROUND(SUM(AB790,AF790:AI790)/E790,2),0)</f>
        <v/>
      </c>
      <c r="AK790" s="76">
        <f>AJ790*E790</f>
        <v/>
      </c>
      <c r="AL790" s="174">
        <f>ROUND(IFERROR(AM790*E790,0),2)</f>
        <v/>
      </c>
      <c r="AM790" s="175">
        <f>ROUND(AJ790*(1+IF(offer_incoterms="DDP",IF((TODAY()+offer_turnaround_time)&gt;=helpsheet!$L$17,rate_vatRU_from_26,rate_vatRu_till_25),0)),2)</f>
        <v/>
      </c>
      <c r="AN790" s="192">
        <f>AL790-AK790</f>
        <v/>
      </c>
      <c r="AO790" s="76">
        <f>SUM(AY790,Y790:Z790,T790)*IF(AND(offer_incoterms="DDP",offer_sale_type&lt;&gt;"экспорт"),IF((TODAY()+offer_turnaround_time)&gt;=helpsheet!$L$17,rate_vatRU_from_26,rate_vatRu_till_25),0)</f>
        <v/>
      </c>
      <c r="AP790" s="193">
        <f>AN790-AO790</f>
        <v/>
      </c>
      <c r="AQ790" s="118">
        <f>IF(offer_sale_type="транзит",SUM(AF790:AI790,BA790,BB790),0)</f>
        <v/>
      </c>
      <c r="AR790" s="82">
        <f>HYPERLINK("https://www.alta.ru/tnved/code/")&amp;W790&amp;"/"</f>
        <v/>
      </c>
      <c r="AS790" s="157" t="n"/>
      <c r="AT790" s="162" t="n"/>
      <c r="AU790" s="76">
        <f>IF(ISBLANK(AT790),0,AJ790-AT790)</f>
        <v/>
      </c>
      <c r="AV790" s="157" t="n"/>
      <c r="AW790" s="75">
        <f>_xlfn.IFNA(VLOOKUP(L790,list_vat[],3,FALSE),0)</f>
        <v/>
      </c>
      <c r="AX790" s="76">
        <f>IFERROR(ROUND(S790*(1+AW790)/E790,2),0)</f>
        <v/>
      </c>
      <c r="AY790" s="76">
        <f>E790*AX790</f>
        <v/>
      </c>
      <c r="AZ790" s="192">
        <f>S790*(1+M790)</f>
        <v/>
      </c>
      <c r="BA790" s="76">
        <f>cost_fin_total*$BD790</f>
        <v/>
      </c>
      <c r="BB790" s="193">
        <f>credit_sales_interest*BD790</f>
        <v/>
      </c>
      <c r="BC790" s="102">
        <f>IFERROR(IF($I$13&gt;0,$I790/$I$13,$S790/$S$13),0)</f>
        <v/>
      </c>
      <c r="BD790" s="102">
        <f>IFERROR($S790/$S$13,0)</f>
        <v/>
      </c>
      <c r="BE790" s="413" t="inlineStr">
        <is>
          <t>$</t>
        </is>
      </c>
    </row>
    <row r="791" ht="12" customFormat="1" customHeight="1" s="65">
      <c r="A791" s="43" t="n">
        <v>776</v>
      </c>
      <c r="B791" s="166" t="n"/>
      <c r="C791" s="166" t="n"/>
      <c r="D791" s="166" t="n"/>
      <c r="E791" s="162" t="n"/>
      <c r="F791" s="166" t="n"/>
      <c r="G791" s="162" t="n"/>
      <c r="H791" s="162" t="n"/>
      <c r="I791" s="189">
        <f>E791*G791</f>
        <v/>
      </c>
      <c r="J791" s="195" t="n"/>
      <c r="K791" s="162" t="n"/>
      <c r="L791" s="168" t="n"/>
      <c r="M791" s="75">
        <f>_xlfn.XLOOKUP(L791,list_vat[Страна],list_vat[Ставка НДС %],0,0)</f>
        <v/>
      </c>
      <c r="N791" s="162">
        <f>IFERROR(IF(L791="Китай",K791,K791/(1+M791)),0)</f>
        <v/>
      </c>
      <c r="O791" s="169" t="n"/>
      <c r="P791" s="76">
        <f>N791*(1-O791)</f>
        <v/>
      </c>
      <c r="Q791" s="162" t="n"/>
      <c r="R791" s="162">
        <f>IF(ISBLANK(Q791),"введи курс",P791/Q791)</f>
        <v/>
      </c>
      <c r="S791" s="196">
        <f>IF(AND(ISNUMBER(E791),ISNUMBER(Q791)),E791*R791,0)</f>
        <v/>
      </c>
      <c r="T791" s="192">
        <f>$BC791*V$11</f>
        <v/>
      </c>
      <c r="U791" s="76">
        <f>$BC791*W$11</f>
        <v/>
      </c>
      <c r="V791" s="193">
        <f>+SUM(T791:U791)</f>
        <v/>
      </c>
      <c r="W791" s="191" t="n"/>
      <c r="X791" s="170" t="n"/>
      <c r="Y791" s="76">
        <f>ROUND(IF(offer_incoterms="DDP",X791*(S791*(1+AW791)+T791),0),2)</f>
        <v/>
      </c>
      <c r="Z791" s="188" t="n"/>
      <c r="AA791" s="192">
        <f>IFERROR(AB791/E791,0)</f>
        <v/>
      </c>
      <c r="AB791" s="76">
        <f>ROUND(SUM(S791,V791,Y791:Z791,BA791:BB791),2)</f>
        <v/>
      </c>
      <c r="AC791" s="797" t="n"/>
      <c r="AD791" s="192">
        <f t="array" ref="AD791">IFERROR(ROUND((_xlfn.IFS(offer_sale_type="поставка",AB791,offer_sale_type="транзит",S791)*(1+AC791))/E791,2),0)</f>
        <v/>
      </c>
      <c r="AE791" s="76">
        <f>AD791*E791</f>
        <v/>
      </c>
      <c r="AF791" s="193">
        <f t="array" ref="AF791">IFERROR(ROUND(_xlfn.IFS(offer_sale_type="поставка",AB791,offer_sale_type="транзит",S791)*AC791,2),0)</f>
        <v/>
      </c>
      <c r="AG791" s="192">
        <f>$BD791*VLOOKUP($AG$3,$AF$4:$AG$7,2,FALSE)</f>
        <v/>
      </c>
      <c r="AH791" s="76">
        <f>SUM(AE791,AG791,AI791)*rate_forex_risk</f>
        <v/>
      </c>
      <c r="AI791" s="193">
        <f>IF(OR(seller_region="TR",offer_sale_type="экспорт"),0,rate_fin_comm)*SUM(AZ791,AZ791*AW791,T791)</f>
        <v/>
      </c>
      <c r="AJ791" s="118">
        <f>IFERROR(ROUND(SUM(AB791,AF791:AI791)/E791,2),0)</f>
        <v/>
      </c>
      <c r="AK791" s="76">
        <f>AJ791*E791</f>
        <v/>
      </c>
      <c r="AL791" s="174">
        <f>ROUND(IFERROR(AM791*E791,0),2)</f>
        <v/>
      </c>
      <c r="AM791" s="175">
        <f>ROUND(AJ791*(1+IF(offer_incoterms="DDP",IF((TODAY()+offer_turnaround_time)&gt;=helpsheet!$L$17,rate_vatRU_from_26,rate_vatRu_till_25),0)),2)</f>
        <v/>
      </c>
      <c r="AN791" s="192">
        <f>AL791-AK791</f>
        <v/>
      </c>
      <c r="AO791" s="76">
        <f>SUM(AY791,Y791:Z791,T791)*IF(AND(offer_incoterms="DDP",offer_sale_type&lt;&gt;"экспорт"),IF((TODAY()+offer_turnaround_time)&gt;=helpsheet!$L$17,rate_vatRU_from_26,rate_vatRu_till_25),0)</f>
        <v/>
      </c>
      <c r="AP791" s="193">
        <f>AN791-AO791</f>
        <v/>
      </c>
      <c r="AQ791" s="118">
        <f>IF(offer_sale_type="транзит",SUM(AF791:AI791,BA791,BB791),0)</f>
        <v/>
      </c>
      <c r="AR791" s="82">
        <f>HYPERLINK("https://www.alta.ru/tnved/code/")&amp;W791&amp;"/"</f>
        <v/>
      </c>
      <c r="AS791" s="157" t="n"/>
      <c r="AT791" s="162" t="n"/>
      <c r="AU791" s="76">
        <f>IF(ISBLANK(AT791),0,AJ791-AT791)</f>
        <v/>
      </c>
      <c r="AV791" s="157" t="n"/>
      <c r="AW791" s="75">
        <f>_xlfn.IFNA(VLOOKUP(L791,list_vat[],3,FALSE),0)</f>
        <v/>
      </c>
      <c r="AX791" s="76">
        <f>IFERROR(ROUND(S791*(1+AW791)/E791,2),0)</f>
        <v/>
      </c>
      <c r="AY791" s="76">
        <f>E791*AX791</f>
        <v/>
      </c>
      <c r="AZ791" s="192">
        <f>S791*(1+M791)</f>
        <v/>
      </c>
      <c r="BA791" s="76">
        <f>cost_fin_total*$BD791</f>
        <v/>
      </c>
      <c r="BB791" s="193">
        <f>credit_sales_interest*BD791</f>
        <v/>
      </c>
      <c r="BC791" s="102">
        <f>IFERROR(IF($I$13&gt;0,$I791/$I$13,$S791/$S$13),0)</f>
        <v/>
      </c>
      <c r="BD791" s="102">
        <f>IFERROR($S791/$S$13,0)</f>
        <v/>
      </c>
      <c r="BE791" s="413" t="inlineStr">
        <is>
          <t>$</t>
        </is>
      </c>
    </row>
    <row r="792" ht="12" customFormat="1" customHeight="1" s="65">
      <c r="A792" s="43" t="n">
        <v>777</v>
      </c>
      <c r="B792" s="166" t="n"/>
      <c r="C792" s="166" t="n"/>
      <c r="D792" s="166" t="n"/>
      <c r="E792" s="162" t="n"/>
      <c r="F792" s="166" t="n"/>
      <c r="G792" s="162" t="n"/>
      <c r="H792" s="162" t="n"/>
      <c r="I792" s="189">
        <f>E792*G792</f>
        <v/>
      </c>
      <c r="J792" s="195" t="n"/>
      <c r="K792" s="162" t="n"/>
      <c r="L792" s="168" t="n"/>
      <c r="M792" s="75">
        <f>_xlfn.XLOOKUP(L792,list_vat[Страна],list_vat[Ставка НДС %],0,0)</f>
        <v/>
      </c>
      <c r="N792" s="162">
        <f>IFERROR(IF(L792="Китай",K792,K792/(1+M792)),0)</f>
        <v/>
      </c>
      <c r="O792" s="169" t="n"/>
      <c r="P792" s="76">
        <f>N792*(1-O792)</f>
        <v/>
      </c>
      <c r="Q792" s="162" t="n"/>
      <c r="R792" s="162">
        <f>IF(ISBLANK(Q792),"введи курс",P792/Q792)</f>
        <v/>
      </c>
      <c r="S792" s="196">
        <f>IF(AND(ISNUMBER(E792),ISNUMBER(Q792)),E792*R792,0)</f>
        <v/>
      </c>
      <c r="T792" s="192">
        <f>$BC792*V$11</f>
        <v/>
      </c>
      <c r="U792" s="76">
        <f>$BC792*W$11</f>
        <v/>
      </c>
      <c r="V792" s="193">
        <f>+SUM(T792:U792)</f>
        <v/>
      </c>
      <c r="W792" s="191" t="n"/>
      <c r="X792" s="170" t="n"/>
      <c r="Y792" s="76">
        <f>ROUND(IF(offer_incoterms="DDP",X792*(S792*(1+AW792)+T792),0),2)</f>
        <v/>
      </c>
      <c r="Z792" s="188" t="n"/>
      <c r="AA792" s="192">
        <f>IFERROR(AB792/E792,0)</f>
        <v/>
      </c>
      <c r="AB792" s="76">
        <f>ROUND(SUM(S792,V792,Y792:Z792,BA792:BB792),2)</f>
        <v/>
      </c>
      <c r="AC792" s="797" t="n"/>
      <c r="AD792" s="192">
        <f t="array" ref="AD792">IFERROR(ROUND((_xlfn.IFS(offer_sale_type="поставка",AB792,offer_sale_type="транзит",S792)*(1+AC792))/E792,2),0)</f>
        <v/>
      </c>
      <c r="AE792" s="76">
        <f>AD792*E792</f>
        <v/>
      </c>
      <c r="AF792" s="193">
        <f t="array" ref="AF792">IFERROR(ROUND(_xlfn.IFS(offer_sale_type="поставка",AB792,offer_sale_type="транзит",S792)*AC792,2),0)</f>
        <v/>
      </c>
      <c r="AG792" s="192">
        <f>$BD792*VLOOKUP($AG$3,$AF$4:$AG$7,2,FALSE)</f>
        <v/>
      </c>
      <c r="AH792" s="76">
        <f>SUM(AE792,AG792,AI792)*rate_forex_risk</f>
        <v/>
      </c>
      <c r="AI792" s="193">
        <f>IF(OR(seller_region="TR",offer_sale_type="экспорт"),0,rate_fin_comm)*SUM(AZ792,AZ792*AW792,T792)</f>
        <v/>
      </c>
      <c r="AJ792" s="118">
        <f>IFERROR(ROUND(SUM(AB792,AF792:AI792)/E792,2),0)</f>
        <v/>
      </c>
      <c r="AK792" s="76">
        <f>AJ792*E792</f>
        <v/>
      </c>
      <c r="AL792" s="174">
        <f>ROUND(IFERROR(AM792*E792,0),2)</f>
        <v/>
      </c>
      <c r="AM792" s="175">
        <f>ROUND(AJ792*(1+IF(offer_incoterms="DDP",IF((TODAY()+offer_turnaround_time)&gt;=helpsheet!$L$17,rate_vatRU_from_26,rate_vatRu_till_25),0)),2)</f>
        <v/>
      </c>
      <c r="AN792" s="192">
        <f>AL792-AK792</f>
        <v/>
      </c>
      <c r="AO792" s="76">
        <f>SUM(AY792,Y792:Z792,T792)*IF(AND(offer_incoterms="DDP",offer_sale_type&lt;&gt;"экспорт"),IF((TODAY()+offer_turnaround_time)&gt;=helpsheet!$L$17,rate_vatRU_from_26,rate_vatRu_till_25),0)</f>
        <v/>
      </c>
      <c r="AP792" s="193">
        <f>AN792-AO792</f>
        <v/>
      </c>
      <c r="AQ792" s="118">
        <f>IF(offer_sale_type="транзит",SUM(AF792:AI792,BA792,BB792),0)</f>
        <v/>
      </c>
      <c r="AR792" s="82">
        <f>HYPERLINK("https://www.alta.ru/tnved/code/")&amp;W792&amp;"/"</f>
        <v/>
      </c>
      <c r="AS792" s="157" t="n"/>
      <c r="AT792" s="162" t="n"/>
      <c r="AU792" s="76">
        <f>IF(ISBLANK(AT792),0,AJ792-AT792)</f>
        <v/>
      </c>
      <c r="AV792" s="157" t="n"/>
      <c r="AW792" s="75">
        <f>_xlfn.IFNA(VLOOKUP(L792,list_vat[],3,FALSE),0)</f>
        <v/>
      </c>
      <c r="AX792" s="76">
        <f>IFERROR(ROUND(S792*(1+AW792)/E792,2),0)</f>
        <v/>
      </c>
      <c r="AY792" s="76">
        <f>E792*AX792</f>
        <v/>
      </c>
      <c r="AZ792" s="192">
        <f>S792*(1+M792)</f>
        <v/>
      </c>
      <c r="BA792" s="76">
        <f>cost_fin_total*$BD792</f>
        <v/>
      </c>
      <c r="BB792" s="193">
        <f>credit_sales_interest*BD792</f>
        <v/>
      </c>
      <c r="BC792" s="102">
        <f>IFERROR(IF($I$13&gt;0,$I792/$I$13,$S792/$S$13),0)</f>
        <v/>
      </c>
      <c r="BD792" s="102">
        <f>IFERROR($S792/$S$13,0)</f>
        <v/>
      </c>
      <c r="BE792" s="413" t="inlineStr">
        <is>
          <t>$</t>
        </is>
      </c>
    </row>
    <row r="793" ht="12" customFormat="1" customHeight="1" s="65">
      <c r="A793" s="43" t="n">
        <v>778</v>
      </c>
      <c r="B793" s="166" t="n"/>
      <c r="C793" s="166" t="n"/>
      <c r="D793" s="166" t="n"/>
      <c r="E793" s="162" t="n"/>
      <c r="F793" s="166" t="n"/>
      <c r="G793" s="162" t="n"/>
      <c r="H793" s="162" t="n"/>
      <c r="I793" s="189">
        <f>E793*G793</f>
        <v/>
      </c>
      <c r="J793" s="195" t="n"/>
      <c r="K793" s="162" t="n"/>
      <c r="L793" s="168" t="n"/>
      <c r="M793" s="75">
        <f>_xlfn.XLOOKUP(L793,list_vat[Страна],list_vat[Ставка НДС %],0,0)</f>
        <v/>
      </c>
      <c r="N793" s="162">
        <f>IFERROR(IF(L793="Китай",K793,K793/(1+M793)),0)</f>
        <v/>
      </c>
      <c r="O793" s="169" t="n"/>
      <c r="P793" s="76">
        <f>N793*(1-O793)</f>
        <v/>
      </c>
      <c r="Q793" s="162" t="n"/>
      <c r="R793" s="162">
        <f>IF(ISBLANK(Q793),"введи курс",P793/Q793)</f>
        <v/>
      </c>
      <c r="S793" s="196">
        <f>IF(AND(ISNUMBER(E793),ISNUMBER(Q793)),E793*R793,0)</f>
        <v/>
      </c>
      <c r="T793" s="192">
        <f>$BC793*V$11</f>
        <v/>
      </c>
      <c r="U793" s="76">
        <f>$BC793*W$11</f>
        <v/>
      </c>
      <c r="V793" s="193">
        <f>+SUM(T793:U793)</f>
        <v/>
      </c>
      <c r="W793" s="191" t="n"/>
      <c r="X793" s="170" t="n"/>
      <c r="Y793" s="76">
        <f>ROUND(IF(offer_incoterms="DDP",X793*(S793*(1+AW793)+T793),0),2)</f>
        <v/>
      </c>
      <c r="Z793" s="188" t="n"/>
      <c r="AA793" s="192">
        <f>IFERROR(AB793/E793,0)</f>
        <v/>
      </c>
      <c r="AB793" s="76">
        <f>ROUND(SUM(S793,V793,Y793:Z793,BA793:BB793),2)</f>
        <v/>
      </c>
      <c r="AC793" s="797" t="n"/>
      <c r="AD793" s="192">
        <f t="array" ref="AD793">IFERROR(ROUND((_xlfn.IFS(offer_sale_type="поставка",AB793,offer_sale_type="транзит",S793)*(1+AC793))/E793,2),0)</f>
        <v/>
      </c>
      <c r="AE793" s="76">
        <f>AD793*E793</f>
        <v/>
      </c>
      <c r="AF793" s="193">
        <f t="array" ref="AF793">IFERROR(ROUND(_xlfn.IFS(offer_sale_type="поставка",AB793,offer_sale_type="транзит",S793)*AC793,2),0)</f>
        <v/>
      </c>
      <c r="AG793" s="192">
        <f>$BD793*VLOOKUP($AG$3,$AF$4:$AG$7,2,FALSE)</f>
        <v/>
      </c>
      <c r="AH793" s="76">
        <f>SUM(AE793,AG793,AI793)*rate_forex_risk</f>
        <v/>
      </c>
      <c r="AI793" s="193">
        <f>IF(OR(seller_region="TR",offer_sale_type="экспорт"),0,rate_fin_comm)*SUM(AZ793,AZ793*AW793,T793)</f>
        <v/>
      </c>
      <c r="AJ793" s="118">
        <f>IFERROR(ROUND(SUM(AB793,AF793:AI793)/E793,2),0)</f>
        <v/>
      </c>
      <c r="AK793" s="76">
        <f>AJ793*E793</f>
        <v/>
      </c>
      <c r="AL793" s="174">
        <f>ROUND(IFERROR(AM793*E793,0),2)</f>
        <v/>
      </c>
      <c r="AM793" s="175">
        <f>ROUND(AJ793*(1+IF(offer_incoterms="DDP",IF((TODAY()+offer_turnaround_time)&gt;=helpsheet!$L$17,rate_vatRU_from_26,rate_vatRu_till_25),0)),2)</f>
        <v/>
      </c>
      <c r="AN793" s="192">
        <f>AL793-AK793</f>
        <v/>
      </c>
      <c r="AO793" s="76">
        <f>SUM(AY793,Y793:Z793,T793)*IF(AND(offer_incoterms="DDP",offer_sale_type&lt;&gt;"экспорт"),IF((TODAY()+offer_turnaround_time)&gt;=helpsheet!$L$17,rate_vatRU_from_26,rate_vatRu_till_25),0)</f>
        <v/>
      </c>
      <c r="AP793" s="193">
        <f>AN793-AO793</f>
        <v/>
      </c>
      <c r="AQ793" s="118">
        <f>IF(offer_sale_type="транзит",SUM(AF793:AI793,BA793,BB793),0)</f>
        <v/>
      </c>
      <c r="AR793" s="82">
        <f>HYPERLINK("https://www.alta.ru/tnved/code/")&amp;W793&amp;"/"</f>
        <v/>
      </c>
      <c r="AS793" s="157" t="n"/>
      <c r="AT793" s="162" t="n"/>
      <c r="AU793" s="76">
        <f>IF(ISBLANK(AT793),0,AJ793-AT793)</f>
        <v/>
      </c>
      <c r="AV793" s="157" t="n"/>
      <c r="AW793" s="75">
        <f>_xlfn.IFNA(VLOOKUP(L793,list_vat[],3,FALSE),0)</f>
        <v/>
      </c>
      <c r="AX793" s="76">
        <f>IFERROR(ROUND(S793*(1+AW793)/E793,2),0)</f>
        <v/>
      </c>
      <c r="AY793" s="76">
        <f>E793*AX793</f>
        <v/>
      </c>
      <c r="AZ793" s="192">
        <f>S793*(1+M793)</f>
        <v/>
      </c>
      <c r="BA793" s="76">
        <f>cost_fin_total*$BD793</f>
        <v/>
      </c>
      <c r="BB793" s="193">
        <f>credit_sales_interest*BD793</f>
        <v/>
      </c>
      <c r="BC793" s="102">
        <f>IFERROR(IF($I$13&gt;0,$I793/$I$13,$S793/$S$13),0)</f>
        <v/>
      </c>
      <c r="BD793" s="102">
        <f>IFERROR($S793/$S$13,0)</f>
        <v/>
      </c>
      <c r="BE793" s="413" t="inlineStr">
        <is>
          <t>$</t>
        </is>
      </c>
    </row>
    <row r="794" ht="12" customFormat="1" customHeight="1" s="65">
      <c r="A794" s="43" t="n">
        <v>779</v>
      </c>
      <c r="B794" s="166" t="n"/>
      <c r="C794" s="166" t="n"/>
      <c r="D794" s="166" t="n"/>
      <c r="E794" s="162" t="n"/>
      <c r="F794" s="166" t="n"/>
      <c r="G794" s="162" t="n"/>
      <c r="H794" s="162" t="n"/>
      <c r="I794" s="189">
        <f>E794*G794</f>
        <v/>
      </c>
      <c r="J794" s="195" t="n"/>
      <c r="K794" s="162" t="n"/>
      <c r="L794" s="168" t="n"/>
      <c r="M794" s="75">
        <f>_xlfn.XLOOKUP(L794,list_vat[Страна],list_vat[Ставка НДС %],0,0)</f>
        <v/>
      </c>
      <c r="N794" s="162">
        <f>IFERROR(IF(L794="Китай",K794,K794/(1+M794)),0)</f>
        <v/>
      </c>
      <c r="O794" s="169" t="n"/>
      <c r="P794" s="76">
        <f>N794*(1-O794)</f>
        <v/>
      </c>
      <c r="Q794" s="162" t="n"/>
      <c r="R794" s="162">
        <f>IF(ISBLANK(Q794),"введи курс",P794/Q794)</f>
        <v/>
      </c>
      <c r="S794" s="196">
        <f>IF(AND(ISNUMBER(E794),ISNUMBER(Q794)),E794*R794,0)</f>
        <v/>
      </c>
      <c r="T794" s="192">
        <f>$BC794*V$11</f>
        <v/>
      </c>
      <c r="U794" s="76">
        <f>$BC794*W$11</f>
        <v/>
      </c>
      <c r="V794" s="193">
        <f>+SUM(T794:U794)</f>
        <v/>
      </c>
      <c r="W794" s="191" t="n"/>
      <c r="X794" s="170" t="n"/>
      <c r="Y794" s="76">
        <f>ROUND(IF(offer_incoterms="DDP",X794*(S794*(1+AW794)+T794),0),2)</f>
        <v/>
      </c>
      <c r="Z794" s="188" t="n"/>
      <c r="AA794" s="192">
        <f>IFERROR(AB794/E794,0)</f>
        <v/>
      </c>
      <c r="AB794" s="76">
        <f>ROUND(SUM(S794,V794,Y794:Z794,BA794:BB794),2)</f>
        <v/>
      </c>
      <c r="AC794" s="797" t="n"/>
      <c r="AD794" s="192">
        <f t="array" ref="AD794">IFERROR(ROUND((_xlfn.IFS(offer_sale_type="поставка",AB794,offer_sale_type="транзит",S794)*(1+AC794))/E794,2),0)</f>
        <v/>
      </c>
      <c r="AE794" s="76">
        <f>AD794*E794</f>
        <v/>
      </c>
      <c r="AF794" s="193">
        <f t="array" ref="AF794">IFERROR(ROUND(_xlfn.IFS(offer_sale_type="поставка",AB794,offer_sale_type="транзит",S794)*AC794,2),0)</f>
        <v/>
      </c>
      <c r="AG794" s="192">
        <f>$BD794*VLOOKUP($AG$3,$AF$4:$AG$7,2,FALSE)</f>
        <v/>
      </c>
      <c r="AH794" s="76">
        <f>SUM(AE794,AG794,AI794)*rate_forex_risk</f>
        <v/>
      </c>
      <c r="AI794" s="193">
        <f>IF(OR(seller_region="TR",offer_sale_type="экспорт"),0,rate_fin_comm)*SUM(AZ794,AZ794*AW794,T794)</f>
        <v/>
      </c>
      <c r="AJ794" s="118">
        <f>IFERROR(ROUND(SUM(AB794,AF794:AI794)/E794,2),0)</f>
        <v/>
      </c>
      <c r="AK794" s="76">
        <f>AJ794*E794</f>
        <v/>
      </c>
      <c r="AL794" s="174">
        <f>ROUND(IFERROR(AM794*E794,0),2)</f>
        <v/>
      </c>
      <c r="AM794" s="175">
        <f>ROUND(AJ794*(1+IF(offer_incoterms="DDP",IF((TODAY()+offer_turnaround_time)&gt;=helpsheet!$L$17,rate_vatRU_from_26,rate_vatRu_till_25),0)),2)</f>
        <v/>
      </c>
      <c r="AN794" s="192">
        <f>AL794-AK794</f>
        <v/>
      </c>
      <c r="AO794" s="76">
        <f>SUM(AY794,Y794:Z794,T794)*IF(AND(offer_incoterms="DDP",offer_sale_type&lt;&gt;"экспорт"),IF((TODAY()+offer_turnaround_time)&gt;=helpsheet!$L$17,rate_vatRU_from_26,rate_vatRu_till_25),0)</f>
        <v/>
      </c>
      <c r="AP794" s="193">
        <f>AN794-AO794</f>
        <v/>
      </c>
      <c r="AQ794" s="118">
        <f>IF(offer_sale_type="транзит",SUM(AF794:AI794,BA794,BB794),0)</f>
        <v/>
      </c>
      <c r="AR794" s="82">
        <f>HYPERLINK("https://www.alta.ru/tnved/code/")&amp;W794&amp;"/"</f>
        <v/>
      </c>
      <c r="AS794" s="157" t="n"/>
      <c r="AT794" s="162" t="n"/>
      <c r="AU794" s="76">
        <f>IF(ISBLANK(AT794),0,AJ794-AT794)</f>
        <v/>
      </c>
      <c r="AV794" s="157" t="n"/>
      <c r="AW794" s="75">
        <f>_xlfn.IFNA(VLOOKUP(L794,list_vat[],3,FALSE),0)</f>
        <v/>
      </c>
      <c r="AX794" s="76">
        <f>IFERROR(ROUND(S794*(1+AW794)/E794,2),0)</f>
        <v/>
      </c>
      <c r="AY794" s="76">
        <f>E794*AX794</f>
        <v/>
      </c>
      <c r="AZ794" s="192">
        <f>S794*(1+M794)</f>
        <v/>
      </c>
      <c r="BA794" s="76">
        <f>cost_fin_total*$BD794</f>
        <v/>
      </c>
      <c r="BB794" s="193">
        <f>credit_sales_interest*BD794</f>
        <v/>
      </c>
      <c r="BC794" s="102">
        <f>IFERROR(IF($I$13&gt;0,$I794/$I$13,$S794/$S$13),0)</f>
        <v/>
      </c>
      <c r="BD794" s="102">
        <f>IFERROR($S794/$S$13,0)</f>
        <v/>
      </c>
      <c r="BE794" s="413" t="inlineStr">
        <is>
          <t>$</t>
        </is>
      </c>
    </row>
    <row r="795" ht="12" customFormat="1" customHeight="1" s="65">
      <c r="A795" s="43" t="n">
        <v>780</v>
      </c>
      <c r="B795" s="166" t="n"/>
      <c r="C795" s="166" t="n"/>
      <c r="D795" s="166" t="n"/>
      <c r="E795" s="162" t="n"/>
      <c r="F795" s="166" t="n"/>
      <c r="G795" s="162" t="n"/>
      <c r="H795" s="162" t="n"/>
      <c r="I795" s="189">
        <f>E795*G795</f>
        <v/>
      </c>
      <c r="J795" s="195" t="n"/>
      <c r="K795" s="162" t="n"/>
      <c r="L795" s="168" t="n"/>
      <c r="M795" s="75">
        <f>_xlfn.XLOOKUP(L795,list_vat[Страна],list_vat[Ставка НДС %],0,0)</f>
        <v/>
      </c>
      <c r="N795" s="162">
        <f>IFERROR(IF(L795="Китай",K795,K795/(1+M795)),0)</f>
        <v/>
      </c>
      <c r="O795" s="169" t="n"/>
      <c r="P795" s="76">
        <f>N795*(1-O795)</f>
        <v/>
      </c>
      <c r="Q795" s="162" t="n"/>
      <c r="R795" s="162">
        <f>IF(ISBLANK(Q795),"введи курс",P795/Q795)</f>
        <v/>
      </c>
      <c r="S795" s="196">
        <f>IF(AND(ISNUMBER(E795),ISNUMBER(Q795)),E795*R795,0)</f>
        <v/>
      </c>
      <c r="T795" s="192">
        <f>$BC795*V$11</f>
        <v/>
      </c>
      <c r="U795" s="76">
        <f>$BC795*W$11</f>
        <v/>
      </c>
      <c r="V795" s="193">
        <f>+SUM(T795:U795)</f>
        <v/>
      </c>
      <c r="W795" s="191" t="n"/>
      <c r="X795" s="170" t="n"/>
      <c r="Y795" s="76">
        <f>ROUND(IF(offer_incoterms="DDP",X795*(S795*(1+AW795)+T795),0),2)</f>
        <v/>
      </c>
      <c r="Z795" s="188" t="n"/>
      <c r="AA795" s="192">
        <f>IFERROR(AB795/E795,0)</f>
        <v/>
      </c>
      <c r="AB795" s="76">
        <f>ROUND(SUM(S795,V795,Y795:Z795,BA795:BB795),2)</f>
        <v/>
      </c>
      <c r="AC795" s="797" t="n"/>
      <c r="AD795" s="192">
        <f t="array" ref="AD795">IFERROR(ROUND((_xlfn.IFS(offer_sale_type="поставка",AB795,offer_sale_type="транзит",S795)*(1+AC795))/E795,2),0)</f>
        <v/>
      </c>
      <c r="AE795" s="76">
        <f>AD795*E795</f>
        <v/>
      </c>
      <c r="AF795" s="193">
        <f t="array" ref="AF795">IFERROR(ROUND(_xlfn.IFS(offer_sale_type="поставка",AB795,offer_sale_type="транзит",S795)*AC795,2),0)</f>
        <v/>
      </c>
      <c r="AG795" s="192">
        <f>$BD795*VLOOKUP($AG$3,$AF$4:$AG$7,2,FALSE)</f>
        <v/>
      </c>
      <c r="AH795" s="76">
        <f>SUM(AE795,AG795,AI795)*rate_forex_risk</f>
        <v/>
      </c>
      <c r="AI795" s="193">
        <f>IF(OR(seller_region="TR",offer_sale_type="экспорт"),0,rate_fin_comm)*SUM(AZ795,AZ795*AW795,T795)</f>
        <v/>
      </c>
      <c r="AJ795" s="118">
        <f>IFERROR(ROUND(SUM(AB795,AF795:AI795)/E795,2),0)</f>
        <v/>
      </c>
      <c r="AK795" s="76">
        <f>AJ795*E795</f>
        <v/>
      </c>
      <c r="AL795" s="174">
        <f>ROUND(IFERROR(AM795*E795,0),2)</f>
        <v/>
      </c>
      <c r="AM795" s="175">
        <f>ROUND(AJ795*(1+IF(offer_incoterms="DDP",IF((TODAY()+offer_turnaround_time)&gt;=helpsheet!$L$17,rate_vatRU_from_26,rate_vatRu_till_25),0)),2)</f>
        <v/>
      </c>
      <c r="AN795" s="192">
        <f>AL795-AK795</f>
        <v/>
      </c>
      <c r="AO795" s="76">
        <f>SUM(AY795,Y795:Z795,T795)*IF(AND(offer_incoterms="DDP",offer_sale_type&lt;&gt;"экспорт"),IF((TODAY()+offer_turnaround_time)&gt;=helpsheet!$L$17,rate_vatRU_from_26,rate_vatRu_till_25),0)</f>
        <v/>
      </c>
      <c r="AP795" s="193">
        <f>AN795-AO795</f>
        <v/>
      </c>
      <c r="AQ795" s="118">
        <f>IF(offer_sale_type="транзит",SUM(AF795:AI795,BA795,BB795),0)</f>
        <v/>
      </c>
      <c r="AR795" s="82">
        <f>HYPERLINK("https://www.alta.ru/tnved/code/")&amp;W795&amp;"/"</f>
        <v/>
      </c>
      <c r="AS795" s="157" t="n"/>
      <c r="AT795" s="162" t="n"/>
      <c r="AU795" s="76">
        <f>IF(ISBLANK(AT795),0,AJ795-AT795)</f>
        <v/>
      </c>
      <c r="AV795" s="157" t="n"/>
      <c r="AW795" s="75">
        <f>_xlfn.IFNA(VLOOKUP(L795,list_vat[],3,FALSE),0)</f>
        <v/>
      </c>
      <c r="AX795" s="76">
        <f>IFERROR(ROUND(S795*(1+AW795)/E795,2),0)</f>
        <v/>
      </c>
      <c r="AY795" s="76">
        <f>E795*AX795</f>
        <v/>
      </c>
      <c r="AZ795" s="192">
        <f>S795*(1+M795)</f>
        <v/>
      </c>
      <c r="BA795" s="76">
        <f>cost_fin_total*$BD795</f>
        <v/>
      </c>
      <c r="BB795" s="193">
        <f>credit_sales_interest*BD795</f>
        <v/>
      </c>
      <c r="BC795" s="102">
        <f>IFERROR(IF($I$13&gt;0,$I795/$I$13,$S795/$S$13),0)</f>
        <v/>
      </c>
      <c r="BD795" s="102">
        <f>IFERROR($S795/$S$13,0)</f>
        <v/>
      </c>
      <c r="BE795" s="413" t="inlineStr">
        <is>
          <t>$</t>
        </is>
      </c>
    </row>
    <row r="796" ht="12" customFormat="1" customHeight="1" s="65">
      <c r="A796" s="43" t="n">
        <v>781</v>
      </c>
      <c r="B796" s="166" t="n"/>
      <c r="C796" s="166" t="n"/>
      <c r="D796" s="166" t="n"/>
      <c r="E796" s="162" t="n"/>
      <c r="F796" s="166" t="n"/>
      <c r="G796" s="162" t="n"/>
      <c r="H796" s="162" t="n"/>
      <c r="I796" s="189">
        <f>E796*G796</f>
        <v/>
      </c>
      <c r="J796" s="195" t="n"/>
      <c r="K796" s="162" t="n"/>
      <c r="L796" s="168" t="n"/>
      <c r="M796" s="75">
        <f>_xlfn.XLOOKUP(L796,list_vat[Страна],list_vat[Ставка НДС %],0,0)</f>
        <v/>
      </c>
      <c r="N796" s="162">
        <f>IFERROR(IF(L796="Китай",K796,K796/(1+M796)),0)</f>
        <v/>
      </c>
      <c r="O796" s="169" t="n"/>
      <c r="P796" s="76">
        <f>N796*(1-O796)</f>
        <v/>
      </c>
      <c r="Q796" s="162" t="n"/>
      <c r="R796" s="162">
        <f>IF(ISBLANK(Q796),"введи курс",P796/Q796)</f>
        <v/>
      </c>
      <c r="S796" s="196">
        <f>IF(AND(ISNUMBER(E796),ISNUMBER(Q796)),E796*R796,0)</f>
        <v/>
      </c>
      <c r="T796" s="192">
        <f>$BC796*V$11</f>
        <v/>
      </c>
      <c r="U796" s="76">
        <f>$BC796*W$11</f>
        <v/>
      </c>
      <c r="V796" s="193">
        <f>+SUM(T796:U796)</f>
        <v/>
      </c>
      <c r="W796" s="191" t="n"/>
      <c r="X796" s="170" t="n"/>
      <c r="Y796" s="76">
        <f>ROUND(IF(offer_incoterms="DDP",X796*(S796*(1+AW796)+T796),0),2)</f>
        <v/>
      </c>
      <c r="Z796" s="188" t="n"/>
      <c r="AA796" s="192">
        <f>IFERROR(AB796/E796,0)</f>
        <v/>
      </c>
      <c r="AB796" s="76">
        <f>ROUND(SUM(S796,V796,Y796:Z796,BA796:BB796),2)</f>
        <v/>
      </c>
      <c r="AC796" s="797" t="n"/>
      <c r="AD796" s="192">
        <f t="array" ref="AD796">IFERROR(ROUND((_xlfn.IFS(offer_sale_type="поставка",AB796,offer_sale_type="транзит",S796)*(1+AC796))/E796,2),0)</f>
        <v/>
      </c>
      <c r="AE796" s="76">
        <f>AD796*E796</f>
        <v/>
      </c>
      <c r="AF796" s="193">
        <f t="array" ref="AF796">IFERROR(ROUND(_xlfn.IFS(offer_sale_type="поставка",AB796,offer_sale_type="транзит",S796)*AC796,2),0)</f>
        <v/>
      </c>
      <c r="AG796" s="192">
        <f>$BD796*VLOOKUP($AG$3,$AF$4:$AG$7,2,FALSE)</f>
        <v/>
      </c>
      <c r="AH796" s="76">
        <f>SUM(AE796,AG796,AI796)*rate_forex_risk</f>
        <v/>
      </c>
      <c r="AI796" s="193">
        <f>IF(OR(seller_region="TR",offer_sale_type="экспорт"),0,rate_fin_comm)*SUM(AZ796,AZ796*AW796,T796)</f>
        <v/>
      </c>
      <c r="AJ796" s="118">
        <f>IFERROR(ROUND(SUM(AB796,AF796:AI796)/E796,2),0)</f>
        <v/>
      </c>
      <c r="AK796" s="76">
        <f>AJ796*E796</f>
        <v/>
      </c>
      <c r="AL796" s="174">
        <f>ROUND(IFERROR(AM796*E796,0),2)</f>
        <v/>
      </c>
      <c r="AM796" s="175">
        <f>ROUND(AJ796*(1+IF(offer_incoterms="DDP",IF((TODAY()+offer_turnaround_time)&gt;=helpsheet!$L$17,rate_vatRU_from_26,rate_vatRu_till_25),0)),2)</f>
        <v/>
      </c>
      <c r="AN796" s="192">
        <f>AL796-AK796</f>
        <v/>
      </c>
      <c r="AO796" s="76">
        <f>SUM(AY796,Y796:Z796,T796)*IF(AND(offer_incoterms="DDP",offer_sale_type&lt;&gt;"экспорт"),IF((TODAY()+offer_turnaround_time)&gt;=helpsheet!$L$17,rate_vatRU_from_26,rate_vatRu_till_25),0)</f>
        <v/>
      </c>
      <c r="AP796" s="193">
        <f>AN796-AO796</f>
        <v/>
      </c>
      <c r="AQ796" s="118">
        <f>IF(offer_sale_type="транзит",SUM(AF796:AI796,BA796,BB796),0)</f>
        <v/>
      </c>
      <c r="AR796" s="82">
        <f>HYPERLINK("https://www.alta.ru/tnved/code/")&amp;W796&amp;"/"</f>
        <v/>
      </c>
      <c r="AS796" s="157" t="n"/>
      <c r="AT796" s="162" t="n"/>
      <c r="AU796" s="76">
        <f>IF(ISBLANK(AT796),0,AJ796-AT796)</f>
        <v/>
      </c>
      <c r="AV796" s="157" t="n"/>
      <c r="AW796" s="75">
        <f>_xlfn.IFNA(VLOOKUP(L796,list_vat[],3,FALSE),0)</f>
        <v/>
      </c>
      <c r="AX796" s="76">
        <f>IFERROR(ROUND(S796*(1+AW796)/E796,2),0)</f>
        <v/>
      </c>
      <c r="AY796" s="76">
        <f>E796*AX796</f>
        <v/>
      </c>
      <c r="AZ796" s="192">
        <f>S796*(1+M796)</f>
        <v/>
      </c>
      <c r="BA796" s="76">
        <f>cost_fin_total*$BD796</f>
        <v/>
      </c>
      <c r="BB796" s="193">
        <f>credit_sales_interest*BD796</f>
        <v/>
      </c>
      <c r="BC796" s="102">
        <f>IFERROR(IF($I$13&gt;0,$I796/$I$13,$S796/$S$13),0)</f>
        <v/>
      </c>
      <c r="BD796" s="102">
        <f>IFERROR($S796/$S$13,0)</f>
        <v/>
      </c>
      <c r="BE796" s="413" t="inlineStr">
        <is>
          <t>$</t>
        </is>
      </c>
    </row>
    <row r="797" ht="12" customFormat="1" customHeight="1" s="65">
      <c r="A797" s="43" t="n">
        <v>782</v>
      </c>
      <c r="B797" s="166" t="n"/>
      <c r="C797" s="166" t="n"/>
      <c r="D797" s="166" t="n"/>
      <c r="E797" s="162" t="n"/>
      <c r="F797" s="166" t="n"/>
      <c r="G797" s="162" t="n"/>
      <c r="H797" s="162" t="n"/>
      <c r="I797" s="189">
        <f>E797*G797</f>
        <v/>
      </c>
      <c r="J797" s="195" t="n"/>
      <c r="K797" s="162" t="n"/>
      <c r="L797" s="168" t="n"/>
      <c r="M797" s="75">
        <f>_xlfn.XLOOKUP(L797,list_vat[Страна],list_vat[Ставка НДС %],0,0)</f>
        <v/>
      </c>
      <c r="N797" s="162">
        <f>IFERROR(IF(L797="Китай",K797,K797/(1+M797)),0)</f>
        <v/>
      </c>
      <c r="O797" s="169" t="n"/>
      <c r="P797" s="76">
        <f>N797*(1-O797)</f>
        <v/>
      </c>
      <c r="Q797" s="162" t="n"/>
      <c r="R797" s="162">
        <f>IF(ISBLANK(Q797),"введи курс",P797/Q797)</f>
        <v/>
      </c>
      <c r="S797" s="196">
        <f>IF(AND(ISNUMBER(E797),ISNUMBER(Q797)),E797*R797,0)</f>
        <v/>
      </c>
      <c r="T797" s="192">
        <f>$BC797*V$11</f>
        <v/>
      </c>
      <c r="U797" s="76">
        <f>$BC797*W$11</f>
        <v/>
      </c>
      <c r="V797" s="193">
        <f>+SUM(T797:U797)</f>
        <v/>
      </c>
      <c r="W797" s="191" t="n"/>
      <c r="X797" s="170" t="n"/>
      <c r="Y797" s="76">
        <f>ROUND(IF(offer_incoterms="DDP",X797*(S797*(1+AW797)+T797),0),2)</f>
        <v/>
      </c>
      <c r="Z797" s="188" t="n"/>
      <c r="AA797" s="192">
        <f>IFERROR(AB797/E797,0)</f>
        <v/>
      </c>
      <c r="AB797" s="76">
        <f>ROUND(SUM(S797,V797,Y797:Z797,BA797:BB797),2)</f>
        <v/>
      </c>
      <c r="AC797" s="797" t="n"/>
      <c r="AD797" s="192">
        <f t="array" ref="AD797">IFERROR(ROUND((_xlfn.IFS(offer_sale_type="поставка",AB797,offer_sale_type="транзит",S797)*(1+AC797))/E797,2),0)</f>
        <v/>
      </c>
      <c r="AE797" s="76">
        <f>AD797*E797</f>
        <v/>
      </c>
      <c r="AF797" s="193">
        <f t="array" ref="AF797">IFERROR(ROUND(_xlfn.IFS(offer_sale_type="поставка",AB797,offer_sale_type="транзит",S797)*AC797,2),0)</f>
        <v/>
      </c>
      <c r="AG797" s="192">
        <f>$BD797*VLOOKUP($AG$3,$AF$4:$AG$7,2,FALSE)</f>
        <v/>
      </c>
      <c r="AH797" s="76">
        <f>SUM(AE797,AG797,AI797)*rate_forex_risk</f>
        <v/>
      </c>
      <c r="AI797" s="193">
        <f>IF(OR(seller_region="TR",offer_sale_type="экспорт"),0,rate_fin_comm)*SUM(AZ797,AZ797*AW797,T797)</f>
        <v/>
      </c>
      <c r="AJ797" s="118">
        <f>IFERROR(ROUND(SUM(AB797,AF797:AI797)/E797,2),0)</f>
        <v/>
      </c>
      <c r="AK797" s="76">
        <f>AJ797*E797</f>
        <v/>
      </c>
      <c r="AL797" s="174">
        <f>ROUND(IFERROR(AM797*E797,0),2)</f>
        <v/>
      </c>
      <c r="AM797" s="175">
        <f>ROUND(AJ797*(1+IF(offer_incoterms="DDP",IF((TODAY()+offer_turnaround_time)&gt;=helpsheet!$L$17,rate_vatRU_from_26,rate_vatRu_till_25),0)),2)</f>
        <v/>
      </c>
      <c r="AN797" s="192">
        <f>AL797-AK797</f>
        <v/>
      </c>
      <c r="AO797" s="76">
        <f>SUM(AY797,Y797:Z797,T797)*IF(AND(offer_incoterms="DDP",offer_sale_type&lt;&gt;"экспорт"),IF((TODAY()+offer_turnaround_time)&gt;=helpsheet!$L$17,rate_vatRU_from_26,rate_vatRu_till_25),0)</f>
        <v/>
      </c>
      <c r="AP797" s="193">
        <f>AN797-AO797</f>
        <v/>
      </c>
      <c r="AQ797" s="118">
        <f>IF(offer_sale_type="транзит",SUM(AF797:AI797,BA797,BB797),0)</f>
        <v/>
      </c>
      <c r="AR797" s="82">
        <f>HYPERLINK("https://www.alta.ru/tnved/code/")&amp;W797&amp;"/"</f>
        <v/>
      </c>
      <c r="AS797" s="157" t="n"/>
      <c r="AT797" s="162" t="n"/>
      <c r="AU797" s="76">
        <f>IF(ISBLANK(AT797),0,AJ797-AT797)</f>
        <v/>
      </c>
      <c r="AV797" s="157" t="n"/>
      <c r="AW797" s="75">
        <f>_xlfn.IFNA(VLOOKUP(L797,list_vat[],3,FALSE),0)</f>
        <v/>
      </c>
      <c r="AX797" s="76">
        <f>IFERROR(ROUND(S797*(1+AW797)/E797,2),0)</f>
        <v/>
      </c>
      <c r="AY797" s="76">
        <f>E797*AX797</f>
        <v/>
      </c>
      <c r="AZ797" s="192">
        <f>S797*(1+M797)</f>
        <v/>
      </c>
      <c r="BA797" s="76">
        <f>cost_fin_total*$BD797</f>
        <v/>
      </c>
      <c r="BB797" s="193">
        <f>credit_sales_interest*BD797</f>
        <v/>
      </c>
      <c r="BC797" s="102">
        <f>IFERROR(IF($I$13&gt;0,$I797/$I$13,$S797/$S$13),0)</f>
        <v/>
      </c>
      <c r="BD797" s="102">
        <f>IFERROR($S797/$S$13,0)</f>
        <v/>
      </c>
      <c r="BE797" s="413" t="inlineStr">
        <is>
          <t>$</t>
        </is>
      </c>
    </row>
    <row r="798" ht="12" customFormat="1" customHeight="1" s="65">
      <c r="A798" s="43" t="n">
        <v>783</v>
      </c>
      <c r="B798" s="166" t="n"/>
      <c r="C798" s="166" t="n"/>
      <c r="D798" s="166" t="n"/>
      <c r="E798" s="162" t="n"/>
      <c r="F798" s="166" t="n"/>
      <c r="G798" s="162" t="n"/>
      <c r="H798" s="162" t="n"/>
      <c r="I798" s="189">
        <f>E798*G798</f>
        <v/>
      </c>
      <c r="J798" s="195" t="n"/>
      <c r="K798" s="162" t="n"/>
      <c r="L798" s="168" t="n"/>
      <c r="M798" s="75">
        <f>_xlfn.XLOOKUP(L798,list_vat[Страна],list_vat[Ставка НДС %],0,0)</f>
        <v/>
      </c>
      <c r="N798" s="162">
        <f>IFERROR(IF(L798="Китай",K798,K798/(1+M798)),0)</f>
        <v/>
      </c>
      <c r="O798" s="169" t="n"/>
      <c r="P798" s="76">
        <f>N798*(1-O798)</f>
        <v/>
      </c>
      <c r="Q798" s="162" t="n"/>
      <c r="R798" s="162">
        <f>IF(ISBLANK(Q798),"введи курс",P798/Q798)</f>
        <v/>
      </c>
      <c r="S798" s="196">
        <f>IF(AND(ISNUMBER(E798),ISNUMBER(Q798)),E798*R798,0)</f>
        <v/>
      </c>
      <c r="T798" s="192">
        <f>$BC798*V$11</f>
        <v/>
      </c>
      <c r="U798" s="76">
        <f>$BC798*W$11</f>
        <v/>
      </c>
      <c r="V798" s="193">
        <f>+SUM(T798:U798)</f>
        <v/>
      </c>
      <c r="W798" s="191" t="n"/>
      <c r="X798" s="170" t="n"/>
      <c r="Y798" s="76">
        <f>ROUND(IF(offer_incoterms="DDP",X798*(S798*(1+AW798)+T798),0),2)</f>
        <v/>
      </c>
      <c r="Z798" s="188" t="n"/>
      <c r="AA798" s="192">
        <f>IFERROR(AB798/E798,0)</f>
        <v/>
      </c>
      <c r="AB798" s="76">
        <f>ROUND(SUM(S798,V798,Y798:Z798,BA798:BB798),2)</f>
        <v/>
      </c>
      <c r="AC798" s="797" t="n"/>
      <c r="AD798" s="192">
        <f t="array" ref="AD798">IFERROR(ROUND((_xlfn.IFS(offer_sale_type="поставка",AB798,offer_sale_type="транзит",S798)*(1+AC798))/E798,2),0)</f>
        <v/>
      </c>
      <c r="AE798" s="76">
        <f>AD798*E798</f>
        <v/>
      </c>
      <c r="AF798" s="193">
        <f t="array" ref="AF798">IFERROR(ROUND(_xlfn.IFS(offer_sale_type="поставка",AB798,offer_sale_type="транзит",S798)*AC798,2),0)</f>
        <v/>
      </c>
      <c r="AG798" s="192">
        <f>$BD798*VLOOKUP($AG$3,$AF$4:$AG$7,2,FALSE)</f>
        <v/>
      </c>
      <c r="AH798" s="76">
        <f>SUM(AE798,AG798,AI798)*rate_forex_risk</f>
        <v/>
      </c>
      <c r="AI798" s="193">
        <f>IF(OR(seller_region="TR",offer_sale_type="экспорт"),0,rate_fin_comm)*SUM(AZ798,AZ798*AW798,T798)</f>
        <v/>
      </c>
      <c r="AJ798" s="118">
        <f>IFERROR(ROUND(SUM(AB798,AF798:AI798)/E798,2),0)</f>
        <v/>
      </c>
      <c r="AK798" s="76">
        <f>AJ798*E798</f>
        <v/>
      </c>
      <c r="AL798" s="174">
        <f>ROUND(IFERROR(AM798*E798,0),2)</f>
        <v/>
      </c>
      <c r="AM798" s="175">
        <f>ROUND(AJ798*(1+IF(offer_incoterms="DDP",IF((TODAY()+offer_turnaround_time)&gt;=helpsheet!$L$17,rate_vatRU_from_26,rate_vatRu_till_25),0)),2)</f>
        <v/>
      </c>
      <c r="AN798" s="192">
        <f>AL798-AK798</f>
        <v/>
      </c>
      <c r="AO798" s="76">
        <f>SUM(AY798,Y798:Z798,T798)*IF(AND(offer_incoterms="DDP",offer_sale_type&lt;&gt;"экспорт"),IF((TODAY()+offer_turnaround_time)&gt;=helpsheet!$L$17,rate_vatRU_from_26,rate_vatRu_till_25),0)</f>
        <v/>
      </c>
      <c r="AP798" s="193">
        <f>AN798-AO798</f>
        <v/>
      </c>
      <c r="AQ798" s="118">
        <f>IF(offer_sale_type="транзит",SUM(AF798:AI798,BA798,BB798),0)</f>
        <v/>
      </c>
      <c r="AR798" s="82">
        <f>HYPERLINK("https://www.alta.ru/tnved/code/")&amp;W798&amp;"/"</f>
        <v/>
      </c>
      <c r="AS798" s="157" t="n"/>
      <c r="AT798" s="162" t="n"/>
      <c r="AU798" s="76">
        <f>IF(ISBLANK(AT798),0,AJ798-AT798)</f>
        <v/>
      </c>
      <c r="AV798" s="157" t="n"/>
      <c r="AW798" s="75">
        <f>_xlfn.IFNA(VLOOKUP(L798,list_vat[],3,FALSE),0)</f>
        <v/>
      </c>
      <c r="AX798" s="76">
        <f>IFERROR(ROUND(S798*(1+AW798)/E798,2),0)</f>
        <v/>
      </c>
      <c r="AY798" s="76">
        <f>E798*AX798</f>
        <v/>
      </c>
      <c r="AZ798" s="192">
        <f>S798*(1+M798)</f>
        <v/>
      </c>
      <c r="BA798" s="76">
        <f>cost_fin_total*$BD798</f>
        <v/>
      </c>
      <c r="BB798" s="193">
        <f>credit_sales_interest*BD798</f>
        <v/>
      </c>
      <c r="BC798" s="102">
        <f>IFERROR(IF($I$13&gt;0,$I798/$I$13,$S798/$S$13),0)</f>
        <v/>
      </c>
      <c r="BD798" s="102">
        <f>IFERROR($S798/$S$13,0)</f>
        <v/>
      </c>
      <c r="BE798" s="413" t="inlineStr">
        <is>
          <t>$</t>
        </is>
      </c>
    </row>
    <row r="799" ht="12" customFormat="1" customHeight="1" s="65">
      <c r="A799" s="43" t="n">
        <v>784</v>
      </c>
      <c r="B799" s="166" t="n"/>
      <c r="C799" s="166" t="n"/>
      <c r="D799" s="166" t="n"/>
      <c r="E799" s="162" t="n"/>
      <c r="F799" s="166" t="n"/>
      <c r="G799" s="162" t="n"/>
      <c r="H799" s="162" t="n"/>
      <c r="I799" s="189">
        <f>E799*G799</f>
        <v/>
      </c>
      <c r="J799" s="195" t="n"/>
      <c r="K799" s="162" t="n"/>
      <c r="L799" s="168" t="n"/>
      <c r="M799" s="75">
        <f>_xlfn.XLOOKUP(L799,list_vat[Страна],list_vat[Ставка НДС %],0,0)</f>
        <v/>
      </c>
      <c r="N799" s="162">
        <f>IFERROR(IF(L799="Китай",K799,K799/(1+M799)),0)</f>
        <v/>
      </c>
      <c r="O799" s="169" t="n"/>
      <c r="P799" s="76">
        <f>N799*(1-O799)</f>
        <v/>
      </c>
      <c r="Q799" s="162" t="n"/>
      <c r="R799" s="162">
        <f>IF(ISBLANK(Q799),"введи курс",P799/Q799)</f>
        <v/>
      </c>
      <c r="S799" s="196">
        <f>IF(AND(ISNUMBER(E799),ISNUMBER(Q799)),E799*R799,0)</f>
        <v/>
      </c>
      <c r="T799" s="192">
        <f>$BC799*V$11</f>
        <v/>
      </c>
      <c r="U799" s="76">
        <f>$BC799*W$11</f>
        <v/>
      </c>
      <c r="V799" s="193">
        <f>+SUM(T799:U799)</f>
        <v/>
      </c>
      <c r="W799" s="191" t="n"/>
      <c r="X799" s="170" t="n"/>
      <c r="Y799" s="76">
        <f>ROUND(IF(offer_incoterms="DDP",X799*(S799*(1+AW799)+T799),0),2)</f>
        <v/>
      </c>
      <c r="Z799" s="188" t="n"/>
      <c r="AA799" s="192">
        <f>IFERROR(AB799/E799,0)</f>
        <v/>
      </c>
      <c r="AB799" s="76">
        <f>ROUND(SUM(S799,V799,Y799:Z799,BA799:BB799),2)</f>
        <v/>
      </c>
      <c r="AC799" s="797" t="n"/>
      <c r="AD799" s="192">
        <f t="array" ref="AD799">IFERROR(ROUND((_xlfn.IFS(offer_sale_type="поставка",AB799,offer_sale_type="транзит",S799)*(1+AC799))/E799,2),0)</f>
        <v/>
      </c>
      <c r="AE799" s="76">
        <f>AD799*E799</f>
        <v/>
      </c>
      <c r="AF799" s="193">
        <f t="array" ref="AF799">IFERROR(ROUND(_xlfn.IFS(offer_sale_type="поставка",AB799,offer_sale_type="транзит",S799)*AC799,2),0)</f>
        <v/>
      </c>
      <c r="AG799" s="192">
        <f>$BD799*VLOOKUP($AG$3,$AF$4:$AG$7,2,FALSE)</f>
        <v/>
      </c>
      <c r="AH799" s="76">
        <f>SUM(AE799,AG799,AI799)*rate_forex_risk</f>
        <v/>
      </c>
      <c r="AI799" s="193">
        <f>IF(OR(seller_region="TR",offer_sale_type="экспорт"),0,rate_fin_comm)*SUM(AZ799,AZ799*AW799,T799)</f>
        <v/>
      </c>
      <c r="AJ799" s="118">
        <f>IFERROR(ROUND(SUM(AB799,AF799:AI799)/E799,2),0)</f>
        <v/>
      </c>
      <c r="AK799" s="76">
        <f>AJ799*E799</f>
        <v/>
      </c>
      <c r="AL799" s="174">
        <f>ROUND(IFERROR(AM799*E799,0),2)</f>
        <v/>
      </c>
      <c r="AM799" s="175">
        <f>ROUND(AJ799*(1+IF(offer_incoterms="DDP",IF((TODAY()+offer_turnaround_time)&gt;=helpsheet!$L$17,rate_vatRU_from_26,rate_vatRu_till_25),0)),2)</f>
        <v/>
      </c>
      <c r="AN799" s="192">
        <f>AL799-AK799</f>
        <v/>
      </c>
      <c r="AO799" s="76">
        <f>SUM(AY799,Y799:Z799,T799)*IF(AND(offer_incoterms="DDP",offer_sale_type&lt;&gt;"экспорт"),IF((TODAY()+offer_turnaround_time)&gt;=helpsheet!$L$17,rate_vatRU_from_26,rate_vatRu_till_25),0)</f>
        <v/>
      </c>
      <c r="AP799" s="193">
        <f>AN799-AO799</f>
        <v/>
      </c>
      <c r="AQ799" s="118">
        <f>IF(offer_sale_type="транзит",SUM(AF799:AI799,BA799,BB799),0)</f>
        <v/>
      </c>
      <c r="AR799" s="82">
        <f>HYPERLINK("https://www.alta.ru/tnved/code/")&amp;W799&amp;"/"</f>
        <v/>
      </c>
      <c r="AS799" s="157" t="n"/>
      <c r="AT799" s="162" t="n"/>
      <c r="AU799" s="76">
        <f>IF(ISBLANK(AT799),0,AJ799-AT799)</f>
        <v/>
      </c>
      <c r="AV799" s="157" t="n"/>
      <c r="AW799" s="75">
        <f>_xlfn.IFNA(VLOOKUP(L799,list_vat[],3,FALSE),0)</f>
        <v/>
      </c>
      <c r="AX799" s="76">
        <f>IFERROR(ROUND(S799*(1+AW799)/E799,2),0)</f>
        <v/>
      </c>
      <c r="AY799" s="76">
        <f>E799*AX799</f>
        <v/>
      </c>
      <c r="AZ799" s="192">
        <f>S799*(1+M799)</f>
        <v/>
      </c>
      <c r="BA799" s="76">
        <f>cost_fin_total*$BD799</f>
        <v/>
      </c>
      <c r="BB799" s="193">
        <f>credit_sales_interest*BD799</f>
        <v/>
      </c>
      <c r="BC799" s="102">
        <f>IFERROR(IF($I$13&gt;0,$I799/$I$13,$S799/$S$13),0)</f>
        <v/>
      </c>
      <c r="BD799" s="102">
        <f>IFERROR($S799/$S$13,0)</f>
        <v/>
      </c>
      <c r="BE799" s="413" t="inlineStr">
        <is>
          <t>$</t>
        </is>
      </c>
    </row>
    <row r="800" ht="12" customFormat="1" customHeight="1" s="65">
      <c r="A800" s="43" t="n">
        <v>785</v>
      </c>
      <c r="B800" s="166" t="n"/>
      <c r="C800" s="166" t="n"/>
      <c r="D800" s="166" t="n"/>
      <c r="E800" s="162" t="n"/>
      <c r="F800" s="166" t="n"/>
      <c r="G800" s="162" t="n"/>
      <c r="H800" s="162" t="n"/>
      <c r="I800" s="189">
        <f>E800*G800</f>
        <v/>
      </c>
      <c r="J800" s="195" t="n"/>
      <c r="K800" s="162" t="n"/>
      <c r="L800" s="168" t="n"/>
      <c r="M800" s="75">
        <f>_xlfn.XLOOKUP(L800,list_vat[Страна],list_vat[Ставка НДС %],0,0)</f>
        <v/>
      </c>
      <c r="N800" s="162">
        <f>IFERROR(IF(L800="Китай",K800,K800/(1+M800)),0)</f>
        <v/>
      </c>
      <c r="O800" s="169" t="n"/>
      <c r="P800" s="76">
        <f>N800*(1-O800)</f>
        <v/>
      </c>
      <c r="Q800" s="162" t="n"/>
      <c r="R800" s="162">
        <f>IF(ISBLANK(Q800),"введи курс",P800/Q800)</f>
        <v/>
      </c>
      <c r="S800" s="196">
        <f>IF(AND(ISNUMBER(E800),ISNUMBER(Q800)),E800*R800,0)</f>
        <v/>
      </c>
      <c r="T800" s="192">
        <f>$BC800*V$11</f>
        <v/>
      </c>
      <c r="U800" s="76">
        <f>$BC800*W$11</f>
        <v/>
      </c>
      <c r="V800" s="193">
        <f>+SUM(T800:U800)</f>
        <v/>
      </c>
      <c r="W800" s="191" t="n"/>
      <c r="X800" s="170" t="n"/>
      <c r="Y800" s="76">
        <f>ROUND(IF(offer_incoterms="DDP",X800*(S800*(1+AW800)+T800),0),2)</f>
        <v/>
      </c>
      <c r="Z800" s="188" t="n"/>
      <c r="AA800" s="192">
        <f>IFERROR(AB800/E800,0)</f>
        <v/>
      </c>
      <c r="AB800" s="76">
        <f>ROUND(SUM(S800,V800,Y800:Z800,BA800:BB800),2)</f>
        <v/>
      </c>
      <c r="AC800" s="797" t="n"/>
      <c r="AD800" s="192">
        <f t="array" ref="AD800">IFERROR(ROUND((_xlfn.IFS(offer_sale_type="поставка",AB800,offer_sale_type="транзит",S800)*(1+AC800))/E800,2),0)</f>
        <v/>
      </c>
      <c r="AE800" s="76">
        <f>AD800*E800</f>
        <v/>
      </c>
      <c r="AF800" s="193">
        <f t="array" ref="AF800">IFERROR(ROUND(_xlfn.IFS(offer_sale_type="поставка",AB800,offer_sale_type="транзит",S800)*AC800,2),0)</f>
        <v/>
      </c>
      <c r="AG800" s="192">
        <f>$BD800*VLOOKUP($AG$3,$AF$4:$AG$7,2,FALSE)</f>
        <v/>
      </c>
      <c r="AH800" s="76">
        <f>SUM(AE800,AG800,AI800)*rate_forex_risk</f>
        <v/>
      </c>
      <c r="AI800" s="193">
        <f>IF(OR(seller_region="TR",offer_sale_type="экспорт"),0,rate_fin_comm)*SUM(AZ800,AZ800*AW800,T800)</f>
        <v/>
      </c>
      <c r="AJ800" s="118">
        <f>IFERROR(ROUND(SUM(AB800,AF800:AI800)/E800,2),0)</f>
        <v/>
      </c>
      <c r="AK800" s="76">
        <f>AJ800*E800</f>
        <v/>
      </c>
      <c r="AL800" s="174">
        <f>ROUND(IFERROR(AM800*E800,0),2)</f>
        <v/>
      </c>
      <c r="AM800" s="175">
        <f>ROUND(AJ800*(1+IF(offer_incoterms="DDP",IF((TODAY()+offer_turnaround_time)&gt;=helpsheet!$L$17,rate_vatRU_from_26,rate_vatRu_till_25),0)),2)</f>
        <v/>
      </c>
      <c r="AN800" s="192">
        <f>AL800-AK800</f>
        <v/>
      </c>
      <c r="AO800" s="76">
        <f>SUM(AY800,Y800:Z800,T800)*IF(AND(offer_incoterms="DDP",offer_sale_type&lt;&gt;"экспорт"),IF((TODAY()+offer_turnaround_time)&gt;=helpsheet!$L$17,rate_vatRU_from_26,rate_vatRu_till_25),0)</f>
        <v/>
      </c>
      <c r="AP800" s="193">
        <f>AN800-AO800</f>
        <v/>
      </c>
      <c r="AQ800" s="118">
        <f>IF(offer_sale_type="транзит",SUM(AF800:AI800,BA800,BB800),0)</f>
        <v/>
      </c>
      <c r="AR800" s="82">
        <f>HYPERLINK("https://www.alta.ru/tnved/code/")&amp;W800&amp;"/"</f>
        <v/>
      </c>
      <c r="AS800" s="157" t="n"/>
      <c r="AT800" s="162" t="n"/>
      <c r="AU800" s="76">
        <f>IF(ISBLANK(AT800),0,AJ800-AT800)</f>
        <v/>
      </c>
      <c r="AV800" s="157" t="n"/>
      <c r="AW800" s="75">
        <f>_xlfn.IFNA(VLOOKUP(L800,list_vat[],3,FALSE),0)</f>
        <v/>
      </c>
      <c r="AX800" s="76">
        <f>IFERROR(ROUND(S800*(1+AW800)/E800,2),0)</f>
        <v/>
      </c>
      <c r="AY800" s="76">
        <f>E800*AX800</f>
        <v/>
      </c>
      <c r="AZ800" s="192">
        <f>S800*(1+M800)</f>
        <v/>
      </c>
      <c r="BA800" s="76">
        <f>cost_fin_total*$BD800</f>
        <v/>
      </c>
      <c r="BB800" s="193">
        <f>credit_sales_interest*BD800</f>
        <v/>
      </c>
      <c r="BC800" s="102">
        <f>IFERROR(IF($I$13&gt;0,$I800/$I$13,$S800/$S$13),0)</f>
        <v/>
      </c>
      <c r="BD800" s="102">
        <f>IFERROR($S800/$S$13,0)</f>
        <v/>
      </c>
      <c r="BE800" s="413" t="inlineStr">
        <is>
          <t>$</t>
        </is>
      </c>
    </row>
    <row r="801" ht="12" customFormat="1" customHeight="1" s="65">
      <c r="A801" s="43" t="n">
        <v>786</v>
      </c>
      <c r="B801" s="166" t="n"/>
      <c r="C801" s="166" t="n"/>
      <c r="D801" s="166" t="n"/>
      <c r="E801" s="162" t="n"/>
      <c r="F801" s="166" t="n"/>
      <c r="G801" s="162" t="n"/>
      <c r="H801" s="162" t="n"/>
      <c r="I801" s="189">
        <f>E801*G801</f>
        <v/>
      </c>
      <c r="J801" s="195" t="n"/>
      <c r="K801" s="162" t="n"/>
      <c r="L801" s="168" t="n"/>
      <c r="M801" s="75">
        <f>_xlfn.XLOOKUP(L801,list_vat[Страна],list_vat[Ставка НДС %],0,0)</f>
        <v/>
      </c>
      <c r="N801" s="162">
        <f>IFERROR(IF(L801="Китай",K801,K801/(1+M801)),0)</f>
        <v/>
      </c>
      <c r="O801" s="169" t="n"/>
      <c r="P801" s="76">
        <f>N801*(1-O801)</f>
        <v/>
      </c>
      <c r="Q801" s="162" t="n"/>
      <c r="R801" s="162">
        <f>IF(ISBLANK(Q801),"введи курс",P801/Q801)</f>
        <v/>
      </c>
      <c r="S801" s="196">
        <f>IF(AND(ISNUMBER(E801),ISNUMBER(Q801)),E801*R801,0)</f>
        <v/>
      </c>
      <c r="T801" s="192">
        <f>$BC801*V$11</f>
        <v/>
      </c>
      <c r="U801" s="76">
        <f>$BC801*W$11</f>
        <v/>
      </c>
      <c r="V801" s="193">
        <f>+SUM(T801:U801)</f>
        <v/>
      </c>
      <c r="W801" s="191" t="n"/>
      <c r="X801" s="170" t="n"/>
      <c r="Y801" s="76">
        <f>ROUND(IF(offer_incoterms="DDP",X801*(S801*(1+AW801)+T801),0),2)</f>
        <v/>
      </c>
      <c r="Z801" s="188" t="n"/>
      <c r="AA801" s="192">
        <f>IFERROR(AB801/E801,0)</f>
        <v/>
      </c>
      <c r="AB801" s="76">
        <f>ROUND(SUM(S801,V801,Y801:Z801,BA801:BB801),2)</f>
        <v/>
      </c>
      <c r="AC801" s="797" t="n"/>
      <c r="AD801" s="192">
        <f t="array" ref="AD801">IFERROR(ROUND((_xlfn.IFS(offer_sale_type="поставка",AB801,offer_sale_type="транзит",S801)*(1+AC801))/E801,2),0)</f>
        <v/>
      </c>
      <c r="AE801" s="76">
        <f>AD801*E801</f>
        <v/>
      </c>
      <c r="AF801" s="193">
        <f t="array" ref="AF801">IFERROR(ROUND(_xlfn.IFS(offer_sale_type="поставка",AB801,offer_sale_type="транзит",S801)*AC801,2),0)</f>
        <v/>
      </c>
      <c r="AG801" s="192">
        <f>$BD801*VLOOKUP($AG$3,$AF$4:$AG$7,2,FALSE)</f>
        <v/>
      </c>
      <c r="AH801" s="76">
        <f>SUM(AE801,AG801,AI801)*rate_forex_risk</f>
        <v/>
      </c>
      <c r="AI801" s="193">
        <f>IF(OR(seller_region="TR",offer_sale_type="экспорт"),0,rate_fin_comm)*SUM(AZ801,AZ801*AW801,T801)</f>
        <v/>
      </c>
      <c r="AJ801" s="118">
        <f>IFERROR(ROUND(SUM(AB801,AF801:AI801)/E801,2),0)</f>
        <v/>
      </c>
      <c r="AK801" s="76">
        <f>AJ801*E801</f>
        <v/>
      </c>
      <c r="AL801" s="174">
        <f>ROUND(IFERROR(AM801*E801,0),2)</f>
        <v/>
      </c>
      <c r="AM801" s="175">
        <f>ROUND(AJ801*(1+IF(offer_incoterms="DDP",IF((TODAY()+offer_turnaround_time)&gt;=helpsheet!$L$17,rate_vatRU_from_26,rate_vatRu_till_25),0)),2)</f>
        <v/>
      </c>
      <c r="AN801" s="192">
        <f>AL801-AK801</f>
        <v/>
      </c>
      <c r="AO801" s="76">
        <f>SUM(AY801,Y801:Z801,T801)*IF(AND(offer_incoterms="DDP",offer_sale_type&lt;&gt;"экспорт"),IF((TODAY()+offer_turnaround_time)&gt;=helpsheet!$L$17,rate_vatRU_from_26,rate_vatRu_till_25),0)</f>
        <v/>
      </c>
      <c r="AP801" s="193">
        <f>AN801-AO801</f>
        <v/>
      </c>
      <c r="AQ801" s="118">
        <f>IF(offer_sale_type="транзит",SUM(AF801:AI801,BA801,BB801),0)</f>
        <v/>
      </c>
      <c r="AR801" s="82">
        <f>HYPERLINK("https://www.alta.ru/tnved/code/")&amp;W801&amp;"/"</f>
        <v/>
      </c>
      <c r="AS801" s="157" t="n"/>
      <c r="AT801" s="162" t="n"/>
      <c r="AU801" s="76">
        <f>IF(ISBLANK(AT801),0,AJ801-AT801)</f>
        <v/>
      </c>
      <c r="AV801" s="157" t="n"/>
      <c r="AW801" s="75">
        <f>_xlfn.IFNA(VLOOKUP(L801,list_vat[],3,FALSE),0)</f>
        <v/>
      </c>
      <c r="AX801" s="76">
        <f>IFERROR(ROUND(S801*(1+AW801)/E801,2),0)</f>
        <v/>
      </c>
      <c r="AY801" s="76">
        <f>E801*AX801</f>
        <v/>
      </c>
      <c r="AZ801" s="192">
        <f>S801*(1+M801)</f>
        <v/>
      </c>
      <c r="BA801" s="76">
        <f>cost_fin_total*$BD801</f>
        <v/>
      </c>
      <c r="BB801" s="193">
        <f>credit_sales_interest*BD801</f>
        <v/>
      </c>
      <c r="BC801" s="102">
        <f>IFERROR(IF($I$13&gt;0,$I801/$I$13,$S801/$S$13),0)</f>
        <v/>
      </c>
      <c r="BD801" s="102">
        <f>IFERROR($S801/$S$13,0)</f>
        <v/>
      </c>
      <c r="BE801" s="413" t="inlineStr">
        <is>
          <t>$</t>
        </is>
      </c>
    </row>
    <row r="802" ht="12" customFormat="1" customHeight="1" s="65">
      <c r="A802" s="43" t="n">
        <v>787</v>
      </c>
      <c r="B802" s="166" t="n"/>
      <c r="C802" s="166" t="n"/>
      <c r="D802" s="166" t="n"/>
      <c r="E802" s="162" t="n"/>
      <c r="F802" s="166" t="n"/>
      <c r="G802" s="162" t="n"/>
      <c r="H802" s="162" t="n"/>
      <c r="I802" s="189">
        <f>E802*G802</f>
        <v/>
      </c>
      <c r="J802" s="195" t="n"/>
      <c r="K802" s="162" t="n"/>
      <c r="L802" s="168" t="n"/>
      <c r="M802" s="75">
        <f>_xlfn.XLOOKUP(L802,list_vat[Страна],list_vat[Ставка НДС %],0,0)</f>
        <v/>
      </c>
      <c r="N802" s="162">
        <f>IFERROR(IF(L802="Китай",K802,K802/(1+M802)),0)</f>
        <v/>
      </c>
      <c r="O802" s="169" t="n"/>
      <c r="P802" s="76">
        <f>N802*(1-O802)</f>
        <v/>
      </c>
      <c r="Q802" s="162" t="n"/>
      <c r="R802" s="162">
        <f>IF(ISBLANK(Q802),"введи курс",P802/Q802)</f>
        <v/>
      </c>
      <c r="S802" s="196">
        <f>IF(AND(ISNUMBER(E802),ISNUMBER(Q802)),E802*R802,0)</f>
        <v/>
      </c>
      <c r="T802" s="192">
        <f>$BC802*V$11</f>
        <v/>
      </c>
      <c r="U802" s="76">
        <f>$BC802*W$11</f>
        <v/>
      </c>
      <c r="V802" s="193">
        <f>+SUM(T802:U802)</f>
        <v/>
      </c>
      <c r="W802" s="191" t="n"/>
      <c r="X802" s="170" t="n"/>
      <c r="Y802" s="76">
        <f>ROUND(IF(offer_incoterms="DDP",X802*(S802*(1+AW802)+T802),0),2)</f>
        <v/>
      </c>
      <c r="Z802" s="188" t="n"/>
      <c r="AA802" s="192">
        <f>IFERROR(AB802/E802,0)</f>
        <v/>
      </c>
      <c r="AB802" s="76">
        <f>ROUND(SUM(S802,V802,Y802:Z802,BA802:BB802),2)</f>
        <v/>
      </c>
      <c r="AC802" s="797" t="n"/>
      <c r="AD802" s="192">
        <f t="array" ref="AD802">IFERROR(ROUND((_xlfn.IFS(offer_sale_type="поставка",AB802,offer_sale_type="транзит",S802)*(1+AC802))/E802,2),0)</f>
        <v/>
      </c>
      <c r="AE802" s="76">
        <f>AD802*E802</f>
        <v/>
      </c>
      <c r="AF802" s="193">
        <f t="array" ref="AF802">IFERROR(ROUND(_xlfn.IFS(offer_sale_type="поставка",AB802,offer_sale_type="транзит",S802)*AC802,2),0)</f>
        <v/>
      </c>
      <c r="AG802" s="192">
        <f>$BD802*VLOOKUP($AG$3,$AF$4:$AG$7,2,FALSE)</f>
        <v/>
      </c>
      <c r="AH802" s="76">
        <f>SUM(AE802,AG802,AI802)*rate_forex_risk</f>
        <v/>
      </c>
      <c r="AI802" s="193">
        <f>IF(OR(seller_region="TR",offer_sale_type="экспорт"),0,rate_fin_comm)*SUM(AZ802,AZ802*AW802,T802)</f>
        <v/>
      </c>
      <c r="AJ802" s="118">
        <f>IFERROR(ROUND(SUM(AB802,AF802:AI802)/E802,2),0)</f>
        <v/>
      </c>
      <c r="AK802" s="76">
        <f>AJ802*E802</f>
        <v/>
      </c>
      <c r="AL802" s="174">
        <f>ROUND(IFERROR(AM802*E802,0),2)</f>
        <v/>
      </c>
      <c r="AM802" s="175">
        <f>ROUND(AJ802*(1+IF(offer_incoterms="DDP",IF((TODAY()+offer_turnaround_time)&gt;=helpsheet!$L$17,rate_vatRU_from_26,rate_vatRu_till_25),0)),2)</f>
        <v/>
      </c>
      <c r="AN802" s="192">
        <f>AL802-AK802</f>
        <v/>
      </c>
      <c r="AO802" s="76">
        <f>SUM(AY802,Y802:Z802,T802)*IF(AND(offer_incoterms="DDP",offer_sale_type&lt;&gt;"экспорт"),IF((TODAY()+offer_turnaround_time)&gt;=helpsheet!$L$17,rate_vatRU_from_26,rate_vatRu_till_25),0)</f>
        <v/>
      </c>
      <c r="AP802" s="193">
        <f>AN802-AO802</f>
        <v/>
      </c>
      <c r="AQ802" s="118">
        <f>IF(offer_sale_type="транзит",SUM(AF802:AI802,BA802,BB802),0)</f>
        <v/>
      </c>
      <c r="AR802" s="82">
        <f>HYPERLINK("https://www.alta.ru/tnved/code/")&amp;W802&amp;"/"</f>
        <v/>
      </c>
      <c r="AS802" s="157" t="n"/>
      <c r="AT802" s="162" t="n"/>
      <c r="AU802" s="76">
        <f>IF(ISBLANK(AT802),0,AJ802-AT802)</f>
        <v/>
      </c>
      <c r="AV802" s="157" t="n"/>
      <c r="AW802" s="75">
        <f>_xlfn.IFNA(VLOOKUP(L802,list_vat[],3,FALSE),0)</f>
        <v/>
      </c>
      <c r="AX802" s="76">
        <f>IFERROR(ROUND(S802*(1+AW802)/E802,2),0)</f>
        <v/>
      </c>
      <c r="AY802" s="76">
        <f>E802*AX802</f>
        <v/>
      </c>
      <c r="AZ802" s="192">
        <f>S802*(1+M802)</f>
        <v/>
      </c>
      <c r="BA802" s="76">
        <f>cost_fin_total*$BD802</f>
        <v/>
      </c>
      <c r="BB802" s="193">
        <f>credit_sales_interest*BD802</f>
        <v/>
      </c>
      <c r="BC802" s="102">
        <f>IFERROR(IF($I$13&gt;0,$I802/$I$13,$S802/$S$13),0)</f>
        <v/>
      </c>
      <c r="BD802" s="102">
        <f>IFERROR($S802/$S$13,0)</f>
        <v/>
      </c>
      <c r="BE802" s="413" t="inlineStr">
        <is>
          <t>$</t>
        </is>
      </c>
    </row>
    <row r="803" ht="12" customFormat="1" customHeight="1" s="65">
      <c r="A803" s="43" t="n">
        <v>788</v>
      </c>
      <c r="B803" s="166" t="n"/>
      <c r="C803" s="166" t="n"/>
      <c r="D803" s="166" t="n"/>
      <c r="E803" s="162" t="n"/>
      <c r="F803" s="166" t="n"/>
      <c r="G803" s="162" t="n"/>
      <c r="H803" s="162" t="n"/>
      <c r="I803" s="189">
        <f>E803*G803</f>
        <v/>
      </c>
      <c r="J803" s="195" t="n"/>
      <c r="K803" s="162" t="n"/>
      <c r="L803" s="168" t="n"/>
      <c r="M803" s="75">
        <f>_xlfn.XLOOKUP(L803,list_vat[Страна],list_vat[Ставка НДС %],0,0)</f>
        <v/>
      </c>
      <c r="N803" s="162">
        <f>IFERROR(IF(L803="Китай",K803,K803/(1+M803)),0)</f>
        <v/>
      </c>
      <c r="O803" s="169" t="n"/>
      <c r="P803" s="76">
        <f>N803*(1-O803)</f>
        <v/>
      </c>
      <c r="Q803" s="162" t="n"/>
      <c r="R803" s="162">
        <f>IF(ISBLANK(Q803),"введи курс",P803/Q803)</f>
        <v/>
      </c>
      <c r="S803" s="196">
        <f>IF(AND(ISNUMBER(E803),ISNUMBER(Q803)),E803*R803,0)</f>
        <v/>
      </c>
      <c r="T803" s="192">
        <f>$BC803*V$11</f>
        <v/>
      </c>
      <c r="U803" s="76">
        <f>$BC803*W$11</f>
        <v/>
      </c>
      <c r="V803" s="193">
        <f>+SUM(T803:U803)</f>
        <v/>
      </c>
      <c r="W803" s="191" t="n"/>
      <c r="X803" s="170" t="n"/>
      <c r="Y803" s="76">
        <f>ROUND(IF(offer_incoterms="DDP",X803*(S803*(1+AW803)+T803),0),2)</f>
        <v/>
      </c>
      <c r="Z803" s="188" t="n"/>
      <c r="AA803" s="192">
        <f>IFERROR(AB803/E803,0)</f>
        <v/>
      </c>
      <c r="AB803" s="76">
        <f>ROUND(SUM(S803,V803,Y803:Z803,BA803:BB803),2)</f>
        <v/>
      </c>
      <c r="AC803" s="797" t="n"/>
      <c r="AD803" s="192">
        <f t="array" ref="AD803">IFERROR(ROUND((_xlfn.IFS(offer_sale_type="поставка",AB803,offer_sale_type="транзит",S803)*(1+AC803))/E803,2),0)</f>
        <v/>
      </c>
      <c r="AE803" s="76">
        <f>AD803*E803</f>
        <v/>
      </c>
      <c r="AF803" s="193">
        <f t="array" ref="AF803">IFERROR(ROUND(_xlfn.IFS(offer_sale_type="поставка",AB803,offer_sale_type="транзит",S803)*AC803,2),0)</f>
        <v/>
      </c>
      <c r="AG803" s="192">
        <f>$BD803*VLOOKUP($AG$3,$AF$4:$AG$7,2,FALSE)</f>
        <v/>
      </c>
      <c r="AH803" s="76">
        <f>SUM(AE803,AG803,AI803)*rate_forex_risk</f>
        <v/>
      </c>
      <c r="AI803" s="193">
        <f>IF(OR(seller_region="TR",offer_sale_type="экспорт"),0,rate_fin_comm)*SUM(AZ803,AZ803*AW803,T803)</f>
        <v/>
      </c>
      <c r="AJ803" s="118">
        <f>IFERROR(ROUND(SUM(AB803,AF803:AI803)/E803,2),0)</f>
        <v/>
      </c>
      <c r="AK803" s="76">
        <f>AJ803*E803</f>
        <v/>
      </c>
      <c r="AL803" s="174">
        <f>ROUND(IFERROR(AM803*E803,0),2)</f>
        <v/>
      </c>
      <c r="AM803" s="175">
        <f>ROUND(AJ803*(1+IF(offer_incoterms="DDP",IF((TODAY()+offer_turnaround_time)&gt;=helpsheet!$L$17,rate_vatRU_from_26,rate_vatRu_till_25),0)),2)</f>
        <v/>
      </c>
      <c r="AN803" s="192">
        <f>AL803-AK803</f>
        <v/>
      </c>
      <c r="AO803" s="76">
        <f>SUM(AY803,Y803:Z803,T803)*IF(AND(offer_incoterms="DDP",offer_sale_type&lt;&gt;"экспорт"),IF((TODAY()+offer_turnaround_time)&gt;=helpsheet!$L$17,rate_vatRU_from_26,rate_vatRu_till_25),0)</f>
        <v/>
      </c>
      <c r="AP803" s="193">
        <f>AN803-AO803</f>
        <v/>
      </c>
      <c r="AQ803" s="118">
        <f>IF(offer_sale_type="транзит",SUM(AF803:AI803,BA803,BB803),0)</f>
        <v/>
      </c>
      <c r="AR803" s="82">
        <f>HYPERLINK("https://www.alta.ru/tnved/code/")&amp;W803&amp;"/"</f>
        <v/>
      </c>
      <c r="AS803" s="157" t="n"/>
      <c r="AT803" s="162" t="n"/>
      <c r="AU803" s="76">
        <f>IF(ISBLANK(AT803),0,AJ803-AT803)</f>
        <v/>
      </c>
      <c r="AV803" s="157" t="n"/>
      <c r="AW803" s="75">
        <f>_xlfn.IFNA(VLOOKUP(L803,list_vat[],3,FALSE),0)</f>
        <v/>
      </c>
      <c r="AX803" s="76">
        <f>IFERROR(ROUND(S803*(1+AW803)/E803,2),0)</f>
        <v/>
      </c>
      <c r="AY803" s="76">
        <f>E803*AX803</f>
        <v/>
      </c>
      <c r="AZ803" s="192">
        <f>S803*(1+M803)</f>
        <v/>
      </c>
      <c r="BA803" s="76">
        <f>cost_fin_total*$BD803</f>
        <v/>
      </c>
      <c r="BB803" s="193">
        <f>credit_sales_interest*BD803</f>
        <v/>
      </c>
      <c r="BC803" s="102">
        <f>IFERROR(IF($I$13&gt;0,$I803/$I$13,$S803/$S$13),0)</f>
        <v/>
      </c>
      <c r="BD803" s="102">
        <f>IFERROR($S803/$S$13,0)</f>
        <v/>
      </c>
      <c r="BE803" s="413" t="inlineStr">
        <is>
          <t>$</t>
        </is>
      </c>
    </row>
    <row r="804" ht="12" customFormat="1" customHeight="1" s="65">
      <c r="A804" s="43" t="n">
        <v>789</v>
      </c>
      <c r="B804" s="166" t="n"/>
      <c r="C804" s="166" t="n"/>
      <c r="D804" s="166" t="n"/>
      <c r="E804" s="162" t="n"/>
      <c r="F804" s="166" t="n"/>
      <c r="G804" s="162" t="n"/>
      <c r="H804" s="162" t="n"/>
      <c r="I804" s="189">
        <f>E804*G804</f>
        <v/>
      </c>
      <c r="J804" s="195" t="n"/>
      <c r="K804" s="162" t="n"/>
      <c r="L804" s="168" t="n"/>
      <c r="M804" s="75">
        <f>_xlfn.XLOOKUP(L804,list_vat[Страна],list_vat[Ставка НДС %],0,0)</f>
        <v/>
      </c>
      <c r="N804" s="162">
        <f>IFERROR(IF(L804="Китай",K804,K804/(1+M804)),0)</f>
        <v/>
      </c>
      <c r="O804" s="169" t="n"/>
      <c r="P804" s="76">
        <f>N804*(1-O804)</f>
        <v/>
      </c>
      <c r="Q804" s="162" t="n"/>
      <c r="R804" s="162">
        <f>IF(ISBLANK(Q804),"введи курс",P804/Q804)</f>
        <v/>
      </c>
      <c r="S804" s="196">
        <f>IF(AND(ISNUMBER(E804),ISNUMBER(Q804)),E804*R804,0)</f>
        <v/>
      </c>
      <c r="T804" s="192">
        <f>$BC804*V$11</f>
        <v/>
      </c>
      <c r="U804" s="76">
        <f>$BC804*W$11</f>
        <v/>
      </c>
      <c r="V804" s="193">
        <f>+SUM(T804:U804)</f>
        <v/>
      </c>
      <c r="W804" s="191" t="n"/>
      <c r="X804" s="170" t="n"/>
      <c r="Y804" s="76">
        <f>ROUND(IF(offer_incoterms="DDP",X804*(S804*(1+AW804)+T804),0),2)</f>
        <v/>
      </c>
      <c r="Z804" s="188" t="n"/>
      <c r="AA804" s="192">
        <f>IFERROR(AB804/E804,0)</f>
        <v/>
      </c>
      <c r="AB804" s="76">
        <f>ROUND(SUM(S804,V804,Y804:Z804,BA804:BB804),2)</f>
        <v/>
      </c>
      <c r="AC804" s="797" t="n"/>
      <c r="AD804" s="192">
        <f t="array" ref="AD804">IFERROR(ROUND((_xlfn.IFS(offer_sale_type="поставка",AB804,offer_sale_type="транзит",S804)*(1+AC804))/E804,2),0)</f>
        <v/>
      </c>
      <c r="AE804" s="76">
        <f>AD804*E804</f>
        <v/>
      </c>
      <c r="AF804" s="193">
        <f t="array" ref="AF804">IFERROR(ROUND(_xlfn.IFS(offer_sale_type="поставка",AB804,offer_sale_type="транзит",S804)*AC804,2),0)</f>
        <v/>
      </c>
      <c r="AG804" s="192">
        <f>$BD804*VLOOKUP($AG$3,$AF$4:$AG$7,2,FALSE)</f>
        <v/>
      </c>
      <c r="AH804" s="76">
        <f>SUM(AE804,AG804,AI804)*rate_forex_risk</f>
        <v/>
      </c>
      <c r="AI804" s="193">
        <f>IF(OR(seller_region="TR",offer_sale_type="экспорт"),0,rate_fin_comm)*SUM(AZ804,AZ804*AW804,T804)</f>
        <v/>
      </c>
      <c r="AJ804" s="118">
        <f>IFERROR(ROUND(SUM(AB804,AF804:AI804)/E804,2),0)</f>
        <v/>
      </c>
      <c r="AK804" s="76">
        <f>AJ804*E804</f>
        <v/>
      </c>
      <c r="AL804" s="174">
        <f>ROUND(IFERROR(AM804*E804,0),2)</f>
        <v/>
      </c>
      <c r="AM804" s="175">
        <f>ROUND(AJ804*(1+IF(offer_incoterms="DDP",IF((TODAY()+offer_turnaround_time)&gt;=helpsheet!$L$17,rate_vatRU_from_26,rate_vatRu_till_25),0)),2)</f>
        <v/>
      </c>
      <c r="AN804" s="192">
        <f>AL804-AK804</f>
        <v/>
      </c>
      <c r="AO804" s="76">
        <f>SUM(AY804,Y804:Z804,T804)*IF(AND(offer_incoterms="DDP",offer_sale_type&lt;&gt;"экспорт"),IF((TODAY()+offer_turnaround_time)&gt;=helpsheet!$L$17,rate_vatRU_from_26,rate_vatRu_till_25),0)</f>
        <v/>
      </c>
      <c r="AP804" s="193">
        <f>AN804-AO804</f>
        <v/>
      </c>
      <c r="AQ804" s="118">
        <f>IF(offer_sale_type="транзит",SUM(AF804:AI804,BA804,BB804),0)</f>
        <v/>
      </c>
      <c r="AR804" s="82">
        <f>HYPERLINK("https://www.alta.ru/tnved/code/")&amp;W804&amp;"/"</f>
        <v/>
      </c>
      <c r="AS804" s="157" t="n"/>
      <c r="AT804" s="162" t="n"/>
      <c r="AU804" s="76">
        <f>IF(ISBLANK(AT804),0,AJ804-AT804)</f>
        <v/>
      </c>
      <c r="AV804" s="157" t="n"/>
      <c r="AW804" s="75">
        <f>_xlfn.IFNA(VLOOKUP(L804,list_vat[],3,FALSE),0)</f>
        <v/>
      </c>
      <c r="AX804" s="76">
        <f>IFERROR(ROUND(S804*(1+AW804)/E804,2),0)</f>
        <v/>
      </c>
      <c r="AY804" s="76">
        <f>E804*AX804</f>
        <v/>
      </c>
      <c r="AZ804" s="192">
        <f>S804*(1+M804)</f>
        <v/>
      </c>
      <c r="BA804" s="76">
        <f>cost_fin_total*$BD804</f>
        <v/>
      </c>
      <c r="BB804" s="193">
        <f>credit_sales_interest*BD804</f>
        <v/>
      </c>
      <c r="BC804" s="102">
        <f>IFERROR(IF($I$13&gt;0,$I804/$I$13,$S804/$S$13),0)</f>
        <v/>
      </c>
      <c r="BD804" s="102">
        <f>IFERROR($S804/$S$13,0)</f>
        <v/>
      </c>
      <c r="BE804" s="413" t="inlineStr">
        <is>
          <t>$</t>
        </is>
      </c>
    </row>
    <row r="805" ht="12" customFormat="1" customHeight="1" s="65">
      <c r="A805" s="43" t="n">
        <v>790</v>
      </c>
      <c r="B805" s="166" t="n"/>
      <c r="C805" s="166" t="n"/>
      <c r="D805" s="166" t="n"/>
      <c r="E805" s="162" t="n"/>
      <c r="F805" s="166" t="n"/>
      <c r="G805" s="162" t="n"/>
      <c r="H805" s="162" t="n"/>
      <c r="I805" s="189">
        <f>E805*G805</f>
        <v/>
      </c>
      <c r="J805" s="195" t="n"/>
      <c r="K805" s="162" t="n"/>
      <c r="L805" s="168" t="n"/>
      <c r="M805" s="75">
        <f>_xlfn.XLOOKUP(L805,list_vat[Страна],list_vat[Ставка НДС %],0,0)</f>
        <v/>
      </c>
      <c r="N805" s="162">
        <f>IFERROR(IF(L805="Китай",K805,K805/(1+M805)),0)</f>
        <v/>
      </c>
      <c r="O805" s="169" t="n"/>
      <c r="P805" s="76">
        <f>N805*(1-O805)</f>
        <v/>
      </c>
      <c r="Q805" s="162" t="n"/>
      <c r="R805" s="162">
        <f>IF(ISBLANK(Q805),"введи курс",P805/Q805)</f>
        <v/>
      </c>
      <c r="S805" s="196">
        <f>IF(AND(ISNUMBER(E805),ISNUMBER(Q805)),E805*R805,0)</f>
        <v/>
      </c>
      <c r="T805" s="192">
        <f>$BC805*V$11</f>
        <v/>
      </c>
      <c r="U805" s="76">
        <f>$BC805*W$11</f>
        <v/>
      </c>
      <c r="V805" s="193">
        <f>+SUM(T805:U805)</f>
        <v/>
      </c>
      <c r="W805" s="191" t="n"/>
      <c r="X805" s="170" t="n"/>
      <c r="Y805" s="76">
        <f>ROUND(IF(offer_incoterms="DDP",X805*(S805*(1+AW805)+T805),0),2)</f>
        <v/>
      </c>
      <c r="Z805" s="188" t="n"/>
      <c r="AA805" s="192">
        <f>IFERROR(AB805/E805,0)</f>
        <v/>
      </c>
      <c r="AB805" s="76">
        <f>ROUND(SUM(S805,V805,Y805:Z805,BA805:BB805),2)</f>
        <v/>
      </c>
      <c r="AC805" s="797" t="n"/>
      <c r="AD805" s="192">
        <f t="array" ref="AD805">IFERROR(ROUND((_xlfn.IFS(offer_sale_type="поставка",AB805,offer_sale_type="транзит",S805)*(1+AC805))/E805,2),0)</f>
        <v/>
      </c>
      <c r="AE805" s="76">
        <f>AD805*E805</f>
        <v/>
      </c>
      <c r="AF805" s="193">
        <f t="array" ref="AF805">IFERROR(ROUND(_xlfn.IFS(offer_sale_type="поставка",AB805,offer_sale_type="транзит",S805)*AC805,2),0)</f>
        <v/>
      </c>
      <c r="AG805" s="192">
        <f>$BD805*VLOOKUP($AG$3,$AF$4:$AG$7,2,FALSE)</f>
        <v/>
      </c>
      <c r="AH805" s="76">
        <f>SUM(AE805,AG805,AI805)*rate_forex_risk</f>
        <v/>
      </c>
      <c r="AI805" s="193">
        <f>IF(OR(seller_region="TR",offer_sale_type="экспорт"),0,rate_fin_comm)*SUM(AZ805,AZ805*AW805,T805)</f>
        <v/>
      </c>
      <c r="AJ805" s="118">
        <f>IFERROR(ROUND(SUM(AB805,AF805:AI805)/E805,2),0)</f>
        <v/>
      </c>
      <c r="AK805" s="76">
        <f>AJ805*E805</f>
        <v/>
      </c>
      <c r="AL805" s="174">
        <f>ROUND(IFERROR(AM805*E805,0),2)</f>
        <v/>
      </c>
      <c r="AM805" s="175">
        <f>ROUND(AJ805*(1+IF(offer_incoterms="DDP",IF((TODAY()+offer_turnaround_time)&gt;=helpsheet!$L$17,rate_vatRU_from_26,rate_vatRu_till_25),0)),2)</f>
        <v/>
      </c>
      <c r="AN805" s="192">
        <f>AL805-AK805</f>
        <v/>
      </c>
      <c r="AO805" s="76">
        <f>SUM(AY805,Y805:Z805,T805)*IF(AND(offer_incoterms="DDP",offer_sale_type&lt;&gt;"экспорт"),IF((TODAY()+offer_turnaround_time)&gt;=helpsheet!$L$17,rate_vatRU_from_26,rate_vatRu_till_25),0)</f>
        <v/>
      </c>
      <c r="AP805" s="193">
        <f>AN805-AO805</f>
        <v/>
      </c>
      <c r="AQ805" s="118">
        <f>IF(offer_sale_type="транзит",SUM(AF805:AI805,BA805,BB805),0)</f>
        <v/>
      </c>
      <c r="AR805" s="82">
        <f>HYPERLINK("https://www.alta.ru/tnved/code/")&amp;W805&amp;"/"</f>
        <v/>
      </c>
      <c r="AS805" s="157" t="n"/>
      <c r="AT805" s="162" t="n"/>
      <c r="AU805" s="76">
        <f>IF(ISBLANK(AT805),0,AJ805-AT805)</f>
        <v/>
      </c>
      <c r="AV805" s="157" t="n"/>
      <c r="AW805" s="75">
        <f>_xlfn.IFNA(VLOOKUP(L805,list_vat[],3,FALSE),0)</f>
        <v/>
      </c>
      <c r="AX805" s="76">
        <f>IFERROR(ROUND(S805*(1+AW805)/E805,2),0)</f>
        <v/>
      </c>
      <c r="AY805" s="76">
        <f>E805*AX805</f>
        <v/>
      </c>
      <c r="AZ805" s="192">
        <f>S805*(1+M805)</f>
        <v/>
      </c>
      <c r="BA805" s="76">
        <f>cost_fin_total*$BD805</f>
        <v/>
      </c>
      <c r="BB805" s="193">
        <f>credit_sales_interest*BD805</f>
        <v/>
      </c>
      <c r="BC805" s="102">
        <f>IFERROR(IF($I$13&gt;0,$I805/$I$13,$S805/$S$13),0)</f>
        <v/>
      </c>
      <c r="BD805" s="102">
        <f>IFERROR($S805/$S$13,0)</f>
        <v/>
      </c>
      <c r="BE805" s="413" t="inlineStr">
        <is>
          <t>$</t>
        </is>
      </c>
    </row>
    <row r="806" ht="12" customFormat="1" customHeight="1" s="65">
      <c r="A806" s="43" t="n">
        <v>791</v>
      </c>
      <c r="B806" s="166" t="n"/>
      <c r="C806" s="166" t="n"/>
      <c r="D806" s="166" t="n"/>
      <c r="E806" s="162" t="n"/>
      <c r="F806" s="166" t="n"/>
      <c r="G806" s="162" t="n"/>
      <c r="H806" s="162" t="n"/>
      <c r="I806" s="189">
        <f>E806*G806</f>
        <v/>
      </c>
      <c r="J806" s="195" t="n"/>
      <c r="K806" s="162" t="n"/>
      <c r="L806" s="168" t="n"/>
      <c r="M806" s="75">
        <f>_xlfn.XLOOKUP(L806,list_vat[Страна],list_vat[Ставка НДС %],0,0)</f>
        <v/>
      </c>
      <c r="N806" s="162">
        <f>IFERROR(IF(L806="Китай",K806,K806/(1+M806)),0)</f>
        <v/>
      </c>
      <c r="O806" s="169" t="n"/>
      <c r="P806" s="76">
        <f>N806*(1-O806)</f>
        <v/>
      </c>
      <c r="Q806" s="162" t="n"/>
      <c r="R806" s="162">
        <f>IF(ISBLANK(Q806),"введи курс",P806/Q806)</f>
        <v/>
      </c>
      <c r="S806" s="196">
        <f>IF(AND(ISNUMBER(E806),ISNUMBER(Q806)),E806*R806,0)</f>
        <v/>
      </c>
      <c r="T806" s="192">
        <f>$BC806*V$11</f>
        <v/>
      </c>
      <c r="U806" s="76">
        <f>$BC806*W$11</f>
        <v/>
      </c>
      <c r="V806" s="193">
        <f>+SUM(T806:U806)</f>
        <v/>
      </c>
      <c r="W806" s="191" t="n"/>
      <c r="X806" s="170" t="n"/>
      <c r="Y806" s="76">
        <f>ROUND(IF(offer_incoterms="DDP",X806*(S806*(1+AW806)+T806),0),2)</f>
        <v/>
      </c>
      <c r="Z806" s="188" t="n"/>
      <c r="AA806" s="192">
        <f>IFERROR(AB806/E806,0)</f>
        <v/>
      </c>
      <c r="AB806" s="76">
        <f>ROUND(SUM(S806,V806,Y806:Z806,BA806:BB806),2)</f>
        <v/>
      </c>
      <c r="AC806" s="797" t="n"/>
      <c r="AD806" s="192">
        <f t="array" ref="AD806">IFERROR(ROUND((_xlfn.IFS(offer_sale_type="поставка",AB806,offer_sale_type="транзит",S806)*(1+AC806))/E806,2),0)</f>
        <v/>
      </c>
      <c r="AE806" s="76">
        <f>AD806*E806</f>
        <v/>
      </c>
      <c r="AF806" s="193">
        <f t="array" ref="AF806">IFERROR(ROUND(_xlfn.IFS(offer_sale_type="поставка",AB806,offer_sale_type="транзит",S806)*AC806,2),0)</f>
        <v/>
      </c>
      <c r="AG806" s="192">
        <f>$BD806*VLOOKUP($AG$3,$AF$4:$AG$7,2,FALSE)</f>
        <v/>
      </c>
      <c r="AH806" s="76">
        <f>SUM(AE806,AG806,AI806)*rate_forex_risk</f>
        <v/>
      </c>
      <c r="AI806" s="193">
        <f>IF(OR(seller_region="TR",offer_sale_type="экспорт"),0,rate_fin_comm)*SUM(AZ806,AZ806*AW806,T806)</f>
        <v/>
      </c>
      <c r="AJ806" s="118">
        <f>IFERROR(ROUND(SUM(AB806,AF806:AI806)/E806,2),0)</f>
        <v/>
      </c>
      <c r="AK806" s="76">
        <f>AJ806*E806</f>
        <v/>
      </c>
      <c r="AL806" s="174">
        <f>ROUND(IFERROR(AM806*E806,0),2)</f>
        <v/>
      </c>
      <c r="AM806" s="175">
        <f>ROUND(AJ806*(1+IF(offer_incoterms="DDP",IF((TODAY()+offer_turnaround_time)&gt;=helpsheet!$L$17,rate_vatRU_from_26,rate_vatRu_till_25),0)),2)</f>
        <v/>
      </c>
      <c r="AN806" s="192">
        <f>AL806-AK806</f>
        <v/>
      </c>
      <c r="AO806" s="76">
        <f>SUM(AY806,Y806:Z806,T806)*IF(AND(offer_incoterms="DDP",offer_sale_type&lt;&gt;"экспорт"),IF((TODAY()+offer_turnaround_time)&gt;=helpsheet!$L$17,rate_vatRU_from_26,rate_vatRu_till_25),0)</f>
        <v/>
      </c>
      <c r="AP806" s="193">
        <f>AN806-AO806</f>
        <v/>
      </c>
      <c r="AQ806" s="118">
        <f>IF(offer_sale_type="транзит",SUM(AF806:AI806,BA806,BB806),0)</f>
        <v/>
      </c>
      <c r="AR806" s="82">
        <f>HYPERLINK("https://www.alta.ru/tnved/code/")&amp;W806&amp;"/"</f>
        <v/>
      </c>
      <c r="AS806" s="157" t="n"/>
      <c r="AT806" s="162" t="n"/>
      <c r="AU806" s="76">
        <f>IF(ISBLANK(AT806),0,AJ806-AT806)</f>
        <v/>
      </c>
      <c r="AV806" s="157" t="n"/>
      <c r="AW806" s="75">
        <f>_xlfn.IFNA(VLOOKUP(L806,list_vat[],3,FALSE),0)</f>
        <v/>
      </c>
      <c r="AX806" s="76">
        <f>IFERROR(ROUND(S806*(1+AW806)/E806,2),0)</f>
        <v/>
      </c>
      <c r="AY806" s="76">
        <f>E806*AX806</f>
        <v/>
      </c>
      <c r="AZ806" s="192">
        <f>S806*(1+M806)</f>
        <v/>
      </c>
      <c r="BA806" s="76">
        <f>cost_fin_total*$BD806</f>
        <v/>
      </c>
      <c r="BB806" s="193">
        <f>credit_sales_interest*BD806</f>
        <v/>
      </c>
      <c r="BC806" s="102">
        <f>IFERROR(IF($I$13&gt;0,$I806/$I$13,$S806/$S$13),0)</f>
        <v/>
      </c>
      <c r="BD806" s="102">
        <f>IFERROR($S806/$S$13,0)</f>
        <v/>
      </c>
      <c r="BE806" s="413" t="inlineStr">
        <is>
          <t>$</t>
        </is>
      </c>
    </row>
    <row r="807" ht="12" customFormat="1" customHeight="1" s="65">
      <c r="A807" s="43" t="n">
        <v>792</v>
      </c>
      <c r="B807" s="166" t="n"/>
      <c r="C807" s="166" t="n"/>
      <c r="D807" s="166" t="n"/>
      <c r="E807" s="162" t="n"/>
      <c r="F807" s="166" t="n"/>
      <c r="G807" s="162" t="n"/>
      <c r="H807" s="162" t="n"/>
      <c r="I807" s="189">
        <f>E807*G807</f>
        <v/>
      </c>
      <c r="J807" s="195" t="n"/>
      <c r="K807" s="162" t="n"/>
      <c r="L807" s="168" t="n"/>
      <c r="M807" s="75">
        <f>_xlfn.XLOOKUP(L807,list_vat[Страна],list_vat[Ставка НДС %],0,0)</f>
        <v/>
      </c>
      <c r="N807" s="162">
        <f>IFERROR(IF(L807="Китай",K807,K807/(1+M807)),0)</f>
        <v/>
      </c>
      <c r="O807" s="169" t="n"/>
      <c r="P807" s="76">
        <f>N807*(1-O807)</f>
        <v/>
      </c>
      <c r="Q807" s="162" t="n"/>
      <c r="R807" s="162">
        <f>IF(ISBLANK(Q807),"введи курс",P807/Q807)</f>
        <v/>
      </c>
      <c r="S807" s="196">
        <f>IF(AND(ISNUMBER(E807),ISNUMBER(Q807)),E807*R807,0)</f>
        <v/>
      </c>
      <c r="T807" s="192">
        <f>$BC807*V$11</f>
        <v/>
      </c>
      <c r="U807" s="76">
        <f>$BC807*W$11</f>
        <v/>
      </c>
      <c r="V807" s="193">
        <f>+SUM(T807:U807)</f>
        <v/>
      </c>
      <c r="W807" s="191" t="n"/>
      <c r="X807" s="170" t="n"/>
      <c r="Y807" s="76">
        <f>ROUND(IF(offer_incoterms="DDP",X807*(S807*(1+AW807)+T807),0),2)</f>
        <v/>
      </c>
      <c r="Z807" s="188" t="n"/>
      <c r="AA807" s="192">
        <f>IFERROR(AB807/E807,0)</f>
        <v/>
      </c>
      <c r="AB807" s="76">
        <f>ROUND(SUM(S807,V807,Y807:Z807,BA807:BB807),2)</f>
        <v/>
      </c>
      <c r="AC807" s="797" t="n"/>
      <c r="AD807" s="192">
        <f t="array" ref="AD807">IFERROR(ROUND((_xlfn.IFS(offer_sale_type="поставка",AB807,offer_sale_type="транзит",S807)*(1+AC807))/E807,2),0)</f>
        <v/>
      </c>
      <c r="AE807" s="76">
        <f>AD807*E807</f>
        <v/>
      </c>
      <c r="AF807" s="193">
        <f t="array" ref="AF807">IFERROR(ROUND(_xlfn.IFS(offer_sale_type="поставка",AB807,offer_sale_type="транзит",S807)*AC807,2),0)</f>
        <v/>
      </c>
      <c r="AG807" s="192">
        <f>$BD807*VLOOKUP($AG$3,$AF$4:$AG$7,2,FALSE)</f>
        <v/>
      </c>
      <c r="AH807" s="76">
        <f>SUM(AE807,AG807,AI807)*rate_forex_risk</f>
        <v/>
      </c>
      <c r="AI807" s="193">
        <f>IF(OR(seller_region="TR",offer_sale_type="экспорт"),0,rate_fin_comm)*SUM(AZ807,AZ807*AW807,T807)</f>
        <v/>
      </c>
      <c r="AJ807" s="118">
        <f>IFERROR(ROUND(SUM(AB807,AF807:AI807)/E807,2),0)</f>
        <v/>
      </c>
      <c r="AK807" s="76">
        <f>AJ807*E807</f>
        <v/>
      </c>
      <c r="AL807" s="174">
        <f>ROUND(IFERROR(AM807*E807,0),2)</f>
        <v/>
      </c>
      <c r="AM807" s="175">
        <f>ROUND(AJ807*(1+IF(offer_incoterms="DDP",IF((TODAY()+offer_turnaround_time)&gt;=helpsheet!$L$17,rate_vatRU_from_26,rate_vatRu_till_25),0)),2)</f>
        <v/>
      </c>
      <c r="AN807" s="192">
        <f>AL807-AK807</f>
        <v/>
      </c>
      <c r="AO807" s="76">
        <f>SUM(AY807,Y807:Z807,T807)*IF(AND(offer_incoterms="DDP",offer_sale_type&lt;&gt;"экспорт"),IF((TODAY()+offer_turnaround_time)&gt;=helpsheet!$L$17,rate_vatRU_from_26,rate_vatRu_till_25),0)</f>
        <v/>
      </c>
      <c r="AP807" s="193">
        <f>AN807-AO807</f>
        <v/>
      </c>
      <c r="AQ807" s="118">
        <f>IF(offer_sale_type="транзит",SUM(AF807:AI807,BA807,BB807),0)</f>
        <v/>
      </c>
      <c r="AR807" s="82">
        <f>HYPERLINK("https://www.alta.ru/tnved/code/")&amp;W807&amp;"/"</f>
        <v/>
      </c>
      <c r="AS807" s="157" t="n"/>
      <c r="AT807" s="162" t="n"/>
      <c r="AU807" s="76">
        <f>IF(ISBLANK(AT807),0,AJ807-AT807)</f>
        <v/>
      </c>
      <c r="AV807" s="157" t="n"/>
      <c r="AW807" s="75">
        <f>_xlfn.IFNA(VLOOKUP(L807,list_vat[],3,FALSE),0)</f>
        <v/>
      </c>
      <c r="AX807" s="76">
        <f>IFERROR(ROUND(S807*(1+AW807)/E807,2),0)</f>
        <v/>
      </c>
      <c r="AY807" s="76">
        <f>E807*AX807</f>
        <v/>
      </c>
      <c r="AZ807" s="192">
        <f>S807*(1+M807)</f>
        <v/>
      </c>
      <c r="BA807" s="76">
        <f>cost_fin_total*$BD807</f>
        <v/>
      </c>
      <c r="BB807" s="193">
        <f>credit_sales_interest*BD807</f>
        <v/>
      </c>
      <c r="BC807" s="102">
        <f>IFERROR(IF($I$13&gt;0,$I807/$I$13,$S807/$S$13),0)</f>
        <v/>
      </c>
      <c r="BD807" s="102">
        <f>IFERROR($S807/$S$13,0)</f>
        <v/>
      </c>
      <c r="BE807" s="413" t="inlineStr">
        <is>
          <t>$</t>
        </is>
      </c>
    </row>
    <row r="808" ht="12" customFormat="1" customHeight="1" s="65">
      <c r="A808" s="43" t="n">
        <v>793</v>
      </c>
      <c r="B808" s="166" t="n"/>
      <c r="C808" s="166" t="n"/>
      <c r="D808" s="166" t="n"/>
      <c r="E808" s="162" t="n"/>
      <c r="F808" s="166" t="n"/>
      <c r="G808" s="162" t="n"/>
      <c r="H808" s="162" t="n"/>
      <c r="I808" s="189">
        <f>E808*G808</f>
        <v/>
      </c>
      <c r="J808" s="195" t="n"/>
      <c r="K808" s="162" t="n"/>
      <c r="L808" s="168" t="n"/>
      <c r="M808" s="75">
        <f>_xlfn.XLOOKUP(L808,list_vat[Страна],list_vat[Ставка НДС %],0,0)</f>
        <v/>
      </c>
      <c r="N808" s="162">
        <f>IFERROR(IF(L808="Китай",K808,K808/(1+M808)),0)</f>
        <v/>
      </c>
      <c r="O808" s="169" t="n"/>
      <c r="P808" s="76">
        <f>N808*(1-O808)</f>
        <v/>
      </c>
      <c r="Q808" s="162" t="n"/>
      <c r="R808" s="162">
        <f>IF(ISBLANK(Q808),"введи курс",P808/Q808)</f>
        <v/>
      </c>
      <c r="S808" s="196">
        <f>IF(AND(ISNUMBER(E808),ISNUMBER(Q808)),E808*R808,0)</f>
        <v/>
      </c>
      <c r="T808" s="192">
        <f>$BC808*V$11</f>
        <v/>
      </c>
      <c r="U808" s="76">
        <f>$BC808*W$11</f>
        <v/>
      </c>
      <c r="V808" s="193">
        <f>+SUM(T808:U808)</f>
        <v/>
      </c>
      <c r="W808" s="191" t="n"/>
      <c r="X808" s="170" t="n"/>
      <c r="Y808" s="76">
        <f>ROUND(IF(offer_incoterms="DDP",X808*(S808*(1+AW808)+T808),0),2)</f>
        <v/>
      </c>
      <c r="Z808" s="188" t="n"/>
      <c r="AA808" s="192">
        <f>IFERROR(AB808/E808,0)</f>
        <v/>
      </c>
      <c r="AB808" s="76">
        <f>ROUND(SUM(S808,V808,Y808:Z808,BA808:BB808),2)</f>
        <v/>
      </c>
      <c r="AC808" s="797" t="n"/>
      <c r="AD808" s="192">
        <f t="array" ref="AD808">IFERROR(ROUND((_xlfn.IFS(offer_sale_type="поставка",AB808,offer_sale_type="транзит",S808)*(1+AC808))/E808,2),0)</f>
        <v/>
      </c>
      <c r="AE808" s="76">
        <f>AD808*E808</f>
        <v/>
      </c>
      <c r="AF808" s="193">
        <f t="array" ref="AF808">IFERROR(ROUND(_xlfn.IFS(offer_sale_type="поставка",AB808,offer_sale_type="транзит",S808)*AC808,2),0)</f>
        <v/>
      </c>
      <c r="AG808" s="192">
        <f>$BD808*VLOOKUP($AG$3,$AF$4:$AG$7,2,FALSE)</f>
        <v/>
      </c>
      <c r="AH808" s="76">
        <f>SUM(AE808,AG808,AI808)*rate_forex_risk</f>
        <v/>
      </c>
      <c r="AI808" s="193">
        <f>IF(OR(seller_region="TR",offer_sale_type="экспорт"),0,rate_fin_comm)*SUM(AZ808,AZ808*AW808,T808)</f>
        <v/>
      </c>
      <c r="AJ808" s="118">
        <f>IFERROR(ROUND(SUM(AB808,AF808:AI808)/E808,2),0)</f>
        <v/>
      </c>
      <c r="AK808" s="76">
        <f>AJ808*E808</f>
        <v/>
      </c>
      <c r="AL808" s="174">
        <f>ROUND(IFERROR(AM808*E808,0),2)</f>
        <v/>
      </c>
      <c r="AM808" s="175">
        <f>ROUND(AJ808*(1+IF(offer_incoterms="DDP",IF((TODAY()+offer_turnaround_time)&gt;=helpsheet!$L$17,rate_vatRU_from_26,rate_vatRu_till_25),0)),2)</f>
        <v/>
      </c>
      <c r="AN808" s="192">
        <f>AL808-AK808</f>
        <v/>
      </c>
      <c r="AO808" s="76">
        <f>SUM(AY808,Y808:Z808,T808)*IF(AND(offer_incoterms="DDP",offer_sale_type&lt;&gt;"экспорт"),IF((TODAY()+offer_turnaround_time)&gt;=helpsheet!$L$17,rate_vatRU_from_26,rate_vatRu_till_25),0)</f>
        <v/>
      </c>
      <c r="AP808" s="193">
        <f>AN808-AO808</f>
        <v/>
      </c>
      <c r="AQ808" s="118">
        <f>IF(offer_sale_type="транзит",SUM(AF808:AI808,BA808,BB808),0)</f>
        <v/>
      </c>
      <c r="AR808" s="82">
        <f>HYPERLINK("https://www.alta.ru/tnved/code/")&amp;W808&amp;"/"</f>
        <v/>
      </c>
      <c r="AS808" s="157" t="n"/>
      <c r="AT808" s="162" t="n"/>
      <c r="AU808" s="76">
        <f>IF(ISBLANK(AT808),0,AJ808-AT808)</f>
        <v/>
      </c>
      <c r="AV808" s="157" t="n"/>
      <c r="AW808" s="75">
        <f>_xlfn.IFNA(VLOOKUP(L808,list_vat[],3,FALSE),0)</f>
        <v/>
      </c>
      <c r="AX808" s="76">
        <f>IFERROR(ROUND(S808*(1+AW808)/E808,2),0)</f>
        <v/>
      </c>
      <c r="AY808" s="76">
        <f>E808*AX808</f>
        <v/>
      </c>
      <c r="AZ808" s="192">
        <f>S808*(1+M808)</f>
        <v/>
      </c>
      <c r="BA808" s="76">
        <f>cost_fin_total*$BD808</f>
        <v/>
      </c>
      <c r="BB808" s="193">
        <f>credit_sales_interest*BD808</f>
        <v/>
      </c>
      <c r="BC808" s="102">
        <f>IFERROR(IF($I$13&gt;0,$I808/$I$13,$S808/$S$13),0)</f>
        <v/>
      </c>
      <c r="BD808" s="102">
        <f>IFERROR($S808/$S$13,0)</f>
        <v/>
      </c>
      <c r="BE808" s="413" t="inlineStr">
        <is>
          <t>$</t>
        </is>
      </c>
    </row>
    <row r="809" ht="12" customFormat="1" customHeight="1" s="65">
      <c r="A809" s="43" t="n">
        <v>794</v>
      </c>
      <c r="B809" s="166" t="n"/>
      <c r="C809" s="166" t="n"/>
      <c r="D809" s="166" t="n"/>
      <c r="E809" s="162" t="n"/>
      <c r="F809" s="166" t="n"/>
      <c r="G809" s="162" t="n"/>
      <c r="H809" s="162" t="n"/>
      <c r="I809" s="189">
        <f>E809*G809</f>
        <v/>
      </c>
      <c r="J809" s="195" t="n"/>
      <c r="K809" s="162" t="n"/>
      <c r="L809" s="168" t="n"/>
      <c r="M809" s="75">
        <f>_xlfn.XLOOKUP(L809,list_vat[Страна],list_vat[Ставка НДС %],0,0)</f>
        <v/>
      </c>
      <c r="N809" s="162">
        <f>IFERROR(IF(L809="Китай",K809,K809/(1+M809)),0)</f>
        <v/>
      </c>
      <c r="O809" s="169" t="n"/>
      <c r="P809" s="76">
        <f>N809*(1-O809)</f>
        <v/>
      </c>
      <c r="Q809" s="162" t="n"/>
      <c r="R809" s="162">
        <f>IF(ISBLANK(Q809),"введи курс",P809/Q809)</f>
        <v/>
      </c>
      <c r="S809" s="196">
        <f>IF(AND(ISNUMBER(E809),ISNUMBER(Q809)),E809*R809,0)</f>
        <v/>
      </c>
      <c r="T809" s="192">
        <f>$BC809*V$11</f>
        <v/>
      </c>
      <c r="U809" s="76">
        <f>$BC809*W$11</f>
        <v/>
      </c>
      <c r="V809" s="193">
        <f>+SUM(T809:U809)</f>
        <v/>
      </c>
      <c r="W809" s="191" t="n"/>
      <c r="X809" s="170" t="n"/>
      <c r="Y809" s="76">
        <f>ROUND(IF(offer_incoterms="DDP",X809*(S809*(1+AW809)+T809),0),2)</f>
        <v/>
      </c>
      <c r="Z809" s="188" t="n"/>
      <c r="AA809" s="192">
        <f>IFERROR(AB809/E809,0)</f>
        <v/>
      </c>
      <c r="AB809" s="76">
        <f>ROUND(SUM(S809,V809,Y809:Z809,BA809:BB809),2)</f>
        <v/>
      </c>
      <c r="AC809" s="797" t="n"/>
      <c r="AD809" s="192">
        <f t="array" ref="AD809">IFERROR(ROUND((_xlfn.IFS(offer_sale_type="поставка",AB809,offer_sale_type="транзит",S809)*(1+AC809))/E809,2),0)</f>
        <v/>
      </c>
      <c r="AE809" s="76">
        <f>AD809*E809</f>
        <v/>
      </c>
      <c r="AF809" s="193">
        <f t="array" ref="AF809">IFERROR(ROUND(_xlfn.IFS(offer_sale_type="поставка",AB809,offer_sale_type="транзит",S809)*AC809,2),0)</f>
        <v/>
      </c>
      <c r="AG809" s="192">
        <f>$BD809*VLOOKUP($AG$3,$AF$4:$AG$7,2,FALSE)</f>
        <v/>
      </c>
      <c r="AH809" s="76">
        <f>SUM(AE809,AG809,AI809)*rate_forex_risk</f>
        <v/>
      </c>
      <c r="AI809" s="193">
        <f>IF(OR(seller_region="TR",offer_sale_type="экспорт"),0,rate_fin_comm)*SUM(AZ809,AZ809*AW809,T809)</f>
        <v/>
      </c>
      <c r="AJ809" s="118">
        <f>IFERROR(ROUND(SUM(AB809,AF809:AI809)/E809,2),0)</f>
        <v/>
      </c>
      <c r="AK809" s="76">
        <f>AJ809*E809</f>
        <v/>
      </c>
      <c r="AL809" s="174">
        <f>ROUND(IFERROR(AM809*E809,0),2)</f>
        <v/>
      </c>
      <c r="AM809" s="175">
        <f>ROUND(AJ809*(1+IF(offer_incoterms="DDP",IF((TODAY()+offer_turnaround_time)&gt;=helpsheet!$L$17,rate_vatRU_from_26,rate_vatRu_till_25),0)),2)</f>
        <v/>
      </c>
      <c r="AN809" s="192">
        <f>AL809-AK809</f>
        <v/>
      </c>
      <c r="AO809" s="76">
        <f>SUM(AY809,Y809:Z809,T809)*IF(AND(offer_incoterms="DDP",offer_sale_type&lt;&gt;"экспорт"),IF((TODAY()+offer_turnaround_time)&gt;=helpsheet!$L$17,rate_vatRU_from_26,rate_vatRu_till_25),0)</f>
        <v/>
      </c>
      <c r="AP809" s="193">
        <f>AN809-AO809</f>
        <v/>
      </c>
      <c r="AQ809" s="118">
        <f>IF(offer_sale_type="транзит",SUM(AF809:AI809,BA809,BB809),0)</f>
        <v/>
      </c>
      <c r="AR809" s="82">
        <f>HYPERLINK("https://www.alta.ru/tnved/code/")&amp;W809&amp;"/"</f>
        <v/>
      </c>
      <c r="AS809" s="157" t="n"/>
      <c r="AT809" s="162" t="n"/>
      <c r="AU809" s="76">
        <f>IF(ISBLANK(AT809),0,AJ809-AT809)</f>
        <v/>
      </c>
      <c r="AV809" s="157" t="n"/>
      <c r="AW809" s="75">
        <f>_xlfn.IFNA(VLOOKUP(L809,list_vat[],3,FALSE),0)</f>
        <v/>
      </c>
      <c r="AX809" s="76">
        <f>IFERROR(ROUND(S809*(1+AW809)/E809,2),0)</f>
        <v/>
      </c>
      <c r="AY809" s="76">
        <f>E809*AX809</f>
        <v/>
      </c>
      <c r="AZ809" s="192">
        <f>S809*(1+M809)</f>
        <v/>
      </c>
      <c r="BA809" s="76">
        <f>cost_fin_total*$BD809</f>
        <v/>
      </c>
      <c r="BB809" s="193">
        <f>credit_sales_interest*BD809</f>
        <v/>
      </c>
      <c r="BC809" s="102">
        <f>IFERROR(IF($I$13&gt;0,$I809/$I$13,$S809/$S$13),0)</f>
        <v/>
      </c>
      <c r="BD809" s="102">
        <f>IFERROR($S809/$S$13,0)</f>
        <v/>
      </c>
      <c r="BE809" s="413" t="inlineStr">
        <is>
          <t>$</t>
        </is>
      </c>
    </row>
    <row r="810" ht="12" customFormat="1" customHeight="1" s="65">
      <c r="A810" s="43" t="n">
        <v>795</v>
      </c>
      <c r="B810" s="166" t="n"/>
      <c r="C810" s="166" t="n"/>
      <c r="D810" s="166" t="n"/>
      <c r="E810" s="162" t="n"/>
      <c r="F810" s="166" t="n"/>
      <c r="G810" s="162" t="n"/>
      <c r="H810" s="162" t="n"/>
      <c r="I810" s="189">
        <f>E810*G810</f>
        <v/>
      </c>
      <c r="J810" s="195" t="n"/>
      <c r="K810" s="162" t="n"/>
      <c r="L810" s="168" t="n"/>
      <c r="M810" s="75">
        <f>_xlfn.XLOOKUP(L810,list_vat[Страна],list_vat[Ставка НДС %],0,0)</f>
        <v/>
      </c>
      <c r="N810" s="162">
        <f>IFERROR(IF(L810="Китай",K810,K810/(1+M810)),0)</f>
        <v/>
      </c>
      <c r="O810" s="169" t="n"/>
      <c r="P810" s="76">
        <f>N810*(1-O810)</f>
        <v/>
      </c>
      <c r="Q810" s="162" t="n"/>
      <c r="R810" s="162">
        <f>IF(ISBLANK(Q810),"введи курс",P810/Q810)</f>
        <v/>
      </c>
      <c r="S810" s="196">
        <f>IF(AND(ISNUMBER(E810),ISNUMBER(Q810)),E810*R810,0)</f>
        <v/>
      </c>
      <c r="T810" s="192">
        <f>$BC810*V$11</f>
        <v/>
      </c>
      <c r="U810" s="76">
        <f>$BC810*W$11</f>
        <v/>
      </c>
      <c r="V810" s="193">
        <f>+SUM(T810:U810)</f>
        <v/>
      </c>
      <c r="W810" s="191" t="n"/>
      <c r="X810" s="170" t="n"/>
      <c r="Y810" s="76">
        <f>ROUND(IF(offer_incoterms="DDP",X810*(S810*(1+AW810)+T810),0),2)</f>
        <v/>
      </c>
      <c r="Z810" s="188" t="n"/>
      <c r="AA810" s="192">
        <f>IFERROR(AB810/E810,0)</f>
        <v/>
      </c>
      <c r="AB810" s="76">
        <f>ROUND(SUM(S810,V810,Y810:Z810,BA810:BB810),2)</f>
        <v/>
      </c>
      <c r="AC810" s="797" t="n"/>
      <c r="AD810" s="192">
        <f t="array" ref="AD810">IFERROR(ROUND((_xlfn.IFS(offer_sale_type="поставка",AB810,offer_sale_type="транзит",S810)*(1+AC810))/E810,2),0)</f>
        <v/>
      </c>
      <c r="AE810" s="76">
        <f>AD810*E810</f>
        <v/>
      </c>
      <c r="AF810" s="193">
        <f t="array" ref="AF810">IFERROR(ROUND(_xlfn.IFS(offer_sale_type="поставка",AB810,offer_sale_type="транзит",S810)*AC810,2),0)</f>
        <v/>
      </c>
      <c r="AG810" s="192">
        <f>$BD810*VLOOKUP($AG$3,$AF$4:$AG$7,2,FALSE)</f>
        <v/>
      </c>
      <c r="AH810" s="76">
        <f>SUM(AE810,AG810,AI810)*rate_forex_risk</f>
        <v/>
      </c>
      <c r="AI810" s="193">
        <f>IF(OR(seller_region="TR",offer_sale_type="экспорт"),0,rate_fin_comm)*SUM(AZ810,AZ810*AW810,T810)</f>
        <v/>
      </c>
      <c r="AJ810" s="118">
        <f>IFERROR(ROUND(SUM(AB810,AF810:AI810)/E810,2),0)</f>
        <v/>
      </c>
      <c r="AK810" s="76">
        <f>AJ810*E810</f>
        <v/>
      </c>
      <c r="AL810" s="174">
        <f>ROUND(IFERROR(AM810*E810,0),2)</f>
        <v/>
      </c>
      <c r="AM810" s="175">
        <f>ROUND(AJ810*(1+IF(offer_incoterms="DDP",IF((TODAY()+offer_turnaround_time)&gt;=helpsheet!$L$17,rate_vatRU_from_26,rate_vatRu_till_25),0)),2)</f>
        <v/>
      </c>
      <c r="AN810" s="192">
        <f>AL810-AK810</f>
        <v/>
      </c>
      <c r="AO810" s="76">
        <f>SUM(AY810,Y810:Z810,T810)*IF(AND(offer_incoterms="DDP",offer_sale_type&lt;&gt;"экспорт"),IF((TODAY()+offer_turnaround_time)&gt;=helpsheet!$L$17,rate_vatRU_from_26,rate_vatRu_till_25),0)</f>
        <v/>
      </c>
      <c r="AP810" s="193">
        <f>AN810-AO810</f>
        <v/>
      </c>
      <c r="AQ810" s="118">
        <f>IF(offer_sale_type="транзит",SUM(AF810:AI810,BA810,BB810),0)</f>
        <v/>
      </c>
      <c r="AR810" s="82">
        <f>HYPERLINK("https://www.alta.ru/tnved/code/")&amp;W810&amp;"/"</f>
        <v/>
      </c>
      <c r="AS810" s="157" t="n"/>
      <c r="AT810" s="162" t="n"/>
      <c r="AU810" s="76">
        <f>IF(ISBLANK(AT810),0,AJ810-AT810)</f>
        <v/>
      </c>
      <c r="AV810" s="157" t="n"/>
      <c r="AW810" s="75">
        <f>_xlfn.IFNA(VLOOKUP(L810,list_vat[],3,FALSE),0)</f>
        <v/>
      </c>
      <c r="AX810" s="76">
        <f>IFERROR(ROUND(S810*(1+AW810)/E810,2),0)</f>
        <v/>
      </c>
      <c r="AY810" s="76">
        <f>E810*AX810</f>
        <v/>
      </c>
      <c r="AZ810" s="192">
        <f>S810*(1+M810)</f>
        <v/>
      </c>
      <c r="BA810" s="76">
        <f>cost_fin_total*$BD810</f>
        <v/>
      </c>
      <c r="BB810" s="193">
        <f>credit_sales_interest*BD810</f>
        <v/>
      </c>
      <c r="BC810" s="102">
        <f>IFERROR(IF($I$13&gt;0,$I810/$I$13,$S810/$S$13),0)</f>
        <v/>
      </c>
      <c r="BD810" s="102">
        <f>IFERROR($S810/$S$13,0)</f>
        <v/>
      </c>
      <c r="BE810" s="413" t="inlineStr">
        <is>
          <t>$</t>
        </is>
      </c>
    </row>
    <row r="811" ht="12" customFormat="1" customHeight="1" s="65">
      <c r="A811" s="43" t="n">
        <v>796</v>
      </c>
      <c r="B811" s="166" t="n"/>
      <c r="C811" s="166" t="n"/>
      <c r="D811" s="166" t="n"/>
      <c r="E811" s="162" t="n"/>
      <c r="F811" s="166" t="n"/>
      <c r="G811" s="162" t="n"/>
      <c r="H811" s="162" t="n"/>
      <c r="I811" s="189">
        <f>E811*G811</f>
        <v/>
      </c>
      <c r="J811" s="195" t="n"/>
      <c r="K811" s="162" t="n"/>
      <c r="L811" s="168" t="n"/>
      <c r="M811" s="75">
        <f>_xlfn.XLOOKUP(L811,list_vat[Страна],list_vat[Ставка НДС %],0,0)</f>
        <v/>
      </c>
      <c r="N811" s="162">
        <f>IFERROR(IF(L811="Китай",K811,K811/(1+M811)),0)</f>
        <v/>
      </c>
      <c r="O811" s="169" t="n"/>
      <c r="P811" s="76">
        <f>N811*(1-O811)</f>
        <v/>
      </c>
      <c r="Q811" s="162" t="n"/>
      <c r="R811" s="162">
        <f>IF(ISBLANK(Q811),"введи курс",P811/Q811)</f>
        <v/>
      </c>
      <c r="S811" s="196">
        <f>IF(AND(ISNUMBER(E811),ISNUMBER(Q811)),E811*R811,0)</f>
        <v/>
      </c>
      <c r="T811" s="192">
        <f>$BC811*V$11</f>
        <v/>
      </c>
      <c r="U811" s="76">
        <f>$BC811*W$11</f>
        <v/>
      </c>
      <c r="V811" s="193">
        <f>+SUM(T811:U811)</f>
        <v/>
      </c>
      <c r="W811" s="191" t="n"/>
      <c r="X811" s="170" t="n"/>
      <c r="Y811" s="76">
        <f>ROUND(IF(offer_incoterms="DDP",X811*(S811*(1+AW811)+T811),0),2)</f>
        <v/>
      </c>
      <c r="Z811" s="188" t="n"/>
      <c r="AA811" s="192">
        <f>IFERROR(AB811/E811,0)</f>
        <v/>
      </c>
      <c r="AB811" s="76">
        <f>ROUND(SUM(S811,V811,Y811:Z811,BA811:BB811),2)</f>
        <v/>
      </c>
      <c r="AC811" s="797" t="n"/>
      <c r="AD811" s="192">
        <f t="array" ref="AD811">IFERROR(ROUND((_xlfn.IFS(offer_sale_type="поставка",AB811,offer_sale_type="транзит",S811)*(1+AC811))/E811,2),0)</f>
        <v/>
      </c>
      <c r="AE811" s="76">
        <f>AD811*E811</f>
        <v/>
      </c>
      <c r="AF811" s="193">
        <f t="array" ref="AF811">IFERROR(ROUND(_xlfn.IFS(offer_sale_type="поставка",AB811,offer_sale_type="транзит",S811)*AC811,2),0)</f>
        <v/>
      </c>
      <c r="AG811" s="192">
        <f>$BD811*VLOOKUP($AG$3,$AF$4:$AG$7,2,FALSE)</f>
        <v/>
      </c>
      <c r="AH811" s="76">
        <f>SUM(AE811,AG811,AI811)*rate_forex_risk</f>
        <v/>
      </c>
      <c r="AI811" s="193">
        <f>IF(OR(seller_region="TR",offer_sale_type="экспорт"),0,rate_fin_comm)*SUM(AZ811,AZ811*AW811,T811)</f>
        <v/>
      </c>
      <c r="AJ811" s="118">
        <f>IFERROR(ROUND(SUM(AB811,AF811:AI811)/E811,2),0)</f>
        <v/>
      </c>
      <c r="AK811" s="76">
        <f>AJ811*E811</f>
        <v/>
      </c>
      <c r="AL811" s="174">
        <f>ROUND(IFERROR(AM811*E811,0),2)</f>
        <v/>
      </c>
      <c r="AM811" s="175">
        <f>ROUND(AJ811*(1+IF(offer_incoterms="DDP",IF((TODAY()+offer_turnaround_time)&gt;=helpsheet!$L$17,rate_vatRU_from_26,rate_vatRu_till_25),0)),2)</f>
        <v/>
      </c>
      <c r="AN811" s="192">
        <f>AL811-AK811</f>
        <v/>
      </c>
      <c r="AO811" s="76">
        <f>SUM(AY811,Y811:Z811,T811)*IF(AND(offer_incoterms="DDP",offer_sale_type&lt;&gt;"экспорт"),IF((TODAY()+offer_turnaround_time)&gt;=helpsheet!$L$17,rate_vatRU_from_26,rate_vatRu_till_25),0)</f>
        <v/>
      </c>
      <c r="AP811" s="193">
        <f>AN811-AO811</f>
        <v/>
      </c>
      <c r="AQ811" s="118">
        <f>IF(offer_sale_type="транзит",SUM(AF811:AI811,BA811,BB811),0)</f>
        <v/>
      </c>
      <c r="AR811" s="82">
        <f>HYPERLINK("https://www.alta.ru/tnved/code/")&amp;W811&amp;"/"</f>
        <v/>
      </c>
      <c r="AS811" s="157" t="n"/>
      <c r="AT811" s="162" t="n"/>
      <c r="AU811" s="76">
        <f>IF(ISBLANK(AT811),0,AJ811-AT811)</f>
        <v/>
      </c>
      <c r="AV811" s="157" t="n"/>
      <c r="AW811" s="75">
        <f>_xlfn.IFNA(VLOOKUP(L811,list_vat[],3,FALSE),0)</f>
        <v/>
      </c>
      <c r="AX811" s="76">
        <f>IFERROR(ROUND(S811*(1+AW811)/E811,2),0)</f>
        <v/>
      </c>
      <c r="AY811" s="76">
        <f>E811*AX811</f>
        <v/>
      </c>
      <c r="AZ811" s="192">
        <f>S811*(1+M811)</f>
        <v/>
      </c>
      <c r="BA811" s="76">
        <f>cost_fin_total*$BD811</f>
        <v/>
      </c>
      <c r="BB811" s="193">
        <f>credit_sales_interest*BD811</f>
        <v/>
      </c>
      <c r="BC811" s="102">
        <f>IFERROR(IF($I$13&gt;0,$I811/$I$13,$S811/$S$13),0)</f>
        <v/>
      </c>
      <c r="BD811" s="102">
        <f>IFERROR($S811/$S$13,0)</f>
        <v/>
      </c>
      <c r="BE811" s="413" t="inlineStr">
        <is>
          <t>$</t>
        </is>
      </c>
    </row>
    <row r="812" ht="12" customFormat="1" customHeight="1" s="65">
      <c r="A812" s="43" t="n">
        <v>797</v>
      </c>
      <c r="B812" s="166" t="n"/>
      <c r="C812" s="166" t="n"/>
      <c r="D812" s="166" t="n"/>
      <c r="E812" s="162" t="n"/>
      <c r="F812" s="166" t="n"/>
      <c r="G812" s="162" t="n"/>
      <c r="H812" s="162" t="n"/>
      <c r="I812" s="189">
        <f>E812*G812</f>
        <v/>
      </c>
      <c r="J812" s="195" t="n"/>
      <c r="K812" s="162" t="n"/>
      <c r="L812" s="168" t="n"/>
      <c r="M812" s="75">
        <f>_xlfn.XLOOKUP(L812,list_vat[Страна],list_vat[Ставка НДС %],0,0)</f>
        <v/>
      </c>
      <c r="N812" s="162">
        <f>IFERROR(IF(L812="Китай",K812,K812/(1+M812)),0)</f>
        <v/>
      </c>
      <c r="O812" s="169" t="n"/>
      <c r="P812" s="76">
        <f>N812*(1-O812)</f>
        <v/>
      </c>
      <c r="Q812" s="162" t="n"/>
      <c r="R812" s="162">
        <f>IF(ISBLANK(Q812),"введи курс",P812/Q812)</f>
        <v/>
      </c>
      <c r="S812" s="196">
        <f>IF(AND(ISNUMBER(E812),ISNUMBER(Q812)),E812*R812,0)</f>
        <v/>
      </c>
      <c r="T812" s="192">
        <f>$BC812*V$11</f>
        <v/>
      </c>
      <c r="U812" s="76">
        <f>$BC812*W$11</f>
        <v/>
      </c>
      <c r="V812" s="193">
        <f>+SUM(T812:U812)</f>
        <v/>
      </c>
      <c r="W812" s="191" t="n"/>
      <c r="X812" s="170" t="n"/>
      <c r="Y812" s="76">
        <f>ROUND(IF(offer_incoterms="DDP",X812*(S812*(1+AW812)+T812),0),2)</f>
        <v/>
      </c>
      <c r="Z812" s="188" t="n"/>
      <c r="AA812" s="192">
        <f>IFERROR(AB812/E812,0)</f>
        <v/>
      </c>
      <c r="AB812" s="76">
        <f>ROUND(SUM(S812,V812,Y812:Z812,BA812:BB812),2)</f>
        <v/>
      </c>
      <c r="AC812" s="797" t="n"/>
      <c r="AD812" s="192">
        <f t="array" ref="AD812">IFERROR(ROUND((_xlfn.IFS(offer_sale_type="поставка",AB812,offer_sale_type="транзит",S812)*(1+AC812))/E812,2),0)</f>
        <v/>
      </c>
      <c r="AE812" s="76">
        <f>AD812*E812</f>
        <v/>
      </c>
      <c r="AF812" s="193">
        <f t="array" ref="AF812">IFERROR(ROUND(_xlfn.IFS(offer_sale_type="поставка",AB812,offer_sale_type="транзит",S812)*AC812,2),0)</f>
        <v/>
      </c>
      <c r="AG812" s="192">
        <f>$BD812*VLOOKUP($AG$3,$AF$4:$AG$7,2,FALSE)</f>
        <v/>
      </c>
      <c r="AH812" s="76">
        <f>SUM(AE812,AG812,AI812)*rate_forex_risk</f>
        <v/>
      </c>
      <c r="AI812" s="193">
        <f>IF(OR(seller_region="TR",offer_sale_type="экспорт"),0,rate_fin_comm)*SUM(AZ812,AZ812*AW812,T812)</f>
        <v/>
      </c>
      <c r="AJ812" s="118">
        <f>IFERROR(ROUND(SUM(AB812,AF812:AI812)/E812,2),0)</f>
        <v/>
      </c>
      <c r="AK812" s="76">
        <f>AJ812*E812</f>
        <v/>
      </c>
      <c r="AL812" s="174">
        <f>ROUND(IFERROR(AM812*E812,0),2)</f>
        <v/>
      </c>
      <c r="AM812" s="175">
        <f>ROUND(AJ812*(1+IF(offer_incoterms="DDP",IF((TODAY()+offer_turnaround_time)&gt;=helpsheet!$L$17,rate_vatRU_from_26,rate_vatRu_till_25),0)),2)</f>
        <v/>
      </c>
      <c r="AN812" s="192">
        <f>AL812-AK812</f>
        <v/>
      </c>
      <c r="AO812" s="76">
        <f>SUM(AY812,Y812:Z812,T812)*IF(AND(offer_incoterms="DDP",offer_sale_type&lt;&gt;"экспорт"),IF((TODAY()+offer_turnaround_time)&gt;=helpsheet!$L$17,rate_vatRU_from_26,rate_vatRu_till_25),0)</f>
        <v/>
      </c>
      <c r="AP812" s="193">
        <f>AN812-AO812</f>
        <v/>
      </c>
      <c r="AQ812" s="118">
        <f>IF(offer_sale_type="транзит",SUM(AF812:AI812,BA812,BB812),0)</f>
        <v/>
      </c>
      <c r="AR812" s="82">
        <f>HYPERLINK("https://www.alta.ru/tnved/code/")&amp;W812&amp;"/"</f>
        <v/>
      </c>
      <c r="AS812" s="157" t="n"/>
      <c r="AT812" s="162" t="n"/>
      <c r="AU812" s="76">
        <f>IF(ISBLANK(AT812),0,AJ812-AT812)</f>
        <v/>
      </c>
      <c r="AV812" s="157" t="n"/>
      <c r="AW812" s="75">
        <f>_xlfn.IFNA(VLOOKUP(L812,list_vat[],3,FALSE),0)</f>
        <v/>
      </c>
      <c r="AX812" s="76">
        <f>IFERROR(ROUND(S812*(1+AW812)/E812,2),0)</f>
        <v/>
      </c>
      <c r="AY812" s="76">
        <f>E812*AX812</f>
        <v/>
      </c>
      <c r="AZ812" s="192">
        <f>S812*(1+M812)</f>
        <v/>
      </c>
      <c r="BA812" s="76">
        <f>cost_fin_total*$BD812</f>
        <v/>
      </c>
      <c r="BB812" s="193">
        <f>credit_sales_interest*BD812</f>
        <v/>
      </c>
      <c r="BC812" s="102">
        <f>IFERROR(IF($I$13&gt;0,$I812/$I$13,$S812/$S$13),0)</f>
        <v/>
      </c>
      <c r="BD812" s="102">
        <f>IFERROR($S812/$S$13,0)</f>
        <v/>
      </c>
      <c r="BE812" s="413" t="inlineStr">
        <is>
          <t>$</t>
        </is>
      </c>
    </row>
    <row r="813" ht="12" customFormat="1" customHeight="1" s="65">
      <c r="A813" s="43" t="n">
        <v>798</v>
      </c>
      <c r="B813" s="166" t="n"/>
      <c r="C813" s="166" t="n"/>
      <c r="D813" s="166" t="n"/>
      <c r="E813" s="162" t="n"/>
      <c r="F813" s="166" t="n"/>
      <c r="G813" s="162" t="n"/>
      <c r="H813" s="162" t="n"/>
      <c r="I813" s="189">
        <f>E813*G813</f>
        <v/>
      </c>
      <c r="J813" s="195" t="n"/>
      <c r="K813" s="162" t="n"/>
      <c r="L813" s="168" t="n"/>
      <c r="M813" s="75">
        <f>_xlfn.XLOOKUP(L813,list_vat[Страна],list_vat[Ставка НДС %],0,0)</f>
        <v/>
      </c>
      <c r="N813" s="162">
        <f>IFERROR(IF(L813="Китай",K813,K813/(1+M813)),0)</f>
        <v/>
      </c>
      <c r="O813" s="169" t="n"/>
      <c r="P813" s="76">
        <f>N813*(1-O813)</f>
        <v/>
      </c>
      <c r="Q813" s="162" t="n"/>
      <c r="R813" s="162">
        <f>IF(ISBLANK(Q813),"введи курс",P813/Q813)</f>
        <v/>
      </c>
      <c r="S813" s="196">
        <f>IF(AND(ISNUMBER(E813),ISNUMBER(Q813)),E813*R813,0)</f>
        <v/>
      </c>
      <c r="T813" s="192">
        <f>$BC813*V$11</f>
        <v/>
      </c>
      <c r="U813" s="76">
        <f>$BC813*W$11</f>
        <v/>
      </c>
      <c r="V813" s="193">
        <f>+SUM(T813:U813)</f>
        <v/>
      </c>
      <c r="W813" s="191" t="n"/>
      <c r="X813" s="170" t="n"/>
      <c r="Y813" s="76">
        <f>ROUND(IF(offer_incoterms="DDP",X813*(S813*(1+AW813)+T813),0),2)</f>
        <v/>
      </c>
      <c r="Z813" s="188" t="n"/>
      <c r="AA813" s="192">
        <f>IFERROR(AB813/E813,0)</f>
        <v/>
      </c>
      <c r="AB813" s="76">
        <f>ROUND(SUM(S813,V813,Y813:Z813,BA813:BB813),2)</f>
        <v/>
      </c>
      <c r="AC813" s="797" t="n"/>
      <c r="AD813" s="192">
        <f t="array" ref="AD813">IFERROR(ROUND((_xlfn.IFS(offer_sale_type="поставка",AB813,offer_sale_type="транзит",S813)*(1+AC813))/E813,2),0)</f>
        <v/>
      </c>
      <c r="AE813" s="76">
        <f>AD813*E813</f>
        <v/>
      </c>
      <c r="AF813" s="193">
        <f t="array" ref="AF813">IFERROR(ROUND(_xlfn.IFS(offer_sale_type="поставка",AB813,offer_sale_type="транзит",S813)*AC813,2),0)</f>
        <v/>
      </c>
      <c r="AG813" s="192">
        <f>$BD813*VLOOKUP($AG$3,$AF$4:$AG$7,2,FALSE)</f>
        <v/>
      </c>
      <c r="AH813" s="76">
        <f>SUM(AE813,AG813,AI813)*rate_forex_risk</f>
        <v/>
      </c>
      <c r="AI813" s="193">
        <f>IF(OR(seller_region="TR",offer_sale_type="экспорт"),0,rate_fin_comm)*SUM(AZ813,AZ813*AW813,T813)</f>
        <v/>
      </c>
      <c r="AJ813" s="118">
        <f>IFERROR(ROUND(SUM(AB813,AF813:AI813)/E813,2),0)</f>
        <v/>
      </c>
      <c r="AK813" s="76">
        <f>AJ813*E813</f>
        <v/>
      </c>
      <c r="AL813" s="174">
        <f>ROUND(IFERROR(AM813*E813,0),2)</f>
        <v/>
      </c>
      <c r="AM813" s="175">
        <f>ROUND(AJ813*(1+IF(offer_incoterms="DDP",IF((TODAY()+offer_turnaround_time)&gt;=helpsheet!$L$17,rate_vatRU_from_26,rate_vatRu_till_25),0)),2)</f>
        <v/>
      </c>
      <c r="AN813" s="192">
        <f>AL813-AK813</f>
        <v/>
      </c>
      <c r="AO813" s="76">
        <f>SUM(AY813,Y813:Z813,T813)*IF(AND(offer_incoterms="DDP",offer_sale_type&lt;&gt;"экспорт"),IF((TODAY()+offer_turnaround_time)&gt;=helpsheet!$L$17,rate_vatRU_from_26,rate_vatRu_till_25),0)</f>
        <v/>
      </c>
      <c r="AP813" s="193">
        <f>AN813-AO813</f>
        <v/>
      </c>
      <c r="AQ813" s="118">
        <f>IF(offer_sale_type="транзит",SUM(AF813:AI813,BA813,BB813),0)</f>
        <v/>
      </c>
      <c r="AR813" s="82">
        <f>HYPERLINK("https://www.alta.ru/tnved/code/")&amp;W813&amp;"/"</f>
        <v/>
      </c>
      <c r="AS813" s="157" t="n"/>
      <c r="AT813" s="162" t="n"/>
      <c r="AU813" s="76">
        <f>IF(ISBLANK(AT813),0,AJ813-AT813)</f>
        <v/>
      </c>
      <c r="AV813" s="157" t="n"/>
      <c r="AW813" s="75">
        <f>_xlfn.IFNA(VLOOKUP(L813,list_vat[],3,FALSE),0)</f>
        <v/>
      </c>
      <c r="AX813" s="76">
        <f>IFERROR(ROUND(S813*(1+AW813)/E813,2),0)</f>
        <v/>
      </c>
      <c r="AY813" s="76">
        <f>E813*AX813</f>
        <v/>
      </c>
      <c r="AZ813" s="192">
        <f>S813*(1+M813)</f>
        <v/>
      </c>
      <c r="BA813" s="76">
        <f>cost_fin_total*$BD813</f>
        <v/>
      </c>
      <c r="BB813" s="193">
        <f>credit_sales_interest*BD813</f>
        <v/>
      </c>
      <c r="BC813" s="102">
        <f>IFERROR(IF($I$13&gt;0,$I813/$I$13,$S813/$S$13),0)</f>
        <v/>
      </c>
      <c r="BD813" s="102">
        <f>IFERROR($S813/$S$13,0)</f>
        <v/>
      </c>
      <c r="BE813" s="413" t="inlineStr">
        <is>
          <t>$</t>
        </is>
      </c>
    </row>
    <row r="814" ht="12" customFormat="1" customHeight="1" s="65">
      <c r="A814" s="43" t="n">
        <v>799</v>
      </c>
      <c r="B814" s="166" t="n"/>
      <c r="C814" s="166" t="n"/>
      <c r="D814" s="166" t="n"/>
      <c r="E814" s="162" t="n"/>
      <c r="F814" s="166" t="n"/>
      <c r="G814" s="162" t="n"/>
      <c r="H814" s="162" t="n"/>
      <c r="I814" s="189">
        <f>E814*G814</f>
        <v/>
      </c>
      <c r="J814" s="195" t="n"/>
      <c r="K814" s="162" t="n"/>
      <c r="L814" s="168" t="n"/>
      <c r="M814" s="75">
        <f>_xlfn.XLOOKUP(L814,list_vat[Страна],list_vat[Ставка НДС %],0,0)</f>
        <v/>
      </c>
      <c r="N814" s="162">
        <f>IFERROR(IF(L814="Китай",K814,K814/(1+M814)),0)</f>
        <v/>
      </c>
      <c r="O814" s="169" t="n"/>
      <c r="P814" s="76">
        <f>N814*(1-O814)</f>
        <v/>
      </c>
      <c r="Q814" s="162" t="n"/>
      <c r="R814" s="162">
        <f>IF(ISBLANK(Q814),"введи курс",P814/Q814)</f>
        <v/>
      </c>
      <c r="S814" s="196">
        <f>IF(AND(ISNUMBER(E814),ISNUMBER(Q814)),E814*R814,0)</f>
        <v/>
      </c>
      <c r="T814" s="192">
        <f>$BC814*V$11</f>
        <v/>
      </c>
      <c r="U814" s="76">
        <f>$BC814*W$11</f>
        <v/>
      </c>
      <c r="V814" s="193">
        <f>+SUM(T814:U814)</f>
        <v/>
      </c>
      <c r="W814" s="191" t="n"/>
      <c r="X814" s="170" t="n"/>
      <c r="Y814" s="76">
        <f>ROUND(IF(offer_incoterms="DDP",X814*(S814*(1+AW814)+T814),0),2)</f>
        <v/>
      </c>
      <c r="Z814" s="188" t="n"/>
      <c r="AA814" s="192">
        <f>IFERROR(AB814/E814,0)</f>
        <v/>
      </c>
      <c r="AB814" s="76">
        <f>ROUND(SUM(S814,V814,Y814:Z814,BA814:BB814),2)</f>
        <v/>
      </c>
      <c r="AC814" s="797" t="n"/>
      <c r="AD814" s="192">
        <f t="array" ref="AD814">IFERROR(ROUND((_xlfn.IFS(offer_sale_type="поставка",AB814,offer_sale_type="транзит",S814)*(1+AC814))/E814,2),0)</f>
        <v/>
      </c>
      <c r="AE814" s="76">
        <f>AD814*E814</f>
        <v/>
      </c>
      <c r="AF814" s="193">
        <f t="array" ref="AF814">IFERROR(ROUND(_xlfn.IFS(offer_sale_type="поставка",AB814,offer_sale_type="транзит",S814)*AC814,2),0)</f>
        <v/>
      </c>
      <c r="AG814" s="192">
        <f>$BD814*VLOOKUP($AG$3,$AF$4:$AG$7,2,FALSE)</f>
        <v/>
      </c>
      <c r="AH814" s="76">
        <f>SUM(AE814,AG814,AI814)*rate_forex_risk</f>
        <v/>
      </c>
      <c r="AI814" s="193">
        <f>IF(OR(seller_region="TR",offer_sale_type="экспорт"),0,rate_fin_comm)*SUM(AZ814,AZ814*AW814,T814)</f>
        <v/>
      </c>
      <c r="AJ814" s="118">
        <f>IFERROR(ROUND(SUM(AB814,AF814:AI814)/E814,2),0)</f>
        <v/>
      </c>
      <c r="AK814" s="76">
        <f>AJ814*E814</f>
        <v/>
      </c>
      <c r="AL814" s="174">
        <f>ROUND(IFERROR(AM814*E814,0),2)</f>
        <v/>
      </c>
      <c r="AM814" s="175">
        <f>ROUND(AJ814*(1+IF(offer_incoterms="DDP",IF((TODAY()+offer_turnaround_time)&gt;=helpsheet!$L$17,rate_vatRU_from_26,rate_vatRu_till_25),0)),2)</f>
        <v/>
      </c>
      <c r="AN814" s="192">
        <f>AL814-AK814</f>
        <v/>
      </c>
      <c r="AO814" s="76">
        <f>SUM(AY814,Y814:Z814,T814)*IF(AND(offer_incoterms="DDP",offer_sale_type&lt;&gt;"экспорт"),IF((TODAY()+offer_turnaround_time)&gt;=helpsheet!$L$17,rate_vatRU_from_26,rate_vatRu_till_25),0)</f>
        <v/>
      </c>
      <c r="AP814" s="193">
        <f>AN814-AO814</f>
        <v/>
      </c>
      <c r="AQ814" s="118">
        <f>IF(offer_sale_type="транзит",SUM(AF814:AI814,BA814,BB814),0)</f>
        <v/>
      </c>
      <c r="AR814" s="82">
        <f>HYPERLINK("https://www.alta.ru/tnved/code/")&amp;W814&amp;"/"</f>
        <v/>
      </c>
      <c r="AS814" s="157" t="n"/>
      <c r="AT814" s="162" t="n"/>
      <c r="AU814" s="76">
        <f>IF(ISBLANK(AT814),0,AJ814-AT814)</f>
        <v/>
      </c>
      <c r="AV814" s="157" t="n"/>
      <c r="AW814" s="75">
        <f>_xlfn.IFNA(VLOOKUP(L814,list_vat[],3,FALSE),0)</f>
        <v/>
      </c>
      <c r="AX814" s="76">
        <f>IFERROR(ROUND(S814*(1+AW814)/E814,2),0)</f>
        <v/>
      </c>
      <c r="AY814" s="76">
        <f>E814*AX814</f>
        <v/>
      </c>
      <c r="AZ814" s="192">
        <f>S814*(1+M814)</f>
        <v/>
      </c>
      <c r="BA814" s="76">
        <f>cost_fin_total*$BD814</f>
        <v/>
      </c>
      <c r="BB814" s="193">
        <f>credit_sales_interest*BD814</f>
        <v/>
      </c>
      <c r="BC814" s="102">
        <f>IFERROR(IF($I$13&gt;0,$I814/$I$13,$S814/$S$13),0)</f>
        <v/>
      </c>
      <c r="BD814" s="102">
        <f>IFERROR($S814/$S$13,0)</f>
        <v/>
      </c>
      <c r="BE814" s="413" t="inlineStr">
        <is>
          <t>$</t>
        </is>
      </c>
    </row>
    <row r="815" ht="12" customFormat="1" customHeight="1" s="65">
      <c r="A815" s="43" t="n">
        <v>800</v>
      </c>
      <c r="B815" s="166" t="n"/>
      <c r="C815" s="166" t="n"/>
      <c r="D815" s="166" t="n"/>
      <c r="E815" s="162" t="n"/>
      <c r="F815" s="166" t="n"/>
      <c r="G815" s="162" t="n"/>
      <c r="H815" s="162" t="n"/>
      <c r="I815" s="189">
        <f>E815*G815</f>
        <v/>
      </c>
      <c r="J815" s="195" t="n"/>
      <c r="K815" s="162" t="n"/>
      <c r="L815" s="168" t="n"/>
      <c r="M815" s="75">
        <f>_xlfn.XLOOKUP(L815,list_vat[Страна],list_vat[Ставка НДС %],0,0)</f>
        <v/>
      </c>
      <c r="N815" s="162">
        <f>IFERROR(IF(L815="Китай",K815,K815/(1+M815)),0)</f>
        <v/>
      </c>
      <c r="O815" s="169" t="n"/>
      <c r="P815" s="76">
        <f>N815*(1-O815)</f>
        <v/>
      </c>
      <c r="Q815" s="162" t="n"/>
      <c r="R815" s="162">
        <f>IF(ISBLANK(Q815),"введи курс",P815/Q815)</f>
        <v/>
      </c>
      <c r="S815" s="196">
        <f>IF(AND(ISNUMBER(E815),ISNUMBER(Q815)),E815*R815,0)</f>
        <v/>
      </c>
      <c r="T815" s="192">
        <f>$BC815*V$11</f>
        <v/>
      </c>
      <c r="U815" s="76">
        <f>$BC815*W$11</f>
        <v/>
      </c>
      <c r="V815" s="193">
        <f>+SUM(T815:U815)</f>
        <v/>
      </c>
      <c r="W815" s="191" t="n"/>
      <c r="X815" s="170" t="n"/>
      <c r="Y815" s="76">
        <f>ROUND(IF(offer_incoterms="DDP",X815*(S815*(1+AW815)+T815),0),2)</f>
        <v/>
      </c>
      <c r="Z815" s="188" t="n"/>
      <c r="AA815" s="192">
        <f>IFERROR(AB815/E815,0)</f>
        <v/>
      </c>
      <c r="AB815" s="76">
        <f>ROUND(SUM(S815,V815,Y815:Z815,BA815:BB815),2)</f>
        <v/>
      </c>
      <c r="AC815" s="797" t="n"/>
      <c r="AD815" s="192">
        <f t="array" ref="AD815">IFERROR(ROUND((_xlfn.IFS(offer_sale_type="поставка",AB815,offer_sale_type="транзит",S815)*(1+AC815))/E815,2),0)</f>
        <v/>
      </c>
      <c r="AE815" s="76">
        <f>AD815*E815</f>
        <v/>
      </c>
      <c r="AF815" s="193">
        <f t="array" ref="AF815">IFERROR(ROUND(_xlfn.IFS(offer_sale_type="поставка",AB815,offer_sale_type="транзит",S815)*AC815,2),0)</f>
        <v/>
      </c>
      <c r="AG815" s="192">
        <f>$BD815*VLOOKUP($AG$3,$AF$4:$AG$7,2,FALSE)</f>
        <v/>
      </c>
      <c r="AH815" s="76">
        <f>SUM(AE815,AG815,AI815)*rate_forex_risk</f>
        <v/>
      </c>
      <c r="AI815" s="193">
        <f>IF(OR(seller_region="TR",offer_sale_type="экспорт"),0,rate_fin_comm)*SUM(AZ815,AZ815*AW815,T815)</f>
        <v/>
      </c>
      <c r="AJ815" s="118">
        <f>IFERROR(ROUND(SUM(AB815,AF815:AI815)/E815,2),0)</f>
        <v/>
      </c>
      <c r="AK815" s="76">
        <f>AJ815*E815</f>
        <v/>
      </c>
      <c r="AL815" s="174">
        <f>ROUND(IFERROR(AM815*E815,0),2)</f>
        <v/>
      </c>
      <c r="AM815" s="175">
        <f>ROUND(AJ815*(1+IF(offer_incoterms="DDP",IF((TODAY()+offer_turnaround_time)&gt;=helpsheet!$L$17,rate_vatRU_from_26,rate_vatRu_till_25),0)),2)</f>
        <v/>
      </c>
      <c r="AN815" s="192">
        <f>AL815-AK815</f>
        <v/>
      </c>
      <c r="AO815" s="76">
        <f>SUM(AY815,Y815:Z815,T815)*IF(AND(offer_incoterms="DDP",offer_sale_type&lt;&gt;"экспорт"),IF((TODAY()+offer_turnaround_time)&gt;=helpsheet!$L$17,rate_vatRU_from_26,rate_vatRu_till_25),0)</f>
        <v/>
      </c>
      <c r="AP815" s="193">
        <f>AN815-AO815</f>
        <v/>
      </c>
      <c r="AQ815" s="118">
        <f>IF(offer_sale_type="транзит",SUM(AF815:AI815,BA815,BB815),0)</f>
        <v/>
      </c>
      <c r="AR815" s="82">
        <f>HYPERLINK("https://www.alta.ru/tnved/code/")&amp;W815&amp;"/"</f>
        <v/>
      </c>
      <c r="AS815" s="157" t="n"/>
      <c r="AT815" s="162" t="n"/>
      <c r="AU815" s="76">
        <f>IF(ISBLANK(AT815),0,AJ815-AT815)</f>
        <v/>
      </c>
      <c r="AV815" s="157" t="n"/>
      <c r="AW815" s="75">
        <f>_xlfn.IFNA(VLOOKUP(L815,list_vat[],3,FALSE),0)</f>
        <v/>
      </c>
      <c r="AX815" s="76">
        <f>IFERROR(ROUND(S815*(1+AW815)/E815,2),0)</f>
        <v/>
      </c>
      <c r="AY815" s="76">
        <f>E815*AX815</f>
        <v/>
      </c>
      <c r="AZ815" s="192">
        <f>S815*(1+M815)</f>
        <v/>
      </c>
      <c r="BA815" s="76">
        <f>cost_fin_total*$BD815</f>
        <v/>
      </c>
      <c r="BB815" s="193">
        <f>credit_sales_interest*BD815</f>
        <v/>
      </c>
      <c r="BC815" s="102">
        <f>IFERROR(IF($I$13&gt;0,$I815/$I$13,$S815/$S$13),0)</f>
        <v/>
      </c>
      <c r="BD815" s="102">
        <f>IFERROR($S815/$S$13,0)</f>
        <v/>
      </c>
      <c r="BE815" s="413" t="inlineStr">
        <is>
          <t>$</t>
        </is>
      </c>
    </row>
    <row r="816" ht="12" customFormat="1" customHeight="1" s="65">
      <c r="A816" s="43" t="n">
        <v>801</v>
      </c>
      <c r="B816" s="166" t="n"/>
      <c r="C816" s="166" t="n"/>
      <c r="D816" s="166" t="n"/>
      <c r="E816" s="162" t="n"/>
      <c r="F816" s="166" t="n"/>
      <c r="G816" s="162" t="n"/>
      <c r="H816" s="162" t="n"/>
      <c r="I816" s="189">
        <f>E816*G816</f>
        <v/>
      </c>
      <c r="J816" s="195" t="n"/>
      <c r="K816" s="162" t="n"/>
      <c r="L816" s="168" t="n"/>
      <c r="M816" s="75">
        <f>_xlfn.XLOOKUP(L816,list_vat[Страна],list_vat[Ставка НДС %],0,0)</f>
        <v/>
      </c>
      <c r="N816" s="162">
        <f>IFERROR(IF(L816="Китай",K816,K816/(1+M816)),0)</f>
        <v/>
      </c>
      <c r="O816" s="169" t="n"/>
      <c r="P816" s="76">
        <f>N816*(1-O816)</f>
        <v/>
      </c>
      <c r="Q816" s="162" t="n"/>
      <c r="R816" s="162">
        <f>IF(ISBLANK(Q816),"введи курс",P816/Q816)</f>
        <v/>
      </c>
      <c r="S816" s="196">
        <f>IF(AND(ISNUMBER(E816),ISNUMBER(Q816)),E816*R816,0)</f>
        <v/>
      </c>
      <c r="T816" s="192">
        <f>$BC816*V$11</f>
        <v/>
      </c>
      <c r="U816" s="76">
        <f>$BC816*W$11</f>
        <v/>
      </c>
      <c r="V816" s="193">
        <f>+SUM(T816:U816)</f>
        <v/>
      </c>
      <c r="W816" s="191" t="n"/>
      <c r="X816" s="170" t="n"/>
      <c r="Y816" s="76">
        <f>ROUND(IF(offer_incoterms="DDP",X816*(S816*(1+AW816)+T816),0),2)</f>
        <v/>
      </c>
      <c r="Z816" s="188" t="n"/>
      <c r="AA816" s="192">
        <f>IFERROR(AB816/E816,0)</f>
        <v/>
      </c>
      <c r="AB816" s="76">
        <f>ROUND(SUM(S816,V816,Y816:Z816,BA816:BB816),2)</f>
        <v/>
      </c>
      <c r="AC816" s="797" t="n"/>
      <c r="AD816" s="192">
        <f t="array" ref="AD816">IFERROR(ROUND((_xlfn.IFS(offer_sale_type="поставка",AB816,offer_sale_type="транзит",S816)*(1+AC816))/E816,2),0)</f>
        <v/>
      </c>
      <c r="AE816" s="76">
        <f>AD816*E816</f>
        <v/>
      </c>
      <c r="AF816" s="193">
        <f t="array" ref="AF816">IFERROR(ROUND(_xlfn.IFS(offer_sale_type="поставка",AB816,offer_sale_type="транзит",S816)*AC816,2),0)</f>
        <v/>
      </c>
      <c r="AG816" s="192">
        <f>$BD816*VLOOKUP($AG$3,$AF$4:$AG$7,2,FALSE)</f>
        <v/>
      </c>
      <c r="AH816" s="76">
        <f>SUM(AE816,AG816,AI816)*rate_forex_risk</f>
        <v/>
      </c>
      <c r="AI816" s="193">
        <f>IF(OR(seller_region="TR",offer_sale_type="экспорт"),0,rate_fin_comm)*SUM(AZ816,AZ816*AW816,T816)</f>
        <v/>
      </c>
      <c r="AJ816" s="118">
        <f>IFERROR(ROUND(SUM(AB816,AF816:AI816)/E816,2),0)</f>
        <v/>
      </c>
      <c r="AK816" s="76">
        <f>AJ816*E816</f>
        <v/>
      </c>
      <c r="AL816" s="174">
        <f>ROUND(IFERROR(AM816*E816,0),2)</f>
        <v/>
      </c>
      <c r="AM816" s="175">
        <f>ROUND(AJ816*(1+IF(offer_incoterms="DDP",IF((TODAY()+offer_turnaround_time)&gt;=helpsheet!$L$17,rate_vatRU_from_26,rate_vatRu_till_25),0)),2)</f>
        <v/>
      </c>
      <c r="AN816" s="192">
        <f>AL816-AK816</f>
        <v/>
      </c>
      <c r="AO816" s="76">
        <f>SUM(AY816,Y816:Z816,T816)*IF(AND(offer_incoterms="DDP",offer_sale_type&lt;&gt;"экспорт"),IF((TODAY()+offer_turnaround_time)&gt;=helpsheet!$L$17,rate_vatRU_from_26,rate_vatRu_till_25),0)</f>
        <v/>
      </c>
      <c r="AP816" s="193">
        <f>AN816-AO816</f>
        <v/>
      </c>
      <c r="AQ816" s="118">
        <f>IF(offer_sale_type="транзит",SUM(AF816:AI816,BA816,BB816),0)</f>
        <v/>
      </c>
      <c r="AR816" s="82">
        <f>HYPERLINK("https://www.alta.ru/tnved/code/")&amp;W816&amp;"/"</f>
        <v/>
      </c>
      <c r="AS816" s="157" t="n"/>
      <c r="AT816" s="162" t="n"/>
      <c r="AU816" s="76">
        <f>IF(ISBLANK(AT816),0,AJ816-AT816)</f>
        <v/>
      </c>
      <c r="AV816" s="157" t="n"/>
      <c r="AW816" s="75">
        <f>_xlfn.IFNA(VLOOKUP(L816,list_vat[],3,FALSE),0)</f>
        <v/>
      </c>
      <c r="AX816" s="76">
        <f>IFERROR(ROUND(S816*(1+AW816)/E816,2),0)</f>
        <v/>
      </c>
      <c r="AY816" s="76">
        <f>E816*AX816</f>
        <v/>
      </c>
      <c r="AZ816" s="192">
        <f>S816*(1+M816)</f>
        <v/>
      </c>
      <c r="BA816" s="76">
        <f>cost_fin_total*$BD816</f>
        <v/>
      </c>
      <c r="BB816" s="193">
        <f>credit_sales_interest*BD816</f>
        <v/>
      </c>
      <c r="BC816" s="102">
        <f>IFERROR(IF($I$13&gt;0,$I816/$I$13,$S816/$S$13),0)</f>
        <v/>
      </c>
      <c r="BD816" s="102">
        <f>IFERROR($S816/$S$13,0)</f>
        <v/>
      </c>
      <c r="BE816" s="413" t="inlineStr">
        <is>
          <t>$</t>
        </is>
      </c>
    </row>
    <row r="817" ht="12" customFormat="1" customHeight="1" s="65">
      <c r="A817" s="43" t="n">
        <v>802</v>
      </c>
      <c r="B817" s="166" t="n"/>
      <c r="C817" s="166" t="n"/>
      <c r="D817" s="166" t="n"/>
      <c r="E817" s="162" t="n"/>
      <c r="F817" s="166" t="n"/>
      <c r="G817" s="162" t="n"/>
      <c r="H817" s="162" t="n"/>
      <c r="I817" s="189">
        <f>E817*G817</f>
        <v/>
      </c>
      <c r="J817" s="195" t="n"/>
      <c r="K817" s="162" t="n"/>
      <c r="L817" s="168" t="n"/>
      <c r="M817" s="75">
        <f>_xlfn.XLOOKUP(L817,list_vat[Страна],list_vat[Ставка НДС %],0,0)</f>
        <v/>
      </c>
      <c r="N817" s="162">
        <f>IFERROR(IF(L817="Китай",K817,K817/(1+M817)),0)</f>
        <v/>
      </c>
      <c r="O817" s="169" t="n"/>
      <c r="P817" s="76">
        <f>N817*(1-O817)</f>
        <v/>
      </c>
      <c r="Q817" s="162" t="n"/>
      <c r="R817" s="162">
        <f>IF(ISBLANK(Q817),"введи курс",P817/Q817)</f>
        <v/>
      </c>
      <c r="S817" s="196">
        <f>IF(AND(ISNUMBER(E817),ISNUMBER(Q817)),E817*R817,0)</f>
        <v/>
      </c>
      <c r="T817" s="192">
        <f>$BC817*V$11</f>
        <v/>
      </c>
      <c r="U817" s="76">
        <f>$BC817*W$11</f>
        <v/>
      </c>
      <c r="V817" s="193">
        <f>+SUM(T817:U817)</f>
        <v/>
      </c>
      <c r="W817" s="191" t="n"/>
      <c r="X817" s="170" t="n"/>
      <c r="Y817" s="76">
        <f>ROUND(IF(offer_incoterms="DDP",X817*(S817*(1+AW817)+T817),0),2)</f>
        <v/>
      </c>
      <c r="Z817" s="188" t="n"/>
      <c r="AA817" s="192">
        <f>IFERROR(AB817/E817,0)</f>
        <v/>
      </c>
      <c r="AB817" s="76">
        <f>ROUND(SUM(S817,V817,Y817:Z817,BA817:BB817),2)</f>
        <v/>
      </c>
      <c r="AC817" s="797" t="n"/>
      <c r="AD817" s="192">
        <f t="array" ref="AD817">IFERROR(ROUND((_xlfn.IFS(offer_sale_type="поставка",AB817,offer_sale_type="транзит",S817)*(1+AC817))/E817,2),0)</f>
        <v/>
      </c>
      <c r="AE817" s="76">
        <f>AD817*E817</f>
        <v/>
      </c>
      <c r="AF817" s="193">
        <f t="array" ref="AF817">IFERROR(ROUND(_xlfn.IFS(offer_sale_type="поставка",AB817,offer_sale_type="транзит",S817)*AC817,2),0)</f>
        <v/>
      </c>
      <c r="AG817" s="192">
        <f>$BD817*VLOOKUP($AG$3,$AF$4:$AG$7,2,FALSE)</f>
        <v/>
      </c>
      <c r="AH817" s="76">
        <f>SUM(AE817,AG817,AI817)*rate_forex_risk</f>
        <v/>
      </c>
      <c r="AI817" s="193">
        <f>IF(OR(seller_region="TR",offer_sale_type="экспорт"),0,rate_fin_comm)*SUM(AZ817,AZ817*AW817,T817)</f>
        <v/>
      </c>
      <c r="AJ817" s="118">
        <f>IFERROR(ROUND(SUM(AB817,AF817:AI817)/E817,2),0)</f>
        <v/>
      </c>
      <c r="AK817" s="76">
        <f>AJ817*E817</f>
        <v/>
      </c>
      <c r="AL817" s="174">
        <f>ROUND(IFERROR(AM817*E817,0),2)</f>
        <v/>
      </c>
      <c r="AM817" s="175">
        <f>ROUND(AJ817*(1+IF(offer_incoterms="DDP",IF((TODAY()+offer_turnaround_time)&gt;=helpsheet!$L$17,rate_vatRU_from_26,rate_vatRu_till_25),0)),2)</f>
        <v/>
      </c>
      <c r="AN817" s="192">
        <f>AL817-AK817</f>
        <v/>
      </c>
      <c r="AO817" s="76">
        <f>SUM(AY817,Y817:Z817,T817)*IF(AND(offer_incoterms="DDP",offer_sale_type&lt;&gt;"экспорт"),IF((TODAY()+offer_turnaround_time)&gt;=helpsheet!$L$17,rate_vatRU_from_26,rate_vatRu_till_25),0)</f>
        <v/>
      </c>
      <c r="AP817" s="193">
        <f>AN817-AO817</f>
        <v/>
      </c>
      <c r="AQ817" s="118">
        <f>IF(offer_sale_type="транзит",SUM(AF817:AI817,BA817,BB817),0)</f>
        <v/>
      </c>
      <c r="AR817" s="82">
        <f>HYPERLINK("https://www.alta.ru/tnved/code/")&amp;W817&amp;"/"</f>
        <v/>
      </c>
      <c r="AS817" s="157" t="n"/>
      <c r="AT817" s="162" t="n"/>
      <c r="AU817" s="76">
        <f>IF(ISBLANK(AT817),0,AJ817-AT817)</f>
        <v/>
      </c>
      <c r="AV817" s="157" t="n"/>
      <c r="AW817" s="75">
        <f>_xlfn.IFNA(VLOOKUP(L817,list_vat[],3,FALSE),0)</f>
        <v/>
      </c>
      <c r="AX817" s="76">
        <f>IFERROR(ROUND(S817*(1+AW817)/E817,2),0)</f>
        <v/>
      </c>
      <c r="AY817" s="76">
        <f>E817*AX817</f>
        <v/>
      </c>
      <c r="AZ817" s="192">
        <f>S817*(1+M817)</f>
        <v/>
      </c>
      <c r="BA817" s="76">
        <f>cost_fin_total*$BD817</f>
        <v/>
      </c>
      <c r="BB817" s="193">
        <f>credit_sales_interest*BD817</f>
        <v/>
      </c>
      <c r="BC817" s="102">
        <f>IFERROR(IF($I$13&gt;0,$I817/$I$13,$S817/$S$13),0)</f>
        <v/>
      </c>
      <c r="BD817" s="102">
        <f>IFERROR($S817/$S$13,0)</f>
        <v/>
      </c>
      <c r="BE817" s="413" t="inlineStr">
        <is>
          <t>$</t>
        </is>
      </c>
    </row>
    <row r="818" ht="12" customFormat="1" customHeight="1" s="65">
      <c r="A818" s="43" t="n">
        <v>803</v>
      </c>
      <c r="B818" s="166" t="n"/>
      <c r="C818" s="166" t="n"/>
      <c r="D818" s="166" t="n"/>
      <c r="E818" s="162" t="n"/>
      <c r="F818" s="166" t="n"/>
      <c r="G818" s="162" t="n"/>
      <c r="H818" s="162" t="n"/>
      <c r="I818" s="189">
        <f>E818*G818</f>
        <v/>
      </c>
      <c r="J818" s="195" t="n"/>
      <c r="K818" s="162" t="n"/>
      <c r="L818" s="168" t="n"/>
      <c r="M818" s="75">
        <f>_xlfn.XLOOKUP(L818,list_vat[Страна],list_vat[Ставка НДС %],0,0)</f>
        <v/>
      </c>
      <c r="N818" s="162">
        <f>IFERROR(IF(L818="Китай",K818,K818/(1+M818)),0)</f>
        <v/>
      </c>
      <c r="O818" s="169" t="n"/>
      <c r="P818" s="76">
        <f>N818*(1-O818)</f>
        <v/>
      </c>
      <c r="Q818" s="162" t="n"/>
      <c r="R818" s="162">
        <f>IF(ISBLANK(Q818),"введи курс",P818/Q818)</f>
        <v/>
      </c>
      <c r="S818" s="196">
        <f>IF(AND(ISNUMBER(E818),ISNUMBER(Q818)),E818*R818,0)</f>
        <v/>
      </c>
      <c r="T818" s="192">
        <f>$BC818*V$11</f>
        <v/>
      </c>
      <c r="U818" s="76">
        <f>$BC818*W$11</f>
        <v/>
      </c>
      <c r="V818" s="193">
        <f>+SUM(T818:U818)</f>
        <v/>
      </c>
      <c r="W818" s="191" t="n"/>
      <c r="X818" s="170" t="n"/>
      <c r="Y818" s="76">
        <f>ROUND(IF(offer_incoterms="DDP",X818*(S818*(1+AW818)+T818),0),2)</f>
        <v/>
      </c>
      <c r="Z818" s="188" t="n"/>
      <c r="AA818" s="192">
        <f>IFERROR(AB818/E818,0)</f>
        <v/>
      </c>
      <c r="AB818" s="76">
        <f>ROUND(SUM(S818,V818,Y818:Z818,BA818:BB818),2)</f>
        <v/>
      </c>
      <c r="AC818" s="797" t="n"/>
      <c r="AD818" s="192">
        <f t="array" ref="AD818">IFERROR(ROUND((_xlfn.IFS(offer_sale_type="поставка",AB818,offer_sale_type="транзит",S818)*(1+AC818))/E818,2),0)</f>
        <v/>
      </c>
      <c r="AE818" s="76">
        <f>AD818*E818</f>
        <v/>
      </c>
      <c r="AF818" s="193">
        <f t="array" ref="AF818">IFERROR(ROUND(_xlfn.IFS(offer_sale_type="поставка",AB818,offer_sale_type="транзит",S818)*AC818,2),0)</f>
        <v/>
      </c>
      <c r="AG818" s="192">
        <f>$BD818*VLOOKUP($AG$3,$AF$4:$AG$7,2,FALSE)</f>
        <v/>
      </c>
      <c r="AH818" s="76">
        <f>SUM(AE818,AG818,AI818)*rate_forex_risk</f>
        <v/>
      </c>
      <c r="AI818" s="193">
        <f>IF(OR(seller_region="TR",offer_sale_type="экспорт"),0,rate_fin_comm)*SUM(AZ818,AZ818*AW818,T818)</f>
        <v/>
      </c>
      <c r="AJ818" s="118">
        <f>IFERROR(ROUND(SUM(AB818,AF818:AI818)/E818,2),0)</f>
        <v/>
      </c>
      <c r="AK818" s="76">
        <f>AJ818*E818</f>
        <v/>
      </c>
      <c r="AL818" s="174">
        <f>ROUND(IFERROR(AM818*E818,0),2)</f>
        <v/>
      </c>
      <c r="AM818" s="175">
        <f>ROUND(AJ818*(1+IF(offer_incoterms="DDP",IF((TODAY()+offer_turnaround_time)&gt;=helpsheet!$L$17,rate_vatRU_from_26,rate_vatRu_till_25),0)),2)</f>
        <v/>
      </c>
      <c r="AN818" s="192">
        <f>AL818-AK818</f>
        <v/>
      </c>
      <c r="AO818" s="76">
        <f>SUM(AY818,Y818:Z818,T818)*IF(AND(offer_incoterms="DDP",offer_sale_type&lt;&gt;"экспорт"),IF((TODAY()+offer_turnaround_time)&gt;=helpsheet!$L$17,rate_vatRU_from_26,rate_vatRu_till_25),0)</f>
        <v/>
      </c>
      <c r="AP818" s="193">
        <f>AN818-AO818</f>
        <v/>
      </c>
      <c r="AQ818" s="118">
        <f>IF(offer_sale_type="транзит",SUM(AF818:AI818,BA818,BB818),0)</f>
        <v/>
      </c>
      <c r="AR818" s="82">
        <f>HYPERLINK("https://www.alta.ru/tnved/code/")&amp;W818&amp;"/"</f>
        <v/>
      </c>
      <c r="AS818" s="157" t="n"/>
      <c r="AT818" s="162" t="n"/>
      <c r="AU818" s="76">
        <f>IF(ISBLANK(AT818),0,AJ818-AT818)</f>
        <v/>
      </c>
      <c r="AV818" s="157" t="n"/>
      <c r="AW818" s="75">
        <f>_xlfn.IFNA(VLOOKUP(L818,list_vat[],3,FALSE),0)</f>
        <v/>
      </c>
      <c r="AX818" s="76">
        <f>IFERROR(ROUND(S818*(1+AW818)/E818,2),0)</f>
        <v/>
      </c>
      <c r="AY818" s="76">
        <f>E818*AX818</f>
        <v/>
      </c>
      <c r="AZ818" s="192">
        <f>S818*(1+M818)</f>
        <v/>
      </c>
      <c r="BA818" s="76">
        <f>cost_fin_total*$BD818</f>
        <v/>
      </c>
      <c r="BB818" s="193">
        <f>credit_sales_interest*BD818</f>
        <v/>
      </c>
      <c r="BC818" s="102">
        <f>IFERROR(IF($I$13&gt;0,$I818/$I$13,$S818/$S$13),0)</f>
        <v/>
      </c>
      <c r="BD818" s="102">
        <f>IFERROR($S818/$S$13,0)</f>
        <v/>
      </c>
      <c r="BE818" s="413" t="inlineStr">
        <is>
          <t>$</t>
        </is>
      </c>
    </row>
    <row r="819" ht="12" customFormat="1" customHeight="1" s="65">
      <c r="A819" s="43" t="n">
        <v>804</v>
      </c>
      <c r="B819" s="166" t="n"/>
      <c r="C819" s="166" t="n"/>
      <c r="D819" s="166" t="n"/>
      <c r="E819" s="162" t="n"/>
      <c r="F819" s="166" t="n"/>
      <c r="G819" s="162" t="n"/>
      <c r="H819" s="162" t="n"/>
      <c r="I819" s="189">
        <f>E819*G819</f>
        <v/>
      </c>
      <c r="J819" s="195" t="n"/>
      <c r="K819" s="162" t="n"/>
      <c r="L819" s="168" t="n"/>
      <c r="M819" s="75">
        <f>_xlfn.XLOOKUP(L819,list_vat[Страна],list_vat[Ставка НДС %],0,0)</f>
        <v/>
      </c>
      <c r="N819" s="162">
        <f>IFERROR(IF(L819="Китай",K819,K819/(1+M819)),0)</f>
        <v/>
      </c>
      <c r="O819" s="169" t="n"/>
      <c r="P819" s="76">
        <f>N819*(1-O819)</f>
        <v/>
      </c>
      <c r="Q819" s="162" t="n"/>
      <c r="R819" s="162">
        <f>IF(ISBLANK(Q819),"введи курс",P819/Q819)</f>
        <v/>
      </c>
      <c r="S819" s="196">
        <f>IF(AND(ISNUMBER(E819),ISNUMBER(Q819)),E819*R819,0)</f>
        <v/>
      </c>
      <c r="T819" s="192">
        <f>$BC819*V$11</f>
        <v/>
      </c>
      <c r="U819" s="76">
        <f>$BC819*W$11</f>
        <v/>
      </c>
      <c r="V819" s="193">
        <f>+SUM(T819:U819)</f>
        <v/>
      </c>
      <c r="W819" s="191" t="n"/>
      <c r="X819" s="170" t="n"/>
      <c r="Y819" s="76">
        <f>ROUND(IF(offer_incoterms="DDP",X819*(S819*(1+AW819)+T819),0),2)</f>
        <v/>
      </c>
      <c r="Z819" s="188" t="n"/>
      <c r="AA819" s="192">
        <f>IFERROR(AB819/E819,0)</f>
        <v/>
      </c>
      <c r="AB819" s="76">
        <f>ROUND(SUM(S819,V819,Y819:Z819,BA819:BB819),2)</f>
        <v/>
      </c>
      <c r="AC819" s="797" t="n"/>
      <c r="AD819" s="192">
        <f t="array" ref="AD819">IFERROR(ROUND((_xlfn.IFS(offer_sale_type="поставка",AB819,offer_sale_type="транзит",S819)*(1+AC819))/E819,2),0)</f>
        <v/>
      </c>
      <c r="AE819" s="76">
        <f>AD819*E819</f>
        <v/>
      </c>
      <c r="AF819" s="193">
        <f t="array" ref="AF819">IFERROR(ROUND(_xlfn.IFS(offer_sale_type="поставка",AB819,offer_sale_type="транзит",S819)*AC819,2),0)</f>
        <v/>
      </c>
      <c r="AG819" s="192">
        <f>$BD819*VLOOKUP($AG$3,$AF$4:$AG$7,2,FALSE)</f>
        <v/>
      </c>
      <c r="AH819" s="76">
        <f>SUM(AE819,AG819,AI819)*rate_forex_risk</f>
        <v/>
      </c>
      <c r="AI819" s="193">
        <f>IF(OR(seller_region="TR",offer_sale_type="экспорт"),0,rate_fin_comm)*SUM(AZ819,AZ819*AW819,T819)</f>
        <v/>
      </c>
      <c r="AJ819" s="118">
        <f>IFERROR(ROUND(SUM(AB819,AF819:AI819)/E819,2),0)</f>
        <v/>
      </c>
      <c r="AK819" s="76">
        <f>AJ819*E819</f>
        <v/>
      </c>
      <c r="AL819" s="174">
        <f>ROUND(IFERROR(AM819*E819,0),2)</f>
        <v/>
      </c>
      <c r="AM819" s="175">
        <f>ROUND(AJ819*(1+IF(offer_incoterms="DDP",IF((TODAY()+offer_turnaround_time)&gt;=helpsheet!$L$17,rate_vatRU_from_26,rate_vatRu_till_25),0)),2)</f>
        <v/>
      </c>
      <c r="AN819" s="192">
        <f>AL819-AK819</f>
        <v/>
      </c>
      <c r="AO819" s="76">
        <f>SUM(AY819,Y819:Z819,T819)*IF(AND(offer_incoterms="DDP",offer_sale_type&lt;&gt;"экспорт"),IF((TODAY()+offer_turnaround_time)&gt;=helpsheet!$L$17,rate_vatRU_from_26,rate_vatRu_till_25),0)</f>
        <v/>
      </c>
      <c r="AP819" s="193">
        <f>AN819-AO819</f>
        <v/>
      </c>
      <c r="AQ819" s="118">
        <f>IF(offer_sale_type="транзит",SUM(AF819:AI819,BA819,BB819),0)</f>
        <v/>
      </c>
      <c r="AR819" s="82">
        <f>HYPERLINK("https://www.alta.ru/tnved/code/")&amp;W819&amp;"/"</f>
        <v/>
      </c>
      <c r="AS819" s="157" t="n"/>
      <c r="AT819" s="162" t="n"/>
      <c r="AU819" s="76">
        <f>IF(ISBLANK(AT819),0,AJ819-AT819)</f>
        <v/>
      </c>
      <c r="AV819" s="157" t="n"/>
      <c r="AW819" s="75">
        <f>_xlfn.IFNA(VLOOKUP(L819,list_vat[],3,FALSE),0)</f>
        <v/>
      </c>
      <c r="AX819" s="76">
        <f>IFERROR(ROUND(S819*(1+AW819)/E819,2),0)</f>
        <v/>
      </c>
      <c r="AY819" s="76">
        <f>E819*AX819</f>
        <v/>
      </c>
      <c r="AZ819" s="192">
        <f>S819*(1+M819)</f>
        <v/>
      </c>
      <c r="BA819" s="76">
        <f>cost_fin_total*$BD819</f>
        <v/>
      </c>
      <c r="BB819" s="193">
        <f>credit_sales_interest*BD819</f>
        <v/>
      </c>
      <c r="BC819" s="102">
        <f>IFERROR(IF($I$13&gt;0,$I819/$I$13,$S819/$S$13),0)</f>
        <v/>
      </c>
      <c r="BD819" s="102">
        <f>IFERROR($S819/$S$13,0)</f>
        <v/>
      </c>
      <c r="BE819" s="413" t="inlineStr">
        <is>
          <t>$</t>
        </is>
      </c>
    </row>
    <row r="820" ht="12" customFormat="1" customHeight="1" s="65">
      <c r="A820" s="43" t="n">
        <v>805</v>
      </c>
      <c r="B820" s="166" t="n"/>
      <c r="C820" s="166" t="n"/>
      <c r="D820" s="166" t="n"/>
      <c r="E820" s="162" t="n"/>
      <c r="F820" s="166" t="n"/>
      <c r="G820" s="162" t="n"/>
      <c r="H820" s="162" t="n"/>
      <c r="I820" s="189">
        <f>E820*G820</f>
        <v/>
      </c>
      <c r="J820" s="195" t="n"/>
      <c r="K820" s="162" t="n"/>
      <c r="L820" s="168" t="n"/>
      <c r="M820" s="75">
        <f>_xlfn.XLOOKUP(L820,list_vat[Страна],list_vat[Ставка НДС %],0,0)</f>
        <v/>
      </c>
      <c r="N820" s="162">
        <f>IFERROR(IF(L820="Китай",K820,K820/(1+M820)),0)</f>
        <v/>
      </c>
      <c r="O820" s="169" t="n"/>
      <c r="P820" s="76">
        <f>N820*(1-O820)</f>
        <v/>
      </c>
      <c r="Q820" s="162" t="n"/>
      <c r="R820" s="162">
        <f>IF(ISBLANK(Q820),"введи курс",P820/Q820)</f>
        <v/>
      </c>
      <c r="S820" s="196">
        <f>IF(AND(ISNUMBER(E820),ISNUMBER(Q820)),E820*R820,0)</f>
        <v/>
      </c>
      <c r="T820" s="192">
        <f>$BC820*V$11</f>
        <v/>
      </c>
      <c r="U820" s="76">
        <f>$BC820*W$11</f>
        <v/>
      </c>
      <c r="V820" s="193">
        <f>+SUM(T820:U820)</f>
        <v/>
      </c>
      <c r="W820" s="191" t="n"/>
      <c r="X820" s="170" t="n"/>
      <c r="Y820" s="76">
        <f>ROUND(IF(offer_incoterms="DDP",X820*(S820*(1+AW820)+T820),0),2)</f>
        <v/>
      </c>
      <c r="Z820" s="188" t="n"/>
      <c r="AA820" s="192">
        <f>IFERROR(AB820/E820,0)</f>
        <v/>
      </c>
      <c r="AB820" s="76">
        <f>ROUND(SUM(S820,V820,Y820:Z820,BA820:BB820),2)</f>
        <v/>
      </c>
      <c r="AC820" s="797" t="n"/>
      <c r="AD820" s="192">
        <f t="array" ref="AD820">IFERROR(ROUND((_xlfn.IFS(offer_sale_type="поставка",AB820,offer_sale_type="транзит",S820)*(1+AC820))/E820,2),0)</f>
        <v/>
      </c>
      <c r="AE820" s="76">
        <f>AD820*E820</f>
        <v/>
      </c>
      <c r="AF820" s="193">
        <f t="array" ref="AF820">IFERROR(ROUND(_xlfn.IFS(offer_sale_type="поставка",AB820,offer_sale_type="транзит",S820)*AC820,2),0)</f>
        <v/>
      </c>
      <c r="AG820" s="192">
        <f>$BD820*VLOOKUP($AG$3,$AF$4:$AG$7,2,FALSE)</f>
        <v/>
      </c>
      <c r="AH820" s="76">
        <f>SUM(AE820,AG820,AI820)*rate_forex_risk</f>
        <v/>
      </c>
      <c r="AI820" s="193">
        <f>IF(OR(seller_region="TR",offer_sale_type="экспорт"),0,rate_fin_comm)*SUM(AZ820,AZ820*AW820,T820)</f>
        <v/>
      </c>
      <c r="AJ820" s="118">
        <f>IFERROR(ROUND(SUM(AB820,AF820:AI820)/E820,2),0)</f>
        <v/>
      </c>
      <c r="AK820" s="76">
        <f>AJ820*E820</f>
        <v/>
      </c>
      <c r="AL820" s="174">
        <f>ROUND(IFERROR(AM820*E820,0),2)</f>
        <v/>
      </c>
      <c r="AM820" s="175">
        <f>ROUND(AJ820*(1+IF(offer_incoterms="DDP",IF((TODAY()+offer_turnaround_time)&gt;=helpsheet!$L$17,rate_vatRU_from_26,rate_vatRu_till_25),0)),2)</f>
        <v/>
      </c>
      <c r="AN820" s="192">
        <f>AL820-AK820</f>
        <v/>
      </c>
      <c r="AO820" s="76">
        <f>SUM(AY820,Y820:Z820,T820)*IF(AND(offer_incoterms="DDP",offer_sale_type&lt;&gt;"экспорт"),IF((TODAY()+offer_turnaround_time)&gt;=helpsheet!$L$17,rate_vatRU_from_26,rate_vatRu_till_25),0)</f>
        <v/>
      </c>
      <c r="AP820" s="193">
        <f>AN820-AO820</f>
        <v/>
      </c>
      <c r="AQ820" s="118">
        <f>IF(offer_sale_type="транзит",SUM(AF820:AI820,BA820,BB820),0)</f>
        <v/>
      </c>
      <c r="AR820" s="82">
        <f>HYPERLINK("https://www.alta.ru/tnved/code/")&amp;W820&amp;"/"</f>
        <v/>
      </c>
      <c r="AS820" s="157" t="n"/>
      <c r="AT820" s="162" t="n"/>
      <c r="AU820" s="76">
        <f>IF(ISBLANK(AT820),0,AJ820-AT820)</f>
        <v/>
      </c>
      <c r="AV820" s="157" t="n"/>
      <c r="AW820" s="75">
        <f>_xlfn.IFNA(VLOOKUP(L820,list_vat[],3,FALSE),0)</f>
        <v/>
      </c>
      <c r="AX820" s="76">
        <f>IFERROR(ROUND(S820*(1+AW820)/E820,2),0)</f>
        <v/>
      </c>
      <c r="AY820" s="76">
        <f>E820*AX820</f>
        <v/>
      </c>
      <c r="AZ820" s="192">
        <f>S820*(1+M820)</f>
        <v/>
      </c>
      <c r="BA820" s="76">
        <f>cost_fin_total*$BD820</f>
        <v/>
      </c>
      <c r="BB820" s="193">
        <f>credit_sales_interest*BD820</f>
        <v/>
      </c>
      <c r="BC820" s="102">
        <f>IFERROR(IF($I$13&gt;0,$I820/$I$13,$S820/$S$13),0)</f>
        <v/>
      </c>
      <c r="BD820" s="102">
        <f>IFERROR($S820/$S$13,0)</f>
        <v/>
      </c>
      <c r="BE820" s="413" t="inlineStr">
        <is>
          <t>$</t>
        </is>
      </c>
    </row>
    <row r="821" ht="12" customFormat="1" customHeight="1" s="65">
      <c r="A821" s="43" t="n">
        <v>806</v>
      </c>
      <c r="B821" s="166" t="n"/>
      <c r="C821" s="166" t="n"/>
      <c r="D821" s="166" t="n"/>
      <c r="E821" s="162" t="n"/>
      <c r="F821" s="166" t="n"/>
      <c r="G821" s="162" t="n"/>
      <c r="H821" s="162" t="n"/>
      <c r="I821" s="189">
        <f>E821*G821</f>
        <v/>
      </c>
      <c r="J821" s="195" t="n"/>
      <c r="K821" s="162" t="n"/>
      <c r="L821" s="168" t="n"/>
      <c r="M821" s="75">
        <f>_xlfn.XLOOKUP(L821,list_vat[Страна],list_vat[Ставка НДС %],0,0)</f>
        <v/>
      </c>
      <c r="N821" s="162">
        <f>IFERROR(IF(L821="Китай",K821,K821/(1+M821)),0)</f>
        <v/>
      </c>
      <c r="O821" s="169" t="n"/>
      <c r="P821" s="76">
        <f>N821*(1-O821)</f>
        <v/>
      </c>
      <c r="Q821" s="162" t="n"/>
      <c r="R821" s="162">
        <f>IF(ISBLANK(Q821),"введи курс",P821/Q821)</f>
        <v/>
      </c>
      <c r="S821" s="196">
        <f>IF(AND(ISNUMBER(E821),ISNUMBER(Q821)),E821*R821,0)</f>
        <v/>
      </c>
      <c r="T821" s="192">
        <f>$BC821*V$11</f>
        <v/>
      </c>
      <c r="U821" s="76">
        <f>$BC821*W$11</f>
        <v/>
      </c>
      <c r="V821" s="193">
        <f>+SUM(T821:U821)</f>
        <v/>
      </c>
      <c r="W821" s="191" t="n"/>
      <c r="X821" s="170" t="n"/>
      <c r="Y821" s="76">
        <f>ROUND(IF(offer_incoterms="DDP",X821*(S821*(1+AW821)+T821),0),2)</f>
        <v/>
      </c>
      <c r="Z821" s="188" t="n"/>
      <c r="AA821" s="192">
        <f>IFERROR(AB821/E821,0)</f>
        <v/>
      </c>
      <c r="AB821" s="76">
        <f>ROUND(SUM(S821,V821,Y821:Z821,BA821:BB821),2)</f>
        <v/>
      </c>
      <c r="AC821" s="797" t="n"/>
      <c r="AD821" s="192">
        <f t="array" ref="AD821">IFERROR(ROUND((_xlfn.IFS(offer_sale_type="поставка",AB821,offer_sale_type="транзит",S821)*(1+AC821))/E821,2),0)</f>
        <v/>
      </c>
      <c r="AE821" s="76">
        <f>AD821*E821</f>
        <v/>
      </c>
      <c r="AF821" s="193">
        <f t="array" ref="AF821">IFERROR(ROUND(_xlfn.IFS(offer_sale_type="поставка",AB821,offer_sale_type="транзит",S821)*AC821,2),0)</f>
        <v/>
      </c>
      <c r="AG821" s="192">
        <f>$BD821*VLOOKUP($AG$3,$AF$4:$AG$7,2,FALSE)</f>
        <v/>
      </c>
      <c r="AH821" s="76">
        <f>SUM(AE821,AG821,AI821)*rate_forex_risk</f>
        <v/>
      </c>
      <c r="AI821" s="193">
        <f>IF(OR(seller_region="TR",offer_sale_type="экспорт"),0,rate_fin_comm)*SUM(AZ821,AZ821*AW821,T821)</f>
        <v/>
      </c>
      <c r="AJ821" s="118">
        <f>IFERROR(ROUND(SUM(AB821,AF821:AI821)/E821,2),0)</f>
        <v/>
      </c>
      <c r="AK821" s="76">
        <f>AJ821*E821</f>
        <v/>
      </c>
      <c r="AL821" s="174">
        <f>ROUND(IFERROR(AM821*E821,0),2)</f>
        <v/>
      </c>
      <c r="AM821" s="175">
        <f>ROUND(AJ821*(1+IF(offer_incoterms="DDP",IF((TODAY()+offer_turnaround_time)&gt;=helpsheet!$L$17,rate_vatRU_from_26,rate_vatRu_till_25),0)),2)</f>
        <v/>
      </c>
      <c r="AN821" s="192">
        <f>AL821-AK821</f>
        <v/>
      </c>
      <c r="AO821" s="76">
        <f>SUM(AY821,Y821:Z821,T821)*IF(AND(offer_incoterms="DDP",offer_sale_type&lt;&gt;"экспорт"),IF((TODAY()+offer_turnaround_time)&gt;=helpsheet!$L$17,rate_vatRU_from_26,rate_vatRu_till_25),0)</f>
        <v/>
      </c>
      <c r="AP821" s="193">
        <f>AN821-AO821</f>
        <v/>
      </c>
      <c r="AQ821" s="118">
        <f>IF(offer_sale_type="транзит",SUM(AF821:AI821,BA821,BB821),0)</f>
        <v/>
      </c>
      <c r="AR821" s="82">
        <f>HYPERLINK("https://www.alta.ru/tnved/code/")&amp;W821&amp;"/"</f>
        <v/>
      </c>
      <c r="AS821" s="157" t="n"/>
      <c r="AT821" s="162" t="n"/>
      <c r="AU821" s="76">
        <f>IF(ISBLANK(AT821),0,AJ821-AT821)</f>
        <v/>
      </c>
      <c r="AV821" s="157" t="n"/>
      <c r="AW821" s="75">
        <f>_xlfn.IFNA(VLOOKUP(L821,list_vat[],3,FALSE),0)</f>
        <v/>
      </c>
      <c r="AX821" s="76">
        <f>IFERROR(ROUND(S821*(1+AW821)/E821,2),0)</f>
        <v/>
      </c>
      <c r="AY821" s="76">
        <f>E821*AX821</f>
        <v/>
      </c>
      <c r="AZ821" s="192">
        <f>S821*(1+M821)</f>
        <v/>
      </c>
      <c r="BA821" s="76">
        <f>cost_fin_total*$BD821</f>
        <v/>
      </c>
      <c r="BB821" s="193">
        <f>credit_sales_interest*BD821</f>
        <v/>
      </c>
      <c r="BC821" s="102">
        <f>IFERROR(IF($I$13&gt;0,$I821/$I$13,$S821/$S$13),0)</f>
        <v/>
      </c>
      <c r="BD821" s="102">
        <f>IFERROR($S821/$S$13,0)</f>
        <v/>
      </c>
      <c r="BE821" s="413" t="inlineStr">
        <is>
          <t>$</t>
        </is>
      </c>
    </row>
    <row r="822" ht="12" customFormat="1" customHeight="1" s="65">
      <c r="A822" s="43" t="n">
        <v>807</v>
      </c>
      <c r="B822" s="166" t="n"/>
      <c r="C822" s="166" t="n"/>
      <c r="D822" s="166" t="n"/>
      <c r="E822" s="162" t="n"/>
      <c r="F822" s="166" t="n"/>
      <c r="G822" s="162" t="n"/>
      <c r="H822" s="162" t="n"/>
      <c r="I822" s="189">
        <f>E822*G822</f>
        <v/>
      </c>
      <c r="J822" s="195" t="n"/>
      <c r="K822" s="162" t="n"/>
      <c r="L822" s="168" t="n"/>
      <c r="M822" s="75">
        <f>_xlfn.XLOOKUP(L822,list_vat[Страна],list_vat[Ставка НДС %],0,0)</f>
        <v/>
      </c>
      <c r="N822" s="162">
        <f>IFERROR(IF(L822="Китай",K822,K822/(1+M822)),0)</f>
        <v/>
      </c>
      <c r="O822" s="169" t="n"/>
      <c r="P822" s="76">
        <f>N822*(1-O822)</f>
        <v/>
      </c>
      <c r="Q822" s="162" t="n"/>
      <c r="R822" s="162">
        <f>IF(ISBLANK(Q822),"введи курс",P822/Q822)</f>
        <v/>
      </c>
      <c r="S822" s="196">
        <f>IF(AND(ISNUMBER(E822),ISNUMBER(Q822)),E822*R822,0)</f>
        <v/>
      </c>
      <c r="T822" s="192">
        <f>$BC822*V$11</f>
        <v/>
      </c>
      <c r="U822" s="76">
        <f>$BC822*W$11</f>
        <v/>
      </c>
      <c r="V822" s="193">
        <f>+SUM(T822:U822)</f>
        <v/>
      </c>
      <c r="W822" s="191" t="n"/>
      <c r="X822" s="170" t="n"/>
      <c r="Y822" s="76">
        <f>ROUND(IF(offer_incoterms="DDP",X822*(S822*(1+AW822)+T822),0),2)</f>
        <v/>
      </c>
      <c r="Z822" s="188" t="n"/>
      <c r="AA822" s="192">
        <f>IFERROR(AB822/E822,0)</f>
        <v/>
      </c>
      <c r="AB822" s="76">
        <f>ROUND(SUM(S822,V822,Y822:Z822,BA822:BB822),2)</f>
        <v/>
      </c>
      <c r="AC822" s="797" t="n"/>
      <c r="AD822" s="192">
        <f t="array" ref="AD822">IFERROR(ROUND((_xlfn.IFS(offer_sale_type="поставка",AB822,offer_sale_type="транзит",S822)*(1+AC822))/E822,2),0)</f>
        <v/>
      </c>
      <c r="AE822" s="76">
        <f>AD822*E822</f>
        <v/>
      </c>
      <c r="AF822" s="193">
        <f t="array" ref="AF822">IFERROR(ROUND(_xlfn.IFS(offer_sale_type="поставка",AB822,offer_sale_type="транзит",S822)*AC822,2),0)</f>
        <v/>
      </c>
      <c r="AG822" s="192">
        <f>$BD822*VLOOKUP($AG$3,$AF$4:$AG$7,2,FALSE)</f>
        <v/>
      </c>
      <c r="AH822" s="76">
        <f>SUM(AE822,AG822,AI822)*rate_forex_risk</f>
        <v/>
      </c>
      <c r="AI822" s="193">
        <f>IF(OR(seller_region="TR",offer_sale_type="экспорт"),0,rate_fin_comm)*SUM(AZ822,AZ822*AW822,T822)</f>
        <v/>
      </c>
      <c r="AJ822" s="118">
        <f>IFERROR(ROUND(SUM(AB822,AF822:AI822)/E822,2),0)</f>
        <v/>
      </c>
      <c r="AK822" s="76">
        <f>AJ822*E822</f>
        <v/>
      </c>
      <c r="AL822" s="174">
        <f>ROUND(IFERROR(AM822*E822,0),2)</f>
        <v/>
      </c>
      <c r="AM822" s="175">
        <f>ROUND(AJ822*(1+IF(offer_incoterms="DDP",IF((TODAY()+offer_turnaround_time)&gt;=helpsheet!$L$17,rate_vatRU_from_26,rate_vatRu_till_25),0)),2)</f>
        <v/>
      </c>
      <c r="AN822" s="192">
        <f>AL822-AK822</f>
        <v/>
      </c>
      <c r="AO822" s="76">
        <f>SUM(AY822,Y822:Z822,T822)*IF(AND(offer_incoterms="DDP",offer_sale_type&lt;&gt;"экспорт"),IF((TODAY()+offer_turnaround_time)&gt;=helpsheet!$L$17,rate_vatRU_from_26,rate_vatRu_till_25),0)</f>
        <v/>
      </c>
      <c r="AP822" s="193">
        <f>AN822-AO822</f>
        <v/>
      </c>
      <c r="AQ822" s="118">
        <f>IF(offer_sale_type="транзит",SUM(AF822:AI822,BA822,BB822),0)</f>
        <v/>
      </c>
      <c r="AR822" s="82">
        <f>HYPERLINK("https://www.alta.ru/tnved/code/")&amp;W822&amp;"/"</f>
        <v/>
      </c>
      <c r="AS822" s="157" t="n"/>
      <c r="AT822" s="162" t="n"/>
      <c r="AU822" s="76">
        <f>IF(ISBLANK(AT822),0,AJ822-AT822)</f>
        <v/>
      </c>
      <c r="AV822" s="157" t="n"/>
      <c r="AW822" s="75">
        <f>_xlfn.IFNA(VLOOKUP(L822,list_vat[],3,FALSE),0)</f>
        <v/>
      </c>
      <c r="AX822" s="76">
        <f>IFERROR(ROUND(S822*(1+AW822)/E822,2),0)</f>
        <v/>
      </c>
      <c r="AY822" s="76">
        <f>E822*AX822</f>
        <v/>
      </c>
      <c r="AZ822" s="192">
        <f>S822*(1+M822)</f>
        <v/>
      </c>
      <c r="BA822" s="76">
        <f>cost_fin_total*$BD822</f>
        <v/>
      </c>
      <c r="BB822" s="193">
        <f>credit_sales_interest*BD822</f>
        <v/>
      </c>
      <c r="BC822" s="102">
        <f>IFERROR(IF($I$13&gt;0,$I822/$I$13,$S822/$S$13),0)</f>
        <v/>
      </c>
      <c r="BD822" s="102">
        <f>IFERROR($S822/$S$13,0)</f>
        <v/>
      </c>
      <c r="BE822" s="413" t="inlineStr">
        <is>
          <t>$</t>
        </is>
      </c>
    </row>
    <row r="823" ht="12" customFormat="1" customHeight="1" s="65">
      <c r="A823" s="43" t="n">
        <v>808</v>
      </c>
      <c r="B823" s="166" t="n"/>
      <c r="C823" s="166" t="n"/>
      <c r="D823" s="166" t="n"/>
      <c r="E823" s="162" t="n"/>
      <c r="F823" s="166" t="n"/>
      <c r="G823" s="162" t="n"/>
      <c r="H823" s="162" t="n"/>
      <c r="I823" s="189">
        <f>E823*G823</f>
        <v/>
      </c>
      <c r="J823" s="195" t="n"/>
      <c r="K823" s="162" t="n"/>
      <c r="L823" s="168" t="n"/>
      <c r="M823" s="75">
        <f>_xlfn.XLOOKUP(L823,list_vat[Страна],list_vat[Ставка НДС %],0,0)</f>
        <v/>
      </c>
      <c r="N823" s="162">
        <f>IFERROR(IF(L823="Китай",K823,K823/(1+M823)),0)</f>
        <v/>
      </c>
      <c r="O823" s="169" t="n"/>
      <c r="P823" s="76">
        <f>N823*(1-O823)</f>
        <v/>
      </c>
      <c r="Q823" s="162" t="n"/>
      <c r="R823" s="162">
        <f>IF(ISBLANK(Q823),"введи курс",P823/Q823)</f>
        <v/>
      </c>
      <c r="S823" s="196">
        <f>IF(AND(ISNUMBER(E823),ISNUMBER(Q823)),E823*R823,0)</f>
        <v/>
      </c>
      <c r="T823" s="192">
        <f>$BC823*V$11</f>
        <v/>
      </c>
      <c r="U823" s="76">
        <f>$BC823*W$11</f>
        <v/>
      </c>
      <c r="V823" s="193">
        <f>+SUM(T823:U823)</f>
        <v/>
      </c>
      <c r="W823" s="191" t="n"/>
      <c r="X823" s="170" t="n"/>
      <c r="Y823" s="76">
        <f>ROUND(IF(offer_incoterms="DDP",X823*(S823*(1+AW823)+T823),0),2)</f>
        <v/>
      </c>
      <c r="Z823" s="188" t="n"/>
      <c r="AA823" s="192">
        <f>IFERROR(AB823/E823,0)</f>
        <v/>
      </c>
      <c r="AB823" s="76">
        <f>ROUND(SUM(S823,V823,Y823:Z823,BA823:BB823),2)</f>
        <v/>
      </c>
      <c r="AC823" s="797" t="n"/>
      <c r="AD823" s="192">
        <f t="array" ref="AD823">IFERROR(ROUND((_xlfn.IFS(offer_sale_type="поставка",AB823,offer_sale_type="транзит",S823)*(1+AC823))/E823,2),0)</f>
        <v/>
      </c>
      <c r="AE823" s="76">
        <f>AD823*E823</f>
        <v/>
      </c>
      <c r="AF823" s="193">
        <f t="array" ref="AF823">IFERROR(ROUND(_xlfn.IFS(offer_sale_type="поставка",AB823,offer_sale_type="транзит",S823)*AC823,2),0)</f>
        <v/>
      </c>
      <c r="AG823" s="192">
        <f>$BD823*VLOOKUP($AG$3,$AF$4:$AG$7,2,FALSE)</f>
        <v/>
      </c>
      <c r="AH823" s="76">
        <f>SUM(AE823,AG823,AI823)*rate_forex_risk</f>
        <v/>
      </c>
      <c r="AI823" s="193">
        <f>IF(OR(seller_region="TR",offer_sale_type="экспорт"),0,rate_fin_comm)*SUM(AZ823,AZ823*AW823,T823)</f>
        <v/>
      </c>
      <c r="AJ823" s="118">
        <f>IFERROR(ROUND(SUM(AB823,AF823:AI823)/E823,2),0)</f>
        <v/>
      </c>
      <c r="AK823" s="76">
        <f>AJ823*E823</f>
        <v/>
      </c>
      <c r="AL823" s="174">
        <f>ROUND(IFERROR(AM823*E823,0),2)</f>
        <v/>
      </c>
      <c r="AM823" s="175">
        <f>ROUND(AJ823*(1+IF(offer_incoterms="DDP",IF((TODAY()+offer_turnaround_time)&gt;=helpsheet!$L$17,rate_vatRU_from_26,rate_vatRu_till_25),0)),2)</f>
        <v/>
      </c>
      <c r="AN823" s="192">
        <f>AL823-AK823</f>
        <v/>
      </c>
      <c r="AO823" s="76">
        <f>SUM(AY823,Y823:Z823,T823)*IF(AND(offer_incoterms="DDP",offer_sale_type&lt;&gt;"экспорт"),IF((TODAY()+offer_turnaround_time)&gt;=helpsheet!$L$17,rate_vatRU_from_26,rate_vatRu_till_25),0)</f>
        <v/>
      </c>
      <c r="AP823" s="193">
        <f>AN823-AO823</f>
        <v/>
      </c>
      <c r="AQ823" s="118">
        <f>IF(offer_sale_type="транзит",SUM(AF823:AI823,BA823,BB823),0)</f>
        <v/>
      </c>
      <c r="AR823" s="82">
        <f>HYPERLINK("https://www.alta.ru/tnved/code/")&amp;W823&amp;"/"</f>
        <v/>
      </c>
      <c r="AS823" s="157" t="n"/>
      <c r="AT823" s="162" t="n"/>
      <c r="AU823" s="76">
        <f>IF(ISBLANK(AT823),0,AJ823-AT823)</f>
        <v/>
      </c>
      <c r="AV823" s="157" t="n"/>
      <c r="AW823" s="75">
        <f>_xlfn.IFNA(VLOOKUP(L823,list_vat[],3,FALSE),0)</f>
        <v/>
      </c>
      <c r="AX823" s="76">
        <f>IFERROR(ROUND(S823*(1+AW823)/E823,2),0)</f>
        <v/>
      </c>
      <c r="AY823" s="76">
        <f>E823*AX823</f>
        <v/>
      </c>
      <c r="AZ823" s="192">
        <f>S823*(1+M823)</f>
        <v/>
      </c>
      <c r="BA823" s="76">
        <f>cost_fin_total*$BD823</f>
        <v/>
      </c>
      <c r="BB823" s="193">
        <f>credit_sales_interest*BD823</f>
        <v/>
      </c>
      <c r="BC823" s="102">
        <f>IFERROR(IF($I$13&gt;0,$I823/$I$13,$S823/$S$13),0)</f>
        <v/>
      </c>
      <c r="BD823" s="102">
        <f>IFERROR($S823/$S$13,0)</f>
        <v/>
      </c>
      <c r="BE823" s="413" t="inlineStr">
        <is>
          <t>$</t>
        </is>
      </c>
    </row>
    <row r="824" ht="12" customFormat="1" customHeight="1" s="65">
      <c r="A824" s="43" t="n">
        <v>809</v>
      </c>
      <c r="B824" s="166" t="n"/>
      <c r="C824" s="166" t="n"/>
      <c r="D824" s="166" t="n"/>
      <c r="E824" s="162" t="n"/>
      <c r="F824" s="166" t="n"/>
      <c r="G824" s="162" t="n"/>
      <c r="H824" s="162" t="n"/>
      <c r="I824" s="189">
        <f>E824*G824</f>
        <v/>
      </c>
      <c r="J824" s="195" t="n"/>
      <c r="K824" s="162" t="n"/>
      <c r="L824" s="168" t="n"/>
      <c r="M824" s="75">
        <f>_xlfn.XLOOKUP(L824,list_vat[Страна],list_vat[Ставка НДС %],0,0)</f>
        <v/>
      </c>
      <c r="N824" s="162">
        <f>IFERROR(IF(L824="Китай",K824,K824/(1+M824)),0)</f>
        <v/>
      </c>
      <c r="O824" s="169" t="n"/>
      <c r="P824" s="76">
        <f>N824*(1-O824)</f>
        <v/>
      </c>
      <c r="Q824" s="162" t="n"/>
      <c r="R824" s="162">
        <f>IF(ISBLANK(Q824),"введи курс",P824/Q824)</f>
        <v/>
      </c>
      <c r="S824" s="196">
        <f>IF(AND(ISNUMBER(E824),ISNUMBER(Q824)),E824*R824,0)</f>
        <v/>
      </c>
      <c r="T824" s="192">
        <f>$BC824*V$11</f>
        <v/>
      </c>
      <c r="U824" s="76">
        <f>$BC824*W$11</f>
        <v/>
      </c>
      <c r="V824" s="193">
        <f>+SUM(T824:U824)</f>
        <v/>
      </c>
      <c r="W824" s="191" t="n"/>
      <c r="X824" s="170" t="n"/>
      <c r="Y824" s="76">
        <f>ROUND(IF(offer_incoterms="DDP",X824*(S824*(1+AW824)+T824),0),2)</f>
        <v/>
      </c>
      <c r="Z824" s="188" t="n"/>
      <c r="AA824" s="192">
        <f>IFERROR(AB824/E824,0)</f>
        <v/>
      </c>
      <c r="AB824" s="76">
        <f>ROUND(SUM(S824,V824,Y824:Z824,BA824:BB824),2)</f>
        <v/>
      </c>
      <c r="AC824" s="797" t="n"/>
      <c r="AD824" s="192">
        <f t="array" ref="AD824">IFERROR(ROUND((_xlfn.IFS(offer_sale_type="поставка",AB824,offer_sale_type="транзит",S824)*(1+AC824))/E824,2),0)</f>
        <v/>
      </c>
      <c r="AE824" s="76">
        <f>AD824*E824</f>
        <v/>
      </c>
      <c r="AF824" s="193">
        <f t="array" ref="AF824">IFERROR(ROUND(_xlfn.IFS(offer_sale_type="поставка",AB824,offer_sale_type="транзит",S824)*AC824,2),0)</f>
        <v/>
      </c>
      <c r="AG824" s="192">
        <f>$BD824*VLOOKUP($AG$3,$AF$4:$AG$7,2,FALSE)</f>
        <v/>
      </c>
      <c r="AH824" s="76">
        <f>SUM(AE824,AG824,AI824)*rate_forex_risk</f>
        <v/>
      </c>
      <c r="AI824" s="193">
        <f>IF(OR(seller_region="TR",offer_sale_type="экспорт"),0,rate_fin_comm)*SUM(AZ824,AZ824*AW824,T824)</f>
        <v/>
      </c>
      <c r="AJ824" s="118">
        <f>IFERROR(ROUND(SUM(AB824,AF824:AI824)/E824,2),0)</f>
        <v/>
      </c>
      <c r="AK824" s="76">
        <f>AJ824*E824</f>
        <v/>
      </c>
      <c r="AL824" s="174">
        <f>ROUND(IFERROR(AM824*E824,0),2)</f>
        <v/>
      </c>
      <c r="AM824" s="175">
        <f>ROUND(AJ824*(1+IF(offer_incoterms="DDP",IF((TODAY()+offer_turnaround_time)&gt;=helpsheet!$L$17,rate_vatRU_from_26,rate_vatRu_till_25),0)),2)</f>
        <v/>
      </c>
      <c r="AN824" s="192">
        <f>AL824-AK824</f>
        <v/>
      </c>
      <c r="AO824" s="76">
        <f>SUM(AY824,Y824:Z824,T824)*IF(AND(offer_incoterms="DDP",offer_sale_type&lt;&gt;"экспорт"),IF((TODAY()+offer_turnaround_time)&gt;=helpsheet!$L$17,rate_vatRU_from_26,rate_vatRu_till_25),0)</f>
        <v/>
      </c>
      <c r="AP824" s="193">
        <f>AN824-AO824</f>
        <v/>
      </c>
      <c r="AQ824" s="118">
        <f>IF(offer_sale_type="транзит",SUM(AF824:AI824,BA824,BB824),0)</f>
        <v/>
      </c>
      <c r="AR824" s="82">
        <f>HYPERLINK("https://www.alta.ru/tnved/code/")&amp;W824&amp;"/"</f>
        <v/>
      </c>
      <c r="AS824" s="157" t="n"/>
      <c r="AT824" s="162" t="n"/>
      <c r="AU824" s="76">
        <f>IF(ISBLANK(AT824),0,AJ824-AT824)</f>
        <v/>
      </c>
      <c r="AV824" s="157" t="n"/>
      <c r="AW824" s="75">
        <f>_xlfn.IFNA(VLOOKUP(L824,list_vat[],3,FALSE),0)</f>
        <v/>
      </c>
      <c r="AX824" s="76">
        <f>IFERROR(ROUND(S824*(1+AW824)/E824,2),0)</f>
        <v/>
      </c>
      <c r="AY824" s="76">
        <f>E824*AX824</f>
        <v/>
      </c>
      <c r="AZ824" s="192">
        <f>S824*(1+M824)</f>
        <v/>
      </c>
      <c r="BA824" s="76">
        <f>cost_fin_total*$BD824</f>
        <v/>
      </c>
      <c r="BB824" s="193">
        <f>credit_sales_interest*BD824</f>
        <v/>
      </c>
      <c r="BC824" s="102">
        <f>IFERROR(IF($I$13&gt;0,$I824/$I$13,$S824/$S$13),0)</f>
        <v/>
      </c>
      <c r="BD824" s="102">
        <f>IFERROR($S824/$S$13,0)</f>
        <v/>
      </c>
      <c r="BE824" s="413" t="inlineStr">
        <is>
          <t>$</t>
        </is>
      </c>
    </row>
    <row r="825" ht="12" customFormat="1" customHeight="1" s="65">
      <c r="A825" s="43" t="n">
        <v>810</v>
      </c>
      <c r="B825" s="166" t="n"/>
      <c r="C825" s="166" t="n"/>
      <c r="D825" s="166" t="n"/>
      <c r="E825" s="162" t="n"/>
      <c r="F825" s="166" t="n"/>
      <c r="G825" s="162" t="n"/>
      <c r="H825" s="162" t="n"/>
      <c r="I825" s="189">
        <f>E825*G825</f>
        <v/>
      </c>
      <c r="J825" s="195" t="n"/>
      <c r="K825" s="162" t="n"/>
      <c r="L825" s="168" t="n"/>
      <c r="M825" s="75">
        <f>_xlfn.XLOOKUP(L825,list_vat[Страна],list_vat[Ставка НДС %],0,0)</f>
        <v/>
      </c>
      <c r="N825" s="162">
        <f>IFERROR(IF(L825="Китай",K825,K825/(1+M825)),0)</f>
        <v/>
      </c>
      <c r="O825" s="169" t="n"/>
      <c r="P825" s="76">
        <f>N825*(1-O825)</f>
        <v/>
      </c>
      <c r="Q825" s="162" t="n"/>
      <c r="R825" s="162">
        <f>IF(ISBLANK(Q825),"введи курс",P825/Q825)</f>
        <v/>
      </c>
      <c r="S825" s="196">
        <f>IF(AND(ISNUMBER(E825),ISNUMBER(Q825)),E825*R825,0)</f>
        <v/>
      </c>
      <c r="T825" s="192">
        <f>$BC825*V$11</f>
        <v/>
      </c>
      <c r="U825" s="76">
        <f>$BC825*W$11</f>
        <v/>
      </c>
      <c r="V825" s="193">
        <f>+SUM(T825:U825)</f>
        <v/>
      </c>
      <c r="W825" s="191" t="n"/>
      <c r="X825" s="170" t="n"/>
      <c r="Y825" s="76">
        <f>ROUND(IF(offer_incoterms="DDP",X825*(S825*(1+AW825)+T825),0),2)</f>
        <v/>
      </c>
      <c r="Z825" s="188" t="n"/>
      <c r="AA825" s="192">
        <f>IFERROR(AB825/E825,0)</f>
        <v/>
      </c>
      <c r="AB825" s="76">
        <f>ROUND(SUM(S825,V825,Y825:Z825,BA825:BB825),2)</f>
        <v/>
      </c>
      <c r="AC825" s="797" t="n"/>
      <c r="AD825" s="192">
        <f t="array" ref="AD825">IFERROR(ROUND((_xlfn.IFS(offer_sale_type="поставка",AB825,offer_sale_type="транзит",S825)*(1+AC825))/E825,2),0)</f>
        <v/>
      </c>
      <c r="AE825" s="76">
        <f>AD825*E825</f>
        <v/>
      </c>
      <c r="AF825" s="193">
        <f t="array" ref="AF825">IFERROR(ROUND(_xlfn.IFS(offer_sale_type="поставка",AB825,offer_sale_type="транзит",S825)*AC825,2),0)</f>
        <v/>
      </c>
      <c r="AG825" s="192">
        <f>$BD825*VLOOKUP($AG$3,$AF$4:$AG$7,2,FALSE)</f>
        <v/>
      </c>
      <c r="AH825" s="76">
        <f>SUM(AE825,AG825,AI825)*rate_forex_risk</f>
        <v/>
      </c>
      <c r="AI825" s="193">
        <f>IF(OR(seller_region="TR",offer_sale_type="экспорт"),0,rate_fin_comm)*SUM(AZ825,AZ825*AW825,T825)</f>
        <v/>
      </c>
      <c r="AJ825" s="118">
        <f>IFERROR(ROUND(SUM(AB825,AF825:AI825)/E825,2),0)</f>
        <v/>
      </c>
      <c r="AK825" s="76">
        <f>AJ825*E825</f>
        <v/>
      </c>
      <c r="AL825" s="174">
        <f>ROUND(IFERROR(AM825*E825,0),2)</f>
        <v/>
      </c>
      <c r="AM825" s="175">
        <f>ROUND(AJ825*(1+IF(offer_incoterms="DDP",IF((TODAY()+offer_turnaround_time)&gt;=helpsheet!$L$17,rate_vatRU_from_26,rate_vatRu_till_25),0)),2)</f>
        <v/>
      </c>
      <c r="AN825" s="192">
        <f>AL825-AK825</f>
        <v/>
      </c>
      <c r="AO825" s="76">
        <f>SUM(AY825,Y825:Z825,T825)*IF(AND(offer_incoterms="DDP",offer_sale_type&lt;&gt;"экспорт"),IF((TODAY()+offer_turnaround_time)&gt;=helpsheet!$L$17,rate_vatRU_from_26,rate_vatRu_till_25),0)</f>
        <v/>
      </c>
      <c r="AP825" s="193">
        <f>AN825-AO825</f>
        <v/>
      </c>
      <c r="AQ825" s="118">
        <f>IF(offer_sale_type="транзит",SUM(AF825:AI825,BA825,BB825),0)</f>
        <v/>
      </c>
      <c r="AR825" s="82">
        <f>HYPERLINK("https://www.alta.ru/tnved/code/")&amp;W825&amp;"/"</f>
        <v/>
      </c>
      <c r="AS825" s="157" t="n"/>
      <c r="AT825" s="162" t="n"/>
      <c r="AU825" s="76">
        <f>IF(ISBLANK(AT825),0,AJ825-AT825)</f>
        <v/>
      </c>
      <c r="AV825" s="157" t="n"/>
      <c r="AW825" s="75">
        <f>_xlfn.IFNA(VLOOKUP(L825,list_vat[],3,FALSE),0)</f>
        <v/>
      </c>
      <c r="AX825" s="76">
        <f>IFERROR(ROUND(S825*(1+AW825)/E825,2),0)</f>
        <v/>
      </c>
      <c r="AY825" s="76">
        <f>E825*AX825</f>
        <v/>
      </c>
      <c r="AZ825" s="192">
        <f>S825*(1+M825)</f>
        <v/>
      </c>
      <c r="BA825" s="76">
        <f>cost_fin_total*$BD825</f>
        <v/>
      </c>
      <c r="BB825" s="193">
        <f>credit_sales_interest*BD825</f>
        <v/>
      </c>
      <c r="BC825" s="102">
        <f>IFERROR(IF($I$13&gt;0,$I825/$I$13,$S825/$S$13),0)</f>
        <v/>
      </c>
      <c r="BD825" s="102">
        <f>IFERROR($S825/$S$13,0)</f>
        <v/>
      </c>
      <c r="BE825" s="413" t="inlineStr">
        <is>
          <t>$</t>
        </is>
      </c>
    </row>
    <row r="826" ht="12" customFormat="1" customHeight="1" s="65">
      <c r="A826" s="43" t="n">
        <v>811</v>
      </c>
      <c r="B826" s="166" t="n"/>
      <c r="C826" s="166" t="n"/>
      <c r="D826" s="166" t="n"/>
      <c r="E826" s="162" t="n"/>
      <c r="F826" s="166" t="n"/>
      <c r="G826" s="162" t="n"/>
      <c r="H826" s="162" t="n"/>
      <c r="I826" s="189">
        <f>E826*G826</f>
        <v/>
      </c>
      <c r="J826" s="195" t="n"/>
      <c r="K826" s="162" t="n"/>
      <c r="L826" s="168" t="n"/>
      <c r="M826" s="75">
        <f>_xlfn.XLOOKUP(L826,list_vat[Страна],list_vat[Ставка НДС %],0,0)</f>
        <v/>
      </c>
      <c r="N826" s="162">
        <f>IFERROR(IF(L826="Китай",K826,K826/(1+M826)),0)</f>
        <v/>
      </c>
      <c r="O826" s="169" t="n"/>
      <c r="P826" s="76">
        <f>N826*(1-O826)</f>
        <v/>
      </c>
      <c r="Q826" s="162" t="n"/>
      <c r="R826" s="162">
        <f>IF(ISBLANK(Q826),"введи курс",P826/Q826)</f>
        <v/>
      </c>
      <c r="S826" s="196">
        <f>IF(AND(ISNUMBER(E826),ISNUMBER(Q826)),E826*R826,0)</f>
        <v/>
      </c>
      <c r="T826" s="192">
        <f>$BC826*V$11</f>
        <v/>
      </c>
      <c r="U826" s="76">
        <f>$BC826*W$11</f>
        <v/>
      </c>
      <c r="V826" s="193">
        <f>+SUM(T826:U826)</f>
        <v/>
      </c>
      <c r="W826" s="191" t="n"/>
      <c r="X826" s="170" t="n"/>
      <c r="Y826" s="76">
        <f>ROUND(IF(offer_incoterms="DDP",X826*(S826*(1+AW826)+T826),0),2)</f>
        <v/>
      </c>
      <c r="Z826" s="188" t="n"/>
      <c r="AA826" s="192">
        <f>IFERROR(AB826/E826,0)</f>
        <v/>
      </c>
      <c r="AB826" s="76">
        <f>ROUND(SUM(S826,V826,Y826:Z826,BA826:BB826),2)</f>
        <v/>
      </c>
      <c r="AC826" s="797" t="n"/>
      <c r="AD826" s="192">
        <f t="array" ref="AD826">IFERROR(ROUND((_xlfn.IFS(offer_sale_type="поставка",AB826,offer_sale_type="транзит",S826)*(1+AC826))/E826,2),0)</f>
        <v/>
      </c>
      <c r="AE826" s="76">
        <f>AD826*E826</f>
        <v/>
      </c>
      <c r="AF826" s="193">
        <f t="array" ref="AF826">IFERROR(ROUND(_xlfn.IFS(offer_sale_type="поставка",AB826,offer_sale_type="транзит",S826)*AC826,2),0)</f>
        <v/>
      </c>
      <c r="AG826" s="192">
        <f>$BD826*VLOOKUP($AG$3,$AF$4:$AG$7,2,FALSE)</f>
        <v/>
      </c>
      <c r="AH826" s="76">
        <f>SUM(AE826,AG826,AI826)*rate_forex_risk</f>
        <v/>
      </c>
      <c r="AI826" s="193">
        <f>IF(OR(seller_region="TR",offer_sale_type="экспорт"),0,rate_fin_comm)*SUM(AZ826,AZ826*AW826,T826)</f>
        <v/>
      </c>
      <c r="AJ826" s="118">
        <f>IFERROR(ROUND(SUM(AB826,AF826:AI826)/E826,2),0)</f>
        <v/>
      </c>
      <c r="AK826" s="76">
        <f>AJ826*E826</f>
        <v/>
      </c>
      <c r="AL826" s="174">
        <f>ROUND(IFERROR(AM826*E826,0),2)</f>
        <v/>
      </c>
      <c r="AM826" s="175">
        <f>ROUND(AJ826*(1+IF(offer_incoterms="DDP",IF((TODAY()+offer_turnaround_time)&gt;=helpsheet!$L$17,rate_vatRU_from_26,rate_vatRu_till_25),0)),2)</f>
        <v/>
      </c>
      <c r="AN826" s="192">
        <f>AL826-AK826</f>
        <v/>
      </c>
      <c r="AO826" s="76">
        <f>SUM(AY826,Y826:Z826,T826)*IF(AND(offer_incoterms="DDP",offer_sale_type&lt;&gt;"экспорт"),IF((TODAY()+offer_turnaround_time)&gt;=helpsheet!$L$17,rate_vatRU_from_26,rate_vatRu_till_25),0)</f>
        <v/>
      </c>
      <c r="AP826" s="193">
        <f>AN826-AO826</f>
        <v/>
      </c>
      <c r="AQ826" s="118">
        <f>IF(offer_sale_type="транзит",SUM(AF826:AI826,BA826,BB826),0)</f>
        <v/>
      </c>
      <c r="AR826" s="82">
        <f>HYPERLINK("https://www.alta.ru/tnved/code/")&amp;W826&amp;"/"</f>
        <v/>
      </c>
      <c r="AS826" s="157" t="n"/>
      <c r="AT826" s="162" t="n"/>
      <c r="AU826" s="76">
        <f>IF(ISBLANK(AT826),0,AJ826-AT826)</f>
        <v/>
      </c>
      <c r="AV826" s="157" t="n"/>
      <c r="AW826" s="75">
        <f>_xlfn.IFNA(VLOOKUP(L826,list_vat[],3,FALSE),0)</f>
        <v/>
      </c>
      <c r="AX826" s="76">
        <f>IFERROR(ROUND(S826*(1+AW826)/E826,2),0)</f>
        <v/>
      </c>
      <c r="AY826" s="76">
        <f>E826*AX826</f>
        <v/>
      </c>
      <c r="AZ826" s="192">
        <f>S826*(1+M826)</f>
        <v/>
      </c>
      <c r="BA826" s="76">
        <f>cost_fin_total*$BD826</f>
        <v/>
      </c>
      <c r="BB826" s="193">
        <f>credit_sales_interest*BD826</f>
        <v/>
      </c>
      <c r="BC826" s="102">
        <f>IFERROR(IF($I$13&gt;0,$I826/$I$13,$S826/$S$13),0)</f>
        <v/>
      </c>
      <c r="BD826" s="102">
        <f>IFERROR($S826/$S$13,0)</f>
        <v/>
      </c>
      <c r="BE826" s="413" t="inlineStr">
        <is>
          <t>$</t>
        </is>
      </c>
    </row>
    <row r="827" ht="12" customFormat="1" customHeight="1" s="65">
      <c r="A827" s="43" t="n">
        <v>812</v>
      </c>
      <c r="B827" s="166" t="n"/>
      <c r="C827" s="166" t="n"/>
      <c r="D827" s="166" t="n"/>
      <c r="E827" s="162" t="n"/>
      <c r="F827" s="166" t="n"/>
      <c r="G827" s="162" t="n"/>
      <c r="H827" s="162" t="n"/>
      <c r="I827" s="189">
        <f>E827*G827</f>
        <v/>
      </c>
      <c r="J827" s="195" t="n"/>
      <c r="K827" s="162" t="n"/>
      <c r="L827" s="168" t="n"/>
      <c r="M827" s="75">
        <f>_xlfn.XLOOKUP(L827,list_vat[Страна],list_vat[Ставка НДС %],0,0)</f>
        <v/>
      </c>
      <c r="N827" s="162">
        <f>IFERROR(IF(L827="Китай",K827,K827/(1+M827)),0)</f>
        <v/>
      </c>
      <c r="O827" s="169" t="n"/>
      <c r="P827" s="76">
        <f>N827*(1-O827)</f>
        <v/>
      </c>
      <c r="Q827" s="162" t="n"/>
      <c r="R827" s="162">
        <f>IF(ISBLANK(Q827),"введи курс",P827/Q827)</f>
        <v/>
      </c>
      <c r="S827" s="196">
        <f>IF(AND(ISNUMBER(E827),ISNUMBER(Q827)),E827*R827,0)</f>
        <v/>
      </c>
      <c r="T827" s="192">
        <f>$BC827*V$11</f>
        <v/>
      </c>
      <c r="U827" s="76">
        <f>$BC827*W$11</f>
        <v/>
      </c>
      <c r="V827" s="193">
        <f>+SUM(T827:U827)</f>
        <v/>
      </c>
      <c r="W827" s="191" t="n"/>
      <c r="X827" s="170" t="n"/>
      <c r="Y827" s="76">
        <f>ROUND(IF(offer_incoterms="DDP",X827*(S827*(1+AW827)+T827),0),2)</f>
        <v/>
      </c>
      <c r="Z827" s="188" t="n"/>
      <c r="AA827" s="192">
        <f>IFERROR(AB827/E827,0)</f>
        <v/>
      </c>
      <c r="AB827" s="76">
        <f>ROUND(SUM(S827,V827,Y827:Z827,BA827:BB827),2)</f>
        <v/>
      </c>
      <c r="AC827" s="797" t="n"/>
      <c r="AD827" s="192">
        <f t="array" ref="AD827">IFERROR(ROUND((_xlfn.IFS(offer_sale_type="поставка",AB827,offer_sale_type="транзит",S827)*(1+AC827))/E827,2),0)</f>
        <v/>
      </c>
      <c r="AE827" s="76">
        <f>AD827*E827</f>
        <v/>
      </c>
      <c r="AF827" s="193">
        <f t="array" ref="AF827">IFERROR(ROUND(_xlfn.IFS(offer_sale_type="поставка",AB827,offer_sale_type="транзит",S827)*AC827,2),0)</f>
        <v/>
      </c>
      <c r="AG827" s="192">
        <f>$BD827*VLOOKUP($AG$3,$AF$4:$AG$7,2,FALSE)</f>
        <v/>
      </c>
      <c r="AH827" s="76">
        <f>SUM(AE827,AG827,AI827)*rate_forex_risk</f>
        <v/>
      </c>
      <c r="AI827" s="193">
        <f>IF(OR(seller_region="TR",offer_sale_type="экспорт"),0,rate_fin_comm)*SUM(AZ827,AZ827*AW827,T827)</f>
        <v/>
      </c>
      <c r="AJ827" s="118">
        <f>IFERROR(ROUND(SUM(AB827,AF827:AI827)/E827,2),0)</f>
        <v/>
      </c>
      <c r="AK827" s="76">
        <f>AJ827*E827</f>
        <v/>
      </c>
      <c r="AL827" s="174">
        <f>ROUND(IFERROR(AM827*E827,0),2)</f>
        <v/>
      </c>
      <c r="AM827" s="175">
        <f>ROUND(AJ827*(1+IF(offer_incoterms="DDP",IF((TODAY()+offer_turnaround_time)&gt;=helpsheet!$L$17,rate_vatRU_from_26,rate_vatRu_till_25),0)),2)</f>
        <v/>
      </c>
      <c r="AN827" s="192">
        <f>AL827-AK827</f>
        <v/>
      </c>
      <c r="AO827" s="76">
        <f>SUM(AY827,Y827:Z827,T827)*IF(AND(offer_incoterms="DDP",offer_sale_type&lt;&gt;"экспорт"),IF((TODAY()+offer_turnaround_time)&gt;=helpsheet!$L$17,rate_vatRU_from_26,rate_vatRu_till_25),0)</f>
        <v/>
      </c>
      <c r="AP827" s="193">
        <f>AN827-AO827</f>
        <v/>
      </c>
      <c r="AQ827" s="118">
        <f>IF(offer_sale_type="транзит",SUM(AF827:AI827,BA827,BB827),0)</f>
        <v/>
      </c>
      <c r="AR827" s="82">
        <f>HYPERLINK("https://www.alta.ru/tnved/code/")&amp;W827&amp;"/"</f>
        <v/>
      </c>
      <c r="AS827" s="157" t="n"/>
      <c r="AT827" s="162" t="n"/>
      <c r="AU827" s="76">
        <f>IF(ISBLANK(AT827),0,AJ827-AT827)</f>
        <v/>
      </c>
      <c r="AV827" s="157" t="n"/>
      <c r="AW827" s="75">
        <f>_xlfn.IFNA(VLOOKUP(L827,list_vat[],3,FALSE),0)</f>
        <v/>
      </c>
      <c r="AX827" s="76">
        <f>IFERROR(ROUND(S827*(1+AW827)/E827,2),0)</f>
        <v/>
      </c>
      <c r="AY827" s="76">
        <f>E827*AX827</f>
        <v/>
      </c>
      <c r="AZ827" s="192">
        <f>S827*(1+M827)</f>
        <v/>
      </c>
      <c r="BA827" s="76">
        <f>cost_fin_total*$BD827</f>
        <v/>
      </c>
      <c r="BB827" s="193">
        <f>credit_sales_interest*BD827</f>
        <v/>
      </c>
      <c r="BC827" s="102">
        <f>IFERROR(IF($I$13&gt;0,$I827/$I$13,$S827/$S$13),0)</f>
        <v/>
      </c>
      <c r="BD827" s="102">
        <f>IFERROR($S827/$S$13,0)</f>
        <v/>
      </c>
      <c r="BE827" s="413" t="inlineStr">
        <is>
          <t>$</t>
        </is>
      </c>
    </row>
    <row r="828" ht="12" customFormat="1" customHeight="1" s="65">
      <c r="A828" s="43" t="n">
        <v>813</v>
      </c>
      <c r="B828" s="166" t="n"/>
      <c r="C828" s="166" t="n"/>
      <c r="D828" s="166" t="n"/>
      <c r="E828" s="162" t="n"/>
      <c r="F828" s="166" t="n"/>
      <c r="G828" s="162" t="n"/>
      <c r="H828" s="162" t="n"/>
      <c r="I828" s="189">
        <f>E828*G828</f>
        <v/>
      </c>
      <c r="J828" s="195" t="n"/>
      <c r="K828" s="162" t="n"/>
      <c r="L828" s="168" t="n"/>
      <c r="M828" s="75">
        <f>_xlfn.XLOOKUP(L828,list_vat[Страна],list_vat[Ставка НДС %],0,0)</f>
        <v/>
      </c>
      <c r="N828" s="162">
        <f>IFERROR(IF(L828="Китай",K828,K828/(1+M828)),0)</f>
        <v/>
      </c>
      <c r="O828" s="169" t="n"/>
      <c r="P828" s="76">
        <f>N828*(1-O828)</f>
        <v/>
      </c>
      <c r="Q828" s="162" t="n"/>
      <c r="R828" s="162">
        <f>IF(ISBLANK(Q828),"введи курс",P828/Q828)</f>
        <v/>
      </c>
      <c r="S828" s="196">
        <f>IF(AND(ISNUMBER(E828),ISNUMBER(Q828)),E828*R828,0)</f>
        <v/>
      </c>
      <c r="T828" s="192">
        <f>$BC828*V$11</f>
        <v/>
      </c>
      <c r="U828" s="76">
        <f>$BC828*W$11</f>
        <v/>
      </c>
      <c r="V828" s="193">
        <f>+SUM(T828:U828)</f>
        <v/>
      </c>
      <c r="W828" s="191" t="n"/>
      <c r="X828" s="170" t="n"/>
      <c r="Y828" s="76">
        <f>ROUND(IF(offer_incoterms="DDP",X828*(S828*(1+AW828)+T828),0),2)</f>
        <v/>
      </c>
      <c r="Z828" s="188" t="n"/>
      <c r="AA828" s="192">
        <f>IFERROR(AB828/E828,0)</f>
        <v/>
      </c>
      <c r="AB828" s="76">
        <f>ROUND(SUM(S828,V828,Y828:Z828,BA828:BB828),2)</f>
        <v/>
      </c>
      <c r="AC828" s="797" t="n"/>
      <c r="AD828" s="192">
        <f t="array" ref="AD828">IFERROR(ROUND((_xlfn.IFS(offer_sale_type="поставка",AB828,offer_sale_type="транзит",S828)*(1+AC828))/E828,2),0)</f>
        <v/>
      </c>
      <c r="AE828" s="76">
        <f>AD828*E828</f>
        <v/>
      </c>
      <c r="AF828" s="193">
        <f t="array" ref="AF828">IFERROR(ROUND(_xlfn.IFS(offer_sale_type="поставка",AB828,offer_sale_type="транзит",S828)*AC828,2),0)</f>
        <v/>
      </c>
      <c r="AG828" s="192">
        <f>$BD828*VLOOKUP($AG$3,$AF$4:$AG$7,2,FALSE)</f>
        <v/>
      </c>
      <c r="AH828" s="76">
        <f>SUM(AE828,AG828,AI828)*rate_forex_risk</f>
        <v/>
      </c>
      <c r="AI828" s="193">
        <f>IF(OR(seller_region="TR",offer_sale_type="экспорт"),0,rate_fin_comm)*SUM(AZ828,AZ828*AW828,T828)</f>
        <v/>
      </c>
      <c r="AJ828" s="118">
        <f>IFERROR(ROUND(SUM(AB828,AF828:AI828)/E828,2),0)</f>
        <v/>
      </c>
      <c r="AK828" s="76">
        <f>AJ828*E828</f>
        <v/>
      </c>
      <c r="AL828" s="174">
        <f>ROUND(IFERROR(AM828*E828,0),2)</f>
        <v/>
      </c>
      <c r="AM828" s="175">
        <f>ROUND(AJ828*(1+IF(offer_incoterms="DDP",IF((TODAY()+offer_turnaround_time)&gt;=helpsheet!$L$17,rate_vatRU_from_26,rate_vatRu_till_25),0)),2)</f>
        <v/>
      </c>
      <c r="AN828" s="192">
        <f>AL828-AK828</f>
        <v/>
      </c>
      <c r="AO828" s="76">
        <f>SUM(AY828,Y828:Z828,T828)*IF(AND(offer_incoterms="DDP",offer_sale_type&lt;&gt;"экспорт"),IF((TODAY()+offer_turnaround_time)&gt;=helpsheet!$L$17,rate_vatRU_from_26,rate_vatRu_till_25),0)</f>
        <v/>
      </c>
      <c r="AP828" s="193">
        <f>AN828-AO828</f>
        <v/>
      </c>
      <c r="AQ828" s="118">
        <f>IF(offer_sale_type="транзит",SUM(AF828:AI828,BA828,BB828),0)</f>
        <v/>
      </c>
      <c r="AR828" s="82">
        <f>HYPERLINK("https://www.alta.ru/tnved/code/")&amp;W828&amp;"/"</f>
        <v/>
      </c>
      <c r="AS828" s="157" t="n"/>
      <c r="AT828" s="162" t="n"/>
      <c r="AU828" s="76">
        <f>IF(ISBLANK(AT828),0,AJ828-AT828)</f>
        <v/>
      </c>
      <c r="AV828" s="157" t="n"/>
      <c r="AW828" s="75">
        <f>_xlfn.IFNA(VLOOKUP(L828,list_vat[],3,FALSE),0)</f>
        <v/>
      </c>
      <c r="AX828" s="76">
        <f>IFERROR(ROUND(S828*(1+AW828)/E828,2),0)</f>
        <v/>
      </c>
      <c r="AY828" s="76">
        <f>E828*AX828</f>
        <v/>
      </c>
      <c r="AZ828" s="192">
        <f>S828*(1+M828)</f>
        <v/>
      </c>
      <c r="BA828" s="76">
        <f>cost_fin_total*$BD828</f>
        <v/>
      </c>
      <c r="BB828" s="193">
        <f>credit_sales_interest*BD828</f>
        <v/>
      </c>
      <c r="BC828" s="102">
        <f>IFERROR(IF($I$13&gt;0,$I828/$I$13,$S828/$S$13),0)</f>
        <v/>
      </c>
      <c r="BD828" s="102">
        <f>IFERROR($S828/$S$13,0)</f>
        <v/>
      </c>
      <c r="BE828" s="413" t="inlineStr">
        <is>
          <t>$</t>
        </is>
      </c>
    </row>
    <row r="829" ht="12" customFormat="1" customHeight="1" s="65">
      <c r="A829" s="43" t="n">
        <v>814</v>
      </c>
      <c r="B829" s="166" t="n"/>
      <c r="C829" s="166" t="n"/>
      <c r="D829" s="166" t="n"/>
      <c r="E829" s="162" t="n"/>
      <c r="F829" s="166" t="n"/>
      <c r="G829" s="162" t="n"/>
      <c r="H829" s="162" t="n"/>
      <c r="I829" s="189">
        <f>E829*G829</f>
        <v/>
      </c>
      <c r="J829" s="195" t="n"/>
      <c r="K829" s="162" t="n"/>
      <c r="L829" s="168" t="n"/>
      <c r="M829" s="75">
        <f>_xlfn.XLOOKUP(L829,list_vat[Страна],list_vat[Ставка НДС %],0,0)</f>
        <v/>
      </c>
      <c r="N829" s="162">
        <f>IFERROR(IF(L829="Китай",K829,K829/(1+M829)),0)</f>
        <v/>
      </c>
      <c r="O829" s="169" t="n"/>
      <c r="P829" s="76">
        <f>N829*(1-O829)</f>
        <v/>
      </c>
      <c r="Q829" s="162" t="n"/>
      <c r="R829" s="162">
        <f>IF(ISBLANK(Q829),"введи курс",P829/Q829)</f>
        <v/>
      </c>
      <c r="S829" s="196">
        <f>IF(AND(ISNUMBER(E829),ISNUMBER(Q829)),E829*R829,0)</f>
        <v/>
      </c>
      <c r="T829" s="192">
        <f>$BC829*V$11</f>
        <v/>
      </c>
      <c r="U829" s="76">
        <f>$BC829*W$11</f>
        <v/>
      </c>
      <c r="V829" s="193">
        <f>+SUM(T829:U829)</f>
        <v/>
      </c>
      <c r="W829" s="191" t="n"/>
      <c r="X829" s="170" t="n"/>
      <c r="Y829" s="76">
        <f>ROUND(IF(offer_incoterms="DDP",X829*(S829*(1+AW829)+T829),0),2)</f>
        <v/>
      </c>
      <c r="Z829" s="188" t="n"/>
      <c r="AA829" s="192">
        <f>IFERROR(AB829/E829,0)</f>
        <v/>
      </c>
      <c r="AB829" s="76">
        <f>ROUND(SUM(S829,V829,Y829:Z829,BA829:BB829),2)</f>
        <v/>
      </c>
      <c r="AC829" s="797" t="n"/>
      <c r="AD829" s="192">
        <f t="array" ref="AD829">IFERROR(ROUND((_xlfn.IFS(offer_sale_type="поставка",AB829,offer_sale_type="транзит",S829)*(1+AC829))/E829,2),0)</f>
        <v/>
      </c>
      <c r="AE829" s="76">
        <f>AD829*E829</f>
        <v/>
      </c>
      <c r="AF829" s="193">
        <f t="array" ref="AF829">IFERROR(ROUND(_xlfn.IFS(offer_sale_type="поставка",AB829,offer_sale_type="транзит",S829)*AC829,2),0)</f>
        <v/>
      </c>
      <c r="AG829" s="192">
        <f>$BD829*VLOOKUP($AG$3,$AF$4:$AG$7,2,FALSE)</f>
        <v/>
      </c>
      <c r="AH829" s="76">
        <f>SUM(AE829,AG829,AI829)*rate_forex_risk</f>
        <v/>
      </c>
      <c r="AI829" s="193">
        <f>IF(OR(seller_region="TR",offer_sale_type="экспорт"),0,rate_fin_comm)*SUM(AZ829,AZ829*AW829,T829)</f>
        <v/>
      </c>
      <c r="AJ829" s="118">
        <f>IFERROR(ROUND(SUM(AB829,AF829:AI829)/E829,2),0)</f>
        <v/>
      </c>
      <c r="AK829" s="76">
        <f>AJ829*E829</f>
        <v/>
      </c>
      <c r="AL829" s="174">
        <f>ROUND(IFERROR(AM829*E829,0),2)</f>
        <v/>
      </c>
      <c r="AM829" s="175">
        <f>ROUND(AJ829*(1+IF(offer_incoterms="DDP",IF((TODAY()+offer_turnaround_time)&gt;=helpsheet!$L$17,rate_vatRU_from_26,rate_vatRu_till_25),0)),2)</f>
        <v/>
      </c>
      <c r="AN829" s="192">
        <f>AL829-AK829</f>
        <v/>
      </c>
      <c r="AO829" s="76">
        <f>SUM(AY829,Y829:Z829,T829)*IF(AND(offer_incoterms="DDP",offer_sale_type&lt;&gt;"экспорт"),IF((TODAY()+offer_turnaround_time)&gt;=helpsheet!$L$17,rate_vatRU_from_26,rate_vatRu_till_25),0)</f>
        <v/>
      </c>
      <c r="AP829" s="193">
        <f>AN829-AO829</f>
        <v/>
      </c>
      <c r="AQ829" s="118">
        <f>IF(offer_sale_type="транзит",SUM(AF829:AI829,BA829,BB829),0)</f>
        <v/>
      </c>
      <c r="AR829" s="82">
        <f>HYPERLINK("https://www.alta.ru/tnved/code/")&amp;W829&amp;"/"</f>
        <v/>
      </c>
      <c r="AS829" s="157" t="n"/>
      <c r="AT829" s="162" t="n"/>
      <c r="AU829" s="76">
        <f>IF(ISBLANK(AT829),0,AJ829-AT829)</f>
        <v/>
      </c>
      <c r="AV829" s="157" t="n"/>
      <c r="AW829" s="75">
        <f>_xlfn.IFNA(VLOOKUP(L829,list_vat[],3,FALSE),0)</f>
        <v/>
      </c>
      <c r="AX829" s="76">
        <f>IFERROR(ROUND(S829*(1+AW829)/E829,2),0)</f>
        <v/>
      </c>
      <c r="AY829" s="76">
        <f>E829*AX829</f>
        <v/>
      </c>
      <c r="AZ829" s="192">
        <f>S829*(1+M829)</f>
        <v/>
      </c>
      <c r="BA829" s="76">
        <f>cost_fin_total*$BD829</f>
        <v/>
      </c>
      <c r="BB829" s="193">
        <f>credit_sales_interest*BD829</f>
        <v/>
      </c>
      <c r="BC829" s="102">
        <f>IFERROR(IF($I$13&gt;0,$I829/$I$13,$S829/$S$13),0)</f>
        <v/>
      </c>
      <c r="BD829" s="102">
        <f>IFERROR($S829/$S$13,0)</f>
        <v/>
      </c>
      <c r="BE829" s="413" t="inlineStr">
        <is>
          <t>$</t>
        </is>
      </c>
    </row>
    <row r="830" ht="12" customFormat="1" customHeight="1" s="65">
      <c r="A830" s="43" t="n">
        <v>815</v>
      </c>
      <c r="B830" s="166" t="n"/>
      <c r="C830" s="166" t="n"/>
      <c r="D830" s="166" t="n"/>
      <c r="E830" s="162" t="n"/>
      <c r="F830" s="166" t="n"/>
      <c r="G830" s="162" t="n"/>
      <c r="H830" s="162" t="n"/>
      <c r="I830" s="189">
        <f>E830*G830</f>
        <v/>
      </c>
      <c r="J830" s="195" t="n"/>
      <c r="K830" s="162" t="n"/>
      <c r="L830" s="168" t="n"/>
      <c r="M830" s="75">
        <f>_xlfn.XLOOKUP(L830,list_vat[Страна],list_vat[Ставка НДС %],0,0)</f>
        <v/>
      </c>
      <c r="N830" s="162">
        <f>IFERROR(IF(L830="Китай",K830,K830/(1+M830)),0)</f>
        <v/>
      </c>
      <c r="O830" s="169" t="n"/>
      <c r="P830" s="76">
        <f>N830*(1-O830)</f>
        <v/>
      </c>
      <c r="Q830" s="162" t="n"/>
      <c r="R830" s="162">
        <f>IF(ISBLANK(Q830),"введи курс",P830/Q830)</f>
        <v/>
      </c>
      <c r="S830" s="196">
        <f>IF(AND(ISNUMBER(E830),ISNUMBER(Q830)),E830*R830,0)</f>
        <v/>
      </c>
      <c r="T830" s="192">
        <f>$BC830*V$11</f>
        <v/>
      </c>
      <c r="U830" s="76">
        <f>$BC830*W$11</f>
        <v/>
      </c>
      <c r="V830" s="193">
        <f>+SUM(T830:U830)</f>
        <v/>
      </c>
      <c r="W830" s="191" t="n"/>
      <c r="X830" s="170" t="n"/>
      <c r="Y830" s="76">
        <f>ROUND(IF(offer_incoterms="DDP",X830*(S830*(1+AW830)+T830),0),2)</f>
        <v/>
      </c>
      <c r="Z830" s="188" t="n"/>
      <c r="AA830" s="192">
        <f>IFERROR(AB830/E830,0)</f>
        <v/>
      </c>
      <c r="AB830" s="76">
        <f>ROUND(SUM(S830,V830,Y830:Z830,BA830:BB830),2)</f>
        <v/>
      </c>
      <c r="AC830" s="797" t="n"/>
      <c r="AD830" s="192">
        <f t="array" ref="AD830">IFERROR(ROUND((_xlfn.IFS(offer_sale_type="поставка",AB830,offer_sale_type="транзит",S830)*(1+AC830))/E830,2),0)</f>
        <v/>
      </c>
      <c r="AE830" s="76">
        <f>AD830*E830</f>
        <v/>
      </c>
      <c r="AF830" s="193">
        <f t="array" ref="AF830">IFERROR(ROUND(_xlfn.IFS(offer_sale_type="поставка",AB830,offer_sale_type="транзит",S830)*AC830,2),0)</f>
        <v/>
      </c>
      <c r="AG830" s="192">
        <f>$BD830*VLOOKUP($AG$3,$AF$4:$AG$7,2,FALSE)</f>
        <v/>
      </c>
      <c r="AH830" s="76">
        <f>SUM(AE830,AG830,AI830)*rate_forex_risk</f>
        <v/>
      </c>
      <c r="AI830" s="193">
        <f>IF(OR(seller_region="TR",offer_sale_type="экспорт"),0,rate_fin_comm)*SUM(AZ830,AZ830*AW830,T830)</f>
        <v/>
      </c>
      <c r="AJ830" s="118">
        <f>IFERROR(ROUND(SUM(AB830,AF830:AI830)/E830,2),0)</f>
        <v/>
      </c>
      <c r="AK830" s="76">
        <f>AJ830*E830</f>
        <v/>
      </c>
      <c r="AL830" s="174">
        <f>ROUND(IFERROR(AM830*E830,0),2)</f>
        <v/>
      </c>
      <c r="AM830" s="175">
        <f>ROUND(AJ830*(1+IF(offer_incoterms="DDP",IF((TODAY()+offer_turnaround_time)&gt;=helpsheet!$L$17,rate_vatRU_from_26,rate_vatRu_till_25),0)),2)</f>
        <v/>
      </c>
      <c r="AN830" s="192">
        <f>AL830-AK830</f>
        <v/>
      </c>
      <c r="AO830" s="76">
        <f>SUM(AY830,Y830:Z830,T830)*IF(AND(offer_incoterms="DDP",offer_sale_type&lt;&gt;"экспорт"),IF((TODAY()+offer_turnaround_time)&gt;=helpsheet!$L$17,rate_vatRU_from_26,rate_vatRu_till_25),0)</f>
        <v/>
      </c>
      <c r="AP830" s="193">
        <f>AN830-AO830</f>
        <v/>
      </c>
      <c r="AQ830" s="118">
        <f>IF(offer_sale_type="транзит",SUM(AF830:AI830,BA830,BB830),0)</f>
        <v/>
      </c>
      <c r="AR830" s="82">
        <f>HYPERLINK("https://www.alta.ru/tnved/code/")&amp;W830&amp;"/"</f>
        <v/>
      </c>
      <c r="AS830" s="157" t="n"/>
      <c r="AT830" s="162" t="n"/>
      <c r="AU830" s="76">
        <f>IF(ISBLANK(AT830),0,AJ830-AT830)</f>
        <v/>
      </c>
      <c r="AV830" s="157" t="n"/>
      <c r="AW830" s="75">
        <f>_xlfn.IFNA(VLOOKUP(L830,list_vat[],3,FALSE),0)</f>
        <v/>
      </c>
      <c r="AX830" s="76">
        <f>IFERROR(ROUND(S830*(1+AW830)/E830,2),0)</f>
        <v/>
      </c>
      <c r="AY830" s="76">
        <f>E830*AX830</f>
        <v/>
      </c>
      <c r="AZ830" s="192">
        <f>S830*(1+M830)</f>
        <v/>
      </c>
      <c r="BA830" s="76">
        <f>cost_fin_total*$BD830</f>
        <v/>
      </c>
      <c r="BB830" s="193">
        <f>credit_sales_interest*BD830</f>
        <v/>
      </c>
      <c r="BC830" s="102">
        <f>IFERROR(IF($I$13&gt;0,$I830/$I$13,$S830/$S$13),0)</f>
        <v/>
      </c>
      <c r="BD830" s="102">
        <f>IFERROR($S830/$S$13,0)</f>
        <v/>
      </c>
      <c r="BE830" s="413" t="inlineStr">
        <is>
          <t>$</t>
        </is>
      </c>
    </row>
    <row r="831" ht="12" customFormat="1" customHeight="1" s="65">
      <c r="A831" s="43" t="n">
        <v>816</v>
      </c>
      <c r="B831" s="166" t="n"/>
      <c r="C831" s="166" t="n"/>
      <c r="D831" s="166" t="n"/>
      <c r="E831" s="162" t="n"/>
      <c r="F831" s="166" t="n"/>
      <c r="G831" s="162" t="n"/>
      <c r="H831" s="162" t="n"/>
      <c r="I831" s="189">
        <f>E831*G831</f>
        <v/>
      </c>
      <c r="J831" s="195" t="n"/>
      <c r="K831" s="162" t="n"/>
      <c r="L831" s="168" t="n"/>
      <c r="M831" s="75">
        <f>_xlfn.XLOOKUP(L831,list_vat[Страна],list_vat[Ставка НДС %],0,0)</f>
        <v/>
      </c>
      <c r="N831" s="162">
        <f>IFERROR(IF(L831="Китай",K831,K831/(1+M831)),0)</f>
        <v/>
      </c>
      <c r="O831" s="169" t="n"/>
      <c r="P831" s="76">
        <f>N831*(1-O831)</f>
        <v/>
      </c>
      <c r="Q831" s="162" t="n"/>
      <c r="R831" s="162">
        <f>IF(ISBLANK(Q831),"введи курс",P831/Q831)</f>
        <v/>
      </c>
      <c r="S831" s="196">
        <f>IF(AND(ISNUMBER(E831),ISNUMBER(Q831)),E831*R831,0)</f>
        <v/>
      </c>
      <c r="T831" s="192">
        <f>$BC831*V$11</f>
        <v/>
      </c>
      <c r="U831" s="76">
        <f>$BC831*W$11</f>
        <v/>
      </c>
      <c r="V831" s="193">
        <f>+SUM(T831:U831)</f>
        <v/>
      </c>
      <c r="W831" s="191" t="n"/>
      <c r="X831" s="170" t="n"/>
      <c r="Y831" s="76">
        <f>ROUND(IF(offer_incoterms="DDP",X831*(S831*(1+AW831)+T831),0),2)</f>
        <v/>
      </c>
      <c r="Z831" s="188" t="n"/>
      <c r="AA831" s="192">
        <f>IFERROR(AB831/E831,0)</f>
        <v/>
      </c>
      <c r="AB831" s="76">
        <f>ROUND(SUM(S831,V831,Y831:Z831,BA831:BB831),2)</f>
        <v/>
      </c>
      <c r="AC831" s="797" t="n"/>
      <c r="AD831" s="192">
        <f t="array" ref="AD831">IFERROR(ROUND((_xlfn.IFS(offer_sale_type="поставка",AB831,offer_sale_type="транзит",S831)*(1+AC831))/E831,2),0)</f>
        <v/>
      </c>
      <c r="AE831" s="76">
        <f>AD831*E831</f>
        <v/>
      </c>
      <c r="AF831" s="193">
        <f t="array" ref="AF831">IFERROR(ROUND(_xlfn.IFS(offer_sale_type="поставка",AB831,offer_sale_type="транзит",S831)*AC831,2),0)</f>
        <v/>
      </c>
      <c r="AG831" s="192">
        <f>$BD831*VLOOKUP($AG$3,$AF$4:$AG$7,2,FALSE)</f>
        <v/>
      </c>
      <c r="AH831" s="76">
        <f>SUM(AE831,AG831,AI831)*rate_forex_risk</f>
        <v/>
      </c>
      <c r="AI831" s="193">
        <f>IF(OR(seller_region="TR",offer_sale_type="экспорт"),0,rate_fin_comm)*SUM(AZ831,AZ831*AW831,T831)</f>
        <v/>
      </c>
      <c r="AJ831" s="118">
        <f>IFERROR(ROUND(SUM(AB831,AF831:AI831)/E831,2),0)</f>
        <v/>
      </c>
      <c r="AK831" s="76">
        <f>AJ831*E831</f>
        <v/>
      </c>
      <c r="AL831" s="174">
        <f>ROUND(IFERROR(AM831*E831,0),2)</f>
        <v/>
      </c>
      <c r="AM831" s="175">
        <f>ROUND(AJ831*(1+IF(offer_incoterms="DDP",IF((TODAY()+offer_turnaround_time)&gt;=helpsheet!$L$17,rate_vatRU_from_26,rate_vatRu_till_25),0)),2)</f>
        <v/>
      </c>
      <c r="AN831" s="192">
        <f>AL831-AK831</f>
        <v/>
      </c>
      <c r="AO831" s="76">
        <f>SUM(AY831,Y831:Z831,T831)*IF(AND(offer_incoterms="DDP",offer_sale_type&lt;&gt;"экспорт"),IF((TODAY()+offer_turnaround_time)&gt;=helpsheet!$L$17,rate_vatRU_from_26,rate_vatRu_till_25),0)</f>
        <v/>
      </c>
      <c r="AP831" s="193">
        <f>AN831-AO831</f>
        <v/>
      </c>
      <c r="AQ831" s="118">
        <f>IF(offer_sale_type="транзит",SUM(AF831:AI831,BA831,BB831),0)</f>
        <v/>
      </c>
      <c r="AR831" s="82">
        <f>HYPERLINK("https://www.alta.ru/tnved/code/")&amp;W831&amp;"/"</f>
        <v/>
      </c>
      <c r="AS831" s="157" t="n"/>
      <c r="AT831" s="162" t="n"/>
      <c r="AU831" s="76">
        <f>IF(ISBLANK(AT831),0,AJ831-AT831)</f>
        <v/>
      </c>
      <c r="AV831" s="157" t="n"/>
      <c r="AW831" s="75">
        <f>_xlfn.IFNA(VLOOKUP(L831,list_vat[],3,FALSE),0)</f>
        <v/>
      </c>
      <c r="AX831" s="76">
        <f>IFERROR(ROUND(S831*(1+AW831)/E831,2),0)</f>
        <v/>
      </c>
      <c r="AY831" s="76">
        <f>E831*AX831</f>
        <v/>
      </c>
      <c r="AZ831" s="192">
        <f>S831*(1+M831)</f>
        <v/>
      </c>
      <c r="BA831" s="76">
        <f>cost_fin_total*$BD831</f>
        <v/>
      </c>
      <c r="BB831" s="193">
        <f>credit_sales_interest*BD831</f>
        <v/>
      </c>
      <c r="BC831" s="102">
        <f>IFERROR(IF($I$13&gt;0,$I831/$I$13,$S831/$S$13),0)</f>
        <v/>
      </c>
      <c r="BD831" s="102">
        <f>IFERROR($S831/$S$13,0)</f>
        <v/>
      </c>
      <c r="BE831" s="413" t="inlineStr">
        <is>
          <t>$</t>
        </is>
      </c>
    </row>
    <row r="832" ht="12" customFormat="1" customHeight="1" s="65">
      <c r="A832" s="43" t="n">
        <v>817</v>
      </c>
      <c r="B832" s="166" t="n"/>
      <c r="C832" s="166" t="n"/>
      <c r="D832" s="166" t="n"/>
      <c r="E832" s="162" t="n"/>
      <c r="F832" s="166" t="n"/>
      <c r="G832" s="162" t="n"/>
      <c r="H832" s="162" t="n"/>
      <c r="I832" s="189">
        <f>E832*G832</f>
        <v/>
      </c>
      <c r="J832" s="195" t="n"/>
      <c r="K832" s="162" t="n"/>
      <c r="L832" s="168" t="n"/>
      <c r="M832" s="75">
        <f>_xlfn.XLOOKUP(L832,list_vat[Страна],list_vat[Ставка НДС %],0,0)</f>
        <v/>
      </c>
      <c r="N832" s="162">
        <f>IFERROR(IF(L832="Китай",K832,K832/(1+M832)),0)</f>
        <v/>
      </c>
      <c r="O832" s="169" t="n"/>
      <c r="P832" s="76">
        <f>N832*(1-O832)</f>
        <v/>
      </c>
      <c r="Q832" s="162" t="n"/>
      <c r="R832" s="162">
        <f>IF(ISBLANK(Q832),"введи курс",P832/Q832)</f>
        <v/>
      </c>
      <c r="S832" s="196">
        <f>IF(AND(ISNUMBER(E832),ISNUMBER(Q832)),E832*R832,0)</f>
        <v/>
      </c>
      <c r="T832" s="192">
        <f>$BC832*V$11</f>
        <v/>
      </c>
      <c r="U832" s="76">
        <f>$BC832*W$11</f>
        <v/>
      </c>
      <c r="V832" s="193">
        <f>+SUM(T832:U832)</f>
        <v/>
      </c>
      <c r="W832" s="191" t="n"/>
      <c r="X832" s="170" t="n"/>
      <c r="Y832" s="76">
        <f>ROUND(IF(offer_incoterms="DDP",X832*(S832*(1+AW832)+T832),0),2)</f>
        <v/>
      </c>
      <c r="Z832" s="188" t="n"/>
      <c r="AA832" s="192">
        <f>IFERROR(AB832/E832,0)</f>
        <v/>
      </c>
      <c r="AB832" s="76">
        <f>ROUND(SUM(S832,V832,Y832:Z832,BA832:BB832),2)</f>
        <v/>
      </c>
      <c r="AC832" s="797" t="n"/>
      <c r="AD832" s="192">
        <f t="array" ref="AD832">IFERROR(ROUND((_xlfn.IFS(offer_sale_type="поставка",AB832,offer_sale_type="транзит",S832)*(1+AC832))/E832,2),0)</f>
        <v/>
      </c>
      <c r="AE832" s="76">
        <f>AD832*E832</f>
        <v/>
      </c>
      <c r="AF832" s="193">
        <f t="array" ref="AF832">IFERROR(ROUND(_xlfn.IFS(offer_sale_type="поставка",AB832,offer_sale_type="транзит",S832)*AC832,2),0)</f>
        <v/>
      </c>
      <c r="AG832" s="192">
        <f>$BD832*VLOOKUP($AG$3,$AF$4:$AG$7,2,FALSE)</f>
        <v/>
      </c>
      <c r="AH832" s="76">
        <f>SUM(AE832,AG832,AI832)*rate_forex_risk</f>
        <v/>
      </c>
      <c r="AI832" s="193">
        <f>IF(OR(seller_region="TR",offer_sale_type="экспорт"),0,rate_fin_comm)*SUM(AZ832,AZ832*AW832,T832)</f>
        <v/>
      </c>
      <c r="AJ832" s="118">
        <f>IFERROR(ROUND(SUM(AB832,AF832:AI832)/E832,2),0)</f>
        <v/>
      </c>
      <c r="AK832" s="76">
        <f>AJ832*E832</f>
        <v/>
      </c>
      <c r="AL832" s="174">
        <f>ROUND(IFERROR(AM832*E832,0),2)</f>
        <v/>
      </c>
      <c r="AM832" s="175">
        <f>ROUND(AJ832*(1+IF(offer_incoterms="DDP",IF((TODAY()+offer_turnaround_time)&gt;=helpsheet!$L$17,rate_vatRU_from_26,rate_vatRu_till_25),0)),2)</f>
        <v/>
      </c>
      <c r="AN832" s="192">
        <f>AL832-AK832</f>
        <v/>
      </c>
      <c r="AO832" s="76">
        <f>SUM(AY832,Y832:Z832,T832)*IF(AND(offer_incoterms="DDP",offer_sale_type&lt;&gt;"экспорт"),IF((TODAY()+offer_turnaround_time)&gt;=helpsheet!$L$17,rate_vatRU_from_26,rate_vatRu_till_25),0)</f>
        <v/>
      </c>
      <c r="AP832" s="193">
        <f>AN832-AO832</f>
        <v/>
      </c>
      <c r="AQ832" s="118">
        <f>IF(offer_sale_type="транзит",SUM(AF832:AI832,BA832,BB832),0)</f>
        <v/>
      </c>
      <c r="AR832" s="82">
        <f>HYPERLINK("https://www.alta.ru/tnved/code/")&amp;W832&amp;"/"</f>
        <v/>
      </c>
      <c r="AS832" s="157" t="n"/>
      <c r="AT832" s="162" t="n"/>
      <c r="AU832" s="76">
        <f>IF(ISBLANK(AT832),0,AJ832-AT832)</f>
        <v/>
      </c>
      <c r="AV832" s="157" t="n"/>
      <c r="AW832" s="75">
        <f>_xlfn.IFNA(VLOOKUP(L832,list_vat[],3,FALSE),0)</f>
        <v/>
      </c>
      <c r="AX832" s="76">
        <f>IFERROR(ROUND(S832*(1+AW832)/E832,2),0)</f>
        <v/>
      </c>
      <c r="AY832" s="76">
        <f>E832*AX832</f>
        <v/>
      </c>
      <c r="AZ832" s="192">
        <f>S832*(1+M832)</f>
        <v/>
      </c>
      <c r="BA832" s="76">
        <f>cost_fin_total*$BD832</f>
        <v/>
      </c>
      <c r="BB832" s="193">
        <f>credit_sales_interest*BD832</f>
        <v/>
      </c>
      <c r="BC832" s="102">
        <f>IFERROR(IF($I$13&gt;0,$I832/$I$13,$S832/$S$13),0)</f>
        <v/>
      </c>
      <c r="BD832" s="102">
        <f>IFERROR($S832/$S$13,0)</f>
        <v/>
      </c>
      <c r="BE832" s="413" t="inlineStr">
        <is>
          <t>$</t>
        </is>
      </c>
    </row>
    <row r="833" ht="12" customFormat="1" customHeight="1" s="65">
      <c r="A833" s="43" t="n">
        <v>818</v>
      </c>
      <c r="B833" s="166" t="n"/>
      <c r="C833" s="166" t="n"/>
      <c r="D833" s="166" t="n"/>
      <c r="E833" s="162" t="n"/>
      <c r="F833" s="166" t="n"/>
      <c r="G833" s="162" t="n"/>
      <c r="H833" s="162" t="n"/>
      <c r="I833" s="189">
        <f>E833*G833</f>
        <v/>
      </c>
      <c r="J833" s="195" t="n"/>
      <c r="K833" s="162" t="n"/>
      <c r="L833" s="168" t="n"/>
      <c r="M833" s="75">
        <f>_xlfn.XLOOKUP(L833,list_vat[Страна],list_vat[Ставка НДС %],0,0)</f>
        <v/>
      </c>
      <c r="N833" s="162">
        <f>IFERROR(IF(L833="Китай",K833,K833/(1+M833)),0)</f>
        <v/>
      </c>
      <c r="O833" s="169" t="n"/>
      <c r="P833" s="76">
        <f>N833*(1-O833)</f>
        <v/>
      </c>
      <c r="Q833" s="162" t="n"/>
      <c r="R833" s="162">
        <f>IF(ISBLANK(Q833),"введи курс",P833/Q833)</f>
        <v/>
      </c>
      <c r="S833" s="196">
        <f>IF(AND(ISNUMBER(E833),ISNUMBER(Q833)),E833*R833,0)</f>
        <v/>
      </c>
      <c r="T833" s="192">
        <f>$BC833*V$11</f>
        <v/>
      </c>
      <c r="U833" s="76">
        <f>$BC833*W$11</f>
        <v/>
      </c>
      <c r="V833" s="193">
        <f>+SUM(T833:U833)</f>
        <v/>
      </c>
      <c r="W833" s="191" t="n"/>
      <c r="X833" s="170" t="n"/>
      <c r="Y833" s="76">
        <f>ROUND(IF(offer_incoterms="DDP",X833*(S833*(1+AW833)+T833),0),2)</f>
        <v/>
      </c>
      <c r="Z833" s="188" t="n"/>
      <c r="AA833" s="192">
        <f>IFERROR(AB833/E833,0)</f>
        <v/>
      </c>
      <c r="AB833" s="76">
        <f>ROUND(SUM(S833,V833,Y833:Z833,BA833:BB833),2)</f>
        <v/>
      </c>
      <c r="AC833" s="797" t="n"/>
      <c r="AD833" s="192">
        <f t="array" ref="AD833">IFERROR(ROUND((_xlfn.IFS(offer_sale_type="поставка",AB833,offer_sale_type="транзит",S833)*(1+AC833))/E833,2),0)</f>
        <v/>
      </c>
      <c r="AE833" s="76">
        <f>AD833*E833</f>
        <v/>
      </c>
      <c r="AF833" s="193">
        <f t="array" ref="AF833">IFERROR(ROUND(_xlfn.IFS(offer_sale_type="поставка",AB833,offer_sale_type="транзит",S833)*AC833,2),0)</f>
        <v/>
      </c>
      <c r="AG833" s="192">
        <f>$BD833*VLOOKUP($AG$3,$AF$4:$AG$7,2,FALSE)</f>
        <v/>
      </c>
      <c r="AH833" s="76">
        <f>SUM(AE833,AG833,AI833)*rate_forex_risk</f>
        <v/>
      </c>
      <c r="AI833" s="193">
        <f>IF(OR(seller_region="TR",offer_sale_type="экспорт"),0,rate_fin_comm)*SUM(AZ833,AZ833*AW833,T833)</f>
        <v/>
      </c>
      <c r="AJ833" s="118">
        <f>IFERROR(ROUND(SUM(AB833,AF833:AI833)/E833,2),0)</f>
        <v/>
      </c>
      <c r="AK833" s="76">
        <f>AJ833*E833</f>
        <v/>
      </c>
      <c r="AL833" s="174">
        <f>ROUND(IFERROR(AM833*E833,0),2)</f>
        <v/>
      </c>
      <c r="AM833" s="175">
        <f>ROUND(AJ833*(1+IF(offer_incoterms="DDP",IF((TODAY()+offer_turnaround_time)&gt;=helpsheet!$L$17,rate_vatRU_from_26,rate_vatRu_till_25),0)),2)</f>
        <v/>
      </c>
      <c r="AN833" s="192">
        <f>AL833-AK833</f>
        <v/>
      </c>
      <c r="AO833" s="76">
        <f>SUM(AY833,Y833:Z833,T833)*IF(AND(offer_incoterms="DDP",offer_sale_type&lt;&gt;"экспорт"),IF((TODAY()+offer_turnaround_time)&gt;=helpsheet!$L$17,rate_vatRU_from_26,rate_vatRu_till_25),0)</f>
        <v/>
      </c>
      <c r="AP833" s="193">
        <f>AN833-AO833</f>
        <v/>
      </c>
      <c r="AQ833" s="118">
        <f>IF(offer_sale_type="транзит",SUM(AF833:AI833,BA833,BB833),0)</f>
        <v/>
      </c>
      <c r="AR833" s="82">
        <f>HYPERLINK("https://www.alta.ru/tnved/code/")&amp;W833&amp;"/"</f>
        <v/>
      </c>
      <c r="AS833" s="157" t="n"/>
      <c r="AT833" s="162" t="n"/>
      <c r="AU833" s="76">
        <f>IF(ISBLANK(AT833),0,AJ833-AT833)</f>
        <v/>
      </c>
      <c r="AV833" s="157" t="n"/>
      <c r="AW833" s="75">
        <f>_xlfn.IFNA(VLOOKUP(L833,list_vat[],3,FALSE),0)</f>
        <v/>
      </c>
      <c r="AX833" s="76">
        <f>IFERROR(ROUND(S833*(1+AW833)/E833,2),0)</f>
        <v/>
      </c>
      <c r="AY833" s="76">
        <f>E833*AX833</f>
        <v/>
      </c>
      <c r="AZ833" s="192">
        <f>S833*(1+M833)</f>
        <v/>
      </c>
      <c r="BA833" s="76">
        <f>cost_fin_total*$BD833</f>
        <v/>
      </c>
      <c r="BB833" s="193">
        <f>credit_sales_interest*BD833</f>
        <v/>
      </c>
      <c r="BC833" s="102">
        <f>IFERROR(IF($I$13&gt;0,$I833/$I$13,$S833/$S$13),0)</f>
        <v/>
      </c>
      <c r="BD833" s="102">
        <f>IFERROR($S833/$S$13,0)</f>
        <v/>
      </c>
      <c r="BE833" s="413" t="inlineStr">
        <is>
          <t>$</t>
        </is>
      </c>
    </row>
    <row r="834" ht="12" customFormat="1" customHeight="1" s="65">
      <c r="A834" s="43" t="n">
        <v>819</v>
      </c>
      <c r="B834" s="166" t="n"/>
      <c r="C834" s="166" t="n"/>
      <c r="D834" s="166" t="n"/>
      <c r="E834" s="162" t="n"/>
      <c r="F834" s="166" t="n"/>
      <c r="G834" s="162" t="n"/>
      <c r="H834" s="162" t="n"/>
      <c r="I834" s="189">
        <f>E834*G834</f>
        <v/>
      </c>
      <c r="J834" s="195" t="n"/>
      <c r="K834" s="162" t="n"/>
      <c r="L834" s="168" t="n"/>
      <c r="M834" s="75">
        <f>_xlfn.XLOOKUP(L834,list_vat[Страна],list_vat[Ставка НДС %],0,0)</f>
        <v/>
      </c>
      <c r="N834" s="162">
        <f>IFERROR(IF(L834="Китай",K834,K834/(1+M834)),0)</f>
        <v/>
      </c>
      <c r="O834" s="169" t="n"/>
      <c r="P834" s="76">
        <f>N834*(1-O834)</f>
        <v/>
      </c>
      <c r="Q834" s="162" t="n"/>
      <c r="R834" s="162">
        <f>IF(ISBLANK(Q834),"введи курс",P834/Q834)</f>
        <v/>
      </c>
      <c r="S834" s="196">
        <f>IF(AND(ISNUMBER(E834),ISNUMBER(Q834)),E834*R834,0)</f>
        <v/>
      </c>
      <c r="T834" s="192">
        <f>$BC834*V$11</f>
        <v/>
      </c>
      <c r="U834" s="76">
        <f>$BC834*W$11</f>
        <v/>
      </c>
      <c r="V834" s="193">
        <f>+SUM(T834:U834)</f>
        <v/>
      </c>
      <c r="W834" s="191" t="n"/>
      <c r="X834" s="170" t="n"/>
      <c r="Y834" s="76">
        <f>ROUND(IF(offer_incoterms="DDP",X834*(S834*(1+AW834)+T834),0),2)</f>
        <v/>
      </c>
      <c r="Z834" s="188" t="n"/>
      <c r="AA834" s="192">
        <f>IFERROR(AB834/E834,0)</f>
        <v/>
      </c>
      <c r="AB834" s="76">
        <f>ROUND(SUM(S834,V834,Y834:Z834,BA834:BB834),2)</f>
        <v/>
      </c>
      <c r="AC834" s="797" t="n"/>
      <c r="AD834" s="192">
        <f t="array" ref="AD834">IFERROR(ROUND((_xlfn.IFS(offer_sale_type="поставка",AB834,offer_sale_type="транзит",S834)*(1+AC834))/E834,2),0)</f>
        <v/>
      </c>
      <c r="AE834" s="76">
        <f>AD834*E834</f>
        <v/>
      </c>
      <c r="AF834" s="193">
        <f t="array" ref="AF834">IFERROR(ROUND(_xlfn.IFS(offer_sale_type="поставка",AB834,offer_sale_type="транзит",S834)*AC834,2),0)</f>
        <v/>
      </c>
      <c r="AG834" s="192">
        <f>$BD834*VLOOKUP($AG$3,$AF$4:$AG$7,2,FALSE)</f>
        <v/>
      </c>
      <c r="AH834" s="76">
        <f>SUM(AE834,AG834,AI834)*rate_forex_risk</f>
        <v/>
      </c>
      <c r="AI834" s="193">
        <f>IF(OR(seller_region="TR",offer_sale_type="экспорт"),0,rate_fin_comm)*SUM(AZ834,AZ834*AW834,T834)</f>
        <v/>
      </c>
      <c r="AJ834" s="118">
        <f>IFERROR(ROUND(SUM(AB834,AF834:AI834)/E834,2),0)</f>
        <v/>
      </c>
      <c r="AK834" s="76">
        <f>AJ834*E834</f>
        <v/>
      </c>
      <c r="AL834" s="174">
        <f>ROUND(IFERROR(AM834*E834,0),2)</f>
        <v/>
      </c>
      <c r="AM834" s="175">
        <f>ROUND(AJ834*(1+IF(offer_incoterms="DDP",IF((TODAY()+offer_turnaround_time)&gt;=helpsheet!$L$17,rate_vatRU_from_26,rate_vatRu_till_25),0)),2)</f>
        <v/>
      </c>
      <c r="AN834" s="192">
        <f>AL834-AK834</f>
        <v/>
      </c>
      <c r="AO834" s="76">
        <f>SUM(AY834,Y834:Z834,T834)*IF(AND(offer_incoterms="DDP",offer_sale_type&lt;&gt;"экспорт"),IF((TODAY()+offer_turnaround_time)&gt;=helpsheet!$L$17,rate_vatRU_from_26,rate_vatRu_till_25),0)</f>
        <v/>
      </c>
      <c r="AP834" s="193">
        <f>AN834-AO834</f>
        <v/>
      </c>
      <c r="AQ834" s="118">
        <f>IF(offer_sale_type="транзит",SUM(AF834:AI834,BA834,BB834),0)</f>
        <v/>
      </c>
      <c r="AR834" s="82">
        <f>HYPERLINK("https://www.alta.ru/tnved/code/")&amp;W834&amp;"/"</f>
        <v/>
      </c>
      <c r="AS834" s="157" t="n"/>
      <c r="AT834" s="162" t="n"/>
      <c r="AU834" s="76">
        <f>IF(ISBLANK(AT834),0,AJ834-AT834)</f>
        <v/>
      </c>
      <c r="AV834" s="157" t="n"/>
      <c r="AW834" s="75">
        <f>_xlfn.IFNA(VLOOKUP(L834,list_vat[],3,FALSE),0)</f>
        <v/>
      </c>
      <c r="AX834" s="76">
        <f>IFERROR(ROUND(S834*(1+AW834)/E834,2),0)</f>
        <v/>
      </c>
      <c r="AY834" s="76">
        <f>E834*AX834</f>
        <v/>
      </c>
      <c r="AZ834" s="192">
        <f>S834*(1+M834)</f>
        <v/>
      </c>
      <c r="BA834" s="76">
        <f>cost_fin_total*$BD834</f>
        <v/>
      </c>
      <c r="BB834" s="193">
        <f>credit_sales_interest*BD834</f>
        <v/>
      </c>
      <c r="BC834" s="102">
        <f>IFERROR(IF($I$13&gt;0,$I834/$I$13,$S834/$S$13),0)</f>
        <v/>
      </c>
      <c r="BD834" s="102">
        <f>IFERROR($S834/$S$13,0)</f>
        <v/>
      </c>
      <c r="BE834" s="413" t="inlineStr">
        <is>
          <t>$</t>
        </is>
      </c>
    </row>
    <row r="835" ht="12" customFormat="1" customHeight="1" s="65">
      <c r="A835" s="43" t="n">
        <v>820</v>
      </c>
      <c r="B835" s="166" t="n"/>
      <c r="C835" s="166" t="n"/>
      <c r="D835" s="166" t="n"/>
      <c r="E835" s="162" t="n"/>
      <c r="F835" s="166" t="n"/>
      <c r="G835" s="162" t="n"/>
      <c r="H835" s="162" t="n"/>
      <c r="I835" s="189">
        <f>E835*G835</f>
        <v/>
      </c>
      <c r="J835" s="195" t="n"/>
      <c r="K835" s="162" t="n"/>
      <c r="L835" s="168" t="n"/>
      <c r="M835" s="75">
        <f>_xlfn.XLOOKUP(L835,list_vat[Страна],list_vat[Ставка НДС %],0,0)</f>
        <v/>
      </c>
      <c r="N835" s="162">
        <f>IFERROR(IF(L835="Китай",K835,K835/(1+M835)),0)</f>
        <v/>
      </c>
      <c r="O835" s="169" t="n"/>
      <c r="P835" s="76">
        <f>N835*(1-O835)</f>
        <v/>
      </c>
      <c r="Q835" s="162" t="n"/>
      <c r="R835" s="162">
        <f>IF(ISBLANK(Q835),"введи курс",P835/Q835)</f>
        <v/>
      </c>
      <c r="S835" s="196">
        <f>IF(AND(ISNUMBER(E835),ISNUMBER(Q835)),E835*R835,0)</f>
        <v/>
      </c>
      <c r="T835" s="192">
        <f>$BC835*V$11</f>
        <v/>
      </c>
      <c r="U835" s="76">
        <f>$BC835*W$11</f>
        <v/>
      </c>
      <c r="V835" s="193">
        <f>+SUM(T835:U835)</f>
        <v/>
      </c>
      <c r="W835" s="191" t="n"/>
      <c r="X835" s="170" t="n"/>
      <c r="Y835" s="76">
        <f>ROUND(IF(offer_incoterms="DDP",X835*(S835*(1+AW835)+T835),0),2)</f>
        <v/>
      </c>
      <c r="Z835" s="188" t="n"/>
      <c r="AA835" s="192">
        <f>IFERROR(AB835/E835,0)</f>
        <v/>
      </c>
      <c r="AB835" s="76">
        <f>ROUND(SUM(S835,V835,Y835:Z835,BA835:BB835),2)</f>
        <v/>
      </c>
      <c r="AC835" s="797" t="n"/>
      <c r="AD835" s="192">
        <f t="array" ref="AD835">IFERROR(ROUND((_xlfn.IFS(offer_sale_type="поставка",AB835,offer_sale_type="транзит",S835)*(1+AC835))/E835,2),0)</f>
        <v/>
      </c>
      <c r="AE835" s="76">
        <f>AD835*E835</f>
        <v/>
      </c>
      <c r="AF835" s="193">
        <f t="array" ref="AF835">IFERROR(ROUND(_xlfn.IFS(offer_sale_type="поставка",AB835,offer_sale_type="транзит",S835)*AC835,2),0)</f>
        <v/>
      </c>
      <c r="AG835" s="192">
        <f>$BD835*VLOOKUP($AG$3,$AF$4:$AG$7,2,FALSE)</f>
        <v/>
      </c>
      <c r="AH835" s="76">
        <f>SUM(AE835,AG835,AI835)*rate_forex_risk</f>
        <v/>
      </c>
      <c r="AI835" s="193">
        <f>IF(OR(seller_region="TR",offer_sale_type="экспорт"),0,rate_fin_comm)*SUM(AZ835,AZ835*AW835,T835)</f>
        <v/>
      </c>
      <c r="AJ835" s="118">
        <f>IFERROR(ROUND(SUM(AB835,AF835:AI835)/E835,2),0)</f>
        <v/>
      </c>
      <c r="AK835" s="76">
        <f>AJ835*E835</f>
        <v/>
      </c>
      <c r="AL835" s="174">
        <f>ROUND(IFERROR(AM835*E835,0),2)</f>
        <v/>
      </c>
      <c r="AM835" s="175">
        <f>ROUND(AJ835*(1+IF(offer_incoterms="DDP",IF((TODAY()+offer_turnaround_time)&gt;=helpsheet!$L$17,rate_vatRU_from_26,rate_vatRu_till_25),0)),2)</f>
        <v/>
      </c>
      <c r="AN835" s="192">
        <f>AL835-AK835</f>
        <v/>
      </c>
      <c r="AO835" s="76">
        <f>SUM(AY835,Y835:Z835,T835)*IF(AND(offer_incoterms="DDP",offer_sale_type&lt;&gt;"экспорт"),IF((TODAY()+offer_turnaround_time)&gt;=helpsheet!$L$17,rate_vatRU_from_26,rate_vatRu_till_25),0)</f>
        <v/>
      </c>
      <c r="AP835" s="193">
        <f>AN835-AO835</f>
        <v/>
      </c>
      <c r="AQ835" s="118">
        <f>IF(offer_sale_type="транзит",SUM(AF835:AI835,BA835,BB835),0)</f>
        <v/>
      </c>
      <c r="AR835" s="82">
        <f>HYPERLINK("https://www.alta.ru/tnved/code/")&amp;W835&amp;"/"</f>
        <v/>
      </c>
      <c r="AS835" s="157" t="n"/>
      <c r="AT835" s="162" t="n"/>
      <c r="AU835" s="76">
        <f>IF(ISBLANK(AT835),0,AJ835-AT835)</f>
        <v/>
      </c>
      <c r="AV835" s="157" t="n"/>
      <c r="AW835" s="75">
        <f>_xlfn.IFNA(VLOOKUP(L835,list_vat[],3,FALSE),0)</f>
        <v/>
      </c>
      <c r="AX835" s="76">
        <f>IFERROR(ROUND(S835*(1+AW835)/E835,2),0)</f>
        <v/>
      </c>
      <c r="AY835" s="76">
        <f>E835*AX835</f>
        <v/>
      </c>
      <c r="AZ835" s="192">
        <f>S835*(1+M835)</f>
        <v/>
      </c>
      <c r="BA835" s="76">
        <f>cost_fin_total*$BD835</f>
        <v/>
      </c>
      <c r="BB835" s="193">
        <f>credit_sales_interest*BD835</f>
        <v/>
      </c>
      <c r="BC835" s="102">
        <f>IFERROR(IF($I$13&gt;0,$I835/$I$13,$S835/$S$13),0)</f>
        <v/>
      </c>
      <c r="BD835" s="102">
        <f>IFERROR($S835/$S$13,0)</f>
        <v/>
      </c>
      <c r="BE835" s="413" t="inlineStr">
        <is>
          <t>$</t>
        </is>
      </c>
    </row>
    <row r="836" ht="12" customFormat="1" customHeight="1" s="65">
      <c r="A836" s="43" t="n">
        <v>821</v>
      </c>
      <c r="B836" s="166" t="n"/>
      <c r="C836" s="166" t="n"/>
      <c r="D836" s="166" t="n"/>
      <c r="E836" s="162" t="n"/>
      <c r="F836" s="166" t="n"/>
      <c r="G836" s="162" t="n"/>
      <c r="H836" s="162" t="n"/>
      <c r="I836" s="189">
        <f>E836*G836</f>
        <v/>
      </c>
      <c r="J836" s="195" t="n"/>
      <c r="K836" s="162" t="n"/>
      <c r="L836" s="168" t="n"/>
      <c r="M836" s="75">
        <f>_xlfn.XLOOKUP(L836,list_vat[Страна],list_vat[Ставка НДС %],0,0)</f>
        <v/>
      </c>
      <c r="N836" s="162">
        <f>IFERROR(IF(L836="Китай",K836,K836/(1+M836)),0)</f>
        <v/>
      </c>
      <c r="O836" s="169" t="n"/>
      <c r="P836" s="76">
        <f>N836*(1-O836)</f>
        <v/>
      </c>
      <c r="Q836" s="162" t="n"/>
      <c r="R836" s="162">
        <f>IF(ISBLANK(Q836),"введи курс",P836/Q836)</f>
        <v/>
      </c>
      <c r="S836" s="196">
        <f>IF(AND(ISNUMBER(E836),ISNUMBER(Q836)),E836*R836,0)</f>
        <v/>
      </c>
      <c r="T836" s="192">
        <f>$BC836*V$11</f>
        <v/>
      </c>
      <c r="U836" s="76">
        <f>$BC836*W$11</f>
        <v/>
      </c>
      <c r="V836" s="193">
        <f>+SUM(T836:U836)</f>
        <v/>
      </c>
      <c r="W836" s="191" t="n"/>
      <c r="X836" s="170" t="n"/>
      <c r="Y836" s="76">
        <f>ROUND(IF(offer_incoterms="DDP",X836*(S836*(1+AW836)+T836),0),2)</f>
        <v/>
      </c>
      <c r="Z836" s="188" t="n"/>
      <c r="AA836" s="192">
        <f>IFERROR(AB836/E836,0)</f>
        <v/>
      </c>
      <c r="AB836" s="76">
        <f>ROUND(SUM(S836,V836,Y836:Z836,BA836:BB836),2)</f>
        <v/>
      </c>
      <c r="AC836" s="797" t="n"/>
      <c r="AD836" s="192">
        <f t="array" ref="AD836">IFERROR(ROUND((_xlfn.IFS(offer_sale_type="поставка",AB836,offer_sale_type="транзит",S836)*(1+AC836))/E836,2),0)</f>
        <v/>
      </c>
      <c r="AE836" s="76">
        <f>AD836*E836</f>
        <v/>
      </c>
      <c r="AF836" s="193">
        <f t="array" ref="AF836">IFERROR(ROUND(_xlfn.IFS(offer_sale_type="поставка",AB836,offer_sale_type="транзит",S836)*AC836,2),0)</f>
        <v/>
      </c>
      <c r="AG836" s="192">
        <f>$BD836*VLOOKUP($AG$3,$AF$4:$AG$7,2,FALSE)</f>
        <v/>
      </c>
      <c r="AH836" s="76">
        <f>SUM(AE836,AG836,AI836)*rate_forex_risk</f>
        <v/>
      </c>
      <c r="AI836" s="193">
        <f>IF(OR(seller_region="TR",offer_sale_type="экспорт"),0,rate_fin_comm)*SUM(AZ836,AZ836*AW836,T836)</f>
        <v/>
      </c>
      <c r="AJ836" s="118">
        <f>IFERROR(ROUND(SUM(AB836,AF836:AI836)/E836,2),0)</f>
        <v/>
      </c>
      <c r="AK836" s="76">
        <f>AJ836*E836</f>
        <v/>
      </c>
      <c r="AL836" s="174">
        <f>ROUND(IFERROR(AM836*E836,0),2)</f>
        <v/>
      </c>
      <c r="AM836" s="175">
        <f>ROUND(AJ836*(1+IF(offer_incoterms="DDP",IF((TODAY()+offer_turnaround_time)&gt;=helpsheet!$L$17,rate_vatRU_from_26,rate_vatRu_till_25),0)),2)</f>
        <v/>
      </c>
      <c r="AN836" s="192">
        <f>AL836-AK836</f>
        <v/>
      </c>
      <c r="AO836" s="76">
        <f>SUM(AY836,Y836:Z836,T836)*IF(AND(offer_incoterms="DDP",offer_sale_type&lt;&gt;"экспорт"),IF((TODAY()+offer_turnaround_time)&gt;=helpsheet!$L$17,rate_vatRU_from_26,rate_vatRu_till_25),0)</f>
        <v/>
      </c>
      <c r="AP836" s="193">
        <f>AN836-AO836</f>
        <v/>
      </c>
      <c r="AQ836" s="118">
        <f>IF(offer_sale_type="транзит",SUM(AF836:AI836,BA836,BB836),0)</f>
        <v/>
      </c>
      <c r="AR836" s="82">
        <f>HYPERLINK("https://www.alta.ru/tnved/code/")&amp;W836&amp;"/"</f>
        <v/>
      </c>
      <c r="AS836" s="157" t="n"/>
      <c r="AT836" s="162" t="n"/>
      <c r="AU836" s="76">
        <f>IF(ISBLANK(AT836),0,AJ836-AT836)</f>
        <v/>
      </c>
      <c r="AV836" s="157" t="n"/>
      <c r="AW836" s="75">
        <f>_xlfn.IFNA(VLOOKUP(L836,list_vat[],3,FALSE),0)</f>
        <v/>
      </c>
      <c r="AX836" s="76">
        <f>IFERROR(ROUND(S836*(1+AW836)/E836,2),0)</f>
        <v/>
      </c>
      <c r="AY836" s="76">
        <f>E836*AX836</f>
        <v/>
      </c>
      <c r="AZ836" s="192">
        <f>S836*(1+M836)</f>
        <v/>
      </c>
      <c r="BA836" s="76">
        <f>cost_fin_total*$BD836</f>
        <v/>
      </c>
      <c r="BB836" s="193">
        <f>credit_sales_interest*BD836</f>
        <v/>
      </c>
      <c r="BC836" s="102">
        <f>IFERROR(IF($I$13&gt;0,$I836/$I$13,$S836/$S$13),0)</f>
        <v/>
      </c>
      <c r="BD836" s="102">
        <f>IFERROR($S836/$S$13,0)</f>
        <v/>
      </c>
      <c r="BE836" s="413" t="inlineStr">
        <is>
          <t>$</t>
        </is>
      </c>
    </row>
    <row r="837" ht="12" customFormat="1" customHeight="1" s="65">
      <c r="A837" s="43" t="n">
        <v>822</v>
      </c>
      <c r="B837" s="166" t="n"/>
      <c r="C837" s="166" t="n"/>
      <c r="D837" s="166" t="n"/>
      <c r="E837" s="162" t="n"/>
      <c r="F837" s="166" t="n"/>
      <c r="G837" s="162" t="n"/>
      <c r="H837" s="162" t="n"/>
      <c r="I837" s="189">
        <f>E837*G837</f>
        <v/>
      </c>
      <c r="J837" s="195" t="n"/>
      <c r="K837" s="162" t="n"/>
      <c r="L837" s="168" t="n"/>
      <c r="M837" s="75">
        <f>_xlfn.XLOOKUP(L837,list_vat[Страна],list_vat[Ставка НДС %],0,0)</f>
        <v/>
      </c>
      <c r="N837" s="162">
        <f>IFERROR(IF(L837="Китай",K837,K837/(1+M837)),0)</f>
        <v/>
      </c>
      <c r="O837" s="169" t="n"/>
      <c r="P837" s="76">
        <f>N837*(1-O837)</f>
        <v/>
      </c>
      <c r="Q837" s="162" t="n"/>
      <c r="R837" s="162">
        <f>IF(ISBLANK(Q837),"введи курс",P837/Q837)</f>
        <v/>
      </c>
      <c r="S837" s="196">
        <f>IF(AND(ISNUMBER(E837),ISNUMBER(Q837)),E837*R837,0)</f>
        <v/>
      </c>
      <c r="T837" s="192">
        <f>$BC837*V$11</f>
        <v/>
      </c>
      <c r="U837" s="76">
        <f>$BC837*W$11</f>
        <v/>
      </c>
      <c r="V837" s="193">
        <f>+SUM(T837:U837)</f>
        <v/>
      </c>
      <c r="W837" s="191" t="n"/>
      <c r="X837" s="170" t="n"/>
      <c r="Y837" s="76">
        <f>ROUND(IF(offer_incoterms="DDP",X837*(S837*(1+AW837)+T837),0),2)</f>
        <v/>
      </c>
      <c r="Z837" s="188" t="n"/>
      <c r="AA837" s="192">
        <f>IFERROR(AB837/E837,0)</f>
        <v/>
      </c>
      <c r="AB837" s="76">
        <f>ROUND(SUM(S837,V837,Y837:Z837,BA837:BB837),2)</f>
        <v/>
      </c>
      <c r="AC837" s="797" t="n"/>
      <c r="AD837" s="192">
        <f t="array" ref="AD837">IFERROR(ROUND((_xlfn.IFS(offer_sale_type="поставка",AB837,offer_sale_type="транзит",S837)*(1+AC837))/E837,2),0)</f>
        <v/>
      </c>
      <c r="AE837" s="76">
        <f>AD837*E837</f>
        <v/>
      </c>
      <c r="AF837" s="193">
        <f t="array" ref="AF837">IFERROR(ROUND(_xlfn.IFS(offer_sale_type="поставка",AB837,offer_sale_type="транзит",S837)*AC837,2),0)</f>
        <v/>
      </c>
      <c r="AG837" s="192">
        <f>$BD837*VLOOKUP($AG$3,$AF$4:$AG$7,2,FALSE)</f>
        <v/>
      </c>
      <c r="AH837" s="76">
        <f>SUM(AE837,AG837,AI837)*rate_forex_risk</f>
        <v/>
      </c>
      <c r="AI837" s="193">
        <f>IF(OR(seller_region="TR",offer_sale_type="экспорт"),0,rate_fin_comm)*SUM(AZ837,AZ837*AW837,T837)</f>
        <v/>
      </c>
      <c r="AJ837" s="118">
        <f>IFERROR(ROUND(SUM(AB837,AF837:AI837)/E837,2),0)</f>
        <v/>
      </c>
      <c r="AK837" s="76">
        <f>AJ837*E837</f>
        <v/>
      </c>
      <c r="AL837" s="174">
        <f>ROUND(IFERROR(AM837*E837,0),2)</f>
        <v/>
      </c>
      <c r="AM837" s="175">
        <f>ROUND(AJ837*(1+IF(offer_incoterms="DDP",IF((TODAY()+offer_turnaround_time)&gt;=helpsheet!$L$17,rate_vatRU_from_26,rate_vatRu_till_25),0)),2)</f>
        <v/>
      </c>
      <c r="AN837" s="192">
        <f>AL837-AK837</f>
        <v/>
      </c>
      <c r="AO837" s="76">
        <f>SUM(AY837,Y837:Z837,T837)*IF(AND(offer_incoterms="DDP",offer_sale_type&lt;&gt;"экспорт"),IF((TODAY()+offer_turnaround_time)&gt;=helpsheet!$L$17,rate_vatRU_from_26,rate_vatRu_till_25),0)</f>
        <v/>
      </c>
      <c r="AP837" s="193">
        <f>AN837-AO837</f>
        <v/>
      </c>
      <c r="AQ837" s="118">
        <f>IF(offer_sale_type="транзит",SUM(AF837:AI837,BA837,BB837),0)</f>
        <v/>
      </c>
      <c r="AR837" s="82">
        <f>HYPERLINK("https://www.alta.ru/tnved/code/")&amp;W837&amp;"/"</f>
        <v/>
      </c>
      <c r="AS837" s="157" t="n"/>
      <c r="AT837" s="162" t="n"/>
      <c r="AU837" s="76">
        <f>IF(ISBLANK(AT837),0,AJ837-AT837)</f>
        <v/>
      </c>
      <c r="AV837" s="157" t="n"/>
      <c r="AW837" s="75">
        <f>_xlfn.IFNA(VLOOKUP(L837,list_vat[],3,FALSE),0)</f>
        <v/>
      </c>
      <c r="AX837" s="76">
        <f>IFERROR(ROUND(S837*(1+AW837)/E837,2),0)</f>
        <v/>
      </c>
      <c r="AY837" s="76">
        <f>E837*AX837</f>
        <v/>
      </c>
      <c r="AZ837" s="192">
        <f>S837*(1+M837)</f>
        <v/>
      </c>
      <c r="BA837" s="76">
        <f>cost_fin_total*$BD837</f>
        <v/>
      </c>
      <c r="BB837" s="193">
        <f>credit_sales_interest*BD837</f>
        <v/>
      </c>
      <c r="BC837" s="102">
        <f>IFERROR(IF($I$13&gt;0,$I837/$I$13,$S837/$S$13),0)</f>
        <v/>
      </c>
      <c r="BD837" s="102">
        <f>IFERROR($S837/$S$13,0)</f>
        <v/>
      </c>
      <c r="BE837" s="413" t="inlineStr">
        <is>
          <t>$</t>
        </is>
      </c>
    </row>
    <row r="838" ht="12" customFormat="1" customHeight="1" s="65">
      <c r="A838" s="43" t="n">
        <v>823</v>
      </c>
      <c r="B838" s="166" t="n"/>
      <c r="C838" s="166" t="n"/>
      <c r="D838" s="166" t="n"/>
      <c r="E838" s="162" t="n"/>
      <c r="F838" s="166" t="n"/>
      <c r="G838" s="162" t="n"/>
      <c r="H838" s="162" t="n"/>
      <c r="I838" s="189">
        <f>E838*G838</f>
        <v/>
      </c>
      <c r="J838" s="195" t="n"/>
      <c r="K838" s="162" t="n"/>
      <c r="L838" s="168" t="n"/>
      <c r="M838" s="75">
        <f>_xlfn.XLOOKUP(L838,list_vat[Страна],list_vat[Ставка НДС %],0,0)</f>
        <v/>
      </c>
      <c r="N838" s="162">
        <f>IFERROR(IF(L838="Китай",K838,K838/(1+M838)),0)</f>
        <v/>
      </c>
      <c r="O838" s="169" t="n"/>
      <c r="P838" s="76">
        <f>N838*(1-O838)</f>
        <v/>
      </c>
      <c r="Q838" s="162" t="n"/>
      <c r="R838" s="162">
        <f>IF(ISBLANK(Q838),"введи курс",P838/Q838)</f>
        <v/>
      </c>
      <c r="S838" s="196">
        <f>IF(AND(ISNUMBER(E838),ISNUMBER(Q838)),E838*R838,0)</f>
        <v/>
      </c>
      <c r="T838" s="192">
        <f>$BC838*V$11</f>
        <v/>
      </c>
      <c r="U838" s="76">
        <f>$BC838*W$11</f>
        <v/>
      </c>
      <c r="V838" s="193">
        <f>+SUM(T838:U838)</f>
        <v/>
      </c>
      <c r="W838" s="191" t="n"/>
      <c r="X838" s="170" t="n"/>
      <c r="Y838" s="76">
        <f>ROUND(IF(offer_incoterms="DDP",X838*(S838*(1+AW838)+T838),0),2)</f>
        <v/>
      </c>
      <c r="Z838" s="188" t="n"/>
      <c r="AA838" s="192">
        <f>IFERROR(AB838/E838,0)</f>
        <v/>
      </c>
      <c r="AB838" s="76">
        <f>ROUND(SUM(S838,V838,Y838:Z838,BA838:BB838),2)</f>
        <v/>
      </c>
      <c r="AC838" s="797" t="n"/>
      <c r="AD838" s="192">
        <f t="array" ref="AD838">IFERROR(ROUND((_xlfn.IFS(offer_sale_type="поставка",AB838,offer_sale_type="транзит",S838)*(1+AC838))/E838,2),0)</f>
        <v/>
      </c>
      <c r="AE838" s="76">
        <f>AD838*E838</f>
        <v/>
      </c>
      <c r="AF838" s="193">
        <f t="array" ref="AF838">IFERROR(ROUND(_xlfn.IFS(offer_sale_type="поставка",AB838,offer_sale_type="транзит",S838)*AC838,2),0)</f>
        <v/>
      </c>
      <c r="AG838" s="192">
        <f>$BD838*VLOOKUP($AG$3,$AF$4:$AG$7,2,FALSE)</f>
        <v/>
      </c>
      <c r="AH838" s="76">
        <f>SUM(AE838,AG838,AI838)*rate_forex_risk</f>
        <v/>
      </c>
      <c r="AI838" s="193">
        <f>IF(OR(seller_region="TR",offer_sale_type="экспорт"),0,rate_fin_comm)*SUM(AZ838,AZ838*AW838,T838)</f>
        <v/>
      </c>
      <c r="AJ838" s="118">
        <f>IFERROR(ROUND(SUM(AB838,AF838:AI838)/E838,2),0)</f>
        <v/>
      </c>
      <c r="AK838" s="76">
        <f>AJ838*E838</f>
        <v/>
      </c>
      <c r="AL838" s="174">
        <f>ROUND(IFERROR(AM838*E838,0),2)</f>
        <v/>
      </c>
      <c r="AM838" s="175">
        <f>ROUND(AJ838*(1+IF(offer_incoterms="DDP",IF((TODAY()+offer_turnaround_time)&gt;=helpsheet!$L$17,rate_vatRU_from_26,rate_vatRu_till_25),0)),2)</f>
        <v/>
      </c>
      <c r="AN838" s="192">
        <f>AL838-AK838</f>
        <v/>
      </c>
      <c r="AO838" s="76">
        <f>SUM(AY838,Y838:Z838,T838)*IF(AND(offer_incoterms="DDP",offer_sale_type&lt;&gt;"экспорт"),IF((TODAY()+offer_turnaround_time)&gt;=helpsheet!$L$17,rate_vatRU_from_26,rate_vatRu_till_25),0)</f>
        <v/>
      </c>
      <c r="AP838" s="193">
        <f>AN838-AO838</f>
        <v/>
      </c>
      <c r="AQ838" s="118">
        <f>IF(offer_sale_type="транзит",SUM(AF838:AI838,BA838,BB838),0)</f>
        <v/>
      </c>
      <c r="AR838" s="82">
        <f>HYPERLINK("https://www.alta.ru/tnved/code/")&amp;W838&amp;"/"</f>
        <v/>
      </c>
      <c r="AS838" s="157" t="n"/>
      <c r="AT838" s="162" t="n"/>
      <c r="AU838" s="76">
        <f>IF(ISBLANK(AT838),0,AJ838-AT838)</f>
        <v/>
      </c>
      <c r="AV838" s="157" t="n"/>
      <c r="AW838" s="75">
        <f>_xlfn.IFNA(VLOOKUP(L838,list_vat[],3,FALSE),0)</f>
        <v/>
      </c>
      <c r="AX838" s="76">
        <f>IFERROR(ROUND(S838*(1+AW838)/E838,2),0)</f>
        <v/>
      </c>
      <c r="AY838" s="76">
        <f>E838*AX838</f>
        <v/>
      </c>
      <c r="AZ838" s="192">
        <f>S838*(1+M838)</f>
        <v/>
      </c>
      <c r="BA838" s="76">
        <f>cost_fin_total*$BD838</f>
        <v/>
      </c>
      <c r="BB838" s="193">
        <f>credit_sales_interest*BD838</f>
        <v/>
      </c>
      <c r="BC838" s="102">
        <f>IFERROR(IF($I$13&gt;0,$I838/$I$13,$S838/$S$13),0)</f>
        <v/>
      </c>
      <c r="BD838" s="102">
        <f>IFERROR($S838/$S$13,0)</f>
        <v/>
      </c>
      <c r="BE838" s="413" t="inlineStr">
        <is>
          <t>$</t>
        </is>
      </c>
    </row>
    <row r="839" ht="12" customFormat="1" customHeight="1" s="65">
      <c r="A839" s="43" t="n">
        <v>824</v>
      </c>
      <c r="B839" s="166" t="n"/>
      <c r="C839" s="166" t="n"/>
      <c r="D839" s="166" t="n"/>
      <c r="E839" s="162" t="n"/>
      <c r="F839" s="166" t="n"/>
      <c r="G839" s="162" t="n"/>
      <c r="H839" s="162" t="n"/>
      <c r="I839" s="189">
        <f>E839*G839</f>
        <v/>
      </c>
      <c r="J839" s="195" t="n"/>
      <c r="K839" s="162" t="n"/>
      <c r="L839" s="168" t="n"/>
      <c r="M839" s="75">
        <f>_xlfn.XLOOKUP(L839,list_vat[Страна],list_vat[Ставка НДС %],0,0)</f>
        <v/>
      </c>
      <c r="N839" s="162">
        <f>IFERROR(IF(L839="Китай",K839,K839/(1+M839)),0)</f>
        <v/>
      </c>
      <c r="O839" s="169" t="n"/>
      <c r="P839" s="76">
        <f>N839*(1-O839)</f>
        <v/>
      </c>
      <c r="Q839" s="162" t="n"/>
      <c r="R839" s="162">
        <f>IF(ISBLANK(Q839),"введи курс",P839/Q839)</f>
        <v/>
      </c>
      <c r="S839" s="196">
        <f>IF(AND(ISNUMBER(E839),ISNUMBER(Q839)),E839*R839,0)</f>
        <v/>
      </c>
      <c r="T839" s="192">
        <f>$BC839*V$11</f>
        <v/>
      </c>
      <c r="U839" s="76">
        <f>$BC839*W$11</f>
        <v/>
      </c>
      <c r="V839" s="193">
        <f>+SUM(T839:U839)</f>
        <v/>
      </c>
      <c r="W839" s="191" t="n"/>
      <c r="X839" s="170" t="n"/>
      <c r="Y839" s="76">
        <f>ROUND(IF(offer_incoterms="DDP",X839*(S839*(1+AW839)+T839),0),2)</f>
        <v/>
      </c>
      <c r="Z839" s="188" t="n"/>
      <c r="AA839" s="192">
        <f>IFERROR(AB839/E839,0)</f>
        <v/>
      </c>
      <c r="AB839" s="76">
        <f>ROUND(SUM(S839,V839,Y839:Z839,BA839:BB839),2)</f>
        <v/>
      </c>
      <c r="AC839" s="797" t="n"/>
      <c r="AD839" s="192">
        <f t="array" ref="AD839">IFERROR(ROUND((_xlfn.IFS(offer_sale_type="поставка",AB839,offer_sale_type="транзит",S839)*(1+AC839))/E839,2),0)</f>
        <v/>
      </c>
      <c r="AE839" s="76">
        <f>AD839*E839</f>
        <v/>
      </c>
      <c r="AF839" s="193">
        <f t="array" ref="AF839">IFERROR(ROUND(_xlfn.IFS(offer_sale_type="поставка",AB839,offer_sale_type="транзит",S839)*AC839,2),0)</f>
        <v/>
      </c>
      <c r="AG839" s="192">
        <f>$BD839*VLOOKUP($AG$3,$AF$4:$AG$7,2,FALSE)</f>
        <v/>
      </c>
      <c r="AH839" s="76">
        <f>SUM(AE839,AG839,AI839)*rate_forex_risk</f>
        <v/>
      </c>
      <c r="AI839" s="193">
        <f>IF(OR(seller_region="TR",offer_sale_type="экспорт"),0,rate_fin_comm)*SUM(AZ839,AZ839*AW839,T839)</f>
        <v/>
      </c>
      <c r="AJ839" s="118">
        <f>IFERROR(ROUND(SUM(AB839,AF839:AI839)/E839,2),0)</f>
        <v/>
      </c>
      <c r="AK839" s="76">
        <f>AJ839*E839</f>
        <v/>
      </c>
      <c r="AL839" s="174">
        <f>ROUND(IFERROR(AM839*E839,0),2)</f>
        <v/>
      </c>
      <c r="AM839" s="175">
        <f>ROUND(AJ839*(1+IF(offer_incoterms="DDP",IF((TODAY()+offer_turnaround_time)&gt;=helpsheet!$L$17,rate_vatRU_from_26,rate_vatRu_till_25),0)),2)</f>
        <v/>
      </c>
      <c r="AN839" s="192">
        <f>AL839-AK839</f>
        <v/>
      </c>
      <c r="AO839" s="76">
        <f>SUM(AY839,Y839:Z839,T839)*IF(AND(offer_incoterms="DDP",offer_sale_type&lt;&gt;"экспорт"),IF((TODAY()+offer_turnaround_time)&gt;=helpsheet!$L$17,rate_vatRU_from_26,rate_vatRu_till_25),0)</f>
        <v/>
      </c>
      <c r="AP839" s="193">
        <f>AN839-AO839</f>
        <v/>
      </c>
      <c r="AQ839" s="118">
        <f>IF(offer_sale_type="транзит",SUM(AF839:AI839,BA839,BB839),0)</f>
        <v/>
      </c>
      <c r="AR839" s="82">
        <f>HYPERLINK("https://www.alta.ru/tnved/code/")&amp;W839&amp;"/"</f>
        <v/>
      </c>
      <c r="AS839" s="157" t="n"/>
      <c r="AT839" s="162" t="n"/>
      <c r="AU839" s="76">
        <f>IF(ISBLANK(AT839),0,AJ839-AT839)</f>
        <v/>
      </c>
      <c r="AV839" s="157" t="n"/>
      <c r="AW839" s="75">
        <f>_xlfn.IFNA(VLOOKUP(L839,list_vat[],3,FALSE),0)</f>
        <v/>
      </c>
      <c r="AX839" s="76">
        <f>IFERROR(ROUND(S839*(1+AW839)/E839,2),0)</f>
        <v/>
      </c>
      <c r="AY839" s="76">
        <f>E839*AX839</f>
        <v/>
      </c>
      <c r="AZ839" s="192">
        <f>S839*(1+M839)</f>
        <v/>
      </c>
      <c r="BA839" s="76">
        <f>cost_fin_total*$BD839</f>
        <v/>
      </c>
      <c r="BB839" s="193">
        <f>credit_sales_interest*BD839</f>
        <v/>
      </c>
      <c r="BC839" s="102">
        <f>IFERROR(IF($I$13&gt;0,$I839/$I$13,$S839/$S$13),0)</f>
        <v/>
      </c>
      <c r="BD839" s="102">
        <f>IFERROR($S839/$S$13,0)</f>
        <v/>
      </c>
      <c r="BE839" s="413" t="inlineStr">
        <is>
          <t>$</t>
        </is>
      </c>
    </row>
    <row r="840" ht="12" customFormat="1" customHeight="1" s="65">
      <c r="A840" s="43" t="n">
        <v>825</v>
      </c>
      <c r="B840" s="166" t="n"/>
      <c r="C840" s="166" t="n"/>
      <c r="D840" s="166" t="n"/>
      <c r="E840" s="162" t="n"/>
      <c r="F840" s="166" t="n"/>
      <c r="G840" s="162" t="n"/>
      <c r="H840" s="162" t="n"/>
      <c r="I840" s="189">
        <f>E840*G840</f>
        <v/>
      </c>
      <c r="J840" s="195" t="n"/>
      <c r="K840" s="162" t="n"/>
      <c r="L840" s="168" t="n"/>
      <c r="M840" s="75">
        <f>_xlfn.XLOOKUP(L840,list_vat[Страна],list_vat[Ставка НДС %],0,0)</f>
        <v/>
      </c>
      <c r="N840" s="162">
        <f>IFERROR(IF(L840="Китай",K840,K840/(1+M840)),0)</f>
        <v/>
      </c>
      <c r="O840" s="169" t="n"/>
      <c r="P840" s="76">
        <f>N840*(1-O840)</f>
        <v/>
      </c>
      <c r="Q840" s="162" t="n"/>
      <c r="R840" s="162">
        <f>IF(ISBLANK(Q840),"введи курс",P840/Q840)</f>
        <v/>
      </c>
      <c r="S840" s="196">
        <f>IF(AND(ISNUMBER(E840),ISNUMBER(Q840)),E840*R840,0)</f>
        <v/>
      </c>
      <c r="T840" s="192">
        <f>$BC840*V$11</f>
        <v/>
      </c>
      <c r="U840" s="76">
        <f>$BC840*W$11</f>
        <v/>
      </c>
      <c r="V840" s="193">
        <f>+SUM(T840:U840)</f>
        <v/>
      </c>
      <c r="W840" s="191" t="n"/>
      <c r="X840" s="170" t="n"/>
      <c r="Y840" s="76">
        <f>ROUND(IF(offer_incoterms="DDP",X840*(S840*(1+AW840)+T840),0),2)</f>
        <v/>
      </c>
      <c r="Z840" s="188" t="n"/>
      <c r="AA840" s="192">
        <f>IFERROR(AB840/E840,0)</f>
        <v/>
      </c>
      <c r="AB840" s="76">
        <f>ROUND(SUM(S840,V840,Y840:Z840,BA840:BB840),2)</f>
        <v/>
      </c>
      <c r="AC840" s="797" t="n"/>
      <c r="AD840" s="192">
        <f t="array" ref="AD840">IFERROR(ROUND((_xlfn.IFS(offer_sale_type="поставка",AB840,offer_sale_type="транзит",S840)*(1+AC840))/E840,2),0)</f>
        <v/>
      </c>
      <c r="AE840" s="76">
        <f>AD840*E840</f>
        <v/>
      </c>
      <c r="AF840" s="193">
        <f t="array" ref="AF840">IFERROR(ROUND(_xlfn.IFS(offer_sale_type="поставка",AB840,offer_sale_type="транзит",S840)*AC840,2),0)</f>
        <v/>
      </c>
      <c r="AG840" s="192">
        <f>$BD840*VLOOKUP($AG$3,$AF$4:$AG$7,2,FALSE)</f>
        <v/>
      </c>
      <c r="AH840" s="76">
        <f>SUM(AE840,AG840,AI840)*rate_forex_risk</f>
        <v/>
      </c>
      <c r="AI840" s="193">
        <f>IF(OR(seller_region="TR",offer_sale_type="экспорт"),0,rate_fin_comm)*SUM(AZ840,AZ840*AW840,T840)</f>
        <v/>
      </c>
      <c r="AJ840" s="118">
        <f>IFERROR(ROUND(SUM(AB840,AF840:AI840)/E840,2),0)</f>
        <v/>
      </c>
      <c r="AK840" s="76">
        <f>AJ840*E840</f>
        <v/>
      </c>
      <c r="AL840" s="174">
        <f>ROUND(IFERROR(AM840*E840,0),2)</f>
        <v/>
      </c>
      <c r="AM840" s="175">
        <f>ROUND(AJ840*(1+IF(offer_incoterms="DDP",IF((TODAY()+offer_turnaround_time)&gt;=helpsheet!$L$17,rate_vatRU_from_26,rate_vatRu_till_25),0)),2)</f>
        <v/>
      </c>
      <c r="AN840" s="192">
        <f>AL840-AK840</f>
        <v/>
      </c>
      <c r="AO840" s="76">
        <f>SUM(AY840,Y840:Z840,T840)*IF(AND(offer_incoterms="DDP",offer_sale_type&lt;&gt;"экспорт"),IF((TODAY()+offer_turnaround_time)&gt;=helpsheet!$L$17,rate_vatRU_from_26,rate_vatRu_till_25),0)</f>
        <v/>
      </c>
      <c r="AP840" s="193">
        <f>AN840-AO840</f>
        <v/>
      </c>
      <c r="AQ840" s="118">
        <f>IF(offer_sale_type="транзит",SUM(AF840:AI840,BA840,BB840),0)</f>
        <v/>
      </c>
      <c r="AR840" s="82">
        <f>HYPERLINK("https://www.alta.ru/tnved/code/")&amp;W840&amp;"/"</f>
        <v/>
      </c>
      <c r="AS840" s="157" t="n"/>
      <c r="AT840" s="162" t="n"/>
      <c r="AU840" s="76">
        <f>IF(ISBLANK(AT840),0,AJ840-AT840)</f>
        <v/>
      </c>
      <c r="AV840" s="157" t="n"/>
      <c r="AW840" s="75">
        <f>_xlfn.IFNA(VLOOKUP(L840,list_vat[],3,FALSE),0)</f>
        <v/>
      </c>
      <c r="AX840" s="76">
        <f>IFERROR(ROUND(S840*(1+AW840)/E840,2),0)</f>
        <v/>
      </c>
      <c r="AY840" s="76">
        <f>E840*AX840</f>
        <v/>
      </c>
      <c r="AZ840" s="192">
        <f>S840*(1+M840)</f>
        <v/>
      </c>
      <c r="BA840" s="76">
        <f>cost_fin_total*$BD840</f>
        <v/>
      </c>
      <c r="BB840" s="193">
        <f>credit_sales_interest*BD840</f>
        <v/>
      </c>
      <c r="BC840" s="102">
        <f>IFERROR(IF($I$13&gt;0,$I840/$I$13,$S840/$S$13),0)</f>
        <v/>
      </c>
      <c r="BD840" s="102">
        <f>IFERROR($S840/$S$13,0)</f>
        <v/>
      </c>
      <c r="BE840" s="413" t="inlineStr">
        <is>
          <t>$</t>
        </is>
      </c>
    </row>
    <row r="841" ht="12" customFormat="1" customHeight="1" s="65">
      <c r="A841" s="43" t="n">
        <v>826</v>
      </c>
      <c r="B841" s="166" t="n"/>
      <c r="C841" s="166" t="n"/>
      <c r="D841" s="166" t="n"/>
      <c r="E841" s="162" t="n"/>
      <c r="F841" s="166" t="n"/>
      <c r="G841" s="162" t="n"/>
      <c r="H841" s="162" t="n"/>
      <c r="I841" s="189">
        <f>E841*G841</f>
        <v/>
      </c>
      <c r="J841" s="195" t="n"/>
      <c r="K841" s="162" t="n"/>
      <c r="L841" s="168" t="n"/>
      <c r="M841" s="75">
        <f>_xlfn.XLOOKUP(L841,list_vat[Страна],list_vat[Ставка НДС %],0,0)</f>
        <v/>
      </c>
      <c r="N841" s="162">
        <f>IFERROR(IF(L841="Китай",K841,K841/(1+M841)),0)</f>
        <v/>
      </c>
      <c r="O841" s="169" t="n"/>
      <c r="P841" s="76">
        <f>N841*(1-O841)</f>
        <v/>
      </c>
      <c r="Q841" s="162" t="n"/>
      <c r="R841" s="162">
        <f>IF(ISBLANK(Q841),"введи курс",P841/Q841)</f>
        <v/>
      </c>
      <c r="S841" s="196">
        <f>IF(AND(ISNUMBER(E841),ISNUMBER(Q841)),E841*R841,0)</f>
        <v/>
      </c>
      <c r="T841" s="192">
        <f>$BC841*V$11</f>
        <v/>
      </c>
      <c r="U841" s="76">
        <f>$BC841*W$11</f>
        <v/>
      </c>
      <c r="V841" s="193">
        <f>+SUM(T841:U841)</f>
        <v/>
      </c>
      <c r="W841" s="191" t="n"/>
      <c r="X841" s="170" t="n"/>
      <c r="Y841" s="76">
        <f>ROUND(IF(offer_incoterms="DDP",X841*(S841*(1+AW841)+T841),0),2)</f>
        <v/>
      </c>
      <c r="Z841" s="188" t="n"/>
      <c r="AA841" s="192">
        <f>IFERROR(AB841/E841,0)</f>
        <v/>
      </c>
      <c r="AB841" s="76">
        <f>ROUND(SUM(S841,V841,Y841:Z841,BA841:BB841),2)</f>
        <v/>
      </c>
      <c r="AC841" s="797" t="n"/>
      <c r="AD841" s="192">
        <f t="array" ref="AD841">IFERROR(ROUND((_xlfn.IFS(offer_sale_type="поставка",AB841,offer_sale_type="транзит",S841)*(1+AC841))/E841,2),0)</f>
        <v/>
      </c>
      <c r="AE841" s="76">
        <f>AD841*E841</f>
        <v/>
      </c>
      <c r="AF841" s="193">
        <f t="array" ref="AF841">IFERROR(ROUND(_xlfn.IFS(offer_sale_type="поставка",AB841,offer_sale_type="транзит",S841)*AC841,2),0)</f>
        <v/>
      </c>
      <c r="AG841" s="192">
        <f>$BD841*VLOOKUP($AG$3,$AF$4:$AG$7,2,FALSE)</f>
        <v/>
      </c>
      <c r="AH841" s="76">
        <f>SUM(AE841,AG841,AI841)*rate_forex_risk</f>
        <v/>
      </c>
      <c r="AI841" s="193">
        <f>IF(OR(seller_region="TR",offer_sale_type="экспорт"),0,rate_fin_comm)*SUM(AZ841,AZ841*AW841,T841)</f>
        <v/>
      </c>
      <c r="AJ841" s="118">
        <f>IFERROR(ROUND(SUM(AB841,AF841:AI841)/E841,2),0)</f>
        <v/>
      </c>
      <c r="AK841" s="76">
        <f>AJ841*E841</f>
        <v/>
      </c>
      <c r="AL841" s="174">
        <f>ROUND(IFERROR(AM841*E841,0),2)</f>
        <v/>
      </c>
      <c r="AM841" s="175">
        <f>ROUND(AJ841*(1+IF(offer_incoterms="DDP",IF((TODAY()+offer_turnaround_time)&gt;=helpsheet!$L$17,rate_vatRU_from_26,rate_vatRu_till_25),0)),2)</f>
        <v/>
      </c>
      <c r="AN841" s="192">
        <f>AL841-AK841</f>
        <v/>
      </c>
      <c r="AO841" s="76">
        <f>SUM(AY841,Y841:Z841,T841)*IF(AND(offer_incoterms="DDP",offer_sale_type&lt;&gt;"экспорт"),IF((TODAY()+offer_turnaround_time)&gt;=helpsheet!$L$17,rate_vatRU_from_26,rate_vatRu_till_25),0)</f>
        <v/>
      </c>
      <c r="AP841" s="193">
        <f>AN841-AO841</f>
        <v/>
      </c>
      <c r="AQ841" s="118">
        <f>IF(offer_sale_type="транзит",SUM(AF841:AI841,BA841,BB841),0)</f>
        <v/>
      </c>
      <c r="AR841" s="82">
        <f>HYPERLINK("https://www.alta.ru/tnved/code/")&amp;W841&amp;"/"</f>
        <v/>
      </c>
      <c r="AS841" s="157" t="n"/>
      <c r="AT841" s="162" t="n"/>
      <c r="AU841" s="76">
        <f>IF(ISBLANK(AT841),0,AJ841-AT841)</f>
        <v/>
      </c>
      <c r="AV841" s="157" t="n"/>
      <c r="AW841" s="75">
        <f>_xlfn.IFNA(VLOOKUP(L841,list_vat[],3,FALSE),0)</f>
        <v/>
      </c>
      <c r="AX841" s="76">
        <f>IFERROR(ROUND(S841*(1+AW841)/E841,2),0)</f>
        <v/>
      </c>
      <c r="AY841" s="76">
        <f>E841*AX841</f>
        <v/>
      </c>
      <c r="AZ841" s="192">
        <f>S841*(1+M841)</f>
        <v/>
      </c>
      <c r="BA841" s="76">
        <f>cost_fin_total*$BD841</f>
        <v/>
      </c>
      <c r="BB841" s="193">
        <f>credit_sales_interest*BD841</f>
        <v/>
      </c>
      <c r="BC841" s="102">
        <f>IFERROR(IF($I$13&gt;0,$I841/$I$13,$S841/$S$13),0)</f>
        <v/>
      </c>
      <c r="BD841" s="102">
        <f>IFERROR($S841/$S$13,0)</f>
        <v/>
      </c>
      <c r="BE841" s="413" t="inlineStr">
        <is>
          <t>$</t>
        </is>
      </c>
    </row>
    <row r="842" ht="12" customFormat="1" customHeight="1" s="65">
      <c r="A842" s="43" t="n">
        <v>827</v>
      </c>
      <c r="B842" s="166" t="n"/>
      <c r="C842" s="166" t="n"/>
      <c r="D842" s="166" t="n"/>
      <c r="E842" s="162" t="n"/>
      <c r="F842" s="166" t="n"/>
      <c r="G842" s="162" t="n"/>
      <c r="H842" s="162" t="n"/>
      <c r="I842" s="189">
        <f>E842*G842</f>
        <v/>
      </c>
      <c r="J842" s="195" t="n"/>
      <c r="K842" s="162" t="n"/>
      <c r="L842" s="168" t="n"/>
      <c r="M842" s="75">
        <f>_xlfn.XLOOKUP(L842,list_vat[Страна],list_vat[Ставка НДС %],0,0)</f>
        <v/>
      </c>
      <c r="N842" s="162">
        <f>IFERROR(IF(L842="Китай",K842,K842/(1+M842)),0)</f>
        <v/>
      </c>
      <c r="O842" s="169" t="n"/>
      <c r="P842" s="76">
        <f>N842*(1-O842)</f>
        <v/>
      </c>
      <c r="Q842" s="162" t="n"/>
      <c r="R842" s="162">
        <f>IF(ISBLANK(Q842),"введи курс",P842/Q842)</f>
        <v/>
      </c>
      <c r="S842" s="196">
        <f>IF(AND(ISNUMBER(E842),ISNUMBER(Q842)),E842*R842,0)</f>
        <v/>
      </c>
      <c r="T842" s="192">
        <f>$BC842*V$11</f>
        <v/>
      </c>
      <c r="U842" s="76">
        <f>$BC842*W$11</f>
        <v/>
      </c>
      <c r="V842" s="193">
        <f>+SUM(T842:U842)</f>
        <v/>
      </c>
      <c r="W842" s="191" t="n"/>
      <c r="X842" s="170" t="n"/>
      <c r="Y842" s="76">
        <f>ROUND(IF(offer_incoterms="DDP",X842*(S842*(1+AW842)+T842),0),2)</f>
        <v/>
      </c>
      <c r="Z842" s="188" t="n"/>
      <c r="AA842" s="192">
        <f>IFERROR(AB842/E842,0)</f>
        <v/>
      </c>
      <c r="AB842" s="76">
        <f>ROUND(SUM(S842,V842,Y842:Z842,BA842:BB842),2)</f>
        <v/>
      </c>
      <c r="AC842" s="797" t="n"/>
      <c r="AD842" s="192">
        <f t="array" ref="AD842">IFERROR(ROUND((_xlfn.IFS(offer_sale_type="поставка",AB842,offer_sale_type="транзит",S842)*(1+AC842))/E842,2),0)</f>
        <v/>
      </c>
      <c r="AE842" s="76">
        <f>AD842*E842</f>
        <v/>
      </c>
      <c r="AF842" s="193">
        <f t="array" ref="AF842">IFERROR(ROUND(_xlfn.IFS(offer_sale_type="поставка",AB842,offer_sale_type="транзит",S842)*AC842,2),0)</f>
        <v/>
      </c>
      <c r="AG842" s="192">
        <f>$BD842*VLOOKUP($AG$3,$AF$4:$AG$7,2,FALSE)</f>
        <v/>
      </c>
      <c r="AH842" s="76">
        <f>SUM(AE842,AG842,AI842)*rate_forex_risk</f>
        <v/>
      </c>
      <c r="AI842" s="193">
        <f>IF(OR(seller_region="TR",offer_sale_type="экспорт"),0,rate_fin_comm)*SUM(AZ842,AZ842*AW842,T842)</f>
        <v/>
      </c>
      <c r="AJ842" s="118">
        <f>IFERROR(ROUND(SUM(AB842,AF842:AI842)/E842,2),0)</f>
        <v/>
      </c>
      <c r="AK842" s="76">
        <f>AJ842*E842</f>
        <v/>
      </c>
      <c r="AL842" s="174">
        <f>ROUND(IFERROR(AM842*E842,0),2)</f>
        <v/>
      </c>
      <c r="AM842" s="175">
        <f>ROUND(AJ842*(1+IF(offer_incoterms="DDP",IF((TODAY()+offer_turnaround_time)&gt;=helpsheet!$L$17,rate_vatRU_from_26,rate_vatRu_till_25),0)),2)</f>
        <v/>
      </c>
      <c r="AN842" s="192">
        <f>AL842-AK842</f>
        <v/>
      </c>
      <c r="AO842" s="76">
        <f>SUM(AY842,Y842:Z842,T842)*IF(AND(offer_incoterms="DDP",offer_sale_type&lt;&gt;"экспорт"),IF((TODAY()+offer_turnaround_time)&gt;=helpsheet!$L$17,rate_vatRU_from_26,rate_vatRu_till_25),0)</f>
        <v/>
      </c>
      <c r="AP842" s="193">
        <f>AN842-AO842</f>
        <v/>
      </c>
      <c r="AQ842" s="118">
        <f>IF(offer_sale_type="транзит",SUM(AF842:AI842,BA842,BB842),0)</f>
        <v/>
      </c>
      <c r="AR842" s="82">
        <f>HYPERLINK("https://www.alta.ru/tnved/code/")&amp;W842&amp;"/"</f>
        <v/>
      </c>
      <c r="AS842" s="157" t="n"/>
      <c r="AT842" s="162" t="n"/>
      <c r="AU842" s="76">
        <f>IF(ISBLANK(AT842),0,AJ842-AT842)</f>
        <v/>
      </c>
      <c r="AV842" s="157" t="n"/>
      <c r="AW842" s="75">
        <f>_xlfn.IFNA(VLOOKUP(L842,list_vat[],3,FALSE),0)</f>
        <v/>
      </c>
      <c r="AX842" s="76">
        <f>IFERROR(ROUND(S842*(1+AW842)/E842,2),0)</f>
        <v/>
      </c>
      <c r="AY842" s="76">
        <f>E842*AX842</f>
        <v/>
      </c>
      <c r="AZ842" s="192">
        <f>S842*(1+M842)</f>
        <v/>
      </c>
      <c r="BA842" s="76">
        <f>cost_fin_total*$BD842</f>
        <v/>
      </c>
      <c r="BB842" s="193">
        <f>credit_sales_interest*BD842</f>
        <v/>
      </c>
      <c r="BC842" s="102">
        <f>IFERROR(IF($I$13&gt;0,$I842/$I$13,$S842/$S$13),0)</f>
        <v/>
      </c>
      <c r="BD842" s="102">
        <f>IFERROR($S842/$S$13,0)</f>
        <v/>
      </c>
      <c r="BE842" s="413" t="inlineStr">
        <is>
          <t>$</t>
        </is>
      </c>
    </row>
    <row r="843" ht="12" customFormat="1" customHeight="1" s="65">
      <c r="A843" s="43" t="n">
        <v>828</v>
      </c>
      <c r="B843" s="166" t="n"/>
      <c r="C843" s="166" t="n"/>
      <c r="D843" s="166" t="n"/>
      <c r="E843" s="162" t="n"/>
      <c r="F843" s="166" t="n"/>
      <c r="G843" s="162" t="n"/>
      <c r="H843" s="162" t="n"/>
      <c r="I843" s="189">
        <f>E843*G843</f>
        <v/>
      </c>
      <c r="J843" s="195" t="n"/>
      <c r="K843" s="162" t="n"/>
      <c r="L843" s="168" t="n"/>
      <c r="M843" s="75">
        <f>_xlfn.XLOOKUP(L843,list_vat[Страна],list_vat[Ставка НДС %],0,0)</f>
        <v/>
      </c>
      <c r="N843" s="162">
        <f>IFERROR(IF(L843="Китай",K843,K843/(1+M843)),0)</f>
        <v/>
      </c>
      <c r="O843" s="169" t="n"/>
      <c r="P843" s="76">
        <f>N843*(1-O843)</f>
        <v/>
      </c>
      <c r="Q843" s="162" t="n"/>
      <c r="R843" s="162">
        <f>IF(ISBLANK(Q843),"введи курс",P843/Q843)</f>
        <v/>
      </c>
      <c r="S843" s="196">
        <f>IF(AND(ISNUMBER(E843),ISNUMBER(Q843)),E843*R843,0)</f>
        <v/>
      </c>
      <c r="T843" s="192">
        <f>$BC843*V$11</f>
        <v/>
      </c>
      <c r="U843" s="76">
        <f>$BC843*W$11</f>
        <v/>
      </c>
      <c r="V843" s="193">
        <f>+SUM(T843:U843)</f>
        <v/>
      </c>
      <c r="W843" s="191" t="n"/>
      <c r="X843" s="170" t="n"/>
      <c r="Y843" s="76">
        <f>ROUND(IF(offer_incoterms="DDP",X843*(S843*(1+AW843)+T843),0),2)</f>
        <v/>
      </c>
      <c r="Z843" s="188" t="n"/>
      <c r="AA843" s="192">
        <f>IFERROR(AB843/E843,0)</f>
        <v/>
      </c>
      <c r="AB843" s="76">
        <f>ROUND(SUM(S843,V843,Y843:Z843,BA843:BB843),2)</f>
        <v/>
      </c>
      <c r="AC843" s="797" t="n"/>
      <c r="AD843" s="192">
        <f t="array" ref="AD843">IFERROR(ROUND((_xlfn.IFS(offer_sale_type="поставка",AB843,offer_sale_type="транзит",S843)*(1+AC843))/E843,2),0)</f>
        <v/>
      </c>
      <c r="AE843" s="76">
        <f>AD843*E843</f>
        <v/>
      </c>
      <c r="AF843" s="193">
        <f t="array" ref="AF843">IFERROR(ROUND(_xlfn.IFS(offer_sale_type="поставка",AB843,offer_sale_type="транзит",S843)*AC843,2),0)</f>
        <v/>
      </c>
      <c r="AG843" s="192">
        <f>$BD843*VLOOKUP($AG$3,$AF$4:$AG$7,2,FALSE)</f>
        <v/>
      </c>
      <c r="AH843" s="76">
        <f>SUM(AE843,AG843,AI843)*rate_forex_risk</f>
        <v/>
      </c>
      <c r="AI843" s="193">
        <f>IF(OR(seller_region="TR",offer_sale_type="экспорт"),0,rate_fin_comm)*SUM(AZ843,AZ843*AW843,T843)</f>
        <v/>
      </c>
      <c r="AJ843" s="118">
        <f>IFERROR(ROUND(SUM(AB843,AF843:AI843)/E843,2),0)</f>
        <v/>
      </c>
      <c r="AK843" s="76">
        <f>AJ843*E843</f>
        <v/>
      </c>
      <c r="AL843" s="174">
        <f>ROUND(IFERROR(AM843*E843,0),2)</f>
        <v/>
      </c>
      <c r="AM843" s="175">
        <f>ROUND(AJ843*(1+IF(offer_incoterms="DDP",IF((TODAY()+offer_turnaround_time)&gt;=helpsheet!$L$17,rate_vatRU_from_26,rate_vatRu_till_25),0)),2)</f>
        <v/>
      </c>
      <c r="AN843" s="192">
        <f>AL843-AK843</f>
        <v/>
      </c>
      <c r="AO843" s="76">
        <f>SUM(AY843,Y843:Z843,T843)*IF(AND(offer_incoterms="DDP",offer_sale_type&lt;&gt;"экспорт"),IF((TODAY()+offer_turnaround_time)&gt;=helpsheet!$L$17,rate_vatRU_from_26,rate_vatRu_till_25),0)</f>
        <v/>
      </c>
      <c r="AP843" s="193">
        <f>AN843-AO843</f>
        <v/>
      </c>
      <c r="AQ843" s="118">
        <f>IF(offer_sale_type="транзит",SUM(AF843:AI843,BA843,BB843),0)</f>
        <v/>
      </c>
      <c r="AR843" s="82">
        <f>HYPERLINK("https://www.alta.ru/tnved/code/")&amp;W843&amp;"/"</f>
        <v/>
      </c>
      <c r="AS843" s="157" t="n"/>
      <c r="AT843" s="162" t="n"/>
      <c r="AU843" s="76">
        <f>IF(ISBLANK(AT843),0,AJ843-AT843)</f>
        <v/>
      </c>
      <c r="AV843" s="157" t="n"/>
      <c r="AW843" s="75">
        <f>_xlfn.IFNA(VLOOKUP(L843,list_vat[],3,FALSE),0)</f>
        <v/>
      </c>
      <c r="AX843" s="76">
        <f>IFERROR(ROUND(S843*(1+AW843)/E843,2),0)</f>
        <v/>
      </c>
      <c r="AY843" s="76">
        <f>E843*AX843</f>
        <v/>
      </c>
      <c r="AZ843" s="192">
        <f>S843*(1+M843)</f>
        <v/>
      </c>
      <c r="BA843" s="76">
        <f>cost_fin_total*$BD843</f>
        <v/>
      </c>
      <c r="BB843" s="193">
        <f>credit_sales_interest*BD843</f>
        <v/>
      </c>
      <c r="BC843" s="102">
        <f>IFERROR(IF($I$13&gt;0,$I843/$I$13,$S843/$S$13),0)</f>
        <v/>
      </c>
      <c r="BD843" s="102">
        <f>IFERROR($S843/$S$13,0)</f>
        <v/>
      </c>
      <c r="BE843" s="413" t="inlineStr">
        <is>
          <t>$</t>
        </is>
      </c>
    </row>
    <row r="844" ht="12" customFormat="1" customHeight="1" s="65">
      <c r="A844" s="43" t="n">
        <v>829</v>
      </c>
      <c r="B844" s="166" t="n"/>
      <c r="C844" s="166" t="n"/>
      <c r="D844" s="166" t="n"/>
      <c r="E844" s="162" t="n"/>
      <c r="F844" s="166" t="n"/>
      <c r="G844" s="162" t="n"/>
      <c r="H844" s="162" t="n"/>
      <c r="I844" s="189">
        <f>E844*G844</f>
        <v/>
      </c>
      <c r="J844" s="195" t="n"/>
      <c r="K844" s="162" t="n"/>
      <c r="L844" s="168" t="n"/>
      <c r="M844" s="75">
        <f>_xlfn.XLOOKUP(L844,list_vat[Страна],list_vat[Ставка НДС %],0,0)</f>
        <v/>
      </c>
      <c r="N844" s="162">
        <f>IFERROR(IF(L844="Китай",K844,K844/(1+M844)),0)</f>
        <v/>
      </c>
      <c r="O844" s="169" t="n"/>
      <c r="P844" s="76">
        <f>N844*(1-O844)</f>
        <v/>
      </c>
      <c r="Q844" s="162" t="n"/>
      <c r="R844" s="162">
        <f>IF(ISBLANK(Q844),"введи курс",P844/Q844)</f>
        <v/>
      </c>
      <c r="S844" s="196">
        <f>IF(AND(ISNUMBER(E844),ISNUMBER(Q844)),E844*R844,0)</f>
        <v/>
      </c>
      <c r="T844" s="192">
        <f>$BC844*V$11</f>
        <v/>
      </c>
      <c r="U844" s="76">
        <f>$BC844*W$11</f>
        <v/>
      </c>
      <c r="V844" s="193">
        <f>+SUM(T844:U844)</f>
        <v/>
      </c>
      <c r="W844" s="191" t="n"/>
      <c r="X844" s="170" t="n"/>
      <c r="Y844" s="76">
        <f>ROUND(IF(offer_incoterms="DDP",X844*(S844*(1+AW844)+T844),0),2)</f>
        <v/>
      </c>
      <c r="Z844" s="188" t="n"/>
      <c r="AA844" s="192">
        <f>IFERROR(AB844/E844,0)</f>
        <v/>
      </c>
      <c r="AB844" s="76">
        <f>ROUND(SUM(S844,V844,Y844:Z844,BA844:BB844),2)</f>
        <v/>
      </c>
      <c r="AC844" s="797" t="n"/>
      <c r="AD844" s="192">
        <f t="array" ref="AD844">IFERROR(ROUND((_xlfn.IFS(offer_sale_type="поставка",AB844,offer_sale_type="транзит",S844)*(1+AC844))/E844,2),0)</f>
        <v/>
      </c>
      <c r="AE844" s="76">
        <f>AD844*E844</f>
        <v/>
      </c>
      <c r="AF844" s="193">
        <f t="array" ref="AF844">IFERROR(ROUND(_xlfn.IFS(offer_sale_type="поставка",AB844,offer_sale_type="транзит",S844)*AC844,2),0)</f>
        <v/>
      </c>
      <c r="AG844" s="192">
        <f>$BD844*VLOOKUP($AG$3,$AF$4:$AG$7,2,FALSE)</f>
        <v/>
      </c>
      <c r="AH844" s="76">
        <f>SUM(AE844,AG844,AI844)*rate_forex_risk</f>
        <v/>
      </c>
      <c r="AI844" s="193">
        <f>IF(OR(seller_region="TR",offer_sale_type="экспорт"),0,rate_fin_comm)*SUM(AZ844,AZ844*AW844,T844)</f>
        <v/>
      </c>
      <c r="AJ844" s="118">
        <f>IFERROR(ROUND(SUM(AB844,AF844:AI844)/E844,2),0)</f>
        <v/>
      </c>
      <c r="AK844" s="76">
        <f>AJ844*E844</f>
        <v/>
      </c>
      <c r="AL844" s="174">
        <f>ROUND(IFERROR(AM844*E844,0),2)</f>
        <v/>
      </c>
      <c r="AM844" s="175">
        <f>ROUND(AJ844*(1+IF(offer_incoterms="DDP",IF((TODAY()+offer_turnaround_time)&gt;=helpsheet!$L$17,rate_vatRU_from_26,rate_vatRu_till_25),0)),2)</f>
        <v/>
      </c>
      <c r="AN844" s="192">
        <f>AL844-AK844</f>
        <v/>
      </c>
      <c r="AO844" s="76">
        <f>SUM(AY844,Y844:Z844,T844)*IF(AND(offer_incoterms="DDP",offer_sale_type&lt;&gt;"экспорт"),IF((TODAY()+offer_turnaround_time)&gt;=helpsheet!$L$17,rate_vatRU_from_26,rate_vatRu_till_25),0)</f>
        <v/>
      </c>
      <c r="AP844" s="193">
        <f>AN844-AO844</f>
        <v/>
      </c>
      <c r="AQ844" s="118">
        <f>IF(offer_sale_type="транзит",SUM(AF844:AI844,BA844,BB844),0)</f>
        <v/>
      </c>
      <c r="AR844" s="82">
        <f>HYPERLINK("https://www.alta.ru/tnved/code/")&amp;W844&amp;"/"</f>
        <v/>
      </c>
      <c r="AS844" s="157" t="n"/>
      <c r="AT844" s="162" t="n"/>
      <c r="AU844" s="76">
        <f>IF(ISBLANK(AT844),0,AJ844-AT844)</f>
        <v/>
      </c>
      <c r="AV844" s="157" t="n"/>
      <c r="AW844" s="75">
        <f>_xlfn.IFNA(VLOOKUP(L844,list_vat[],3,FALSE),0)</f>
        <v/>
      </c>
      <c r="AX844" s="76">
        <f>IFERROR(ROUND(S844*(1+AW844)/E844,2),0)</f>
        <v/>
      </c>
      <c r="AY844" s="76">
        <f>E844*AX844</f>
        <v/>
      </c>
      <c r="AZ844" s="192">
        <f>S844*(1+M844)</f>
        <v/>
      </c>
      <c r="BA844" s="76">
        <f>cost_fin_total*$BD844</f>
        <v/>
      </c>
      <c r="BB844" s="193">
        <f>credit_sales_interest*BD844</f>
        <v/>
      </c>
      <c r="BC844" s="102">
        <f>IFERROR(IF($I$13&gt;0,$I844/$I$13,$S844/$S$13),0)</f>
        <v/>
      </c>
      <c r="BD844" s="102">
        <f>IFERROR($S844/$S$13,0)</f>
        <v/>
      </c>
      <c r="BE844" s="413" t="inlineStr">
        <is>
          <t>$</t>
        </is>
      </c>
    </row>
    <row r="845" ht="12" customFormat="1" customHeight="1" s="65">
      <c r="A845" s="43" t="n">
        <v>830</v>
      </c>
      <c r="B845" s="166" t="n"/>
      <c r="C845" s="166" t="n"/>
      <c r="D845" s="166" t="n"/>
      <c r="E845" s="162" t="n"/>
      <c r="F845" s="166" t="n"/>
      <c r="G845" s="162" t="n"/>
      <c r="H845" s="162" t="n"/>
      <c r="I845" s="189">
        <f>E845*G845</f>
        <v/>
      </c>
      <c r="J845" s="195" t="n"/>
      <c r="K845" s="162" t="n"/>
      <c r="L845" s="168" t="n"/>
      <c r="M845" s="75">
        <f>_xlfn.XLOOKUP(L845,list_vat[Страна],list_vat[Ставка НДС %],0,0)</f>
        <v/>
      </c>
      <c r="N845" s="162">
        <f>IFERROR(IF(L845="Китай",K845,K845/(1+M845)),0)</f>
        <v/>
      </c>
      <c r="O845" s="169" t="n"/>
      <c r="P845" s="76">
        <f>N845*(1-O845)</f>
        <v/>
      </c>
      <c r="Q845" s="162" t="n"/>
      <c r="R845" s="162">
        <f>IF(ISBLANK(Q845),"введи курс",P845/Q845)</f>
        <v/>
      </c>
      <c r="S845" s="196">
        <f>IF(AND(ISNUMBER(E845),ISNUMBER(Q845)),E845*R845,0)</f>
        <v/>
      </c>
      <c r="T845" s="192">
        <f>$BC845*V$11</f>
        <v/>
      </c>
      <c r="U845" s="76">
        <f>$BC845*W$11</f>
        <v/>
      </c>
      <c r="V845" s="193">
        <f>+SUM(T845:U845)</f>
        <v/>
      </c>
      <c r="W845" s="191" t="n"/>
      <c r="X845" s="170" t="n"/>
      <c r="Y845" s="76">
        <f>ROUND(IF(offer_incoterms="DDP",X845*(S845*(1+AW845)+T845),0),2)</f>
        <v/>
      </c>
      <c r="Z845" s="188" t="n"/>
      <c r="AA845" s="192">
        <f>IFERROR(AB845/E845,0)</f>
        <v/>
      </c>
      <c r="AB845" s="76">
        <f>ROUND(SUM(S845,V845,Y845:Z845,BA845:BB845),2)</f>
        <v/>
      </c>
      <c r="AC845" s="797" t="n"/>
      <c r="AD845" s="192">
        <f t="array" ref="AD845">IFERROR(ROUND((_xlfn.IFS(offer_sale_type="поставка",AB845,offer_sale_type="транзит",S845)*(1+AC845))/E845,2),0)</f>
        <v/>
      </c>
      <c r="AE845" s="76">
        <f>AD845*E845</f>
        <v/>
      </c>
      <c r="AF845" s="193">
        <f t="array" ref="AF845">IFERROR(ROUND(_xlfn.IFS(offer_sale_type="поставка",AB845,offer_sale_type="транзит",S845)*AC845,2),0)</f>
        <v/>
      </c>
      <c r="AG845" s="192">
        <f>$BD845*VLOOKUP($AG$3,$AF$4:$AG$7,2,FALSE)</f>
        <v/>
      </c>
      <c r="AH845" s="76">
        <f>SUM(AE845,AG845,AI845)*rate_forex_risk</f>
        <v/>
      </c>
      <c r="AI845" s="193">
        <f>IF(OR(seller_region="TR",offer_sale_type="экспорт"),0,rate_fin_comm)*SUM(AZ845,AZ845*AW845,T845)</f>
        <v/>
      </c>
      <c r="AJ845" s="118">
        <f>IFERROR(ROUND(SUM(AB845,AF845:AI845)/E845,2),0)</f>
        <v/>
      </c>
      <c r="AK845" s="76">
        <f>AJ845*E845</f>
        <v/>
      </c>
      <c r="AL845" s="174">
        <f>ROUND(IFERROR(AM845*E845,0),2)</f>
        <v/>
      </c>
      <c r="AM845" s="175">
        <f>ROUND(AJ845*(1+IF(offer_incoterms="DDP",IF((TODAY()+offer_turnaround_time)&gt;=helpsheet!$L$17,rate_vatRU_from_26,rate_vatRu_till_25),0)),2)</f>
        <v/>
      </c>
      <c r="AN845" s="192">
        <f>AL845-AK845</f>
        <v/>
      </c>
      <c r="AO845" s="76">
        <f>SUM(AY845,Y845:Z845,T845)*IF(AND(offer_incoterms="DDP",offer_sale_type&lt;&gt;"экспорт"),IF((TODAY()+offer_turnaround_time)&gt;=helpsheet!$L$17,rate_vatRU_from_26,rate_vatRu_till_25),0)</f>
        <v/>
      </c>
      <c r="AP845" s="193">
        <f>AN845-AO845</f>
        <v/>
      </c>
      <c r="AQ845" s="118">
        <f>IF(offer_sale_type="транзит",SUM(AF845:AI845,BA845,BB845),0)</f>
        <v/>
      </c>
      <c r="AR845" s="82">
        <f>HYPERLINK("https://www.alta.ru/tnved/code/")&amp;W845&amp;"/"</f>
        <v/>
      </c>
      <c r="AS845" s="157" t="n"/>
      <c r="AT845" s="162" t="n"/>
      <c r="AU845" s="76">
        <f>IF(ISBLANK(AT845),0,AJ845-AT845)</f>
        <v/>
      </c>
      <c r="AV845" s="157" t="n"/>
      <c r="AW845" s="75">
        <f>_xlfn.IFNA(VLOOKUP(L845,list_vat[],3,FALSE),0)</f>
        <v/>
      </c>
      <c r="AX845" s="76">
        <f>IFERROR(ROUND(S845*(1+AW845)/E845,2),0)</f>
        <v/>
      </c>
      <c r="AY845" s="76">
        <f>E845*AX845</f>
        <v/>
      </c>
      <c r="AZ845" s="192">
        <f>S845*(1+M845)</f>
        <v/>
      </c>
      <c r="BA845" s="76">
        <f>cost_fin_total*$BD845</f>
        <v/>
      </c>
      <c r="BB845" s="193">
        <f>credit_sales_interest*BD845</f>
        <v/>
      </c>
      <c r="BC845" s="102">
        <f>IFERROR(IF($I$13&gt;0,$I845/$I$13,$S845/$S$13),0)</f>
        <v/>
      </c>
      <c r="BD845" s="102">
        <f>IFERROR($S845/$S$13,0)</f>
        <v/>
      </c>
      <c r="BE845" s="413" t="inlineStr">
        <is>
          <t>$</t>
        </is>
      </c>
    </row>
    <row r="846" ht="12" customFormat="1" customHeight="1" s="65">
      <c r="A846" s="43" t="n">
        <v>831</v>
      </c>
      <c r="B846" s="166" t="n"/>
      <c r="C846" s="166" t="n"/>
      <c r="D846" s="166" t="n"/>
      <c r="E846" s="162" t="n"/>
      <c r="F846" s="166" t="n"/>
      <c r="G846" s="162" t="n"/>
      <c r="H846" s="162" t="n"/>
      <c r="I846" s="189">
        <f>E846*G846</f>
        <v/>
      </c>
      <c r="J846" s="195" t="n"/>
      <c r="K846" s="162" t="n"/>
      <c r="L846" s="168" t="n"/>
      <c r="M846" s="75">
        <f>_xlfn.XLOOKUP(L846,list_vat[Страна],list_vat[Ставка НДС %],0,0)</f>
        <v/>
      </c>
      <c r="N846" s="162">
        <f>IFERROR(IF(L846="Китай",K846,K846/(1+M846)),0)</f>
        <v/>
      </c>
      <c r="O846" s="169" t="n"/>
      <c r="P846" s="76">
        <f>N846*(1-O846)</f>
        <v/>
      </c>
      <c r="Q846" s="162" t="n"/>
      <c r="R846" s="162">
        <f>IF(ISBLANK(Q846),"введи курс",P846/Q846)</f>
        <v/>
      </c>
      <c r="S846" s="196">
        <f>IF(AND(ISNUMBER(E846),ISNUMBER(Q846)),E846*R846,0)</f>
        <v/>
      </c>
      <c r="T846" s="192">
        <f>$BC846*V$11</f>
        <v/>
      </c>
      <c r="U846" s="76">
        <f>$BC846*W$11</f>
        <v/>
      </c>
      <c r="V846" s="193">
        <f>+SUM(T846:U846)</f>
        <v/>
      </c>
      <c r="W846" s="191" t="n"/>
      <c r="X846" s="170" t="n"/>
      <c r="Y846" s="76">
        <f>ROUND(IF(offer_incoterms="DDP",X846*(S846*(1+AW846)+T846),0),2)</f>
        <v/>
      </c>
      <c r="Z846" s="188" t="n"/>
      <c r="AA846" s="192">
        <f>IFERROR(AB846/E846,0)</f>
        <v/>
      </c>
      <c r="AB846" s="76">
        <f>ROUND(SUM(S846,V846,Y846:Z846,BA846:BB846),2)</f>
        <v/>
      </c>
      <c r="AC846" s="797" t="n"/>
      <c r="AD846" s="192">
        <f t="array" ref="AD846">IFERROR(ROUND((_xlfn.IFS(offer_sale_type="поставка",AB846,offer_sale_type="транзит",S846)*(1+AC846))/E846,2),0)</f>
        <v/>
      </c>
      <c r="AE846" s="76">
        <f>AD846*E846</f>
        <v/>
      </c>
      <c r="AF846" s="193">
        <f t="array" ref="AF846">IFERROR(ROUND(_xlfn.IFS(offer_sale_type="поставка",AB846,offer_sale_type="транзит",S846)*AC846,2),0)</f>
        <v/>
      </c>
      <c r="AG846" s="192">
        <f>$BD846*VLOOKUP($AG$3,$AF$4:$AG$7,2,FALSE)</f>
        <v/>
      </c>
      <c r="AH846" s="76">
        <f>SUM(AE846,AG846,AI846)*rate_forex_risk</f>
        <v/>
      </c>
      <c r="AI846" s="193">
        <f>IF(OR(seller_region="TR",offer_sale_type="экспорт"),0,rate_fin_comm)*SUM(AZ846,AZ846*AW846,T846)</f>
        <v/>
      </c>
      <c r="AJ846" s="118">
        <f>IFERROR(ROUND(SUM(AB846,AF846:AI846)/E846,2),0)</f>
        <v/>
      </c>
      <c r="AK846" s="76">
        <f>AJ846*E846</f>
        <v/>
      </c>
      <c r="AL846" s="174">
        <f>ROUND(IFERROR(AM846*E846,0),2)</f>
        <v/>
      </c>
      <c r="AM846" s="175">
        <f>ROUND(AJ846*(1+IF(offer_incoterms="DDP",IF((TODAY()+offer_turnaround_time)&gt;=helpsheet!$L$17,rate_vatRU_from_26,rate_vatRu_till_25),0)),2)</f>
        <v/>
      </c>
      <c r="AN846" s="192">
        <f>AL846-AK846</f>
        <v/>
      </c>
      <c r="AO846" s="76">
        <f>SUM(AY846,Y846:Z846,T846)*IF(AND(offer_incoterms="DDP",offer_sale_type&lt;&gt;"экспорт"),IF((TODAY()+offer_turnaround_time)&gt;=helpsheet!$L$17,rate_vatRU_from_26,rate_vatRu_till_25),0)</f>
        <v/>
      </c>
      <c r="AP846" s="193">
        <f>AN846-AO846</f>
        <v/>
      </c>
      <c r="AQ846" s="118">
        <f>IF(offer_sale_type="транзит",SUM(AF846:AI846,BA846,BB846),0)</f>
        <v/>
      </c>
      <c r="AR846" s="82">
        <f>HYPERLINK("https://www.alta.ru/tnved/code/")&amp;W846&amp;"/"</f>
        <v/>
      </c>
      <c r="AS846" s="157" t="n"/>
      <c r="AT846" s="162" t="n"/>
      <c r="AU846" s="76">
        <f>IF(ISBLANK(AT846),0,AJ846-AT846)</f>
        <v/>
      </c>
      <c r="AV846" s="157" t="n"/>
      <c r="AW846" s="75">
        <f>_xlfn.IFNA(VLOOKUP(L846,list_vat[],3,FALSE),0)</f>
        <v/>
      </c>
      <c r="AX846" s="76">
        <f>IFERROR(ROUND(S846*(1+AW846)/E846,2),0)</f>
        <v/>
      </c>
      <c r="AY846" s="76">
        <f>E846*AX846</f>
        <v/>
      </c>
      <c r="AZ846" s="192">
        <f>S846*(1+M846)</f>
        <v/>
      </c>
      <c r="BA846" s="76">
        <f>cost_fin_total*$BD846</f>
        <v/>
      </c>
      <c r="BB846" s="193">
        <f>credit_sales_interest*BD846</f>
        <v/>
      </c>
      <c r="BC846" s="102">
        <f>IFERROR(IF($I$13&gt;0,$I846/$I$13,$S846/$S$13),0)</f>
        <v/>
      </c>
      <c r="BD846" s="102">
        <f>IFERROR($S846/$S$13,0)</f>
        <v/>
      </c>
      <c r="BE846" s="413" t="inlineStr">
        <is>
          <t>$</t>
        </is>
      </c>
    </row>
    <row r="847" ht="12" customFormat="1" customHeight="1" s="65">
      <c r="A847" s="43" t="n">
        <v>832</v>
      </c>
      <c r="B847" s="166" t="n"/>
      <c r="C847" s="166" t="n"/>
      <c r="D847" s="166" t="n"/>
      <c r="E847" s="162" t="n"/>
      <c r="F847" s="166" t="n"/>
      <c r="G847" s="162" t="n"/>
      <c r="H847" s="162" t="n"/>
      <c r="I847" s="189">
        <f>E847*G847</f>
        <v/>
      </c>
      <c r="J847" s="195" t="n"/>
      <c r="K847" s="162" t="n"/>
      <c r="L847" s="168" t="n"/>
      <c r="M847" s="75">
        <f>_xlfn.XLOOKUP(L847,list_vat[Страна],list_vat[Ставка НДС %],0,0)</f>
        <v/>
      </c>
      <c r="N847" s="162">
        <f>IFERROR(IF(L847="Китай",K847,K847/(1+M847)),0)</f>
        <v/>
      </c>
      <c r="O847" s="169" t="n"/>
      <c r="P847" s="76">
        <f>N847*(1-O847)</f>
        <v/>
      </c>
      <c r="Q847" s="162" t="n"/>
      <c r="R847" s="162">
        <f>IF(ISBLANK(Q847),"введи курс",P847/Q847)</f>
        <v/>
      </c>
      <c r="S847" s="196">
        <f>IF(AND(ISNUMBER(E847),ISNUMBER(Q847)),E847*R847,0)</f>
        <v/>
      </c>
      <c r="T847" s="192">
        <f>$BC847*V$11</f>
        <v/>
      </c>
      <c r="U847" s="76">
        <f>$BC847*W$11</f>
        <v/>
      </c>
      <c r="V847" s="193">
        <f>+SUM(T847:U847)</f>
        <v/>
      </c>
      <c r="W847" s="191" t="n"/>
      <c r="X847" s="170" t="n"/>
      <c r="Y847" s="76">
        <f>ROUND(IF(offer_incoterms="DDP",X847*(S847*(1+AW847)+T847),0),2)</f>
        <v/>
      </c>
      <c r="Z847" s="188" t="n"/>
      <c r="AA847" s="192">
        <f>IFERROR(AB847/E847,0)</f>
        <v/>
      </c>
      <c r="AB847" s="76">
        <f>ROUND(SUM(S847,V847,Y847:Z847,BA847:BB847),2)</f>
        <v/>
      </c>
      <c r="AC847" s="797" t="n"/>
      <c r="AD847" s="192">
        <f t="array" ref="AD847">IFERROR(ROUND((_xlfn.IFS(offer_sale_type="поставка",AB847,offer_sale_type="транзит",S847)*(1+AC847))/E847,2),0)</f>
        <v/>
      </c>
      <c r="AE847" s="76">
        <f>AD847*E847</f>
        <v/>
      </c>
      <c r="AF847" s="193">
        <f t="array" ref="AF847">IFERROR(ROUND(_xlfn.IFS(offer_sale_type="поставка",AB847,offer_sale_type="транзит",S847)*AC847,2),0)</f>
        <v/>
      </c>
      <c r="AG847" s="192">
        <f>$BD847*VLOOKUP($AG$3,$AF$4:$AG$7,2,FALSE)</f>
        <v/>
      </c>
      <c r="AH847" s="76">
        <f>SUM(AE847,AG847,AI847)*rate_forex_risk</f>
        <v/>
      </c>
      <c r="AI847" s="193">
        <f>IF(OR(seller_region="TR",offer_sale_type="экспорт"),0,rate_fin_comm)*SUM(AZ847,AZ847*AW847,T847)</f>
        <v/>
      </c>
      <c r="AJ847" s="118">
        <f>IFERROR(ROUND(SUM(AB847,AF847:AI847)/E847,2),0)</f>
        <v/>
      </c>
      <c r="AK847" s="76">
        <f>AJ847*E847</f>
        <v/>
      </c>
      <c r="AL847" s="174">
        <f>ROUND(IFERROR(AM847*E847,0),2)</f>
        <v/>
      </c>
      <c r="AM847" s="175">
        <f>ROUND(AJ847*(1+IF(offer_incoterms="DDP",IF((TODAY()+offer_turnaround_time)&gt;=helpsheet!$L$17,rate_vatRU_from_26,rate_vatRu_till_25),0)),2)</f>
        <v/>
      </c>
      <c r="AN847" s="192">
        <f>AL847-AK847</f>
        <v/>
      </c>
      <c r="AO847" s="76">
        <f>SUM(AY847,Y847:Z847,T847)*IF(AND(offer_incoterms="DDP",offer_sale_type&lt;&gt;"экспорт"),IF((TODAY()+offer_turnaround_time)&gt;=helpsheet!$L$17,rate_vatRU_from_26,rate_vatRu_till_25),0)</f>
        <v/>
      </c>
      <c r="AP847" s="193">
        <f>AN847-AO847</f>
        <v/>
      </c>
      <c r="AQ847" s="118">
        <f>IF(offer_sale_type="транзит",SUM(AF847:AI847,BA847,BB847),0)</f>
        <v/>
      </c>
      <c r="AR847" s="82">
        <f>HYPERLINK("https://www.alta.ru/tnved/code/")&amp;W847&amp;"/"</f>
        <v/>
      </c>
      <c r="AS847" s="157" t="n"/>
      <c r="AT847" s="162" t="n"/>
      <c r="AU847" s="76">
        <f>IF(ISBLANK(AT847),0,AJ847-AT847)</f>
        <v/>
      </c>
      <c r="AV847" s="157" t="n"/>
      <c r="AW847" s="75">
        <f>_xlfn.IFNA(VLOOKUP(L847,list_vat[],3,FALSE),0)</f>
        <v/>
      </c>
      <c r="AX847" s="76">
        <f>IFERROR(ROUND(S847*(1+AW847)/E847,2),0)</f>
        <v/>
      </c>
      <c r="AY847" s="76">
        <f>E847*AX847</f>
        <v/>
      </c>
      <c r="AZ847" s="192">
        <f>S847*(1+M847)</f>
        <v/>
      </c>
      <c r="BA847" s="76">
        <f>cost_fin_total*$BD847</f>
        <v/>
      </c>
      <c r="BB847" s="193">
        <f>credit_sales_interest*BD847</f>
        <v/>
      </c>
      <c r="BC847" s="102">
        <f>IFERROR(IF($I$13&gt;0,$I847/$I$13,$S847/$S$13),0)</f>
        <v/>
      </c>
      <c r="BD847" s="102">
        <f>IFERROR($S847/$S$13,0)</f>
        <v/>
      </c>
      <c r="BE847" s="413" t="inlineStr">
        <is>
          <t>$</t>
        </is>
      </c>
    </row>
    <row r="848" ht="12" customFormat="1" customHeight="1" s="65">
      <c r="A848" s="43" t="n">
        <v>833</v>
      </c>
      <c r="B848" s="166" t="n"/>
      <c r="C848" s="166" t="n"/>
      <c r="D848" s="166" t="n"/>
      <c r="E848" s="162" t="n"/>
      <c r="F848" s="166" t="n"/>
      <c r="G848" s="162" t="n"/>
      <c r="H848" s="162" t="n"/>
      <c r="I848" s="189">
        <f>E848*G848</f>
        <v/>
      </c>
      <c r="J848" s="195" t="n"/>
      <c r="K848" s="162" t="n"/>
      <c r="L848" s="168" t="n"/>
      <c r="M848" s="75">
        <f>_xlfn.XLOOKUP(L848,list_vat[Страна],list_vat[Ставка НДС %],0,0)</f>
        <v/>
      </c>
      <c r="N848" s="162">
        <f>IFERROR(IF(L848="Китай",K848,K848/(1+M848)),0)</f>
        <v/>
      </c>
      <c r="O848" s="169" t="n"/>
      <c r="P848" s="76">
        <f>N848*(1-O848)</f>
        <v/>
      </c>
      <c r="Q848" s="162" t="n"/>
      <c r="R848" s="162">
        <f>IF(ISBLANK(Q848),"введи курс",P848/Q848)</f>
        <v/>
      </c>
      <c r="S848" s="196">
        <f>IF(AND(ISNUMBER(E848),ISNUMBER(Q848)),E848*R848,0)</f>
        <v/>
      </c>
      <c r="T848" s="192">
        <f>$BC848*V$11</f>
        <v/>
      </c>
      <c r="U848" s="76">
        <f>$BC848*W$11</f>
        <v/>
      </c>
      <c r="V848" s="193">
        <f>+SUM(T848:U848)</f>
        <v/>
      </c>
      <c r="W848" s="191" t="n"/>
      <c r="X848" s="170" t="n"/>
      <c r="Y848" s="76">
        <f>ROUND(IF(offer_incoterms="DDP",X848*(S848*(1+AW848)+T848),0),2)</f>
        <v/>
      </c>
      <c r="Z848" s="188" t="n"/>
      <c r="AA848" s="192">
        <f>IFERROR(AB848/E848,0)</f>
        <v/>
      </c>
      <c r="AB848" s="76">
        <f>ROUND(SUM(S848,V848,Y848:Z848,BA848:BB848),2)</f>
        <v/>
      </c>
      <c r="AC848" s="797" t="n"/>
      <c r="AD848" s="192">
        <f t="array" ref="AD848">IFERROR(ROUND((_xlfn.IFS(offer_sale_type="поставка",AB848,offer_sale_type="транзит",S848)*(1+AC848))/E848,2),0)</f>
        <v/>
      </c>
      <c r="AE848" s="76">
        <f>AD848*E848</f>
        <v/>
      </c>
      <c r="AF848" s="193">
        <f t="array" ref="AF848">IFERROR(ROUND(_xlfn.IFS(offer_sale_type="поставка",AB848,offer_sale_type="транзит",S848)*AC848,2),0)</f>
        <v/>
      </c>
      <c r="AG848" s="192">
        <f>$BD848*VLOOKUP($AG$3,$AF$4:$AG$7,2,FALSE)</f>
        <v/>
      </c>
      <c r="AH848" s="76">
        <f>SUM(AE848,AG848,AI848)*rate_forex_risk</f>
        <v/>
      </c>
      <c r="AI848" s="193">
        <f>IF(OR(seller_region="TR",offer_sale_type="экспорт"),0,rate_fin_comm)*SUM(AZ848,AZ848*AW848,T848)</f>
        <v/>
      </c>
      <c r="AJ848" s="118">
        <f>IFERROR(ROUND(SUM(AB848,AF848:AI848)/E848,2),0)</f>
        <v/>
      </c>
      <c r="AK848" s="76">
        <f>AJ848*E848</f>
        <v/>
      </c>
      <c r="AL848" s="174">
        <f>ROUND(IFERROR(AM848*E848,0),2)</f>
        <v/>
      </c>
      <c r="AM848" s="175">
        <f>ROUND(AJ848*(1+IF(offer_incoterms="DDP",IF((TODAY()+offer_turnaround_time)&gt;=helpsheet!$L$17,rate_vatRU_from_26,rate_vatRu_till_25),0)),2)</f>
        <v/>
      </c>
      <c r="AN848" s="192">
        <f>AL848-AK848</f>
        <v/>
      </c>
      <c r="AO848" s="76">
        <f>SUM(AY848,Y848:Z848,T848)*IF(AND(offer_incoterms="DDP",offer_sale_type&lt;&gt;"экспорт"),IF((TODAY()+offer_turnaround_time)&gt;=helpsheet!$L$17,rate_vatRU_from_26,rate_vatRu_till_25),0)</f>
        <v/>
      </c>
      <c r="AP848" s="193">
        <f>AN848-AO848</f>
        <v/>
      </c>
      <c r="AQ848" s="118">
        <f>IF(offer_sale_type="транзит",SUM(AF848:AI848,BA848,BB848),0)</f>
        <v/>
      </c>
      <c r="AR848" s="82">
        <f>HYPERLINK("https://www.alta.ru/tnved/code/")&amp;W848&amp;"/"</f>
        <v/>
      </c>
      <c r="AS848" s="157" t="n"/>
      <c r="AT848" s="162" t="n"/>
      <c r="AU848" s="76">
        <f>IF(ISBLANK(AT848),0,AJ848-AT848)</f>
        <v/>
      </c>
      <c r="AV848" s="157" t="n"/>
      <c r="AW848" s="75">
        <f>_xlfn.IFNA(VLOOKUP(L848,list_vat[],3,FALSE),0)</f>
        <v/>
      </c>
      <c r="AX848" s="76">
        <f>IFERROR(ROUND(S848*(1+AW848)/E848,2),0)</f>
        <v/>
      </c>
      <c r="AY848" s="76">
        <f>E848*AX848</f>
        <v/>
      </c>
      <c r="AZ848" s="192">
        <f>S848*(1+M848)</f>
        <v/>
      </c>
      <c r="BA848" s="76">
        <f>cost_fin_total*$BD848</f>
        <v/>
      </c>
      <c r="BB848" s="193">
        <f>credit_sales_interest*BD848</f>
        <v/>
      </c>
      <c r="BC848" s="102">
        <f>IFERROR(IF($I$13&gt;0,$I848/$I$13,$S848/$S$13),0)</f>
        <v/>
      </c>
      <c r="BD848" s="102">
        <f>IFERROR($S848/$S$13,0)</f>
        <v/>
      </c>
      <c r="BE848" s="413" t="inlineStr">
        <is>
          <t>$</t>
        </is>
      </c>
    </row>
    <row r="849" ht="12" customFormat="1" customHeight="1" s="65">
      <c r="A849" s="43" t="n">
        <v>834</v>
      </c>
      <c r="B849" s="166" t="n"/>
      <c r="C849" s="166" t="n"/>
      <c r="D849" s="166" t="n"/>
      <c r="E849" s="162" t="n"/>
      <c r="F849" s="166" t="n"/>
      <c r="G849" s="162" t="n"/>
      <c r="H849" s="162" t="n"/>
      <c r="I849" s="189">
        <f>E849*G849</f>
        <v/>
      </c>
      <c r="J849" s="195" t="n"/>
      <c r="K849" s="162" t="n"/>
      <c r="L849" s="168" t="n"/>
      <c r="M849" s="75">
        <f>_xlfn.XLOOKUP(L849,list_vat[Страна],list_vat[Ставка НДС %],0,0)</f>
        <v/>
      </c>
      <c r="N849" s="162">
        <f>IFERROR(IF(L849="Китай",K849,K849/(1+M849)),0)</f>
        <v/>
      </c>
      <c r="O849" s="169" t="n"/>
      <c r="P849" s="76">
        <f>N849*(1-O849)</f>
        <v/>
      </c>
      <c r="Q849" s="162" t="n"/>
      <c r="R849" s="162">
        <f>IF(ISBLANK(Q849),"введи курс",P849/Q849)</f>
        <v/>
      </c>
      <c r="S849" s="196">
        <f>IF(AND(ISNUMBER(E849),ISNUMBER(Q849)),E849*R849,0)</f>
        <v/>
      </c>
      <c r="T849" s="192">
        <f>$BC849*V$11</f>
        <v/>
      </c>
      <c r="U849" s="76">
        <f>$BC849*W$11</f>
        <v/>
      </c>
      <c r="V849" s="193">
        <f>+SUM(T849:U849)</f>
        <v/>
      </c>
      <c r="W849" s="191" t="n"/>
      <c r="X849" s="170" t="n"/>
      <c r="Y849" s="76">
        <f>ROUND(IF(offer_incoterms="DDP",X849*(S849*(1+AW849)+T849),0),2)</f>
        <v/>
      </c>
      <c r="Z849" s="188" t="n"/>
      <c r="AA849" s="192">
        <f>IFERROR(AB849/E849,0)</f>
        <v/>
      </c>
      <c r="AB849" s="76">
        <f>ROUND(SUM(S849,V849,Y849:Z849,BA849:BB849),2)</f>
        <v/>
      </c>
      <c r="AC849" s="797" t="n"/>
      <c r="AD849" s="192">
        <f t="array" ref="AD849">IFERROR(ROUND((_xlfn.IFS(offer_sale_type="поставка",AB849,offer_sale_type="транзит",S849)*(1+AC849))/E849,2),0)</f>
        <v/>
      </c>
      <c r="AE849" s="76">
        <f>AD849*E849</f>
        <v/>
      </c>
      <c r="AF849" s="193">
        <f t="array" ref="AF849">IFERROR(ROUND(_xlfn.IFS(offer_sale_type="поставка",AB849,offer_sale_type="транзит",S849)*AC849,2),0)</f>
        <v/>
      </c>
      <c r="AG849" s="192">
        <f>$BD849*VLOOKUP($AG$3,$AF$4:$AG$7,2,FALSE)</f>
        <v/>
      </c>
      <c r="AH849" s="76">
        <f>SUM(AE849,AG849,AI849)*rate_forex_risk</f>
        <v/>
      </c>
      <c r="AI849" s="193">
        <f>IF(OR(seller_region="TR",offer_sale_type="экспорт"),0,rate_fin_comm)*SUM(AZ849,AZ849*AW849,T849)</f>
        <v/>
      </c>
      <c r="AJ849" s="118">
        <f>IFERROR(ROUND(SUM(AB849,AF849:AI849)/E849,2),0)</f>
        <v/>
      </c>
      <c r="AK849" s="76">
        <f>AJ849*E849</f>
        <v/>
      </c>
      <c r="AL849" s="174">
        <f>ROUND(IFERROR(AM849*E849,0),2)</f>
        <v/>
      </c>
      <c r="AM849" s="175">
        <f>ROUND(AJ849*(1+IF(offer_incoterms="DDP",IF((TODAY()+offer_turnaround_time)&gt;=helpsheet!$L$17,rate_vatRU_from_26,rate_vatRu_till_25),0)),2)</f>
        <v/>
      </c>
      <c r="AN849" s="192">
        <f>AL849-AK849</f>
        <v/>
      </c>
      <c r="AO849" s="76">
        <f>SUM(AY849,Y849:Z849,T849)*IF(AND(offer_incoterms="DDP",offer_sale_type&lt;&gt;"экспорт"),IF((TODAY()+offer_turnaround_time)&gt;=helpsheet!$L$17,rate_vatRU_from_26,rate_vatRu_till_25),0)</f>
        <v/>
      </c>
      <c r="AP849" s="193">
        <f>AN849-AO849</f>
        <v/>
      </c>
      <c r="AQ849" s="118">
        <f>IF(offer_sale_type="транзит",SUM(AF849:AI849,BA849,BB849),0)</f>
        <v/>
      </c>
      <c r="AR849" s="82">
        <f>HYPERLINK("https://www.alta.ru/tnved/code/")&amp;W849&amp;"/"</f>
        <v/>
      </c>
      <c r="AS849" s="157" t="n"/>
      <c r="AT849" s="162" t="n"/>
      <c r="AU849" s="76">
        <f>IF(ISBLANK(AT849),0,AJ849-AT849)</f>
        <v/>
      </c>
      <c r="AV849" s="157" t="n"/>
      <c r="AW849" s="75">
        <f>_xlfn.IFNA(VLOOKUP(L849,list_vat[],3,FALSE),0)</f>
        <v/>
      </c>
      <c r="AX849" s="76">
        <f>IFERROR(ROUND(S849*(1+AW849)/E849,2),0)</f>
        <v/>
      </c>
      <c r="AY849" s="76">
        <f>E849*AX849</f>
        <v/>
      </c>
      <c r="AZ849" s="192">
        <f>S849*(1+M849)</f>
        <v/>
      </c>
      <c r="BA849" s="76">
        <f>cost_fin_total*$BD849</f>
        <v/>
      </c>
      <c r="BB849" s="193">
        <f>credit_sales_interest*BD849</f>
        <v/>
      </c>
      <c r="BC849" s="102">
        <f>IFERROR(IF($I$13&gt;0,$I849/$I$13,$S849/$S$13),0)</f>
        <v/>
      </c>
      <c r="BD849" s="102">
        <f>IFERROR($S849/$S$13,0)</f>
        <v/>
      </c>
      <c r="BE849" s="413" t="inlineStr">
        <is>
          <t>$</t>
        </is>
      </c>
    </row>
    <row r="850" ht="12" customFormat="1" customHeight="1" s="65">
      <c r="A850" s="43" t="n">
        <v>835</v>
      </c>
      <c r="B850" s="166" t="n"/>
      <c r="C850" s="166" t="n"/>
      <c r="D850" s="166" t="n"/>
      <c r="E850" s="162" t="n"/>
      <c r="F850" s="166" t="n"/>
      <c r="G850" s="162" t="n"/>
      <c r="H850" s="162" t="n"/>
      <c r="I850" s="189">
        <f>E850*G850</f>
        <v/>
      </c>
      <c r="J850" s="195" t="n"/>
      <c r="K850" s="162" t="n"/>
      <c r="L850" s="168" t="n"/>
      <c r="M850" s="75">
        <f>_xlfn.XLOOKUP(L850,list_vat[Страна],list_vat[Ставка НДС %],0,0)</f>
        <v/>
      </c>
      <c r="N850" s="162">
        <f>IFERROR(IF(L850="Китай",K850,K850/(1+M850)),0)</f>
        <v/>
      </c>
      <c r="O850" s="169" t="n"/>
      <c r="P850" s="76">
        <f>N850*(1-O850)</f>
        <v/>
      </c>
      <c r="Q850" s="162" t="n"/>
      <c r="R850" s="162">
        <f>IF(ISBLANK(Q850),"введи курс",P850/Q850)</f>
        <v/>
      </c>
      <c r="S850" s="196">
        <f>IF(AND(ISNUMBER(E850),ISNUMBER(Q850)),E850*R850,0)</f>
        <v/>
      </c>
      <c r="T850" s="192">
        <f>$BC850*V$11</f>
        <v/>
      </c>
      <c r="U850" s="76">
        <f>$BC850*W$11</f>
        <v/>
      </c>
      <c r="V850" s="193">
        <f>+SUM(T850:U850)</f>
        <v/>
      </c>
      <c r="W850" s="191" t="n"/>
      <c r="X850" s="170" t="n"/>
      <c r="Y850" s="76">
        <f>ROUND(IF(offer_incoterms="DDP",X850*(S850*(1+AW850)+T850),0),2)</f>
        <v/>
      </c>
      <c r="Z850" s="188" t="n"/>
      <c r="AA850" s="192">
        <f>IFERROR(AB850/E850,0)</f>
        <v/>
      </c>
      <c r="AB850" s="76">
        <f>ROUND(SUM(S850,V850,Y850:Z850,BA850:BB850),2)</f>
        <v/>
      </c>
      <c r="AC850" s="797" t="n"/>
      <c r="AD850" s="192">
        <f t="array" ref="AD850">IFERROR(ROUND((_xlfn.IFS(offer_sale_type="поставка",AB850,offer_sale_type="транзит",S850)*(1+AC850))/E850,2),0)</f>
        <v/>
      </c>
      <c r="AE850" s="76">
        <f>AD850*E850</f>
        <v/>
      </c>
      <c r="AF850" s="193">
        <f t="array" ref="AF850">IFERROR(ROUND(_xlfn.IFS(offer_sale_type="поставка",AB850,offer_sale_type="транзит",S850)*AC850,2),0)</f>
        <v/>
      </c>
      <c r="AG850" s="192">
        <f>$BD850*VLOOKUP($AG$3,$AF$4:$AG$7,2,FALSE)</f>
        <v/>
      </c>
      <c r="AH850" s="76">
        <f>SUM(AE850,AG850,AI850)*rate_forex_risk</f>
        <v/>
      </c>
      <c r="AI850" s="193">
        <f>IF(OR(seller_region="TR",offer_sale_type="экспорт"),0,rate_fin_comm)*SUM(AZ850,AZ850*AW850,T850)</f>
        <v/>
      </c>
      <c r="AJ850" s="118">
        <f>IFERROR(ROUND(SUM(AB850,AF850:AI850)/E850,2),0)</f>
        <v/>
      </c>
      <c r="AK850" s="76">
        <f>AJ850*E850</f>
        <v/>
      </c>
      <c r="AL850" s="174">
        <f>ROUND(IFERROR(AM850*E850,0),2)</f>
        <v/>
      </c>
      <c r="AM850" s="175">
        <f>ROUND(AJ850*(1+IF(offer_incoterms="DDP",IF((TODAY()+offer_turnaround_time)&gt;=helpsheet!$L$17,rate_vatRU_from_26,rate_vatRu_till_25),0)),2)</f>
        <v/>
      </c>
      <c r="AN850" s="192">
        <f>AL850-AK850</f>
        <v/>
      </c>
      <c r="AO850" s="76">
        <f>SUM(AY850,Y850:Z850,T850)*IF(AND(offer_incoterms="DDP",offer_sale_type&lt;&gt;"экспорт"),IF((TODAY()+offer_turnaround_time)&gt;=helpsheet!$L$17,rate_vatRU_from_26,rate_vatRu_till_25),0)</f>
        <v/>
      </c>
      <c r="AP850" s="193">
        <f>AN850-AO850</f>
        <v/>
      </c>
      <c r="AQ850" s="118">
        <f>IF(offer_sale_type="транзит",SUM(AF850:AI850,BA850,BB850),0)</f>
        <v/>
      </c>
      <c r="AR850" s="82">
        <f>HYPERLINK("https://www.alta.ru/tnved/code/")&amp;W850&amp;"/"</f>
        <v/>
      </c>
      <c r="AS850" s="157" t="n"/>
      <c r="AT850" s="162" t="n"/>
      <c r="AU850" s="76">
        <f>IF(ISBLANK(AT850),0,AJ850-AT850)</f>
        <v/>
      </c>
      <c r="AV850" s="157" t="n"/>
      <c r="AW850" s="75">
        <f>_xlfn.IFNA(VLOOKUP(L850,list_vat[],3,FALSE),0)</f>
        <v/>
      </c>
      <c r="AX850" s="76">
        <f>IFERROR(ROUND(S850*(1+AW850)/E850,2),0)</f>
        <v/>
      </c>
      <c r="AY850" s="76">
        <f>E850*AX850</f>
        <v/>
      </c>
      <c r="AZ850" s="192">
        <f>S850*(1+M850)</f>
        <v/>
      </c>
      <c r="BA850" s="76">
        <f>cost_fin_total*$BD850</f>
        <v/>
      </c>
      <c r="BB850" s="193">
        <f>credit_sales_interest*BD850</f>
        <v/>
      </c>
      <c r="BC850" s="102">
        <f>IFERROR(IF($I$13&gt;0,$I850/$I$13,$S850/$S$13),0)</f>
        <v/>
      </c>
      <c r="BD850" s="102">
        <f>IFERROR($S850/$S$13,0)</f>
        <v/>
      </c>
      <c r="BE850" s="413" t="inlineStr">
        <is>
          <t>$</t>
        </is>
      </c>
    </row>
    <row r="851" ht="12" customFormat="1" customHeight="1" s="65">
      <c r="A851" s="43" t="n">
        <v>836</v>
      </c>
      <c r="B851" s="166" t="n"/>
      <c r="C851" s="166" t="n"/>
      <c r="D851" s="166" t="n"/>
      <c r="E851" s="162" t="n"/>
      <c r="F851" s="166" t="n"/>
      <c r="G851" s="162" t="n"/>
      <c r="H851" s="162" t="n"/>
      <c r="I851" s="189">
        <f>E851*G851</f>
        <v/>
      </c>
      <c r="J851" s="195" t="n"/>
      <c r="K851" s="162" t="n"/>
      <c r="L851" s="168" t="n"/>
      <c r="M851" s="75">
        <f>_xlfn.XLOOKUP(L851,list_vat[Страна],list_vat[Ставка НДС %],0,0)</f>
        <v/>
      </c>
      <c r="N851" s="162">
        <f>IFERROR(IF(L851="Китай",K851,K851/(1+M851)),0)</f>
        <v/>
      </c>
      <c r="O851" s="169" t="n"/>
      <c r="P851" s="76">
        <f>N851*(1-O851)</f>
        <v/>
      </c>
      <c r="Q851" s="162" t="n"/>
      <c r="R851" s="162">
        <f>IF(ISBLANK(Q851),"введи курс",P851/Q851)</f>
        <v/>
      </c>
      <c r="S851" s="196">
        <f>IF(AND(ISNUMBER(E851),ISNUMBER(Q851)),E851*R851,0)</f>
        <v/>
      </c>
      <c r="T851" s="192">
        <f>$BC851*V$11</f>
        <v/>
      </c>
      <c r="U851" s="76">
        <f>$BC851*W$11</f>
        <v/>
      </c>
      <c r="V851" s="193">
        <f>+SUM(T851:U851)</f>
        <v/>
      </c>
      <c r="W851" s="191" t="n"/>
      <c r="X851" s="170" t="n"/>
      <c r="Y851" s="76">
        <f>ROUND(IF(offer_incoterms="DDP",X851*(S851*(1+AW851)+T851),0),2)</f>
        <v/>
      </c>
      <c r="Z851" s="188" t="n"/>
      <c r="AA851" s="192">
        <f>IFERROR(AB851/E851,0)</f>
        <v/>
      </c>
      <c r="AB851" s="76">
        <f>ROUND(SUM(S851,V851,Y851:Z851,BA851:BB851),2)</f>
        <v/>
      </c>
      <c r="AC851" s="797" t="n"/>
      <c r="AD851" s="192">
        <f t="array" ref="AD851">IFERROR(ROUND((_xlfn.IFS(offer_sale_type="поставка",AB851,offer_sale_type="транзит",S851)*(1+AC851))/E851,2),0)</f>
        <v/>
      </c>
      <c r="AE851" s="76">
        <f>AD851*E851</f>
        <v/>
      </c>
      <c r="AF851" s="193">
        <f t="array" ref="AF851">IFERROR(ROUND(_xlfn.IFS(offer_sale_type="поставка",AB851,offer_sale_type="транзит",S851)*AC851,2),0)</f>
        <v/>
      </c>
      <c r="AG851" s="192">
        <f>$BD851*VLOOKUP($AG$3,$AF$4:$AG$7,2,FALSE)</f>
        <v/>
      </c>
      <c r="AH851" s="76">
        <f>SUM(AE851,AG851,AI851)*rate_forex_risk</f>
        <v/>
      </c>
      <c r="AI851" s="193">
        <f>IF(OR(seller_region="TR",offer_sale_type="экспорт"),0,rate_fin_comm)*SUM(AZ851,AZ851*AW851,T851)</f>
        <v/>
      </c>
      <c r="AJ851" s="118">
        <f>IFERROR(ROUND(SUM(AB851,AF851:AI851)/E851,2),0)</f>
        <v/>
      </c>
      <c r="AK851" s="76">
        <f>AJ851*E851</f>
        <v/>
      </c>
      <c r="AL851" s="174">
        <f>ROUND(IFERROR(AM851*E851,0),2)</f>
        <v/>
      </c>
      <c r="AM851" s="175">
        <f>ROUND(AJ851*(1+IF(offer_incoterms="DDP",IF((TODAY()+offer_turnaround_time)&gt;=helpsheet!$L$17,rate_vatRU_from_26,rate_vatRu_till_25),0)),2)</f>
        <v/>
      </c>
      <c r="AN851" s="192">
        <f>AL851-AK851</f>
        <v/>
      </c>
      <c r="AO851" s="76">
        <f>SUM(AY851,Y851:Z851,T851)*IF(AND(offer_incoterms="DDP",offer_sale_type&lt;&gt;"экспорт"),IF((TODAY()+offer_turnaround_time)&gt;=helpsheet!$L$17,rate_vatRU_from_26,rate_vatRu_till_25),0)</f>
        <v/>
      </c>
      <c r="AP851" s="193">
        <f>AN851-AO851</f>
        <v/>
      </c>
      <c r="AQ851" s="118">
        <f>IF(offer_sale_type="транзит",SUM(AF851:AI851,BA851,BB851),0)</f>
        <v/>
      </c>
      <c r="AR851" s="82">
        <f>HYPERLINK("https://www.alta.ru/tnved/code/")&amp;W851&amp;"/"</f>
        <v/>
      </c>
      <c r="AS851" s="157" t="n"/>
      <c r="AT851" s="162" t="n"/>
      <c r="AU851" s="76">
        <f>IF(ISBLANK(AT851),0,AJ851-AT851)</f>
        <v/>
      </c>
      <c r="AV851" s="157" t="n"/>
      <c r="AW851" s="75">
        <f>_xlfn.IFNA(VLOOKUP(L851,list_vat[],3,FALSE),0)</f>
        <v/>
      </c>
      <c r="AX851" s="76">
        <f>IFERROR(ROUND(S851*(1+AW851)/E851,2),0)</f>
        <v/>
      </c>
      <c r="AY851" s="76">
        <f>E851*AX851</f>
        <v/>
      </c>
      <c r="AZ851" s="192">
        <f>S851*(1+M851)</f>
        <v/>
      </c>
      <c r="BA851" s="76">
        <f>cost_fin_total*$BD851</f>
        <v/>
      </c>
      <c r="BB851" s="193">
        <f>credit_sales_interest*BD851</f>
        <v/>
      </c>
      <c r="BC851" s="102">
        <f>IFERROR(IF($I$13&gt;0,$I851/$I$13,$S851/$S$13),0)</f>
        <v/>
      </c>
      <c r="BD851" s="102">
        <f>IFERROR($S851/$S$13,0)</f>
        <v/>
      </c>
      <c r="BE851" s="413" t="inlineStr">
        <is>
          <t>$</t>
        </is>
      </c>
    </row>
    <row r="852" ht="12" customFormat="1" customHeight="1" s="65">
      <c r="A852" s="43" t="n">
        <v>837</v>
      </c>
      <c r="B852" s="166" t="n"/>
      <c r="C852" s="166" t="n"/>
      <c r="D852" s="166" t="n"/>
      <c r="E852" s="162" t="n"/>
      <c r="F852" s="166" t="n"/>
      <c r="G852" s="162" t="n"/>
      <c r="H852" s="162" t="n"/>
      <c r="I852" s="189">
        <f>E852*G852</f>
        <v/>
      </c>
      <c r="J852" s="195" t="n"/>
      <c r="K852" s="162" t="n"/>
      <c r="L852" s="168" t="n"/>
      <c r="M852" s="75">
        <f>_xlfn.XLOOKUP(L852,list_vat[Страна],list_vat[Ставка НДС %],0,0)</f>
        <v/>
      </c>
      <c r="N852" s="162">
        <f>IFERROR(IF(L852="Китай",K852,K852/(1+M852)),0)</f>
        <v/>
      </c>
      <c r="O852" s="169" t="n"/>
      <c r="P852" s="76">
        <f>N852*(1-O852)</f>
        <v/>
      </c>
      <c r="Q852" s="162" t="n"/>
      <c r="R852" s="162">
        <f>IF(ISBLANK(Q852),"введи курс",P852/Q852)</f>
        <v/>
      </c>
      <c r="S852" s="196">
        <f>IF(AND(ISNUMBER(E852),ISNUMBER(Q852)),E852*R852,0)</f>
        <v/>
      </c>
      <c r="T852" s="192">
        <f>$BC852*V$11</f>
        <v/>
      </c>
      <c r="U852" s="76">
        <f>$BC852*W$11</f>
        <v/>
      </c>
      <c r="V852" s="193">
        <f>+SUM(T852:U852)</f>
        <v/>
      </c>
      <c r="W852" s="191" t="n"/>
      <c r="X852" s="170" t="n"/>
      <c r="Y852" s="76">
        <f>ROUND(IF(offer_incoterms="DDP",X852*(S852*(1+AW852)+T852),0),2)</f>
        <v/>
      </c>
      <c r="Z852" s="188" t="n"/>
      <c r="AA852" s="192">
        <f>IFERROR(AB852/E852,0)</f>
        <v/>
      </c>
      <c r="AB852" s="76">
        <f>ROUND(SUM(S852,V852,Y852:Z852,BA852:BB852),2)</f>
        <v/>
      </c>
      <c r="AC852" s="797" t="n"/>
      <c r="AD852" s="192">
        <f t="array" ref="AD852">IFERROR(ROUND((_xlfn.IFS(offer_sale_type="поставка",AB852,offer_sale_type="транзит",S852)*(1+AC852))/E852,2),0)</f>
        <v/>
      </c>
      <c r="AE852" s="76">
        <f>AD852*E852</f>
        <v/>
      </c>
      <c r="AF852" s="193">
        <f t="array" ref="AF852">IFERROR(ROUND(_xlfn.IFS(offer_sale_type="поставка",AB852,offer_sale_type="транзит",S852)*AC852,2),0)</f>
        <v/>
      </c>
      <c r="AG852" s="192">
        <f>$BD852*VLOOKUP($AG$3,$AF$4:$AG$7,2,FALSE)</f>
        <v/>
      </c>
      <c r="AH852" s="76">
        <f>SUM(AE852,AG852,AI852)*rate_forex_risk</f>
        <v/>
      </c>
      <c r="AI852" s="193">
        <f>IF(OR(seller_region="TR",offer_sale_type="экспорт"),0,rate_fin_comm)*SUM(AZ852,AZ852*AW852,T852)</f>
        <v/>
      </c>
      <c r="AJ852" s="118">
        <f>IFERROR(ROUND(SUM(AB852,AF852:AI852)/E852,2),0)</f>
        <v/>
      </c>
      <c r="AK852" s="76">
        <f>AJ852*E852</f>
        <v/>
      </c>
      <c r="AL852" s="174">
        <f>ROUND(IFERROR(AM852*E852,0),2)</f>
        <v/>
      </c>
      <c r="AM852" s="175">
        <f>ROUND(AJ852*(1+IF(offer_incoterms="DDP",IF((TODAY()+offer_turnaround_time)&gt;=helpsheet!$L$17,rate_vatRU_from_26,rate_vatRu_till_25),0)),2)</f>
        <v/>
      </c>
      <c r="AN852" s="192">
        <f>AL852-AK852</f>
        <v/>
      </c>
      <c r="AO852" s="76">
        <f>SUM(AY852,Y852:Z852,T852)*IF(AND(offer_incoterms="DDP",offer_sale_type&lt;&gt;"экспорт"),IF((TODAY()+offer_turnaround_time)&gt;=helpsheet!$L$17,rate_vatRU_from_26,rate_vatRu_till_25),0)</f>
        <v/>
      </c>
      <c r="AP852" s="193">
        <f>AN852-AO852</f>
        <v/>
      </c>
      <c r="AQ852" s="118">
        <f>IF(offer_sale_type="транзит",SUM(AF852:AI852,BA852,BB852),0)</f>
        <v/>
      </c>
      <c r="AR852" s="82">
        <f>HYPERLINK("https://www.alta.ru/tnved/code/")&amp;W852&amp;"/"</f>
        <v/>
      </c>
      <c r="AS852" s="157" t="n"/>
      <c r="AT852" s="162" t="n"/>
      <c r="AU852" s="76">
        <f>IF(ISBLANK(AT852),0,AJ852-AT852)</f>
        <v/>
      </c>
      <c r="AV852" s="157" t="n"/>
      <c r="AW852" s="75">
        <f>_xlfn.IFNA(VLOOKUP(L852,list_vat[],3,FALSE),0)</f>
        <v/>
      </c>
      <c r="AX852" s="76">
        <f>IFERROR(ROUND(S852*(1+AW852)/E852,2),0)</f>
        <v/>
      </c>
      <c r="AY852" s="76">
        <f>E852*AX852</f>
        <v/>
      </c>
      <c r="AZ852" s="192">
        <f>S852*(1+M852)</f>
        <v/>
      </c>
      <c r="BA852" s="76">
        <f>cost_fin_total*$BD852</f>
        <v/>
      </c>
      <c r="BB852" s="193">
        <f>credit_sales_interest*BD852</f>
        <v/>
      </c>
      <c r="BC852" s="102">
        <f>IFERROR(IF($I$13&gt;0,$I852/$I$13,$S852/$S$13),0)</f>
        <v/>
      </c>
      <c r="BD852" s="102">
        <f>IFERROR($S852/$S$13,0)</f>
        <v/>
      </c>
      <c r="BE852" s="413" t="inlineStr">
        <is>
          <t>$</t>
        </is>
      </c>
    </row>
    <row r="853" ht="12" customFormat="1" customHeight="1" s="65">
      <c r="A853" s="43" t="n">
        <v>838</v>
      </c>
      <c r="B853" s="166" t="n"/>
      <c r="C853" s="166" t="n"/>
      <c r="D853" s="166" t="n"/>
      <c r="E853" s="162" t="n"/>
      <c r="F853" s="166" t="n"/>
      <c r="G853" s="162" t="n"/>
      <c r="H853" s="162" t="n"/>
      <c r="I853" s="189">
        <f>E853*G853</f>
        <v/>
      </c>
      <c r="J853" s="195" t="n"/>
      <c r="K853" s="162" t="n"/>
      <c r="L853" s="168" t="n"/>
      <c r="M853" s="75">
        <f>_xlfn.XLOOKUP(L853,list_vat[Страна],list_vat[Ставка НДС %],0,0)</f>
        <v/>
      </c>
      <c r="N853" s="162">
        <f>IFERROR(IF(L853="Китай",K853,K853/(1+M853)),0)</f>
        <v/>
      </c>
      <c r="O853" s="169" t="n"/>
      <c r="P853" s="76">
        <f>N853*(1-O853)</f>
        <v/>
      </c>
      <c r="Q853" s="162" t="n"/>
      <c r="R853" s="162">
        <f>IF(ISBLANK(Q853),"введи курс",P853/Q853)</f>
        <v/>
      </c>
      <c r="S853" s="196">
        <f>IF(AND(ISNUMBER(E853),ISNUMBER(Q853)),E853*R853,0)</f>
        <v/>
      </c>
      <c r="T853" s="192">
        <f>$BC853*V$11</f>
        <v/>
      </c>
      <c r="U853" s="76">
        <f>$BC853*W$11</f>
        <v/>
      </c>
      <c r="V853" s="193">
        <f>+SUM(T853:U853)</f>
        <v/>
      </c>
      <c r="W853" s="191" t="n"/>
      <c r="X853" s="170" t="n"/>
      <c r="Y853" s="76">
        <f>ROUND(IF(offer_incoterms="DDP",X853*(S853*(1+AW853)+T853),0),2)</f>
        <v/>
      </c>
      <c r="Z853" s="188" t="n"/>
      <c r="AA853" s="192">
        <f>IFERROR(AB853/E853,0)</f>
        <v/>
      </c>
      <c r="AB853" s="76">
        <f>ROUND(SUM(S853,V853,Y853:Z853,BA853:BB853),2)</f>
        <v/>
      </c>
      <c r="AC853" s="797" t="n"/>
      <c r="AD853" s="192">
        <f t="array" ref="AD853">IFERROR(ROUND((_xlfn.IFS(offer_sale_type="поставка",AB853,offer_sale_type="транзит",S853)*(1+AC853))/E853,2),0)</f>
        <v/>
      </c>
      <c r="AE853" s="76">
        <f>AD853*E853</f>
        <v/>
      </c>
      <c r="AF853" s="193">
        <f t="array" ref="AF853">IFERROR(ROUND(_xlfn.IFS(offer_sale_type="поставка",AB853,offer_sale_type="транзит",S853)*AC853,2),0)</f>
        <v/>
      </c>
      <c r="AG853" s="192">
        <f>$BD853*VLOOKUP($AG$3,$AF$4:$AG$7,2,FALSE)</f>
        <v/>
      </c>
      <c r="AH853" s="76">
        <f>SUM(AE853,AG853,AI853)*rate_forex_risk</f>
        <v/>
      </c>
      <c r="AI853" s="193">
        <f>IF(OR(seller_region="TR",offer_sale_type="экспорт"),0,rate_fin_comm)*SUM(AZ853,AZ853*AW853,T853)</f>
        <v/>
      </c>
      <c r="AJ853" s="118">
        <f>IFERROR(ROUND(SUM(AB853,AF853:AI853)/E853,2),0)</f>
        <v/>
      </c>
      <c r="AK853" s="76">
        <f>AJ853*E853</f>
        <v/>
      </c>
      <c r="AL853" s="174">
        <f>ROUND(IFERROR(AM853*E853,0),2)</f>
        <v/>
      </c>
      <c r="AM853" s="175">
        <f>ROUND(AJ853*(1+IF(offer_incoterms="DDP",IF((TODAY()+offer_turnaround_time)&gt;=helpsheet!$L$17,rate_vatRU_from_26,rate_vatRu_till_25),0)),2)</f>
        <v/>
      </c>
      <c r="AN853" s="192">
        <f>AL853-AK853</f>
        <v/>
      </c>
      <c r="AO853" s="76">
        <f>SUM(AY853,Y853:Z853,T853)*IF(AND(offer_incoterms="DDP",offer_sale_type&lt;&gt;"экспорт"),IF((TODAY()+offer_turnaround_time)&gt;=helpsheet!$L$17,rate_vatRU_from_26,rate_vatRu_till_25),0)</f>
        <v/>
      </c>
      <c r="AP853" s="193">
        <f>AN853-AO853</f>
        <v/>
      </c>
      <c r="AQ853" s="118">
        <f>IF(offer_sale_type="транзит",SUM(AF853:AI853,BA853,BB853),0)</f>
        <v/>
      </c>
      <c r="AR853" s="82">
        <f>HYPERLINK("https://www.alta.ru/tnved/code/")&amp;W853&amp;"/"</f>
        <v/>
      </c>
      <c r="AS853" s="157" t="n"/>
      <c r="AT853" s="162" t="n"/>
      <c r="AU853" s="76">
        <f>IF(ISBLANK(AT853),0,AJ853-AT853)</f>
        <v/>
      </c>
      <c r="AV853" s="157" t="n"/>
      <c r="AW853" s="75">
        <f>_xlfn.IFNA(VLOOKUP(L853,list_vat[],3,FALSE),0)</f>
        <v/>
      </c>
      <c r="AX853" s="76">
        <f>IFERROR(ROUND(S853*(1+AW853)/E853,2),0)</f>
        <v/>
      </c>
      <c r="AY853" s="76">
        <f>E853*AX853</f>
        <v/>
      </c>
      <c r="AZ853" s="192">
        <f>S853*(1+M853)</f>
        <v/>
      </c>
      <c r="BA853" s="76">
        <f>cost_fin_total*$BD853</f>
        <v/>
      </c>
      <c r="BB853" s="193">
        <f>credit_sales_interest*BD853</f>
        <v/>
      </c>
      <c r="BC853" s="102">
        <f>IFERROR(IF($I$13&gt;0,$I853/$I$13,$S853/$S$13),0)</f>
        <v/>
      </c>
      <c r="BD853" s="102">
        <f>IFERROR($S853/$S$13,0)</f>
        <v/>
      </c>
      <c r="BE853" s="413" t="inlineStr">
        <is>
          <t>$</t>
        </is>
      </c>
    </row>
    <row r="854" ht="12" customFormat="1" customHeight="1" s="65">
      <c r="A854" s="43" t="n">
        <v>839</v>
      </c>
      <c r="B854" s="166" t="n"/>
      <c r="C854" s="166" t="n"/>
      <c r="D854" s="166" t="n"/>
      <c r="E854" s="162" t="n"/>
      <c r="F854" s="166" t="n"/>
      <c r="G854" s="162" t="n"/>
      <c r="H854" s="162" t="n"/>
      <c r="I854" s="189">
        <f>E854*G854</f>
        <v/>
      </c>
      <c r="J854" s="195" t="n"/>
      <c r="K854" s="162" t="n"/>
      <c r="L854" s="168" t="n"/>
      <c r="M854" s="75">
        <f>_xlfn.XLOOKUP(L854,list_vat[Страна],list_vat[Ставка НДС %],0,0)</f>
        <v/>
      </c>
      <c r="N854" s="162">
        <f>IFERROR(IF(L854="Китай",K854,K854/(1+M854)),0)</f>
        <v/>
      </c>
      <c r="O854" s="169" t="n"/>
      <c r="P854" s="76">
        <f>N854*(1-O854)</f>
        <v/>
      </c>
      <c r="Q854" s="162" t="n"/>
      <c r="R854" s="162">
        <f>IF(ISBLANK(Q854),"введи курс",P854/Q854)</f>
        <v/>
      </c>
      <c r="S854" s="196">
        <f>IF(AND(ISNUMBER(E854),ISNUMBER(Q854)),E854*R854,0)</f>
        <v/>
      </c>
      <c r="T854" s="192">
        <f>$BC854*V$11</f>
        <v/>
      </c>
      <c r="U854" s="76">
        <f>$BC854*W$11</f>
        <v/>
      </c>
      <c r="V854" s="193">
        <f>+SUM(T854:U854)</f>
        <v/>
      </c>
      <c r="W854" s="191" t="n"/>
      <c r="X854" s="170" t="n"/>
      <c r="Y854" s="76">
        <f>ROUND(IF(offer_incoterms="DDP",X854*(S854*(1+AW854)+T854),0),2)</f>
        <v/>
      </c>
      <c r="Z854" s="188" t="n"/>
      <c r="AA854" s="192">
        <f>IFERROR(AB854/E854,0)</f>
        <v/>
      </c>
      <c r="AB854" s="76">
        <f>ROUND(SUM(S854,V854,Y854:Z854,BA854:BB854),2)</f>
        <v/>
      </c>
      <c r="AC854" s="797" t="n"/>
      <c r="AD854" s="192">
        <f t="array" ref="AD854">IFERROR(ROUND((_xlfn.IFS(offer_sale_type="поставка",AB854,offer_sale_type="транзит",S854)*(1+AC854))/E854,2),0)</f>
        <v/>
      </c>
      <c r="AE854" s="76">
        <f>AD854*E854</f>
        <v/>
      </c>
      <c r="AF854" s="193">
        <f t="array" ref="AF854">IFERROR(ROUND(_xlfn.IFS(offer_sale_type="поставка",AB854,offer_sale_type="транзит",S854)*AC854,2),0)</f>
        <v/>
      </c>
      <c r="AG854" s="192">
        <f>$BD854*VLOOKUP($AG$3,$AF$4:$AG$7,2,FALSE)</f>
        <v/>
      </c>
      <c r="AH854" s="76">
        <f>SUM(AE854,AG854,AI854)*rate_forex_risk</f>
        <v/>
      </c>
      <c r="AI854" s="193">
        <f>IF(OR(seller_region="TR",offer_sale_type="экспорт"),0,rate_fin_comm)*SUM(AZ854,AZ854*AW854,T854)</f>
        <v/>
      </c>
      <c r="AJ854" s="118">
        <f>IFERROR(ROUND(SUM(AB854,AF854:AI854)/E854,2),0)</f>
        <v/>
      </c>
      <c r="AK854" s="76">
        <f>AJ854*E854</f>
        <v/>
      </c>
      <c r="AL854" s="174">
        <f>ROUND(IFERROR(AM854*E854,0),2)</f>
        <v/>
      </c>
      <c r="AM854" s="175">
        <f>ROUND(AJ854*(1+IF(offer_incoterms="DDP",IF((TODAY()+offer_turnaround_time)&gt;=helpsheet!$L$17,rate_vatRU_from_26,rate_vatRu_till_25),0)),2)</f>
        <v/>
      </c>
      <c r="AN854" s="192">
        <f>AL854-AK854</f>
        <v/>
      </c>
      <c r="AO854" s="76">
        <f>SUM(AY854,Y854:Z854,T854)*IF(AND(offer_incoterms="DDP",offer_sale_type&lt;&gt;"экспорт"),IF((TODAY()+offer_turnaround_time)&gt;=helpsheet!$L$17,rate_vatRU_from_26,rate_vatRu_till_25),0)</f>
        <v/>
      </c>
      <c r="AP854" s="193">
        <f>AN854-AO854</f>
        <v/>
      </c>
      <c r="AQ854" s="118">
        <f>IF(offer_sale_type="транзит",SUM(AF854:AI854,BA854,BB854),0)</f>
        <v/>
      </c>
      <c r="AR854" s="82">
        <f>HYPERLINK("https://www.alta.ru/tnved/code/")&amp;W854&amp;"/"</f>
        <v/>
      </c>
      <c r="AS854" s="157" t="n"/>
      <c r="AT854" s="162" t="n"/>
      <c r="AU854" s="76">
        <f>IF(ISBLANK(AT854),0,AJ854-AT854)</f>
        <v/>
      </c>
      <c r="AV854" s="157" t="n"/>
      <c r="AW854" s="75">
        <f>_xlfn.IFNA(VLOOKUP(L854,list_vat[],3,FALSE),0)</f>
        <v/>
      </c>
      <c r="AX854" s="76">
        <f>IFERROR(ROUND(S854*(1+AW854)/E854,2),0)</f>
        <v/>
      </c>
      <c r="AY854" s="76">
        <f>E854*AX854</f>
        <v/>
      </c>
      <c r="AZ854" s="192">
        <f>S854*(1+M854)</f>
        <v/>
      </c>
      <c r="BA854" s="76">
        <f>cost_fin_total*$BD854</f>
        <v/>
      </c>
      <c r="BB854" s="193">
        <f>credit_sales_interest*BD854</f>
        <v/>
      </c>
      <c r="BC854" s="102">
        <f>IFERROR(IF($I$13&gt;0,$I854/$I$13,$S854/$S$13),0)</f>
        <v/>
      </c>
      <c r="BD854" s="102">
        <f>IFERROR($S854/$S$13,0)</f>
        <v/>
      </c>
      <c r="BE854" s="413" t="inlineStr">
        <is>
          <t>$</t>
        </is>
      </c>
    </row>
    <row r="855" ht="12" customFormat="1" customHeight="1" s="65">
      <c r="A855" s="43" t="n">
        <v>840</v>
      </c>
      <c r="B855" s="166" t="n"/>
      <c r="C855" s="166" t="n"/>
      <c r="D855" s="166" t="n"/>
      <c r="E855" s="162" t="n"/>
      <c r="F855" s="166" t="n"/>
      <c r="G855" s="162" t="n"/>
      <c r="H855" s="162" t="n"/>
      <c r="I855" s="189">
        <f>E855*G855</f>
        <v/>
      </c>
      <c r="J855" s="195" t="n"/>
      <c r="K855" s="162" t="n"/>
      <c r="L855" s="168" t="n"/>
      <c r="M855" s="75">
        <f>_xlfn.XLOOKUP(L855,list_vat[Страна],list_vat[Ставка НДС %],0,0)</f>
        <v/>
      </c>
      <c r="N855" s="162">
        <f>IFERROR(IF(L855="Китай",K855,K855/(1+M855)),0)</f>
        <v/>
      </c>
      <c r="O855" s="169" t="n"/>
      <c r="P855" s="76">
        <f>N855*(1-O855)</f>
        <v/>
      </c>
      <c r="Q855" s="162" t="n"/>
      <c r="R855" s="162">
        <f>IF(ISBLANK(Q855),"введи курс",P855/Q855)</f>
        <v/>
      </c>
      <c r="S855" s="196">
        <f>IF(AND(ISNUMBER(E855),ISNUMBER(Q855)),E855*R855,0)</f>
        <v/>
      </c>
      <c r="T855" s="192">
        <f>$BC855*V$11</f>
        <v/>
      </c>
      <c r="U855" s="76">
        <f>$BC855*W$11</f>
        <v/>
      </c>
      <c r="V855" s="193">
        <f>+SUM(T855:U855)</f>
        <v/>
      </c>
      <c r="W855" s="191" t="n"/>
      <c r="X855" s="170" t="n"/>
      <c r="Y855" s="76">
        <f>ROUND(IF(offer_incoterms="DDP",X855*(S855*(1+AW855)+T855),0),2)</f>
        <v/>
      </c>
      <c r="Z855" s="188" t="n"/>
      <c r="AA855" s="192">
        <f>IFERROR(AB855/E855,0)</f>
        <v/>
      </c>
      <c r="AB855" s="76">
        <f>ROUND(SUM(S855,V855,Y855:Z855,BA855:BB855),2)</f>
        <v/>
      </c>
      <c r="AC855" s="797" t="n"/>
      <c r="AD855" s="192">
        <f t="array" ref="AD855">IFERROR(ROUND((_xlfn.IFS(offer_sale_type="поставка",AB855,offer_sale_type="транзит",S855)*(1+AC855))/E855,2),0)</f>
        <v/>
      </c>
      <c r="AE855" s="76">
        <f>AD855*E855</f>
        <v/>
      </c>
      <c r="AF855" s="193">
        <f t="array" ref="AF855">IFERROR(ROUND(_xlfn.IFS(offer_sale_type="поставка",AB855,offer_sale_type="транзит",S855)*AC855,2),0)</f>
        <v/>
      </c>
      <c r="AG855" s="192">
        <f>$BD855*VLOOKUP($AG$3,$AF$4:$AG$7,2,FALSE)</f>
        <v/>
      </c>
      <c r="AH855" s="76">
        <f>SUM(AE855,AG855,AI855)*rate_forex_risk</f>
        <v/>
      </c>
      <c r="AI855" s="193">
        <f>IF(OR(seller_region="TR",offer_sale_type="экспорт"),0,rate_fin_comm)*SUM(AZ855,AZ855*AW855,T855)</f>
        <v/>
      </c>
      <c r="AJ855" s="118">
        <f>IFERROR(ROUND(SUM(AB855,AF855:AI855)/E855,2),0)</f>
        <v/>
      </c>
      <c r="AK855" s="76">
        <f>AJ855*E855</f>
        <v/>
      </c>
      <c r="AL855" s="174">
        <f>ROUND(IFERROR(AM855*E855,0),2)</f>
        <v/>
      </c>
      <c r="AM855" s="175">
        <f>ROUND(AJ855*(1+IF(offer_incoterms="DDP",IF((TODAY()+offer_turnaround_time)&gt;=helpsheet!$L$17,rate_vatRU_from_26,rate_vatRu_till_25),0)),2)</f>
        <v/>
      </c>
      <c r="AN855" s="192">
        <f>AL855-AK855</f>
        <v/>
      </c>
      <c r="AO855" s="76">
        <f>SUM(AY855,Y855:Z855,T855)*IF(AND(offer_incoterms="DDP",offer_sale_type&lt;&gt;"экспорт"),IF((TODAY()+offer_turnaround_time)&gt;=helpsheet!$L$17,rate_vatRU_from_26,rate_vatRu_till_25),0)</f>
        <v/>
      </c>
      <c r="AP855" s="193">
        <f>AN855-AO855</f>
        <v/>
      </c>
      <c r="AQ855" s="118">
        <f>IF(offer_sale_type="транзит",SUM(AF855:AI855,BA855,BB855),0)</f>
        <v/>
      </c>
      <c r="AR855" s="82">
        <f>HYPERLINK("https://www.alta.ru/tnved/code/")&amp;W855&amp;"/"</f>
        <v/>
      </c>
      <c r="AS855" s="157" t="n"/>
      <c r="AT855" s="162" t="n"/>
      <c r="AU855" s="76">
        <f>IF(ISBLANK(AT855),0,AJ855-AT855)</f>
        <v/>
      </c>
      <c r="AV855" s="157" t="n"/>
      <c r="AW855" s="75">
        <f>_xlfn.IFNA(VLOOKUP(L855,list_vat[],3,FALSE),0)</f>
        <v/>
      </c>
      <c r="AX855" s="76">
        <f>IFERROR(ROUND(S855*(1+AW855)/E855,2),0)</f>
        <v/>
      </c>
      <c r="AY855" s="76">
        <f>E855*AX855</f>
        <v/>
      </c>
      <c r="AZ855" s="192">
        <f>S855*(1+M855)</f>
        <v/>
      </c>
      <c r="BA855" s="76">
        <f>cost_fin_total*$BD855</f>
        <v/>
      </c>
      <c r="BB855" s="193">
        <f>credit_sales_interest*BD855</f>
        <v/>
      </c>
      <c r="BC855" s="102">
        <f>IFERROR(IF($I$13&gt;0,$I855/$I$13,$S855/$S$13),0)</f>
        <v/>
      </c>
      <c r="BD855" s="102">
        <f>IFERROR($S855/$S$13,0)</f>
        <v/>
      </c>
      <c r="BE855" s="413" t="inlineStr">
        <is>
          <t>$</t>
        </is>
      </c>
    </row>
    <row r="856" ht="12" customFormat="1" customHeight="1" s="65">
      <c r="A856" s="43" t="n">
        <v>841</v>
      </c>
      <c r="B856" s="166" t="n"/>
      <c r="C856" s="166" t="n"/>
      <c r="D856" s="166" t="n"/>
      <c r="E856" s="162" t="n"/>
      <c r="F856" s="166" t="n"/>
      <c r="G856" s="162" t="n"/>
      <c r="H856" s="162" t="n"/>
      <c r="I856" s="189">
        <f>E856*G856</f>
        <v/>
      </c>
      <c r="J856" s="195" t="n"/>
      <c r="K856" s="162" t="n"/>
      <c r="L856" s="168" t="n"/>
      <c r="M856" s="75">
        <f>_xlfn.XLOOKUP(L856,list_vat[Страна],list_vat[Ставка НДС %],0,0)</f>
        <v/>
      </c>
      <c r="N856" s="162">
        <f>IFERROR(IF(L856="Китай",K856,K856/(1+M856)),0)</f>
        <v/>
      </c>
      <c r="O856" s="169" t="n"/>
      <c r="P856" s="76">
        <f>N856*(1-O856)</f>
        <v/>
      </c>
      <c r="Q856" s="162" t="n"/>
      <c r="R856" s="162">
        <f>IF(ISBLANK(Q856),"введи курс",P856/Q856)</f>
        <v/>
      </c>
      <c r="S856" s="196">
        <f>IF(AND(ISNUMBER(E856),ISNUMBER(Q856)),E856*R856,0)</f>
        <v/>
      </c>
      <c r="T856" s="192">
        <f>$BC856*V$11</f>
        <v/>
      </c>
      <c r="U856" s="76">
        <f>$BC856*W$11</f>
        <v/>
      </c>
      <c r="V856" s="193">
        <f>+SUM(T856:U856)</f>
        <v/>
      </c>
      <c r="W856" s="191" t="n"/>
      <c r="X856" s="170" t="n"/>
      <c r="Y856" s="76">
        <f>ROUND(IF(offer_incoterms="DDP",X856*(S856*(1+AW856)+T856),0),2)</f>
        <v/>
      </c>
      <c r="Z856" s="188" t="n"/>
      <c r="AA856" s="192">
        <f>IFERROR(AB856/E856,0)</f>
        <v/>
      </c>
      <c r="AB856" s="76">
        <f>ROUND(SUM(S856,V856,Y856:Z856,BA856:BB856),2)</f>
        <v/>
      </c>
      <c r="AC856" s="797" t="n"/>
      <c r="AD856" s="192">
        <f t="array" ref="AD856">IFERROR(ROUND((_xlfn.IFS(offer_sale_type="поставка",AB856,offer_sale_type="транзит",S856)*(1+AC856))/E856,2),0)</f>
        <v/>
      </c>
      <c r="AE856" s="76">
        <f>AD856*E856</f>
        <v/>
      </c>
      <c r="AF856" s="193">
        <f t="array" ref="AF856">IFERROR(ROUND(_xlfn.IFS(offer_sale_type="поставка",AB856,offer_sale_type="транзит",S856)*AC856,2),0)</f>
        <v/>
      </c>
      <c r="AG856" s="192">
        <f>$BD856*VLOOKUP($AG$3,$AF$4:$AG$7,2,FALSE)</f>
        <v/>
      </c>
      <c r="AH856" s="76">
        <f>SUM(AE856,AG856,AI856)*rate_forex_risk</f>
        <v/>
      </c>
      <c r="AI856" s="193">
        <f>IF(OR(seller_region="TR",offer_sale_type="экспорт"),0,rate_fin_comm)*SUM(AZ856,AZ856*AW856,T856)</f>
        <v/>
      </c>
      <c r="AJ856" s="118">
        <f>IFERROR(ROUND(SUM(AB856,AF856:AI856)/E856,2),0)</f>
        <v/>
      </c>
      <c r="AK856" s="76">
        <f>AJ856*E856</f>
        <v/>
      </c>
      <c r="AL856" s="174">
        <f>ROUND(IFERROR(AM856*E856,0),2)</f>
        <v/>
      </c>
      <c r="AM856" s="175">
        <f>ROUND(AJ856*(1+IF(offer_incoterms="DDP",IF((TODAY()+offer_turnaround_time)&gt;=helpsheet!$L$17,rate_vatRU_from_26,rate_vatRu_till_25),0)),2)</f>
        <v/>
      </c>
      <c r="AN856" s="192">
        <f>AL856-AK856</f>
        <v/>
      </c>
      <c r="AO856" s="76">
        <f>SUM(AY856,Y856:Z856,T856)*IF(AND(offer_incoterms="DDP",offer_sale_type&lt;&gt;"экспорт"),IF((TODAY()+offer_turnaround_time)&gt;=helpsheet!$L$17,rate_vatRU_from_26,rate_vatRu_till_25),0)</f>
        <v/>
      </c>
      <c r="AP856" s="193">
        <f>AN856-AO856</f>
        <v/>
      </c>
      <c r="AQ856" s="118">
        <f>IF(offer_sale_type="транзит",SUM(AF856:AI856,BA856,BB856),0)</f>
        <v/>
      </c>
      <c r="AR856" s="82">
        <f>HYPERLINK("https://www.alta.ru/tnved/code/")&amp;W856&amp;"/"</f>
        <v/>
      </c>
      <c r="AS856" s="157" t="n"/>
      <c r="AT856" s="162" t="n"/>
      <c r="AU856" s="76">
        <f>IF(ISBLANK(AT856),0,AJ856-AT856)</f>
        <v/>
      </c>
      <c r="AV856" s="157" t="n"/>
      <c r="AW856" s="75">
        <f>_xlfn.IFNA(VLOOKUP(L856,list_vat[],3,FALSE),0)</f>
        <v/>
      </c>
      <c r="AX856" s="76">
        <f>IFERROR(ROUND(S856*(1+AW856)/E856,2),0)</f>
        <v/>
      </c>
      <c r="AY856" s="76">
        <f>E856*AX856</f>
        <v/>
      </c>
      <c r="AZ856" s="192">
        <f>S856*(1+M856)</f>
        <v/>
      </c>
      <c r="BA856" s="76">
        <f>cost_fin_total*$BD856</f>
        <v/>
      </c>
      <c r="BB856" s="193">
        <f>credit_sales_interest*BD856</f>
        <v/>
      </c>
      <c r="BC856" s="102">
        <f>IFERROR(IF($I$13&gt;0,$I856/$I$13,$S856/$S$13),0)</f>
        <v/>
      </c>
      <c r="BD856" s="102">
        <f>IFERROR($S856/$S$13,0)</f>
        <v/>
      </c>
      <c r="BE856" s="413" t="inlineStr">
        <is>
          <t>$</t>
        </is>
      </c>
    </row>
    <row r="857" ht="12" customFormat="1" customHeight="1" s="65">
      <c r="A857" s="43" t="n">
        <v>842</v>
      </c>
      <c r="B857" s="166" t="n"/>
      <c r="C857" s="166" t="n"/>
      <c r="D857" s="166" t="n"/>
      <c r="E857" s="162" t="n"/>
      <c r="F857" s="166" t="n"/>
      <c r="G857" s="162" t="n"/>
      <c r="H857" s="162" t="n"/>
      <c r="I857" s="189">
        <f>E857*G857</f>
        <v/>
      </c>
      <c r="J857" s="195" t="n"/>
      <c r="K857" s="162" t="n"/>
      <c r="L857" s="168" t="n"/>
      <c r="M857" s="75">
        <f>_xlfn.XLOOKUP(L857,list_vat[Страна],list_vat[Ставка НДС %],0,0)</f>
        <v/>
      </c>
      <c r="N857" s="162">
        <f>IFERROR(IF(L857="Китай",K857,K857/(1+M857)),0)</f>
        <v/>
      </c>
      <c r="O857" s="169" t="n"/>
      <c r="P857" s="76">
        <f>N857*(1-O857)</f>
        <v/>
      </c>
      <c r="Q857" s="162" t="n"/>
      <c r="R857" s="162">
        <f>IF(ISBLANK(Q857),"введи курс",P857/Q857)</f>
        <v/>
      </c>
      <c r="S857" s="196">
        <f>IF(AND(ISNUMBER(E857),ISNUMBER(Q857)),E857*R857,0)</f>
        <v/>
      </c>
      <c r="T857" s="192">
        <f>$BC857*V$11</f>
        <v/>
      </c>
      <c r="U857" s="76">
        <f>$BC857*W$11</f>
        <v/>
      </c>
      <c r="V857" s="193">
        <f>+SUM(T857:U857)</f>
        <v/>
      </c>
      <c r="W857" s="191" t="n"/>
      <c r="X857" s="170" t="n"/>
      <c r="Y857" s="76">
        <f>ROUND(IF(offer_incoterms="DDP",X857*(S857*(1+AW857)+T857),0),2)</f>
        <v/>
      </c>
      <c r="Z857" s="188" t="n"/>
      <c r="AA857" s="192">
        <f>IFERROR(AB857/E857,0)</f>
        <v/>
      </c>
      <c r="AB857" s="76">
        <f>ROUND(SUM(S857,V857,Y857:Z857,BA857:BB857),2)</f>
        <v/>
      </c>
      <c r="AC857" s="797" t="n"/>
      <c r="AD857" s="192">
        <f t="array" ref="AD857">IFERROR(ROUND((_xlfn.IFS(offer_sale_type="поставка",AB857,offer_sale_type="транзит",S857)*(1+AC857))/E857,2),0)</f>
        <v/>
      </c>
      <c r="AE857" s="76">
        <f>AD857*E857</f>
        <v/>
      </c>
      <c r="AF857" s="193">
        <f t="array" ref="AF857">IFERROR(ROUND(_xlfn.IFS(offer_sale_type="поставка",AB857,offer_sale_type="транзит",S857)*AC857,2),0)</f>
        <v/>
      </c>
      <c r="AG857" s="192">
        <f>$BD857*VLOOKUP($AG$3,$AF$4:$AG$7,2,FALSE)</f>
        <v/>
      </c>
      <c r="AH857" s="76">
        <f>SUM(AE857,AG857,AI857)*rate_forex_risk</f>
        <v/>
      </c>
      <c r="AI857" s="193">
        <f>IF(OR(seller_region="TR",offer_sale_type="экспорт"),0,rate_fin_comm)*SUM(AZ857,AZ857*AW857,T857)</f>
        <v/>
      </c>
      <c r="AJ857" s="118">
        <f>IFERROR(ROUND(SUM(AB857,AF857:AI857)/E857,2),0)</f>
        <v/>
      </c>
      <c r="AK857" s="76">
        <f>AJ857*E857</f>
        <v/>
      </c>
      <c r="AL857" s="174">
        <f>ROUND(IFERROR(AM857*E857,0),2)</f>
        <v/>
      </c>
      <c r="AM857" s="175">
        <f>ROUND(AJ857*(1+IF(offer_incoterms="DDP",IF((TODAY()+offer_turnaround_time)&gt;=helpsheet!$L$17,rate_vatRU_from_26,rate_vatRu_till_25),0)),2)</f>
        <v/>
      </c>
      <c r="AN857" s="192">
        <f>AL857-AK857</f>
        <v/>
      </c>
      <c r="AO857" s="76">
        <f>SUM(AY857,Y857:Z857,T857)*IF(AND(offer_incoterms="DDP",offer_sale_type&lt;&gt;"экспорт"),IF((TODAY()+offer_turnaround_time)&gt;=helpsheet!$L$17,rate_vatRU_from_26,rate_vatRu_till_25),0)</f>
        <v/>
      </c>
      <c r="AP857" s="193">
        <f>AN857-AO857</f>
        <v/>
      </c>
      <c r="AQ857" s="118">
        <f>IF(offer_sale_type="транзит",SUM(AF857:AI857,BA857,BB857),0)</f>
        <v/>
      </c>
      <c r="AR857" s="82">
        <f>HYPERLINK("https://www.alta.ru/tnved/code/")&amp;W857&amp;"/"</f>
        <v/>
      </c>
      <c r="AS857" s="157" t="n"/>
      <c r="AT857" s="162" t="n"/>
      <c r="AU857" s="76">
        <f>IF(ISBLANK(AT857),0,AJ857-AT857)</f>
        <v/>
      </c>
      <c r="AV857" s="157" t="n"/>
      <c r="AW857" s="75">
        <f>_xlfn.IFNA(VLOOKUP(L857,list_vat[],3,FALSE),0)</f>
        <v/>
      </c>
      <c r="AX857" s="76">
        <f>IFERROR(ROUND(S857*(1+AW857)/E857,2),0)</f>
        <v/>
      </c>
      <c r="AY857" s="76">
        <f>E857*AX857</f>
        <v/>
      </c>
      <c r="AZ857" s="192">
        <f>S857*(1+M857)</f>
        <v/>
      </c>
      <c r="BA857" s="76">
        <f>cost_fin_total*$BD857</f>
        <v/>
      </c>
      <c r="BB857" s="193">
        <f>credit_sales_interest*BD857</f>
        <v/>
      </c>
      <c r="BC857" s="102">
        <f>IFERROR(IF($I$13&gt;0,$I857/$I$13,$S857/$S$13),0)</f>
        <v/>
      </c>
      <c r="BD857" s="102">
        <f>IFERROR($S857/$S$13,0)</f>
        <v/>
      </c>
      <c r="BE857" s="413" t="inlineStr">
        <is>
          <t>$</t>
        </is>
      </c>
    </row>
    <row r="858" ht="12" customFormat="1" customHeight="1" s="65">
      <c r="A858" s="43" t="n">
        <v>843</v>
      </c>
      <c r="B858" s="166" t="n"/>
      <c r="C858" s="166" t="n"/>
      <c r="D858" s="166" t="n"/>
      <c r="E858" s="162" t="n"/>
      <c r="F858" s="166" t="n"/>
      <c r="G858" s="162" t="n"/>
      <c r="H858" s="162" t="n"/>
      <c r="I858" s="189">
        <f>E858*G858</f>
        <v/>
      </c>
      <c r="J858" s="195" t="n"/>
      <c r="K858" s="162" t="n"/>
      <c r="L858" s="168" t="n"/>
      <c r="M858" s="75">
        <f>_xlfn.XLOOKUP(L858,list_vat[Страна],list_vat[Ставка НДС %],0,0)</f>
        <v/>
      </c>
      <c r="N858" s="162">
        <f>IFERROR(IF(L858="Китай",K858,K858/(1+M858)),0)</f>
        <v/>
      </c>
      <c r="O858" s="169" t="n"/>
      <c r="P858" s="76">
        <f>N858*(1-O858)</f>
        <v/>
      </c>
      <c r="Q858" s="162" t="n"/>
      <c r="R858" s="162">
        <f>IF(ISBLANK(Q858),"введи курс",P858/Q858)</f>
        <v/>
      </c>
      <c r="S858" s="196">
        <f>IF(AND(ISNUMBER(E858),ISNUMBER(Q858)),E858*R858,0)</f>
        <v/>
      </c>
      <c r="T858" s="192">
        <f>$BC858*V$11</f>
        <v/>
      </c>
      <c r="U858" s="76">
        <f>$BC858*W$11</f>
        <v/>
      </c>
      <c r="V858" s="193">
        <f>+SUM(T858:U858)</f>
        <v/>
      </c>
      <c r="W858" s="191" t="n"/>
      <c r="X858" s="170" t="n"/>
      <c r="Y858" s="76">
        <f>ROUND(IF(offer_incoterms="DDP",X858*(S858*(1+AW858)+T858),0),2)</f>
        <v/>
      </c>
      <c r="Z858" s="188" t="n"/>
      <c r="AA858" s="192">
        <f>IFERROR(AB858/E858,0)</f>
        <v/>
      </c>
      <c r="AB858" s="76">
        <f>ROUND(SUM(S858,V858,Y858:Z858,BA858:BB858),2)</f>
        <v/>
      </c>
      <c r="AC858" s="797" t="n"/>
      <c r="AD858" s="192">
        <f t="array" ref="AD858">IFERROR(ROUND((_xlfn.IFS(offer_sale_type="поставка",AB858,offer_sale_type="транзит",S858)*(1+AC858))/E858,2),0)</f>
        <v/>
      </c>
      <c r="AE858" s="76">
        <f>AD858*E858</f>
        <v/>
      </c>
      <c r="AF858" s="193">
        <f t="array" ref="AF858">IFERROR(ROUND(_xlfn.IFS(offer_sale_type="поставка",AB858,offer_sale_type="транзит",S858)*AC858,2),0)</f>
        <v/>
      </c>
      <c r="AG858" s="192">
        <f>$BD858*VLOOKUP($AG$3,$AF$4:$AG$7,2,FALSE)</f>
        <v/>
      </c>
      <c r="AH858" s="76">
        <f>SUM(AE858,AG858,AI858)*rate_forex_risk</f>
        <v/>
      </c>
      <c r="AI858" s="193">
        <f>IF(OR(seller_region="TR",offer_sale_type="экспорт"),0,rate_fin_comm)*SUM(AZ858,AZ858*AW858,T858)</f>
        <v/>
      </c>
      <c r="AJ858" s="118">
        <f>IFERROR(ROUND(SUM(AB858,AF858:AI858)/E858,2),0)</f>
        <v/>
      </c>
      <c r="AK858" s="76">
        <f>AJ858*E858</f>
        <v/>
      </c>
      <c r="AL858" s="174">
        <f>ROUND(IFERROR(AM858*E858,0),2)</f>
        <v/>
      </c>
      <c r="AM858" s="175">
        <f>ROUND(AJ858*(1+IF(offer_incoterms="DDP",IF((TODAY()+offer_turnaround_time)&gt;=helpsheet!$L$17,rate_vatRU_from_26,rate_vatRu_till_25),0)),2)</f>
        <v/>
      </c>
      <c r="AN858" s="192">
        <f>AL858-AK858</f>
        <v/>
      </c>
      <c r="AO858" s="76">
        <f>SUM(AY858,Y858:Z858,T858)*IF(AND(offer_incoterms="DDP",offer_sale_type&lt;&gt;"экспорт"),IF((TODAY()+offer_turnaround_time)&gt;=helpsheet!$L$17,rate_vatRU_from_26,rate_vatRu_till_25),0)</f>
        <v/>
      </c>
      <c r="AP858" s="193">
        <f>AN858-AO858</f>
        <v/>
      </c>
      <c r="AQ858" s="118">
        <f>IF(offer_sale_type="транзит",SUM(AF858:AI858,BA858,BB858),0)</f>
        <v/>
      </c>
      <c r="AR858" s="82">
        <f>HYPERLINK("https://www.alta.ru/tnved/code/")&amp;W858&amp;"/"</f>
        <v/>
      </c>
      <c r="AS858" s="157" t="n"/>
      <c r="AT858" s="162" t="n"/>
      <c r="AU858" s="76">
        <f>IF(ISBLANK(AT858),0,AJ858-AT858)</f>
        <v/>
      </c>
      <c r="AV858" s="157" t="n"/>
      <c r="AW858" s="75">
        <f>_xlfn.IFNA(VLOOKUP(L858,list_vat[],3,FALSE),0)</f>
        <v/>
      </c>
      <c r="AX858" s="76">
        <f>IFERROR(ROUND(S858*(1+AW858)/E858,2),0)</f>
        <v/>
      </c>
      <c r="AY858" s="76">
        <f>E858*AX858</f>
        <v/>
      </c>
      <c r="AZ858" s="192">
        <f>S858*(1+M858)</f>
        <v/>
      </c>
      <c r="BA858" s="76">
        <f>cost_fin_total*$BD858</f>
        <v/>
      </c>
      <c r="BB858" s="193">
        <f>credit_sales_interest*BD858</f>
        <v/>
      </c>
      <c r="BC858" s="102">
        <f>IFERROR(IF($I$13&gt;0,$I858/$I$13,$S858/$S$13),0)</f>
        <v/>
      </c>
      <c r="BD858" s="102">
        <f>IFERROR($S858/$S$13,0)</f>
        <v/>
      </c>
      <c r="BE858" s="413" t="inlineStr">
        <is>
          <t>$</t>
        </is>
      </c>
    </row>
    <row r="859" ht="12" customFormat="1" customHeight="1" s="65">
      <c r="A859" s="43" t="n">
        <v>844</v>
      </c>
      <c r="B859" s="166" t="n"/>
      <c r="C859" s="166" t="n"/>
      <c r="D859" s="166" t="n"/>
      <c r="E859" s="162" t="n"/>
      <c r="F859" s="166" t="n"/>
      <c r="G859" s="162" t="n"/>
      <c r="H859" s="162" t="n"/>
      <c r="I859" s="189">
        <f>E859*G859</f>
        <v/>
      </c>
      <c r="J859" s="195" t="n"/>
      <c r="K859" s="162" t="n"/>
      <c r="L859" s="168" t="n"/>
      <c r="M859" s="75">
        <f>_xlfn.XLOOKUP(L859,list_vat[Страна],list_vat[Ставка НДС %],0,0)</f>
        <v/>
      </c>
      <c r="N859" s="162">
        <f>IFERROR(IF(L859="Китай",K859,K859/(1+M859)),0)</f>
        <v/>
      </c>
      <c r="O859" s="169" t="n"/>
      <c r="P859" s="76">
        <f>N859*(1-O859)</f>
        <v/>
      </c>
      <c r="Q859" s="162" t="n"/>
      <c r="R859" s="162">
        <f>IF(ISBLANK(Q859),"введи курс",P859/Q859)</f>
        <v/>
      </c>
      <c r="S859" s="196">
        <f>IF(AND(ISNUMBER(E859),ISNUMBER(Q859)),E859*R859,0)</f>
        <v/>
      </c>
      <c r="T859" s="192">
        <f>$BC859*V$11</f>
        <v/>
      </c>
      <c r="U859" s="76">
        <f>$BC859*W$11</f>
        <v/>
      </c>
      <c r="V859" s="193">
        <f>+SUM(T859:U859)</f>
        <v/>
      </c>
      <c r="W859" s="191" t="n"/>
      <c r="X859" s="170" t="n"/>
      <c r="Y859" s="76">
        <f>ROUND(IF(offer_incoterms="DDP",X859*(S859*(1+AW859)+T859),0),2)</f>
        <v/>
      </c>
      <c r="Z859" s="188" t="n"/>
      <c r="AA859" s="192">
        <f>IFERROR(AB859/E859,0)</f>
        <v/>
      </c>
      <c r="AB859" s="76">
        <f>ROUND(SUM(S859,V859,Y859:Z859,BA859:BB859),2)</f>
        <v/>
      </c>
      <c r="AC859" s="797" t="n"/>
      <c r="AD859" s="192">
        <f t="array" ref="AD859">IFERROR(ROUND((_xlfn.IFS(offer_sale_type="поставка",AB859,offer_sale_type="транзит",S859)*(1+AC859))/E859,2),0)</f>
        <v/>
      </c>
      <c r="AE859" s="76">
        <f>AD859*E859</f>
        <v/>
      </c>
      <c r="AF859" s="193">
        <f t="array" ref="AF859">IFERROR(ROUND(_xlfn.IFS(offer_sale_type="поставка",AB859,offer_sale_type="транзит",S859)*AC859,2),0)</f>
        <v/>
      </c>
      <c r="AG859" s="192">
        <f>$BD859*VLOOKUP($AG$3,$AF$4:$AG$7,2,FALSE)</f>
        <v/>
      </c>
      <c r="AH859" s="76">
        <f>SUM(AE859,AG859,AI859)*rate_forex_risk</f>
        <v/>
      </c>
      <c r="AI859" s="193">
        <f>IF(OR(seller_region="TR",offer_sale_type="экспорт"),0,rate_fin_comm)*SUM(AZ859,AZ859*AW859,T859)</f>
        <v/>
      </c>
      <c r="AJ859" s="118">
        <f>IFERROR(ROUND(SUM(AB859,AF859:AI859)/E859,2),0)</f>
        <v/>
      </c>
      <c r="AK859" s="76">
        <f>AJ859*E859</f>
        <v/>
      </c>
      <c r="AL859" s="174">
        <f>ROUND(IFERROR(AM859*E859,0),2)</f>
        <v/>
      </c>
      <c r="AM859" s="175">
        <f>ROUND(AJ859*(1+IF(offer_incoterms="DDP",IF((TODAY()+offer_turnaround_time)&gt;=helpsheet!$L$17,rate_vatRU_from_26,rate_vatRu_till_25),0)),2)</f>
        <v/>
      </c>
      <c r="AN859" s="192">
        <f>AL859-AK859</f>
        <v/>
      </c>
      <c r="AO859" s="76">
        <f>SUM(AY859,Y859:Z859,T859)*IF(AND(offer_incoterms="DDP",offer_sale_type&lt;&gt;"экспорт"),IF((TODAY()+offer_turnaround_time)&gt;=helpsheet!$L$17,rate_vatRU_from_26,rate_vatRu_till_25),0)</f>
        <v/>
      </c>
      <c r="AP859" s="193">
        <f>AN859-AO859</f>
        <v/>
      </c>
      <c r="AQ859" s="118">
        <f>IF(offer_sale_type="транзит",SUM(AF859:AI859,BA859,BB859),0)</f>
        <v/>
      </c>
      <c r="AR859" s="82">
        <f>HYPERLINK("https://www.alta.ru/tnved/code/")&amp;W859&amp;"/"</f>
        <v/>
      </c>
      <c r="AS859" s="157" t="n"/>
      <c r="AT859" s="162" t="n"/>
      <c r="AU859" s="76">
        <f>IF(ISBLANK(AT859),0,AJ859-AT859)</f>
        <v/>
      </c>
      <c r="AV859" s="157" t="n"/>
      <c r="AW859" s="75">
        <f>_xlfn.IFNA(VLOOKUP(L859,list_vat[],3,FALSE),0)</f>
        <v/>
      </c>
      <c r="AX859" s="76">
        <f>IFERROR(ROUND(S859*(1+AW859)/E859,2),0)</f>
        <v/>
      </c>
      <c r="AY859" s="76">
        <f>E859*AX859</f>
        <v/>
      </c>
      <c r="AZ859" s="192">
        <f>S859*(1+M859)</f>
        <v/>
      </c>
      <c r="BA859" s="76">
        <f>cost_fin_total*$BD859</f>
        <v/>
      </c>
      <c r="BB859" s="193">
        <f>credit_sales_interest*BD859</f>
        <v/>
      </c>
      <c r="BC859" s="102">
        <f>IFERROR(IF($I$13&gt;0,$I859/$I$13,$S859/$S$13),0)</f>
        <v/>
      </c>
      <c r="BD859" s="102">
        <f>IFERROR($S859/$S$13,0)</f>
        <v/>
      </c>
      <c r="BE859" s="413" t="inlineStr">
        <is>
          <t>$</t>
        </is>
      </c>
    </row>
    <row r="860" ht="12" customFormat="1" customHeight="1" s="65">
      <c r="A860" s="43" t="n">
        <v>845</v>
      </c>
      <c r="B860" s="166" t="n"/>
      <c r="C860" s="166" t="n"/>
      <c r="D860" s="166" t="n"/>
      <c r="E860" s="162" t="n"/>
      <c r="F860" s="166" t="n"/>
      <c r="G860" s="162" t="n"/>
      <c r="H860" s="162" t="n"/>
      <c r="I860" s="189">
        <f>E860*G860</f>
        <v/>
      </c>
      <c r="J860" s="195" t="n"/>
      <c r="K860" s="162" t="n"/>
      <c r="L860" s="168" t="n"/>
      <c r="M860" s="75">
        <f>_xlfn.XLOOKUP(L860,list_vat[Страна],list_vat[Ставка НДС %],0,0)</f>
        <v/>
      </c>
      <c r="N860" s="162">
        <f>IFERROR(IF(L860="Китай",K860,K860/(1+M860)),0)</f>
        <v/>
      </c>
      <c r="O860" s="169" t="n"/>
      <c r="P860" s="76">
        <f>N860*(1-O860)</f>
        <v/>
      </c>
      <c r="Q860" s="162" t="n"/>
      <c r="R860" s="162">
        <f>IF(ISBLANK(Q860),"введи курс",P860/Q860)</f>
        <v/>
      </c>
      <c r="S860" s="196">
        <f>IF(AND(ISNUMBER(E860),ISNUMBER(Q860)),E860*R860,0)</f>
        <v/>
      </c>
      <c r="T860" s="192">
        <f>$BC860*V$11</f>
        <v/>
      </c>
      <c r="U860" s="76">
        <f>$BC860*W$11</f>
        <v/>
      </c>
      <c r="V860" s="193">
        <f>+SUM(T860:U860)</f>
        <v/>
      </c>
      <c r="W860" s="191" t="n"/>
      <c r="X860" s="170" t="n"/>
      <c r="Y860" s="76">
        <f>ROUND(IF(offer_incoterms="DDP",X860*(S860*(1+AW860)+T860),0),2)</f>
        <v/>
      </c>
      <c r="Z860" s="188" t="n"/>
      <c r="AA860" s="192">
        <f>IFERROR(AB860/E860,0)</f>
        <v/>
      </c>
      <c r="AB860" s="76">
        <f>ROUND(SUM(S860,V860,Y860:Z860,BA860:BB860),2)</f>
        <v/>
      </c>
      <c r="AC860" s="797" t="n"/>
      <c r="AD860" s="192">
        <f t="array" ref="AD860">IFERROR(ROUND((_xlfn.IFS(offer_sale_type="поставка",AB860,offer_sale_type="транзит",S860)*(1+AC860))/E860,2),0)</f>
        <v/>
      </c>
      <c r="AE860" s="76">
        <f>AD860*E860</f>
        <v/>
      </c>
      <c r="AF860" s="193">
        <f t="array" ref="AF860">IFERROR(ROUND(_xlfn.IFS(offer_sale_type="поставка",AB860,offer_sale_type="транзит",S860)*AC860,2),0)</f>
        <v/>
      </c>
      <c r="AG860" s="192">
        <f>$BD860*VLOOKUP($AG$3,$AF$4:$AG$7,2,FALSE)</f>
        <v/>
      </c>
      <c r="AH860" s="76">
        <f>SUM(AE860,AG860,AI860)*rate_forex_risk</f>
        <v/>
      </c>
      <c r="AI860" s="193">
        <f>IF(OR(seller_region="TR",offer_sale_type="экспорт"),0,rate_fin_comm)*SUM(AZ860,AZ860*AW860,T860)</f>
        <v/>
      </c>
      <c r="AJ860" s="118">
        <f>IFERROR(ROUND(SUM(AB860,AF860:AI860)/E860,2),0)</f>
        <v/>
      </c>
      <c r="AK860" s="76">
        <f>AJ860*E860</f>
        <v/>
      </c>
      <c r="AL860" s="174">
        <f>ROUND(IFERROR(AM860*E860,0),2)</f>
        <v/>
      </c>
      <c r="AM860" s="175">
        <f>ROUND(AJ860*(1+IF(offer_incoterms="DDP",IF((TODAY()+offer_turnaround_time)&gt;=helpsheet!$L$17,rate_vatRU_from_26,rate_vatRu_till_25),0)),2)</f>
        <v/>
      </c>
      <c r="AN860" s="192">
        <f>AL860-AK860</f>
        <v/>
      </c>
      <c r="AO860" s="76">
        <f>SUM(AY860,Y860:Z860,T860)*IF(AND(offer_incoterms="DDP",offer_sale_type&lt;&gt;"экспорт"),IF((TODAY()+offer_turnaround_time)&gt;=helpsheet!$L$17,rate_vatRU_from_26,rate_vatRu_till_25),0)</f>
        <v/>
      </c>
      <c r="AP860" s="193">
        <f>AN860-AO860</f>
        <v/>
      </c>
      <c r="AQ860" s="118">
        <f>IF(offer_sale_type="транзит",SUM(AF860:AI860,BA860,BB860),0)</f>
        <v/>
      </c>
      <c r="AR860" s="82">
        <f>HYPERLINK("https://www.alta.ru/tnved/code/")&amp;W860&amp;"/"</f>
        <v/>
      </c>
      <c r="AS860" s="157" t="n"/>
      <c r="AT860" s="162" t="n"/>
      <c r="AU860" s="76">
        <f>IF(ISBLANK(AT860),0,AJ860-AT860)</f>
        <v/>
      </c>
      <c r="AV860" s="157" t="n"/>
      <c r="AW860" s="75">
        <f>_xlfn.IFNA(VLOOKUP(L860,list_vat[],3,FALSE),0)</f>
        <v/>
      </c>
      <c r="AX860" s="76">
        <f>IFERROR(ROUND(S860*(1+AW860)/E860,2),0)</f>
        <v/>
      </c>
      <c r="AY860" s="76">
        <f>E860*AX860</f>
        <v/>
      </c>
      <c r="AZ860" s="192">
        <f>S860*(1+M860)</f>
        <v/>
      </c>
      <c r="BA860" s="76">
        <f>cost_fin_total*$BD860</f>
        <v/>
      </c>
      <c r="BB860" s="193">
        <f>credit_sales_interest*BD860</f>
        <v/>
      </c>
      <c r="BC860" s="102">
        <f>IFERROR(IF($I$13&gt;0,$I860/$I$13,$S860/$S$13),0)</f>
        <v/>
      </c>
      <c r="BD860" s="102">
        <f>IFERROR($S860/$S$13,0)</f>
        <v/>
      </c>
      <c r="BE860" s="413" t="inlineStr">
        <is>
          <t>$</t>
        </is>
      </c>
    </row>
    <row r="861" ht="12" customFormat="1" customHeight="1" s="65">
      <c r="A861" s="43" t="n">
        <v>846</v>
      </c>
      <c r="B861" s="166" t="n"/>
      <c r="C861" s="166" t="n"/>
      <c r="D861" s="166" t="n"/>
      <c r="E861" s="162" t="n"/>
      <c r="F861" s="166" t="n"/>
      <c r="G861" s="162" t="n"/>
      <c r="H861" s="162" t="n"/>
      <c r="I861" s="189">
        <f>E861*G861</f>
        <v/>
      </c>
      <c r="J861" s="195" t="n"/>
      <c r="K861" s="162" t="n"/>
      <c r="L861" s="168" t="n"/>
      <c r="M861" s="75">
        <f>_xlfn.XLOOKUP(L861,list_vat[Страна],list_vat[Ставка НДС %],0,0)</f>
        <v/>
      </c>
      <c r="N861" s="162">
        <f>IFERROR(IF(L861="Китай",K861,K861/(1+M861)),0)</f>
        <v/>
      </c>
      <c r="O861" s="169" t="n"/>
      <c r="P861" s="76">
        <f>N861*(1-O861)</f>
        <v/>
      </c>
      <c r="Q861" s="162" t="n"/>
      <c r="R861" s="162">
        <f>IF(ISBLANK(Q861),"введи курс",P861/Q861)</f>
        <v/>
      </c>
      <c r="S861" s="196">
        <f>IF(AND(ISNUMBER(E861),ISNUMBER(Q861)),E861*R861,0)</f>
        <v/>
      </c>
      <c r="T861" s="192">
        <f>$BC861*V$11</f>
        <v/>
      </c>
      <c r="U861" s="76">
        <f>$BC861*W$11</f>
        <v/>
      </c>
      <c r="V861" s="193">
        <f>+SUM(T861:U861)</f>
        <v/>
      </c>
      <c r="W861" s="191" t="n"/>
      <c r="X861" s="170" t="n"/>
      <c r="Y861" s="76">
        <f>ROUND(IF(offer_incoterms="DDP",X861*(S861*(1+AW861)+T861),0),2)</f>
        <v/>
      </c>
      <c r="Z861" s="188" t="n"/>
      <c r="AA861" s="192">
        <f>IFERROR(AB861/E861,0)</f>
        <v/>
      </c>
      <c r="AB861" s="76">
        <f>ROUND(SUM(S861,V861,Y861:Z861,BA861:BB861),2)</f>
        <v/>
      </c>
      <c r="AC861" s="797" t="n"/>
      <c r="AD861" s="192">
        <f t="array" ref="AD861">IFERROR(ROUND((_xlfn.IFS(offer_sale_type="поставка",AB861,offer_sale_type="транзит",S861)*(1+AC861))/E861,2),0)</f>
        <v/>
      </c>
      <c r="AE861" s="76">
        <f>AD861*E861</f>
        <v/>
      </c>
      <c r="AF861" s="193">
        <f t="array" ref="AF861">IFERROR(ROUND(_xlfn.IFS(offer_sale_type="поставка",AB861,offer_sale_type="транзит",S861)*AC861,2),0)</f>
        <v/>
      </c>
      <c r="AG861" s="192">
        <f>$BD861*VLOOKUP($AG$3,$AF$4:$AG$7,2,FALSE)</f>
        <v/>
      </c>
      <c r="AH861" s="76">
        <f>SUM(AE861,AG861,AI861)*rate_forex_risk</f>
        <v/>
      </c>
      <c r="AI861" s="193">
        <f>IF(OR(seller_region="TR",offer_sale_type="экспорт"),0,rate_fin_comm)*SUM(AZ861,AZ861*AW861,T861)</f>
        <v/>
      </c>
      <c r="AJ861" s="118">
        <f>IFERROR(ROUND(SUM(AB861,AF861:AI861)/E861,2),0)</f>
        <v/>
      </c>
      <c r="AK861" s="76">
        <f>AJ861*E861</f>
        <v/>
      </c>
      <c r="AL861" s="174">
        <f>ROUND(IFERROR(AM861*E861,0),2)</f>
        <v/>
      </c>
      <c r="AM861" s="175">
        <f>ROUND(AJ861*(1+IF(offer_incoterms="DDP",IF((TODAY()+offer_turnaround_time)&gt;=helpsheet!$L$17,rate_vatRU_from_26,rate_vatRu_till_25),0)),2)</f>
        <v/>
      </c>
      <c r="AN861" s="192">
        <f>AL861-AK861</f>
        <v/>
      </c>
      <c r="AO861" s="76">
        <f>SUM(AY861,Y861:Z861,T861)*IF(AND(offer_incoterms="DDP",offer_sale_type&lt;&gt;"экспорт"),IF((TODAY()+offer_turnaround_time)&gt;=helpsheet!$L$17,rate_vatRU_from_26,rate_vatRu_till_25),0)</f>
        <v/>
      </c>
      <c r="AP861" s="193">
        <f>AN861-AO861</f>
        <v/>
      </c>
      <c r="AQ861" s="118">
        <f>IF(offer_sale_type="транзит",SUM(AF861:AI861,BA861,BB861),0)</f>
        <v/>
      </c>
      <c r="AR861" s="82">
        <f>HYPERLINK("https://www.alta.ru/tnved/code/")&amp;W861&amp;"/"</f>
        <v/>
      </c>
      <c r="AS861" s="157" t="n"/>
      <c r="AT861" s="162" t="n"/>
      <c r="AU861" s="76">
        <f>IF(ISBLANK(AT861),0,AJ861-AT861)</f>
        <v/>
      </c>
      <c r="AV861" s="157" t="n"/>
      <c r="AW861" s="75">
        <f>_xlfn.IFNA(VLOOKUP(L861,list_vat[],3,FALSE),0)</f>
        <v/>
      </c>
      <c r="AX861" s="76">
        <f>IFERROR(ROUND(S861*(1+AW861)/E861,2),0)</f>
        <v/>
      </c>
      <c r="AY861" s="76">
        <f>E861*AX861</f>
        <v/>
      </c>
      <c r="AZ861" s="192">
        <f>S861*(1+M861)</f>
        <v/>
      </c>
      <c r="BA861" s="76">
        <f>cost_fin_total*$BD861</f>
        <v/>
      </c>
      <c r="BB861" s="193">
        <f>credit_sales_interest*BD861</f>
        <v/>
      </c>
      <c r="BC861" s="102">
        <f>IFERROR(IF($I$13&gt;0,$I861/$I$13,$S861/$S$13),0)</f>
        <v/>
      </c>
      <c r="BD861" s="102">
        <f>IFERROR($S861/$S$13,0)</f>
        <v/>
      </c>
      <c r="BE861" s="413" t="inlineStr">
        <is>
          <t>$</t>
        </is>
      </c>
    </row>
    <row r="862" ht="12" customFormat="1" customHeight="1" s="65">
      <c r="A862" s="43" t="n">
        <v>847</v>
      </c>
      <c r="B862" s="166" t="n"/>
      <c r="C862" s="166" t="n"/>
      <c r="D862" s="166" t="n"/>
      <c r="E862" s="162" t="n"/>
      <c r="F862" s="166" t="n"/>
      <c r="G862" s="162" t="n"/>
      <c r="H862" s="162" t="n"/>
      <c r="I862" s="189">
        <f>E862*G862</f>
        <v/>
      </c>
      <c r="J862" s="195" t="n"/>
      <c r="K862" s="162" t="n"/>
      <c r="L862" s="168" t="n"/>
      <c r="M862" s="75">
        <f>_xlfn.XLOOKUP(L862,list_vat[Страна],list_vat[Ставка НДС %],0,0)</f>
        <v/>
      </c>
      <c r="N862" s="162">
        <f>IFERROR(IF(L862="Китай",K862,K862/(1+M862)),0)</f>
        <v/>
      </c>
      <c r="O862" s="169" t="n"/>
      <c r="P862" s="76">
        <f>N862*(1-O862)</f>
        <v/>
      </c>
      <c r="Q862" s="162" t="n"/>
      <c r="R862" s="162">
        <f>IF(ISBLANK(Q862),"введи курс",P862/Q862)</f>
        <v/>
      </c>
      <c r="S862" s="196">
        <f>IF(AND(ISNUMBER(E862),ISNUMBER(Q862)),E862*R862,0)</f>
        <v/>
      </c>
      <c r="T862" s="192">
        <f>$BC862*V$11</f>
        <v/>
      </c>
      <c r="U862" s="76">
        <f>$BC862*W$11</f>
        <v/>
      </c>
      <c r="V862" s="193">
        <f>+SUM(T862:U862)</f>
        <v/>
      </c>
      <c r="W862" s="191" t="n"/>
      <c r="X862" s="170" t="n"/>
      <c r="Y862" s="76">
        <f>ROUND(IF(offer_incoterms="DDP",X862*(S862*(1+AW862)+T862),0),2)</f>
        <v/>
      </c>
      <c r="Z862" s="188" t="n"/>
      <c r="AA862" s="192">
        <f>IFERROR(AB862/E862,0)</f>
        <v/>
      </c>
      <c r="AB862" s="76">
        <f>ROUND(SUM(S862,V862,Y862:Z862,BA862:BB862),2)</f>
        <v/>
      </c>
      <c r="AC862" s="797" t="n"/>
      <c r="AD862" s="192">
        <f t="array" ref="AD862">IFERROR(ROUND((_xlfn.IFS(offer_sale_type="поставка",AB862,offer_sale_type="транзит",S862)*(1+AC862))/E862,2),0)</f>
        <v/>
      </c>
      <c r="AE862" s="76">
        <f>AD862*E862</f>
        <v/>
      </c>
      <c r="AF862" s="193">
        <f t="array" ref="AF862">IFERROR(ROUND(_xlfn.IFS(offer_sale_type="поставка",AB862,offer_sale_type="транзит",S862)*AC862,2),0)</f>
        <v/>
      </c>
      <c r="AG862" s="192">
        <f>$BD862*VLOOKUP($AG$3,$AF$4:$AG$7,2,FALSE)</f>
        <v/>
      </c>
      <c r="AH862" s="76">
        <f>SUM(AE862,AG862,AI862)*rate_forex_risk</f>
        <v/>
      </c>
      <c r="AI862" s="193">
        <f>IF(OR(seller_region="TR",offer_sale_type="экспорт"),0,rate_fin_comm)*SUM(AZ862,AZ862*AW862,T862)</f>
        <v/>
      </c>
      <c r="AJ862" s="118">
        <f>IFERROR(ROUND(SUM(AB862,AF862:AI862)/E862,2),0)</f>
        <v/>
      </c>
      <c r="AK862" s="76">
        <f>AJ862*E862</f>
        <v/>
      </c>
      <c r="AL862" s="174">
        <f>ROUND(IFERROR(AM862*E862,0),2)</f>
        <v/>
      </c>
      <c r="AM862" s="175">
        <f>ROUND(AJ862*(1+IF(offer_incoterms="DDP",IF((TODAY()+offer_turnaround_time)&gt;=helpsheet!$L$17,rate_vatRU_from_26,rate_vatRu_till_25),0)),2)</f>
        <v/>
      </c>
      <c r="AN862" s="192">
        <f>AL862-AK862</f>
        <v/>
      </c>
      <c r="AO862" s="76">
        <f>SUM(AY862,Y862:Z862,T862)*IF(AND(offer_incoterms="DDP",offer_sale_type&lt;&gt;"экспорт"),IF((TODAY()+offer_turnaround_time)&gt;=helpsheet!$L$17,rate_vatRU_from_26,rate_vatRu_till_25),0)</f>
        <v/>
      </c>
      <c r="AP862" s="193">
        <f>AN862-AO862</f>
        <v/>
      </c>
      <c r="AQ862" s="118">
        <f>IF(offer_sale_type="транзит",SUM(AF862:AI862,BA862,BB862),0)</f>
        <v/>
      </c>
      <c r="AR862" s="82">
        <f>HYPERLINK("https://www.alta.ru/tnved/code/")&amp;W862&amp;"/"</f>
        <v/>
      </c>
      <c r="AS862" s="157" t="n"/>
      <c r="AT862" s="162" t="n"/>
      <c r="AU862" s="76">
        <f>IF(ISBLANK(AT862),0,AJ862-AT862)</f>
        <v/>
      </c>
      <c r="AV862" s="157" t="n"/>
      <c r="AW862" s="75">
        <f>_xlfn.IFNA(VLOOKUP(L862,list_vat[],3,FALSE),0)</f>
        <v/>
      </c>
      <c r="AX862" s="76">
        <f>IFERROR(ROUND(S862*(1+AW862)/E862,2),0)</f>
        <v/>
      </c>
      <c r="AY862" s="76">
        <f>E862*AX862</f>
        <v/>
      </c>
      <c r="AZ862" s="192">
        <f>S862*(1+M862)</f>
        <v/>
      </c>
      <c r="BA862" s="76">
        <f>cost_fin_total*$BD862</f>
        <v/>
      </c>
      <c r="BB862" s="193">
        <f>credit_sales_interest*BD862</f>
        <v/>
      </c>
      <c r="BC862" s="102">
        <f>IFERROR(IF($I$13&gt;0,$I862/$I$13,$S862/$S$13),0)</f>
        <v/>
      </c>
      <c r="BD862" s="102">
        <f>IFERROR($S862/$S$13,0)</f>
        <v/>
      </c>
      <c r="BE862" s="413" t="inlineStr">
        <is>
          <t>$</t>
        </is>
      </c>
    </row>
    <row r="863" ht="12" customFormat="1" customHeight="1" s="65">
      <c r="A863" s="43" t="n">
        <v>848</v>
      </c>
      <c r="B863" s="166" t="n"/>
      <c r="C863" s="166" t="n"/>
      <c r="D863" s="166" t="n"/>
      <c r="E863" s="162" t="n"/>
      <c r="F863" s="166" t="n"/>
      <c r="G863" s="162" t="n"/>
      <c r="H863" s="162" t="n"/>
      <c r="I863" s="189">
        <f>E863*G863</f>
        <v/>
      </c>
      <c r="J863" s="195" t="n"/>
      <c r="K863" s="162" t="n"/>
      <c r="L863" s="168" t="n"/>
      <c r="M863" s="75">
        <f>_xlfn.XLOOKUP(L863,list_vat[Страна],list_vat[Ставка НДС %],0,0)</f>
        <v/>
      </c>
      <c r="N863" s="162">
        <f>IFERROR(IF(L863="Китай",K863,K863/(1+M863)),0)</f>
        <v/>
      </c>
      <c r="O863" s="169" t="n"/>
      <c r="P863" s="76">
        <f>N863*(1-O863)</f>
        <v/>
      </c>
      <c r="Q863" s="162" t="n"/>
      <c r="R863" s="162">
        <f>IF(ISBLANK(Q863),"введи курс",P863/Q863)</f>
        <v/>
      </c>
      <c r="S863" s="196">
        <f>IF(AND(ISNUMBER(E863),ISNUMBER(Q863)),E863*R863,0)</f>
        <v/>
      </c>
      <c r="T863" s="192">
        <f>$BC863*V$11</f>
        <v/>
      </c>
      <c r="U863" s="76">
        <f>$BC863*W$11</f>
        <v/>
      </c>
      <c r="V863" s="193">
        <f>+SUM(T863:U863)</f>
        <v/>
      </c>
      <c r="W863" s="191" t="n"/>
      <c r="X863" s="170" t="n"/>
      <c r="Y863" s="76">
        <f>ROUND(IF(offer_incoterms="DDP",X863*(S863*(1+AW863)+T863),0),2)</f>
        <v/>
      </c>
      <c r="Z863" s="188" t="n"/>
      <c r="AA863" s="192">
        <f>IFERROR(AB863/E863,0)</f>
        <v/>
      </c>
      <c r="AB863" s="76">
        <f>ROUND(SUM(S863,V863,Y863:Z863,BA863:BB863),2)</f>
        <v/>
      </c>
      <c r="AC863" s="797" t="n"/>
      <c r="AD863" s="192">
        <f t="array" ref="AD863">IFERROR(ROUND((_xlfn.IFS(offer_sale_type="поставка",AB863,offer_sale_type="транзит",S863)*(1+AC863))/E863,2),0)</f>
        <v/>
      </c>
      <c r="AE863" s="76">
        <f>AD863*E863</f>
        <v/>
      </c>
      <c r="AF863" s="193">
        <f t="array" ref="AF863">IFERROR(ROUND(_xlfn.IFS(offer_sale_type="поставка",AB863,offer_sale_type="транзит",S863)*AC863,2),0)</f>
        <v/>
      </c>
      <c r="AG863" s="192">
        <f>$BD863*VLOOKUP($AG$3,$AF$4:$AG$7,2,FALSE)</f>
        <v/>
      </c>
      <c r="AH863" s="76">
        <f>SUM(AE863,AG863,AI863)*rate_forex_risk</f>
        <v/>
      </c>
      <c r="AI863" s="193">
        <f>IF(OR(seller_region="TR",offer_sale_type="экспорт"),0,rate_fin_comm)*SUM(AZ863,AZ863*AW863,T863)</f>
        <v/>
      </c>
      <c r="AJ863" s="118">
        <f>IFERROR(ROUND(SUM(AB863,AF863:AI863)/E863,2),0)</f>
        <v/>
      </c>
      <c r="AK863" s="76">
        <f>AJ863*E863</f>
        <v/>
      </c>
      <c r="AL863" s="174">
        <f>ROUND(IFERROR(AM863*E863,0),2)</f>
        <v/>
      </c>
      <c r="AM863" s="175">
        <f>ROUND(AJ863*(1+IF(offer_incoterms="DDP",IF((TODAY()+offer_turnaround_time)&gt;=helpsheet!$L$17,rate_vatRU_from_26,rate_vatRu_till_25),0)),2)</f>
        <v/>
      </c>
      <c r="AN863" s="192">
        <f>AL863-AK863</f>
        <v/>
      </c>
      <c r="AO863" s="76">
        <f>SUM(AY863,Y863:Z863,T863)*IF(AND(offer_incoterms="DDP",offer_sale_type&lt;&gt;"экспорт"),IF((TODAY()+offer_turnaround_time)&gt;=helpsheet!$L$17,rate_vatRU_from_26,rate_vatRu_till_25),0)</f>
        <v/>
      </c>
      <c r="AP863" s="193">
        <f>AN863-AO863</f>
        <v/>
      </c>
      <c r="AQ863" s="118">
        <f>IF(offer_sale_type="транзит",SUM(AF863:AI863,BA863,BB863),0)</f>
        <v/>
      </c>
      <c r="AR863" s="82">
        <f>HYPERLINK("https://www.alta.ru/tnved/code/")&amp;W863&amp;"/"</f>
        <v/>
      </c>
      <c r="AS863" s="157" t="n"/>
      <c r="AT863" s="162" t="n"/>
      <c r="AU863" s="76">
        <f>IF(ISBLANK(AT863),0,AJ863-AT863)</f>
        <v/>
      </c>
      <c r="AV863" s="157" t="n"/>
      <c r="AW863" s="75">
        <f>_xlfn.IFNA(VLOOKUP(L863,list_vat[],3,FALSE),0)</f>
        <v/>
      </c>
      <c r="AX863" s="76">
        <f>IFERROR(ROUND(S863*(1+AW863)/E863,2),0)</f>
        <v/>
      </c>
      <c r="AY863" s="76">
        <f>E863*AX863</f>
        <v/>
      </c>
      <c r="AZ863" s="192">
        <f>S863*(1+M863)</f>
        <v/>
      </c>
      <c r="BA863" s="76">
        <f>cost_fin_total*$BD863</f>
        <v/>
      </c>
      <c r="BB863" s="193">
        <f>credit_sales_interest*BD863</f>
        <v/>
      </c>
      <c r="BC863" s="102">
        <f>IFERROR(IF($I$13&gt;0,$I863/$I$13,$S863/$S$13),0)</f>
        <v/>
      </c>
      <c r="BD863" s="102">
        <f>IFERROR($S863/$S$13,0)</f>
        <v/>
      </c>
      <c r="BE863" s="413" t="inlineStr">
        <is>
          <t>$</t>
        </is>
      </c>
    </row>
    <row r="864" ht="12" customFormat="1" customHeight="1" s="65">
      <c r="A864" s="43" t="n">
        <v>849</v>
      </c>
      <c r="B864" s="166" t="n"/>
      <c r="C864" s="166" t="n"/>
      <c r="D864" s="166" t="n"/>
      <c r="E864" s="162" t="n"/>
      <c r="F864" s="166" t="n"/>
      <c r="G864" s="162" t="n"/>
      <c r="H864" s="162" t="n"/>
      <c r="I864" s="189">
        <f>E864*G864</f>
        <v/>
      </c>
      <c r="J864" s="195" t="n"/>
      <c r="K864" s="162" t="n"/>
      <c r="L864" s="168" t="n"/>
      <c r="M864" s="75">
        <f>_xlfn.XLOOKUP(L864,list_vat[Страна],list_vat[Ставка НДС %],0,0)</f>
        <v/>
      </c>
      <c r="N864" s="162">
        <f>IFERROR(IF(L864="Китай",K864,K864/(1+M864)),0)</f>
        <v/>
      </c>
      <c r="O864" s="169" t="n"/>
      <c r="P864" s="76">
        <f>N864*(1-O864)</f>
        <v/>
      </c>
      <c r="Q864" s="162" t="n"/>
      <c r="R864" s="162">
        <f>IF(ISBLANK(Q864),"введи курс",P864/Q864)</f>
        <v/>
      </c>
      <c r="S864" s="196">
        <f>IF(AND(ISNUMBER(E864),ISNUMBER(Q864)),E864*R864,0)</f>
        <v/>
      </c>
      <c r="T864" s="192">
        <f>$BC864*V$11</f>
        <v/>
      </c>
      <c r="U864" s="76">
        <f>$BC864*W$11</f>
        <v/>
      </c>
      <c r="V864" s="193">
        <f>+SUM(T864:U864)</f>
        <v/>
      </c>
      <c r="W864" s="191" t="n"/>
      <c r="X864" s="170" t="n"/>
      <c r="Y864" s="76">
        <f>ROUND(IF(offer_incoterms="DDP",X864*(S864*(1+AW864)+T864),0),2)</f>
        <v/>
      </c>
      <c r="Z864" s="188" t="n"/>
      <c r="AA864" s="192">
        <f>IFERROR(AB864/E864,0)</f>
        <v/>
      </c>
      <c r="AB864" s="76">
        <f>ROUND(SUM(S864,V864,Y864:Z864,BA864:BB864),2)</f>
        <v/>
      </c>
      <c r="AC864" s="797" t="n"/>
      <c r="AD864" s="192">
        <f t="array" ref="AD864">IFERROR(ROUND((_xlfn.IFS(offer_sale_type="поставка",AB864,offer_sale_type="транзит",S864)*(1+AC864))/E864,2),0)</f>
        <v/>
      </c>
      <c r="AE864" s="76">
        <f>AD864*E864</f>
        <v/>
      </c>
      <c r="AF864" s="193">
        <f t="array" ref="AF864">IFERROR(ROUND(_xlfn.IFS(offer_sale_type="поставка",AB864,offer_sale_type="транзит",S864)*AC864,2),0)</f>
        <v/>
      </c>
      <c r="AG864" s="192">
        <f>$BD864*VLOOKUP($AG$3,$AF$4:$AG$7,2,FALSE)</f>
        <v/>
      </c>
      <c r="AH864" s="76">
        <f>SUM(AE864,AG864,AI864)*rate_forex_risk</f>
        <v/>
      </c>
      <c r="AI864" s="193">
        <f>IF(OR(seller_region="TR",offer_sale_type="экспорт"),0,rate_fin_comm)*SUM(AZ864,AZ864*AW864,T864)</f>
        <v/>
      </c>
      <c r="AJ864" s="118">
        <f>IFERROR(ROUND(SUM(AB864,AF864:AI864)/E864,2),0)</f>
        <v/>
      </c>
      <c r="AK864" s="76">
        <f>AJ864*E864</f>
        <v/>
      </c>
      <c r="AL864" s="174">
        <f>ROUND(IFERROR(AM864*E864,0),2)</f>
        <v/>
      </c>
      <c r="AM864" s="175">
        <f>ROUND(AJ864*(1+IF(offer_incoterms="DDP",IF((TODAY()+offer_turnaround_time)&gt;=helpsheet!$L$17,rate_vatRU_from_26,rate_vatRu_till_25),0)),2)</f>
        <v/>
      </c>
      <c r="AN864" s="192">
        <f>AL864-AK864</f>
        <v/>
      </c>
      <c r="AO864" s="76">
        <f>SUM(AY864,Y864:Z864,T864)*IF(AND(offer_incoterms="DDP",offer_sale_type&lt;&gt;"экспорт"),IF((TODAY()+offer_turnaround_time)&gt;=helpsheet!$L$17,rate_vatRU_from_26,rate_vatRu_till_25),0)</f>
        <v/>
      </c>
      <c r="AP864" s="193">
        <f>AN864-AO864</f>
        <v/>
      </c>
      <c r="AQ864" s="118">
        <f>IF(offer_sale_type="транзит",SUM(AF864:AI864,BA864,BB864),0)</f>
        <v/>
      </c>
      <c r="AR864" s="82">
        <f>HYPERLINK("https://www.alta.ru/tnved/code/")&amp;W864&amp;"/"</f>
        <v/>
      </c>
      <c r="AS864" s="157" t="n"/>
      <c r="AT864" s="162" t="n"/>
      <c r="AU864" s="76">
        <f>IF(ISBLANK(AT864),0,AJ864-AT864)</f>
        <v/>
      </c>
      <c r="AV864" s="157" t="n"/>
      <c r="AW864" s="75">
        <f>_xlfn.IFNA(VLOOKUP(L864,list_vat[],3,FALSE),0)</f>
        <v/>
      </c>
      <c r="AX864" s="76">
        <f>IFERROR(ROUND(S864*(1+AW864)/E864,2),0)</f>
        <v/>
      </c>
      <c r="AY864" s="76">
        <f>E864*AX864</f>
        <v/>
      </c>
      <c r="AZ864" s="192">
        <f>S864*(1+M864)</f>
        <v/>
      </c>
      <c r="BA864" s="76">
        <f>cost_fin_total*$BD864</f>
        <v/>
      </c>
      <c r="BB864" s="193">
        <f>credit_sales_interest*BD864</f>
        <v/>
      </c>
      <c r="BC864" s="102">
        <f>IFERROR(IF($I$13&gt;0,$I864/$I$13,$S864/$S$13),0)</f>
        <v/>
      </c>
      <c r="BD864" s="102">
        <f>IFERROR($S864/$S$13,0)</f>
        <v/>
      </c>
      <c r="BE864" s="413" t="inlineStr">
        <is>
          <t>$</t>
        </is>
      </c>
    </row>
    <row r="865" ht="12" customFormat="1" customHeight="1" s="65">
      <c r="A865" s="43" t="n">
        <v>850</v>
      </c>
      <c r="B865" s="166" t="n"/>
      <c r="C865" s="166" t="n"/>
      <c r="D865" s="166" t="n"/>
      <c r="E865" s="162" t="n"/>
      <c r="F865" s="166" t="n"/>
      <c r="G865" s="162" t="n"/>
      <c r="H865" s="162" t="n"/>
      <c r="I865" s="189">
        <f>E865*G865</f>
        <v/>
      </c>
      <c r="J865" s="195" t="n"/>
      <c r="K865" s="162" t="n"/>
      <c r="L865" s="168" t="n"/>
      <c r="M865" s="75">
        <f>_xlfn.XLOOKUP(L865,list_vat[Страна],list_vat[Ставка НДС %],0,0)</f>
        <v/>
      </c>
      <c r="N865" s="162">
        <f>IFERROR(IF(L865="Китай",K865,K865/(1+M865)),0)</f>
        <v/>
      </c>
      <c r="O865" s="169" t="n"/>
      <c r="P865" s="76">
        <f>N865*(1-O865)</f>
        <v/>
      </c>
      <c r="Q865" s="162" t="n"/>
      <c r="R865" s="162">
        <f>IF(ISBLANK(Q865),"введи курс",P865/Q865)</f>
        <v/>
      </c>
      <c r="S865" s="196">
        <f>IF(AND(ISNUMBER(E865),ISNUMBER(Q865)),E865*R865,0)</f>
        <v/>
      </c>
      <c r="T865" s="192">
        <f>$BC865*V$11</f>
        <v/>
      </c>
      <c r="U865" s="76">
        <f>$BC865*W$11</f>
        <v/>
      </c>
      <c r="V865" s="193">
        <f>+SUM(T865:U865)</f>
        <v/>
      </c>
      <c r="W865" s="191" t="n"/>
      <c r="X865" s="170" t="n"/>
      <c r="Y865" s="76">
        <f>ROUND(IF(offer_incoterms="DDP",X865*(S865*(1+AW865)+T865),0),2)</f>
        <v/>
      </c>
      <c r="Z865" s="188" t="n"/>
      <c r="AA865" s="192">
        <f>IFERROR(AB865/E865,0)</f>
        <v/>
      </c>
      <c r="AB865" s="76">
        <f>ROUND(SUM(S865,V865,Y865:Z865,BA865:BB865),2)</f>
        <v/>
      </c>
      <c r="AC865" s="797" t="n"/>
      <c r="AD865" s="192">
        <f t="array" ref="AD865">IFERROR(ROUND((_xlfn.IFS(offer_sale_type="поставка",AB865,offer_sale_type="транзит",S865)*(1+AC865))/E865,2),0)</f>
        <v/>
      </c>
      <c r="AE865" s="76">
        <f>AD865*E865</f>
        <v/>
      </c>
      <c r="AF865" s="193">
        <f t="array" ref="AF865">IFERROR(ROUND(_xlfn.IFS(offer_sale_type="поставка",AB865,offer_sale_type="транзит",S865)*AC865,2),0)</f>
        <v/>
      </c>
      <c r="AG865" s="192">
        <f>$BD865*VLOOKUP($AG$3,$AF$4:$AG$7,2,FALSE)</f>
        <v/>
      </c>
      <c r="AH865" s="76">
        <f>SUM(AE865,AG865,AI865)*rate_forex_risk</f>
        <v/>
      </c>
      <c r="AI865" s="193">
        <f>IF(OR(seller_region="TR",offer_sale_type="экспорт"),0,rate_fin_comm)*SUM(AZ865,AZ865*AW865,T865)</f>
        <v/>
      </c>
      <c r="AJ865" s="118">
        <f>IFERROR(ROUND(SUM(AB865,AF865:AI865)/E865,2),0)</f>
        <v/>
      </c>
      <c r="AK865" s="76">
        <f>AJ865*E865</f>
        <v/>
      </c>
      <c r="AL865" s="174">
        <f>ROUND(IFERROR(AM865*E865,0),2)</f>
        <v/>
      </c>
      <c r="AM865" s="175">
        <f>ROUND(AJ865*(1+IF(offer_incoterms="DDP",IF((TODAY()+offer_turnaround_time)&gt;=helpsheet!$L$17,rate_vatRU_from_26,rate_vatRu_till_25),0)),2)</f>
        <v/>
      </c>
      <c r="AN865" s="192">
        <f>AL865-AK865</f>
        <v/>
      </c>
      <c r="AO865" s="76">
        <f>SUM(AY865,Y865:Z865,T865)*IF(AND(offer_incoterms="DDP",offer_sale_type&lt;&gt;"экспорт"),IF((TODAY()+offer_turnaround_time)&gt;=helpsheet!$L$17,rate_vatRU_from_26,rate_vatRu_till_25),0)</f>
        <v/>
      </c>
      <c r="AP865" s="193">
        <f>AN865-AO865</f>
        <v/>
      </c>
      <c r="AQ865" s="118">
        <f>IF(offer_sale_type="транзит",SUM(AF865:AI865,BA865,BB865),0)</f>
        <v/>
      </c>
      <c r="AR865" s="82">
        <f>HYPERLINK("https://www.alta.ru/tnved/code/")&amp;W865&amp;"/"</f>
        <v/>
      </c>
      <c r="AS865" s="157" t="n"/>
      <c r="AT865" s="162" t="n"/>
      <c r="AU865" s="76">
        <f>IF(ISBLANK(AT865),0,AJ865-AT865)</f>
        <v/>
      </c>
      <c r="AV865" s="157" t="n"/>
      <c r="AW865" s="75">
        <f>_xlfn.IFNA(VLOOKUP(L865,list_vat[],3,FALSE),0)</f>
        <v/>
      </c>
      <c r="AX865" s="76">
        <f>IFERROR(ROUND(S865*(1+AW865)/E865,2),0)</f>
        <v/>
      </c>
      <c r="AY865" s="76">
        <f>E865*AX865</f>
        <v/>
      </c>
      <c r="AZ865" s="192">
        <f>S865*(1+M865)</f>
        <v/>
      </c>
      <c r="BA865" s="76">
        <f>cost_fin_total*$BD865</f>
        <v/>
      </c>
      <c r="BB865" s="193">
        <f>credit_sales_interest*BD865</f>
        <v/>
      </c>
      <c r="BC865" s="102">
        <f>IFERROR(IF($I$13&gt;0,$I865/$I$13,$S865/$S$13),0)</f>
        <v/>
      </c>
      <c r="BD865" s="102">
        <f>IFERROR($S865/$S$13,0)</f>
        <v/>
      </c>
      <c r="BE865" s="413" t="inlineStr">
        <is>
          <t>$</t>
        </is>
      </c>
    </row>
    <row r="866" ht="12" customFormat="1" customHeight="1" s="65">
      <c r="A866" s="43" t="n">
        <v>851</v>
      </c>
      <c r="B866" s="166" t="n"/>
      <c r="C866" s="166" t="n"/>
      <c r="D866" s="166" t="n"/>
      <c r="E866" s="162" t="n"/>
      <c r="F866" s="166" t="n"/>
      <c r="G866" s="162" t="n"/>
      <c r="H866" s="162" t="n"/>
      <c r="I866" s="189">
        <f>E866*G866</f>
        <v/>
      </c>
      <c r="J866" s="195" t="n"/>
      <c r="K866" s="162" t="n"/>
      <c r="L866" s="168" t="n"/>
      <c r="M866" s="75">
        <f>_xlfn.XLOOKUP(L866,list_vat[Страна],list_vat[Ставка НДС %],0,0)</f>
        <v/>
      </c>
      <c r="N866" s="162">
        <f>IFERROR(IF(L866="Китай",K866,K866/(1+M866)),0)</f>
        <v/>
      </c>
      <c r="O866" s="169" t="n"/>
      <c r="P866" s="76">
        <f>N866*(1-O866)</f>
        <v/>
      </c>
      <c r="Q866" s="162" t="n"/>
      <c r="R866" s="162">
        <f>IF(ISBLANK(Q866),"введи курс",P866/Q866)</f>
        <v/>
      </c>
      <c r="S866" s="196">
        <f>IF(AND(ISNUMBER(E866),ISNUMBER(Q866)),E866*R866,0)</f>
        <v/>
      </c>
      <c r="T866" s="192">
        <f>$BC866*V$11</f>
        <v/>
      </c>
      <c r="U866" s="76">
        <f>$BC866*W$11</f>
        <v/>
      </c>
      <c r="V866" s="193">
        <f>+SUM(T866:U866)</f>
        <v/>
      </c>
      <c r="W866" s="191" t="n"/>
      <c r="X866" s="170" t="n"/>
      <c r="Y866" s="76">
        <f>ROUND(IF(offer_incoterms="DDP",X866*(S866*(1+AW866)+T866),0),2)</f>
        <v/>
      </c>
      <c r="Z866" s="188" t="n"/>
      <c r="AA866" s="192">
        <f>IFERROR(AB866/E866,0)</f>
        <v/>
      </c>
      <c r="AB866" s="76">
        <f>ROUND(SUM(S866,V866,Y866:Z866,BA866:BB866),2)</f>
        <v/>
      </c>
      <c r="AC866" s="797" t="n"/>
      <c r="AD866" s="192">
        <f t="array" ref="AD866">IFERROR(ROUND((_xlfn.IFS(offer_sale_type="поставка",AB866,offer_sale_type="транзит",S866)*(1+AC866))/E866,2),0)</f>
        <v/>
      </c>
      <c r="AE866" s="76">
        <f>AD866*E866</f>
        <v/>
      </c>
      <c r="AF866" s="193">
        <f t="array" ref="AF866">IFERROR(ROUND(_xlfn.IFS(offer_sale_type="поставка",AB866,offer_sale_type="транзит",S866)*AC866,2),0)</f>
        <v/>
      </c>
      <c r="AG866" s="192">
        <f>$BD866*VLOOKUP($AG$3,$AF$4:$AG$7,2,FALSE)</f>
        <v/>
      </c>
      <c r="AH866" s="76">
        <f>SUM(AE866,AG866,AI866)*rate_forex_risk</f>
        <v/>
      </c>
      <c r="AI866" s="193">
        <f>IF(OR(seller_region="TR",offer_sale_type="экспорт"),0,rate_fin_comm)*SUM(AZ866,AZ866*AW866,T866)</f>
        <v/>
      </c>
      <c r="AJ866" s="118">
        <f>IFERROR(ROUND(SUM(AB866,AF866:AI866)/E866,2),0)</f>
        <v/>
      </c>
      <c r="AK866" s="76">
        <f>AJ866*E866</f>
        <v/>
      </c>
      <c r="AL866" s="174">
        <f>ROUND(IFERROR(AM866*E866,0),2)</f>
        <v/>
      </c>
      <c r="AM866" s="175">
        <f>ROUND(AJ866*(1+IF(offer_incoterms="DDP",IF((TODAY()+offer_turnaround_time)&gt;=helpsheet!$L$17,rate_vatRU_from_26,rate_vatRu_till_25),0)),2)</f>
        <v/>
      </c>
      <c r="AN866" s="192">
        <f>AL866-AK866</f>
        <v/>
      </c>
      <c r="AO866" s="76">
        <f>SUM(AY866,Y866:Z866,T866)*IF(AND(offer_incoterms="DDP",offer_sale_type&lt;&gt;"экспорт"),IF((TODAY()+offer_turnaround_time)&gt;=helpsheet!$L$17,rate_vatRU_from_26,rate_vatRu_till_25),0)</f>
        <v/>
      </c>
      <c r="AP866" s="193">
        <f>AN866-AO866</f>
        <v/>
      </c>
      <c r="AQ866" s="118">
        <f>IF(offer_sale_type="транзит",SUM(AF866:AI866,BA866,BB866),0)</f>
        <v/>
      </c>
      <c r="AR866" s="82">
        <f>HYPERLINK("https://www.alta.ru/tnved/code/")&amp;W866&amp;"/"</f>
        <v/>
      </c>
      <c r="AS866" s="157" t="n"/>
      <c r="AT866" s="162" t="n"/>
      <c r="AU866" s="76">
        <f>IF(ISBLANK(AT866),0,AJ866-AT866)</f>
        <v/>
      </c>
      <c r="AV866" s="157" t="n"/>
      <c r="AW866" s="75">
        <f>_xlfn.IFNA(VLOOKUP(L866,list_vat[],3,FALSE),0)</f>
        <v/>
      </c>
      <c r="AX866" s="76">
        <f>IFERROR(ROUND(S866*(1+AW866)/E866,2),0)</f>
        <v/>
      </c>
      <c r="AY866" s="76">
        <f>E866*AX866</f>
        <v/>
      </c>
      <c r="AZ866" s="192">
        <f>S866*(1+M866)</f>
        <v/>
      </c>
      <c r="BA866" s="76">
        <f>cost_fin_total*$BD866</f>
        <v/>
      </c>
      <c r="BB866" s="193">
        <f>credit_sales_interest*BD866</f>
        <v/>
      </c>
      <c r="BC866" s="102">
        <f>IFERROR(IF($I$13&gt;0,$I866/$I$13,$S866/$S$13),0)</f>
        <v/>
      </c>
      <c r="BD866" s="102">
        <f>IFERROR($S866/$S$13,0)</f>
        <v/>
      </c>
      <c r="BE866" s="413" t="inlineStr">
        <is>
          <t>$</t>
        </is>
      </c>
    </row>
    <row r="867" ht="12" customFormat="1" customHeight="1" s="65">
      <c r="A867" s="43" t="n">
        <v>852</v>
      </c>
      <c r="B867" s="166" t="n"/>
      <c r="C867" s="166" t="n"/>
      <c r="D867" s="166" t="n"/>
      <c r="E867" s="162" t="n"/>
      <c r="F867" s="166" t="n"/>
      <c r="G867" s="162" t="n"/>
      <c r="H867" s="162" t="n"/>
      <c r="I867" s="189">
        <f>E867*G867</f>
        <v/>
      </c>
      <c r="J867" s="195" t="n"/>
      <c r="K867" s="162" t="n"/>
      <c r="L867" s="168" t="n"/>
      <c r="M867" s="75">
        <f>_xlfn.XLOOKUP(L867,list_vat[Страна],list_vat[Ставка НДС %],0,0)</f>
        <v/>
      </c>
      <c r="N867" s="162">
        <f>IFERROR(IF(L867="Китай",K867,K867/(1+M867)),0)</f>
        <v/>
      </c>
      <c r="O867" s="169" t="n"/>
      <c r="P867" s="76">
        <f>N867*(1-O867)</f>
        <v/>
      </c>
      <c r="Q867" s="162" t="n"/>
      <c r="R867" s="162">
        <f>IF(ISBLANK(Q867),"введи курс",P867/Q867)</f>
        <v/>
      </c>
      <c r="S867" s="196">
        <f>IF(AND(ISNUMBER(E867),ISNUMBER(Q867)),E867*R867,0)</f>
        <v/>
      </c>
      <c r="T867" s="192">
        <f>$BC867*V$11</f>
        <v/>
      </c>
      <c r="U867" s="76">
        <f>$BC867*W$11</f>
        <v/>
      </c>
      <c r="V867" s="193">
        <f>+SUM(T867:U867)</f>
        <v/>
      </c>
      <c r="W867" s="191" t="n"/>
      <c r="X867" s="170" t="n"/>
      <c r="Y867" s="76">
        <f>ROUND(IF(offer_incoterms="DDP",X867*(S867*(1+AW867)+T867),0),2)</f>
        <v/>
      </c>
      <c r="Z867" s="188" t="n"/>
      <c r="AA867" s="192">
        <f>IFERROR(AB867/E867,0)</f>
        <v/>
      </c>
      <c r="AB867" s="76">
        <f>ROUND(SUM(S867,V867,Y867:Z867,BA867:BB867),2)</f>
        <v/>
      </c>
      <c r="AC867" s="797" t="n"/>
      <c r="AD867" s="192">
        <f t="array" ref="AD867">IFERROR(ROUND((_xlfn.IFS(offer_sale_type="поставка",AB867,offer_sale_type="транзит",S867)*(1+AC867))/E867,2),0)</f>
        <v/>
      </c>
      <c r="AE867" s="76">
        <f>AD867*E867</f>
        <v/>
      </c>
      <c r="AF867" s="193">
        <f t="array" ref="AF867">IFERROR(ROUND(_xlfn.IFS(offer_sale_type="поставка",AB867,offer_sale_type="транзит",S867)*AC867,2),0)</f>
        <v/>
      </c>
      <c r="AG867" s="192">
        <f>$BD867*VLOOKUP($AG$3,$AF$4:$AG$7,2,FALSE)</f>
        <v/>
      </c>
      <c r="AH867" s="76">
        <f>SUM(AE867,AG867,AI867)*rate_forex_risk</f>
        <v/>
      </c>
      <c r="AI867" s="193">
        <f>IF(OR(seller_region="TR",offer_sale_type="экспорт"),0,rate_fin_comm)*SUM(AZ867,AZ867*AW867,T867)</f>
        <v/>
      </c>
      <c r="AJ867" s="118">
        <f>IFERROR(ROUND(SUM(AB867,AF867:AI867)/E867,2),0)</f>
        <v/>
      </c>
      <c r="AK867" s="76">
        <f>AJ867*E867</f>
        <v/>
      </c>
      <c r="AL867" s="174">
        <f>ROUND(IFERROR(AM867*E867,0),2)</f>
        <v/>
      </c>
      <c r="AM867" s="175">
        <f>ROUND(AJ867*(1+IF(offer_incoterms="DDP",IF((TODAY()+offer_turnaround_time)&gt;=helpsheet!$L$17,rate_vatRU_from_26,rate_vatRu_till_25),0)),2)</f>
        <v/>
      </c>
      <c r="AN867" s="192">
        <f>AL867-AK867</f>
        <v/>
      </c>
      <c r="AO867" s="76">
        <f>SUM(AY867,Y867:Z867,T867)*IF(AND(offer_incoterms="DDP",offer_sale_type&lt;&gt;"экспорт"),IF((TODAY()+offer_turnaround_time)&gt;=helpsheet!$L$17,rate_vatRU_from_26,rate_vatRu_till_25),0)</f>
        <v/>
      </c>
      <c r="AP867" s="193">
        <f>AN867-AO867</f>
        <v/>
      </c>
      <c r="AQ867" s="118">
        <f>IF(offer_sale_type="транзит",SUM(AF867:AI867,BA867,BB867),0)</f>
        <v/>
      </c>
      <c r="AR867" s="82">
        <f>HYPERLINK("https://www.alta.ru/tnved/code/")&amp;W867&amp;"/"</f>
        <v/>
      </c>
      <c r="AS867" s="157" t="n"/>
      <c r="AT867" s="162" t="n"/>
      <c r="AU867" s="76">
        <f>IF(ISBLANK(AT867),0,AJ867-AT867)</f>
        <v/>
      </c>
      <c r="AV867" s="157" t="n"/>
      <c r="AW867" s="75">
        <f>_xlfn.IFNA(VLOOKUP(L867,list_vat[],3,FALSE),0)</f>
        <v/>
      </c>
      <c r="AX867" s="76">
        <f>IFERROR(ROUND(S867*(1+AW867)/E867,2),0)</f>
        <v/>
      </c>
      <c r="AY867" s="76">
        <f>E867*AX867</f>
        <v/>
      </c>
      <c r="AZ867" s="192">
        <f>S867*(1+M867)</f>
        <v/>
      </c>
      <c r="BA867" s="76">
        <f>cost_fin_total*$BD867</f>
        <v/>
      </c>
      <c r="BB867" s="193">
        <f>credit_sales_interest*BD867</f>
        <v/>
      </c>
      <c r="BC867" s="102">
        <f>IFERROR(IF($I$13&gt;0,$I867/$I$13,$S867/$S$13),0)</f>
        <v/>
      </c>
      <c r="BD867" s="102">
        <f>IFERROR($S867/$S$13,0)</f>
        <v/>
      </c>
      <c r="BE867" s="413" t="inlineStr">
        <is>
          <t>$</t>
        </is>
      </c>
    </row>
    <row r="868" ht="12" customFormat="1" customHeight="1" s="65">
      <c r="A868" s="43" t="n">
        <v>853</v>
      </c>
      <c r="B868" s="166" t="n"/>
      <c r="C868" s="166" t="n"/>
      <c r="D868" s="166" t="n"/>
      <c r="E868" s="162" t="n"/>
      <c r="F868" s="166" t="n"/>
      <c r="G868" s="162" t="n"/>
      <c r="H868" s="162" t="n"/>
      <c r="I868" s="189">
        <f>E868*G868</f>
        <v/>
      </c>
      <c r="J868" s="195" t="n"/>
      <c r="K868" s="162" t="n"/>
      <c r="L868" s="168" t="n"/>
      <c r="M868" s="75">
        <f>_xlfn.XLOOKUP(L868,list_vat[Страна],list_vat[Ставка НДС %],0,0)</f>
        <v/>
      </c>
      <c r="N868" s="162">
        <f>IFERROR(IF(L868="Китай",K868,K868/(1+M868)),0)</f>
        <v/>
      </c>
      <c r="O868" s="169" t="n"/>
      <c r="P868" s="76">
        <f>N868*(1-O868)</f>
        <v/>
      </c>
      <c r="Q868" s="162" t="n"/>
      <c r="R868" s="162">
        <f>IF(ISBLANK(Q868),"введи курс",P868/Q868)</f>
        <v/>
      </c>
      <c r="S868" s="196">
        <f>IF(AND(ISNUMBER(E868),ISNUMBER(Q868)),E868*R868,0)</f>
        <v/>
      </c>
      <c r="T868" s="192">
        <f>$BC868*V$11</f>
        <v/>
      </c>
      <c r="U868" s="76">
        <f>$BC868*W$11</f>
        <v/>
      </c>
      <c r="V868" s="193">
        <f>+SUM(T868:U868)</f>
        <v/>
      </c>
      <c r="W868" s="191" t="n"/>
      <c r="X868" s="170" t="n"/>
      <c r="Y868" s="76">
        <f>ROUND(IF(offer_incoterms="DDP",X868*(S868*(1+AW868)+T868),0),2)</f>
        <v/>
      </c>
      <c r="Z868" s="188" t="n"/>
      <c r="AA868" s="192">
        <f>IFERROR(AB868/E868,0)</f>
        <v/>
      </c>
      <c r="AB868" s="76">
        <f>ROUND(SUM(S868,V868,Y868:Z868,BA868:BB868),2)</f>
        <v/>
      </c>
      <c r="AC868" s="797" t="n"/>
      <c r="AD868" s="192">
        <f t="array" ref="AD868">IFERROR(ROUND((_xlfn.IFS(offer_sale_type="поставка",AB868,offer_sale_type="транзит",S868)*(1+AC868))/E868,2),0)</f>
        <v/>
      </c>
      <c r="AE868" s="76">
        <f>AD868*E868</f>
        <v/>
      </c>
      <c r="AF868" s="193">
        <f t="array" ref="AF868">IFERROR(ROUND(_xlfn.IFS(offer_sale_type="поставка",AB868,offer_sale_type="транзит",S868)*AC868,2),0)</f>
        <v/>
      </c>
      <c r="AG868" s="192">
        <f>$BD868*VLOOKUP($AG$3,$AF$4:$AG$7,2,FALSE)</f>
        <v/>
      </c>
      <c r="AH868" s="76">
        <f>SUM(AE868,AG868,AI868)*rate_forex_risk</f>
        <v/>
      </c>
      <c r="AI868" s="193">
        <f>IF(OR(seller_region="TR",offer_sale_type="экспорт"),0,rate_fin_comm)*SUM(AZ868,AZ868*AW868,T868)</f>
        <v/>
      </c>
      <c r="AJ868" s="118">
        <f>IFERROR(ROUND(SUM(AB868,AF868:AI868)/E868,2),0)</f>
        <v/>
      </c>
      <c r="AK868" s="76">
        <f>AJ868*E868</f>
        <v/>
      </c>
      <c r="AL868" s="174">
        <f>ROUND(IFERROR(AM868*E868,0),2)</f>
        <v/>
      </c>
      <c r="AM868" s="175">
        <f>ROUND(AJ868*(1+IF(offer_incoterms="DDP",IF((TODAY()+offer_turnaround_time)&gt;=helpsheet!$L$17,rate_vatRU_from_26,rate_vatRu_till_25),0)),2)</f>
        <v/>
      </c>
      <c r="AN868" s="192">
        <f>AL868-AK868</f>
        <v/>
      </c>
      <c r="AO868" s="76">
        <f>SUM(AY868,Y868:Z868,T868)*IF(AND(offer_incoterms="DDP",offer_sale_type&lt;&gt;"экспорт"),IF((TODAY()+offer_turnaround_time)&gt;=helpsheet!$L$17,rate_vatRU_from_26,rate_vatRu_till_25),0)</f>
        <v/>
      </c>
      <c r="AP868" s="193">
        <f>AN868-AO868</f>
        <v/>
      </c>
      <c r="AQ868" s="118">
        <f>IF(offer_sale_type="транзит",SUM(AF868:AI868,BA868,BB868),0)</f>
        <v/>
      </c>
      <c r="AR868" s="82">
        <f>HYPERLINK("https://www.alta.ru/tnved/code/")&amp;W868&amp;"/"</f>
        <v/>
      </c>
      <c r="AS868" s="157" t="n"/>
      <c r="AT868" s="162" t="n"/>
      <c r="AU868" s="76">
        <f>IF(ISBLANK(AT868),0,AJ868-AT868)</f>
        <v/>
      </c>
      <c r="AV868" s="157" t="n"/>
      <c r="AW868" s="75">
        <f>_xlfn.IFNA(VLOOKUP(L868,list_vat[],3,FALSE),0)</f>
        <v/>
      </c>
      <c r="AX868" s="76">
        <f>IFERROR(ROUND(S868*(1+AW868)/E868,2),0)</f>
        <v/>
      </c>
      <c r="AY868" s="76">
        <f>E868*AX868</f>
        <v/>
      </c>
      <c r="AZ868" s="192">
        <f>S868*(1+M868)</f>
        <v/>
      </c>
      <c r="BA868" s="76">
        <f>cost_fin_total*$BD868</f>
        <v/>
      </c>
      <c r="BB868" s="193">
        <f>credit_sales_interest*BD868</f>
        <v/>
      </c>
      <c r="BC868" s="102">
        <f>IFERROR(IF($I$13&gt;0,$I868/$I$13,$S868/$S$13),0)</f>
        <v/>
      </c>
      <c r="BD868" s="102">
        <f>IFERROR($S868/$S$13,0)</f>
        <v/>
      </c>
      <c r="BE868" s="413" t="inlineStr">
        <is>
          <t>$</t>
        </is>
      </c>
    </row>
    <row r="869" ht="12" customFormat="1" customHeight="1" s="65">
      <c r="A869" s="43" t="n">
        <v>854</v>
      </c>
      <c r="B869" s="166" t="n"/>
      <c r="C869" s="166" t="n"/>
      <c r="D869" s="166" t="n"/>
      <c r="E869" s="162" t="n"/>
      <c r="F869" s="166" t="n"/>
      <c r="G869" s="162" t="n"/>
      <c r="H869" s="162" t="n"/>
      <c r="I869" s="189">
        <f>E869*G869</f>
        <v/>
      </c>
      <c r="J869" s="195" t="n"/>
      <c r="K869" s="162" t="n"/>
      <c r="L869" s="168" t="n"/>
      <c r="M869" s="75">
        <f>_xlfn.XLOOKUP(L869,list_vat[Страна],list_vat[Ставка НДС %],0,0)</f>
        <v/>
      </c>
      <c r="N869" s="162">
        <f>IFERROR(IF(L869="Китай",K869,K869/(1+M869)),0)</f>
        <v/>
      </c>
      <c r="O869" s="169" t="n"/>
      <c r="P869" s="76">
        <f>N869*(1-O869)</f>
        <v/>
      </c>
      <c r="Q869" s="162" t="n"/>
      <c r="R869" s="162">
        <f>IF(ISBLANK(Q869),"введи курс",P869/Q869)</f>
        <v/>
      </c>
      <c r="S869" s="196">
        <f>IF(AND(ISNUMBER(E869),ISNUMBER(Q869)),E869*R869,0)</f>
        <v/>
      </c>
      <c r="T869" s="192">
        <f>$BC869*V$11</f>
        <v/>
      </c>
      <c r="U869" s="76">
        <f>$BC869*W$11</f>
        <v/>
      </c>
      <c r="V869" s="193">
        <f>+SUM(T869:U869)</f>
        <v/>
      </c>
      <c r="W869" s="191" t="n"/>
      <c r="X869" s="170" t="n"/>
      <c r="Y869" s="76">
        <f>ROUND(IF(offer_incoterms="DDP",X869*(S869*(1+AW869)+T869),0),2)</f>
        <v/>
      </c>
      <c r="Z869" s="188" t="n"/>
      <c r="AA869" s="192">
        <f>IFERROR(AB869/E869,0)</f>
        <v/>
      </c>
      <c r="AB869" s="76">
        <f>ROUND(SUM(S869,V869,Y869:Z869,BA869:BB869),2)</f>
        <v/>
      </c>
      <c r="AC869" s="797" t="n"/>
      <c r="AD869" s="192">
        <f t="array" ref="AD869">IFERROR(ROUND((_xlfn.IFS(offer_sale_type="поставка",AB869,offer_sale_type="транзит",S869)*(1+AC869))/E869,2),0)</f>
        <v/>
      </c>
      <c r="AE869" s="76">
        <f>AD869*E869</f>
        <v/>
      </c>
      <c r="AF869" s="193">
        <f t="array" ref="AF869">IFERROR(ROUND(_xlfn.IFS(offer_sale_type="поставка",AB869,offer_sale_type="транзит",S869)*AC869,2),0)</f>
        <v/>
      </c>
      <c r="AG869" s="192">
        <f>$BD869*VLOOKUP($AG$3,$AF$4:$AG$7,2,FALSE)</f>
        <v/>
      </c>
      <c r="AH869" s="76">
        <f>SUM(AE869,AG869,AI869)*rate_forex_risk</f>
        <v/>
      </c>
      <c r="AI869" s="193">
        <f>IF(OR(seller_region="TR",offer_sale_type="экспорт"),0,rate_fin_comm)*SUM(AZ869,AZ869*AW869,T869)</f>
        <v/>
      </c>
      <c r="AJ869" s="118">
        <f>IFERROR(ROUND(SUM(AB869,AF869:AI869)/E869,2),0)</f>
        <v/>
      </c>
      <c r="AK869" s="76">
        <f>AJ869*E869</f>
        <v/>
      </c>
      <c r="AL869" s="174">
        <f>ROUND(IFERROR(AM869*E869,0),2)</f>
        <v/>
      </c>
      <c r="AM869" s="175">
        <f>ROUND(AJ869*(1+IF(offer_incoterms="DDP",IF((TODAY()+offer_turnaround_time)&gt;=helpsheet!$L$17,rate_vatRU_from_26,rate_vatRu_till_25),0)),2)</f>
        <v/>
      </c>
      <c r="AN869" s="192">
        <f>AL869-AK869</f>
        <v/>
      </c>
      <c r="AO869" s="76">
        <f>SUM(AY869,Y869:Z869,T869)*IF(AND(offer_incoterms="DDP",offer_sale_type&lt;&gt;"экспорт"),IF((TODAY()+offer_turnaround_time)&gt;=helpsheet!$L$17,rate_vatRU_from_26,rate_vatRu_till_25),0)</f>
        <v/>
      </c>
      <c r="AP869" s="193">
        <f>AN869-AO869</f>
        <v/>
      </c>
      <c r="AQ869" s="118">
        <f>IF(offer_sale_type="транзит",SUM(AF869:AI869,BA869,BB869),0)</f>
        <v/>
      </c>
      <c r="AR869" s="82">
        <f>HYPERLINK("https://www.alta.ru/tnved/code/")&amp;W869&amp;"/"</f>
        <v/>
      </c>
      <c r="AS869" s="157" t="n"/>
      <c r="AT869" s="162" t="n"/>
      <c r="AU869" s="76">
        <f>IF(ISBLANK(AT869),0,AJ869-AT869)</f>
        <v/>
      </c>
      <c r="AV869" s="157" t="n"/>
      <c r="AW869" s="75">
        <f>_xlfn.IFNA(VLOOKUP(L869,list_vat[],3,FALSE),0)</f>
        <v/>
      </c>
      <c r="AX869" s="76">
        <f>IFERROR(ROUND(S869*(1+AW869)/E869,2),0)</f>
        <v/>
      </c>
      <c r="AY869" s="76">
        <f>E869*AX869</f>
        <v/>
      </c>
      <c r="AZ869" s="192">
        <f>S869*(1+M869)</f>
        <v/>
      </c>
      <c r="BA869" s="76">
        <f>cost_fin_total*$BD869</f>
        <v/>
      </c>
      <c r="BB869" s="193">
        <f>credit_sales_interest*BD869</f>
        <v/>
      </c>
      <c r="BC869" s="102">
        <f>IFERROR(IF($I$13&gt;0,$I869/$I$13,$S869/$S$13),0)</f>
        <v/>
      </c>
      <c r="BD869" s="102">
        <f>IFERROR($S869/$S$13,0)</f>
        <v/>
      </c>
      <c r="BE869" s="413" t="inlineStr">
        <is>
          <t>$</t>
        </is>
      </c>
    </row>
    <row r="870" ht="12" customFormat="1" customHeight="1" s="65">
      <c r="A870" s="43" t="n">
        <v>855</v>
      </c>
      <c r="B870" s="166" t="n"/>
      <c r="C870" s="166" t="n"/>
      <c r="D870" s="166" t="n"/>
      <c r="E870" s="162" t="n"/>
      <c r="F870" s="166" t="n"/>
      <c r="G870" s="162" t="n"/>
      <c r="H870" s="162" t="n"/>
      <c r="I870" s="189">
        <f>E870*G870</f>
        <v/>
      </c>
      <c r="J870" s="195" t="n"/>
      <c r="K870" s="162" t="n"/>
      <c r="L870" s="168" t="n"/>
      <c r="M870" s="75">
        <f>_xlfn.XLOOKUP(L870,list_vat[Страна],list_vat[Ставка НДС %],0,0)</f>
        <v/>
      </c>
      <c r="N870" s="162">
        <f>IFERROR(IF(L870="Китай",K870,K870/(1+M870)),0)</f>
        <v/>
      </c>
      <c r="O870" s="169" t="n"/>
      <c r="P870" s="76">
        <f>N870*(1-O870)</f>
        <v/>
      </c>
      <c r="Q870" s="162" t="n"/>
      <c r="R870" s="162">
        <f>IF(ISBLANK(Q870),"введи курс",P870/Q870)</f>
        <v/>
      </c>
      <c r="S870" s="196">
        <f>IF(AND(ISNUMBER(E870),ISNUMBER(Q870)),E870*R870,0)</f>
        <v/>
      </c>
      <c r="T870" s="192">
        <f>$BC870*V$11</f>
        <v/>
      </c>
      <c r="U870" s="76">
        <f>$BC870*W$11</f>
        <v/>
      </c>
      <c r="V870" s="193">
        <f>+SUM(T870:U870)</f>
        <v/>
      </c>
      <c r="W870" s="191" t="n"/>
      <c r="X870" s="170" t="n"/>
      <c r="Y870" s="76">
        <f>ROUND(IF(offer_incoterms="DDP",X870*(S870*(1+AW870)+T870),0),2)</f>
        <v/>
      </c>
      <c r="Z870" s="188" t="n"/>
      <c r="AA870" s="192">
        <f>IFERROR(AB870/E870,0)</f>
        <v/>
      </c>
      <c r="AB870" s="76">
        <f>ROUND(SUM(S870,V870,Y870:Z870,BA870:BB870),2)</f>
        <v/>
      </c>
      <c r="AC870" s="797" t="n"/>
      <c r="AD870" s="192">
        <f t="array" ref="AD870">IFERROR(ROUND((_xlfn.IFS(offer_sale_type="поставка",AB870,offer_sale_type="транзит",S870)*(1+AC870))/E870,2),0)</f>
        <v/>
      </c>
      <c r="AE870" s="76">
        <f>AD870*E870</f>
        <v/>
      </c>
      <c r="AF870" s="193">
        <f t="array" ref="AF870">IFERROR(ROUND(_xlfn.IFS(offer_sale_type="поставка",AB870,offer_sale_type="транзит",S870)*AC870,2),0)</f>
        <v/>
      </c>
      <c r="AG870" s="192">
        <f>$BD870*VLOOKUP($AG$3,$AF$4:$AG$7,2,FALSE)</f>
        <v/>
      </c>
      <c r="AH870" s="76">
        <f>SUM(AE870,AG870,AI870)*rate_forex_risk</f>
        <v/>
      </c>
      <c r="AI870" s="193">
        <f>IF(OR(seller_region="TR",offer_sale_type="экспорт"),0,rate_fin_comm)*SUM(AZ870,AZ870*AW870,T870)</f>
        <v/>
      </c>
      <c r="AJ870" s="118">
        <f>IFERROR(ROUND(SUM(AB870,AF870:AI870)/E870,2),0)</f>
        <v/>
      </c>
      <c r="AK870" s="76">
        <f>AJ870*E870</f>
        <v/>
      </c>
      <c r="AL870" s="174">
        <f>ROUND(IFERROR(AM870*E870,0),2)</f>
        <v/>
      </c>
      <c r="AM870" s="175">
        <f>ROUND(AJ870*(1+IF(offer_incoterms="DDP",IF((TODAY()+offer_turnaround_time)&gt;=helpsheet!$L$17,rate_vatRU_from_26,rate_vatRu_till_25),0)),2)</f>
        <v/>
      </c>
      <c r="AN870" s="192">
        <f>AL870-AK870</f>
        <v/>
      </c>
      <c r="AO870" s="76">
        <f>SUM(AY870,Y870:Z870,T870)*IF(AND(offer_incoterms="DDP",offer_sale_type&lt;&gt;"экспорт"),IF((TODAY()+offer_turnaround_time)&gt;=helpsheet!$L$17,rate_vatRU_from_26,rate_vatRu_till_25),0)</f>
        <v/>
      </c>
      <c r="AP870" s="193">
        <f>AN870-AO870</f>
        <v/>
      </c>
      <c r="AQ870" s="118">
        <f>IF(offer_sale_type="транзит",SUM(AF870:AI870,BA870,BB870),0)</f>
        <v/>
      </c>
      <c r="AR870" s="82">
        <f>HYPERLINK("https://www.alta.ru/tnved/code/")&amp;W870&amp;"/"</f>
        <v/>
      </c>
      <c r="AS870" s="157" t="n"/>
      <c r="AT870" s="162" t="n"/>
      <c r="AU870" s="76">
        <f>IF(ISBLANK(AT870),0,AJ870-AT870)</f>
        <v/>
      </c>
      <c r="AV870" s="157" t="n"/>
      <c r="AW870" s="75">
        <f>_xlfn.IFNA(VLOOKUP(L870,list_vat[],3,FALSE),0)</f>
        <v/>
      </c>
      <c r="AX870" s="76">
        <f>IFERROR(ROUND(S870*(1+AW870)/E870,2),0)</f>
        <v/>
      </c>
      <c r="AY870" s="76">
        <f>E870*AX870</f>
        <v/>
      </c>
      <c r="AZ870" s="192">
        <f>S870*(1+M870)</f>
        <v/>
      </c>
      <c r="BA870" s="76">
        <f>cost_fin_total*$BD870</f>
        <v/>
      </c>
      <c r="BB870" s="193">
        <f>credit_sales_interest*BD870</f>
        <v/>
      </c>
      <c r="BC870" s="102">
        <f>IFERROR(IF($I$13&gt;0,$I870/$I$13,$S870/$S$13),0)</f>
        <v/>
      </c>
      <c r="BD870" s="102">
        <f>IFERROR($S870/$S$13,0)</f>
        <v/>
      </c>
      <c r="BE870" s="413" t="inlineStr">
        <is>
          <t>$</t>
        </is>
      </c>
    </row>
    <row r="871" ht="12" customFormat="1" customHeight="1" s="65">
      <c r="A871" s="43" t="n">
        <v>856</v>
      </c>
      <c r="B871" s="166" t="n"/>
      <c r="C871" s="166" t="n"/>
      <c r="D871" s="166" t="n"/>
      <c r="E871" s="162" t="n"/>
      <c r="F871" s="166" t="n"/>
      <c r="G871" s="162" t="n"/>
      <c r="H871" s="162" t="n"/>
      <c r="I871" s="189">
        <f>E871*G871</f>
        <v/>
      </c>
      <c r="J871" s="195" t="n"/>
      <c r="K871" s="162" t="n"/>
      <c r="L871" s="168" t="n"/>
      <c r="M871" s="75">
        <f>_xlfn.XLOOKUP(L871,list_vat[Страна],list_vat[Ставка НДС %],0,0)</f>
        <v/>
      </c>
      <c r="N871" s="162">
        <f>IFERROR(IF(L871="Китай",K871,K871/(1+M871)),0)</f>
        <v/>
      </c>
      <c r="O871" s="169" t="n"/>
      <c r="P871" s="76">
        <f>N871*(1-O871)</f>
        <v/>
      </c>
      <c r="Q871" s="162" t="n"/>
      <c r="R871" s="162">
        <f>IF(ISBLANK(Q871),"введи курс",P871/Q871)</f>
        <v/>
      </c>
      <c r="S871" s="196">
        <f>IF(AND(ISNUMBER(E871),ISNUMBER(Q871)),E871*R871,0)</f>
        <v/>
      </c>
      <c r="T871" s="192">
        <f>$BC871*V$11</f>
        <v/>
      </c>
      <c r="U871" s="76">
        <f>$BC871*W$11</f>
        <v/>
      </c>
      <c r="V871" s="193">
        <f>+SUM(T871:U871)</f>
        <v/>
      </c>
      <c r="W871" s="191" t="n"/>
      <c r="X871" s="170" t="n"/>
      <c r="Y871" s="76">
        <f>ROUND(IF(offer_incoterms="DDP",X871*(S871*(1+AW871)+T871),0),2)</f>
        <v/>
      </c>
      <c r="Z871" s="188" t="n"/>
      <c r="AA871" s="192">
        <f>IFERROR(AB871/E871,0)</f>
        <v/>
      </c>
      <c r="AB871" s="76">
        <f>ROUND(SUM(S871,V871,Y871:Z871,BA871:BB871),2)</f>
        <v/>
      </c>
      <c r="AC871" s="797" t="n"/>
      <c r="AD871" s="192">
        <f t="array" ref="AD871">IFERROR(ROUND((_xlfn.IFS(offer_sale_type="поставка",AB871,offer_sale_type="транзит",S871)*(1+AC871))/E871,2),0)</f>
        <v/>
      </c>
      <c r="AE871" s="76">
        <f>AD871*E871</f>
        <v/>
      </c>
      <c r="AF871" s="193">
        <f t="array" ref="AF871">IFERROR(ROUND(_xlfn.IFS(offer_sale_type="поставка",AB871,offer_sale_type="транзит",S871)*AC871,2),0)</f>
        <v/>
      </c>
      <c r="AG871" s="192">
        <f>$BD871*VLOOKUP($AG$3,$AF$4:$AG$7,2,FALSE)</f>
        <v/>
      </c>
      <c r="AH871" s="76">
        <f>SUM(AE871,AG871,AI871)*rate_forex_risk</f>
        <v/>
      </c>
      <c r="AI871" s="193">
        <f>IF(OR(seller_region="TR",offer_sale_type="экспорт"),0,rate_fin_comm)*SUM(AZ871,AZ871*AW871,T871)</f>
        <v/>
      </c>
      <c r="AJ871" s="118">
        <f>IFERROR(ROUND(SUM(AB871,AF871:AI871)/E871,2),0)</f>
        <v/>
      </c>
      <c r="AK871" s="76">
        <f>AJ871*E871</f>
        <v/>
      </c>
      <c r="AL871" s="174">
        <f>ROUND(IFERROR(AM871*E871,0),2)</f>
        <v/>
      </c>
      <c r="AM871" s="175">
        <f>ROUND(AJ871*(1+IF(offer_incoterms="DDP",IF((TODAY()+offer_turnaround_time)&gt;=helpsheet!$L$17,rate_vatRU_from_26,rate_vatRu_till_25),0)),2)</f>
        <v/>
      </c>
      <c r="AN871" s="192">
        <f>AL871-AK871</f>
        <v/>
      </c>
      <c r="AO871" s="76">
        <f>SUM(AY871,Y871:Z871,T871)*IF(AND(offer_incoterms="DDP",offer_sale_type&lt;&gt;"экспорт"),IF((TODAY()+offer_turnaround_time)&gt;=helpsheet!$L$17,rate_vatRU_from_26,rate_vatRu_till_25),0)</f>
        <v/>
      </c>
      <c r="AP871" s="193">
        <f>AN871-AO871</f>
        <v/>
      </c>
      <c r="AQ871" s="118">
        <f>IF(offer_sale_type="транзит",SUM(AF871:AI871,BA871,BB871),0)</f>
        <v/>
      </c>
      <c r="AR871" s="82">
        <f>HYPERLINK("https://www.alta.ru/tnved/code/")&amp;W871&amp;"/"</f>
        <v/>
      </c>
      <c r="AS871" s="157" t="n"/>
      <c r="AT871" s="162" t="n"/>
      <c r="AU871" s="76">
        <f>IF(ISBLANK(AT871),0,AJ871-AT871)</f>
        <v/>
      </c>
      <c r="AV871" s="157" t="n"/>
      <c r="AW871" s="75">
        <f>_xlfn.IFNA(VLOOKUP(L871,list_vat[],3,FALSE),0)</f>
        <v/>
      </c>
      <c r="AX871" s="76">
        <f>IFERROR(ROUND(S871*(1+AW871)/E871,2),0)</f>
        <v/>
      </c>
      <c r="AY871" s="76">
        <f>E871*AX871</f>
        <v/>
      </c>
      <c r="AZ871" s="192">
        <f>S871*(1+M871)</f>
        <v/>
      </c>
      <c r="BA871" s="76">
        <f>cost_fin_total*$BD871</f>
        <v/>
      </c>
      <c r="BB871" s="193">
        <f>credit_sales_interest*BD871</f>
        <v/>
      </c>
      <c r="BC871" s="102">
        <f>IFERROR(IF($I$13&gt;0,$I871/$I$13,$S871/$S$13),0)</f>
        <v/>
      </c>
      <c r="BD871" s="102">
        <f>IFERROR($S871/$S$13,0)</f>
        <v/>
      </c>
      <c r="BE871" s="413" t="inlineStr">
        <is>
          <t>$</t>
        </is>
      </c>
    </row>
    <row r="872" ht="12" customFormat="1" customHeight="1" s="65">
      <c r="A872" s="43" t="n">
        <v>857</v>
      </c>
      <c r="B872" s="166" t="n"/>
      <c r="C872" s="166" t="n"/>
      <c r="D872" s="166" t="n"/>
      <c r="E872" s="162" t="n"/>
      <c r="F872" s="166" t="n"/>
      <c r="G872" s="162" t="n"/>
      <c r="H872" s="162" t="n"/>
      <c r="I872" s="189">
        <f>E872*G872</f>
        <v/>
      </c>
      <c r="J872" s="195" t="n"/>
      <c r="K872" s="162" t="n"/>
      <c r="L872" s="168" t="n"/>
      <c r="M872" s="75">
        <f>_xlfn.XLOOKUP(L872,list_vat[Страна],list_vat[Ставка НДС %],0,0)</f>
        <v/>
      </c>
      <c r="N872" s="162">
        <f>IFERROR(IF(L872="Китай",K872,K872/(1+M872)),0)</f>
        <v/>
      </c>
      <c r="O872" s="169" t="n"/>
      <c r="P872" s="76">
        <f>N872*(1-O872)</f>
        <v/>
      </c>
      <c r="Q872" s="162" t="n"/>
      <c r="R872" s="162">
        <f>IF(ISBLANK(Q872),"введи курс",P872/Q872)</f>
        <v/>
      </c>
      <c r="S872" s="196">
        <f>IF(AND(ISNUMBER(E872),ISNUMBER(Q872)),E872*R872,0)</f>
        <v/>
      </c>
      <c r="T872" s="192">
        <f>$BC872*V$11</f>
        <v/>
      </c>
      <c r="U872" s="76">
        <f>$BC872*W$11</f>
        <v/>
      </c>
      <c r="V872" s="193">
        <f>+SUM(T872:U872)</f>
        <v/>
      </c>
      <c r="W872" s="191" t="n"/>
      <c r="X872" s="170" t="n"/>
      <c r="Y872" s="76">
        <f>ROUND(IF(offer_incoterms="DDP",X872*(S872*(1+AW872)+T872),0),2)</f>
        <v/>
      </c>
      <c r="Z872" s="188" t="n"/>
      <c r="AA872" s="192">
        <f>IFERROR(AB872/E872,0)</f>
        <v/>
      </c>
      <c r="AB872" s="76">
        <f>ROUND(SUM(S872,V872,Y872:Z872,BA872:BB872),2)</f>
        <v/>
      </c>
      <c r="AC872" s="797" t="n"/>
      <c r="AD872" s="192">
        <f t="array" ref="AD872">IFERROR(ROUND((_xlfn.IFS(offer_sale_type="поставка",AB872,offer_sale_type="транзит",S872)*(1+AC872))/E872,2),0)</f>
        <v/>
      </c>
      <c r="AE872" s="76">
        <f>AD872*E872</f>
        <v/>
      </c>
      <c r="AF872" s="193">
        <f t="array" ref="AF872">IFERROR(ROUND(_xlfn.IFS(offer_sale_type="поставка",AB872,offer_sale_type="транзит",S872)*AC872,2),0)</f>
        <v/>
      </c>
      <c r="AG872" s="192">
        <f>$BD872*VLOOKUP($AG$3,$AF$4:$AG$7,2,FALSE)</f>
        <v/>
      </c>
      <c r="AH872" s="76">
        <f>SUM(AE872,AG872,AI872)*rate_forex_risk</f>
        <v/>
      </c>
      <c r="AI872" s="193">
        <f>IF(OR(seller_region="TR",offer_sale_type="экспорт"),0,rate_fin_comm)*SUM(AZ872,AZ872*AW872,T872)</f>
        <v/>
      </c>
      <c r="AJ872" s="118">
        <f>IFERROR(ROUND(SUM(AB872,AF872:AI872)/E872,2),0)</f>
        <v/>
      </c>
      <c r="AK872" s="76">
        <f>AJ872*E872</f>
        <v/>
      </c>
      <c r="AL872" s="174">
        <f>ROUND(IFERROR(AM872*E872,0),2)</f>
        <v/>
      </c>
      <c r="AM872" s="175">
        <f>ROUND(AJ872*(1+IF(offer_incoterms="DDP",IF((TODAY()+offer_turnaround_time)&gt;=helpsheet!$L$17,rate_vatRU_from_26,rate_vatRu_till_25),0)),2)</f>
        <v/>
      </c>
      <c r="AN872" s="192">
        <f>AL872-AK872</f>
        <v/>
      </c>
      <c r="AO872" s="76">
        <f>SUM(AY872,Y872:Z872,T872)*IF(AND(offer_incoterms="DDP",offer_sale_type&lt;&gt;"экспорт"),IF((TODAY()+offer_turnaround_time)&gt;=helpsheet!$L$17,rate_vatRU_from_26,rate_vatRu_till_25),0)</f>
        <v/>
      </c>
      <c r="AP872" s="193">
        <f>AN872-AO872</f>
        <v/>
      </c>
      <c r="AQ872" s="118">
        <f>IF(offer_sale_type="транзит",SUM(AF872:AI872,BA872,BB872),0)</f>
        <v/>
      </c>
      <c r="AR872" s="82">
        <f>HYPERLINK("https://www.alta.ru/tnved/code/")&amp;W872&amp;"/"</f>
        <v/>
      </c>
      <c r="AS872" s="157" t="n"/>
      <c r="AT872" s="162" t="n"/>
      <c r="AU872" s="76">
        <f>IF(ISBLANK(AT872),0,AJ872-AT872)</f>
        <v/>
      </c>
      <c r="AV872" s="157" t="n"/>
      <c r="AW872" s="75">
        <f>_xlfn.IFNA(VLOOKUP(L872,list_vat[],3,FALSE),0)</f>
        <v/>
      </c>
      <c r="AX872" s="76">
        <f>IFERROR(ROUND(S872*(1+AW872)/E872,2),0)</f>
        <v/>
      </c>
      <c r="AY872" s="76">
        <f>E872*AX872</f>
        <v/>
      </c>
      <c r="AZ872" s="192">
        <f>S872*(1+M872)</f>
        <v/>
      </c>
      <c r="BA872" s="76">
        <f>cost_fin_total*$BD872</f>
        <v/>
      </c>
      <c r="BB872" s="193">
        <f>credit_sales_interest*BD872</f>
        <v/>
      </c>
      <c r="BC872" s="102">
        <f>IFERROR(IF($I$13&gt;0,$I872/$I$13,$S872/$S$13),0)</f>
        <v/>
      </c>
      <c r="BD872" s="102">
        <f>IFERROR($S872/$S$13,0)</f>
        <v/>
      </c>
      <c r="BE872" s="413" t="inlineStr">
        <is>
          <t>$</t>
        </is>
      </c>
    </row>
    <row r="873" ht="12" customFormat="1" customHeight="1" s="65">
      <c r="A873" s="43" t="n">
        <v>858</v>
      </c>
      <c r="B873" s="166" t="n"/>
      <c r="C873" s="166" t="n"/>
      <c r="D873" s="166" t="n"/>
      <c r="E873" s="162" t="n"/>
      <c r="F873" s="166" t="n"/>
      <c r="G873" s="162" t="n"/>
      <c r="H873" s="162" t="n"/>
      <c r="I873" s="189">
        <f>E873*G873</f>
        <v/>
      </c>
      <c r="J873" s="195" t="n"/>
      <c r="K873" s="162" t="n"/>
      <c r="L873" s="168" t="n"/>
      <c r="M873" s="75">
        <f>_xlfn.XLOOKUP(L873,list_vat[Страна],list_vat[Ставка НДС %],0,0)</f>
        <v/>
      </c>
      <c r="N873" s="162">
        <f>IFERROR(IF(L873="Китай",K873,K873/(1+M873)),0)</f>
        <v/>
      </c>
      <c r="O873" s="169" t="n"/>
      <c r="P873" s="76">
        <f>N873*(1-O873)</f>
        <v/>
      </c>
      <c r="Q873" s="162" t="n"/>
      <c r="R873" s="162">
        <f>IF(ISBLANK(Q873),"введи курс",P873/Q873)</f>
        <v/>
      </c>
      <c r="S873" s="196">
        <f>IF(AND(ISNUMBER(E873),ISNUMBER(Q873)),E873*R873,0)</f>
        <v/>
      </c>
      <c r="T873" s="192">
        <f>$BC873*V$11</f>
        <v/>
      </c>
      <c r="U873" s="76">
        <f>$BC873*W$11</f>
        <v/>
      </c>
      <c r="V873" s="193">
        <f>+SUM(T873:U873)</f>
        <v/>
      </c>
      <c r="W873" s="191" t="n"/>
      <c r="X873" s="170" t="n"/>
      <c r="Y873" s="76">
        <f>ROUND(IF(offer_incoterms="DDP",X873*(S873*(1+AW873)+T873),0),2)</f>
        <v/>
      </c>
      <c r="Z873" s="188" t="n"/>
      <c r="AA873" s="192">
        <f>IFERROR(AB873/E873,0)</f>
        <v/>
      </c>
      <c r="AB873" s="76">
        <f>ROUND(SUM(S873,V873,Y873:Z873,BA873:BB873),2)</f>
        <v/>
      </c>
      <c r="AC873" s="797" t="n"/>
      <c r="AD873" s="192">
        <f t="array" ref="AD873">IFERROR(ROUND((_xlfn.IFS(offer_sale_type="поставка",AB873,offer_sale_type="транзит",S873)*(1+AC873))/E873,2),0)</f>
        <v/>
      </c>
      <c r="AE873" s="76">
        <f>AD873*E873</f>
        <v/>
      </c>
      <c r="AF873" s="193">
        <f t="array" ref="AF873">IFERROR(ROUND(_xlfn.IFS(offer_sale_type="поставка",AB873,offer_sale_type="транзит",S873)*AC873,2),0)</f>
        <v/>
      </c>
      <c r="AG873" s="192">
        <f>$BD873*VLOOKUP($AG$3,$AF$4:$AG$7,2,FALSE)</f>
        <v/>
      </c>
      <c r="AH873" s="76">
        <f>SUM(AE873,AG873,AI873)*rate_forex_risk</f>
        <v/>
      </c>
      <c r="AI873" s="193">
        <f>IF(OR(seller_region="TR",offer_sale_type="экспорт"),0,rate_fin_comm)*SUM(AZ873,AZ873*AW873,T873)</f>
        <v/>
      </c>
      <c r="AJ873" s="118">
        <f>IFERROR(ROUND(SUM(AB873,AF873:AI873)/E873,2),0)</f>
        <v/>
      </c>
      <c r="AK873" s="76">
        <f>AJ873*E873</f>
        <v/>
      </c>
      <c r="AL873" s="174">
        <f>ROUND(IFERROR(AM873*E873,0),2)</f>
        <v/>
      </c>
      <c r="AM873" s="175">
        <f>ROUND(AJ873*(1+IF(offer_incoterms="DDP",IF((TODAY()+offer_turnaround_time)&gt;=helpsheet!$L$17,rate_vatRU_from_26,rate_vatRu_till_25),0)),2)</f>
        <v/>
      </c>
      <c r="AN873" s="192">
        <f>AL873-AK873</f>
        <v/>
      </c>
      <c r="AO873" s="76">
        <f>SUM(AY873,Y873:Z873,T873)*IF(AND(offer_incoterms="DDP",offer_sale_type&lt;&gt;"экспорт"),IF((TODAY()+offer_turnaround_time)&gt;=helpsheet!$L$17,rate_vatRU_from_26,rate_vatRu_till_25),0)</f>
        <v/>
      </c>
      <c r="AP873" s="193">
        <f>AN873-AO873</f>
        <v/>
      </c>
      <c r="AQ873" s="118">
        <f>IF(offer_sale_type="транзит",SUM(AF873:AI873,BA873,BB873),0)</f>
        <v/>
      </c>
      <c r="AR873" s="82">
        <f>HYPERLINK("https://www.alta.ru/tnved/code/")&amp;W873&amp;"/"</f>
        <v/>
      </c>
      <c r="AS873" s="157" t="n"/>
      <c r="AT873" s="162" t="n"/>
      <c r="AU873" s="76">
        <f>IF(ISBLANK(AT873),0,AJ873-AT873)</f>
        <v/>
      </c>
      <c r="AV873" s="157" t="n"/>
      <c r="AW873" s="75">
        <f>_xlfn.IFNA(VLOOKUP(L873,list_vat[],3,FALSE),0)</f>
        <v/>
      </c>
      <c r="AX873" s="76">
        <f>IFERROR(ROUND(S873*(1+AW873)/E873,2),0)</f>
        <v/>
      </c>
      <c r="AY873" s="76">
        <f>E873*AX873</f>
        <v/>
      </c>
      <c r="AZ873" s="192">
        <f>S873*(1+M873)</f>
        <v/>
      </c>
      <c r="BA873" s="76">
        <f>cost_fin_total*$BD873</f>
        <v/>
      </c>
      <c r="BB873" s="193">
        <f>credit_sales_interest*BD873</f>
        <v/>
      </c>
      <c r="BC873" s="102">
        <f>IFERROR(IF($I$13&gt;0,$I873/$I$13,$S873/$S$13),0)</f>
        <v/>
      </c>
      <c r="BD873" s="102">
        <f>IFERROR($S873/$S$13,0)</f>
        <v/>
      </c>
      <c r="BE873" s="413" t="inlineStr">
        <is>
          <t>$</t>
        </is>
      </c>
    </row>
    <row r="874" ht="12" customFormat="1" customHeight="1" s="65">
      <c r="A874" s="43" t="n">
        <v>859</v>
      </c>
      <c r="B874" s="166" t="n"/>
      <c r="C874" s="166" t="n"/>
      <c r="D874" s="166" t="n"/>
      <c r="E874" s="162" t="n"/>
      <c r="F874" s="166" t="n"/>
      <c r="G874" s="162" t="n"/>
      <c r="H874" s="162" t="n"/>
      <c r="I874" s="189">
        <f>E874*G874</f>
        <v/>
      </c>
      <c r="J874" s="195" t="n"/>
      <c r="K874" s="162" t="n"/>
      <c r="L874" s="168" t="n"/>
      <c r="M874" s="75">
        <f>_xlfn.XLOOKUP(L874,list_vat[Страна],list_vat[Ставка НДС %],0,0)</f>
        <v/>
      </c>
      <c r="N874" s="162">
        <f>IFERROR(IF(L874="Китай",K874,K874/(1+M874)),0)</f>
        <v/>
      </c>
      <c r="O874" s="169" t="n"/>
      <c r="P874" s="76">
        <f>N874*(1-O874)</f>
        <v/>
      </c>
      <c r="Q874" s="162" t="n"/>
      <c r="R874" s="162">
        <f>IF(ISBLANK(Q874),"введи курс",P874/Q874)</f>
        <v/>
      </c>
      <c r="S874" s="196">
        <f>IF(AND(ISNUMBER(E874),ISNUMBER(Q874)),E874*R874,0)</f>
        <v/>
      </c>
      <c r="T874" s="192">
        <f>$BC874*V$11</f>
        <v/>
      </c>
      <c r="U874" s="76">
        <f>$BC874*W$11</f>
        <v/>
      </c>
      <c r="V874" s="193">
        <f>+SUM(T874:U874)</f>
        <v/>
      </c>
      <c r="W874" s="191" t="n"/>
      <c r="X874" s="170" t="n"/>
      <c r="Y874" s="76">
        <f>ROUND(IF(offer_incoterms="DDP",X874*(S874*(1+AW874)+T874),0),2)</f>
        <v/>
      </c>
      <c r="Z874" s="188" t="n"/>
      <c r="AA874" s="192">
        <f>IFERROR(AB874/E874,0)</f>
        <v/>
      </c>
      <c r="AB874" s="76">
        <f>ROUND(SUM(S874,V874,Y874:Z874,BA874:BB874),2)</f>
        <v/>
      </c>
      <c r="AC874" s="797" t="n"/>
      <c r="AD874" s="192">
        <f t="array" ref="AD874">IFERROR(ROUND((_xlfn.IFS(offer_sale_type="поставка",AB874,offer_sale_type="транзит",S874)*(1+AC874))/E874,2),0)</f>
        <v/>
      </c>
      <c r="AE874" s="76">
        <f>AD874*E874</f>
        <v/>
      </c>
      <c r="AF874" s="193">
        <f t="array" ref="AF874">IFERROR(ROUND(_xlfn.IFS(offer_sale_type="поставка",AB874,offer_sale_type="транзит",S874)*AC874,2),0)</f>
        <v/>
      </c>
      <c r="AG874" s="192">
        <f>$BD874*VLOOKUP($AG$3,$AF$4:$AG$7,2,FALSE)</f>
        <v/>
      </c>
      <c r="AH874" s="76">
        <f>SUM(AE874,AG874,AI874)*rate_forex_risk</f>
        <v/>
      </c>
      <c r="AI874" s="193">
        <f>IF(OR(seller_region="TR",offer_sale_type="экспорт"),0,rate_fin_comm)*SUM(AZ874,AZ874*AW874,T874)</f>
        <v/>
      </c>
      <c r="AJ874" s="118">
        <f>IFERROR(ROUND(SUM(AB874,AF874:AI874)/E874,2),0)</f>
        <v/>
      </c>
      <c r="AK874" s="76">
        <f>AJ874*E874</f>
        <v/>
      </c>
      <c r="AL874" s="174">
        <f>ROUND(IFERROR(AM874*E874,0),2)</f>
        <v/>
      </c>
      <c r="AM874" s="175">
        <f>ROUND(AJ874*(1+IF(offer_incoterms="DDP",IF((TODAY()+offer_turnaround_time)&gt;=helpsheet!$L$17,rate_vatRU_from_26,rate_vatRu_till_25),0)),2)</f>
        <v/>
      </c>
      <c r="AN874" s="192">
        <f>AL874-AK874</f>
        <v/>
      </c>
      <c r="AO874" s="76">
        <f>SUM(AY874,Y874:Z874,T874)*IF(AND(offer_incoterms="DDP",offer_sale_type&lt;&gt;"экспорт"),IF((TODAY()+offer_turnaround_time)&gt;=helpsheet!$L$17,rate_vatRU_from_26,rate_vatRu_till_25),0)</f>
        <v/>
      </c>
      <c r="AP874" s="193">
        <f>AN874-AO874</f>
        <v/>
      </c>
      <c r="AQ874" s="118">
        <f>IF(offer_sale_type="транзит",SUM(AF874:AI874,BA874,BB874),0)</f>
        <v/>
      </c>
      <c r="AR874" s="82">
        <f>HYPERLINK("https://www.alta.ru/tnved/code/")&amp;W874&amp;"/"</f>
        <v/>
      </c>
      <c r="AS874" s="157" t="n"/>
      <c r="AT874" s="162" t="n"/>
      <c r="AU874" s="76">
        <f>IF(ISBLANK(AT874),0,AJ874-AT874)</f>
        <v/>
      </c>
      <c r="AV874" s="157" t="n"/>
      <c r="AW874" s="75">
        <f>_xlfn.IFNA(VLOOKUP(L874,list_vat[],3,FALSE),0)</f>
        <v/>
      </c>
      <c r="AX874" s="76">
        <f>IFERROR(ROUND(S874*(1+AW874)/E874,2),0)</f>
        <v/>
      </c>
      <c r="AY874" s="76">
        <f>E874*AX874</f>
        <v/>
      </c>
      <c r="AZ874" s="192">
        <f>S874*(1+M874)</f>
        <v/>
      </c>
      <c r="BA874" s="76">
        <f>cost_fin_total*$BD874</f>
        <v/>
      </c>
      <c r="BB874" s="193">
        <f>credit_sales_interest*BD874</f>
        <v/>
      </c>
      <c r="BC874" s="102">
        <f>IFERROR(IF($I$13&gt;0,$I874/$I$13,$S874/$S$13),0)</f>
        <v/>
      </c>
      <c r="BD874" s="102">
        <f>IFERROR($S874/$S$13,0)</f>
        <v/>
      </c>
      <c r="BE874" s="413" t="inlineStr">
        <is>
          <t>$</t>
        </is>
      </c>
    </row>
    <row r="875" ht="12" customFormat="1" customHeight="1" s="65">
      <c r="A875" s="43" t="n">
        <v>860</v>
      </c>
      <c r="B875" s="166" t="n"/>
      <c r="C875" s="166" t="n"/>
      <c r="D875" s="166" t="n"/>
      <c r="E875" s="162" t="n"/>
      <c r="F875" s="166" t="n"/>
      <c r="G875" s="162" t="n"/>
      <c r="H875" s="162" t="n"/>
      <c r="I875" s="189">
        <f>E875*G875</f>
        <v/>
      </c>
      <c r="J875" s="195" t="n"/>
      <c r="K875" s="162" t="n"/>
      <c r="L875" s="168" t="n"/>
      <c r="M875" s="75">
        <f>_xlfn.XLOOKUP(L875,list_vat[Страна],list_vat[Ставка НДС %],0,0)</f>
        <v/>
      </c>
      <c r="N875" s="162">
        <f>IFERROR(IF(L875="Китай",K875,K875/(1+M875)),0)</f>
        <v/>
      </c>
      <c r="O875" s="169" t="n"/>
      <c r="P875" s="76">
        <f>N875*(1-O875)</f>
        <v/>
      </c>
      <c r="Q875" s="162" t="n"/>
      <c r="R875" s="162">
        <f>IF(ISBLANK(Q875),"введи курс",P875/Q875)</f>
        <v/>
      </c>
      <c r="S875" s="196">
        <f>IF(AND(ISNUMBER(E875),ISNUMBER(Q875)),E875*R875,0)</f>
        <v/>
      </c>
      <c r="T875" s="192">
        <f>$BC875*V$11</f>
        <v/>
      </c>
      <c r="U875" s="76">
        <f>$BC875*W$11</f>
        <v/>
      </c>
      <c r="V875" s="193">
        <f>+SUM(T875:U875)</f>
        <v/>
      </c>
      <c r="W875" s="191" t="n"/>
      <c r="X875" s="170" t="n"/>
      <c r="Y875" s="76">
        <f>ROUND(IF(offer_incoterms="DDP",X875*(S875*(1+AW875)+T875),0),2)</f>
        <v/>
      </c>
      <c r="Z875" s="188" t="n"/>
      <c r="AA875" s="192">
        <f>IFERROR(AB875/E875,0)</f>
        <v/>
      </c>
      <c r="AB875" s="76">
        <f>ROUND(SUM(S875,V875,Y875:Z875,BA875:BB875),2)</f>
        <v/>
      </c>
      <c r="AC875" s="797" t="n"/>
      <c r="AD875" s="192">
        <f t="array" ref="AD875">IFERROR(ROUND((_xlfn.IFS(offer_sale_type="поставка",AB875,offer_sale_type="транзит",S875)*(1+AC875))/E875,2),0)</f>
        <v/>
      </c>
      <c r="AE875" s="76">
        <f>AD875*E875</f>
        <v/>
      </c>
      <c r="AF875" s="193">
        <f t="array" ref="AF875">IFERROR(ROUND(_xlfn.IFS(offer_sale_type="поставка",AB875,offer_sale_type="транзит",S875)*AC875,2),0)</f>
        <v/>
      </c>
      <c r="AG875" s="192">
        <f>$BD875*VLOOKUP($AG$3,$AF$4:$AG$7,2,FALSE)</f>
        <v/>
      </c>
      <c r="AH875" s="76">
        <f>SUM(AE875,AG875,AI875)*rate_forex_risk</f>
        <v/>
      </c>
      <c r="AI875" s="193">
        <f>IF(OR(seller_region="TR",offer_sale_type="экспорт"),0,rate_fin_comm)*SUM(AZ875,AZ875*AW875,T875)</f>
        <v/>
      </c>
      <c r="AJ875" s="118">
        <f>IFERROR(ROUND(SUM(AB875,AF875:AI875)/E875,2),0)</f>
        <v/>
      </c>
      <c r="AK875" s="76">
        <f>AJ875*E875</f>
        <v/>
      </c>
      <c r="AL875" s="174">
        <f>ROUND(IFERROR(AM875*E875,0),2)</f>
        <v/>
      </c>
      <c r="AM875" s="175">
        <f>ROUND(AJ875*(1+IF(offer_incoterms="DDP",IF((TODAY()+offer_turnaround_time)&gt;=helpsheet!$L$17,rate_vatRU_from_26,rate_vatRu_till_25),0)),2)</f>
        <v/>
      </c>
      <c r="AN875" s="192">
        <f>AL875-AK875</f>
        <v/>
      </c>
      <c r="AO875" s="76">
        <f>SUM(AY875,Y875:Z875,T875)*IF(AND(offer_incoterms="DDP",offer_sale_type&lt;&gt;"экспорт"),IF((TODAY()+offer_turnaround_time)&gt;=helpsheet!$L$17,rate_vatRU_from_26,rate_vatRu_till_25),0)</f>
        <v/>
      </c>
      <c r="AP875" s="193">
        <f>AN875-AO875</f>
        <v/>
      </c>
      <c r="AQ875" s="118">
        <f>IF(offer_sale_type="транзит",SUM(AF875:AI875,BA875,BB875),0)</f>
        <v/>
      </c>
      <c r="AR875" s="82">
        <f>HYPERLINK("https://www.alta.ru/tnved/code/")&amp;W875&amp;"/"</f>
        <v/>
      </c>
      <c r="AS875" s="157" t="n"/>
      <c r="AT875" s="162" t="n"/>
      <c r="AU875" s="76">
        <f>IF(ISBLANK(AT875),0,AJ875-AT875)</f>
        <v/>
      </c>
      <c r="AV875" s="157" t="n"/>
      <c r="AW875" s="75">
        <f>_xlfn.IFNA(VLOOKUP(L875,list_vat[],3,FALSE),0)</f>
        <v/>
      </c>
      <c r="AX875" s="76">
        <f>IFERROR(ROUND(S875*(1+AW875)/E875,2),0)</f>
        <v/>
      </c>
      <c r="AY875" s="76">
        <f>E875*AX875</f>
        <v/>
      </c>
      <c r="AZ875" s="192">
        <f>S875*(1+M875)</f>
        <v/>
      </c>
      <c r="BA875" s="76">
        <f>cost_fin_total*$BD875</f>
        <v/>
      </c>
      <c r="BB875" s="193">
        <f>credit_sales_interest*BD875</f>
        <v/>
      </c>
      <c r="BC875" s="102">
        <f>IFERROR(IF($I$13&gt;0,$I875/$I$13,$S875/$S$13),0)</f>
        <v/>
      </c>
      <c r="BD875" s="102">
        <f>IFERROR($S875/$S$13,0)</f>
        <v/>
      </c>
      <c r="BE875" s="413" t="inlineStr">
        <is>
          <t>$</t>
        </is>
      </c>
    </row>
    <row r="876" ht="12" customFormat="1" customHeight="1" s="65">
      <c r="A876" s="43" t="n">
        <v>861</v>
      </c>
      <c r="B876" s="166" t="n"/>
      <c r="C876" s="166" t="n"/>
      <c r="D876" s="166" t="n"/>
      <c r="E876" s="162" t="n"/>
      <c r="F876" s="166" t="n"/>
      <c r="G876" s="162" t="n"/>
      <c r="H876" s="162" t="n"/>
      <c r="I876" s="189">
        <f>E876*G876</f>
        <v/>
      </c>
      <c r="J876" s="195" t="n"/>
      <c r="K876" s="162" t="n"/>
      <c r="L876" s="168" t="n"/>
      <c r="M876" s="75">
        <f>_xlfn.XLOOKUP(L876,list_vat[Страна],list_vat[Ставка НДС %],0,0)</f>
        <v/>
      </c>
      <c r="N876" s="162">
        <f>IFERROR(IF(L876="Китай",K876,K876/(1+M876)),0)</f>
        <v/>
      </c>
      <c r="O876" s="169" t="n"/>
      <c r="P876" s="76">
        <f>N876*(1-O876)</f>
        <v/>
      </c>
      <c r="Q876" s="162" t="n"/>
      <c r="R876" s="162">
        <f>IF(ISBLANK(Q876),"введи курс",P876/Q876)</f>
        <v/>
      </c>
      <c r="S876" s="196">
        <f>IF(AND(ISNUMBER(E876),ISNUMBER(Q876)),E876*R876,0)</f>
        <v/>
      </c>
      <c r="T876" s="192">
        <f>$BC876*V$11</f>
        <v/>
      </c>
      <c r="U876" s="76">
        <f>$BC876*W$11</f>
        <v/>
      </c>
      <c r="V876" s="193">
        <f>+SUM(T876:U876)</f>
        <v/>
      </c>
      <c r="W876" s="191" t="n"/>
      <c r="X876" s="170" t="n"/>
      <c r="Y876" s="76">
        <f>ROUND(IF(offer_incoterms="DDP",X876*(S876*(1+AW876)+T876),0),2)</f>
        <v/>
      </c>
      <c r="Z876" s="188" t="n"/>
      <c r="AA876" s="192">
        <f>IFERROR(AB876/E876,0)</f>
        <v/>
      </c>
      <c r="AB876" s="76">
        <f>ROUND(SUM(S876,V876,Y876:Z876,BA876:BB876),2)</f>
        <v/>
      </c>
      <c r="AC876" s="797" t="n"/>
      <c r="AD876" s="192">
        <f t="array" ref="AD876">IFERROR(ROUND((_xlfn.IFS(offer_sale_type="поставка",AB876,offer_sale_type="транзит",S876)*(1+AC876))/E876,2),0)</f>
        <v/>
      </c>
      <c r="AE876" s="76">
        <f>AD876*E876</f>
        <v/>
      </c>
      <c r="AF876" s="193">
        <f t="array" ref="AF876">IFERROR(ROUND(_xlfn.IFS(offer_sale_type="поставка",AB876,offer_sale_type="транзит",S876)*AC876,2),0)</f>
        <v/>
      </c>
      <c r="AG876" s="192">
        <f>$BD876*VLOOKUP($AG$3,$AF$4:$AG$7,2,FALSE)</f>
        <v/>
      </c>
      <c r="AH876" s="76">
        <f>SUM(AE876,AG876,AI876)*rate_forex_risk</f>
        <v/>
      </c>
      <c r="AI876" s="193">
        <f>IF(OR(seller_region="TR",offer_sale_type="экспорт"),0,rate_fin_comm)*SUM(AZ876,AZ876*AW876,T876)</f>
        <v/>
      </c>
      <c r="AJ876" s="118">
        <f>IFERROR(ROUND(SUM(AB876,AF876:AI876)/E876,2),0)</f>
        <v/>
      </c>
      <c r="AK876" s="76">
        <f>AJ876*E876</f>
        <v/>
      </c>
      <c r="AL876" s="174">
        <f>ROUND(IFERROR(AM876*E876,0),2)</f>
        <v/>
      </c>
      <c r="AM876" s="175">
        <f>ROUND(AJ876*(1+IF(offer_incoterms="DDP",IF((TODAY()+offer_turnaround_time)&gt;=helpsheet!$L$17,rate_vatRU_from_26,rate_vatRu_till_25),0)),2)</f>
        <v/>
      </c>
      <c r="AN876" s="192">
        <f>AL876-AK876</f>
        <v/>
      </c>
      <c r="AO876" s="76">
        <f>SUM(AY876,Y876:Z876,T876)*IF(AND(offer_incoterms="DDP",offer_sale_type&lt;&gt;"экспорт"),IF((TODAY()+offer_turnaround_time)&gt;=helpsheet!$L$17,rate_vatRU_from_26,rate_vatRu_till_25),0)</f>
        <v/>
      </c>
      <c r="AP876" s="193">
        <f>AN876-AO876</f>
        <v/>
      </c>
      <c r="AQ876" s="118">
        <f>IF(offer_sale_type="транзит",SUM(AF876:AI876,BA876,BB876),0)</f>
        <v/>
      </c>
      <c r="AR876" s="82">
        <f>HYPERLINK("https://www.alta.ru/tnved/code/")&amp;W876&amp;"/"</f>
        <v/>
      </c>
      <c r="AS876" s="157" t="n"/>
      <c r="AT876" s="162" t="n"/>
      <c r="AU876" s="76">
        <f>IF(ISBLANK(AT876),0,AJ876-AT876)</f>
        <v/>
      </c>
      <c r="AV876" s="157" t="n"/>
      <c r="AW876" s="75">
        <f>_xlfn.IFNA(VLOOKUP(L876,list_vat[],3,FALSE),0)</f>
        <v/>
      </c>
      <c r="AX876" s="76">
        <f>IFERROR(ROUND(S876*(1+AW876)/E876,2),0)</f>
        <v/>
      </c>
      <c r="AY876" s="76">
        <f>E876*AX876</f>
        <v/>
      </c>
      <c r="AZ876" s="192">
        <f>S876*(1+M876)</f>
        <v/>
      </c>
      <c r="BA876" s="76">
        <f>cost_fin_total*$BD876</f>
        <v/>
      </c>
      <c r="BB876" s="193">
        <f>credit_sales_interest*BD876</f>
        <v/>
      </c>
      <c r="BC876" s="102">
        <f>IFERROR(IF($I$13&gt;0,$I876/$I$13,$S876/$S$13),0)</f>
        <v/>
      </c>
      <c r="BD876" s="102">
        <f>IFERROR($S876/$S$13,0)</f>
        <v/>
      </c>
      <c r="BE876" s="413" t="inlineStr">
        <is>
          <t>$</t>
        </is>
      </c>
    </row>
    <row r="877" ht="12" customFormat="1" customHeight="1" s="65">
      <c r="A877" s="43" t="n">
        <v>862</v>
      </c>
      <c r="B877" s="166" t="n"/>
      <c r="C877" s="166" t="n"/>
      <c r="D877" s="166" t="n"/>
      <c r="E877" s="162" t="n"/>
      <c r="F877" s="166" t="n"/>
      <c r="G877" s="162" t="n"/>
      <c r="H877" s="162" t="n"/>
      <c r="I877" s="189">
        <f>E877*G877</f>
        <v/>
      </c>
      <c r="J877" s="195" t="n"/>
      <c r="K877" s="162" t="n"/>
      <c r="L877" s="168" t="n"/>
      <c r="M877" s="75">
        <f>_xlfn.XLOOKUP(L877,list_vat[Страна],list_vat[Ставка НДС %],0,0)</f>
        <v/>
      </c>
      <c r="N877" s="162">
        <f>IFERROR(IF(L877="Китай",K877,K877/(1+M877)),0)</f>
        <v/>
      </c>
      <c r="O877" s="169" t="n"/>
      <c r="P877" s="76">
        <f>N877*(1-O877)</f>
        <v/>
      </c>
      <c r="Q877" s="162" t="n"/>
      <c r="R877" s="162">
        <f>IF(ISBLANK(Q877),"введи курс",P877/Q877)</f>
        <v/>
      </c>
      <c r="S877" s="196">
        <f>IF(AND(ISNUMBER(E877),ISNUMBER(Q877)),E877*R877,0)</f>
        <v/>
      </c>
      <c r="T877" s="192">
        <f>$BC877*V$11</f>
        <v/>
      </c>
      <c r="U877" s="76">
        <f>$BC877*W$11</f>
        <v/>
      </c>
      <c r="V877" s="193">
        <f>+SUM(T877:U877)</f>
        <v/>
      </c>
      <c r="W877" s="191" t="n"/>
      <c r="X877" s="170" t="n"/>
      <c r="Y877" s="76">
        <f>ROUND(IF(offer_incoterms="DDP",X877*(S877*(1+AW877)+T877),0),2)</f>
        <v/>
      </c>
      <c r="Z877" s="188" t="n"/>
      <c r="AA877" s="192">
        <f>IFERROR(AB877/E877,0)</f>
        <v/>
      </c>
      <c r="AB877" s="76">
        <f>ROUND(SUM(S877,V877,Y877:Z877,BA877:BB877),2)</f>
        <v/>
      </c>
      <c r="AC877" s="797" t="n"/>
      <c r="AD877" s="192">
        <f t="array" ref="AD877">IFERROR(ROUND((_xlfn.IFS(offer_sale_type="поставка",AB877,offer_sale_type="транзит",S877)*(1+AC877))/E877,2),0)</f>
        <v/>
      </c>
      <c r="AE877" s="76">
        <f>AD877*E877</f>
        <v/>
      </c>
      <c r="AF877" s="193">
        <f t="array" ref="AF877">IFERROR(ROUND(_xlfn.IFS(offer_sale_type="поставка",AB877,offer_sale_type="транзит",S877)*AC877,2),0)</f>
        <v/>
      </c>
      <c r="AG877" s="192">
        <f>$BD877*VLOOKUP($AG$3,$AF$4:$AG$7,2,FALSE)</f>
        <v/>
      </c>
      <c r="AH877" s="76">
        <f>SUM(AE877,AG877,AI877)*rate_forex_risk</f>
        <v/>
      </c>
      <c r="AI877" s="193">
        <f>IF(OR(seller_region="TR",offer_sale_type="экспорт"),0,rate_fin_comm)*SUM(AZ877,AZ877*AW877,T877)</f>
        <v/>
      </c>
      <c r="AJ877" s="118">
        <f>IFERROR(ROUND(SUM(AB877,AF877:AI877)/E877,2),0)</f>
        <v/>
      </c>
      <c r="AK877" s="76">
        <f>AJ877*E877</f>
        <v/>
      </c>
      <c r="AL877" s="174">
        <f>ROUND(IFERROR(AM877*E877,0),2)</f>
        <v/>
      </c>
      <c r="AM877" s="175">
        <f>ROUND(AJ877*(1+IF(offer_incoterms="DDP",IF((TODAY()+offer_turnaround_time)&gt;=helpsheet!$L$17,rate_vatRU_from_26,rate_vatRu_till_25),0)),2)</f>
        <v/>
      </c>
      <c r="AN877" s="192">
        <f>AL877-AK877</f>
        <v/>
      </c>
      <c r="AO877" s="76">
        <f>SUM(AY877,Y877:Z877,T877)*IF(AND(offer_incoterms="DDP",offer_sale_type&lt;&gt;"экспорт"),IF((TODAY()+offer_turnaround_time)&gt;=helpsheet!$L$17,rate_vatRU_from_26,rate_vatRu_till_25),0)</f>
        <v/>
      </c>
      <c r="AP877" s="193">
        <f>AN877-AO877</f>
        <v/>
      </c>
      <c r="AQ877" s="118">
        <f>IF(offer_sale_type="транзит",SUM(AF877:AI877,BA877,BB877),0)</f>
        <v/>
      </c>
      <c r="AR877" s="82">
        <f>HYPERLINK("https://www.alta.ru/tnved/code/")&amp;W877&amp;"/"</f>
        <v/>
      </c>
      <c r="AS877" s="157" t="n"/>
      <c r="AT877" s="162" t="n"/>
      <c r="AU877" s="76">
        <f>IF(ISBLANK(AT877),0,AJ877-AT877)</f>
        <v/>
      </c>
      <c r="AV877" s="157" t="n"/>
      <c r="AW877" s="75">
        <f>_xlfn.IFNA(VLOOKUP(L877,list_vat[],3,FALSE),0)</f>
        <v/>
      </c>
      <c r="AX877" s="76">
        <f>IFERROR(ROUND(S877*(1+AW877)/E877,2),0)</f>
        <v/>
      </c>
      <c r="AY877" s="76">
        <f>E877*AX877</f>
        <v/>
      </c>
      <c r="AZ877" s="192">
        <f>S877*(1+M877)</f>
        <v/>
      </c>
      <c r="BA877" s="76">
        <f>cost_fin_total*$BD877</f>
        <v/>
      </c>
      <c r="BB877" s="193">
        <f>credit_sales_interest*BD877</f>
        <v/>
      </c>
      <c r="BC877" s="102">
        <f>IFERROR(IF($I$13&gt;0,$I877/$I$13,$S877/$S$13),0)</f>
        <v/>
      </c>
      <c r="BD877" s="102">
        <f>IFERROR($S877/$S$13,0)</f>
        <v/>
      </c>
      <c r="BE877" s="413" t="inlineStr">
        <is>
          <t>$</t>
        </is>
      </c>
    </row>
    <row r="878" ht="12" customFormat="1" customHeight="1" s="65">
      <c r="A878" s="43" t="n">
        <v>863</v>
      </c>
      <c r="B878" s="166" t="n"/>
      <c r="C878" s="166" t="n"/>
      <c r="D878" s="166" t="n"/>
      <c r="E878" s="162" t="n"/>
      <c r="F878" s="166" t="n"/>
      <c r="G878" s="162" t="n"/>
      <c r="H878" s="162" t="n"/>
      <c r="I878" s="189">
        <f>E878*G878</f>
        <v/>
      </c>
      <c r="J878" s="195" t="n"/>
      <c r="K878" s="162" t="n"/>
      <c r="L878" s="168" t="n"/>
      <c r="M878" s="75">
        <f>_xlfn.XLOOKUP(L878,list_vat[Страна],list_vat[Ставка НДС %],0,0)</f>
        <v/>
      </c>
      <c r="N878" s="162">
        <f>IFERROR(IF(L878="Китай",K878,K878/(1+M878)),0)</f>
        <v/>
      </c>
      <c r="O878" s="169" t="n"/>
      <c r="P878" s="76">
        <f>N878*(1-O878)</f>
        <v/>
      </c>
      <c r="Q878" s="162" t="n"/>
      <c r="R878" s="162">
        <f>IF(ISBLANK(Q878),"введи курс",P878/Q878)</f>
        <v/>
      </c>
      <c r="S878" s="196">
        <f>IF(AND(ISNUMBER(E878),ISNUMBER(Q878)),E878*R878,0)</f>
        <v/>
      </c>
      <c r="T878" s="192">
        <f>$BC878*V$11</f>
        <v/>
      </c>
      <c r="U878" s="76">
        <f>$BC878*W$11</f>
        <v/>
      </c>
      <c r="V878" s="193">
        <f>+SUM(T878:U878)</f>
        <v/>
      </c>
      <c r="W878" s="191" t="n"/>
      <c r="X878" s="170" t="n"/>
      <c r="Y878" s="76">
        <f>ROUND(IF(offer_incoterms="DDP",X878*(S878*(1+AW878)+T878),0),2)</f>
        <v/>
      </c>
      <c r="Z878" s="188" t="n"/>
      <c r="AA878" s="192">
        <f>IFERROR(AB878/E878,0)</f>
        <v/>
      </c>
      <c r="AB878" s="76">
        <f>ROUND(SUM(S878,V878,Y878:Z878,BA878:BB878),2)</f>
        <v/>
      </c>
      <c r="AC878" s="797" t="n"/>
      <c r="AD878" s="192">
        <f t="array" ref="AD878">IFERROR(ROUND((_xlfn.IFS(offer_sale_type="поставка",AB878,offer_sale_type="транзит",S878)*(1+AC878))/E878,2),0)</f>
        <v/>
      </c>
      <c r="AE878" s="76">
        <f>AD878*E878</f>
        <v/>
      </c>
      <c r="AF878" s="193">
        <f t="array" ref="AF878">IFERROR(ROUND(_xlfn.IFS(offer_sale_type="поставка",AB878,offer_sale_type="транзит",S878)*AC878,2),0)</f>
        <v/>
      </c>
      <c r="AG878" s="192">
        <f>$BD878*VLOOKUP($AG$3,$AF$4:$AG$7,2,FALSE)</f>
        <v/>
      </c>
      <c r="AH878" s="76">
        <f>SUM(AE878,AG878,AI878)*rate_forex_risk</f>
        <v/>
      </c>
      <c r="AI878" s="193">
        <f>IF(OR(seller_region="TR",offer_sale_type="экспорт"),0,rate_fin_comm)*SUM(AZ878,AZ878*AW878,T878)</f>
        <v/>
      </c>
      <c r="AJ878" s="118">
        <f>IFERROR(ROUND(SUM(AB878,AF878:AI878)/E878,2),0)</f>
        <v/>
      </c>
      <c r="AK878" s="76">
        <f>AJ878*E878</f>
        <v/>
      </c>
      <c r="AL878" s="174">
        <f>ROUND(IFERROR(AM878*E878,0),2)</f>
        <v/>
      </c>
      <c r="AM878" s="175">
        <f>ROUND(AJ878*(1+IF(offer_incoterms="DDP",IF((TODAY()+offer_turnaround_time)&gt;=helpsheet!$L$17,rate_vatRU_from_26,rate_vatRu_till_25),0)),2)</f>
        <v/>
      </c>
      <c r="AN878" s="192">
        <f>AL878-AK878</f>
        <v/>
      </c>
      <c r="AO878" s="76">
        <f>SUM(AY878,Y878:Z878,T878)*IF(AND(offer_incoterms="DDP",offer_sale_type&lt;&gt;"экспорт"),IF((TODAY()+offer_turnaround_time)&gt;=helpsheet!$L$17,rate_vatRU_from_26,rate_vatRu_till_25),0)</f>
        <v/>
      </c>
      <c r="AP878" s="193">
        <f>AN878-AO878</f>
        <v/>
      </c>
      <c r="AQ878" s="118">
        <f>IF(offer_sale_type="транзит",SUM(AF878:AI878,BA878,BB878),0)</f>
        <v/>
      </c>
      <c r="AR878" s="82">
        <f>HYPERLINK("https://www.alta.ru/tnved/code/")&amp;W878&amp;"/"</f>
        <v/>
      </c>
      <c r="AS878" s="157" t="n"/>
      <c r="AT878" s="162" t="n"/>
      <c r="AU878" s="76">
        <f>IF(ISBLANK(AT878),0,AJ878-AT878)</f>
        <v/>
      </c>
      <c r="AV878" s="157" t="n"/>
      <c r="AW878" s="75">
        <f>_xlfn.IFNA(VLOOKUP(L878,list_vat[],3,FALSE),0)</f>
        <v/>
      </c>
      <c r="AX878" s="76">
        <f>IFERROR(ROUND(S878*(1+AW878)/E878,2),0)</f>
        <v/>
      </c>
      <c r="AY878" s="76">
        <f>E878*AX878</f>
        <v/>
      </c>
      <c r="AZ878" s="192">
        <f>S878*(1+M878)</f>
        <v/>
      </c>
      <c r="BA878" s="76">
        <f>cost_fin_total*$BD878</f>
        <v/>
      </c>
      <c r="BB878" s="193">
        <f>credit_sales_interest*BD878</f>
        <v/>
      </c>
      <c r="BC878" s="102">
        <f>IFERROR(IF($I$13&gt;0,$I878/$I$13,$S878/$S$13),0)</f>
        <v/>
      </c>
      <c r="BD878" s="102">
        <f>IFERROR($S878/$S$13,0)</f>
        <v/>
      </c>
      <c r="BE878" s="413" t="inlineStr">
        <is>
          <t>$</t>
        </is>
      </c>
    </row>
    <row r="879" ht="12" customFormat="1" customHeight="1" s="65">
      <c r="A879" s="43" t="n">
        <v>864</v>
      </c>
      <c r="B879" s="166" t="n"/>
      <c r="C879" s="166" t="n"/>
      <c r="D879" s="166" t="n"/>
      <c r="E879" s="162" t="n"/>
      <c r="F879" s="166" t="n"/>
      <c r="G879" s="162" t="n"/>
      <c r="H879" s="162" t="n"/>
      <c r="I879" s="189">
        <f>E879*G879</f>
        <v/>
      </c>
      <c r="J879" s="195" t="n"/>
      <c r="K879" s="162" t="n"/>
      <c r="L879" s="168" t="n"/>
      <c r="M879" s="75">
        <f>_xlfn.XLOOKUP(L879,list_vat[Страна],list_vat[Ставка НДС %],0,0)</f>
        <v/>
      </c>
      <c r="N879" s="162">
        <f>IFERROR(IF(L879="Китай",K879,K879/(1+M879)),0)</f>
        <v/>
      </c>
      <c r="O879" s="169" t="n"/>
      <c r="P879" s="76">
        <f>N879*(1-O879)</f>
        <v/>
      </c>
      <c r="Q879" s="162" t="n"/>
      <c r="R879" s="162">
        <f>IF(ISBLANK(Q879),"введи курс",P879/Q879)</f>
        <v/>
      </c>
      <c r="S879" s="196">
        <f>IF(AND(ISNUMBER(E879),ISNUMBER(Q879)),E879*R879,0)</f>
        <v/>
      </c>
      <c r="T879" s="192">
        <f>$BC879*V$11</f>
        <v/>
      </c>
      <c r="U879" s="76">
        <f>$BC879*W$11</f>
        <v/>
      </c>
      <c r="V879" s="193">
        <f>+SUM(T879:U879)</f>
        <v/>
      </c>
      <c r="W879" s="191" t="n"/>
      <c r="X879" s="170" t="n"/>
      <c r="Y879" s="76">
        <f>ROUND(IF(offer_incoterms="DDP",X879*(S879*(1+AW879)+T879),0),2)</f>
        <v/>
      </c>
      <c r="Z879" s="188" t="n"/>
      <c r="AA879" s="192">
        <f>IFERROR(AB879/E879,0)</f>
        <v/>
      </c>
      <c r="AB879" s="76">
        <f>ROUND(SUM(S879,V879,Y879:Z879,BA879:BB879),2)</f>
        <v/>
      </c>
      <c r="AC879" s="797" t="n"/>
      <c r="AD879" s="192">
        <f t="array" ref="AD879">IFERROR(ROUND((_xlfn.IFS(offer_sale_type="поставка",AB879,offer_sale_type="транзит",S879)*(1+AC879))/E879,2),0)</f>
        <v/>
      </c>
      <c r="AE879" s="76">
        <f>AD879*E879</f>
        <v/>
      </c>
      <c r="AF879" s="193">
        <f t="array" ref="AF879">IFERROR(ROUND(_xlfn.IFS(offer_sale_type="поставка",AB879,offer_sale_type="транзит",S879)*AC879,2),0)</f>
        <v/>
      </c>
      <c r="AG879" s="192">
        <f>$BD879*VLOOKUP($AG$3,$AF$4:$AG$7,2,FALSE)</f>
        <v/>
      </c>
      <c r="AH879" s="76">
        <f>SUM(AE879,AG879,AI879)*rate_forex_risk</f>
        <v/>
      </c>
      <c r="AI879" s="193">
        <f>IF(OR(seller_region="TR",offer_sale_type="экспорт"),0,rate_fin_comm)*SUM(AZ879,AZ879*AW879,T879)</f>
        <v/>
      </c>
      <c r="AJ879" s="118">
        <f>IFERROR(ROUND(SUM(AB879,AF879:AI879)/E879,2),0)</f>
        <v/>
      </c>
      <c r="AK879" s="76">
        <f>AJ879*E879</f>
        <v/>
      </c>
      <c r="AL879" s="174">
        <f>ROUND(IFERROR(AM879*E879,0),2)</f>
        <v/>
      </c>
      <c r="AM879" s="175">
        <f>ROUND(AJ879*(1+IF(offer_incoterms="DDP",IF((TODAY()+offer_turnaround_time)&gt;=helpsheet!$L$17,rate_vatRU_from_26,rate_vatRu_till_25),0)),2)</f>
        <v/>
      </c>
      <c r="AN879" s="192">
        <f>AL879-AK879</f>
        <v/>
      </c>
      <c r="AO879" s="76">
        <f>SUM(AY879,Y879:Z879,T879)*IF(AND(offer_incoterms="DDP",offer_sale_type&lt;&gt;"экспорт"),IF((TODAY()+offer_turnaround_time)&gt;=helpsheet!$L$17,rate_vatRU_from_26,rate_vatRu_till_25),0)</f>
        <v/>
      </c>
      <c r="AP879" s="193">
        <f>AN879-AO879</f>
        <v/>
      </c>
      <c r="AQ879" s="118">
        <f>IF(offer_sale_type="транзит",SUM(AF879:AI879,BA879,BB879),0)</f>
        <v/>
      </c>
      <c r="AR879" s="82">
        <f>HYPERLINK("https://www.alta.ru/tnved/code/")&amp;W879&amp;"/"</f>
        <v/>
      </c>
      <c r="AS879" s="157" t="n"/>
      <c r="AT879" s="162" t="n"/>
      <c r="AU879" s="76">
        <f>IF(ISBLANK(AT879),0,AJ879-AT879)</f>
        <v/>
      </c>
      <c r="AV879" s="157" t="n"/>
      <c r="AW879" s="75">
        <f>_xlfn.IFNA(VLOOKUP(L879,list_vat[],3,FALSE),0)</f>
        <v/>
      </c>
      <c r="AX879" s="76">
        <f>IFERROR(ROUND(S879*(1+AW879)/E879,2),0)</f>
        <v/>
      </c>
      <c r="AY879" s="76">
        <f>E879*AX879</f>
        <v/>
      </c>
      <c r="AZ879" s="192">
        <f>S879*(1+M879)</f>
        <v/>
      </c>
      <c r="BA879" s="76">
        <f>cost_fin_total*$BD879</f>
        <v/>
      </c>
      <c r="BB879" s="193">
        <f>credit_sales_interest*BD879</f>
        <v/>
      </c>
      <c r="BC879" s="102">
        <f>IFERROR(IF($I$13&gt;0,$I879/$I$13,$S879/$S$13),0)</f>
        <v/>
      </c>
      <c r="BD879" s="102">
        <f>IFERROR($S879/$S$13,0)</f>
        <v/>
      </c>
      <c r="BE879" s="413" t="inlineStr">
        <is>
          <t>$</t>
        </is>
      </c>
    </row>
    <row r="880" ht="12" customFormat="1" customHeight="1" s="65">
      <c r="A880" s="43" t="n">
        <v>865</v>
      </c>
      <c r="B880" s="166" t="n"/>
      <c r="C880" s="166" t="n"/>
      <c r="D880" s="166" t="n"/>
      <c r="E880" s="162" t="n"/>
      <c r="F880" s="166" t="n"/>
      <c r="G880" s="162" t="n"/>
      <c r="H880" s="162" t="n"/>
      <c r="I880" s="189">
        <f>E880*G880</f>
        <v/>
      </c>
      <c r="J880" s="195" t="n"/>
      <c r="K880" s="162" t="n"/>
      <c r="L880" s="168" t="n"/>
      <c r="M880" s="75">
        <f>_xlfn.XLOOKUP(L880,list_vat[Страна],list_vat[Ставка НДС %],0,0)</f>
        <v/>
      </c>
      <c r="N880" s="162">
        <f>IFERROR(IF(L880="Китай",K880,K880/(1+M880)),0)</f>
        <v/>
      </c>
      <c r="O880" s="169" t="n"/>
      <c r="P880" s="76">
        <f>N880*(1-O880)</f>
        <v/>
      </c>
      <c r="Q880" s="162" t="n"/>
      <c r="R880" s="162">
        <f>IF(ISBLANK(Q880),"введи курс",P880/Q880)</f>
        <v/>
      </c>
      <c r="S880" s="196">
        <f>IF(AND(ISNUMBER(E880),ISNUMBER(Q880)),E880*R880,0)</f>
        <v/>
      </c>
      <c r="T880" s="192">
        <f>$BC880*V$11</f>
        <v/>
      </c>
      <c r="U880" s="76">
        <f>$BC880*W$11</f>
        <v/>
      </c>
      <c r="V880" s="193">
        <f>+SUM(T880:U880)</f>
        <v/>
      </c>
      <c r="W880" s="191" t="n"/>
      <c r="X880" s="170" t="n"/>
      <c r="Y880" s="76">
        <f>ROUND(IF(offer_incoterms="DDP",X880*(S880*(1+AW880)+T880),0),2)</f>
        <v/>
      </c>
      <c r="Z880" s="188" t="n"/>
      <c r="AA880" s="192">
        <f>IFERROR(AB880/E880,0)</f>
        <v/>
      </c>
      <c r="AB880" s="76">
        <f>ROUND(SUM(S880,V880,Y880:Z880,BA880:BB880),2)</f>
        <v/>
      </c>
      <c r="AC880" s="797" t="n"/>
      <c r="AD880" s="192">
        <f t="array" ref="AD880">IFERROR(ROUND((_xlfn.IFS(offer_sale_type="поставка",AB880,offer_sale_type="транзит",S880)*(1+AC880))/E880,2),0)</f>
        <v/>
      </c>
      <c r="AE880" s="76">
        <f>AD880*E880</f>
        <v/>
      </c>
      <c r="AF880" s="193">
        <f t="array" ref="AF880">IFERROR(ROUND(_xlfn.IFS(offer_sale_type="поставка",AB880,offer_sale_type="транзит",S880)*AC880,2),0)</f>
        <v/>
      </c>
      <c r="AG880" s="192">
        <f>$BD880*VLOOKUP($AG$3,$AF$4:$AG$7,2,FALSE)</f>
        <v/>
      </c>
      <c r="AH880" s="76">
        <f>SUM(AE880,AG880,AI880)*rate_forex_risk</f>
        <v/>
      </c>
      <c r="AI880" s="193">
        <f>IF(OR(seller_region="TR",offer_sale_type="экспорт"),0,rate_fin_comm)*SUM(AZ880,AZ880*AW880,T880)</f>
        <v/>
      </c>
      <c r="AJ880" s="118">
        <f>IFERROR(ROUND(SUM(AB880,AF880:AI880)/E880,2),0)</f>
        <v/>
      </c>
      <c r="AK880" s="76">
        <f>AJ880*E880</f>
        <v/>
      </c>
      <c r="AL880" s="174">
        <f>ROUND(IFERROR(AM880*E880,0),2)</f>
        <v/>
      </c>
      <c r="AM880" s="175">
        <f>ROUND(AJ880*(1+IF(offer_incoterms="DDP",IF((TODAY()+offer_turnaround_time)&gt;=helpsheet!$L$17,rate_vatRU_from_26,rate_vatRu_till_25),0)),2)</f>
        <v/>
      </c>
      <c r="AN880" s="192">
        <f>AL880-AK880</f>
        <v/>
      </c>
      <c r="AO880" s="76">
        <f>SUM(AY880,Y880:Z880,T880)*IF(AND(offer_incoterms="DDP",offer_sale_type&lt;&gt;"экспорт"),IF((TODAY()+offer_turnaround_time)&gt;=helpsheet!$L$17,rate_vatRU_from_26,rate_vatRu_till_25),0)</f>
        <v/>
      </c>
      <c r="AP880" s="193">
        <f>AN880-AO880</f>
        <v/>
      </c>
      <c r="AQ880" s="118">
        <f>IF(offer_sale_type="транзит",SUM(AF880:AI880,BA880,BB880),0)</f>
        <v/>
      </c>
      <c r="AR880" s="82">
        <f>HYPERLINK("https://www.alta.ru/tnved/code/")&amp;W880&amp;"/"</f>
        <v/>
      </c>
      <c r="AS880" s="157" t="n"/>
      <c r="AT880" s="162" t="n"/>
      <c r="AU880" s="76">
        <f>IF(ISBLANK(AT880),0,AJ880-AT880)</f>
        <v/>
      </c>
      <c r="AV880" s="157" t="n"/>
      <c r="AW880" s="75">
        <f>_xlfn.IFNA(VLOOKUP(L880,list_vat[],3,FALSE),0)</f>
        <v/>
      </c>
      <c r="AX880" s="76">
        <f>IFERROR(ROUND(S880*(1+AW880)/E880,2),0)</f>
        <v/>
      </c>
      <c r="AY880" s="76">
        <f>E880*AX880</f>
        <v/>
      </c>
      <c r="AZ880" s="192">
        <f>S880*(1+M880)</f>
        <v/>
      </c>
      <c r="BA880" s="76">
        <f>cost_fin_total*$BD880</f>
        <v/>
      </c>
      <c r="BB880" s="193">
        <f>credit_sales_interest*BD880</f>
        <v/>
      </c>
      <c r="BC880" s="102">
        <f>IFERROR(IF($I$13&gt;0,$I880/$I$13,$S880/$S$13),0)</f>
        <v/>
      </c>
      <c r="BD880" s="102">
        <f>IFERROR($S880/$S$13,0)</f>
        <v/>
      </c>
      <c r="BE880" s="413" t="inlineStr">
        <is>
          <t>$</t>
        </is>
      </c>
    </row>
    <row r="881" ht="12" customFormat="1" customHeight="1" s="65">
      <c r="A881" s="43" t="n">
        <v>866</v>
      </c>
      <c r="B881" s="166" t="n"/>
      <c r="C881" s="166" t="n"/>
      <c r="D881" s="166" t="n"/>
      <c r="E881" s="162" t="n"/>
      <c r="F881" s="166" t="n"/>
      <c r="G881" s="162" t="n"/>
      <c r="H881" s="162" t="n"/>
      <c r="I881" s="189">
        <f>E881*G881</f>
        <v/>
      </c>
      <c r="J881" s="195" t="n"/>
      <c r="K881" s="162" t="n"/>
      <c r="L881" s="168" t="n"/>
      <c r="M881" s="75">
        <f>_xlfn.XLOOKUP(L881,list_vat[Страна],list_vat[Ставка НДС %],0,0)</f>
        <v/>
      </c>
      <c r="N881" s="162">
        <f>IFERROR(IF(L881="Китай",K881,K881/(1+M881)),0)</f>
        <v/>
      </c>
      <c r="O881" s="169" t="n"/>
      <c r="P881" s="76">
        <f>N881*(1-O881)</f>
        <v/>
      </c>
      <c r="Q881" s="162" t="n"/>
      <c r="R881" s="162">
        <f>IF(ISBLANK(Q881),"введи курс",P881/Q881)</f>
        <v/>
      </c>
      <c r="S881" s="196">
        <f>IF(AND(ISNUMBER(E881),ISNUMBER(Q881)),E881*R881,0)</f>
        <v/>
      </c>
      <c r="T881" s="192">
        <f>$BC881*V$11</f>
        <v/>
      </c>
      <c r="U881" s="76">
        <f>$BC881*W$11</f>
        <v/>
      </c>
      <c r="V881" s="193">
        <f>+SUM(T881:U881)</f>
        <v/>
      </c>
      <c r="W881" s="191" t="n"/>
      <c r="X881" s="170" t="n"/>
      <c r="Y881" s="76">
        <f>ROUND(IF(offer_incoterms="DDP",X881*(S881*(1+AW881)+T881),0),2)</f>
        <v/>
      </c>
      <c r="Z881" s="188" t="n"/>
      <c r="AA881" s="192">
        <f>IFERROR(AB881/E881,0)</f>
        <v/>
      </c>
      <c r="AB881" s="76">
        <f>ROUND(SUM(S881,V881,Y881:Z881,BA881:BB881),2)</f>
        <v/>
      </c>
      <c r="AC881" s="797" t="n"/>
      <c r="AD881" s="192">
        <f t="array" ref="AD881">IFERROR(ROUND((_xlfn.IFS(offer_sale_type="поставка",AB881,offer_sale_type="транзит",S881)*(1+AC881))/E881,2),0)</f>
        <v/>
      </c>
      <c r="AE881" s="76">
        <f>AD881*E881</f>
        <v/>
      </c>
      <c r="AF881" s="193">
        <f t="array" ref="AF881">IFERROR(ROUND(_xlfn.IFS(offer_sale_type="поставка",AB881,offer_sale_type="транзит",S881)*AC881,2),0)</f>
        <v/>
      </c>
      <c r="AG881" s="192">
        <f>$BD881*VLOOKUP($AG$3,$AF$4:$AG$7,2,FALSE)</f>
        <v/>
      </c>
      <c r="AH881" s="76">
        <f>SUM(AE881,AG881,AI881)*rate_forex_risk</f>
        <v/>
      </c>
      <c r="AI881" s="193">
        <f>IF(OR(seller_region="TR",offer_sale_type="экспорт"),0,rate_fin_comm)*SUM(AZ881,AZ881*AW881,T881)</f>
        <v/>
      </c>
      <c r="AJ881" s="118">
        <f>IFERROR(ROUND(SUM(AB881,AF881:AI881)/E881,2),0)</f>
        <v/>
      </c>
      <c r="AK881" s="76">
        <f>AJ881*E881</f>
        <v/>
      </c>
      <c r="AL881" s="174">
        <f>ROUND(IFERROR(AM881*E881,0),2)</f>
        <v/>
      </c>
      <c r="AM881" s="175">
        <f>ROUND(AJ881*(1+IF(offer_incoterms="DDP",IF((TODAY()+offer_turnaround_time)&gt;=helpsheet!$L$17,rate_vatRU_from_26,rate_vatRu_till_25),0)),2)</f>
        <v/>
      </c>
      <c r="AN881" s="192">
        <f>AL881-AK881</f>
        <v/>
      </c>
      <c r="AO881" s="76">
        <f>SUM(AY881,Y881:Z881,T881)*IF(AND(offer_incoterms="DDP",offer_sale_type&lt;&gt;"экспорт"),IF((TODAY()+offer_turnaround_time)&gt;=helpsheet!$L$17,rate_vatRU_from_26,rate_vatRu_till_25),0)</f>
        <v/>
      </c>
      <c r="AP881" s="193">
        <f>AN881-AO881</f>
        <v/>
      </c>
      <c r="AQ881" s="118">
        <f>IF(offer_sale_type="транзит",SUM(AF881:AI881,BA881,BB881),0)</f>
        <v/>
      </c>
      <c r="AR881" s="82">
        <f>HYPERLINK("https://www.alta.ru/tnved/code/")&amp;W881&amp;"/"</f>
        <v/>
      </c>
      <c r="AS881" s="157" t="n"/>
      <c r="AT881" s="162" t="n"/>
      <c r="AU881" s="76">
        <f>IF(ISBLANK(AT881),0,AJ881-AT881)</f>
        <v/>
      </c>
      <c r="AV881" s="157" t="n"/>
      <c r="AW881" s="75">
        <f>_xlfn.IFNA(VLOOKUP(L881,list_vat[],3,FALSE),0)</f>
        <v/>
      </c>
      <c r="AX881" s="76">
        <f>IFERROR(ROUND(S881*(1+AW881)/E881,2),0)</f>
        <v/>
      </c>
      <c r="AY881" s="76">
        <f>E881*AX881</f>
        <v/>
      </c>
      <c r="AZ881" s="192">
        <f>S881*(1+M881)</f>
        <v/>
      </c>
      <c r="BA881" s="76">
        <f>cost_fin_total*$BD881</f>
        <v/>
      </c>
      <c r="BB881" s="193">
        <f>credit_sales_interest*BD881</f>
        <v/>
      </c>
      <c r="BC881" s="102">
        <f>IFERROR(IF($I$13&gt;0,$I881/$I$13,$S881/$S$13),0)</f>
        <v/>
      </c>
      <c r="BD881" s="102">
        <f>IFERROR($S881/$S$13,0)</f>
        <v/>
      </c>
      <c r="BE881" s="413" t="inlineStr">
        <is>
          <t>$</t>
        </is>
      </c>
    </row>
    <row r="882" ht="12" customFormat="1" customHeight="1" s="65">
      <c r="A882" s="43" t="n">
        <v>867</v>
      </c>
      <c r="B882" s="166" t="n"/>
      <c r="C882" s="166" t="n"/>
      <c r="D882" s="166" t="n"/>
      <c r="E882" s="162" t="n"/>
      <c r="F882" s="166" t="n"/>
      <c r="G882" s="162" t="n"/>
      <c r="H882" s="162" t="n"/>
      <c r="I882" s="189">
        <f>E882*G882</f>
        <v/>
      </c>
      <c r="J882" s="195" t="n"/>
      <c r="K882" s="162" t="n"/>
      <c r="L882" s="168" t="n"/>
      <c r="M882" s="75">
        <f>_xlfn.XLOOKUP(L882,list_vat[Страна],list_vat[Ставка НДС %],0,0)</f>
        <v/>
      </c>
      <c r="N882" s="162">
        <f>IFERROR(IF(L882="Китай",K882,K882/(1+M882)),0)</f>
        <v/>
      </c>
      <c r="O882" s="169" t="n"/>
      <c r="P882" s="76">
        <f>N882*(1-O882)</f>
        <v/>
      </c>
      <c r="Q882" s="162" t="n"/>
      <c r="R882" s="162">
        <f>IF(ISBLANK(Q882),"введи курс",P882/Q882)</f>
        <v/>
      </c>
      <c r="S882" s="196">
        <f>IF(AND(ISNUMBER(E882),ISNUMBER(Q882)),E882*R882,0)</f>
        <v/>
      </c>
      <c r="T882" s="192">
        <f>$BC882*V$11</f>
        <v/>
      </c>
      <c r="U882" s="76">
        <f>$BC882*W$11</f>
        <v/>
      </c>
      <c r="V882" s="193">
        <f>+SUM(T882:U882)</f>
        <v/>
      </c>
      <c r="W882" s="191" t="n"/>
      <c r="X882" s="170" t="n"/>
      <c r="Y882" s="76">
        <f>ROUND(IF(offer_incoterms="DDP",X882*(S882*(1+AW882)+T882),0),2)</f>
        <v/>
      </c>
      <c r="Z882" s="188" t="n"/>
      <c r="AA882" s="192">
        <f>IFERROR(AB882/E882,0)</f>
        <v/>
      </c>
      <c r="AB882" s="76">
        <f>ROUND(SUM(S882,V882,Y882:Z882,BA882:BB882),2)</f>
        <v/>
      </c>
      <c r="AC882" s="797" t="n"/>
      <c r="AD882" s="192">
        <f t="array" ref="AD882">IFERROR(ROUND((_xlfn.IFS(offer_sale_type="поставка",AB882,offer_sale_type="транзит",S882)*(1+AC882))/E882,2),0)</f>
        <v/>
      </c>
      <c r="AE882" s="76">
        <f>AD882*E882</f>
        <v/>
      </c>
      <c r="AF882" s="193">
        <f t="array" ref="AF882">IFERROR(ROUND(_xlfn.IFS(offer_sale_type="поставка",AB882,offer_sale_type="транзит",S882)*AC882,2),0)</f>
        <v/>
      </c>
      <c r="AG882" s="192">
        <f>$BD882*VLOOKUP($AG$3,$AF$4:$AG$7,2,FALSE)</f>
        <v/>
      </c>
      <c r="AH882" s="76">
        <f>SUM(AE882,AG882,AI882)*rate_forex_risk</f>
        <v/>
      </c>
      <c r="AI882" s="193">
        <f>IF(OR(seller_region="TR",offer_sale_type="экспорт"),0,rate_fin_comm)*SUM(AZ882,AZ882*AW882,T882)</f>
        <v/>
      </c>
      <c r="AJ882" s="118">
        <f>IFERROR(ROUND(SUM(AB882,AF882:AI882)/E882,2),0)</f>
        <v/>
      </c>
      <c r="AK882" s="76">
        <f>AJ882*E882</f>
        <v/>
      </c>
      <c r="AL882" s="174">
        <f>ROUND(IFERROR(AM882*E882,0),2)</f>
        <v/>
      </c>
      <c r="AM882" s="175">
        <f>ROUND(AJ882*(1+IF(offer_incoterms="DDP",IF((TODAY()+offer_turnaround_time)&gt;=helpsheet!$L$17,rate_vatRU_from_26,rate_vatRu_till_25),0)),2)</f>
        <v/>
      </c>
      <c r="AN882" s="192">
        <f>AL882-AK882</f>
        <v/>
      </c>
      <c r="AO882" s="76">
        <f>SUM(AY882,Y882:Z882,T882)*IF(AND(offer_incoterms="DDP",offer_sale_type&lt;&gt;"экспорт"),IF((TODAY()+offer_turnaround_time)&gt;=helpsheet!$L$17,rate_vatRU_from_26,rate_vatRu_till_25),0)</f>
        <v/>
      </c>
      <c r="AP882" s="193">
        <f>AN882-AO882</f>
        <v/>
      </c>
      <c r="AQ882" s="118">
        <f>IF(offer_sale_type="транзит",SUM(AF882:AI882,BA882,BB882),0)</f>
        <v/>
      </c>
      <c r="AR882" s="82">
        <f>HYPERLINK("https://www.alta.ru/tnved/code/")&amp;W882&amp;"/"</f>
        <v/>
      </c>
      <c r="AS882" s="157" t="n"/>
      <c r="AT882" s="162" t="n"/>
      <c r="AU882" s="76">
        <f>IF(ISBLANK(AT882),0,AJ882-AT882)</f>
        <v/>
      </c>
      <c r="AV882" s="157" t="n"/>
      <c r="AW882" s="75">
        <f>_xlfn.IFNA(VLOOKUP(L882,list_vat[],3,FALSE),0)</f>
        <v/>
      </c>
      <c r="AX882" s="76">
        <f>IFERROR(ROUND(S882*(1+AW882)/E882,2),0)</f>
        <v/>
      </c>
      <c r="AY882" s="76">
        <f>E882*AX882</f>
        <v/>
      </c>
      <c r="AZ882" s="192">
        <f>S882*(1+M882)</f>
        <v/>
      </c>
      <c r="BA882" s="76">
        <f>cost_fin_total*$BD882</f>
        <v/>
      </c>
      <c r="BB882" s="193">
        <f>credit_sales_interest*BD882</f>
        <v/>
      </c>
      <c r="BC882" s="102">
        <f>IFERROR(IF($I$13&gt;0,$I882/$I$13,$S882/$S$13),0)</f>
        <v/>
      </c>
      <c r="BD882" s="102">
        <f>IFERROR($S882/$S$13,0)</f>
        <v/>
      </c>
      <c r="BE882" s="413" t="inlineStr">
        <is>
          <t>$</t>
        </is>
      </c>
    </row>
    <row r="883" ht="12" customFormat="1" customHeight="1" s="65">
      <c r="A883" s="43" t="n">
        <v>868</v>
      </c>
      <c r="B883" s="166" t="n"/>
      <c r="C883" s="166" t="n"/>
      <c r="D883" s="166" t="n"/>
      <c r="E883" s="162" t="n"/>
      <c r="F883" s="166" t="n"/>
      <c r="G883" s="162" t="n"/>
      <c r="H883" s="162" t="n"/>
      <c r="I883" s="189">
        <f>E883*G883</f>
        <v/>
      </c>
      <c r="J883" s="195" t="n"/>
      <c r="K883" s="162" t="n"/>
      <c r="L883" s="168" t="n"/>
      <c r="M883" s="75">
        <f>_xlfn.XLOOKUP(L883,list_vat[Страна],list_vat[Ставка НДС %],0,0)</f>
        <v/>
      </c>
      <c r="N883" s="162">
        <f>IFERROR(IF(L883="Китай",K883,K883/(1+M883)),0)</f>
        <v/>
      </c>
      <c r="O883" s="169" t="n"/>
      <c r="P883" s="76">
        <f>N883*(1-O883)</f>
        <v/>
      </c>
      <c r="Q883" s="162" t="n"/>
      <c r="R883" s="162">
        <f>IF(ISBLANK(Q883),"введи курс",P883/Q883)</f>
        <v/>
      </c>
      <c r="S883" s="196">
        <f>IF(AND(ISNUMBER(E883),ISNUMBER(Q883)),E883*R883,0)</f>
        <v/>
      </c>
      <c r="T883" s="192">
        <f>$BC883*V$11</f>
        <v/>
      </c>
      <c r="U883" s="76">
        <f>$BC883*W$11</f>
        <v/>
      </c>
      <c r="V883" s="193">
        <f>+SUM(T883:U883)</f>
        <v/>
      </c>
      <c r="W883" s="191" t="n"/>
      <c r="X883" s="170" t="n"/>
      <c r="Y883" s="76">
        <f>ROUND(IF(offer_incoterms="DDP",X883*(S883*(1+AW883)+T883),0),2)</f>
        <v/>
      </c>
      <c r="Z883" s="188" t="n"/>
      <c r="AA883" s="192">
        <f>IFERROR(AB883/E883,0)</f>
        <v/>
      </c>
      <c r="AB883" s="76">
        <f>ROUND(SUM(S883,V883,Y883:Z883,BA883:BB883),2)</f>
        <v/>
      </c>
      <c r="AC883" s="797" t="n"/>
      <c r="AD883" s="192">
        <f t="array" ref="AD883">IFERROR(ROUND((_xlfn.IFS(offer_sale_type="поставка",AB883,offer_sale_type="транзит",S883)*(1+AC883))/E883,2),0)</f>
        <v/>
      </c>
      <c r="AE883" s="76">
        <f>AD883*E883</f>
        <v/>
      </c>
      <c r="AF883" s="193">
        <f t="array" ref="AF883">IFERROR(ROUND(_xlfn.IFS(offer_sale_type="поставка",AB883,offer_sale_type="транзит",S883)*AC883,2),0)</f>
        <v/>
      </c>
      <c r="AG883" s="192">
        <f>$BD883*VLOOKUP($AG$3,$AF$4:$AG$7,2,FALSE)</f>
        <v/>
      </c>
      <c r="AH883" s="76">
        <f>SUM(AE883,AG883,AI883)*rate_forex_risk</f>
        <v/>
      </c>
      <c r="AI883" s="193">
        <f>IF(OR(seller_region="TR",offer_sale_type="экспорт"),0,rate_fin_comm)*SUM(AZ883,AZ883*AW883,T883)</f>
        <v/>
      </c>
      <c r="AJ883" s="118">
        <f>IFERROR(ROUND(SUM(AB883,AF883:AI883)/E883,2),0)</f>
        <v/>
      </c>
      <c r="AK883" s="76">
        <f>AJ883*E883</f>
        <v/>
      </c>
      <c r="AL883" s="174">
        <f>ROUND(IFERROR(AM883*E883,0),2)</f>
        <v/>
      </c>
      <c r="AM883" s="175">
        <f>ROUND(AJ883*(1+IF(offer_incoterms="DDP",IF((TODAY()+offer_turnaround_time)&gt;=helpsheet!$L$17,rate_vatRU_from_26,rate_vatRu_till_25),0)),2)</f>
        <v/>
      </c>
      <c r="AN883" s="192">
        <f>AL883-AK883</f>
        <v/>
      </c>
      <c r="AO883" s="76">
        <f>SUM(AY883,Y883:Z883,T883)*IF(AND(offer_incoterms="DDP",offer_sale_type&lt;&gt;"экспорт"),IF((TODAY()+offer_turnaround_time)&gt;=helpsheet!$L$17,rate_vatRU_from_26,rate_vatRu_till_25),0)</f>
        <v/>
      </c>
      <c r="AP883" s="193">
        <f>AN883-AO883</f>
        <v/>
      </c>
      <c r="AQ883" s="118">
        <f>IF(offer_sale_type="транзит",SUM(AF883:AI883,BA883,BB883),0)</f>
        <v/>
      </c>
      <c r="AR883" s="82">
        <f>HYPERLINK("https://www.alta.ru/tnved/code/")&amp;W883&amp;"/"</f>
        <v/>
      </c>
      <c r="AS883" s="157" t="n"/>
      <c r="AT883" s="162" t="n"/>
      <c r="AU883" s="76">
        <f>IF(ISBLANK(AT883),0,AJ883-AT883)</f>
        <v/>
      </c>
      <c r="AV883" s="157" t="n"/>
      <c r="AW883" s="75">
        <f>_xlfn.IFNA(VLOOKUP(L883,list_vat[],3,FALSE),0)</f>
        <v/>
      </c>
      <c r="AX883" s="76">
        <f>IFERROR(ROUND(S883*(1+AW883)/E883,2),0)</f>
        <v/>
      </c>
      <c r="AY883" s="76">
        <f>E883*AX883</f>
        <v/>
      </c>
      <c r="AZ883" s="192">
        <f>S883*(1+M883)</f>
        <v/>
      </c>
      <c r="BA883" s="76">
        <f>cost_fin_total*$BD883</f>
        <v/>
      </c>
      <c r="BB883" s="193">
        <f>credit_sales_interest*BD883</f>
        <v/>
      </c>
      <c r="BC883" s="102">
        <f>IFERROR(IF($I$13&gt;0,$I883/$I$13,$S883/$S$13),0)</f>
        <v/>
      </c>
      <c r="BD883" s="102">
        <f>IFERROR($S883/$S$13,0)</f>
        <v/>
      </c>
      <c r="BE883" s="413" t="inlineStr">
        <is>
          <t>$</t>
        </is>
      </c>
    </row>
    <row r="884" ht="12" customFormat="1" customHeight="1" s="65">
      <c r="A884" s="43" t="n">
        <v>869</v>
      </c>
      <c r="B884" s="166" t="n"/>
      <c r="C884" s="166" t="n"/>
      <c r="D884" s="166" t="n"/>
      <c r="E884" s="162" t="n"/>
      <c r="F884" s="166" t="n"/>
      <c r="G884" s="162" t="n"/>
      <c r="H884" s="162" t="n"/>
      <c r="I884" s="189">
        <f>E884*G884</f>
        <v/>
      </c>
      <c r="J884" s="195" t="n"/>
      <c r="K884" s="162" t="n"/>
      <c r="L884" s="168" t="n"/>
      <c r="M884" s="75">
        <f>_xlfn.XLOOKUP(L884,list_vat[Страна],list_vat[Ставка НДС %],0,0)</f>
        <v/>
      </c>
      <c r="N884" s="162">
        <f>IFERROR(IF(L884="Китай",K884,K884/(1+M884)),0)</f>
        <v/>
      </c>
      <c r="O884" s="169" t="n"/>
      <c r="P884" s="76">
        <f>N884*(1-O884)</f>
        <v/>
      </c>
      <c r="Q884" s="162" t="n"/>
      <c r="R884" s="162">
        <f>IF(ISBLANK(Q884),"введи курс",P884/Q884)</f>
        <v/>
      </c>
      <c r="S884" s="196">
        <f>IF(AND(ISNUMBER(E884),ISNUMBER(Q884)),E884*R884,0)</f>
        <v/>
      </c>
      <c r="T884" s="192">
        <f>$BC884*V$11</f>
        <v/>
      </c>
      <c r="U884" s="76">
        <f>$BC884*W$11</f>
        <v/>
      </c>
      <c r="V884" s="193">
        <f>+SUM(T884:U884)</f>
        <v/>
      </c>
      <c r="W884" s="191" t="n"/>
      <c r="X884" s="170" t="n"/>
      <c r="Y884" s="76">
        <f>ROUND(IF(offer_incoterms="DDP",X884*(S884*(1+AW884)+T884),0),2)</f>
        <v/>
      </c>
      <c r="Z884" s="188" t="n"/>
      <c r="AA884" s="192">
        <f>IFERROR(AB884/E884,0)</f>
        <v/>
      </c>
      <c r="AB884" s="76">
        <f>ROUND(SUM(S884,V884,Y884:Z884,BA884:BB884),2)</f>
        <v/>
      </c>
      <c r="AC884" s="797" t="n"/>
      <c r="AD884" s="192">
        <f t="array" ref="AD884">IFERROR(ROUND((_xlfn.IFS(offer_sale_type="поставка",AB884,offer_sale_type="транзит",S884)*(1+AC884))/E884,2),0)</f>
        <v/>
      </c>
      <c r="AE884" s="76">
        <f>AD884*E884</f>
        <v/>
      </c>
      <c r="AF884" s="193">
        <f t="array" ref="AF884">IFERROR(ROUND(_xlfn.IFS(offer_sale_type="поставка",AB884,offer_sale_type="транзит",S884)*AC884,2),0)</f>
        <v/>
      </c>
      <c r="AG884" s="192">
        <f>$BD884*VLOOKUP($AG$3,$AF$4:$AG$7,2,FALSE)</f>
        <v/>
      </c>
      <c r="AH884" s="76">
        <f>SUM(AE884,AG884,AI884)*rate_forex_risk</f>
        <v/>
      </c>
      <c r="AI884" s="193">
        <f>IF(OR(seller_region="TR",offer_sale_type="экспорт"),0,rate_fin_comm)*SUM(AZ884,AZ884*AW884,T884)</f>
        <v/>
      </c>
      <c r="AJ884" s="118">
        <f>IFERROR(ROUND(SUM(AB884,AF884:AI884)/E884,2),0)</f>
        <v/>
      </c>
      <c r="AK884" s="76">
        <f>AJ884*E884</f>
        <v/>
      </c>
      <c r="AL884" s="174">
        <f>ROUND(IFERROR(AM884*E884,0),2)</f>
        <v/>
      </c>
      <c r="AM884" s="175">
        <f>ROUND(AJ884*(1+IF(offer_incoterms="DDP",IF((TODAY()+offer_turnaround_time)&gt;=helpsheet!$L$17,rate_vatRU_from_26,rate_vatRu_till_25),0)),2)</f>
        <v/>
      </c>
      <c r="AN884" s="192">
        <f>AL884-AK884</f>
        <v/>
      </c>
      <c r="AO884" s="76">
        <f>SUM(AY884,Y884:Z884,T884)*IF(AND(offer_incoterms="DDP",offer_sale_type&lt;&gt;"экспорт"),IF((TODAY()+offer_turnaround_time)&gt;=helpsheet!$L$17,rate_vatRU_from_26,rate_vatRu_till_25),0)</f>
        <v/>
      </c>
      <c r="AP884" s="193">
        <f>AN884-AO884</f>
        <v/>
      </c>
      <c r="AQ884" s="118">
        <f>IF(offer_sale_type="транзит",SUM(AF884:AI884,BA884,BB884),0)</f>
        <v/>
      </c>
      <c r="AR884" s="82">
        <f>HYPERLINK("https://www.alta.ru/tnved/code/")&amp;W884&amp;"/"</f>
        <v/>
      </c>
      <c r="AS884" s="157" t="n"/>
      <c r="AT884" s="162" t="n"/>
      <c r="AU884" s="76">
        <f>IF(ISBLANK(AT884),0,AJ884-AT884)</f>
        <v/>
      </c>
      <c r="AV884" s="157" t="n"/>
      <c r="AW884" s="75">
        <f>_xlfn.IFNA(VLOOKUP(L884,list_vat[],3,FALSE),0)</f>
        <v/>
      </c>
      <c r="AX884" s="76">
        <f>IFERROR(ROUND(S884*(1+AW884)/E884,2),0)</f>
        <v/>
      </c>
      <c r="AY884" s="76">
        <f>E884*AX884</f>
        <v/>
      </c>
      <c r="AZ884" s="192">
        <f>S884*(1+M884)</f>
        <v/>
      </c>
      <c r="BA884" s="76">
        <f>cost_fin_total*$BD884</f>
        <v/>
      </c>
      <c r="BB884" s="193">
        <f>credit_sales_interest*BD884</f>
        <v/>
      </c>
      <c r="BC884" s="102">
        <f>IFERROR(IF($I$13&gt;0,$I884/$I$13,$S884/$S$13),0)</f>
        <v/>
      </c>
      <c r="BD884" s="102">
        <f>IFERROR($S884/$S$13,0)</f>
        <v/>
      </c>
      <c r="BE884" s="413" t="inlineStr">
        <is>
          <t>$</t>
        </is>
      </c>
    </row>
    <row r="885" ht="12" customFormat="1" customHeight="1" s="65">
      <c r="A885" s="43" t="n">
        <v>870</v>
      </c>
      <c r="B885" s="166" t="n"/>
      <c r="C885" s="166" t="n"/>
      <c r="D885" s="166" t="n"/>
      <c r="E885" s="162" t="n"/>
      <c r="F885" s="166" t="n"/>
      <c r="G885" s="162" t="n"/>
      <c r="H885" s="162" t="n"/>
      <c r="I885" s="189">
        <f>E885*G885</f>
        <v/>
      </c>
      <c r="J885" s="195" t="n"/>
      <c r="K885" s="162" t="n"/>
      <c r="L885" s="168" t="n"/>
      <c r="M885" s="75">
        <f>_xlfn.XLOOKUP(L885,list_vat[Страна],list_vat[Ставка НДС %],0,0)</f>
        <v/>
      </c>
      <c r="N885" s="162">
        <f>IFERROR(IF(L885="Китай",K885,K885/(1+M885)),0)</f>
        <v/>
      </c>
      <c r="O885" s="169" t="n"/>
      <c r="P885" s="76">
        <f>N885*(1-O885)</f>
        <v/>
      </c>
      <c r="Q885" s="162" t="n"/>
      <c r="R885" s="162">
        <f>IF(ISBLANK(Q885),"введи курс",P885/Q885)</f>
        <v/>
      </c>
      <c r="S885" s="196">
        <f>IF(AND(ISNUMBER(E885),ISNUMBER(Q885)),E885*R885,0)</f>
        <v/>
      </c>
      <c r="T885" s="192">
        <f>$BC885*V$11</f>
        <v/>
      </c>
      <c r="U885" s="76">
        <f>$BC885*W$11</f>
        <v/>
      </c>
      <c r="V885" s="193">
        <f>+SUM(T885:U885)</f>
        <v/>
      </c>
      <c r="W885" s="191" t="n"/>
      <c r="X885" s="170" t="n"/>
      <c r="Y885" s="76">
        <f>ROUND(IF(offer_incoterms="DDP",X885*(S885*(1+AW885)+T885),0),2)</f>
        <v/>
      </c>
      <c r="Z885" s="188" t="n"/>
      <c r="AA885" s="192">
        <f>IFERROR(AB885/E885,0)</f>
        <v/>
      </c>
      <c r="AB885" s="76">
        <f>ROUND(SUM(S885,V885,Y885:Z885,BA885:BB885),2)</f>
        <v/>
      </c>
      <c r="AC885" s="797" t="n"/>
      <c r="AD885" s="192">
        <f t="array" ref="AD885">IFERROR(ROUND((_xlfn.IFS(offer_sale_type="поставка",AB885,offer_sale_type="транзит",S885)*(1+AC885))/E885,2),0)</f>
        <v/>
      </c>
      <c r="AE885" s="76">
        <f>AD885*E885</f>
        <v/>
      </c>
      <c r="AF885" s="193">
        <f t="array" ref="AF885">IFERROR(ROUND(_xlfn.IFS(offer_sale_type="поставка",AB885,offer_sale_type="транзит",S885)*AC885,2),0)</f>
        <v/>
      </c>
      <c r="AG885" s="192">
        <f>$BD885*VLOOKUP($AG$3,$AF$4:$AG$7,2,FALSE)</f>
        <v/>
      </c>
      <c r="AH885" s="76">
        <f>SUM(AE885,AG885,AI885)*rate_forex_risk</f>
        <v/>
      </c>
      <c r="AI885" s="193">
        <f>IF(OR(seller_region="TR",offer_sale_type="экспорт"),0,rate_fin_comm)*SUM(AZ885,AZ885*AW885,T885)</f>
        <v/>
      </c>
      <c r="AJ885" s="118">
        <f>IFERROR(ROUND(SUM(AB885,AF885:AI885)/E885,2),0)</f>
        <v/>
      </c>
      <c r="AK885" s="76">
        <f>AJ885*E885</f>
        <v/>
      </c>
      <c r="AL885" s="174">
        <f>ROUND(IFERROR(AM885*E885,0),2)</f>
        <v/>
      </c>
      <c r="AM885" s="175">
        <f>ROUND(AJ885*(1+IF(offer_incoterms="DDP",IF((TODAY()+offer_turnaround_time)&gt;=helpsheet!$L$17,rate_vatRU_from_26,rate_vatRu_till_25),0)),2)</f>
        <v/>
      </c>
      <c r="AN885" s="192">
        <f>AL885-AK885</f>
        <v/>
      </c>
      <c r="AO885" s="76">
        <f>SUM(AY885,Y885:Z885,T885)*IF(AND(offer_incoterms="DDP",offer_sale_type&lt;&gt;"экспорт"),IF((TODAY()+offer_turnaround_time)&gt;=helpsheet!$L$17,rate_vatRU_from_26,rate_vatRu_till_25),0)</f>
        <v/>
      </c>
      <c r="AP885" s="193">
        <f>AN885-AO885</f>
        <v/>
      </c>
      <c r="AQ885" s="118">
        <f>IF(offer_sale_type="транзит",SUM(AF885:AI885,BA885,BB885),0)</f>
        <v/>
      </c>
      <c r="AR885" s="82">
        <f>HYPERLINK("https://www.alta.ru/tnved/code/")&amp;W885&amp;"/"</f>
        <v/>
      </c>
      <c r="AS885" s="157" t="n"/>
      <c r="AT885" s="162" t="n"/>
      <c r="AU885" s="76">
        <f>IF(ISBLANK(AT885),0,AJ885-AT885)</f>
        <v/>
      </c>
      <c r="AV885" s="157" t="n"/>
      <c r="AW885" s="75">
        <f>_xlfn.IFNA(VLOOKUP(L885,list_vat[],3,FALSE),0)</f>
        <v/>
      </c>
      <c r="AX885" s="76">
        <f>IFERROR(ROUND(S885*(1+AW885)/E885,2),0)</f>
        <v/>
      </c>
      <c r="AY885" s="76">
        <f>E885*AX885</f>
        <v/>
      </c>
      <c r="AZ885" s="192">
        <f>S885*(1+M885)</f>
        <v/>
      </c>
      <c r="BA885" s="76">
        <f>cost_fin_total*$BD885</f>
        <v/>
      </c>
      <c r="BB885" s="193">
        <f>credit_sales_interest*BD885</f>
        <v/>
      </c>
      <c r="BC885" s="102">
        <f>IFERROR(IF($I$13&gt;0,$I885/$I$13,$S885/$S$13),0)</f>
        <v/>
      </c>
      <c r="BD885" s="102">
        <f>IFERROR($S885/$S$13,0)</f>
        <v/>
      </c>
      <c r="BE885" s="413" t="inlineStr">
        <is>
          <t>$</t>
        </is>
      </c>
    </row>
    <row r="886" ht="12" customFormat="1" customHeight="1" s="65">
      <c r="A886" s="43" t="n">
        <v>871</v>
      </c>
      <c r="B886" s="166" t="n"/>
      <c r="C886" s="166" t="n"/>
      <c r="D886" s="166" t="n"/>
      <c r="E886" s="162" t="n"/>
      <c r="F886" s="166" t="n"/>
      <c r="G886" s="162" t="n"/>
      <c r="H886" s="162" t="n"/>
      <c r="I886" s="189">
        <f>E886*G886</f>
        <v/>
      </c>
      <c r="J886" s="195" t="n"/>
      <c r="K886" s="162" t="n"/>
      <c r="L886" s="168" t="n"/>
      <c r="M886" s="75">
        <f>_xlfn.XLOOKUP(L886,list_vat[Страна],list_vat[Ставка НДС %],0,0)</f>
        <v/>
      </c>
      <c r="N886" s="162">
        <f>IFERROR(IF(L886="Китай",K886,K886/(1+M886)),0)</f>
        <v/>
      </c>
      <c r="O886" s="169" t="n"/>
      <c r="P886" s="76">
        <f>N886*(1-O886)</f>
        <v/>
      </c>
      <c r="Q886" s="162" t="n"/>
      <c r="R886" s="162">
        <f>IF(ISBLANK(Q886),"введи курс",P886/Q886)</f>
        <v/>
      </c>
      <c r="S886" s="196">
        <f>IF(AND(ISNUMBER(E886),ISNUMBER(Q886)),E886*R886,0)</f>
        <v/>
      </c>
      <c r="T886" s="192">
        <f>$BC886*V$11</f>
        <v/>
      </c>
      <c r="U886" s="76">
        <f>$BC886*W$11</f>
        <v/>
      </c>
      <c r="V886" s="193">
        <f>+SUM(T886:U886)</f>
        <v/>
      </c>
      <c r="W886" s="191" t="n"/>
      <c r="X886" s="170" t="n"/>
      <c r="Y886" s="76">
        <f>ROUND(IF(offer_incoterms="DDP",X886*(S886*(1+AW886)+T886),0),2)</f>
        <v/>
      </c>
      <c r="Z886" s="188" t="n"/>
      <c r="AA886" s="192">
        <f>IFERROR(AB886/E886,0)</f>
        <v/>
      </c>
      <c r="AB886" s="76">
        <f>ROUND(SUM(S886,V886,Y886:Z886,BA886:BB886),2)</f>
        <v/>
      </c>
      <c r="AC886" s="797" t="n"/>
      <c r="AD886" s="192">
        <f t="array" ref="AD886">IFERROR(ROUND((_xlfn.IFS(offer_sale_type="поставка",AB886,offer_sale_type="транзит",S886)*(1+AC886))/E886,2),0)</f>
        <v/>
      </c>
      <c r="AE886" s="76">
        <f>AD886*E886</f>
        <v/>
      </c>
      <c r="AF886" s="193">
        <f t="array" ref="AF886">IFERROR(ROUND(_xlfn.IFS(offer_sale_type="поставка",AB886,offer_sale_type="транзит",S886)*AC886,2),0)</f>
        <v/>
      </c>
      <c r="AG886" s="192">
        <f>$BD886*VLOOKUP($AG$3,$AF$4:$AG$7,2,FALSE)</f>
        <v/>
      </c>
      <c r="AH886" s="76">
        <f>SUM(AE886,AG886,AI886)*rate_forex_risk</f>
        <v/>
      </c>
      <c r="AI886" s="193">
        <f>IF(OR(seller_region="TR",offer_sale_type="экспорт"),0,rate_fin_comm)*SUM(AZ886,AZ886*AW886,T886)</f>
        <v/>
      </c>
      <c r="AJ886" s="118">
        <f>IFERROR(ROUND(SUM(AB886,AF886:AI886)/E886,2),0)</f>
        <v/>
      </c>
      <c r="AK886" s="76">
        <f>AJ886*E886</f>
        <v/>
      </c>
      <c r="AL886" s="174">
        <f>ROUND(IFERROR(AM886*E886,0),2)</f>
        <v/>
      </c>
      <c r="AM886" s="175">
        <f>ROUND(AJ886*(1+IF(offer_incoterms="DDP",IF((TODAY()+offer_turnaround_time)&gt;=helpsheet!$L$17,rate_vatRU_from_26,rate_vatRu_till_25),0)),2)</f>
        <v/>
      </c>
      <c r="AN886" s="192">
        <f>AL886-AK886</f>
        <v/>
      </c>
      <c r="AO886" s="76">
        <f>SUM(AY886,Y886:Z886,T886)*IF(AND(offer_incoterms="DDP",offer_sale_type&lt;&gt;"экспорт"),IF((TODAY()+offer_turnaround_time)&gt;=helpsheet!$L$17,rate_vatRU_from_26,rate_vatRu_till_25),0)</f>
        <v/>
      </c>
      <c r="AP886" s="193">
        <f>AN886-AO886</f>
        <v/>
      </c>
      <c r="AQ886" s="118">
        <f>IF(offer_sale_type="транзит",SUM(AF886:AI886,BA886,BB886),0)</f>
        <v/>
      </c>
      <c r="AR886" s="82">
        <f>HYPERLINK("https://www.alta.ru/tnved/code/")&amp;W886&amp;"/"</f>
        <v/>
      </c>
      <c r="AS886" s="157" t="n"/>
      <c r="AT886" s="162" t="n"/>
      <c r="AU886" s="76">
        <f>IF(ISBLANK(AT886),0,AJ886-AT886)</f>
        <v/>
      </c>
      <c r="AV886" s="157" t="n"/>
      <c r="AW886" s="75">
        <f>_xlfn.IFNA(VLOOKUP(L886,list_vat[],3,FALSE),0)</f>
        <v/>
      </c>
      <c r="AX886" s="76">
        <f>IFERROR(ROUND(S886*(1+AW886)/E886,2),0)</f>
        <v/>
      </c>
      <c r="AY886" s="76">
        <f>E886*AX886</f>
        <v/>
      </c>
      <c r="AZ886" s="192">
        <f>S886*(1+M886)</f>
        <v/>
      </c>
      <c r="BA886" s="76">
        <f>cost_fin_total*$BD886</f>
        <v/>
      </c>
      <c r="BB886" s="193">
        <f>credit_sales_interest*BD886</f>
        <v/>
      </c>
      <c r="BC886" s="102">
        <f>IFERROR(IF($I$13&gt;0,$I886/$I$13,$S886/$S$13),0)</f>
        <v/>
      </c>
      <c r="BD886" s="102">
        <f>IFERROR($S886/$S$13,0)</f>
        <v/>
      </c>
      <c r="BE886" s="413" t="inlineStr">
        <is>
          <t>$</t>
        </is>
      </c>
    </row>
    <row r="887" ht="12" customFormat="1" customHeight="1" s="65">
      <c r="A887" s="43" t="n">
        <v>872</v>
      </c>
      <c r="B887" s="166" t="n"/>
      <c r="C887" s="166" t="n"/>
      <c r="D887" s="166" t="n"/>
      <c r="E887" s="162" t="n"/>
      <c r="F887" s="166" t="n"/>
      <c r="G887" s="162" t="n"/>
      <c r="H887" s="162" t="n"/>
      <c r="I887" s="189">
        <f>E887*G887</f>
        <v/>
      </c>
      <c r="J887" s="195" t="n"/>
      <c r="K887" s="162" t="n"/>
      <c r="L887" s="168" t="n"/>
      <c r="M887" s="75">
        <f>_xlfn.XLOOKUP(L887,list_vat[Страна],list_vat[Ставка НДС %],0,0)</f>
        <v/>
      </c>
      <c r="N887" s="162">
        <f>IFERROR(IF(L887="Китай",K887,K887/(1+M887)),0)</f>
        <v/>
      </c>
      <c r="O887" s="169" t="n"/>
      <c r="P887" s="76">
        <f>N887*(1-O887)</f>
        <v/>
      </c>
      <c r="Q887" s="162" t="n"/>
      <c r="R887" s="162">
        <f>IF(ISBLANK(Q887),"введи курс",P887/Q887)</f>
        <v/>
      </c>
      <c r="S887" s="196">
        <f>IF(AND(ISNUMBER(E887),ISNUMBER(Q887)),E887*R887,0)</f>
        <v/>
      </c>
      <c r="T887" s="192">
        <f>$BC887*V$11</f>
        <v/>
      </c>
      <c r="U887" s="76">
        <f>$BC887*W$11</f>
        <v/>
      </c>
      <c r="V887" s="193">
        <f>+SUM(T887:U887)</f>
        <v/>
      </c>
      <c r="W887" s="191" t="n"/>
      <c r="X887" s="170" t="n"/>
      <c r="Y887" s="76">
        <f>ROUND(IF(offer_incoterms="DDP",X887*(S887*(1+AW887)+T887),0),2)</f>
        <v/>
      </c>
      <c r="Z887" s="188" t="n"/>
      <c r="AA887" s="192">
        <f>IFERROR(AB887/E887,0)</f>
        <v/>
      </c>
      <c r="AB887" s="76">
        <f>ROUND(SUM(S887,V887,Y887:Z887,BA887:BB887),2)</f>
        <v/>
      </c>
      <c r="AC887" s="797" t="n"/>
      <c r="AD887" s="192">
        <f t="array" ref="AD887">IFERROR(ROUND((_xlfn.IFS(offer_sale_type="поставка",AB887,offer_sale_type="транзит",S887)*(1+AC887))/E887,2),0)</f>
        <v/>
      </c>
      <c r="AE887" s="76">
        <f>AD887*E887</f>
        <v/>
      </c>
      <c r="AF887" s="193">
        <f t="array" ref="AF887">IFERROR(ROUND(_xlfn.IFS(offer_sale_type="поставка",AB887,offer_sale_type="транзит",S887)*AC887,2),0)</f>
        <v/>
      </c>
      <c r="AG887" s="192">
        <f>$BD887*VLOOKUP($AG$3,$AF$4:$AG$7,2,FALSE)</f>
        <v/>
      </c>
      <c r="AH887" s="76">
        <f>SUM(AE887,AG887,AI887)*rate_forex_risk</f>
        <v/>
      </c>
      <c r="AI887" s="193">
        <f>IF(OR(seller_region="TR",offer_sale_type="экспорт"),0,rate_fin_comm)*SUM(AZ887,AZ887*AW887,T887)</f>
        <v/>
      </c>
      <c r="AJ887" s="118">
        <f>IFERROR(ROUND(SUM(AB887,AF887:AI887)/E887,2),0)</f>
        <v/>
      </c>
      <c r="AK887" s="76">
        <f>AJ887*E887</f>
        <v/>
      </c>
      <c r="AL887" s="174">
        <f>ROUND(IFERROR(AM887*E887,0),2)</f>
        <v/>
      </c>
      <c r="AM887" s="175">
        <f>ROUND(AJ887*(1+IF(offer_incoterms="DDP",IF((TODAY()+offer_turnaround_time)&gt;=helpsheet!$L$17,rate_vatRU_from_26,rate_vatRu_till_25),0)),2)</f>
        <v/>
      </c>
      <c r="AN887" s="192">
        <f>AL887-AK887</f>
        <v/>
      </c>
      <c r="AO887" s="76">
        <f>SUM(AY887,Y887:Z887,T887)*IF(AND(offer_incoterms="DDP",offer_sale_type&lt;&gt;"экспорт"),IF((TODAY()+offer_turnaround_time)&gt;=helpsheet!$L$17,rate_vatRU_from_26,rate_vatRu_till_25),0)</f>
        <v/>
      </c>
      <c r="AP887" s="193">
        <f>AN887-AO887</f>
        <v/>
      </c>
      <c r="AQ887" s="118">
        <f>IF(offer_sale_type="транзит",SUM(AF887:AI887,BA887,BB887),0)</f>
        <v/>
      </c>
      <c r="AR887" s="82">
        <f>HYPERLINK("https://www.alta.ru/tnved/code/")&amp;W887&amp;"/"</f>
        <v/>
      </c>
      <c r="AS887" s="157" t="n"/>
      <c r="AT887" s="162" t="n"/>
      <c r="AU887" s="76">
        <f>IF(ISBLANK(AT887),0,AJ887-AT887)</f>
        <v/>
      </c>
      <c r="AV887" s="157" t="n"/>
      <c r="AW887" s="75">
        <f>_xlfn.IFNA(VLOOKUP(L887,list_vat[],3,FALSE),0)</f>
        <v/>
      </c>
      <c r="AX887" s="76">
        <f>IFERROR(ROUND(S887*(1+AW887)/E887,2),0)</f>
        <v/>
      </c>
      <c r="AY887" s="76">
        <f>E887*AX887</f>
        <v/>
      </c>
      <c r="AZ887" s="192">
        <f>S887*(1+M887)</f>
        <v/>
      </c>
      <c r="BA887" s="76">
        <f>cost_fin_total*$BD887</f>
        <v/>
      </c>
      <c r="BB887" s="193">
        <f>credit_sales_interest*BD887</f>
        <v/>
      </c>
      <c r="BC887" s="102">
        <f>IFERROR(IF($I$13&gt;0,$I887/$I$13,$S887/$S$13),0)</f>
        <v/>
      </c>
      <c r="BD887" s="102">
        <f>IFERROR($S887/$S$13,0)</f>
        <v/>
      </c>
      <c r="BE887" s="413" t="inlineStr">
        <is>
          <t>$</t>
        </is>
      </c>
    </row>
    <row r="888" ht="12" customFormat="1" customHeight="1" s="65">
      <c r="A888" s="43" t="n">
        <v>873</v>
      </c>
      <c r="B888" s="166" t="n"/>
      <c r="C888" s="166" t="n"/>
      <c r="D888" s="166" t="n"/>
      <c r="E888" s="162" t="n"/>
      <c r="F888" s="166" t="n"/>
      <c r="G888" s="162" t="n"/>
      <c r="H888" s="162" t="n"/>
      <c r="I888" s="189">
        <f>E888*G888</f>
        <v/>
      </c>
      <c r="J888" s="195" t="n"/>
      <c r="K888" s="162" t="n"/>
      <c r="L888" s="168" t="n"/>
      <c r="M888" s="75">
        <f>_xlfn.XLOOKUP(L888,list_vat[Страна],list_vat[Ставка НДС %],0,0)</f>
        <v/>
      </c>
      <c r="N888" s="162">
        <f>IFERROR(IF(L888="Китай",K888,K888/(1+M888)),0)</f>
        <v/>
      </c>
      <c r="O888" s="169" t="n"/>
      <c r="P888" s="76">
        <f>N888*(1-O888)</f>
        <v/>
      </c>
      <c r="Q888" s="162" t="n"/>
      <c r="R888" s="162">
        <f>IF(ISBLANK(Q888),"введи курс",P888/Q888)</f>
        <v/>
      </c>
      <c r="S888" s="196">
        <f>IF(AND(ISNUMBER(E888),ISNUMBER(Q888)),E888*R888,0)</f>
        <v/>
      </c>
      <c r="T888" s="192">
        <f>$BC888*V$11</f>
        <v/>
      </c>
      <c r="U888" s="76">
        <f>$BC888*W$11</f>
        <v/>
      </c>
      <c r="V888" s="193">
        <f>+SUM(T888:U888)</f>
        <v/>
      </c>
      <c r="W888" s="191" t="n"/>
      <c r="X888" s="170" t="n"/>
      <c r="Y888" s="76">
        <f>ROUND(IF(offer_incoterms="DDP",X888*(S888*(1+AW888)+T888),0),2)</f>
        <v/>
      </c>
      <c r="Z888" s="188" t="n"/>
      <c r="AA888" s="192">
        <f>IFERROR(AB888/E888,0)</f>
        <v/>
      </c>
      <c r="AB888" s="76">
        <f>ROUND(SUM(S888,V888,Y888:Z888,BA888:BB888),2)</f>
        <v/>
      </c>
      <c r="AC888" s="797" t="n"/>
      <c r="AD888" s="192">
        <f t="array" ref="AD888">IFERROR(ROUND((_xlfn.IFS(offer_sale_type="поставка",AB888,offer_sale_type="транзит",S888)*(1+AC888))/E888,2),0)</f>
        <v/>
      </c>
      <c r="AE888" s="76">
        <f>AD888*E888</f>
        <v/>
      </c>
      <c r="AF888" s="193">
        <f t="array" ref="AF888">IFERROR(ROUND(_xlfn.IFS(offer_sale_type="поставка",AB888,offer_sale_type="транзит",S888)*AC888,2),0)</f>
        <v/>
      </c>
      <c r="AG888" s="192">
        <f>$BD888*VLOOKUP($AG$3,$AF$4:$AG$7,2,FALSE)</f>
        <v/>
      </c>
      <c r="AH888" s="76">
        <f>SUM(AE888,AG888,AI888)*rate_forex_risk</f>
        <v/>
      </c>
      <c r="AI888" s="193">
        <f>IF(OR(seller_region="TR",offer_sale_type="экспорт"),0,rate_fin_comm)*SUM(AZ888,AZ888*AW888,T888)</f>
        <v/>
      </c>
      <c r="AJ888" s="118">
        <f>IFERROR(ROUND(SUM(AB888,AF888:AI888)/E888,2),0)</f>
        <v/>
      </c>
      <c r="AK888" s="76">
        <f>AJ888*E888</f>
        <v/>
      </c>
      <c r="AL888" s="174">
        <f>ROUND(IFERROR(AM888*E888,0),2)</f>
        <v/>
      </c>
      <c r="AM888" s="175">
        <f>ROUND(AJ888*(1+IF(offer_incoterms="DDP",IF((TODAY()+offer_turnaround_time)&gt;=helpsheet!$L$17,rate_vatRU_from_26,rate_vatRu_till_25),0)),2)</f>
        <v/>
      </c>
      <c r="AN888" s="192">
        <f>AL888-AK888</f>
        <v/>
      </c>
      <c r="AO888" s="76">
        <f>SUM(AY888,Y888:Z888,T888)*IF(AND(offer_incoterms="DDP",offer_sale_type&lt;&gt;"экспорт"),IF((TODAY()+offer_turnaround_time)&gt;=helpsheet!$L$17,rate_vatRU_from_26,rate_vatRu_till_25),0)</f>
        <v/>
      </c>
      <c r="AP888" s="193">
        <f>AN888-AO888</f>
        <v/>
      </c>
      <c r="AQ888" s="118">
        <f>IF(offer_sale_type="транзит",SUM(AF888:AI888,BA888,BB888),0)</f>
        <v/>
      </c>
      <c r="AR888" s="82">
        <f>HYPERLINK("https://www.alta.ru/tnved/code/")&amp;W888&amp;"/"</f>
        <v/>
      </c>
      <c r="AS888" s="157" t="n"/>
      <c r="AT888" s="162" t="n"/>
      <c r="AU888" s="76">
        <f>IF(ISBLANK(AT888),0,AJ888-AT888)</f>
        <v/>
      </c>
      <c r="AV888" s="157" t="n"/>
      <c r="AW888" s="75">
        <f>_xlfn.IFNA(VLOOKUP(L888,list_vat[],3,FALSE),0)</f>
        <v/>
      </c>
      <c r="AX888" s="76">
        <f>IFERROR(ROUND(S888*(1+AW888)/E888,2),0)</f>
        <v/>
      </c>
      <c r="AY888" s="76">
        <f>E888*AX888</f>
        <v/>
      </c>
      <c r="AZ888" s="192">
        <f>S888*(1+M888)</f>
        <v/>
      </c>
      <c r="BA888" s="76">
        <f>cost_fin_total*$BD888</f>
        <v/>
      </c>
      <c r="BB888" s="193">
        <f>credit_sales_interest*BD888</f>
        <v/>
      </c>
      <c r="BC888" s="102">
        <f>IFERROR(IF($I$13&gt;0,$I888/$I$13,$S888/$S$13),0)</f>
        <v/>
      </c>
      <c r="BD888" s="102">
        <f>IFERROR($S888/$S$13,0)</f>
        <v/>
      </c>
      <c r="BE888" s="413" t="inlineStr">
        <is>
          <t>$</t>
        </is>
      </c>
    </row>
    <row r="889" ht="12" customFormat="1" customHeight="1" s="65">
      <c r="A889" s="43" t="n">
        <v>874</v>
      </c>
      <c r="B889" s="166" t="n"/>
      <c r="C889" s="166" t="n"/>
      <c r="D889" s="166" t="n"/>
      <c r="E889" s="162" t="n"/>
      <c r="F889" s="166" t="n"/>
      <c r="G889" s="162" t="n"/>
      <c r="H889" s="162" t="n"/>
      <c r="I889" s="189">
        <f>E889*G889</f>
        <v/>
      </c>
      <c r="J889" s="195" t="n"/>
      <c r="K889" s="162" t="n"/>
      <c r="L889" s="168" t="n"/>
      <c r="M889" s="75">
        <f>_xlfn.XLOOKUP(L889,list_vat[Страна],list_vat[Ставка НДС %],0,0)</f>
        <v/>
      </c>
      <c r="N889" s="162">
        <f>IFERROR(IF(L889="Китай",K889,K889/(1+M889)),0)</f>
        <v/>
      </c>
      <c r="O889" s="169" t="n"/>
      <c r="P889" s="76">
        <f>N889*(1-O889)</f>
        <v/>
      </c>
      <c r="Q889" s="162" t="n"/>
      <c r="R889" s="162">
        <f>IF(ISBLANK(Q889),"введи курс",P889/Q889)</f>
        <v/>
      </c>
      <c r="S889" s="196">
        <f>IF(AND(ISNUMBER(E889),ISNUMBER(Q889)),E889*R889,0)</f>
        <v/>
      </c>
      <c r="T889" s="192">
        <f>$BC889*V$11</f>
        <v/>
      </c>
      <c r="U889" s="76">
        <f>$BC889*W$11</f>
        <v/>
      </c>
      <c r="V889" s="193">
        <f>+SUM(T889:U889)</f>
        <v/>
      </c>
      <c r="W889" s="191" t="n"/>
      <c r="X889" s="170" t="n"/>
      <c r="Y889" s="76">
        <f>ROUND(IF(offer_incoterms="DDP",X889*(S889*(1+AW889)+T889),0),2)</f>
        <v/>
      </c>
      <c r="Z889" s="188" t="n"/>
      <c r="AA889" s="192">
        <f>IFERROR(AB889/E889,0)</f>
        <v/>
      </c>
      <c r="AB889" s="76">
        <f>ROUND(SUM(S889,V889,Y889:Z889,BA889:BB889),2)</f>
        <v/>
      </c>
      <c r="AC889" s="797" t="n"/>
      <c r="AD889" s="192">
        <f t="array" ref="AD889">IFERROR(ROUND((_xlfn.IFS(offer_sale_type="поставка",AB889,offer_sale_type="транзит",S889)*(1+AC889))/E889,2),0)</f>
        <v/>
      </c>
      <c r="AE889" s="76">
        <f>AD889*E889</f>
        <v/>
      </c>
      <c r="AF889" s="193">
        <f t="array" ref="AF889">IFERROR(ROUND(_xlfn.IFS(offer_sale_type="поставка",AB889,offer_sale_type="транзит",S889)*AC889,2),0)</f>
        <v/>
      </c>
      <c r="AG889" s="192">
        <f>$BD889*VLOOKUP($AG$3,$AF$4:$AG$7,2,FALSE)</f>
        <v/>
      </c>
      <c r="AH889" s="76">
        <f>SUM(AE889,AG889,AI889)*rate_forex_risk</f>
        <v/>
      </c>
      <c r="AI889" s="193">
        <f>IF(OR(seller_region="TR",offer_sale_type="экспорт"),0,rate_fin_comm)*SUM(AZ889,AZ889*AW889,T889)</f>
        <v/>
      </c>
      <c r="AJ889" s="118">
        <f>IFERROR(ROUND(SUM(AB889,AF889:AI889)/E889,2),0)</f>
        <v/>
      </c>
      <c r="AK889" s="76">
        <f>AJ889*E889</f>
        <v/>
      </c>
      <c r="AL889" s="174">
        <f>ROUND(IFERROR(AM889*E889,0),2)</f>
        <v/>
      </c>
      <c r="AM889" s="175">
        <f>ROUND(AJ889*(1+IF(offer_incoterms="DDP",IF((TODAY()+offer_turnaround_time)&gt;=helpsheet!$L$17,rate_vatRU_from_26,rate_vatRu_till_25),0)),2)</f>
        <v/>
      </c>
      <c r="AN889" s="192">
        <f>AL889-AK889</f>
        <v/>
      </c>
      <c r="AO889" s="76">
        <f>SUM(AY889,Y889:Z889,T889)*IF(AND(offer_incoterms="DDP",offer_sale_type&lt;&gt;"экспорт"),IF((TODAY()+offer_turnaround_time)&gt;=helpsheet!$L$17,rate_vatRU_from_26,rate_vatRu_till_25),0)</f>
        <v/>
      </c>
      <c r="AP889" s="193">
        <f>AN889-AO889</f>
        <v/>
      </c>
      <c r="AQ889" s="118">
        <f>IF(offer_sale_type="транзит",SUM(AF889:AI889,BA889,BB889),0)</f>
        <v/>
      </c>
      <c r="AR889" s="82">
        <f>HYPERLINK("https://www.alta.ru/tnved/code/")&amp;W889&amp;"/"</f>
        <v/>
      </c>
      <c r="AS889" s="157" t="n"/>
      <c r="AT889" s="162" t="n"/>
      <c r="AU889" s="76">
        <f>IF(ISBLANK(AT889),0,AJ889-AT889)</f>
        <v/>
      </c>
      <c r="AV889" s="157" t="n"/>
      <c r="AW889" s="75">
        <f>_xlfn.IFNA(VLOOKUP(L889,list_vat[],3,FALSE),0)</f>
        <v/>
      </c>
      <c r="AX889" s="76">
        <f>IFERROR(ROUND(S889*(1+AW889)/E889,2),0)</f>
        <v/>
      </c>
      <c r="AY889" s="76">
        <f>E889*AX889</f>
        <v/>
      </c>
      <c r="AZ889" s="192">
        <f>S889*(1+M889)</f>
        <v/>
      </c>
      <c r="BA889" s="76">
        <f>cost_fin_total*$BD889</f>
        <v/>
      </c>
      <c r="BB889" s="193">
        <f>credit_sales_interest*BD889</f>
        <v/>
      </c>
      <c r="BC889" s="102">
        <f>IFERROR(IF($I$13&gt;0,$I889/$I$13,$S889/$S$13),0)</f>
        <v/>
      </c>
      <c r="BD889" s="102">
        <f>IFERROR($S889/$S$13,0)</f>
        <v/>
      </c>
      <c r="BE889" s="413" t="inlineStr">
        <is>
          <t>$</t>
        </is>
      </c>
    </row>
    <row r="890" ht="12" customFormat="1" customHeight="1" s="65">
      <c r="A890" s="43" t="n">
        <v>875</v>
      </c>
      <c r="B890" s="166" t="n"/>
      <c r="C890" s="166" t="n"/>
      <c r="D890" s="166" t="n"/>
      <c r="E890" s="162" t="n"/>
      <c r="F890" s="166" t="n"/>
      <c r="G890" s="162" t="n"/>
      <c r="H890" s="162" t="n"/>
      <c r="I890" s="189">
        <f>E890*G890</f>
        <v/>
      </c>
      <c r="J890" s="195" t="n"/>
      <c r="K890" s="162" t="n"/>
      <c r="L890" s="168" t="n"/>
      <c r="M890" s="75">
        <f>_xlfn.XLOOKUP(L890,list_vat[Страна],list_vat[Ставка НДС %],0,0)</f>
        <v/>
      </c>
      <c r="N890" s="162">
        <f>IFERROR(IF(L890="Китай",K890,K890/(1+M890)),0)</f>
        <v/>
      </c>
      <c r="O890" s="169" t="n"/>
      <c r="P890" s="76">
        <f>N890*(1-O890)</f>
        <v/>
      </c>
      <c r="Q890" s="162" t="n"/>
      <c r="R890" s="162">
        <f>IF(ISBLANK(Q890),"введи курс",P890/Q890)</f>
        <v/>
      </c>
      <c r="S890" s="196">
        <f>IF(AND(ISNUMBER(E890),ISNUMBER(Q890)),E890*R890,0)</f>
        <v/>
      </c>
      <c r="T890" s="192">
        <f>$BC890*V$11</f>
        <v/>
      </c>
      <c r="U890" s="76">
        <f>$BC890*W$11</f>
        <v/>
      </c>
      <c r="V890" s="193">
        <f>+SUM(T890:U890)</f>
        <v/>
      </c>
      <c r="W890" s="191" t="n"/>
      <c r="X890" s="170" t="n"/>
      <c r="Y890" s="76">
        <f>ROUND(IF(offer_incoterms="DDP",X890*(S890*(1+AW890)+T890),0),2)</f>
        <v/>
      </c>
      <c r="Z890" s="188" t="n"/>
      <c r="AA890" s="192">
        <f>IFERROR(AB890/E890,0)</f>
        <v/>
      </c>
      <c r="AB890" s="76">
        <f>ROUND(SUM(S890,V890,Y890:Z890,BA890:BB890),2)</f>
        <v/>
      </c>
      <c r="AC890" s="797" t="n"/>
      <c r="AD890" s="192">
        <f t="array" ref="AD890">IFERROR(ROUND((_xlfn.IFS(offer_sale_type="поставка",AB890,offer_sale_type="транзит",S890)*(1+AC890))/E890,2),0)</f>
        <v/>
      </c>
      <c r="AE890" s="76">
        <f>AD890*E890</f>
        <v/>
      </c>
      <c r="AF890" s="193">
        <f t="array" ref="AF890">IFERROR(ROUND(_xlfn.IFS(offer_sale_type="поставка",AB890,offer_sale_type="транзит",S890)*AC890,2),0)</f>
        <v/>
      </c>
      <c r="AG890" s="192">
        <f>$BD890*VLOOKUP($AG$3,$AF$4:$AG$7,2,FALSE)</f>
        <v/>
      </c>
      <c r="AH890" s="76">
        <f>SUM(AE890,AG890,AI890)*rate_forex_risk</f>
        <v/>
      </c>
      <c r="AI890" s="193">
        <f>IF(OR(seller_region="TR",offer_sale_type="экспорт"),0,rate_fin_comm)*SUM(AZ890,AZ890*AW890,T890)</f>
        <v/>
      </c>
      <c r="AJ890" s="118">
        <f>IFERROR(ROUND(SUM(AB890,AF890:AI890)/E890,2),0)</f>
        <v/>
      </c>
      <c r="AK890" s="76">
        <f>AJ890*E890</f>
        <v/>
      </c>
      <c r="AL890" s="174">
        <f>ROUND(IFERROR(AM890*E890,0),2)</f>
        <v/>
      </c>
      <c r="AM890" s="175">
        <f>ROUND(AJ890*(1+IF(offer_incoterms="DDP",IF((TODAY()+offer_turnaround_time)&gt;=helpsheet!$L$17,rate_vatRU_from_26,rate_vatRu_till_25),0)),2)</f>
        <v/>
      </c>
      <c r="AN890" s="192">
        <f>AL890-AK890</f>
        <v/>
      </c>
      <c r="AO890" s="76">
        <f>SUM(AY890,Y890:Z890,T890)*IF(AND(offer_incoterms="DDP",offer_sale_type&lt;&gt;"экспорт"),IF((TODAY()+offer_turnaround_time)&gt;=helpsheet!$L$17,rate_vatRU_from_26,rate_vatRu_till_25),0)</f>
        <v/>
      </c>
      <c r="AP890" s="193">
        <f>AN890-AO890</f>
        <v/>
      </c>
      <c r="AQ890" s="118">
        <f>IF(offer_sale_type="транзит",SUM(AF890:AI890,BA890,BB890),0)</f>
        <v/>
      </c>
      <c r="AR890" s="82">
        <f>HYPERLINK("https://www.alta.ru/tnved/code/")&amp;W890&amp;"/"</f>
        <v/>
      </c>
      <c r="AS890" s="157" t="n"/>
      <c r="AT890" s="162" t="n"/>
      <c r="AU890" s="76">
        <f>IF(ISBLANK(AT890),0,AJ890-AT890)</f>
        <v/>
      </c>
      <c r="AV890" s="157" t="n"/>
      <c r="AW890" s="75">
        <f>_xlfn.IFNA(VLOOKUP(L890,list_vat[],3,FALSE),0)</f>
        <v/>
      </c>
      <c r="AX890" s="76">
        <f>IFERROR(ROUND(S890*(1+AW890)/E890,2),0)</f>
        <v/>
      </c>
      <c r="AY890" s="76">
        <f>E890*AX890</f>
        <v/>
      </c>
      <c r="AZ890" s="192">
        <f>S890*(1+M890)</f>
        <v/>
      </c>
      <c r="BA890" s="76">
        <f>cost_fin_total*$BD890</f>
        <v/>
      </c>
      <c r="BB890" s="193">
        <f>credit_sales_interest*BD890</f>
        <v/>
      </c>
      <c r="BC890" s="102">
        <f>IFERROR(IF($I$13&gt;0,$I890/$I$13,$S890/$S$13),0)</f>
        <v/>
      </c>
      <c r="BD890" s="102">
        <f>IFERROR($S890/$S$13,0)</f>
        <v/>
      </c>
      <c r="BE890" s="413" t="inlineStr">
        <is>
          <t>$</t>
        </is>
      </c>
    </row>
    <row r="891" ht="12" customFormat="1" customHeight="1" s="65">
      <c r="A891" s="43" t="n">
        <v>876</v>
      </c>
      <c r="B891" s="166" t="n"/>
      <c r="C891" s="166" t="n"/>
      <c r="D891" s="166" t="n"/>
      <c r="E891" s="162" t="n"/>
      <c r="F891" s="166" t="n"/>
      <c r="G891" s="162" t="n"/>
      <c r="H891" s="162" t="n"/>
      <c r="I891" s="189">
        <f>E891*G891</f>
        <v/>
      </c>
      <c r="J891" s="195" t="n"/>
      <c r="K891" s="162" t="n"/>
      <c r="L891" s="168" t="n"/>
      <c r="M891" s="75">
        <f>_xlfn.XLOOKUP(L891,list_vat[Страна],list_vat[Ставка НДС %],0,0)</f>
        <v/>
      </c>
      <c r="N891" s="162">
        <f>IFERROR(IF(L891="Китай",K891,K891/(1+M891)),0)</f>
        <v/>
      </c>
      <c r="O891" s="169" t="n"/>
      <c r="P891" s="76">
        <f>N891*(1-O891)</f>
        <v/>
      </c>
      <c r="Q891" s="162" t="n"/>
      <c r="R891" s="162">
        <f>IF(ISBLANK(Q891),"введи курс",P891/Q891)</f>
        <v/>
      </c>
      <c r="S891" s="196">
        <f>IF(AND(ISNUMBER(E891),ISNUMBER(Q891)),E891*R891,0)</f>
        <v/>
      </c>
      <c r="T891" s="192">
        <f>$BC891*V$11</f>
        <v/>
      </c>
      <c r="U891" s="76">
        <f>$BC891*W$11</f>
        <v/>
      </c>
      <c r="V891" s="193">
        <f>+SUM(T891:U891)</f>
        <v/>
      </c>
      <c r="W891" s="191" t="n"/>
      <c r="X891" s="170" t="n"/>
      <c r="Y891" s="76">
        <f>ROUND(IF(offer_incoterms="DDP",X891*(S891*(1+AW891)+T891),0),2)</f>
        <v/>
      </c>
      <c r="Z891" s="188" t="n"/>
      <c r="AA891" s="192">
        <f>IFERROR(AB891/E891,0)</f>
        <v/>
      </c>
      <c r="AB891" s="76">
        <f>ROUND(SUM(S891,V891,Y891:Z891,BA891:BB891),2)</f>
        <v/>
      </c>
      <c r="AC891" s="797" t="n"/>
      <c r="AD891" s="192">
        <f t="array" ref="AD891">IFERROR(ROUND((_xlfn.IFS(offer_sale_type="поставка",AB891,offer_sale_type="транзит",S891)*(1+AC891))/E891,2),0)</f>
        <v/>
      </c>
      <c r="AE891" s="76">
        <f>AD891*E891</f>
        <v/>
      </c>
      <c r="AF891" s="193">
        <f t="array" ref="AF891">IFERROR(ROUND(_xlfn.IFS(offer_sale_type="поставка",AB891,offer_sale_type="транзит",S891)*AC891,2),0)</f>
        <v/>
      </c>
      <c r="AG891" s="192">
        <f>$BD891*VLOOKUP($AG$3,$AF$4:$AG$7,2,FALSE)</f>
        <v/>
      </c>
      <c r="AH891" s="76">
        <f>SUM(AE891,AG891,AI891)*rate_forex_risk</f>
        <v/>
      </c>
      <c r="AI891" s="193">
        <f>IF(OR(seller_region="TR",offer_sale_type="экспорт"),0,rate_fin_comm)*SUM(AZ891,AZ891*AW891,T891)</f>
        <v/>
      </c>
      <c r="AJ891" s="118">
        <f>IFERROR(ROUND(SUM(AB891,AF891:AI891)/E891,2),0)</f>
        <v/>
      </c>
      <c r="AK891" s="76">
        <f>AJ891*E891</f>
        <v/>
      </c>
      <c r="AL891" s="174">
        <f>ROUND(IFERROR(AM891*E891,0),2)</f>
        <v/>
      </c>
      <c r="AM891" s="175">
        <f>ROUND(AJ891*(1+IF(offer_incoterms="DDP",IF((TODAY()+offer_turnaround_time)&gt;=helpsheet!$L$17,rate_vatRU_from_26,rate_vatRu_till_25),0)),2)</f>
        <v/>
      </c>
      <c r="AN891" s="192">
        <f>AL891-AK891</f>
        <v/>
      </c>
      <c r="AO891" s="76">
        <f>SUM(AY891,Y891:Z891,T891)*IF(AND(offer_incoterms="DDP",offer_sale_type&lt;&gt;"экспорт"),IF((TODAY()+offer_turnaround_time)&gt;=helpsheet!$L$17,rate_vatRU_from_26,rate_vatRu_till_25),0)</f>
        <v/>
      </c>
      <c r="AP891" s="193">
        <f>AN891-AO891</f>
        <v/>
      </c>
      <c r="AQ891" s="118">
        <f>IF(offer_sale_type="транзит",SUM(AF891:AI891,BA891,BB891),0)</f>
        <v/>
      </c>
      <c r="AR891" s="82">
        <f>HYPERLINK("https://www.alta.ru/tnved/code/")&amp;W891&amp;"/"</f>
        <v/>
      </c>
      <c r="AS891" s="157" t="n"/>
      <c r="AT891" s="162" t="n"/>
      <c r="AU891" s="76">
        <f>IF(ISBLANK(AT891),0,AJ891-AT891)</f>
        <v/>
      </c>
      <c r="AV891" s="157" t="n"/>
      <c r="AW891" s="75">
        <f>_xlfn.IFNA(VLOOKUP(L891,list_vat[],3,FALSE),0)</f>
        <v/>
      </c>
      <c r="AX891" s="76">
        <f>IFERROR(ROUND(S891*(1+AW891)/E891,2),0)</f>
        <v/>
      </c>
      <c r="AY891" s="76">
        <f>E891*AX891</f>
        <v/>
      </c>
      <c r="AZ891" s="192">
        <f>S891*(1+M891)</f>
        <v/>
      </c>
      <c r="BA891" s="76">
        <f>cost_fin_total*$BD891</f>
        <v/>
      </c>
      <c r="BB891" s="193">
        <f>credit_sales_interest*BD891</f>
        <v/>
      </c>
      <c r="BC891" s="102">
        <f>IFERROR(IF($I$13&gt;0,$I891/$I$13,$S891/$S$13),0)</f>
        <v/>
      </c>
      <c r="BD891" s="102">
        <f>IFERROR($S891/$S$13,0)</f>
        <v/>
      </c>
      <c r="BE891" s="413" t="inlineStr">
        <is>
          <t>$</t>
        </is>
      </c>
    </row>
    <row r="892" ht="12" customFormat="1" customHeight="1" s="65">
      <c r="A892" s="43" t="n">
        <v>877</v>
      </c>
      <c r="B892" s="166" t="n"/>
      <c r="C892" s="166" t="n"/>
      <c r="D892" s="166" t="n"/>
      <c r="E892" s="162" t="n"/>
      <c r="F892" s="166" t="n"/>
      <c r="G892" s="162" t="n"/>
      <c r="H892" s="162" t="n"/>
      <c r="I892" s="189">
        <f>E892*G892</f>
        <v/>
      </c>
      <c r="J892" s="195" t="n"/>
      <c r="K892" s="162" t="n"/>
      <c r="L892" s="168" t="n"/>
      <c r="M892" s="75">
        <f>_xlfn.XLOOKUP(L892,list_vat[Страна],list_vat[Ставка НДС %],0,0)</f>
        <v/>
      </c>
      <c r="N892" s="162">
        <f>IFERROR(IF(L892="Китай",K892,K892/(1+M892)),0)</f>
        <v/>
      </c>
      <c r="O892" s="169" t="n"/>
      <c r="P892" s="76">
        <f>N892*(1-O892)</f>
        <v/>
      </c>
      <c r="Q892" s="162" t="n"/>
      <c r="R892" s="162">
        <f>IF(ISBLANK(Q892),"введи курс",P892/Q892)</f>
        <v/>
      </c>
      <c r="S892" s="196">
        <f>IF(AND(ISNUMBER(E892),ISNUMBER(Q892)),E892*R892,0)</f>
        <v/>
      </c>
      <c r="T892" s="192">
        <f>$BC892*V$11</f>
        <v/>
      </c>
      <c r="U892" s="76">
        <f>$BC892*W$11</f>
        <v/>
      </c>
      <c r="V892" s="193">
        <f>+SUM(T892:U892)</f>
        <v/>
      </c>
      <c r="W892" s="191" t="n"/>
      <c r="X892" s="170" t="n"/>
      <c r="Y892" s="76">
        <f>ROUND(IF(offer_incoterms="DDP",X892*(S892*(1+AW892)+T892),0),2)</f>
        <v/>
      </c>
      <c r="Z892" s="188" t="n"/>
      <c r="AA892" s="192">
        <f>IFERROR(AB892/E892,0)</f>
        <v/>
      </c>
      <c r="AB892" s="76">
        <f>ROUND(SUM(S892,V892,Y892:Z892,BA892:BB892),2)</f>
        <v/>
      </c>
      <c r="AC892" s="797" t="n"/>
      <c r="AD892" s="192">
        <f t="array" ref="AD892">IFERROR(ROUND((_xlfn.IFS(offer_sale_type="поставка",AB892,offer_sale_type="транзит",S892)*(1+AC892))/E892,2),0)</f>
        <v/>
      </c>
      <c r="AE892" s="76">
        <f>AD892*E892</f>
        <v/>
      </c>
      <c r="AF892" s="193">
        <f t="array" ref="AF892">IFERROR(ROUND(_xlfn.IFS(offer_sale_type="поставка",AB892,offer_sale_type="транзит",S892)*AC892,2),0)</f>
        <v/>
      </c>
      <c r="AG892" s="192">
        <f>$BD892*VLOOKUP($AG$3,$AF$4:$AG$7,2,FALSE)</f>
        <v/>
      </c>
      <c r="AH892" s="76">
        <f>SUM(AE892,AG892,AI892)*rate_forex_risk</f>
        <v/>
      </c>
      <c r="AI892" s="193">
        <f>IF(OR(seller_region="TR",offer_sale_type="экспорт"),0,rate_fin_comm)*SUM(AZ892,AZ892*AW892,T892)</f>
        <v/>
      </c>
      <c r="AJ892" s="118">
        <f>IFERROR(ROUND(SUM(AB892,AF892:AI892)/E892,2),0)</f>
        <v/>
      </c>
      <c r="AK892" s="76">
        <f>AJ892*E892</f>
        <v/>
      </c>
      <c r="AL892" s="174">
        <f>ROUND(IFERROR(AM892*E892,0),2)</f>
        <v/>
      </c>
      <c r="AM892" s="175">
        <f>ROUND(AJ892*(1+IF(offer_incoterms="DDP",IF((TODAY()+offer_turnaround_time)&gt;=helpsheet!$L$17,rate_vatRU_from_26,rate_vatRu_till_25),0)),2)</f>
        <v/>
      </c>
      <c r="AN892" s="192">
        <f>AL892-AK892</f>
        <v/>
      </c>
      <c r="AO892" s="76">
        <f>SUM(AY892,Y892:Z892,T892)*IF(AND(offer_incoterms="DDP",offer_sale_type&lt;&gt;"экспорт"),IF((TODAY()+offer_turnaround_time)&gt;=helpsheet!$L$17,rate_vatRU_from_26,rate_vatRu_till_25),0)</f>
        <v/>
      </c>
      <c r="AP892" s="193">
        <f>AN892-AO892</f>
        <v/>
      </c>
      <c r="AQ892" s="118">
        <f>IF(offer_sale_type="транзит",SUM(AF892:AI892,BA892,BB892),0)</f>
        <v/>
      </c>
      <c r="AR892" s="82">
        <f>HYPERLINK("https://www.alta.ru/tnved/code/")&amp;W892&amp;"/"</f>
        <v/>
      </c>
      <c r="AS892" s="157" t="n"/>
      <c r="AT892" s="162" t="n"/>
      <c r="AU892" s="76">
        <f>IF(ISBLANK(AT892),0,AJ892-AT892)</f>
        <v/>
      </c>
      <c r="AV892" s="157" t="n"/>
      <c r="AW892" s="75">
        <f>_xlfn.IFNA(VLOOKUP(L892,list_vat[],3,FALSE),0)</f>
        <v/>
      </c>
      <c r="AX892" s="76">
        <f>IFERROR(ROUND(S892*(1+AW892)/E892,2),0)</f>
        <v/>
      </c>
      <c r="AY892" s="76">
        <f>E892*AX892</f>
        <v/>
      </c>
      <c r="AZ892" s="192">
        <f>S892*(1+M892)</f>
        <v/>
      </c>
      <c r="BA892" s="76">
        <f>cost_fin_total*$BD892</f>
        <v/>
      </c>
      <c r="BB892" s="193">
        <f>credit_sales_interest*BD892</f>
        <v/>
      </c>
      <c r="BC892" s="102">
        <f>IFERROR(IF($I$13&gt;0,$I892/$I$13,$S892/$S$13),0)</f>
        <v/>
      </c>
      <c r="BD892" s="102">
        <f>IFERROR($S892/$S$13,0)</f>
        <v/>
      </c>
      <c r="BE892" s="413" t="inlineStr">
        <is>
          <t>$</t>
        </is>
      </c>
    </row>
    <row r="893" ht="12" customFormat="1" customHeight="1" s="65">
      <c r="A893" s="43" t="n">
        <v>878</v>
      </c>
      <c r="B893" s="166" t="n"/>
      <c r="C893" s="166" t="n"/>
      <c r="D893" s="166" t="n"/>
      <c r="E893" s="162" t="n"/>
      <c r="F893" s="166" t="n"/>
      <c r="G893" s="162" t="n"/>
      <c r="H893" s="162" t="n"/>
      <c r="I893" s="189">
        <f>E893*G893</f>
        <v/>
      </c>
      <c r="J893" s="195" t="n"/>
      <c r="K893" s="162" t="n"/>
      <c r="L893" s="168" t="n"/>
      <c r="M893" s="75">
        <f>_xlfn.XLOOKUP(L893,list_vat[Страна],list_vat[Ставка НДС %],0,0)</f>
        <v/>
      </c>
      <c r="N893" s="162">
        <f>IFERROR(IF(L893="Китай",K893,K893/(1+M893)),0)</f>
        <v/>
      </c>
      <c r="O893" s="169" t="n"/>
      <c r="P893" s="76">
        <f>N893*(1-O893)</f>
        <v/>
      </c>
      <c r="Q893" s="162" t="n"/>
      <c r="R893" s="162">
        <f>IF(ISBLANK(Q893),"введи курс",P893/Q893)</f>
        <v/>
      </c>
      <c r="S893" s="196">
        <f>IF(AND(ISNUMBER(E893),ISNUMBER(Q893)),E893*R893,0)</f>
        <v/>
      </c>
      <c r="T893" s="192">
        <f>$BC893*V$11</f>
        <v/>
      </c>
      <c r="U893" s="76">
        <f>$BC893*W$11</f>
        <v/>
      </c>
      <c r="V893" s="193">
        <f>+SUM(T893:U893)</f>
        <v/>
      </c>
      <c r="W893" s="191" t="n"/>
      <c r="X893" s="170" t="n"/>
      <c r="Y893" s="76">
        <f>ROUND(IF(offer_incoterms="DDP",X893*(S893*(1+AW893)+T893),0),2)</f>
        <v/>
      </c>
      <c r="Z893" s="188" t="n"/>
      <c r="AA893" s="192">
        <f>IFERROR(AB893/E893,0)</f>
        <v/>
      </c>
      <c r="AB893" s="76">
        <f>ROUND(SUM(S893,V893,Y893:Z893,BA893:BB893),2)</f>
        <v/>
      </c>
      <c r="AC893" s="797" t="n"/>
      <c r="AD893" s="192">
        <f t="array" ref="AD893">IFERROR(ROUND((_xlfn.IFS(offer_sale_type="поставка",AB893,offer_sale_type="транзит",S893)*(1+AC893))/E893,2),0)</f>
        <v/>
      </c>
      <c r="AE893" s="76">
        <f>AD893*E893</f>
        <v/>
      </c>
      <c r="AF893" s="193">
        <f t="array" ref="AF893">IFERROR(ROUND(_xlfn.IFS(offer_sale_type="поставка",AB893,offer_sale_type="транзит",S893)*AC893,2),0)</f>
        <v/>
      </c>
      <c r="AG893" s="192">
        <f>$BD893*VLOOKUP($AG$3,$AF$4:$AG$7,2,FALSE)</f>
        <v/>
      </c>
      <c r="AH893" s="76">
        <f>SUM(AE893,AG893,AI893)*rate_forex_risk</f>
        <v/>
      </c>
      <c r="AI893" s="193">
        <f>IF(OR(seller_region="TR",offer_sale_type="экспорт"),0,rate_fin_comm)*SUM(AZ893,AZ893*AW893,T893)</f>
        <v/>
      </c>
      <c r="AJ893" s="118">
        <f>IFERROR(ROUND(SUM(AB893,AF893:AI893)/E893,2),0)</f>
        <v/>
      </c>
      <c r="AK893" s="76">
        <f>AJ893*E893</f>
        <v/>
      </c>
      <c r="AL893" s="174">
        <f>ROUND(IFERROR(AM893*E893,0),2)</f>
        <v/>
      </c>
      <c r="AM893" s="175">
        <f>ROUND(AJ893*(1+IF(offer_incoterms="DDP",IF((TODAY()+offer_turnaround_time)&gt;=helpsheet!$L$17,rate_vatRU_from_26,rate_vatRu_till_25),0)),2)</f>
        <v/>
      </c>
      <c r="AN893" s="192">
        <f>AL893-AK893</f>
        <v/>
      </c>
      <c r="AO893" s="76">
        <f>SUM(AY893,Y893:Z893,T893)*IF(AND(offer_incoterms="DDP",offer_sale_type&lt;&gt;"экспорт"),IF((TODAY()+offer_turnaround_time)&gt;=helpsheet!$L$17,rate_vatRU_from_26,rate_vatRu_till_25),0)</f>
        <v/>
      </c>
      <c r="AP893" s="193">
        <f>AN893-AO893</f>
        <v/>
      </c>
      <c r="AQ893" s="118">
        <f>IF(offer_sale_type="транзит",SUM(AF893:AI893,BA893,BB893),0)</f>
        <v/>
      </c>
      <c r="AR893" s="82">
        <f>HYPERLINK("https://www.alta.ru/tnved/code/")&amp;W893&amp;"/"</f>
        <v/>
      </c>
      <c r="AS893" s="157" t="n"/>
      <c r="AT893" s="162" t="n"/>
      <c r="AU893" s="76">
        <f>IF(ISBLANK(AT893),0,AJ893-AT893)</f>
        <v/>
      </c>
      <c r="AV893" s="157" t="n"/>
      <c r="AW893" s="75">
        <f>_xlfn.IFNA(VLOOKUP(L893,list_vat[],3,FALSE),0)</f>
        <v/>
      </c>
      <c r="AX893" s="76">
        <f>IFERROR(ROUND(S893*(1+AW893)/E893,2),0)</f>
        <v/>
      </c>
      <c r="AY893" s="76">
        <f>E893*AX893</f>
        <v/>
      </c>
      <c r="AZ893" s="192">
        <f>S893*(1+M893)</f>
        <v/>
      </c>
      <c r="BA893" s="76">
        <f>cost_fin_total*$BD893</f>
        <v/>
      </c>
      <c r="BB893" s="193">
        <f>credit_sales_interest*BD893</f>
        <v/>
      </c>
      <c r="BC893" s="102">
        <f>IFERROR(IF($I$13&gt;0,$I893/$I$13,$S893/$S$13),0)</f>
        <v/>
      </c>
      <c r="BD893" s="102">
        <f>IFERROR($S893/$S$13,0)</f>
        <v/>
      </c>
      <c r="BE893" s="413" t="inlineStr">
        <is>
          <t>$</t>
        </is>
      </c>
    </row>
    <row r="894" ht="12" customFormat="1" customHeight="1" s="65">
      <c r="A894" s="43" t="n">
        <v>879</v>
      </c>
      <c r="B894" s="166" t="n"/>
      <c r="C894" s="166" t="n"/>
      <c r="D894" s="166" t="n"/>
      <c r="E894" s="162" t="n"/>
      <c r="F894" s="166" t="n"/>
      <c r="G894" s="162" t="n"/>
      <c r="H894" s="162" t="n"/>
      <c r="I894" s="189">
        <f>E894*G894</f>
        <v/>
      </c>
      <c r="J894" s="195" t="n"/>
      <c r="K894" s="162" t="n"/>
      <c r="L894" s="168" t="n"/>
      <c r="M894" s="75">
        <f>_xlfn.XLOOKUP(L894,list_vat[Страна],list_vat[Ставка НДС %],0,0)</f>
        <v/>
      </c>
      <c r="N894" s="162">
        <f>IFERROR(IF(L894="Китай",K894,K894/(1+M894)),0)</f>
        <v/>
      </c>
      <c r="O894" s="169" t="n"/>
      <c r="P894" s="76">
        <f>N894*(1-O894)</f>
        <v/>
      </c>
      <c r="Q894" s="162" t="n"/>
      <c r="R894" s="162">
        <f>IF(ISBLANK(Q894),"введи курс",P894/Q894)</f>
        <v/>
      </c>
      <c r="S894" s="196">
        <f>IF(AND(ISNUMBER(E894),ISNUMBER(Q894)),E894*R894,0)</f>
        <v/>
      </c>
      <c r="T894" s="192">
        <f>$BC894*V$11</f>
        <v/>
      </c>
      <c r="U894" s="76">
        <f>$BC894*W$11</f>
        <v/>
      </c>
      <c r="V894" s="193">
        <f>+SUM(T894:U894)</f>
        <v/>
      </c>
      <c r="W894" s="191" t="n"/>
      <c r="X894" s="170" t="n"/>
      <c r="Y894" s="76">
        <f>ROUND(IF(offer_incoterms="DDP",X894*(S894*(1+AW894)+T894),0),2)</f>
        <v/>
      </c>
      <c r="Z894" s="188" t="n"/>
      <c r="AA894" s="192">
        <f>IFERROR(AB894/E894,0)</f>
        <v/>
      </c>
      <c r="AB894" s="76">
        <f>ROUND(SUM(S894,V894,Y894:Z894,BA894:BB894),2)</f>
        <v/>
      </c>
      <c r="AC894" s="797" t="n"/>
      <c r="AD894" s="192">
        <f t="array" ref="AD894">IFERROR(ROUND((_xlfn.IFS(offer_sale_type="поставка",AB894,offer_sale_type="транзит",S894)*(1+AC894))/E894,2),0)</f>
        <v/>
      </c>
      <c r="AE894" s="76">
        <f>AD894*E894</f>
        <v/>
      </c>
      <c r="AF894" s="193">
        <f t="array" ref="AF894">IFERROR(ROUND(_xlfn.IFS(offer_sale_type="поставка",AB894,offer_sale_type="транзит",S894)*AC894,2),0)</f>
        <v/>
      </c>
      <c r="AG894" s="192">
        <f>$BD894*VLOOKUP($AG$3,$AF$4:$AG$7,2,FALSE)</f>
        <v/>
      </c>
      <c r="AH894" s="76">
        <f>SUM(AE894,AG894,AI894)*rate_forex_risk</f>
        <v/>
      </c>
      <c r="AI894" s="193">
        <f>IF(OR(seller_region="TR",offer_sale_type="экспорт"),0,rate_fin_comm)*SUM(AZ894,AZ894*AW894,T894)</f>
        <v/>
      </c>
      <c r="AJ894" s="118">
        <f>IFERROR(ROUND(SUM(AB894,AF894:AI894)/E894,2),0)</f>
        <v/>
      </c>
      <c r="AK894" s="76">
        <f>AJ894*E894</f>
        <v/>
      </c>
      <c r="AL894" s="174">
        <f>ROUND(IFERROR(AM894*E894,0),2)</f>
        <v/>
      </c>
      <c r="AM894" s="175">
        <f>ROUND(AJ894*(1+IF(offer_incoterms="DDP",IF((TODAY()+offer_turnaround_time)&gt;=helpsheet!$L$17,rate_vatRU_from_26,rate_vatRu_till_25),0)),2)</f>
        <v/>
      </c>
      <c r="AN894" s="192">
        <f>AL894-AK894</f>
        <v/>
      </c>
      <c r="AO894" s="76">
        <f>SUM(AY894,Y894:Z894,T894)*IF(AND(offer_incoterms="DDP",offer_sale_type&lt;&gt;"экспорт"),IF((TODAY()+offer_turnaround_time)&gt;=helpsheet!$L$17,rate_vatRU_from_26,rate_vatRu_till_25),0)</f>
        <v/>
      </c>
      <c r="AP894" s="193">
        <f>AN894-AO894</f>
        <v/>
      </c>
      <c r="AQ894" s="118">
        <f>IF(offer_sale_type="транзит",SUM(AF894:AI894,BA894,BB894),0)</f>
        <v/>
      </c>
      <c r="AR894" s="82">
        <f>HYPERLINK("https://www.alta.ru/tnved/code/")&amp;W894&amp;"/"</f>
        <v/>
      </c>
      <c r="AS894" s="157" t="n"/>
      <c r="AT894" s="162" t="n"/>
      <c r="AU894" s="76">
        <f>IF(ISBLANK(AT894),0,AJ894-AT894)</f>
        <v/>
      </c>
      <c r="AV894" s="157" t="n"/>
      <c r="AW894" s="75">
        <f>_xlfn.IFNA(VLOOKUP(L894,list_vat[],3,FALSE),0)</f>
        <v/>
      </c>
      <c r="AX894" s="76">
        <f>IFERROR(ROUND(S894*(1+AW894)/E894,2),0)</f>
        <v/>
      </c>
      <c r="AY894" s="76">
        <f>E894*AX894</f>
        <v/>
      </c>
      <c r="AZ894" s="192">
        <f>S894*(1+M894)</f>
        <v/>
      </c>
      <c r="BA894" s="76">
        <f>cost_fin_total*$BD894</f>
        <v/>
      </c>
      <c r="BB894" s="193">
        <f>credit_sales_interest*BD894</f>
        <v/>
      </c>
      <c r="BC894" s="102">
        <f>IFERROR(IF($I$13&gt;0,$I894/$I$13,$S894/$S$13),0)</f>
        <v/>
      </c>
      <c r="BD894" s="102">
        <f>IFERROR($S894/$S$13,0)</f>
        <v/>
      </c>
      <c r="BE894" s="413" t="inlineStr">
        <is>
          <t>$</t>
        </is>
      </c>
    </row>
    <row r="895" ht="12" customFormat="1" customHeight="1" s="65">
      <c r="A895" s="43" t="n">
        <v>880</v>
      </c>
      <c r="B895" s="166" t="n"/>
      <c r="C895" s="166" t="n"/>
      <c r="D895" s="166" t="n"/>
      <c r="E895" s="162" t="n"/>
      <c r="F895" s="166" t="n"/>
      <c r="G895" s="162" t="n"/>
      <c r="H895" s="162" t="n"/>
      <c r="I895" s="189">
        <f>E895*G895</f>
        <v/>
      </c>
      <c r="J895" s="195" t="n"/>
      <c r="K895" s="162" t="n"/>
      <c r="L895" s="168" t="n"/>
      <c r="M895" s="75">
        <f>_xlfn.XLOOKUP(L895,list_vat[Страна],list_vat[Ставка НДС %],0,0)</f>
        <v/>
      </c>
      <c r="N895" s="162">
        <f>IFERROR(IF(L895="Китай",K895,K895/(1+M895)),0)</f>
        <v/>
      </c>
      <c r="O895" s="169" t="n"/>
      <c r="P895" s="76">
        <f>N895*(1-O895)</f>
        <v/>
      </c>
      <c r="Q895" s="162" t="n"/>
      <c r="R895" s="162">
        <f>IF(ISBLANK(Q895),"введи курс",P895/Q895)</f>
        <v/>
      </c>
      <c r="S895" s="196">
        <f>IF(AND(ISNUMBER(E895),ISNUMBER(Q895)),E895*R895,0)</f>
        <v/>
      </c>
      <c r="T895" s="192">
        <f>$BC895*V$11</f>
        <v/>
      </c>
      <c r="U895" s="76">
        <f>$BC895*W$11</f>
        <v/>
      </c>
      <c r="V895" s="193">
        <f>+SUM(T895:U895)</f>
        <v/>
      </c>
      <c r="W895" s="191" t="n"/>
      <c r="X895" s="170" t="n"/>
      <c r="Y895" s="76">
        <f>ROUND(IF(offer_incoterms="DDP",X895*(S895*(1+AW895)+T895),0),2)</f>
        <v/>
      </c>
      <c r="Z895" s="188" t="n"/>
      <c r="AA895" s="192">
        <f>IFERROR(AB895/E895,0)</f>
        <v/>
      </c>
      <c r="AB895" s="76">
        <f>ROUND(SUM(S895,V895,Y895:Z895,BA895:BB895),2)</f>
        <v/>
      </c>
      <c r="AC895" s="797" t="n"/>
      <c r="AD895" s="192">
        <f t="array" ref="AD895">IFERROR(ROUND((_xlfn.IFS(offer_sale_type="поставка",AB895,offer_sale_type="транзит",S895)*(1+AC895))/E895,2),0)</f>
        <v/>
      </c>
      <c r="AE895" s="76">
        <f>AD895*E895</f>
        <v/>
      </c>
      <c r="AF895" s="193">
        <f t="array" ref="AF895">IFERROR(ROUND(_xlfn.IFS(offer_sale_type="поставка",AB895,offer_sale_type="транзит",S895)*AC895,2),0)</f>
        <v/>
      </c>
      <c r="AG895" s="192">
        <f>$BD895*VLOOKUP($AG$3,$AF$4:$AG$7,2,FALSE)</f>
        <v/>
      </c>
      <c r="AH895" s="76">
        <f>SUM(AE895,AG895,AI895)*rate_forex_risk</f>
        <v/>
      </c>
      <c r="AI895" s="193">
        <f>IF(OR(seller_region="TR",offer_sale_type="экспорт"),0,rate_fin_comm)*SUM(AZ895,AZ895*AW895,T895)</f>
        <v/>
      </c>
      <c r="AJ895" s="118">
        <f>IFERROR(ROUND(SUM(AB895,AF895:AI895)/E895,2),0)</f>
        <v/>
      </c>
      <c r="AK895" s="76">
        <f>AJ895*E895</f>
        <v/>
      </c>
      <c r="AL895" s="174">
        <f>ROUND(IFERROR(AM895*E895,0),2)</f>
        <v/>
      </c>
      <c r="AM895" s="175">
        <f>ROUND(AJ895*(1+IF(offer_incoterms="DDP",IF((TODAY()+offer_turnaround_time)&gt;=helpsheet!$L$17,rate_vatRU_from_26,rate_vatRu_till_25),0)),2)</f>
        <v/>
      </c>
      <c r="AN895" s="192">
        <f>AL895-AK895</f>
        <v/>
      </c>
      <c r="AO895" s="76">
        <f>SUM(AY895,Y895:Z895,T895)*IF(AND(offer_incoterms="DDP",offer_sale_type&lt;&gt;"экспорт"),IF((TODAY()+offer_turnaround_time)&gt;=helpsheet!$L$17,rate_vatRU_from_26,rate_vatRu_till_25),0)</f>
        <v/>
      </c>
      <c r="AP895" s="193">
        <f>AN895-AO895</f>
        <v/>
      </c>
      <c r="AQ895" s="118">
        <f>IF(offer_sale_type="транзит",SUM(AF895:AI895,BA895,BB895),0)</f>
        <v/>
      </c>
      <c r="AR895" s="82">
        <f>HYPERLINK("https://www.alta.ru/tnved/code/")&amp;W895&amp;"/"</f>
        <v/>
      </c>
      <c r="AS895" s="157" t="n"/>
      <c r="AT895" s="162" t="n"/>
      <c r="AU895" s="76">
        <f>IF(ISBLANK(AT895),0,AJ895-AT895)</f>
        <v/>
      </c>
      <c r="AV895" s="157" t="n"/>
      <c r="AW895" s="75">
        <f>_xlfn.IFNA(VLOOKUP(L895,list_vat[],3,FALSE),0)</f>
        <v/>
      </c>
      <c r="AX895" s="76">
        <f>IFERROR(ROUND(S895*(1+AW895)/E895,2),0)</f>
        <v/>
      </c>
      <c r="AY895" s="76">
        <f>E895*AX895</f>
        <v/>
      </c>
      <c r="AZ895" s="192">
        <f>S895*(1+M895)</f>
        <v/>
      </c>
      <c r="BA895" s="76">
        <f>cost_fin_total*$BD895</f>
        <v/>
      </c>
      <c r="BB895" s="193">
        <f>credit_sales_interest*BD895</f>
        <v/>
      </c>
      <c r="BC895" s="102">
        <f>IFERROR(IF($I$13&gt;0,$I895/$I$13,$S895/$S$13),0)</f>
        <v/>
      </c>
      <c r="BD895" s="102">
        <f>IFERROR($S895/$S$13,0)</f>
        <v/>
      </c>
      <c r="BE895" s="413" t="inlineStr">
        <is>
          <t>$</t>
        </is>
      </c>
    </row>
    <row r="896" ht="12" customFormat="1" customHeight="1" s="65">
      <c r="A896" s="43" t="n">
        <v>881</v>
      </c>
      <c r="B896" s="166" t="n"/>
      <c r="C896" s="166" t="n"/>
      <c r="D896" s="166" t="n"/>
      <c r="E896" s="162" t="n"/>
      <c r="F896" s="166" t="n"/>
      <c r="G896" s="162" t="n"/>
      <c r="H896" s="162" t="n"/>
      <c r="I896" s="189">
        <f>E896*G896</f>
        <v/>
      </c>
      <c r="J896" s="195" t="n"/>
      <c r="K896" s="162" t="n"/>
      <c r="L896" s="168" t="n"/>
      <c r="M896" s="75">
        <f>_xlfn.XLOOKUP(L896,list_vat[Страна],list_vat[Ставка НДС %],0,0)</f>
        <v/>
      </c>
      <c r="N896" s="162">
        <f>IFERROR(IF(L896="Китай",K896,K896/(1+M896)),0)</f>
        <v/>
      </c>
      <c r="O896" s="169" t="n"/>
      <c r="P896" s="76">
        <f>N896*(1-O896)</f>
        <v/>
      </c>
      <c r="Q896" s="162" t="n"/>
      <c r="R896" s="162">
        <f>IF(ISBLANK(Q896),"введи курс",P896/Q896)</f>
        <v/>
      </c>
      <c r="S896" s="196">
        <f>IF(AND(ISNUMBER(E896),ISNUMBER(Q896)),E896*R896,0)</f>
        <v/>
      </c>
      <c r="T896" s="192">
        <f>$BC896*V$11</f>
        <v/>
      </c>
      <c r="U896" s="76">
        <f>$BC896*W$11</f>
        <v/>
      </c>
      <c r="V896" s="193">
        <f>+SUM(T896:U896)</f>
        <v/>
      </c>
      <c r="W896" s="191" t="n"/>
      <c r="X896" s="170" t="n"/>
      <c r="Y896" s="76">
        <f>ROUND(IF(offer_incoterms="DDP",X896*(S896*(1+AW896)+T896),0),2)</f>
        <v/>
      </c>
      <c r="Z896" s="188" t="n"/>
      <c r="AA896" s="192">
        <f>IFERROR(AB896/E896,0)</f>
        <v/>
      </c>
      <c r="AB896" s="76">
        <f>ROUND(SUM(S896,V896,Y896:Z896,BA896:BB896),2)</f>
        <v/>
      </c>
      <c r="AC896" s="797" t="n"/>
      <c r="AD896" s="192">
        <f t="array" ref="AD896">IFERROR(ROUND((_xlfn.IFS(offer_sale_type="поставка",AB896,offer_sale_type="транзит",S896)*(1+AC896))/E896,2),0)</f>
        <v/>
      </c>
      <c r="AE896" s="76">
        <f>AD896*E896</f>
        <v/>
      </c>
      <c r="AF896" s="193">
        <f t="array" ref="AF896">IFERROR(ROUND(_xlfn.IFS(offer_sale_type="поставка",AB896,offer_sale_type="транзит",S896)*AC896,2),0)</f>
        <v/>
      </c>
      <c r="AG896" s="192">
        <f>$BD896*VLOOKUP($AG$3,$AF$4:$AG$7,2,FALSE)</f>
        <v/>
      </c>
      <c r="AH896" s="76">
        <f>SUM(AE896,AG896,AI896)*rate_forex_risk</f>
        <v/>
      </c>
      <c r="AI896" s="193">
        <f>IF(OR(seller_region="TR",offer_sale_type="экспорт"),0,rate_fin_comm)*SUM(AZ896,AZ896*AW896,T896)</f>
        <v/>
      </c>
      <c r="AJ896" s="118">
        <f>IFERROR(ROUND(SUM(AB896,AF896:AI896)/E896,2),0)</f>
        <v/>
      </c>
      <c r="AK896" s="76">
        <f>AJ896*E896</f>
        <v/>
      </c>
      <c r="AL896" s="174">
        <f>ROUND(IFERROR(AM896*E896,0),2)</f>
        <v/>
      </c>
      <c r="AM896" s="175">
        <f>ROUND(AJ896*(1+IF(offer_incoterms="DDP",IF((TODAY()+offer_turnaround_time)&gt;=helpsheet!$L$17,rate_vatRU_from_26,rate_vatRu_till_25),0)),2)</f>
        <v/>
      </c>
      <c r="AN896" s="192">
        <f>AL896-AK896</f>
        <v/>
      </c>
      <c r="AO896" s="76">
        <f>SUM(AY896,Y896:Z896,T896)*IF(AND(offer_incoterms="DDP",offer_sale_type&lt;&gt;"экспорт"),IF((TODAY()+offer_turnaround_time)&gt;=helpsheet!$L$17,rate_vatRU_from_26,rate_vatRu_till_25),0)</f>
        <v/>
      </c>
      <c r="AP896" s="193">
        <f>AN896-AO896</f>
        <v/>
      </c>
      <c r="AQ896" s="118">
        <f>IF(offer_sale_type="транзит",SUM(AF896:AI896,BA896,BB896),0)</f>
        <v/>
      </c>
      <c r="AR896" s="82">
        <f>HYPERLINK("https://www.alta.ru/tnved/code/")&amp;W896&amp;"/"</f>
        <v/>
      </c>
      <c r="AS896" s="157" t="n"/>
      <c r="AT896" s="162" t="n"/>
      <c r="AU896" s="76">
        <f>IF(ISBLANK(AT896),0,AJ896-AT896)</f>
        <v/>
      </c>
      <c r="AV896" s="157" t="n"/>
      <c r="AW896" s="75">
        <f>_xlfn.IFNA(VLOOKUP(L896,list_vat[],3,FALSE),0)</f>
        <v/>
      </c>
      <c r="AX896" s="76">
        <f>IFERROR(ROUND(S896*(1+AW896)/E896,2),0)</f>
        <v/>
      </c>
      <c r="AY896" s="76">
        <f>E896*AX896</f>
        <v/>
      </c>
      <c r="AZ896" s="192">
        <f>S896*(1+M896)</f>
        <v/>
      </c>
      <c r="BA896" s="76">
        <f>cost_fin_total*$BD896</f>
        <v/>
      </c>
      <c r="BB896" s="193">
        <f>credit_sales_interest*BD896</f>
        <v/>
      </c>
      <c r="BC896" s="102">
        <f>IFERROR(IF($I$13&gt;0,$I896/$I$13,$S896/$S$13),0)</f>
        <v/>
      </c>
      <c r="BD896" s="102">
        <f>IFERROR($S896/$S$13,0)</f>
        <v/>
      </c>
      <c r="BE896" s="413" t="inlineStr">
        <is>
          <t>$</t>
        </is>
      </c>
    </row>
    <row r="897" ht="12" customFormat="1" customHeight="1" s="65">
      <c r="A897" s="43" t="n">
        <v>882</v>
      </c>
      <c r="B897" s="166" t="n"/>
      <c r="C897" s="166" t="n"/>
      <c r="D897" s="166" t="n"/>
      <c r="E897" s="162" t="n"/>
      <c r="F897" s="166" t="n"/>
      <c r="G897" s="162" t="n"/>
      <c r="H897" s="162" t="n"/>
      <c r="I897" s="189">
        <f>E897*G897</f>
        <v/>
      </c>
      <c r="J897" s="195" t="n"/>
      <c r="K897" s="162" t="n"/>
      <c r="L897" s="168" t="n"/>
      <c r="M897" s="75">
        <f>_xlfn.XLOOKUP(L897,list_vat[Страна],list_vat[Ставка НДС %],0,0)</f>
        <v/>
      </c>
      <c r="N897" s="162">
        <f>IFERROR(IF(L897="Китай",K897,K897/(1+M897)),0)</f>
        <v/>
      </c>
      <c r="O897" s="169" t="n"/>
      <c r="P897" s="76">
        <f>N897*(1-O897)</f>
        <v/>
      </c>
      <c r="Q897" s="162" t="n"/>
      <c r="R897" s="162">
        <f>IF(ISBLANK(Q897),"введи курс",P897/Q897)</f>
        <v/>
      </c>
      <c r="S897" s="196">
        <f>IF(AND(ISNUMBER(E897),ISNUMBER(Q897)),E897*R897,0)</f>
        <v/>
      </c>
      <c r="T897" s="192">
        <f>$BC897*V$11</f>
        <v/>
      </c>
      <c r="U897" s="76">
        <f>$BC897*W$11</f>
        <v/>
      </c>
      <c r="V897" s="193">
        <f>+SUM(T897:U897)</f>
        <v/>
      </c>
      <c r="W897" s="191" t="n"/>
      <c r="X897" s="170" t="n"/>
      <c r="Y897" s="76">
        <f>ROUND(IF(offer_incoterms="DDP",X897*(S897*(1+AW897)+T897),0),2)</f>
        <v/>
      </c>
      <c r="Z897" s="188" t="n"/>
      <c r="AA897" s="192">
        <f>IFERROR(AB897/E897,0)</f>
        <v/>
      </c>
      <c r="AB897" s="76">
        <f>ROUND(SUM(S897,V897,Y897:Z897,BA897:BB897),2)</f>
        <v/>
      </c>
      <c r="AC897" s="797" t="n"/>
      <c r="AD897" s="192">
        <f t="array" ref="AD897">IFERROR(ROUND((_xlfn.IFS(offer_sale_type="поставка",AB897,offer_sale_type="транзит",S897)*(1+AC897))/E897,2),0)</f>
        <v/>
      </c>
      <c r="AE897" s="76">
        <f>AD897*E897</f>
        <v/>
      </c>
      <c r="AF897" s="193">
        <f t="array" ref="AF897">IFERROR(ROUND(_xlfn.IFS(offer_sale_type="поставка",AB897,offer_sale_type="транзит",S897)*AC897,2),0)</f>
        <v/>
      </c>
      <c r="AG897" s="192">
        <f>$BD897*VLOOKUP($AG$3,$AF$4:$AG$7,2,FALSE)</f>
        <v/>
      </c>
      <c r="AH897" s="76">
        <f>SUM(AE897,AG897,AI897)*rate_forex_risk</f>
        <v/>
      </c>
      <c r="AI897" s="193">
        <f>IF(OR(seller_region="TR",offer_sale_type="экспорт"),0,rate_fin_comm)*SUM(AZ897,AZ897*AW897,T897)</f>
        <v/>
      </c>
      <c r="AJ897" s="118">
        <f>IFERROR(ROUND(SUM(AB897,AF897:AI897)/E897,2),0)</f>
        <v/>
      </c>
      <c r="AK897" s="76">
        <f>AJ897*E897</f>
        <v/>
      </c>
      <c r="AL897" s="174">
        <f>ROUND(IFERROR(AM897*E897,0),2)</f>
        <v/>
      </c>
      <c r="AM897" s="175">
        <f>ROUND(AJ897*(1+IF(offer_incoterms="DDP",IF((TODAY()+offer_turnaround_time)&gt;=helpsheet!$L$17,rate_vatRU_from_26,rate_vatRu_till_25),0)),2)</f>
        <v/>
      </c>
      <c r="AN897" s="192">
        <f>AL897-AK897</f>
        <v/>
      </c>
      <c r="AO897" s="76">
        <f>SUM(AY897,Y897:Z897,T897)*IF(AND(offer_incoterms="DDP",offer_sale_type&lt;&gt;"экспорт"),IF((TODAY()+offer_turnaround_time)&gt;=helpsheet!$L$17,rate_vatRU_from_26,rate_vatRu_till_25),0)</f>
        <v/>
      </c>
      <c r="AP897" s="193">
        <f>AN897-AO897</f>
        <v/>
      </c>
      <c r="AQ897" s="118">
        <f>IF(offer_sale_type="транзит",SUM(AF897:AI897,BA897,BB897),0)</f>
        <v/>
      </c>
      <c r="AR897" s="82">
        <f>HYPERLINK("https://www.alta.ru/tnved/code/")&amp;W897&amp;"/"</f>
        <v/>
      </c>
      <c r="AS897" s="157" t="n"/>
      <c r="AT897" s="162" t="n"/>
      <c r="AU897" s="76">
        <f>IF(ISBLANK(AT897),0,AJ897-AT897)</f>
        <v/>
      </c>
      <c r="AV897" s="157" t="n"/>
      <c r="AW897" s="75">
        <f>_xlfn.IFNA(VLOOKUP(L897,list_vat[],3,FALSE),0)</f>
        <v/>
      </c>
      <c r="AX897" s="76">
        <f>IFERROR(ROUND(S897*(1+AW897)/E897,2),0)</f>
        <v/>
      </c>
      <c r="AY897" s="76">
        <f>E897*AX897</f>
        <v/>
      </c>
      <c r="AZ897" s="192">
        <f>S897*(1+M897)</f>
        <v/>
      </c>
      <c r="BA897" s="76">
        <f>cost_fin_total*$BD897</f>
        <v/>
      </c>
      <c r="BB897" s="193">
        <f>credit_sales_interest*BD897</f>
        <v/>
      </c>
      <c r="BC897" s="102">
        <f>IFERROR(IF($I$13&gt;0,$I897/$I$13,$S897/$S$13),0)</f>
        <v/>
      </c>
      <c r="BD897" s="102">
        <f>IFERROR($S897/$S$13,0)</f>
        <v/>
      </c>
      <c r="BE897" s="413" t="inlineStr">
        <is>
          <t>$</t>
        </is>
      </c>
    </row>
    <row r="898" ht="12" customFormat="1" customHeight="1" s="65">
      <c r="A898" s="43" t="n">
        <v>883</v>
      </c>
      <c r="B898" s="166" t="n"/>
      <c r="C898" s="166" t="n"/>
      <c r="D898" s="166" t="n"/>
      <c r="E898" s="162" t="n"/>
      <c r="F898" s="166" t="n"/>
      <c r="G898" s="162" t="n"/>
      <c r="H898" s="162" t="n"/>
      <c r="I898" s="189">
        <f>E898*G898</f>
        <v/>
      </c>
      <c r="J898" s="195" t="n"/>
      <c r="K898" s="162" t="n"/>
      <c r="L898" s="168" t="n"/>
      <c r="M898" s="75">
        <f>_xlfn.XLOOKUP(L898,list_vat[Страна],list_vat[Ставка НДС %],0,0)</f>
        <v/>
      </c>
      <c r="N898" s="162">
        <f>IFERROR(IF(L898="Китай",K898,K898/(1+M898)),0)</f>
        <v/>
      </c>
      <c r="O898" s="169" t="n"/>
      <c r="P898" s="76">
        <f>N898*(1-O898)</f>
        <v/>
      </c>
      <c r="Q898" s="162" t="n"/>
      <c r="R898" s="162">
        <f>IF(ISBLANK(Q898),"введи курс",P898/Q898)</f>
        <v/>
      </c>
      <c r="S898" s="196">
        <f>IF(AND(ISNUMBER(E898),ISNUMBER(Q898)),E898*R898,0)</f>
        <v/>
      </c>
      <c r="T898" s="192">
        <f>$BC898*V$11</f>
        <v/>
      </c>
      <c r="U898" s="76">
        <f>$BC898*W$11</f>
        <v/>
      </c>
      <c r="V898" s="193">
        <f>+SUM(T898:U898)</f>
        <v/>
      </c>
      <c r="W898" s="191" t="n"/>
      <c r="X898" s="170" t="n"/>
      <c r="Y898" s="76">
        <f>ROUND(IF(offer_incoterms="DDP",X898*(S898*(1+AW898)+T898),0),2)</f>
        <v/>
      </c>
      <c r="Z898" s="188" t="n"/>
      <c r="AA898" s="192">
        <f>IFERROR(AB898/E898,0)</f>
        <v/>
      </c>
      <c r="AB898" s="76">
        <f>ROUND(SUM(S898,V898,Y898:Z898,BA898:BB898),2)</f>
        <v/>
      </c>
      <c r="AC898" s="797" t="n"/>
      <c r="AD898" s="192">
        <f t="array" ref="AD898">IFERROR(ROUND((_xlfn.IFS(offer_sale_type="поставка",AB898,offer_sale_type="транзит",S898)*(1+AC898))/E898,2),0)</f>
        <v/>
      </c>
      <c r="AE898" s="76">
        <f>AD898*E898</f>
        <v/>
      </c>
      <c r="AF898" s="193">
        <f t="array" ref="AF898">IFERROR(ROUND(_xlfn.IFS(offer_sale_type="поставка",AB898,offer_sale_type="транзит",S898)*AC898,2),0)</f>
        <v/>
      </c>
      <c r="AG898" s="192">
        <f>$BD898*VLOOKUP($AG$3,$AF$4:$AG$7,2,FALSE)</f>
        <v/>
      </c>
      <c r="AH898" s="76">
        <f>SUM(AE898,AG898,AI898)*rate_forex_risk</f>
        <v/>
      </c>
      <c r="AI898" s="193">
        <f>IF(OR(seller_region="TR",offer_sale_type="экспорт"),0,rate_fin_comm)*SUM(AZ898,AZ898*AW898,T898)</f>
        <v/>
      </c>
      <c r="AJ898" s="118">
        <f>IFERROR(ROUND(SUM(AB898,AF898:AI898)/E898,2),0)</f>
        <v/>
      </c>
      <c r="AK898" s="76">
        <f>AJ898*E898</f>
        <v/>
      </c>
      <c r="AL898" s="174">
        <f>ROUND(IFERROR(AM898*E898,0),2)</f>
        <v/>
      </c>
      <c r="AM898" s="175">
        <f>ROUND(AJ898*(1+IF(offer_incoterms="DDP",IF((TODAY()+offer_turnaround_time)&gt;=helpsheet!$L$17,rate_vatRU_from_26,rate_vatRu_till_25),0)),2)</f>
        <v/>
      </c>
      <c r="AN898" s="192">
        <f>AL898-AK898</f>
        <v/>
      </c>
      <c r="AO898" s="76">
        <f>SUM(AY898,Y898:Z898,T898)*IF(AND(offer_incoterms="DDP",offer_sale_type&lt;&gt;"экспорт"),IF((TODAY()+offer_turnaround_time)&gt;=helpsheet!$L$17,rate_vatRU_from_26,rate_vatRu_till_25),0)</f>
        <v/>
      </c>
      <c r="AP898" s="193">
        <f>AN898-AO898</f>
        <v/>
      </c>
      <c r="AQ898" s="118">
        <f>IF(offer_sale_type="транзит",SUM(AF898:AI898,BA898,BB898),0)</f>
        <v/>
      </c>
      <c r="AR898" s="82">
        <f>HYPERLINK("https://www.alta.ru/tnved/code/")&amp;W898&amp;"/"</f>
        <v/>
      </c>
      <c r="AS898" s="157" t="n"/>
      <c r="AT898" s="162" t="n"/>
      <c r="AU898" s="76">
        <f>IF(ISBLANK(AT898),0,AJ898-AT898)</f>
        <v/>
      </c>
      <c r="AV898" s="157" t="n"/>
      <c r="AW898" s="75">
        <f>_xlfn.IFNA(VLOOKUP(L898,list_vat[],3,FALSE),0)</f>
        <v/>
      </c>
      <c r="AX898" s="76">
        <f>IFERROR(ROUND(S898*(1+AW898)/E898,2),0)</f>
        <v/>
      </c>
      <c r="AY898" s="76">
        <f>E898*AX898</f>
        <v/>
      </c>
      <c r="AZ898" s="192">
        <f>S898*(1+M898)</f>
        <v/>
      </c>
      <c r="BA898" s="76">
        <f>cost_fin_total*$BD898</f>
        <v/>
      </c>
      <c r="BB898" s="193">
        <f>credit_sales_interest*BD898</f>
        <v/>
      </c>
      <c r="BC898" s="102">
        <f>IFERROR(IF($I$13&gt;0,$I898/$I$13,$S898/$S$13),0)</f>
        <v/>
      </c>
      <c r="BD898" s="102">
        <f>IFERROR($S898/$S$13,0)</f>
        <v/>
      </c>
      <c r="BE898" s="413" t="inlineStr">
        <is>
          <t>$</t>
        </is>
      </c>
    </row>
    <row r="899" ht="12" customFormat="1" customHeight="1" s="65">
      <c r="A899" s="43" t="n">
        <v>884</v>
      </c>
      <c r="B899" s="166" t="n"/>
      <c r="C899" s="166" t="n"/>
      <c r="D899" s="166" t="n"/>
      <c r="E899" s="162" t="n"/>
      <c r="F899" s="166" t="n"/>
      <c r="G899" s="162" t="n"/>
      <c r="H899" s="162" t="n"/>
      <c r="I899" s="189">
        <f>E899*G899</f>
        <v/>
      </c>
      <c r="J899" s="195" t="n"/>
      <c r="K899" s="162" t="n"/>
      <c r="L899" s="168" t="n"/>
      <c r="M899" s="75">
        <f>_xlfn.XLOOKUP(L899,list_vat[Страна],list_vat[Ставка НДС %],0,0)</f>
        <v/>
      </c>
      <c r="N899" s="162">
        <f>IFERROR(IF(L899="Китай",K899,K899/(1+M899)),0)</f>
        <v/>
      </c>
      <c r="O899" s="169" t="n"/>
      <c r="P899" s="76">
        <f>N899*(1-O899)</f>
        <v/>
      </c>
      <c r="Q899" s="162" t="n"/>
      <c r="R899" s="162">
        <f>IF(ISBLANK(Q899),"введи курс",P899/Q899)</f>
        <v/>
      </c>
      <c r="S899" s="196">
        <f>IF(AND(ISNUMBER(E899),ISNUMBER(Q899)),E899*R899,0)</f>
        <v/>
      </c>
      <c r="T899" s="192">
        <f>$BC899*V$11</f>
        <v/>
      </c>
      <c r="U899" s="76">
        <f>$BC899*W$11</f>
        <v/>
      </c>
      <c r="V899" s="193">
        <f>+SUM(T899:U899)</f>
        <v/>
      </c>
      <c r="W899" s="191" t="n"/>
      <c r="X899" s="170" t="n"/>
      <c r="Y899" s="76">
        <f>ROUND(IF(offer_incoterms="DDP",X899*(S899*(1+AW899)+T899),0),2)</f>
        <v/>
      </c>
      <c r="Z899" s="188" t="n"/>
      <c r="AA899" s="192">
        <f>IFERROR(AB899/E899,0)</f>
        <v/>
      </c>
      <c r="AB899" s="76">
        <f>ROUND(SUM(S899,V899,Y899:Z899,BA899:BB899),2)</f>
        <v/>
      </c>
      <c r="AC899" s="797" t="n"/>
      <c r="AD899" s="192">
        <f t="array" ref="AD899">IFERROR(ROUND((_xlfn.IFS(offer_sale_type="поставка",AB899,offer_sale_type="транзит",S899)*(1+AC899))/E899,2),0)</f>
        <v/>
      </c>
      <c r="AE899" s="76">
        <f>AD899*E899</f>
        <v/>
      </c>
      <c r="AF899" s="193">
        <f t="array" ref="AF899">IFERROR(ROUND(_xlfn.IFS(offer_sale_type="поставка",AB899,offer_sale_type="транзит",S899)*AC899,2),0)</f>
        <v/>
      </c>
      <c r="AG899" s="192">
        <f>$BD899*VLOOKUP($AG$3,$AF$4:$AG$7,2,FALSE)</f>
        <v/>
      </c>
      <c r="AH899" s="76">
        <f>SUM(AE899,AG899,AI899)*rate_forex_risk</f>
        <v/>
      </c>
      <c r="AI899" s="193">
        <f>IF(OR(seller_region="TR",offer_sale_type="экспорт"),0,rate_fin_comm)*SUM(AZ899,AZ899*AW899,T899)</f>
        <v/>
      </c>
      <c r="AJ899" s="118">
        <f>IFERROR(ROUND(SUM(AB899,AF899:AI899)/E899,2),0)</f>
        <v/>
      </c>
      <c r="AK899" s="76">
        <f>AJ899*E899</f>
        <v/>
      </c>
      <c r="AL899" s="174">
        <f>ROUND(IFERROR(AM899*E899,0),2)</f>
        <v/>
      </c>
      <c r="AM899" s="175">
        <f>ROUND(AJ899*(1+IF(offer_incoterms="DDP",IF((TODAY()+offer_turnaround_time)&gt;=helpsheet!$L$17,rate_vatRU_from_26,rate_vatRu_till_25),0)),2)</f>
        <v/>
      </c>
      <c r="AN899" s="192">
        <f>AL899-AK899</f>
        <v/>
      </c>
      <c r="AO899" s="76">
        <f>SUM(AY899,Y899:Z899,T899)*IF(AND(offer_incoterms="DDP",offer_sale_type&lt;&gt;"экспорт"),IF((TODAY()+offer_turnaround_time)&gt;=helpsheet!$L$17,rate_vatRU_from_26,rate_vatRu_till_25),0)</f>
        <v/>
      </c>
      <c r="AP899" s="193">
        <f>AN899-AO899</f>
        <v/>
      </c>
      <c r="AQ899" s="118">
        <f>IF(offer_sale_type="транзит",SUM(AF899:AI899,BA899,BB899),0)</f>
        <v/>
      </c>
      <c r="AR899" s="82">
        <f>HYPERLINK("https://www.alta.ru/tnved/code/")&amp;W899&amp;"/"</f>
        <v/>
      </c>
      <c r="AS899" s="157" t="n"/>
      <c r="AT899" s="162" t="n"/>
      <c r="AU899" s="76">
        <f>IF(ISBLANK(AT899),0,AJ899-AT899)</f>
        <v/>
      </c>
      <c r="AV899" s="157" t="n"/>
      <c r="AW899" s="75">
        <f>_xlfn.IFNA(VLOOKUP(L899,list_vat[],3,FALSE),0)</f>
        <v/>
      </c>
      <c r="AX899" s="76">
        <f>IFERROR(ROUND(S899*(1+AW899)/E899,2),0)</f>
        <v/>
      </c>
      <c r="AY899" s="76">
        <f>E899*AX899</f>
        <v/>
      </c>
      <c r="AZ899" s="192">
        <f>S899*(1+M899)</f>
        <v/>
      </c>
      <c r="BA899" s="76">
        <f>cost_fin_total*$BD899</f>
        <v/>
      </c>
      <c r="BB899" s="193">
        <f>credit_sales_interest*BD899</f>
        <v/>
      </c>
      <c r="BC899" s="102">
        <f>IFERROR(IF($I$13&gt;0,$I899/$I$13,$S899/$S$13),0)</f>
        <v/>
      </c>
      <c r="BD899" s="102">
        <f>IFERROR($S899/$S$13,0)</f>
        <v/>
      </c>
      <c r="BE899" s="413" t="inlineStr">
        <is>
          <t>$</t>
        </is>
      </c>
    </row>
    <row r="900" ht="12" customFormat="1" customHeight="1" s="65">
      <c r="A900" s="43" t="n">
        <v>885</v>
      </c>
      <c r="B900" s="166" t="n"/>
      <c r="C900" s="166" t="n"/>
      <c r="D900" s="166" t="n"/>
      <c r="E900" s="162" t="n"/>
      <c r="F900" s="166" t="n"/>
      <c r="G900" s="162" t="n"/>
      <c r="H900" s="162" t="n"/>
      <c r="I900" s="189">
        <f>E900*G900</f>
        <v/>
      </c>
      <c r="J900" s="195" t="n"/>
      <c r="K900" s="162" t="n"/>
      <c r="L900" s="168" t="n"/>
      <c r="M900" s="75">
        <f>_xlfn.XLOOKUP(L900,list_vat[Страна],list_vat[Ставка НДС %],0,0)</f>
        <v/>
      </c>
      <c r="N900" s="162">
        <f>IFERROR(IF(L900="Китай",K900,K900/(1+M900)),0)</f>
        <v/>
      </c>
      <c r="O900" s="169" t="n"/>
      <c r="P900" s="76">
        <f>N900*(1-O900)</f>
        <v/>
      </c>
      <c r="Q900" s="162" t="n"/>
      <c r="R900" s="162">
        <f>IF(ISBLANK(Q900),"введи курс",P900/Q900)</f>
        <v/>
      </c>
      <c r="S900" s="196">
        <f>IF(AND(ISNUMBER(E900),ISNUMBER(Q900)),E900*R900,0)</f>
        <v/>
      </c>
      <c r="T900" s="192">
        <f>$BC900*V$11</f>
        <v/>
      </c>
      <c r="U900" s="76">
        <f>$BC900*W$11</f>
        <v/>
      </c>
      <c r="V900" s="193">
        <f>+SUM(T900:U900)</f>
        <v/>
      </c>
      <c r="W900" s="191" t="n"/>
      <c r="X900" s="170" t="n"/>
      <c r="Y900" s="76">
        <f>ROUND(IF(offer_incoterms="DDP",X900*(S900*(1+AW900)+T900),0),2)</f>
        <v/>
      </c>
      <c r="Z900" s="188" t="n"/>
      <c r="AA900" s="192">
        <f>IFERROR(AB900/E900,0)</f>
        <v/>
      </c>
      <c r="AB900" s="76">
        <f>ROUND(SUM(S900,V900,Y900:Z900,BA900:BB900),2)</f>
        <v/>
      </c>
      <c r="AC900" s="797" t="n"/>
      <c r="AD900" s="192">
        <f t="array" ref="AD900">IFERROR(ROUND((_xlfn.IFS(offer_sale_type="поставка",AB900,offer_sale_type="транзит",S900)*(1+AC900))/E900,2),0)</f>
        <v/>
      </c>
      <c r="AE900" s="76">
        <f>AD900*E900</f>
        <v/>
      </c>
      <c r="AF900" s="193">
        <f t="array" ref="AF900">IFERROR(ROUND(_xlfn.IFS(offer_sale_type="поставка",AB900,offer_sale_type="транзит",S900)*AC900,2),0)</f>
        <v/>
      </c>
      <c r="AG900" s="192">
        <f>$BD900*VLOOKUP($AG$3,$AF$4:$AG$7,2,FALSE)</f>
        <v/>
      </c>
      <c r="AH900" s="76">
        <f>SUM(AE900,AG900,AI900)*rate_forex_risk</f>
        <v/>
      </c>
      <c r="AI900" s="193">
        <f>IF(OR(seller_region="TR",offer_sale_type="экспорт"),0,rate_fin_comm)*SUM(AZ900,AZ900*AW900,T900)</f>
        <v/>
      </c>
      <c r="AJ900" s="118">
        <f>IFERROR(ROUND(SUM(AB900,AF900:AI900)/E900,2),0)</f>
        <v/>
      </c>
      <c r="AK900" s="76">
        <f>AJ900*E900</f>
        <v/>
      </c>
      <c r="AL900" s="174">
        <f>ROUND(IFERROR(AM900*E900,0),2)</f>
        <v/>
      </c>
      <c r="AM900" s="175">
        <f>ROUND(AJ900*(1+IF(offer_incoterms="DDP",IF((TODAY()+offer_turnaround_time)&gt;=helpsheet!$L$17,rate_vatRU_from_26,rate_vatRu_till_25),0)),2)</f>
        <v/>
      </c>
      <c r="AN900" s="192">
        <f>AL900-AK900</f>
        <v/>
      </c>
      <c r="AO900" s="76">
        <f>SUM(AY900,Y900:Z900,T900)*IF(AND(offer_incoterms="DDP",offer_sale_type&lt;&gt;"экспорт"),IF((TODAY()+offer_turnaround_time)&gt;=helpsheet!$L$17,rate_vatRU_from_26,rate_vatRu_till_25),0)</f>
        <v/>
      </c>
      <c r="AP900" s="193">
        <f>AN900-AO900</f>
        <v/>
      </c>
      <c r="AQ900" s="118">
        <f>IF(offer_sale_type="транзит",SUM(AF900:AI900,BA900,BB900),0)</f>
        <v/>
      </c>
      <c r="AR900" s="82">
        <f>HYPERLINK("https://www.alta.ru/tnved/code/")&amp;W900&amp;"/"</f>
        <v/>
      </c>
      <c r="AS900" s="157" t="n"/>
      <c r="AT900" s="162" t="n"/>
      <c r="AU900" s="76">
        <f>IF(ISBLANK(AT900),0,AJ900-AT900)</f>
        <v/>
      </c>
      <c r="AV900" s="157" t="n"/>
      <c r="AW900" s="75">
        <f>_xlfn.IFNA(VLOOKUP(L900,list_vat[],3,FALSE),0)</f>
        <v/>
      </c>
      <c r="AX900" s="76">
        <f>IFERROR(ROUND(S900*(1+AW900)/E900,2),0)</f>
        <v/>
      </c>
      <c r="AY900" s="76">
        <f>E900*AX900</f>
        <v/>
      </c>
      <c r="AZ900" s="192">
        <f>S900*(1+M900)</f>
        <v/>
      </c>
      <c r="BA900" s="76">
        <f>cost_fin_total*$BD900</f>
        <v/>
      </c>
      <c r="BB900" s="193">
        <f>credit_sales_interest*BD900</f>
        <v/>
      </c>
      <c r="BC900" s="102">
        <f>IFERROR(IF($I$13&gt;0,$I900/$I$13,$S900/$S$13),0)</f>
        <v/>
      </c>
      <c r="BD900" s="102">
        <f>IFERROR($S900/$S$13,0)</f>
        <v/>
      </c>
      <c r="BE900" s="413" t="inlineStr">
        <is>
          <t>$</t>
        </is>
      </c>
    </row>
    <row r="901" ht="12" customFormat="1" customHeight="1" s="65">
      <c r="A901" s="43" t="n">
        <v>886</v>
      </c>
      <c r="B901" s="166" t="n"/>
      <c r="C901" s="166" t="n"/>
      <c r="D901" s="166" t="n"/>
      <c r="E901" s="162" t="n"/>
      <c r="F901" s="166" t="n"/>
      <c r="G901" s="162" t="n"/>
      <c r="H901" s="162" t="n"/>
      <c r="I901" s="189">
        <f>E901*G901</f>
        <v/>
      </c>
      <c r="J901" s="195" t="n"/>
      <c r="K901" s="162" t="n"/>
      <c r="L901" s="168" t="n"/>
      <c r="M901" s="75">
        <f>_xlfn.XLOOKUP(L901,list_vat[Страна],list_vat[Ставка НДС %],0,0)</f>
        <v/>
      </c>
      <c r="N901" s="162">
        <f>IFERROR(IF(L901="Китай",K901,K901/(1+M901)),0)</f>
        <v/>
      </c>
      <c r="O901" s="169" t="n"/>
      <c r="P901" s="76">
        <f>N901*(1-O901)</f>
        <v/>
      </c>
      <c r="Q901" s="162" t="n"/>
      <c r="R901" s="162">
        <f>IF(ISBLANK(Q901),"введи курс",P901/Q901)</f>
        <v/>
      </c>
      <c r="S901" s="196">
        <f>IF(AND(ISNUMBER(E901),ISNUMBER(Q901)),E901*R901,0)</f>
        <v/>
      </c>
      <c r="T901" s="192">
        <f>$BC901*V$11</f>
        <v/>
      </c>
      <c r="U901" s="76">
        <f>$BC901*W$11</f>
        <v/>
      </c>
      <c r="V901" s="193">
        <f>+SUM(T901:U901)</f>
        <v/>
      </c>
      <c r="W901" s="191" t="n"/>
      <c r="X901" s="170" t="n"/>
      <c r="Y901" s="76">
        <f>ROUND(IF(offer_incoterms="DDP",X901*(S901*(1+AW901)+T901),0),2)</f>
        <v/>
      </c>
      <c r="Z901" s="188" t="n"/>
      <c r="AA901" s="192">
        <f>IFERROR(AB901/E901,0)</f>
        <v/>
      </c>
      <c r="AB901" s="76">
        <f>ROUND(SUM(S901,V901,Y901:Z901,BA901:BB901),2)</f>
        <v/>
      </c>
      <c r="AC901" s="797" t="n"/>
      <c r="AD901" s="192">
        <f t="array" ref="AD901">IFERROR(ROUND((_xlfn.IFS(offer_sale_type="поставка",AB901,offer_sale_type="транзит",S901)*(1+AC901))/E901,2),0)</f>
        <v/>
      </c>
      <c r="AE901" s="76">
        <f>AD901*E901</f>
        <v/>
      </c>
      <c r="AF901" s="193">
        <f t="array" ref="AF901">IFERROR(ROUND(_xlfn.IFS(offer_sale_type="поставка",AB901,offer_sale_type="транзит",S901)*AC901,2),0)</f>
        <v/>
      </c>
      <c r="AG901" s="192">
        <f>$BD901*VLOOKUP($AG$3,$AF$4:$AG$7,2,FALSE)</f>
        <v/>
      </c>
      <c r="AH901" s="76">
        <f>SUM(AE901,AG901,AI901)*rate_forex_risk</f>
        <v/>
      </c>
      <c r="AI901" s="193">
        <f>IF(OR(seller_region="TR",offer_sale_type="экспорт"),0,rate_fin_comm)*SUM(AZ901,AZ901*AW901,T901)</f>
        <v/>
      </c>
      <c r="AJ901" s="118">
        <f>IFERROR(ROUND(SUM(AB901,AF901:AI901)/E901,2),0)</f>
        <v/>
      </c>
      <c r="AK901" s="76">
        <f>AJ901*E901</f>
        <v/>
      </c>
      <c r="AL901" s="174">
        <f>ROUND(IFERROR(AM901*E901,0),2)</f>
        <v/>
      </c>
      <c r="AM901" s="175">
        <f>ROUND(AJ901*(1+IF(offer_incoterms="DDP",IF((TODAY()+offer_turnaround_time)&gt;=helpsheet!$L$17,rate_vatRU_from_26,rate_vatRu_till_25),0)),2)</f>
        <v/>
      </c>
      <c r="AN901" s="192">
        <f>AL901-AK901</f>
        <v/>
      </c>
      <c r="AO901" s="76">
        <f>SUM(AY901,Y901:Z901,T901)*IF(AND(offer_incoterms="DDP",offer_sale_type&lt;&gt;"экспорт"),IF((TODAY()+offer_turnaround_time)&gt;=helpsheet!$L$17,rate_vatRU_from_26,rate_vatRu_till_25),0)</f>
        <v/>
      </c>
      <c r="AP901" s="193">
        <f>AN901-AO901</f>
        <v/>
      </c>
      <c r="AQ901" s="118">
        <f>IF(offer_sale_type="транзит",SUM(AF901:AI901,BA901,BB901),0)</f>
        <v/>
      </c>
      <c r="AR901" s="82">
        <f>HYPERLINK("https://www.alta.ru/tnved/code/")&amp;W901&amp;"/"</f>
        <v/>
      </c>
      <c r="AS901" s="157" t="n"/>
      <c r="AT901" s="162" t="n"/>
      <c r="AU901" s="76">
        <f>IF(ISBLANK(AT901),0,AJ901-AT901)</f>
        <v/>
      </c>
      <c r="AV901" s="157" t="n"/>
      <c r="AW901" s="75">
        <f>_xlfn.IFNA(VLOOKUP(L901,list_vat[],3,FALSE),0)</f>
        <v/>
      </c>
      <c r="AX901" s="76">
        <f>IFERROR(ROUND(S901*(1+AW901)/E901,2),0)</f>
        <v/>
      </c>
      <c r="AY901" s="76">
        <f>E901*AX901</f>
        <v/>
      </c>
      <c r="AZ901" s="192">
        <f>S901*(1+M901)</f>
        <v/>
      </c>
      <c r="BA901" s="76">
        <f>cost_fin_total*$BD901</f>
        <v/>
      </c>
      <c r="BB901" s="193">
        <f>credit_sales_interest*BD901</f>
        <v/>
      </c>
      <c r="BC901" s="102">
        <f>IFERROR(IF($I$13&gt;0,$I901/$I$13,$S901/$S$13),0)</f>
        <v/>
      </c>
      <c r="BD901" s="102">
        <f>IFERROR($S901/$S$13,0)</f>
        <v/>
      </c>
      <c r="BE901" s="413" t="inlineStr">
        <is>
          <t>$</t>
        </is>
      </c>
    </row>
    <row r="902" ht="12" customFormat="1" customHeight="1" s="65">
      <c r="A902" s="43" t="n">
        <v>887</v>
      </c>
      <c r="B902" s="166" t="n"/>
      <c r="C902" s="166" t="n"/>
      <c r="D902" s="166" t="n"/>
      <c r="E902" s="162" t="n"/>
      <c r="F902" s="166" t="n"/>
      <c r="G902" s="162" t="n"/>
      <c r="H902" s="162" t="n"/>
      <c r="I902" s="189">
        <f>E902*G902</f>
        <v/>
      </c>
      <c r="J902" s="195" t="n"/>
      <c r="K902" s="162" t="n"/>
      <c r="L902" s="168" t="n"/>
      <c r="M902" s="75">
        <f>_xlfn.XLOOKUP(L902,list_vat[Страна],list_vat[Ставка НДС %],0,0)</f>
        <v/>
      </c>
      <c r="N902" s="162">
        <f>IFERROR(IF(L902="Китай",K902,K902/(1+M902)),0)</f>
        <v/>
      </c>
      <c r="O902" s="169" t="n"/>
      <c r="P902" s="76">
        <f>N902*(1-O902)</f>
        <v/>
      </c>
      <c r="Q902" s="162" t="n"/>
      <c r="R902" s="162">
        <f>IF(ISBLANK(Q902),"введи курс",P902/Q902)</f>
        <v/>
      </c>
      <c r="S902" s="196">
        <f>IF(AND(ISNUMBER(E902),ISNUMBER(Q902)),E902*R902,0)</f>
        <v/>
      </c>
      <c r="T902" s="192">
        <f>$BC902*V$11</f>
        <v/>
      </c>
      <c r="U902" s="76">
        <f>$BC902*W$11</f>
        <v/>
      </c>
      <c r="V902" s="193">
        <f>+SUM(T902:U902)</f>
        <v/>
      </c>
      <c r="W902" s="191" t="n"/>
      <c r="X902" s="170" t="n"/>
      <c r="Y902" s="76">
        <f>ROUND(IF(offer_incoterms="DDP",X902*(S902*(1+AW902)+T902),0),2)</f>
        <v/>
      </c>
      <c r="Z902" s="188" t="n"/>
      <c r="AA902" s="192">
        <f>IFERROR(AB902/E902,0)</f>
        <v/>
      </c>
      <c r="AB902" s="76">
        <f>ROUND(SUM(S902,V902,Y902:Z902,BA902:BB902),2)</f>
        <v/>
      </c>
      <c r="AC902" s="797" t="n"/>
      <c r="AD902" s="192">
        <f t="array" ref="AD902">IFERROR(ROUND((_xlfn.IFS(offer_sale_type="поставка",AB902,offer_sale_type="транзит",S902)*(1+AC902))/E902,2),0)</f>
        <v/>
      </c>
      <c r="AE902" s="76">
        <f>AD902*E902</f>
        <v/>
      </c>
      <c r="AF902" s="193">
        <f t="array" ref="AF902">IFERROR(ROUND(_xlfn.IFS(offer_sale_type="поставка",AB902,offer_sale_type="транзит",S902)*AC902,2),0)</f>
        <v/>
      </c>
      <c r="AG902" s="192">
        <f>$BD902*VLOOKUP($AG$3,$AF$4:$AG$7,2,FALSE)</f>
        <v/>
      </c>
      <c r="AH902" s="76">
        <f>SUM(AE902,AG902,AI902)*rate_forex_risk</f>
        <v/>
      </c>
      <c r="AI902" s="193">
        <f>IF(OR(seller_region="TR",offer_sale_type="экспорт"),0,rate_fin_comm)*SUM(AZ902,AZ902*AW902,T902)</f>
        <v/>
      </c>
      <c r="AJ902" s="118">
        <f>IFERROR(ROUND(SUM(AB902,AF902:AI902)/E902,2),0)</f>
        <v/>
      </c>
      <c r="AK902" s="76">
        <f>AJ902*E902</f>
        <v/>
      </c>
      <c r="AL902" s="174">
        <f>ROUND(IFERROR(AM902*E902,0),2)</f>
        <v/>
      </c>
      <c r="AM902" s="175">
        <f>ROUND(AJ902*(1+IF(offer_incoterms="DDP",IF((TODAY()+offer_turnaround_time)&gt;=helpsheet!$L$17,rate_vatRU_from_26,rate_vatRu_till_25),0)),2)</f>
        <v/>
      </c>
      <c r="AN902" s="192">
        <f>AL902-AK902</f>
        <v/>
      </c>
      <c r="AO902" s="76">
        <f>SUM(AY902,Y902:Z902,T902)*IF(AND(offer_incoterms="DDP",offer_sale_type&lt;&gt;"экспорт"),IF((TODAY()+offer_turnaround_time)&gt;=helpsheet!$L$17,rate_vatRU_from_26,rate_vatRu_till_25),0)</f>
        <v/>
      </c>
      <c r="AP902" s="193">
        <f>AN902-AO902</f>
        <v/>
      </c>
      <c r="AQ902" s="118">
        <f>IF(offer_sale_type="транзит",SUM(AF902:AI902,BA902,BB902),0)</f>
        <v/>
      </c>
      <c r="AR902" s="82">
        <f>HYPERLINK("https://www.alta.ru/tnved/code/")&amp;W902&amp;"/"</f>
        <v/>
      </c>
      <c r="AS902" s="157" t="n"/>
      <c r="AT902" s="162" t="n"/>
      <c r="AU902" s="76">
        <f>IF(ISBLANK(AT902),0,AJ902-AT902)</f>
        <v/>
      </c>
      <c r="AV902" s="157" t="n"/>
      <c r="AW902" s="75">
        <f>_xlfn.IFNA(VLOOKUP(L902,list_vat[],3,FALSE),0)</f>
        <v/>
      </c>
      <c r="AX902" s="76">
        <f>IFERROR(ROUND(S902*(1+AW902)/E902,2),0)</f>
        <v/>
      </c>
      <c r="AY902" s="76">
        <f>E902*AX902</f>
        <v/>
      </c>
      <c r="AZ902" s="192">
        <f>S902*(1+M902)</f>
        <v/>
      </c>
      <c r="BA902" s="76">
        <f>cost_fin_total*$BD902</f>
        <v/>
      </c>
      <c r="BB902" s="193">
        <f>credit_sales_interest*BD902</f>
        <v/>
      </c>
      <c r="BC902" s="102">
        <f>IFERROR(IF($I$13&gt;0,$I902/$I$13,$S902/$S$13),0)</f>
        <v/>
      </c>
      <c r="BD902" s="102">
        <f>IFERROR($S902/$S$13,0)</f>
        <v/>
      </c>
      <c r="BE902" s="413" t="inlineStr">
        <is>
          <t>$</t>
        </is>
      </c>
    </row>
    <row r="903" ht="12" customFormat="1" customHeight="1" s="65">
      <c r="A903" s="43" t="n">
        <v>888</v>
      </c>
      <c r="B903" s="166" t="n"/>
      <c r="C903" s="166" t="n"/>
      <c r="D903" s="166" t="n"/>
      <c r="E903" s="162" t="n"/>
      <c r="F903" s="166" t="n"/>
      <c r="G903" s="162" t="n"/>
      <c r="H903" s="162" t="n"/>
      <c r="I903" s="189">
        <f>E903*G903</f>
        <v/>
      </c>
      <c r="J903" s="195" t="n"/>
      <c r="K903" s="162" t="n"/>
      <c r="L903" s="168" t="n"/>
      <c r="M903" s="75">
        <f>_xlfn.XLOOKUP(L903,list_vat[Страна],list_vat[Ставка НДС %],0,0)</f>
        <v/>
      </c>
      <c r="N903" s="162">
        <f>IFERROR(IF(L903="Китай",K903,K903/(1+M903)),0)</f>
        <v/>
      </c>
      <c r="O903" s="169" t="n"/>
      <c r="P903" s="76">
        <f>N903*(1-O903)</f>
        <v/>
      </c>
      <c r="Q903" s="162" t="n"/>
      <c r="R903" s="162">
        <f>IF(ISBLANK(Q903),"введи курс",P903/Q903)</f>
        <v/>
      </c>
      <c r="S903" s="196">
        <f>IF(AND(ISNUMBER(E903),ISNUMBER(Q903)),E903*R903,0)</f>
        <v/>
      </c>
      <c r="T903" s="192">
        <f>$BC903*V$11</f>
        <v/>
      </c>
      <c r="U903" s="76">
        <f>$BC903*W$11</f>
        <v/>
      </c>
      <c r="V903" s="193">
        <f>+SUM(T903:U903)</f>
        <v/>
      </c>
      <c r="W903" s="191" t="n"/>
      <c r="X903" s="170" t="n"/>
      <c r="Y903" s="76">
        <f>ROUND(IF(offer_incoterms="DDP",X903*(S903*(1+AW903)+T903),0),2)</f>
        <v/>
      </c>
      <c r="Z903" s="188" t="n"/>
      <c r="AA903" s="192">
        <f>IFERROR(AB903/E903,0)</f>
        <v/>
      </c>
      <c r="AB903" s="76">
        <f>ROUND(SUM(S903,V903,Y903:Z903,BA903:BB903),2)</f>
        <v/>
      </c>
      <c r="AC903" s="797" t="n"/>
      <c r="AD903" s="192">
        <f t="array" ref="AD903">IFERROR(ROUND((_xlfn.IFS(offer_sale_type="поставка",AB903,offer_sale_type="транзит",S903)*(1+AC903))/E903,2),0)</f>
        <v/>
      </c>
      <c r="AE903" s="76">
        <f>AD903*E903</f>
        <v/>
      </c>
      <c r="AF903" s="193">
        <f t="array" ref="AF903">IFERROR(ROUND(_xlfn.IFS(offer_sale_type="поставка",AB903,offer_sale_type="транзит",S903)*AC903,2),0)</f>
        <v/>
      </c>
      <c r="AG903" s="192">
        <f>$BD903*VLOOKUP($AG$3,$AF$4:$AG$7,2,FALSE)</f>
        <v/>
      </c>
      <c r="AH903" s="76">
        <f>SUM(AE903,AG903,AI903)*rate_forex_risk</f>
        <v/>
      </c>
      <c r="AI903" s="193">
        <f>IF(OR(seller_region="TR",offer_sale_type="экспорт"),0,rate_fin_comm)*SUM(AZ903,AZ903*AW903,T903)</f>
        <v/>
      </c>
      <c r="AJ903" s="118">
        <f>IFERROR(ROUND(SUM(AB903,AF903:AI903)/E903,2),0)</f>
        <v/>
      </c>
      <c r="AK903" s="76">
        <f>AJ903*E903</f>
        <v/>
      </c>
      <c r="AL903" s="174">
        <f>ROUND(IFERROR(AM903*E903,0),2)</f>
        <v/>
      </c>
      <c r="AM903" s="175">
        <f>ROUND(AJ903*(1+IF(offer_incoterms="DDP",IF((TODAY()+offer_turnaround_time)&gt;=helpsheet!$L$17,rate_vatRU_from_26,rate_vatRu_till_25),0)),2)</f>
        <v/>
      </c>
      <c r="AN903" s="192">
        <f>AL903-AK903</f>
        <v/>
      </c>
      <c r="AO903" s="76">
        <f>SUM(AY903,Y903:Z903,T903)*IF(AND(offer_incoterms="DDP",offer_sale_type&lt;&gt;"экспорт"),IF((TODAY()+offer_turnaround_time)&gt;=helpsheet!$L$17,rate_vatRU_from_26,rate_vatRu_till_25),0)</f>
        <v/>
      </c>
      <c r="AP903" s="193">
        <f>AN903-AO903</f>
        <v/>
      </c>
      <c r="AQ903" s="118">
        <f>IF(offer_sale_type="транзит",SUM(AF903:AI903,BA903,BB903),0)</f>
        <v/>
      </c>
      <c r="AR903" s="82">
        <f>HYPERLINK("https://www.alta.ru/tnved/code/")&amp;W903&amp;"/"</f>
        <v/>
      </c>
      <c r="AS903" s="157" t="n"/>
      <c r="AT903" s="162" t="n"/>
      <c r="AU903" s="76">
        <f>IF(ISBLANK(AT903),0,AJ903-AT903)</f>
        <v/>
      </c>
      <c r="AV903" s="157" t="n"/>
      <c r="AW903" s="75">
        <f>_xlfn.IFNA(VLOOKUP(L903,list_vat[],3,FALSE),0)</f>
        <v/>
      </c>
      <c r="AX903" s="76">
        <f>IFERROR(ROUND(S903*(1+AW903)/E903,2),0)</f>
        <v/>
      </c>
      <c r="AY903" s="76">
        <f>E903*AX903</f>
        <v/>
      </c>
      <c r="AZ903" s="192">
        <f>S903*(1+M903)</f>
        <v/>
      </c>
      <c r="BA903" s="76">
        <f>cost_fin_total*$BD903</f>
        <v/>
      </c>
      <c r="BB903" s="193">
        <f>credit_sales_interest*BD903</f>
        <v/>
      </c>
      <c r="BC903" s="102">
        <f>IFERROR(IF($I$13&gt;0,$I903/$I$13,$S903/$S$13),0)</f>
        <v/>
      </c>
      <c r="BD903" s="102">
        <f>IFERROR($S903/$S$13,0)</f>
        <v/>
      </c>
      <c r="BE903" s="413" t="inlineStr">
        <is>
          <t>$</t>
        </is>
      </c>
    </row>
    <row r="904" ht="12" customFormat="1" customHeight="1" s="65">
      <c r="A904" s="43" t="n">
        <v>889</v>
      </c>
      <c r="B904" s="166" t="n"/>
      <c r="C904" s="166" t="n"/>
      <c r="D904" s="166" t="n"/>
      <c r="E904" s="162" t="n"/>
      <c r="F904" s="166" t="n"/>
      <c r="G904" s="162" t="n"/>
      <c r="H904" s="162" t="n"/>
      <c r="I904" s="189">
        <f>E904*G904</f>
        <v/>
      </c>
      <c r="J904" s="195" t="n"/>
      <c r="K904" s="162" t="n"/>
      <c r="L904" s="168" t="n"/>
      <c r="M904" s="75">
        <f>_xlfn.XLOOKUP(L904,list_vat[Страна],list_vat[Ставка НДС %],0,0)</f>
        <v/>
      </c>
      <c r="N904" s="162">
        <f>IFERROR(IF(L904="Китай",K904,K904/(1+M904)),0)</f>
        <v/>
      </c>
      <c r="O904" s="169" t="n"/>
      <c r="P904" s="76">
        <f>N904*(1-O904)</f>
        <v/>
      </c>
      <c r="Q904" s="162" t="n"/>
      <c r="R904" s="162">
        <f>IF(ISBLANK(Q904),"введи курс",P904/Q904)</f>
        <v/>
      </c>
      <c r="S904" s="196">
        <f>IF(AND(ISNUMBER(E904),ISNUMBER(Q904)),E904*R904,0)</f>
        <v/>
      </c>
      <c r="T904" s="192">
        <f>$BC904*V$11</f>
        <v/>
      </c>
      <c r="U904" s="76">
        <f>$BC904*W$11</f>
        <v/>
      </c>
      <c r="V904" s="193">
        <f>+SUM(T904:U904)</f>
        <v/>
      </c>
      <c r="W904" s="191" t="n"/>
      <c r="X904" s="170" t="n"/>
      <c r="Y904" s="76">
        <f>ROUND(IF(offer_incoterms="DDP",X904*(S904*(1+AW904)+T904),0),2)</f>
        <v/>
      </c>
      <c r="Z904" s="188" t="n"/>
      <c r="AA904" s="192">
        <f>IFERROR(AB904/E904,0)</f>
        <v/>
      </c>
      <c r="AB904" s="76">
        <f>ROUND(SUM(S904,V904,Y904:Z904,BA904:BB904),2)</f>
        <v/>
      </c>
      <c r="AC904" s="797" t="n"/>
      <c r="AD904" s="192">
        <f t="array" ref="AD904">IFERROR(ROUND((_xlfn.IFS(offer_sale_type="поставка",AB904,offer_sale_type="транзит",S904)*(1+AC904))/E904,2),0)</f>
        <v/>
      </c>
      <c r="AE904" s="76">
        <f>AD904*E904</f>
        <v/>
      </c>
      <c r="AF904" s="193">
        <f t="array" ref="AF904">IFERROR(ROUND(_xlfn.IFS(offer_sale_type="поставка",AB904,offer_sale_type="транзит",S904)*AC904,2),0)</f>
        <v/>
      </c>
      <c r="AG904" s="192">
        <f>$BD904*VLOOKUP($AG$3,$AF$4:$AG$7,2,FALSE)</f>
        <v/>
      </c>
      <c r="AH904" s="76">
        <f>SUM(AE904,AG904,AI904)*rate_forex_risk</f>
        <v/>
      </c>
      <c r="AI904" s="193">
        <f>IF(OR(seller_region="TR",offer_sale_type="экспорт"),0,rate_fin_comm)*SUM(AZ904,AZ904*AW904,T904)</f>
        <v/>
      </c>
      <c r="AJ904" s="118">
        <f>IFERROR(ROUND(SUM(AB904,AF904:AI904)/E904,2),0)</f>
        <v/>
      </c>
      <c r="AK904" s="76">
        <f>AJ904*E904</f>
        <v/>
      </c>
      <c r="AL904" s="174">
        <f>ROUND(IFERROR(AM904*E904,0),2)</f>
        <v/>
      </c>
      <c r="AM904" s="175">
        <f>ROUND(AJ904*(1+IF(offer_incoterms="DDP",IF((TODAY()+offer_turnaround_time)&gt;=helpsheet!$L$17,rate_vatRU_from_26,rate_vatRu_till_25),0)),2)</f>
        <v/>
      </c>
      <c r="AN904" s="192">
        <f>AL904-AK904</f>
        <v/>
      </c>
      <c r="AO904" s="76">
        <f>SUM(AY904,Y904:Z904,T904)*IF(AND(offer_incoterms="DDP",offer_sale_type&lt;&gt;"экспорт"),IF((TODAY()+offer_turnaround_time)&gt;=helpsheet!$L$17,rate_vatRU_from_26,rate_vatRu_till_25),0)</f>
        <v/>
      </c>
      <c r="AP904" s="193">
        <f>AN904-AO904</f>
        <v/>
      </c>
      <c r="AQ904" s="118">
        <f>IF(offer_sale_type="транзит",SUM(AF904:AI904,BA904,BB904),0)</f>
        <v/>
      </c>
      <c r="AR904" s="82">
        <f>HYPERLINK("https://www.alta.ru/tnved/code/")&amp;W904&amp;"/"</f>
        <v/>
      </c>
      <c r="AS904" s="157" t="n"/>
      <c r="AT904" s="162" t="n"/>
      <c r="AU904" s="76">
        <f>IF(ISBLANK(AT904),0,AJ904-AT904)</f>
        <v/>
      </c>
      <c r="AV904" s="157" t="n"/>
      <c r="AW904" s="75">
        <f>_xlfn.IFNA(VLOOKUP(L904,list_vat[],3,FALSE),0)</f>
        <v/>
      </c>
      <c r="AX904" s="76">
        <f>IFERROR(ROUND(S904*(1+AW904)/E904,2),0)</f>
        <v/>
      </c>
      <c r="AY904" s="76">
        <f>E904*AX904</f>
        <v/>
      </c>
      <c r="AZ904" s="192">
        <f>S904*(1+M904)</f>
        <v/>
      </c>
      <c r="BA904" s="76">
        <f>cost_fin_total*$BD904</f>
        <v/>
      </c>
      <c r="BB904" s="193">
        <f>credit_sales_interest*BD904</f>
        <v/>
      </c>
      <c r="BC904" s="102">
        <f>IFERROR(IF($I$13&gt;0,$I904/$I$13,$S904/$S$13),0)</f>
        <v/>
      </c>
      <c r="BD904" s="102">
        <f>IFERROR($S904/$S$13,0)</f>
        <v/>
      </c>
      <c r="BE904" s="413" t="inlineStr">
        <is>
          <t>$</t>
        </is>
      </c>
    </row>
    <row r="905" ht="12" customFormat="1" customHeight="1" s="65">
      <c r="A905" s="43" t="n">
        <v>890</v>
      </c>
      <c r="B905" s="166" t="n"/>
      <c r="C905" s="166" t="n"/>
      <c r="D905" s="166" t="n"/>
      <c r="E905" s="162" t="n"/>
      <c r="F905" s="166" t="n"/>
      <c r="G905" s="162" t="n"/>
      <c r="H905" s="162" t="n"/>
      <c r="I905" s="189">
        <f>E905*G905</f>
        <v/>
      </c>
      <c r="J905" s="195" t="n"/>
      <c r="K905" s="162" t="n"/>
      <c r="L905" s="168" t="n"/>
      <c r="M905" s="75">
        <f>_xlfn.XLOOKUP(L905,list_vat[Страна],list_vat[Ставка НДС %],0,0)</f>
        <v/>
      </c>
      <c r="N905" s="162">
        <f>IFERROR(IF(L905="Китай",K905,K905/(1+M905)),0)</f>
        <v/>
      </c>
      <c r="O905" s="169" t="n"/>
      <c r="P905" s="76">
        <f>N905*(1-O905)</f>
        <v/>
      </c>
      <c r="Q905" s="162" t="n"/>
      <c r="R905" s="162">
        <f>IF(ISBLANK(Q905),"введи курс",P905/Q905)</f>
        <v/>
      </c>
      <c r="S905" s="196">
        <f>IF(AND(ISNUMBER(E905),ISNUMBER(Q905)),E905*R905,0)</f>
        <v/>
      </c>
      <c r="T905" s="192">
        <f>$BC905*V$11</f>
        <v/>
      </c>
      <c r="U905" s="76">
        <f>$BC905*W$11</f>
        <v/>
      </c>
      <c r="V905" s="193">
        <f>+SUM(T905:U905)</f>
        <v/>
      </c>
      <c r="W905" s="191" t="n"/>
      <c r="X905" s="170" t="n"/>
      <c r="Y905" s="76">
        <f>ROUND(IF(offer_incoterms="DDP",X905*(S905*(1+AW905)+T905),0),2)</f>
        <v/>
      </c>
      <c r="Z905" s="188" t="n"/>
      <c r="AA905" s="192">
        <f>IFERROR(AB905/E905,0)</f>
        <v/>
      </c>
      <c r="AB905" s="76">
        <f>ROUND(SUM(S905,V905,Y905:Z905,BA905:BB905),2)</f>
        <v/>
      </c>
      <c r="AC905" s="797" t="n"/>
      <c r="AD905" s="192">
        <f t="array" ref="AD905">IFERROR(ROUND((_xlfn.IFS(offer_sale_type="поставка",AB905,offer_sale_type="транзит",S905)*(1+AC905))/E905,2),0)</f>
        <v/>
      </c>
      <c r="AE905" s="76">
        <f>AD905*E905</f>
        <v/>
      </c>
      <c r="AF905" s="193">
        <f t="array" ref="AF905">IFERROR(ROUND(_xlfn.IFS(offer_sale_type="поставка",AB905,offer_sale_type="транзит",S905)*AC905,2),0)</f>
        <v/>
      </c>
      <c r="AG905" s="192">
        <f>$BD905*VLOOKUP($AG$3,$AF$4:$AG$7,2,FALSE)</f>
        <v/>
      </c>
      <c r="AH905" s="76">
        <f>SUM(AE905,AG905,AI905)*rate_forex_risk</f>
        <v/>
      </c>
      <c r="AI905" s="193">
        <f>IF(OR(seller_region="TR",offer_sale_type="экспорт"),0,rate_fin_comm)*SUM(AZ905,AZ905*AW905,T905)</f>
        <v/>
      </c>
      <c r="AJ905" s="118">
        <f>IFERROR(ROUND(SUM(AB905,AF905:AI905)/E905,2),0)</f>
        <v/>
      </c>
      <c r="AK905" s="76">
        <f>AJ905*E905</f>
        <v/>
      </c>
      <c r="AL905" s="174">
        <f>ROUND(IFERROR(AM905*E905,0),2)</f>
        <v/>
      </c>
      <c r="AM905" s="175">
        <f>ROUND(AJ905*(1+IF(offer_incoterms="DDP",IF((TODAY()+offer_turnaround_time)&gt;=helpsheet!$L$17,rate_vatRU_from_26,rate_vatRu_till_25),0)),2)</f>
        <v/>
      </c>
      <c r="AN905" s="192">
        <f>AL905-AK905</f>
        <v/>
      </c>
      <c r="AO905" s="76">
        <f>SUM(AY905,Y905:Z905,T905)*IF(AND(offer_incoterms="DDP",offer_sale_type&lt;&gt;"экспорт"),IF((TODAY()+offer_turnaround_time)&gt;=helpsheet!$L$17,rate_vatRU_from_26,rate_vatRu_till_25),0)</f>
        <v/>
      </c>
      <c r="AP905" s="193">
        <f>AN905-AO905</f>
        <v/>
      </c>
      <c r="AQ905" s="118">
        <f>IF(offer_sale_type="транзит",SUM(AF905:AI905,BA905,BB905),0)</f>
        <v/>
      </c>
      <c r="AR905" s="82">
        <f>HYPERLINK("https://www.alta.ru/tnved/code/")&amp;W905&amp;"/"</f>
        <v/>
      </c>
      <c r="AS905" s="157" t="n"/>
      <c r="AT905" s="162" t="n"/>
      <c r="AU905" s="76">
        <f>IF(ISBLANK(AT905),0,AJ905-AT905)</f>
        <v/>
      </c>
      <c r="AV905" s="157" t="n"/>
      <c r="AW905" s="75">
        <f>_xlfn.IFNA(VLOOKUP(L905,list_vat[],3,FALSE),0)</f>
        <v/>
      </c>
      <c r="AX905" s="76">
        <f>IFERROR(ROUND(S905*(1+AW905)/E905,2),0)</f>
        <v/>
      </c>
      <c r="AY905" s="76">
        <f>E905*AX905</f>
        <v/>
      </c>
      <c r="AZ905" s="192">
        <f>S905*(1+M905)</f>
        <v/>
      </c>
      <c r="BA905" s="76">
        <f>cost_fin_total*$BD905</f>
        <v/>
      </c>
      <c r="BB905" s="193">
        <f>credit_sales_interest*BD905</f>
        <v/>
      </c>
      <c r="BC905" s="102">
        <f>IFERROR(IF($I$13&gt;0,$I905/$I$13,$S905/$S$13),0)</f>
        <v/>
      </c>
      <c r="BD905" s="102">
        <f>IFERROR($S905/$S$13,0)</f>
        <v/>
      </c>
      <c r="BE905" s="413" t="inlineStr">
        <is>
          <t>$</t>
        </is>
      </c>
    </row>
    <row r="906" ht="12" customFormat="1" customHeight="1" s="65">
      <c r="A906" s="43" t="n">
        <v>891</v>
      </c>
      <c r="B906" s="166" t="n"/>
      <c r="C906" s="166" t="n"/>
      <c r="D906" s="166" t="n"/>
      <c r="E906" s="162" t="n"/>
      <c r="F906" s="166" t="n"/>
      <c r="G906" s="162" t="n"/>
      <c r="H906" s="162" t="n"/>
      <c r="I906" s="189">
        <f>E906*G906</f>
        <v/>
      </c>
      <c r="J906" s="195" t="n"/>
      <c r="K906" s="162" t="n"/>
      <c r="L906" s="168" t="n"/>
      <c r="M906" s="75">
        <f>_xlfn.XLOOKUP(L906,list_vat[Страна],list_vat[Ставка НДС %],0,0)</f>
        <v/>
      </c>
      <c r="N906" s="162">
        <f>IFERROR(IF(L906="Китай",K906,K906/(1+M906)),0)</f>
        <v/>
      </c>
      <c r="O906" s="169" t="n"/>
      <c r="P906" s="76">
        <f>N906*(1-O906)</f>
        <v/>
      </c>
      <c r="Q906" s="162" t="n"/>
      <c r="R906" s="162">
        <f>IF(ISBLANK(Q906),"введи курс",P906/Q906)</f>
        <v/>
      </c>
      <c r="S906" s="196">
        <f>IF(AND(ISNUMBER(E906),ISNUMBER(Q906)),E906*R906,0)</f>
        <v/>
      </c>
      <c r="T906" s="192">
        <f>$BC906*V$11</f>
        <v/>
      </c>
      <c r="U906" s="76">
        <f>$BC906*W$11</f>
        <v/>
      </c>
      <c r="V906" s="193">
        <f>+SUM(T906:U906)</f>
        <v/>
      </c>
      <c r="W906" s="191" t="n"/>
      <c r="X906" s="170" t="n"/>
      <c r="Y906" s="76">
        <f>ROUND(IF(offer_incoterms="DDP",X906*(S906*(1+AW906)+T906),0),2)</f>
        <v/>
      </c>
      <c r="Z906" s="188" t="n"/>
      <c r="AA906" s="192">
        <f>IFERROR(AB906/E906,0)</f>
        <v/>
      </c>
      <c r="AB906" s="76">
        <f>ROUND(SUM(S906,V906,Y906:Z906,BA906:BB906),2)</f>
        <v/>
      </c>
      <c r="AC906" s="797" t="n"/>
      <c r="AD906" s="192">
        <f t="array" ref="AD906">IFERROR(ROUND((_xlfn.IFS(offer_sale_type="поставка",AB906,offer_sale_type="транзит",S906)*(1+AC906))/E906,2),0)</f>
        <v/>
      </c>
      <c r="AE906" s="76">
        <f>AD906*E906</f>
        <v/>
      </c>
      <c r="AF906" s="193">
        <f t="array" ref="AF906">IFERROR(ROUND(_xlfn.IFS(offer_sale_type="поставка",AB906,offer_sale_type="транзит",S906)*AC906,2),0)</f>
        <v/>
      </c>
      <c r="AG906" s="192">
        <f>$BD906*VLOOKUP($AG$3,$AF$4:$AG$7,2,FALSE)</f>
        <v/>
      </c>
      <c r="AH906" s="76">
        <f>SUM(AE906,AG906,AI906)*rate_forex_risk</f>
        <v/>
      </c>
      <c r="AI906" s="193">
        <f>IF(OR(seller_region="TR",offer_sale_type="экспорт"),0,rate_fin_comm)*SUM(AZ906,AZ906*AW906,T906)</f>
        <v/>
      </c>
      <c r="AJ906" s="118">
        <f>IFERROR(ROUND(SUM(AB906,AF906:AI906)/E906,2),0)</f>
        <v/>
      </c>
      <c r="AK906" s="76">
        <f>AJ906*E906</f>
        <v/>
      </c>
      <c r="AL906" s="174">
        <f>ROUND(IFERROR(AM906*E906,0),2)</f>
        <v/>
      </c>
      <c r="AM906" s="175">
        <f>ROUND(AJ906*(1+IF(offer_incoterms="DDP",IF((TODAY()+offer_turnaround_time)&gt;=helpsheet!$L$17,rate_vatRU_from_26,rate_vatRu_till_25),0)),2)</f>
        <v/>
      </c>
      <c r="AN906" s="192">
        <f>AL906-AK906</f>
        <v/>
      </c>
      <c r="AO906" s="76">
        <f>SUM(AY906,Y906:Z906,T906)*IF(AND(offer_incoterms="DDP",offer_sale_type&lt;&gt;"экспорт"),IF((TODAY()+offer_turnaround_time)&gt;=helpsheet!$L$17,rate_vatRU_from_26,rate_vatRu_till_25),0)</f>
        <v/>
      </c>
      <c r="AP906" s="193">
        <f>AN906-AO906</f>
        <v/>
      </c>
      <c r="AQ906" s="118">
        <f>IF(offer_sale_type="транзит",SUM(AF906:AI906,BA906,BB906),0)</f>
        <v/>
      </c>
      <c r="AR906" s="82">
        <f>HYPERLINK("https://www.alta.ru/tnved/code/")&amp;W906&amp;"/"</f>
        <v/>
      </c>
      <c r="AS906" s="157" t="n"/>
      <c r="AT906" s="162" t="n"/>
      <c r="AU906" s="76">
        <f>IF(ISBLANK(AT906),0,AJ906-AT906)</f>
        <v/>
      </c>
      <c r="AV906" s="157" t="n"/>
      <c r="AW906" s="75">
        <f>_xlfn.IFNA(VLOOKUP(L906,list_vat[],3,FALSE),0)</f>
        <v/>
      </c>
      <c r="AX906" s="76">
        <f>IFERROR(ROUND(S906*(1+AW906)/E906,2),0)</f>
        <v/>
      </c>
      <c r="AY906" s="76">
        <f>E906*AX906</f>
        <v/>
      </c>
      <c r="AZ906" s="192">
        <f>S906*(1+M906)</f>
        <v/>
      </c>
      <c r="BA906" s="76">
        <f>cost_fin_total*$BD906</f>
        <v/>
      </c>
      <c r="BB906" s="193">
        <f>credit_sales_interest*BD906</f>
        <v/>
      </c>
      <c r="BC906" s="102">
        <f>IFERROR(IF($I$13&gt;0,$I906/$I$13,$S906/$S$13),0)</f>
        <v/>
      </c>
      <c r="BD906" s="102">
        <f>IFERROR($S906/$S$13,0)</f>
        <v/>
      </c>
      <c r="BE906" s="413" t="inlineStr">
        <is>
          <t>$</t>
        </is>
      </c>
    </row>
    <row r="907" ht="12" customFormat="1" customHeight="1" s="65">
      <c r="A907" s="43" t="n">
        <v>892</v>
      </c>
      <c r="B907" s="166" t="n"/>
      <c r="C907" s="166" t="n"/>
      <c r="D907" s="166" t="n"/>
      <c r="E907" s="162" t="n"/>
      <c r="F907" s="166" t="n"/>
      <c r="G907" s="162" t="n"/>
      <c r="H907" s="162" t="n"/>
      <c r="I907" s="189">
        <f>E907*G907</f>
        <v/>
      </c>
      <c r="J907" s="195" t="n"/>
      <c r="K907" s="162" t="n"/>
      <c r="L907" s="168" t="n"/>
      <c r="M907" s="75">
        <f>_xlfn.XLOOKUP(L907,list_vat[Страна],list_vat[Ставка НДС %],0,0)</f>
        <v/>
      </c>
      <c r="N907" s="162">
        <f>IFERROR(IF(L907="Китай",K907,K907/(1+M907)),0)</f>
        <v/>
      </c>
      <c r="O907" s="169" t="n"/>
      <c r="P907" s="76">
        <f>N907*(1-O907)</f>
        <v/>
      </c>
      <c r="Q907" s="162" t="n"/>
      <c r="R907" s="162">
        <f>IF(ISBLANK(Q907),"введи курс",P907/Q907)</f>
        <v/>
      </c>
      <c r="S907" s="196">
        <f>IF(AND(ISNUMBER(E907),ISNUMBER(Q907)),E907*R907,0)</f>
        <v/>
      </c>
      <c r="T907" s="192">
        <f>$BC907*V$11</f>
        <v/>
      </c>
      <c r="U907" s="76">
        <f>$BC907*W$11</f>
        <v/>
      </c>
      <c r="V907" s="193">
        <f>+SUM(T907:U907)</f>
        <v/>
      </c>
      <c r="W907" s="191" t="n"/>
      <c r="X907" s="170" t="n"/>
      <c r="Y907" s="76">
        <f>ROUND(IF(offer_incoterms="DDP",X907*(S907*(1+AW907)+T907),0),2)</f>
        <v/>
      </c>
      <c r="Z907" s="188" t="n"/>
      <c r="AA907" s="192">
        <f>IFERROR(AB907/E907,0)</f>
        <v/>
      </c>
      <c r="AB907" s="76">
        <f>ROUND(SUM(S907,V907,Y907:Z907,BA907:BB907),2)</f>
        <v/>
      </c>
      <c r="AC907" s="797" t="n"/>
      <c r="AD907" s="192">
        <f t="array" ref="AD907">IFERROR(ROUND((_xlfn.IFS(offer_sale_type="поставка",AB907,offer_sale_type="транзит",S907)*(1+AC907))/E907,2),0)</f>
        <v/>
      </c>
      <c r="AE907" s="76">
        <f>AD907*E907</f>
        <v/>
      </c>
      <c r="AF907" s="193">
        <f t="array" ref="AF907">IFERROR(ROUND(_xlfn.IFS(offer_sale_type="поставка",AB907,offer_sale_type="транзит",S907)*AC907,2),0)</f>
        <v/>
      </c>
      <c r="AG907" s="192">
        <f>$BD907*VLOOKUP($AG$3,$AF$4:$AG$7,2,FALSE)</f>
        <v/>
      </c>
      <c r="AH907" s="76">
        <f>SUM(AE907,AG907,AI907)*rate_forex_risk</f>
        <v/>
      </c>
      <c r="AI907" s="193">
        <f>IF(OR(seller_region="TR",offer_sale_type="экспорт"),0,rate_fin_comm)*SUM(AZ907,AZ907*AW907,T907)</f>
        <v/>
      </c>
      <c r="AJ907" s="118">
        <f>IFERROR(ROUND(SUM(AB907,AF907:AI907)/E907,2),0)</f>
        <v/>
      </c>
      <c r="AK907" s="76">
        <f>AJ907*E907</f>
        <v/>
      </c>
      <c r="AL907" s="174">
        <f>ROUND(IFERROR(AM907*E907,0),2)</f>
        <v/>
      </c>
      <c r="AM907" s="175">
        <f>ROUND(AJ907*(1+IF(offer_incoterms="DDP",IF((TODAY()+offer_turnaround_time)&gt;=helpsheet!$L$17,rate_vatRU_from_26,rate_vatRu_till_25),0)),2)</f>
        <v/>
      </c>
      <c r="AN907" s="192">
        <f>AL907-AK907</f>
        <v/>
      </c>
      <c r="AO907" s="76">
        <f>SUM(AY907,Y907:Z907,T907)*IF(AND(offer_incoterms="DDP",offer_sale_type&lt;&gt;"экспорт"),IF((TODAY()+offer_turnaround_time)&gt;=helpsheet!$L$17,rate_vatRU_from_26,rate_vatRu_till_25),0)</f>
        <v/>
      </c>
      <c r="AP907" s="193">
        <f>AN907-AO907</f>
        <v/>
      </c>
      <c r="AQ907" s="118">
        <f>IF(offer_sale_type="транзит",SUM(AF907:AI907,BA907,BB907),0)</f>
        <v/>
      </c>
      <c r="AR907" s="82">
        <f>HYPERLINK("https://www.alta.ru/tnved/code/")&amp;W907&amp;"/"</f>
        <v/>
      </c>
      <c r="AS907" s="157" t="n"/>
      <c r="AT907" s="162" t="n"/>
      <c r="AU907" s="76">
        <f>IF(ISBLANK(AT907),0,AJ907-AT907)</f>
        <v/>
      </c>
      <c r="AV907" s="157" t="n"/>
      <c r="AW907" s="75">
        <f>_xlfn.IFNA(VLOOKUP(L907,list_vat[],3,FALSE),0)</f>
        <v/>
      </c>
      <c r="AX907" s="76">
        <f>IFERROR(ROUND(S907*(1+AW907)/E907,2),0)</f>
        <v/>
      </c>
      <c r="AY907" s="76">
        <f>E907*AX907</f>
        <v/>
      </c>
      <c r="AZ907" s="192">
        <f>S907*(1+M907)</f>
        <v/>
      </c>
      <c r="BA907" s="76">
        <f>cost_fin_total*$BD907</f>
        <v/>
      </c>
      <c r="BB907" s="193">
        <f>credit_sales_interest*BD907</f>
        <v/>
      </c>
      <c r="BC907" s="102">
        <f>IFERROR(IF($I$13&gt;0,$I907/$I$13,$S907/$S$13),0)</f>
        <v/>
      </c>
      <c r="BD907" s="102">
        <f>IFERROR($S907/$S$13,0)</f>
        <v/>
      </c>
      <c r="BE907" s="413" t="inlineStr">
        <is>
          <t>$</t>
        </is>
      </c>
    </row>
    <row r="908" ht="12" customFormat="1" customHeight="1" s="65">
      <c r="A908" s="43" t="n">
        <v>893</v>
      </c>
      <c r="B908" s="166" t="n"/>
      <c r="C908" s="166" t="n"/>
      <c r="D908" s="166" t="n"/>
      <c r="E908" s="162" t="n"/>
      <c r="F908" s="166" t="n"/>
      <c r="G908" s="162" t="n"/>
      <c r="H908" s="162" t="n"/>
      <c r="I908" s="189">
        <f>E908*G908</f>
        <v/>
      </c>
      <c r="J908" s="195" t="n"/>
      <c r="K908" s="162" t="n"/>
      <c r="L908" s="168" t="n"/>
      <c r="M908" s="75">
        <f>_xlfn.XLOOKUP(L908,list_vat[Страна],list_vat[Ставка НДС %],0,0)</f>
        <v/>
      </c>
      <c r="N908" s="162">
        <f>IFERROR(IF(L908="Китай",K908,K908/(1+M908)),0)</f>
        <v/>
      </c>
      <c r="O908" s="169" t="n"/>
      <c r="P908" s="76">
        <f>N908*(1-O908)</f>
        <v/>
      </c>
      <c r="Q908" s="162" t="n"/>
      <c r="R908" s="162">
        <f>IF(ISBLANK(Q908),"введи курс",P908/Q908)</f>
        <v/>
      </c>
      <c r="S908" s="196">
        <f>IF(AND(ISNUMBER(E908),ISNUMBER(Q908)),E908*R908,0)</f>
        <v/>
      </c>
      <c r="T908" s="192">
        <f>$BC908*V$11</f>
        <v/>
      </c>
      <c r="U908" s="76">
        <f>$BC908*W$11</f>
        <v/>
      </c>
      <c r="V908" s="193">
        <f>+SUM(T908:U908)</f>
        <v/>
      </c>
      <c r="W908" s="191" t="n"/>
      <c r="X908" s="170" t="n"/>
      <c r="Y908" s="76">
        <f>ROUND(IF(offer_incoterms="DDP",X908*(S908*(1+AW908)+T908),0),2)</f>
        <v/>
      </c>
      <c r="Z908" s="188" t="n"/>
      <c r="AA908" s="192">
        <f>IFERROR(AB908/E908,0)</f>
        <v/>
      </c>
      <c r="AB908" s="76">
        <f>ROUND(SUM(S908,V908,Y908:Z908,BA908:BB908),2)</f>
        <v/>
      </c>
      <c r="AC908" s="797" t="n"/>
      <c r="AD908" s="192">
        <f t="array" ref="AD908">IFERROR(ROUND((_xlfn.IFS(offer_sale_type="поставка",AB908,offer_sale_type="транзит",S908)*(1+AC908))/E908,2),0)</f>
        <v/>
      </c>
      <c r="AE908" s="76">
        <f>AD908*E908</f>
        <v/>
      </c>
      <c r="AF908" s="193">
        <f t="array" ref="AF908">IFERROR(ROUND(_xlfn.IFS(offer_sale_type="поставка",AB908,offer_sale_type="транзит",S908)*AC908,2),0)</f>
        <v/>
      </c>
      <c r="AG908" s="192">
        <f>$BD908*VLOOKUP($AG$3,$AF$4:$AG$7,2,FALSE)</f>
        <v/>
      </c>
      <c r="AH908" s="76">
        <f>SUM(AE908,AG908,AI908)*rate_forex_risk</f>
        <v/>
      </c>
      <c r="AI908" s="193">
        <f>IF(OR(seller_region="TR",offer_sale_type="экспорт"),0,rate_fin_comm)*SUM(AZ908,AZ908*AW908,T908)</f>
        <v/>
      </c>
      <c r="AJ908" s="118">
        <f>IFERROR(ROUND(SUM(AB908,AF908:AI908)/E908,2),0)</f>
        <v/>
      </c>
      <c r="AK908" s="76">
        <f>AJ908*E908</f>
        <v/>
      </c>
      <c r="AL908" s="174">
        <f>ROUND(IFERROR(AM908*E908,0),2)</f>
        <v/>
      </c>
      <c r="AM908" s="175">
        <f>ROUND(AJ908*(1+IF(offer_incoterms="DDP",IF((TODAY()+offer_turnaround_time)&gt;=helpsheet!$L$17,rate_vatRU_from_26,rate_vatRu_till_25),0)),2)</f>
        <v/>
      </c>
      <c r="AN908" s="192">
        <f>AL908-AK908</f>
        <v/>
      </c>
      <c r="AO908" s="76">
        <f>SUM(AY908,Y908:Z908,T908)*IF(AND(offer_incoterms="DDP",offer_sale_type&lt;&gt;"экспорт"),IF((TODAY()+offer_turnaround_time)&gt;=helpsheet!$L$17,rate_vatRU_from_26,rate_vatRu_till_25),0)</f>
        <v/>
      </c>
      <c r="AP908" s="193">
        <f>AN908-AO908</f>
        <v/>
      </c>
      <c r="AQ908" s="118">
        <f>IF(offer_sale_type="транзит",SUM(AF908:AI908,BA908,BB908),0)</f>
        <v/>
      </c>
      <c r="AR908" s="82">
        <f>HYPERLINK("https://www.alta.ru/tnved/code/")&amp;W908&amp;"/"</f>
        <v/>
      </c>
      <c r="AS908" s="157" t="n"/>
      <c r="AT908" s="162" t="n"/>
      <c r="AU908" s="76">
        <f>IF(ISBLANK(AT908),0,AJ908-AT908)</f>
        <v/>
      </c>
      <c r="AV908" s="157" t="n"/>
      <c r="AW908" s="75">
        <f>_xlfn.IFNA(VLOOKUP(L908,list_vat[],3,FALSE),0)</f>
        <v/>
      </c>
      <c r="AX908" s="76">
        <f>IFERROR(ROUND(S908*(1+AW908)/E908,2),0)</f>
        <v/>
      </c>
      <c r="AY908" s="76">
        <f>E908*AX908</f>
        <v/>
      </c>
      <c r="AZ908" s="192">
        <f>S908*(1+M908)</f>
        <v/>
      </c>
      <c r="BA908" s="76">
        <f>cost_fin_total*$BD908</f>
        <v/>
      </c>
      <c r="BB908" s="193">
        <f>credit_sales_interest*BD908</f>
        <v/>
      </c>
      <c r="BC908" s="102">
        <f>IFERROR(IF($I$13&gt;0,$I908/$I$13,$S908/$S$13),0)</f>
        <v/>
      </c>
      <c r="BD908" s="102">
        <f>IFERROR($S908/$S$13,0)</f>
        <v/>
      </c>
      <c r="BE908" s="413" t="inlineStr">
        <is>
          <t>$</t>
        </is>
      </c>
    </row>
    <row r="909" ht="12" customFormat="1" customHeight="1" s="65">
      <c r="A909" s="43" t="n">
        <v>894</v>
      </c>
      <c r="B909" s="166" t="n"/>
      <c r="C909" s="166" t="n"/>
      <c r="D909" s="166" t="n"/>
      <c r="E909" s="162" t="n"/>
      <c r="F909" s="166" t="n"/>
      <c r="G909" s="162" t="n"/>
      <c r="H909" s="162" t="n"/>
      <c r="I909" s="189">
        <f>E909*G909</f>
        <v/>
      </c>
      <c r="J909" s="195" t="n"/>
      <c r="K909" s="162" t="n"/>
      <c r="L909" s="168" t="n"/>
      <c r="M909" s="75">
        <f>_xlfn.XLOOKUP(L909,list_vat[Страна],list_vat[Ставка НДС %],0,0)</f>
        <v/>
      </c>
      <c r="N909" s="162">
        <f>IFERROR(IF(L909="Китай",K909,K909/(1+M909)),0)</f>
        <v/>
      </c>
      <c r="O909" s="169" t="n"/>
      <c r="P909" s="76">
        <f>N909*(1-O909)</f>
        <v/>
      </c>
      <c r="Q909" s="162" t="n"/>
      <c r="R909" s="162">
        <f>IF(ISBLANK(Q909),"введи курс",P909/Q909)</f>
        <v/>
      </c>
      <c r="S909" s="196">
        <f>IF(AND(ISNUMBER(E909),ISNUMBER(Q909)),E909*R909,0)</f>
        <v/>
      </c>
      <c r="T909" s="192">
        <f>$BC909*V$11</f>
        <v/>
      </c>
      <c r="U909" s="76">
        <f>$BC909*W$11</f>
        <v/>
      </c>
      <c r="V909" s="193">
        <f>+SUM(T909:U909)</f>
        <v/>
      </c>
      <c r="W909" s="191" t="n"/>
      <c r="X909" s="170" t="n"/>
      <c r="Y909" s="76">
        <f>ROUND(IF(offer_incoterms="DDP",X909*(S909*(1+AW909)+T909),0),2)</f>
        <v/>
      </c>
      <c r="Z909" s="188" t="n"/>
      <c r="AA909" s="192">
        <f>IFERROR(AB909/E909,0)</f>
        <v/>
      </c>
      <c r="AB909" s="76">
        <f>ROUND(SUM(S909,V909,Y909:Z909,BA909:BB909),2)</f>
        <v/>
      </c>
      <c r="AC909" s="797" t="n"/>
      <c r="AD909" s="192">
        <f t="array" ref="AD909">IFERROR(ROUND((_xlfn.IFS(offer_sale_type="поставка",AB909,offer_sale_type="транзит",S909)*(1+AC909))/E909,2),0)</f>
        <v/>
      </c>
      <c r="AE909" s="76">
        <f>AD909*E909</f>
        <v/>
      </c>
      <c r="AF909" s="193">
        <f t="array" ref="AF909">IFERROR(ROUND(_xlfn.IFS(offer_sale_type="поставка",AB909,offer_sale_type="транзит",S909)*AC909,2),0)</f>
        <v/>
      </c>
      <c r="AG909" s="192">
        <f>$BD909*VLOOKUP($AG$3,$AF$4:$AG$7,2,FALSE)</f>
        <v/>
      </c>
      <c r="AH909" s="76">
        <f>SUM(AE909,AG909,AI909)*rate_forex_risk</f>
        <v/>
      </c>
      <c r="AI909" s="193">
        <f>IF(OR(seller_region="TR",offer_sale_type="экспорт"),0,rate_fin_comm)*SUM(AZ909,AZ909*AW909,T909)</f>
        <v/>
      </c>
      <c r="AJ909" s="118">
        <f>IFERROR(ROUND(SUM(AB909,AF909:AI909)/E909,2),0)</f>
        <v/>
      </c>
      <c r="AK909" s="76">
        <f>AJ909*E909</f>
        <v/>
      </c>
      <c r="AL909" s="174">
        <f>ROUND(IFERROR(AM909*E909,0),2)</f>
        <v/>
      </c>
      <c r="AM909" s="175">
        <f>ROUND(AJ909*(1+IF(offer_incoterms="DDP",IF((TODAY()+offer_turnaround_time)&gt;=helpsheet!$L$17,rate_vatRU_from_26,rate_vatRu_till_25),0)),2)</f>
        <v/>
      </c>
      <c r="AN909" s="192">
        <f>AL909-AK909</f>
        <v/>
      </c>
      <c r="AO909" s="76">
        <f>SUM(AY909,Y909:Z909,T909)*IF(AND(offer_incoterms="DDP",offer_sale_type&lt;&gt;"экспорт"),IF((TODAY()+offer_turnaround_time)&gt;=helpsheet!$L$17,rate_vatRU_from_26,rate_vatRu_till_25),0)</f>
        <v/>
      </c>
      <c r="AP909" s="193">
        <f>AN909-AO909</f>
        <v/>
      </c>
      <c r="AQ909" s="118">
        <f>IF(offer_sale_type="транзит",SUM(AF909:AI909,BA909,BB909),0)</f>
        <v/>
      </c>
      <c r="AR909" s="82">
        <f>HYPERLINK("https://www.alta.ru/tnved/code/")&amp;W909&amp;"/"</f>
        <v/>
      </c>
      <c r="AS909" s="157" t="n"/>
      <c r="AT909" s="162" t="n"/>
      <c r="AU909" s="76">
        <f>IF(ISBLANK(AT909),0,AJ909-AT909)</f>
        <v/>
      </c>
      <c r="AV909" s="157" t="n"/>
      <c r="AW909" s="75">
        <f>_xlfn.IFNA(VLOOKUP(L909,list_vat[],3,FALSE),0)</f>
        <v/>
      </c>
      <c r="AX909" s="76">
        <f>IFERROR(ROUND(S909*(1+AW909)/E909,2),0)</f>
        <v/>
      </c>
      <c r="AY909" s="76">
        <f>E909*AX909</f>
        <v/>
      </c>
      <c r="AZ909" s="192">
        <f>S909*(1+M909)</f>
        <v/>
      </c>
      <c r="BA909" s="76">
        <f>cost_fin_total*$BD909</f>
        <v/>
      </c>
      <c r="BB909" s="193">
        <f>credit_sales_interest*BD909</f>
        <v/>
      </c>
      <c r="BC909" s="102">
        <f>IFERROR(IF($I$13&gt;0,$I909/$I$13,$S909/$S$13),0)</f>
        <v/>
      </c>
      <c r="BD909" s="102">
        <f>IFERROR($S909/$S$13,0)</f>
        <v/>
      </c>
      <c r="BE909" s="413" t="inlineStr">
        <is>
          <t>$</t>
        </is>
      </c>
    </row>
    <row r="910" ht="12" customFormat="1" customHeight="1" s="65">
      <c r="A910" s="43" t="n">
        <v>895</v>
      </c>
      <c r="B910" s="166" t="n"/>
      <c r="C910" s="166" t="n"/>
      <c r="D910" s="166" t="n"/>
      <c r="E910" s="162" t="n"/>
      <c r="F910" s="166" t="n"/>
      <c r="G910" s="162" t="n"/>
      <c r="H910" s="162" t="n"/>
      <c r="I910" s="189">
        <f>E910*G910</f>
        <v/>
      </c>
      <c r="J910" s="195" t="n"/>
      <c r="K910" s="162" t="n"/>
      <c r="L910" s="168" t="n"/>
      <c r="M910" s="75">
        <f>_xlfn.XLOOKUP(L910,list_vat[Страна],list_vat[Ставка НДС %],0,0)</f>
        <v/>
      </c>
      <c r="N910" s="162">
        <f>IFERROR(IF(L910="Китай",K910,K910/(1+M910)),0)</f>
        <v/>
      </c>
      <c r="O910" s="169" t="n"/>
      <c r="P910" s="76">
        <f>N910*(1-O910)</f>
        <v/>
      </c>
      <c r="Q910" s="162" t="n"/>
      <c r="R910" s="162">
        <f>IF(ISBLANK(Q910),"введи курс",P910/Q910)</f>
        <v/>
      </c>
      <c r="S910" s="196">
        <f>IF(AND(ISNUMBER(E910),ISNUMBER(Q910)),E910*R910,0)</f>
        <v/>
      </c>
      <c r="T910" s="192">
        <f>$BC910*V$11</f>
        <v/>
      </c>
      <c r="U910" s="76">
        <f>$BC910*W$11</f>
        <v/>
      </c>
      <c r="V910" s="193">
        <f>+SUM(T910:U910)</f>
        <v/>
      </c>
      <c r="W910" s="191" t="n"/>
      <c r="X910" s="170" t="n"/>
      <c r="Y910" s="76">
        <f>ROUND(IF(offer_incoterms="DDP",X910*(S910*(1+AW910)+T910),0),2)</f>
        <v/>
      </c>
      <c r="Z910" s="188" t="n"/>
      <c r="AA910" s="192">
        <f>IFERROR(AB910/E910,0)</f>
        <v/>
      </c>
      <c r="AB910" s="76">
        <f>ROUND(SUM(S910,V910,Y910:Z910,BA910:BB910),2)</f>
        <v/>
      </c>
      <c r="AC910" s="797" t="n"/>
      <c r="AD910" s="192">
        <f t="array" ref="AD910">IFERROR(ROUND((_xlfn.IFS(offer_sale_type="поставка",AB910,offer_sale_type="транзит",S910)*(1+AC910))/E910,2),0)</f>
        <v/>
      </c>
      <c r="AE910" s="76">
        <f>AD910*E910</f>
        <v/>
      </c>
      <c r="AF910" s="193">
        <f t="array" ref="AF910">IFERROR(ROUND(_xlfn.IFS(offer_sale_type="поставка",AB910,offer_sale_type="транзит",S910)*AC910,2),0)</f>
        <v/>
      </c>
      <c r="AG910" s="192">
        <f>$BD910*VLOOKUP($AG$3,$AF$4:$AG$7,2,FALSE)</f>
        <v/>
      </c>
      <c r="AH910" s="76">
        <f>SUM(AE910,AG910,AI910)*rate_forex_risk</f>
        <v/>
      </c>
      <c r="AI910" s="193">
        <f>IF(OR(seller_region="TR",offer_sale_type="экспорт"),0,rate_fin_comm)*SUM(AZ910,AZ910*AW910,T910)</f>
        <v/>
      </c>
      <c r="AJ910" s="118">
        <f>IFERROR(ROUND(SUM(AB910,AF910:AI910)/E910,2),0)</f>
        <v/>
      </c>
      <c r="AK910" s="76">
        <f>AJ910*E910</f>
        <v/>
      </c>
      <c r="AL910" s="174">
        <f>ROUND(IFERROR(AM910*E910,0),2)</f>
        <v/>
      </c>
      <c r="AM910" s="175">
        <f>ROUND(AJ910*(1+IF(offer_incoterms="DDP",IF((TODAY()+offer_turnaround_time)&gt;=helpsheet!$L$17,rate_vatRU_from_26,rate_vatRu_till_25),0)),2)</f>
        <v/>
      </c>
      <c r="AN910" s="192">
        <f>AL910-AK910</f>
        <v/>
      </c>
      <c r="AO910" s="76">
        <f>SUM(AY910,Y910:Z910,T910)*IF(AND(offer_incoterms="DDP",offer_sale_type&lt;&gt;"экспорт"),IF((TODAY()+offer_turnaround_time)&gt;=helpsheet!$L$17,rate_vatRU_from_26,rate_vatRu_till_25),0)</f>
        <v/>
      </c>
      <c r="AP910" s="193">
        <f>AN910-AO910</f>
        <v/>
      </c>
      <c r="AQ910" s="118">
        <f>IF(offer_sale_type="транзит",SUM(AF910:AI910,BA910,BB910),0)</f>
        <v/>
      </c>
      <c r="AR910" s="82">
        <f>HYPERLINK("https://www.alta.ru/tnved/code/")&amp;W910&amp;"/"</f>
        <v/>
      </c>
      <c r="AS910" s="157" t="n"/>
      <c r="AT910" s="162" t="n"/>
      <c r="AU910" s="76">
        <f>IF(ISBLANK(AT910),0,AJ910-AT910)</f>
        <v/>
      </c>
      <c r="AV910" s="157" t="n"/>
      <c r="AW910" s="75">
        <f>_xlfn.IFNA(VLOOKUP(L910,list_vat[],3,FALSE),0)</f>
        <v/>
      </c>
      <c r="AX910" s="76">
        <f>IFERROR(ROUND(S910*(1+AW910)/E910,2),0)</f>
        <v/>
      </c>
      <c r="AY910" s="76">
        <f>E910*AX910</f>
        <v/>
      </c>
      <c r="AZ910" s="192">
        <f>S910*(1+M910)</f>
        <v/>
      </c>
      <c r="BA910" s="76">
        <f>cost_fin_total*$BD910</f>
        <v/>
      </c>
      <c r="BB910" s="193">
        <f>credit_sales_interest*BD910</f>
        <v/>
      </c>
      <c r="BC910" s="102">
        <f>IFERROR(IF($I$13&gt;0,$I910/$I$13,$S910/$S$13),0)</f>
        <v/>
      </c>
      <c r="BD910" s="102">
        <f>IFERROR($S910/$S$13,0)</f>
        <v/>
      </c>
      <c r="BE910" s="413" t="inlineStr">
        <is>
          <t>$</t>
        </is>
      </c>
    </row>
    <row r="911" ht="12" customFormat="1" customHeight="1" s="65">
      <c r="A911" s="43" t="n">
        <v>896</v>
      </c>
      <c r="B911" s="166" t="n"/>
      <c r="C911" s="166" t="n"/>
      <c r="D911" s="166" t="n"/>
      <c r="E911" s="162" t="n"/>
      <c r="F911" s="166" t="n"/>
      <c r="G911" s="162" t="n"/>
      <c r="H911" s="162" t="n"/>
      <c r="I911" s="189">
        <f>E911*G911</f>
        <v/>
      </c>
      <c r="J911" s="195" t="n"/>
      <c r="K911" s="162" t="n"/>
      <c r="L911" s="168" t="n"/>
      <c r="M911" s="75">
        <f>_xlfn.XLOOKUP(L911,list_vat[Страна],list_vat[Ставка НДС %],0,0)</f>
        <v/>
      </c>
      <c r="N911" s="162">
        <f>IFERROR(IF(L911="Китай",K911,K911/(1+M911)),0)</f>
        <v/>
      </c>
      <c r="O911" s="169" t="n"/>
      <c r="P911" s="76">
        <f>N911*(1-O911)</f>
        <v/>
      </c>
      <c r="Q911" s="162" t="n"/>
      <c r="R911" s="162">
        <f>IF(ISBLANK(Q911),"введи курс",P911/Q911)</f>
        <v/>
      </c>
      <c r="S911" s="196">
        <f>IF(AND(ISNUMBER(E911),ISNUMBER(Q911)),E911*R911,0)</f>
        <v/>
      </c>
      <c r="T911" s="192">
        <f>$BC911*V$11</f>
        <v/>
      </c>
      <c r="U911" s="76">
        <f>$BC911*W$11</f>
        <v/>
      </c>
      <c r="V911" s="193">
        <f>+SUM(T911:U911)</f>
        <v/>
      </c>
      <c r="W911" s="191" t="n"/>
      <c r="X911" s="170" t="n"/>
      <c r="Y911" s="76">
        <f>ROUND(IF(offer_incoterms="DDP",X911*(S911*(1+AW911)+T911),0),2)</f>
        <v/>
      </c>
      <c r="Z911" s="188" t="n"/>
      <c r="AA911" s="192">
        <f>IFERROR(AB911/E911,0)</f>
        <v/>
      </c>
      <c r="AB911" s="76">
        <f>ROUND(SUM(S911,V911,Y911:Z911,BA911:BB911),2)</f>
        <v/>
      </c>
      <c r="AC911" s="797" t="n"/>
      <c r="AD911" s="192">
        <f t="array" ref="AD911">IFERROR(ROUND((_xlfn.IFS(offer_sale_type="поставка",AB911,offer_sale_type="транзит",S911)*(1+AC911))/E911,2),0)</f>
        <v/>
      </c>
      <c r="AE911" s="76">
        <f>AD911*E911</f>
        <v/>
      </c>
      <c r="AF911" s="193">
        <f t="array" ref="AF911">IFERROR(ROUND(_xlfn.IFS(offer_sale_type="поставка",AB911,offer_sale_type="транзит",S911)*AC911,2),0)</f>
        <v/>
      </c>
      <c r="AG911" s="192">
        <f>$BD911*VLOOKUP($AG$3,$AF$4:$AG$7,2,FALSE)</f>
        <v/>
      </c>
      <c r="AH911" s="76">
        <f>SUM(AE911,AG911,AI911)*rate_forex_risk</f>
        <v/>
      </c>
      <c r="AI911" s="193">
        <f>IF(OR(seller_region="TR",offer_sale_type="экспорт"),0,rate_fin_comm)*SUM(AZ911,AZ911*AW911,T911)</f>
        <v/>
      </c>
      <c r="AJ911" s="118">
        <f>IFERROR(ROUND(SUM(AB911,AF911:AI911)/E911,2),0)</f>
        <v/>
      </c>
      <c r="AK911" s="76">
        <f>AJ911*E911</f>
        <v/>
      </c>
      <c r="AL911" s="174">
        <f>ROUND(IFERROR(AM911*E911,0),2)</f>
        <v/>
      </c>
      <c r="AM911" s="175">
        <f>ROUND(AJ911*(1+IF(offer_incoterms="DDP",IF((TODAY()+offer_turnaround_time)&gt;=helpsheet!$L$17,rate_vatRU_from_26,rate_vatRu_till_25),0)),2)</f>
        <v/>
      </c>
      <c r="AN911" s="192">
        <f>AL911-AK911</f>
        <v/>
      </c>
      <c r="AO911" s="76">
        <f>SUM(AY911,Y911:Z911,T911)*IF(AND(offer_incoterms="DDP",offer_sale_type&lt;&gt;"экспорт"),IF((TODAY()+offer_turnaround_time)&gt;=helpsheet!$L$17,rate_vatRU_from_26,rate_vatRu_till_25),0)</f>
        <v/>
      </c>
      <c r="AP911" s="193">
        <f>AN911-AO911</f>
        <v/>
      </c>
      <c r="AQ911" s="118">
        <f>IF(offer_sale_type="транзит",SUM(AF911:AI911,BA911,BB911),0)</f>
        <v/>
      </c>
      <c r="AR911" s="82">
        <f>HYPERLINK("https://www.alta.ru/tnved/code/")&amp;W911&amp;"/"</f>
        <v/>
      </c>
      <c r="AS911" s="157" t="n"/>
      <c r="AT911" s="162" t="n"/>
      <c r="AU911" s="76">
        <f>IF(ISBLANK(AT911),0,AJ911-AT911)</f>
        <v/>
      </c>
      <c r="AV911" s="157" t="n"/>
      <c r="AW911" s="75">
        <f>_xlfn.IFNA(VLOOKUP(L911,list_vat[],3,FALSE),0)</f>
        <v/>
      </c>
      <c r="AX911" s="76">
        <f>IFERROR(ROUND(S911*(1+AW911)/E911,2),0)</f>
        <v/>
      </c>
      <c r="AY911" s="76">
        <f>E911*AX911</f>
        <v/>
      </c>
      <c r="AZ911" s="192">
        <f>S911*(1+M911)</f>
        <v/>
      </c>
      <c r="BA911" s="76">
        <f>cost_fin_total*$BD911</f>
        <v/>
      </c>
      <c r="BB911" s="193">
        <f>credit_sales_interest*BD911</f>
        <v/>
      </c>
      <c r="BC911" s="102">
        <f>IFERROR(IF($I$13&gt;0,$I911/$I$13,$S911/$S$13),0)</f>
        <v/>
      </c>
      <c r="BD911" s="102">
        <f>IFERROR($S911/$S$13,0)</f>
        <v/>
      </c>
      <c r="BE911" s="413" t="inlineStr">
        <is>
          <t>$</t>
        </is>
      </c>
    </row>
    <row r="912" ht="12" customFormat="1" customHeight="1" s="65">
      <c r="A912" s="43" t="n">
        <v>897</v>
      </c>
      <c r="B912" s="166" t="n"/>
      <c r="C912" s="166" t="n"/>
      <c r="D912" s="166" t="n"/>
      <c r="E912" s="162" t="n"/>
      <c r="F912" s="166" t="n"/>
      <c r="G912" s="162" t="n"/>
      <c r="H912" s="162" t="n"/>
      <c r="I912" s="189">
        <f>E912*G912</f>
        <v/>
      </c>
      <c r="J912" s="195" t="n"/>
      <c r="K912" s="162" t="n"/>
      <c r="L912" s="168" t="n"/>
      <c r="M912" s="75">
        <f>_xlfn.XLOOKUP(L912,list_vat[Страна],list_vat[Ставка НДС %],0,0)</f>
        <v/>
      </c>
      <c r="N912" s="162">
        <f>IFERROR(IF(L912="Китай",K912,K912/(1+M912)),0)</f>
        <v/>
      </c>
      <c r="O912" s="169" t="n"/>
      <c r="P912" s="76">
        <f>N912*(1-O912)</f>
        <v/>
      </c>
      <c r="Q912" s="162" t="n"/>
      <c r="R912" s="162">
        <f>IF(ISBLANK(Q912),"введи курс",P912/Q912)</f>
        <v/>
      </c>
      <c r="S912" s="196">
        <f>IF(AND(ISNUMBER(E912),ISNUMBER(Q912)),E912*R912,0)</f>
        <v/>
      </c>
      <c r="T912" s="192">
        <f>$BC912*V$11</f>
        <v/>
      </c>
      <c r="U912" s="76">
        <f>$BC912*W$11</f>
        <v/>
      </c>
      <c r="V912" s="193">
        <f>+SUM(T912:U912)</f>
        <v/>
      </c>
      <c r="W912" s="191" t="n"/>
      <c r="X912" s="170" t="n"/>
      <c r="Y912" s="76">
        <f>ROUND(IF(offer_incoterms="DDP",X912*(S912*(1+AW912)+T912),0),2)</f>
        <v/>
      </c>
      <c r="Z912" s="188" t="n"/>
      <c r="AA912" s="192">
        <f>IFERROR(AB912/E912,0)</f>
        <v/>
      </c>
      <c r="AB912" s="76">
        <f>ROUND(SUM(S912,V912,Y912:Z912,BA912:BB912),2)</f>
        <v/>
      </c>
      <c r="AC912" s="797" t="n"/>
      <c r="AD912" s="192">
        <f t="array" ref="AD912">IFERROR(ROUND((_xlfn.IFS(offer_sale_type="поставка",AB912,offer_sale_type="транзит",S912)*(1+AC912))/E912,2),0)</f>
        <v/>
      </c>
      <c r="AE912" s="76">
        <f>AD912*E912</f>
        <v/>
      </c>
      <c r="AF912" s="193">
        <f t="array" ref="AF912">IFERROR(ROUND(_xlfn.IFS(offer_sale_type="поставка",AB912,offer_sale_type="транзит",S912)*AC912,2),0)</f>
        <v/>
      </c>
      <c r="AG912" s="192">
        <f>$BD912*VLOOKUP($AG$3,$AF$4:$AG$7,2,FALSE)</f>
        <v/>
      </c>
      <c r="AH912" s="76">
        <f>SUM(AE912,AG912,AI912)*rate_forex_risk</f>
        <v/>
      </c>
      <c r="AI912" s="193">
        <f>IF(OR(seller_region="TR",offer_sale_type="экспорт"),0,rate_fin_comm)*SUM(AZ912,AZ912*AW912,T912)</f>
        <v/>
      </c>
      <c r="AJ912" s="118">
        <f>IFERROR(ROUND(SUM(AB912,AF912:AI912)/E912,2),0)</f>
        <v/>
      </c>
      <c r="AK912" s="76">
        <f>AJ912*E912</f>
        <v/>
      </c>
      <c r="AL912" s="174">
        <f>ROUND(IFERROR(AM912*E912,0),2)</f>
        <v/>
      </c>
      <c r="AM912" s="175">
        <f>ROUND(AJ912*(1+IF(offer_incoterms="DDP",IF((TODAY()+offer_turnaround_time)&gt;=helpsheet!$L$17,rate_vatRU_from_26,rate_vatRu_till_25),0)),2)</f>
        <v/>
      </c>
      <c r="AN912" s="192">
        <f>AL912-AK912</f>
        <v/>
      </c>
      <c r="AO912" s="76">
        <f>SUM(AY912,Y912:Z912,T912)*IF(AND(offer_incoterms="DDP",offer_sale_type&lt;&gt;"экспорт"),IF((TODAY()+offer_turnaround_time)&gt;=helpsheet!$L$17,rate_vatRU_from_26,rate_vatRu_till_25),0)</f>
        <v/>
      </c>
      <c r="AP912" s="193">
        <f>AN912-AO912</f>
        <v/>
      </c>
      <c r="AQ912" s="118">
        <f>IF(offer_sale_type="транзит",SUM(AF912:AI912,BA912,BB912),0)</f>
        <v/>
      </c>
      <c r="AR912" s="82">
        <f>HYPERLINK("https://www.alta.ru/tnved/code/")&amp;W912&amp;"/"</f>
        <v/>
      </c>
      <c r="AS912" s="157" t="n"/>
      <c r="AT912" s="162" t="n"/>
      <c r="AU912" s="76">
        <f>IF(ISBLANK(AT912),0,AJ912-AT912)</f>
        <v/>
      </c>
      <c r="AV912" s="157" t="n"/>
      <c r="AW912" s="75">
        <f>_xlfn.IFNA(VLOOKUP(L912,list_vat[],3,FALSE),0)</f>
        <v/>
      </c>
      <c r="AX912" s="76">
        <f>IFERROR(ROUND(S912*(1+AW912)/E912,2),0)</f>
        <v/>
      </c>
      <c r="AY912" s="76">
        <f>E912*AX912</f>
        <v/>
      </c>
      <c r="AZ912" s="192">
        <f>S912*(1+M912)</f>
        <v/>
      </c>
      <c r="BA912" s="76">
        <f>cost_fin_total*$BD912</f>
        <v/>
      </c>
      <c r="BB912" s="193">
        <f>credit_sales_interest*BD912</f>
        <v/>
      </c>
      <c r="BC912" s="102">
        <f>IFERROR(IF($I$13&gt;0,$I912/$I$13,$S912/$S$13),0)</f>
        <v/>
      </c>
      <c r="BD912" s="102">
        <f>IFERROR($S912/$S$13,0)</f>
        <v/>
      </c>
      <c r="BE912" s="413" t="inlineStr">
        <is>
          <t>$</t>
        </is>
      </c>
    </row>
    <row r="913" ht="12" customFormat="1" customHeight="1" s="65">
      <c r="A913" s="43" t="n">
        <v>898</v>
      </c>
      <c r="B913" s="166" t="n"/>
      <c r="C913" s="166" t="n"/>
      <c r="D913" s="166" t="n"/>
      <c r="E913" s="162" t="n"/>
      <c r="F913" s="166" t="n"/>
      <c r="G913" s="162" t="n"/>
      <c r="H913" s="162" t="n"/>
      <c r="I913" s="189">
        <f>E913*G913</f>
        <v/>
      </c>
      <c r="J913" s="195" t="n"/>
      <c r="K913" s="162" t="n"/>
      <c r="L913" s="168" t="n"/>
      <c r="M913" s="75">
        <f>_xlfn.XLOOKUP(L913,list_vat[Страна],list_vat[Ставка НДС %],0,0)</f>
        <v/>
      </c>
      <c r="N913" s="162">
        <f>IFERROR(IF(L913="Китай",K913,K913/(1+M913)),0)</f>
        <v/>
      </c>
      <c r="O913" s="169" t="n"/>
      <c r="P913" s="76">
        <f>N913*(1-O913)</f>
        <v/>
      </c>
      <c r="Q913" s="162" t="n"/>
      <c r="R913" s="162">
        <f>IF(ISBLANK(Q913),"введи курс",P913/Q913)</f>
        <v/>
      </c>
      <c r="S913" s="196">
        <f>IF(AND(ISNUMBER(E913),ISNUMBER(Q913)),E913*R913,0)</f>
        <v/>
      </c>
      <c r="T913" s="192">
        <f>$BC913*V$11</f>
        <v/>
      </c>
      <c r="U913" s="76">
        <f>$BC913*W$11</f>
        <v/>
      </c>
      <c r="V913" s="193">
        <f>+SUM(T913:U913)</f>
        <v/>
      </c>
      <c r="W913" s="191" t="n"/>
      <c r="X913" s="170" t="n"/>
      <c r="Y913" s="76">
        <f>ROUND(IF(offer_incoterms="DDP",X913*(S913*(1+AW913)+T913),0),2)</f>
        <v/>
      </c>
      <c r="Z913" s="188" t="n"/>
      <c r="AA913" s="192">
        <f>IFERROR(AB913/E913,0)</f>
        <v/>
      </c>
      <c r="AB913" s="76">
        <f>ROUND(SUM(S913,V913,Y913:Z913,BA913:BB913),2)</f>
        <v/>
      </c>
      <c r="AC913" s="797" t="n"/>
      <c r="AD913" s="192">
        <f t="array" ref="AD913">IFERROR(ROUND((_xlfn.IFS(offer_sale_type="поставка",AB913,offer_sale_type="транзит",S913)*(1+AC913))/E913,2),0)</f>
        <v/>
      </c>
      <c r="AE913" s="76">
        <f>AD913*E913</f>
        <v/>
      </c>
      <c r="AF913" s="193">
        <f t="array" ref="AF913">IFERROR(ROUND(_xlfn.IFS(offer_sale_type="поставка",AB913,offer_sale_type="транзит",S913)*AC913,2),0)</f>
        <v/>
      </c>
      <c r="AG913" s="192">
        <f>$BD913*VLOOKUP($AG$3,$AF$4:$AG$7,2,FALSE)</f>
        <v/>
      </c>
      <c r="AH913" s="76">
        <f>SUM(AE913,AG913,AI913)*rate_forex_risk</f>
        <v/>
      </c>
      <c r="AI913" s="193">
        <f>IF(OR(seller_region="TR",offer_sale_type="экспорт"),0,rate_fin_comm)*SUM(AZ913,AZ913*AW913,T913)</f>
        <v/>
      </c>
      <c r="AJ913" s="118">
        <f>IFERROR(ROUND(SUM(AB913,AF913:AI913)/E913,2),0)</f>
        <v/>
      </c>
      <c r="AK913" s="76">
        <f>AJ913*E913</f>
        <v/>
      </c>
      <c r="AL913" s="174">
        <f>ROUND(IFERROR(AM913*E913,0),2)</f>
        <v/>
      </c>
      <c r="AM913" s="175">
        <f>ROUND(AJ913*(1+IF(offer_incoterms="DDP",IF((TODAY()+offer_turnaround_time)&gt;=helpsheet!$L$17,rate_vatRU_from_26,rate_vatRu_till_25),0)),2)</f>
        <v/>
      </c>
      <c r="AN913" s="192">
        <f>AL913-AK913</f>
        <v/>
      </c>
      <c r="AO913" s="76">
        <f>SUM(AY913,Y913:Z913,T913)*IF(AND(offer_incoterms="DDP",offer_sale_type&lt;&gt;"экспорт"),IF((TODAY()+offer_turnaround_time)&gt;=helpsheet!$L$17,rate_vatRU_from_26,rate_vatRu_till_25),0)</f>
        <v/>
      </c>
      <c r="AP913" s="193">
        <f>AN913-AO913</f>
        <v/>
      </c>
      <c r="AQ913" s="118">
        <f>IF(offer_sale_type="транзит",SUM(AF913:AI913,BA913,BB913),0)</f>
        <v/>
      </c>
      <c r="AR913" s="82">
        <f>HYPERLINK("https://www.alta.ru/tnved/code/")&amp;W913&amp;"/"</f>
        <v/>
      </c>
      <c r="AS913" s="157" t="n"/>
      <c r="AT913" s="162" t="n"/>
      <c r="AU913" s="76">
        <f>IF(ISBLANK(AT913),0,AJ913-AT913)</f>
        <v/>
      </c>
      <c r="AV913" s="157" t="n"/>
      <c r="AW913" s="75">
        <f>_xlfn.IFNA(VLOOKUP(L913,list_vat[],3,FALSE),0)</f>
        <v/>
      </c>
      <c r="AX913" s="76">
        <f>IFERROR(ROUND(S913*(1+AW913)/E913,2),0)</f>
        <v/>
      </c>
      <c r="AY913" s="76">
        <f>E913*AX913</f>
        <v/>
      </c>
      <c r="AZ913" s="192">
        <f>S913*(1+M913)</f>
        <v/>
      </c>
      <c r="BA913" s="76">
        <f>cost_fin_total*$BD913</f>
        <v/>
      </c>
      <c r="BB913" s="193">
        <f>credit_sales_interest*BD913</f>
        <v/>
      </c>
      <c r="BC913" s="102">
        <f>IFERROR(IF($I$13&gt;0,$I913/$I$13,$S913/$S$13),0)</f>
        <v/>
      </c>
      <c r="BD913" s="102">
        <f>IFERROR($S913/$S$13,0)</f>
        <v/>
      </c>
      <c r="BE913" s="413" t="inlineStr">
        <is>
          <t>$</t>
        </is>
      </c>
    </row>
    <row r="914" ht="12" customFormat="1" customHeight="1" s="65">
      <c r="A914" s="43" t="n">
        <v>899</v>
      </c>
      <c r="B914" s="166" t="n"/>
      <c r="C914" s="166" t="n"/>
      <c r="D914" s="166" t="n"/>
      <c r="E914" s="162" t="n"/>
      <c r="F914" s="166" t="n"/>
      <c r="G914" s="162" t="n"/>
      <c r="H914" s="162" t="n"/>
      <c r="I914" s="189">
        <f>E914*G914</f>
        <v/>
      </c>
      <c r="J914" s="195" t="n"/>
      <c r="K914" s="162" t="n"/>
      <c r="L914" s="168" t="n"/>
      <c r="M914" s="75">
        <f>_xlfn.XLOOKUP(L914,list_vat[Страна],list_vat[Ставка НДС %],0,0)</f>
        <v/>
      </c>
      <c r="N914" s="162">
        <f>IFERROR(IF(L914="Китай",K914,K914/(1+M914)),0)</f>
        <v/>
      </c>
      <c r="O914" s="169" t="n"/>
      <c r="P914" s="76">
        <f>N914*(1-O914)</f>
        <v/>
      </c>
      <c r="Q914" s="162" t="n"/>
      <c r="R914" s="162">
        <f>IF(ISBLANK(Q914),"введи курс",P914/Q914)</f>
        <v/>
      </c>
      <c r="S914" s="196">
        <f>IF(AND(ISNUMBER(E914),ISNUMBER(Q914)),E914*R914,0)</f>
        <v/>
      </c>
      <c r="T914" s="192">
        <f>$BC914*V$11</f>
        <v/>
      </c>
      <c r="U914" s="76">
        <f>$BC914*W$11</f>
        <v/>
      </c>
      <c r="V914" s="193">
        <f>+SUM(T914:U914)</f>
        <v/>
      </c>
      <c r="W914" s="191" t="n"/>
      <c r="X914" s="170" t="n"/>
      <c r="Y914" s="76">
        <f>ROUND(IF(offer_incoterms="DDP",X914*(S914*(1+AW914)+T914),0),2)</f>
        <v/>
      </c>
      <c r="Z914" s="188" t="n"/>
      <c r="AA914" s="192">
        <f>IFERROR(AB914/E914,0)</f>
        <v/>
      </c>
      <c r="AB914" s="76">
        <f>ROUND(SUM(S914,V914,Y914:Z914,BA914:BB914),2)</f>
        <v/>
      </c>
      <c r="AC914" s="797" t="n"/>
      <c r="AD914" s="192">
        <f t="array" ref="AD914">IFERROR(ROUND((_xlfn.IFS(offer_sale_type="поставка",AB914,offer_sale_type="транзит",S914)*(1+AC914))/E914,2),0)</f>
        <v/>
      </c>
      <c r="AE914" s="76">
        <f>AD914*E914</f>
        <v/>
      </c>
      <c r="AF914" s="193">
        <f t="array" ref="AF914">IFERROR(ROUND(_xlfn.IFS(offer_sale_type="поставка",AB914,offer_sale_type="транзит",S914)*AC914,2),0)</f>
        <v/>
      </c>
      <c r="AG914" s="192">
        <f>$BD914*VLOOKUP($AG$3,$AF$4:$AG$7,2,FALSE)</f>
        <v/>
      </c>
      <c r="AH914" s="76">
        <f>SUM(AE914,AG914,AI914)*rate_forex_risk</f>
        <v/>
      </c>
      <c r="AI914" s="193">
        <f>IF(OR(seller_region="TR",offer_sale_type="экспорт"),0,rate_fin_comm)*SUM(AZ914,AZ914*AW914,T914)</f>
        <v/>
      </c>
      <c r="AJ914" s="118">
        <f>IFERROR(ROUND(SUM(AB914,AF914:AI914)/E914,2),0)</f>
        <v/>
      </c>
      <c r="AK914" s="76">
        <f>AJ914*E914</f>
        <v/>
      </c>
      <c r="AL914" s="174">
        <f>ROUND(IFERROR(AM914*E914,0),2)</f>
        <v/>
      </c>
      <c r="AM914" s="175">
        <f>ROUND(AJ914*(1+IF(offer_incoterms="DDP",IF((TODAY()+offer_turnaround_time)&gt;=helpsheet!$L$17,rate_vatRU_from_26,rate_vatRu_till_25),0)),2)</f>
        <v/>
      </c>
      <c r="AN914" s="192">
        <f>AL914-AK914</f>
        <v/>
      </c>
      <c r="AO914" s="76">
        <f>SUM(AY914,Y914:Z914,T914)*IF(AND(offer_incoterms="DDP",offer_sale_type&lt;&gt;"экспорт"),IF((TODAY()+offer_turnaround_time)&gt;=helpsheet!$L$17,rate_vatRU_from_26,rate_vatRu_till_25),0)</f>
        <v/>
      </c>
      <c r="AP914" s="193">
        <f>AN914-AO914</f>
        <v/>
      </c>
      <c r="AQ914" s="118">
        <f>IF(offer_sale_type="транзит",SUM(AF914:AI914,BA914,BB914),0)</f>
        <v/>
      </c>
      <c r="AR914" s="82">
        <f>HYPERLINK("https://www.alta.ru/tnved/code/")&amp;W914&amp;"/"</f>
        <v/>
      </c>
      <c r="AS914" s="157" t="n"/>
      <c r="AT914" s="162" t="n"/>
      <c r="AU914" s="76">
        <f>IF(ISBLANK(AT914),0,AJ914-AT914)</f>
        <v/>
      </c>
      <c r="AV914" s="157" t="n"/>
      <c r="AW914" s="75">
        <f>_xlfn.IFNA(VLOOKUP(L914,list_vat[],3,FALSE),0)</f>
        <v/>
      </c>
      <c r="AX914" s="76">
        <f>IFERROR(ROUND(S914*(1+AW914)/E914,2),0)</f>
        <v/>
      </c>
      <c r="AY914" s="76">
        <f>E914*AX914</f>
        <v/>
      </c>
      <c r="AZ914" s="192">
        <f>S914*(1+M914)</f>
        <v/>
      </c>
      <c r="BA914" s="76">
        <f>cost_fin_total*$BD914</f>
        <v/>
      </c>
      <c r="BB914" s="193">
        <f>credit_sales_interest*BD914</f>
        <v/>
      </c>
      <c r="BC914" s="102">
        <f>IFERROR(IF($I$13&gt;0,$I914/$I$13,$S914/$S$13),0)</f>
        <v/>
      </c>
      <c r="BD914" s="102">
        <f>IFERROR($S914/$S$13,0)</f>
        <v/>
      </c>
      <c r="BE914" s="413" t="inlineStr">
        <is>
          <t>$</t>
        </is>
      </c>
    </row>
    <row r="915" ht="12" customFormat="1" customHeight="1" s="65">
      <c r="A915" s="43" t="n">
        <v>900</v>
      </c>
      <c r="B915" s="166" t="n"/>
      <c r="C915" s="166" t="n"/>
      <c r="D915" s="166" t="n"/>
      <c r="E915" s="162" t="n"/>
      <c r="F915" s="166" t="n"/>
      <c r="G915" s="162" t="n"/>
      <c r="H915" s="162" t="n"/>
      <c r="I915" s="189">
        <f>E915*G915</f>
        <v/>
      </c>
      <c r="J915" s="195" t="n"/>
      <c r="K915" s="162" t="n"/>
      <c r="L915" s="168" t="n"/>
      <c r="M915" s="75">
        <f>_xlfn.XLOOKUP(L915,list_vat[Страна],list_vat[Ставка НДС %],0,0)</f>
        <v/>
      </c>
      <c r="N915" s="162">
        <f>IFERROR(IF(L915="Китай",K915,K915/(1+M915)),0)</f>
        <v/>
      </c>
      <c r="O915" s="169" t="n"/>
      <c r="P915" s="76">
        <f>N915*(1-O915)</f>
        <v/>
      </c>
      <c r="Q915" s="162" t="n"/>
      <c r="R915" s="162">
        <f>IF(ISBLANK(Q915),"введи курс",P915/Q915)</f>
        <v/>
      </c>
      <c r="S915" s="196">
        <f>IF(AND(ISNUMBER(E915),ISNUMBER(Q915)),E915*R915,0)</f>
        <v/>
      </c>
      <c r="T915" s="192">
        <f>$BC915*V$11</f>
        <v/>
      </c>
      <c r="U915" s="76">
        <f>$BC915*W$11</f>
        <v/>
      </c>
      <c r="V915" s="193">
        <f>+SUM(T915:U915)</f>
        <v/>
      </c>
      <c r="W915" s="191" t="n"/>
      <c r="X915" s="170" t="n"/>
      <c r="Y915" s="76">
        <f>ROUND(IF(offer_incoterms="DDP",X915*(S915*(1+AW915)+T915),0),2)</f>
        <v/>
      </c>
      <c r="Z915" s="188" t="n"/>
      <c r="AA915" s="192">
        <f>IFERROR(AB915/E915,0)</f>
        <v/>
      </c>
      <c r="AB915" s="76">
        <f>ROUND(SUM(S915,V915,Y915:Z915,BA915:BB915),2)</f>
        <v/>
      </c>
      <c r="AC915" s="797" t="n"/>
      <c r="AD915" s="192">
        <f t="array" ref="AD915">IFERROR(ROUND((_xlfn.IFS(offer_sale_type="поставка",AB915,offer_sale_type="транзит",S915)*(1+AC915))/E915,2),0)</f>
        <v/>
      </c>
      <c r="AE915" s="76">
        <f>AD915*E915</f>
        <v/>
      </c>
      <c r="AF915" s="193">
        <f t="array" ref="AF915">IFERROR(ROUND(_xlfn.IFS(offer_sale_type="поставка",AB915,offer_sale_type="транзит",S915)*AC915,2),0)</f>
        <v/>
      </c>
      <c r="AG915" s="192">
        <f>$BD915*VLOOKUP($AG$3,$AF$4:$AG$7,2,FALSE)</f>
        <v/>
      </c>
      <c r="AH915" s="76">
        <f>SUM(AE915,AG915,AI915)*rate_forex_risk</f>
        <v/>
      </c>
      <c r="AI915" s="193">
        <f>IF(OR(seller_region="TR",offer_sale_type="экспорт"),0,rate_fin_comm)*SUM(AZ915,AZ915*AW915,T915)</f>
        <v/>
      </c>
      <c r="AJ915" s="118">
        <f>IFERROR(ROUND(SUM(AB915,AF915:AI915)/E915,2),0)</f>
        <v/>
      </c>
      <c r="AK915" s="76">
        <f>AJ915*E915</f>
        <v/>
      </c>
      <c r="AL915" s="174">
        <f>ROUND(IFERROR(AM915*E915,0),2)</f>
        <v/>
      </c>
      <c r="AM915" s="175">
        <f>ROUND(AJ915*(1+IF(offer_incoterms="DDP",IF((TODAY()+offer_turnaround_time)&gt;=helpsheet!$L$17,rate_vatRU_from_26,rate_vatRu_till_25),0)),2)</f>
        <v/>
      </c>
      <c r="AN915" s="192">
        <f>AL915-AK915</f>
        <v/>
      </c>
      <c r="AO915" s="76">
        <f>SUM(AY915,Y915:Z915,T915)*IF(AND(offer_incoterms="DDP",offer_sale_type&lt;&gt;"экспорт"),IF((TODAY()+offer_turnaround_time)&gt;=helpsheet!$L$17,rate_vatRU_from_26,rate_vatRu_till_25),0)</f>
        <v/>
      </c>
      <c r="AP915" s="193">
        <f>AN915-AO915</f>
        <v/>
      </c>
      <c r="AQ915" s="118">
        <f>IF(offer_sale_type="транзит",SUM(AF915:AI915,BA915,BB915),0)</f>
        <v/>
      </c>
      <c r="AR915" s="82">
        <f>HYPERLINK("https://www.alta.ru/tnved/code/")&amp;W915&amp;"/"</f>
        <v/>
      </c>
      <c r="AS915" s="157" t="n"/>
      <c r="AT915" s="162" t="n"/>
      <c r="AU915" s="76">
        <f>IF(ISBLANK(AT915),0,AJ915-AT915)</f>
        <v/>
      </c>
      <c r="AV915" s="157" t="n"/>
      <c r="AW915" s="75">
        <f>_xlfn.IFNA(VLOOKUP(L915,list_vat[],3,FALSE),0)</f>
        <v/>
      </c>
      <c r="AX915" s="76">
        <f>IFERROR(ROUND(S915*(1+AW915)/E915,2),0)</f>
        <v/>
      </c>
      <c r="AY915" s="76">
        <f>E915*AX915</f>
        <v/>
      </c>
      <c r="AZ915" s="192">
        <f>S915*(1+M915)</f>
        <v/>
      </c>
      <c r="BA915" s="76">
        <f>cost_fin_total*$BD915</f>
        <v/>
      </c>
      <c r="BB915" s="193">
        <f>credit_sales_interest*BD915</f>
        <v/>
      </c>
      <c r="BC915" s="102">
        <f>IFERROR(IF($I$13&gt;0,$I915/$I$13,$S915/$S$13),0)</f>
        <v/>
      </c>
      <c r="BD915" s="102">
        <f>IFERROR($S915/$S$13,0)</f>
        <v/>
      </c>
      <c r="BE915" s="413" t="inlineStr">
        <is>
          <t>$</t>
        </is>
      </c>
    </row>
    <row r="916" ht="12" customFormat="1" customHeight="1" s="65">
      <c r="A916" s="43" t="n">
        <v>901</v>
      </c>
      <c r="B916" s="166" t="n"/>
      <c r="C916" s="166" t="n"/>
      <c r="D916" s="166" t="n"/>
      <c r="E916" s="162" t="n"/>
      <c r="F916" s="166" t="n"/>
      <c r="G916" s="162" t="n"/>
      <c r="H916" s="162" t="n"/>
      <c r="I916" s="189">
        <f>E916*G916</f>
        <v/>
      </c>
      <c r="J916" s="195" t="n"/>
      <c r="K916" s="162" t="n"/>
      <c r="L916" s="168" t="n"/>
      <c r="M916" s="75">
        <f>_xlfn.XLOOKUP(L916,list_vat[Страна],list_vat[Ставка НДС %],0,0)</f>
        <v/>
      </c>
      <c r="N916" s="162">
        <f>IFERROR(IF(L916="Китай",K916,K916/(1+M916)),0)</f>
        <v/>
      </c>
      <c r="O916" s="169" t="n"/>
      <c r="P916" s="76">
        <f>N916*(1-O916)</f>
        <v/>
      </c>
      <c r="Q916" s="162" t="n"/>
      <c r="R916" s="162">
        <f>IF(ISBLANK(Q916),"введи курс",P916/Q916)</f>
        <v/>
      </c>
      <c r="S916" s="196">
        <f>IF(AND(ISNUMBER(E916),ISNUMBER(Q916)),E916*R916,0)</f>
        <v/>
      </c>
      <c r="T916" s="192">
        <f>$BC916*V$11</f>
        <v/>
      </c>
      <c r="U916" s="76">
        <f>$BC916*W$11</f>
        <v/>
      </c>
      <c r="V916" s="193">
        <f>+SUM(T916:U916)</f>
        <v/>
      </c>
      <c r="W916" s="191" t="n"/>
      <c r="X916" s="170" t="n"/>
      <c r="Y916" s="76">
        <f>ROUND(IF(offer_incoterms="DDP",X916*(S916*(1+AW916)+T916),0),2)</f>
        <v/>
      </c>
      <c r="Z916" s="188" t="n"/>
      <c r="AA916" s="192">
        <f>IFERROR(AB916/E916,0)</f>
        <v/>
      </c>
      <c r="AB916" s="76">
        <f>ROUND(SUM(S916,V916,Y916:Z916,BA916:BB916),2)</f>
        <v/>
      </c>
      <c r="AC916" s="797" t="n"/>
      <c r="AD916" s="192">
        <f t="array" ref="AD916">IFERROR(ROUND((_xlfn.IFS(offer_sale_type="поставка",AB916,offer_sale_type="транзит",S916)*(1+AC916))/E916,2),0)</f>
        <v/>
      </c>
      <c r="AE916" s="76">
        <f>AD916*E916</f>
        <v/>
      </c>
      <c r="AF916" s="193">
        <f t="array" ref="AF916">IFERROR(ROUND(_xlfn.IFS(offer_sale_type="поставка",AB916,offer_sale_type="транзит",S916)*AC916,2),0)</f>
        <v/>
      </c>
      <c r="AG916" s="192">
        <f>$BD916*VLOOKUP($AG$3,$AF$4:$AG$7,2,FALSE)</f>
        <v/>
      </c>
      <c r="AH916" s="76">
        <f>SUM(AE916,AG916,AI916)*rate_forex_risk</f>
        <v/>
      </c>
      <c r="AI916" s="193">
        <f>IF(OR(seller_region="TR",offer_sale_type="экспорт"),0,rate_fin_comm)*SUM(AZ916,AZ916*AW916,T916)</f>
        <v/>
      </c>
      <c r="AJ916" s="118">
        <f>IFERROR(ROUND(SUM(AB916,AF916:AI916)/E916,2),0)</f>
        <v/>
      </c>
      <c r="AK916" s="76">
        <f>AJ916*E916</f>
        <v/>
      </c>
      <c r="AL916" s="174">
        <f>ROUND(IFERROR(AM916*E916,0),2)</f>
        <v/>
      </c>
      <c r="AM916" s="175">
        <f>ROUND(AJ916*(1+IF(offer_incoterms="DDP",IF((TODAY()+offer_turnaround_time)&gt;=helpsheet!$L$17,rate_vatRU_from_26,rate_vatRu_till_25),0)),2)</f>
        <v/>
      </c>
      <c r="AN916" s="192">
        <f>AL916-AK916</f>
        <v/>
      </c>
      <c r="AO916" s="76">
        <f>SUM(AY916,Y916:Z916,T916)*IF(AND(offer_incoterms="DDP",offer_sale_type&lt;&gt;"экспорт"),IF((TODAY()+offer_turnaround_time)&gt;=helpsheet!$L$17,rate_vatRU_from_26,rate_vatRu_till_25),0)</f>
        <v/>
      </c>
      <c r="AP916" s="193">
        <f>AN916-AO916</f>
        <v/>
      </c>
      <c r="AQ916" s="118">
        <f>IF(offer_sale_type="транзит",SUM(AF916:AI916,BA916,BB916),0)</f>
        <v/>
      </c>
      <c r="AR916" s="82">
        <f>HYPERLINK("https://www.alta.ru/tnved/code/")&amp;W916&amp;"/"</f>
        <v/>
      </c>
      <c r="AS916" s="157" t="n"/>
      <c r="AT916" s="162" t="n"/>
      <c r="AU916" s="76">
        <f>IF(ISBLANK(AT916),0,AJ916-AT916)</f>
        <v/>
      </c>
      <c r="AV916" s="157" t="n"/>
      <c r="AW916" s="75">
        <f>_xlfn.IFNA(VLOOKUP(L916,list_vat[],3,FALSE),0)</f>
        <v/>
      </c>
      <c r="AX916" s="76">
        <f>IFERROR(ROUND(S916*(1+AW916)/E916,2),0)</f>
        <v/>
      </c>
      <c r="AY916" s="76">
        <f>E916*AX916</f>
        <v/>
      </c>
      <c r="AZ916" s="192">
        <f>S916*(1+M916)</f>
        <v/>
      </c>
      <c r="BA916" s="76">
        <f>cost_fin_total*$BD916</f>
        <v/>
      </c>
      <c r="BB916" s="193">
        <f>credit_sales_interest*BD916</f>
        <v/>
      </c>
      <c r="BC916" s="102">
        <f>IFERROR(IF($I$13&gt;0,$I916/$I$13,$S916/$S$13),0)</f>
        <v/>
      </c>
      <c r="BD916" s="102">
        <f>IFERROR($S916/$S$13,0)</f>
        <v/>
      </c>
      <c r="BE916" s="413" t="inlineStr">
        <is>
          <t>$</t>
        </is>
      </c>
    </row>
    <row r="917" ht="12" customFormat="1" customHeight="1" s="65">
      <c r="A917" s="43" t="n">
        <v>902</v>
      </c>
      <c r="B917" s="166" t="n"/>
      <c r="C917" s="166" t="n"/>
      <c r="D917" s="166" t="n"/>
      <c r="E917" s="162" t="n"/>
      <c r="F917" s="166" t="n"/>
      <c r="G917" s="162" t="n"/>
      <c r="H917" s="162" t="n"/>
      <c r="I917" s="189">
        <f>E917*G917</f>
        <v/>
      </c>
      <c r="J917" s="195" t="n"/>
      <c r="K917" s="162" t="n"/>
      <c r="L917" s="168" t="n"/>
      <c r="M917" s="75">
        <f>_xlfn.XLOOKUP(L917,list_vat[Страна],list_vat[Ставка НДС %],0,0)</f>
        <v/>
      </c>
      <c r="N917" s="162">
        <f>IFERROR(IF(L917="Китай",K917,K917/(1+M917)),0)</f>
        <v/>
      </c>
      <c r="O917" s="169" t="n"/>
      <c r="P917" s="76">
        <f>N917*(1-O917)</f>
        <v/>
      </c>
      <c r="Q917" s="162" t="n"/>
      <c r="R917" s="162">
        <f>IF(ISBLANK(Q917),"введи курс",P917/Q917)</f>
        <v/>
      </c>
      <c r="S917" s="196">
        <f>IF(AND(ISNUMBER(E917),ISNUMBER(Q917)),E917*R917,0)</f>
        <v/>
      </c>
      <c r="T917" s="192">
        <f>$BC917*V$11</f>
        <v/>
      </c>
      <c r="U917" s="76">
        <f>$BC917*W$11</f>
        <v/>
      </c>
      <c r="V917" s="193">
        <f>+SUM(T917:U917)</f>
        <v/>
      </c>
      <c r="W917" s="191" t="n"/>
      <c r="X917" s="170" t="n"/>
      <c r="Y917" s="76">
        <f>ROUND(IF(offer_incoterms="DDP",X917*(S917*(1+AW917)+T917),0),2)</f>
        <v/>
      </c>
      <c r="Z917" s="188" t="n"/>
      <c r="AA917" s="192">
        <f>IFERROR(AB917/E917,0)</f>
        <v/>
      </c>
      <c r="AB917" s="76">
        <f>ROUND(SUM(S917,V917,Y917:Z917,BA917:BB917),2)</f>
        <v/>
      </c>
      <c r="AC917" s="797" t="n"/>
      <c r="AD917" s="192">
        <f t="array" ref="AD917">IFERROR(ROUND((_xlfn.IFS(offer_sale_type="поставка",AB917,offer_sale_type="транзит",S917)*(1+AC917))/E917,2),0)</f>
        <v/>
      </c>
      <c r="AE917" s="76">
        <f>AD917*E917</f>
        <v/>
      </c>
      <c r="AF917" s="193">
        <f t="array" ref="AF917">IFERROR(ROUND(_xlfn.IFS(offer_sale_type="поставка",AB917,offer_sale_type="транзит",S917)*AC917,2),0)</f>
        <v/>
      </c>
      <c r="AG917" s="192">
        <f>$BD917*VLOOKUP($AG$3,$AF$4:$AG$7,2,FALSE)</f>
        <v/>
      </c>
      <c r="AH917" s="76">
        <f>SUM(AE917,AG917,AI917)*rate_forex_risk</f>
        <v/>
      </c>
      <c r="AI917" s="193">
        <f>IF(OR(seller_region="TR",offer_sale_type="экспорт"),0,rate_fin_comm)*SUM(AZ917,AZ917*AW917,T917)</f>
        <v/>
      </c>
      <c r="AJ917" s="118">
        <f>IFERROR(ROUND(SUM(AB917,AF917:AI917)/E917,2),0)</f>
        <v/>
      </c>
      <c r="AK917" s="76">
        <f>AJ917*E917</f>
        <v/>
      </c>
      <c r="AL917" s="174">
        <f>ROUND(IFERROR(AM917*E917,0),2)</f>
        <v/>
      </c>
      <c r="AM917" s="175">
        <f>ROUND(AJ917*(1+IF(offer_incoterms="DDP",IF((TODAY()+offer_turnaround_time)&gt;=helpsheet!$L$17,rate_vatRU_from_26,rate_vatRu_till_25),0)),2)</f>
        <v/>
      </c>
      <c r="AN917" s="192">
        <f>AL917-AK917</f>
        <v/>
      </c>
      <c r="AO917" s="76">
        <f>SUM(AY917,Y917:Z917,T917)*IF(AND(offer_incoterms="DDP",offer_sale_type&lt;&gt;"экспорт"),IF((TODAY()+offer_turnaround_time)&gt;=helpsheet!$L$17,rate_vatRU_from_26,rate_vatRu_till_25),0)</f>
        <v/>
      </c>
      <c r="AP917" s="193">
        <f>AN917-AO917</f>
        <v/>
      </c>
      <c r="AQ917" s="118">
        <f>IF(offer_sale_type="транзит",SUM(AF917:AI917,BA917,BB917),0)</f>
        <v/>
      </c>
      <c r="AR917" s="82">
        <f>HYPERLINK("https://www.alta.ru/tnved/code/")&amp;W917&amp;"/"</f>
        <v/>
      </c>
      <c r="AS917" s="157" t="n"/>
      <c r="AT917" s="162" t="n"/>
      <c r="AU917" s="76">
        <f>IF(ISBLANK(AT917),0,AJ917-AT917)</f>
        <v/>
      </c>
      <c r="AV917" s="157" t="n"/>
      <c r="AW917" s="75">
        <f>_xlfn.IFNA(VLOOKUP(L917,list_vat[],3,FALSE),0)</f>
        <v/>
      </c>
      <c r="AX917" s="76">
        <f>IFERROR(ROUND(S917*(1+AW917)/E917,2),0)</f>
        <v/>
      </c>
      <c r="AY917" s="76">
        <f>E917*AX917</f>
        <v/>
      </c>
      <c r="AZ917" s="192">
        <f>S917*(1+M917)</f>
        <v/>
      </c>
      <c r="BA917" s="76">
        <f>cost_fin_total*$BD917</f>
        <v/>
      </c>
      <c r="BB917" s="193">
        <f>credit_sales_interest*BD917</f>
        <v/>
      </c>
      <c r="BC917" s="102">
        <f>IFERROR(IF($I$13&gt;0,$I917/$I$13,$S917/$S$13),0)</f>
        <v/>
      </c>
      <c r="BD917" s="102">
        <f>IFERROR($S917/$S$13,0)</f>
        <v/>
      </c>
      <c r="BE917" s="413" t="inlineStr">
        <is>
          <t>$</t>
        </is>
      </c>
    </row>
    <row r="918" ht="12" customFormat="1" customHeight="1" s="65">
      <c r="A918" s="43" t="n">
        <v>903</v>
      </c>
      <c r="B918" s="166" t="n"/>
      <c r="C918" s="166" t="n"/>
      <c r="D918" s="166" t="n"/>
      <c r="E918" s="162" t="n"/>
      <c r="F918" s="166" t="n"/>
      <c r="G918" s="162" t="n"/>
      <c r="H918" s="162" t="n"/>
      <c r="I918" s="189">
        <f>E918*G918</f>
        <v/>
      </c>
      <c r="J918" s="195" t="n"/>
      <c r="K918" s="162" t="n"/>
      <c r="L918" s="168" t="n"/>
      <c r="M918" s="75">
        <f>_xlfn.XLOOKUP(L918,list_vat[Страна],list_vat[Ставка НДС %],0,0)</f>
        <v/>
      </c>
      <c r="N918" s="162">
        <f>IFERROR(IF(L918="Китай",K918,K918/(1+M918)),0)</f>
        <v/>
      </c>
      <c r="O918" s="169" t="n"/>
      <c r="P918" s="76">
        <f>N918*(1-O918)</f>
        <v/>
      </c>
      <c r="Q918" s="162" t="n"/>
      <c r="R918" s="162">
        <f>IF(ISBLANK(Q918),"введи курс",P918/Q918)</f>
        <v/>
      </c>
      <c r="S918" s="196">
        <f>IF(AND(ISNUMBER(E918),ISNUMBER(Q918)),E918*R918,0)</f>
        <v/>
      </c>
      <c r="T918" s="192">
        <f>$BC918*V$11</f>
        <v/>
      </c>
      <c r="U918" s="76">
        <f>$BC918*W$11</f>
        <v/>
      </c>
      <c r="V918" s="193">
        <f>+SUM(T918:U918)</f>
        <v/>
      </c>
      <c r="W918" s="191" t="n"/>
      <c r="X918" s="170" t="n"/>
      <c r="Y918" s="76">
        <f>ROUND(IF(offer_incoterms="DDP",X918*(S918*(1+AW918)+T918),0),2)</f>
        <v/>
      </c>
      <c r="Z918" s="188" t="n"/>
      <c r="AA918" s="192">
        <f>IFERROR(AB918/E918,0)</f>
        <v/>
      </c>
      <c r="AB918" s="76">
        <f>ROUND(SUM(S918,V918,Y918:Z918,BA918:BB918),2)</f>
        <v/>
      </c>
      <c r="AC918" s="797" t="n"/>
      <c r="AD918" s="192">
        <f t="array" ref="AD918">IFERROR(ROUND((_xlfn.IFS(offer_sale_type="поставка",AB918,offer_sale_type="транзит",S918)*(1+AC918))/E918,2),0)</f>
        <v/>
      </c>
      <c r="AE918" s="76">
        <f>AD918*E918</f>
        <v/>
      </c>
      <c r="AF918" s="193">
        <f t="array" ref="AF918">IFERROR(ROUND(_xlfn.IFS(offer_sale_type="поставка",AB918,offer_sale_type="транзит",S918)*AC918,2),0)</f>
        <v/>
      </c>
      <c r="AG918" s="192">
        <f>$BD918*VLOOKUP($AG$3,$AF$4:$AG$7,2,FALSE)</f>
        <v/>
      </c>
      <c r="AH918" s="76">
        <f>SUM(AE918,AG918,AI918)*rate_forex_risk</f>
        <v/>
      </c>
      <c r="AI918" s="193">
        <f>IF(OR(seller_region="TR",offer_sale_type="экспорт"),0,rate_fin_comm)*SUM(AZ918,AZ918*AW918,T918)</f>
        <v/>
      </c>
      <c r="AJ918" s="118">
        <f>IFERROR(ROUND(SUM(AB918,AF918:AI918)/E918,2),0)</f>
        <v/>
      </c>
      <c r="AK918" s="76">
        <f>AJ918*E918</f>
        <v/>
      </c>
      <c r="AL918" s="174">
        <f>ROUND(IFERROR(AM918*E918,0),2)</f>
        <v/>
      </c>
      <c r="AM918" s="175">
        <f>ROUND(AJ918*(1+IF(offer_incoterms="DDP",IF((TODAY()+offer_turnaround_time)&gt;=helpsheet!$L$17,rate_vatRU_from_26,rate_vatRu_till_25),0)),2)</f>
        <v/>
      </c>
      <c r="AN918" s="192">
        <f>AL918-AK918</f>
        <v/>
      </c>
      <c r="AO918" s="76">
        <f>SUM(AY918,Y918:Z918,T918)*IF(AND(offer_incoterms="DDP",offer_sale_type&lt;&gt;"экспорт"),IF((TODAY()+offer_turnaround_time)&gt;=helpsheet!$L$17,rate_vatRU_from_26,rate_vatRu_till_25),0)</f>
        <v/>
      </c>
      <c r="AP918" s="193">
        <f>AN918-AO918</f>
        <v/>
      </c>
      <c r="AQ918" s="118">
        <f>IF(offer_sale_type="транзит",SUM(AF918:AI918,BA918,BB918),0)</f>
        <v/>
      </c>
      <c r="AR918" s="82">
        <f>HYPERLINK("https://www.alta.ru/tnved/code/")&amp;W918&amp;"/"</f>
        <v/>
      </c>
      <c r="AS918" s="157" t="n"/>
      <c r="AT918" s="162" t="n"/>
      <c r="AU918" s="76">
        <f>IF(ISBLANK(AT918),0,AJ918-AT918)</f>
        <v/>
      </c>
      <c r="AV918" s="157" t="n"/>
      <c r="AW918" s="75">
        <f>_xlfn.IFNA(VLOOKUP(L918,list_vat[],3,FALSE),0)</f>
        <v/>
      </c>
      <c r="AX918" s="76">
        <f>IFERROR(ROUND(S918*(1+AW918)/E918,2),0)</f>
        <v/>
      </c>
      <c r="AY918" s="76">
        <f>E918*AX918</f>
        <v/>
      </c>
      <c r="AZ918" s="192">
        <f>S918*(1+M918)</f>
        <v/>
      </c>
      <c r="BA918" s="76">
        <f>cost_fin_total*$BD918</f>
        <v/>
      </c>
      <c r="BB918" s="193">
        <f>credit_sales_interest*BD918</f>
        <v/>
      </c>
      <c r="BC918" s="102">
        <f>IFERROR(IF($I$13&gt;0,$I918/$I$13,$S918/$S$13),0)</f>
        <v/>
      </c>
      <c r="BD918" s="102">
        <f>IFERROR($S918/$S$13,0)</f>
        <v/>
      </c>
      <c r="BE918" s="413" t="inlineStr">
        <is>
          <t>$</t>
        </is>
      </c>
    </row>
    <row r="919" ht="12" customFormat="1" customHeight="1" s="65">
      <c r="A919" s="43" t="n">
        <v>904</v>
      </c>
      <c r="B919" s="166" t="n"/>
      <c r="C919" s="166" t="n"/>
      <c r="D919" s="166" t="n"/>
      <c r="E919" s="162" t="n"/>
      <c r="F919" s="166" t="n"/>
      <c r="G919" s="162" t="n"/>
      <c r="H919" s="162" t="n"/>
      <c r="I919" s="189">
        <f>E919*G919</f>
        <v/>
      </c>
      <c r="J919" s="195" t="n"/>
      <c r="K919" s="162" t="n"/>
      <c r="L919" s="168" t="n"/>
      <c r="M919" s="75">
        <f>_xlfn.XLOOKUP(L919,list_vat[Страна],list_vat[Ставка НДС %],0,0)</f>
        <v/>
      </c>
      <c r="N919" s="162">
        <f>IFERROR(IF(L919="Китай",K919,K919/(1+M919)),0)</f>
        <v/>
      </c>
      <c r="O919" s="169" t="n"/>
      <c r="P919" s="76">
        <f>N919*(1-O919)</f>
        <v/>
      </c>
      <c r="Q919" s="162" t="n"/>
      <c r="R919" s="162">
        <f>IF(ISBLANK(Q919),"введи курс",P919/Q919)</f>
        <v/>
      </c>
      <c r="S919" s="196">
        <f>IF(AND(ISNUMBER(E919),ISNUMBER(Q919)),E919*R919,0)</f>
        <v/>
      </c>
      <c r="T919" s="192">
        <f>$BC919*V$11</f>
        <v/>
      </c>
      <c r="U919" s="76">
        <f>$BC919*W$11</f>
        <v/>
      </c>
      <c r="V919" s="193">
        <f>+SUM(T919:U919)</f>
        <v/>
      </c>
      <c r="W919" s="191" t="n"/>
      <c r="X919" s="170" t="n"/>
      <c r="Y919" s="76">
        <f>ROUND(IF(offer_incoterms="DDP",X919*(S919*(1+AW919)+T919),0),2)</f>
        <v/>
      </c>
      <c r="Z919" s="188" t="n"/>
      <c r="AA919" s="192">
        <f>IFERROR(AB919/E919,0)</f>
        <v/>
      </c>
      <c r="AB919" s="76">
        <f>ROUND(SUM(S919,V919,Y919:Z919,BA919:BB919),2)</f>
        <v/>
      </c>
      <c r="AC919" s="797" t="n"/>
      <c r="AD919" s="192">
        <f t="array" ref="AD919">IFERROR(ROUND((_xlfn.IFS(offer_sale_type="поставка",AB919,offer_sale_type="транзит",S919)*(1+AC919))/E919,2),0)</f>
        <v/>
      </c>
      <c r="AE919" s="76">
        <f>AD919*E919</f>
        <v/>
      </c>
      <c r="AF919" s="193">
        <f t="array" ref="AF919">IFERROR(ROUND(_xlfn.IFS(offer_sale_type="поставка",AB919,offer_sale_type="транзит",S919)*AC919,2),0)</f>
        <v/>
      </c>
      <c r="AG919" s="192">
        <f>$BD919*VLOOKUP($AG$3,$AF$4:$AG$7,2,FALSE)</f>
        <v/>
      </c>
      <c r="AH919" s="76">
        <f>SUM(AE919,AG919,AI919)*rate_forex_risk</f>
        <v/>
      </c>
      <c r="AI919" s="193">
        <f>IF(OR(seller_region="TR",offer_sale_type="экспорт"),0,rate_fin_comm)*SUM(AZ919,AZ919*AW919,T919)</f>
        <v/>
      </c>
      <c r="AJ919" s="118">
        <f>IFERROR(ROUND(SUM(AB919,AF919:AI919)/E919,2),0)</f>
        <v/>
      </c>
      <c r="AK919" s="76">
        <f>AJ919*E919</f>
        <v/>
      </c>
      <c r="AL919" s="174">
        <f>ROUND(IFERROR(AM919*E919,0),2)</f>
        <v/>
      </c>
      <c r="AM919" s="175">
        <f>ROUND(AJ919*(1+IF(offer_incoterms="DDP",IF((TODAY()+offer_turnaround_time)&gt;=helpsheet!$L$17,rate_vatRU_from_26,rate_vatRu_till_25),0)),2)</f>
        <v/>
      </c>
      <c r="AN919" s="192">
        <f>AL919-AK919</f>
        <v/>
      </c>
      <c r="AO919" s="76">
        <f>SUM(AY919,Y919:Z919,T919)*IF(AND(offer_incoterms="DDP",offer_sale_type&lt;&gt;"экспорт"),IF((TODAY()+offer_turnaround_time)&gt;=helpsheet!$L$17,rate_vatRU_from_26,rate_vatRu_till_25),0)</f>
        <v/>
      </c>
      <c r="AP919" s="193">
        <f>AN919-AO919</f>
        <v/>
      </c>
      <c r="AQ919" s="118">
        <f>IF(offer_sale_type="транзит",SUM(AF919:AI919,BA919,BB919),0)</f>
        <v/>
      </c>
      <c r="AR919" s="82">
        <f>HYPERLINK("https://www.alta.ru/tnved/code/")&amp;W919&amp;"/"</f>
        <v/>
      </c>
      <c r="AS919" s="157" t="n"/>
      <c r="AT919" s="162" t="n"/>
      <c r="AU919" s="76">
        <f>IF(ISBLANK(AT919),0,AJ919-AT919)</f>
        <v/>
      </c>
      <c r="AV919" s="157" t="n"/>
      <c r="AW919" s="75">
        <f>_xlfn.IFNA(VLOOKUP(L919,list_vat[],3,FALSE),0)</f>
        <v/>
      </c>
      <c r="AX919" s="76">
        <f>IFERROR(ROUND(S919*(1+AW919)/E919,2),0)</f>
        <v/>
      </c>
      <c r="AY919" s="76">
        <f>E919*AX919</f>
        <v/>
      </c>
      <c r="AZ919" s="192">
        <f>S919*(1+M919)</f>
        <v/>
      </c>
      <c r="BA919" s="76">
        <f>cost_fin_total*$BD919</f>
        <v/>
      </c>
      <c r="BB919" s="193">
        <f>credit_sales_interest*BD919</f>
        <v/>
      </c>
      <c r="BC919" s="102">
        <f>IFERROR(IF($I$13&gt;0,$I919/$I$13,$S919/$S$13),0)</f>
        <v/>
      </c>
      <c r="BD919" s="102">
        <f>IFERROR($S919/$S$13,0)</f>
        <v/>
      </c>
      <c r="BE919" s="413" t="inlineStr">
        <is>
          <t>$</t>
        </is>
      </c>
    </row>
    <row r="920" ht="12" customFormat="1" customHeight="1" s="65">
      <c r="A920" s="43" t="n">
        <v>905</v>
      </c>
      <c r="B920" s="166" t="n"/>
      <c r="C920" s="166" t="n"/>
      <c r="D920" s="166" t="n"/>
      <c r="E920" s="162" t="n"/>
      <c r="F920" s="166" t="n"/>
      <c r="G920" s="162" t="n"/>
      <c r="H920" s="162" t="n"/>
      <c r="I920" s="189">
        <f>E920*G920</f>
        <v/>
      </c>
      <c r="J920" s="195" t="n"/>
      <c r="K920" s="162" t="n"/>
      <c r="L920" s="168" t="n"/>
      <c r="M920" s="75">
        <f>_xlfn.XLOOKUP(L920,list_vat[Страна],list_vat[Ставка НДС %],0,0)</f>
        <v/>
      </c>
      <c r="N920" s="162">
        <f>IFERROR(IF(L920="Китай",K920,K920/(1+M920)),0)</f>
        <v/>
      </c>
      <c r="O920" s="169" t="n"/>
      <c r="P920" s="76">
        <f>N920*(1-O920)</f>
        <v/>
      </c>
      <c r="Q920" s="162" t="n"/>
      <c r="R920" s="162">
        <f>IF(ISBLANK(Q920),"введи курс",P920/Q920)</f>
        <v/>
      </c>
      <c r="S920" s="196">
        <f>IF(AND(ISNUMBER(E920),ISNUMBER(Q920)),E920*R920,0)</f>
        <v/>
      </c>
      <c r="T920" s="192">
        <f>$BC920*V$11</f>
        <v/>
      </c>
      <c r="U920" s="76">
        <f>$BC920*W$11</f>
        <v/>
      </c>
      <c r="V920" s="193">
        <f>+SUM(T920:U920)</f>
        <v/>
      </c>
      <c r="W920" s="191" t="n"/>
      <c r="X920" s="170" t="n"/>
      <c r="Y920" s="76">
        <f>ROUND(IF(offer_incoterms="DDP",X920*(S920*(1+AW920)+T920),0),2)</f>
        <v/>
      </c>
      <c r="Z920" s="188" t="n"/>
      <c r="AA920" s="192">
        <f>IFERROR(AB920/E920,0)</f>
        <v/>
      </c>
      <c r="AB920" s="76">
        <f>ROUND(SUM(S920,V920,Y920:Z920,BA920:BB920),2)</f>
        <v/>
      </c>
      <c r="AC920" s="797" t="n"/>
      <c r="AD920" s="192">
        <f t="array" ref="AD920">IFERROR(ROUND((_xlfn.IFS(offer_sale_type="поставка",AB920,offer_sale_type="транзит",S920)*(1+AC920))/E920,2),0)</f>
        <v/>
      </c>
      <c r="AE920" s="76">
        <f>AD920*E920</f>
        <v/>
      </c>
      <c r="AF920" s="193">
        <f t="array" ref="AF920">IFERROR(ROUND(_xlfn.IFS(offer_sale_type="поставка",AB920,offer_sale_type="транзит",S920)*AC920,2),0)</f>
        <v/>
      </c>
      <c r="AG920" s="192">
        <f>$BD920*VLOOKUP($AG$3,$AF$4:$AG$7,2,FALSE)</f>
        <v/>
      </c>
      <c r="AH920" s="76">
        <f>SUM(AE920,AG920,AI920)*rate_forex_risk</f>
        <v/>
      </c>
      <c r="AI920" s="193">
        <f>IF(OR(seller_region="TR",offer_sale_type="экспорт"),0,rate_fin_comm)*SUM(AZ920,AZ920*AW920,T920)</f>
        <v/>
      </c>
      <c r="AJ920" s="118">
        <f>IFERROR(ROUND(SUM(AB920,AF920:AI920)/E920,2),0)</f>
        <v/>
      </c>
      <c r="AK920" s="76">
        <f>AJ920*E920</f>
        <v/>
      </c>
      <c r="AL920" s="174">
        <f>ROUND(IFERROR(AM920*E920,0),2)</f>
        <v/>
      </c>
      <c r="AM920" s="175">
        <f>ROUND(AJ920*(1+IF(offer_incoterms="DDP",IF((TODAY()+offer_turnaround_time)&gt;=helpsheet!$L$17,rate_vatRU_from_26,rate_vatRu_till_25),0)),2)</f>
        <v/>
      </c>
      <c r="AN920" s="192">
        <f>AL920-AK920</f>
        <v/>
      </c>
      <c r="AO920" s="76">
        <f>SUM(AY920,Y920:Z920,T920)*IF(AND(offer_incoterms="DDP",offer_sale_type&lt;&gt;"экспорт"),IF((TODAY()+offer_turnaround_time)&gt;=helpsheet!$L$17,rate_vatRU_from_26,rate_vatRu_till_25),0)</f>
        <v/>
      </c>
      <c r="AP920" s="193">
        <f>AN920-AO920</f>
        <v/>
      </c>
      <c r="AQ920" s="118">
        <f>IF(offer_sale_type="транзит",SUM(AF920:AI920,BA920,BB920),0)</f>
        <v/>
      </c>
      <c r="AR920" s="82">
        <f>HYPERLINK("https://www.alta.ru/tnved/code/")&amp;W920&amp;"/"</f>
        <v/>
      </c>
      <c r="AS920" s="157" t="n"/>
      <c r="AT920" s="162" t="n"/>
      <c r="AU920" s="76">
        <f>IF(ISBLANK(AT920),0,AJ920-AT920)</f>
        <v/>
      </c>
      <c r="AV920" s="157" t="n"/>
      <c r="AW920" s="75">
        <f>_xlfn.IFNA(VLOOKUP(L920,list_vat[],3,FALSE),0)</f>
        <v/>
      </c>
      <c r="AX920" s="76">
        <f>IFERROR(ROUND(S920*(1+AW920)/E920,2),0)</f>
        <v/>
      </c>
      <c r="AY920" s="76">
        <f>E920*AX920</f>
        <v/>
      </c>
      <c r="AZ920" s="192">
        <f>S920*(1+M920)</f>
        <v/>
      </c>
      <c r="BA920" s="76">
        <f>cost_fin_total*$BD920</f>
        <v/>
      </c>
      <c r="BB920" s="193">
        <f>credit_sales_interest*BD920</f>
        <v/>
      </c>
      <c r="BC920" s="102">
        <f>IFERROR(IF($I$13&gt;0,$I920/$I$13,$S920/$S$13),0)</f>
        <v/>
      </c>
      <c r="BD920" s="102">
        <f>IFERROR($S920/$S$13,0)</f>
        <v/>
      </c>
      <c r="BE920" s="413" t="inlineStr">
        <is>
          <t>$</t>
        </is>
      </c>
    </row>
    <row r="921" ht="12" customFormat="1" customHeight="1" s="65">
      <c r="A921" s="43" t="n">
        <v>906</v>
      </c>
      <c r="B921" s="166" t="n"/>
      <c r="C921" s="166" t="n"/>
      <c r="D921" s="166" t="n"/>
      <c r="E921" s="162" t="n"/>
      <c r="F921" s="166" t="n"/>
      <c r="G921" s="162" t="n"/>
      <c r="H921" s="162" t="n"/>
      <c r="I921" s="189">
        <f>E921*G921</f>
        <v/>
      </c>
      <c r="J921" s="195" t="n"/>
      <c r="K921" s="162" t="n"/>
      <c r="L921" s="168" t="n"/>
      <c r="M921" s="75">
        <f>_xlfn.XLOOKUP(L921,list_vat[Страна],list_vat[Ставка НДС %],0,0)</f>
        <v/>
      </c>
      <c r="N921" s="162">
        <f>IFERROR(IF(L921="Китай",K921,K921/(1+M921)),0)</f>
        <v/>
      </c>
      <c r="O921" s="169" t="n"/>
      <c r="P921" s="76">
        <f>N921*(1-O921)</f>
        <v/>
      </c>
      <c r="Q921" s="162" t="n"/>
      <c r="R921" s="162">
        <f>IF(ISBLANK(Q921),"введи курс",P921/Q921)</f>
        <v/>
      </c>
      <c r="S921" s="196">
        <f>IF(AND(ISNUMBER(E921),ISNUMBER(Q921)),E921*R921,0)</f>
        <v/>
      </c>
      <c r="T921" s="192">
        <f>$BC921*V$11</f>
        <v/>
      </c>
      <c r="U921" s="76">
        <f>$BC921*W$11</f>
        <v/>
      </c>
      <c r="V921" s="193">
        <f>+SUM(T921:U921)</f>
        <v/>
      </c>
      <c r="W921" s="191" t="n"/>
      <c r="X921" s="170" t="n"/>
      <c r="Y921" s="76">
        <f>ROUND(IF(offer_incoterms="DDP",X921*(S921*(1+AW921)+T921),0),2)</f>
        <v/>
      </c>
      <c r="Z921" s="188" t="n"/>
      <c r="AA921" s="192">
        <f>IFERROR(AB921/E921,0)</f>
        <v/>
      </c>
      <c r="AB921" s="76">
        <f>ROUND(SUM(S921,V921,Y921:Z921,BA921:BB921),2)</f>
        <v/>
      </c>
      <c r="AC921" s="797" t="n"/>
      <c r="AD921" s="192">
        <f t="array" ref="AD921">IFERROR(ROUND((_xlfn.IFS(offer_sale_type="поставка",AB921,offer_sale_type="транзит",S921)*(1+AC921))/E921,2),0)</f>
        <v/>
      </c>
      <c r="AE921" s="76">
        <f>AD921*E921</f>
        <v/>
      </c>
      <c r="AF921" s="193">
        <f t="array" ref="AF921">IFERROR(ROUND(_xlfn.IFS(offer_sale_type="поставка",AB921,offer_sale_type="транзит",S921)*AC921,2),0)</f>
        <v/>
      </c>
      <c r="AG921" s="192">
        <f>$BD921*VLOOKUP($AG$3,$AF$4:$AG$7,2,FALSE)</f>
        <v/>
      </c>
      <c r="AH921" s="76">
        <f>SUM(AE921,AG921,AI921)*rate_forex_risk</f>
        <v/>
      </c>
      <c r="AI921" s="193">
        <f>IF(OR(seller_region="TR",offer_sale_type="экспорт"),0,rate_fin_comm)*SUM(AZ921,AZ921*AW921,T921)</f>
        <v/>
      </c>
      <c r="AJ921" s="118">
        <f>IFERROR(ROUND(SUM(AB921,AF921:AI921)/E921,2),0)</f>
        <v/>
      </c>
      <c r="AK921" s="76">
        <f>AJ921*E921</f>
        <v/>
      </c>
      <c r="AL921" s="174">
        <f>ROUND(IFERROR(AM921*E921,0),2)</f>
        <v/>
      </c>
      <c r="AM921" s="175">
        <f>ROUND(AJ921*(1+IF(offer_incoterms="DDP",IF((TODAY()+offer_turnaround_time)&gt;=helpsheet!$L$17,rate_vatRU_from_26,rate_vatRu_till_25),0)),2)</f>
        <v/>
      </c>
      <c r="AN921" s="192">
        <f>AL921-AK921</f>
        <v/>
      </c>
      <c r="AO921" s="76">
        <f>SUM(AY921,Y921:Z921,T921)*IF(AND(offer_incoterms="DDP",offer_sale_type&lt;&gt;"экспорт"),IF((TODAY()+offer_turnaround_time)&gt;=helpsheet!$L$17,rate_vatRU_from_26,rate_vatRu_till_25),0)</f>
        <v/>
      </c>
      <c r="AP921" s="193">
        <f>AN921-AO921</f>
        <v/>
      </c>
      <c r="AQ921" s="118">
        <f>IF(offer_sale_type="транзит",SUM(AF921:AI921,BA921,BB921),0)</f>
        <v/>
      </c>
      <c r="AR921" s="82">
        <f>HYPERLINK("https://www.alta.ru/tnved/code/")&amp;W921&amp;"/"</f>
        <v/>
      </c>
      <c r="AS921" s="157" t="n"/>
      <c r="AT921" s="162" t="n"/>
      <c r="AU921" s="76">
        <f>IF(ISBLANK(AT921),0,AJ921-AT921)</f>
        <v/>
      </c>
      <c r="AV921" s="157" t="n"/>
      <c r="AW921" s="75">
        <f>_xlfn.IFNA(VLOOKUP(L921,list_vat[],3,FALSE),0)</f>
        <v/>
      </c>
      <c r="AX921" s="76">
        <f>IFERROR(ROUND(S921*(1+AW921)/E921,2),0)</f>
        <v/>
      </c>
      <c r="AY921" s="76">
        <f>E921*AX921</f>
        <v/>
      </c>
      <c r="AZ921" s="192">
        <f>S921*(1+M921)</f>
        <v/>
      </c>
      <c r="BA921" s="76">
        <f>cost_fin_total*$BD921</f>
        <v/>
      </c>
      <c r="BB921" s="193">
        <f>credit_sales_interest*BD921</f>
        <v/>
      </c>
      <c r="BC921" s="102">
        <f>IFERROR(IF($I$13&gt;0,$I921/$I$13,$S921/$S$13),0)</f>
        <v/>
      </c>
      <c r="BD921" s="102">
        <f>IFERROR($S921/$S$13,0)</f>
        <v/>
      </c>
      <c r="BE921" s="413" t="inlineStr">
        <is>
          <t>$</t>
        </is>
      </c>
    </row>
    <row r="922" ht="12" customFormat="1" customHeight="1" s="65">
      <c r="A922" s="43" t="n">
        <v>907</v>
      </c>
      <c r="B922" s="166" t="n"/>
      <c r="C922" s="166" t="n"/>
      <c r="D922" s="166" t="n"/>
      <c r="E922" s="162" t="n"/>
      <c r="F922" s="166" t="n"/>
      <c r="G922" s="162" t="n"/>
      <c r="H922" s="162" t="n"/>
      <c r="I922" s="189">
        <f>E922*G922</f>
        <v/>
      </c>
      <c r="J922" s="195" t="n"/>
      <c r="K922" s="162" t="n"/>
      <c r="L922" s="168" t="n"/>
      <c r="M922" s="75">
        <f>_xlfn.XLOOKUP(L922,list_vat[Страна],list_vat[Ставка НДС %],0,0)</f>
        <v/>
      </c>
      <c r="N922" s="162">
        <f>IFERROR(IF(L922="Китай",K922,K922/(1+M922)),0)</f>
        <v/>
      </c>
      <c r="O922" s="169" t="n"/>
      <c r="P922" s="76">
        <f>N922*(1-O922)</f>
        <v/>
      </c>
      <c r="Q922" s="162" t="n"/>
      <c r="R922" s="162">
        <f>IF(ISBLANK(Q922),"введи курс",P922/Q922)</f>
        <v/>
      </c>
      <c r="S922" s="196">
        <f>IF(AND(ISNUMBER(E922),ISNUMBER(Q922)),E922*R922,0)</f>
        <v/>
      </c>
      <c r="T922" s="192">
        <f>$BC922*V$11</f>
        <v/>
      </c>
      <c r="U922" s="76">
        <f>$BC922*W$11</f>
        <v/>
      </c>
      <c r="V922" s="193">
        <f>+SUM(T922:U922)</f>
        <v/>
      </c>
      <c r="W922" s="191" t="n"/>
      <c r="X922" s="170" t="n"/>
      <c r="Y922" s="76">
        <f>ROUND(IF(offer_incoterms="DDP",X922*(S922*(1+AW922)+T922),0),2)</f>
        <v/>
      </c>
      <c r="Z922" s="188" t="n"/>
      <c r="AA922" s="192">
        <f>IFERROR(AB922/E922,0)</f>
        <v/>
      </c>
      <c r="AB922" s="76">
        <f>ROUND(SUM(S922,V922,Y922:Z922,BA922:BB922),2)</f>
        <v/>
      </c>
      <c r="AC922" s="797" t="n"/>
      <c r="AD922" s="192">
        <f t="array" ref="AD922">IFERROR(ROUND((_xlfn.IFS(offer_sale_type="поставка",AB922,offer_sale_type="транзит",S922)*(1+AC922))/E922,2),0)</f>
        <v/>
      </c>
      <c r="AE922" s="76">
        <f>AD922*E922</f>
        <v/>
      </c>
      <c r="AF922" s="193">
        <f t="array" ref="AF922">IFERROR(ROUND(_xlfn.IFS(offer_sale_type="поставка",AB922,offer_sale_type="транзит",S922)*AC922,2),0)</f>
        <v/>
      </c>
      <c r="AG922" s="192">
        <f>$BD922*VLOOKUP($AG$3,$AF$4:$AG$7,2,FALSE)</f>
        <v/>
      </c>
      <c r="AH922" s="76">
        <f>SUM(AE922,AG922,AI922)*rate_forex_risk</f>
        <v/>
      </c>
      <c r="AI922" s="193">
        <f>IF(OR(seller_region="TR",offer_sale_type="экспорт"),0,rate_fin_comm)*SUM(AZ922,AZ922*AW922,T922)</f>
        <v/>
      </c>
      <c r="AJ922" s="118">
        <f>IFERROR(ROUND(SUM(AB922,AF922:AI922)/E922,2),0)</f>
        <v/>
      </c>
      <c r="AK922" s="76">
        <f>AJ922*E922</f>
        <v/>
      </c>
      <c r="AL922" s="174">
        <f>ROUND(IFERROR(AM922*E922,0),2)</f>
        <v/>
      </c>
      <c r="AM922" s="175">
        <f>ROUND(AJ922*(1+IF(offer_incoterms="DDP",IF((TODAY()+offer_turnaround_time)&gt;=helpsheet!$L$17,rate_vatRU_from_26,rate_vatRu_till_25),0)),2)</f>
        <v/>
      </c>
      <c r="AN922" s="192">
        <f>AL922-AK922</f>
        <v/>
      </c>
      <c r="AO922" s="76">
        <f>SUM(AY922,Y922:Z922,T922)*IF(AND(offer_incoterms="DDP",offer_sale_type&lt;&gt;"экспорт"),IF((TODAY()+offer_turnaround_time)&gt;=helpsheet!$L$17,rate_vatRU_from_26,rate_vatRu_till_25),0)</f>
        <v/>
      </c>
      <c r="AP922" s="193">
        <f>AN922-AO922</f>
        <v/>
      </c>
      <c r="AQ922" s="118">
        <f>IF(offer_sale_type="транзит",SUM(AF922:AI922,BA922,BB922),0)</f>
        <v/>
      </c>
      <c r="AR922" s="82">
        <f>HYPERLINK("https://www.alta.ru/tnved/code/")&amp;W922&amp;"/"</f>
        <v/>
      </c>
      <c r="AS922" s="157" t="n"/>
      <c r="AT922" s="162" t="n"/>
      <c r="AU922" s="76">
        <f>IF(ISBLANK(AT922),0,AJ922-AT922)</f>
        <v/>
      </c>
      <c r="AV922" s="157" t="n"/>
      <c r="AW922" s="75">
        <f>_xlfn.IFNA(VLOOKUP(L922,list_vat[],3,FALSE),0)</f>
        <v/>
      </c>
      <c r="AX922" s="76">
        <f>IFERROR(ROUND(S922*(1+AW922)/E922,2),0)</f>
        <v/>
      </c>
      <c r="AY922" s="76">
        <f>E922*AX922</f>
        <v/>
      </c>
      <c r="AZ922" s="192">
        <f>S922*(1+M922)</f>
        <v/>
      </c>
      <c r="BA922" s="76">
        <f>cost_fin_total*$BD922</f>
        <v/>
      </c>
      <c r="BB922" s="193">
        <f>credit_sales_interest*BD922</f>
        <v/>
      </c>
      <c r="BC922" s="102">
        <f>IFERROR(IF($I$13&gt;0,$I922/$I$13,$S922/$S$13),0)</f>
        <v/>
      </c>
      <c r="BD922" s="102">
        <f>IFERROR($S922/$S$13,0)</f>
        <v/>
      </c>
      <c r="BE922" s="413" t="inlineStr">
        <is>
          <t>$</t>
        </is>
      </c>
    </row>
    <row r="923" ht="12" customFormat="1" customHeight="1" s="65">
      <c r="A923" s="43" t="n">
        <v>908</v>
      </c>
      <c r="B923" s="166" t="n"/>
      <c r="C923" s="166" t="n"/>
      <c r="D923" s="166" t="n"/>
      <c r="E923" s="162" t="n"/>
      <c r="F923" s="166" t="n"/>
      <c r="G923" s="162" t="n"/>
      <c r="H923" s="162" t="n"/>
      <c r="I923" s="189">
        <f>E923*G923</f>
        <v/>
      </c>
      <c r="J923" s="195" t="n"/>
      <c r="K923" s="162" t="n"/>
      <c r="L923" s="168" t="n"/>
      <c r="M923" s="75">
        <f>_xlfn.XLOOKUP(L923,list_vat[Страна],list_vat[Ставка НДС %],0,0)</f>
        <v/>
      </c>
      <c r="N923" s="162">
        <f>IFERROR(IF(L923="Китай",K923,K923/(1+M923)),0)</f>
        <v/>
      </c>
      <c r="O923" s="169" t="n"/>
      <c r="P923" s="76">
        <f>N923*(1-O923)</f>
        <v/>
      </c>
      <c r="Q923" s="162" t="n"/>
      <c r="R923" s="162">
        <f>IF(ISBLANK(Q923),"введи курс",P923/Q923)</f>
        <v/>
      </c>
      <c r="S923" s="196">
        <f>IF(AND(ISNUMBER(E923),ISNUMBER(Q923)),E923*R923,0)</f>
        <v/>
      </c>
      <c r="T923" s="192">
        <f>$BC923*V$11</f>
        <v/>
      </c>
      <c r="U923" s="76">
        <f>$BC923*W$11</f>
        <v/>
      </c>
      <c r="V923" s="193">
        <f>+SUM(T923:U923)</f>
        <v/>
      </c>
      <c r="W923" s="191" t="n"/>
      <c r="X923" s="170" t="n"/>
      <c r="Y923" s="76">
        <f>ROUND(IF(offer_incoterms="DDP",X923*(S923*(1+AW923)+T923),0),2)</f>
        <v/>
      </c>
      <c r="Z923" s="188" t="n"/>
      <c r="AA923" s="192">
        <f>IFERROR(AB923/E923,0)</f>
        <v/>
      </c>
      <c r="AB923" s="76">
        <f>ROUND(SUM(S923,V923,Y923:Z923,BA923:BB923),2)</f>
        <v/>
      </c>
      <c r="AC923" s="797" t="n"/>
      <c r="AD923" s="192">
        <f t="array" ref="AD923">IFERROR(ROUND((_xlfn.IFS(offer_sale_type="поставка",AB923,offer_sale_type="транзит",S923)*(1+AC923))/E923,2),0)</f>
        <v/>
      </c>
      <c r="AE923" s="76">
        <f>AD923*E923</f>
        <v/>
      </c>
      <c r="AF923" s="193">
        <f t="array" ref="AF923">IFERROR(ROUND(_xlfn.IFS(offer_sale_type="поставка",AB923,offer_sale_type="транзит",S923)*AC923,2),0)</f>
        <v/>
      </c>
      <c r="AG923" s="192">
        <f>$BD923*VLOOKUP($AG$3,$AF$4:$AG$7,2,FALSE)</f>
        <v/>
      </c>
      <c r="AH923" s="76">
        <f>SUM(AE923,AG923,AI923)*rate_forex_risk</f>
        <v/>
      </c>
      <c r="AI923" s="193">
        <f>IF(OR(seller_region="TR",offer_sale_type="экспорт"),0,rate_fin_comm)*SUM(AZ923,AZ923*AW923,T923)</f>
        <v/>
      </c>
      <c r="AJ923" s="118">
        <f>IFERROR(ROUND(SUM(AB923,AF923:AI923)/E923,2),0)</f>
        <v/>
      </c>
      <c r="AK923" s="76">
        <f>AJ923*E923</f>
        <v/>
      </c>
      <c r="AL923" s="174">
        <f>ROUND(IFERROR(AM923*E923,0),2)</f>
        <v/>
      </c>
      <c r="AM923" s="175">
        <f>ROUND(AJ923*(1+IF(offer_incoterms="DDP",IF((TODAY()+offer_turnaround_time)&gt;=helpsheet!$L$17,rate_vatRU_from_26,rate_vatRu_till_25),0)),2)</f>
        <v/>
      </c>
      <c r="AN923" s="192">
        <f>AL923-AK923</f>
        <v/>
      </c>
      <c r="AO923" s="76">
        <f>SUM(AY923,Y923:Z923,T923)*IF(AND(offer_incoterms="DDP",offer_sale_type&lt;&gt;"экспорт"),IF((TODAY()+offer_turnaround_time)&gt;=helpsheet!$L$17,rate_vatRU_from_26,rate_vatRu_till_25),0)</f>
        <v/>
      </c>
      <c r="AP923" s="193">
        <f>AN923-AO923</f>
        <v/>
      </c>
      <c r="AQ923" s="118">
        <f>IF(offer_sale_type="транзит",SUM(AF923:AI923,BA923,BB923),0)</f>
        <v/>
      </c>
      <c r="AR923" s="82">
        <f>HYPERLINK("https://www.alta.ru/tnved/code/")&amp;W923&amp;"/"</f>
        <v/>
      </c>
      <c r="AS923" s="157" t="n"/>
      <c r="AT923" s="162" t="n"/>
      <c r="AU923" s="76">
        <f>IF(ISBLANK(AT923),0,AJ923-AT923)</f>
        <v/>
      </c>
      <c r="AV923" s="157" t="n"/>
      <c r="AW923" s="75">
        <f>_xlfn.IFNA(VLOOKUP(L923,list_vat[],3,FALSE),0)</f>
        <v/>
      </c>
      <c r="AX923" s="76">
        <f>IFERROR(ROUND(S923*(1+AW923)/E923,2),0)</f>
        <v/>
      </c>
      <c r="AY923" s="76">
        <f>E923*AX923</f>
        <v/>
      </c>
      <c r="AZ923" s="192">
        <f>S923*(1+M923)</f>
        <v/>
      </c>
      <c r="BA923" s="76">
        <f>cost_fin_total*$BD923</f>
        <v/>
      </c>
      <c r="BB923" s="193">
        <f>credit_sales_interest*BD923</f>
        <v/>
      </c>
      <c r="BC923" s="102">
        <f>IFERROR(IF($I$13&gt;0,$I923/$I$13,$S923/$S$13),0)</f>
        <v/>
      </c>
      <c r="BD923" s="102">
        <f>IFERROR($S923/$S$13,0)</f>
        <v/>
      </c>
      <c r="BE923" s="413" t="inlineStr">
        <is>
          <t>$</t>
        </is>
      </c>
    </row>
    <row r="924" ht="12" customFormat="1" customHeight="1" s="65">
      <c r="A924" s="43" t="n">
        <v>909</v>
      </c>
      <c r="B924" s="166" t="n"/>
      <c r="C924" s="166" t="n"/>
      <c r="D924" s="166" t="n"/>
      <c r="E924" s="162" t="n"/>
      <c r="F924" s="166" t="n"/>
      <c r="G924" s="162" t="n"/>
      <c r="H924" s="162" t="n"/>
      <c r="I924" s="189">
        <f>E924*G924</f>
        <v/>
      </c>
      <c r="J924" s="195" t="n"/>
      <c r="K924" s="162" t="n"/>
      <c r="L924" s="168" t="n"/>
      <c r="M924" s="75">
        <f>_xlfn.XLOOKUP(L924,list_vat[Страна],list_vat[Ставка НДС %],0,0)</f>
        <v/>
      </c>
      <c r="N924" s="162">
        <f>IFERROR(IF(L924="Китай",K924,K924/(1+M924)),0)</f>
        <v/>
      </c>
      <c r="O924" s="169" t="n"/>
      <c r="P924" s="76">
        <f>N924*(1-O924)</f>
        <v/>
      </c>
      <c r="Q924" s="162" t="n"/>
      <c r="R924" s="162">
        <f>IF(ISBLANK(Q924),"введи курс",P924/Q924)</f>
        <v/>
      </c>
      <c r="S924" s="196">
        <f>IF(AND(ISNUMBER(E924),ISNUMBER(Q924)),E924*R924,0)</f>
        <v/>
      </c>
      <c r="T924" s="192">
        <f>$BC924*V$11</f>
        <v/>
      </c>
      <c r="U924" s="76">
        <f>$BC924*W$11</f>
        <v/>
      </c>
      <c r="V924" s="193">
        <f>+SUM(T924:U924)</f>
        <v/>
      </c>
      <c r="W924" s="191" t="n"/>
      <c r="X924" s="170" t="n"/>
      <c r="Y924" s="76">
        <f>ROUND(IF(offer_incoterms="DDP",X924*(S924*(1+AW924)+T924),0),2)</f>
        <v/>
      </c>
      <c r="Z924" s="188" t="n"/>
      <c r="AA924" s="192">
        <f>IFERROR(AB924/E924,0)</f>
        <v/>
      </c>
      <c r="AB924" s="76">
        <f>ROUND(SUM(S924,V924,Y924:Z924,BA924:BB924),2)</f>
        <v/>
      </c>
      <c r="AC924" s="797" t="n"/>
      <c r="AD924" s="192">
        <f t="array" ref="AD924">IFERROR(ROUND((_xlfn.IFS(offer_sale_type="поставка",AB924,offer_sale_type="транзит",S924)*(1+AC924))/E924,2),0)</f>
        <v/>
      </c>
      <c r="AE924" s="76">
        <f>AD924*E924</f>
        <v/>
      </c>
      <c r="AF924" s="193">
        <f t="array" ref="AF924">IFERROR(ROUND(_xlfn.IFS(offer_sale_type="поставка",AB924,offer_sale_type="транзит",S924)*AC924,2),0)</f>
        <v/>
      </c>
      <c r="AG924" s="192">
        <f>$BD924*VLOOKUP($AG$3,$AF$4:$AG$7,2,FALSE)</f>
        <v/>
      </c>
      <c r="AH924" s="76">
        <f>SUM(AE924,AG924,AI924)*rate_forex_risk</f>
        <v/>
      </c>
      <c r="AI924" s="193">
        <f>IF(OR(seller_region="TR",offer_sale_type="экспорт"),0,rate_fin_comm)*SUM(AZ924,AZ924*AW924,T924)</f>
        <v/>
      </c>
      <c r="AJ924" s="118">
        <f>IFERROR(ROUND(SUM(AB924,AF924:AI924)/E924,2),0)</f>
        <v/>
      </c>
      <c r="AK924" s="76">
        <f>AJ924*E924</f>
        <v/>
      </c>
      <c r="AL924" s="174">
        <f>ROUND(IFERROR(AM924*E924,0),2)</f>
        <v/>
      </c>
      <c r="AM924" s="175">
        <f>ROUND(AJ924*(1+IF(offer_incoterms="DDP",IF((TODAY()+offer_turnaround_time)&gt;=helpsheet!$L$17,rate_vatRU_from_26,rate_vatRu_till_25),0)),2)</f>
        <v/>
      </c>
      <c r="AN924" s="192">
        <f>AL924-AK924</f>
        <v/>
      </c>
      <c r="AO924" s="76">
        <f>SUM(AY924,Y924:Z924,T924)*IF(AND(offer_incoterms="DDP",offer_sale_type&lt;&gt;"экспорт"),IF((TODAY()+offer_turnaround_time)&gt;=helpsheet!$L$17,rate_vatRU_from_26,rate_vatRu_till_25),0)</f>
        <v/>
      </c>
      <c r="AP924" s="193">
        <f>AN924-AO924</f>
        <v/>
      </c>
      <c r="AQ924" s="118">
        <f>IF(offer_sale_type="транзит",SUM(AF924:AI924,BA924,BB924),0)</f>
        <v/>
      </c>
      <c r="AR924" s="82">
        <f>HYPERLINK("https://www.alta.ru/tnved/code/")&amp;W924&amp;"/"</f>
        <v/>
      </c>
      <c r="AS924" s="157" t="n"/>
      <c r="AT924" s="162" t="n"/>
      <c r="AU924" s="76">
        <f>IF(ISBLANK(AT924),0,AJ924-AT924)</f>
        <v/>
      </c>
      <c r="AV924" s="157" t="n"/>
      <c r="AW924" s="75">
        <f>_xlfn.IFNA(VLOOKUP(L924,list_vat[],3,FALSE),0)</f>
        <v/>
      </c>
      <c r="AX924" s="76">
        <f>IFERROR(ROUND(S924*(1+AW924)/E924,2),0)</f>
        <v/>
      </c>
      <c r="AY924" s="76">
        <f>E924*AX924</f>
        <v/>
      </c>
      <c r="AZ924" s="192">
        <f>S924*(1+M924)</f>
        <v/>
      </c>
      <c r="BA924" s="76">
        <f>cost_fin_total*$BD924</f>
        <v/>
      </c>
      <c r="BB924" s="193">
        <f>credit_sales_interest*BD924</f>
        <v/>
      </c>
      <c r="BC924" s="102">
        <f>IFERROR(IF($I$13&gt;0,$I924/$I$13,$S924/$S$13),0)</f>
        <v/>
      </c>
      <c r="BD924" s="102">
        <f>IFERROR($S924/$S$13,0)</f>
        <v/>
      </c>
      <c r="BE924" s="413" t="inlineStr">
        <is>
          <t>$</t>
        </is>
      </c>
    </row>
    <row r="925" ht="12" customFormat="1" customHeight="1" s="65">
      <c r="A925" s="43" t="n">
        <v>910</v>
      </c>
      <c r="B925" s="166" t="n"/>
      <c r="C925" s="166" t="n"/>
      <c r="D925" s="166" t="n"/>
      <c r="E925" s="162" t="n"/>
      <c r="F925" s="166" t="n"/>
      <c r="G925" s="162" t="n"/>
      <c r="H925" s="162" t="n"/>
      <c r="I925" s="189">
        <f>E925*G925</f>
        <v/>
      </c>
      <c r="J925" s="195" t="n"/>
      <c r="K925" s="162" t="n"/>
      <c r="L925" s="168" t="n"/>
      <c r="M925" s="75">
        <f>_xlfn.XLOOKUP(L925,list_vat[Страна],list_vat[Ставка НДС %],0,0)</f>
        <v/>
      </c>
      <c r="N925" s="162">
        <f>IFERROR(IF(L925="Китай",K925,K925/(1+M925)),0)</f>
        <v/>
      </c>
      <c r="O925" s="169" t="n"/>
      <c r="P925" s="76">
        <f>N925*(1-O925)</f>
        <v/>
      </c>
      <c r="Q925" s="162" t="n"/>
      <c r="R925" s="162">
        <f>IF(ISBLANK(Q925),"введи курс",P925/Q925)</f>
        <v/>
      </c>
      <c r="S925" s="196">
        <f>IF(AND(ISNUMBER(E925),ISNUMBER(Q925)),E925*R925,0)</f>
        <v/>
      </c>
      <c r="T925" s="192">
        <f>$BC925*V$11</f>
        <v/>
      </c>
      <c r="U925" s="76">
        <f>$BC925*W$11</f>
        <v/>
      </c>
      <c r="V925" s="193">
        <f>+SUM(T925:U925)</f>
        <v/>
      </c>
      <c r="W925" s="191" t="n"/>
      <c r="X925" s="170" t="n"/>
      <c r="Y925" s="76">
        <f>ROUND(IF(offer_incoterms="DDP",X925*(S925*(1+AW925)+T925),0),2)</f>
        <v/>
      </c>
      <c r="Z925" s="188" t="n"/>
      <c r="AA925" s="192">
        <f>IFERROR(AB925/E925,0)</f>
        <v/>
      </c>
      <c r="AB925" s="76">
        <f>ROUND(SUM(S925,V925,Y925:Z925,BA925:BB925),2)</f>
        <v/>
      </c>
      <c r="AC925" s="797" t="n"/>
      <c r="AD925" s="192">
        <f t="array" ref="AD925">IFERROR(ROUND((_xlfn.IFS(offer_sale_type="поставка",AB925,offer_sale_type="транзит",S925)*(1+AC925))/E925,2),0)</f>
        <v/>
      </c>
      <c r="AE925" s="76">
        <f>AD925*E925</f>
        <v/>
      </c>
      <c r="AF925" s="193">
        <f t="array" ref="AF925">IFERROR(ROUND(_xlfn.IFS(offer_sale_type="поставка",AB925,offer_sale_type="транзит",S925)*AC925,2),0)</f>
        <v/>
      </c>
      <c r="AG925" s="192">
        <f>$BD925*VLOOKUP($AG$3,$AF$4:$AG$7,2,FALSE)</f>
        <v/>
      </c>
      <c r="AH925" s="76">
        <f>SUM(AE925,AG925,AI925)*rate_forex_risk</f>
        <v/>
      </c>
      <c r="AI925" s="193">
        <f>IF(OR(seller_region="TR",offer_sale_type="экспорт"),0,rate_fin_comm)*SUM(AZ925,AZ925*AW925,T925)</f>
        <v/>
      </c>
      <c r="AJ925" s="118">
        <f>IFERROR(ROUND(SUM(AB925,AF925:AI925)/E925,2),0)</f>
        <v/>
      </c>
      <c r="AK925" s="76">
        <f>AJ925*E925</f>
        <v/>
      </c>
      <c r="AL925" s="174">
        <f>ROUND(IFERROR(AM925*E925,0),2)</f>
        <v/>
      </c>
      <c r="AM925" s="175">
        <f>ROUND(AJ925*(1+IF(offer_incoterms="DDP",IF((TODAY()+offer_turnaround_time)&gt;=helpsheet!$L$17,rate_vatRU_from_26,rate_vatRu_till_25),0)),2)</f>
        <v/>
      </c>
      <c r="AN925" s="192">
        <f>AL925-AK925</f>
        <v/>
      </c>
      <c r="AO925" s="76">
        <f>SUM(AY925,Y925:Z925,T925)*IF(AND(offer_incoterms="DDP",offer_sale_type&lt;&gt;"экспорт"),IF((TODAY()+offer_turnaround_time)&gt;=helpsheet!$L$17,rate_vatRU_from_26,rate_vatRu_till_25),0)</f>
        <v/>
      </c>
      <c r="AP925" s="193">
        <f>AN925-AO925</f>
        <v/>
      </c>
      <c r="AQ925" s="118">
        <f>IF(offer_sale_type="транзит",SUM(AF925:AI925,BA925,BB925),0)</f>
        <v/>
      </c>
      <c r="AR925" s="82">
        <f>HYPERLINK("https://www.alta.ru/tnved/code/")&amp;W925&amp;"/"</f>
        <v/>
      </c>
      <c r="AS925" s="157" t="n"/>
      <c r="AT925" s="162" t="n"/>
      <c r="AU925" s="76">
        <f>IF(ISBLANK(AT925),0,AJ925-AT925)</f>
        <v/>
      </c>
      <c r="AV925" s="157" t="n"/>
      <c r="AW925" s="75">
        <f>_xlfn.IFNA(VLOOKUP(L925,list_vat[],3,FALSE),0)</f>
        <v/>
      </c>
      <c r="AX925" s="76">
        <f>IFERROR(ROUND(S925*(1+AW925)/E925,2),0)</f>
        <v/>
      </c>
      <c r="AY925" s="76">
        <f>E925*AX925</f>
        <v/>
      </c>
      <c r="AZ925" s="192">
        <f>S925*(1+M925)</f>
        <v/>
      </c>
      <c r="BA925" s="76">
        <f>cost_fin_total*$BD925</f>
        <v/>
      </c>
      <c r="BB925" s="193">
        <f>credit_sales_interest*BD925</f>
        <v/>
      </c>
      <c r="BC925" s="102">
        <f>IFERROR(IF($I$13&gt;0,$I925/$I$13,$S925/$S$13),0)</f>
        <v/>
      </c>
      <c r="BD925" s="102">
        <f>IFERROR($S925/$S$13,0)</f>
        <v/>
      </c>
      <c r="BE925" s="413" t="inlineStr">
        <is>
          <t>$</t>
        </is>
      </c>
    </row>
    <row r="926" ht="12" customFormat="1" customHeight="1" s="65">
      <c r="A926" s="43" t="n">
        <v>911</v>
      </c>
      <c r="B926" s="166" t="n"/>
      <c r="C926" s="166" t="n"/>
      <c r="D926" s="166" t="n"/>
      <c r="E926" s="162" t="n"/>
      <c r="F926" s="166" t="n"/>
      <c r="G926" s="162" t="n"/>
      <c r="H926" s="162" t="n"/>
      <c r="I926" s="189">
        <f>E926*G926</f>
        <v/>
      </c>
      <c r="J926" s="195" t="n"/>
      <c r="K926" s="162" t="n"/>
      <c r="L926" s="168" t="n"/>
      <c r="M926" s="75">
        <f>_xlfn.XLOOKUP(L926,list_vat[Страна],list_vat[Ставка НДС %],0,0)</f>
        <v/>
      </c>
      <c r="N926" s="162">
        <f>IFERROR(IF(L926="Китай",K926,K926/(1+M926)),0)</f>
        <v/>
      </c>
      <c r="O926" s="169" t="n"/>
      <c r="P926" s="76">
        <f>N926*(1-O926)</f>
        <v/>
      </c>
      <c r="Q926" s="162" t="n"/>
      <c r="R926" s="162">
        <f>IF(ISBLANK(Q926),"введи курс",P926/Q926)</f>
        <v/>
      </c>
      <c r="S926" s="196">
        <f>IF(AND(ISNUMBER(E926),ISNUMBER(Q926)),E926*R926,0)</f>
        <v/>
      </c>
      <c r="T926" s="192">
        <f>$BC926*V$11</f>
        <v/>
      </c>
      <c r="U926" s="76">
        <f>$BC926*W$11</f>
        <v/>
      </c>
      <c r="V926" s="193">
        <f>+SUM(T926:U926)</f>
        <v/>
      </c>
      <c r="W926" s="191" t="n"/>
      <c r="X926" s="170" t="n"/>
      <c r="Y926" s="76">
        <f>ROUND(IF(offer_incoterms="DDP",X926*(S926*(1+AW926)+T926),0),2)</f>
        <v/>
      </c>
      <c r="Z926" s="188" t="n"/>
      <c r="AA926" s="192">
        <f>IFERROR(AB926/E926,0)</f>
        <v/>
      </c>
      <c r="AB926" s="76">
        <f>ROUND(SUM(S926,V926,Y926:Z926,BA926:BB926),2)</f>
        <v/>
      </c>
      <c r="AC926" s="797" t="n"/>
      <c r="AD926" s="192">
        <f t="array" ref="AD926">IFERROR(ROUND((_xlfn.IFS(offer_sale_type="поставка",AB926,offer_sale_type="транзит",S926)*(1+AC926))/E926,2),0)</f>
        <v/>
      </c>
      <c r="AE926" s="76">
        <f>AD926*E926</f>
        <v/>
      </c>
      <c r="AF926" s="193">
        <f t="array" ref="AF926">IFERROR(ROUND(_xlfn.IFS(offer_sale_type="поставка",AB926,offer_sale_type="транзит",S926)*AC926,2),0)</f>
        <v/>
      </c>
      <c r="AG926" s="192">
        <f>$BD926*VLOOKUP($AG$3,$AF$4:$AG$7,2,FALSE)</f>
        <v/>
      </c>
      <c r="AH926" s="76">
        <f>SUM(AE926,AG926,AI926)*rate_forex_risk</f>
        <v/>
      </c>
      <c r="AI926" s="193">
        <f>IF(OR(seller_region="TR",offer_sale_type="экспорт"),0,rate_fin_comm)*SUM(AZ926,AZ926*AW926,T926)</f>
        <v/>
      </c>
      <c r="AJ926" s="118">
        <f>IFERROR(ROUND(SUM(AB926,AF926:AI926)/E926,2),0)</f>
        <v/>
      </c>
      <c r="AK926" s="76">
        <f>AJ926*E926</f>
        <v/>
      </c>
      <c r="AL926" s="174">
        <f>ROUND(IFERROR(AM926*E926,0),2)</f>
        <v/>
      </c>
      <c r="AM926" s="175">
        <f>ROUND(AJ926*(1+IF(offer_incoterms="DDP",IF((TODAY()+offer_turnaround_time)&gt;=helpsheet!$L$17,rate_vatRU_from_26,rate_vatRu_till_25),0)),2)</f>
        <v/>
      </c>
      <c r="AN926" s="192">
        <f>AL926-AK926</f>
        <v/>
      </c>
      <c r="AO926" s="76">
        <f>SUM(AY926,Y926:Z926,T926)*IF(AND(offer_incoterms="DDP",offer_sale_type&lt;&gt;"экспорт"),IF((TODAY()+offer_turnaround_time)&gt;=helpsheet!$L$17,rate_vatRU_from_26,rate_vatRu_till_25),0)</f>
        <v/>
      </c>
      <c r="AP926" s="193">
        <f>AN926-AO926</f>
        <v/>
      </c>
      <c r="AQ926" s="118">
        <f>IF(offer_sale_type="транзит",SUM(AF926:AI926,BA926,BB926),0)</f>
        <v/>
      </c>
      <c r="AR926" s="82">
        <f>HYPERLINK("https://www.alta.ru/tnved/code/")&amp;W926&amp;"/"</f>
        <v/>
      </c>
      <c r="AS926" s="157" t="n"/>
      <c r="AT926" s="162" t="n"/>
      <c r="AU926" s="76">
        <f>IF(ISBLANK(AT926),0,AJ926-AT926)</f>
        <v/>
      </c>
      <c r="AV926" s="157" t="n"/>
      <c r="AW926" s="75">
        <f>_xlfn.IFNA(VLOOKUP(L926,list_vat[],3,FALSE),0)</f>
        <v/>
      </c>
      <c r="AX926" s="76">
        <f>IFERROR(ROUND(S926*(1+AW926)/E926,2),0)</f>
        <v/>
      </c>
      <c r="AY926" s="76">
        <f>E926*AX926</f>
        <v/>
      </c>
      <c r="AZ926" s="192">
        <f>S926*(1+M926)</f>
        <v/>
      </c>
      <c r="BA926" s="76">
        <f>cost_fin_total*$BD926</f>
        <v/>
      </c>
      <c r="BB926" s="193">
        <f>credit_sales_interest*BD926</f>
        <v/>
      </c>
      <c r="BC926" s="102">
        <f>IFERROR(IF($I$13&gt;0,$I926/$I$13,$S926/$S$13),0)</f>
        <v/>
      </c>
      <c r="BD926" s="102">
        <f>IFERROR($S926/$S$13,0)</f>
        <v/>
      </c>
      <c r="BE926" s="413" t="inlineStr">
        <is>
          <t>$</t>
        </is>
      </c>
    </row>
    <row r="927" ht="12" customFormat="1" customHeight="1" s="65">
      <c r="A927" s="43" t="n">
        <v>912</v>
      </c>
      <c r="B927" s="166" t="n"/>
      <c r="C927" s="166" t="n"/>
      <c r="D927" s="166" t="n"/>
      <c r="E927" s="162" t="n"/>
      <c r="F927" s="166" t="n"/>
      <c r="G927" s="162" t="n"/>
      <c r="H927" s="162" t="n"/>
      <c r="I927" s="189">
        <f>E927*G927</f>
        <v/>
      </c>
      <c r="J927" s="195" t="n"/>
      <c r="K927" s="162" t="n"/>
      <c r="L927" s="168" t="n"/>
      <c r="M927" s="75">
        <f>_xlfn.XLOOKUP(L927,list_vat[Страна],list_vat[Ставка НДС %],0,0)</f>
        <v/>
      </c>
      <c r="N927" s="162">
        <f>IFERROR(IF(L927="Китай",K927,K927/(1+M927)),0)</f>
        <v/>
      </c>
      <c r="O927" s="169" t="n"/>
      <c r="P927" s="76">
        <f>N927*(1-O927)</f>
        <v/>
      </c>
      <c r="Q927" s="162" t="n"/>
      <c r="R927" s="162">
        <f>IF(ISBLANK(Q927),"введи курс",P927/Q927)</f>
        <v/>
      </c>
      <c r="S927" s="196">
        <f>IF(AND(ISNUMBER(E927),ISNUMBER(Q927)),E927*R927,0)</f>
        <v/>
      </c>
      <c r="T927" s="192">
        <f>$BC927*V$11</f>
        <v/>
      </c>
      <c r="U927" s="76">
        <f>$BC927*W$11</f>
        <v/>
      </c>
      <c r="V927" s="193">
        <f>+SUM(T927:U927)</f>
        <v/>
      </c>
      <c r="W927" s="191" t="n"/>
      <c r="X927" s="170" t="n"/>
      <c r="Y927" s="76">
        <f>ROUND(IF(offer_incoterms="DDP",X927*(S927*(1+AW927)+T927),0),2)</f>
        <v/>
      </c>
      <c r="Z927" s="188" t="n"/>
      <c r="AA927" s="192">
        <f>IFERROR(AB927/E927,0)</f>
        <v/>
      </c>
      <c r="AB927" s="76">
        <f>ROUND(SUM(S927,V927,Y927:Z927,BA927:BB927),2)</f>
        <v/>
      </c>
      <c r="AC927" s="797" t="n"/>
      <c r="AD927" s="192">
        <f t="array" ref="AD927">IFERROR(ROUND((_xlfn.IFS(offer_sale_type="поставка",AB927,offer_sale_type="транзит",S927)*(1+AC927))/E927,2),0)</f>
        <v/>
      </c>
      <c r="AE927" s="76">
        <f>AD927*E927</f>
        <v/>
      </c>
      <c r="AF927" s="193">
        <f t="array" ref="AF927">IFERROR(ROUND(_xlfn.IFS(offer_sale_type="поставка",AB927,offer_sale_type="транзит",S927)*AC927,2),0)</f>
        <v/>
      </c>
      <c r="AG927" s="192">
        <f>$BD927*VLOOKUP($AG$3,$AF$4:$AG$7,2,FALSE)</f>
        <v/>
      </c>
      <c r="AH927" s="76">
        <f>SUM(AE927,AG927,AI927)*rate_forex_risk</f>
        <v/>
      </c>
      <c r="AI927" s="193">
        <f>IF(OR(seller_region="TR",offer_sale_type="экспорт"),0,rate_fin_comm)*SUM(AZ927,AZ927*AW927,T927)</f>
        <v/>
      </c>
      <c r="AJ927" s="118">
        <f>IFERROR(ROUND(SUM(AB927,AF927:AI927)/E927,2),0)</f>
        <v/>
      </c>
      <c r="AK927" s="76">
        <f>AJ927*E927</f>
        <v/>
      </c>
      <c r="AL927" s="174">
        <f>ROUND(IFERROR(AM927*E927,0),2)</f>
        <v/>
      </c>
      <c r="AM927" s="175">
        <f>ROUND(AJ927*(1+IF(offer_incoterms="DDP",IF((TODAY()+offer_turnaround_time)&gt;=helpsheet!$L$17,rate_vatRU_from_26,rate_vatRu_till_25),0)),2)</f>
        <v/>
      </c>
      <c r="AN927" s="192">
        <f>AL927-AK927</f>
        <v/>
      </c>
      <c r="AO927" s="76">
        <f>SUM(AY927,Y927:Z927,T927)*IF(AND(offer_incoterms="DDP",offer_sale_type&lt;&gt;"экспорт"),IF((TODAY()+offer_turnaround_time)&gt;=helpsheet!$L$17,rate_vatRU_from_26,rate_vatRu_till_25),0)</f>
        <v/>
      </c>
      <c r="AP927" s="193">
        <f>AN927-AO927</f>
        <v/>
      </c>
      <c r="AQ927" s="118">
        <f>IF(offer_sale_type="транзит",SUM(AF927:AI927,BA927,BB927),0)</f>
        <v/>
      </c>
      <c r="AR927" s="82">
        <f>HYPERLINK("https://www.alta.ru/tnved/code/")&amp;W927&amp;"/"</f>
        <v/>
      </c>
      <c r="AS927" s="157" t="n"/>
      <c r="AT927" s="162" t="n"/>
      <c r="AU927" s="76">
        <f>IF(ISBLANK(AT927),0,AJ927-AT927)</f>
        <v/>
      </c>
      <c r="AV927" s="157" t="n"/>
      <c r="AW927" s="75">
        <f>_xlfn.IFNA(VLOOKUP(L927,list_vat[],3,FALSE),0)</f>
        <v/>
      </c>
      <c r="AX927" s="76">
        <f>IFERROR(ROUND(S927*(1+AW927)/E927,2),0)</f>
        <v/>
      </c>
      <c r="AY927" s="76">
        <f>E927*AX927</f>
        <v/>
      </c>
      <c r="AZ927" s="192">
        <f>S927*(1+M927)</f>
        <v/>
      </c>
      <c r="BA927" s="76">
        <f>cost_fin_total*$BD927</f>
        <v/>
      </c>
      <c r="BB927" s="193">
        <f>credit_sales_interest*BD927</f>
        <v/>
      </c>
      <c r="BC927" s="102">
        <f>IFERROR(IF($I$13&gt;0,$I927/$I$13,$S927/$S$13),0)</f>
        <v/>
      </c>
      <c r="BD927" s="102">
        <f>IFERROR($S927/$S$13,0)</f>
        <v/>
      </c>
      <c r="BE927" s="413" t="inlineStr">
        <is>
          <t>$</t>
        </is>
      </c>
    </row>
    <row r="928" ht="12" customFormat="1" customHeight="1" s="65">
      <c r="A928" s="43" t="n">
        <v>913</v>
      </c>
      <c r="B928" s="166" t="n"/>
      <c r="C928" s="166" t="n"/>
      <c r="D928" s="166" t="n"/>
      <c r="E928" s="162" t="n"/>
      <c r="F928" s="166" t="n"/>
      <c r="G928" s="162" t="n"/>
      <c r="H928" s="162" t="n"/>
      <c r="I928" s="189">
        <f>E928*G928</f>
        <v/>
      </c>
      <c r="J928" s="195" t="n"/>
      <c r="K928" s="162" t="n"/>
      <c r="L928" s="168" t="n"/>
      <c r="M928" s="75">
        <f>_xlfn.XLOOKUP(L928,list_vat[Страна],list_vat[Ставка НДС %],0,0)</f>
        <v/>
      </c>
      <c r="N928" s="162">
        <f>IFERROR(IF(L928="Китай",K928,K928/(1+M928)),0)</f>
        <v/>
      </c>
      <c r="O928" s="169" t="n"/>
      <c r="P928" s="76">
        <f>N928*(1-O928)</f>
        <v/>
      </c>
      <c r="Q928" s="162" t="n"/>
      <c r="R928" s="162">
        <f>IF(ISBLANK(Q928),"введи курс",P928/Q928)</f>
        <v/>
      </c>
      <c r="S928" s="196">
        <f>IF(AND(ISNUMBER(E928),ISNUMBER(Q928)),E928*R928,0)</f>
        <v/>
      </c>
      <c r="T928" s="192">
        <f>$BC928*V$11</f>
        <v/>
      </c>
      <c r="U928" s="76">
        <f>$BC928*W$11</f>
        <v/>
      </c>
      <c r="V928" s="193">
        <f>+SUM(T928:U928)</f>
        <v/>
      </c>
      <c r="W928" s="191" t="n"/>
      <c r="X928" s="170" t="n"/>
      <c r="Y928" s="76">
        <f>ROUND(IF(offer_incoterms="DDP",X928*(S928*(1+AW928)+T928),0),2)</f>
        <v/>
      </c>
      <c r="Z928" s="188" t="n"/>
      <c r="AA928" s="192">
        <f>IFERROR(AB928/E928,0)</f>
        <v/>
      </c>
      <c r="AB928" s="76">
        <f>ROUND(SUM(S928,V928,Y928:Z928,BA928:BB928),2)</f>
        <v/>
      </c>
      <c r="AC928" s="797" t="n"/>
      <c r="AD928" s="192">
        <f t="array" ref="AD928">IFERROR(ROUND((_xlfn.IFS(offer_sale_type="поставка",AB928,offer_sale_type="транзит",S928)*(1+AC928))/E928,2),0)</f>
        <v/>
      </c>
      <c r="AE928" s="76">
        <f>AD928*E928</f>
        <v/>
      </c>
      <c r="AF928" s="193">
        <f t="array" ref="AF928">IFERROR(ROUND(_xlfn.IFS(offer_sale_type="поставка",AB928,offer_sale_type="транзит",S928)*AC928,2),0)</f>
        <v/>
      </c>
      <c r="AG928" s="192">
        <f>$BD928*VLOOKUP($AG$3,$AF$4:$AG$7,2,FALSE)</f>
        <v/>
      </c>
      <c r="AH928" s="76">
        <f>SUM(AE928,AG928,AI928)*rate_forex_risk</f>
        <v/>
      </c>
      <c r="AI928" s="193">
        <f>IF(OR(seller_region="TR",offer_sale_type="экспорт"),0,rate_fin_comm)*SUM(AZ928,AZ928*AW928,T928)</f>
        <v/>
      </c>
      <c r="AJ928" s="118">
        <f>IFERROR(ROUND(SUM(AB928,AF928:AI928)/E928,2),0)</f>
        <v/>
      </c>
      <c r="AK928" s="76">
        <f>AJ928*E928</f>
        <v/>
      </c>
      <c r="AL928" s="174">
        <f>ROUND(IFERROR(AM928*E928,0),2)</f>
        <v/>
      </c>
      <c r="AM928" s="175">
        <f>ROUND(AJ928*(1+IF(offer_incoterms="DDP",IF((TODAY()+offer_turnaround_time)&gt;=helpsheet!$L$17,rate_vatRU_from_26,rate_vatRu_till_25),0)),2)</f>
        <v/>
      </c>
      <c r="AN928" s="192">
        <f>AL928-AK928</f>
        <v/>
      </c>
      <c r="AO928" s="76">
        <f>SUM(AY928,Y928:Z928,T928)*IF(AND(offer_incoterms="DDP",offer_sale_type&lt;&gt;"экспорт"),IF((TODAY()+offer_turnaround_time)&gt;=helpsheet!$L$17,rate_vatRU_from_26,rate_vatRu_till_25),0)</f>
        <v/>
      </c>
      <c r="AP928" s="193">
        <f>AN928-AO928</f>
        <v/>
      </c>
      <c r="AQ928" s="118">
        <f>IF(offer_sale_type="транзит",SUM(AF928:AI928,BA928,BB928),0)</f>
        <v/>
      </c>
      <c r="AR928" s="82">
        <f>HYPERLINK("https://www.alta.ru/tnved/code/")&amp;W928&amp;"/"</f>
        <v/>
      </c>
      <c r="AS928" s="157" t="n"/>
      <c r="AT928" s="162" t="n"/>
      <c r="AU928" s="76">
        <f>IF(ISBLANK(AT928),0,AJ928-AT928)</f>
        <v/>
      </c>
      <c r="AV928" s="157" t="n"/>
      <c r="AW928" s="75">
        <f>_xlfn.IFNA(VLOOKUP(L928,list_vat[],3,FALSE),0)</f>
        <v/>
      </c>
      <c r="AX928" s="76">
        <f>IFERROR(ROUND(S928*(1+AW928)/E928,2),0)</f>
        <v/>
      </c>
      <c r="AY928" s="76">
        <f>E928*AX928</f>
        <v/>
      </c>
      <c r="AZ928" s="192">
        <f>S928*(1+M928)</f>
        <v/>
      </c>
      <c r="BA928" s="76">
        <f>cost_fin_total*$BD928</f>
        <v/>
      </c>
      <c r="BB928" s="193">
        <f>credit_sales_interest*BD928</f>
        <v/>
      </c>
      <c r="BC928" s="102">
        <f>IFERROR(IF($I$13&gt;0,$I928/$I$13,$S928/$S$13),0)</f>
        <v/>
      </c>
      <c r="BD928" s="102">
        <f>IFERROR($S928/$S$13,0)</f>
        <v/>
      </c>
      <c r="BE928" s="413" t="inlineStr">
        <is>
          <t>$</t>
        </is>
      </c>
    </row>
    <row r="929" ht="12" customFormat="1" customHeight="1" s="65">
      <c r="A929" s="43" t="n">
        <v>914</v>
      </c>
      <c r="B929" s="166" t="n"/>
      <c r="C929" s="166" t="n"/>
      <c r="D929" s="166" t="n"/>
      <c r="E929" s="162" t="n"/>
      <c r="F929" s="166" t="n"/>
      <c r="G929" s="162" t="n"/>
      <c r="H929" s="162" t="n"/>
      <c r="I929" s="189">
        <f>E929*G929</f>
        <v/>
      </c>
      <c r="J929" s="195" t="n"/>
      <c r="K929" s="162" t="n"/>
      <c r="L929" s="168" t="n"/>
      <c r="M929" s="75">
        <f>_xlfn.XLOOKUP(L929,list_vat[Страна],list_vat[Ставка НДС %],0,0)</f>
        <v/>
      </c>
      <c r="N929" s="162">
        <f>IFERROR(IF(L929="Китай",K929,K929/(1+M929)),0)</f>
        <v/>
      </c>
      <c r="O929" s="169" t="n"/>
      <c r="P929" s="76">
        <f>N929*(1-O929)</f>
        <v/>
      </c>
      <c r="Q929" s="162" t="n"/>
      <c r="R929" s="162">
        <f>IF(ISBLANK(Q929),"введи курс",P929/Q929)</f>
        <v/>
      </c>
      <c r="S929" s="196">
        <f>IF(AND(ISNUMBER(E929),ISNUMBER(Q929)),E929*R929,0)</f>
        <v/>
      </c>
      <c r="T929" s="192">
        <f>$BC929*V$11</f>
        <v/>
      </c>
      <c r="U929" s="76">
        <f>$BC929*W$11</f>
        <v/>
      </c>
      <c r="V929" s="193">
        <f>+SUM(T929:U929)</f>
        <v/>
      </c>
      <c r="W929" s="191" t="n"/>
      <c r="X929" s="170" t="n"/>
      <c r="Y929" s="76">
        <f>ROUND(IF(offer_incoterms="DDP",X929*(S929*(1+AW929)+T929),0),2)</f>
        <v/>
      </c>
      <c r="Z929" s="188" t="n"/>
      <c r="AA929" s="192">
        <f>IFERROR(AB929/E929,0)</f>
        <v/>
      </c>
      <c r="AB929" s="76">
        <f>ROUND(SUM(S929,V929,Y929:Z929,BA929:BB929),2)</f>
        <v/>
      </c>
      <c r="AC929" s="797" t="n"/>
      <c r="AD929" s="192">
        <f t="array" ref="AD929">IFERROR(ROUND((_xlfn.IFS(offer_sale_type="поставка",AB929,offer_sale_type="транзит",S929)*(1+AC929))/E929,2),0)</f>
        <v/>
      </c>
      <c r="AE929" s="76">
        <f>AD929*E929</f>
        <v/>
      </c>
      <c r="AF929" s="193">
        <f t="array" ref="AF929">IFERROR(ROUND(_xlfn.IFS(offer_sale_type="поставка",AB929,offer_sale_type="транзит",S929)*AC929,2),0)</f>
        <v/>
      </c>
      <c r="AG929" s="192">
        <f>$BD929*VLOOKUP($AG$3,$AF$4:$AG$7,2,FALSE)</f>
        <v/>
      </c>
      <c r="AH929" s="76">
        <f>SUM(AE929,AG929,AI929)*rate_forex_risk</f>
        <v/>
      </c>
      <c r="AI929" s="193">
        <f>IF(OR(seller_region="TR",offer_sale_type="экспорт"),0,rate_fin_comm)*SUM(AZ929,AZ929*AW929,T929)</f>
        <v/>
      </c>
      <c r="AJ929" s="118">
        <f>IFERROR(ROUND(SUM(AB929,AF929:AI929)/E929,2),0)</f>
        <v/>
      </c>
      <c r="AK929" s="76">
        <f>AJ929*E929</f>
        <v/>
      </c>
      <c r="AL929" s="174">
        <f>ROUND(IFERROR(AM929*E929,0),2)</f>
        <v/>
      </c>
      <c r="AM929" s="175">
        <f>ROUND(AJ929*(1+IF(offer_incoterms="DDP",IF((TODAY()+offer_turnaround_time)&gt;=helpsheet!$L$17,rate_vatRU_from_26,rate_vatRu_till_25),0)),2)</f>
        <v/>
      </c>
      <c r="AN929" s="192">
        <f>AL929-AK929</f>
        <v/>
      </c>
      <c r="AO929" s="76">
        <f>SUM(AY929,Y929:Z929,T929)*IF(AND(offer_incoterms="DDP",offer_sale_type&lt;&gt;"экспорт"),IF((TODAY()+offer_turnaround_time)&gt;=helpsheet!$L$17,rate_vatRU_from_26,rate_vatRu_till_25),0)</f>
        <v/>
      </c>
      <c r="AP929" s="193">
        <f>AN929-AO929</f>
        <v/>
      </c>
      <c r="AQ929" s="118">
        <f>IF(offer_sale_type="транзит",SUM(AF929:AI929,BA929,BB929),0)</f>
        <v/>
      </c>
      <c r="AR929" s="82">
        <f>HYPERLINK("https://www.alta.ru/tnved/code/")&amp;W929&amp;"/"</f>
        <v/>
      </c>
      <c r="AS929" s="157" t="n"/>
      <c r="AT929" s="162" t="n"/>
      <c r="AU929" s="76">
        <f>IF(ISBLANK(AT929),0,AJ929-AT929)</f>
        <v/>
      </c>
      <c r="AV929" s="157" t="n"/>
      <c r="AW929" s="75">
        <f>_xlfn.IFNA(VLOOKUP(L929,list_vat[],3,FALSE),0)</f>
        <v/>
      </c>
      <c r="AX929" s="76">
        <f>IFERROR(ROUND(S929*(1+AW929)/E929,2),0)</f>
        <v/>
      </c>
      <c r="AY929" s="76">
        <f>E929*AX929</f>
        <v/>
      </c>
      <c r="AZ929" s="192">
        <f>S929*(1+M929)</f>
        <v/>
      </c>
      <c r="BA929" s="76">
        <f>cost_fin_total*$BD929</f>
        <v/>
      </c>
      <c r="BB929" s="193">
        <f>credit_sales_interest*BD929</f>
        <v/>
      </c>
      <c r="BC929" s="102">
        <f>IFERROR(IF($I$13&gt;0,$I929/$I$13,$S929/$S$13),0)</f>
        <v/>
      </c>
      <c r="BD929" s="102">
        <f>IFERROR($S929/$S$13,0)</f>
        <v/>
      </c>
      <c r="BE929" s="413" t="inlineStr">
        <is>
          <t>$</t>
        </is>
      </c>
    </row>
    <row r="930" ht="12" customFormat="1" customHeight="1" s="65">
      <c r="A930" s="43" t="n">
        <v>915</v>
      </c>
      <c r="B930" s="166" t="n"/>
      <c r="C930" s="166" t="n"/>
      <c r="D930" s="166" t="n"/>
      <c r="E930" s="162" t="n"/>
      <c r="F930" s="166" t="n"/>
      <c r="G930" s="162" t="n"/>
      <c r="H930" s="162" t="n"/>
      <c r="I930" s="189">
        <f>E930*G930</f>
        <v/>
      </c>
      <c r="J930" s="195" t="n"/>
      <c r="K930" s="162" t="n"/>
      <c r="L930" s="168" t="n"/>
      <c r="M930" s="75">
        <f>_xlfn.XLOOKUP(L930,list_vat[Страна],list_vat[Ставка НДС %],0,0)</f>
        <v/>
      </c>
      <c r="N930" s="162">
        <f>IFERROR(IF(L930="Китай",K930,K930/(1+M930)),0)</f>
        <v/>
      </c>
      <c r="O930" s="169" t="n"/>
      <c r="P930" s="76">
        <f>N930*(1-O930)</f>
        <v/>
      </c>
      <c r="Q930" s="162" t="n"/>
      <c r="R930" s="162">
        <f>IF(ISBLANK(Q930),"введи курс",P930/Q930)</f>
        <v/>
      </c>
      <c r="S930" s="196">
        <f>IF(AND(ISNUMBER(E930),ISNUMBER(Q930)),E930*R930,0)</f>
        <v/>
      </c>
      <c r="T930" s="192">
        <f>$BC930*V$11</f>
        <v/>
      </c>
      <c r="U930" s="76">
        <f>$BC930*W$11</f>
        <v/>
      </c>
      <c r="V930" s="193">
        <f>+SUM(T930:U930)</f>
        <v/>
      </c>
      <c r="W930" s="191" t="n"/>
      <c r="X930" s="170" t="n"/>
      <c r="Y930" s="76">
        <f>ROUND(IF(offer_incoterms="DDP",X930*(S930*(1+AW930)+T930),0),2)</f>
        <v/>
      </c>
      <c r="Z930" s="188" t="n"/>
      <c r="AA930" s="192">
        <f>IFERROR(AB930/E930,0)</f>
        <v/>
      </c>
      <c r="AB930" s="76">
        <f>ROUND(SUM(S930,V930,Y930:Z930,BA930:BB930),2)</f>
        <v/>
      </c>
      <c r="AC930" s="797" t="n"/>
      <c r="AD930" s="192">
        <f t="array" ref="AD930">IFERROR(ROUND((_xlfn.IFS(offer_sale_type="поставка",AB930,offer_sale_type="транзит",S930)*(1+AC930))/E930,2),0)</f>
        <v/>
      </c>
      <c r="AE930" s="76">
        <f>AD930*E930</f>
        <v/>
      </c>
      <c r="AF930" s="193">
        <f t="array" ref="AF930">IFERROR(ROUND(_xlfn.IFS(offer_sale_type="поставка",AB930,offer_sale_type="транзит",S930)*AC930,2),0)</f>
        <v/>
      </c>
      <c r="AG930" s="192">
        <f>$BD930*VLOOKUP($AG$3,$AF$4:$AG$7,2,FALSE)</f>
        <v/>
      </c>
      <c r="AH930" s="76">
        <f>SUM(AE930,AG930,AI930)*rate_forex_risk</f>
        <v/>
      </c>
      <c r="AI930" s="193">
        <f>IF(OR(seller_region="TR",offer_sale_type="экспорт"),0,rate_fin_comm)*SUM(AZ930,AZ930*AW930,T930)</f>
        <v/>
      </c>
      <c r="AJ930" s="118">
        <f>IFERROR(ROUND(SUM(AB930,AF930:AI930)/E930,2),0)</f>
        <v/>
      </c>
      <c r="AK930" s="76">
        <f>AJ930*E930</f>
        <v/>
      </c>
      <c r="AL930" s="174">
        <f>ROUND(IFERROR(AM930*E930,0),2)</f>
        <v/>
      </c>
      <c r="AM930" s="175">
        <f>ROUND(AJ930*(1+IF(offer_incoterms="DDP",IF((TODAY()+offer_turnaround_time)&gt;=helpsheet!$L$17,rate_vatRU_from_26,rate_vatRu_till_25),0)),2)</f>
        <v/>
      </c>
      <c r="AN930" s="192">
        <f>AL930-AK930</f>
        <v/>
      </c>
      <c r="AO930" s="76">
        <f>SUM(AY930,Y930:Z930,T930)*IF(AND(offer_incoterms="DDP",offer_sale_type&lt;&gt;"экспорт"),IF((TODAY()+offer_turnaround_time)&gt;=helpsheet!$L$17,rate_vatRU_from_26,rate_vatRu_till_25),0)</f>
        <v/>
      </c>
      <c r="AP930" s="193">
        <f>AN930-AO930</f>
        <v/>
      </c>
      <c r="AQ930" s="118">
        <f>IF(offer_sale_type="транзит",SUM(AF930:AI930,BA930,BB930),0)</f>
        <v/>
      </c>
      <c r="AR930" s="82">
        <f>HYPERLINK("https://www.alta.ru/tnved/code/")&amp;W930&amp;"/"</f>
        <v/>
      </c>
      <c r="AS930" s="157" t="n"/>
      <c r="AT930" s="162" t="n"/>
      <c r="AU930" s="76">
        <f>IF(ISBLANK(AT930),0,AJ930-AT930)</f>
        <v/>
      </c>
      <c r="AV930" s="157" t="n"/>
      <c r="AW930" s="75">
        <f>_xlfn.IFNA(VLOOKUP(L930,list_vat[],3,FALSE),0)</f>
        <v/>
      </c>
      <c r="AX930" s="76">
        <f>IFERROR(ROUND(S930*(1+AW930)/E930,2),0)</f>
        <v/>
      </c>
      <c r="AY930" s="76">
        <f>E930*AX930</f>
        <v/>
      </c>
      <c r="AZ930" s="192">
        <f>S930*(1+M930)</f>
        <v/>
      </c>
      <c r="BA930" s="76">
        <f>cost_fin_total*$BD930</f>
        <v/>
      </c>
      <c r="BB930" s="193">
        <f>credit_sales_interest*BD930</f>
        <v/>
      </c>
      <c r="BC930" s="102">
        <f>IFERROR(IF($I$13&gt;0,$I930/$I$13,$S930/$S$13),0)</f>
        <v/>
      </c>
      <c r="BD930" s="102">
        <f>IFERROR($S930/$S$13,0)</f>
        <v/>
      </c>
      <c r="BE930" s="413" t="inlineStr">
        <is>
          <t>$</t>
        </is>
      </c>
    </row>
    <row r="931" ht="12" customFormat="1" customHeight="1" s="65">
      <c r="A931" s="43" t="n">
        <v>916</v>
      </c>
      <c r="B931" s="166" t="n"/>
      <c r="C931" s="166" t="n"/>
      <c r="D931" s="166" t="n"/>
      <c r="E931" s="162" t="n"/>
      <c r="F931" s="166" t="n"/>
      <c r="G931" s="162" t="n"/>
      <c r="H931" s="162" t="n"/>
      <c r="I931" s="189">
        <f>E931*G931</f>
        <v/>
      </c>
      <c r="J931" s="195" t="n"/>
      <c r="K931" s="162" t="n"/>
      <c r="L931" s="168" t="n"/>
      <c r="M931" s="75">
        <f>_xlfn.XLOOKUP(L931,list_vat[Страна],list_vat[Ставка НДС %],0,0)</f>
        <v/>
      </c>
      <c r="N931" s="162">
        <f>IFERROR(IF(L931="Китай",K931,K931/(1+M931)),0)</f>
        <v/>
      </c>
      <c r="O931" s="169" t="n"/>
      <c r="P931" s="76">
        <f>N931*(1-O931)</f>
        <v/>
      </c>
      <c r="Q931" s="162" t="n"/>
      <c r="R931" s="162">
        <f>IF(ISBLANK(Q931),"введи курс",P931/Q931)</f>
        <v/>
      </c>
      <c r="S931" s="196">
        <f>IF(AND(ISNUMBER(E931),ISNUMBER(Q931)),E931*R931,0)</f>
        <v/>
      </c>
      <c r="T931" s="192">
        <f>$BC931*V$11</f>
        <v/>
      </c>
      <c r="U931" s="76">
        <f>$BC931*W$11</f>
        <v/>
      </c>
      <c r="V931" s="193">
        <f>+SUM(T931:U931)</f>
        <v/>
      </c>
      <c r="W931" s="191" t="n"/>
      <c r="X931" s="170" t="n"/>
      <c r="Y931" s="76">
        <f>ROUND(IF(offer_incoterms="DDP",X931*(S931*(1+AW931)+T931),0),2)</f>
        <v/>
      </c>
      <c r="Z931" s="188" t="n"/>
      <c r="AA931" s="192">
        <f>IFERROR(AB931/E931,0)</f>
        <v/>
      </c>
      <c r="AB931" s="76">
        <f>ROUND(SUM(S931,V931,Y931:Z931,BA931:BB931),2)</f>
        <v/>
      </c>
      <c r="AC931" s="797" t="n"/>
      <c r="AD931" s="192">
        <f t="array" ref="AD931">IFERROR(ROUND((_xlfn.IFS(offer_sale_type="поставка",AB931,offer_sale_type="транзит",S931)*(1+AC931))/E931,2),0)</f>
        <v/>
      </c>
      <c r="AE931" s="76">
        <f>AD931*E931</f>
        <v/>
      </c>
      <c r="AF931" s="193">
        <f t="array" ref="AF931">IFERROR(ROUND(_xlfn.IFS(offer_sale_type="поставка",AB931,offer_sale_type="транзит",S931)*AC931,2),0)</f>
        <v/>
      </c>
      <c r="AG931" s="192">
        <f>$BD931*VLOOKUP($AG$3,$AF$4:$AG$7,2,FALSE)</f>
        <v/>
      </c>
      <c r="AH931" s="76">
        <f>SUM(AE931,AG931,AI931)*rate_forex_risk</f>
        <v/>
      </c>
      <c r="AI931" s="193">
        <f>IF(OR(seller_region="TR",offer_sale_type="экспорт"),0,rate_fin_comm)*SUM(AZ931,AZ931*AW931,T931)</f>
        <v/>
      </c>
      <c r="AJ931" s="118">
        <f>IFERROR(ROUND(SUM(AB931,AF931:AI931)/E931,2),0)</f>
        <v/>
      </c>
      <c r="AK931" s="76">
        <f>AJ931*E931</f>
        <v/>
      </c>
      <c r="AL931" s="174">
        <f>ROUND(IFERROR(AM931*E931,0),2)</f>
        <v/>
      </c>
      <c r="AM931" s="175">
        <f>ROUND(AJ931*(1+IF(offer_incoterms="DDP",IF((TODAY()+offer_turnaround_time)&gt;=helpsheet!$L$17,rate_vatRU_from_26,rate_vatRu_till_25),0)),2)</f>
        <v/>
      </c>
      <c r="AN931" s="192">
        <f>AL931-AK931</f>
        <v/>
      </c>
      <c r="AO931" s="76">
        <f>SUM(AY931,Y931:Z931,T931)*IF(AND(offer_incoterms="DDP",offer_sale_type&lt;&gt;"экспорт"),IF((TODAY()+offer_turnaround_time)&gt;=helpsheet!$L$17,rate_vatRU_from_26,rate_vatRu_till_25),0)</f>
        <v/>
      </c>
      <c r="AP931" s="193">
        <f>AN931-AO931</f>
        <v/>
      </c>
      <c r="AQ931" s="118">
        <f>IF(offer_sale_type="транзит",SUM(AF931:AI931,BA931,BB931),0)</f>
        <v/>
      </c>
      <c r="AR931" s="82">
        <f>HYPERLINK("https://www.alta.ru/tnved/code/")&amp;W931&amp;"/"</f>
        <v/>
      </c>
      <c r="AS931" s="157" t="n"/>
      <c r="AT931" s="162" t="n"/>
      <c r="AU931" s="76">
        <f>IF(ISBLANK(AT931),0,AJ931-AT931)</f>
        <v/>
      </c>
      <c r="AV931" s="157" t="n"/>
      <c r="AW931" s="75">
        <f>_xlfn.IFNA(VLOOKUP(L931,list_vat[],3,FALSE),0)</f>
        <v/>
      </c>
      <c r="AX931" s="76">
        <f>IFERROR(ROUND(S931*(1+AW931)/E931,2),0)</f>
        <v/>
      </c>
      <c r="AY931" s="76">
        <f>E931*AX931</f>
        <v/>
      </c>
      <c r="AZ931" s="192">
        <f>S931*(1+M931)</f>
        <v/>
      </c>
      <c r="BA931" s="76">
        <f>cost_fin_total*$BD931</f>
        <v/>
      </c>
      <c r="BB931" s="193">
        <f>credit_sales_interest*BD931</f>
        <v/>
      </c>
      <c r="BC931" s="102">
        <f>IFERROR(IF($I$13&gt;0,$I931/$I$13,$S931/$S$13),0)</f>
        <v/>
      </c>
      <c r="BD931" s="102">
        <f>IFERROR($S931/$S$13,0)</f>
        <v/>
      </c>
      <c r="BE931" s="413" t="inlineStr">
        <is>
          <t>$</t>
        </is>
      </c>
    </row>
    <row r="932" ht="12" customFormat="1" customHeight="1" s="65">
      <c r="A932" s="43" t="n">
        <v>917</v>
      </c>
      <c r="B932" s="166" t="n"/>
      <c r="C932" s="166" t="n"/>
      <c r="D932" s="166" t="n"/>
      <c r="E932" s="162" t="n"/>
      <c r="F932" s="166" t="n"/>
      <c r="G932" s="162" t="n"/>
      <c r="H932" s="162" t="n"/>
      <c r="I932" s="189">
        <f>E932*G932</f>
        <v/>
      </c>
      <c r="J932" s="195" t="n"/>
      <c r="K932" s="162" t="n"/>
      <c r="L932" s="168" t="n"/>
      <c r="M932" s="75">
        <f>_xlfn.XLOOKUP(L932,list_vat[Страна],list_vat[Ставка НДС %],0,0)</f>
        <v/>
      </c>
      <c r="N932" s="162">
        <f>IFERROR(IF(L932="Китай",K932,K932/(1+M932)),0)</f>
        <v/>
      </c>
      <c r="O932" s="169" t="n"/>
      <c r="P932" s="76">
        <f>N932*(1-O932)</f>
        <v/>
      </c>
      <c r="Q932" s="162" t="n"/>
      <c r="R932" s="162">
        <f>IF(ISBLANK(Q932),"введи курс",P932/Q932)</f>
        <v/>
      </c>
      <c r="S932" s="196">
        <f>IF(AND(ISNUMBER(E932),ISNUMBER(Q932)),E932*R932,0)</f>
        <v/>
      </c>
      <c r="T932" s="192">
        <f>$BC932*V$11</f>
        <v/>
      </c>
      <c r="U932" s="76">
        <f>$BC932*W$11</f>
        <v/>
      </c>
      <c r="V932" s="193">
        <f>+SUM(T932:U932)</f>
        <v/>
      </c>
      <c r="W932" s="191" t="n"/>
      <c r="X932" s="170" t="n"/>
      <c r="Y932" s="76">
        <f>ROUND(IF(offer_incoterms="DDP",X932*(S932*(1+AW932)+T932),0),2)</f>
        <v/>
      </c>
      <c r="Z932" s="188" t="n"/>
      <c r="AA932" s="192">
        <f>IFERROR(AB932/E932,0)</f>
        <v/>
      </c>
      <c r="AB932" s="76">
        <f>ROUND(SUM(S932,V932,Y932:Z932,BA932:BB932),2)</f>
        <v/>
      </c>
      <c r="AC932" s="797" t="n"/>
      <c r="AD932" s="192">
        <f t="array" ref="AD932">IFERROR(ROUND((_xlfn.IFS(offer_sale_type="поставка",AB932,offer_sale_type="транзит",S932)*(1+AC932))/E932,2),0)</f>
        <v/>
      </c>
      <c r="AE932" s="76">
        <f>AD932*E932</f>
        <v/>
      </c>
      <c r="AF932" s="193">
        <f t="array" ref="AF932">IFERROR(ROUND(_xlfn.IFS(offer_sale_type="поставка",AB932,offer_sale_type="транзит",S932)*AC932,2),0)</f>
        <v/>
      </c>
      <c r="AG932" s="192">
        <f>$BD932*VLOOKUP($AG$3,$AF$4:$AG$7,2,FALSE)</f>
        <v/>
      </c>
      <c r="AH932" s="76">
        <f>SUM(AE932,AG932,AI932)*rate_forex_risk</f>
        <v/>
      </c>
      <c r="AI932" s="193">
        <f>IF(OR(seller_region="TR",offer_sale_type="экспорт"),0,rate_fin_comm)*SUM(AZ932,AZ932*AW932,T932)</f>
        <v/>
      </c>
      <c r="AJ932" s="118">
        <f>IFERROR(ROUND(SUM(AB932,AF932:AI932)/E932,2),0)</f>
        <v/>
      </c>
      <c r="AK932" s="76">
        <f>AJ932*E932</f>
        <v/>
      </c>
      <c r="AL932" s="174">
        <f>ROUND(IFERROR(AM932*E932,0),2)</f>
        <v/>
      </c>
      <c r="AM932" s="175">
        <f>ROUND(AJ932*(1+IF(offer_incoterms="DDP",IF((TODAY()+offer_turnaround_time)&gt;=helpsheet!$L$17,rate_vatRU_from_26,rate_vatRu_till_25),0)),2)</f>
        <v/>
      </c>
      <c r="AN932" s="192">
        <f>AL932-AK932</f>
        <v/>
      </c>
      <c r="AO932" s="76">
        <f>SUM(AY932,Y932:Z932,T932)*IF(AND(offer_incoterms="DDP",offer_sale_type&lt;&gt;"экспорт"),IF((TODAY()+offer_turnaround_time)&gt;=helpsheet!$L$17,rate_vatRU_from_26,rate_vatRu_till_25),0)</f>
        <v/>
      </c>
      <c r="AP932" s="193">
        <f>AN932-AO932</f>
        <v/>
      </c>
      <c r="AQ932" s="118">
        <f>IF(offer_sale_type="транзит",SUM(AF932:AI932,BA932,BB932),0)</f>
        <v/>
      </c>
      <c r="AR932" s="82">
        <f>HYPERLINK("https://www.alta.ru/tnved/code/")&amp;W932&amp;"/"</f>
        <v/>
      </c>
      <c r="AS932" s="157" t="n"/>
      <c r="AT932" s="162" t="n"/>
      <c r="AU932" s="76">
        <f>IF(ISBLANK(AT932),0,AJ932-AT932)</f>
        <v/>
      </c>
      <c r="AV932" s="157" t="n"/>
      <c r="AW932" s="75">
        <f>_xlfn.IFNA(VLOOKUP(L932,list_vat[],3,FALSE),0)</f>
        <v/>
      </c>
      <c r="AX932" s="76">
        <f>IFERROR(ROUND(S932*(1+AW932)/E932,2),0)</f>
        <v/>
      </c>
      <c r="AY932" s="76">
        <f>E932*AX932</f>
        <v/>
      </c>
      <c r="AZ932" s="192">
        <f>S932*(1+M932)</f>
        <v/>
      </c>
      <c r="BA932" s="76">
        <f>cost_fin_total*$BD932</f>
        <v/>
      </c>
      <c r="BB932" s="193">
        <f>credit_sales_interest*BD932</f>
        <v/>
      </c>
      <c r="BC932" s="102">
        <f>IFERROR(IF($I$13&gt;0,$I932/$I$13,$S932/$S$13),0)</f>
        <v/>
      </c>
      <c r="BD932" s="102">
        <f>IFERROR($S932/$S$13,0)</f>
        <v/>
      </c>
      <c r="BE932" s="413" t="inlineStr">
        <is>
          <t>$</t>
        </is>
      </c>
    </row>
    <row r="933" ht="12" customFormat="1" customHeight="1" s="65">
      <c r="A933" s="43" t="n">
        <v>918</v>
      </c>
      <c r="B933" s="166" t="n"/>
      <c r="C933" s="166" t="n"/>
      <c r="D933" s="166" t="n"/>
      <c r="E933" s="162" t="n"/>
      <c r="F933" s="166" t="n"/>
      <c r="G933" s="162" t="n"/>
      <c r="H933" s="162" t="n"/>
      <c r="I933" s="189">
        <f>E933*G933</f>
        <v/>
      </c>
      <c r="J933" s="195" t="n"/>
      <c r="K933" s="162" t="n"/>
      <c r="L933" s="168" t="n"/>
      <c r="M933" s="75">
        <f>_xlfn.XLOOKUP(L933,list_vat[Страна],list_vat[Ставка НДС %],0,0)</f>
        <v/>
      </c>
      <c r="N933" s="162">
        <f>IFERROR(IF(L933="Китай",K933,K933/(1+M933)),0)</f>
        <v/>
      </c>
      <c r="O933" s="169" t="n"/>
      <c r="P933" s="76">
        <f>N933*(1-O933)</f>
        <v/>
      </c>
      <c r="Q933" s="162" t="n"/>
      <c r="R933" s="162">
        <f>IF(ISBLANK(Q933),"введи курс",P933/Q933)</f>
        <v/>
      </c>
      <c r="S933" s="196">
        <f>IF(AND(ISNUMBER(E933),ISNUMBER(Q933)),E933*R933,0)</f>
        <v/>
      </c>
      <c r="T933" s="192">
        <f>$BC933*V$11</f>
        <v/>
      </c>
      <c r="U933" s="76">
        <f>$BC933*W$11</f>
        <v/>
      </c>
      <c r="V933" s="193">
        <f>+SUM(T933:U933)</f>
        <v/>
      </c>
      <c r="W933" s="191" t="n"/>
      <c r="X933" s="170" t="n"/>
      <c r="Y933" s="76">
        <f>ROUND(IF(offer_incoterms="DDP",X933*(S933*(1+AW933)+T933),0),2)</f>
        <v/>
      </c>
      <c r="Z933" s="188" t="n"/>
      <c r="AA933" s="192">
        <f>IFERROR(AB933/E933,0)</f>
        <v/>
      </c>
      <c r="AB933" s="76">
        <f>ROUND(SUM(S933,V933,Y933:Z933,BA933:BB933),2)</f>
        <v/>
      </c>
      <c r="AC933" s="797" t="n"/>
      <c r="AD933" s="192">
        <f t="array" ref="AD933">IFERROR(ROUND((_xlfn.IFS(offer_sale_type="поставка",AB933,offer_sale_type="транзит",S933)*(1+AC933))/E933,2),0)</f>
        <v/>
      </c>
      <c r="AE933" s="76">
        <f>AD933*E933</f>
        <v/>
      </c>
      <c r="AF933" s="193">
        <f t="array" ref="AF933">IFERROR(ROUND(_xlfn.IFS(offer_sale_type="поставка",AB933,offer_sale_type="транзит",S933)*AC933,2),0)</f>
        <v/>
      </c>
      <c r="AG933" s="192">
        <f>$BD933*VLOOKUP($AG$3,$AF$4:$AG$7,2,FALSE)</f>
        <v/>
      </c>
      <c r="AH933" s="76">
        <f>SUM(AE933,AG933,AI933)*rate_forex_risk</f>
        <v/>
      </c>
      <c r="AI933" s="193">
        <f>IF(OR(seller_region="TR",offer_sale_type="экспорт"),0,rate_fin_comm)*SUM(AZ933,AZ933*AW933,T933)</f>
        <v/>
      </c>
      <c r="AJ933" s="118">
        <f>IFERROR(ROUND(SUM(AB933,AF933:AI933)/E933,2),0)</f>
        <v/>
      </c>
      <c r="AK933" s="76">
        <f>AJ933*E933</f>
        <v/>
      </c>
      <c r="AL933" s="174">
        <f>ROUND(IFERROR(AM933*E933,0),2)</f>
        <v/>
      </c>
      <c r="AM933" s="175">
        <f>ROUND(AJ933*(1+IF(offer_incoterms="DDP",IF((TODAY()+offer_turnaround_time)&gt;=helpsheet!$L$17,rate_vatRU_from_26,rate_vatRu_till_25),0)),2)</f>
        <v/>
      </c>
      <c r="AN933" s="192">
        <f>AL933-AK933</f>
        <v/>
      </c>
      <c r="AO933" s="76">
        <f>SUM(AY933,Y933:Z933,T933)*IF(AND(offer_incoterms="DDP",offer_sale_type&lt;&gt;"экспорт"),IF((TODAY()+offer_turnaround_time)&gt;=helpsheet!$L$17,rate_vatRU_from_26,rate_vatRu_till_25),0)</f>
        <v/>
      </c>
      <c r="AP933" s="193">
        <f>AN933-AO933</f>
        <v/>
      </c>
      <c r="AQ933" s="118">
        <f>IF(offer_sale_type="транзит",SUM(AF933:AI933,BA933,BB933),0)</f>
        <v/>
      </c>
      <c r="AR933" s="82">
        <f>HYPERLINK("https://www.alta.ru/tnved/code/")&amp;W933&amp;"/"</f>
        <v/>
      </c>
      <c r="AS933" s="157" t="n"/>
      <c r="AT933" s="162" t="n"/>
      <c r="AU933" s="76">
        <f>IF(ISBLANK(AT933),0,AJ933-AT933)</f>
        <v/>
      </c>
      <c r="AV933" s="157" t="n"/>
      <c r="AW933" s="75">
        <f>_xlfn.IFNA(VLOOKUP(L933,list_vat[],3,FALSE),0)</f>
        <v/>
      </c>
      <c r="AX933" s="76">
        <f>IFERROR(ROUND(S933*(1+AW933)/E933,2),0)</f>
        <v/>
      </c>
      <c r="AY933" s="76">
        <f>E933*AX933</f>
        <v/>
      </c>
      <c r="AZ933" s="192">
        <f>S933*(1+M933)</f>
        <v/>
      </c>
      <c r="BA933" s="76">
        <f>cost_fin_total*$BD933</f>
        <v/>
      </c>
      <c r="BB933" s="193">
        <f>credit_sales_interest*BD933</f>
        <v/>
      </c>
      <c r="BC933" s="102">
        <f>IFERROR(IF($I$13&gt;0,$I933/$I$13,$S933/$S$13),0)</f>
        <v/>
      </c>
      <c r="BD933" s="102">
        <f>IFERROR($S933/$S$13,0)</f>
        <v/>
      </c>
      <c r="BE933" s="413" t="inlineStr">
        <is>
          <t>$</t>
        </is>
      </c>
    </row>
    <row r="934" ht="12" customFormat="1" customHeight="1" s="65">
      <c r="A934" s="43" t="n">
        <v>919</v>
      </c>
      <c r="B934" s="166" t="n"/>
      <c r="C934" s="166" t="n"/>
      <c r="D934" s="166" t="n"/>
      <c r="E934" s="162" t="n"/>
      <c r="F934" s="166" t="n"/>
      <c r="G934" s="162" t="n"/>
      <c r="H934" s="162" t="n"/>
      <c r="I934" s="189">
        <f>E934*G934</f>
        <v/>
      </c>
      <c r="J934" s="195" t="n"/>
      <c r="K934" s="162" t="n"/>
      <c r="L934" s="168" t="n"/>
      <c r="M934" s="75">
        <f>_xlfn.XLOOKUP(L934,list_vat[Страна],list_vat[Ставка НДС %],0,0)</f>
        <v/>
      </c>
      <c r="N934" s="162">
        <f>IFERROR(IF(L934="Китай",K934,K934/(1+M934)),0)</f>
        <v/>
      </c>
      <c r="O934" s="169" t="n"/>
      <c r="P934" s="76">
        <f>N934*(1-O934)</f>
        <v/>
      </c>
      <c r="Q934" s="162" t="n"/>
      <c r="R934" s="162">
        <f>IF(ISBLANK(Q934),"введи курс",P934/Q934)</f>
        <v/>
      </c>
      <c r="S934" s="196">
        <f>IF(AND(ISNUMBER(E934),ISNUMBER(Q934)),E934*R934,0)</f>
        <v/>
      </c>
      <c r="T934" s="192">
        <f>$BC934*V$11</f>
        <v/>
      </c>
      <c r="U934" s="76">
        <f>$BC934*W$11</f>
        <v/>
      </c>
      <c r="V934" s="193">
        <f>+SUM(T934:U934)</f>
        <v/>
      </c>
      <c r="W934" s="191" t="n"/>
      <c r="X934" s="170" t="n"/>
      <c r="Y934" s="76">
        <f>ROUND(IF(offer_incoterms="DDP",X934*(S934*(1+AW934)+T934),0),2)</f>
        <v/>
      </c>
      <c r="Z934" s="188" t="n"/>
      <c r="AA934" s="192">
        <f>IFERROR(AB934/E934,0)</f>
        <v/>
      </c>
      <c r="AB934" s="76">
        <f>ROUND(SUM(S934,V934,Y934:Z934,BA934:BB934),2)</f>
        <v/>
      </c>
      <c r="AC934" s="797" t="n"/>
      <c r="AD934" s="192">
        <f t="array" ref="AD934">IFERROR(ROUND((_xlfn.IFS(offer_sale_type="поставка",AB934,offer_sale_type="транзит",S934)*(1+AC934))/E934,2),0)</f>
        <v/>
      </c>
      <c r="AE934" s="76">
        <f>AD934*E934</f>
        <v/>
      </c>
      <c r="AF934" s="193">
        <f t="array" ref="AF934">IFERROR(ROUND(_xlfn.IFS(offer_sale_type="поставка",AB934,offer_sale_type="транзит",S934)*AC934,2),0)</f>
        <v/>
      </c>
      <c r="AG934" s="192">
        <f>$BD934*VLOOKUP($AG$3,$AF$4:$AG$7,2,FALSE)</f>
        <v/>
      </c>
      <c r="AH934" s="76">
        <f>SUM(AE934,AG934,AI934)*rate_forex_risk</f>
        <v/>
      </c>
      <c r="AI934" s="193">
        <f>IF(OR(seller_region="TR",offer_sale_type="экспорт"),0,rate_fin_comm)*SUM(AZ934,AZ934*AW934,T934)</f>
        <v/>
      </c>
      <c r="AJ934" s="118">
        <f>IFERROR(ROUND(SUM(AB934,AF934:AI934)/E934,2),0)</f>
        <v/>
      </c>
      <c r="AK934" s="76">
        <f>AJ934*E934</f>
        <v/>
      </c>
      <c r="AL934" s="174">
        <f>ROUND(IFERROR(AM934*E934,0),2)</f>
        <v/>
      </c>
      <c r="AM934" s="175">
        <f>ROUND(AJ934*(1+IF(offer_incoterms="DDP",IF((TODAY()+offer_turnaround_time)&gt;=helpsheet!$L$17,rate_vatRU_from_26,rate_vatRu_till_25),0)),2)</f>
        <v/>
      </c>
      <c r="AN934" s="192">
        <f>AL934-AK934</f>
        <v/>
      </c>
      <c r="AO934" s="76">
        <f>SUM(AY934,Y934:Z934,T934)*IF(AND(offer_incoterms="DDP",offer_sale_type&lt;&gt;"экспорт"),IF((TODAY()+offer_turnaround_time)&gt;=helpsheet!$L$17,rate_vatRU_from_26,rate_vatRu_till_25),0)</f>
        <v/>
      </c>
      <c r="AP934" s="193">
        <f>AN934-AO934</f>
        <v/>
      </c>
      <c r="AQ934" s="118">
        <f>IF(offer_sale_type="транзит",SUM(AF934:AI934,BA934,BB934),0)</f>
        <v/>
      </c>
      <c r="AR934" s="82">
        <f>HYPERLINK("https://www.alta.ru/tnved/code/")&amp;W934&amp;"/"</f>
        <v/>
      </c>
      <c r="AS934" s="157" t="n"/>
      <c r="AT934" s="162" t="n"/>
      <c r="AU934" s="76">
        <f>IF(ISBLANK(AT934),0,AJ934-AT934)</f>
        <v/>
      </c>
      <c r="AV934" s="157" t="n"/>
      <c r="AW934" s="75">
        <f>_xlfn.IFNA(VLOOKUP(L934,list_vat[],3,FALSE),0)</f>
        <v/>
      </c>
      <c r="AX934" s="76">
        <f>IFERROR(ROUND(S934*(1+AW934)/E934,2),0)</f>
        <v/>
      </c>
      <c r="AY934" s="76">
        <f>E934*AX934</f>
        <v/>
      </c>
      <c r="AZ934" s="192">
        <f>S934*(1+M934)</f>
        <v/>
      </c>
      <c r="BA934" s="76">
        <f>cost_fin_total*$BD934</f>
        <v/>
      </c>
      <c r="BB934" s="193">
        <f>credit_sales_interest*BD934</f>
        <v/>
      </c>
      <c r="BC934" s="102">
        <f>IFERROR(IF($I$13&gt;0,$I934/$I$13,$S934/$S$13),0)</f>
        <v/>
      </c>
      <c r="BD934" s="102">
        <f>IFERROR($S934/$S$13,0)</f>
        <v/>
      </c>
      <c r="BE934" s="413" t="inlineStr">
        <is>
          <t>$</t>
        </is>
      </c>
    </row>
    <row r="935" ht="12" customFormat="1" customHeight="1" s="65">
      <c r="A935" s="43" t="n">
        <v>920</v>
      </c>
      <c r="B935" s="166" t="n"/>
      <c r="C935" s="166" t="n"/>
      <c r="D935" s="166" t="n"/>
      <c r="E935" s="162" t="n"/>
      <c r="F935" s="166" t="n"/>
      <c r="G935" s="162" t="n"/>
      <c r="H935" s="162" t="n"/>
      <c r="I935" s="189">
        <f>E935*G935</f>
        <v/>
      </c>
      <c r="J935" s="195" t="n"/>
      <c r="K935" s="162" t="n"/>
      <c r="L935" s="168" t="n"/>
      <c r="M935" s="75">
        <f>_xlfn.XLOOKUP(L935,list_vat[Страна],list_vat[Ставка НДС %],0,0)</f>
        <v/>
      </c>
      <c r="N935" s="162">
        <f>IFERROR(IF(L935="Китай",K935,K935/(1+M935)),0)</f>
        <v/>
      </c>
      <c r="O935" s="169" t="n"/>
      <c r="P935" s="76">
        <f>N935*(1-O935)</f>
        <v/>
      </c>
      <c r="Q935" s="162" t="n"/>
      <c r="R935" s="162">
        <f>IF(ISBLANK(Q935),"введи курс",P935/Q935)</f>
        <v/>
      </c>
      <c r="S935" s="196">
        <f>IF(AND(ISNUMBER(E935),ISNUMBER(Q935)),E935*R935,0)</f>
        <v/>
      </c>
      <c r="T935" s="192">
        <f>$BC935*V$11</f>
        <v/>
      </c>
      <c r="U935" s="76">
        <f>$BC935*W$11</f>
        <v/>
      </c>
      <c r="V935" s="193">
        <f>+SUM(T935:U935)</f>
        <v/>
      </c>
      <c r="W935" s="191" t="n"/>
      <c r="X935" s="170" t="n"/>
      <c r="Y935" s="76">
        <f>ROUND(IF(offer_incoterms="DDP",X935*(S935*(1+AW935)+T935),0),2)</f>
        <v/>
      </c>
      <c r="Z935" s="188" t="n"/>
      <c r="AA935" s="192">
        <f>IFERROR(AB935/E935,0)</f>
        <v/>
      </c>
      <c r="AB935" s="76">
        <f>ROUND(SUM(S935,V935,Y935:Z935,BA935:BB935),2)</f>
        <v/>
      </c>
      <c r="AC935" s="797" t="n"/>
      <c r="AD935" s="192">
        <f t="array" ref="AD935">IFERROR(ROUND((_xlfn.IFS(offer_sale_type="поставка",AB935,offer_sale_type="транзит",S935)*(1+AC935))/E935,2),0)</f>
        <v/>
      </c>
      <c r="AE935" s="76">
        <f>AD935*E935</f>
        <v/>
      </c>
      <c r="AF935" s="193">
        <f t="array" ref="AF935">IFERROR(ROUND(_xlfn.IFS(offer_sale_type="поставка",AB935,offer_sale_type="транзит",S935)*AC935,2),0)</f>
        <v/>
      </c>
      <c r="AG935" s="192">
        <f>$BD935*VLOOKUP($AG$3,$AF$4:$AG$7,2,FALSE)</f>
        <v/>
      </c>
      <c r="AH935" s="76">
        <f>SUM(AE935,AG935,AI935)*rate_forex_risk</f>
        <v/>
      </c>
      <c r="AI935" s="193">
        <f>IF(OR(seller_region="TR",offer_sale_type="экспорт"),0,rate_fin_comm)*SUM(AZ935,AZ935*AW935,T935)</f>
        <v/>
      </c>
      <c r="AJ935" s="118">
        <f>IFERROR(ROUND(SUM(AB935,AF935:AI935)/E935,2),0)</f>
        <v/>
      </c>
      <c r="AK935" s="76">
        <f>AJ935*E935</f>
        <v/>
      </c>
      <c r="AL935" s="174">
        <f>ROUND(IFERROR(AM935*E935,0),2)</f>
        <v/>
      </c>
      <c r="AM935" s="175">
        <f>ROUND(AJ935*(1+IF(offer_incoterms="DDP",IF((TODAY()+offer_turnaround_time)&gt;=helpsheet!$L$17,rate_vatRU_from_26,rate_vatRu_till_25),0)),2)</f>
        <v/>
      </c>
      <c r="AN935" s="192">
        <f>AL935-AK935</f>
        <v/>
      </c>
      <c r="AO935" s="76">
        <f>SUM(AY935,Y935:Z935,T935)*IF(AND(offer_incoterms="DDP",offer_sale_type&lt;&gt;"экспорт"),IF((TODAY()+offer_turnaround_time)&gt;=helpsheet!$L$17,rate_vatRU_from_26,rate_vatRu_till_25),0)</f>
        <v/>
      </c>
      <c r="AP935" s="193">
        <f>AN935-AO935</f>
        <v/>
      </c>
      <c r="AQ935" s="118">
        <f>IF(offer_sale_type="транзит",SUM(AF935:AI935,BA935,BB935),0)</f>
        <v/>
      </c>
      <c r="AR935" s="82">
        <f>HYPERLINK("https://www.alta.ru/tnved/code/")&amp;W935&amp;"/"</f>
        <v/>
      </c>
      <c r="AS935" s="157" t="n"/>
      <c r="AT935" s="162" t="n"/>
      <c r="AU935" s="76">
        <f>IF(ISBLANK(AT935),0,AJ935-AT935)</f>
        <v/>
      </c>
      <c r="AV935" s="157" t="n"/>
      <c r="AW935" s="75">
        <f>_xlfn.IFNA(VLOOKUP(L935,list_vat[],3,FALSE),0)</f>
        <v/>
      </c>
      <c r="AX935" s="76">
        <f>IFERROR(ROUND(S935*(1+AW935)/E935,2),0)</f>
        <v/>
      </c>
      <c r="AY935" s="76">
        <f>E935*AX935</f>
        <v/>
      </c>
      <c r="AZ935" s="192">
        <f>S935*(1+M935)</f>
        <v/>
      </c>
      <c r="BA935" s="76">
        <f>cost_fin_total*$BD935</f>
        <v/>
      </c>
      <c r="BB935" s="193">
        <f>credit_sales_interest*BD935</f>
        <v/>
      </c>
      <c r="BC935" s="102">
        <f>IFERROR(IF($I$13&gt;0,$I935/$I$13,$S935/$S$13),0)</f>
        <v/>
      </c>
      <c r="BD935" s="102">
        <f>IFERROR($S935/$S$13,0)</f>
        <v/>
      </c>
      <c r="BE935" s="413" t="inlineStr">
        <is>
          <t>$</t>
        </is>
      </c>
    </row>
    <row r="936" ht="12" customFormat="1" customHeight="1" s="65">
      <c r="A936" s="43" t="n">
        <v>921</v>
      </c>
      <c r="B936" s="166" t="n"/>
      <c r="C936" s="166" t="n"/>
      <c r="D936" s="166" t="n"/>
      <c r="E936" s="162" t="n"/>
      <c r="F936" s="166" t="n"/>
      <c r="G936" s="162" t="n"/>
      <c r="H936" s="162" t="n"/>
      <c r="I936" s="189">
        <f>E936*G936</f>
        <v/>
      </c>
      <c r="J936" s="195" t="n"/>
      <c r="K936" s="162" t="n"/>
      <c r="L936" s="168" t="n"/>
      <c r="M936" s="75">
        <f>_xlfn.XLOOKUP(L936,list_vat[Страна],list_vat[Ставка НДС %],0,0)</f>
        <v/>
      </c>
      <c r="N936" s="162">
        <f>IFERROR(IF(L936="Китай",K936,K936/(1+M936)),0)</f>
        <v/>
      </c>
      <c r="O936" s="169" t="n"/>
      <c r="P936" s="76">
        <f>N936*(1-O936)</f>
        <v/>
      </c>
      <c r="Q936" s="162" t="n"/>
      <c r="R936" s="162">
        <f>IF(ISBLANK(Q936),"введи курс",P936/Q936)</f>
        <v/>
      </c>
      <c r="S936" s="196">
        <f>IF(AND(ISNUMBER(E936),ISNUMBER(Q936)),E936*R936,0)</f>
        <v/>
      </c>
      <c r="T936" s="192">
        <f>$BC936*V$11</f>
        <v/>
      </c>
      <c r="U936" s="76">
        <f>$BC936*W$11</f>
        <v/>
      </c>
      <c r="V936" s="193">
        <f>+SUM(T936:U936)</f>
        <v/>
      </c>
      <c r="W936" s="191" t="n"/>
      <c r="X936" s="170" t="n"/>
      <c r="Y936" s="76">
        <f>ROUND(IF(offer_incoterms="DDP",X936*(S936*(1+AW936)+T936),0),2)</f>
        <v/>
      </c>
      <c r="Z936" s="188" t="n"/>
      <c r="AA936" s="192">
        <f>IFERROR(AB936/E936,0)</f>
        <v/>
      </c>
      <c r="AB936" s="76">
        <f>ROUND(SUM(S936,V936,Y936:Z936,BA936:BB936),2)</f>
        <v/>
      </c>
      <c r="AC936" s="797" t="n"/>
      <c r="AD936" s="192">
        <f t="array" ref="AD936">IFERROR(ROUND((_xlfn.IFS(offer_sale_type="поставка",AB936,offer_sale_type="транзит",S936)*(1+AC936))/E936,2),0)</f>
        <v/>
      </c>
      <c r="AE936" s="76">
        <f>AD936*E936</f>
        <v/>
      </c>
      <c r="AF936" s="193">
        <f t="array" ref="AF936">IFERROR(ROUND(_xlfn.IFS(offer_sale_type="поставка",AB936,offer_sale_type="транзит",S936)*AC936,2),0)</f>
        <v/>
      </c>
      <c r="AG936" s="192">
        <f>$BD936*VLOOKUP($AG$3,$AF$4:$AG$7,2,FALSE)</f>
        <v/>
      </c>
      <c r="AH936" s="76">
        <f>SUM(AE936,AG936,AI936)*rate_forex_risk</f>
        <v/>
      </c>
      <c r="AI936" s="193">
        <f>IF(OR(seller_region="TR",offer_sale_type="экспорт"),0,rate_fin_comm)*SUM(AZ936,AZ936*AW936,T936)</f>
        <v/>
      </c>
      <c r="AJ936" s="118">
        <f>IFERROR(ROUND(SUM(AB936,AF936:AI936)/E936,2),0)</f>
        <v/>
      </c>
      <c r="AK936" s="76">
        <f>AJ936*E936</f>
        <v/>
      </c>
      <c r="AL936" s="174">
        <f>ROUND(IFERROR(AM936*E936,0),2)</f>
        <v/>
      </c>
      <c r="AM936" s="175">
        <f>ROUND(AJ936*(1+IF(offer_incoterms="DDP",IF((TODAY()+offer_turnaround_time)&gt;=helpsheet!$L$17,rate_vatRU_from_26,rate_vatRu_till_25),0)),2)</f>
        <v/>
      </c>
      <c r="AN936" s="192">
        <f>AL936-AK936</f>
        <v/>
      </c>
      <c r="AO936" s="76">
        <f>SUM(AY936,Y936:Z936,T936)*IF(AND(offer_incoterms="DDP",offer_sale_type&lt;&gt;"экспорт"),IF((TODAY()+offer_turnaround_time)&gt;=helpsheet!$L$17,rate_vatRU_from_26,rate_vatRu_till_25),0)</f>
        <v/>
      </c>
      <c r="AP936" s="193">
        <f>AN936-AO936</f>
        <v/>
      </c>
      <c r="AQ936" s="118">
        <f>IF(offer_sale_type="транзит",SUM(AF936:AI936,BA936,BB936),0)</f>
        <v/>
      </c>
      <c r="AR936" s="82">
        <f>HYPERLINK("https://www.alta.ru/tnved/code/")&amp;W936&amp;"/"</f>
        <v/>
      </c>
      <c r="AS936" s="157" t="n"/>
      <c r="AT936" s="162" t="n"/>
      <c r="AU936" s="76">
        <f>IF(ISBLANK(AT936),0,AJ936-AT936)</f>
        <v/>
      </c>
      <c r="AV936" s="157" t="n"/>
      <c r="AW936" s="75">
        <f>_xlfn.IFNA(VLOOKUP(L936,list_vat[],3,FALSE),0)</f>
        <v/>
      </c>
      <c r="AX936" s="76">
        <f>IFERROR(ROUND(S936*(1+AW936)/E936,2),0)</f>
        <v/>
      </c>
      <c r="AY936" s="76">
        <f>E936*AX936</f>
        <v/>
      </c>
      <c r="AZ936" s="192">
        <f>S936*(1+M936)</f>
        <v/>
      </c>
      <c r="BA936" s="76">
        <f>cost_fin_total*$BD936</f>
        <v/>
      </c>
      <c r="BB936" s="193">
        <f>credit_sales_interest*BD936</f>
        <v/>
      </c>
      <c r="BC936" s="102">
        <f>IFERROR(IF($I$13&gt;0,$I936/$I$13,$S936/$S$13),0)</f>
        <v/>
      </c>
      <c r="BD936" s="102">
        <f>IFERROR($S936/$S$13,0)</f>
        <v/>
      </c>
      <c r="BE936" s="413" t="inlineStr">
        <is>
          <t>$</t>
        </is>
      </c>
    </row>
    <row r="937" ht="12" customFormat="1" customHeight="1" s="65">
      <c r="A937" s="43" t="n">
        <v>922</v>
      </c>
      <c r="B937" s="166" t="n"/>
      <c r="C937" s="166" t="n"/>
      <c r="D937" s="166" t="n"/>
      <c r="E937" s="162" t="n"/>
      <c r="F937" s="166" t="n"/>
      <c r="G937" s="162" t="n"/>
      <c r="H937" s="162" t="n"/>
      <c r="I937" s="189">
        <f>E937*G937</f>
        <v/>
      </c>
      <c r="J937" s="195" t="n"/>
      <c r="K937" s="162" t="n"/>
      <c r="L937" s="168" t="n"/>
      <c r="M937" s="75">
        <f>_xlfn.XLOOKUP(L937,list_vat[Страна],list_vat[Ставка НДС %],0,0)</f>
        <v/>
      </c>
      <c r="N937" s="162">
        <f>IFERROR(IF(L937="Китай",K937,K937/(1+M937)),0)</f>
        <v/>
      </c>
      <c r="O937" s="169" t="n"/>
      <c r="P937" s="76">
        <f>N937*(1-O937)</f>
        <v/>
      </c>
      <c r="Q937" s="162" t="n"/>
      <c r="R937" s="162">
        <f>IF(ISBLANK(Q937),"введи курс",P937/Q937)</f>
        <v/>
      </c>
      <c r="S937" s="196">
        <f>IF(AND(ISNUMBER(E937),ISNUMBER(Q937)),E937*R937,0)</f>
        <v/>
      </c>
      <c r="T937" s="192">
        <f>$BC937*V$11</f>
        <v/>
      </c>
      <c r="U937" s="76">
        <f>$BC937*W$11</f>
        <v/>
      </c>
      <c r="V937" s="193">
        <f>+SUM(T937:U937)</f>
        <v/>
      </c>
      <c r="W937" s="191" t="n"/>
      <c r="X937" s="170" t="n"/>
      <c r="Y937" s="76">
        <f>ROUND(IF(offer_incoterms="DDP",X937*(S937*(1+AW937)+T937),0),2)</f>
        <v/>
      </c>
      <c r="Z937" s="188" t="n"/>
      <c r="AA937" s="192">
        <f>IFERROR(AB937/E937,0)</f>
        <v/>
      </c>
      <c r="AB937" s="76">
        <f>ROUND(SUM(S937,V937,Y937:Z937,BA937:BB937),2)</f>
        <v/>
      </c>
      <c r="AC937" s="797" t="n"/>
      <c r="AD937" s="192">
        <f t="array" ref="AD937">IFERROR(ROUND((_xlfn.IFS(offer_sale_type="поставка",AB937,offer_sale_type="транзит",S937)*(1+AC937))/E937,2),0)</f>
        <v/>
      </c>
      <c r="AE937" s="76">
        <f>AD937*E937</f>
        <v/>
      </c>
      <c r="AF937" s="193">
        <f t="array" ref="AF937">IFERROR(ROUND(_xlfn.IFS(offer_sale_type="поставка",AB937,offer_sale_type="транзит",S937)*AC937,2),0)</f>
        <v/>
      </c>
      <c r="AG937" s="192">
        <f>$BD937*VLOOKUP($AG$3,$AF$4:$AG$7,2,FALSE)</f>
        <v/>
      </c>
      <c r="AH937" s="76">
        <f>SUM(AE937,AG937,AI937)*rate_forex_risk</f>
        <v/>
      </c>
      <c r="AI937" s="193">
        <f>IF(OR(seller_region="TR",offer_sale_type="экспорт"),0,rate_fin_comm)*SUM(AZ937,AZ937*AW937,T937)</f>
        <v/>
      </c>
      <c r="AJ937" s="118">
        <f>IFERROR(ROUND(SUM(AB937,AF937:AI937)/E937,2),0)</f>
        <v/>
      </c>
      <c r="AK937" s="76">
        <f>AJ937*E937</f>
        <v/>
      </c>
      <c r="AL937" s="174">
        <f>ROUND(IFERROR(AM937*E937,0),2)</f>
        <v/>
      </c>
      <c r="AM937" s="175">
        <f>ROUND(AJ937*(1+IF(offer_incoterms="DDP",IF((TODAY()+offer_turnaround_time)&gt;=helpsheet!$L$17,rate_vatRU_from_26,rate_vatRu_till_25),0)),2)</f>
        <v/>
      </c>
      <c r="AN937" s="192">
        <f>AL937-AK937</f>
        <v/>
      </c>
      <c r="AO937" s="76">
        <f>SUM(AY937,Y937:Z937,T937)*IF(AND(offer_incoterms="DDP",offer_sale_type&lt;&gt;"экспорт"),IF((TODAY()+offer_turnaround_time)&gt;=helpsheet!$L$17,rate_vatRU_from_26,rate_vatRu_till_25),0)</f>
        <v/>
      </c>
      <c r="AP937" s="193">
        <f>AN937-AO937</f>
        <v/>
      </c>
      <c r="AQ937" s="118">
        <f>IF(offer_sale_type="транзит",SUM(AF937:AI937,BA937,BB937),0)</f>
        <v/>
      </c>
      <c r="AR937" s="82">
        <f>HYPERLINK("https://www.alta.ru/tnved/code/")&amp;W937&amp;"/"</f>
        <v/>
      </c>
      <c r="AS937" s="157" t="n"/>
      <c r="AT937" s="162" t="n"/>
      <c r="AU937" s="76">
        <f>IF(ISBLANK(AT937),0,AJ937-AT937)</f>
        <v/>
      </c>
      <c r="AV937" s="157" t="n"/>
      <c r="AW937" s="75">
        <f>_xlfn.IFNA(VLOOKUP(L937,list_vat[],3,FALSE),0)</f>
        <v/>
      </c>
      <c r="AX937" s="76">
        <f>IFERROR(ROUND(S937*(1+AW937)/E937,2),0)</f>
        <v/>
      </c>
      <c r="AY937" s="76">
        <f>E937*AX937</f>
        <v/>
      </c>
      <c r="AZ937" s="192">
        <f>S937*(1+M937)</f>
        <v/>
      </c>
      <c r="BA937" s="76">
        <f>cost_fin_total*$BD937</f>
        <v/>
      </c>
      <c r="BB937" s="193">
        <f>credit_sales_interest*BD937</f>
        <v/>
      </c>
      <c r="BC937" s="102">
        <f>IFERROR(IF($I$13&gt;0,$I937/$I$13,$S937/$S$13),0)</f>
        <v/>
      </c>
      <c r="BD937" s="102">
        <f>IFERROR($S937/$S$13,0)</f>
        <v/>
      </c>
      <c r="BE937" s="413" t="inlineStr">
        <is>
          <t>$</t>
        </is>
      </c>
    </row>
    <row r="938" ht="12" customFormat="1" customHeight="1" s="65">
      <c r="A938" s="43" t="n">
        <v>923</v>
      </c>
      <c r="B938" s="166" t="n"/>
      <c r="C938" s="166" t="n"/>
      <c r="D938" s="166" t="n"/>
      <c r="E938" s="162" t="n"/>
      <c r="F938" s="166" t="n"/>
      <c r="G938" s="162" t="n"/>
      <c r="H938" s="162" t="n"/>
      <c r="I938" s="189">
        <f>E938*G938</f>
        <v/>
      </c>
      <c r="J938" s="195" t="n"/>
      <c r="K938" s="162" t="n"/>
      <c r="L938" s="168" t="n"/>
      <c r="M938" s="75">
        <f>_xlfn.XLOOKUP(L938,list_vat[Страна],list_vat[Ставка НДС %],0,0)</f>
        <v/>
      </c>
      <c r="N938" s="162">
        <f>IFERROR(IF(L938="Китай",K938,K938/(1+M938)),0)</f>
        <v/>
      </c>
      <c r="O938" s="169" t="n"/>
      <c r="P938" s="76">
        <f>N938*(1-O938)</f>
        <v/>
      </c>
      <c r="Q938" s="162" t="n"/>
      <c r="R938" s="162">
        <f>IF(ISBLANK(Q938),"введи курс",P938/Q938)</f>
        <v/>
      </c>
      <c r="S938" s="196">
        <f>IF(AND(ISNUMBER(E938),ISNUMBER(Q938)),E938*R938,0)</f>
        <v/>
      </c>
      <c r="T938" s="192">
        <f>$BC938*V$11</f>
        <v/>
      </c>
      <c r="U938" s="76">
        <f>$BC938*W$11</f>
        <v/>
      </c>
      <c r="V938" s="193">
        <f>+SUM(T938:U938)</f>
        <v/>
      </c>
      <c r="W938" s="191" t="n"/>
      <c r="X938" s="170" t="n"/>
      <c r="Y938" s="76">
        <f>ROUND(IF(offer_incoterms="DDP",X938*(S938*(1+AW938)+T938),0),2)</f>
        <v/>
      </c>
      <c r="Z938" s="188" t="n"/>
      <c r="AA938" s="192">
        <f>IFERROR(AB938/E938,0)</f>
        <v/>
      </c>
      <c r="AB938" s="76">
        <f>ROUND(SUM(S938,V938,Y938:Z938,BA938:BB938),2)</f>
        <v/>
      </c>
      <c r="AC938" s="797" t="n"/>
      <c r="AD938" s="192">
        <f t="array" ref="AD938">IFERROR(ROUND((_xlfn.IFS(offer_sale_type="поставка",AB938,offer_sale_type="транзит",S938)*(1+AC938))/E938,2),0)</f>
        <v/>
      </c>
      <c r="AE938" s="76">
        <f>AD938*E938</f>
        <v/>
      </c>
      <c r="AF938" s="193">
        <f t="array" ref="AF938">IFERROR(ROUND(_xlfn.IFS(offer_sale_type="поставка",AB938,offer_sale_type="транзит",S938)*AC938,2),0)</f>
        <v/>
      </c>
      <c r="AG938" s="192">
        <f>$BD938*VLOOKUP($AG$3,$AF$4:$AG$7,2,FALSE)</f>
        <v/>
      </c>
      <c r="AH938" s="76">
        <f>SUM(AE938,AG938,AI938)*rate_forex_risk</f>
        <v/>
      </c>
      <c r="AI938" s="193">
        <f>IF(OR(seller_region="TR",offer_sale_type="экспорт"),0,rate_fin_comm)*SUM(AZ938,AZ938*AW938,T938)</f>
        <v/>
      </c>
      <c r="AJ938" s="118">
        <f>IFERROR(ROUND(SUM(AB938,AF938:AI938)/E938,2),0)</f>
        <v/>
      </c>
      <c r="AK938" s="76">
        <f>AJ938*E938</f>
        <v/>
      </c>
      <c r="AL938" s="174">
        <f>ROUND(IFERROR(AM938*E938,0),2)</f>
        <v/>
      </c>
      <c r="AM938" s="175">
        <f>ROUND(AJ938*(1+IF(offer_incoterms="DDP",IF((TODAY()+offer_turnaround_time)&gt;=helpsheet!$L$17,rate_vatRU_from_26,rate_vatRu_till_25),0)),2)</f>
        <v/>
      </c>
      <c r="AN938" s="192">
        <f>AL938-AK938</f>
        <v/>
      </c>
      <c r="AO938" s="76">
        <f>SUM(AY938,Y938:Z938,T938)*IF(AND(offer_incoterms="DDP",offer_sale_type&lt;&gt;"экспорт"),IF((TODAY()+offer_turnaround_time)&gt;=helpsheet!$L$17,rate_vatRU_from_26,rate_vatRu_till_25),0)</f>
        <v/>
      </c>
      <c r="AP938" s="193">
        <f>AN938-AO938</f>
        <v/>
      </c>
      <c r="AQ938" s="118">
        <f>IF(offer_sale_type="транзит",SUM(AF938:AI938,BA938,BB938),0)</f>
        <v/>
      </c>
      <c r="AR938" s="82">
        <f>HYPERLINK("https://www.alta.ru/tnved/code/")&amp;W938&amp;"/"</f>
        <v/>
      </c>
      <c r="AS938" s="157" t="n"/>
      <c r="AT938" s="162" t="n"/>
      <c r="AU938" s="76">
        <f>IF(ISBLANK(AT938),0,AJ938-AT938)</f>
        <v/>
      </c>
      <c r="AV938" s="157" t="n"/>
      <c r="AW938" s="75">
        <f>_xlfn.IFNA(VLOOKUP(L938,list_vat[],3,FALSE),0)</f>
        <v/>
      </c>
      <c r="AX938" s="76">
        <f>IFERROR(ROUND(S938*(1+AW938)/E938,2),0)</f>
        <v/>
      </c>
      <c r="AY938" s="76">
        <f>E938*AX938</f>
        <v/>
      </c>
      <c r="AZ938" s="192">
        <f>S938*(1+M938)</f>
        <v/>
      </c>
      <c r="BA938" s="76">
        <f>cost_fin_total*$BD938</f>
        <v/>
      </c>
      <c r="BB938" s="193">
        <f>credit_sales_interest*BD938</f>
        <v/>
      </c>
      <c r="BC938" s="102">
        <f>IFERROR(IF($I$13&gt;0,$I938/$I$13,$S938/$S$13),0)</f>
        <v/>
      </c>
      <c r="BD938" s="102">
        <f>IFERROR($S938/$S$13,0)</f>
        <v/>
      </c>
      <c r="BE938" s="413" t="inlineStr">
        <is>
          <t>$</t>
        </is>
      </c>
    </row>
    <row r="939" ht="12" customFormat="1" customHeight="1" s="65">
      <c r="A939" s="43" t="n">
        <v>924</v>
      </c>
      <c r="B939" s="166" t="n"/>
      <c r="C939" s="166" t="n"/>
      <c r="D939" s="166" t="n"/>
      <c r="E939" s="162" t="n"/>
      <c r="F939" s="166" t="n"/>
      <c r="G939" s="162" t="n"/>
      <c r="H939" s="162" t="n"/>
      <c r="I939" s="189">
        <f>E939*G939</f>
        <v/>
      </c>
      <c r="J939" s="195" t="n"/>
      <c r="K939" s="162" t="n"/>
      <c r="L939" s="168" t="n"/>
      <c r="M939" s="75">
        <f>_xlfn.XLOOKUP(L939,list_vat[Страна],list_vat[Ставка НДС %],0,0)</f>
        <v/>
      </c>
      <c r="N939" s="162">
        <f>IFERROR(IF(L939="Китай",K939,K939/(1+M939)),0)</f>
        <v/>
      </c>
      <c r="O939" s="169" t="n"/>
      <c r="P939" s="76">
        <f>N939*(1-O939)</f>
        <v/>
      </c>
      <c r="Q939" s="162" t="n"/>
      <c r="R939" s="162">
        <f>IF(ISBLANK(Q939),"введи курс",P939/Q939)</f>
        <v/>
      </c>
      <c r="S939" s="196">
        <f>IF(AND(ISNUMBER(E939),ISNUMBER(Q939)),E939*R939,0)</f>
        <v/>
      </c>
      <c r="T939" s="192">
        <f>$BC939*V$11</f>
        <v/>
      </c>
      <c r="U939" s="76">
        <f>$BC939*W$11</f>
        <v/>
      </c>
      <c r="V939" s="193">
        <f>+SUM(T939:U939)</f>
        <v/>
      </c>
      <c r="W939" s="191" t="n"/>
      <c r="X939" s="170" t="n"/>
      <c r="Y939" s="76">
        <f>ROUND(IF(offer_incoterms="DDP",X939*(S939*(1+AW939)+T939),0),2)</f>
        <v/>
      </c>
      <c r="Z939" s="188" t="n"/>
      <c r="AA939" s="192">
        <f>IFERROR(AB939/E939,0)</f>
        <v/>
      </c>
      <c r="AB939" s="76">
        <f>ROUND(SUM(S939,V939,Y939:Z939,BA939:BB939),2)</f>
        <v/>
      </c>
      <c r="AC939" s="797" t="n"/>
      <c r="AD939" s="192">
        <f t="array" ref="AD939">IFERROR(ROUND((_xlfn.IFS(offer_sale_type="поставка",AB939,offer_sale_type="транзит",S939)*(1+AC939))/E939,2),0)</f>
        <v/>
      </c>
      <c r="AE939" s="76">
        <f>AD939*E939</f>
        <v/>
      </c>
      <c r="AF939" s="193">
        <f t="array" ref="AF939">IFERROR(ROUND(_xlfn.IFS(offer_sale_type="поставка",AB939,offer_sale_type="транзит",S939)*AC939,2),0)</f>
        <v/>
      </c>
      <c r="AG939" s="192">
        <f>$BD939*VLOOKUP($AG$3,$AF$4:$AG$7,2,FALSE)</f>
        <v/>
      </c>
      <c r="AH939" s="76">
        <f>SUM(AE939,AG939,AI939)*rate_forex_risk</f>
        <v/>
      </c>
      <c r="AI939" s="193">
        <f>IF(OR(seller_region="TR",offer_sale_type="экспорт"),0,rate_fin_comm)*SUM(AZ939,AZ939*AW939,T939)</f>
        <v/>
      </c>
      <c r="AJ939" s="118">
        <f>IFERROR(ROUND(SUM(AB939,AF939:AI939)/E939,2),0)</f>
        <v/>
      </c>
      <c r="AK939" s="76">
        <f>AJ939*E939</f>
        <v/>
      </c>
      <c r="AL939" s="174">
        <f>ROUND(IFERROR(AM939*E939,0),2)</f>
        <v/>
      </c>
      <c r="AM939" s="175">
        <f>ROUND(AJ939*(1+IF(offer_incoterms="DDP",IF((TODAY()+offer_turnaround_time)&gt;=helpsheet!$L$17,rate_vatRU_from_26,rate_vatRu_till_25),0)),2)</f>
        <v/>
      </c>
      <c r="AN939" s="192">
        <f>AL939-AK939</f>
        <v/>
      </c>
      <c r="AO939" s="76">
        <f>SUM(AY939,Y939:Z939,T939)*IF(AND(offer_incoterms="DDP",offer_sale_type&lt;&gt;"экспорт"),IF((TODAY()+offer_turnaround_time)&gt;=helpsheet!$L$17,rate_vatRU_from_26,rate_vatRu_till_25),0)</f>
        <v/>
      </c>
      <c r="AP939" s="193">
        <f>AN939-AO939</f>
        <v/>
      </c>
      <c r="AQ939" s="118">
        <f>IF(offer_sale_type="транзит",SUM(AF939:AI939,BA939,BB939),0)</f>
        <v/>
      </c>
      <c r="AR939" s="82">
        <f>HYPERLINK("https://www.alta.ru/tnved/code/")&amp;W939&amp;"/"</f>
        <v/>
      </c>
      <c r="AS939" s="157" t="n"/>
      <c r="AT939" s="162" t="n"/>
      <c r="AU939" s="76">
        <f>IF(ISBLANK(AT939),0,AJ939-AT939)</f>
        <v/>
      </c>
      <c r="AV939" s="157" t="n"/>
      <c r="AW939" s="75">
        <f>_xlfn.IFNA(VLOOKUP(L939,list_vat[],3,FALSE),0)</f>
        <v/>
      </c>
      <c r="AX939" s="76">
        <f>IFERROR(ROUND(S939*(1+AW939)/E939,2),0)</f>
        <v/>
      </c>
      <c r="AY939" s="76">
        <f>E939*AX939</f>
        <v/>
      </c>
      <c r="AZ939" s="192">
        <f>S939*(1+M939)</f>
        <v/>
      </c>
      <c r="BA939" s="76">
        <f>cost_fin_total*$BD939</f>
        <v/>
      </c>
      <c r="BB939" s="193">
        <f>credit_sales_interest*BD939</f>
        <v/>
      </c>
      <c r="BC939" s="102">
        <f>IFERROR(IF($I$13&gt;0,$I939/$I$13,$S939/$S$13),0)</f>
        <v/>
      </c>
      <c r="BD939" s="102">
        <f>IFERROR($S939/$S$13,0)</f>
        <v/>
      </c>
      <c r="BE939" s="413" t="inlineStr">
        <is>
          <t>$</t>
        </is>
      </c>
    </row>
    <row r="940" ht="12" customFormat="1" customHeight="1" s="65">
      <c r="A940" s="43" t="n">
        <v>925</v>
      </c>
      <c r="B940" s="166" t="n"/>
      <c r="C940" s="166" t="n"/>
      <c r="D940" s="166" t="n"/>
      <c r="E940" s="162" t="n"/>
      <c r="F940" s="166" t="n"/>
      <c r="G940" s="162" t="n"/>
      <c r="H940" s="162" t="n"/>
      <c r="I940" s="189">
        <f>E940*G940</f>
        <v/>
      </c>
      <c r="J940" s="195" t="n"/>
      <c r="K940" s="162" t="n"/>
      <c r="L940" s="168" t="n"/>
      <c r="M940" s="75">
        <f>_xlfn.XLOOKUP(L940,list_vat[Страна],list_vat[Ставка НДС %],0,0)</f>
        <v/>
      </c>
      <c r="N940" s="162">
        <f>IFERROR(IF(L940="Китай",K940,K940/(1+M940)),0)</f>
        <v/>
      </c>
      <c r="O940" s="169" t="n"/>
      <c r="P940" s="76">
        <f>N940*(1-O940)</f>
        <v/>
      </c>
      <c r="Q940" s="162" t="n"/>
      <c r="R940" s="162">
        <f>IF(ISBLANK(Q940),"введи курс",P940/Q940)</f>
        <v/>
      </c>
      <c r="S940" s="196">
        <f>IF(AND(ISNUMBER(E940),ISNUMBER(Q940)),E940*R940,0)</f>
        <v/>
      </c>
      <c r="T940" s="192">
        <f>$BC940*V$11</f>
        <v/>
      </c>
      <c r="U940" s="76">
        <f>$BC940*W$11</f>
        <v/>
      </c>
      <c r="V940" s="193">
        <f>+SUM(T940:U940)</f>
        <v/>
      </c>
      <c r="W940" s="191" t="n"/>
      <c r="X940" s="170" t="n"/>
      <c r="Y940" s="76">
        <f>ROUND(IF(offer_incoterms="DDP",X940*(S940*(1+AW940)+T940),0),2)</f>
        <v/>
      </c>
      <c r="Z940" s="188" t="n"/>
      <c r="AA940" s="192">
        <f>IFERROR(AB940/E940,0)</f>
        <v/>
      </c>
      <c r="AB940" s="76">
        <f>ROUND(SUM(S940,V940,Y940:Z940,BA940:BB940),2)</f>
        <v/>
      </c>
      <c r="AC940" s="797" t="n"/>
      <c r="AD940" s="192">
        <f t="array" ref="AD940">IFERROR(ROUND((_xlfn.IFS(offer_sale_type="поставка",AB940,offer_sale_type="транзит",S940)*(1+AC940))/E940,2),0)</f>
        <v/>
      </c>
      <c r="AE940" s="76">
        <f>AD940*E940</f>
        <v/>
      </c>
      <c r="AF940" s="193">
        <f t="array" ref="AF940">IFERROR(ROUND(_xlfn.IFS(offer_sale_type="поставка",AB940,offer_sale_type="транзит",S940)*AC940,2),0)</f>
        <v/>
      </c>
      <c r="AG940" s="192">
        <f>$BD940*VLOOKUP($AG$3,$AF$4:$AG$7,2,FALSE)</f>
        <v/>
      </c>
      <c r="AH940" s="76">
        <f>SUM(AE940,AG940,AI940)*rate_forex_risk</f>
        <v/>
      </c>
      <c r="AI940" s="193">
        <f>IF(OR(seller_region="TR",offer_sale_type="экспорт"),0,rate_fin_comm)*SUM(AZ940,AZ940*AW940,T940)</f>
        <v/>
      </c>
      <c r="AJ940" s="118">
        <f>IFERROR(ROUND(SUM(AB940,AF940:AI940)/E940,2),0)</f>
        <v/>
      </c>
      <c r="AK940" s="76">
        <f>AJ940*E940</f>
        <v/>
      </c>
      <c r="AL940" s="174">
        <f>ROUND(IFERROR(AM940*E940,0),2)</f>
        <v/>
      </c>
      <c r="AM940" s="175">
        <f>ROUND(AJ940*(1+IF(offer_incoterms="DDP",IF((TODAY()+offer_turnaround_time)&gt;=helpsheet!$L$17,rate_vatRU_from_26,rate_vatRu_till_25),0)),2)</f>
        <v/>
      </c>
      <c r="AN940" s="192">
        <f>AL940-AK940</f>
        <v/>
      </c>
      <c r="AO940" s="76">
        <f>SUM(AY940,Y940:Z940,T940)*IF(AND(offer_incoterms="DDP",offer_sale_type&lt;&gt;"экспорт"),IF((TODAY()+offer_turnaround_time)&gt;=helpsheet!$L$17,rate_vatRU_from_26,rate_vatRu_till_25),0)</f>
        <v/>
      </c>
      <c r="AP940" s="193">
        <f>AN940-AO940</f>
        <v/>
      </c>
      <c r="AQ940" s="118">
        <f>IF(offer_sale_type="транзит",SUM(AF940:AI940,BA940,BB940),0)</f>
        <v/>
      </c>
      <c r="AR940" s="82">
        <f>HYPERLINK("https://www.alta.ru/tnved/code/")&amp;W940&amp;"/"</f>
        <v/>
      </c>
      <c r="AS940" s="157" t="n"/>
      <c r="AT940" s="162" t="n"/>
      <c r="AU940" s="76">
        <f>IF(ISBLANK(AT940),0,AJ940-AT940)</f>
        <v/>
      </c>
      <c r="AV940" s="157" t="n"/>
      <c r="AW940" s="75">
        <f>_xlfn.IFNA(VLOOKUP(L940,list_vat[],3,FALSE),0)</f>
        <v/>
      </c>
      <c r="AX940" s="76">
        <f>IFERROR(ROUND(S940*(1+AW940)/E940,2),0)</f>
        <v/>
      </c>
      <c r="AY940" s="76">
        <f>E940*AX940</f>
        <v/>
      </c>
      <c r="AZ940" s="192">
        <f>S940*(1+M940)</f>
        <v/>
      </c>
      <c r="BA940" s="76">
        <f>cost_fin_total*$BD940</f>
        <v/>
      </c>
      <c r="BB940" s="193">
        <f>credit_sales_interest*BD940</f>
        <v/>
      </c>
      <c r="BC940" s="102">
        <f>IFERROR(IF($I$13&gt;0,$I940/$I$13,$S940/$S$13),0)</f>
        <v/>
      </c>
      <c r="BD940" s="102">
        <f>IFERROR($S940/$S$13,0)</f>
        <v/>
      </c>
      <c r="BE940" s="413" t="inlineStr">
        <is>
          <t>$</t>
        </is>
      </c>
    </row>
    <row r="941" ht="12" customFormat="1" customHeight="1" s="65">
      <c r="A941" s="43" t="n">
        <v>926</v>
      </c>
      <c r="B941" s="166" t="n"/>
      <c r="C941" s="166" t="n"/>
      <c r="D941" s="166" t="n"/>
      <c r="E941" s="162" t="n"/>
      <c r="F941" s="166" t="n"/>
      <c r="G941" s="162" t="n"/>
      <c r="H941" s="162" t="n"/>
      <c r="I941" s="189">
        <f>E941*G941</f>
        <v/>
      </c>
      <c r="J941" s="195" t="n"/>
      <c r="K941" s="162" t="n"/>
      <c r="L941" s="168" t="n"/>
      <c r="M941" s="75">
        <f>_xlfn.XLOOKUP(L941,list_vat[Страна],list_vat[Ставка НДС %],0,0)</f>
        <v/>
      </c>
      <c r="N941" s="162">
        <f>IFERROR(IF(L941="Китай",K941,K941/(1+M941)),0)</f>
        <v/>
      </c>
      <c r="O941" s="169" t="n"/>
      <c r="P941" s="76">
        <f>N941*(1-O941)</f>
        <v/>
      </c>
      <c r="Q941" s="162" t="n"/>
      <c r="R941" s="162">
        <f>IF(ISBLANK(Q941),"введи курс",P941/Q941)</f>
        <v/>
      </c>
      <c r="S941" s="196">
        <f>IF(AND(ISNUMBER(E941),ISNUMBER(Q941)),E941*R941,0)</f>
        <v/>
      </c>
      <c r="T941" s="192">
        <f>$BC941*V$11</f>
        <v/>
      </c>
      <c r="U941" s="76">
        <f>$BC941*W$11</f>
        <v/>
      </c>
      <c r="V941" s="193">
        <f>+SUM(T941:U941)</f>
        <v/>
      </c>
      <c r="W941" s="191" t="n"/>
      <c r="X941" s="170" t="n"/>
      <c r="Y941" s="76">
        <f>ROUND(IF(offer_incoterms="DDP",X941*(S941*(1+AW941)+T941),0),2)</f>
        <v/>
      </c>
      <c r="Z941" s="188" t="n"/>
      <c r="AA941" s="192">
        <f>IFERROR(AB941/E941,0)</f>
        <v/>
      </c>
      <c r="AB941" s="76">
        <f>ROUND(SUM(S941,V941,Y941:Z941,BA941:BB941),2)</f>
        <v/>
      </c>
      <c r="AC941" s="797" t="n"/>
      <c r="AD941" s="192">
        <f t="array" ref="AD941">IFERROR(ROUND((_xlfn.IFS(offer_sale_type="поставка",AB941,offer_sale_type="транзит",S941)*(1+AC941))/E941,2),0)</f>
        <v/>
      </c>
      <c r="AE941" s="76">
        <f>AD941*E941</f>
        <v/>
      </c>
      <c r="AF941" s="193">
        <f t="array" ref="AF941">IFERROR(ROUND(_xlfn.IFS(offer_sale_type="поставка",AB941,offer_sale_type="транзит",S941)*AC941,2),0)</f>
        <v/>
      </c>
      <c r="AG941" s="192">
        <f>$BD941*VLOOKUP($AG$3,$AF$4:$AG$7,2,FALSE)</f>
        <v/>
      </c>
      <c r="AH941" s="76">
        <f>SUM(AE941,AG941,AI941)*rate_forex_risk</f>
        <v/>
      </c>
      <c r="AI941" s="193">
        <f>IF(OR(seller_region="TR",offer_sale_type="экспорт"),0,rate_fin_comm)*SUM(AZ941,AZ941*AW941,T941)</f>
        <v/>
      </c>
      <c r="AJ941" s="118">
        <f>IFERROR(ROUND(SUM(AB941,AF941:AI941)/E941,2),0)</f>
        <v/>
      </c>
      <c r="AK941" s="76">
        <f>AJ941*E941</f>
        <v/>
      </c>
      <c r="AL941" s="174">
        <f>ROUND(IFERROR(AM941*E941,0),2)</f>
        <v/>
      </c>
      <c r="AM941" s="175">
        <f>ROUND(AJ941*(1+IF(offer_incoterms="DDP",IF((TODAY()+offer_turnaround_time)&gt;=helpsheet!$L$17,rate_vatRU_from_26,rate_vatRu_till_25),0)),2)</f>
        <v/>
      </c>
      <c r="AN941" s="192">
        <f>AL941-AK941</f>
        <v/>
      </c>
      <c r="AO941" s="76">
        <f>SUM(AY941,Y941:Z941,T941)*IF(AND(offer_incoterms="DDP",offer_sale_type&lt;&gt;"экспорт"),IF((TODAY()+offer_turnaround_time)&gt;=helpsheet!$L$17,rate_vatRU_from_26,rate_vatRu_till_25),0)</f>
        <v/>
      </c>
      <c r="AP941" s="193">
        <f>AN941-AO941</f>
        <v/>
      </c>
      <c r="AQ941" s="118">
        <f>IF(offer_sale_type="транзит",SUM(AF941:AI941,BA941,BB941),0)</f>
        <v/>
      </c>
      <c r="AR941" s="82">
        <f>HYPERLINK("https://www.alta.ru/tnved/code/")&amp;W941&amp;"/"</f>
        <v/>
      </c>
      <c r="AS941" s="157" t="n"/>
      <c r="AT941" s="162" t="n"/>
      <c r="AU941" s="76">
        <f>IF(ISBLANK(AT941),0,AJ941-AT941)</f>
        <v/>
      </c>
      <c r="AV941" s="157" t="n"/>
      <c r="AW941" s="75">
        <f>_xlfn.IFNA(VLOOKUP(L941,list_vat[],3,FALSE),0)</f>
        <v/>
      </c>
      <c r="AX941" s="76">
        <f>IFERROR(ROUND(S941*(1+AW941)/E941,2),0)</f>
        <v/>
      </c>
      <c r="AY941" s="76">
        <f>E941*AX941</f>
        <v/>
      </c>
      <c r="AZ941" s="192">
        <f>S941*(1+M941)</f>
        <v/>
      </c>
      <c r="BA941" s="76">
        <f>cost_fin_total*$BD941</f>
        <v/>
      </c>
      <c r="BB941" s="193">
        <f>credit_sales_interest*BD941</f>
        <v/>
      </c>
      <c r="BC941" s="102">
        <f>IFERROR(IF($I$13&gt;0,$I941/$I$13,$S941/$S$13),0)</f>
        <v/>
      </c>
      <c r="BD941" s="102">
        <f>IFERROR($S941/$S$13,0)</f>
        <v/>
      </c>
      <c r="BE941" s="413" t="inlineStr">
        <is>
          <t>$</t>
        </is>
      </c>
    </row>
    <row r="942" ht="12" customFormat="1" customHeight="1" s="65">
      <c r="A942" s="43" t="n">
        <v>927</v>
      </c>
      <c r="B942" s="166" t="n"/>
      <c r="C942" s="166" t="n"/>
      <c r="D942" s="166" t="n"/>
      <c r="E942" s="162" t="n"/>
      <c r="F942" s="166" t="n"/>
      <c r="G942" s="162" t="n"/>
      <c r="H942" s="162" t="n"/>
      <c r="I942" s="189">
        <f>E942*G942</f>
        <v/>
      </c>
      <c r="J942" s="195" t="n"/>
      <c r="K942" s="162" t="n"/>
      <c r="L942" s="168" t="n"/>
      <c r="M942" s="75">
        <f>_xlfn.XLOOKUP(L942,list_vat[Страна],list_vat[Ставка НДС %],0,0)</f>
        <v/>
      </c>
      <c r="N942" s="162">
        <f>IFERROR(IF(L942="Китай",K942,K942/(1+M942)),0)</f>
        <v/>
      </c>
      <c r="O942" s="169" t="n"/>
      <c r="P942" s="76">
        <f>N942*(1-O942)</f>
        <v/>
      </c>
      <c r="Q942" s="162" t="n"/>
      <c r="R942" s="162">
        <f>IF(ISBLANK(Q942),"введи курс",P942/Q942)</f>
        <v/>
      </c>
      <c r="S942" s="196">
        <f>IF(AND(ISNUMBER(E942),ISNUMBER(Q942)),E942*R942,0)</f>
        <v/>
      </c>
      <c r="T942" s="192">
        <f>$BC942*V$11</f>
        <v/>
      </c>
      <c r="U942" s="76">
        <f>$BC942*W$11</f>
        <v/>
      </c>
      <c r="V942" s="193">
        <f>+SUM(T942:U942)</f>
        <v/>
      </c>
      <c r="W942" s="191" t="n"/>
      <c r="X942" s="170" t="n"/>
      <c r="Y942" s="76">
        <f>ROUND(IF(offer_incoterms="DDP",X942*(S942*(1+AW942)+T942),0),2)</f>
        <v/>
      </c>
      <c r="Z942" s="188" t="n"/>
      <c r="AA942" s="192">
        <f>IFERROR(AB942/E942,0)</f>
        <v/>
      </c>
      <c r="AB942" s="76">
        <f>ROUND(SUM(S942,V942,Y942:Z942,BA942:BB942),2)</f>
        <v/>
      </c>
      <c r="AC942" s="797" t="n"/>
      <c r="AD942" s="192">
        <f t="array" ref="AD942">IFERROR(ROUND((_xlfn.IFS(offer_sale_type="поставка",AB942,offer_sale_type="транзит",S942)*(1+AC942))/E942,2),0)</f>
        <v/>
      </c>
      <c r="AE942" s="76">
        <f>AD942*E942</f>
        <v/>
      </c>
      <c r="AF942" s="193">
        <f t="array" ref="AF942">IFERROR(ROUND(_xlfn.IFS(offer_sale_type="поставка",AB942,offer_sale_type="транзит",S942)*AC942,2),0)</f>
        <v/>
      </c>
      <c r="AG942" s="192">
        <f>$BD942*VLOOKUP($AG$3,$AF$4:$AG$7,2,FALSE)</f>
        <v/>
      </c>
      <c r="AH942" s="76">
        <f>SUM(AE942,AG942,AI942)*rate_forex_risk</f>
        <v/>
      </c>
      <c r="AI942" s="193">
        <f>IF(OR(seller_region="TR",offer_sale_type="экспорт"),0,rate_fin_comm)*SUM(AZ942,AZ942*AW942,T942)</f>
        <v/>
      </c>
      <c r="AJ942" s="118">
        <f>IFERROR(ROUND(SUM(AB942,AF942:AI942)/E942,2),0)</f>
        <v/>
      </c>
      <c r="AK942" s="76">
        <f>AJ942*E942</f>
        <v/>
      </c>
      <c r="AL942" s="174">
        <f>ROUND(IFERROR(AM942*E942,0),2)</f>
        <v/>
      </c>
      <c r="AM942" s="175">
        <f>ROUND(AJ942*(1+IF(offer_incoterms="DDP",IF((TODAY()+offer_turnaround_time)&gt;=helpsheet!$L$17,rate_vatRU_from_26,rate_vatRu_till_25),0)),2)</f>
        <v/>
      </c>
      <c r="AN942" s="192">
        <f>AL942-AK942</f>
        <v/>
      </c>
      <c r="AO942" s="76">
        <f>SUM(AY942,Y942:Z942,T942)*IF(AND(offer_incoterms="DDP",offer_sale_type&lt;&gt;"экспорт"),IF((TODAY()+offer_turnaround_time)&gt;=helpsheet!$L$17,rate_vatRU_from_26,rate_vatRu_till_25),0)</f>
        <v/>
      </c>
      <c r="AP942" s="193">
        <f>AN942-AO942</f>
        <v/>
      </c>
      <c r="AQ942" s="118">
        <f>IF(offer_sale_type="транзит",SUM(AF942:AI942,BA942,BB942),0)</f>
        <v/>
      </c>
      <c r="AR942" s="82">
        <f>HYPERLINK("https://www.alta.ru/tnved/code/")&amp;W942&amp;"/"</f>
        <v/>
      </c>
      <c r="AS942" s="157" t="n"/>
      <c r="AT942" s="162" t="n"/>
      <c r="AU942" s="76">
        <f>IF(ISBLANK(AT942),0,AJ942-AT942)</f>
        <v/>
      </c>
      <c r="AV942" s="157" t="n"/>
      <c r="AW942" s="75">
        <f>_xlfn.IFNA(VLOOKUP(L942,list_vat[],3,FALSE),0)</f>
        <v/>
      </c>
      <c r="AX942" s="76">
        <f>IFERROR(ROUND(S942*(1+AW942)/E942,2),0)</f>
        <v/>
      </c>
      <c r="AY942" s="76">
        <f>E942*AX942</f>
        <v/>
      </c>
      <c r="AZ942" s="192">
        <f>S942*(1+M942)</f>
        <v/>
      </c>
      <c r="BA942" s="76">
        <f>cost_fin_total*$BD942</f>
        <v/>
      </c>
      <c r="BB942" s="193">
        <f>credit_sales_interest*BD942</f>
        <v/>
      </c>
      <c r="BC942" s="102">
        <f>IFERROR(IF($I$13&gt;0,$I942/$I$13,$S942/$S$13),0)</f>
        <v/>
      </c>
      <c r="BD942" s="102">
        <f>IFERROR($S942/$S$13,0)</f>
        <v/>
      </c>
      <c r="BE942" s="413" t="inlineStr">
        <is>
          <t>$</t>
        </is>
      </c>
    </row>
    <row r="943" ht="12" customFormat="1" customHeight="1" s="65">
      <c r="A943" s="43" t="n">
        <v>928</v>
      </c>
      <c r="B943" s="166" t="n"/>
      <c r="C943" s="166" t="n"/>
      <c r="D943" s="166" t="n"/>
      <c r="E943" s="162" t="n"/>
      <c r="F943" s="166" t="n"/>
      <c r="G943" s="162" t="n"/>
      <c r="H943" s="162" t="n"/>
      <c r="I943" s="189">
        <f>E943*G943</f>
        <v/>
      </c>
      <c r="J943" s="195" t="n"/>
      <c r="K943" s="162" t="n"/>
      <c r="L943" s="168" t="n"/>
      <c r="M943" s="75">
        <f>_xlfn.XLOOKUP(L943,list_vat[Страна],list_vat[Ставка НДС %],0,0)</f>
        <v/>
      </c>
      <c r="N943" s="162">
        <f>IFERROR(IF(L943="Китай",K943,K943/(1+M943)),0)</f>
        <v/>
      </c>
      <c r="O943" s="169" t="n"/>
      <c r="P943" s="76">
        <f>N943*(1-O943)</f>
        <v/>
      </c>
      <c r="Q943" s="162" t="n"/>
      <c r="R943" s="162">
        <f>IF(ISBLANK(Q943),"введи курс",P943/Q943)</f>
        <v/>
      </c>
      <c r="S943" s="196">
        <f>IF(AND(ISNUMBER(E943),ISNUMBER(Q943)),E943*R943,0)</f>
        <v/>
      </c>
      <c r="T943" s="192">
        <f>$BC943*V$11</f>
        <v/>
      </c>
      <c r="U943" s="76">
        <f>$BC943*W$11</f>
        <v/>
      </c>
      <c r="V943" s="193">
        <f>+SUM(T943:U943)</f>
        <v/>
      </c>
      <c r="W943" s="191" t="n"/>
      <c r="X943" s="170" t="n"/>
      <c r="Y943" s="76">
        <f>ROUND(IF(offer_incoterms="DDP",X943*(S943*(1+AW943)+T943),0),2)</f>
        <v/>
      </c>
      <c r="Z943" s="188" t="n"/>
      <c r="AA943" s="192">
        <f>IFERROR(AB943/E943,0)</f>
        <v/>
      </c>
      <c r="AB943" s="76">
        <f>ROUND(SUM(S943,V943,Y943:Z943,BA943:BB943),2)</f>
        <v/>
      </c>
      <c r="AC943" s="797" t="n"/>
      <c r="AD943" s="192">
        <f t="array" ref="AD943">IFERROR(ROUND((_xlfn.IFS(offer_sale_type="поставка",AB943,offer_sale_type="транзит",S943)*(1+AC943))/E943,2),0)</f>
        <v/>
      </c>
      <c r="AE943" s="76">
        <f>AD943*E943</f>
        <v/>
      </c>
      <c r="AF943" s="193">
        <f t="array" ref="AF943">IFERROR(ROUND(_xlfn.IFS(offer_sale_type="поставка",AB943,offer_sale_type="транзит",S943)*AC943,2),0)</f>
        <v/>
      </c>
      <c r="AG943" s="192">
        <f>$BD943*VLOOKUP($AG$3,$AF$4:$AG$7,2,FALSE)</f>
        <v/>
      </c>
      <c r="AH943" s="76">
        <f>SUM(AE943,AG943,AI943)*rate_forex_risk</f>
        <v/>
      </c>
      <c r="AI943" s="193">
        <f>IF(OR(seller_region="TR",offer_sale_type="экспорт"),0,rate_fin_comm)*SUM(AZ943,AZ943*AW943,T943)</f>
        <v/>
      </c>
      <c r="AJ943" s="118">
        <f>IFERROR(ROUND(SUM(AB943,AF943:AI943)/E943,2),0)</f>
        <v/>
      </c>
      <c r="AK943" s="76">
        <f>AJ943*E943</f>
        <v/>
      </c>
      <c r="AL943" s="174">
        <f>ROUND(IFERROR(AM943*E943,0),2)</f>
        <v/>
      </c>
      <c r="AM943" s="175">
        <f>ROUND(AJ943*(1+IF(offer_incoterms="DDP",IF((TODAY()+offer_turnaround_time)&gt;=helpsheet!$L$17,rate_vatRU_from_26,rate_vatRu_till_25),0)),2)</f>
        <v/>
      </c>
      <c r="AN943" s="192">
        <f>AL943-AK943</f>
        <v/>
      </c>
      <c r="AO943" s="76">
        <f>SUM(AY943,Y943:Z943,T943)*IF(AND(offer_incoterms="DDP",offer_sale_type&lt;&gt;"экспорт"),IF((TODAY()+offer_turnaround_time)&gt;=helpsheet!$L$17,rate_vatRU_from_26,rate_vatRu_till_25),0)</f>
        <v/>
      </c>
      <c r="AP943" s="193">
        <f>AN943-AO943</f>
        <v/>
      </c>
      <c r="AQ943" s="118">
        <f>IF(offer_sale_type="транзит",SUM(AF943:AI943,BA943,BB943),0)</f>
        <v/>
      </c>
      <c r="AR943" s="82">
        <f>HYPERLINK("https://www.alta.ru/tnved/code/")&amp;W943&amp;"/"</f>
        <v/>
      </c>
      <c r="AS943" s="157" t="n"/>
      <c r="AT943" s="162" t="n"/>
      <c r="AU943" s="76">
        <f>IF(ISBLANK(AT943),0,AJ943-AT943)</f>
        <v/>
      </c>
      <c r="AV943" s="157" t="n"/>
      <c r="AW943" s="75">
        <f>_xlfn.IFNA(VLOOKUP(L943,list_vat[],3,FALSE),0)</f>
        <v/>
      </c>
      <c r="AX943" s="76">
        <f>IFERROR(ROUND(S943*(1+AW943)/E943,2),0)</f>
        <v/>
      </c>
      <c r="AY943" s="76">
        <f>E943*AX943</f>
        <v/>
      </c>
      <c r="AZ943" s="192">
        <f>S943*(1+M943)</f>
        <v/>
      </c>
      <c r="BA943" s="76">
        <f>cost_fin_total*$BD943</f>
        <v/>
      </c>
      <c r="BB943" s="193">
        <f>credit_sales_interest*BD943</f>
        <v/>
      </c>
      <c r="BC943" s="102">
        <f>IFERROR(IF($I$13&gt;0,$I943/$I$13,$S943/$S$13),0)</f>
        <v/>
      </c>
      <c r="BD943" s="102">
        <f>IFERROR($S943/$S$13,0)</f>
        <v/>
      </c>
      <c r="BE943" s="413" t="inlineStr">
        <is>
          <t>$</t>
        </is>
      </c>
    </row>
    <row r="944" ht="12" customFormat="1" customHeight="1" s="65">
      <c r="A944" s="43" t="n">
        <v>929</v>
      </c>
      <c r="B944" s="166" t="n"/>
      <c r="C944" s="166" t="n"/>
      <c r="D944" s="166" t="n"/>
      <c r="E944" s="162" t="n"/>
      <c r="F944" s="166" t="n"/>
      <c r="G944" s="162" t="n"/>
      <c r="H944" s="162" t="n"/>
      <c r="I944" s="189">
        <f>E944*G944</f>
        <v/>
      </c>
      <c r="J944" s="195" t="n"/>
      <c r="K944" s="162" t="n"/>
      <c r="L944" s="168" t="n"/>
      <c r="M944" s="75">
        <f>_xlfn.XLOOKUP(L944,list_vat[Страна],list_vat[Ставка НДС %],0,0)</f>
        <v/>
      </c>
      <c r="N944" s="162">
        <f>IFERROR(IF(L944="Китай",K944,K944/(1+M944)),0)</f>
        <v/>
      </c>
      <c r="O944" s="169" t="n"/>
      <c r="P944" s="76">
        <f>N944*(1-O944)</f>
        <v/>
      </c>
      <c r="Q944" s="162" t="n"/>
      <c r="R944" s="162">
        <f>IF(ISBLANK(Q944),"введи курс",P944/Q944)</f>
        <v/>
      </c>
      <c r="S944" s="196">
        <f>IF(AND(ISNUMBER(E944),ISNUMBER(Q944)),E944*R944,0)</f>
        <v/>
      </c>
      <c r="T944" s="192">
        <f>$BC944*V$11</f>
        <v/>
      </c>
      <c r="U944" s="76">
        <f>$BC944*W$11</f>
        <v/>
      </c>
      <c r="V944" s="193">
        <f>+SUM(T944:U944)</f>
        <v/>
      </c>
      <c r="W944" s="191" t="n"/>
      <c r="X944" s="170" t="n"/>
      <c r="Y944" s="76">
        <f>ROUND(IF(offer_incoterms="DDP",X944*(S944*(1+AW944)+T944),0),2)</f>
        <v/>
      </c>
      <c r="Z944" s="188" t="n"/>
      <c r="AA944" s="192">
        <f>IFERROR(AB944/E944,0)</f>
        <v/>
      </c>
      <c r="AB944" s="76">
        <f>ROUND(SUM(S944,V944,Y944:Z944,BA944:BB944),2)</f>
        <v/>
      </c>
      <c r="AC944" s="797" t="n"/>
      <c r="AD944" s="192">
        <f t="array" ref="AD944">IFERROR(ROUND((_xlfn.IFS(offer_sale_type="поставка",AB944,offer_sale_type="транзит",S944)*(1+AC944))/E944,2),0)</f>
        <v/>
      </c>
      <c r="AE944" s="76">
        <f>AD944*E944</f>
        <v/>
      </c>
      <c r="AF944" s="193">
        <f t="array" ref="AF944">IFERROR(ROUND(_xlfn.IFS(offer_sale_type="поставка",AB944,offer_sale_type="транзит",S944)*AC944,2),0)</f>
        <v/>
      </c>
      <c r="AG944" s="192">
        <f>$BD944*VLOOKUP($AG$3,$AF$4:$AG$7,2,FALSE)</f>
        <v/>
      </c>
      <c r="AH944" s="76">
        <f>SUM(AE944,AG944,AI944)*rate_forex_risk</f>
        <v/>
      </c>
      <c r="AI944" s="193">
        <f>IF(OR(seller_region="TR",offer_sale_type="экспорт"),0,rate_fin_comm)*SUM(AZ944,AZ944*AW944,T944)</f>
        <v/>
      </c>
      <c r="AJ944" s="118">
        <f>IFERROR(ROUND(SUM(AB944,AF944:AI944)/E944,2),0)</f>
        <v/>
      </c>
      <c r="AK944" s="76">
        <f>AJ944*E944</f>
        <v/>
      </c>
      <c r="AL944" s="174">
        <f>ROUND(IFERROR(AM944*E944,0),2)</f>
        <v/>
      </c>
      <c r="AM944" s="175">
        <f>ROUND(AJ944*(1+IF(offer_incoterms="DDP",IF((TODAY()+offer_turnaround_time)&gt;=helpsheet!$L$17,rate_vatRU_from_26,rate_vatRu_till_25),0)),2)</f>
        <v/>
      </c>
      <c r="AN944" s="192">
        <f>AL944-AK944</f>
        <v/>
      </c>
      <c r="AO944" s="76">
        <f>SUM(AY944,Y944:Z944,T944)*IF(AND(offer_incoterms="DDP",offer_sale_type&lt;&gt;"экспорт"),IF((TODAY()+offer_turnaround_time)&gt;=helpsheet!$L$17,rate_vatRU_from_26,rate_vatRu_till_25),0)</f>
        <v/>
      </c>
      <c r="AP944" s="193">
        <f>AN944-AO944</f>
        <v/>
      </c>
      <c r="AQ944" s="118">
        <f>IF(offer_sale_type="транзит",SUM(AF944:AI944,BA944,BB944),0)</f>
        <v/>
      </c>
      <c r="AR944" s="82">
        <f>HYPERLINK("https://www.alta.ru/tnved/code/")&amp;W944&amp;"/"</f>
        <v/>
      </c>
      <c r="AS944" s="157" t="n"/>
      <c r="AT944" s="162" t="n"/>
      <c r="AU944" s="76">
        <f>IF(ISBLANK(AT944),0,AJ944-AT944)</f>
        <v/>
      </c>
      <c r="AV944" s="157" t="n"/>
      <c r="AW944" s="75">
        <f>_xlfn.IFNA(VLOOKUP(L944,list_vat[],3,FALSE),0)</f>
        <v/>
      </c>
      <c r="AX944" s="76">
        <f>IFERROR(ROUND(S944*(1+AW944)/E944,2),0)</f>
        <v/>
      </c>
      <c r="AY944" s="76">
        <f>E944*AX944</f>
        <v/>
      </c>
      <c r="AZ944" s="192">
        <f>S944*(1+M944)</f>
        <v/>
      </c>
      <c r="BA944" s="76">
        <f>cost_fin_total*$BD944</f>
        <v/>
      </c>
      <c r="BB944" s="193">
        <f>credit_sales_interest*BD944</f>
        <v/>
      </c>
      <c r="BC944" s="102">
        <f>IFERROR(IF($I$13&gt;0,$I944/$I$13,$S944/$S$13),0)</f>
        <v/>
      </c>
      <c r="BD944" s="102">
        <f>IFERROR($S944/$S$13,0)</f>
        <v/>
      </c>
      <c r="BE944" s="413" t="inlineStr">
        <is>
          <t>$</t>
        </is>
      </c>
    </row>
    <row r="945" ht="12" customFormat="1" customHeight="1" s="65">
      <c r="A945" s="43" t="n">
        <v>930</v>
      </c>
      <c r="B945" s="166" t="n"/>
      <c r="C945" s="166" t="n"/>
      <c r="D945" s="166" t="n"/>
      <c r="E945" s="162" t="n"/>
      <c r="F945" s="166" t="n"/>
      <c r="G945" s="162" t="n"/>
      <c r="H945" s="162" t="n"/>
      <c r="I945" s="189">
        <f>E945*G945</f>
        <v/>
      </c>
      <c r="J945" s="195" t="n"/>
      <c r="K945" s="162" t="n"/>
      <c r="L945" s="168" t="n"/>
      <c r="M945" s="75">
        <f>_xlfn.XLOOKUP(L945,list_vat[Страна],list_vat[Ставка НДС %],0,0)</f>
        <v/>
      </c>
      <c r="N945" s="162">
        <f>IFERROR(IF(L945="Китай",K945,K945/(1+M945)),0)</f>
        <v/>
      </c>
      <c r="O945" s="169" t="n"/>
      <c r="P945" s="76">
        <f>N945*(1-O945)</f>
        <v/>
      </c>
      <c r="Q945" s="162" t="n"/>
      <c r="R945" s="162">
        <f>IF(ISBLANK(Q945),"введи курс",P945/Q945)</f>
        <v/>
      </c>
      <c r="S945" s="196">
        <f>IF(AND(ISNUMBER(E945),ISNUMBER(Q945)),E945*R945,0)</f>
        <v/>
      </c>
      <c r="T945" s="192">
        <f>$BC945*V$11</f>
        <v/>
      </c>
      <c r="U945" s="76">
        <f>$BC945*W$11</f>
        <v/>
      </c>
      <c r="V945" s="193">
        <f>+SUM(T945:U945)</f>
        <v/>
      </c>
      <c r="W945" s="191" t="n"/>
      <c r="X945" s="170" t="n"/>
      <c r="Y945" s="76">
        <f>ROUND(IF(offer_incoterms="DDP",X945*(S945*(1+AW945)+T945),0),2)</f>
        <v/>
      </c>
      <c r="Z945" s="188" t="n"/>
      <c r="AA945" s="192">
        <f>IFERROR(AB945/E945,0)</f>
        <v/>
      </c>
      <c r="AB945" s="76">
        <f>ROUND(SUM(S945,V945,Y945:Z945,BA945:BB945),2)</f>
        <v/>
      </c>
      <c r="AC945" s="797" t="n"/>
      <c r="AD945" s="192">
        <f t="array" ref="AD945">IFERROR(ROUND((_xlfn.IFS(offer_sale_type="поставка",AB945,offer_sale_type="транзит",S945)*(1+AC945))/E945,2),0)</f>
        <v/>
      </c>
      <c r="AE945" s="76">
        <f>AD945*E945</f>
        <v/>
      </c>
      <c r="AF945" s="193">
        <f t="array" ref="AF945">IFERROR(ROUND(_xlfn.IFS(offer_sale_type="поставка",AB945,offer_sale_type="транзит",S945)*AC945,2),0)</f>
        <v/>
      </c>
      <c r="AG945" s="192">
        <f>$BD945*VLOOKUP($AG$3,$AF$4:$AG$7,2,FALSE)</f>
        <v/>
      </c>
      <c r="AH945" s="76">
        <f>SUM(AE945,AG945,AI945)*rate_forex_risk</f>
        <v/>
      </c>
      <c r="AI945" s="193">
        <f>IF(OR(seller_region="TR",offer_sale_type="экспорт"),0,rate_fin_comm)*SUM(AZ945,AZ945*AW945,T945)</f>
        <v/>
      </c>
      <c r="AJ945" s="118">
        <f>IFERROR(ROUND(SUM(AB945,AF945:AI945)/E945,2),0)</f>
        <v/>
      </c>
      <c r="AK945" s="76">
        <f>AJ945*E945</f>
        <v/>
      </c>
      <c r="AL945" s="174">
        <f>ROUND(IFERROR(AM945*E945,0),2)</f>
        <v/>
      </c>
      <c r="AM945" s="175">
        <f>ROUND(AJ945*(1+IF(offer_incoterms="DDP",IF((TODAY()+offer_turnaround_time)&gt;=helpsheet!$L$17,rate_vatRU_from_26,rate_vatRu_till_25),0)),2)</f>
        <v/>
      </c>
      <c r="AN945" s="192">
        <f>AL945-AK945</f>
        <v/>
      </c>
      <c r="AO945" s="76">
        <f>SUM(AY945,Y945:Z945,T945)*IF(AND(offer_incoterms="DDP",offer_sale_type&lt;&gt;"экспорт"),IF((TODAY()+offer_turnaround_time)&gt;=helpsheet!$L$17,rate_vatRU_from_26,rate_vatRu_till_25),0)</f>
        <v/>
      </c>
      <c r="AP945" s="193">
        <f>AN945-AO945</f>
        <v/>
      </c>
      <c r="AQ945" s="118">
        <f>IF(offer_sale_type="транзит",SUM(AF945:AI945,BA945,BB945),0)</f>
        <v/>
      </c>
      <c r="AR945" s="82">
        <f>HYPERLINK("https://www.alta.ru/tnved/code/")&amp;W945&amp;"/"</f>
        <v/>
      </c>
      <c r="AS945" s="157" t="n"/>
      <c r="AT945" s="162" t="n"/>
      <c r="AU945" s="76">
        <f>IF(ISBLANK(AT945),0,AJ945-AT945)</f>
        <v/>
      </c>
      <c r="AV945" s="157" t="n"/>
      <c r="AW945" s="75">
        <f>_xlfn.IFNA(VLOOKUP(L945,list_vat[],3,FALSE),0)</f>
        <v/>
      </c>
      <c r="AX945" s="76">
        <f>IFERROR(ROUND(S945*(1+AW945)/E945,2),0)</f>
        <v/>
      </c>
      <c r="AY945" s="76">
        <f>E945*AX945</f>
        <v/>
      </c>
      <c r="AZ945" s="192">
        <f>S945*(1+M945)</f>
        <v/>
      </c>
      <c r="BA945" s="76">
        <f>cost_fin_total*$BD945</f>
        <v/>
      </c>
      <c r="BB945" s="193">
        <f>credit_sales_interest*BD945</f>
        <v/>
      </c>
      <c r="BC945" s="102">
        <f>IFERROR(IF($I$13&gt;0,$I945/$I$13,$S945/$S$13),0)</f>
        <v/>
      </c>
      <c r="BD945" s="102">
        <f>IFERROR($S945/$S$13,0)</f>
        <v/>
      </c>
      <c r="BE945" s="413" t="inlineStr">
        <is>
          <t>$</t>
        </is>
      </c>
    </row>
    <row r="946" ht="12" customFormat="1" customHeight="1" s="65">
      <c r="A946" s="43" t="n">
        <v>931</v>
      </c>
      <c r="B946" s="166" t="n"/>
      <c r="C946" s="166" t="n"/>
      <c r="D946" s="166" t="n"/>
      <c r="E946" s="162" t="n"/>
      <c r="F946" s="166" t="n"/>
      <c r="G946" s="162" t="n"/>
      <c r="H946" s="162" t="n"/>
      <c r="I946" s="189">
        <f>E946*G946</f>
        <v/>
      </c>
      <c r="J946" s="195" t="n"/>
      <c r="K946" s="162" t="n"/>
      <c r="L946" s="168" t="n"/>
      <c r="M946" s="75">
        <f>_xlfn.XLOOKUP(L946,list_vat[Страна],list_vat[Ставка НДС %],0,0)</f>
        <v/>
      </c>
      <c r="N946" s="162">
        <f>IFERROR(IF(L946="Китай",K946,K946/(1+M946)),0)</f>
        <v/>
      </c>
      <c r="O946" s="169" t="n"/>
      <c r="P946" s="76">
        <f>N946*(1-O946)</f>
        <v/>
      </c>
      <c r="Q946" s="162" t="n"/>
      <c r="R946" s="162">
        <f>IF(ISBLANK(Q946),"введи курс",P946/Q946)</f>
        <v/>
      </c>
      <c r="S946" s="196">
        <f>IF(AND(ISNUMBER(E946),ISNUMBER(Q946)),E946*R946,0)</f>
        <v/>
      </c>
      <c r="T946" s="192">
        <f>$BC946*V$11</f>
        <v/>
      </c>
      <c r="U946" s="76">
        <f>$BC946*W$11</f>
        <v/>
      </c>
      <c r="V946" s="193">
        <f>+SUM(T946:U946)</f>
        <v/>
      </c>
      <c r="W946" s="191" t="n"/>
      <c r="X946" s="170" t="n"/>
      <c r="Y946" s="76">
        <f>ROUND(IF(offer_incoterms="DDP",X946*(S946*(1+AW946)+T946),0),2)</f>
        <v/>
      </c>
      <c r="Z946" s="188" t="n"/>
      <c r="AA946" s="192">
        <f>IFERROR(AB946/E946,0)</f>
        <v/>
      </c>
      <c r="AB946" s="76">
        <f>ROUND(SUM(S946,V946,Y946:Z946,BA946:BB946),2)</f>
        <v/>
      </c>
      <c r="AC946" s="797" t="n"/>
      <c r="AD946" s="192">
        <f t="array" ref="AD946">IFERROR(ROUND((_xlfn.IFS(offer_sale_type="поставка",AB946,offer_sale_type="транзит",S946)*(1+AC946))/E946,2),0)</f>
        <v/>
      </c>
      <c r="AE946" s="76">
        <f>AD946*E946</f>
        <v/>
      </c>
      <c r="AF946" s="193">
        <f t="array" ref="AF946">IFERROR(ROUND(_xlfn.IFS(offer_sale_type="поставка",AB946,offer_sale_type="транзит",S946)*AC946,2),0)</f>
        <v/>
      </c>
      <c r="AG946" s="192">
        <f>$BD946*VLOOKUP($AG$3,$AF$4:$AG$7,2,FALSE)</f>
        <v/>
      </c>
      <c r="AH946" s="76">
        <f>SUM(AE946,AG946,AI946)*rate_forex_risk</f>
        <v/>
      </c>
      <c r="AI946" s="193">
        <f>IF(OR(seller_region="TR",offer_sale_type="экспорт"),0,rate_fin_comm)*SUM(AZ946,AZ946*AW946,T946)</f>
        <v/>
      </c>
      <c r="AJ946" s="118">
        <f>IFERROR(ROUND(SUM(AB946,AF946:AI946)/E946,2),0)</f>
        <v/>
      </c>
      <c r="AK946" s="76">
        <f>AJ946*E946</f>
        <v/>
      </c>
      <c r="AL946" s="174">
        <f>ROUND(IFERROR(AM946*E946,0),2)</f>
        <v/>
      </c>
      <c r="AM946" s="175">
        <f>ROUND(AJ946*(1+IF(offer_incoterms="DDP",IF((TODAY()+offer_turnaround_time)&gt;=helpsheet!$L$17,rate_vatRU_from_26,rate_vatRu_till_25),0)),2)</f>
        <v/>
      </c>
      <c r="AN946" s="192">
        <f>AL946-AK946</f>
        <v/>
      </c>
      <c r="AO946" s="76">
        <f>SUM(AY946,Y946:Z946,T946)*IF(AND(offer_incoterms="DDP",offer_sale_type&lt;&gt;"экспорт"),IF((TODAY()+offer_turnaround_time)&gt;=helpsheet!$L$17,rate_vatRU_from_26,rate_vatRu_till_25),0)</f>
        <v/>
      </c>
      <c r="AP946" s="193">
        <f>AN946-AO946</f>
        <v/>
      </c>
      <c r="AQ946" s="118">
        <f>IF(offer_sale_type="транзит",SUM(AF946:AI946,BA946,BB946),0)</f>
        <v/>
      </c>
      <c r="AR946" s="82">
        <f>HYPERLINK("https://www.alta.ru/tnved/code/")&amp;W946&amp;"/"</f>
        <v/>
      </c>
      <c r="AS946" s="157" t="n"/>
      <c r="AT946" s="162" t="n"/>
      <c r="AU946" s="76">
        <f>IF(ISBLANK(AT946),0,AJ946-AT946)</f>
        <v/>
      </c>
      <c r="AV946" s="157" t="n"/>
      <c r="AW946" s="75">
        <f>_xlfn.IFNA(VLOOKUP(L946,list_vat[],3,FALSE),0)</f>
        <v/>
      </c>
      <c r="AX946" s="76">
        <f>IFERROR(ROUND(S946*(1+AW946)/E946,2),0)</f>
        <v/>
      </c>
      <c r="AY946" s="76">
        <f>E946*AX946</f>
        <v/>
      </c>
      <c r="AZ946" s="192">
        <f>S946*(1+M946)</f>
        <v/>
      </c>
      <c r="BA946" s="76">
        <f>cost_fin_total*$BD946</f>
        <v/>
      </c>
      <c r="BB946" s="193">
        <f>credit_sales_interest*BD946</f>
        <v/>
      </c>
      <c r="BC946" s="102">
        <f>IFERROR(IF($I$13&gt;0,$I946/$I$13,$S946/$S$13),0)</f>
        <v/>
      </c>
      <c r="BD946" s="102">
        <f>IFERROR($S946/$S$13,0)</f>
        <v/>
      </c>
      <c r="BE946" s="413" t="inlineStr">
        <is>
          <t>$</t>
        </is>
      </c>
    </row>
    <row r="947" ht="12" customFormat="1" customHeight="1" s="65">
      <c r="A947" s="43" t="n">
        <v>932</v>
      </c>
      <c r="B947" s="166" t="n"/>
      <c r="C947" s="166" t="n"/>
      <c r="D947" s="166" t="n"/>
      <c r="E947" s="162" t="n"/>
      <c r="F947" s="166" t="n"/>
      <c r="G947" s="162" t="n"/>
      <c r="H947" s="162" t="n"/>
      <c r="I947" s="189">
        <f>E947*G947</f>
        <v/>
      </c>
      <c r="J947" s="195" t="n"/>
      <c r="K947" s="162" t="n"/>
      <c r="L947" s="168" t="n"/>
      <c r="M947" s="75">
        <f>_xlfn.XLOOKUP(L947,list_vat[Страна],list_vat[Ставка НДС %],0,0)</f>
        <v/>
      </c>
      <c r="N947" s="162">
        <f>IFERROR(IF(L947="Китай",K947,K947/(1+M947)),0)</f>
        <v/>
      </c>
      <c r="O947" s="169" t="n"/>
      <c r="P947" s="76">
        <f>N947*(1-O947)</f>
        <v/>
      </c>
      <c r="Q947" s="162" t="n"/>
      <c r="R947" s="162">
        <f>IF(ISBLANK(Q947),"введи курс",P947/Q947)</f>
        <v/>
      </c>
      <c r="S947" s="196">
        <f>IF(AND(ISNUMBER(E947),ISNUMBER(Q947)),E947*R947,0)</f>
        <v/>
      </c>
      <c r="T947" s="192">
        <f>$BC947*V$11</f>
        <v/>
      </c>
      <c r="U947" s="76">
        <f>$BC947*W$11</f>
        <v/>
      </c>
      <c r="V947" s="193">
        <f>+SUM(T947:U947)</f>
        <v/>
      </c>
      <c r="W947" s="191" t="n"/>
      <c r="X947" s="170" t="n"/>
      <c r="Y947" s="76">
        <f>ROUND(IF(offer_incoterms="DDP",X947*(S947*(1+AW947)+T947),0),2)</f>
        <v/>
      </c>
      <c r="Z947" s="188" t="n"/>
      <c r="AA947" s="192">
        <f>IFERROR(AB947/E947,0)</f>
        <v/>
      </c>
      <c r="AB947" s="76">
        <f>ROUND(SUM(S947,V947,Y947:Z947,BA947:BB947),2)</f>
        <v/>
      </c>
      <c r="AC947" s="797" t="n"/>
      <c r="AD947" s="192">
        <f t="array" ref="AD947">IFERROR(ROUND((_xlfn.IFS(offer_sale_type="поставка",AB947,offer_sale_type="транзит",S947)*(1+AC947))/E947,2),0)</f>
        <v/>
      </c>
      <c r="AE947" s="76">
        <f>AD947*E947</f>
        <v/>
      </c>
      <c r="AF947" s="193">
        <f t="array" ref="AF947">IFERROR(ROUND(_xlfn.IFS(offer_sale_type="поставка",AB947,offer_sale_type="транзит",S947)*AC947,2),0)</f>
        <v/>
      </c>
      <c r="AG947" s="192">
        <f>$BD947*VLOOKUP($AG$3,$AF$4:$AG$7,2,FALSE)</f>
        <v/>
      </c>
      <c r="AH947" s="76">
        <f>SUM(AE947,AG947,AI947)*rate_forex_risk</f>
        <v/>
      </c>
      <c r="AI947" s="193">
        <f>IF(OR(seller_region="TR",offer_sale_type="экспорт"),0,rate_fin_comm)*SUM(AZ947,AZ947*AW947,T947)</f>
        <v/>
      </c>
      <c r="AJ947" s="118">
        <f>IFERROR(ROUND(SUM(AB947,AF947:AI947)/E947,2),0)</f>
        <v/>
      </c>
      <c r="AK947" s="76">
        <f>AJ947*E947</f>
        <v/>
      </c>
      <c r="AL947" s="174">
        <f>ROUND(IFERROR(AM947*E947,0),2)</f>
        <v/>
      </c>
      <c r="AM947" s="175">
        <f>ROUND(AJ947*(1+IF(offer_incoterms="DDP",IF((TODAY()+offer_turnaround_time)&gt;=helpsheet!$L$17,rate_vatRU_from_26,rate_vatRu_till_25),0)),2)</f>
        <v/>
      </c>
      <c r="AN947" s="192">
        <f>AL947-AK947</f>
        <v/>
      </c>
      <c r="AO947" s="76">
        <f>SUM(AY947,Y947:Z947,T947)*IF(AND(offer_incoterms="DDP",offer_sale_type&lt;&gt;"экспорт"),IF((TODAY()+offer_turnaround_time)&gt;=helpsheet!$L$17,rate_vatRU_from_26,rate_vatRu_till_25),0)</f>
        <v/>
      </c>
      <c r="AP947" s="193">
        <f>AN947-AO947</f>
        <v/>
      </c>
      <c r="AQ947" s="118">
        <f>IF(offer_sale_type="транзит",SUM(AF947:AI947,BA947,BB947),0)</f>
        <v/>
      </c>
      <c r="AR947" s="82">
        <f>HYPERLINK("https://www.alta.ru/tnved/code/")&amp;W947&amp;"/"</f>
        <v/>
      </c>
      <c r="AS947" s="157" t="n"/>
      <c r="AT947" s="162" t="n"/>
      <c r="AU947" s="76">
        <f>IF(ISBLANK(AT947),0,AJ947-AT947)</f>
        <v/>
      </c>
      <c r="AV947" s="157" t="n"/>
      <c r="AW947" s="75">
        <f>_xlfn.IFNA(VLOOKUP(L947,list_vat[],3,FALSE),0)</f>
        <v/>
      </c>
      <c r="AX947" s="76">
        <f>IFERROR(ROUND(S947*(1+AW947)/E947,2),0)</f>
        <v/>
      </c>
      <c r="AY947" s="76">
        <f>E947*AX947</f>
        <v/>
      </c>
      <c r="AZ947" s="192">
        <f>S947*(1+M947)</f>
        <v/>
      </c>
      <c r="BA947" s="76">
        <f>cost_fin_total*$BD947</f>
        <v/>
      </c>
      <c r="BB947" s="193">
        <f>credit_sales_interest*BD947</f>
        <v/>
      </c>
      <c r="BC947" s="102">
        <f>IFERROR(IF($I$13&gt;0,$I947/$I$13,$S947/$S$13),0)</f>
        <v/>
      </c>
      <c r="BD947" s="102">
        <f>IFERROR($S947/$S$13,0)</f>
        <v/>
      </c>
      <c r="BE947" s="413" t="inlineStr">
        <is>
          <t>$</t>
        </is>
      </c>
    </row>
    <row r="948" ht="12" customFormat="1" customHeight="1" s="65">
      <c r="A948" s="43" t="n">
        <v>933</v>
      </c>
      <c r="B948" s="166" t="n"/>
      <c r="C948" s="166" t="n"/>
      <c r="D948" s="166" t="n"/>
      <c r="E948" s="162" t="n"/>
      <c r="F948" s="166" t="n"/>
      <c r="G948" s="162" t="n"/>
      <c r="H948" s="162" t="n"/>
      <c r="I948" s="189">
        <f>E948*G948</f>
        <v/>
      </c>
      <c r="J948" s="195" t="n"/>
      <c r="K948" s="162" t="n"/>
      <c r="L948" s="168" t="n"/>
      <c r="M948" s="75">
        <f>_xlfn.XLOOKUP(L948,list_vat[Страна],list_vat[Ставка НДС %],0,0)</f>
        <v/>
      </c>
      <c r="N948" s="162">
        <f>IFERROR(IF(L948="Китай",K948,K948/(1+M948)),0)</f>
        <v/>
      </c>
      <c r="O948" s="169" t="n"/>
      <c r="P948" s="76">
        <f>N948*(1-O948)</f>
        <v/>
      </c>
      <c r="Q948" s="162" t="n"/>
      <c r="R948" s="162">
        <f>IF(ISBLANK(Q948),"введи курс",P948/Q948)</f>
        <v/>
      </c>
      <c r="S948" s="196">
        <f>IF(AND(ISNUMBER(E948),ISNUMBER(Q948)),E948*R948,0)</f>
        <v/>
      </c>
      <c r="T948" s="192">
        <f>$BC948*V$11</f>
        <v/>
      </c>
      <c r="U948" s="76">
        <f>$BC948*W$11</f>
        <v/>
      </c>
      <c r="V948" s="193">
        <f>+SUM(T948:U948)</f>
        <v/>
      </c>
      <c r="W948" s="191" t="n"/>
      <c r="X948" s="170" t="n"/>
      <c r="Y948" s="76">
        <f>ROUND(IF(offer_incoterms="DDP",X948*(S948*(1+AW948)+T948),0),2)</f>
        <v/>
      </c>
      <c r="Z948" s="188" t="n"/>
      <c r="AA948" s="192">
        <f>IFERROR(AB948/E948,0)</f>
        <v/>
      </c>
      <c r="AB948" s="76">
        <f>ROUND(SUM(S948,V948,Y948:Z948,BA948:BB948),2)</f>
        <v/>
      </c>
      <c r="AC948" s="797" t="n"/>
      <c r="AD948" s="192">
        <f t="array" ref="AD948">IFERROR(ROUND((_xlfn.IFS(offer_sale_type="поставка",AB948,offer_sale_type="транзит",S948)*(1+AC948))/E948,2),0)</f>
        <v/>
      </c>
      <c r="AE948" s="76">
        <f>AD948*E948</f>
        <v/>
      </c>
      <c r="AF948" s="193">
        <f t="array" ref="AF948">IFERROR(ROUND(_xlfn.IFS(offer_sale_type="поставка",AB948,offer_sale_type="транзит",S948)*AC948,2),0)</f>
        <v/>
      </c>
      <c r="AG948" s="192">
        <f>$BD948*VLOOKUP($AG$3,$AF$4:$AG$7,2,FALSE)</f>
        <v/>
      </c>
      <c r="AH948" s="76">
        <f>SUM(AE948,AG948,AI948)*rate_forex_risk</f>
        <v/>
      </c>
      <c r="AI948" s="193">
        <f>IF(OR(seller_region="TR",offer_sale_type="экспорт"),0,rate_fin_comm)*SUM(AZ948,AZ948*AW948,T948)</f>
        <v/>
      </c>
      <c r="AJ948" s="118">
        <f>IFERROR(ROUND(SUM(AB948,AF948:AI948)/E948,2),0)</f>
        <v/>
      </c>
      <c r="AK948" s="76">
        <f>AJ948*E948</f>
        <v/>
      </c>
      <c r="AL948" s="174">
        <f>ROUND(IFERROR(AM948*E948,0),2)</f>
        <v/>
      </c>
      <c r="AM948" s="175">
        <f>ROUND(AJ948*(1+IF(offer_incoterms="DDP",IF((TODAY()+offer_turnaround_time)&gt;=helpsheet!$L$17,rate_vatRU_from_26,rate_vatRu_till_25),0)),2)</f>
        <v/>
      </c>
      <c r="AN948" s="192">
        <f>AL948-AK948</f>
        <v/>
      </c>
      <c r="AO948" s="76">
        <f>SUM(AY948,Y948:Z948,T948)*IF(AND(offer_incoterms="DDP",offer_sale_type&lt;&gt;"экспорт"),IF((TODAY()+offer_turnaround_time)&gt;=helpsheet!$L$17,rate_vatRU_from_26,rate_vatRu_till_25),0)</f>
        <v/>
      </c>
      <c r="AP948" s="193">
        <f>AN948-AO948</f>
        <v/>
      </c>
      <c r="AQ948" s="118">
        <f>IF(offer_sale_type="транзит",SUM(AF948:AI948,BA948,BB948),0)</f>
        <v/>
      </c>
      <c r="AR948" s="82">
        <f>HYPERLINK("https://www.alta.ru/tnved/code/")&amp;W948&amp;"/"</f>
        <v/>
      </c>
      <c r="AS948" s="157" t="n"/>
      <c r="AT948" s="162" t="n"/>
      <c r="AU948" s="76">
        <f>IF(ISBLANK(AT948),0,AJ948-AT948)</f>
        <v/>
      </c>
      <c r="AV948" s="157" t="n"/>
      <c r="AW948" s="75">
        <f>_xlfn.IFNA(VLOOKUP(L948,list_vat[],3,FALSE),0)</f>
        <v/>
      </c>
      <c r="AX948" s="76">
        <f>IFERROR(ROUND(S948*(1+AW948)/E948,2),0)</f>
        <v/>
      </c>
      <c r="AY948" s="76">
        <f>E948*AX948</f>
        <v/>
      </c>
      <c r="AZ948" s="192">
        <f>S948*(1+M948)</f>
        <v/>
      </c>
      <c r="BA948" s="76">
        <f>cost_fin_total*$BD948</f>
        <v/>
      </c>
      <c r="BB948" s="193">
        <f>credit_sales_interest*BD948</f>
        <v/>
      </c>
      <c r="BC948" s="102">
        <f>IFERROR(IF($I$13&gt;0,$I948/$I$13,$S948/$S$13),0)</f>
        <v/>
      </c>
      <c r="BD948" s="102">
        <f>IFERROR($S948/$S$13,0)</f>
        <v/>
      </c>
      <c r="BE948" s="413" t="inlineStr">
        <is>
          <t>$</t>
        </is>
      </c>
    </row>
    <row r="949" ht="12" customFormat="1" customHeight="1" s="65">
      <c r="A949" s="43" t="n">
        <v>934</v>
      </c>
      <c r="B949" s="166" t="n"/>
      <c r="C949" s="166" t="n"/>
      <c r="D949" s="166" t="n"/>
      <c r="E949" s="162" t="n"/>
      <c r="F949" s="166" t="n"/>
      <c r="G949" s="162" t="n"/>
      <c r="H949" s="162" t="n"/>
      <c r="I949" s="189">
        <f>E949*G949</f>
        <v/>
      </c>
      <c r="J949" s="195" t="n"/>
      <c r="K949" s="162" t="n"/>
      <c r="L949" s="168" t="n"/>
      <c r="M949" s="75">
        <f>_xlfn.XLOOKUP(L949,list_vat[Страна],list_vat[Ставка НДС %],0,0)</f>
        <v/>
      </c>
      <c r="N949" s="162">
        <f>IFERROR(IF(L949="Китай",K949,K949/(1+M949)),0)</f>
        <v/>
      </c>
      <c r="O949" s="169" t="n"/>
      <c r="P949" s="76">
        <f>N949*(1-O949)</f>
        <v/>
      </c>
      <c r="Q949" s="162" t="n"/>
      <c r="R949" s="162">
        <f>IF(ISBLANK(Q949),"введи курс",P949/Q949)</f>
        <v/>
      </c>
      <c r="S949" s="196">
        <f>IF(AND(ISNUMBER(E949),ISNUMBER(Q949)),E949*R949,0)</f>
        <v/>
      </c>
      <c r="T949" s="192">
        <f>$BC949*V$11</f>
        <v/>
      </c>
      <c r="U949" s="76">
        <f>$BC949*W$11</f>
        <v/>
      </c>
      <c r="V949" s="193">
        <f>+SUM(T949:U949)</f>
        <v/>
      </c>
      <c r="W949" s="191" t="n"/>
      <c r="X949" s="170" t="n"/>
      <c r="Y949" s="76">
        <f>ROUND(IF(offer_incoterms="DDP",X949*(S949*(1+AW949)+T949),0),2)</f>
        <v/>
      </c>
      <c r="Z949" s="188" t="n"/>
      <c r="AA949" s="192">
        <f>IFERROR(AB949/E949,0)</f>
        <v/>
      </c>
      <c r="AB949" s="76">
        <f>ROUND(SUM(S949,V949,Y949:Z949,BA949:BB949),2)</f>
        <v/>
      </c>
      <c r="AC949" s="797" t="n"/>
      <c r="AD949" s="192">
        <f t="array" ref="AD949">IFERROR(ROUND((_xlfn.IFS(offer_sale_type="поставка",AB949,offer_sale_type="транзит",S949)*(1+AC949))/E949,2),0)</f>
        <v/>
      </c>
      <c r="AE949" s="76">
        <f>AD949*E949</f>
        <v/>
      </c>
      <c r="AF949" s="193">
        <f t="array" ref="AF949">IFERROR(ROUND(_xlfn.IFS(offer_sale_type="поставка",AB949,offer_sale_type="транзит",S949)*AC949,2),0)</f>
        <v/>
      </c>
      <c r="AG949" s="192">
        <f>$BD949*VLOOKUP($AG$3,$AF$4:$AG$7,2,FALSE)</f>
        <v/>
      </c>
      <c r="AH949" s="76">
        <f>SUM(AE949,AG949,AI949)*rate_forex_risk</f>
        <v/>
      </c>
      <c r="AI949" s="193">
        <f>IF(OR(seller_region="TR",offer_sale_type="экспорт"),0,rate_fin_comm)*SUM(AZ949,AZ949*AW949,T949)</f>
        <v/>
      </c>
      <c r="AJ949" s="118">
        <f>IFERROR(ROUND(SUM(AB949,AF949:AI949)/E949,2),0)</f>
        <v/>
      </c>
      <c r="AK949" s="76">
        <f>AJ949*E949</f>
        <v/>
      </c>
      <c r="AL949" s="174">
        <f>ROUND(IFERROR(AM949*E949,0),2)</f>
        <v/>
      </c>
      <c r="AM949" s="175">
        <f>ROUND(AJ949*(1+IF(offer_incoterms="DDP",IF((TODAY()+offer_turnaround_time)&gt;=helpsheet!$L$17,rate_vatRU_from_26,rate_vatRu_till_25),0)),2)</f>
        <v/>
      </c>
      <c r="AN949" s="192">
        <f>AL949-AK949</f>
        <v/>
      </c>
      <c r="AO949" s="76">
        <f>SUM(AY949,Y949:Z949,T949)*IF(AND(offer_incoterms="DDP",offer_sale_type&lt;&gt;"экспорт"),IF((TODAY()+offer_turnaround_time)&gt;=helpsheet!$L$17,rate_vatRU_from_26,rate_vatRu_till_25),0)</f>
        <v/>
      </c>
      <c r="AP949" s="193">
        <f>AN949-AO949</f>
        <v/>
      </c>
      <c r="AQ949" s="118">
        <f>IF(offer_sale_type="транзит",SUM(AF949:AI949,BA949,BB949),0)</f>
        <v/>
      </c>
      <c r="AR949" s="82">
        <f>HYPERLINK("https://www.alta.ru/tnved/code/")&amp;W949&amp;"/"</f>
        <v/>
      </c>
      <c r="AS949" s="157" t="n"/>
      <c r="AT949" s="162" t="n"/>
      <c r="AU949" s="76">
        <f>IF(ISBLANK(AT949),0,AJ949-AT949)</f>
        <v/>
      </c>
      <c r="AV949" s="157" t="n"/>
      <c r="AW949" s="75">
        <f>_xlfn.IFNA(VLOOKUP(L949,list_vat[],3,FALSE),0)</f>
        <v/>
      </c>
      <c r="AX949" s="76">
        <f>IFERROR(ROUND(S949*(1+AW949)/E949,2),0)</f>
        <v/>
      </c>
      <c r="AY949" s="76">
        <f>E949*AX949</f>
        <v/>
      </c>
      <c r="AZ949" s="192">
        <f>S949*(1+M949)</f>
        <v/>
      </c>
      <c r="BA949" s="76">
        <f>cost_fin_total*$BD949</f>
        <v/>
      </c>
      <c r="BB949" s="193">
        <f>credit_sales_interest*BD949</f>
        <v/>
      </c>
      <c r="BC949" s="102">
        <f>IFERROR(IF($I$13&gt;0,$I949/$I$13,$S949/$S$13),0)</f>
        <v/>
      </c>
      <c r="BD949" s="102">
        <f>IFERROR($S949/$S$13,0)</f>
        <v/>
      </c>
      <c r="BE949" s="413" t="inlineStr">
        <is>
          <t>$</t>
        </is>
      </c>
    </row>
    <row r="950" ht="12" customFormat="1" customHeight="1" s="65">
      <c r="A950" s="43" t="n">
        <v>935</v>
      </c>
      <c r="B950" s="166" t="n"/>
      <c r="C950" s="166" t="n"/>
      <c r="D950" s="166" t="n"/>
      <c r="E950" s="162" t="n"/>
      <c r="F950" s="166" t="n"/>
      <c r="G950" s="162" t="n"/>
      <c r="H950" s="162" t="n"/>
      <c r="I950" s="189">
        <f>E950*G950</f>
        <v/>
      </c>
      <c r="J950" s="195" t="n"/>
      <c r="K950" s="162" t="n"/>
      <c r="L950" s="168" t="n"/>
      <c r="M950" s="75">
        <f>_xlfn.XLOOKUP(L950,list_vat[Страна],list_vat[Ставка НДС %],0,0)</f>
        <v/>
      </c>
      <c r="N950" s="162">
        <f>IFERROR(IF(L950="Китай",K950,K950/(1+M950)),0)</f>
        <v/>
      </c>
      <c r="O950" s="169" t="n"/>
      <c r="P950" s="76">
        <f>N950*(1-O950)</f>
        <v/>
      </c>
      <c r="Q950" s="162" t="n"/>
      <c r="R950" s="162">
        <f>IF(ISBLANK(Q950),"введи курс",P950/Q950)</f>
        <v/>
      </c>
      <c r="S950" s="196">
        <f>IF(AND(ISNUMBER(E950),ISNUMBER(Q950)),E950*R950,0)</f>
        <v/>
      </c>
      <c r="T950" s="192">
        <f>$BC950*V$11</f>
        <v/>
      </c>
      <c r="U950" s="76">
        <f>$BC950*W$11</f>
        <v/>
      </c>
      <c r="V950" s="193">
        <f>+SUM(T950:U950)</f>
        <v/>
      </c>
      <c r="W950" s="191" t="n"/>
      <c r="X950" s="170" t="n"/>
      <c r="Y950" s="76">
        <f>ROUND(IF(offer_incoterms="DDP",X950*(S950*(1+AW950)+T950),0),2)</f>
        <v/>
      </c>
      <c r="Z950" s="188" t="n"/>
      <c r="AA950" s="192">
        <f>IFERROR(AB950/E950,0)</f>
        <v/>
      </c>
      <c r="AB950" s="76">
        <f>ROUND(SUM(S950,V950,Y950:Z950,BA950:BB950),2)</f>
        <v/>
      </c>
      <c r="AC950" s="797" t="n"/>
      <c r="AD950" s="192">
        <f t="array" ref="AD950">IFERROR(ROUND((_xlfn.IFS(offer_sale_type="поставка",AB950,offer_sale_type="транзит",S950)*(1+AC950))/E950,2),0)</f>
        <v/>
      </c>
      <c r="AE950" s="76">
        <f>AD950*E950</f>
        <v/>
      </c>
      <c r="AF950" s="193">
        <f t="array" ref="AF950">IFERROR(ROUND(_xlfn.IFS(offer_sale_type="поставка",AB950,offer_sale_type="транзит",S950)*AC950,2),0)</f>
        <v/>
      </c>
      <c r="AG950" s="192">
        <f>$BD950*VLOOKUP($AG$3,$AF$4:$AG$7,2,FALSE)</f>
        <v/>
      </c>
      <c r="AH950" s="76">
        <f>SUM(AE950,AG950,AI950)*rate_forex_risk</f>
        <v/>
      </c>
      <c r="AI950" s="193">
        <f>IF(OR(seller_region="TR",offer_sale_type="экспорт"),0,rate_fin_comm)*SUM(AZ950,AZ950*AW950,T950)</f>
        <v/>
      </c>
      <c r="AJ950" s="118">
        <f>IFERROR(ROUND(SUM(AB950,AF950:AI950)/E950,2),0)</f>
        <v/>
      </c>
      <c r="AK950" s="76">
        <f>AJ950*E950</f>
        <v/>
      </c>
      <c r="AL950" s="174">
        <f>ROUND(IFERROR(AM950*E950,0),2)</f>
        <v/>
      </c>
      <c r="AM950" s="175">
        <f>ROUND(AJ950*(1+IF(offer_incoterms="DDP",IF((TODAY()+offer_turnaround_time)&gt;=helpsheet!$L$17,rate_vatRU_from_26,rate_vatRu_till_25),0)),2)</f>
        <v/>
      </c>
      <c r="AN950" s="192">
        <f>AL950-AK950</f>
        <v/>
      </c>
      <c r="AO950" s="76">
        <f>SUM(AY950,Y950:Z950,T950)*IF(AND(offer_incoterms="DDP",offer_sale_type&lt;&gt;"экспорт"),IF((TODAY()+offer_turnaround_time)&gt;=helpsheet!$L$17,rate_vatRU_from_26,rate_vatRu_till_25),0)</f>
        <v/>
      </c>
      <c r="AP950" s="193">
        <f>AN950-AO950</f>
        <v/>
      </c>
      <c r="AQ950" s="118">
        <f>IF(offer_sale_type="транзит",SUM(AF950:AI950,BA950,BB950),0)</f>
        <v/>
      </c>
      <c r="AR950" s="82">
        <f>HYPERLINK("https://www.alta.ru/tnved/code/")&amp;W950&amp;"/"</f>
        <v/>
      </c>
      <c r="AS950" s="157" t="n"/>
      <c r="AT950" s="162" t="n"/>
      <c r="AU950" s="76">
        <f>IF(ISBLANK(AT950),0,AJ950-AT950)</f>
        <v/>
      </c>
      <c r="AV950" s="157" t="n"/>
      <c r="AW950" s="75">
        <f>_xlfn.IFNA(VLOOKUP(L950,list_vat[],3,FALSE),0)</f>
        <v/>
      </c>
      <c r="AX950" s="76">
        <f>IFERROR(ROUND(S950*(1+AW950)/E950,2),0)</f>
        <v/>
      </c>
      <c r="AY950" s="76">
        <f>E950*AX950</f>
        <v/>
      </c>
      <c r="AZ950" s="192">
        <f>S950*(1+M950)</f>
        <v/>
      </c>
      <c r="BA950" s="76">
        <f>cost_fin_total*$BD950</f>
        <v/>
      </c>
      <c r="BB950" s="193">
        <f>credit_sales_interest*BD950</f>
        <v/>
      </c>
      <c r="BC950" s="102">
        <f>IFERROR(IF($I$13&gt;0,$I950/$I$13,$S950/$S$13),0)</f>
        <v/>
      </c>
      <c r="BD950" s="102">
        <f>IFERROR($S950/$S$13,0)</f>
        <v/>
      </c>
      <c r="BE950" s="413" t="inlineStr">
        <is>
          <t>$</t>
        </is>
      </c>
    </row>
    <row r="951" ht="12" customFormat="1" customHeight="1" s="65">
      <c r="A951" s="43" t="n">
        <v>936</v>
      </c>
      <c r="B951" s="166" t="n"/>
      <c r="C951" s="166" t="n"/>
      <c r="D951" s="166" t="n"/>
      <c r="E951" s="162" t="n"/>
      <c r="F951" s="166" t="n"/>
      <c r="G951" s="162" t="n"/>
      <c r="H951" s="162" t="n"/>
      <c r="I951" s="189">
        <f>E951*G951</f>
        <v/>
      </c>
      <c r="J951" s="195" t="n"/>
      <c r="K951" s="162" t="n"/>
      <c r="L951" s="168" t="n"/>
      <c r="M951" s="75">
        <f>_xlfn.XLOOKUP(L951,list_vat[Страна],list_vat[Ставка НДС %],0,0)</f>
        <v/>
      </c>
      <c r="N951" s="162">
        <f>IFERROR(IF(L951="Китай",K951,K951/(1+M951)),0)</f>
        <v/>
      </c>
      <c r="O951" s="169" t="n"/>
      <c r="P951" s="76">
        <f>N951*(1-O951)</f>
        <v/>
      </c>
      <c r="Q951" s="162" t="n"/>
      <c r="R951" s="162">
        <f>IF(ISBLANK(Q951),"введи курс",P951/Q951)</f>
        <v/>
      </c>
      <c r="S951" s="196">
        <f>IF(AND(ISNUMBER(E951),ISNUMBER(Q951)),E951*R951,0)</f>
        <v/>
      </c>
      <c r="T951" s="192">
        <f>$BC951*V$11</f>
        <v/>
      </c>
      <c r="U951" s="76">
        <f>$BC951*W$11</f>
        <v/>
      </c>
      <c r="V951" s="193">
        <f>+SUM(T951:U951)</f>
        <v/>
      </c>
      <c r="W951" s="191" t="n"/>
      <c r="X951" s="170" t="n"/>
      <c r="Y951" s="76">
        <f>ROUND(IF(offer_incoterms="DDP",X951*(S951*(1+AW951)+T951),0),2)</f>
        <v/>
      </c>
      <c r="Z951" s="188" t="n"/>
      <c r="AA951" s="192">
        <f>IFERROR(AB951/E951,0)</f>
        <v/>
      </c>
      <c r="AB951" s="76">
        <f>ROUND(SUM(S951,V951,Y951:Z951,BA951:BB951),2)</f>
        <v/>
      </c>
      <c r="AC951" s="797" t="n"/>
      <c r="AD951" s="192">
        <f t="array" ref="AD951">IFERROR(ROUND((_xlfn.IFS(offer_sale_type="поставка",AB951,offer_sale_type="транзит",S951)*(1+AC951))/E951,2),0)</f>
        <v/>
      </c>
      <c r="AE951" s="76">
        <f>AD951*E951</f>
        <v/>
      </c>
      <c r="AF951" s="193">
        <f t="array" ref="AF951">IFERROR(ROUND(_xlfn.IFS(offer_sale_type="поставка",AB951,offer_sale_type="транзит",S951)*AC951,2),0)</f>
        <v/>
      </c>
      <c r="AG951" s="192">
        <f>$BD951*VLOOKUP($AG$3,$AF$4:$AG$7,2,FALSE)</f>
        <v/>
      </c>
      <c r="AH951" s="76">
        <f>SUM(AE951,AG951,AI951)*rate_forex_risk</f>
        <v/>
      </c>
      <c r="AI951" s="193">
        <f>IF(OR(seller_region="TR",offer_sale_type="экспорт"),0,rate_fin_comm)*SUM(AZ951,AZ951*AW951,T951)</f>
        <v/>
      </c>
      <c r="AJ951" s="118">
        <f>IFERROR(ROUND(SUM(AB951,AF951:AI951)/E951,2),0)</f>
        <v/>
      </c>
      <c r="AK951" s="76">
        <f>AJ951*E951</f>
        <v/>
      </c>
      <c r="AL951" s="174">
        <f>ROUND(IFERROR(AM951*E951,0),2)</f>
        <v/>
      </c>
      <c r="AM951" s="175">
        <f>ROUND(AJ951*(1+IF(offer_incoterms="DDP",IF((TODAY()+offer_turnaround_time)&gt;=helpsheet!$L$17,rate_vatRU_from_26,rate_vatRu_till_25),0)),2)</f>
        <v/>
      </c>
      <c r="AN951" s="192">
        <f>AL951-AK951</f>
        <v/>
      </c>
      <c r="AO951" s="76">
        <f>SUM(AY951,Y951:Z951,T951)*IF(AND(offer_incoterms="DDP",offer_sale_type&lt;&gt;"экспорт"),IF((TODAY()+offer_turnaround_time)&gt;=helpsheet!$L$17,rate_vatRU_from_26,rate_vatRu_till_25),0)</f>
        <v/>
      </c>
      <c r="AP951" s="193">
        <f>AN951-AO951</f>
        <v/>
      </c>
      <c r="AQ951" s="118">
        <f>IF(offer_sale_type="транзит",SUM(AF951:AI951,BA951,BB951),0)</f>
        <v/>
      </c>
      <c r="AR951" s="82">
        <f>HYPERLINK("https://www.alta.ru/tnved/code/")&amp;W951&amp;"/"</f>
        <v/>
      </c>
      <c r="AS951" s="157" t="n"/>
      <c r="AT951" s="162" t="n"/>
      <c r="AU951" s="76">
        <f>IF(ISBLANK(AT951),0,AJ951-AT951)</f>
        <v/>
      </c>
      <c r="AV951" s="157" t="n"/>
      <c r="AW951" s="75">
        <f>_xlfn.IFNA(VLOOKUP(L951,list_vat[],3,FALSE),0)</f>
        <v/>
      </c>
      <c r="AX951" s="76">
        <f>IFERROR(ROUND(S951*(1+AW951)/E951,2),0)</f>
        <v/>
      </c>
      <c r="AY951" s="76">
        <f>E951*AX951</f>
        <v/>
      </c>
      <c r="AZ951" s="192">
        <f>S951*(1+M951)</f>
        <v/>
      </c>
      <c r="BA951" s="76">
        <f>cost_fin_total*$BD951</f>
        <v/>
      </c>
      <c r="BB951" s="193">
        <f>credit_sales_interest*BD951</f>
        <v/>
      </c>
      <c r="BC951" s="102">
        <f>IFERROR(IF($I$13&gt;0,$I951/$I$13,$S951/$S$13),0)</f>
        <v/>
      </c>
      <c r="BD951" s="102">
        <f>IFERROR($S951/$S$13,0)</f>
        <v/>
      </c>
      <c r="BE951" s="413" t="inlineStr">
        <is>
          <t>$</t>
        </is>
      </c>
    </row>
    <row r="952" ht="12" customFormat="1" customHeight="1" s="65">
      <c r="A952" s="43" t="n">
        <v>937</v>
      </c>
      <c r="B952" s="166" t="n"/>
      <c r="C952" s="166" t="n"/>
      <c r="D952" s="166" t="n"/>
      <c r="E952" s="162" t="n"/>
      <c r="F952" s="166" t="n"/>
      <c r="G952" s="162" t="n"/>
      <c r="H952" s="162" t="n"/>
      <c r="I952" s="189">
        <f>E952*G952</f>
        <v/>
      </c>
      <c r="J952" s="195" t="n"/>
      <c r="K952" s="162" t="n"/>
      <c r="L952" s="168" t="n"/>
      <c r="M952" s="75">
        <f>_xlfn.XLOOKUP(L952,list_vat[Страна],list_vat[Ставка НДС %],0,0)</f>
        <v/>
      </c>
      <c r="N952" s="162">
        <f>IFERROR(IF(L952="Китай",K952,K952/(1+M952)),0)</f>
        <v/>
      </c>
      <c r="O952" s="169" t="n"/>
      <c r="P952" s="76">
        <f>N952*(1-O952)</f>
        <v/>
      </c>
      <c r="Q952" s="162" t="n"/>
      <c r="R952" s="162">
        <f>IF(ISBLANK(Q952),"введи курс",P952/Q952)</f>
        <v/>
      </c>
      <c r="S952" s="196">
        <f>IF(AND(ISNUMBER(E952),ISNUMBER(Q952)),E952*R952,0)</f>
        <v/>
      </c>
      <c r="T952" s="192">
        <f>$BC952*V$11</f>
        <v/>
      </c>
      <c r="U952" s="76">
        <f>$BC952*W$11</f>
        <v/>
      </c>
      <c r="V952" s="193">
        <f>+SUM(T952:U952)</f>
        <v/>
      </c>
      <c r="W952" s="191" t="n"/>
      <c r="X952" s="170" t="n"/>
      <c r="Y952" s="76">
        <f>ROUND(IF(offer_incoterms="DDP",X952*(S952*(1+AW952)+T952),0),2)</f>
        <v/>
      </c>
      <c r="Z952" s="188" t="n"/>
      <c r="AA952" s="192">
        <f>IFERROR(AB952/E952,0)</f>
        <v/>
      </c>
      <c r="AB952" s="76">
        <f>ROUND(SUM(S952,V952,Y952:Z952,BA952:BB952),2)</f>
        <v/>
      </c>
      <c r="AC952" s="797" t="n"/>
      <c r="AD952" s="192">
        <f t="array" ref="AD952">IFERROR(ROUND((_xlfn.IFS(offer_sale_type="поставка",AB952,offer_sale_type="транзит",S952)*(1+AC952))/E952,2),0)</f>
        <v/>
      </c>
      <c r="AE952" s="76">
        <f>AD952*E952</f>
        <v/>
      </c>
      <c r="AF952" s="193">
        <f t="array" ref="AF952">IFERROR(ROUND(_xlfn.IFS(offer_sale_type="поставка",AB952,offer_sale_type="транзит",S952)*AC952,2),0)</f>
        <v/>
      </c>
      <c r="AG952" s="192">
        <f>$BD952*VLOOKUP($AG$3,$AF$4:$AG$7,2,FALSE)</f>
        <v/>
      </c>
      <c r="AH952" s="76">
        <f>SUM(AE952,AG952,AI952)*rate_forex_risk</f>
        <v/>
      </c>
      <c r="AI952" s="193">
        <f>IF(OR(seller_region="TR",offer_sale_type="экспорт"),0,rate_fin_comm)*SUM(AZ952,AZ952*AW952,T952)</f>
        <v/>
      </c>
      <c r="AJ952" s="118">
        <f>IFERROR(ROUND(SUM(AB952,AF952:AI952)/E952,2),0)</f>
        <v/>
      </c>
      <c r="AK952" s="76">
        <f>AJ952*E952</f>
        <v/>
      </c>
      <c r="AL952" s="174">
        <f>ROUND(IFERROR(AM952*E952,0),2)</f>
        <v/>
      </c>
      <c r="AM952" s="175">
        <f>ROUND(AJ952*(1+IF(offer_incoterms="DDP",IF((TODAY()+offer_turnaround_time)&gt;=helpsheet!$L$17,rate_vatRU_from_26,rate_vatRu_till_25),0)),2)</f>
        <v/>
      </c>
      <c r="AN952" s="192">
        <f>AL952-AK952</f>
        <v/>
      </c>
      <c r="AO952" s="76">
        <f>SUM(AY952,Y952:Z952,T952)*IF(AND(offer_incoterms="DDP",offer_sale_type&lt;&gt;"экспорт"),IF((TODAY()+offer_turnaround_time)&gt;=helpsheet!$L$17,rate_vatRU_from_26,rate_vatRu_till_25),0)</f>
        <v/>
      </c>
      <c r="AP952" s="193">
        <f>AN952-AO952</f>
        <v/>
      </c>
      <c r="AQ952" s="118">
        <f>IF(offer_sale_type="транзит",SUM(AF952:AI952,BA952,BB952),0)</f>
        <v/>
      </c>
      <c r="AR952" s="82">
        <f>HYPERLINK("https://www.alta.ru/tnved/code/")&amp;W952&amp;"/"</f>
        <v/>
      </c>
      <c r="AS952" s="157" t="n"/>
      <c r="AT952" s="162" t="n"/>
      <c r="AU952" s="76">
        <f>IF(ISBLANK(AT952),0,AJ952-AT952)</f>
        <v/>
      </c>
      <c r="AV952" s="157" t="n"/>
      <c r="AW952" s="75">
        <f>_xlfn.IFNA(VLOOKUP(L952,list_vat[],3,FALSE),0)</f>
        <v/>
      </c>
      <c r="AX952" s="76">
        <f>IFERROR(ROUND(S952*(1+AW952)/E952,2),0)</f>
        <v/>
      </c>
      <c r="AY952" s="76">
        <f>E952*AX952</f>
        <v/>
      </c>
      <c r="AZ952" s="192">
        <f>S952*(1+M952)</f>
        <v/>
      </c>
      <c r="BA952" s="76">
        <f>cost_fin_total*$BD952</f>
        <v/>
      </c>
      <c r="BB952" s="193">
        <f>credit_sales_interest*BD952</f>
        <v/>
      </c>
      <c r="BC952" s="102">
        <f>IFERROR(IF($I$13&gt;0,$I952/$I$13,$S952/$S$13),0)</f>
        <v/>
      </c>
      <c r="BD952" s="102">
        <f>IFERROR($S952/$S$13,0)</f>
        <v/>
      </c>
      <c r="BE952" s="413" t="inlineStr">
        <is>
          <t>$</t>
        </is>
      </c>
    </row>
    <row r="953" ht="12" customFormat="1" customHeight="1" s="65">
      <c r="A953" s="43" t="n">
        <v>938</v>
      </c>
      <c r="B953" s="166" t="n"/>
      <c r="C953" s="166" t="n"/>
      <c r="D953" s="166" t="n"/>
      <c r="E953" s="162" t="n"/>
      <c r="F953" s="166" t="n"/>
      <c r="G953" s="162" t="n"/>
      <c r="H953" s="162" t="n"/>
      <c r="I953" s="189">
        <f>E953*G953</f>
        <v/>
      </c>
      <c r="J953" s="195" t="n"/>
      <c r="K953" s="162" t="n"/>
      <c r="L953" s="168" t="n"/>
      <c r="M953" s="75">
        <f>_xlfn.XLOOKUP(L953,list_vat[Страна],list_vat[Ставка НДС %],0,0)</f>
        <v/>
      </c>
      <c r="N953" s="162">
        <f>IFERROR(IF(L953="Китай",K953,K953/(1+M953)),0)</f>
        <v/>
      </c>
      <c r="O953" s="169" t="n"/>
      <c r="P953" s="76">
        <f>N953*(1-O953)</f>
        <v/>
      </c>
      <c r="Q953" s="162" t="n"/>
      <c r="R953" s="162">
        <f>IF(ISBLANK(Q953),"введи курс",P953/Q953)</f>
        <v/>
      </c>
      <c r="S953" s="196">
        <f>IF(AND(ISNUMBER(E953),ISNUMBER(Q953)),E953*R953,0)</f>
        <v/>
      </c>
      <c r="T953" s="192">
        <f>$BC953*V$11</f>
        <v/>
      </c>
      <c r="U953" s="76">
        <f>$BC953*W$11</f>
        <v/>
      </c>
      <c r="V953" s="193">
        <f>+SUM(T953:U953)</f>
        <v/>
      </c>
      <c r="W953" s="191" t="n"/>
      <c r="X953" s="170" t="n"/>
      <c r="Y953" s="76">
        <f>ROUND(IF(offer_incoterms="DDP",X953*(S953*(1+AW953)+T953),0),2)</f>
        <v/>
      </c>
      <c r="Z953" s="188" t="n"/>
      <c r="AA953" s="192">
        <f>IFERROR(AB953/E953,0)</f>
        <v/>
      </c>
      <c r="AB953" s="76">
        <f>ROUND(SUM(S953,V953,Y953:Z953,BA953:BB953),2)</f>
        <v/>
      </c>
      <c r="AC953" s="797" t="n"/>
      <c r="AD953" s="192">
        <f t="array" ref="AD953">IFERROR(ROUND((_xlfn.IFS(offer_sale_type="поставка",AB953,offer_sale_type="транзит",S953)*(1+AC953))/E953,2),0)</f>
        <v/>
      </c>
      <c r="AE953" s="76">
        <f>AD953*E953</f>
        <v/>
      </c>
      <c r="AF953" s="193">
        <f t="array" ref="AF953">IFERROR(ROUND(_xlfn.IFS(offer_sale_type="поставка",AB953,offer_sale_type="транзит",S953)*AC953,2),0)</f>
        <v/>
      </c>
      <c r="AG953" s="192">
        <f>$BD953*VLOOKUP($AG$3,$AF$4:$AG$7,2,FALSE)</f>
        <v/>
      </c>
      <c r="AH953" s="76">
        <f>SUM(AE953,AG953,AI953)*rate_forex_risk</f>
        <v/>
      </c>
      <c r="AI953" s="193">
        <f>IF(OR(seller_region="TR",offer_sale_type="экспорт"),0,rate_fin_comm)*SUM(AZ953,AZ953*AW953,T953)</f>
        <v/>
      </c>
      <c r="AJ953" s="118">
        <f>IFERROR(ROUND(SUM(AB953,AF953:AI953)/E953,2),0)</f>
        <v/>
      </c>
      <c r="AK953" s="76">
        <f>AJ953*E953</f>
        <v/>
      </c>
      <c r="AL953" s="174">
        <f>ROUND(IFERROR(AM953*E953,0),2)</f>
        <v/>
      </c>
      <c r="AM953" s="175">
        <f>ROUND(AJ953*(1+IF(offer_incoterms="DDP",IF((TODAY()+offer_turnaround_time)&gt;=helpsheet!$L$17,rate_vatRU_from_26,rate_vatRu_till_25),0)),2)</f>
        <v/>
      </c>
      <c r="AN953" s="192">
        <f>AL953-AK953</f>
        <v/>
      </c>
      <c r="AO953" s="76">
        <f>SUM(AY953,Y953:Z953,T953)*IF(AND(offer_incoterms="DDP",offer_sale_type&lt;&gt;"экспорт"),IF((TODAY()+offer_turnaround_time)&gt;=helpsheet!$L$17,rate_vatRU_from_26,rate_vatRu_till_25),0)</f>
        <v/>
      </c>
      <c r="AP953" s="193">
        <f>AN953-AO953</f>
        <v/>
      </c>
      <c r="AQ953" s="118">
        <f>IF(offer_sale_type="транзит",SUM(AF953:AI953,BA953,BB953),0)</f>
        <v/>
      </c>
      <c r="AR953" s="82">
        <f>HYPERLINK("https://www.alta.ru/tnved/code/")&amp;W953&amp;"/"</f>
        <v/>
      </c>
      <c r="AS953" s="157" t="n"/>
      <c r="AT953" s="162" t="n"/>
      <c r="AU953" s="76">
        <f>IF(ISBLANK(AT953),0,AJ953-AT953)</f>
        <v/>
      </c>
      <c r="AV953" s="157" t="n"/>
      <c r="AW953" s="75">
        <f>_xlfn.IFNA(VLOOKUP(L953,list_vat[],3,FALSE),0)</f>
        <v/>
      </c>
      <c r="AX953" s="76">
        <f>IFERROR(ROUND(S953*(1+AW953)/E953,2),0)</f>
        <v/>
      </c>
      <c r="AY953" s="76">
        <f>E953*AX953</f>
        <v/>
      </c>
      <c r="AZ953" s="192">
        <f>S953*(1+M953)</f>
        <v/>
      </c>
      <c r="BA953" s="76">
        <f>cost_fin_total*$BD953</f>
        <v/>
      </c>
      <c r="BB953" s="193">
        <f>credit_sales_interest*BD953</f>
        <v/>
      </c>
      <c r="BC953" s="102">
        <f>IFERROR(IF($I$13&gt;0,$I953/$I$13,$S953/$S$13),0)</f>
        <v/>
      </c>
      <c r="BD953" s="102">
        <f>IFERROR($S953/$S$13,0)</f>
        <v/>
      </c>
      <c r="BE953" s="413" t="inlineStr">
        <is>
          <t>$</t>
        </is>
      </c>
    </row>
    <row r="954" ht="12" customFormat="1" customHeight="1" s="65">
      <c r="A954" s="43" t="n">
        <v>939</v>
      </c>
      <c r="B954" s="166" t="n"/>
      <c r="C954" s="166" t="n"/>
      <c r="D954" s="166" t="n"/>
      <c r="E954" s="162" t="n"/>
      <c r="F954" s="166" t="n"/>
      <c r="G954" s="162" t="n"/>
      <c r="H954" s="162" t="n"/>
      <c r="I954" s="189">
        <f>E954*G954</f>
        <v/>
      </c>
      <c r="J954" s="195" t="n"/>
      <c r="K954" s="162" t="n"/>
      <c r="L954" s="168" t="n"/>
      <c r="M954" s="75">
        <f>_xlfn.XLOOKUP(L954,list_vat[Страна],list_vat[Ставка НДС %],0,0)</f>
        <v/>
      </c>
      <c r="N954" s="162">
        <f>IFERROR(IF(L954="Китай",K954,K954/(1+M954)),0)</f>
        <v/>
      </c>
      <c r="O954" s="169" t="n"/>
      <c r="P954" s="76">
        <f>N954*(1-O954)</f>
        <v/>
      </c>
      <c r="Q954" s="162" t="n"/>
      <c r="R954" s="162">
        <f>IF(ISBLANK(Q954),"введи курс",P954/Q954)</f>
        <v/>
      </c>
      <c r="S954" s="196">
        <f>IF(AND(ISNUMBER(E954),ISNUMBER(Q954)),E954*R954,0)</f>
        <v/>
      </c>
      <c r="T954" s="192">
        <f>$BC954*V$11</f>
        <v/>
      </c>
      <c r="U954" s="76">
        <f>$BC954*W$11</f>
        <v/>
      </c>
      <c r="V954" s="193">
        <f>+SUM(T954:U954)</f>
        <v/>
      </c>
      <c r="W954" s="191" t="n"/>
      <c r="X954" s="170" t="n"/>
      <c r="Y954" s="76">
        <f>ROUND(IF(offer_incoterms="DDP",X954*(S954*(1+AW954)+T954),0),2)</f>
        <v/>
      </c>
      <c r="Z954" s="188" t="n"/>
      <c r="AA954" s="192">
        <f>IFERROR(AB954/E954,0)</f>
        <v/>
      </c>
      <c r="AB954" s="76">
        <f>ROUND(SUM(S954,V954,Y954:Z954,BA954:BB954),2)</f>
        <v/>
      </c>
      <c r="AC954" s="797" t="n"/>
      <c r="AD954" s="192">
        <f t="array" ref="AD954">IFERROR(ROUND((_xlfn.IFS(offer_sale_type="поставка",AB954,offer_sale_type="транзит",S954)*(1+AC954))/E954,2),0)</f>
        <v/>
      </c>
      <c r="AE954" s="76">
        <f>AD954*E954</f>
        <v/>
      </c>
      <c r="AF954" s="193">
        <f t="array" ref="AF954">IFERROR(ROUND(_xlfn.IFS(offer_sale_type="поставка",AB954,offer_sale_type="транзит",S954)*AC954,2),0)</f>
        <v/>
      </c>
      <c r="AG954" s="192">
        <f>$BD954*VLOOKUP($AG$3,$AF$4:$AG$7,2,FALSE)</f>
        <v/>
      </c>
      <c r="AH954" s="76">
        <f>SUM(AE954,AG954,AI954)*rate_forex_risk</f>
        <v/>
      </c>
      <c r="AI954" s="193">
        <f>IF(OR(seller_region="TR",offer_sale_type="экспорт"),0,rate_fin_comm)*SUM(AZ954,AZ954*AW954,T954)</f>
        <v/>
      </c>
      <c r="AJ954" s="118">
        <f>IFERROR(ROUND(SUM(AB954,AF954:AI954)/E954,2),0)</f>
        <v/>
      </c>
      <c r="AK954" s="76">
        <f>AJ954*E954</f>
        <v/>
      </c>
      <c r="AL954" s="174">
        <f>ROUND(IFERROR(AM954*E954,0),2)</f>
        <v/>
      </c>
      <c r="AM954" s="175">
        <f>ROUND(AJ954*(1+IF(offer_incoterms="DDP",IF((TODAY()+offer_turnaround_time)&gt;=helpsheet!$L$17,rate_vatRU_from_26,rate_vatRu_till_25),0)),2)</f>
        <v/>
      </c>
      <c r="AN954" s="192">
        <f>AL954-AK954</f>
        <v/>
      </c>
      <c r="AO954" s="76">
        <f>SUM(AY954,Y954:Z954,T954)*IF(AND(offer_incoterms="DDP",offer_sale_type&lt;&gt;"экспорт"),IF((TODAY()+offer_turnaround_time)&gt;=helpsheet!$L$17,rate_vatRU_from_26,rate_vatRu_till_25),0)</f>
        <v/>
      </c>
      <c r="AP954" s="193">
        <f>AN954-AO954</f>
        <v/>
      </c>
      <c r="AQ954" s="118">
        <f>IF(offer_sale_type="транзит",SUM(AF954:AI954,BA954,BB954),0)</f>
        <v/>
      </c>
      <c r="AR954" s="82">
        <f>HYPERLINK("https://www.alta.ru/tnved/code/")&amp;W954&amp;"/"</f>
        <v/>
      </c>
      <c r="AS954" s="157" t="n"/>
      <c r="AT954" s="162" t="n"/>
      <c r="AU954" s="76">
        <f>IF(ISBLANK(AT954),0,AJ954-AT954)</f>
        <v/>
      </c>
      <c r="AV954" s="157" t="n"/>
      <c r="AW954" s="75">
        <f>_xlfn.IFNA(VLOOKUP(L954,list_vat[],3,FALSE),0)</f>
        <v/>
      </c>
      <c r="AX954" s="76">
        <f>IFERROR(ROUND(S954*(1+AW954)/E954,2),0)</f>
        <v/>
      </c>
      <c r="AY954" s="76">
        <f>E954*AX954</f>
        <v/>
      </c>
      <c r="AZ954" s="192">
        <f>S954*(1+M954)</f>
        <v/>
      </c>
      <c r="BA954" s="76">
        <f>cost_fin_total*$BD954</f>
        <v/>
      </c>
      <c r="BB954" s="193">
        <f>credit_sales_interest*BD954</f>
        <v/>
      </c>
      <c r="BC954" s="102">
        <f>IFERROR(IF($I$13&gt;0,$I954/$I$13,$S954/$S$13),0)</f>
        <v/>
      </c>
      <c r="BD954" s="102">
        <f>IFERROR($S954/$S$13,0)</f>
        <v/>
      </c>
      <c r="BE954" s="413" t="inlineStr">
        <is>
          <t>$</t>
        </is>
      </c>
    </row>
    <row r="955" ht="12" customFormat="1" customHeight="1" s="65">
      <c r="A955" s="43" t="n">
        <v>940</v>
      </c>
      <c r="B955" s="166" t="n"/>
      <c r="C955" s="166" t="n"/>
      <c r="D955" s="166" t="n"/>
      <c r="E955" s="162" t="n"/>
      <c r="F955" s="166" t="n"/>
      <c r="G955" s="162" t="n"/>
      <c r="H955" s="162" t="n"/>
      <c r="I955" s="189">
        <f>E955*G955</f>
        <v/>
      </c>
      <c r="J955" s="195" t="n"/>
      <c r="K955" s="162" t="n"/>
      <c r="L955" s="168" t="n"/>
      <c r="M955" s="75">
        <f>_xlfn.XLOOKUP(L955,list_vat[Страна],list_vat[Ставка НДС %],0,0)</f>
        <v/>
      </c>
      <c r="N955" s="162">
        <f>IFERROR(IF(L955="Китай",K955,K955/(1+M955)),0)</f>
        <v/>
      </c>
      <c r="O955" s="169" t="n"/>
      <c r="P955" s="76">
        <f>N955*(1-O955)</f>
        <v/>
      </c>
      <c r="Q955" s="162" t="n"/>
      <c r="R955" s="162">
        <f>IF(ISBLANK(Q955),"введи курс",P955/Q955)</f>
        <v/>
      </c>
      <c r="S955" s="196">
        <f>IF(AND(ISNUMBER(E955),ISNUMBER(Q955)),E955*R955,0)</f>
        <v/>
      </c>
      <c r="T955" s="192">
        <f>$BC955*V$11</f>
        <v/>
      </c>
      <c r="U955" s="76">
        <f>$BC955*W$11</f>
        <v/>
      </c>
      <c r="V955" s="193">
        <f>+SUM(T955:U955)</f>
        <v/>
      </c>
      <c r="W955" s="191" t="n"/>
      <c r="X955" s="170" t="n"/>
      <c r="Y955" s="76">
        <f>ROUND(IF(offer_incoterms="DDP",X955*(S955*(1+AW955)+T955),0),2)</f>
        <v/>
      </c>
      <c r="Z955" s="188" t="n"/>
      <c r="AA955" s="192">
        <f>IFERROR(AB955/E955,0)</f>
        <v/>
      </c>
      <c r="AB955" s="76">
        <f>ROUND(SUM(S955,V955,Y955:Z955,BA955:BB955),2)</f>
        <v/>
      </c>
      <c r="AC955" s="797" t="n"/>
      <c r="AD955" s="192">
        <f t="array" ref="AD955">IFERROR(ROUND((_xlfn.IFS(offer_sale_type="поставка",AB955,offer_sale_type="транзит",S955)*(1+AC955))/E955,2),0)</f>
        <v/>
      </c>
      <c r="AE955" s="76">
        <f>AD955*E955</f>
        <v/>
      </c>
      <c r="AF955" s="193">
        <f t="array" ref="AF955">IFERROR(ROUND(_xlfn.IFS(offer_sale_type="поставка",AB955,offer_sale_type="транзит",S955)*AC955,2),0)</f>
        <v/>
      </c>
      <c r="AG955" s="192">
        <f>$BD955*VLOOKUP($AG$3,$AF$4:$AG$7,2,FALSE)</f>
        <v/>
      </c>
      <c r="AH955" s="76">
        <f>SUM(AE955,AG955,AI955)*rate_forex_risk</f>
        <v/>
      </c>
      <c r="AI955" s="193">
        <f>IF(OR(seller_region="TR",offer_sale_type="экспорт"),0,rate_fin_comm)*SUM(AZ955,AZ955*AW955,T955)</f>
        <v/>
      </c>
      <c r="AJ955" s="118">
        <f>IFERROR(ROUND(SUM(AB955,AF955:AI955)/E955,2),0)</f>
        <v/>
      </c>
      <c r="AK955" s="76">
        <f>AJ955*E955</f>
        <v/>
      </c>
      <c r="AL955" s="174">
        <f>ROUND(IFERROR(AM955*E955,0),2)</f>
        <v/>
      </c>
      <c r="AM955" s="175">
        <f>ROUND(AJ955*(1+IF(offer_incoterms="DDP",IF((TODAY()+offer_turnaround_time)&gt;=helpsheet!$L$17,rate_vatRU_from_26,rate_vatRu_till_25),0)),2)</f>
        <v/>
      </c>
      <c r="AN955" s="192">
        <f>AL955-AK955</f>
        <v/>
      </c>
      <c r="AO955" s="76">
        <f>SUM(AY955,Y955:Z955,T955)*IF(AND(offer_incoterms="DDP",offer_sale_type&lt;&gt;"экспорт"),IF((TODAY()+offer_turnaround_time)&gt;=helpsheet!$L$17,rate_vatRU_from_26,rate_vatRu_till_25),0)</f>
        <v/>
      </c>
      <c r="AP955" s="193">
        <f>AN955-AO955</f>
        <v/>
      </c>
      <c r="AQ955" s="118">
        <f>IF(offer_sale_type="транзит",SUM(AF955:AI955,BA955,BB955),0)</f>
        <v/>
      </c>
      <c r="AR955" s="82">
        <f>HYPERLINK("https://www.alta.ru/tnved/code/")&amp;W955&amp;"/"</f>
        <v/>
      </c>
      <c r="AS955" s="157" t="n"/>
      <c r="AT955" s="162" t="n"/>
      <c r="AU955" s="76">
        <f>IF(ISBLANK(AT955),0,AJ955-AT955)</f>
        <v/>
      </c>
      <c r="AV955" s="157" t="n"/>
      <c r="AW955" s="75">
        <f>_xlfn.IFNA(VLOOKUP(L955,list_vat[],3,FALSE),0)</f>
        <v/>
      </c>
      <c r="AX955" s="76">
        <f>IFERROR(ROUND(S955*(1+AW955)/E955,2),0)</f>
        <v/>
      </c>
      <c r="AY955" s="76">
        <f>E955*AX955</f>
        <v/>
      </c>
      <c r="AZ955" s="192">
        <f>S955*(1+M955)</f>
        <v/>
      </c>
      <c r="BA955" s="76">
        <f>cost_fin_total*$BD955</f>
        <v/>
      </c>
      <c r="BB955" s="193">
        <f>credit_sales_interest*BD955</f>
        <v/>
      </c>
      <c r="BC955" s="102">
        <f>IFERROR(IF($I$13&gt;0,$I955/$I$13,$S955/$S$13),0)</f>
        <v/>
      </c>
      <c r="BD955" s="102">
        <f>IFERROR($S955/$S$13,0)</f>
        <v/>
      </c>
      <c r="BE955" s="413" t="inlineStr">
        <is>
          <t>$</t>
        </is>
      </c>
    </row>
    <row r="956" ht="12" customFormat="1" customHeight="1" s="65">
      <c r="A956" s="43" t="n">
        <v>941</v>
      </c>
      <c r="B956" s="166" t="n"/>
      <c r="C956" s="166" t="n"/>
      <c r="D956" s="166" t="n"/>
      <c r="E956" s="162" t="n"/>
      <c r="F956" s="166" t="n"/>
      <c r="G956" s="162" t="n"/>
      <c r="H956" s="162" t="n"/>
      <c r="I956" s="189">
        <f>E956*G956</f>
        <v/>
      </c>
      <c r="J956" s="195" t="n"/>
      <c r="K956" s="162" t="n"/>
      <c r="L956" s="168" t="n"/>
      <c r="M956" s="75">
        <f>_xlfn.XLOOKUP(L956,list_vat[Страна],list_vat[Ставка НДС %],0,0)</f>
        <v/>
      </c>
      <c r="N956" s="162">
        <f>IFERROR(IF(L956="Китай",K956,K956/(1+M956)),0)</f>
        <v/>
      </c>
      <c r="O956" s="169" t="n"/>
      <c r="P956" s="76">
        <f>N956*(1-O956)</f>
        <v/>
      </c>
      <c r="Q956" s="162" t="n"/>
      <c r="R956" s="162">
        <f>IF(ISBLANK(Q956),"введи курс",P956/Q956)</f>
        <v/>
      </c>
      <c r="S956" s="196">
        <f>IF(AND(ISNUMBER(E956),ISNUMBER(Q956)),E956*R956,0)</f>
        <v/>
      </c>
      <c r="T956" s="192">
        <f>$BC956*V$11</f>
        <v/>
      </c>
      <c r="U956" s="76">
        <f>$BC956*W$11</f>
        <v/>
      </c>
      <c r="V956" s="193">
        <f>+SUM(T956:U956)</f>
        <v/>
      </c>
      <c r="W956" s="191" t="n"/>
      <c r="X956" s="170" t="n"/>
      <c r="Y956" s="76">
        <f>ROUND(IF(offer_incoterms="DDP",X956*(S956*(1+AW956)+T956),0),2)</f>
        <v/>
      </c>
      <c r="Z956" s="188" t="n"/>
      <c r="AA956" s="192">
        <f>IFERROR(AB956/E956,0)</f>
        <v/>
      </c>
      <c r="AB956" s="76">
        <f>ROUND(SUM(S956,V956,Y956:Z956,BA956:BB956),2)</f>
        <v/>
      </c>
      <c r="AC956" s="797" t="n"/>
      <c r="AD956" s="192">
        <f t="array" ref="AD956">IFERROR(ROUND((_xlfn.IFS(offer_sale_type="поставка",AB956,offer_sale_type="транзит",S956)*(1+AC956))/E956,2),0)</f>
        <v/>
      </c>
      <c r="AE956" s="76">
        <f>AD956*E956</f>
        <v/>
      </c>
      <c r="AF956" s="193">
        <f t="array" ref="AF956">IFERROR(ROUND(_xlfn.IFS(offer_sale_type="поставка",AB956,offer_sale_type="транзит",S956)*AC956,2),0)</f>
        <v/>
      </c>
      <c r="AG956" s="192">
        <f>$BD956*VLOOKUP($AG$3,$AF$4:$AG$7,2,FALSE)</f>
        <v/>
      </c>
      <c r="AH956" s="76">
        <f>SUM(AE956,AG956,AI956)*rate_forex_risk</f>
        <v/>
      </c>
      <c r="AI956" s="193">
        <f>IF(OR(seller_region="TR",offer_sale_type="экспорт"),0,rate_fin_comm)*SUM(AZ956,AZ956*AW956,T956)</f>
        <v/>
      </c>
      <c r="AJ956" s="118">
        <f>IFERROR(ROUND(SUM(AB956,AF956:AI956)/E956,2),0)</f>
        <v/>
      </c>
      <c r="AK956" s="76">
        <f>AJ956*E956</f>
        <v/>
      </c>
      <c r="AL956" s="174">
        <f>ROUND(IFERROR(AM956*E956,0),2)</f>
        <v/>
      </c>
      <c r="AM956" s="175">
        <f>ROUND(AJ956*(1+IF(offer_incoterms="DDP",IF((TODAY()+offer_turnaround_time)&gt;=helpsheet!$L$17,rate_vatRU_from_26,rate_vatRu_till_25),0)),2)</f>
        <v/>
      </c>
      <c r="AN956" s="192">
        <f>AL956-AK956</f>
        <v/>
      </c>
      <c r="AO956" s="76">
        <f>SUM(AY956,Y956:Z956,T956)*IF(AND(offer_incoterms="DDP",offer_sale_type&lt;&gt;"экспорт"),IF((TODAY()+offer_turnaround_time)&gt;=helpsheet!$L$17,rate_vatRU_from_26,rate_vatRu_till_25),0)</f>
        <v/>
      </c>
      <c r="AP956" s="193">
        <f>AN956-AO956</f>
        <v/>
      </c>
      <c r="AQ956" s="118">
        <f>IF(offer_sale_type="транзит",SUM(AF956:AI956,BA956,BB956),0)</f>
        <v/>
      </c>
      <c r="AR956" s="82">
        <f>HYPERLINK("https://www.alta.ru/tnved/code/")&amp;W956&amp;"/"</f>
        <v/>
      </c>
      <c r="AS956" s="157" t="n"/>
      <c r="AT956" s="162" t="n"/>
      <c r="AU956" s="76">
        <f>IF(ISBLANK(AT956),0,AJ956-AT956)</f>
        <v/>
      </c>
      <c r="AV956" s="157" t="n"/>
      <c r="AW956" s="75">
        <f>_xlfn.IFNA(VLOOKUP(L956,list_vat[],3,FALSE),0)</f>
        <v/>
      </c>
      <c r="AX956" s="76">
        <f>IFERROR(ROUND(S956*(1+AW956)/E956,2),0)</f>
        <v/>
      </c>
      <c r="AY956" s="76">
        <f>E956*AX956</f>
        <v/>
      </c>
      <c r="AZ956" s="192">
        <f>S956*(1+M956)</f>
        <v/>
      </c>
      <c r="BA956" s="76">
        <f>cost_fin_total*$BD956</f>
        <v/>
      </c>
      <c r="BB956" s="193">
        <f>credit_sales_interest*BD956</f>
        <v/>
      </c>
      <c r="BC956" s="102">
        <f>IFERROR(IF($I$13&gt;0,$I956/$I$13,$S956/$S$13),0)</f>
        <v/>
      </c>
      <c r="BD956" s="102">
        <f>IFERROR($S956/$S$13,0)</f>
        <v/>
      </c>
      <c r="BE956" s="413" t="inlineStr">
        <is>
          <t>$</t>
        </is>
      </c>
    </row>
    <row r="957" ht="12" customFormat="1" customHeight="1" s="65">
      <c r="A957" s="43" t="n">
        <v>942</v>
      </c>
      <c r="B957" s="166" t="n"/>
      <c r="C957" s="166" t="n"/>
      <c r="D957" s="166" t="n"/>
      <c r="E957" s="162" t="n"/>
      <c r="F957" s="166" t="n"/>
      <c r="G957" s="162" t="n"/>
      <c r="H957" s="162" t="n"/>
      <c r="I957" s="189">
        <f>E957*G957</f>
        <v/>
      </c>
      <c r="J957" s="195" t="n"/>
      <c r="K957" s="162" t="n"/>
      <c r="L957" s="168" t="n"/>
      <c r="M957" s="75">
        <f>_xlfn.XLOOKUP(L957,list_vat[Страна],list_vat[Ставка НДС %],0,0)</f>
        <v/>
      </c>
      <c r="N957" s="162">
        <f>IFERROR(IF(L957="Китай",K957,K957/(1+M957)),0)</f>
        <v/>
      </c>
      <c r="O957" s="169" t="n"/>
      <c r="P957" s="76">
        <f>N957*(1-O957)</f>
        <v/>
      </c>
      <c r="Q957" s="162" t="n"/>
      <c r="R957" s="162">
        <f>IF(ISBLANK(Q957),"введи курс",P957/Q957)</f>
        <v/>
      </c>
      <c r="S957" s="196">
        <f>IF(AND(ISNUMBER(E957),ISNUMBER(Q957)),E957*R957,0)</f>
        <v/>
      </c>
      <c r="T957" s="192">
        <f>$BC957*V$11</f>
        <v/>
      </c>
      <c r="U957" s="76">
        <f>$BC957*W$11</f>
        <v/>
      </c>
      <c r="V957" s="193">
        <f>+SUM(T957:U957)</f>
        <v/>
      </c>
      <c r="W957" s="191" t="n"/>
      <c r="X957" s="170" t="n"/>
      <c r="Y957" s="76">
        <f>ROUND(IF(offer_incoterms="DDP",X957*(S957*(1+AW957)+T957),0),2)</f>
        <v/>
      </c>
      <c r="Z957" s="188" t="n"/>
      <c r="AA957" s="192">
        <f>IFERROR(AB957/E957,0)</f>
        <v/>
      </c>
      <c r="AB957" s="76">
        <f>ROUND(SUM(S957,V957,Y957:Z957,BA957:BB957),2)</f>
        <v/>
      </c>
      <c r="AC957" s="797" t="n"/>
      <c r="AD957" s="192">
        <f t="array" ref="AD957">IFERROR(ROUND((_xlfn.IFS(offer_sale_type="поставка",AB957,offer_sale_type="транзит",S957)*(1+AC957))/E957,2),0)</f>
        <v/>
      </c>
      <c r="AE957" s="76">
        <f>AD957*E957</f>
        <v/>
      </c>
      <c r="AF957" s="193">
        <f t="array" ref="AF957">IFERROR(ROUND(_xlfn.IFS(offer_sale_type="поставка",AB957,offer_sale_type="транзит",S957)*AC957,2),0)</f>
        <v/>
      </c>
      <c r="AG957" s="192">
        <f>$BD957*VLOOKUP($AG$3,$AF$4:$AG$7,2,FALSE)</f>
        <v/>
      </c>
      <c r="AH957" s="76">
        <f>SUM(AE957,AG957,AI957)*rate_forex_risk</f>
        <v/>
      </c>
      <c r="AI957" s="193">
        <f>IF(OR(seller_region="TR",offer_sale_type="экспорт"),0,rate_fin_comm)*SUM(AZ957,AZ957*AW957,T957)</f>
        <v/>
      </c>
      <c r="AJ957" s="118">
        <f>IFERROR(ROUND(SUM(AB957,AF957:AI957)/E957,2),0)</f>
        <v/>
      </c>
      <c r="AK957" s="76">
        <f>AJ957*E957</f>
        <v/>
      </c>
      <c r="AL957" s="174">
        <f>ROUND(IFERROR(AM957*E957,0),2)</f>
        <v/>
      </c>
      <c r="AM957" s="175">
        <f>ROUND(AJ957*(1+IF(offer_incoterms="DDP",IF((TODAY()+offer_turnaround_time)&gt;=helpsheet!$L$17,rate_vatRU_from_26,rate_vatRu_till_25),0)),2)</f>
        <v/>
      </c>
      <c r="AN957" s="192">
        <f>AL957-AK957</f>
        <v/>
      </c>
      <c r="AO957" s="76">
        <f>SUM(AY957,Y957:Z957,T957)*IF(AND(offer_incoterms="DDP",offer_sale_type&lt;&gt;"экспорт"),IF((TODAY()+offer_turnaround_time)&gt;=helpsheet!$L$17,rate_vatRU_from_26,rate_vatRu_till_25),0)</f>
        <v/>
      </c>
      <c r="AP957" s="193">
        <f>AN957-AO957</f>
        <v/>
      </c>
      <c r="AQ957" s="118">
        <f>IF(offer_sale_type="транзит",SUM(AF957:AI957,BA957,BB957),0)</f>
        <v/>
      </c>
      <c r="AR957" s="82">
        <f>HYPERLINK("https://www.alta.ru/tnved/code/")&amp;W957&amp;"/"</f>
        <v/>
      </c>
      <c r="AS957" s="157" t="n"/>
      <c r="AT957" s="162" t="n"/>
      <c r="AU957" s="76">
        <f>IF(ISBLANK(AT957),0,AJ957-AT957)</f>
        <v/>
      </c>
      <c r="AV957" s="157" t="n"/>
      <c r="AW957" s="75">
        <f>_xlfn.IFNA(VLOOKUP(L957,list_vat[],3,FALSE),0)</f>
        <v/>
      </c>
      <c r="AX957" s="76">
        <f>IFERROR(ROUND(S957*(1+AW957)/E957,2),0)</f>
        <v/>
      </c>
      <c r="AY957" s="76">
        <f>E957*AX957</f>
        <v/>
      </c>
      <c r="AZ957" s="192">
        <f>S957*(1+M957)</f>
        <v/>
      </c>
      <c r="BA957" s="76">
        <f>cost_fin_total*$BD957</f>
        <v/>
      </c>
      <c r="BB957" s="193">
        <f>credit_sales_interest*BD957</f>
        <v/>
      </c>
      <c r="BC957" s="102">
        <f>IFERROR(IF($I$13&gt;0,$I957/$I$13,$S957/$S$13),0)</f>
        <v/>
      </c>
      <c r="BD957" s="102">
        <f>IFERROR($S957/$S$13,0)</f>
        <v/>
      </c>
      <c r="BE957" s="413" t="inlineStr">
        <is>
          <t>$</t>
        </is>
      </c>
    </row>
    <row r="958" ht="12" customFormat="1" customHeight="1" s="65">
      <c r="A958" s="43" t="n">
        <v>943</v>
      </c>
      <c r="B958" s="166" t="n"/>
      <c r="C958" s="166" t="n"/>
      <c r="D958" s="166" t="n"/>
      <c r="E958" s="162" t="n"/>
      <c r="F958" s="166" t="n"/>
      <c r="G958" s="162" t="n"/>
      <c r="H958" s="162" t="n"/>
      <c r="I958" s="189">
        <f>E958*G958</f>
        <v/>
      </c>
      <c r="J958" s="195" t="n"/>
      <c r="K958" s="162" t="n"/>
      <c r="L958" s="168" t="n"/>
      <c r="M958" s="75">
        <f>_xlfn.XLOOKUP(L958,list_vat[Страна],list_vat[Ставка НДС %],0,0)</f>
        <v/>
      </c>
      <c r="N958" s="162">
        <f>IFERROR(IF(L958="Китай",K958,K958/(1+M958)),0)</f>
        <v/>
      </c>
      <c r="O958" s="169" t="n"/>
      <c r="P958" s="76">
        <f>N958*(1-O958)</f>
        <v/>
      </c>
      <c r="Q958" s="162" t="n"/>
      <c r="R958" s="162">
        <f>IF(ISBLANK(Q958),"введи курс",P958/Q958)</f>
        <v/>
      </c>
      <c r="S958" s="196">
        <f>IF(AND(ISNUMBER(E958),ISNUMBER(Q958)),E958*R958,0)</f>
        <v/>
      </c>
      <c r="T958" s="192">
        <f>$BC958*V$11</f>
        <v/>
      </c>
      <c r="U958" s="76">
        <f>$BC958*W$11</f>
        <v/>
      </c>
      <c r="V958" s="193">
        <f>+SUM(T958:U958)</f>
        <v/>
      </c>
      <c r="W958" s="191" t="n"/>
      <c r="X958" s="170" t="n"/>
      <c r="Y958" s="76">
        <f>ROUND(IF(offer_incoterms="DDP",X958*(S958*(1+AW958)+T958),0),2)</f>
        <v/>
      </c>
      <c r="Z958" s="188" t="n"/>
      <c r="AA958" s="192">
        <f>IFERROR(AB958/E958,0)</f>
        <v/>
      </c>
      <c r="AB958" s="76">
        <f>ROUND(SUM(S958,V958,Y958:Z958,BA958:BB958),2)</f>
        <v/>
      </c>
      <c r="AC958" s="797" t="n"/>
      <c r="AD958" s="192">
        <f t="array" ref="AD958">IFERROR(ROUND((_xlfn.IFS(offer_sale_type="поставка",AB958,offer_sale_type="транзит",S958)*(1+AC958))/E958,2),0)</f>
        <v/>
      </c>
      <c r="AE958" s="76">
        <f>AD958*E958</f>
        <v/>
      </c>
      <c r="AF958" s="193">
        <f t="array" ref="AF958">IFERROR(ROUND(_xlfn.IFS(offer_sale_type="поставка",AB958,offer_sale_type="транзит",S958)*AC958,2),0)</f>
        <v/>
      </c>
      <c r="AG958" s="192">
        <f>$BD958*VLOOKUP($AG$3,$AF$4:$AG$7,2,FALSE)</f>
        <v/>
      </c>
      <c r="AH958" s="76">
        <f>SUM(AE958,AG958,AI958)*rate_forex_risk</f>
        <v/>
      </c>
      <c r="AI958" s="193">
        <f>IF(OR(seller_region="TR",offer_sale_type="экспорт"),0,rate_fin_comm)*SUM(AZ958,AZ958*AW958,T958)</f>
        <v/>
      </c>
      <c r="AJ958" s="118">
        <f>IFERROR(ROUND(SUM(AB958,AF958:AI958)/E958,2),0)</f>
        <v/>
      </c>
      <c r="AK958" s="76">
        <f>AJ958*E958</f>
        <v/>
      </c>
      <c r="AL958" s="174">
        <f>ROUND(IFERROR(AM958*E958,0),2)</f>
        <v/>
      </c>
      <c r="AM958" s="175">
        <f>ROUND(AJ958*(1+IF(offer_incoterms="DDP",IF((TODAY()+offer_turnaround_time)&gt;=helpsheet!$L$17,rate_vatRU_from_26,rate_vatRu_till_25),0)),2)</f>
        <v/>
      </c>
      <c r="AN958" s="192">
        <f>AL958-AK958</f>
        <v/>
      </c>
      <c r="AO958" s="76">
        <f>SUM(AY958,Y958:Z958,T958)*IF(AND(offer_incoterms="DDP",offer_sale_type&lt;&gt;"экспорт"),IF((TODAY()+offer_turnaround_time)&gt;=helpsheet!$L$17,rate_vatRU_from_26,rate_vatRu_till_25),0)</f>
        <v/>
      </c>
      <c r="AP958" s="193">
        <f>AN958-AO958</f>
        <v/>
      </c>
      <c r="AQ958" s="118">
        <f>IF(offer_sale_type="транзит",SUM(AF958:AI958,BA958,BB958),0)</f>
        <v/>
      </c>
      <c r="AR958" s="82">
        <f>HYPERLINK("https://www.alta.ru/tnved/code/")&amp;W958&amp;"/"</f>
        <v/>
      </c>
      <c r="AS958" s="157" t="n"/>
      <c r="AT958" s="162" t="n"/>
      <c r="AU958" s="76">
        <f>IF(ISBLANK(AT958),0,AJ958-AT958)</f>
        <v/>
      </c>
      <c r="AV958" s="157" t="n"/>
      <c r="AW958" s="75">
        <f>_xlfn.IFNA(VLOOKUP(L958,list_vat[],3,FALSE),0)</f>
        <v/>
      </c>
      <c r="AX958" s="76">
        <f>IFERROR(ROUND(S958*(1+AW958)/E958,2),0)</f>
        <v/>
      </c>
      <c r="AY958" s="76">
        <f>E958*AX958</f>
        <v/>
      </c>
      <c r="AZ958" s="192">
        <f>S958*(1+M958)</f>
        <v/>
      </c>
      <c r="BA958" s="76">
        <f>cost_fin_total*$BD958</f>
        <v/>
      </c>
      <c r="BB958" s="193">
        <f>credit_sales_interest*BD958</f>
        <v/>
      </c>
      <c r="BC958" s="102">
        <f>IFERROR(IF($I$13&gt;0,$I958/$I$13,$S958/$S$13),0)</f>
        <v/>
      </c>
      <c r="BD958" s="102">
        <f>IFERROR($S958/$S$13,0)</f>
        <v/>
      </c>
      <c r="BE958" s="413" t="inlineStr">
        <is>
          <t>$</t>
        </is>
      </c>
    </row>
    <row r="959" ht="12" customFormat="1" customHeight="1" s="65">
      <c r="A959" s="43" t="n">
        <v>944</v>
      </c>
      <c r="B959" s="166" t="n"/>
      <c r="C959" s="166" t="n"/>
      <c r="D959" s="166" t="n"/>
      <c r="E959" s="162" t="n"/>
      <c r="F959" s="166" t="n"/>
      <c r="G959" s="162" t="n"/>
      <c r="H959" s="162" t="n"/>
      <c r="I959" s="189">
        <f>E959*G959</f>
        <v/>
      </c>
      <c r="J959" s="195" t="n"/>
      <c r="K959" s="162" t="n"/>
      <c r="L959" s="168" t="n"/>
      <c r="M959" s="75">
        <f>_xlfn.XLOOKUP(L959,list_vat[Страна],list_vat[Ставка НДС %],0,0)</f>
        <v/>
      </c>
      <c r="N959" s="162">
        <f>IFERROR(IF(L959="Китай",K959,K959/(1+M959)),0)</f>
        <v/>
      </c>
      <c r="O959" s="169" t="n"/>
      <c r="P959" s="76">
        <f>N959*(1-O959)</f>
        <v/>
      </c>
      <c r="Q959" s="162" t="n"/>
      <c r="R959" s="162">
        <f>IF(ISBLANK(Q959),"введи курс",P959/Q959)</f>
        <v/>
      </c>
      <c r="S959" s="196">
        <f>IF(AND(ISNUMBER(E959),ISNUMBER(Q959)),E959*R959,0)</f>
        <v/>
      </c>
      <c r="T959" s="192">
        <f>$BC959*V$11</f>
        <v/>
      </c>
      <c r="U959" s="76">
        <f>$BC959*W$11</f>
        <v/>
      </c>
      <c r="V959" s="193">
        <f>+SUM(T959:U959)</f>
        <v/>
      </c>
      <c r="W959" s="191" t="n"/>
      <c r="X959" s="170" t="n"/>
      <c r="Y959" s="76">
        <f>ROUND(IF(offer_incoterms="DDP",X959*(S959*(1+AW959)+T959),0),2)</f>
        <v/>
      </c>
      <c r="Z959" s="188" t="n"/>
      <c r="AA959" s="192">
        <f>IFERROR(AB959/E959,0)</f>
        <v/>
      </c>
      <c r="AB959" s="76">
        <f>ROUND(SUM(S959,V959,Y959:Z959,BA959:BB959),2)</f>
        <v/>
      </c>
      <c r="AC959" s="797" t="n"/>
      <c r="AD959" s="192">
        <f t="array" ref="AD959">IFERROR(ROUND((_xlfn.IFS(offer_sale_type="поставка",AB959,offer_sale_type="транзит",S959)*(1+AC959))/E959,2),0)</f>
        <v/>
      </c>
      <c r="AE959" s="76">
        <f>AD959*E959</f>
        <v/>
      </c>
      <c r="AF959" s="193">
        <f t="array" ref="AF959">IFERROR(ROUND(_xlfn.IFS(offer_sale_type="поставка",AB959,offer_sale_type="транзит",S959)*AC959,2),0)</f>
        <v/>
      </c>
      <c r="AG959" s="192">
        <f>$BD959*VLOOKUP($AG$3,$AF$4:$AG$7,2,FALSE)</f>
        <v/>
      </c>
      <c r="AH959" s="76">
        <f>SUM(AE959,AG959,AI959)*rate_forex_risk</f>
        <v/>
      </c>
      <c r="AI959" s="193">
        <f>IF(OR(seller_region="TR",offer_sale_type="экспорт"),0,rate_fin_comm)*SUM(AZ959,AZ959*AW959,T959)</f>
        <v/>
      </c>
      <c r="AJ959" s="118">
        <f>IFERROR(ROUND(SUM(AB959,AF959:AI959)/E959,2),0)</f>
        <v/>
      </c>
      <c r="AK959" s="76">
        <f>AJ959*E959</f>
        <v/>
      </c>
      <c r="AL959" s="174">
        <f>ROUND(IFERROR(AM959*E959,0),2)</f>
        <v/>
      </c>
      <c r="AM959" s="175">
        <f>ROUND(AJ959*(1+IF(offer_incoterms="DDP",IF((TODAY()+offer_turnaround_time)&gt;=helpsheet!$L$17,rate_vatRU_from_26,rate_vatRu_till_25),0)),2)</f>
        <v/>
      </c>
      <c r="AN959" s="192">
        <f>AL959-AK959</f>
        <v/>
      </c>
      <c r="AO959" s="76">
        <f>SUM(AY959,Y959:Z959,T959)*IF(AND(offer_incoterms="DDP",offer_sale_type&lt;&gt;"экспорт"),IF((TODAY()+offer_turnaround_time)&gt;=helpsheet!$L$17,rate_vatRU_from_26,rate_vatRu_till_25),0)</f>
        <v/>
      </c>
      <c r="AP959" s="193">
        <f>AN959-AO959</f>
        <v/>
      </c>
      <c r="AQ959" s="118">
        <f>IF(offer_sale_type="транзит",SUM(AF959:AI959,BA959,BB959),0)</f>
        <v/>
      </c>
      <c r="AR959" s="82">
        <f>HYPERLINK("https://www.alta.ru/tnved/code/")&amp;W959&amp;"/"</f>
        <v/>
      </c>
      <c r="AS959" s="157" t="n"/>
      <c r="AT959" s="162" t="n"/>
      <c r="AU959" s="76">
        <f>IF(ISBLANK(AT959),0,AJ959-AT959)</f>
        <v/>
      </c>
      <c r="AV959" s="157" t="n"/>
      <c r="AW959" s="75">
        <f>_xlfn.IFNA(VLOOKUP(L959,list_vat[],3,FALSE),0)</f>
        <v/>
      </c>
      <c r="AX959" s="76">
        <f>IFERROR(ROUND(S959*(1+AW959)/E959,2),0)</f>
        <v/>
      </c>
      <c r="AY959" s="76">
        <f>E959*AX959</f>
        <v/>
      </c>
      <c r="AZ959" s="192">
        <f>S959*(1+M959)</f>
        <v/>
      </c>
      <c r="BA959" s="76">
        <f>cost_fin_total*$BD959</f>
        <v/>
      </c>
      <c r="BB959" s="193">
        <f>credit_sales_interest*BD959</f>
        <v/>
      </c>
      <c r="BC959" s="102">
        <f>IFERROR(IF($I$13&gt;0,$I959/$I$13,$S959/$S$13),0)</f>
        <v/>
      </c>
      <c r="BD959" s="102">
        <f>IFERROR($S959/$S$13,0)</f>
        <v/>
      </c>
      <c r="BE959" s="413" t="inlineStr">
        <is>
          <t>$</t>
        </is>
      </c>
    </row>
    <row r="960" ht="12" customFormat="1" customHeight="1" s="65">
      <c r="A960" s="43" t="n">
        <v>945</v>
      </c>
      <c r="B960" s="166" t="n"/>
      <c r="C960" s="166" t="n"/>
      <c r="D960" s="166" t="n"/>
      <c r="E960" s="162" t="n"/>
      <c r="F960" s="166" t="n"/>
      <c r="G960" s="162" t="n"/>
      <c r="H960" s="162" t="n"/>
      <c r="I960" s="189">
        <f>E960*G960</f>
        <v/>
      </c>
      <c r="J960" s="195" t="n"/>
      <c r="K960" s="162" t="n"/>
      <c r="L960" s="168" t="n"/>
      <c r="M960" s="75">
        <f>_xlfn.XLOOKUP(L960,list_vat[Страна],list_vat[Ставка НДС %],0,0)</f>
        <v/>
      </c>
      <c r="N960" s="162">
        <f>IFERROR(IF(L960="Китай",K960,K960/(1+M960)),0)</f>
        <v/>
      </c>
      <c r="O960" s="169" t="n"/>
      <c r="P960" s="76">
        <f>N960*(1-O960)</f>
        <v/>
      </c>
      <c r="Q960" s="162" t="n"/>
      <c r="R960" s="162">
        <f>IF(ISBLANK(Q960),"введи курс",P960/Q960)</f>
        <v/>
      </c>
      <c r="S960" s="196">
        <f>IF(AND(ISNUMBER(E960),ISNUMBER(Q960)),E960*R960,0)</f>
        <v/>
      </c>
      <c r="T960" s="192">
        <f>$BC960*V$11</f>
        <v/>
      </c>
      <c r="U960" s="76">
        <f>$BC960*W$11</f>
        <v/>
      </c>
      <c r="V960" s="193">
        <f>+SUM(T960:U960)</f>
        <v/>
      </c>
      <c r="W960" s="191" t="n"/>
      <c r="X960" s="170" t="n"/>
      <c r="Y960" s="76">
        <f>ROUND(IF(offer_incoterms="DDP",X960*(S960*(1+AW960)+T960),0),2)</f>
        <v/>
      </c>
      <c r="Z960" s="188" t="n"/>
      <c r="AA960" s="192">
        <f>IFERROR(AB960/E960,0)</f>
        <v/>
      </c>
      <c r="AB960" s="76">
        <f>ROUND(SUM(S960,V960,Y960:Z960,BA960:BB960),2)</f>
        <v/>
      </c>
      <c r="AC960" s="797" t="n"/>
      <c r="AD960" s="192">
        <f t="array" ref="AD960">IFERROR(ROUND((_xlfn.IFS(offer_sale_type="поставка",AB960,offer_sale_type="транзит",S960)*(1+AC960))/E960,2),0)</f>
        <v/>
      </c>
      <c r="AE960" s="76">
        <f>AD960*E960</f>
        <v/>
      </c>
      <c r="AF960" s="193">
        <f t="array" ref="AF960">IFERROR(ROUND(_xlfn.IFS(offer_sale_type="поставка",AB960,offer_sale_type="транзит",S960)*AC960,2),0)</f>
        <v/>
      </c>
      <c r="AG960" s="192">
        <f>$BD960*VLOOKUP($AG$3,$AF$4:$AG$7,2,FALSE)</f>
        <v/>
      </c>
      <c r="AH960" s="76">
        <f>SUM(AE960,AG960,AI960)*rate_forex_risk</f>
        <v/>
      </c>
      <c r="AI960" s="193">
        <f>IF(OR(seller_region="TR",offer_sale_type="экспорт"),0,rate_fin_comm)*SUM(AZ960,AZ960*AW960,T960)</f>
        <v/>
      </c>
      <c r="AJ960" s="118">
        <f>IFERROR(ROUND(SUM(AB960,AF960:AI960)/E960,2),0)</f>
        <v/>
      </c>
      <c r="AK960" s="76">
        <f>AJ960*E960</f>
        <v/>
      </c>
      <c r="AL960" s="174">
        <f>ROUND(IFERROR(AM960*E960,0),2)</f>
        <v/>
      </c>
      <c r="AM960" s="175">
        <f>ROUND(AJ960*(1+IF(offer_incoterms="DDP",IF((TODAY()+offer_turnaround_time)&gt;=helpsheet!$L$17,rate_vatRU_from_26,rate_vatRu_till_25),0)),2)</f>
        <v/>
      </c>
      <c r="AN960" s="192">
        <f>AL960-AK960</f>
        <v/>
      </c>
      <c r="AO960" s="76">
        <f>SUM(AY960,Y960:Z960,T960)*IF(AND(offer_incoterms="DDP",offer_sale_type&lt;&gt;"экспорт"),IF((TODAY()+offer_turnaround_time)&gt;=helpsheet!$L$17,rate_vatRU_from_26,rate_vatRu_till_25),0)</f>
        <v/>
      </c>
      <c r="AP960" s="193">
        <f>AN960-AO960</f>
        <v/>
      </c>
      <c r="AQ960" s="118">
        <f>IF(offer_sale_type="транзит",SUM(AF960:AI960,BA960,BB960),0)</f>
        <v/>
      </c>
      <c r="AR960" s="82">
        <f>HYPERLINK("https://www.alta.ru/tnved/code/")&amp;W960&amp;"/"</f>
        <v/>
      </c>
      <c r="AS960" s="157" t="n"/>
      <c r="AT960" s="162" t="n"/>
      <c r="AU960" s="76">
        <f>IF(ISBLANK(AT960),0,AJ960-AT960)</f>
        <v/>
      </c>
      <c r="AV960" s="157" t="n"/>
      <c r="AW960" s="75">
        <f>_xlfn.IFNA(VLOOKUP(L960,list_vat[],3,FALSE),0)</f>
        <v/>
      </c>
      <c r="AX960" s="76">
        <f>IFERROR(ROUND(S960*(1+AW960)/E960,2),0)</f>
        <v/>
      </c>
      <c r="AY960" s="76">
        <f>E960*AX960</f>
        <v/>
      </c>
      <c r="AZ960" s="192">
        <f>S960*(1+M960)</f>
        <v/>
      </c>
      <c r="BA960" s="76">
        <f>cost_fin_total*$BD960</f>
        <v/>
      </c>
      <c r="BB960" s="193">
        <f>credit_sales_interest*BD960</f>
        <v/>
      </c>
      <c r="BC960" s="102">
        <f>IFERROR(IF($I$13&gt;0,$I960/$I$13,$S960/$S$13),0)</f>
        <v/>
      </c>
      <c r="BD960" s="102">
        <f>IFERROR($S960/$S$13,0)</f>
        <v/>
      </c>
      <c r="BE960" s="413" t="inlineStr">
        <is>
          <t>$</t>
        </is>
      </c>
    </row>
    <row r="961" ht="12" customFormat="1" customHeight="1" s="65">
      <c r="A961" s="43" t="n">
        <v>946</v>
      </c>
      <c r="B961" s="166" t="n"/>
      <c r="C961" s="166" t="n"/>
      <c r="D961" s="166" t="n"/>
      <c r="E961" s="162" t="n"/>
      <c r="F961" s="166" t="n"/>
      <c r="G961" s="162" t="n"/>
      <c r="H961" s="162" t="n"/>
      <c r="I961" s="189">
        <f>E961*G961</f>
        <v/>
      </c>
      <c r="J961" s="195" t="n"/>
      <c r="K961" s="162" t="n"/>
      <c r="L961" s="168" t="n"/>
      <c r="M961" s="75">
        <f>_xlfn.XLOOKUP(L961,list_vat[Страна],list_vat[Ставка НДС %],0,0)</f>
        <v/>
      </c>
      <c r="N961" s="162">
        <f>IFERROR(IF(L961="Китай",K961,K961/(1+M961)),0)</f>
        <v/>
      </c>
      <c r="O961" s="169" t="n"/>
      <c r="P961" s="76">
        <f>N961*(1-O961)</f>
        <v/>
      </c>
      <c r="Q961" s="162" t="n"/>
      <c r="R961" s="162">
        <f>IF(ISBLANK(Q961),"введи курс",P961/Q961)</f>
        <v/>
      </c>
      <c r="S961" s="196">
        <f>IF(AND(ISNUMBER(E961),ISNUMBER(Q961)),E961*R961,0)</f>
        <v/>
      </c>
      <c r="T961" s="192">
        <f>$BC961*V$11</f>
        <v/>
      </c>
      <c r="U961" s="76">
        <f>$BC961*W$11</f>
        <v/>
      </c>
      <c r="V961" s="193">
        <f>+SUM(T961:U961)</f>
        <v/>
      </c>
      <c r="W961" s="191" t="n"/>
      <c r="X961" s="170" t="n"/>
      <c r="Y961" s="76">
        <f>ROUND(IF(offer_incoterms="DDP",X961*(S961*(1+AW961)+T961),0),2)</f>
        <v/>
      </c>
      <c r="Z961" s="188" t="n"/>
      <c r="AA961" s="192">
        <f>IFERROR(AB961/E961,0)</f>
        <v/>
      </c>
      <c r="AB961" s="76">
        <f>ROUND(SUM(S961,V961,Y961:Z961,BA961:BB961),2)</f>
        <v/>
      </c>
      <c r="AC961" s="797" t="n"/>
      <c r="AD961" s="192">
        <f t="array" ref="AD961">IFERROR(ROUND((_xlfn.IFS(offer_sale_type="поставка",AB961,offer_sale_type="транзит",S961)*(1+AC961))/E961,2),0)</f>
        <v/>
      </c>
      <c r="AE961" s="76">
        <f>AD961*E961</f>
        <v/>
      </c>
      <c r="AF961" s="193">
        <f t="array" ref="AF961">IFERROR(ROUND(_xlfn.IFS(offer_sale_type="поставка",AB961,offer_sale_type="транзит",S961)*AC961,2),0)</f>
        <v/>
      </c>
      <c r="AG961" s="192">
        <f>$BD961*VLOOKUP($AG$3,$AF$4:$AG$7,2,FALSE)</f>
        <v/>
      </c>
      <c r="AH961" s="76">
        <f>SUM(AE961,AG961,AI961)*rate_forex_risk</f>
        <v/>
      </c>
      <c r="AI961" s="193">
        <f>IF(OR(seller_region="TR",offer_sale_type="экспорт"),0,rate_fin_comm)*SUM(AZ961,AZ961*AW961,T961)</f>
        <v/>
      </c>
      <c r="AJ961" s="118">
        <f>IFERROR(ROUND(SUM(AB961,AF961:AI961)/E961,2),0)</f>
        <v/>
      </c>
      <c r="AK961" s="76">
        <f>AJ961*E961</f>
        <v/>
      </c>
      <c r="AL961" s="174">
        <f>ROUND(IFERROR(AM961*E961,0),2)</f>
        <v/>
      </c>
      <c r="AM961" s="175">
        <f>ROUND(AJ961*(1+IF(offer_incoterms="DDP",IF((TODAY()+offer_turnaround_time)&gt;=helpsheet!$L$17,rate_vatRU_from_26,rate_vatRu_till_25),0)),2)</f>
        <v/>
      </c>
      <c r="AN961" s="192">
        <f>AL961-AK961</f>
        <v/>
      </c>
      <c r="AO961" s="76">
        <f>SUM(AY961,Y961:Z961,T961)*IF(AND(offer_incoterms="DDP",offer_sale_type&lt;&gt;"экспорт"),IF((TODAY()+offer_turnaround_time)&gt;=helpsheet!$L$17,rate_vatRU_from_26,rate_vatRu_till_25),0)</f>
        <v/>
      </c>
      <c r="AP961" s="193">
        <f>AN961-AO961</f>
        <v/>
      </c>
      <c r="AQ961" s="118">
        <f>IF(offer_sale_type="транзит",SUM(AF961:AI961,BA961,BB961),0)</f>
        <v/>
      </c>
      <c r="AR961" s="82">
        <f>HYPERLINK("https://www.alta.ru/tnved/code/")&amp;W961&amp;"/"</f>
        <v/>
      </c>
      <c r="AS961" s="157" t="n"/>
      <c r="AT961" s="162" t="n"/>
      <c r="AU961" s="76">
        <f>IF(ISBLANK(AT961),0,AJ961-AT961)</f>
        <v/>
      </c>
      <c r="AV961" s="157" t="n"/>
      <c r="AW961" s="75">
        <f>_xlfn.IFNA(VLOOKUP(L961,list_vat[],3,FALSE),0)</f>
        <v/>
      </c>
      <c r="AX961" s="76">
        <f>IFERROR(ROUND(S961*(1+AW961)/E961,2),0)</f>
        <v/>
      </c>
      <c r="AY961" s="76">
        <f>E961*AX961</f>
        <v/>
      </c>
      <c r="AZ961" s="192">
        <f>S961*(1+M961)</f>
        <v/>
      </c>
      <c r="BA961" s="76">
        <f>cost_fin_total*$BD961</f>
        <v/>
      </c>
      <c r="BB961" s="193">
        <f>credit_sales_interest*BD961</f>
        <v/>
      </c>
      <c r="BC961" s="102">
        <f>IFERROR(IF($I$13&gt;0,$I961/$I$13,$S961/$S$13),0)</f>
        <v/>
      </c>
      <c r="BD961" s="102">
        <f>IFERROR($S961/$S$13,0)</f>
        <v/>
      </c>
      <c r="BE961" s="413" t="inlineStr">
        <is>
          <t>$</t>
        </is>
      </c>
    </row>
    <row r="962" ht="12" customFormat="1" customHeight="1" s="65">
      <c r="A962" s="43" t="n">
        <v>947</v>
      </c>
      <c r="B962" s="166" t="n"/>
      <c r="C962" s="166" t="n"/>
      <c r="D962" s="166" t="n"/>
      <c r="E962" s="162" t="n"/>
      <c r="F962" s="166" t="n"/>
      <c r="G962" s="162" t="n"/>
      <c r="H962" s="162" t="n"/>
      <c r="I962" s="189">
        <f>E962*G962</f>
        <v/>
      </c>
      <c r="J962" s="195" t="n"/>
      <c r="K962" s="162" t="n"/>
      <c r="L962" s="168" t="n"/>
      <c r="M962" s="75">
        <f>_xlfn.XLOOKUP(L962,list_vat[Страна],list_vat[Ставка НДС %],0,0)</f>
        <v/>
      </c>
      <c r="N962" s="162">
        <f>IFERROR(IF(L962="Китай",K962,K962/(1+M962)),0)</f>
        <v/>
      </c>
      <c r="O962" s="169" t="n"/>
      <c r="P962" s="76">
        <f>N962*(1-O962)</f>
        <v/>
      </c>
      <c r="Q962" s="162" t="n"/>
      <c r="R962" s="162">
        <f>IF(ISBLANK(Q962),"введи курс",P962/Q962)</f>
        <v/>
      </c>
      <c r="S962" s="196">
        <f>IF(AND(ISNUMBER(E962),ISNUMBER(Q962)),E962*R962,0)</f>
        <v/>
      </c>
      <c r="T962" s="192">
        <f>$BC962*V$11</f>
        <v/>
      </c>
      <c r="U962" s="76">
        <f>$BC962*W$11</f>
        <v/>
      </c>
      <c r="V962" s="193">
        <f>+SUM(T962:U962)</f>
        <v/>
      </c>
      <c r="W962" s="191" t="n"/>
      <c r="X962" s="170" t="n"/>
      <c r="Y962" s="76">
        <f>ROUND(IF(offer_incoterms="DDP",X962*(S962*(1+AW962)+T962),0),2)</f>
        <v/>
      </c>
      <c r="Z962" s="188" t="n"/>
      <c r="AA962" s="192">
        <f>IFERROR(AB962/E962,0)</f>
        <v/>
      </c>
      <c r="AB962" s="76">
        <f>ROUND(SUM(S962,V962,Y962:Z962,BA962:BB962),2)</f>
        <v/>
      </c>
      <c r="AC962" s="797" t="n"/>
      <c r="AD962" s="192">
        <f t="array" ref="AD962">IFERROR(ROUND((_xlfn.IFS(offer_sale_type="поставка",AB962,offer_sale_type="транзит",S962)*(1+AC962))/E962,2),0)</f>
        <v/>
      </c>
      <c r="AE962" s="76">
        <f>AD962*E962</f>
        <v/>
      </c>
      <c r="AF962" s="193">
        <f t="array" ref="AF962">IFERROR(ROUND(_xlfn.IFS(offer_sale_type="поставка",AB962,offer_sale_type="транзит",S962)*AC962,2),0)</f>
        <v/>
      </c>
      <c r="AG962" s="192">
        <f>$BD962*VLOOKUP($AG$3,$AF$4:$AG$7,2,FALSE)</f>
        <v/>
      </c>
      <c r="AH962" s="76">
        <f>SUM(AE962,AG962,AI962)*rate_forex_risk</f>
        <v/>
      </c>
      <c r="AI962" s="193">
        <f>IF(OR(seller_region="TR",offer_sale_type="экспорт"),0,rate_fin_comm)*SUM(AZ962,AZ962*AW962,T962)</f>
        <v/>
      </c>
      <c r="AJ962" s="118">
        <f>IFERROR(ROUND(SUM(AB962,AF962:AI962)/E962,2),0)</f>
        <v/>
      </c>
      <c r="AK962" s="76">
        <f>AJ962*E962</f>
        <v/>
      </c>
      <c r="AL962" s="174">
        <f>ROUND(IFERROR(AM962*E962,0),2)</f>
        <v/>
      </c>
      <c r="AM962" s="175">
        <f>ROUND(AJ962*(1+IF(offer_incoterms="DDP",IF((TODAY()+offer_turnaround_time)&gt;=helpsheet!$L$17,rate_vatRU_from_26,rate_vatRu_till_25),0)),2)</f>
        <v/>
      </c>
      <c r="AN962" s="192">
        <f>AL962-AK962</f>
        <v/>
      </c>
      <c r="AO962" s="76">
        <f>SUM(AY962,Y962:Z962,T962)*IF(AND(offer_incoterms="DDP",offer_sale_type&lt;&gt;"экспорт"),IF((TODAY()+offer_turnaround_time)&gt;=helpsheet!$L$17,rate_vatRU_from_26,rate_vatRu_till_25),0)</f>
        <v/>
      </c>
      <c r="AP962" s="193">
        <f>AN962-AO962</f>
        <v/>
      </c>
      <c r="AQ962" s="118">
        <f>IF(offer_sale_type="транзит",SUM(AF962:AI962,BA962,BB962),0)</f>
        <v/>
      </c>
      <c r="AR962" s="82">
        <f>HYPERLINK("https://www.alta.ru/tnved/code/")&amp;W962&amp;"/"</f>
        <v/>
      </c>
      <c r="AS962" s="157" t="n"/>
      <c r="AT962" s="162" t="n"/>
      <c r="AU962" s="76">
        <f>IF(ISBLANK(AT962),0,AJ962-AT962)</f>
        <v/>
      </c>
      <c r="AV962" s="157" t="n"/>
      <c r="AW962" s="75">
        <f>_xlfn.IFNA(VLOOKUP(L962,list_vat[],3,FALSE),0)</f>
        <v/>
      </c>
      <c r="AX962" s="76">
        <f>IFERROR(ROUND(S962*(1+AW962)/E962,2),0)</f>
        <v/>
      </c>
      <c r="AY962" s="76">
        <f>E962*AX962</f>
        <v/>
      </c>
      <c r="AZ962" s="192">
        <f>S962*(1+M962)</f>
        <v/>
      </c>
      <c r="BA962" s="76">
        <f>cost_fin_total*$BD962</f>
        <v/>
      </c>
      <c r="BB962" s="193">
        <f>credit_sales_interest*BD962</f>
        <v/>
      </c>
      <c r="BC962" s="102">
        <f>IFERROR(IF($I$13&gt;0,$I962/$I$13,$S962/$S$13),0)</f>
        <v/>
      </c>
      <c r="BD962" s="102">
        <f>IFERROR($S962/$S$13,0)</f>
        <v/>
      </c>
      <c r="BE962" s="413" t="inlineStr">
        <is>
          <t>$</t>
        </is>
      </c>
    </row>
    <row r="963" ht="12" customFormat="1" customHeight="1" s="65">
      <c r="A963" s="43" t="n">
        <v>948</v>
      </c>
      <c r="B963" s="166" t="n"/>
      <c r="C963" s="166" t="n"/>
      <c r="D963" s="166" t="n"/>
      <c r="E963" s="162" t="n"/>
      <c r="F963" s="166" t="n"/>
      <c r="G963" s="162" t="n"/>
      <c r="H963" s="162" t="n"/>
      <c r="I963" s="189">
        <f>E963*G963</f>
        <v/>
      </c>
      <c r="J963" s="195" t="n"/>
      <c r="K963" s="162" t="n"/>
      <c r="L963" s="168" t="n"/>
      <c r="M963" s="75">
        <f>_xlfn.XLOOKUP(L963,list_vat[Страна],list_vat[Ставка НДС %],0,0)</f>
        <v/>
      </c>
      <c r="N963" s="162">
        <f>IFERROR(IF(L963="Китай",K963,K963/(1+M963)),0)</f>
        <v/>
      </c>
      <c r="O963" s="169" t="n"/>
      <c r="P963" s="76">
        <f>N963*(1-O963)</f>
        <v/>
      </c>
      <c r="Q963" s="162" t="n"/>
      <c r="R963" s="162">
        <f>IF(ISBLANK(Q963),"введи курс",P963/Q963)</f>
        <v/>
      </c>
      <c r="S963" s="196">
        <f>IF(AND(ISNUMBER(E963),ISNUMBER(Q963)),E963*R963,0)</f>
        <v/>
      </c>
      <c r="T963" s="192">
        <f>$BC963*V$11</f>
        <v/>
      </c>
      <c r="U963" s="76">
        <f>$BC963*W$11</f>
        <v/>
      </c>
      <c r="V963" s="193">
        <f>+SUM(T963:U963)</f>
        <v/>
      </c>
      <c r="W963" s="191" t="n"/>
      <c r="X963" s="170" t="n"/>
      <c r="Y963" s="76">
        <f>ROUND(IF(offer_incoterms="DDP",X963*(S963*(1+AW963)+T963),0),2)</f>
        <v/>
      </c>
      <c r="Z963" s="188" t="n"/>
      <c r="AA963" s="192">
        <f>IFERROR(AB963/E963,0)</f>
        <v/>
      </c>
      <c r="AB963" s="76">
        <f>ROUND(SUM(S963,V963,Y963:Z963,BA963:BB963),2)</f>
        <v/>
      </c>
      <c r="AC963" s="797" t="n"/>
      <c r="AD963" s="192">
        <f t="array" ref="AD963">IFERROR(ROUND((_xlfn.IFS(offer_sale_type="поставка",AB963,offer_sale_type="транзит",S963)*(1+AC963))/E963,2),0)</f>
        <v/>
      </c>
      <c r="AE963" s="76">
        <f>AD963*E963</f>
        <v/>
      </c>
      <c r="AF963" s="193">
        <f t="array" ref="AF963">IFERROR(ROUND(_xlfn.IFS(offer_sale_type="поставка",AB963,offer_sale_type="транзит",S963)*AC963,2),0)</f>
        <v/>
      </c>
      <c r="AG963" s="192">
        <f>$BD963*VLOOKUP($AG$3,$AF$4:$AG$7,2,FALSE)</f>
        <v/>
      </c>
      <c r="AH963" s="76">
        <f>SUM(AE963,AG963,AI963)*rate_forex_risk</f>
        <v/>
      </c>
      <c r="AI963" s="193">
        <f>IF(OR(seller_region="TR",offer_sale_type="экспорт"),0,rate_fin_comm)*SUM(AZ963,AZ963*AW963,T963)</f>
        <v/>
      </c>
      <c r="AJ963" s="118">
        <f>IFERROR(ROUND(SUM(AB963,AF963:AI963)/E963,2),0)</f>
        <v/>
      </c>
      <c r="AK963" s="76">
        <f>AJ963*E963</f>
        <v/>
      </c>
      <c r="AL963" s="174">
        <f>ROUND(IFERROR(AM963*E963,0),2)</f>
        <v/>
      </c>
      <c r="AM963" s="175">
        <f>ROUND(AJ963*(1+IF(offer_incoterms="DDP",IF((TODAY()+offer_turnaround_time)&gt;=helpsheet!$L$17,rate_vatRU_from_26,rate_vatRu_till_25),0)),2)</f>
        <v/>
      </c>
      <c r="AN963" s="192">
        <f>AL963-AK963</f>
        <v/>
      </c>
      <c r="AO963" s="76">
        <f>SUM(AY963,Y963:Z963,T963)*IF(AND(offer_incoterms="DDP",offer_sale_type&lt;&gt;"экспорт"),IF((TODAY()+offer_turnaround_time)&gt;=helpsheet!$L$17,rate_vatRU_from_26,rate_vatRu_till_25),0)</f>
        <v/>
      </c>
      <c r="AP963" s="193">
        <f>AN963-AO963</f>
        <v/>
      </c>
      <c r="AQ963" s="118">
        <f>IF(offer_sale_type="транзит",SUM(AF963:AI963,BA963,BB963),0)</f>
        <v/>
      </c>
      <c r="AR963" s="82">
        <f>HYPERLINK("https://www.alta.ru/tnved/code/")&amp;W963&amp;"/"</f>
        <v/>
      </c>
      <c r="AS963" s="157" t="n"/>
      <c r="AT963" s="162" t="n"/>
      <c r="AU963" s="76">
        <f>IF(ISBLANK(AT963),0,AJ963-AT963)</f>
        <v/>
      </c>
      <c r="AV963" s="157" t="n"/>
      <c r="AW963" s="75">
        <f>_xlfn.IFNA(VLOOKUP(L963,list_vat[],3,FALSE),0)</f>
        <v/>
      </c>
      <c r="AX963" s="76">
        <f>IFERROR(ROUND(S963*(1+AW963)/E963,2),0)</f>
        <v/>
      </c>
      <c r="AY963" s="76">
        <f>E963*AX963</f>
        <v/>
      </c>
      <c r="AZ963" s="192">
        <f>S963*(1+M963)</f>
        <v/>
      </c>
      <c r="BA963" s="76">
        <f>cost_fin_total*$BD963</f>
        <v/>
      </c>
      <c r="BB963" s="193">
        <f>credit_sales_interest*BD963</f>
        <v/>
      </c>
      <c r="BC963" s="102">
        <f>IFERROR(IF($I$13&gt;0,$I963/$I$13,$S963/$S$13),0)</f>
        <v/>
      </c>
      <c r="BD963" s="102">
        <f>IFERROR($S963/$S$13,0)</f>
        <v/>
      </c>
      <c r="BE963" s="413" t="inlineStr">
        <is>
          <t>$</t>
        </is>
      </c>
    </row>
    <row r="964" ht="12" customFormat="1" customHeight="1" s="65">
      <c r="A964" s="43" t="n">
        <v>949</v>
      </c>
      <c r="B964" s="166" t="n"/>
      <c r="C964" s="166" t="n"/>
      <c r="D964" s="166" t="n"/>
      <c r="E964" s="162" t="n"/>
      <c r="F964" s="166" t="n"/>
      <c r="G964" s="162" t="n"/>
      <c r="H964" s="162" t="n"/>
      <c r="I964" s="189">
        <f>E964*G964</f>
        <v/>
      </c>
      <c r="J964" s="195" t="n"/>
      <c r="K964" s="162" t="n"/>
      <c r="L964" s="168" t="n"/>
      <c r="M964" s="75">
        <f>_xlfn.XLOOKUP(L964,list_vat[Страна],list_vat[Ставка НДС %],0,0)</f>
        <v/>
      </c>
      <c r="N964" s="162">
        <f>IFERROR(IF(L964="Китай",K964,K964/(1+M964)),0)</f>
        <v/>
      </c>
      <c r="O964" s="169" t="n"/>
      <c r="P964" s="76">
        <f>N964*(1-O964)</f>
        <v/>
      </c>
      <c r="Q964" s="162" t="n"/>
      <c r="R964" s="162">
        <f>IF(ISBLANK(Q964),"введи курс",P964/Q964)</f>
        <v/>
      </c>
      <c r="S964" s="196">
        <f>IF(AND(ISNUMBER(E964),ISNUMBER(Q964)),E964*R964,0)</f>
        <v/>
      </c>
      <c r="T964" s="192">
        <f>$BC964*V$11</f>
        <v/>
      </c>
      <c r="U964" s="76">
        <f>$BC964*W$11</f>
        <v/>
      </c>
      <c r="V964" s="193">
        <f>+SUM(T964:U964)</f>
        <v/>
      </c>
      <c r="W964" s="191" t="n"/>
      <c r="X964" s="170" t="n"/>
      <c r="Y964" s="76">
        <f>ROUND(IF(offer_incoterms="DDP",X964*(S964*(1+AW964)+T964),0),2)</f>
        <v/>
      </c>
      <c r="Z964" s="188" t="n"/>
      <c r="AA964" s="192">
        <f>IFERROR(AB964/E964,0)</f>
        <v/>
      </c>
      <c r="AB964" s="76">
        <f>ROUND(SUM(S964,V964,Y964:Z964,BA964:BB964),2)</f>
        <v/>
      </c>
      <c r="AC964" s="797" t="n"/>
      <c r="AD964" s="192">
        <f t="array" ref="AD964">IFERROR(ROUND((_xlfn.IFS(offer_sale_type="поставка",AB964,offer_sale_type="транзит",S964)*(1+AC964))/E964,2),0)</f>
        <v/>
      </c>
      <c r="AE964" s="76">
        <f>AD964*E964</f>
        <v/>
      </c>
      <c r="AF964" s="193">
        <f t="array" ref="AF964">IFERROR(ROUND(_xlfn.IFS(offer_sale_type="поставка",AB964,offer_sale_type="транзит",S964)*AC964,2),0)</f>
        <v/>
      </c>
      <c r="AG964" s="192">
        <f>$BD964*VLOOKUP($AG$3,$AF$4:$AG$7,2,FALSE)</f>
        <v/>
      </c>
      <c r="AH964" s="76">
        <f>SUM(AE964,AG964,AI964)*rate_forex_risk</f>
        <v/>
      </c>
      <c r="AI964" s="193">
        <f>IF(OR(seller_region="TR",offer_sale_type="экспорт"),0,rate_fin_comm)*SUM(AZ964,AZ964*AW964,T964)</f>
        <v/>
      </c>
      <c r="AJ964" s="118">
        <f>IFERROR(ROUND(SUM(AB964,AF964:AI964)/E964,2),0)</f>
        <v/>
      </c>
      <c r="AK964" s="76">
        <f>AJ964*E964</f>
        <v/>
      </c>
      <c r="AL964" s="174">
        <f>ROUND(IFERROR(AM964*E964,0),2)</f>
        <v/>
      </c>
      <c r="AM964" s="175">
        <f>ROUND(AJ964*(1+IF(offer_incoterms="DDP",IF((TODAY()+offer_turnaround_time)&gt;=helpsheet!$L$17,rate_vatRU_from_26,rate_vatRu_till_25),0)),2)</f>
        <v/>
      </c>
      <c r="AN964" s="192">
        <f>AL964-AK964</f>
        <v/>
      </c>
      <c r="AO964" s="76">
        <f>SUM(AY964,Y964:Z964,T964)*IF(AND(offer_incoterms="DDP",offer_sale_type&lt;&gt;"экспорт"),IF((TODAY()+offer_turnaround_time)&gt;=helpsheet!$L$17,rate_vatRU_from_26,rate_vatRu_till_25),0)</f>
        <v/>
      </c>
      <c r="AP964" s="193">
        <f>AN964-AO964</f>
        <v/>
      </c>
      <c r="AQ964" s="118">
        <f>IF(offer_sale_type="транзит",SUM(AF964:AI964,BA964,BB964),0)</f>
        <v/>
      </c>
      <c r="AR964" s="82">
        <f>HYPERLINK("https://www.alta.ru/tnved/code/")&amp;W964&amp;"/"</f>
        <v/>
      </c>
      <c r="AS964" s="157" t="n"/>
      <c r="AT964" s="162" t="n"/>
      <c r="AU964" s="76">
        <f>IF(ISBLANK(AT964),0,AJ964-AT964)</f>
        <v/>
      </c>
      <c r="AV964" s="157" t="n"/>
      <c r="AW964" s="75">
        <f>_xlfn.IFNA(VLOOKUP(L964,list_vat[],3,FALSE),0)</f>
        <v/>
      </c>
      <c r="AX964" s="76">
        <f>IFERROR(ROUND(S964*(1+AW964)/E964,2),0)</f>
        <v/>
      </c>
      <c r="AY964" s="76">
        <f>E964*AX964</f>
        <v/>
      </c>
      <c r="AZ964" s="192">
        <f>S964*(1+M964)</f>
        <v/>
      </c>
      <c r="BA964" s="76">
        <f>cost_fin_total*$BD964</f>
        <v/>
      </c>
      <c r="BB964" s="193">
        <f>credit_sales_interest*BD964</f>
        <v/>
      </c>
      <c r="BC964" s="102">
        <f>IFERROR(IF($I$13&gt;0,$I964/$I$13,$S964/$S$13),0)</f>
        <v/>
      </c>
      <c r="BD964" s="102">
        <f>IFERROR($S964/$S$13,0)</f>
        <v/>
      </c>
      <c r="BE964" s="413" t="inlineStr">
        <is>
          <t>$</t>
        </is>
      </c>
    </row>
    <row r="965" ht="12" customFormat="1" customHeight="1" s="65">
      <c r="A965" s="43" t="n">
        <v>950</v>
      </c>
      <c r="B965" s="166" t="n"/>
      <c r="C965" s="166" t="n"/>
      <c r="D965" s="166" t="n"/>
      <c r="E965" s="162" t="n"/>
      <c r="F965" s="166" t="n"/>
      <c r="G965" s="162" t="n"/>
      <c r="H965" s="162" t="n"/>
      <c r="I965" s="189">
        <f>E965*G965</f>
        <v/>
      </c>
      <c r="J965" s="195" t="n"/>
      <c r="K965" s="162" t="n"/>
      <c r="L965" s="168" t="n"/>
      <c r="M965" s="75">
        <f>_xlfn.XLOOKUP(L965,list_vat[Страна],list_vat[Ставка НДС %],0,0)</f>
        <v/>
      </c>
      <c r="N965" s="162">
        <f>IFERROR(IF(L965="Китай",K965,K965/(1+M965)),0)</f>
        <v/>
      </c>
      <c r="O965" s="169" t="n"/>
      <c r="P965" s="76">
        <f>N965*(1-O965)</f>
        <v/>
      </c>
      <c r="Q965" s="162" t="n"/>
      <c r="R965" s="162">
        <f>IF(ISBLANK(Q965),"введи курс",P965/Q965)</f>
        <v/>
      </c>
      <c r="S965" s="196">
        <f>IF(AND(ISNUMBER(E965),ISNUMBER(Q965)),E965*R965,0)</f>
        <v/>
      </c>
      <c r="T965" s="192">
        <f>$BC965*V$11</f>
        <v/>
      </c>
      <c r="U965" s="76">
        <f>$BC965*W$11</f>
        <v/>
      </c>
      <c r="V965" s="193">
        <f>+SUM(T965:U965)</f>
        <v/>
      </c>
      <c r="W965" s="191" t="n"/>
      <c r="X965" s="170" t="n"/>
      <c r="Y965" s="76">
        <f>ROUND(IF(offer_incoterms="DDP",X965*(S965*(1+AW965)+T965),0),2)</f>
        <v/>
      </c>
      <c r="Z965" s="188" t="n"/>
      <c r="AA965" s="192">
        <f>IFERROR(AB965/E965,0)</f>
        <v/>
      </c>
      <c r="AB965" s="76">
        <f>ROUND(SUM(S965,V965,Y965:Z965,BA965:BB965),2)</f>
        <v/>
      </c>
      <c r="AC965" s="797" t="n"/>
      <c r="AD965" s="192">
        <f t="array" ref="AD965">IFERROR(ROUND((_xlfn.IFS(offer_sale_type="поставка",AB965,offer_sale_type="транзит",S965)*(1+AC965))/E965,2),0)</f>
        <v/>
      </c>
      <c r="AE965" s="76">
        <f>AD965*E965</f>
        <v/>
      </c>
      <c r="AF965" s="193">
        <f t="array" ref="AF965">IFERROR(ROUND(_xlfn.IFS(offer_sale_type="поставка",AB965,offer_sale_type="транзит",S965)*AC965,2),0)</f>
        <v/>
      </c>
      <c r="AG965" s="192">
        <f>$BD965*VLOOKUP($AG$3,$AF$4:$AG$7,2,FALSE)</f>
        <v/>
      </c>
      <c r="AH965" s="76">
        <f>SUM(AE965,AG965,AI965)*rate_forex_risk</f>
        <v/>
      </c>
      <c r="AI965" s="193">
        <f>IF(OR(seller_region="TR",offer_sale_type="экспорт"),0,rate_fin_comm)*SUM(AZ965,AZ965*AW965,T965)</f>
        <v/>
      </c>
      <c r="AJ965" s="118">
        <f>IFERROR(ROUND(SUM(AB965,AF965:AI965)/E965,2),0)</f>
        <v/>
      </c>
      <c r="AK965" s="76">
        <f>AJ965*E965</f>
        <v/>
      </c>
      <c r="AL965" s="174">
        <f>ROUND(IFERROR(AM965*E965,0),2)</f>
        <v/>
      </c>
      <c r="AM965" s="175">
        <f>ROUND(AJ965*(1+IF(offer_incoterms="DDP",IF((TODAY()+offer_turnaround_time)&gt;=helpsheet!$L$17,rate_vatRU_from_26,rate_vatRu_till_25),0)),2)</f>
        <v/>
      </c>
      <c r="AN965" s="192">
        <f>AL965-AK965</f>
        <v/>
      </c>
      <c r="AO965" s="76">
        <f>SUM(AY965,Y965:Z965,T965)*IF(AND(offer_incoterms="DDP",offer_sale_type&lt;&gt;"экспорт"),IF((TODAY()+offer_turnaround_time)&gt;=helpsheet!$L$17,rate_vatRU_from_26,rate_vatRu_till_25),0)</f>
        <v/>
      </c>
      <c r="AP965" s="193">
        <f>AN965-AO965</f>
        <v/>
      </c>
      <c r="AQ965" s="118">
        <f>IF(offer_sale_type="транзит",SUM(AF965:AI965,BA965,BB965),0)</f>
        <v/>
      </c>
      <c r="AR965" s="82">
        <f>HYPERLINK("https://www.alta.ru/tnved/code/")&amp;W965&amp;"/"</f>
        <v/>
      </c>
      <c r="AS965" s="157" t="n"/>
      <c r="AT965" s="162" t="n"/>
      <c r="AU965" s="76">
        <f>IF(ISBLANK(AT965),0,AJ965-AT965)</f>
        <v/>
      </c>
      <c r="AV965" s="157" t="n"/>
      <c r="AW965" s="75">
        <f>_xlfn.IFNA(VLOOKUP(L965,list_vat[],3,FALSE),0)</f>
        <v/>
      </c>
      <c r="AX965" s="76">
        <f>IFERROR(ROUND(S965*(1+AW965)/E965,2),0)</f>
        <v/>
      </c>
      <c r="AY965" s="76">
        <f>E965*AX965</f>
        <v/>
      </c>
      <c r="AZ965" s="192">
        <f>S965*(1+M965)</f>
        <v/>
      </c>
      <c r="BA965" s="76">
        <f>cost_fin_total*$BD965</f>
        <v/>
      </c>
      <c r="BB965" s="193">
        <f>credit_sales_interest*BD965</f>
        <v/>
      </c>
      <c r="BC965" s="102">
        <f>IFERROR(IF($I$13&gt;0,$I965/$I$13,$S965/$S$13),0)</f>
        <v/>
      </c>
      <c r="BD965" s="102">
        <f>IFERROR($S965/$S$13,0)</f>
        <v/>
      </c>
      <c r="BE965" s="413" t="inlineStr">
        <is>
          <t>$</t>
        </is>
      </c>
    </row>
    <row r="966" ht="12" customFormat="1" customHeight="1" s="65">
      <c r="A966" s="43" t="n">
        <v>951</v>
      </c>
      <c r="B966" s="166" t="n"/>
      <c r="C966" s="166" t="n"/>
      <c r="D966" s="166" t="n"/>
      <c r="E966" s="162" t="n"/>
      <c r="F966" s="166" t="n"/>
      <c r="G966" s="162" t="n"/>
      <c r="H966" s="162" t="n"/>
      <c r="I966" s="189">
        <f>E966*G966</f>
        <v/>
      </c>
      <c r="J966" s="195" t="n"/>
      <c r="K966" s="162" t="n"/>
      <c r="L966" s="168" t="n"/>
      <c r="M966" s="75">
        <f>_xlfn.XLOOKUP(L966,list_vat[Страна],list_vat[Ставка НДС %],0,0)</f>
        <v/>
      </c>
      <c r="N966" s="162">
        <f>IFERROR(IF(L966="Китай",K966,K966/(1+M966)),0)</f>
        <v/>
      </c>
      <c r="O966" s="169" t="n"/>
      <c r="P966" s="76">
        <f>N966*(1-O966)</f>
        <v/>
      </c>
      <c r="Q966" s="162" t="n"/>
      <c r="R966" s="162">
        <f>IF(ISBLANK(Q966),"введи курс",P966/Q966)</f>
        <v/>
      </c>
      <c r="S966" s="196">
        <f>IF(AND(ISNUMBER(E966),ISNUMBER(Q966)),E966*R966,0)</f>
        <v/>
      </c>
      <c r="T966" s="192">
        <f>$BC966*V$11</f>
        <v/>
      </c>
      <c r="U966" s="76">
        <f>$BC966*W$11</f>
        <v/>
      </c>
      <c r="V966" s="193">
        <f>+SUM(T966:U966)</f>
        <v/>
      </c>
      <c r="W966" s="191" t="n"/>
      <c r="X966" s="170" t="n"/>
      <c r="Y966" s="76">
        <f>ROUND(IF(offer_incoterms="DDP",X966*(S966*(1+AW966)+T966),0),2)</f>
        <v/>
      </c>
      <c r="Z966" s="188" t="n"/>
      <c r="AA966" s="192">
        <f>IFERROR(AB966/E966,0)</f>
        <v/>
      </c>
      <c r="AB966" s="76">
        <f>ROUND(SUM(S966,V966,Y966:Z966,BA966:BB966),2)</f>
        <v/>
      </c>
      <c r="AC966" s="797" t="n"/>
      <c r="AD966" s="192">
        <f t="array" ref="AD966">IFERROR(ROUND((_xlfn.IFS(offer_sale_type="поставка",AB966,offer_sale_type="транзит",S966)*(1+AC966))/E966,2),0)</f>
        <v/>
      </c>
      <c r="AE966" s="76">
        <f>AD966*E966</f>
        <v/>
      </c>
      <c r="AF966" s="193">
        <f t="array" ref="AF966">IFERROR(ROUND(_xlfn.IFS(offer_sale_type="поставка",AB966,offer_sale_type="транзит",S966)*AC966,2),0)</f>
        <v/>
      </c>
      <c r="AG966" s="192">
        <f>$BD966*VLOOKUP($AG$3,$AF$4:$AG$7,2,FALSE)</f>
        <v/>
      </c>
      <c r="AH966" s="76">
        <f>SUM(AE966,AG966,AI966)*rate_forex_risk</f>
        <v/>
      </c>
      <c r="AI966" s="193">
        <f>IF(OR(seller_region="TR",offer_sale_type="экспорт"),0,rate_fin_comm)*SUM(AZ966,AZ966*AW966,T966)</f>
        <v/>
      </c>
      <c r="AJ966" s="118">
        <f>IFERROR(ROUND(SUM(AB966,AF966:AI966)/E966,2),0)</f>
        <v/>
      </c>
      <c r="AK966" s="76">
        <f>AJ966*E966</f>
        <v/>
      </c>
      <c r="AL966" s="174">
        <f>ROUND(IFERROR(AM966*E966,0),2)</f>
        <v/>
      </c>
      <c r="AM966" s="175">
        <f>ROUND(AJ966*(1+IF(offer_incoterms="DDP",IF((TODAY()+offer_turnaround_time)&gt;=helpsheet!$L$17,rate_vatRU_from_26,rate_vatRu_till_25),0)),2)</f>
        <v/>
      </c>
      <c r="AN966" s="192">
        <f>AL966-AK966</f>
        <v/>
      </c>
      <c r="AO966" s="76">
        <f>SUM(AY966,Y966:Z966,T966)*IF(AND(offer_incoterms="DDP",offer_sale_type&lt;&gt;"экспорт"),IF((TODAY()+offer_turnaround_time)&gt;=helpsheet!$L$17,rate_vatRU_from_26,rate_vatRu_till_25),0)</f>
        <v/>
      </c>
      <c r="AP966" s="193">
        <f>AN966-AO966</f>
        <v/>
      </c>
      <c r="AQ966" s="118">
        <f>IF(offer_sale_type="транзит",SUM(AF966:AI966,BA966,BB966),0)</f>
        <v/>
      </c>
      <c r="AR966" s="82">
        <f>HYPERLINK("https://www.alta.ru/tnved/code/")&amp;W966&amp;"/"</f>
        <v/>
      </c>
      <c r="AS966" s="157" t="n"/>
      <c r="AT966" s="162" t="n"/>
      <c r="AU966" s="76">
        <f>IF(ISBLANK(AT966),0,AJ966-AT966)</f>
        <v/>
      </c>
      <c r="AV966" s="157" t="n"/>
      <c r="AW966" s="75">
        <f>_xlfn.IFNA(VLOOKUP(L966,list_vat[],3,FALSE),0)</f>
        <v/>
      </c>
      <c r="AX966" s="76">
        <f>IFERROR(ROUND(S966*(1+AW966)/E966,2),0)</f>
        <v/>
      </c>
      <c r="AY966" s="76">
        <f>E966*AX966</f>
        <v/>
      </c>
      <c r="AZ966" s="192">
        <f>S966*(1+M966)</f>
        <v/>
      </c>
      <c r="BA966" s="76">
        <f>cost_fin_total*$BD966</f>
        <v/>
      </c>
      <c r="BB966" s="193">
        <f>credit_sales_interest*BD966</f>
        <v/>
      </c>
      <c r="BC966" s="102">
        <f>IFERROR(IF($I$13&gt;0,$I966/$I$13,$S966/$S$13),0)</f>
        <v/>
      </c>
      <c r="BD966" s="102">
        <f>IFERROR($S966/$S$13,0)</f>
        <v/>
      </c>
      <c r="BE966" s="413" t="inlineStr">
        <is>
          <t>$</t>
        </is>
      </c>
    </row>
    <row r="967" ht="12" customFormat="1" customHeight="1" s="65">
      <c r="A967" s="43" t="n">
        <v>952</v>
      </c>
      <c r="B967" s="166" t="n"/>
      <c r="C967" s="166" t="n"/>
      <c r="D967" s="166" t="n"/>
      <c r="E967" s="162" t="n"/>
      <c r="F967" s="166" t="n"/>
      <c r="G967" s="162" t="n"/>
      <c r="H967" s="162" t="n"/>
      <c r="I967" s="189">
        <f>E967*G967</f>
        <v/>
      </c>
      <c r="J967" s="195" t="n"/>
      <c r="K967" s="162" t="n"/>
      <c r="L967" s="168" t="n"/>
      <c r="M967" s="75">
        <f>_xlfn.XLOOKUP(L967,list_vat[Страна],list_vat[Ставка НДС %],0,0)</f>
        <v/>
      </c>
      <c r="N967" s="162">
        <f>IFERROR(IF(L967="Китай",K967,K967/(1+M967)),0)</f>
        <v/>
      </c>
      <c r="O967" s="169" t="n"/>
      <c r="P967" s="76">
        <f>N967*(1-O967)</f>
        <v/>
      </c>
      <c r="Q967" s="162" t="n"/>
      <c r="R967" s="162">
        <f>IF(ISBLANK(Q967),"введи курс",P967/Q967)</f>
        <v/>
      </c>
      <c r="S967" s="196">
        <f>IF(AND(ISNUMBER(E967),ISNUMBER(Q967)),E967*R967,0)</f>
        <v/>
      </c>
      <c r="T967" s="192">
        <f>$BC967*V$11</f>
        <v/>
      </c>
      <c r="U967" s="76">
        <f>$BC967*W$11</f>
        <v/>
      </c>
      <c r="V967" s="193">
        <f>+SUM(T967:U967)</f>
        <v/>
      </c>
      <c r="W967" s="191" t="n"/>
      <c r="X967" s="170" t="n"/>
      <c r="Y967" s="76">
        <f>ROUND(IF(offer_incoterms="DDP",X967*(S967*(1+AW967)+T967),0),2)</f>
        <v/>
      </c>
      <c r="Z967" s="188" t="n"/>
      <c r="AA967" s="192">
        <f>IFERROR(AB967/E967,0)</f>
        <v/>
      </c>
      <c r="AB967" s="76">
        <f>ROUND(SUM(S967,V967,Y967:Z967,BA967:BB967),2)</f>
        <v/>
      </c>
      <c r="AC967" s="797" t="n"/>
      <c r="AD967" s="192">
        <f t="array" ref="AD967">IFERROR(ROUND((_xlfn.IFS(offer_sale_type="поставка",AB967,offer_sale_type="транзит",S967)*(1+AC967))/E967,2),0)</f>
        <v/>
      </c>
      <c r="AE967" s="76">
        <f>AD967*E967</f>
        <v/>
      </c>
      <c r="AF967" s="193">
        <f t="array" ref="AF967">IFERROR(ROUND(_xlfn.IFS(offer_sale_type="поставка",AB967,offer_sale_type="транзит",S967)*AC967,2),0)</f>
        <v/>
      </c>
      <c r="AG967" s="192">
        <f>$BD967*VLOOKUP($AG$3,$AF$4:$AG$7,2,FALSE)</f>
        <v/>
      </c>
      <c r="AH967" s="76">
        <f>SUM(AE967,AG967,AI967)*rate_forex_risk</f>
        <v/>
      </c>
      <c r="AI967" s="193">
        <f>IF(OR(seller_region="TR",offer_sale_type="экспорт"),0,rate_fin_comm)*SUM(AZ967,AZ967*AW967,T967)</f>
        <v/>
      </c>
      <c r="AJ967" s="118">
        <f>IFERROR(ROUND(SUM(AB967,AF967:AI967)/E967,2),0)</f>
        <v/>
      </c>
      <c r="AK967" s="76">
        <f>AJ967*E967</f>
        <v/>
      </c>
      <c r="AL967" s="174">
        <f>ROUND(IFERROR(AM967*E967,0),2)</f>
        <v/>
      </c>
      <c r="AM967" s="175">
        <f>ROUND(AJ967*(1+IF(offer_incoterms="DDP",IF((TODAY()+offer_turnaround_time)&gt;=helpsheet!$L$17,rate_vatRU_from_26,rate_vatRu_till_25),0)),2)</f>
        <v/>
      </c>
      <c r="AN967" s="192">
        <f>AL967-AK967</f>
        <v/>
      </c>
      <c r="AO967" s="76">
        <f>SUM(AY967,Y967:Z967,T967)*IF(AND(offer_incoterms="DDP",offer_sale_type&lt;&gt;"экспорт"),IF((TODAY()+offer_turnaround_time)&gt;=helpsheet!$L$17,rate_vatRU_from_26,rate_vatRu_till_25),0)</f>
        <v/>
      </c>
      <c r="AP967" s="193">
        <f>AN967-AO967</f>
        <v/>
      </c>
      <c r="AQ967" s="118">
        <f>IF(offer_sale_type="транзит",SUM(AF967:AI967,BA967,BB967),0)</f>
        <v/>
      </c>
      <c r="AR967" s="82">
        <f>HYPERLINK("https://www.alta.ru/tnved/code/")&amp;W967&amp;"/"</f>
        <v/>
      </c>
      <c r="AS967" s="157" t="n"/>
      <c r="AT967" s="162" t="n"/>
      <c r="AU967" s="76">
        <f>IF(ISBLANK(AT967),0,AJ967-AT967)</f>
        <v/>
      </c>
      <c r="AV967" s="157" t="n"/>
      <c r="AW967" s="75">
        <f>_xlfn.IFNA(VLOOKUP(L967,list_vat[],3,FALSE),0)</f>
        <v/>
      </c>
      <c r="AX967" s="76">
        <f>IFERROR(ROUND(S967*(1+AW967)/E967,2),0)</f>
        <v/>
      </c>
      <c r="AY967" s="76">
        <f>E967*AX967</f>
        <v/>
      </c>
      <c r="AZ967" s="192">
        <f>S967*(1+M967)</f>
        <v/>
      </c>
      <c r="BA967" s="76">
        <f>cost_fin_total*$BD967</f>
        <v/>
      </c>
      <c r="BB967" s="193">
        <f>credit_sales_interest*BD967</f>
        <v/>
      </c>
      <c r="BC967" s="102">
        <f>IFERROR(IF($I$13&gt;0,$I967/$I$13,$S967/$S$13),0)</f>
        <v/>
      </c>
      <c r="BD967" s="102">
        <f>IFERROR($S967/$S$13,0)</f>
        <v/>
      </c>
      <c r="BE967" s="413" t="inlineStr">
        <is>
          <t>$</t>
        </is>
      </c>
    </row>
    <row r="968" ht="12" customFormat="1" customHeight="1" s="65">
      <c r="A968" s="43" t="n">
        <v>953</v>
      </c>
      <c r="B968" s="166" t="n"/>
      <c r="C968" s="166" t="n"/>
      <c r="D968" s="166" t="n"/>
      <c r="E968" s="162" t="n"/>
      <c r="F968" s="166" t="n"/>
      <c r="G968" s="162" t="n"/>
      <c r="H968" s="162" t="n"/>
      <c r="I968" s="189">
        <f>E968*G968</f>
        <v/>
      </c>
      <c r="J968" s="195" t="n"/>
      <c r="K968" s="162" t="n"/>
      <c r="L968" s="168" t="n"/>
      <c r="M968" s="75">
        <f>_xlfn.XLOOKUP(L968,list_vat[Страна],list_vat[Ставка НДС %],0,0)</f>
        <v/>
      </c>
      <c r="N968" s="162">
        <f>IFERROR(IF(L968="Китай",K968,K968/(1+M968)),0)</f>
        <v/>
      </c>
      <c r="O968" s="169" t="n"/>
      <c r="P968" s="76">
        <f>N968*(1-O968)</f>
        <v/>
      </c>
      <c r="Q968" s="162" t="n"/>
      <c r="R968" s="162">
        <f>IF(ISBLANK(Q968),"введи курс",P968/Q968)</f>
        <v/>
      </c>
      <c r="S968" s="196">
        <f>IF(AND(ISNUMBER(E968),ISNUMBER(Q968)),E968*R968,0)</f>
        <v/>
      </c>
      <c r="T968" s="192">
        <f>$BC968*V$11</f>
        <v/>
      </c>
      <c r="U968" s="76">
        <f>$BC968*W$11</f>
        <v/>
      </c>
      <c r="V968" s="193">
        <f>+SUM(T968:U968)</f>
        <v/>
      </c>
      <c r="W968" s="191" t="n"/>
      <c r="X968" s="170" t="n"/>
      <c r="Y968" s="76">
        <f>ROUND(IF(offer_incoterms="DDP",X968*(S968*(1+AW968)+T968),0),2)</f>
        <v/>
      </c>
      <c r="Z968" s="188" t="n"/>
      <c r="AA968" s="192">
        <f>IFERROR(AB968/E968,0)</f>
        <v/>
      </c>
      <c r="AB968" s="76">
        <f>ROUND(SUM(S968,V968,Y968:Z968,BA968:BB968),2)</f>
        <v/>
      </c>
      <c r="AC968" s="797" t="n"/>
      <c r="AD968" s="192">
        <f t="array" ref="AD968">IFERROR(ROUND((_xlfn.IFS(offer_sale_type="поставка",AB968,offer_sale_type="транзит",S968)*(1+AC968))/E968,2),0)</f>
        <v/>
      </c>
      <c r="AE968" s="76">
        <f>AD968*E968</f>
        <v/>
      </c>
      <c r="AF968" s="193">
        <f t="array" ref="AF968">IFERROR(ROUND(_xlfn.IFS(offer_sale_type="поставка",AB968,offer_sale_type="транзит",S968)*AC968,2),0)</f>
        <v/>
      </c>
      <c r="AG968" s="192">
        <f>$BD968*VLOOKUP($AG$3,$AF$4:$AG$7,2,FALSE)</f>
        <v/>
      </c>
      <c r="AH968" s="76">
        <f>SUM(AE968,AG968,AI968)*rate_forex_risk</f>
        <v/>
      </c>
      <c r="AI968" s="193">
        <f>IF(OR(seller_region="TR",offer_sale_type="экспорт"),0,rate_fin_comm)*SUM(AZ968,AZ968*AW968,T968)</f>
        <v/>
      </c>
      <c r="AJ968" s="118">
        <f>IFERROR(ROUND(SUM(AB968,AF968:AI968)/E968,2),0)</f>
        <v/>
      </c>
      <c r="AK968" s="76">
        <f>AJ968*E968</f>
        <v/>
      </c>
      <c r="AL968" s="174">
        <f>ROUND(IFERROR(AM968*E968,0),2)</f>
        <v/>
      </c>
      <c r="AM968" s="175">
        <f>ROUND(AJ968*(1+IF(offer_incoterms="DDP",IF((TODAY()+offer_turnaround_time)&gt;=helpsheet!$L$17,rate_vatRU_from_26,rate_vatRu_till_25),0)),2)</f>
        <v/>
      </c>
      <c r="AN968" s="192">
        <f>AL968-AK968</f>
        <v/>
      </c>
      <c r="AO968" s="76">
        <f>SUM(AY968,Y968:Z968,T968)*IF(AND(offer_incoterms="DDP",offer_sale_type&lt;&gt;"экспорт"),IF((TODAY()+offer_turnaround_time)&gt;=helpsheet!$L$17,rate_vatRU_from_26,rate_vatRu_till_25),0)</f>
        <v/>
      </c>
      <c r="AP968" s="193">
        <f>AN968-AO968</f>
        <v/>
      </c>
      <c r="AQ968" s="118">
        <f>IF(offer_sale_type="транзит",SUM(AF968:AI968,BA968,BB968),0)</f>
        <v/>
      </c>
      <c r="AR968" s="82">
        <f>HYPERLINK("https://www.alta.ru/tnved/code/")&amp;W968&amp;"/"</f>
        <v/>
      </c>
      <c r="AS968" s="157" t="n"/>
      <c r="AT968" s="162" t="n"/>
      <c r="AU968" s="76">
        <f>IF(ISBLANK(AT968),0,AJ968-AT968)</f>
        <v/>
      </c>
      <c r="AV968" s="157" t="n"/>
      <c r="AW968" s="75">
        <f>_xlfn.IFNA(VLOOKUP(L968,list_vat[],3,FALSE),0)</f>
        <v/>
      </c>
      <c r="AX968" s="76">
        <f>IFERROR(ROUND(S968*(1+AW968)/E968,2),0)</f>
        <v/>
      </c>
      <c r="AY968" s="76">
        <f>E968*AX968</f>
        <v/>
      </c>
      <c r="AZ968" s="192">
        <f>S968*(1+M968)</f>
        <v/>
      </c>
      <c r="BA968" s="76">
        <f>cost_fin_total*$BD968</f>
        <v/>
      </c>
      <c r="BB968" s="193">
        <f>credit_sales_interest*BD968</f>
        <v/>
      </c>
      <c r="BC968" s="102">
        <f>IFERROR(IF($I$13&gt;0,$I968/$I$13,$S968/$S$13),0)</f>
        <v/>
      </c>
      <c r="BD968" s="102">
        <f>IFERROR($S968/$S$13,0)</f>
        <v/>
      </c>
      <c r="BE968" s="413" t="inlineStr">
        <is>
          <t>$</t>
        </is>
      </c>
    </row>
    <row r="969" ht="12" customFormat="1" customHeight="1" s="65">
      <c r="A969" s="43" t="n">
        <v>954</v>
      </c>
      <c r="B969" s="166" t="n"/>
      <c r="C969" s="166" t="n"/>
      <c r="D969" s="166" t="n"/>
      <c r="E969" s="162" t="n"/>
      <c r="F969" s="166" t="n"/>
      <c r="G969" s="162" t="n"/>
      <c r="H969" s="162" t="n"/>
      <c r="I969" s="189">
        <f>E969*G969</f>
        <v/>
      </c>
      <c r="J969" s="195" t="n"/>
      <c r="K969" s="162" t="n"/>
      <c r="L969" s="168" t="n"/>
      <c r="M969" s="75">
        <f>_xlfn.XLOOKUP(L969,list_vat[Страна],list_vat[Ставка НДС %],0,0)</f>
        <v/>
      </c>
      <c r="N969" s="162">
        <f>IFERROR(IF(L969="Китай",K969,K969/(1+M969)),0)</f>
        <v/>
      </c>
      <c r="O969" s="169" t="n"/>
      <c r="P969" s="76">
        <f>N969*(1-O969)</f>
        <v/>
      </c>
      <c r="Q969" s="162" t="n"/>
      <c r="R969" s="162">
        <f>IF(ISBLANK(Q969),"введи курс",P969/Q969)</f>
        <v/>
      </c>
      <c r="S969" s="196">
        <f>IF(AND(ISNUMBER(E969),ISNUMBER(Q969)),E969*R969,0)</f>
        <v/>
      </c>
      <c r="T969" s="192">
        <f>$BC969*V$11</f>
        <v/>
      </c>
      <c r="U969" s="76">
        <f>$BC969*W$11</f>
        <v/>
      </c>
      <c r="V969" s="193">
        <f>+SUM(T969:U969)</f>
        <v/>
      </c>
      <c r="W969" s="191" t="n"/>
      <c r="X969" s="170" t="n"/>
      <c r="Y969" s="76">
        <f>ROUND(IF(offer_incoterms="DDP",X969*(S969*(1+AW969)+T969),0),2)</f>
        <v/>
      </c>
      <c r="Z969" s="188" t="n"/>
      <c r="AA969" s="192">
        <f>IFERROR(AB969/E969,0)</f>
        <v/>
      </c>
      <c r="AB969" s="76">
        <f>ROUND(SUM(S969,V969,Y969:Z969,BA969:BB969),2)</f>
        <v/>
      </c>
      <c r="AC969" s="797" t="n"/>
      <c r="AD969" s="192">
        <f t="array" ref="AD969">IFERROR(ROUND((_xlfn.IFS(offer_sale_type="поставка",AB969,offer_sale_type="транзит",S969)*(1+AC969))/E969,2),0)</f>
        <v/>
      </c>
      <c r="AE969" s="76">
        <f>AD969*E969</f>
        <v/>
      </c>
      <c r="AF969" s="193">
        <f t="array" ref="AF969">IFERROR(ROUND(_xlfn.IFS(offer_sale_type="поставка",AB969,offer_sale_type="транзит",S969)*AC969,2),0)</f>
        <v/>
      </c>
      <c r="AG969" s="192">
        <f>$BD969*VLOOKUP($AG$3,$AF$4:$AG$7,2,FALSE)</f>
        <v/>
      </c>
      <c r="AH969" s="76">
        <f>SUM(AE969,AG969,AI969)*rate_forex_risk</f>
        <v/>
      </c>
      <c r="AI969" s="193">
        <f>IF(OR(seller_region="TR",offer_sale_type="экспорт"),0,rate_fin_comm)*SUM(AZ969,AZ969*AW969,T969)</f>
        <v/>
      </c>
      <c r="AJ969" s="118">
        <f>IFERROR(ROUND(SUM(AB969,AF969:AI969)/E969,2),0)</f>
        <v/>
      </c>
      <c r="AK969" s="76">
        <f>AJ969*E969</f>
        <v/>
      </c>
      <c r="AL969" s="174">
        <f>ROUND(IFERROR(AM969*E969,0),2)</f>
        <v/>
      </c>
      <c r="AM969" s="175">
        <f>ROUND(AJ969*(1+IF(offer_incoterms="DDP",IF((TODAY()+offer_turnaround_time)&gt;=helpsheet!$L$17,rate_vatRU_from_26,rate_vatRu_till_25),0)),2)</f>
        <v/>
      </c>
      <c r="AN969" s="192">
        <f>AL969-AK969</f>
        <v/>
      </c>
      <c r="AO969" s="76">
        <f>SUM(AY969,Y969:Z969,T969)*IF(AND(offer_incoterms="DDP",offer_sale_type&lt;&gt;"экспорт"),IF((TODAY()+offer_turnaround_time)&gt;=helpsheet!$L$17,rate_vatRU_from_26,rate_vatRu_till_25),0)</f>
        <v/>
      </c>
      <c r="AP969" s="193">
        <f>AN969-AO969</f>
        <v/>
      </c>
      <c r="AQ969" s="118">
        <f>IF(offer_sale_type="транзит",SUM(AF969:AI969,BA969,BB969),0)</f>
        <v/>
      </c>
      <c r="AR969" s="82">
        <f>HYPERLINK("https://www.alta.ru/tnved/code/")&amp;W969&amp;"/"</f>
        <v/>
      </c>
      <c r="AS969" s="157" t="n"/>
      <c r="AT969" s="162" t="n"/>
      <c r="AU969" s="76">
        <f>IF(ISBLANK(AT969),0,AJ969-AT969)</f>
        <v/>
      </c>
      <c r="AV969" s="157" t="n"/>
      <c r="AW969" s="75">
        <f>_xlfn.IFNA(VLOOKUP(L969,list_vat[],3,FALSE),0)</f>
        <v/>
      </c>
      <c r="AX969" s="76">
        <f>IFERROR(ROUND(S969*(1+AW969)/E969,2),0)</f>
        <v/>
      </c>
      <c r="AY969" s="76">
        <f>E969*AX969</f>
        <v/>
      </c>
      <c r="AZ969" s="192">
        <f>S969*(1+M969)</f>
        <v/>
      </c>
      <c r="BA969" s="76">
        <f>cost_fin_total*$BD969</f>
        <v/>
      </c>
      <c r="BB969" s="193">
        <f>credit_sales_interest*BD969</f>
        <v/>
      </c>
      <c r="BC969" s="102">
        <f>IFERROR(IF($I$13&gt;0,$I969/$I$13,$S969/$S$13),0)</f>
        <v/>
      </c>
      <c r="BD969" s="102">
        <f>IFERROR($S969/$S$13,0)</f>
        <v/>
      </c>
      <c r="BE969" s="413" t="inlineStr">
        <is>
          <t>$</t>
        </is>
      </c>
    </row>
    <row r="970" ht="12" customFormat="1" customHeight="1" s="65">
      <c r="A970" s="43" t="n">
        <v>955</v>
      </c>
      <c r="B970" s="166" t="n"/>
      <c r="C970" s="166" t="n"/>
      <c r="D970" s="166" t="n"/>
      <c r="E970" s="162" t="n"/>
      <c r="F970" s="166" t="n"/>
      <c r="G970" s="162" t="n"/>
      <c r="H970" s="162" t="n"/>
      <c r="I970" s="189">
        <f>E970*G970</f>
        <v/>
      </c>
      <c r="J970" s="195" t="n"/>
      <c r="K970" s="162" t="n"/>
      <c r="L970" s="168" t="n"/>
      <c r="M970" s="75">
        <f>_xlfn.XLOOKUP(L970,list_vat[Страна],list_vat[Ставка НДС %],0,0)</f>
        <v/>
      </c>
      <c r="N970" s="162">
        <f>IFERROR(IF(L970="Китай",K970,K970/(1+M970)),0)</f>
        <v/>
      </c>
      <c r="O970" s="169" t="n"/>
      <c r="P970" s="76">
        <f>N970*(1-O970)</f>
        <v/>
      </c>
      <c r="Q970" s="162" t="n"/>
      <c r="R970" s="162">
        <f>IF(ISBLANK(Q970),"введи курс",P970/Q970)</f>
        <v/>
      </c>
      <c r="S970" s="196">
        <f>IF(AND(ISNUMBER(E970),ISNUMBER(Q970)),E970*R970,0)</f>
        <v/>
      </c>
      <c r="T970" s="192">
        <f>$BC970*V$11</f>
        <v/>
      </c>
      <c r="U970" s="76">
        <f>$BC970*W$11</f>
        <v/>
      </c>
      <c r="V970" s="193">
        <f>+SUM(T970:U970)</f>
        <v/>
      </c>
      <c r="W970" s="191" t="n"/>
      <c r="X970" s="170" t="n"/>
      <c r="Y970" s="76">
        <f>ROUND(IF(offer_incoterms="DDP",X970*(S970*(1+AW970)+T970),0),2)</f>
        <v/>
      </c>
      <c r="Z970" s="188" t="n"/>
      <c r="AA970" s="192">
        <f>IFERROR(AB970/E970,0)</f>
        <v/>
      </c>
      <c r="AB970" s="76">
        <f>ROUND(SUM(S970,V970,Y970:Z970,BA970:BB970),2)</f>
        <v/>
      </c>
      <c r="AC970" s="797" t="n"/>
      <c r="AD970" s="192">
        <f t="array" ref="AD970">IFERROR(ROUND((_xlfn.IFS(offer_sale_type="поставка",AB970,offer_sale_type="транзит",S970)*(1+AC970))/E970,2),0)</f>
        <v/>
      </c>
      <c r="AE970" s="76">
        <f>AD970*E970</f>
        <v/>
      </c>
      <c r="AF970" s="193">
        <f t="array" ref="AF970">IFERROR(ROUND(_xlfn.IFS(offer_sale_type="поставка",AB970,offer_sale_type="транзит",S970)*AC970,2),0)</f>
        <v/>
      </c>
      <c r="AG970" s="192">
        <f>$BD970*VLOOKUP($AG$3,$AF$4:$AG$7,2,FALSE)</f>
        <v/>
      </c>
      <c r="AH970" s="76">
        <f>SUM(AE970,AG970,AI970)*rate_forex_risk</f>
        <v/>
      </c>
      <c r="AI970" s="193">
        <f>IF(OR(seller_region="TR",offer_sale_type="экспорт"),0,rate_fin_comm)*SUM(AZ970,AZ970*AW970,T970)</f>
        <v/>
      </c>
      <c r="AJ970" s="118">
        <f>IFERROR(ROUND(SUM(AB970,AF970:AI970)/E970,2),0)</f>
        <v/>
      </c>
      <c r="AK970" s="76">
        <f>AJ970*E970</f>
        <v/>
      </c>
      <c r="AL970" s="174">
        <f>ROUND(IFERROR(AM970*E970,0),2)</f>
        <v/>
      </c>
      <c r="AM970" s="175">
        <f>ROUND(AJ970*(1+IF(offer_incoterms="DDP",IF((TODAY()+offer_turnaround_time)&gt;=helpsheet!$L$17,rate_vatRU_from_26,rate_vatRu_till_25),0)),2)</f>
        <v/>
      </c>
      <c r="AN970" s="192">
        <f>AL970-AK970</f>
        <v/>
      </c>
      <c r="AO970" s="76">
        <f>SUM(AY970,Y970:Z970,T970)*IF(AND(offer_incoterms="DDP",offer_sale_type&lt;&gt;"экспорт"),IF((TODAY()+offer_turnaround_time)&gt;=helpsheet!$L$17,rate_vatRU_from_26,rate_vatRu_till_25),0)</f>
        <v/>
      </c>
      <c r="AP970" s="193">
        <f>AN970-AO970</f>
        <v/>
      </c>
      <c r="AQ970" s="118">
        <f>IF(offer_sale_type="транзит",SUM(AF970:AI970,BA970,BB970),0)</f>
        <v/>
      </c>
      <c r="AR970" s="82">
        <f>HYPERLINK("https://www.alta.ru/tnved/code/")&amp;W970&amp;"/"</f>
        <v/>
      </c>
      <c r="AS970" s="157" t="n"/>
      <c r="AT970" s="162" t="n"/>
      <c r="AU970" s="76">
        <f>IF(ISBLANK(AT970),0,AJ970-AT970)</f>
        <v/>
      </c>
      <c r="AV970" s="157" t="n"/>
      <c r="AW970" s="75">
        <f>_xlfn.IFNA(VLOOKUP(L970,list_vat[],3,FALSE),0)</f>
        <v/>
      </c>
      <c r="AX970" s="76">
        <f>IFERROR(ROUND(S970*(1+AW970)/E970,2),0)</f>
        <v/>
      </c>
      <c r="AY970" s="76">
        <f>E970*AX970</f>
        <v/>
      </c>
      <c r="AZ970" s="192">
        <f>S970*(1+M970)</f>
        <v/>
      </c>
      <c r="BA970" s="76">
        <f>cost_fin_total*$BD970</f>
        <v/>
      </c>
      <c r="BB970" s="193">
        <f>credit_sales_interest*BD970</f>
        <v/>
      </c>
      <c r="BC970" s="102">
        <f>IFERROR(IF($I$13&gt;0,$I970/$I$13,$S970/$S$13),0)</f>
        <v/>
      </c>
      <c r="BD970" s="102">
        <f>IFERROR($S970/$S$13,0)</f>
        <v/>
      </c>
      <c r="BE970" s="413" t="inlineStr">
        <is>
          <t>$</t>
        </is>
      </c>
    </row>
    <row r="971" ht="12" customFormat="1" customHeight="1" s="65">
      <c r="A971" s="43" t="n">
        <v>956</v>
      </c>
      <c r="B971" s="166" t="n"/>
      <c r="C971" s="166" t="n"/>
      <c r="D971" s="166" t="n"/>
      <c r="E971" s="162" t="n"/>
      <c r="F971" s="166" t="n"/>
      <c r="G971" s="162" t="n"/>
      <c r="H971" s="162" t="n"/>
      <c r="I971" s="189">
        <f>E971*G971</f>
        <v/>
      </c>
      <c r="J971" s="195" t="n"/>
      <c r="K971" s="162" t="n"/>
      <c r="L971" s="168" t="n"/>
      <c r="M971" s="75">
        <f>_xlfn.XLOOKUP(L971,list_vat[Страна],list_vat[Ставка НДС %],0,0)</f>
        <v/>
      </c>
      <c r="N971" s="162">
        <f>IFERROR(IF(L971="Китай",K971,K971/(1+M971)),0)</f>
        <v/>
      </c>
      <c r="O971" s="169" t="n"/>
      <c r="P971" s="76">
        <f>N971*(1-O971)</f>
        <v/>
      </c>
      <c r="Q971" s="162" t="n"/>
      <c r="R971" s="162">
        <f>IF(ISBLANK(Q971),"введи курс",P971/Q971)</f>
        <v/>
      </c>
      <c r="S971" s="196">
        <f>IF(AND(ISNUMBER(E971),ISNUMBER(Q971)),E971*R971,0)</f>
        <v/>
      </c>
      <c r="T971" s="192">
        <f>$BC971*V$11</f>
        <v/>
      </c>
      <c r="U971" s="76">
        <f>$BC971*W$11</f>
        <v/>
      </c>
      <c r="V971" s="193">
        <f>+SUM(T971:U971)</f>
        <v/>
      </c>
      <c r="W971" s="191" t="n"/>
      <c r="X971" s="170" t="n"/>
      <c r="Y971" s="76">
        <f>ROUND(IF(offer_incoterms="DDP",X971*(S971*(1+AW971)+T971),0),2)</f>
        <v/>
      </c>
      <c r="Z971" s="188" t="n"/>
      <c r="AA971" s="192">
        <f>IFERROR(AB971/E971,0)</f>
        <v/>
      </c>
      <c r="AB971" s="76">
        <f>ROUND(SUM(S971,V971,Y971:Z971,BA971:BB971),2)</f>
        <v/>
      </c>
      <c r="AC971" s="797" t="n"/>
      <c r="AD971" s="192">
        <f t="array" ref="AD971">IFERROR(ROUND((_xlfn.IFS(offer_sale_type="поставка",AB971,offer_sale_type="транзит",S971)*(1+AC971))/E971,2),0)</f>
        <v/>
      </c>
      <c r="AE971" s="76">
        <f>AD971*E971</f>
        <v/>
      </c>
      <c r="AF971" s="193">
        <f t="array" ref="AF971">IFERROR(ROUND(_xlfn.IFS(offer_sale_type="поставка",AB971,offer_sale_type="транзит",S971)*AC971,2),0)</f>
        <v/>
      </c>
      <c r="AG971" s="192">
        <f>$BD971*VLOOKUP($AG$3,$AF$4:$AG$7,2,FALSE)</f>
        <v/>
      </c>
      <c r="AH971" s="76">
        <f>SUM(AE971,AG971,AI971)*rate_forex_risk</f>
        <v/>
      </c>
      <c r="AI971" s="193">
        <f>IF(OR(seller_region="TR",offer_sale_type="экспорт"),0,rate_fin_comm)*SUM(AZ971,AZ971*AW971,T971)</f>
        <v/>
      </c>
      <c r="AJ971" s="118">
        <f>IFERROR(ROUND(SUM(AB971,AF971:AI971)/E971,2),0)</f>
        <v/>
      </c>
      <c r="AK971" s="76">
        <f>AJ971*E971</f>
        <v/>
      </c>
      <c r="AL971" s="174">
        <f>ROUND(IFERROR(AM971*E971,0),2)</f>
        <v/>
      </c>
      <c r="AM971" s="175">
        <f>ROUND(AJ971*(1+IF(offer_incoterms="DDP",IF((TODAY()+offer_turnaround_time)&gt;=helpsheet!$L$17,rate_vatRU_from_26,rate_vatRu_till_25),0)),2)</f>
        <v/>
      </c>
      <c r="AN971" s="192">
        <f>AL971-AK971</f>
        <v/>
      </c>
      <c r="AO971" s="76">
        <f>SUM(AY971,Y971:Z971,T971)*IF(AND(offer_incoterms="DDP",offer_sale_type&lt;&gt;"экспорт"),IF((TODAY()+offer_turnaround_time)&gt;=helpsheet!$L$17,rate_vatRU_from_26,rate_vatRu_till_25),0)</f>
        <v/>
      </c>
      <c r="AP971" s="193">
        <f>AN971-AO971</f>
        <v/>
      </c>
      <c r="AQ971" s="118">
        <f>IF(offer_sale_type="транзит",SUM(AF971:AI971,BA971,BB971),0)</f>
        <v/>
      </c>
      <c r="AR971" s="82">
        <f>HYPERLINK("https://www.alta.ru/tnved/code/")&amp;W971&amp;"/"</f>
        <v/>
      </c>
      <c r="AS971" s="157" t="n"/>
      <c r="AT971" s="162" t="n"/>
      <c r="AU971" s="76">
        <f>IF(ISBLANK(AT971),0,AJ971-AT971)</f>
        <v/>
      </c>
      <c r="AV971" s="157" t="n"/>
      <c r="AW971" s="75">
        <f>_xlfn.IFNA(VLOOKUP(L971,list_vat[],3,FALSE),0)</f>
        <v/>
      </c>
      <c r="AX971" s="76">
        <f>IFERROR(ROUND(S971*(1+AW971)/E971,2),0)</f>
        <v/>
      </c>
      <c r="AY971" s="76">
        <f>E971*AX971</f>
        <v/>
      </c>
      <c r="AZ971" s="192">
        <f>S971*(1+M971)</f>
        <v/>
      </c>
      <c r="BA971" s="76">
        <f>cost_fin_total*$BD971</f>
        <v/>
      </c>
      <c r="BB971" s="193">
        <f>credit_sales_interest*BD971</f>
        <v/>
      </c>
      <c r="BC971" s="102">
        <f>IFERROR(IF($I$13&gt;0,$I971/$I$13,$S971/$S$13),0)</f>
        <v/>
      </c>
      <c r="BD971" s="102">
        <f>IFERROR($S971/$S$13,0)</f>
        <v/>
      </c>
      <c r="BE971" s="413" t="inlineStr">
        <is>
          <t>$</t>
        </is>
      </c>
    </row>
    <row r="972" ht="12" customFormat="1" customHeight="1" s="65">
      <c r="A972" s="43" t="n">
        <v>957</v>
      </c>
      <c r="B972" s="166" t="n"/>
      <c r="C972" s="166" t="n"/>
      <c r="D972" s="166" t="n"/>
      <c r="E972" s="162" t="n"/>
      <c r="F972" s="166" t="n"/>
      <c r="G972" s="162" t="n"/>
      <c r="H972" s="162" t="n"/>
      <c r="I972" s="189">
        <f>E972*G972</f>
        <v/>
      </c>
      <c r="J972" s="195" t="n"/>
      <c r="K972" s="162" t="n"/>
      <c r="L972" s="168" t="n"/>
      <c r="M972" s="75">
        <f>_xlfn.XLOOKUP(L972,list_vat[Страна],list_vat[Ставка НДС %],0,0)</f>
        <v/>
      </c>
      <c r="N972" s="162">
        <f>IFERROR(IF(L972="Китай",K972,K972/(1+M972)),0)</f>
        <v/>
      </c>
      <c r="O972" s="169" t="n"/>
      <c r="P972" s="76">
        <f>N972*(1-O972)</f>
        <v/>
      </c>
      <c r="Q972" s="162" t="n"/>
      <c r="R972" s="162">
        <f>IF(ISBLANK(Q972),"введи курс",P972/Q972)</f>
        <v/>
      </c>
      <c r="S972" s="196">
        <f>IF(AND(ISNUMBER(E972),ISNUMBER(Q972)),E972*R972,0)</f>
        <v/>
      </c>
      <c r="T972" s="192">
        <f>$BC972*V$11</f>
        <v/>
      </c>
      <c r="U972" s="76">
        <f>$BC972*W$11</f>
        <v/>
      </c>
      <c r="V972" s="193">
        <f>+SUM(T972:U972)</f>
        <v/>
      </c>
      <c r="W972" s="191" t="n"/>
      <c r="X972" s="170" t="n"/>
      <c r="Y972" s="76">
        <f>ROUND(IF(offer_incoterms="DDP",X972*(S972*(1+AW972)+T972),0),2)</f>
        <v/>
      </c>
      <c r="Z972" s="188" t="n"/>
      <c r="AA972" s="192">
        <f>IFERROR(AB972/E972,0)</f>
        <v/>
      </c>
      <c r="AB972" s="76">
        <f>ROUND(SUM(S972,V972,Y972:Z972,BA972:BB972),2)</f>
        <v/>
      </c>
      <c r="AC972" s="797" t="n"/>
      <c r="AD972" s="192">
        <f t="array" ref="AD972">IFERROR(ROUND((_xlfn.IFS(offer_sale_type="поставка",AB972,offer_sale_type="транзит",S972)*(1+AC972))/E972,2),0)</f>
        <v/>
      </c>
      <c r="AE972" s="76">
        <f>AD972*E972</f>
        <v/>
      </c>
      <c r="AF972" s="193">
        <f t="array" ref="AF972">IFERROR(ROUND(_xlfn.IFS(offer_sale_type="поставка",AB972,offer_sale_type="транзит",S972)*AC972,2),0)</f>
        <v/>
      </c>
      <c r="AG972" s="192">
        <f>$BD972*VLOOKUP($AG$3,$AF$4:$AG$7,2,FALSE)</f>
        <v/>
      </c>
      <c r="AH972" s="76">
        <f>SUM(AE972,AG972,AI972)*rate_forex_risk</f>
        <v/>
      </c>
      <c r="AI972" s="193">
        <f>IF(OR(seller_region="TR",offer_sale_type="экспорт"),0,rate_fin_comm)*SUM(AZ972,AZ972*AW972,T972)</f>
        <v/>
      </c>
      <c r="AJ972" s="118">
        <f>IFERROR(ROUND(SUM(AB972,AF972:AI972)/E972,2),0)</f>
        <v/>
      </c>
      <c r="AK972" s="76">
        <f>AJ972*E972</f>
        <v/>
      </c>
      <c r="AL972" s="174">
        <f>ROUND(IFERROR(AM972*E972,0),2)</f>
        <v/>
      </c>
      <c r="AM972" s="175">
        <f>ROUND(AJ972*(1+IF(offer_incoterms="DDP",IF((TODAY()+offer_turnaround_time)&gt;=helpsheet!$L$17,rate_vatRU_from_26,rate_vatRu_till_25),0)),2)</f>
        <v/>
      </c>
      <c r="AN972" s="192">
        <f>AL972-AK972</f>
        <v/>
      </c>
      <c r="AO972" s="76">
        <f>SUM(AY972,Y972:Z972,T972)*IF(AND(offer_incoterms="DDP",offer_sale_type&lt;&gt;"экспорт"),IF((TODAY()+offer_turnaround_time)&gt;=helpsheet!$L$17,rate_vatRU_from_26,rate_vatRu_till_25),0)</f>
        <v/>
      </c>
      <c r="AP972" s="193">
        <f>AN972-AO972</f>
        <v/>
      </c>
      <c r="AQ972" s="118">
        <f>IF(offer_sale_type="транзит",SUM(AF972:AI972,BA972,BB972),0)</f>
        <v/>
      </c>
      <c r="AR972" s="82">
        <f>HYPERLINK("https://www.alta.ru/tnved/code/")&amp;W972&amp;"/"</f>
        <v/>
      </c>
      <c r="AS972" s="157" t="n"/>
      <c r="AT972" s="162" t="n"/>
      <c r="AU972" s="76">
        <f>IF(ISBLANK(AT972),0,AJ972-AT972)</f>
        <v/>
      </c>
      <c r="AV972" s="157" t="n"/>
      <c r="AW972" s="75">
        <f>_xlfn.IFNA(VLOOKUP(L972,list_vat[],3,FALSE),0)</f>
        <v/>
      </c>
      <c r="AX972" s="76">
        <f>IFERROR(ROUND(S972*(1+AW972)/E972,2),0)</f>
        <v/>
      </c>
      <c r="AY972" s="76">
        <f>E972*AX972</f>
        <v/>
      </c>
      <c r="AZ972" s="192">
        <f>S972*(1+M972)</f>
        <v/>
      </c>
      <c r="BA972" s="76">
        <f>cost_fin_total*$BD972</f>
        <v/>
      </c>
      <c r="BB972" s="193">
        <f>credit_sales_interest*BD972</f>
        <v/>
      </c>
      <c r="BC972" s="102">
        <f>IFERROR(IF($I$13&gt;0,$I972/$I$13,$S972/$S$13),0)</f>
        <v/>
      </c>
      <c r="BD972" s="102">
        <f>IFERROR($S972/$S$13,0)</f>
        <v/>
      </c>
      <c r="BE972" s="413" t="inlineStr">
        <is>
          <t>$</t>
        </is>
      </c>
    </row>
    <row r="973" ht="12" customFormat="1" customHeight="1" s="65">
      <c r="A973" s="43" t="n">
        <v>958</v>
      </c>
      <c r="B973" s="166" t="n"/>
      <c r="C973" s="166" t="n"/>
      <c r="D973" s="166" t="n"/>
      <c r="E973" s="162" t="n"/>
      <c r="F973" s="166" t="n"/>
      <c r="G973" s="162" t="n"/>
      <c r="H973" s="162" t="n"/>
      <c r="I973" s="189">
        <f>E973*G973</f>
        <v/>
      </c>
      <c r="J973" s="195" t="n"/>
      <c r="K973" s="162" t="n"/>
      <c r="L973" s="168" t="n"/>
      <c r="M973" s="75">
        <f>_xlfn.XLOOKUP(L973,list_vat[Страна],list_vat[Ставка НДС %],0,0)</f>
        <v/>
      </c>
      <c r="N973" s="162">
        <f>IFERROR(IF(L973="Китай",K973,K973/(1+M973)),0)</f>
        <v/>
      </c>
      <c r="O973" s="169" t="n"/>
      <c r="P973" s="76">
        <f>N973*(1-O973)</f>
        <v/>
      </c>
      <c r="Q973" s="162" t="n"/>
      <c r="R973" s="162">
        <f>IF(ISBLANK(Q973),"введи курс",P973/Q973)</f>
        <v/>
      </c>
      <c r="S973" s="196">
        <f>IF(AND(ISNUMBER(E973),ISNUMBER(Q973)),E973*R973,0)</f>
        <v/>
      </c>
      <c r="T973" s="192">
        <f>$BC973*V$11</f>
        <v/>
      </c>
      <c r="U973" s="76">
        <f>$BC973*W$11</f>
        <v/>
      </c>
      <c r="V973" s="193">
        <f>+SUM(T973:U973)</f>
        <v/>
      </c>
      <c r="W973" s="191" t="n"/>
      <c r="X973" s="170" t="n"/>
      <c r="Y973" s="76">
        <f>ROUND(IF(offer_incoterms="DDP",X973*(S973*(1+AW973)+T973),0),2)</f>
        <v/>
      </c>
      <c r="Z973" s="188" t="n"/>
      <c r="AA973" s="192">
        <f>IFERROR(AB973/E973,0)</f>
        <v/>
      </c>
      <c r="AB973" s="76">
        <f>ROUND(SUM(S973,V973,Y973:Z973,BA973:BB973),2)</f>
        <v/>
      </c>
      <c r="AC973" s="797" t="n"/>
      <c r="AD973" s="192">
        <f t="array" ref="AD973">IFERROR(ROUND((_xlfn.IFS(offer_sale_type="поставка",AB973,offer_sale_type="транзит",S973)*(1+AC973))/E973,2),0)</f>
        <v/>
      </c>
      <c r="AE973" s="76">
        <f>AD973*E973</f>
        <v/>
      </c>
      <c r="AF973" s="193">
        <f t="array" ref="AF973">IFERROR(ROUND(_xlfn.IFS(offer_sale_type="поставка",AB973,offer_sale_type="транзит",S973)*AC973,2),0)</f>
        <v/>
      </c>
      <c r="AG973" s="192">
        <f>$BD973*VLOOKUP($AG$3,$AF$4:$AG$7,2,FALSE)</f>
        <v/>
      </c>
      <c r="AH973" s="76">
        <f>SUM(AE973,AG973,AI973)*rate_forex_risk</f>
        <v/>
      </c>
      <c r="AI973" s="193">
        <f>IF(OR(seller_region="TR",offer_sale_type="экспорт"),0,rate_fin_comm)*SUM(AZ973,AZ973*AW973,T973)</f>
        <v/>
      </c>
      <c r="AJ973" s="118">
        <f>IFERROR(ROUND(SUM(AB973,AF973:AI973)/E973,2),0)</f>
        <v/>
      </c>
      <c r="AK973" s="76">
        <f>AJ973*E973</f>
        <v/>
      </c>
      <c r="AL973" s="174">
        <f>ROUND(IFERROR(AM973*E973,0),2)</f>
        <v/>
      </c>
      <c r="AM973" s="175">
        <f>ROUND(AJ973*(1+IF(offer_incoterms="DDP",IF((TODAY()+offer_turnaround_time)&gt;=helpsheet!$L$17,rate_vatRU_from_26,rate_vatRu_till_25),0)),2)</f>
        <v/>
      </c>
      <c r="AN973" s="192">
        <f>AL973-AK973</f>
        <v/>
      </c>
      <c r="AO973" s="76">
        <f>SUM(AY973,Y973:Z973,T973)*IF(AND(offer_incoterms="DDP",offer_sale_type&lt;&gt;"экспорт"),IF((TODAY()+offer_turnaround_time)&gt;=helpsheet!$L$17,rate_vatRU_from_26,rate_vatRu_till_25),0)</f>
        <v/>
      </c>
      <c r="AP973" s="193">
        <f>AN973-AO973</f>
        <v/>
      </c>
      <c r="AQ973" s="118">
        <f>IF(offer_sale_type="транзит",SUM(AF973:AI973,BA973,BB973),0)</f>
        <v/>
      </c>
      <c r="AR973" s="82">
        <f>HYPERLINK("https://www.alta.ru/tnved/code/")&amp;W973&amp;"/"</f>
        <v/>
      </c>
      <c r="AS973" s="157" t="n"/>
      <c r="AT973" s="162" t="n"/>
      <c r="AU973" s="76">
        <f>IF(ISBLANK(AT973),0,AJ973-AT973)</f>
        <v/>
      </c>
      <c r="AV973" s="157" t="n"/>
      <c r="AW973" s="75">
        <f>_xlfn.IFNA(VLOOKUP(L973,list_vat[],3,FALSE),0)</f>
        <v/>
      </c>
      <c r="AX973" s="76">
        <f>IFERROR(ROUND(S973*(1+AW973)/E973,2),0)</f>
        <v/>
      </c>
      <c r="AY973" s="76">
        <f>E973*AX973</f>
        <v/>
      </c>
      <c r="AZ973" s="192">
        <f>S973*(1+M973)</f>
        <v/>
      </c>
      <c r="BA973" s="76">
        <f>cost_fin_total*$BD973</f>
        <v/>
      </c>
      <c r="BB973" s="193">
        <f>credit_sales_interest*BD973</f>
        <v/>
      </c>
      <c r="BC973" s="102">
        <f>IFERROR(IF($I$13&gt;0,$I973/$I$13,$S973/$S$13),0)</f>
        <v/>
      </c>
      <c r="BD973" s="102">
        <f>IFERROR($S973/$S$13,0)</f>
        <v/>
      </c>
      <c r="BE973" s="413" t="inlineStr">
        <is>
          <t>$</t>
        </is>
      </c>
    </row>
    <row r="974" ht="12" customFormat="1" customHeight="1" s="65">
      <c r="A974" s="43" t="n">
        <v>959</v>
      </c>
      <c r="B974" s="166" t="n"/>
      <c r="C974" s="166" t="n"/>
      <c r="D974" s="166" t="n"/>
      <c r="E974" s="162" t="n"/>
      <c r="F974" s="166" t="n"/>
      <c r="G974" s="162" t="n"/>
      <c r="H974" s="162" t="n"/>
      <c r="I974" s="189">
        <f>E974*G974</f>
        <v/>
      </c>
      <c r="J974" s="195" t="n"/>
      <c r="K974" s="162" t="n"/>
      <c r="L974" s="168" t="n"/>
      <c r="M974" s="75">
        <f>_xlfn.XLOOKUP(L974,list_vat[Страна],list_vat[Ставка НДС %],0,0)</f>
        <v/>
      </c>
      <c r="N974" s="162">
        <f>IFERROR(IF(L974="Китай",K974,K974/(1+M974)),0)</f>
        <v/>
      </c>
      <c r="O974" s="169" t="n"/>
      <c r="P974" s="76">
        <f>N974*(1-O974)</f>
        <v/>
      </c>
      <c r="Q974" s="162" t="n"/>
      <c r="R974" s="162">
        <f>IF(ISBLANK(Q974),"введи курс",P974/Q974)</f>
        <v/>
      </c>
      <c r="S974" s="196">
        <f>IF(AND(ISNUMBER(E974),ISNUMBER(Q974)),E974*R974,0)</f>
        <v/>
      </c>
      <c r="T974" s="192">
        <f>$BC974*V$11</f>
        <v/>
      </c>
      <c r="U974" s="76">
        <f>$BC974*W$11</f>
        <v/>
      </c>
      <c r="V974" s="193">
        <f>+SUM(T974:U974)</f>
        <v/>
      </c>
      <c r="W974" s="191" t="n"/>
      <c r="X974" s="170" t="n"/>
      <c r="Y974" s="76">
        <f>ROUND(IF(offer_incoterms="DDP",X974*(S974*(1+AW974)+T974),0),2)</f>
        <v/>
      </c>
      <c r="Z974" s="188" t="n"/>
      <c r="AA974" s="192">
        <f>IFERROR(AB974/E974,0)</f>
        <v/>
      </c>
      <c r="AB974" s="76">
        <f>ROUND(SUM(S974,V974,Y974:Z974,BA974:BB974),2)</f>
        <v/>
      </c>
      <c r="AC974" s="797" t="n"/>
      <c r="AD974" s="192">
        <f t="array" ref="AD974">IFERROR(ROUND((_xlfn.IFS(offer_sale_type="поставка",AB974,offer_sale_type="транзит",S974)*(1+AC974))/E974,2),0)</f>
        <v/>
      </c>
      <c r="AE974" s="76">
        <f>AD974*E974</f>
        <v/>
      </c>
      <c r="AF974" s="193">
        <f t="array" ref="AF974">IFERROR(ROUND(_xlfn.IFS(offer_sale_type="поставка",AB974,offer_sale_type="транзит",S974)*AC974,2),0)</f>
        <v/>
      </c>
      <c r="AG974" s="192">
        <f>$BD974*VLOOKUP($AG$3,$AF$4:$AG$7,2,FALSE)</f>
        <v/>
      </c>
      <c r="AH974" s="76">
        <f>SUM(AE974,AG974,AI974)*rate_forex_risk</f>
        <v/>
      </c>
      <c r="AI974" s="193">
        <f>IF(OR(seller_region="TR",offer_sale_type="экспорт"),0,rate_fin_comm)*SUM(AZ974,AZ974*AW974,T974)</f>
        <v/>
      </c>
      <c r="AJ974" s="118">
        <f>IFERROR(ROUND(SUM(AB974,AF974:AI974)/E974,2),0)</f>
        <v/>
      </c>
      <c r="AK974" s="76">
        <f>AJ974*E974</f>
        <v/>
      </c>
      <c r="AL974" s="174">
        <f>ROUND(IFERROR(AM974*E974,0),2)</f>
        <v/>
      </c>
      <c r="AM974" s="175">
        <f>ROUND(AJ974*(1+IF(offer_incoterms="DDP",IF((TODAY()+offer_turnaround_time)&gt;=helpsheet!$L$17,rate_vatRU_from_26,rate_vatRu_till_25),0)),2)</f>
        <v/>
      </c>
      <c r="AN974" s="192">
        <f>AL974-AK974</f>
        <v/>
      </c>
      <c r="AO974" s="76">
        <f>SUM(AY974,Y974:Z974,T974)*IF(AND(offer_incoterms="DDP",offer_sale_type&lt;&gt;"экспорт"),IF((TODAY()+offer_turnaround_time)&gt;=helpsheet!$L$17,rate_vatRU_from_26,rate_vatRu_till_25),0)</f>
        <v/>
      </c>
      <c r="AP974" s="193">
        <f>AN974-AO974</f>
        <v/>
      </c>
      <c r="AQ974" s="118">
        <f>IF(offer_sale_type="транзит",SUM(AF974:AI974,BA974,BB974),0)</f>
        <v/>
      </c>
      <c r="AR974" s="82">
        <f>HYPERLINK("https://www.alta.ru/tnved/code/")&amp;W974&amp;"/"</f>
        <v/>
      </c>
      <c r="AS974" s="157" t="n"/>
      <c r="AT974" s="162" t="n"/>
      <c r="AU974" s="76">
        <f>IF(ISBLANK(AT974),0,AJ974-AT974)</f>
        <v/>
      </c>
      <c r="AV974" s="157" t="n"/>
      <c r="AW974" s="75">
        <f>_xlfn.IFNA(VLOOKUP(L974,list_vat[],3,FALSE),0)</f>
        <v/>
      </c>
      <c r="AX974" s="76">
        <f>IFERROR(ROUND(S974*(1+AW974)/E974,2),0)</f>
        <v/>
      </c>
      <c r="AY974" s="76">
        <f>E974*AX974</f>
        <v/>
      </c>
      <c r="AZ974" s="192">
        <f>S974*(1+M974)</f>
        <v/>
      </c>
      <c r="BA974" s="76">
        <f>cost_fin_total*$BD974</f>
        <v/>
      </c>
      <c r="BB974" s="193">
        <f>credit_sales_interest*BD974</f>
        <v/>
      </c>
      <c r="BC974" s="102">
        <f>IFERROR(IF($I$13&gt;0,$I974/$I$13,$S974/$S$13),0)</f>
        <v/>
      </c>
      <c r="BD974" s="102">
        <f>IFERROR($S974/$S$13,0)</f>
        <v/>
      </c>
      <c r="BE974" s="413" t="inlineStr">
        <is>
          <t>$</t>
        </is>
      </c>
    </row>
    <row r="975" ht="12" customFormat="1" customHeight="1" s="65">
      <c r="A975" s="43" t="n">
        <v>960</v>
      </c>
      <c r="B975" s="166" t="n"/>
      <c r="C975" s="166" t="n"/>
      <c r="D975" s="166" t="n"/>
      <c r="E975" s="162" t="n"/>
      <c r="F975" s="166" t="n"/>
      <c r="G975" s="162" t="n"/>
      <c r="H975" s="162" t="n"/>
      <c r="I975" s="189">
        <f>E975*G975</f>
        <v/>
      </c>
      <c r="J975" s="195" t="n"/>
      <c r="K975" s="162" t="n"/>
      <c r="L975" s="168" t="n"/>
      <c r="M975" s="75">
        <f>_xlfn.XLOOKUP(L975,list_vat[Страна],list_vat[Ставка НДС %],0,0)</f>
        <v/>
      </c>
      <c r="N975" s="162">
        <f>IFERROR(IF(L975="Китай",K975,K975/(1+M975)),0)</f>
        <v/>
      </c>
      <c r="O975" s="169" t="n"/>
      <c r="P975" s="76">
        <f>N975*(1-O975)</f>
        <v/>
      </c>
      <c r="Q975" s="162" t="n"/>
      <c r="R975" s="162">
        <f>IF(ISBLANK(Q975),"введи курс",P975/Q975)</f>
        <v/>
      </c>
      <c r="S975" s="196">
        <f>IF(AND(ISNUMBER(E975),ISNUMBER(Q975)),E975*R975,0)</f>
        <v/>
      </c>
      <c r="T975" s="192">
        <f>$BC975*V$11</f>
        <v/>
      </c>
      <c r="U975" s="76">
        <f>$BC975*W$11</f>
        <v/>
      </c>
      <c r="V975" s="193">
        <f>+SUM(T975:U975)</f>
        <v/>
      </c>
      <c r="W975" s="191" t="n"/>
      <c r="X975" s="170" t="n"/>
      <c r="Y975" s="76">
        <f>ROUND(IF(offer_incoterms="DDP",X975*(S975*(1+AW975)+T975),0),2)</f>
        <v/>
      </c>
      <c r="Z975" s="188" t="n"/>
      <c r="AA975" s="192">
        <f>IFERROR(AB975/E975,0)</f>
        <v/>
      </c>
      <c r="AB975" s="76">
        <f>ROUND(SUM(S975,V975,Y975:Z975,BA975:BB975),2)</f>
        <v/>
      </c>
      <c r="AC975" s="797" t="n"/>
      <c r="AD975" s="192">
        <f t="array" ref="AD975">IFERROR(ROUND((_xlfn.IFS(offer_sale_type="поставка",AB975,offer_sale_type="транзит",S975)*(1+AC975))/E975,2),0)</f>
        <v/>
      </c>
      <c r="AE975" s="76">
        <f>AD975*E975</f>
        <v/>
      </c>
      <c r="AF975" s="193">
        <f t="array" ref="AF975">IFERROR(ROUND(_xlfn.IFS(offer_sale_type="поставка",AB975,offer_sale_type="транзит",S975)*AC975,2),0)</f>
        <v/>
      </c>
      <c r="AG975" s="192">
        <f>$BD975*VLOOKUP($AG$3,$AF$4:$AG$7,2,FALSE)</f>
        <v/>
      </c>
      <c r="AH975" s="76">
        <f>SUM(AE975,AG975,AI975)*rate_forex_risk</f>
        <v/>
      </c>
      <c r="AI975" s="193">
        <f>IF(OR(seller_region="TR",offer_sale_type="экспорт"),0,rate_fin_comm)*SUM(AZ975,AZ975*AW975,T975)</f>
        <v/>
      </c>
      <c r="AJ975" s="118">
        <f>IFERROR(ROUND(SUM(AB975,AF975:AI975)/E975,2),0)</f>
        <v/>
      </c>
      <c r="AK975" s="76">
        <f>AJ975*E975</f>
        <v/>
      </c>
      <c r="AL975" s="174">
        <f>ROUND(IFERROR(AM975*E975,0),2)</f>
        <v/>
      </c>
      <c r="AM975" s="175">
        <f>ROUND(AJ975*(1+IF(offer_incoterms="DDP",IF((TODAY()+offer_turnaround_time)&gt;=helpsheet!$L$17,rate_vatRU_from_26,rate_vatRu_till_25),0)),2)</f>
        <v/>
      </c>
      <c r="AN975" s="192">
        <f>AL975-AK975</f>
        <v/>
      </c>
      <c r="AO975" s="76">
        <f>SUM(AY975,Y975:Z975,T975)*IF(AND(offer_incoterms="DDP",offer_sale_type&lt;&gt;"экспорт"),IF((TODAY()+offer_turnaround_time)&gt;=helpsheet!$L$17,rate_vatRU_from_26,rate_vatRu_till_25),0)</f>
        <v/>
      </c>
      <c r="AP975" s="193">
        <f>AN975-AO975</f>
        <v/>
      </c>
      <c r="AQ975" s="118">
        <f>IF(offer_sale_type="транзит",SUM(AF975:AI975,BA975,BB975),0)</f>
        <v/>
      </c>
      <c r="AR975" s="82">
        <f>HYPERLINK("https://www.alta.ru/tnved/code/")&amp;W975&amp;"/"</f>
        <v/>
      </c>
      <c r="AS975" s="157" t="n"/>
      <c r="AT975" s="162" t="n"/>
      <c r="AU975" s="76">
        <f>IF(ISBLANK(AT975),0,AJ975-AT975)</f>
        <v/>
      </c>
      <c r="AV975" s="157" t="n"/>
      <c r="AW975" s="75">
        <f>_xlfn.IFNA(VLOOKUP(L975,list_vat[],3,FALSE),0)</f>
        <v/>
      </c>
      <c r="AX975" s="76">
        <f>IFERROR(ROUND(S975*(1+AW975)/E975,2),0)</f>
        <v/>
      </c>
      <c r="AY975" s="76">
        <f>E975*AX975</f>
        <v/>
      </c>
      <c r="AZ975" s="192">
        <f>S975*(1+M975)</f>
        <v/>
      </c>
      <c r="BA975" s="76">
        <f>cost_fin_total*$BD975</f>
        <v/>
      </c>
      <c r="BB975" s="193">
        <f>credit_sales_interest*BD975</f>
        <v/>
      </c>
      <c r="BC975" s="102">
        <f>IFERROR(IF($I$13&gt;0,$I975/$I$13,$S975/$S$13),0)</f>
        <v/>
      </c>
      <c r="BD975" s="102">
        <f>IFERROR($S975/$S$13,0)</f>
        <v/>
      </c>
      <c r="BE975" s="413" t="inlineStr">
        <is>
          <t>$</t>
        </is>
      </c>
    </row>
    <row r="976" ht="12" customFormat="1" customHeight="1" s="65">
      <c r="A976" s="43" t="n">
        <v>961</v>
      </c>
      <c r="B976" s="166" t="n"/>
      <c r="C976" s="166" t="n"/>
      <c r="D976" s="166" t="n"/>
      <c r="E976" s="162" t="n"/>
      <c r="F976" s="166" t="n"/>
      <c r="G976" s="162" t="n"/>
      <c r="H976" s="162" t="n"/>
      <c r="I976" s="189">
        <f>E976*G976</f>
        <v/>
      </c>
      <c r="J976" s="195" t="n"/>
      <c r="K976" s="162" t="n"/>
      <c r="L976" s="168" t="n"/>
      <c r="M976" s="75">
        <f>_xlfn.XLOOKUP(L976,list_vat[Страна],list_vat[Ставка НДС %],0,0)</f>
        <v/>
      </c>
      <c r="N976" s="162">
        <f>IFERROR(IF(L976="Китай",K976,K976/(1+M976)),0)</f>
        <v/>
      </c>
      <c r="O976" s="169" t="n"/>
      <c r="P976" s="76">
        <f>N976*(1-O976)</f>
        <v/>
      </c>
      <c r="Q976" s="162" t="n"/>
      <c r="R976" s="162">
        <f>IF(ISBLANK(Q976),"введи курс",P976/Q976)</f>
        <v/>
      </c>
      <c r="S976" s="196">
        <f>IF(AND(ISNUMBER(E976),ISNUMBER(Q976)),E976*R976,0)</f>
        <v/>
      </c>
      <c r="T976" s="192">
        <f>$BC976*V$11</f>
        <v/>
      </c>
      <c r="U976" s="76">
        <f>$BC976*W$11</f>
        <v/>
      </c>
      <c r="V976" s="193">
        <f>+SUM(T976:U976)</f>
        <v/>
      </c>
      <c r="W976" s="191" t="n"/>
      <c r="X976" s="170" t="n"/>
      <c r="Y976" s="76">
        <f>ROUND(IF(offer_incoterms="DDP",X976*(S976*(1+AW976)+T976),0),2)</f>
        <v/>
      </c>
      <c r="Z976" s="188" t="n"/>
      <c r="AA976" s="192">
        <f>IFERROR(AB976/E976,0)</f>
        <v/>
      </c>
      <c r="AB976" s="76">
        <f>ROUND(SUM(S976,V976,Y976:Z976,BA976:BB976),2)</f>
        <v/>
      </c>
      <c r="AC976" s="797" t="n"/>
      <c r="AD976" s="192">
        <f t="array" ref="AD976">IFERROR(ROUND((_xlfn.IFS(offer_sale_type="поставка",AB976,offer_sale_type="транзит",S976)*(1+AC976))/E976,2),0)</f>
        <v/>
      </c>
      <c r="AE976" s="76">
        <f>AD976*E976</f>
        <v/>
      </c>
      <c r="AF976" s="193">
        <f t="array" ref="AF976">IFERROR(ROUND(_xlfn.IFS(offer_sale_type="поставка",AB976,offer_sale_type="транзит",S976)*AC976,2),0)</f>
        <v/>
      </c>
      <c r="AG976" s="192">
        <f>$BD976*VLOOKUP($AG$3,$AF$4:$AG$7,2,FALSE)</f>
        <v/>
      </c>
      <c r="AH976" s="76">
        <f>SUM(AE976,AG976,AI976)*rate_forex_risk</f>
        <v/>
      </c>
      <c r="AI976" s="193">
        <f>IF(OR(seller_region="TR",offer_sale_type="экспорт"),0,rate_fin_comm)*SUM(AZ976,AZ976*AW976,T976)</f>
        <v/>
      </c>
      <c r="AJ976" s="118">
        <f>IFERROR(ROUND(SUM(AB976,AF976:AI976)/E976,2),0)</f>
        <v/>
      </c>
      <c r="AK976" s="76">
        <f>AJ976*E976</f>
        <v/>
      </c>
      <c r="AL976" s="174">
        <f>ROUND(IFERROR(AM976*E976,0),2)</f>
        <v/>
      </c>
      <c r="AM976" s="175">
        <f>ROUND(AJ976*(1+IF(offer_incoterms="DDP",IF((TODAY()+offer_turnaround_time)&gt;=helpsheet!$L$17,rate_vatRU_from_26,rate_vatRu_till_25),0)),2)</f>
        <v/>
      </c>
      <c r="AN976" s="192">
        <f>AL976-AK976</f>
        <v/>
      </c>
      <c r="AO976" s="76">
        <f>SUM(AY976,Y976:Z976,T976)*IF(AND(offer_incoterms="DDP",offer_sale_type&lt;&gt;"экспорт"),IF((TODAY()+offer_turnaround_time)&gt;=helpsheet!$L$17,rate_vatRU_from_26,rate_vatRu_till_25),0)</f>
        <v/>
      </c>
      <c r="AP976" s="193">
        <f>AN976-AO976</f>
        <v/>
      </c>
      <c r="AQ976" s="118">
        <f>IF(offer_sale_type="транзит",SUM(AF976:AI976,BA976,BB976),0)</f>
        <v/>
      </c>
      <c r="AR976" s="82">
        <f>HYPERLINK("https://www.alta.ru/tnved/code/")&amp;W976&amp;"/"</f>
        <v/>
      </c>
      <c r="AS976" s="157" t="n"/>
      <c r="AT976" s="162" t="n"/>
      <c r="AU976" s="76">
        <f>IF(ISBLANK(AT976),0,AJ976-AT976)</f>
        <v/>
      </c>
      <c r="AV976" s="157" t="n"/>
      <c r="AW976" s="75">
        <f>_xlfn.IFNA(VLOOKUP(L976,list_vat[],3,FALSE),0)</f>
        <v/>
      </c>
      <c r="AX976" s="76">
        <f>IFERROR(ROUND(S976*(1+AW976)/E976,2),0)</f>
        <v/>
      </c>
      <c r="AY976" s="76">
        <f>E976*AX976</f>
        <v/>
      </c>
      <c r="AZ976" s="192">
        <f>S976*(1+M976)</f>
        <v/>
      </c>
      <c r="BA976" s="76">
        <f>cost_fin_total*$BD976</f>
        <v/>
      </c>
      <c r="BB976" s="193">
        <f>credit_sales_interest*BD976</f>
        <v/>
      </c>
      <c r="BC976" s="102">
        <f>IFERROR(IF($I$13&gt;0,$I976/$I$13,$S976/$S$13),0)</f>
        <v/>
      </c>
      <c r="BD976" s="102">
        <f>IFERROR($S976/$S$13,0)</f>
        <v/>
      </c>
      <c r="BE976" s="413" t="inlineStr">
        <is>
          <t>$</t>
        </is>
      </c>
    </row>
    <row r="977" ht="12" customFormat="1" customHeight="1" s="65">
      <c r="A977" s="43" t="n">
        <v>962</v>
      </c>
      <c r="B977" s="166" t="n"/>
      <c r="C977" s="166" t="n"/>
      <c r="D977" s="166" t="n"/>
      <c r="E977" s="162" t="n"/>
      <c r="F977" s="166" t="n"/>
      <c r="G977" s="162" t="n"/>
      <c r="H977" s="162" t="n"/>
      <c r="I977" s="189">
        <f>E977*G977</f>
        <v/>
      </c>
      <c r="J977" s="195" t="n"/>
      <c r="K977" s="162" t="n"/>
      <c r="L977" s="168" t="n"/>
      <c r="M977" s="75">
        <f>_xlfn.XLOOKUP(L977,list_vat[Страна],list_vat[Ставка НДС %],0,0)</f>
        <v/>
      </c>
      <c r="N977" s="162">
        <f>IFERROR(IF(L977="Китай",K977,K977/(1+M977)),0)</f>
        <v/>
      </c>
      <c r="O977" s="169" t="n"/>
      <c r="P977" s="76">
        <f>N977*(1-O977)</f>
        <v/>
      </c>
      <c r="Q977" s="162" t="n"/>
      <c r="R977" s="162">
        <f>IF(ISBLANK(Q977),"введи курс",P977/Q977)</f>
        <v/>
      </c>
      <c r="S977" s="196">
        <f>IF(AND(ISNUMBER(E977),ISNUMBER(Q977)),E977*R977,0)</f>
        <v/>
      </c>
      <c r="T977" s="192">
        <f>$BC977*V$11</f>
        <v/>
      </c>
      <c r="U977" s="76">
        <f>$BC977*W$11</f>
        <v/>
      </c>
      <c r="V977" s="193">
        <f>+SUM(T977:U977)</f>
        <v/>
      </c>
      <c r="W977" s="191" t="n"/>
      <c r="X977" s="170" t="n"/>
      <c r="Y977" s="76">
        <f>ROUND(IF(offer_incoterms="DDP",X977*(S977*(1+AW977)+T977),0),2)</f>
        <v/>
      </c>
      <c r="Z977" s="188" t="n"/>
      <c r="AA977" s="192">
        <f>IFERROR(AB977/E977,0)</f>
        <v/>
      </c>
      <c r="AB977" s="76">
        <f>ROUND(SUM(S977,V977,Y977:Z977,BA977:BB977),2)</f>
        <v/>
      </c>
      <c r="AC977" s="797" t="n"/>
      <c r="AD977" s="192">
        <f t="array" ref="AD977">IFERROR(ROUND((_xlfn.IFS(offer_sale_type="поставка",AB977,offer_sale_type="транзит",S977)*(1+AC977))/E977,2),0)</f>
        <v/>
      </c>
      <c r="AE977" s="76">
        <f>AD977*E977</f>
        <v/>
      </c>
      <c r="AF977" s="193">
        <f t="array" ref="AF977">IFERROR(ROUND(_xlfn.IFS(offer_sale_type="поставка",AB977,offer_sale_type="транзит",S977)*AC977,2),0)</f>
        <v/>
      </c>
      <c r="AG977" s="192">
        <f>$BD977*VLOOKUP($AG$3,$AF$4:$AG$7,2,FALSE)</f>
        <v/>
      </c>
      <c r="AH977" s="76">
        <f>SUM(AE977,AG977,AI977)*rate_forex_risk</f>
        <v/>
      </c>
      <c r="AI977" s="193">
        <f>IF(OR(seller_region="TR",offer_sale_type="экспорт"),0,rate_fin_comm)*SUM(AZ977,AZ977*AW977,T977)</f>
        <v/>
      </c>
      <c r="AJ977" s="118">
        <f>IFERROR(ROUND(SUM(AB977,AF977:AI977)/E977,2),0)</f>
        <v/>
      </c>
      <c r="AK977" s="76">
        <f>AJ977*E977</f>
        <v/>
      </c>
      <c r="AL977" s="174">
        <f>ROUND(IFERROR(AM977*E977,0),2)</f>
        <v/>
      </c>
      <c r="AM977" s="175">
        <f>ROUND(AJ977*(1+IF(offer_incoterms="DDP",IF((TODAY()+offer_turnaround_time)&gt;=helpsheet!$L$17,rate_vatRU_from_26,rate_vatRu_till_25),0)),2)</f>
        <v/>
      </c>
      <c r="AN977" s="192">
        <f>AL977-AK977</f>
        <v/>
      </c>
      <c r="AO977" s="76">
        <f>SUM(AY977,Y977:Z977,T977)*IF(AND(offer_incoterms="DDP",offer_sale_type&lt;&gt;"экспорт"),IF((TODAY()+offer_turnaround_time)&gt;=helpsheet!$L$17,rate_vatRU_from_26,rate_vatRu_till_25),0)</f>
        <v/>
      </c>
      <c r="AP977" s="193">
        <f>AN977-AO977</f>
        <v/>
      </c>
      <c r="AQ977" s="118">
        <f>IF(offer_sale_type="транзит",SUM(AF977:AI977,BA977,BB977),0)</f>
        <v/>
      </c>
      <c r="AR977" s="82">
        <f>HYPERLINK("https://www.alta.ru/tnved/code/")&amp;W977&amp;"/"</f>
        <v/>
      </c>
      <c r="AS977" s="157" t="n"/>
      <c r="AT977" s="162" t="n"/>
      <c r="AU977" s="76">
        <f>IF(ISBLANK(AT977),0,AJ977-AT977)</f>
        <v/>
      </c>
      <c r="AV977" s="157" t="n"/>
      <c r="AW977" s="75">
        <f>_xlfn.IFNA(VLOOKUP(L977,list_vat[],3,FALSE),0)</f>
        <v/>
      </c>
      <c r="AX977" s="76">
        <f>IFERROR(ROUND(S977*(1+AW977)/E977,2),0)</f>
        <v/>
      </c>
      <c r="AY977" s="76">
        <f>E977*AX977</f>
        <v/>
      </c>
      <c r="AZ977" s="192">
        <f>S977*(1+M977)</f>
        <v/>
      </c>
      <c r="BA977" s="76">
        <f>cost_fin_total*$BD977</f>
        <v/>
      </c>
      <c r="BB977" s="193">
        <f>credit_sales_interest*BD977</f>
        <v/>
      </c>
      <c r="BC977" s="102">
        <f>IFERROR(IF($I$13&gt;0,$I977/$I$13,$S977/$S$13),0)</f>
        <v/>
      </c>
      <c r="BD977" s="102">
        <f>IFERROR($S977/$S$13,0)</f>
        <v/>
      </c>
      <c r="BE977" s="413" t="inlineStr">
        <is>
          <t>$</t>
        </is>
      </c>
    </row>
    <row r="978" ht="12" customFormat="1" customHeight="1" s="65">
      <c r="A978" s="43" t="n">
        <v>963</v>
      </c>
      <c r="B978" s="166" t="n"/>
      <c r="C978" s="166" t="n"/>
      <c r="D978" s="166" t="n"/>
      <c r="E978" s="162" t="n"/>
      <c r="F978" s="166" t="n"/>
      <c r="G978" s="162" t="n"/>
      <c r="H978" s="162" t="n"/>
      <c r="I978" s="189">
        <f>E978*G978</f>
        <v/>
      </c>
      <c r="J978" s="195" t="n"/>
      <c r="K978" s="162" t="n"/>
      <c r="L978" s="168" t="n"/>
      <c r="M978" s="75">
        <f>_xlfn.XLOOKUP(L978,list_vat[Страна],list_vat[Ставка НДС %],0,0)</f>
        <v/>
      </c>
      <c r="N978" s="162">
        <f>IFERROR(IF(L978="Китай",K978,K978/(1+M978)),0)</f>
        <v/>
      </c>
      <c r="O978" s="169" t="n"/>
      <c r="P978" s="76">
        <f>N978*(1-O978)</f>
        <v/>
      </c>
      <c r="Q978" s="162" t="n"/>
      <c r="R978" s="162">
        <f>IF(ISBLANK(Q978),"введи курс",P978/Q978)</f>
        <v/>
      </c>
      <c r="S978" s="196">
        <f>IF(AND(ISNUMBER(E978),ISNUMBER(Q978)),E978*R978,0)</f>
        <v/>
      </c>
      <c r="T978" s="192">
        <f>$BC978*V$11</f>
        <v/>
      </c>
      <c r="U978" s="76">
        <f>$BC978*W$11</f>
        <v/>
      </c>
      <c r="V978" s="193">
        <f>+SUM(T978:U978)</f>
        <v/>
      </c>
      <c r="W978" s="191" t="n"/>
      <c r="X978" s="170" t="n"/>
      <c r="Y978" s="76">
        <f>ROUND(IF(offer_incoterms="DDP",X978*(S978*(1+AW978)+T978),0),2)</f>
        <v/>
      </c>
      <c r="Z978" s="188" t="n"/>
      <c r="AA978" s="192">
        <f>IFERROR(AB978/E978,0)</f>
        <v/>
      </c>
      <c r="AB978" s="76">
        <f>ROUND(SUM(S978,V978,Y978:Z978,BA978:BB978),2)</f>
        <v/>
      </c>
      <c r="AC978" s="797" t="n"/>
      <c r="AD978" s="192">
        <f t="array" ref="AD978">IFERROR(ROUND((_xlfn.IFS(offer_sale_type="поставка",AB978,offer_sale_type="транзит",S978)*(1+AC978))/E978,2),0)</f>
        <v/>
      </c>
      <c r="AE978" s="76">
        <f>AD978*E978</f>
        <v/>
      </c>
      <c r="AF978" s="193">
        <f t="array" ref="AF978">IFERROR(ROUND(_xlfn.IFS(offer_sale_type="поставка",AB978,offer_sale_type="транзит",S978)*AC978,2),0)</f>
        <v/>
      </c>
      <c r="AG978" s="192">
        <f>$BD978*VLOOKUP($AG$3,$AF$4:$AG$7,2,FALSE)</f>
        <v/>
      </c>
      <c r="AH978" s="76">
        <f>SUM(AE978,AG978,AI978)*rate_forex_risk</f>
        <v/>
      </c>
      <c r="AI978" s="193">
        <f>IF(OR(seller_region="TR",offer_sale_type="экспорт"),0,rate_fin_comm)*SUM(AZ978,AZ978*AW978,T978)</f>
        <v/>
      </c>
      <c r="AJ978" s="118">
        <f>IFERROR(ROUND(SUM(AB978,AF978:AI978)/E978,2),0)</f>
        <v/>
      </c>
      <c r="AK978" s="76">
        <f>AJ978*E978</f>
        <v/>
      </c>
      <c r="AL978" s="174">
        <f>ROUND(IFERROR(AM978*E978,0),2)</f>
        <v/>
      </c>
      <c r="AM978" s="175">
        <f>ROUND(AJ978*(1+IF(offer_incoterms="DDP",IF((TODAY()+offer_turnaround_time)&gt;=helpsheet!$L$17,rate_vatRU_from_26,rate_vatRu_till_25),0)),2)</f>
        <v/>
      </c>
      <c r="AN978" s="192">
        <f>AL978-AK978</f>
        <v/>
      </c>
      <c r="AO978" s="76">
        <f>SUM(AY978,Y978:Z978,T978)*IF(AND(offer_incoterms="DDP",offer_sale_type&lt;&gt;"экспорт"),IF((TODAY()+offer_turnaround_time)&gt;=helpsheet!$L$17,rate_vatRU_from_26,rate_vatRu_till_25),0)</f>
        <v/>
      </c>
      <c r="AP978" s="193">
        <f>AN978-AO978</f>
        <v/>
      </c>
      <c r="AQ978" s="118">
        <f>IF(offer_sale_type="транзит",SUM(AF978:AI978,BA978,BB978),0)</f>
        <v/>
      </c>
      <c r="AR978" s="82">
        <f>HYPERLINK("https://www.alta.ru/tnved/code/")&amp;W978&amp;"/"</f>
        <v/>
      </c>
      <c r="AS978" s="157" t="n"/>
      <c r="AT978" s="162" t="n"/>
      <c r="AU978" s="76">
        <f>IF(ISBLANK(AT978),0,AJ978-AT978)</f>
        <v/>
      </c>
      <c r="AV978" s="157" t="n"/>
      <c r="AW978" s="75">
        <f>_xlfn.IFNA(VLOOKUP(L978,list_vat[],3,FALSE),0)</f>
        <v/>
      </c>
      <c r="AX978" s="76">
        <f>IFERROR(ROUND(S978*(1+AW978)/E978,2),0)</f>
        <v/>
      </c>
      <c r="AY978" s="76">
        <f>E978*AX978</f>
        <v/>
      </c>
      <c r="AZ978" s="192">
        <f>S978*(1+M978)</f>
        <v/>
      </c>
      <c r="BA978" s="76">
        <f>cost_fin_total*$BD978</f>
        <v/>
      </c>
      <c r="BB978" s="193">
        <f>credit_sales_interest*BD978</f>
        <v/>
      </c>
      <c r="BC978" s="102">
        <f>IFERROR(IF($I$13&gt;0,$I978/$I$13,$S978/$S$13),0)</f>
        <v/>
      </c>
      <c r="BD978" s="102">
        <f>IFERROR($S978/$S$13,0)</f>
        <v/>
      </c>
      <c r="BE978" s="413" t="inlineStr">
        <is>
          <t>$</t>
        </is>
      </c>
    </row>
    <row r="979" ht="12" customFormat="1" customHeight="1" s="65">
      <c r="A979" s="43" t="n">
        <v>964</v>
      </c>
      <c r="B979" s="166" t="n"/>
      <c r="C979" s="166" t="n"/>
      <c r="D979" s="166" t="n"/>
      <c r="E979" s="162" t="n"/>
      <c r="F979" s="166" t="n"/>
      <c r="G979" s="162" t="n"/>
      <c r="H979" s="162" t="n"/>
      <c r="I979" s="189">
        <f>E979*G979</f>
        <v/>
      </c>
      <c r="J979" s="195" t="n"/>
      <c r="K979" s="162" t="n"/>
      <c r="L979" s="168" t="n"/>
      <c r="M979" s="75">
        <f>_xlfn.XLOOKUP(L979,list_vat[Страна],list_vat[Ставка НДС %],0,0)</f>
        <v/>
      </c>
      <c r="N979" s="162">
        <f>IFERROR(IF(L979="Китай",K979,K979/(1+M979)),0)</f>
        <v/>
      </c>
      <c r="O979" s="169" t="n"/>
      <c r="P979" s="76">
        <f>N979*(1-O979)</f>
        <v/>
      </c>
      <c r="Q979" s="162" t="n"/>
      <c r="R979" s="162">
        <f>IF(ISBLANK(Q979),"введи курс",P979/Q979)</f>
        <v/>
      </c>
      <c r="S979" s="196">
        <f>IF(AND(ISNUMBER(E979),ISNUMBER(Q979)),E979*R979,0)</f>
        <v/>
      </c>
      <c r="T979" s="192">
        <f>$BC979*V$11</f>
        <v/>
      </c>
      <c r="U979" s="76">
        <f>$BC979*W$11</f>
        <v/>
      </c>
      <c r="V979" s="193">
        <f>+SUM(T979:U979)</f>
        <v/>
      </c>
      <c r="W979" s="191" t="n"/>
      <c r="X979" s="170" t="n"/>
      <c r="Y979" s="76">
        <f>ROUND(IF(offer_incoterms="DDP",X979*(S979*(1+AW979)+T979),0),2)</f>
        <v/>
      </c>
      <c r="Z979" s="188" t="n"/>
      <c r="AA979" s="192">
        <f>IFERROR(AB979/E979,0)</f>
        <v/>
      </c>
      <c r="AB979" s="76">
        <f>ROUND(SUM(S979,V979,Y979:Z979,BA979:BB979),2)</f>
        <v/>
      </c>
      <c r="AC979" s="797" t="n"/>
      <c r="AD979" s="192">
        <f t="array" ref="AD979">IFERROR(ROUND((_xlfn.IFS(offer_sale_type="поставка",AB979,offer_sale_type="транзит",S979)*(1+AC979))/E979,2),0)</f>
        <v/>
      </c>
      <c r="AE979" s="76">
        <f>AD979*E979</f>
        <v/>
      </c>
      <c r="AF979" s="193">
        <f t="array" ref="AF979">IFERROR(ROUND(_xlfn.IFS(offer_sale_type="поставка",AB979,offer_sale_type="транзит",S979)*AC979,2),0)</f>
        <v/>
      </c>
      <c r="AG979" s="192">
        <f>$BD979*VLOOKUP($AG$3,$AF$4:$AG$7,2,FALSE)</f>
        <v/>
      </c>
      <c r="AH979" s="76">
        <f>SUM(AE979,AG979,AI979)*rate_forex_risk</f>
        <v/>
      </c>
      <c r="AI979" s="193">
        <f>IF(OR(seller_region="TR",offer_sale_type="экспорт"),0,rate_fin_comm)*SUM(AZ979,AZ979*AW979,T979)</f>
        <v/>
      </c>
      <c r="AJ979" s="118">
        <f>IFERROR(ROUND(SUM(AB979,AF979:AI979)/E979,2),0)</f>
        <v/>
      </c>
      <c r="AK979" s="76">
        <f>AJ979*E979</f>
        <v/>
      </c>
      <c r="AL979" s="174">
        <f>ROUND(IFERROR(AM979*E979,0),2)</f>
        <v/>
      </c>
      <c r="AM979" s="175">
        <f>ROUND(AJ979*(1+IF(offer_incoterms="DDP",IF((TODAY()+offer_turnaround_time)&gt;=helpsheet!$L$17,rate_vatRU_from_26,rate_vatRu_till_25),0)),2)</f>
        <v/>
      </c>
      <c r="AN979" s="192">
        <f>AL979-AK979</f>
        <v/>
      </c>
      <c r="AO979" s="76">
        <f>SUM(AY979,Y979:Z979,T979)*IF(AND(offer_incoterms="DDP",offer_sale_type&lt;&gt;"экспорт"),IF((TODAY()+offer_turnaround_time)&gt;=helpsheet!$L$17,rate_vatRU_from_26,rate_vatRu_till_25),0)</f>
        <v/>
      </c>
      <c r="AP979" s="193">
        <f>AN979-AO979</f>
        <v/>
      </c>
      <c r="AQ979" s="118">
        <f>IF(offer_sale_type="транзит",SUM(AF979:AI979,BA979,BB979),0)</f>
        <v/>
      </c>
      <c r="AR979" s="82">
        <f>HYPERLINK("https://www.alta.ru/tnved/code/")&amp;W979&amp;"/"</f>
        <v/>
      </c>
      <c r="AS979" s="157" t="n"/>
      <c r="AT979" s="162" t="n"/>
      <c r="AU979" s="76">
        <f>IF(ISBLANK(AT979),0,AJ979-AT979)</f>
        <v/>
      </c>
      <c r="AV979" s="157" t="n"/>
      <c r="AW979" s="75">
        <f>_xlfn.IFNA(VLOOKUP(L979,list_vat[],3,FALSE),0)</f>
        <v/>
      </c>
      <c r="AX979" s="76">
        <f>IFERROR(ROUND(S979*(1+AW979)/E979,2),0)</f>
        <v/>
      </c>
      <c r="AY979" s="76">
        <f>E979*AX979</f>
        <v/>
      </c>
      <c r="AZ979" s="192">
        <f>S979*(1+M979)</f>
        <v/>
      </c>
      <c r="BA979" s="76">
        <f>cost_fin_total*$BD979</f>
        <v/>
      </c>
      <c r="BB979" s="193">
        <f>credit_sales_interest*BD979</f>
        <v/>
      </c>
      <c r="BC979" s="102">
        <f>IFERROR(IF($I$13&gt;0,$I979/$I$13,$S979/$S$13),0)</f>
        <v/>
      </c>
      <c r="BD979" s="102">
        <f>IFERROR($S979/$S$13,0)</f>
        <v/>
      </c>
      <c r="BE979" s="413" t="inlineStr">
        <is>
          <t>$</t>
        </is>
      </c>
    </row>
    <row r="980" ht="12" customFormat="1" customHeight="1" s="65">
      <c r="A980" s="43" t="n">
        <v>965</v>
      </c>
      <c r="B980" s="166" t="n"/>
      <c r="C980" s="166" t="n"/>
      <c r="D980" s="166" t="n"/>
      <c r="E980" s="162" t="n"/>
      <c r="F980" s="166" t="n"/>
      <c r="G980" s="162" t="n"/>
      <c r="H980" s="162" t="n"/>
      <c r="I980" s="189">
        <f>E980*G980</f>
        <v/>
      </c>
      <c r="J980" s="195" t="n"/>
      <c r="K980" s="162" t="n"/>
      <c r="L980" s="168" t="n"/>
      <c r="M980" s="75">
        <f>_xlfn.XLOOKUP(L980,list_vat[Страна],list_vat[Ставка НДС %],0,0)</f>
        <v/>
      </c>
      <c r="N980" s="162">
        <f>IFERROR(IF(L980="Китай",K980,K980/(1+M980)),0)</f>
        <v/>
      </c>
      <c r="O980" s="169" t="n"/>
      <c r="P980" s="76">
        <f>N980*(1-O980)</f>
        <v/>
      </c>
      <c r="Q980" s="162" t="n"/>
      <c r="R980" s="162">
        <f>IF(ISBLANK(Q980),"введи курс",P980/Q980)</f>
        <v/>
      </c>
      <c r="S980" s="196">
        <f>IF(AND(ISNUMBER(E980),ISNUMBER(Q980)),E980*R980,0)</f>
        <v/>
      </c>
      <c r="T980" s="192">
        <f>$BC980*V$11</f>
        <v/>
      </c>
      <c r="U980" s="76">
        <f>$BC980*W$11</f>
        <v/>
      </c>
      <c r="V980" s="193">
        <f>+SUM(T980:U980)</f>
        <v/>
      </c>
      <c r="W980" s="191" t="n"/>
      <c r="X980" s="170" t="n"/>
      <c r="Y980" s="76">
        <f>ROUND(IF(offer_incoterms="DDP",X980*(S980*(1+AW980)+T980),0),2)</f>
        <v/>
      </c>
      <c r="Z980" s="188" t="n"/>
      <c r="AA980" s="192">
        <f>IFERROR(AB980/E980,0)</f>
        <v/>
      </c>
      <c r="AB980" s="76">
        <f>ROUND(SUM(S980,V980,Y980:Z980,BA980:BB980),2)</f>
        <v/>
      </c>
      <c r="AC980" s="797" t="n"/>
      <c r="AD980" s="192">
        <f t="array" ref="AD980">IFERROR(ROUND((_xlfn.IFS(offer_sale_type="поставка",AB980,offer_sale_type="транзит",S980)*(1+AC980))/E980,2),0)</f>
        <v/>
      </c>
      <c r="AE980" s="76">
        <f>AD980*E980</f>
        <v/>
      </c>
      <c r="AF980" s="193">
        <f t="array" ref="AF980">IFERROR(ROUND(_xlfn.IFS(offer_sale_type="поставка",AB980,offer_sale_type="транзит",S980)*AC980,2),0)</f>
        <v/>
      </c>
      <c r="AG980" s="192">
        <f>$BD980*VLOOKUP($AG$3,$AF$4:$AG$7,2,FALSE)</f>
        <v/>
      </c>
      <c r="AH980" s="76">
        <f>SUM(AE980,AG980,AI980)*rate_forex_risk</f>
        <v/>
      </c>
      <c r="AI980" s="193">
        <f>IF(OR(seller_region="TR",offer_sale_type="экспорт"),0,rate_fin_comm)*SUM(AZ980,AZ980*AW980,T980)</f>
        <v/>
      </c>
      <c r="AJ980" s="118">
        <f>IFERROR(ROUND(SUM(AB980,AF980:AI980)/E980,2),0)</f>
        <v/>
      </c>
      <c r="AK980" s="76">
        <f>AJ980*E980</f>
        <v/>
      </c>
      <c r="AL980" s="174">
        <f>ROUND(IFERROR(AM980*E980,0),2)</f>
        <v/>
      </c>
      <c r="AM980" s="175">
        <f>ROUND(AJ980*(1+IF(offer_incoterms="DDP",IF((TODAY()+offer_turnaround_time)&gt;=helpsheet!$L$17,rate_vatRU_from_26,rate_vatRu_till_25),0)),2)</f>
        <v/>
      </c>
      <c r="AN980" s="192">
        <f>AL980-AK980</f>
        <v/>
      </c>
      <c r="AO980" s="76">
        <f>SUM(AY980,Y980:Z980,T980)*IF(AND(offer_incoterms="DDP",offer_sale_type&lt;&gt;"экспорт"),IF((TODAY()+offer_turnaround_time)&gt;=helpsheet!$L$17,rate_vatRU_from_26,rate_vatRu_till_25),0)</f>
        <v/>
      </c>
      <c r="AP980" s="193">
        <f>AN980-AO980</f>
        <v/>
      </c>
      <c r="AQ980" s="118">
        <f>IF(offer_sale_type="транзит",SUM(AF980:AI980,BA980,BB980),0)</f>
        <v/>
      </c>
      <c r="AR980" s="82">
        <f>HYPERLINK("https://www.alta.ru/tnved/code/")&amp;W980&amp;"/"</f>
        <v/>
      </c>
      <c r="AS980" s="157" t="n"/>
      <c r="AT980" s="162" t="n"/>
      <c r="AU980" s="76">
        <f>IF(ISBLANK(AT980),0,AJ980-AT980)</f>
        <v/>
      </c>
      <c r="AV980" s="157" t="n"/>
      <c r="AW980" s="75">
        <f>_xlfn.IFNA(VLOOKUP(L980,list_vat[],3,FALSE),0)</f>
        <v/>
      </c>
      <c r="AX980" s="76">
        <f>IFERROR(ROUND(S980*(1+AW980)/E980,2),0)</f>
        <v/>
      </c>
      <c r="AY980" s="76">
        <f>E980*AX980</f>
        <v/>
      </c>
      <c r="AZ980" s="192">
        <f>S980*(1+M980)</f>
        <v/>
      </c>
      <c r="BA980" s="76">
        <f>cost_fin_total*$BD980</f>
        <v/>
      </c>
      <c r="BB980" s="193">
        <f>credit_sales_interest*BD980</f>
        <v/>
      </c>
      <c r="BC980" s="102">
        <f>IFERROR(IF($I$13&gt;0,$I980/$I$13,$S980/$S$13),0)</f>
        <v/>
      </c>
      <c r="BD980" s="102">
        <f>IFERROR($S980/$S$13,0)</f>
        <v/>
      </c>
      <c r="BE980" s="413" t="inlineStr">
        <is>
          <t>$</t>
        </is>
      </c>
    </row>
    <row r="981" ht="12" customFormat="1" customHeight="1" s="65">
      <c r="A981" s="43" t="n">
        <v>966</v>
      </c>
      <c r="B981" s="166" t="n"/>
      <c r="C981" s="166" t="n"/>
      <c r="D981" s="166" t="n"/>
      <c r="E981" s="162" t="n"/>
      <c r="F981" s="166" t="n"/>
      <c r="G981" s="162" t="n"/>
      <c r="H981" s="162" t="n"/>
      <c r="I981" s="189">
        <f>E981*G981</f>
        <v/>
      </c>
      <c r="J981" s="195" t="n"/>
      <c r="K981" s="162" t="n"/>
      <c r="L981" s="168" t="n"/>
      <c r="M981" s="75">
        <f>_xlfn.XLOOKUP(L981,list_vat[Страна],list_vat[Ставка НДС %],0,0)</f>
        <v/>
      </c>
      <c r="N981" s="162">
        <f>IFERROR(IF(L981="Китай",K981,K981/(1+M981)),0)</f>
        <v/>
      </c>
      <c r="O981" s="169" t="n"/>
      <c r="P981" s="76">
        <f>N981*(1-O981)</f>
        <v/>
      </c>
      <c r="Q981" s="162" t="n"/>
      <c r="R981" s="162">
        <f>IF(ISBLANK(Q981),"введи курс",P981/Q981)</f>
        <v/>
      </c>
      <c r="S981" s="196">
        <f>IF(AND(ISNUMBER(E981),ISNUMBER(Q981)),E981*R981,0)</f>
        <v/>
      </c>
      <c r="T981" s="192">
        <f>$BC981*V$11</f>
        <v/>
      </c>
      <c r="U981" s="76">
        <f>$BC981*W$11</f>
        <v/>
      </c>
      <c r="V981" s="193">
        <f>+SUM(T981:U981)</f>
        <v/>
      </c>
      <c r="W981" s="191" t="n"/>
      <c r="X981" s="170" t="n"/>
      <c r="Y981" s="76">
        <f>ROUND(IF(offer_incoterms="DDP",X981*(S981*(1+AW981)+T981),0),2)</f>
        <v/>
      </c>
      <c r="Z981" s="188" t="n"/>
      <c r="AA981" s="192">
        <f>IFERROR(AB981/E981,0)</f>
        <v/>
      </c>
      <c r="AB981" s="76">
        <f>ROUND(SUM(S981,V981,Y981:Z981,BA981:BB981),2)</f>
        <v/>
      </c>
      <c r="AC981" s="797" t="n"/>
      <c r="AD981" s="192">
        <f t="array" ref="AD981">IFERROR(ROUND((_xlfn.IFS(offer_sale_type="поставка",AB981,offer_sale_type="транзит",S981)*(1+AC981))/E981,2),0)</f>
        <v/>
      </c>
      <c r="AE981" s="76">
        <f>AD981*E981</f>
        <v/>
      </c>
      <c r="AF981" s="193">
        <f t="array" ref="AF981">IFERROR(ROUND(_xlfn.IFS(offer_sale_type="поставка",AB981,offer_sale_type="транзит",S981)*AC981,2),0)</f>
        <v/>
      </c>
      <c r="AG981" s="192">
        <f>$BD981*VLOOKUP($AG$3,$AF$4:$AG$7,2,FALSE)</f>
        <v/>
      </c>
      <c r="AH981" s="76">
        <f>SUM(AE981,AG981,AI981)*rate_forex_risk</f>
        <v/>
      </c>
      <c r="AI981" s="193">
        <f>IF(OR(seller_region="TR",offer_sale_type="экспорт"),0,rate_fin_comm)*SUM(AZ981,AZ981*AW981,T981)</f>
        <v/>
      </c>
      <c r="AJ981" s="118">
        <f>IFERROR(ROUND(SUM(AB981,AF981:AI981)/E981,2),0)</f>
        <v/>
      </c>
      <c r="AK981" s="76">
        <f>AJ981*E981</f>
        <v/>
      </c>
      <c r="AL981" s="174">
        <f>ROUND(IFERROR(AM981*E981,0),2)</f>
        <v/>
      </c>
      <c r="AM981" s="175">
        <f>ROUND(AJ981*(1+IF(offer_incoterms="DDP",IF((TODAY()+offer_turnaround_time)&gt;=helpsheet!$L$17,rate_vatRU_from_26,rate_vatRu_till_25),0)),2)</f>
        <v/>
      </c>
      <c r="AN981" s="192">
        <f>AL981-AK981</f>
        <v/>
      </c>
      <c r="AO981" s="76">
        <f>SUM(AY981,Y981:Z981,T981)*IF(AND(offer_incoterms="DDP",offer_sale_type&lt;&gt;"экспорт"),IF((TODAY()+offer_turnaround_time)&gt;=helpsheet!$L$17,rate_vatRU_from_26,rate_vatRu_till_25),0)</f>
        <v/>
      </c>
      <c r="AP981" s="193">
        <f>AN981-AO981</f>
        <v/>
      </c>
      <c r="AQ981" s="118">
        <f>IF(offer_sale_type="транзит",SUM(AF981:AI981,BA981,BB981),0)</f>
        <v/>
      </c>
      <c r="AR981" s="82">
        <f>HYPERLINK("https://www.alta.ru/tnved/code/")&amp;W981&amp;"/"</f>
        <v/>
      </c>
      <c r="AS981" s="157" t="n"/>
      <c r="AT981" s="162" t="n"/>
      <c r="AU981" s="76">
        <f>IF(ISBLANK(AT981),0,AJ981-AT981)</f>
        <v/>
      </c>
      <c r="AV981" s="157" t="n"/>
      <c r="AW981" s="75">
        <f>_xlfn.IFNA(VLOOKUP(L981,list_vat[],3,FALSE),0)</f>
        <v/>
      </c>
      <c r="AX981" s="76">
        <f>IFERROR(ROUND(S981*(1+AW981)/E981,2),0)</f>
        <v/>
      </c>
      <c r="AY981" s="76">
        <f>E981*AX981</f>
        <v/>
      </c>
      <c r="AZ981" s="192">
        <f>S981*(1+M981)</f>
        <v/>
      </c>
      <c r="BA981" s="76">
        <f>cost_fin_total*$BD981</f>
        <v/>
      </c>
      <c r="BB981" s="193">
        <f>credit_sales_interest*BD981</f>
        <v/>
      </c>
      <c r="BC981" s="102">
        <f>IFERROR(IF($I$13&gt;0,$I981/$I$13,$S981/$S$13),0)</f>
        <v/>
      </c>
      <c r="BD981" s="102">
        <f>IFERROR($S981/$S$13,0)</f>
        <v/>
      </c>
      <c r="BE981" s="413" t="inlineStr">
        <is>
          <t>$</t>
        </is>
      </c>
    </row>
    <row r="982" ht="12" customFormat="1" customHeight="1" s="65">
      <c r="A982" s="43" t="n">
        <v>967</v>
      </c>
      <c r="B982" s="166" t="n"/>
      <c r="C982" s="166" t="n"/>
      <c r="D982" s="166" t="n"/>
      <c r="E982" s="162" t="n"/>
      <c r="F982" s="166" t="n"/>
      <c r="G982" s="162" t="n"/>
      <c r="H982" s="162" t="n"/>
      <c r="I982" s="189">
        <f>E982*G982</f>
        <v/>
      </c>
      <c r="J982" s="195" t="n"/>
      <c r="K982" s="162" t="n"/>
      <c r="L982" s="168" t="n"/>
      <c r="M982" s="75">
        <f>_xlfn.XLOOKUP(L982,list_vat[Страна],list_vat[Ставка НДС %],0,0)</f>
        <v/>
      </c>
      <c r="N982" s="162">
        <f>IFERROR(IF(L982="Китай",K982,K982/(1+M982)),0)</f>
        <v/>
      </c>
      <c r="O982" s="169" t="n"/>
      <c r="P982" s="76">
        <f>N982*(1-O982)</f>
        <v/>
      </c>
      <c r="Q982" s="162" t="n"/>
      <c r="R982" s="162">
        <f>IF(ISBLANK(Q982),"введи курс",P982/Q982)</f>
        <v/>
      </c>
      <c r="S982" s="196">
        <f>IF(AND(ISNUMBER(E982),ISNUMBER(Q982)),E982*R982,0)</f>
        <v/>
      </c>
      <c r="T982" s="192">
        <f>$BC982*V$11</f>
        <v/>
      </c>
      <c r="U982" s="76">
        <f>$BC982*W$11</f>
        <v/>
      </c>
      <c r="V982" s="193">
        <f>+SUM(T982:U982)</f>
        <v/>
      </c>
      <c r="W982" s="191" t="n"/>
      <c r="X982" s="170" t="n"/>
      <c r="Y982" s="76">
        <f>ROUND(IF(offer_incoterms="DDP",X982*(S982*(1+AW982)+T982),0),2)</f>
        <v/>
      </c>
      <c r="Z982" s="188" t="n"/>
      <c r="AA982" s="192">
        <f>IFERROR(AB982/E982,0)</f>
        <v/>
      </c>
      <c r="AB982" s="76">
        <f>ROUND(SUM(S982,V982,Y982:Z982,BA982:BB982),2)</f>
        <v/>
      </c>
      <c r="AC982" s="797" t="n"/>
      <c r="AD982" s="192">
        <f t="array" ref="AD982">IFERROR(ROUND((_xlfn.IFS(offer_sale_type="поставка",AB982,offer_sale_type="транзит",S982)*(1+AC982))/E982,2),0)</f>
        <v/>
      </c>
      <c r="AE982" s="76">
        <f>AD982*E982</f>
        <v/>
      </c>
      <c r="AF982" s="193">
        <f t="array" ref="AF982">IFERROR(ROUND(_xlfn.IFS(offer_sale_type="поставка",AB982,offer_sale_type="транзит",S982)*AC982,2),0)</f>
        <v/>
      </c>
      <c r="AG982" s="192">
        <f>$BD982*VLOOKUP($AG$3,$AF$4:$AG$7,2,FALSE)</f>
        <v/>
      </c>
      <c r="AH982" s="76">
        <f>SUM(AE982,AG982,AI982)*rate_forex_risk</f>
        <v/>
      </c>
      <c r="AI982" s="193">
        <f>IF(OR(seller_region="TR",offer_sale_type="экспорт"),0,rate_fin_comm)*SUM(AZ982,AZ982*AW982,T982)</f>
        <v/>
      </c>
      <c r="AJ982" s="118">
        <f>IFERROR(ROUND(SUM(AB982,AF982:AI982)/E982,2),0)</f>
        <v/>
      </c>
      <c r="AK982" s="76">
        <f>AJ982*E982</f>
        <v/>
      </c>
      <c r="AL982" s="174">
        <f>ROUND(IFERROR(AM982*E982,0),2)</f>
        <v/>
      </c>
      <c r="AM982" s="175">
        <f>ROUND(AJ982*(1+IF(offer_incoterms="DDP",IF((TODAY()+offer_turnaround_time)&gt;=helpsheet!$L$17,rate_vatRU_from_26,rate_vatRu_till_25),0)),2)</f>
        <v/>
      </c>
      <c r="AN982" s="192">
        <f>AL982-AK982</f>
        <v/>
      </c>
      <c r="AO982" s="76">
        <f>SUM(AY982,Y982:Z982,T982)*IF(AND(offer_incoterms="DDP",offer_sale_type&lt;&gt;"экспорт"),IF((TODAY()+offer_turnaround_time)&gt;=helpsheet!$L$17,rate_vatRU_from_26,rate_vatRu_till_25),0)</f>
        <v/>
      </c>
      <c r="AP982" s="193">
        <f>AN982-AO982</f>
        <v/>
      </c>
      <c r="AQ982" s="118">
        <f>IF(offer_sale_type="транзит",SUM(AF982:AI982,BA982,BB982),0)</f>
        <v/>
      </c>
      <c r="AR982" s="82">
        <f>HYPERLINK("https://www.alta.ru/tnved/code/")&amp;W982&amp;"/"</f>
        <v/>
      </c>
      <c r="AS982" s="157" t="n"/>
      <c r="AT982" s="162" t="n"/>
      <c r="AU982" s="76">
        <f>IF(ISBLANK(AT982),0,AJ982-AT982)</f>
        <v/>
      </c>
      <c r="AV982" s="157" t="n"/>
      <c r="AW982" s="75">
        <f>_xlfn.IFNA(VLOOKUP(L982,list_vat[],3,FALSE),0)</f>
        <v/>
      </c>
      <c r="AX982" s="76">
        <f>IFERROR(ROUND(S982*(1+AW982)/E982,2),0)</f>
        <v/>
      </c>
      <c r="AY982" s="76">
        <f>E982*AX982</f>
        <v/>
      </c>
      <c r="AZ982" s="192">
        <f>S982*(1+M982)</f>
        <v/>
      </c>
      <c r="BA982" s="76">
        <f>cost_fin_total*$BD982</f>
        <v/>
      </c>
      <c r="BB982" s="193">
        <f>credit_sales_interest*BD982</f>
        <v/>
      </c>
      <c r="BC982" s="102">
        <f>IFERROR(IF($I$13&gt;0,$I982/$I$13,$S982/$S$13),0)</f>
        <v/>
      </c>
      <c r="BD982" s="102">
        <f>IFERROR($S982/$S$13,0)</f>
        <v/>
      </c>
      <c r="BE982" s="413" t="inlineStr">
        <is>
          <t>$</t>
        </is>
      </c>
    </row>
    <row r="983" ht="12" customFormat="1" customHeight="1" s="65">
      <c r="A983" s="43" t="n">
        <v>968</v>
      </c>
      <c r="B983" s="166" t="n"/>
      <c r="C983" s="166" t="n"/>
      <c r="D983" s="166" t="n"/>
      <c r="E983" s="162" t="n"/>
      <c r="F983" s="166" t="n"/>
      <c r="G983" s="162" t="n"/>
      <c r="H983" s="162" t="n"/>
      <c r="I983" s="189">
        <f>E983*G983</f>
        <v/>
      </c>
      <c r="J983" s="195" t="n"/>
      <c r="K983" s="162" t="n"/>
      <c r="L983" s="168" t="n"/>
      <c r="M983" s="75">
        <f>_xlfn.XLOOKUP(L983,list_vat[Страна],list_vat[Ставка НДС %],0,0)</f>
        <v/>
      </c>
      <c r="N983" s="162">
        <f>IFERROR(IF(L983="Китай",K983,K983/(1+M983)),0)</f>
        <v/>
      </c>
      <c r="O983" s="169" t="n"/>
      <c r="P983" s="76">
        <f>N983*(1-O983)</f>
        <v/>
      </c>
      <c r="Q983" s="162" t="n"/>
      <c r="R983" s="162">
        <f>IF(ISBLANK(Q983),"введи курс",P983/Q983)</f>
        <v/>
      </c>
      <c r="S983" s="196">
        <f>IF(AND(ISNUMBER(E983),ISNUMBER(Q983)),E983*R983,0)</f>
        <v/>
      </c>
      <c r="T983" s="192">
        <f>$BC983*V$11</f>
        <v/>
      </c>
      <c r="U983" s="76">
        <f>$BC983*W$11</f>
        <v/>
      </c>
      <c r="V983" s="193">
        <f>+SUM(T983:U983)</f>
        <v/>
      </c>
      <c r="W983" s="191" t="n"/>
      <c r="X983" s="170" t="n"/>
      <c r="Y983" s="76">
        <f>ROUND(IF(offer_incoterms="DDP",X983*(S983*(1+AW983)+T983),0),2)</f>
        <v/>
      </c>
      <c r="Z983" s="188" t="n"/>
      <c r="AA983" s="192">
        <f>IFERROR(AB983/E983,0)</f>
        <v/>
      </c>
      <c r="AB983" s="76">
        <f>ROUND(SUM(S983,V983,Y983:Z983,BA983:BB983),2)</f>
        <v/>
      </c>
      <c r="AC983" s="797" t="n"/>
      <c r="AD983" s="192">
        <f t="array" ref="AD983">IFERROR(ROUND((_xlfn.IFS(offer_sale_type="поставка",AB983,offer_sale_type="транзит",S983)*(1+AC983))/E983,2),0)</f>
        <v/>
      </c>
      <c r="AE983" s="76">
        <f>AD983*E983</f>
        <v/>
      </c>
      <c r="AF983" s="193">
        <f t="array" ref="AF983">IFERROR(ROUND(_xlfn.IFS(offer_sale_type="поставка",AB983,offer_sale_type="транзит",S983)*AC983,2),0)</f>
        <v/>
      </c>
      <c r="AG983" s="192">
        <f>$BD983*VLOOKUP($AG$3,$AF$4:$AG$7,2,FALSE)</f>
        <v/>
      </c>
      <c r="AH983" s="76">
        <f>SUM(AE983,AG983,AI983)*rate_forex_risk</f>
        <v/>
      </c>
      <c r="AI983" s="193">
        <f>IF(OR(seller_region="TR",offer_sale_type="экспорт"),0,rate_fin_comm)*SUM(AZ983,AZ983*AW983,T983)</f>
        <v/>
      </c>
      <c r="AJ983" s="118">
        <f>IFERROR(ROUND(SUM(AB983,AF983:AI983)/E983,2),0)</f>
        <v/>
      </c>
      <c r="AK983" s="76">
        <f>AJ983*E983</f>
        <v/>
      </c>
      <c r="AL983" s="174">
        <f>ROUND(IFERROR(AM983*E983,0),2)</f>
        <v/>
      </c>
      <c r="AM983" s="175">
        <f>ROUND(AJ983*(1+IF(offer_incoterms="DDP",IF((TODAY()+offer_turnaround_time)&gt;=helpsheet!$L$17,rate_vatRU_from_26,rate_vatRu_till_25),0)),2)</f>
        <v/>
      </c>
      <c r="AN983" s="192">
        <f>AL983-AK983</f>
        <v/>
      </c>
      <c r="AO983" s="76">
        <f>SUM(AY983,Y983:Z983,T983)*IF(AND(offer_incoterms="DDP",offer_sale_type&lt;&gt;"экспорт"),IF((TODAY()+offer_turnaround_time)&gt;=helpsheet!$L$17,rate_vatRU_from_26,rate_vatRu_till_25),0)</f>
        <v/>
      </c>
      <c r="AP983" s="193">
        <f>AN983-AO983</f>
        <v/>
      </c>
      <c r="AQ983" s="118">
        <f>IF(offer_sale_type="транзит",SUM(AF983:AI983,BA983,BB983),0)</f>
        <v/>
      </c>
      <c r="AR983" s="82">
        <f>HYPERLINK("https://www.alta.ru/tnved/code/")&amp;W983&amp;"/"</f>
        <v/>
      </c>
      <c r="AS983" s="157" t="n"/>
      <c r="AT983" s="162" t="n"/>
      <c r="AU983" s="76">
        <f>IF(ISBLANK(AT983),0,AJ983-AT983)</f>
        <v/>
      </c>
      <c r="AV983" s="157" t="n"/>
      <c r="AW983" s="75">
        <f>_xlfn.IFNA(VLOOKUP(L983,list_vat[],3,FALSE),0)</f>
        <v/>
      </c>
      <c r="AX983" s="76">
        <f>IFERROR(ROUND(S983*(1+AW983)/E983,2),0)</f>
        <v/>
      </c>
      <c r="AY983" s="76">
        <f>E983*AX983</f>
        <v/>
      </c>
      <c r="AZ983" s="192">
        <f>S983*(1+M983)</f>
        <v/>
      </c>
      <c r="BA983" s="76">
        <f>cost_fin_total*$BD983</f>
        <v/>
      </c>
      <c r="BB983" s="193">
        <f>credit_sales_interest*BD983</f>
        <v/>
      </c>
      <c r="BC983" s="102">
        <f>IFERROR(IF($I$13&gt;0,$I983/$I$13,$S983/$S$13),0)</f>
        <v/>
      </c>
      <c r="BD983" s="102">
        <f>IFERROR($S983/$S$13,0)</f>
        <v/>
      </c>
      <c r="BE983" s="413" t="inlineStr">
        <is>
          <t>$</t>
        </is>
      </c>
    </row>
    <row r="984" ht="12" customFormat="1" customHeight="1" s="65">
      <c r="A984" s="43" t="n">
        <v>969</v>
      </c>
      <c r="B984" s="166" t="n"/>
      <c r="C984" s="166" t="n"/>
      <c r="D984" s="166" t="n"/>
      <c r="E984" s="162" t="n"/>
      <c r="F984" s="166" t="n"/>
      <c r="G984" s="162" t="n"/>
      <c r="H984" s="162" t="n"/>
      <c r="I984" s="189">
        <f>E984*G984</f>
        <v/>
      </c>
      <c r="J984" s="195" t="n"/>
      <c r="K984" s="162" t="n"/>
      <c r="L984" s="168" t="n"/>
      <c r="M984" s="75">
        <f>_xlfn.XLOOKUP(L984,list_vat[Страна],list_vat[Ставка НДС %],0,0)</f>
        <v/>
      </c>
      <c r="N984" s="162">
        <f>IFERROR(IF(L984="Китай",K984,K984/(1+M984)),0)</f>
        <v/>
      </c>
      <c r="O984" s="169" t="n"/>
      <c r="P984" s="76">
        <f>N984*(1-O984)</f>
        <v/>
      </c>
      <c r="Q984" s="162" t="n"/>
      <c r="R984" s="162">
        <f>IF(ISBLANK(Q984),"введи курс",P984/Q984)</f>
        <v/>
      </c>
      <c r="S984" s="196">
        <f>IF(AND(ISNUMBER(E984),ISNUMBER(Q984)),E984*R984,0)</f>
        <v/>
      </c>
      <c r="T984" s="192">
        <f>$BC984*V$11</f>
        <v/>
      </c>
      <c r="U984" s="76">
        <f>$BC984*W$11</f>
        <v/>
      </c>
      <c r="V984" s="193">
        <f>+SUM(T984:U984)</f>
        <v/>
      </c>
      <c r="W984" s="191" t="n"/>
      <c r="X984" s="170" t="n"/>
      <c r="Y984" s="76">
        <f>ROUND(IF(offer_incoterms="DDP",X984*(S984*(1+AW984)+T984),0),2)</f>
        <v/>
      </c>
      <c r="Z984" s="188" t="n"/>
      <c r="AA984" s="192">
        <f>IFERROR(AB984/E984,0)</f>
        <v/>
      </c>
      <c r="AB984" s="76">
        <f>ROUND(SUM(S984,V984,Y984:Z984,BA984:BB984),2)</f>
        <v/>
      </c>
      <c r="AC984" s="797" t="n"/>
      <c r="AD984" s="192">
        <f t="array" ref="AD984">IFERROR(ROUND((_xlfn.IFS(offer_sale_type="поставка",AB984,offer_sale_type="транзит",S984)*(1+AC984))/E984,2),0)</f>
        <v/>
      </c>
      <c r="AE984" s="76">
        <f>AD984*E984</f>
        <v/>
      </c>
      <c r="AF984" s="193">
        <f t="array" ref="AF984">IFERROR(ROUND(_xlfn.IFS(offer_sale_type="поставка",AB984,offer_sale_type="транзит",S984)*AC984,2),0)</f>
        <v/>
      </c>
      <c r="AG984" s="192">
        <f>$BD984*VLOOKUP($AG$3,$AF$4:$AG$7,2,FALSE)</f>
        <v/>
      </c>
      <c r="AH984" s="76">
        <f>SUM(AE984,AG984,AI984)*rate_forex_risk</f>
        <v/>
      </c>
      <c r="AI984" s="193">
        <f>IF(OR(seller_region="TR",offer_sale_type="экспорт"),0,rate_fin_comm)*SUM(AZ984,AZ984*AW984,T984)</f>
        <v/>
      </c>
      <c r="AJ984" s="118">
        <f>IFERROR(ROUND(SUM(AB984,AF984:AI984)/E984,2),0)</f>
        <v/>
      </c>
      <c r="AK984" s="76">
        <f>AJ984*E984</f>
        <v/>
      </c>
      <c r="AL984" s="174">
        <f>ROUND(IFERROR(AM984*E984,0),2)</f>
        <v/>
      </c>
      <c r="AM984" s="175">
        <f>ROUND(AJ984*(1+IF(offer_incoterms="DDP",IF((TODAY()+offer_turnaround_time)&gt;=helpsheet!$L$17,rate_vatRU_from_26,rate_vatRu_till_25),0)),2)</f>
        <v/>
      </c>
      <c r="AN984" s="192">
        <f>AL984-AK984</f>
        <v/>
      </c>
      <c r="AO984" s="76">
        <f>SUM(AY984,Y984:Z984,T984)*IF(AND(offer_incoterms="DDP",offer_sale_type&lt;&gt;"экспорт"),IF((TODAY()+offer_turnaround_time)&gt;=helpsheet!$L$17,rate_vatRU_from_26,rate_vatRu_till_25),0)</f>
        <v/>
      </c>
      <c r="AP984" s="193">
        <f>AN984-AO984</f>
        <v/>
      </c>
      <c r="AQ984" s="118">
        <f>IF(offer_sale_type="транзит",SUM(AF984:AI984,BA984,BB984),0)</f>
        <v/>
      </c>
      <c r="AR984" s="82">
        <f>HYPERLINK("https://www.alta.ru/tnved/code/")&amp;W984&amp;"/"</f>
        <v/>
      </c>
      <c r="AS984" s="157" t="n"/>
      <c r="AT984" s="162" t="n"/>
      <c r="AU984" s="76">
        <f>IF(ISBLANK(AT984),0,AJ984-AT984)</f>
        <v/>
      </c>
      <c r="AV984" s="157" t="n"/>
      <c r="AW984" s="75">
        <f>_xlfn.IFNA(VLOOKUP(L984,list_vat[],3,FALSE),0)</f>
        <v/>
      </c>
      <c r="AX984" s="76">
        <f>IFERROR(ROUND(S984*(1+AW984)/E984,2),0)</f>
        <v/>
      </c>
      <c r="AY984" s="76">
        <f>E984*AX984</f>
        <v/>
      </c>
      <c r="AZ984" s="192">
        <f>S984*(1+M984)</f>
        <v/>
      </c>
      <c r="BA984" s="76">
        <f>cost_fin_total*$BD984</f>
        <v/>
      </c>
      <c r="BB984" s="193">
        <f>credit_sales_interest*BD984</f>
        <v/>
      </c>
      <c r="BC984" s="102">
        <f>IFERROR(IF($I$13&gt;0,$I984/$I$13,$S984/$S$13),0)</f>
        <v/>
      </c>
      <c r="BD984" s="102">
        <f>IFERROR($S984/$S$13,0)</f>
        <v/>
      </c>
      <c r="BE984" s="413" t="inlineStr">
        <is>
          <t>$</t>
        </is>
      </c>
    </row>
    <row r="985" ht="12" customFormat="1" customHeight="1" s="65">
      <c r="A985" s="43" t="n">
        <v>970</v>
      </c>
      <c r="B985" s="166" t="n"/>
      <c r="C985" s="166" t="n"/>
      <c r="D985" s="166" t="n"/>
      <c r="E985" s="162" t="n"/>
      <c r="F985" s="166" t="n"/>
      <c r="G985" s="162" t="n"/>
      <c r="H985" s="162" t="n"/>
      <c r="I985" s="189">
        <f>E985*G985</f>
        <v/>
      </c>
      <c r="J985" s="195" t="n"/>
      <c r="K985" s="162" t="n"/>
      <c r="L985" s="168" t="n"/>
      <c r="M985" s="75">
        <f>_xlfn.XLOOKUP(L985,list_vat[Страна],list_vat[Ставка НДС %],0,0)</f>
        <v/>
      </c>
      <c r="N985" s="162">
        <f>IFERROR(IF(L985="Китай",K985,K985/(1+M985)),0)</f>
        <v/>
      </c>
      <c r="O985" s="169" t="n"/>
      <c r="P985" s="76">
        <f>N985*(1-O985)</f>
        <v/>
      </c>
      <c r="Q985" s="162" t="n"/>
      <c r="R985" s="162">
        <f>IF(ISBLANK(Q985),"введи курс",P985/Q985)</f>
        <v/>
      </c>
      <c r="S985" s="196">
        <f>IF(AND(ISNUMBER(E985),ISNUMBER(Q985)),E985*R985,0)</f>
        <v/>
      </c>
      <c r="T985" s="192">
        <f>$BC985*V$11</f>
        <v/>
      </c>
      <c r="U985" s="76">
        <f>$BC985*W$11</f>
        <v/>
      </c>
      <c r="V985" s="193">
        <f>+SUM(T985:U985)</f>
        <v/>
      </c>
      <c r="W985" s="191" t="n"/>
      <c r="X985" s="170" t="n"/>
      <c r="Y985" s="76">
        <f>ROUND(IF(offer_incoterms="DDP",X985*(S985*(1+AW985)+T985),0),2)</f>
        <v/>
      </c>
      <c r="Z985" s="188" t="n"/>
      <c r="AA985" s="192">
        <f>IFERROR(AB985/E985,0)</f>
        <v/>
      </c>
      <c r="AB985" s="76">
        <f>ROUND(SUM(S985,V985,Y985:Z985,BA985:BB985),2)</f>
        <v/>
      </c>
      <c r="AC985" s="797" t="n"/>
      <c r="AD985" s="192">
        <f t="array" ref="AD985">IFERROR(ROUND((_xlfn.IFS(offer_sale_type="поставка",AB985,offer_sale_type="транзит",S985)*(1+AC985))/E985,2),0)</f>
        <v/>
      </c>
      <c r="AE985" s="76">
        <f>AD985*E985</f>
        <v/>
      </c>
      <c r="AF985" s="193">
        <f t="array" ref="AF985">IFERROR(ROUND(_xlfn.IFS(offer_sale_type="поставка",AB985,offer_sale_type="транзит",S985)*AC985,2),0)</f>
        <v/>
      </c>
      <c r="AG985" s="192">
        <f>$BD985*VLOOKUP($AG$3,$AF$4:$AG$7,2,FALSE)</f>
        <v/>
      </c>
      <c r="AH985" s="76">
        <f>SUM(AE985,AG985,AI985)*rate_forex_risk</f>
        <v/>
      </c>
      <c r="AI985" s="193">
        <f>IF(OR(seller_region="TR",offer_sale_type="экспорт"),0,rate_fin_comm)*SUM(AZ985,AZ985*AW985,T985)</f>
        <v/>
      </c>
      <c r="AJ985" s="118">
        <f>IFERROR(ROUND(SUM(AB985,AF985:AI985)/E985,2),0)</f>
        <v/>
      </c>
      <c r="AK985" s="76">
        <f>AJ985*E985</f>
        <v/>
      </c>
      <c r="AL985" s="174">
        <f>ROUND(IFERROR(AM985*E985,0),2)</f>
        <v/>
      </c>
      <c r="AM985" s="175">
        <f>ROUND(AJ985*(1+IF(offer_incoterms="DDP",IF((TODAY()+offer_turnaround_time)&gt;=helpsheet!$L$17,rate_vatRU_from_26,rate_vatRu_till_25),0)),2)</f>
        <v/>
      </c>
      <c r="AN985" s="192">
        <f>AL985-AK985</f>
        <v/>
      </c>
      <c r="AO985" s="76">
        <f>SUM(AY985,Y985:Z985,T985)*IF(AND(offer_incoterms="DDP",offer_sale_type&lt;&gt;"экспорт"),IF((TODAY()+offer_turnaround_time)&gt;=helpsheet!$L$17,rate_vatRU_from_26,rate_vatRu_till_25),0)</f>
        <v/>
      </c>
      <c r="AP985" s="193">
        <f>AN985-AO985</f>
        <v/>
      </c>
      <c r="AQ985" s="118">
        <f>IF(offer_sale_type="транзит",SUM(AF985:AI985,BA985,BB985),0)</f>
        <v/>
      </c>
      <c r="AR985" s="82">
        <f>HYPERLINK("https://www.alta.ru/tnved/code/")&amp;W985&amp;"/"</f>
        <v/>
      </c>
      <c r="AS985" s="157" t="n"/>
      <c r="AT985" s="162" t="n"/>
      <c r="AU985" s="76">
        <f>IF(ISBLANK(AT985),0,AJ985-AT985)</f>
        <v/>
      </c>
      <c r="AV985" s="157" t="n"/>
      <c r="AW985" s="75">
        <f>_xlfn.IFNA(VLOOKUP(L985,list_vat[],3,FALSE),0)</f>
        <v/>
      </c>
      <c r="AX985" s="76">
        <f>IFERROR(ROUND(S985*(1+AW985)/E985,2),0)</f>
        <v/>
      </c>
      <c r="AY985" s="76">
        <f>E985*AX985</f>
        <v/>
      </c>
      <c r="AZ985" s="192">
        <f>S985*(1+M985)</f>
        <v/>
      </c>
      <c r="BA985" s="76">
        <f>cost_fin_total*$BD985</f>
        <v/>
      </c>
      <c r="BB985" s="193">
        <f>credit_sales_interest*BD985</f>
        <v/>
      </c>
      <c r="BC985" s="102">
        <f>IFERROR(IF($I$13&gt;0,$I985/$I$13,$S985/$S$13),0)</f>
        <v/>
      </c>
      <c r="BD985" s="102">
        <f>IFERROR($S985/$S$13,0)</f>
        <v/>
      </c>
      <c r="BE985" s="413" t="inlineStr">
        <is>
          <t>$</t>
        </is>
      </c>
    </row>
    <row r="986" ht="12" customFormat="1" customHeight="1" s="65">
      <c r="A986" s="43" t="n">
        <v>971</v>
      </c>
      <c r="B986" s="166" t="n"/>
      <c r="C986" s="166" t="n"/>
      <c r="D986" s="166" t="n"/>
      <c r="E986" s="162" t="n"/>
      <c r="F986" s="166" t="n"/>
      <c r="G986" s="162" t="n"/>
      <c r="H986" s="162" t="n"/>
      <c r="I986" s="189">
        <f>E986*G986</f>
        <v/>
      </c>
      <c r="J986" s="195" t="n"/>
      <c r="K986" s="162" t="n"/>
      <c r="L986" s="168" t="n"/>
      <c r="M986" s="75">
        <f>_xlfn.XLOOKUP(L986,list_vat[Страна],list_vat[Ставка НДС %],0,0)</f>
        <v/>
      </c>
      <c r="N986" s="162">
        <f>IFERROR(IF(L986="Китай",K986,K986/(1+M986)),0)</f>
        <v/>
      </c>
      <c r="O986" s="169" t="n"/>
      <c r="P986" s="76">
        <f>N986*(1-O986)</f>
        <v/>
      </c>
      <c r="Q986" s="162" t="n"/>
      <c r="R986" s="162">
        <f>IF(ISBLANK(Q986),"введи курс",P986/Q986)</f>
        <v/>
      </c>
      <c r="S986" s="196">
        <f>IF(AND(ISNUMBER(E986),ISNUMBER(Q986)),E986*R986,0)</f>
        <v/>
      </c>
      <c r="T986" s="192">
        <f>$BC986*V$11</f>
        <v/>
      </c>
      <c r="U986" s="76">
        <f>$BC986*W$11</f>
        <v/>
      </c>
      <c r="V986" s="193">
        <f>+SUM(T986:U986)</f>
        <v/>
      </c>
      <c r="W986" s="191" t="n"/>
      <c r="X986" s="170" t="n"/>
      <c r="Y986" s="76">
        <f>ROUND(IF(offer_incoterms="DDP",X986*(S986*(1+AW986)+T986),0),2)</f>
        <v/>
      </c>
      <c r="Z986" s="188" t="n"/>
      <c r="AA986" s="192">
        <f>IFERROR(AB986/E986,0)</f>
        <v/>
      </c>
      <c r="AB986" s="76">
        <f>ROUND(SUM(S986,V986,Y986:Z986,BA986:BB986),2)</f>
        <v/>
      </c>
      <c r="AC986" s="797" t="n"/>
      <c r="AD986" s="192">
        <f t="array" ref="AD986">IFERROR(ROUND((_xlfn.IFS(offer_sale_type="поставка",AB986,offer_sale_type="транзит",S986)*(1+AC986))/E986,2),0)</f>
        <v/>
      </c>
      <c r="AE986" s="76">
        <f>AD986*E986</f>
        <v/>
      </c>
      <c r="AF986" s="193">
        <f t="array" ref="AF986">IFERROR(ROUND(_xlfn.IFS(offer_sale_type="поставка",AB986,offer_sale_type="транзит",S986)*AC986,2),0)</f>
        <v/>
      </c>
      <c r="AG986" s="192">
        <f>$BD986*VLOOKUP($AG$3,$AF$4:$AG$7,2,FALSE)</f>
        <v/>
      </c>
      <c r="AH986" s="76">
        <f>SUM(AE986,AG986,AI986)*rate_forex_risk</f>
        <v/>
      </c>
      <c r="AI986" s="193">
        <f>IF(OR(seller_region="TR",offer_sale_type="экспорт"),0,rate_fin_comm)*SUM(AZ986,AZ986*AW986,T986)</f>
        <v/>
      </c>
      <c r="AJ986" s="118">
        <f>IFERROR(ROUND(SUM(AB986,AF986:AI986)/E986,2),0)</f>
        <v/>
      </c>
      <c r="AK986" s="76">
        <f>AJ986*E986</f>
        <v/>
      </c>
      <c r="AL986" s="174">
        <f>ROUND(IFERROR(AM986*E986,0),2)</f>
        <v/>
      </c>
      <c r="AM986" s="175">
        <f>ROUND(AJ986*(1+IF(offer_incoterms="DDP",IF((TODAY()+offer_turnaround_time)&gt;=helpsheet!$L$17,rate_vatRU_from_26,rate_vatRu_till_25),0)),2)</f>
        <v/>
      </c>
      <c r="AN986" s="192">
        <f>AL986-AK986</f>
        <v/>
      </c>
      <c r="AO986" s="76">
        <f>SUM(AY986,Y986:Z986,T986)*IF(AND(offer_incoterms="DDP",offer_sale_type&lt;&gt;"экспорт"),IF((TODAY()+offer_turnaround_time)&gt;=helpsheet!$L$17,rate_vatRU_from_26,rate_vatRu_till_25),0)</f>
        <v/>
      </c>
      <c r="AP986" s="193">
        <f>AN986-AO986</f>
        <v/>
      </c>
      <c r="AQ986" s="118">
        <f>IF(offer_sale_type="транзит",SUM(AF986:AI986,BA986,BB986),0)</f>
        <v/>
      </c>
      <c r="AR986" s="82">
        <f>HYPERLINK("https://www.alta.ru/tnved/code/")&amp;W986&amp;"/"</f>
        <v/>
      </c>
      <c r="AS986" s="157" t="n"/>
      <c r="AT986" s="162" t="n"/>
      <c r="AU986" s="76">
        <f>IF(ISBLANK(AT986),0,AJ986-AT986)</f>
        <v/>
      </c>
      <c r="AV986" s="157" t="n"/>
      <c r="AW986" s="75">
        <f>_xlfn.IFNA(VLOOKUP(L986,list_vat[],3,FALSE),0)</f>
        <v/>
      </c>
      <c r="AX986" s="76">
        <f>IFERROR(ROUND(S986*(1+AW986)/E986,2),0)</f>
        <v/>
      </c>
      <c r="AY986" s="76">
        <f>E986*AX986</f>
        <v/>
      </c>
      <c r="AZ986" s="192">
        <f>S986*(1+M986)</f>
        <v/>
      </c>
      <c r="BA986" s="76">
        <f>cost_fin_total*$BD986</f>
        <v/>
      </c>
      <c r="BB986" s="193">
        <f>credit_sales_interest*BD986</f>
        <v/>
      </c>
      <c r="BC986" s="102">
        <f>IFERROR(IF($I$13&gt;0,$I986/$I$13,$S986/$S$13),0)</f>
        <v/>
      </c>
      <c r="BD986" s="102">
        <f>IFERROR($S986/$S$13,0)</f>
        <v/>
      </c>
      <c r="BE986" s="413" t="inlineStr">
        <is>
          <t>$</t>
        </is>
      </c>
    </row>
    <row r="987" ht="12" customFormat="1" customHeight="1" s="65">
      <c r="A987" s="43" t="n">
        <v>972</v>
      </c>
      <c r="B987" s="166" t="n"/>
      <c r="C987" s="166" t="n"/>
      <c r="D987" s="166" t="n"/>
      <c r="E987" s="162" t="n"/>
      <c r="F987" s="166" t="n"/>
      <c r="G987" s="162" t="n"/>
      <c r="H987" s="162" t="n"/>
      <c r="I987" s="189">
        <f>E987*G987</f>
        <v/>
      </c>
      <c r="J987" s="195" t="n"/>
      <c r="K987" s="162" t="n"/>
      <c r="L987" s="168" t="n"/>
      <c r="M987" s="75">
        <f>_xlfn.XLOOKUP(L987,list_vat[Страна],list_vat[Ставка НДС %],0,0)</f>
        <v/>
      </c>
      <c r="N987" s="162">
        <f>IFERROR(IF(L987="Китай",K987,K987/(1+M987)),0)</f>
        <v/>
      </c>
      <c r="O987" s="169" t="n"/>
      <c r="P987" s="76">
        <f>N987*(1-O987)</f>
        <v/>
      </c>
      <c r="Q987" s="162" t="n"/>
      <c r="R987" s="162">
        <f>IF(ISBLANK(Q987),"введи курс",P987/Q987)</f>
        <v/>
      </c>
      <c r="S987" s="196">
        <f>IF(AND(ISNUMBER(E987),ISNUMBER(Q987)),E987*R987,0)</f>
        <v/>
      </c>
      <c r="T987" s="192">
        <f>$BC987*V$11</f>
        <v/>
      </c>
      <c r="U987" s="76">
        <f>$BC987*W$11</f>
        <v/>
      </c>
      <c r="V987" s="193">
        <f>+SUM(T987:U987)</f>
        <v/>
      </c>
      <c r="W987" s="191" t="n"/>
      <c r="X987" s="170" t="n"/>
      <c r="Y987" s="76">
        <f>ROUND(IF(offer_incoterms="DDP",X987*(S987*(1+AW987)+T987),0),2)</f>
        <v/>
      </c>
      <c r="Z987" s="188" t="n"/>
      <c r="AA987" s="192">
        <f>IFERROR(AB987/E987,0)</f>
        <v/>
      </c>
      <c r="AB987" s="76">
        <f>ROUND(SUM(S987,V987,Y987:Z987,BA987:BB987),2)</f>
        <v/>
      </c>
      <c r="AC987" s="797" t="n"/>
      <c r="AD987" s="192">
        <f t="array" ref="AD987">IFERROR(ROUND((_xlfn.IFS(offer_sale_type="поставка",AB987,offer_sale_type="транзит",S987)*(1+AC987))/E987,2),0)</f>
        <v/>
      </c>
      <c r="AE987" s="76">
        <f>AD987*E987</f>
        <v/>
      </c>
      <c r="AF987" s="193">
        <f t="array" ref="AF987">IFERROR(ROUND(_xlfn.IFS(offer_sale_type="поставка",AB987,offer_sale_type="транзит",S987)*AC987,2),0)</f>
        <v/>
      </c>
      <c r="AG987" s="192">
        <f>$BD987*VLOOKUP($AG$3,$AF$4:$AG$7,2,FALSE)</f>
        <v/>
      </c>
      <c r="AH987" s="76">
        <f>SUM(AE987,AG987,AI987)*rate_forex_risk</f>
        <v/>
      </c>
      <c r="AI987" s="193">
        <f>IF(OR(seller_region="TR",offer_sale_type="экспорт"),0,rate_fin_comm)*SUM(AZ987,AZ987*AW987,T987)</f>
        <v/>
      </c>
      <c r="AJ987" s="118">
        <f>IFERROR(ROUND(SUM(AB987,AF987:AI987)/E987,2),0)</f>
        <v/>
      </c>
      <c r="AK987" s="76">
        <f>AJ987*E987</f>
        <v/>
      </c>
      <c r="AL987" s="174">
        <f>ROUND(IFERROR(AM987*E987,0),2)</f>
        <v/>
      </c>
      <c r="AM987" s="175">
        <f>ROUND(AJ987*(1+IF(offer_incoterms="DDP",IF((TODAY()+offer_turnaround_time)&gt;=helpsheet!$L$17,rate_vatRU_from_26,rate_vatRu_till_25),0)),2)</f>
        <v/>
      </c>
      <c r="AN987" s="192">
        <f>AL987-AK987</f>
        <v/>
      </c>
      <c r="AO987" s="76">
        <f>SUM(AY987,Y987:Z987,T987)*IF(AND(offer_incoterms="DDP",offer_sale_type&lt;&gt;"экспорт"),IF((TODAY()+offer_turnaround_time)&gt;=helpsheet!$L$17,rate_vatRU_from_26,rate_vatRu_till_25),0)</f>
        <v/>
      </c>
      <c r="AP987" s="193">
        <f>AN987-AO987</f>
        <v/>
      </c>
      <c r="AQ987" s="118">
        <f>IF(offer_sale_type="транзит",SUM(AF987:AI987,BA987,BB987),0)</f>
        <v/>
      </c>
      <c r="AR987" s="82">
        <f>HYPERLINK("https://www.alta.ru/tnved/code/")&amp;W987&amp;"/"</f>
        <v/>
      </c>
      <c r="AS987" s="157" t="n"/>
      <c r="AT987" s="162" t="n"/>
      <c r="AU987" s="76">
        <f>IF(ISBLANK(AT987),0,AJ987-AT987)</f>
        <v/>
      </c>
      <c r="AV987" s="157" t="n"/>
      <c r="AW987" s="75">
        <f>_xlfn.IFNA(VLOOKUP(L987,list_vat[],3,FALSE),0)</f>
        <v/>
      </c>
      <c r="AX987" s="76">
        <f>IFERROR(ROUND(S987*(1+AW987)/E987,2),0)</f>
        <v/>
      </c>
      <c r="AY987" s="76">
        <f>E987*AX987</f>
        <v/>
      </c>
      <c r="AZ987" s="192">
        <f>S987*(1+M987)</f>
        <v/>
      </c>
      <c r="BA987" s="76">
        <f>cost_fin_total*$BD987</f>
        <v/>
      </c>
      <c r="BB987" s="193">
        <f>credit_sales_interest*BD987</f>
        <v/>
      </c>
      <c r="BC987" s="102">
        <f>IFERROR(IF($I$13&gt;0,$I987/$I$13,$S987/$S$13),0)</f>
        <v/>
      </c>
      <c r="BD987" s="102">
        <f>IFERROR($S987/$S$13,0)</f>
        <v/>
      </c>
      <c r="BE987" s="413" t="inlineStr">
        <is>
          <t>$</t>
        </is>
      </c>
    </row>
    <row r="988" ht="12" customFormat="1" customHeight="1" s="65">
      <c r="A988" s="43" t="n">
        <v>973</v>
      </c>
      <c r="B988" s="166" t="n"/>
      <c r="C988" s="166" t="n"/>
      <c r="D988" s="166" t="n"/>
      <c r="E988" s="162" t="n"/>
      <c r="F988" s="166" t="n"/>
      <c r="G988" s="162" t="n"/>
      <c r="H988" s="162" t="n"/>
      <c r="I988" s="189">
        <f>E988*G988</f>
        <v/>
      </c>
      <c r="J988" s="195" t="n"/>
      <c r="K988" s="162" t="n"/>
      <c r="L988" s="168" t="n"/>
      <c r="M988" s="75">
        <f>_xlfn.XLOOKUP(L988,list_vat[Страна],list_vat[Ставка НДС %],0,0)</f>
        <v/>
      </c>
      <c r="N988" s="162">
        <f>IFERROR(IF(L988="Китай",K988,K988/(1+M988)),0)</f>
        <v/>
      </c>
      <c r="O988" s="169" t="n"/>
      <c r="P988" s="76">
        <f>N988*(1-O988)</f>
        <v/>
      </c>
      <c r="Q988" s="162" t="n"/>
      <c r="R988" s="162">
        <f>IF(ISBLANK(Q988),"введи курс",P988/Q988)</f>
        <v/>
      </c>
      <c r="S988" s="196">
        <f>IF(AND(ISNUMBER(E988),ISNUMBER(Q988)),E988*R988,0)</f>
        <v/>
      </c>
      <c r="T988" s="192">
        <f>$BC988*V$11</f>
        <v/>
      </c>
      <c r="U988" s="76">
        <f>$BC988*W$11</f>
        <v/>
      </c>
      <c r="V988" s="193">
        <f>+SUM(T988:U988)</f>
        <v/>
      </c>
      <c r="W988" s="191" t="n"/>
      <c r="X988" s="170" t="n"/>
      <c r="Y988" s="76">
        <f>ROUND(IF(offer_incoterms="DDP",X988*(S988*(1+AW988)+T988),0),2)</f>
        <v/>
      </c>
      <c r="Z988" s="188" t="n"/>
      <c r="AA988" s="192">
        <f>IFERROR(AB988/E988,0)</f>
        <v/>
      </c>
      <c r="AB988" s="76">
        <f>ROUND(SUM(S988,V988,Y988:Z988,BA988:BB988),2)</f>
        <v/>
      </c>
      <c r="AC988" s="797" t="n"/>
      <c r="AD988" s="192">
        <f t="array" ref="AD988">IFERROR(ROUND((_xlfn.IFS(offer_sale_type="поставка",AB988,offer_sale_type="транзит",S988)*(1+AC988))/E988,2),0)</f>
        <v/>
      </c>
      <c r="AE988" s="76">
        <f>AD988*E988</f>
        <v/>
      </c>
      <c r="AF988" s="193">
        <f t="array" ref="AF988">IFERROR(ROUND(_xlfn.IFS(offer_sale_type="поставка",AB988,offer_sale_type="транзит",S988)*AC988,2),0)</f>
        <v/>
      </c>
      <c r="AG988" s="192">
        <f>$BD988*VLOOKUP($AG$3,$AF$4:$AG$7,2,FALSE)</f>
        <v/>
      </c>
      <c r="AH988" s="76">
        <f>SUM(AE988,AG988,AI988)*rate_forex_risk</f>
        <v/>
      </c>
      <c r="AI988" s="193">
        <f>IF(OR(seller_region="TR",offer_sale_type="экспорт"),0,rate_fin_comm)*SUM(AZ988,AZ988*AW988,T988)</f>
        <v/>
      </c>
      <c r="AJ988" s="118">
        <f>IFERROR(ROUND(SUM(AB988,AF988:AI988)/E988,2),0)</f>
        <v/>
      </c>
      <c r="AK988" s="76">
        <f>AJ988*E988</f>
        <v/>
      </c>
      <c r="AL988" s="174">
        <f>ROUND(IFERROR(AM988*E988,0),2)</f>
        <v/>
      </c>
      <c r="AM988" s="175">
        <f>ROUND(AJ988*(1+IF(offer_incoterms="DDP",IF((TODAY()+offer_turnaround_time)&gt;=helpsheet!$L$17,rate_vatRU_from_26,rate_vatRu_till_25),0)),2)</f>
        <v/>
      </c>
      <c r="AN988" s="192">
        <f>AL988-AK988</f>
        <v/>
      </c>
      <c r="AO988" s="76">
        <f>SUM(AY988,Y988:Z988,T988)*IF(AND(offer_incoterms="DDP",offer_sale_type&lt;&gt;"экспорт"),IF((TODAY()+offer_turnaround_time)&gt;=helpsheet!$L$17,rate_vatRU_from_26,rate_vatRu_till_25),0)</f>
        <v/>
      </c>
      <c r="AP988" s="193">
        <f>AN988-AO988</f>
        <v/>
      </c>
      <c r="AQ988" s="118">
        <f>IF(offer_sale_type="транзит",SUM(AF988:AI988,BA988,BB988),0)</f>
        <v/>
      </c>
      <c r="AR988" s="82">
        <f>HYPERLINK("https://www.alta.ru/tnved/code/")&amp;W988&amp;"/"</f>
        <v/>
      </c>
      <c r="AS988" s="157" t="n"/>
      <c r="AT988" s="162" t="n"/>
      <c r="AU988" s="76">
        <f>IF(ISBLANK(AT988),0,AJ988-AT988)</f>
        <v/>
      </c>
      <c r="AV988" s="157" t="n"/>
      <c r="AW988" s="75">
        <f>_xlfn.IFNA(VLOOKUP(L988,list_vat[],3,FALSE),0)</f>
        <v/>
      </c>
      <c r="AX988" s="76">
        <f>IFERROR(ROUND(S988*(1+AW988)/E988,2),0)</f>
        <v/>
      </c>
      <c r="AY988" s="76">
        <f>E988*AX988</f>
        <v/>
      </c>
      <c r="AZ988" s="192">
        <f>S988*(1+M988)</f>
        <v/>
      </c>
      <c r="BA988" s="76">
        <f>cost_fin_total*$BD988</f>
        <v/>
      </c>
      <c r="BB988" s="193">
        <f>credit_sales_interest*BD988</f>
        <v/>
      </c>
      <c r="BC988" s="102">
        <f>IFERROR(IF($I$13&gt;0,$I988/$I$13,$S988/$S$13),0)</f>
        <v/>
      </c>
      <c r="BD988" s="102">
        <f>IFERROR($S988/$S$13,0)</f>
        <v/>
      </c>
      <c r="BE988" s="413" t="inlineStr">
        <is>
          <t>$</t>
        </is>
      </c>
    </row>
    <row r="989" ht="12" customFormat="1" customHeight="1" s="65">
      <c r="A989" s="43" t="n">
        <v>974</v>
      </c>
      <c r="B989" s="166" t="n"/>
      <c r="C989" s="166" t="n"/>
      <c r="D989" s="166" t="n"/>
      <c r="E989" s="162" t="n"/>
      <c r="F989" s="166" t="n"/>
      <c r="G989" s="162" t="n"/>
      <c r="H989" s="162" t="n"/>
      <c r="I989" s="189">
        <f>E989*G989</f>
        <v/>
      </c>
      <c r="J989" s="195" t="n"/>
      <c r="K989" s="162" t="n"/>
      <c r="L989" s="168" t="n"/>
      <c r="M989" s="75">
        <f>_xlfn.XLOOKUP(L989,list_vat[Страна],list_vat[Ставка НДС %],0,0)</f>
        <v/>
      </c>
      <c r="N989" s="162">
        <f>IFERROR(IF(L989="Китай",K989,K989/(1+M989)),0)</f>
        <v/>
      </c>
      <c r="O989" s="169" t="n"/>
      <c r="P989" s="76">
        <f>N989*(1-O989)</f>
        <v/>
      </c>
      <c r="Q989" s="162" t="n"/>
      <c r="R989" s="162">
        <f>IF(ISBLANK(Q989),"введи курс",P989/Q989)</f>
        <v/>
      </c>
      <c r="S989" s="196">
        <f>IF(AND(ISNUMBER(E989),ISNUMBER(Q989)),E989*R989,0)</f>
        <v/>
      </c>
      <c r="T989" s="192">
        <f>$BC989*V$11</f>
        <v/>
      </c>
      <c r="U989" s="76">
        <f>$BC989*W$11</f>
        <v/>
      </c>
      <c r="V989" s="193">
        <f>+SUM(T989:U989)</f>
        <v/>
      </c>
      <c r="W989" s="191" t="n"/>
      <c r="X989" s="170" t="n"/>
      <c r="Y989" s="76">
        <f>ROUND(IF(offer_incoterms="DDP",X989*(S989*(1+AW989)+T989),0),2)</f>
        <v/>
      </c>
      <c r="Z989" s="188" t="n"/>
      <c r="AA989" s="192">
        <f>IFERROR(AB989/E989,0)</f>
        <v/>
      </c>
      <c r="AB989" s="76">
        <f>ROUND(SUM(S989,V989,Y989:Z989,BA989:BB989),2)</f>
        <v/>
      </c>
      <c r="AC989" s="797" t="n"/>
      <c r="AD989" s="192">
        <f t="array" ref="AD989">IFERROR(ROUND((_xlfn.IFS(offer_sale_type="поставка",AB989,offer_sale_type="транзит",S989)*(1+AC989))/E989,2),0)</f>
        <v/>
      </c>
      <c r="AE989" s="76">
        <f>AD989*E989</f>
        <v/>
      </c>
      <c r="AF989" s="193">
        <f t="array" ref="AF989">IFERROR(ROUND(_xlfn.IFS(offer_sale_type="поставка",AB989,offer_sale_type="транзит",S989)*AC989,2),0)</f>
        <v/>
      </c>
      <c r="AG989" s="192">
        <f>$BD989*VLOOKUP($AG$3,$AF$4:$AG$7,2,FALSE)</f>
        <v/>
      </c>
      <c r="AH989" s="76">
        <f>SUM(AE989,AG989,AI989)*rate_forex_risk</f>
        <v/>
      </c>
      <c r="AI989" s="193">
        <f>IF(OR(seller_region="TR",offer_sale_type="экспорт"),0,rate_fin_comm)*SUM(AZ989,AZ989*AW989,T989)</f>
        <v/>
      </c>
      <c r="AJ989" s="118">
        <f>IFERROR(ROUND(SUM(AB989,AF989:AI989)/E989,2),0)</f>
        <v/>
      </c>
      <c r="AK989" s="76">
        <f>AJ989*E989</f>
        <v/>
      </c>
      <c r="AL989" s="174">
        <f>ROUND(IFERROR(AM989*E989,0),2)</f>
        <v/>
      </c>
      <c r="AM989" s="175">
        <f>ROUND(AJ989*(1+IF(offer_incoterms="DDP",IF((TODAY()+offer_turnaround_time)&gt;=helpsheet!$L$17,rate_vatRU_from_26,rate_vatRu_till_25),0)),2)</f>
        <v/>
      </c>
      <c r="AN989" s="192">
        <f>AL989-AK989</f>
        <v/>
      </c>
      <c r="AO989" s="76">
        <f>SUM(AY989,Y989:Z989,T989)*IF(AND(offer_incoterms="DDP",offer_sale_type&lt;&gt;"экспорт"),IF((TODAY()+offer_turnaround_time)&gt;=helpsheet!$L$17,rate_vatRU_from_26,rate_vatRu_till_25),0)</f>
        <v/>
      </c>
      <c r="AP989" s="193">
        <f>AN989-AO989</f>
        <v/>
      </c>
      <c r="AQ989" s="118">
        <f>IF(offer_sale_type="транзит",SUM(AF989:AI989,BA989,BB989),0)</f>
        <v/>
      </c>
      <c r="AR989" s="82">
        <f>HYPERLINK("https://www.alta.ru/tnved/code/")&amp;W989&amp;"/"</f>
        <v/>
      </c>
      <c r="AS989" s="157" t="n"/>
      <c r="AT989" s="162" t="n"/>
      <c r="AU989" s="76">
        <f>IF(ISBLANK(AT989),0,AJ989-AT989)</f>
        <v/>
      </c>
      <c r="AV989" s="157" t="n"/>
      <c r="AW989" s="75">
        <f>_xlfn.IFNA(VLOOKUP(L989,list_vat[],3,FALSE),0)</f>
        <v/>
      </c>
      <c r="AX989" s="76">
        <f>IFERROR(ROUND(S989*(1+AW989)/E989,2),0)</f>
        <v/>
      </c>
      <c r="AY989" s="76">
        <f>E989*AX989</f>
        <v/>
      </c>
      <c r="AZ989" s="192">
        <f>S989*(1+M989)</f>
        <v/>
      </c>
      <c r="BA989" s="76">
        <f>cost_fin_total*$BD989</f>
        <v/>
      </c>
      <c r="BB989" s="193">
        <f>credit_sales_interest*BD989</f>
        <v/>
      </c>
      <c r="BC989" s="102">
        <f>IFERROR(IF($I$13&gt;0,$I989/$I$13,$S989/$S$13),0)</f>
        <v/>
      </c>
      <c r="BD989" s="102">
        <f>IFERROR($S989/$S$13,0)</f>
        <v/>
      </c>
      <c r="BE989" s="413" t="inlineStr">
        <is>
          <t>$</t>
        </is>
      </c>
    </row>
    <row r="990" ht="12" customFormat="1" customHeight="1" s="65">
      <c r="A990" s="43" t="n">
        <v>975</v>
      </c>
      <c r="B990" s="166" t="n"/>
      <c r="C990" s="166" t="n"/>
      <c r="D990" s="166" t="n"/>
      <c r="E990" s="162" t="n"/>
      <c r="F990" s="166" t="n"/>
      <c r="G990" s="162" t="n"/>
      <c r="H990" s="162" t="n"/>
      <c r="I990" s="189">
        <f>E990*G990</f>
        <v/>
      </c>
      <c r="J990" s="195" t="n"/>
      <c r="K990" s="162" t="n"/>
      <c r="L990" s="168" t="n"/>
      <c r="M990" s="75">
        <f>_xlfn.XLOOKUP(L990,list_vat[Страна],list_vat[Ставка НДС %],0,0)</f>
        <v/>
      </c>
      <c r="N990" s="162">
        <f>IFERROR(IF(L990="Китай",K990,K990/(1+M990)),0)</f>
        <v/>
      </c>
      <c r="O990" s="169" t="n"/>
      <c r="P990" s="76">
        <f>N990*(1-O990)</f>
        <v/>
      </c>
      <c r="Q990" s="162" t="n"/>
      <c r="R990" s="162">
        <f>IF(ISBLANK(Q990),"введи курс",P990/Q990)</f>
        <v/>
      </c>
      <c r="S990" s="196">
        <f>IF(AND(ISNUMBER(E990),ISNUMBER(Q990)),E990*R990,0)</f>
        <v/>
      </c>
      <c r="T990" s="192">
        <f>$BC990*V$11</f>
        <v/>
      </c>
      <c r="U990" s="76">
        <f>$BC990*W$11</f>
        <v/>
      </c>
      <c r="V990" s="193">
        <f>+SUM(T990:U990)</f>
        <v/>
      </c>
      <c r="W990" s="191" t="n"/>
      <c r="X990" s="170" t="n"/>
      <c r="Y990" s="76">
        <f>ROUND(IF(offer_incoterms="DDP",X990*(S990*(1+AW990)+T990),0),2)</f>
        <v/>
      </c>
      <c r="Z990" s="188" t="n"/>
      <c r="AA990" s="192">
        <f>IFERROR(AB990/E990,0)</f>
        <v/>
      </c>
      <c r="AB990" s="76">
        <f>ROUND(SUM(S990,V990,Y990:Z990,BA990:BB990),2)</f>
        <v/>
      </c>
      <c r="AC990" s="797" t="n"/>
      <c r="AD990" s="192">
        <f t="array" ref="AD990">IFERROR(ROUND((_xlfn.IFS(offer_sale_type="поставка",AB990,offer_sale_type="транзит",S990)*(1+AC990))/E990,2),0)</f>
        <v/>
      </c>
      <c r="AE990" s="76">
        <f>AD990*E990</f>
        <v/>
      </c>
      <c r="AF990" s="193">
        <f t="array" ref="AF990">IFERROR(ROUND(_xlfn.IFS(offer_sale_type="поставка",AB990,offer_sale_type="транзит",S990)*AC990,2),0)</f>
        <v/>
      </c>
      <c r="AG990" s="192">
        <f>$BD990*VLOOKUP($AG$3,$AF$4:$AG$7,2,FALSE)</f>
        <v/>
      </c>
      <c r="AH990" s="76">
        <f>SUM(AE990,AG990,AI990)*rate_forex_risk</f>
        <v/>
      </c>
      <c r="AI990" s="193">
        <f>IF(OR(seller_region="TR",offer_sale_type="экспорт"),0,rate_fin_comm)*SUM(AZ990,AZ990*AW990,T990)</f>
        <v/>
      </c>
      <c r="AJ990" s="118">
        <f>IFERROR(ROUND(SUM(AB990,AF990:AI990)/E990,2),0)</f>
        <v/>
      </c>
      <c r="AK990" s="76">
        <f>AJ990*E990</f>
        <v/>
      </c>
      <c r="AL990" s="174">
        <f>ROUND(IFERROR(AM990*E990,0),2)</f>
        <v/>
      </c>
      <c r="AM990" s="175">
        <f>ROUND(AJ990*(1+IF(offer_incoterms="DDP",IF((TODAY()+offer_turnaround_time)&gt;=helpsheet!$L$17,rate_vatRU_from_26,rate_vatRu_till_25),0)),2)</f>
        <v/>
      </c>
      <c r="AN990" s="192">
        <f>AL990-AK990</f>
        <v/>
      </c>
      <c r="AO990" s="76">
        <f>SUM(AY990,Y990:Z990,T990)*IF(AND(offer_incoterms="DDP",offer_sale_type&lt;&gt;"экспорт"),IF((TODAY()+offer_turnaround_time)&gt;=helpsheet!$L$17,rate_vatRU_from_26,rate_vatRu_till_25),0)</f>
        <v/>
      </c>
      <c r="AP990" s="193">
        <f>AN990-AO990</f>
        <v/>
      </c>
      <c r="AQ990" s="118">
        <f>IF(offer_sale_type="транзит",SUM(AF990:AI990,BA990,BB990),0)</f>
        <v/>
      </c>
      <c r="AR990" s="82">
        <f>HYPERLINK("https://www.alta.ru/tnved/code/")&amp;W990&amp;"/"</f>
        <v/>
      </c>
      <c r="AS990" s="157" t="n"/>
      <c r="AT990" s="162" t="n"/>
      <c r="AU990" s="76">
        <f>IF(ISBLANK(AT990),0,AJ990-AT990)</f>
        <v/>
      </c>
      <c r="AV990" s="157" t="n"/>
      <c r="AW990" s="75">
        <f>_xlfn.IFNA(VLOOKUP(L990,list_vat[],3,FALSE),0)</f>
        <v/>
      </c>
      <c r="AX990" s="76">
        <f>IFERROR(ROUND(S990*(1+AW990)/E990,2),0)</f>
        <v/>
      </c>
      <c r="AY990" s="76">
        <f>E990*AX990</f>
        <v/>
      </c>
      <c r="AZ990" s="192">
        <f>S990*(1+M990)</f>
        <v/>
      </c>
      <c r="BA990" s="76">
        <f>cost_fin_total*$BD990</f>
        <v/>
      </c>
      <c r="BB990" s="193">
        <f>credit_sales_interest*BD990</f>
        <v/>
      </c>
      <c r="BC990" s="102">
        <f>IFERROR(IF($I$13&gt;0,$I990/$I$13,$S990/$S$13),0)</f>
        <v/>
      </c>
      <c r="BD990" s="102">
        <f>IFERROR($S990/$S$13,0)</f>
        <v/>
      </c>
      <c r="BE990" s="413" t="inlineStr">
        <is>
          <t>$</t>
        </is>
      </c>
    </row>
    <row r="991" ht="12" customFormat="1" customHeight="1" s="65">
      <c r="A991" s="43" t="n">
        <v>976</v>
      </c>
      <c r="B991" s="166" t="n"/>
      <c r="C991" s="166" t="n"/>
      <c r="D991" s="166" t="n"/>
      <c r="E991" s="162" t="n"/>
      <c r="F991" s="166" t="n"/>
      <c r="G991" s="162" t="n"/>
      <c r="H991" s="162" t="n"/>
      <c r="I991" s="189">
        <f>E991*G991</f>
        <v/>
      </c>
      <c r="J991" s="195" t="n"/>
      <c r="K991" s="162" t="n"/>
      <c r="L991" s="168" t="n"/>
      <c r="M991" s="75">
        <f>_xlfn.XLOOKUP(L991,list_vat[Страна],list_vat[Ставка НДС %],0,0)</f>
        <v/>
      </c>
      <c r="N991" s="162">
        <f>IFERROR(IF(L991="Китай",K991,K991/(1+M991)),0)</f>
        <v/>
      </c>
      <c r="O991" s="169" t="n"/>
      <c r="P991" s="76">
        <f>N991*(1-O991)</f>
        <v/>
      </c>
      <c r="Q991" s="162" t="n"/>
      <c r="R991" s="162">
        <f>IF(ISBLANK(Q991),"введи курс",P991/Q991)</f>
        <v/>
      </c>
      <c r="S991" s="196">
        <f>IF(AND(ISNUMBER(E991),ISNUMBER(Q991)),E991*R991,0)</f>
        <v/>
      </c>
      <c r="T991" s="192">
        <f>$BC991*V$11</f>
        <v/>
      </c>
      <c r="U991" s="76">
        <f>$BC991*W$11</f>
        <v/>
      </c>
      <c r="V991" s="193">
        <f>+SUM(T991:U991)</f>
        <v/>
      </c>
      <c r="W991" s="191" t="n"/>
      <c r="X991" s="170" t="n"/>
      <c r="Y991" s="76">
        <f>ROUND(IF(offer_incoterms="DDP",X991*(S991*(1+AW991)+T991),0),2)</f>
        <v/>
      </c>
      <c r="Z991" s="188" t="n"/>
      <c r="AA991" s="192">
        <f>IFERROR(AB991/E991,0)</f>
        <v/>
      </c>
      <c r="AB991" s="76">
        <f>ROUND(SUM(S991,V991,Y991:Z991,BA991:BB991),2)</f>
        <v/>
      </c>
      <c r="AC991" s="797" t="n"/>
      <c r="AD991" s="192">
        <f t="array" ref="AD991">IFERROR(ROUND((_xlfn.IFS(offer_sale_type="поставка",AB991,offer_sale_type="транзит",S991)*(1+AC991))/E991,2),0)</f>
        <v/>
      </c>
      <c r="AE991" s="76">
        <f>AD991*E991</f>
        <v/>
      </c>
      <c r="AF991" s="193">
        <f t="array" ref="AF991">IFERROR(ROUND(_xlfn.IFS(offer_sale_type="поставка",AB991,offer_sale_type="транзит",S991)*AC991,2),0)</f>
        <v/>
      </c>
      <c r="AG991" s="192">
        <f>$BD991*VLOOKUP($AG$3,$AF$4:$AG$7,2,FALSE)</f>
        <v/>
      </c>
      <c r="AH991" s="76">
        <f>SUM(AE991,AG991,AI991)*rate_forex_risk</f>
        <v/>
      </c>
      <c r="AI991" s="193">
        <f>IF(OR(seller_region="TR",offer_sale_type="экспорт"),0,rate_fin_comm)*SUM(AZ991,AZ991*AW991,T991)</f>
        <v/>
      </c>
      <c r="AJ991" s="118">
        <f>IFERROR(ROUND(SUM(AB991,AF991:AI991)/E991,2),0)</f>
        <v/>
      </c>
      <c r="AK991" s="76">
        <f>AJ991*E991</f>
        <v/>
      </c>
      <c r="AL991" s="174">
        <f>ROUND(IFERROR(AM991*E991,0),2)</f>
        <v/>
      </c>
      <c r="AM991" s="175">
        <f>ROUND(AJ991*(1+IF(offer_incoterms="DDP",IF((TODAY()+offer_turnaround_time)&gt;=helpsheet!$L$17,rate_vatRU_from_26,rate_vatRu_till_25),0)),2)</f>
        <v/>
      </c>
      <c r="AN991" s="192">
        <f>AL991-AK991</f>
        <v/>
      </c>
      <c r="AO991" s="76">
        <f>SUM(AY991,Y991:Z991,T991)*IF(AND(offer_incoterms="DDP",offer_sale_type&lt;&gt;"экспорт"),IF((TODAY()+offer_turnaround_time)&gt;=helpsheet!$L$17,rate_vatRU_from_26,rate_vatRu_till_25),0)</f>
        <v/>
      </c>
      <c r="AP991" s="193">
        <f>AN991-AO991</f>
        <v/>
      </c>
      <c r="AQ991" s="118">
        <f>IF(offer_sale_type="транзит",SUM(AF991:AI991,BA991,BB991),0)</f>
        <v/>
      </c>
      <c r="AR991" s="82">
        <f>HYPERLINK("https://www.alta.ru/tnved/code/")&amp;W991&amp;"/"</f>
        <v/>
      </c>
      <c r="AS991" s="157" t="n"/>
      <c r="AT991" s="162" t="n"/>
      <c r="AU991" s="76">
        <f>IF(ISBLANK(AT991),0,AJ991-AT991)</f>
        <v/>
      </c>
      <c r="AV991" s="157" t="n"/>
      <c r="AW991" s="75">
        <f>_xlfn.IFNA(VLOOKUP(L991,list_vat[],3,FALSE),0)</f>
        <v/>
      </c>
      <c r="AX991" s="76">
        <f>IFERROR(ROUND(S991*(1+AW991)/E991,2),0)</f>
        <v/>
      </c>
      <c r="AY991" s="76">
        <f>E991*AX991</f>
        <v/>
      </c>
      <c r="AZ991" s="192">
        <f>S991*(1+M991)</f>
        <v/>
      </c>
      <c r="BA991" s="76">
        <f>cost_fin_total*$BD991</f>
        <v/>
      </c>
      <c r="BB991" s="193">
        <f>credit_sales_interest*BD991</f>
        <v/>
      </c>
      <c r="BC991" s="102">
        <f>IFERROR(IF($I$13&gt;0,$I991/$I$13,$S991/$S$13),0)</f>
        <v/>
      </c>
      <c r="BD991" s="102">
        <f>IFERROR($S991/$S$13,0)</f>
        <v/>
      </c>
      <c r="BE991" s="413" t="inlineStr">
        <is>
          <t>$</t>
        </is>
      </c>
    </row>
    <row r="992" ht="12" customFormat="1" customHeight="1" s="65">
      <c r="A992" s="43" t="n">
        <v>977</v>
      </c>
      <c r="B992" s="166" t="n"/>
      <c r="C992" s="166" t="n"/>
      <c r="D992" s="166" t="n"/>
      <c r="E992" s="162" t="n"/>
      <c r="F992" s="166" t="n"/>
      <c r="G992" s="162" t="n"/>
      <c r="H992" s="162" t="n"/>
      <c r="I992" s="189">
        <f>E992*G992</f>
        <v/>
      </c>
      <c r="J992" s="195" t="n"/>
      <c r="K992" s="162" t="n"/>
      <c r="L992" s="168" t="n"/>
      <c r="M992" s="75">
        <f>_xlfn.XLOOKUP(L992,list_vat[Страна],list_vat[Ставка НДС %],0,0)</f>
        <v/>
      </c>
      <c r="N992" s="162">
        <f>IFERROR(IF(L992="Китай",K992,K992/(1+M992)),0)</f>
        <v/>
      </c>
      <c r="O992" s="169" t="n"/>
      <c r="P992" s="76">
        <f>N992*(1-O992)</f>
        <v/>
      </c>
      <c r="Q992" s="162" t="n"/>
      <c r="R992" s="162">
        <f>IF(ISBLANK(Q992),"введи курс",P992/Q992)</f>
        <v/>
      </c>
      <c r="S992" s="196">
        <f>IF(AND(ISNUMBER(E992),ISNUMBER(Q992)),E992*R992,0)</f>
        <v/>
      </c>
      <c r="T992" s="192">
        <f>$BC992*V$11</f>
        <v/>
      </c>
      <c r="U992" s="76">
        <f>$BC992*W$11</f>
        <v/>
      </c>
      <c r="V992" s="193">
        <f>+SUM(T992:U992)</f>
        <v/>
      </c>
      <c r="W992" s="191" t="n"/>
      <c r="X992" s="170" t="n"/>
      <c r="Y992" s="76">
        <f>ROUND(IF(offer_incoterms="DDP",X992*(S992*(1+AW992)+T992),0),2)</f>
        <v/>
      </c>
      <c r="Z992" s="188" t="n"/>
      <c r="AA992" s="192">
        <f>IFERROR(AB992/E992,0)</f>
        <v/>
      </c>
      <c r="AB992" s="76">
        <f>ROUND(SUM(S992,V992,Y992:Z992,BA992:BB992),2)</f>
        <v/>
      </c>
      <c r="AC992" s="797" t="n"/>
      <c r="AD992" s="192">
        <f t="array" ref="AD992">IFERROR(ROUND((_xlfn.IFS(offer_sale_type="поставка",AB992,offer_sale_type="транзит",S992)*(1+AC992))/E992,2),0)</f>
        <v/>
      </c>
      <c r="AE992" s="76">
        <f>AD992*E992</f>
        <v/>
      </c>
      <c r="AF992" s="193">
        <f t="array" ref="AF992">IFERROR(ROUND(_xlfn.IFS(offer_sale_type="поставка",AB992,offer_sale_type="транзит",S992)*AC992,2),0)</f>
        <v/>
      </c>
      <c r="AG992" s="192">
        <f>$BD992*VLOOKUP($AG$3,$AF$4:$AG$7,2,FALSE)</f>
        <v/>
      </c>
      <c r="AH992" s="76">
        <f>SUM(AE992,AG992,AI992)*rate_forex_risk</f>
        <v/>
      </c>
      <c r="AI992" s="193">
        <f>IF(OR(seller_region="TR",offer_sale_type="экспорт"),0,rate_fin_comm)*SUM(AZ992,AZ992*AW992,T992)</f>
        <v/>
      </c>
      <c r="AJ992" s="118">
        <f>IFERROR(ROUND(SUM(AB992,AF992:AI992)/E992,2),0)</f>
        <v/>
      </c>
      <c r="AK992" s="76">
        <f>AJ992*E992</f>
        <v/>
      </c>
      <c r="AL992" s="174">
        <f>ROUND(IFERROR(AM992*E992,0),2)</f>
        <v/>
      </c>
      <c r="AM992" s="175">
        <f>ROUND(AJ992*(1+IF(offer_incoterms="DDP",IF((TODAY()+offer_turnaround_time)&gt;=helpsheet!$L$17,rate_vatRU_from_26,rate_vatRu_till_25),0)),2)</f>
        <v/>
      </c>
      <c r="AN992" s="192">
        <f>AL992-AK992</f>
        <v/>
      </c>
      <c r="AO992" s="76">
        <f>SUM(AY992,Y992:Z992,T992)*IF(AND(offer_incoterms="DDP",offer_sale_type&lt;&gt;"экспорт"),IF((TODAY()+offer_turnaround_time)&gt;=helpsheet!$L$17,rate_vatRU_from_26,rate_vatRu_till_25),0)</f>
        <v/>
      </c>
      <c r="AP992" s="193">
        <f>AN992-AO992</f>
        <v/>
      </c>
      <c r="AQ992" s="118">
        <f>IF(offer_sale_type="транзит",SUM(AF992:AI992,BA992,BB992),0)</f>
        <v/>
      </c>
      <c r="AR992" s="82">
        <f>HYPERLINK("https://www.alta.ru/tnved/code/")&amp;W992&amp;"/"</f>
        <v/>
      </c>
      <c r="AS992" s="157" t="n"/>
      <c r="AT992" s="162" t="n"/>
      <c r="AU992" s="76">
        <f>IF(ISBLANK(AT992),0,AJ992-AT992)</f>
        <v/>
      </c>
      <c r="AV992" s="157" t="n"/>
      <c r="AW992" s="75">
        <f>_xlfn.IFNA(VLOOKUP(L992,list_vat[],3,FALSE),0)</f>
        <v/>
      </c>
      <c r="AX992" s="76">
        <f>IFERROR(ROUND(S992*(1+AW992)/E992,2),0)</f>
        <v/>
      </c>
      <c r="AY992" s="76">
        <f>E992*AX992</f>
        <v/>
      </c>
      <c r="AZ992" s="192">
        <f>S992*(1+M992)</f>
        <v/>
      </c>
      <c r="BA992" s="76">
        <f>cost_fin_total*$BD992</f>
        <v/>
      </c>
      <c r="BB992" s="193">
        <f>credit_sales_interest*BD992</f>
        <v/>
      </c>
      <c r="BC992" s="102">
        <f>IFERROR(IF($I$13&gt;0,$I992/$I$13,$S992/$S$13),0)</f>
        <v/>
      </c>
      <c r="BD992" s="102">
        <f>IFERROR($S992/$S$13,0)</f>
        <v/>
      </c>
      <c r="BE992" s="413" t="inlineStr">
        <is>
          <t>$</t>
        </is>
      </c>
    </row>
    <row r="993" ht="12" customFormat="1" customHeight="1" s="65">
      <c r="A993" s="43" t="n">
        <v>978</v>
      </c>
      <c r="B993" s="166" t="n"/>
      <c r="C993" s="166" t="n"/>
      <c r="D993" s="166" t="n"/>
      <c r="E993" s="162" t="n"/>
      <c r="F993" s="166" t="n"/>
      <c r="G993" s="162" t="n"/>
      <c r="H993" s="162" t="n"/>
      <c r="I993" s="189">
        <f>E993*G993</f>
        <v/>
      </c>
      <c r="J993" s="195" t="n"/>
      <c r="K993" s="162" t="n"/>
      <c r="L993" s="168" t="n"/>
      <c r="M993" s="75">
        <f>_xlfn.XLOOKUP(L993,list_vat[Страна],list_vat[Ставка НДС %],0,0)</f>
        <v/>
      </c>
      <c r="N993" s="162">
        <f>IFERROR(IF(L993="Китай",K993,K993/(1+M993)),0)</f>
        <v/>
      </c>
      <c r="O993" s="169" t="n"/>
      <c r="P993" s="76">
        <f>N993*(1-O993)</f>
        <v/>
      </c>
      <c r="Q993" s="162" t="n"/>
      <c r="R993" s="162">
        <f>IF(ISBLANK(Q993),"введи курс",P993/Q993)</f>
        <v/>
      </c>
      <c r="S993" s="196">
        <f>IF(AND(ISNUMBER(E993),ISNUMBER(Q993)),E993*R993,0)</f>
        <v/>
      </c>
      <c r="T993" s="192">
        <f>$BC993*V$11</f>
        <v/>
      </c>
      <c r="U993" s="76">
        <f>$BC993*W$11</f>
        <v/>
      </c>
      <c r="V993" s="193">
        <f>+SUM(T993:U993)</f>
        <v/>
      </c>
      <c r="W993" s="191" t="n"/>
      <c r="X993" s="170" t="n"/>
      <c r="Y993" s="76">
        <f>ROUND(IF(offer_incoterms="DDP",X993*(S993*(1+AW993)+T993),0),2)</f>
        <v/>
      </c>
      <c r="Z993" s="188" t="n"/>
      <c r="AA993" s="192">
        <f>IFERROR(AB993/E993,0)</f>
        <v/>
      </c>
      <c r="AB993" s="76">
        <f>ROUND(SUM(S993,V993,Y993:Z993,BA993:BB993),2)</f>
        <v/>
      </c>
      <c r="AC993" s="797" t="n"/>
      <c r="AD993" s="192">
        <f t="array" ref="AD993">IFERROR(ROUND((_xlfn.IFS(offer_sale_type="поставка",AB993,offer_sale_type="транзит",S993)*(1+AC993))/E993,2),0)</f>
        <v/>
      </c>
      <c r="AE993" s="76">
        <f>AD993*E993</f>
        <v/>
      </c>
      <c r="AF993" s="193">
        <f t="array" ref="AF993">IFERROR(ROUND(_xlfn.IFS(offer_sale_type="поставка",AB993,offer_sale_type="транзит",S993)*AC993,2),0)</f>
        <v/>
      </c>
      <c r="AG993" s="192">
        <f>$BD993*VLOOKUP($AG$3,$AF$4:$AG$7,2,FALSE)</f>
        <v/>
      </c>
      <c r="AH993" s="76">
        <f>SUM(AE993,AG993,AI993)*rate_forex_risk</f>
        <v/>
      </c>
      <c r="AI993" s="193">
        <f>IF(OR(seller_region="TR",offer_sale_type="экспорт"),0,rate_fin_comm)*SUM(AZ993,AZ993*AW993,T993)</f>
        <v/>
      </c>
      <c r="AJ993" s="118">
        <f>IFERROR(ROUND(SUM(AB993,AF993:AI993)/E993,2),0)</f>
        <v/>
      </c>
      <c r="AK993" s="76">
        <f>AJ993*E993</f>
        <v/>
      </c>
      <c r="AL993" s="174">
        <f>ROUND(IFERROR(AM993*E993,0),2)</f>
        <v/>
      </c>
      <c r="AM993" s="175">
        <f>ROUND(AJ993*(1+IF(offer_incoterms="DDP",IF((TODAY()+offer_turnaround_time)&gt;=helpsheet!$L$17,rate_vatRU_from_26,rate_vatRu_till_25),0)),2)</f>
        <v/>
      </c>
      <c r="AN993" s="192">
        <f>AL993-AK993</f>
        <v/>
      </c>
      <c r="AO993" s="76">
        <f>SUM(AY993,Y993:Z993,T993)*IF(AND(offer_incoterms="DDP",offer_sale_type&lt;&gt;"экспорт"),IF((TODAY()+offer_turnaround_time)&gt;=helpsheet!$L$17,rate_vatRU_from_26,rate_vatRu_till_25),0)</f>
        <v/>
      </c>
      <c r="AP993" s="193">
        <f>AN993-AO993</f>
        <v/>
      </c>
      <c r="AQ993" s="118">
        <f>IF(offer_sale_type="транзит",SUM(AF993:AI993,BA993,BB993),0)</f>
        <v/>
      </c>
      <c r="AR993" s="82">
        <f>HYPERLINK("https://www.alta.ru/tnved/code/")&amp;W993&amp;"/"</f>
        <v/>
      </c>
      <c r="AS993" s="157" t="n"/>
      <c r="AT993" s="162" t="n"/>
      <c r="AU993" s="76">
        <f>IF(ISBLANK(AT993),0,AJ993-AT993)</f>
        <v/>
      </c>
      <c r="AV993" s="157" t="n"/>
      <c r="AW993" s="75">
        <f>_xlfn.IFNA(VLOOKUP(L993,list_vat[],3,FALSE),0)</f>
        <v/>
      </c>
      <c r="AX993" s="76">
        <f>IFERROR(ROUND(S993*(1+AW993)/E993,2),0)</f>
        <v/>
      </c>
      <c r="AY993" s="76">
        <f>E993*AX993</f>
        <v/>
      </c>
      <c r="AZ993" s="192">
        <f>S993*(1+M993)</f>
        <v/>
      </c>
      <c r="BA993" s="76">
        <f>cost_fin_total*$BD993</f>
        <v/>
      </c>
      <c r="BB993" s="193">
        <f>credit_sales_interest*BD993</f>
        <v/>
      </c>
      <c r="BC993" s="102">
        <f>IFERROR(IF($I$13&gt;0,$I993/$I$13,$S993/$S$13),0)</f>
        <v/>
      </c>
      <c r="BD993" s="102">
        <f>IFERROR($S993/$S$13,0)</f>
        <v/>
      </c>
      <c r="BE993" s="413" t="inlineStr">
        <is>
          <t>$</t>
        </is>
      </c>
    </row>
    <row r="994" ht="12" customFormat="1" customHeight="1" s="65">
      <c r="A994" s="43" t="n">
        <v>979</v>
      </c>
      <c r="B994" s="166" t="n"/>
      <c r="C994" s="166" t="n"/>
      <c r="D994" s="166" t="n"/>
      <c r="E994" s="162" t="n"/>
      <c r="F994" s="166" t="n"/>
      <c r="G994" s="162" t="n"/>
      <c r="H994" s="162" t="n"/>
      <c r="I994" s="189">
        <f>E994*G994</f>
        <v/>
      </c>
      <c r="J994" s="195" t="n"/>
      <c r="K994" s="162" t="n"/>
      <c r="L994" s="168" t="n"/>
      <c r="M994" s="75">
        <f>_xlfn.XLOOKUP(L994,list_vat[Страна],list_vat[Ставка НДС %],0,0)</f>
        <v/>
      </c>
      <c r="N994" s="162">
        <f>IFERROR(IF(L994="Китай",K994,K994/(1+M994)),0)</f>
        <v/>
      </c>
      <c r="O994" s="169" t="n"/>
      <c r="P994" s="76">
        <f>N994*(1-O994)</f>
        <v/>
      </c>
      <c r="Q994" s="162" t="n"/>
      <c r="R994" s="162">
        <f>IF(ISBLANK(Q994),"введи курс",P994/Q994)</f>
        <v/>
      </c>
      <c r="S994" s="196">
        <f>IF(AND(ISNUMBER(E994),ISNUMBER(Q994)),E994*R994,0)</f>
        <v/>
      </c>
      <c r="T994" s="192">
        <f>$BC994*V$11</f>
        <v/>
      </c>
      <c r="U994" s="76">
        <f>$BC994*W$11</f>
        <v/>
      </c>
      <c r="V994" s="193">
        <f>+SUM(T994:U994)</f>
        <v/>
      </c>
      <c r="W994" s="191" t="n"/>
      <c r="X994" s="170" t="n"/>
      <c r="Y994" s="76">
        <f>ROUND(IF(offer_incoterms="DDP",X994*(S994*(1+AW994)+T994),0),2)</f>
        <v/>
      </c>
      <c r="Z994" s="188" t="n"/>
      <c r="AA994" s="192">
        <f>IFERROR(AB994/E994,0)</f>
        <v/>
      </c>
      <c r="AB994" s="76">
        <f>ROUND(SUM(S994,V994,Y994:Z994,BA994:BB994),2)</f>
        <v/>
      </c>
      <c r="AC994" s="797" t="n"/>
      <c r="AD994" s="192">
        <f t="array" ref="AD994">IFERROR(ROUND((_xlfn.IFS(offer_sale_type="поставка",AB994,offer_sale_type="транзит",S994)*(1+AC994))/E994,2),0)</f>
        <v/>
      </c>
      <c r="AE994" s="76">
        <f>AD994*E994</f>
        <v/>
      </c>
      <c r="AF994" s="193">
        <f t="array" ref="AF994">IFERROR(ROUND(_xlfn.IFS(offer_sale_type="поставка",AB994,offer_sale_type="транзит",S994)*AC994,2),0)</f>
        <v/>
      </c>
      <c r="AG994" s="192">
        <f>$BD994*VLOOKUP($AG$3,$AF$4:$AG$7,2,FALSE)</f>
        <v/>
      </c>
      <c r="AH994" s="76">
        <f>SUM(AE994,AG994,AI994)*rate_forex_risk</f>
        <v/>
      </c>
      <c r="AI994" s="193">
        <f>IF(OR(seller_region="TR",offer_sale_type="экспорт"),0,rate_fin_comm)*SUM(AZ994,AZ994*AW994,T994)</f>
        <v/>
      </c>
      <c r="AJ994" s="118">
        <f>IFERROR(ROUND(SUM(AB994,AF994:AI994)/E994,2),0)</f>
        <v/>
      </c>
      <c r="AK994" s="76">
        <f>AJ994*E994</f>
        <v/>
      </c>
      <c r="AL994" s="174">
        <f>ROUND(IFERROR(AM994*E994,0),2)</f>
        <v/>
      </c>
      <c r="AM994" s="175">
        <f>ROUND(AJ994*(1+IF(offer_incoterms="DDP",IF((TODAY()+offer_turnaround_time)&gt;=helpsheet!$L$17,rate_vatRU_from_26,rate_vatRu_till_25),0)),2)</f>
        <v/>
      </c>
      <c r="AN994" s="192">
        <f>AL994-AK994</f>
        <v/>
      </c>
      <c r="AO994" s="76">
        <f>SUM(AY994,Y994:Z994,T994)*IF(AND(offer_incoterms="DDP",offer_sale_type&lt;&gt;"экспорт"),IF((TODAY()+offer_turnaround_time)&gt;=helpsheet!$L$17,rate_vatRU_from_26,rate_vatRu_till_25),0)</f>
        <v/>
      </c>
      <c r="AP994" s="193">
        <f>AN994-AO994</f>
        <v/>
      </c>
      <c r="AQ994" s="118">
        <f>IF(offer_sale_type="транзит",SUM(AF994:AI994,BA994,BB994),0)</f>
        <v/>
      </c>
      <c r="AR994" s="82">
        <f>HYPERLINK("https://www.alta.ru/tnved/code/")&amp;W994&amp;"/"</f>
        <v/>
      </c>
      <c r="AS994" s="157" t="n"/>
      <c r="AT994" s="162" t="n"/>
      <c r="AU994" s="76">
        <f>IF(ISBLANK(AT994),0,AJ994-AT994)</f>
        <v/>
      </c>
      <c r="AV994" s="157" t="n"/>
      <c r="AW994" s="75">
        <f>_xlfn.IFNA(VLOOKUP(L994,list_vat[],3,FALSE),0)</f>
        <v/>
      </c>
      <c r="AX994" s="76">
        <f>IFERROR(ROUND(S994*(1+AW994)/E994,2),0)</f>
        <v/>
      </c>
      <c r="AY994" s="76">
        <f>E994*AX994</f>
        <v/>
      </c>
      <c r="AZ994" s="192">
        <f>S994*(1+M994)</f>
        <v/>
      </c>
      <c r="BA994" s="76">
        <f>cost_fin_total*$BD994</f>
        <v/>
      </c>
      <c r="BB994" s="193">
        <f>credit_sales_interest*BD994</f>
        <v/>
      </c>
      <c r="BC994" s="102">
        <f>IFERROR(IF($I$13&gt;0,$I994/$I$13,$S994/$S$13),0)</f>
        <v/>
      </c>
      <c r="BD994" s="102">
        <f>IFERROR($S994/$S$13,0)</f>
        <v/>
      </c>
      <c r="BE994" s="413" t="inlineStr">
        <is>
          <t>$</t>
        </is>
      </c>
    </row>
    <row r="995" ht="12" customFormat="1" customHeight="1" s="65">
      <c r="A995" s="43" t="n">
        <v>980</v>
      </c>
      <c r="B995" s="166" t="n"/>
      <c r="C995" s="166" t="n"/>
      <c r="D995" s="166" t="n"/>
      <c r="E995" s="162" t="n"/>
      <c r="F995" s="166" t="n"/>
      <c r="G995" s="162" t="n"/>
      <c r="H995" s="162" t="n"/>
      <c r="I995" s="189">
        <f>E995*G995</f>
        <v/>
      </c>
      <c r="J995" s="195" t="n"/>
      <c r="K995" s="162" t="n"/>
      <c r="L995" s="168" t="n"/>
      <c r="M995" s="75">
        <f>_xlfn.XLOOKUP(L995,list_vat[Страна],list_vat[Ставка НДС %],0,0)</f>
        <v/>
      </c>
      <c r="N995" s="162">
        <f>IFERROR(IF(L995="Китай",K995,K995/(1+M995)),0)</f>
        <v/>
      </c>
      <c r="O995" s="169" t="n"/>
      <c r="P995" s="76">
        <f>N995*(1-O995)</f>
        <v/>
      </c>
      <c r="Q995" s="162" t="n"/>
      <c r="R995" s="162">
        <f>IF(ISBLANK(Q995),"введи курс",P995/Q995)</f>
        <v/>
      </c>
      <c r="S995" s="196">
        <f>IF(AND(ISNUMBER(E995),ISNUMBER(Q995)),E995*R995,0)</f>
        <v/>
      </c>
      <c r="T995" s="192">
        <f>$BC995*V$11</f>
        <v/>
      </c>
      <c r="U995" s="76">
        <f>$BC995*W$11</f>
        <v/>
      </c>
      <c r="V995" s="193">
        <f>+SUM(T995:U995)</f>
        <v/>
      </c>
      <c r="W995" s="191" t="n"/>
      <c r="X995" s="170" t="n"/>
      <c r="Y995" s="76">
        <f>ROUND(IF(offer_incoterms="DDP",X995*(S995*(1+AW995)+T995),0),2)</f>
        <v/>
      </c>
      <c r="Z995" s="188" t="n"/>
      <c r="AA995" s="192">
        <f>IFERROR(AB995/E995,0)</f>
        <v/>
      </c>
      <c r="AB995" s="76">
        <f>ROUND(SUM(S995,V995,Y995:Z995,BA995:BB995),2)</f>
        <v/>
      </c>
      <c r="AC995" s="797" t="n"/>
      <c r="AD995" s="192">
        <f t="array" ref="AD995">IFERROR(ROUND((_xlfn.IFS(offer_sale_type="поставка",AB995,offer_sale_type="транзит",S995)*(1+AC995))/E995,2),0)</f>
        <v/>
      </c>
      <c r="AE995" s="76">
        <f>AD995*E995</f>
        <v/>
      </c>
      <c r="AF995" s="193">
        <f t="array" ref="AF995">IFERROR(ROUND(_xlfn.IFS(offer_sale_type="поставка",AB995,offer_sale_type="транзит",S995)*AC995,2),0)</f>
        <v/>
      </c>
      <c r="AG995" s="192">
        <f>$BD995*VLOOKUP($AG$3,$AF$4:$AG$7,2,FALSE)</f>
        <v/>
      </c>
      <c r="AH995" s="76">
        <f>SUM(AE995,AG995,AI995)*rate_forex_risk</f>
        <v/>
      </c>
      <c r="AI995" s="193">
        <f>IF(OR(seller_region="TR",offer_sale_type="экспорт"),0,rate_fin_comm)*SUM(AZ995,AZ995*AW995,T995)</f>
        <v/>
      </c>
      <c r="AJ995" s="118">
        <f>IFERROR(ROUND(SUM(AB995,AF995:AI995)/E995,2),0)</f>
        <v/>
      </c>
      <c r="AK995" s="76">
        <f>AJ995*E995</f>
        <v/>
      </c>
      <c r="AL995" s="174">
        <f>ROUND(IFERROR(AM995*E995,0),2)</f>
        <v/>
      </c>
      <c r="AM995" s="175">
        <f>ROUND(AJ995*(1+IF(offer_incoterms="DDP",IF((TODAY()+offer_turnaround_time)&gt;=helpsheet!$L$17,rate_vatRU_from_26,rate_vatRu_till_25),0)),2)</f>
        <v/>
      </c>
      <c r="AN995" s="192">
        <f>AL995-AK995</f>
        <v/>
      </c>
      <c r="AO995" s="76">
        <f>SUM(AY995,Y995:Z995,T995)*IF(AND(offer_incoterms="DDP",offer_sale_type&lt;&gt;"экспорт"),IF((TODAY()+offer_turnaround_time)&gt;=helpsheet!$L$17,rate_vatRU_from_26,rate_vatRu_till_25),0)</f>
        <v/>
      </c>
      <c r="AP995" s="193">
        <f>AN995-AO995</f>
        <v/>
      </c>
      <c r="AQ995" s="118">
        <f>IF(offer_sale_type="транзит",SUM(AF995:AI995,BA995,BB995),0)</f>
        <v/>
      </c>
      <c r="AR995" s="82">
        <f>HYPERLINK("https://www.alta.ru/tnved/code/")&amp;W995&amp;"/"</f>
        <v/>
      </c>
      <c r="AS995" s="157" t="n"/>
      <c r="AT995" s="162" t="n"/>
      <c r="AU995" s="76">
        <f>IF(ISBLANK(AT995),0,AJ995-AT995)</f>
        <v/>
      </c>
      <c r="AV995" s="157" t="n"/>
      <c r="AW995" s="75">
        <f>_xlfn.IFNA(VLOOKUP(L995,list_vat[],3,FALSE),0)</f>
        <v/>
      </c>
      <c r="AX995" s="76">
        <f>IFERROR(ROUND(S995*(1+AW995)/E995,2),0)</f>
        <v/>
      </c>
      <c r="AY995" s="76">
        <f>E995*AX995</f>
        <v/>
      </c>
      <c r="AZ995" s="192">
        <f>S995*(1+M995)</f>
        <v/>
      </c>
      <c r="BA995" s="76">
        <f>cost_fin_total*$BD995</f>
        <v/>
      </c>
      <c r="BB995" s="193">
        <f>credit_sales_interest*BD995</f>
        <v/>
      </c>
      <c r="BC995" s="102">
        <f>IFERROR(IF($I$13&gt;0,$I995/$I$13,$S995/$S$13),0)</f>
        <v/>
      </c>
      <c r="BD995" s="102">
        <f>IFERROR($S995/$S$13,0)</f>
        <v/>
      </c>
      <c r="BE995" s="413" t="inlineStr">
        <is>
          <t>$</t>
        </is>
      </c>
    </row>
    <row r="996" ht="12" customFormat="1" customHeight="1" s="65">
      <c r="A996" s="43" t="n">
        <v>981</v>
      </c>
      <c r="B996" s="166" t="n"/>
      <c r="C996" s="166" t="n"/>
      <c r="D996" s="166" t="n"/>
      <c r="E996" s="162" t="n"/>
      <c r="F996" s="166" t="n"/>
      <c r="G996" s="162" t="n"/>
      <c r="H996" s="162" t="n"/>
      <c r="I996" s="189">
        <f>E996*G996</f>
        <v/>
      </c>
      <c r="J996" s="195" t="n"/>
      <c r="K996" s="162" t="n"/>
      <c r="L996" s="168" t="n"/>
      <c r="M996" s="75">
        <f>_xlfn.XLOOKUP(L996,list_vat[Страна],list_vat[Ставка НДС %],0,0)</f>
        <v/>
      </c>
      <c r="N996" s="162">
        <f>IFERROR(IF(L996="Китай",K996,K996/(1+M996)),0)</f>
        <v/>
      </c>
      <c r="O996" s="169" t="n"/>
      <c r="P996" s="76">
        <f>N996*(1-O996)</f>
        <v/>
      </c>
      <c r="Q996" s="162" t="n"/>
      <c r="R996" s="162">
        <f>IF(ISBLANK(Q996),"введи курс",P996/Q996)</f>
        <v/>
      </c>
      <c r="S996" s="196">
        <f>IF(AND(ISNUMBER(E996),ISNUMBER(Q996)),E996*R996,0)</f>
        <v/>
      </c>
      <c r="T996" s="192">
        <f>$BC996*V$11</f>
        <v/>
      </c>
      <c r="U996" s="76">
        <f>$BC996*W$11</f>
        <v/>
      </c>
      <c r="V996" s="193">
        <f>+SUM(T996:U996)</f>
        <v/>
      </c>
      <c r="W996" s="191" t="n"/>
      <c r="X996" s="170" t="n"/>
      <c r="Y996" s="76">
        <f>ROUND(IF(offer_incoterms="DDP",X996*(S996*(1+AW996)+T996),0),2)</f>
        <v/>
      </c>
      <c r="Z996" s="188" t="n"/>
      <c r="AA996" s="192">
        <f>IFERROR(AB996/E996,0)</f>
        <v/>
      </c>
      <c r="AB996" s="76">
        <f>ROUND(SUM(S996,V996,Y996:Z996,BA996:BB996),2)</f>
        <v/>
      </c>
      <c r="AC996" s="797" t="n"/>
      <c r="AD996" s="192">
        <f t="array" ref="AD996">IFERROR(ROUND((_xlfn.IFS(offer_sale_type="поставка",AB996,offer_sale_type="транзит",S996)*(1+AC996))/E996,2),0)</f>
        <v/>
      </c>
      <c r="AE996" s="76">
        <f>AD996*E996</f>
        <v/>
      </c>
      <c r="AF996" s="193">
        <f t="array" ref="AF996">IFERROR(ROUND(_xlfn.IFS(offer_sale_type="поставка",AB996,offer_sale_type="транзит",S996)*AC996,2),0)</f>
        <v/>
      </c>
      <c r="AG996" s="192">
        <f>$BD996*VLOOKUP($AG$3,$AF$4:$AG$7,2,FALSE)</f>
        <v/>
      </c>
      <c r="AH996" s="76">
        <f>SUM(AE996,AG996,AI996)*rate_forex_risk</f>
        <v/>
      </c>
      <c r="AI996" s="193">
        <f>IF(OR(seller_region="TR",offer_sale_type="экспорт"),0,rate_fin_comm)*SUM(AZ996,AZ996*AW996,T996)</f>
        <v/>
      </c>
      <c r="AJ996" s="118">
        <f>IFERROR(ROUND(SUM(AB996,AF996:AI996)/E996,2),0)</f>
        <v/>
      </c>
      <c r="AK996" s="76">
        <f>AJ996*E996</f>
        <v/>
      </c>
      <c r="AL996" s="174">
        <f>ROUND(IFERROR(AM996*E996,0),2)</f>
        <v/>
      </c>
      <c r="AM996" s="175">
        <f>ROUND(AJ996*(1+IF(offer_incoterms="DDP",IF((TODAY()+offer_turnaround_time)&gt;=helpsheet!$L$17,rate_vatRU_from_26,rate_vatRu_till_25),0)),2)</f>
        <v/>
      </c>
      <c r="AN996" s="192">
        <f>AL996-AK996</f>
        <v/>
      </c>
      <c r="AO996" s="76">
        <f>SUM(AY996,Y996:Z996,T996)*IF(AND(offer_incoterms="DDP",offer_sale_type&lt;&gt;"экспорт"),IF((TODAY()+offer_turnaround_time)&gt;=helpsheet!$L$17,rate_vatRU_from_26,rate_vatRu_till_25),0)</f>
        <v/>
      </c>
      <c r="AP996" s="193">
        <f>AN996-AO996</f>
        <v/>
      </c>
      <c r="AQ996" s="118">
        <f>IF(offer_sale_type="транзит",SUM(AF996:AI996,BA996,BB996),0)</f>
        <v/>
      </c>
      <c r="AR996" s="82">
        <f>HYPERLINK("https://www.alta.ru/tnved/code/")&amp;W996&amp;"/"</f>
        <v/>
      </c>
      <c r="AS996" s="157" t="n"/>
      <c r="AT996" s="162" t="n"/>
      <c r="AU996" s="76">
        <f>IF(ISBLANK(AT996),0,AJ996-AT996)</f>
        <v/>
      </c>
      <c r="AV996" s="157" t="n"/>
      <c r="AW996" s="75">
        <f>_xlfn.IFNA(VLOOKUP(L996,list_vat[],3,FALSE),0)</f>
        <v/>
      </c>
      <c r="AX996" s="76">
        <f>IFERROR(ROUND(S996*(1+AW996)/E996,2),0)</f>
        <v/>
      </c>
      <c r="AY996" s="76">
        <f>E996*AX996</f>
        <v/>
      </c>
      <c r="AZ996" s="192">
        <f>S996*(1+M996)</f>
        <v/>
      </c>
      <c r="BA996" s="76">
        <f>cost_fin_total*$BD996</f>
        <v/>
      </c>
      <c r="BB996" s="193">
        <f>credit_sales_interest*BD996</f>
        <v/>
      </c>
      <c r="BC996" s="102">
        <f>IFERROR(IF($I$13&gt;0,$I996/$I$13,$S996/$S$13),0)</f>
        <v/>
      </c>
      <c r="BD996" s="102">
        <f>IFERROR($S996/$S$13,0)</f>
        <v/>
      </c>
      <c r="BE996" s="413" t="inlineStr">
        <is>
          <t>$</t>
        </is>
      </c>
    </row>
    <row r="997" ht="12" customFormat="1" customHeight="1" s="65">
      <c r="A997" s="43" t="n">
        <v>982</v>
      </c>
      <c r="B997" s="166" t="n"/>
      <c r="C997" s="166" t="n"/>
      <c r="D997" s="166" t="n"/>
      <c r="E997" s="162" t="n"/>
      <c r="F997" s="166" t="n"/>
      <c r="G997" s="162" t="n"/>
      <c r="H997" s="162" t="n"/>
      <c r="I997" s="189">
        <f>E997*G997</f>
        <v/>
      </c>
      <c r="J997" s="195" t="n"/>
      <c r="K997" s="162" t="n"/>
      <c r="L997" s="168" t="n"/>
      <c r="M997" s="75">
        <f>_xlfn.XLOOKUP(L997,list_vat[Страна],list_vat[Ставка НДС %],0,0)</f>
        <v/>
      </c>
      <c r="N997" s="162">
        <f>IFERROR(IF(L997="Китай",K997,K997/(1+M997)),0)</f>
        <v/>
      </c>
      <c r="O997" s="169" t="n"/>
      <c r="P997" s="76">
        <f>N997*(1-O997)</f>
        <v/>
      </c>
      <c r="Q997" s="162" t="n"/>
      <c r="R997" s="162">
        <f>IF(ISBLANK(Q997),"введи курс",P997/Q997)</f>
        <v/>
      </c>
      <c r="S997" s="196">
        <f>IF(AND(ISNUMBER(E997),ISNUMBER(Q997)),E997*R997,0)</f>
        <v/>
      </c>
      <c r="T997" s="192">
        <f>$BC997*V$11</f>
        <v/>
      </c>
      <c r="U997" s="76">
        <f>$BC997*W$11</f>
        <v/>
      </c>
      <c r="V997" s="193">
        <f>+SUM(T997:U997)</f>
        <v/>
      </c>
      <c r="W997" s="191" t="n"/>
      <c r="X997" s="170" t="n"/>
      <c r="Y997" s="76">
        <f>ROUND(IF(offer_incoterms="DDP",X997*(S997*(1+AW997)+T997),0),2)</f>
        <v/>
      </c>
      <c r="Z997" s="188" t="n"/>
      <c r="AA997" s="192">
        <f>IFERROR(AB997/E997,0)</f>
        <v/>
      </c>
      <c r="AB997" s="76">
        <f>ROUND(SUM(S997,V997,Y997:Z997,BA997:BB997),2)</f>
        <v/>
      </c>
      <c r="AC997" s="797" t="n"/>
      <c r="AD997" s="192">
        <f t="array" ref="AD997">IFERROR(ROUND((_xlfn.IFS(offer_sale_type="поставка",AB997,offer_sale_type="транзит",S997)*(1+AC997))/E997,2),0)</f>
        <v/>
      </c>
      <c r="AE997" s="76">
        <f>AD997*E997</f>
        <v/>
      </c>
      <c r="AF997" s="193">
        <f t="array" ref="AF997">IFERROR(ROUND(_xlfn.IFS(offer_sale_type="поставка",AB997,offer_sale_type="транзит",S997)*AC997,2),0)</f>
        <v/>
      </c>
      <c r="AG997" s="192">
        <f>$BD997*VLOOKUP($AG$3,$AF$4:$AG$7,2,FALSE)</f>
        <v/>
      </c>
      <c r="AH997" s="76">
        <f>SUM(AE997,AG997,AI997)*rate_forex_risk</f>
        <v/>
      </c>
      <c r="AI997" s="193">
        <f>IF(OR(seller_region="TR",offer_sale_type="экспорт"),0,rate_fin_comm)*SUM(AZ997,AZ997*AW997,T997)</f>
        <v/>
      </c>
      <c r="AJ997" s="118">
        <f>IFERROR(ROUND(SUM(AB997,AF997:AI997)/E997,2),0)</f>
        <v/>
      </c>
      <c r="AK997" s="76">
        <f>AJ997*E997</f>
        <v/>
      </c>
      <c r="AL997" s="174">
        <f>ROUND(IFERROR(AM997*E997,0),2)</f>
        <v/>
      </c>
      <c r="AM997" s="175">
        <f>ROUND(AJ997*(1+IF(offer_incoterms="DDP",IF((TODAY()+offer_turnaround_time)&gt;=helpsheet!$L$17,rate_vatRU_from_26,rate_vatRu_till_25),0)),2)</f>
        <v/>
      </c>
      <c r="AN997" s="192">
        <f>AL997-AK997</f>
        <v/>
      </c>
      <c r="AO997" s="76">
        <f>SUM(AY997,Y997:Z997,T997)*IF(AND(offer_incoterms="DDP",offer_sale_type&lt;&gt;"экспорт"),IF((TODAY()+offer_turnaround_time)&gt;=helpsheet!$L$17,rate_vatRU_from_26,rate_vatRu_till_25),0)</f>
        <v/>
      </c>
      <c r="AP997" s="193">
        <f>AN997-AO997</f>
        <v/>
      </c>
      <c r="AQ997" s="118">
        <f>IF(offer_sale_type="транзит",SUM(AF997:AI997,BA997,BB997),0)</f>
        <v/>
      </c>
      <c r="AR997" s="82">
        <f>HYPERLINK("https://www.alta.ru/tnved/code/")&amp;W997&amp;"/"</f>
        <v/>
      </c>
      <c r="AS997" s="157" t="n"/>
      <c r="AT997" s="162" t="n"/>
      <c r="AU997" s="76">
        <f>IF(ISBLANK(AT997),0,AJ997-AT997)</f>
        <v/>
      </c>
      <c r="AV997" s="157" t="n"/>
      <c r="AW997" s="75">
        <f>_xlfn.IFNA(VLOOKUP(L997,list_vat[],3,FALSE),0)</f>
        <v/>
      </c>
      <c r="AX997" s="76">
        <f>IFERROR(ROUND(S997*(1+AW997)/E997,2),0)</f>
        <v/>
      </c>
      <c r="AY997" s="76">
        <f>E997*AX997</f>
        <v/>
      </c>
      <c r="AZ997" s="192">
        <f>S997*(1+M997)</f>
        <v/>
      </c>
      <c r="BA997" s="76">
        <f>cost_fin_total*$BD997</f>
        <v/>
      </c>
      <c r="BB997" s="193">
        <f>credit_sales_interest*BD997</f>
        <v/>
      </c>
      <c r="BC997" s="102">
        <f>IFERROR(IF($I$13&gt;0,$I997/$I$13,$S997/$S$13),0)</f>
        <v/>
      </c>
      <c r="BD997" s="102">
        <f>IFERROR($S997/$S$13,0)</f>
        <v/>
      </c>
      <c r="BE997" s="413" t="inlineStr">
        <is>
          <t>$</t>
        </is>
      </c>
    </row>
    <row r="998" ht="12" customFormat="1" customHeight="1" s="65">
      <c r="A998" s="43" t="n">
        <v>983</v>
      </c>
      <c r="B998" s="166" t="n"/>
      <c r="C998" s="166" t="n"/>
      <c r="D998" s="166" t="n"/>
      <c r="E998" s="162" t="n"/>
      <c r="F998" s="166" t="n"/>
      <c r="G998" s="162" t="n"/>
      <c r="H998" s="162" t="n"/>
      <c r="I998" s="189">
        <f>E998*G998</f>
        <v/>
      </c>
      <c r="J998" s="195" t="n"/>
      <c r="K998" s="162" t="n"/>
      <c r="L998" s="168" t="n"/>
      <c r="M998" s="75">
        <f>_xlfn.XLOOKUP(L998,list_vat[Страна],list_vat[Ставка НДС %],0,0)</f>
        <v/>
      </c>
      <c r="N998" s="162">
        <f>IFERROR(IF(L998="Китай",K998,K998/(1+M998)),0)</f>
        <v/>
      </c>
      <c r="O998" s="169" t="n"/>
      <c r="P998" s="76">
        <f>N998*(1-O998)</f>
        <v/>
      </c>
      <c r="Q998" s="162" t="n"/>
      <c r="R998" s="162">
        <f>IF(ISBLANK(Q998),"введи курс",P998/Q998)</f>
        <v/>
      </c>
      <c r="S998" s="196">
        <f>IF(AND(ISNUMBER(E998),ISNUMBER(Q998)),E998*R998,0)</f>
        <v/>
      </c>
      <c r="T998" s="192">
        <f>$BC998*V$11</f>
        <v/>
      </c>
      <c r="U998" s="76">
        <f>$BC998*W$11</f>
        <v/>
      </c>
      <c r="V998" s="193">
        <f>+SUM(T998:U998)</f>
        <v/>
      </c>
      <c r="W998" s="191" t="n"/>
      <c r="X998" s="170" t="n"/>
      <c r="Y998" s="76">
        <f>ROUND(IF(offer_incoterms="DDP",X998*(S998*(1+AW998)+T998),0),2)</f>
        <v/>
      </c>
      <c r="Z998" s="188" t="n"/>
      <c r="AA998" s="192">
        <f>IFERROR(AB998/E998,0)</f>
        <v/>
      </c>
      <c r="AB998" s="76">
        <f>ROUND(SUM(S998,V998,Y998:Z998,BA998:BB998),2)</f>
        <v/>
      </c>
      <c r="AC998" s="797" t="n"/>
      <c r="AD998" s="192">
        <f t="array" ref="AD998">IFERROR(ROUND((_xlfn.IFS(offer_sale_type="поставка",AB998,offer_sale_type="транзит",S998)*(1+AC998))/E998,2),0)</f>
        <v/>
      </c>
      <c r="AE998" s="76">
        <f>AD998*E998</f>
        <v/>
      </c>
      <c r="AF998" s="193">
        <f t="array" ref="AF998">IFERROR(ROUND(_xlfn.IFS(offer_sale_type="поставка",AB998,offer_sale_type="транзит",S998)*AC998,2),0)</f>
        <v/>
      </c>
      <c r="AG998" s="192">
        <f>$BD998*VLOOKUP($AG$3,$AF$4:$AG$7,2,FALSE)</f>
        <v/>
      </c>
      <c r="AH998" s="76">
        <f>SUM(AE998,AG998,AI998)*rate_forex_risk</f>
        <v/>
      </c>
      <c r="AI998" s="193">
        <f>IF(OR(seller_region="TR",offer_sale_type="экспорт"),0,rate_fin_comm)*SUM(AZ998,AZ998*AW998,T998)</f>
        <v/>
      </c>
      <c r="AJ998" s="118">
        <f>IFERROR(ROUND(SUM(AB998,AF998:AI998)/E998,2),0)</f>
        <v/>
      </c>
      <c r="AK998" s="76">
        <f>AJ998*E998</f>
        <v/>
      </c>
      <c r="AL998" s="174">
        <f>ROUND(IFERROR(AM998*E998,0),2)</f>
        <v/>
      </c>
      <c r="AM998" s="175">
        <f>ROUND(AJ998*(1+IF(offer_incoterms="DDP",IF((TODAY()+offer_turnaround_time)&gt;=helpsheet!$L$17,rate_vatRU_from_26,rate_vatRu_till_25),0)),2)</f>
        <v/>
      </c>
      <c r="AN998" s="192">
        <f>AL998-AK998</f>
        <v/>
      </c>
      <c r="AO998" s="76">
        <f>SUM(AY998,Y998:Z998,T998)*IF(AND(offer_incoterms="DDP",offer_sale_type&lt;&gt;"экспорт"),IF((TODAY()+offer_turnaround_time)&gt;=helpsheet!$L$17,rate_vatRU_from_26,rate_vatRu_till_25),0)</f>
        <v/>
      </c>
      <c r="AP998" s="193">
        <f>AN998-AO998</f>
        <v/>
      </c>
      <c r="AQ998" s="118">
        <f>IF(offer_sale_type="транзит",SUM(AF998:AI998,BA998,BB998),0)</f>
        <v/>
      </c>
      <c r="AR998" s="82">
        <f>HYPERLINK("https://www.alta.ru/tnved/code/")&amp;W998&amp;"/"</f>
        <v/>
      </c>
      <c r="AS998" s="157" t="n"/>
      <c r="AT998" s="162" t="n"/>
      <c r="AU998" s="76">
        <f>IF(ISBLANK(AT998),0,AJ998-AT998)</f>
        <v/>
      </c>
      <c r="AV998" s="157" t="n"/>
      <c r="AW998" s="75">
        <f>_xlfn.IFNA(VLOOKUP(L998,list_vat[],3,FALSE),0)</f>
        <v/>
      </c>
      <c r="AX998" s="76">
        <f>IFERROR(ROUND(S998*(1+AW998)/E998,2),0)</f>
        <v/>
      </c>
      <c r="AY998" s="76">
        <f>E998*AX998</f>
        <v/>
      </c>
      <c r="AZ998" s="192">
        <f>S998*(1+M998)</f>
        <v/>
      </c>
      <c r="BA998" s="76">
        <f>cost_fin_total*$BD998</f>
        <v/>
      </c>
      <c r="BB998" s="193">
        <f>credit_sales_interest*BD998</f>
        <v/>
      </c>
      <c r="BC998" s="102">
        <f>IFERROR(IF($I$13&gt;0,$I998/$I$13,$S998/$S$13),0)</f>
        <v/>
      </c>
      <c r="BD998" s="102">
        <f>IFERROR($S998/$S$13,0)</f>
        <v/>
      </c>
      <c r="BE998" s="413" t="inlineStr">
        <is>
          <t>$</t>
        </is>
      </c>
    </row>
    <row r="999" ht="12" customFormat="1" customHeight="1" s="65">
      <c r="A999" s="43" t="n">
        <v>984</v>
      </c>
      <c r="B999" s="166" t="n"/>
      <c r="C999" s="166" t="n"/>
      <c r="D999" s="166" t="n"/>
      <c r="E999" s="162" t="n"/>
      <c r="F999" s="166" t="n"/>
      <c r="G999" s="162" t="n"/>
      <c r="H999" s="162" t="n"/>
      <c r="I999" s="189">
        <f>E999*G999</f>
        <v/>
      </c>
      <c r="J999" s="195" t="n"/>
      <c r="K999" s="162" t="n"/>
      <c r="L999" s="168" t="n"/>
      <c r="M999" s="75">
        <f>_xlfn.XLOOKUP(L999,list_vat[Страна],list_vat[Ставка НДС %],0,0)</f>
        <v/>
      </c>
      <c r="N999" s="162">
        <f>IFERROR(IF(L999="Китай",K999,K999/(1+M999)),0)</f>
        <v/>
      </c>
      <c r="O999" s="169" t="n"/>
      <c r="P999" s="76">
        <f>N999*(1-O999)</f>
        <v/>
      </c>
      <c r="Q999" s="162" t="n"/>
      <c r="R999" s="162">
        <f>IF(ISBLANK(Q999),"введи курс",P999/Q999)</f>
        <v/>
      </c>
      <c r="S999" s="196">
        <f>IF(AND(ISNUMBER(E999),ISNUMBER(Q999)),E999*R999,0)</f>
        <v/>
      </c>
      <c r="T999" s="192">
        <f>$BC999*V$11</f>
        <v/>
      </c>
      <c r="U999" s="76">
        <f>$BC999*W$11</f>
        <v/>
      </c>
      <c r="V999" s="193">
        <f>+SUM(T999:U999)</f>
        <v/>
      </c>
      <c r="W999" s="191" t="n"/>
      <c r="X999" s="170" t="n"/>
      <c r="Y999" s="76">
        <f>ROUND(IF(offer_incoterms="DDP",X999*(S999*(1+AW999)+T999),0),2)</f>
        <v/>
      </c>
      <c r="Z999" s="188" t="n"/>
      <c r="AA999" s="192">
        <f>IFERROR(AB999/E999,0)</f>
        <v/>
      </c>
      <c r="AB999" s="76">
        <f>ROUND(SUM(S999,V999,Y999:Z999,BA999:BB999),2)</f>
        <v/>
      </c>
      <c r="AC999" s="797" t="n"/>
      <c r="AD999" s="192">
        <f t="array" ref="AD999">IFERROR(ROUND((_xlfn.IFS(offer_sale_type="поставка",AB999,offer_sale_type="транзит",S999)*(1+AC999))/E999,2),0)</f>
        <v/>
      </c>
      <c r="AE999" s="76">
        <f>AD999*E999</f>
        <v/>
      </c>
      <c r="AF999" s="193">
        <f t="array" ref="AF999">IFERROR(ROUND(_xlfn.IFS(offer_sale_type="поставка",AB999,offer_sale_type="транзит",S999)*AC999,2),0)</f>
        <v/>
      </c>
      <c r="AG999" s="192">
        <f>$BD999*VLOOKUP($AG$3,$AF$4:$AG$7,2,FALSE)</f>
        <v/>
      </c>
      <c r="AH999" s="76">
        <f>SUM(AE999,AG999,AI999)*rate_forex_risk</f>
        <v/>
      </c>
      <c r="AI999" s="193">
        <f>IF(OR(seller_region="TR",offer_sale_type="экспорт"),0,rate_fin_comm)*SUM(AZ999,AZ999*AW999,T999)</f>
        <v/>
      </c>
      <c r="AJ999" s="118">
        <f>IFERROR(ROUND(SUM(AB999,AF999:AI999)/E999,2),0)</f>
        <v/>
      </c>
      <c r="AK999" s="76">
        <f>AJ999*E999</f>
        <v/>
      </c>
      <c r="AL999" s="174">
        <f>ROUND(IFERROR(AM999*E999,0),2)</f>
        <v/>
      </c>
      <c r="AM999" s="175">
        <f>ROUND(AJ999*(1+IF(offer_incoterms="DDP",IF((TODAY()+offer_turnaround_time)&gt;=helpsheet!$L$17,rate_vatRU_from_26,rate_vatRu_till_25),0)),2)</f>
        <v/>
      </c>
      <c r="AN999" s="192">
        <f>AL999-AK999</f>
        <v/>
      </c>
      <c r="AO999" s="76">
        <f>SUM(AY999,Y999:Z999,T999)*IF(AND(offer_incoterms="DDP",offer_sale_type&lt;&gt;"экспорт"),IF((TODAY()+offer_turnaround_time)&gt;=helpsheet!$L$17,rate_vatRU_from_26,rate_vatRu_till_25),0)</f>
        <v/>
      </c>
      <c r="AP999" s="193">
        <f>AN999-AO999</f>
        <v/>
      </c>
      <c r="AQ999" s="118">
        <f>IF(offer_sale_type="транзит",SUM(AF999:AI999,BA999,BB999),0)</f>
        <v/>
      </c>
      <c r="AR999" s="82">
        <f>HYPERLINK("https://www.alta.ru/tnved/code/")&amp;W999&amp;"/"</f>
        <v/>
      </c>
      <c r="AS999" s="157" t="n"/>
      <c r="AT999" s="162" t="n"/>
      <c r="AU999" s="76">
        <f>IF(ISBLANK(AT999),0,AJ999-AT999)</f>
        <v/>
      </c>
      <c r="AV999" s="157" t="n"/>
      <c r="AW999" s="75">
        <f>_xlfn.IFNA(VLOOKUP(L999,list_vat[],3,FALSE),0)</f>
        <v/>
      </c>
      <c r="AX999" s="76">
        <f>IFERROR(ROUND(S999*(1+AW999)/E999,2),0)</f>
        <v/>
      </c>
      <c r="AY999" s="76">
        <f>E999*AX999</f>
        <v/>
      </c>
      <c r="AZ999" s="192">
        <f>S999*(1+M999)</f>
        <v/>
      </c>
      <c r="BA999" s="76">
        <f>cost_fin_total*$BD999</f>
        <v/>
      </c>
      <c r="BB999" s="193">
        <f>credit_sales_interest*BD999</f>
        <v/>
      </c>
      <c r="BC999" s="102">
        <f>IFERROR(IF($I$13&gt;0,$I999/$I$13,$S999/$S$13),0)</f>
        <v/>
      </c>
      <c r="BD999" s="102">
        <f>IFERROR($S999/$S$13,0)</f>
        <v/>
      </c>
      <c r="BE999" s="413" t="inlineStr">
        <is>
          <t>$</t>
        </is>
      </c>
    </row>
    <row r="1000" ht="12" customFormat="1" customHeight="1" s="65">
      <c r="A1000" s="43" t="n">
        <v>985</v>
      </c>
      <c r="B1000" s="166" t="n"/>
      <c r="C1000" s="166" t="n"/>
      <c r="D1000" s="166" t="n"/>
      <c r="E1000" s="162" t="n"/>
      <c r="F1000" s="166" t="n"/>
      <c r="G1000" s="162" t="n"/>
      <c r="H1000" s="162" t="n"/>
      <c r="I1000" s="189">
        <f>E1000*G1000</f>
        <v/>
      </c>
      <c r="J1000" s="195" t="n"/>
      <c r="K1000" s="162" t="n"/>
      <c r="L1000" s="168" t="n"/>
      <c r="M1000" s="75">
        <f>_xlfn.XLOOKUP(L1000,list_vat[Страна],list_vat[Ставка НДС %],0,0)</f>
        <v/>
      </c>
      <c r="N1000" s="162">
        <f>IFERROR(IF(L1000="Китай",K1000,K1000/(1+M1000)),0)</f>
        <v/>
      </c>
      <c r="O1000" s="169" t="n"/>
      <c r="P1000" s="76">
        <f>N1000*(1-O1000)</f>
        <v/>
      </c>
      <c r="Q1000" s="162" t="n"/>
      <c r="R1000" s="162">
        <f>IF(ISBLANK(Q1000),"введи курс",P1000/Q1000)</f>
        <v/>
      </c>
      <c r="S1000" s="196">
        <f>IF(AND(ISNUMBER(E1000),ISNUMBER(Q1000)),E1000*R1000,0)</f>
        <v/>
      </c>
      <c r="T1000" s="192">
        <f>$BC1000*V$11</f>
        <v/>
      </c>
      <c r="U1000" s="76">
        <f>$BC1000*W$11</f>
        <v/>
      </c>
      <c r="V1000" s="193">
        <f>+SUM(T1000:U1000)</f>
        <v/>
      </c>
      <c r="W1000" s="191" t="n"/>
      <c r="X1000" s="170" t="n"/>
      <c r="Y1000" s="76">
        <f>ROUND(IF(offer_incoterms="DDP",X1000*(S1000*(1+AW1000)+T1000),0),2)</f>
        <v/>
      </c>
      <c r="Z1000" s="188" t="n"/>
      <c r="AA1000" s="192">
        <f>IFERROR(AB1000/E1000,0)</f>
        <v/>
      </c>
      <c r="AB1000" s="76">
        <f>ROUND(SUM(S1000,V1000,Y1000:Z1000,BA1000:BB1000),2)</f>
        <v/>
      </c>
      <c r="AC1000" s="797" t="n"/>
      <c r="AD1000" s="192">
        <f t="array" ref="AD1000">IFERROR(ROUND((_xlfn.IFS(offer_sale_type="поставка",AB1000,offer_sale_type="транзит",S1000)*(1+AC1000))/E1000,2),0)</f>
        <v/>
      </c>
      <c r="AE1000" s="76">
        <f>AD1000*E1000</f>
        <v/>
      </c>
      <c r="AF1000" s="193">
        <f t="array" ref="AF1000">IFERROR(ROUND(_xlfn.IFS(offer_sale_type="поставка",AB1000,offer_sale_type="транзит",S1000)*AC1000,2),0)</f>
        <v/>
      </c>
      <c r="AG1000" s="192">
        <f>$BD1000*VLOOKUP($AG$3,$AF$4:$AG$7,2,FALSE)</f>
        <v/>
      </c>
      <c r="AH1000" s="76">
        <f>SUM(AE1000,AG1000,AI1000)*rate_forex_risk</f>
        <v/>
      </c>
      <c r="AI1000" s="193">
        <f>IF(OR(seller_region="TR",offer_sale_type="экспорт"),0,rate_fin_comm)*SUM(AZ1000,AZ1000*AW1000,T1000)</f>
        <v/>
      </c>
      <c r="AJ1000" s="118">
        <f>IFERROR(ROUND(SUM(AB1000,AF1000:AI1000)/E1000,2),0)</f>
        <v/>
      </c>
      <c r="AK1000" s="76">
        <f>AJ1000*E1000</f>
        <v/>
      </c>
      <c r="AL1000" s="174">
        <f>ROUND(IFERROR(AM1000*E1000,0),2)</f>
        <v/>
      </c>
      <c r="AM1000" s="175">
        <f>ROUND(AJ1000*(1+IF(offer_incoterms="DDP",IF((TODAY()+offer_turnaround_time)&gt;=helpsheet!$L$17,rate_vatRU_from_26,rate_vatRu_till_25),0)),2)</f>
        <v/>
      </c>
      <c r="AN1000" s="192">
        <f>AL1000-AK1000</f>
        <v/>
      </c>
      <c r="AO1000" s="76">
        <f>SUM(AY1000,Y1000:Z1000,T1000)*IF(AND(offer_incoterms="DDP",offer_sale_type&lt;&gt;"экспорт"),IF((TODAY()+offer_turnaround_time)&gt;=helpsheet!$L$17,rate_vatRU_from_26,rate_vatRu_till_25),0)</f>
        <v/>
      </c>
      <c r="AP1000" s="193">
        <f>AN1000-AO1000</f>
        <v/>
      </c>
      <c r="AQ1000" s="118">
        <f>IF(offer_sale_type="транзит",SUM(AF1000:AI1000,BA1000,BB1000),0)</f>
        <v/>
      </c>
      <c r="AR1000" s="82">
        <f>HYPERLINK("https://www.alta.ru/tnved/code/")&amp;W1000&amp;"/"</f>
        <v/>
      </c>
      <c r="AS1000" s="157" t="n"/>
      <c r="AT1000" s="162" t="n"/>
      <c r="AU1000" s="76">
        <f>IF(ISBLANK(AT1000),0,AJ1000-AT1000)</f>
        <v/>
      </c>
      <c r="AV1000" s="157" t="n"/>
      <c r="AW1000" s="75">
        <f>_xlfn.IFNA(VLOOKUP(L1000,list_vat[],3,FALSE),0)</f>
        <v/>
      </c>
      <c r="AX1000" s="76">
        <f>IFERROR(ROUND(S1000*(1+AW1000)/E1000,2),0)</f>
        <v/>
      </c>
      <c r="AY1000" s="76">
        <f>E1000*AX1000</f>
        <v/>
      </c>
      <c r="AZ1000" s="192">
        <f>S1000*(1+M1000)</f>
        <v/>
      </c>
      <c r="BA1000" s="76">
        <f>cost_fin_total*$BD1000</f>
        <v/>
      </c>
      <c r="BB1000" s="193">
        <f>credit_sales_interest*BD1000</f>
        <v/>
      </c>
      <c r="BC1000" s="102">
        <f>IFERROR(IF($I$13&gt;0,$I1000/$I$13,$S1000/$S$13),0)</f>
        <v/>
      </c>
      <c r="BD1000" s="102">
        <f>IFERROR($S1000/$S$13,0)</f>
        <v/>
      </c>
      <c r="BE1000" s="413" t="inlineStr">
        <is>
          <t>$</t>
        </is>
      </c>
    </row>
    <row r="1001" ht="12" customFormat="1" customHeight="1" s="65">
      <c r="A1001" s="43" t="n">
        <v>986</v>
      </c>
      <c r="B1001" s="166" t="n"/>
      <c r="C1001" s="166" t="n"/>
      <c r="D1001" s="166" t="n"/>
      <c r="E1001" s="162" t="n"/>
      <c r="F1001" s="166" t="n"/>
      <c r="G1001" s="162" t="n"/>
      <c r="H1001" s="162" t="n"/>
      <c r="I1001" s="189">
        <f>E1001*G1001</f>
        <v/>
      </c>
      <c r="J1001" s="195" t="n"/>
      <c r="K1001" s="162" t="n"/>
      <c r="L1001" s="168" t="n"/>
      <c r="M1001" s="75">
        <f>_xlfn.XLOOKUP(L1001,list_vat[Страна],list_vat[Ставка НДС %],0,0)</f>
        <v/>
      </c>
      <c r="N1001" s="162">
        <f>IFERROR(IF(L1001="Китай",K1001,K1001/(1+M1001)),0)</f>
        <v/>
      </c>
      <c r="O1001" s="169" t="n"/>
      <c r="P1001" s="76">
        <f>N1001*(1-O1001)</f>
        <v/>
      </c>
      <c r="Q1001" s="162" t="n"/>
      <c r="R1001" s="162">
        <f>IF(ISBLANK(Q1001),"введи курс",P1001/Q1001)</f>
        <v/>
      </c>
      <c r="S1001" s="196">
        <f>IF(AND(ISNUMBER(E1001),ISNUMBER(Q1001)),E1001*R1001,0)</f>
        <v/>
      </c>
      <c r="T1001" s="192">
        <f>$BC1001*V$11</f>
        <v/>
      </c>
      <c r="U1001" s="76">
        <f>$BC1001*W$11</f>
        <v/>
      </c>
      <c r="V1001" s="193">
        <f>+SUM(T1001:U1001)</f>
        <v/>
      </c>
      <c r="W1001" s="191" t="n"/>
      <c r="X1001" s="170" t="n"/>
      <c r="Y1001" s="76">
        <f>ROUND(IF(offer_incoterms="DDP",X1001*(S1001*(1+AW1001)+T1001),0),2)</f>
        <v/>
      </c>
      <c r="Z1001" s="188" t="n"/>
      <c r="AA1001" s="192">
        <f>IFERROR(AB1001/E1001,0)</f>
        <v/>
      </c>
      <c r="AB1001" s="76">
        <f>ROUND(SUM(S1001,V1001,Y1001:Z1001,BA1001:BB1001),2)</f>
        <v/>
      </c>
      <c r="AC1001" s="797" t="n"/>
      <c r="AD1001" s="192">
        <f t="array" ref="AD1001">IFERROR(ROUND((_xlfn.IFS(offer_sale_type="поставка",AB1001,offer_sale_type="транзит",S1001)*(1+AC1001))/E1001,2),0)</f>
        <v/>
      </c>
      <c r="AE1001" s="76">
        <f>AD1001*E1001</f>
        <v/>
      </c>
      <c r="AF1001" s="193">
        <f t="array" ref="AF1001">IFERROR(ROUND(_xlfn.IFS(offer_sale_type="поставка",AB1001,offer_sale_type="транзит",S1001)*AC1001,2),0)</f>
        <v/>
      </c>
      <c r="AG1001" s="192">
        <f>$BD1001*VLOOKUP($AG$3,$AF$4:$AG$7,2,FALSE)</f>
        <v/>
      </c>
      <c r="AH1001" s="76">
        <f>SUM(AE1001,AG1001,AI1001)*rate_forex_risk</f>
        <v/>
      </c>
      <c r="AI1001" s="193">
        <f>IF(OR(seller_region="TR",offer_sale_type="экспорт"),0,rate_fin_comm)*SUM(AZ1001,AZ1001*AW1001,T1001)</f>
        <v/>
      </c>
      <c r="AJ1001" s="118">
        <f>IFERROR(ROUND(SUM(AB1001,AF1001:AI1001)/E1001,2),0)</f>
        <v/>
      </c>
      <c r="AK1001" s="76">
        <f>AJ1001*E1001</f>
        <v/>
      </c>
      <c r="AL1001" s="174">
        <f>ROUND(IFERROR(AM1001*E1001,0),2)</f>
        <v/>
      </c>
      <c r="AM1001" s="175">
        <f>ROUND(AJ1001*(1+IF(offer_incoterms="DDP",IF((TODAY()+offer_turnaround_time)&gt;=helpsheet!$L$17,rate_vatRU_from_26,rate_vatRu_till_25),0)),2)</f>
        <v/>
      </c>
      <c r="AN1001" s="192">
        <f>AL1001-AK1001</f>
        <v/>
      </c>
      <c r="AO1001" s="76">
        <f>SUM(AY1001,Y1001:Z1001,T1001)*IF(AND(offer_incoterms="DDP",offer_sale_type&lt;&gt;"экспорт"),IF((TODAY()+offer_turnaround_time)&gt;=helpsheet!$L$17,rate_vatRU_from_26,rate_vatRu_till_25),0)</f>
        <v/>
      </c>
      <c r="AP1001" s="193">
        <f>AN1001-AO1001</f>
        <v/>
      </c>
      <c r="AQ1001" s="118">
        <f>IF(offer_sale_type="транзит",SUM(AF1001:AI1001,BA1001,BB1001),0)</f>
        <v/>
      </c>
      <c r="AR1001" s="82">
        <f>HYPERLINK("https://www.alta.ru/tnved/code/")&amp;W1001&amp;"/"</f>
        <v/>
      </c>
      <c r="AS1001" s="157" t="n"/>
      <c r="AT1001" s="162" t="n"/>
      <c r="AU1001" s="76">
        <f>IF(ISBLANK(AT1001),0,AJ1001-AT1001)</f>
        <v/>
      </c>
      <c r="AV1001" s="157" t="n"/>
      <c r="AW1001" s="75">
        <f>_xlfn.IFNA(VLOOKUP(L1001,list_vat[],3,FALSE),0)</f>
        <v/>
      </c>
      <c r="AX1001" s="76">
        <f>IFERROR(ROUND(S1001*(1+AW1001)/E1001,2),0)</f>
        <v/>
      </c>
      <c r="AY1001" s="76">
        <f>E1001*AX1001</f>
        <v/>
      </c>
      <c r="AZ1001" s="192">
        <f>S1001*(1+M1001)</f>
        <v/>
      </c>
      <c r="BA1001" s="76">
        <f>cost_fin_total*$BD1001</f>
        <v/>
      </c>
      <c r="BB1001" s="193">
        <f>credit_sales_interest*BD1001</f>
        <v/>
      </c>
      <c r="BC1001" s="102">
        <f>IFERROR(IF($I$13&gt;0,$I1001/$I$13,$S1001/$S$13),0)</f>
        <v/>
      </c>
      <c r="BD1001" s="102">
        <f>IFERROR($S1001/$S$13,0)</f>
        <v/>
      </c>
      <c r="BE1001" s="413" t="inlineStr">
        <is>
          <t>$</t>
        </is>
      </c>
    </row>
    <row r="1002" ht="12" customFormat="1" customHeight="1" s="65">
      <c r="A1002" s="43" t="n">
        <v>987</v>
      </c>
      <c r="B1002" s="166" t="n"/>
      <c r="C1002" s="166" t="n"/>
      <c r="D1002" s="166" t="n"/>
      <c r="E1002" s="162" t="n"/>
      <c r="F1002" s="166" t="n"/>
      <c r="G1002" s="162" t="n"/>
      <c r="H1002" s="162" t="n"/>
      <c r="I1002" s="189">
        <f>E1002*G1002</f>
        <v/>
      </c>
      <c r="J1002" s="195" t="n"/>
      <c r="K1002" s="162" t="n"/>
      <c r="L1002" s="168" t="n"/>
      <c r="M1002" s="75">
        <f>_xlfn.XLOOKUP(L1002,list_vat[Страна],list_vat[Ставка НДС %],0,0)</f>
        <v/>
      </c>
      <c r="N1002" s="162">
        <f>IFERROR(IF(L1002="Китай",K1002,K1002/(1+M1002)),0)</f>
        <v/>
      </c>
      <c r="O1002" s="169" t="n"/>
      <c r="P1002" s="76">
        <f>N1002*(1-O1002)</f>
        <v/>
      </c>
      <c r="Q1002" s="162" t="n"/>
      <c r="R1002" s="162">
        <f>IF(ISBLANK(Q1002),"введи курс",P1002/Q1002)</f>
        <v/>
      </c>
      <c r="S1002" s="196">
        <f>IF(AND(ISNUMBER(E1002),ISNUMBER(Q1002)),E1002*R1002,0)</f>
        <v/>
      </c>
      <c r="T1002" s="192">
        <f>$BC1002*V$11</f>
        <v/>
      </c>
      <c r="U1002" s="76">
        <f>$BC1002*W$11</f>
        <v/>
      </c>
      <c r="V1002" s="193">
        <f>+SUM(T1002:U1002)</f>
        <v/>
      </c>
      <c r="W1002" s="191" t="n"/>
      <c r="X1002" s="170" t="n"/>
      <c r="Y1002" s="76">
        <f>ROUND(IF(offer_incoterms="DDP",X1002*(S1002*(1+AW1002)+T1002),0),2)</f>
        <v/>
      </c>
      <c r="Z1002" s="188" t="n"/>
      <c r="AA1002" s="192">
        <f>IFERROR(AB1002/E1002,0)</f>
        <v/>
      </c>
      <c r="AB1002" s="76">
        <f>ROUND(SUM(S1002,V1002,Y1002:Z1002,BA1002:BB1002),2)</f>
        <v/>
      </c>
      <c r="AC1002" s="797" t="n"/>
      <c r="AD1002" s="192">
        <f t="array" ref="AD1002">IFERROR(ROUND((_xlfn.IFS(offer_sale_type="поставка",AB1002,offer_sale_type="транзит",S1002)*(1+AC1002))/E1002,2),0)</f>
        <v/>
      </c>
      <c r="AE1002" s="76">
        <f>AD1002*E1002</f>
        <v/>
      </c>
      <c r="AF1002" s="193">
        <f t="array" ref="AF1002">IFERROR(ROUND(_xlfn.IFS(offer_sale_type="поставка",AB1002,offer_sale_type="транзит",S1002)*AC1002,2),0)</f>
        <v/>
      </c>
      <c r="AG1002" s="192">
        <f>$BD1002*VLOOKUP($AG$3,$AF$4:$AG$7,2,FALSE)</f>
        <v/>
      </c>
      <c r="AH1002" s="76">
        <f>SUM(AE1002,AG1002,AI1002)*rate_forex_risk</f>
        <v/>
      </c>
      <c r="AI1002" s="193">
        <f>IF(OR(seller_region="TR",offer_sale_type="экспорт"),0,rate_fin_comm)*SUM(AZ1002,AZ1002*AW1002,T1002)</f>
        <v/>
      </c>
      <c r="AJ1002" s="118">
        <f>IFERROR(ROUND(SUM(AB1002,AF1002:AI1002)/E1002,2),0)</f>
        <v/>
      </c>
      <c r="AK1002" s="76">
        <f>AJ1002*E1002</f>
        <v/>
      </c>
      <c r="AL1002" s="174">
        <f>ROUND(IFERROR(AM1002*E1002,0),2)</f>
        <v/>
      </c>
      <c r="AM1002" s="175">
        <f>ROUND(AJ1002*(1+IF(offer_incoterms="DDP",IF((TODAY()+offer_turnaround_time)&gt;=helpsheet!$L$17,rate_vatRU_from_26,rate_vatRu_till_25),0)),2)</f>
        <v/>
      </c>
      <c r="AN1002" s="192">
        <f>AL1002-AK1002</f>
        <v/>
      </c>
      <c r="AO1002" s="76">
        <f>SUM(AY1002,Y1002:Z1002,T1002)*IF(AND(offer_incoterms="DDP",offer_sale_type&lt;&gt;"экспорт"),IF((TODAY()+offer_turnaround_time)&gt;=helpsheet!$L$17,rate_vatRU_from_26,rate_vatRu_till_25),0)</f>
        <v/>
      </c>
      <c r="AP1002" s="193">
        <f>AN1002-AO1002</f>
        <v/>
      </c>
      <c r="AQ1002" s="118">
        <f>IF(offer_sale_type="транзит",SUM(AF1002:AI1002,BA1002,BB1002),0)</f>
        <v/>
      </c>
      <c r="AR1002" s="82">
        <f>HYPERLINK("https://www.alta.ru/tnved/code/")&amp;W1002&amp;"/"</f>
        <v/>
      </c>
      <c r="AS1002" s="157" t="n"/>
      <c r="AT1002" s="162" t="n"/>
      <c r="AU1002" s="76">
        <f>IF(ISBLANK(AT1002),0,AJ1002-AT1002)</f>
        <v/>
      </c>
      <c r="AV1002" s="157" t="n"/>
      <c r="AW1002" s="75">
        <f>_xlfn.IFNA(VLOOKUP(L1002,list_vat[],3,FALSE),0)</f>
        <v/>
      </c>
      <c r="AX1002" s="76">
        <f>IFERROR(ROUND(S1002*(1+AW1002)/E1002,2),0)</f>
        <v/>
      </c>
      <c r="AY1002" s="76">
        <f>E1002*AX1002</f>
        <v/>
      </c>
      <c r="AZ1002" s="192">
        <f>S1002*(1+M1002)</f>
        <v/>
      </c>
      <c r="BA1002" s="76">
        <f>cost_fin_total*$BD1002</f>
        <v/>
      </c>
      <c r="BB1002" s="193">
        <f>credit_sales_interest*BD1002</f>
        <v/>
      </c>
      <c r="BC1002" s="102">
        <f>IFERROR(IF($I$13&gt;0,$I1002/$I$13,$S1002/$S$13),0)</f>
        <v/>
      </c>
      <c r="BD1002" s="102">
        <f>IFERROR($S1002/$S$13,0)</f>
        <v/>
      </c>
      <c r="BE1002" s="413" t="inlineStr">
        <is>
          <t>$</t>
        </is>
      </c>
    </row>
    <row r="1003" ht="12" customFormat="1" customHeight="1" s="65">
      <c r="A1003" s="43" t="n">
        <v>988</v>
      </c>
      <c r="B1003" s="166" t="n"/>
      <c r="C1003" s="166" t="n"/>
      <c r="D1003" s="166" t="n"/>
      <c r="E1003" s="162" t="n"/>
      <c r="F1003" s="166" t="n"/>
      <c r="G1003" s="162" t="n"/>
      <c r="H1003" s="162" t="n"/>
      <c r="I1003" s="189">
        <f>E1003*G1003</f>
        <v/>
      </c>
      <c r="J1003" s="195" t="n"/>
      <c r="K1003" s="162" t="n"/>
      <c r="L1003" s="168" t="n"/>
      <c r="M1003" s="75">
        <f>_xlfn.XLOOKUP(L1003,list_vat[Страна],list_vat[Ставка НДС %],0,0)</f>
        <v/>
      </c>
      <c r="N1003" s="162">
        <f>IFERROR(IF(L1003="Китай",K1003,K1003/(1+M1003)),0)</f>
        <v/>
      </c>
      <c r="O1003" s="169" t="n"/>
      <c r="P1003" s="76">
        <f>N1003*(1-O1003)</f>
        <v/>
      </c>
      <c r="Q1003" s="162" t="n"/>
      <c r="R1003" s="162">
        <f>IF(ISBLANK(Q1003),"введи курс",P1003/Q1003)</f>
        <v/>
      </c>
      <c r="S1003" s="196">
        <f>IF(AND(ISNUMBER(E1003),ISNUMBER(Q1003)),E1003*R1003,0)</f>
        <v/>
      </c>
      <c r="T1003" s="192">
        <f>$BC1003*V$11</f>
        <v/>
      </c>
      <c r="U1003" s="76">
        <f>$BC1003*W$11</f>
        <v/>
      </c>
      <c r="V1003" s="193">
        <f>+SUM(T1003:U1003)</f>
        <v/>
      </c>
      <c r="W1003" s="191" t="n"/>
      <c r="X1003" s="170" t="n"/>
      <c r="Y1003" s="76">
        <f>ROUND(IF(offer_incoterms="DDP",X1003*(S1003*(1+AW1003)+T1003),0),2)</f>
        <v/>
      </c>
      <c r="Z1003" s="188" t="n"/>
      <c r="AA1003" s="192">
        <f>IFERROR(AB1003/E1003,0)</f>
        <v/>
      </c>
      <c r="AB1003" s="76">
        <f>ROUND(SUM(S1003,V1003,Y1003:Z1003,BA1003:BB1003),2)</f>
        <v/>
      </c>
      <c r="AC1003" s="797" t="n"/>
      <c r="AD1003" s="192">
        <f t="array" ref="AD1003">IFERROR(ROUND((_xlfn.IFS(offer_sale_type="поставка",AB1003,offer_sale_type="транзит",S1003)*(1+AC1003))/E1003,2),0)</f>
        <v/>
      </c>
      <c r="AE1003" s="76">
        <f>AD1003*E1003</f>
        <v/>
      </c>
      <c r="AF1003" s="193">
        <f t="array" ref="AF1003">IFERROR(ROUND(_xlfn.IFS(offer_sale_type="поставка",AB1003,offer_sale_type="транзит",S1003)*AC1003,2),0)</f>
        <v/>
      </c>
      <c r="AG1003" s="192">
        <f>$BD1003*VLOOKUP($AG$3,$AF$4:$AG$7,2,FALSE)</f>
        <v/>
      </c>
      <c r="AH1003" s="76">
        <f>SUM(AE1003,AG1003,AI1003)*rate_forex_risk</f>
        <v/>
      </c>
      <c r="AI1003" s="193">
        <f>IF(OR(seller_region="TR",offer_sale_type="экспорт"),0,rate_fin_comm)*SUM(AZ1003,AZ1003*AW1003,T1003)</f>
        <v/>
      </c>
      <c r="AJ1003" s="118">
        <f>IFERROR(ROUND(SUM(AB1003,AF1003:AI1003)/E1003,2),0)</f>
        <v/>
      </c>
      <c r="AK1003" s="76">
        <f>AJ1003*E1003</f>
        <v/>
      </c>
      <c r="AL1003" s="174">
        <f>ROUND(IFERROR(AM1003*E1003,0),2)</f>
        <v/>
      </c>
      <c r="AM1003" s="175">
        <f>ROUND(AJ1003*(1+IF(offer_incoterms="DDP",IF((TODAY()+offer_turnaround_time)&gt;=helpsheet!$L$17,rate_vatRU_from_26,rate_vatRu_till_25),0)),2)</f>
        <v/>
      </c>
      <c r="AN1003" s="192">
        <f>AL1003-AK1003</f>
        <v/>
      </c>
      <c r="AO1003" s="76">
        <f>SUM(AY1003,Y1003:Z1003,T1003)*IF(AND(offer_incoterms="DDP",offer_sale_type&lt;&gt;"экспорт"),IF((TODAY()+offer_turnaround_time)&gt;=helpsheet!$L$17,rate_vatRU_from_26,rate_vatRu_till_25),0)</f>
        <v/>
      </c>
      <c r="AP1003" s="193">
        <f>AN1003-AO1003</f>
        <v/>
      </c>
      <c r="AQ1003" s="118">
        <f>IF(offer_sale_type="транзит",SUM(AF1003:AI1003,BA1003,BB1003),0)</f>
        <v/>
      </c>
      <c r="AR1003" s="82">
        <f>HYPERLINK("https://www.alta.ru/tnved/code/")&amp;W1003&amp;"/"</f>
        <v/>
      </c>
      <c r="AS1003" s="157" t="n"/>
      <c r="AT1003" s="162" t="n"/>
      <c r="AU1003" s="76">
        <f>IF(ISBLANK(AT1003),0,AJ1003-AT1003)</f>
        <v/>
      </c>
      <c r="AV1003" s="157" t="n"/>
      <c r="AW1003" s="75">
        <f>_xlfn.IFNA(VLOOKUP(L1003,list_vat[],3,FALSE),0)</f>
        <v/>
      </c>
      <c r="AX1003" s="76">
        <f>IFERROR(ROUND(S1003*(1+AW1003)/E1003,2),0)</f>
        <v/>
      </c>
      <c r="AY1003" s="76">
        <f>E1003*AX1003</f>
        <v/>
      </c>
      <c r="AZ1003" s="192">
        <f>S1003*(1+M1003)</f>
        <v/>
      </c>
      <c r="BA1003" s="76">
        <f>cost_fin_total*$BD1003</f>
        <v/>
      </c>
      <c r="BB1003" s="193">
        <f>credit_sales_interest*BD1003</f>
        <v/>
      </c>
      <c r="BC1003" s="102">
        <f>IFERROR(IF($I$13&gt;0,$I1003/$I$13,$S1003/$S$13),0)</f>
        <v/>
      </c>
      <c r="BD1003" s="102">
        <f>IFERROR($S1003/$S$13,0)</f>
        <v/>
      </c>
      <c r="BE1003" s="413" t="inlineStr">
        <is>
          <t>$</t>
        </is>
      </c>
    </row>
    <row r="1004" ht="12" customFormat="1" customHeight="1" s="65">
      <c r="A1004" s="43" t="n">
        <v>989</v>
      </c>
      <c r="B1004" s="166" t="n"/>
      <c r="C1004" s="166" t="n"/>
      <c r="D1004" s="166" t="n"/>
      <c r="E1004" s="162" t="n"/>
      <c r="F1004" s="166" t="n"/>
      <c r="G1004" s="162" t="n"/>
      <c r="H1004" s="162" t="n"/>
      <c r="I1004" s="189">
        <f>E1004*G1004</f>
        <v/>
      </c>
      <c r="J1004" s="195" t="n"/>
      <c r="K1004" s="162" t="n"/>
      <c r="L1004" s="168" t="n"/>
      <c r="M1004" s="75">
        <f>_xlfn.XLOOKUP(L1004,list_vat[Страна],list_vat[Ставка НДС %],0,0)</f>
        <v/>
      </c>
      <c r="N1004" s="162">
        <f>IFERROR(IF(L1004="Китай",K1004,K1004/(1+M1004)),0)</f>
        <v/>
      </c>
      <c r="O1004" s="169" t="n"/>
      <c r="P1004" s="76">
        <f>N1004*(1-O1004)</f>
        <v/>
      </c>
      <c r="Q1004" s="162" t="n"/>
      <c r="R1004" s="162">
        <f>IF(ISBLANK(Q1004),"введи курс",P1004/Q1004)</f>
        <v/>
      </c>
      <c r="S1004" s="196">
        <f>IF(AND(ISNUMBER(E1004),ISNUMBER(Q1004)),E1004*R1004,0)</f>
        <v/>
      </c>
      <c r="T1004" s="192">
        <f>$BC1004*V$11</f>
        <v/>
      </c>
      <c r="U1004" s="76">
        <f>$BC1004*W$11</f>
        <v/>
      </c>
      <c r="V1004" s="193">
        <f>+SUM(T1004:U1004)</f>
        <v/>
      </c>
      <c r="W1004" s="191" t="n"/>
      <c r="X1004" s="170" t="n"/>
      <c r="Y1004" s="76">
        <f>ROUND(IF(offer_incoterms="DDP",X1004*(S1004*(1+AW1004)+T1004),0),2)</f>
        <v/>
      </c>
      <c r="Z1004" s="188" t="n"/>
      <c r="AA1004" s="192">
        <f>IFERROR(AB1004/E1004,0)</f>
        <v/>
      </c>
      <c r="AB1004" s="76">
        <f>ROUND(SUM(S1004,V1004,Y1004:Z1004,BA1004:BB1004),2)</f>
        <v/>
      </c>
      <c r="AC1004" s="797" t="n"/>
      <c r="AD1004" s="192">
        <f t="array" ref="AD1004">IFERROR(ROUND((_xlfn.IFS(offer_sale_type="поставка",AB1004,offer_sale_type="транзит",S1004)*(1+AC1004))/E1004,2),0)</f>
        <v/>
      </c>
      <c r="AE1004" s="76">
        <f>AD1004*E1004</f>
        <v/>
      </c>
      <c r="AF1004" s="193">
        <f t="array" ref="AF1004">IFERROR(ROUND(_xlfn.IFS(offer_sale_type="поставка",AB1004,offer_sale_type="транзит",S1004)*AC1004,2),0)</f>
        <v/>
      </c>
      <c r="AG1004" s="192">
        <f>$BD1004*VLOOKUP($AG$3,$AF$4:$AG$7,2,FALSE)</f>
        <v/>
      </c>
      <c r="AH1004" s="76">
        <f>SUM(AE1004,AG1004,AI1004)*rate_forex_risk</f>
        <v/>
      </c>
      <c r="AI1004" s="193">
        <f>IF(OR(seller_region="TR",offer_sale_type="экспорт"),0,rate_fin_comm)*SUM(AZ1004,AZ1004*AW1004,T1004)</f>
        <v/>
      </c>
      <c r="AJ1004" s="118">
        <f>IFERROR(ROUND(SUM(AB1004,AF1004:AI1004)/E1004,2),0)</f>
        <v/>
      </c>
      <c r="AK1004" s="76">
        <f>AJ1004*E1004</f>
        <v/>
      </c>
      <c r="AL1004" s="174">
        <f>ROUND(IFERROR(AM1004*E1004,0),2)</f>
        <v/>
      </c>
      <c r="AM1004" s="175">
        <f>ROUND(AJ1004*(1+IF(offer_incoterms="DDP",IF((TODAY()+offer_turnaround_time)&gt;=helpsheet!$L$17,rate_vatRU_from_26,rate_vatRu_till_25),0)),2)</f>
        <v/>
      </c>
      <c r="AN1004" s="192">
        <f>AL1004-AK1004</f>
        <v/>
      </c>
      <c r="AO1004" s="76">
        <f>SUM(AY1004,Y1004:Z1004,T1004)*IF(AND(offer_incoterms="DDP",offer_sale_type&lt;&gt;"экспорт"),IF((TODAY()+offer_turnaround_time)&gt;=helpsheet!$L$17,rate_vatRU_from_26,rate_vatRu_till_25),0)</f>
        <v/>
      </c>
      <c r="AP1004" s="193">
        <f>AN1004-AO1004</f>
        <v/>
      </c>
      <c r="AQ1004" s="118">
        <f>IF(offer_sale_type="транзит",SUM(AF1004:AI1004,BA1004,BB1004),0)</f>
        <v/>
      </c>
      <c r="AR1004" s="82">
        <f>HYPERLINK("https://www.alta.ru/tnved/code/")&amp;W1004&amp;"/"</f>
        <v/>
      </c>
      <c r="AS1004" s="157" t="n"/>
      <c r="AT1004" s="162" t="n"/>
      <c r="AU1004" s="76">
        <f>IF(ISBLANK(AT1004),0,AJ1004-AT1004)</f>
        <v/>
      </c>
      <c r="AV1004" s="157" t="n"/>
      <c r="AW1004" s="75">
        <f>_xlfn.IFNA(VLOOKUP(L1004,list_vat[],3,FALSE),0)</f>
        <v/>
      </c>
      <c r="AX1004" s="76">
        <f>IFERROR(ROUND(S1004*(1+AW1004)/E1004,2),0)</f>
        <v/>
      </c>
      <c r="AY1004" s="76">
        <f>E1004*AX1004</f>
        <v/>
      </c>
      <c r="AZ1004" s="192">
        <f>S1004*(1+M1004)</f>
        <v/>
      </c>
      <c r="BA1004" s="76">
        <f>cost_fin_total*$BD1004</f>
        <v/>
      </c>
      <c r="BB1004" s="193">
        <f>credit_sales_interest*BD1004</f>
        <v/>
      </c>
      <c r="BC1004" s="102">
        <f>IFERROR(IF($I$13&gt;0,$I1004/$I$13,$S1004/$S$13),0)</f>
        <v/>
      </c>
      <c r="BD1004" s="102">
        <f>IFERROR($S1004/$S$13,0)</f>
        <v/>
      </c>
      <c r="BE1004" s="413" t="inlineStr">
        <is>
          <t>$</t>
        </is>
      </c>
    </row>
    <row r="1005" ht="12" customFormat="1" customHeight="1" s="65">
      <c r="A1005" s="43" t="n">
        <v>990</v>
      </c>
      <c r="B1005" s="166" t="n"/>
      <c r="C1005" s="166" t="n"/>
      <c r="D1005" s="166" t="n"/>
      <c r="E1005" s="162" t="n"/>
      <c r="F1005" s="166" t="n"/>
      <c r="G1005" s="162" t="n"/>
      <c r="H1005" s="162" t="n"/>
      <c r="I1005" s="189">
        <f>E1005*G1005</f>
        <v/>
      </c>
      <c r="J1005" s="195" t="n"/>
      <c r="K1005" s="162" t="n"/>
      <c r="L1005" s="168" t="n"/>
      <c r="M1005" s="75">
        <f>_xlfn.XLOOKUP(L1005,list_vat[Страна],list_vat[Ставка НДС %],0,0)</f>
        <v/>
      </c>
      <c r="N1005" s="162">
        <f>IFERROR(IF(L1005="Китай",K1005,K1005/(1+M1005)),0)</f>
        <v/>
      </c>
      <c r="O1005" s="169" t="n"/>
      <c r="P1005" s="76">
        <f>N1005*(1-O1005)</f>
        <v/>
      </c>
      <c r="Q1005" s="162" t="n"/>
      <c r="R1005" s="162">
        <f>IF(ISBLANK(Q1005),"введи курс",P1005/Q1005)</f>
        <v/>
      </c>
      <c r="S1005" s="196">
        <f>IF(AND(ISNUMBER(E1005),ISNUMBER(Q1005)),E1005*R1005,0)</f>
        <v/>
      </c>
      <c r="T1005" s="192">
        <f>$BC1005*V$11</f>
        <v/>
      </c>
      <c r="U1005" s="76">
        <f>$BC1005*W$11</f>
        <v/>
      </c>
      <c r="V1005" s="193">
        <f>+SUM(T1005:U1005)</f>
        <v/>
      </c>
      <c r="W1005" s="191" t="n"/>
      <c r="X1005" s="170" t="n"/>
      <c r="Y1005" s="76">
        <f>ROUND(IF(offer_incoterms="DDP",X1005*(S1005*(1+AW1005)+T1005),0),2)</f>
        <v/>
      </c>
      <c r="Z1005" s="188" t="n"/>
      <c r="AA1005" s="192">
        <f>IFERROR(AB1005/E1005,0)</f>
        <v/>
      </c>
      <c r="AB1005" s="76">
        <f>ROUND(SUM(S1005,V1005,Y1005:Z1005,BA1005:BB1005),2)</f>
        <v/>
      </c>
      <c r="AC1005" s="797" t="n"/>
      <c r="AD1005" s="192">
        <f t="array" ref="AD1005">IFERROR(ROUND((_xlfn.IFS(offer_sale_type="поставка",AB1005,offer_sale_type="транзит",S1005)*(1+AC1005))/E1005,2),0)</f>
        <v/>
      </c>
      <c r="AE1005" s="76">
        <f>AD1005*E1005</f>
        <v/>
      </c>
      <c r="AF1005" s="193">
        <f t="array" ref="AF1005">IFERROR(ROUND(_xlfn.IFS(offer_sale_type="поставка",AB1005,offer_sale_type="транзит",S1005)*AC1005,2),0)</f>
        <v/>
      </c>
      <c r="AG1005" s="192">
        <f>$BD1005*VLOOKUP($AG$3,$AF$4:$AG$7,2,FALSE)</f>
        <v/>
      </c>
      <c r="AH1005" s="76">
        <f>SUM(AE1005,AG1005,AI1005)*rate_forex_risk</f>
        <v/>
      </c>
      <c r="AI1005" s="193">
        <f>IF(OR(seller_region="TR",offer_sale_type="экспорт"),0,rate_fin_comm)*SUM(AZ1005,AZ1005*AW1005,T1005)</f>
        <v/>
      </c>
      <c r="AJ1005" s="118">
        <f>IFERROR(ROUND(SUM(AB1005,AF1005:AI1005)/E1005,2),0)</f>
        <v/>
      </c>
      <c r="AK1005" s="76">
        <f>AJ1005*E1005</f>
        <v/>
      </c>
      <c r="AL1005" s="174">
        <f>ROUND(IFERROR(AM1005*E1005,0),2)</f>
        <v/>
      </c>
      <c r="AM1005" s="175">
        <f>ROUND(AJ1005*(1+IF(offer_incoterms="DDP",IF((TODAY()+offer_turnaround_time)&gt;=helpsheet!$L$17,rate_vatRU_from_26,rate_vatRu_till_25),0)),2)</f>
        <v/>
      </c>
      <c r="AN1005" s="192">
        <f>AL1005-AK1005</f>
        <v/>
      </c>
      <c r="AO1005" s="76">
        <f>SUM(AY1005,Y1005:Z1005,T1005)*IF(AND(offer_incoterms="DDP",offer_sale_type&lt;&gt;"экспорт"),IF((TODAY()+offer_turnaround_time)&gt;=helpsheet!$L$17,rate_vatRU_from_26,rate_vatRu_till_25),0)</f>
        <v/>
      </c>
      <c r="AP1005" s="193">
        <f>AN1005-AO1005</f>
        <v/>
      </c>
      <c r="AQ1005" s="118">
        <f>IF(offer_sale_type="транзит",SUM(AF1005:AI1005,BA1005,BB1005),0)</f>
        <v/>
      </c>
      <c r="AR1005" s="82">
        <f>HYPERLINK("https://www.alta.ru/tnved/code/")&amp;W1005&amp;"/"</f>
        <v/>
      </c>
      <c r="AS1005" s="157" t="n"/>
      <c r="AT1005" s="162" t="n"/>
      <c r="AU1005" s="76">
        <f>IF(ISBLANK(AT1005),0,AJ1005-AT1005)</f>
        <v/>
      </c>
      <c r="AV1005" s="157" t="n"/>
      <c r="AW1005" s="75">
        <f>_xlfn.IFNA(VLOOKUP(L1005,list_vat[],3,FALSE),0)</f>
        <v/>
      </c>
      <c r="AX1005" s="76">
        <f>IFERROR(ROUND(S1005*(1+AW1005)/E1005,2),0)</f>
        <v/>
      </c>
      <c r="AY1005" s="76">
        <f>E1005*AX1005</f>
        <v/>
      </c>
      <c r="AZ1005" s="192">
        <f>S1005*(1+M1005)</f>
        <v/>
      </c>
      <c r="BA1005" s="76">
        <f>cost_fin_total*$BD1005</f>
        <v/>
      </c>
      <c r="BB1005" s="193">
        <f>credit_sales_interest*BD1005</f>
        <v/>
      </c>
      <c r="BC1005" s="102">
        <f>IFERROR(IF($I$13&gt;0,$I1005/$I$13,$S1005/$S$13),0)</f>
        <v/>
      </c>
      <c r="BD1005" s="102">
        <f>IFERROR($S1005/$S$13,0)</f>
        <v/>
      </c>
      <c r="BE1005" s="413" t="inlineStr">
        <is>
          <t>$</t>
        </is>
      </c>
    </row>
    <row r="1006" ht="12" customFormat="1" customHeight="1" s="65">
      <c r="A1006" s="43" t="n">
        <v>991</v>
      </c>
      <c r="B1006" s="166" t="n"/>
      <c r="C1006" s="166" t="n"/>
      <c r="D1006" s="166" t="n"/>
      <c r="E1006" s="162" t="n"/>
      <c r="F1006" s="166" t="n"/>
      <c r="G1006" s="162" t="n"/>
      <c r="H1006" s="162" t="n"/>
      <c r="I1006" s="189">
        <f>E1006*G1006</f>
        <v/>
      </c>
      <c r="J1006" s="195" t="n"/>
      <c r="K1006" s="162" t="n"/>
      <c r="L1006" s="168" t="n"/>
      <c r="M1006" s="75">
        <f>_xlfn.XLOOKUP(L1006,list_vat[Страна],list_vat[Ставка НДС %],0,0)</f>
        <v/>
      </c>
      <c r="N1006" s="162">
        <f>IFERROR(IF(L1006="Китай",K1006,K1006/(1+M1006)),0)</f>
        <v/>
      </c>
      <c r="O1006" s="169" t="n"/>
      <c r="P1006" s="76">
        <f>N1006*(1-O1006)</f>
        <v/>
      </c>
      <c r="Q1006" s="162" t="n"/>
      <c r="R1006" s="162">
        <f>IF(ISBLANK(Q1006),"введи курс",P1006/Q1006)</f>
        <v/>
      </c>
      <c r="S1006" s="196">
        <f>IF(AND(ISNUMBER(E1006),ISNUMBER(Q1006)),E1006*R1006,0)</f>
        <v/>
      </c>
      <c r="T1006" s="192">
        <f>$BC1006*V$11</f>
        <v/>
      </c>
      <c r="U1006" s="76">
        <f>$BC1006*W$11</f>
        <v/>
      </c>
      <c r="V1006" s="193">
        <f>+SUM(T1006:U1006)</f>
        <v/>
      </c>
      <c r="W1006" s="191" t="n"/>
      <c r="X1006" s="170" t="n"/>
      <c r="Y1006" s="76">
        <f>ROUND(IF(offer_incoterms="DDP",X1006*(S1006*(1+AW1006)+T1006),0),2)</f>
        <v/>
      </c>
      <c r="Z1006" s="188" t="n"/>
      <c r="AA1006" s="192">
        <f>IFERROR(AB1006/E1006,0)</f>
        <v/>
      </c>
      <c r="AB1006" s="76">
        <f>ROUND(SUM(S1006,V1006,Y1006:Z1006,BA1006:BB1006),2)</f>
        <v/>
      </c>
      <c r="AC1006" s="797" t="n"/>
      <c r="AD1006" s="192">
        <f t="array" ref="AD1006">IFERROR(ROUND((_xlfn.IFS(offer_sale_type="поставка",AB1006,offer_sale_type="транзит",S1006)*(1+AC1006))/E1006,2),0)</f>
        <v/>
      </c>
      <c r="AE1006" s="76">
        <f>AD1006*E1006</f>
        <v/>
      </c>
      <c r="AF1006" s="193">
        <f t="array" ref="AF1006">IFERROR(ROUND(_xlfn.IFS(offer_sale_type="поставка",AB1006,offer_sale_type="транзит",S1006)*AC1006,2),0)</f>
        <v/>
      </c>
      <c r="AG1006" s="192">
        <f>$BD1006*VLOOKUP($AG$3,$AF$4:$AG$7,2,FALSE)</f>
        <v/>
      </c>
      <c r="AH1006" s="76">
        <f>SUM(AE1006,AG1006,AI1006)*rate_forex_risk</f>
        <v/>
      </c>
      <c r="AI1006" s="193">
        <f>IF(OR(seller_region="TR",offer_sale_type="экспорт"),0,rate_fin_comm)*SUM(AZ1006,AZ1006*AW1006,T1006)</f>
        <v/>
      </c>
      <c r="AJ1006" s="118">
        <f>IFERROR(ROUND(SUM(AB1006,AF1006:AI1006)/E1006,2),0)</f>
        <v/>
      </c>
      <c r="AK1006" s="76">
        <f>AJ1006*E1006</f>
        <v/>
      </c>
      <c r="AL1006" s="174">
        <f>ROUND(IFERROR(AM1006*E1006,0),2)</f>
        <v/>
      </c>
      <c r="AM1006" s="175">
        <f>ROUND(AJ1006*(1+IF(offer_incoterms="DDP",IF((TODAY()+offer_turnaround_time)&gt;=helpsheet!$L$17,rate_vatRU_from_26,rate_vatRu_till_25),0)),2)</f>
        <v/>
      </c>
      <c r="AN1006" s="192">
        <f>AL1006-AK1006</f>
        <v/>
      </c>
      <c r="AO1006" s="76">
        <f>SUM(AY1006,Y1006:Z1006,T1006)*IF(AND(offer_incoterms="DDP",offer_sale_type&lt;&gt;"экспорт"),IF((TODAY()+offer_turnaround_time)&gt;=helpsheet!$L$17,rate_vatRU_from_26,rate_vatRu_till_25),0)</f>
        <v/>
      </c>
      <c r="AP1006" s="193">
        <f>AN1006-AO1006</f>
        <v/>
      </c>
      <c r="AQ1006" s="118">
        <f>IF(offer_sale_type="транзит",SUM(AF1006:AI1006,BA1006,BB1006),0)</f>
        <v/>
      </c>
      <c r="AR1006" s="82">
        <f>HYPERLINK("https://www.alta.ru/tnved/code/")&amp;W1006&amp;"/"</f>
        <v/>
      </c>
      <c r="AS1006" s="157" t="n"/>
      <c r="AT1006" s="162" t="n"/>
      <c r="AU1006" s="76">
        <f>IF(ISBLANK(AT1006),0,AJ1006-AT1006)</f>
        <v/>
      </c>
      <c r="AV1006" s="157" t="n"/>
      <c r="AW1006" s="75">
        <f>_xlfn.IFNA(VLOOKUP(L1006,list_vat[],3,FALSE),0)</f>
        <v/>
      </c>
      <c r="AX1006" s="76">
        <f>IFERROR(ROUND(S1006*(1+AW1006)/E1006,2),0)</f>
        <v/>
      </c>
      <c r="AY1006" s="76">
        <f>E1006*AX1006</f>
        <v/>
      </c>
      <c r="AZ1006" s="192">
        <f>S1006*(1+M1006)</f>
        <v/>
      </c>
      <c r="BA1006" s="76">
        <f>cost_fin_total*$BD1006</f>
        <v/>
      </c>
      <c r="BB1006" s="193">
        <f>credit_sales_interest*BD1006</f>
        <v/>
      </c>
      <c r="BC1006" s="102">
        <f>IFERROR(IF($I$13&gt;0,$I1006/$I$13,$S1006/$S$13),0)</f>
        <v/>
      </c>
      <c r="BD1006" s="102">
        <f>IFERROR($S1006/$S$13,0)</f>
        <v/>
      </c>
      <c r="BE1006" s="413" t="inlineStr">
        <is>
          <t>$</t>
        </is>
      </c>
    </row>
    <row r="1007" ht="12" customFormat="1" customHeight="1" s="65">
      <c r="A1007" s="43" t="n">
        <v>992</v>
      </c>
      <c r="B1007" s="166" t="n"/>
      <c r="C1007" s="166" t="n"/>
      <c r="D1007" s="166" t="n"/>
      <c r="E1007" s="162" t="n"/>
      <c r="F1007" s="166" t="n"/>
      <c r="G1007" s="162" t="n"/>
      <c r="H1007" s="162" t="n"/>
      <c r="I1007" s="189">
        <f>E1007*G1007</f>
        <v/>
      </c>
      <c r="J1007" s="195" t="n"/>
      <c r="K1007" s="162" t="n"/>
      <c r="L1007" s="168" t="n"/>
      <c r="M1007" s="75">
        <f>_xlfn.XLOOKUP(L1007,list_vat[Страна],list_vat[Ставка НДС %],0,0)</f>
        <v/>
      </c>
      <c r="N1007" s="162">
        <f>IFERROR(IF(L1007="Китай",K1007,K1007/(1+M1007)),0)</f>
        <v/>
      </c>
      <c r="O1007" s="169" t="n"/>
      <c r="P1007" s="76">
        <f>N1007*(1-O1007)</f>
        <v/>
      </c>
      <c r="Q1007" s="162" t="n"/>
      <c r="R1007" s="162">
        <f>IF(ISBLANK(Q1007),"введи курс",P1007/Q1007)</f>
        <v/>
      </c>
      <c r="S1007" s="196">
        <f>IF(AND(ISNUMBER(E1007),ISNUMBER(Q1007)),E1007*R1007,0)</f>
        <v/>
      </c>
      <c r="T1007" s="192">
        <f>$BC1007*V$11</f>
        <v/>
      </c>
      <c r="U1007" s="76">
        <f>$BC1007*W$11</f>
        <v/>
      </c>
      <c r="V1007" s="193">
        <f>+SUM(T1007:U1007)</f>
        <v/>
      </c>
      <c r="W1007" s="191" t="n"/>
      <c r="X1007" s="170" t="n"/>
      <c r="Y1007" s="76">
        <f>ROUND(IF(offer_incoterms="DDP",X1007*(S1007*(1+AW1007)+T1007),0),2)</f>
        <v/>
      </c>
      <c r="Z1007" s="188" t="n"/>
      <c r="AA1007" s="192">
        <f>IFERROR(AB1007/E1007,0)</f>
        <v/>
      </c>
      <c r="AB1007" s="76">
        <f>ROUND(SUM(S1007,V1007,Y1007:Z1007,BA1007:BB1007),2)</f>
        <v/>
      </c>
      <c r="AC1007" s="797" t="n"/>
      <c r="AD1007" s="192">
        <f t="array" ref="AD1007">IFERROR(ROUND((_xlfn.IFS(offer_sale_type="поставка",AB1007,offer_sale_type="транзит",S1007)*(1+AC1007))/E1007,2),0)</f>
        <v/>
      </c>
      <c r="AE1007" s="76">
        <f>AD1007*E1007</f>
        <v/>
      </c>
      <c r="AF1007" s="193">
        <f t="array" ref="AF1007">IFERROR(ROUND(_xlfn.IFS(offer_sale_type="поставка",AB1007,offer_sale_type="транзит",S1007)*AC1007,2),0)</f>
        <v/>
      </c>
      <c r="AG1007" s="192">
        <f>$BD1007*VLOOKUP($AG$3,$AF$4:$AG$7,2,FALSE)</f>
        <v/>
      </c>
      <c r="AH1007" s="76">
        <f>SUM(AE1007,AG1007,AI1007)*rate_forex_risk</f>
        <v/>
      </c>
      <c r="AI1007" s="193">
        <f>IF(OR(seller_region="TR",offer_sale_type="экспорт"),0,rate_fin_comm)*SUM(AZ1007,AZ1007*AW1007,T1007)</f>
        <v/>
      </c>
      <c r="AJ1007" s="118">
        <f>IFERROR(ROUND(SUM(AB1007,AF1007:AI1007)/E1007,2),0)</f>
        <v/>
      </c>
      <c r="AK1007" s="76">
        <f>AJ1007*E1007</f>
        <v/>
      </c>
      <c r="AL1007" s="174">
        <f>ROUND(IFERROR(AM1007*E1007,0),2)</f>
        <v/>
      </c>
      <c r="AM1007" s="175">
        <f>ROUND(AJ1007*(1+IF(offer_incoterms="DDP",IF((TODAY()+offer_turnaround_time)&gt;=helpsheet!$L$17,rate_vatRU_from_26,rate_vatRu_till_25),0)),2)</f>
        <v/>
      </c>
      <c r="AN1007" s="192">
        <f>AL1007-AK1007</f>
        <v/>
      </c>
      <c r="AO1007" s="76">
        <f>SUM(AY1007,Y1007:Z1007,T1007)*IF(AND(offer_incoterms="DDP",offer_sale_type&lt;&gt;"экспорт"),IF((TODAY()+offer_turnaround_time)&gt;=helpsheet!$L$17,rate_vatRU_from_26,rate_vatRu_till_25),0)</f>
        <v/>
      </c>
      <c r="AP1007" s="193">
        <f>AN1007-AO1007</f>
        <v/>
      </c>
      <c r="AQ1007" s="118">
        <f>IF(offer_sale_type="транзит",SUM(AF1007:AI1007,BA1007,BB1007),0)</f>
        <v/>
      </c>
      <c r="AR1007" s="82">
        <f>HYPERLINK("https://www.alta.ru/tnved/code/")&amp;W1007&amp;"/"</f>
        <v/>
      </c>
      <c r="AS1007" s="157" t="n"/>
      <c r="AT1007" s="162" t="n"/>
      <c r="AU1007" s="76">
        <f>IF(ISBLANK(AT1007),0,AJ1007-AT1007)</f>
        <v/>
      </c>
      <c r="AV1007" s="157" t="n"/>
      <c r="AW1007" s="75">
        <f>_xlfn.IFNA(VLOOKUP(L1007,list_vat[],3,FALSE),0)</f>
        <v/>
      </c>
      <c r="AX1007" s="76">
        <f>IFERROR(ROUND(S1007*(1+AW1007)/E1007,2),0)</f>
        <v/>
      </c>
      <c r="AY1007" s="76">
        <f>E1007*AX1007</f>
        <v/>
      </c>
      <c r="AZ1007" s="192">
        <f>S1007*(1+M1007)</f>
        <v/>
      </c>
      <c r="BA1007" s="76">
        <f>cost_fin_total*$BD1007</f>
        <v/>
      </c>
      <c r="BB1007" s="193">
        <f>credit_sales_interest*BD1007</f>
        <v/>
      </c>
      <c r="BC1007" s="102">
        <f>IFERROR(IF($I$13&gt;0,$I1007/$I$13,$S1007/$S$13),0)</f>
        <v/>
      </c>
      <c r="BD1007" s="102">
        <f>IFERROR($S1007/$S$13,0)</f>
        <v/>
      </c>
      <c r="BE1007" s="413" t="inlineStr">
        <is>
          <t>$</t>
        </is>
      </c>
    </row>
    <row r="1008" ht="12" customFormat="1" customHeight="1" s="65">
      <c r="A1008" s="43" t="n">
        <v>993</v>
      </c>
      <c r="B1008" s="166" t="n"/>
      <c r="C1008" s="166" t="n"/>
      <c r="D1008" s="166" t="n"/>
      <c r="E1008" s="162" t="n"/>
      <c r="F1008" s="166" t="n"/>
      <c r="G1008" s="162" t="n"/>
      <c r="H1008" s="162" t="n"/>
      <c r="I1008" s="189">
        <f>E1008*G1008</f>
        <v/>
      </c>
      <c r="J1008" s="195" t="n"/>
      <c r="K1008" s="162" t="n"/>
      <c r="L1008" s="168" t="n"/>
      <c r="M1008" s="75">
        <f>_xlfn.XLOOKUP(L1008,list_vat[Страна],list_vat[Ставка НДС %],0,0)</f>
        <v/>
      </c>
      <c r="N1008" s="162">
        <f>IFERROR(IF(L1008="Китай",K1008,K1008/(1+M1008)),0)</f>
        <v/>
      </c>
      <c r="O1008" s="169" t="n"/>
      <c r="P1008" s="76">
        <f>N1008*(1-O1008)</f>
        <v/>
      </c>
      <c r="Q1008" s="162" t="n"/>
      <c r="R1008" s="162">
        <f>IF(ISBLANK(Q1008),"введи курс",P1008/Q1008)</f>
        <v/>
      </c>
      <c r="S1008" s="196">
        <f>IF(AND(ISNUMBER(E1008),ISNUMBER(Q1008)),E1008*R1008,0)</f>
        <v/>
      </c>
      <c r="T1008" s="192">
        <f>$BC1008*V$11</f>
        <v/>
      </c>
      <c r="U1008" s="76">
        <f>$BC1008*W$11</f>
        <v/>
      </c>
      <c r="V1008" s="193">
        <f>+SUM(T1008:U1008)</f>
        <v/>
      </c>
      <c r="W1008" s="191" t="n"/>
      <c r="X1008" s="170" t="n"/>
      <c r="Y1008" s="76">
        <f>ROUND(IF(offer_incoterms="DDP",X1008*(S1008*(1+AW1008)+T1008),0),2)</f>
        <v/>
      </c>
      <c r="Z1008" s="188" t="n"/>
      <c r="AA1008" s="192">
        <f>IFERROR(AB1008/E1008,0)</f>
        <v/>
      </c>
      <c r="AB1008" s="76">
        <f>ROUND(SUM(S1008,V1008,Y1008:Z1008,BA1008:BB1008),2)</f>
        <v/>
      </c>
      <c r="AC1008" s="797" t="n"/>
      <c r="AD1008" s="192">
        <f t="array" ref="AD1008">IFERROR(ROUND((_xlfn.IFS(offer_sale_type="поставка",AB1008,offer_sale_type="транзит",S1008)*(1+AC1008))/E1008,2),0)</f>
        <v/>
      </c>
      <c r="AE1008" s="76">
        <f>AD1008*E1008</f>
        <v/>
      </c>
      <c r="AF1008" s="193">
        <f t="array" ref="AF1008">IFERROR(ROUND(_xlfn.IFS(offer_sale_type="поставка",AB1008,offer_sale_type="транзит",S1008)*AC1008,2),0)</f>
        <v/>
      </c>
      <c r="AG1008" s="192">
        <f>$BD1008*VLOOKUP($AG$3,$AF$4:$AG$7,2,FALSE)</f>
        <v/>
      </c>
      <c r="AH1008" s="76">
        <f>SUM(AE1008,AG1008,AI1008)*rate_forex_risk</f>
        <v/>
      </c>
      <c r="AI1008" s="193">
        <f>IF(OR(seller_region="TR",offer_sale_type="экспорт"),0,rate_fin_comm)*SUM(AZ1008,AZ1008*AW1008,T1008)</f>
        <v/>
      </c>
      <c r="AJ1008" s="118">
        <f>IFERROR(ROUND(SUM(AB1008,AF1008:AI1008)/E1008,2),0)</f>
        <v/>
      </c>
      <c r="AK1008" s="76">
        <f>AJ1008*E1008</f>
        <v/>
      </c>
      <c r="AL1008" s="174">
        <f>ROUND(IFERROR(AM1008*E1008,0),2)</f>
        <v/>
      </c>
      <c r="AM1008" s="175">
        <f>ROUND(AJ1008*(1+IF(offer_incoterms="DDP",IF((TODAY()+offer_turnaround_time)&gt;=helpsheet!$L$17,rate_vatRU_from_26,rate_vatRu_till_25),0)),2)</f>
        <v/>
      </c>
      <c r="AN1008" s="192">
        <f>AL1008-AK1008</f>
        <v/>
      </c>
      <c r="AO1008" s="76">
        <f>SUM(AY1008,Y1008:Z1008,T1008)*IF(AND(offer_incoterms="DDP",offer_sale_type&lt;&gt;"экспорт"),IF((TODAY()+offer_turnaround_time)&gt;=helpsheet!$L$17,rate_vatRU_from_26,rate_vatRu_till_25),0)</f>
        <v/>
      </c>
      <c r="AP1008" s="193">
        <f>AN1008-AO1008</f>
        <v/>
      </c>
      <c r="AQ1008" s="118">
        <f>IF(offer_sale_type="транзит",SUM(AF1008:AI1008,BA1008,BB1008),0)</f>
        <v/>
      </c>
      <c r="AR1008" s="82">
        <f>HYPERLINK("https://www.alta.ru/tnved/code/")&amp;W1008&amp;"/"</f>
        <v/>
      </c>
      <c r="AS1008" s="157" t="n"/>
      <c r="AT1008" s="162" t="n"/>
      <c r="AU1008" s="76">
        <f>IF(ISBLANK(AT1008),0,AJ1008-AT1008)</f>
        <v/>
      </c>
      <c r="AV1008" s="157" t="n"/>
      <c r="AW1008" s="75">
        <f>_xlfn.IFNA(VLOOKUP(L1008,list_vat[],3,FALSE),0)</f>
        <v/>
      </c>
      <c r="AX1008" s="76">
        <f>IFERROR(ROUND(S1008*(1+AW1008)/E1008,2),0)</f>
        <v/>
      </c>
      <c r="AY1008" s="76">
        <f>E1008*AX1008</f>
        <v/>
      </c>
      <c r="AZ1008" s="192">
        <f>S1008*(1+M1008)</f>
        <v/>
      </c>
      <c r="BA1008" s="76">
        <f>cost_fin_total*$BD1008</f>
        <v/>
      </c>
      <c r="BB1008" s="193">
        <f>credit_sales_interest*BD1008</f>
        <v/>
      </c>
      <c r="BC1008" s="102">
        <f>IFERROR(IF($I$13&gt;0,$I1008/$I$13,$S1008/$S$13),0)</f>
        <v/>
      </c>
      <c r="BD1008" s="102">
        <f>IFERROR($S1008/$S$13,0)</f>
        <v/>
      </c>
      <c r="BE1008" s="413" t="inlineStr">
        <is>
          <t>$</t>
        </is>
      </c>
    </row>
    <row r="1009" ht="12" customFormat="1" customHeight="1" s="65">
      <c r="A1009" s="43" t="n">
        <v>994</v>
      </c>
      <c r="B1009" s="166" t="n"/>
      <c r="C1009" s="166" t="n"/>
      <c r="D1009" s="166" t="n"/>
      <c r="E1009" s="162" t="n"/>
      <c r="F1009" s="166" t="n"/>
      <c r="G1009" s="162" t="n"/>
      <c r="H1009" s="162" t="n"/>
      <c r="I1009" s="189">
        <f>E1009*G1009</f>
        <v/>
      </c>
      <c r="J1009" s="195" t="n"/>
      <c r="K1009" s="162" t="n"/>
      <c r="L1009" s="168" t="n"/>
      <c r="M1009" s="75">
        <f>_xlfn.XLOOKUP(L1009,list_vat[Страна],list_vat[Ставка НДС %],0,0)</f>
        <v/>
      </c>
      <c r="N1009" s="162">
        <f>IFERROR(IF(L1009="Китай",K1009,K1009/(1+M1009)),0)</f>
        <v/>
      </c>
      <c r="O1009" s="169" t="n"/>
      <c r="P1009" s="76">
        <f>N1009*(1-O1009)</f>
        <v/>
      </c>
      <c r="Q1009" s="162" t="n"/>
      <c r="R1009" s="162">
        <f>IF(ISBLANK(Q1009),"введи курс",P1009/Q1009)</f>
        <v/>
      </c>
      <c r="S1009" s="196">
        <f>IF(AND(ISNUMBER(E1009),ISNUMBER(Q1009)),E1009*R1009,0)</f>
        <v/>
      </c>
      <c r="T1009" s="192">
        <f>$BC1009*V$11</f>
        <v/>
      </c>
      <c r="U1009" s="76">
        <f>$BC1009*W$11</f>
        <v/>
      </c>
      <c r="V1009" s="193">
        <f>+SUM(T1009:U1009)</f>
        <v/>
      </c>
      <c r="W1009" s="191" t="n"/>
      <c r="X1009" s="170" t="n"/>
      <c r="Y1009" s="76">
        <f>ROUND(IF(offer_incoterms="DDP",X1009*(S1009*(1+AW1009)+T1009),0),2)</f>
        <v/>
      </c>
      <c r="Z1009" s="188" t="n"/>
      <c r="AA1009" s="192">
        <f>IFERROR(AB1009/E1009,0)</f>
        <v/>
      </c>
      <c r="AB1009" s="76">
        <f>ROUND(SUM(S1009,V1009,Y1009:Z1009,BA1009:BB1009),2)</f>
        <v/>
      </c>
      <c r="AC1009" s="797" t="n"/>
      <c r="AD1009" s="192">
        <f t="array" ref="AD1009">IFERROR(ROUND((_xlfn.IFS(offer_sale_type="поставка",AB1009,offer_sale_type="транзит",S1009)*(1+AC1009))/E1009,2),0)</f>
        <v/>
      </c>
      <c r="AE1009" s="76">
        <f>AD1009*E1009</f>
        <v/>
      </c>
      <c r="AF1009" s="193">
        <f t="array" ref="AF1009">IFERROR(ROUND(_xlfn.IFS(offer_sale_type="поставка",AB1009,offer_sale_type="транзит",S1009)*AC1009,2),0)</f>
        <v/>
      </c>
      <c r="AG1009" s="192">
        <f>$BD1009*VLOOKUP($AG$3,$AF$4:$AG$7,2,FALSE)</f>
        <v/>
      </c>
      <c r="AH1009" s="76">
        <f>SUM(AE1009,AG1009,AI1009)*rate_forex_risk</f>
        <v/>
      </c>
      <c r="AI1009" s="193">
        <f>IF(OR(seller_region="TR",offer_sale_type="экспорт"),0,rate_fin_comm)*SUM(AZ1009,AZ1009*AW1009,T1009)</f>
        <v/>
      </c>
      <c r="AJ1009" s="118">
        <f>IFERROR(ROUND(SUM(AB1009,AF1009:AI1009)/E1009,2),0)</f>
        <v/>
      </c>
      <c r="AK1009" s="76">
        <f>AJ1009*E1009</f>
        <v/>
      </c>
      <c r="AL1009" s="174">
        <f>ROUND(IFERROR(AM1009*E1009,0),2)</f>
        <v/>
      </c>
      <c r="AM1009" s="175">
        <f>ROUND(AJ1009*(1+IF(offer_incoterms="DDP",IF((TODAY()+offer_turnaround_time)&gt;=helpsheet!$L$17,rate_vatRU_from_26,rate_vatRu_till_25),0)),2)</f>
        <v/>
      </c>
      <c r="AN1009" s="192">
        <f>AL1009-AK1009</f>
        <v/>
      </c>
      <c r="AO1009" s="76">
        <f>SUM(AY1009,Y1009:Z1009,T1009)*IF(AND(offer_incoterms="DDP",offer_sale_type&lt;&gt;"экспорт"),IF((TODAY()+offer_turnaround_time)&gt;=helpsheet!$L$17,rate_vatRU_from_26,rate_vatRu_till_25),0)</f>
        <v/>
      </c>
      <c r="AP1009" s="193">
        <f>AN1009-AO1009</f>
        <v/>
      </c>
      <c r="AQ1009" s="118">
        <f>IF(offer_sale_type="транзит",SUM(AF1009:AI1009,BA1009,BB1009),0)</f>
        <v/>
      </c>
      <c r="AR1009" s="82">
        <f>HYPERLINK("https://www.alta.ru/tnved/code/")&amp;W1009&amp;"/"</f>
        <v/>
      </c>
      <c r="AS1009" s="157" t="n"/>
      <c r="AT1009" s="162" t="n"/>
      <c r="AU1009" s="76">
        <f>IF(ISBLANK(AT1009),0,AJ1009-AT1009)</f>
        <v/>
      </c>
      <c r="AV1009" s="157" t="n"/>
      <c r="AW1009" s="75">
        <f>_xlfn.IFNA(VLOOKUP(L1009,list_vat[],3,FALSE),0)</f>
        <v/>
      </c>
      <c r="AX1009" s="76">
        <f>IFERROR(ROUND(S1009*(1+AW1009)/E1009,2),0)</f>
        <v/>
      </c>
      <c r="AY1009" s="76">
        <f>E1009*AX1009</f>
        <v/>
      </c>
      <c r="AZ1009" s="192">
        <f>S1009*(1+M1009)</f>
        <v/>
      </c>
      <c r="BA1009" s="76">
        <f>cost_fin_total*$BD1009</f>
        <v/>
      </c>
      <c r="BB1009" s="193">
        <f>credit_sales_interest*BD1009</f>
        <v/>
      </c>
      <c r="BC1009" s="102">
        <f>IFERROR(IF($I$13&gt;0,$I1009/$I$13,$S1009/$S$13),0)</f>
        <v/>
      </c>
      <c r="BD1009" s="102">
        <f>IFERROR($S1009/$S$13,0)</f>
        <v/>
      </c>
      <c r="BE1009" s="413" t="inlineStr">
        <is>
          <t>$</t>
        </is>
      </c>
    </row>
    <row r="1010" ht="12" customFormat="1" customHeight="1" s="65">
      <c r="A1010" s="43" t="n">
        <v>995</v>
      </c>
      <c r="B1010" s="166" t="n"/>
      <c r="C1010" s="166" t="n"/>
      <c r="D1010" s="166" t="n"/>
      <c r="E1010" s="162" t="n"/>
      <c r="F1010" s="166" t="n"/>
      <c r="G1010" s="162" t="n"/>
      <c r="H1010" s="162" t="n"/>
      <c r="I1010" s="189">
        <f>E1010*G1010</f>
        <v/>
      </c>
      <c r="J1010" s="195" t="n"/>
      <c r="K1010" s="162" t="n"/>
      <c r="L1010" s="168" t="n"/>
      <c r="M1010" s="75">
        <f>_xlfn.XLOOKUP(L1010,list_vat[Страна],list_vat[Ставка НДС %],0,0)</f>
        <v/>
      </c>
      <c r="N1010" s="162">
        <f>IFERROR(IF(L1010="Китай",K1010,K1010/(1+M1010)),0)</f>
        <v/>
      </c>
      <c r="O1010" s="169" t="n"/>
      <c r="P1010" s="76">
        <f>N1010*(1-O1010)</f>
        <v/>
      </c>
      <c r="Q1010" s="162" t="n"/>
      <c r="R1010" s="162">
        <f>IF(ISBLANK(Q1010),"введи курс",P1010/Q1010)</f>
        <v/>
      </c>
      <c r="S1010" s="196">
        <f>IF(AND(ISNUMBER(E1010),ISNUMBER(Q1010)),E1010*R1010,0)</f>
        <v/>
      </c>
      <c r="T1010" s="192">
        <f>$BC1010*V$11</f>
        <v/>
      </c>
      <c r="U1010" s="76">
        <f>$BC1010*W$11</f>
        <v/>
      </c>
      <c r="V1010" s="193">
        <f>+SUM(T1010:U1010)</f>
        <v/>
      </c>
      <c r="W1010" s="191" t="n"/>
      <c r="X1010" s="170" t="n"/>
      <c r="Y1010" s="76">
        <f>ROUND(IF(offer_incoterms="DDP",X1010*(S1010*(1+AW1010)+T1010),0),2)</f>
        <v/>
      </c>
      <c r="Z1010" s="188" t="n"/>
      <c r="AA1010" s="192">
        <f>IFERROR(AB1010/E1010,0)</f>
        <v/>
      </c>
      <c r="AB1010" s="76">
        <f>ROUND(SUM(S1010,V1010,Y1010:Z1010,BA1010:BB1010),2)</f>
        <v/>
      </c>
      <c r="AC1010" s="797" t="n"/>
      <c r="AD1010" s="192">
        <f t="array" ref="AD1010">IFERROR(ROUND((_xlfn.IFS(offer_sale_type="поставка",AB1010,offer_sale_type="транзит",S1010)*(1+AC1010))/E1010,2),0)</f>
        <v/>
      </c>
      <c r="AE1010" s="76">
        <f>AD1010*E1010</f>
        <v/>
      </c>
      <c r="AF1010" s="193">
        <f t="array" ref="AF1010">IFERROR(ROUND(_xlfn.IFS(offer_sale_type="поставка",AB1010,offer_sale_type="транзит",S1010)*AC1010,2),0)</f>
        <v/>
      </c>
      <c r="AG1010" s="192">
        <f>$BD1010*VLOOKUP($AG$3,$AF$4:$AG$7,2,FALSE)</f>
        <v/>
      </c>
      <c r="AH1010" s="76">
        <f>SUM(AE1010,AG1010,AI1010)*rate_forex_risk</f>
        <v/>
      </c>
      <c r="AI1010" s="193">
        <f>IF(OR(seller_region="TR",offer_sale_type="экспорт"),0,rate_fin_comm)*SUM(AZ1010,AZ1010*AW1010,T1010)</f>
        <v/>
      </c>
      <c r="AJ1010" s="118">
        <f>IFERROR(ROUND(SUM(AB1010,AF1010:AI1010)/E1010,2),0)</f>
        <v/>
      </c>
      <c r="AK1010" s="76">
        <f>AJ1010*E1010</f>
        <v/>
      </c>
      <c r="AL1010" s="174">
        <f>ROUND(IFERROR(AM1010*E1010,0),2)</f>
        <v/>
      </c>
      <c r="AM1010" s="175">
        <f>ROUND(AJ1010*(1+IF(offer_incoterms="DDP",IF((TODAY()+offer_turnaround_time)&gt;=helpsheet!$L$17,rate_vatRU_from_26,rate_vatRu_till_25),0)),2)</f>
        <v/>
      </c>
      <c r="AN1010" s="192">
        <f>AL1010-AK1010</f>
        <v/>
      </c>
      <c r="AO1010" s="76">
        <f>SUM(AY1010,Y1010:Z1010,T1010)*IF(AND(offer_incoterms="DDP",offer_sale_type&lt;&gt;"экспорт"),IF((TODAY()+offer_turnaround_time)&gt;=helpsheet!$L$17,rate_vatRU_from_26,rate_vatRu_till_25),0)</f>
        <v/>
      </c>
      <c r="AP1010" s="193">
        <f>AN1010-AO1010</f>
        <v/>
      </c>
      <c r="AQ1010" s="118">
        <f>IF(offer_sale_type="транзит",SUM(AF1010:AI1010,BA1010,BB1010),0)</f>
        <v/>
      </c>
      <c r="AR1010" s="82">
        <f>HYPERLINK("https://www.alta.ru/tnved/code/")&amp;W1010&amp;"/"</f>
        <v/>
      </c>
      <c r="AS1010" s="157" t="n"/>
      <c r="AT1010" s="162" t="n"/>
      <c r="AU1010" s="76">
        <f>IF(ISBLANK(AT1010),0,AJ1010-AT1010)</f>
        <v/>
      </c>
      <c r="AV1010" s="157" t="n"/>
      <c r="AW1010" s="75">
        <f>_xlfn.IFNA(VLOOKUP(L1010,list_vat[],3,FALSE),0)</f>
        <v/>
      </c>
      <c r="AX1010" s="76">
        <f>IFERROR(ROUND(S1010*(1+AW1010)/E1010,2),0)</f>
        <v/>
      </c>
      <c r="AY1010" s="76">
        <f>E1010*AX1010</f>
        <v/>
      </c>
      <c r="AZ1010" s="192">
        <f>S1010*(1+M1010)</f>
        <v/>
      </c>
      <c r="BA1010" s="76">
        <f>cost_fin_total*$BD1010</f>
        <v/>
      </c>
      <c r="BB1010" s="193">
        <f>credit_sales_interest*BD1010</f>
        <v/>
      </c>
      <c r="BC1010" s="102">
        <f>IFERROR(IF($I$13&gt;0,$I1010/$I$13,$S1010/$S$13),0)</f>
        <v/>
      </c>
      <c r="BD1010" s="102">
        <f>IFERROR($S1010/$S$13,0)</f>
        <v/>
      </c>
      <c r="BE1010" s="413" t="inlineStr">
        <is>
          <t>$</t>
        </is>
      </c>
    </row>
    <row r="1011" ht="12" customFormat="1" customHeight="1" s="65">
      <c r="A1011" s="43" t="n">
        <v>996</v>
      </c>
      <c r="B1011" s="166" t="n"/>
      <c r="C1011" s="166" t="n"/>
      <c r="D1011" s="166" t="n"/>
      <c r="E1011" s="162" t="n"/>
      <c r="F1011" s="166" t="n"/>
      <c r="G1011" s="162" t="n"/>
      <c r="H1011" s="162" t="n"/>
      <c r="I1011" s="189">
        <f>E1011*G1011</f>
        <v/>
      </c>
      <c r="J1011" s="195" t="n"/>
      <c r="K1011" s="162" t="n"/>
      <c r="L1011" s="168" t="n"/>
      <c r="M1011" s="75">
        <f>_xlfn.XLOOKUP(L1011,list_vat[Страна],list_vat[Ставка НДС %],0,0)</f>
        <v/>
      </c>
      <c r="N1011" s="162">
        <f>IFERROR(IF(L1011="Китай",K1011,K1011/(1+M1011)),0)</f>
        <v/>
      </c>
      <c r="O1011" s="169" t="n"/>
      <c r="P1011" s="76">
        <f>N1011*(1-O1011)</f>
        <v/>
      </c>
      <c r="Q1011" s="162" t="n"/>
      <c r="R1011" s="162">
        <f>IF(ISBLANK(Q1011),"введи курс",P1011/Q1011)</f>
        <v/>
      </c>
      <c r="S1011" s="196">
        <f>IF(AND(ISNUMBER(E1011),ISNUMBER(Q1011)),E1011*R1011,0)</f>
        <v/>
      </c>
      <c r="T1011" s="192">
        <f>$BC1011*V$11</f>
        <v/>
      </c>
      <c r="U1011" s="76">
        <f>$BC1011*W$11</f>
        <v/>
      </c>
      <c r="V1011" s="193">
        <f>+SUM(T1011:U1011)</f>
        <v/>
      </c>
      <c r="W1011" s="191" t="n"/>
      <c r="X1011" s="170" t="n"/>
      <c r="Y1011" s="76">
        <f>ROUND(IF(offer_incoterms="DDP",X1011*(S1011*(1+AW1011)+T1011),0),2)</f>
        <v/>
      </c>
      <c r="Z1011" s="188" t="n"/>
      <c r="AA1011" s="192">
        <f>IFERROR(AB1011/E1011,0)</f>
        <v/>
      </c>
      <c r="AB1011" s="76">
        <f>ROUND(SUM(S1011,V1011,Y1011:Z1011,BA1011:BB1011),2)</f>
        <v/>
      </c>
      <c r="AC1011" s="797" t="n"/>
      <c r="AD1011" s="192">
        <f t="array" ref="AD1011">IFERROR(ROUND((_xlfn.IFS(offer_sale_type="поставка",AB1011,offer_sale_type="транзит",S1011)*(1+AC1011))/E1011,2),0)</f>
        <v/>
      </c>
      <c r="AE1011" s="76">
        <f>AD1011*E1011</f>
        <v/>
      </c>
      <c r="AF1011" s="193">
        <f t="array" ref="AF1011">IFERROR(ROUND(_xlfn.IFS(offer_sale_type="поставка",AB1011,offer_sale_type="транзит",S1011)*AC1011,2),0)</f>
        <v/>
      </c>
      <c r="AG1011" s="192">
        <f>$BD1011*VLOOKUP($AG$3,$AF$4:$AG$7,2,FALSE)</f>
        <v/>
      </c>
      <c r="AH1011" s="76">
        <f>SUM(AE1011,AG1011,AI1011)*rate_forex_risk</f>
        <v/>
      </c>
      <c r="AI1011" s="193">
        <f>IF(OR(seller_region="TR",offer_sale_type="экспорт"),0,rate_fin_comm)*SUM(AZ1011,AZ1011*AW1011,T1011)</f>
        <v/>
      </c>
      <c r="AJ1011" s="118">
        <f>IFERROR(ROUND(SUM(AB1011,AF1011:AI1011)/E1011,2),0)</f>
        <v/>
      </c>
      <c r="AK1011" s="76">
        <f>AJ1011*E1011</f>
        <v/>
      </c>
      <c r="AL1011" s="174">
        <f>ROUND(IFERROR(AM1011*E1011,0),2)</f>
        <v/>
      </c>
      <c r="AM1011" s="175">
        <f>ROUND(AJ1011*(1+IF(offer_incoterms="DDP",IF((TODAY()+offer_turnaround_time)&gt;=helpsheet!$L$17,rate_vatRU_from_26,rate_vatRu_till_25),0)),2)</f>
        <v/>
      </c>
      <c r="AN1011" s="192">
        <f>AL1011-AK1011</f>
        <v/>
      </c>
      <c r="AO1011" s="76">
        <f>SUM(AY1011,Y1011:Z1011,T1011)*IF(AND(offer_incoterms="DDP",offer_sale_type&lt;&gt;"экспорт"),IF((TODAY()+offer_turnaround_time)&gt;=helpsheet!$L$17,rate_vatRU_from_26,rate_vatRu_till_25),0)</f>
        <v/>
      </c>
      <c r="AP1011" s="193">
        <f>AN1011-AO1011</f>
        <v/>
      </c>
      <c r="AQ1011" s="118">
        <f>IF(offer_sale_type="транзит",SUM(AF1011:AI1011,BA1011,BB1011),0)</f>
        <v/>
      </c>
      <c r="AR1011" s="82">
        <f>HYPERLINK("https://www.alta.ru/tnved/code/")&amp;W1011&amp;"/"</f>
        <v/>
      </c>
      <c r="AS1011" s="157" t="n"/>
      <c r="AT1011" s="162" t="n"/>
      <c r="AU1011" s="76">
        <f>IF(ISBLANK(AT1011),0,AJ1011-AT1011)</f>
        <v/>
      </c>
      <c r="AV1011" s="157" t="n"/>
      <c r="AW1011" s="75">
        <f>_xlfn.IFNA(VLOOKUP(L1011,list_vat[],3,FALSE),0)</f>
        <v/>
      </c>
      <c r="AX1011" s="76">
        <f>IFERROR(ROUND(S1011*(1+AW1011)/E1011,2),0)</f>
        <v/>
      </c>
      <c r="AY1011" s="76">
        <f>E1011*AX1011</f>
        <v/>
      </c>
      <c r="AZ1011" s="192">
        <f>S1011*(1+M1011)</f>
        <v/>
      </c>
      <c r="BA1011" s="76">
        <f>cost_fin_total*$BD1011</f>
        <v/>
      </c>
      <c r="BB1011" s="193">
        <f>credit_sales_interest*BD1011</f>
        <v/>
      </c>
      <c r="BC1011" s="102">
        <f>IFERROR(IF($I$13&gt;0,$I1011/$I$13,$S1011/$S$13),0)</f>
        <v/>
      </c>
      <c r="BD1011" s="102">
        <f>IFERROR($S1011/$S$13,0)</f>
        <v/>
      </c>
      <c r="BE1011" s="413" t="inlineStr">
        <is>
          <t>$</t>
        </is>
      </c>
    </row>
    <row r="1012" ht="12" customFormat="1" customHeight="1" s="65">
      <c r="A1012" s="43" t="n">
        <v>997</v>
      </c>
      <c r="B1012" s="166" t="n"/>
      <c r="C1012" s="166" t="n"/>
      <c r="D1012" s="166" t="n"/>
      <c r="E1012" s="162" t="n"/>
      <c r="F1012" s="166" t="n"/>
      <c r="G1012" s="162" t="n"/>
      <c r="H1012" s="162" t="n"/>
      <c r="I1012" s="189">
        <f>E1012*G1012</f>
        <v/>
      </c>
      <c r="J1012" s="195" t="n"/>
      <c r="K1012" s="162" t="n"/>
      <c r="L1012" s="168" t="n"/>
      <c r="M1012" s="75">
        <f>_xlfn.XLOOKUP(L1012,list_vat[Страна],list_vat[Ставка НДС %],0,0)</f>
        <v/>
      </c>
      <c r="N1012" s="162">
        <f>IFERROR(IF(L1012="Китай",K1012,K1012/(1+M1012)),0)</f>
        <v/>
      </c>
      <c r="O1012" s="169" t="n"/>
      <c r="P1012" s="76">
        <f>N1012*(1-O1012)</f>
        <v/>
      </c>
      <c r="Q1012" s="162" t="n"/>
      <c r="R1012" s="162">
        <f>IF(ISBLANK(Q1012),"введи курс",P1012/Q1012)</f>
        <v/>
      </c>
      <c r="S1012" s="196">
        <f>IF(AND(ISNUMBER(E1012),ISNUMBER(Q1012)),E1012*R1012,0)</f>
        <v/>
      </c>
      <c r="T1012" s="192">
        <f>$BC1012*V$11</f>
        <v/>
      </c>
      <c r="U1012" s="76">
        <f>$BC1012*W$11</f>
        <v/>
      </c>
      <c r="V1012" s="193">
        <f>+SUM(T1012:U1012)</f>
        <v/>
      </c>
      <c r="W1012" s="191" t="n"/>
      <c r="X1012" s="170" t="n"/>
      <c r="Y1012" s="76">
        <f>ROUND(IF(offer_incoterms="DDP",X1012*(S1012*(1+AW1012)+T1012),0),2)</f>
        <v/>
      </c>
      <c r="Z1012" s="188" t="n"/>
      <c r="AA1012" s="192">
        <f>IFERROR(AB1012/E1012,0)</f>
        <v/>
      </c>
      <c r="AB1012" s="76">
        <f>ROUND(SUM(S1012,V1012,Y1012:Z1012,BA1012:BB1012),2)</f>
        <v/>
      </c>
      <c r="AC1012" s="797" t="n"/>
      <c r="AD1012" s="192">
        <f t="array" ref="AD1012">IFERROR(ROUND((_xlfn.IFS(offer_sale_type="поставка",AB1012,offer_sale_type="транзит",S1012)*(1+AC1012))/E1012,2),0)</f>
        <v/>
      </c>
      <c r="AE1012" s="76">
        <f>AD1012*E1012</f>
        <v/>
      </c>
      <c r="AF1012" s="193">
        <f t="array" ref="AF1012">IFERROR(ROUND(_xlfn.IFS(offer_sale_type="поставка",AB1012,offer_sale_type="транзит",S1012)*AC1012,2),0)</f>
        <v/>
      </c>
      <c r="AG1012" s="192">
        <f>$BD1012*VLOOKUP($AG$3,$AF$4:$AG$7,2,FALSE)</f>
        <v/>
      </c>
      <c r="AH1012" s="76">
        <f>SUM(AE1012,AG1012,AI1012)*rate_forex_risk</f>
        <v/>
      </c>
      <c r="AI1012" s="193">
        <f>IF(OR(seller_region="TR",offer_sale_type="экспорт"),0,rate_fin_comm)*SUM(AZ1012,AZ1012*AW1012,T1012)</f>
        <v/>
      </c>
      <c r="AJ1012" s="118">
        <f>IFERROR(ROUND(SUM(AB1012,AF1012:AI1012)/E1012,2),0)</f>
        <v/>
      </c>
      <c r="AK1012" s="76">
        <f>AJ1012*E1012</f>
        <v/>
      </c>
      <c r="AL1012" s="174">
        <f>ROUND(IFERROR(AM1012*E1012,0),2)</f>
        <v/>
      </c>
      <c r="AM1012" s="175">
        <f>ROUND(AJ1012*(1+IF(offer_incoterms="DDP",IF((TODAY()+offer_turnaround_time)&gt;=helpsheet!$L$17,rate_vatRU_from_26,rate_vatRu_till_25),0)),2)</f>
        <v/>
      </c>
      <c r="AN1012" s="192">
        <f>AL1012-AK1012</f>
        <v/>
      </c>
      <c r="AO1012" s="76">
        <f>SUM(AY1012,Y1012:Z1012,T1012)*IF(AND(offer_incoterms="DDP",offer_sale_type&lt;&gt;"экспорт"),IF((TODAY()+offer_turnaround_time)&gt;=helpsheet!$L$17,rate_vatRU_from_26,rate_vatRu_till_25),0)</f>
        <v/>
      </c>
      <c r="AP1012" s="193">
        <f>AN1012-AO1012</f>
        <v/>
      </c>
      <c r="AQ1012" s="118">
        <f>IF(offer_sale_type="транзит",SUM(AF1012:AI1012,BA1012,BB1012),0)</f>
        <v/>
      </c>
      <c r="AR1012" s="82">
        <f>HYPERLINK("https://www.alta.ru/tnved/code/")&amp;W1012&amp;"/"</f>
        <v/>
      </c>
      <c r="AS1012" s="157" t="n"/>
      <c r="AT1012" s="162" t="n"/>
      <c r="AU1012" s="76">
        <f>IF(ISBLANK(AT1012),0,AJ1012-AT1012)</f>
        <v/>
      </c>
      <c r="AV1012" s="157" t="n"/>
      <c r="AW1012" s="75">
        <f>_xlfn.IFNA(VLOOKUP(L1012,list_vat[],3,FALSE),0)</f>
        <v/>
      </c>
      <c r="AX1012" s="76">
        <f>IFERROR(ROUND(S1012*(1+AW1012)/E1012,2),0)</f>
        <v/>
      </c>
      <c r="AY1012" s="76">
        <f>E1012*AX1012</f>
        <v/>
      </c>
      <c r="AZ1012" s="192">
        <f>S1012*(1+M1012)</f>
        <v/>
      </c>
      <c r="BA1012" s="76">
        <f>cost_fin_total*$BD1012</f>
        <v/>
      </c>
      <c r="BB1012" s="193">
        <f>credit_sales_interest*BD1012</f>
        <v/>
      </c>
      <c r="BC1012" s="102">
        <f>IFERROR(IF($I$13&gt;0,$I1012/$I$13,$S1012/$S$13),0)</f>
        <v/>
      </c>
      <c r="BD1012" s="102">
        <f>IFERROR($S1012/$S$13,0)</f>
        <v/>
      </c>
      <c r="BE1012" s="413" t="inlineStr">
        <is>
          <t>$</t>
        </is>
      </c>
    </row>
    <row r="1013" ht="12" customFormat="1" customHeight="1" s="65">
      <c r="A1013" s="43" t="n">
        <v>998</v>
      </c>
      <c r="B1013" s="166" t="n"/>
      <c r="C1013" s="166" t="n"/>
      <c r="D1013" s="166" t="n"/>
      <c r="E1013" s="162" t="n"/>
      <c r="F1013" s="166" t="n"/>
      <c r="G1013" s="162" t="n"/>
      <c r="H1013" s="162" t="n"/>
      <c r="I1013" s="189">
        <f>E1013*G1013</f>
        <v/>
      </c>
      <c r="J1013" s="195" t="n"/>
      <c r="K1013" s="162" t="n"/>
      <c r="L1013" s="168" t="n"/>
      <c r="M1013" s="75">
        <f>_xlfn.XLOOKUP(L1013,list_vat[Страна],list_vat[Ставка НДС %],0,0)</f>
        <v/>
      </c>
      <c r="N1013" s="162">
        <f>IFERROR(IF(L1013="Китай",K1013,K1013/(1+M1013)),0)</f>
        <v/>
      </c>
      <c r="O1013" s="169" t="n"/>
      <c r="P1013" s="76">
        <f>N1013*(1-O1013)</f>
        <v/>
      </c>
      <c r="Q1013" s="162" t="n"/>
      <c r="R1013" s="162">
        <f>IF(ISBLANK(Q1013),"введи курс",P1013/Q1013)</f>
        <v/>
      </c>
      <c r="S1013" s="196">
        <f>IF(AND(ISNUMBER(E1013),ISNUMBER(Q1013)),E1013*R1013,0)</f>
        <v/>
      </c>
      <c r="T1013" s="192">
        <f>$BC1013*V$11</f>
        <v/>
      </c>
      <c r="U1013" s="76">
        <f>$BC1013*W$11</f>
        <v/>
      </c>
      <c r="V1013" s="193">
        <f>+SUM(T1013:U1013)</f>
        <v/>
      </c>
      <c r="W1013" s="191" t="n"/>
      <c r="X1013" s="170" t="n"/>
      <c r="Y1013" s="76">
        <f>ROUND(IF(offer_incoterms="DDP",X1013*(S1013*(1+AW1013)+T1013),0),2)</f>
        <v/>
      </c>
      <c r="Z1013" s="188" t="n"/>
      <c r="AA1013" s="192">
        <f>IFERROR(AB1013/E1013,0)</f>
        <v/>
      </c>
      <c r="AB1013" s="76">
        <f>ROUND(SUM(S1013,V1013,Y1013:Z1013,BA1013:BB1013),2)</f>
        <v/>
      </c>
      <c r="AC1013" s="797" t="n"/>
      <c r="AD1013" s="192">
        <f t="array" ref="AD1013">IFERROR(ROUND((_xlfn.IFS(offer_sale_type="поставка",AB1013,offer_sale_type="транзит",S1013)*(1+AC1013))/E1013,2),0)</f>
        <v/>
      </c>
      <c r="AE1013" s="76">
        <f>AD1013*E1013</f>
        <v/>
      </c>
      <c r="AF1013" s="193">
        <f t="array" ref="AF1013">IFERROR(ROUND(_xlfn.IFS(offer_sale_type="поставка",AB1013,offer_sale_type="транзит",S1013)*AC1013,2),0)</f>
        <v/>
      </c>
      <c r="AG1013" s="192">
        <f>$BD1013*VLOOKUP($AG$3,$AF$4:$AG$7,2,FALSE)</f>
        <v/>
      </c>
      <c r="AH1013" s="76">
        <f>SUM(AE1013,AG1013,AI1013)*rate_forex_risk</f>
        <v/>
      </c>
      <c r="AI1013" s="193">
        <f>IF(OR(seller_region="TR",offer_sale_type="экспорт"),0,rate_fin_comm)*SUM(AZ1013,AZ1013*AW1013,T1013)</f>
        <v/>
      </c>
      <c r="AJ1013" s="118">
        <f>IFERROR(ROUND(SUM(AB1013,AF1013:AI1013)/E1013,2),0)</f>
        <v/>
      </c>
      <c r="AK1013" s="76">
        <f>AJ1013*E1013</f>
        <v/>
      </c>
      <c r="AL1013" s="174">
        <f>ROUND(IFERROR(AM1013*E1013,0),2)</f>
        <v/>
      </c>
      <c r="AM1013" s="175">
        <f>ROUND(AJ1013*(1+IF(offer_incoterms="DDP",IF((TODAY()+offer_turnaround_time)&gt;=helpsheet!$L$17,rate_vatRU_from_26,rate_vatRu_till_25),0)),2)</f>
        <v/>
      </c>
      <c r="AN1013" s="192">
        <f>AL1013-AK1013</f>
        <v/>
      </c>
      <c r="AO1013" s="76">
        <f>SUM(AY1013,Y1013:Z1013,T1013)*IF(AND(offer_incoterms="DDP",offer_sale_type&lt;&gt;"экспорт"),IF((TODAY()+offer_turnaround_time)&gt;=helpsheet!$L$17,rate_vatRU_from_26,rate_vatRu_till_25),0)</f>
        <v/>
      </c>
      <c r="AP1013" s="193">
        <f>AN1013-AO1013</f>
        <v/>
      </c>
      <c r="AQ1013" s="118">
        <f>IF(offer_sale_type="транзит",SUM(AF1013:AI1013,BA1013,BB1013),0)</f>
        <v/>
      </c>
      <c r="AR1013" s="82">
        <f>HYPERLINK("https://www.alta.ru/tnved/code/")&amp;W1013&amp;"/"</f>
        <v/>
      </c>
      <c r="AS1013" s="157" t="n"/>
      <c r="AT1013" s="162" t="n"/>
      <c r="AU1013" s="76">
        <f>IF(ISBLANK(AT1013),0,AJ1013-AT1013)</f>
        <v/>
      </c>
      <c r="AV1013" s="157" t="n"/>
      <c r="AW1013" s="75">
        <f>_xlfn.IFNA(VLOOKUP(L1013,list_vat[],3,FALSE),0)</f>
        <v/>
      </c>
      <c r="AX1013" s="76">
        <f>IFERROR(ROUND(S1013*(1+AW1013)/E1013,2),0)</f>
        <v/>
      </c>
      <c r="AY1013" s="76">
        <f>E1013*AX1013</f>
        <v/>
      </c>
      <c r="AZ1013" s="192">
        <f>S1013*(1+M1013)</f>
        <v/>
      </c>
      <c r="BA1013" s="76">
        <f>cost_fin_total*$BD1013</f>
        <v/>
      </c>
      <c r="BB1013" s="193">
        <f>credit_sales_interest*BD1013</f>
        <v/>
      </c>
      <c r="BC1013" s="102">
        <f>IFERROR(IF($I$13&gt;0,$I1013/$I$13,$S1013/$S$13),0)</f>
        <v/>
      </c>
      <c r="BD1013" s="102">
        <f>IFERROR($S1013/$S$13,0)</f>
        <v/>
      </c>
      <c r="BE1013" s="413" t="inlineStr">
        <is>
          <t>$</t>
        </is>
      </c>
    </row>
    <row r="1014" ht="12" customFormat="1" customHeight="1" s="65">
      <c r="A1014" s="43" t="n">
        <v>999</v>
      </c>
      <c r="B1014" s="166" t="n"/>
      <c r="C1014" s="166" t="n"/>
      <c r="D1014" s="166" t="n"/>
      <c r="E1014" s="162" t="n"/>
      <c r="F1014" s="166" t="n"/>
      <c r="G1014" s="162" t="n"/>
      <c r="H1014" s="162" t="n"/>
      <c r="I1014" s="189">
        <f>E1014*G1014</f>
        <v/>
      </c>
      <c r="J1014" s="195" t="n"/>
      <c r="K1014" s="162" t="n"/>
      <c r="L1014" s="168" t="n"/>
      <c r="M1014" s="75">
        <f>_xlfn.XLOOKUP(L1014,list_vat[Страна],list_vat[Ставка НДС %],0,0)</f>
        <v/>
      </c>
      <c r="N1014" s="162">
        <f>IFERROR(IF(L1014="Китай",K1014,K1014/(1+M1014)),0)</f>
        <v/>
      </c>
      <c r="O1014" s="169" t="n"/>
      <c r="P1014" s="76">
        <f>N1014*(1-O1014)</f>
        <v/>
      </c>
      <c r="Q1014" s="162" t="n"/>
      <c r="R1014" s="162">
        <f>IF(ISBLANK(Q1014),"введи курс",P1014/Q1014)</f>
        <v/>
      </c>
      <c r="S1014" s="196">
        <f>IF(AND(ISNUMBER(E1014),ISNUMBER(Q1014)),E1014*R1014,0)</f>
        <v/>
      </c>
      <c r="T1014" s="192">
        <f>$BC1014*V$11</f>
        <v/>
      </c>
      <c r="U1014" s="76">
        <f>$BC1014*W$11</f>
        <v/>
      </c>
      <c r="V1014" s="193">
        <f>+SUM(T1014:U1014)</f>
        <v/>
      </c>
      <c r="W1014" s="191" t="n"/>
      <c r="X1014" s="170" t="n"/>
      <c r="Y1014" s="76">
        <f>ROUND(IF(offer_incoterms="DDP",X1014*(S1014*(1+AW1014)+T1014),0),2)</f>
        <v/>
      </c>
      <c r="Z1014" s="188" t="n"/>
      <c r="AA1014" s="192">
        <f>IFERROR(AB1014/E1014,0)</f>
        <v/>
      </c>
      <c r="AB1014" s="76">
        <f>ROUND(SUM(S1014,V1014,Y1014:Z1014,BA1014:BB1014),2)</f>
        <v/>
      </c>
      <c r="AC1014" s="797" t="n"/>
      <c r="AD1014" s="192">
        <f t="array" ref="AD1014">IFERROR(ROUND((_xlfn.IFS(offer_sale_type="поставка",AB1014,offer_sale_type="транзит",S1014)*(1+AC1014))/E1014,2),0)</f>
        <v/>
      </c>
      <c r="AE1014" s="76">
        <f>AD1014*E1014</f>
        <v/>
      </c>
      <c r="AF1014" s="193">
        <f t="array" ref="AF1014">IFERROR(ROUND(_xlfn.IFS(offer_sale_type="поставка",AB1014,offer_sale_type="транзит",S1014)*AC1014,2),0)</f>
        <v/>
      </c>
      <c r="AG1014" s="192">
        <f>$BD1014*VLOOKUP($AG$3,$AF$4:$AG$7,2,FALSE)</f>
        <v/>
      </c>
      <c r="AH1014" s="76">
        <f>SUM(AE1014,AG1014,AI1014)*rate_forex_risk</f>
        <v/>
      </c>
      <c r="AI1014" s="193">
        <f>IF(OR(seller_region="TR",offer_sale_type="экспорт"),0,rate_fin_comm)*SUM(AZ1014,AZ1014*AW1014,T1014)</f>
        <v/>
      </c>
      <c r="AJ1014" s="118">
        <f>IFERROR(ROUND(SUM(AB1014,AF1014:AI1014)/E1014,2),0)</f>
        <v/>
      </c>
      <c r="AK1014" s="76">
        <f>AJ1014*E1014</f>
        <v/>
      </c>
      <c r="AL1014" s="174">
        <f>ROUND(IFERROR(AM1014*E1014,0),2)</f>
        <v/>
      </c>
      <c r="AM1014" s="175">
        <f>ROUND(AJ1014*(1+IF(offer_incoterms="DDP",IF((TODAY()+offer_turnaround_time)&gt;=helpsheet!$L$17,rate_vatRU_from_26,rate_vatRu_till_25),0)),2)</f>
        <v/>
      </c>
      <c r="AN1014" s="192">
        <f>AL1014-AK1014</f>
        <v/>
      </c>
      <c r="AO1014" s="76">
        <f>SUM(AY1014,Y1014:Z1014,T1014)*IF(AND(offer_incoterms="DDP",offer_sale_type&lt;&gt;"экспорт"),IF((TODAY()+offer_turnaround_time)&gt;=helpsheet!$L$17,rate_vatRU_from_26,rate_vatRu_till_25),0)</f>
        <v/>
      </c>
      <c r="AP1014" s="193">
        <f>AN1014-AO1014</f>
        <v/>
      </c>
      <c r="AQ1014" s="118">
        <f>IF(offer_sale_type="транзит",SUM(AF1014:AI1014,BA1014,BB1014),0)</f>
        <v/>
      </c>
      <c r="AR1014" s="82">
        <f>HYPERLINK("https://www.alta.ru/tnved/code/")&amp;W1014&amp;"/"</f>
        <v/>
      </c>
      <c r="AS1014" s="157" t="n"/>
      <c r="AT1014" s="162" t="n"/>
      <c r="AU1014" s="76">
        <f>IF(ISBLANK(AT1014),0,AJ1014-AT1014)</f>
        <v/>
      </c>
      <c r="AV1014" s="157" t="n"/>
      <c r="AW1014" s="75">
        <f>_xlfn.IFNA(VLOOKUP(L1014,list_vat[],3,FALSE),0)</f>
        <v/>
      </c>
      <c r="AX1014" s="76">
        <f>IFERROR(ROUND(S1014*(1+AW1014)/E1014,2),0)</f>
        <v/>
      </c>
      <c r="AY1014" s="76">
        <f>E1014*AX1014</f>
        <v/>
      </c>
      <c r="AZ1014" s="192">
        <f>S1014*(1+M1014)</f>
        <v/>
      </c>
      <c r="BA1014" s="76">
        <f>cost_fin_total*$BD1014</f>
        <v/>
      </c>
      <c r="BB1014" s="193">
        <f>credit_sales_interest*BD1014</f>
        <v/>
      </c>
      <c r="BC1014" s="102">
        <f>IFERROR(IF($I$13&gt;0,$I1014/$I$13,$S1014/$S$13),0)</f>
        <v/>
      </c>
      <c r="BD1014" s="102">
        <f>IFERROR($S1014/$S$13,0)</f>
        <v/>
      </c>
      <c r="BE1014" s="413" t="inlineStr">
        <is>
          <t>$</t>
        </is>
      </c>
    </row>
    <row r="1015" ht="12" customFormat="1" customHeight="1" s="65">
      <c r="A1015" s="43" t="n">
        <v>1000</v>
      </c>
      <c r="B1015" s="166" t="n"/>
      <c r="C1015" s="166" t="n"/>
      <c r="D1015" s="166" t="n"/>
      <c r="E1015" s="162" t="n"/>
      <c r="F1015" s="166" t="n"/>
      <c r="G1015" s="162" t="n"/>
      <c r="H1015" s="162" t="n"/>
      <c r="I1015" s="189">
        <f>E1015*G1015</f>
        <v/>
      </c>
      <c r="J1015" s="195" t="n"/>
      <c r="K1015" s="162" t="n"/>
      <c r="L1015" s="168" t="n"/>
      <c r="M1015" s="75">
        <f>_xlfn.XLOOKUP(L1015,list_vat[Страна],list_vat[Ставка НДС %],0,0)</f>
        <v/>
      </c>
      <c r="N1015" s="162">
        <f>IFERROR(IF(L1015="Китай",K1015,K1015/(1+M1015)),0)</f>
        <v/>
      </c>
      <c r="O1015" s="169" t="n"/>
      <c r="P1015" s="76">
        <f>N1015*(1-O1015)</f>
        <v/>
      </c>
      <c r="Q1015" s="162" t="n"/>
      <c r="R1015" s="162">
        <f>IF(ISBLANK(Q1015),"введи курс",P1015/Q1015)</f>
        <v/>
      </c>
      <c r="S1015" s="196">
        <f>IF(AND(ISNUMBER(E1015),ISNUMBER(Q1015)),E1015*R1015,0)</f>
        <v/>
      </c>
      <c r="T1015" s="192">
        <f>$BC1015*V$11</f>
        <v/>
      </c>
      <c r="U1015" s="76">
        <f>$BC1015*W$11</f>
        <v/>
      </c>
      <c r="V1015" s="193">
        <f>+SUM(T1015:U1015)</f>
        <v/>
      </c>
      <c r="W1015" s="191" t="n"/>
      <c r="X1015" s="170" t="n"/>
      <c r="Y1015" s="76">
        <f>ROUND(IF(offer_incoterms="DDP",X1015*(S1015*(1+AW1015)+T1015),0),2)</f>
        <v/>
      </c>
      <c r="Z1015" s="188" t="n"/>
      <c r="AA1015" s="192">
        <f>IFERROR(AB1015/E1015,0)</f>
        <v/>
      </c>
      <c r="AB1015" s="76">
        <f>ROUND(SUM(S1015,V1015,Y1015:Z1015,BA1015:BB1015),2)</f>
        <v/>
      </c>
      <c r="AC1015" s="797" t="n"/>
      <c r="AD1015" s="192">
        <f t="array" ref="AD1015">IFERROR(ROUND((_xlfn.IFS(offer_sale_type="поставка",AB1015,offer_sale_type="транзит",S1015)*(1+AC1015))/E1015,2),0)</f>
        <v/>
      </c>
      <c r="AE1015" s="76">
        <f>AD1015*E1015</f>
        <v/>
      </c>
      <c r="AF1015" s="193">
        <f t="array" ref="AF1015">IFERROR(ROUND(_xlfn.IFS(offer_sale_type="поставка",AB1015,offer_sale_type="транзит",S1015)*AC1015,2),0)</f>
        <v/>
      </c>
      <c r="AG1015" s="192">
        <f>$BD1015*VLOOKUP($AG$3,$AF$4:$AG$7,2,FALSE)</f>
        <v/>
      </c>
      <c r="AH1015" s="76">
        <f>SUM(AE1015,AG1015,AI1015)*rate_forex_risk</f>
        <v/>
      </c>
      <c r="AI1015" s="193">
        <f>IF(OR(seller_region="TR",offer_sale_type="экспорт"),0,rate_fin_comm)*SUM(AZ1015,AZ1015*AW1015,T1015)</f>
        <v/>
      </c>
      <c r="AJ1015" s="118">
        <f>IFERROR(ROUND(SUM(AB1015,AF1015:AI1015)/E1015,2),0)</f>
        <v/>
      </c>
      <c r="AK1015" s="76">
        <f>AJ1015*E1015</f>
        <v/>
      </c>
      <c r="AL1015" s="174">
        <f>ROUND(IFERROR(AM1015*E1015,0),2)</f>
        <v/>
      </c>
      <c r="AM1015" s="175">
        <f>ROUND(AJ1015*(1+IF(offer_incoterms="DDP",IF((TODAY()+offer_turnaround_time)&gt;=helpsheet!$L$17,rate_vatRU_from_26,rate_vatRu_till_25),0)),2)</f>
        <v/>
      </c>
      <c r="AN1015" s="192">
        <f>AL1015-AK1015</f>
        <v/>
      </c>
      <c r="AO1015" s="76">
        <f>SUM(AY1015,Y1015:Z1015,T1015)*IF(AND(offer_incoterms="DDP",offer_sale_type&lt;&gt;"экспорт"),IF((TODAY()+offer_turnaround_time)&gt;=helpsheet!$L$17,rate_vatRU_from_26,rate_vatRu_till_25),0)</f>
        <v/>
      </c>
      <c r="AP1015" s="193">
        <f>AN1015-AO1015</f>
        <v/>
      </c>
      <c r="AQ1015" s="118">
        <f>IF(offer_sale_type="транзит",SUM(AF1015:AI1015,BA1015,BB1015),0)</f>
        <v/>
      </c>
      <c r="AR1015" s="82">
        <f>HYPERLINK("https://www.alta.ru/tnved/code/")&amp;W1015&amp;"/"</f>
        <v/>
      </c>
      <c r="AS1015" s="157" t="n"/>
      <c r="AT1015" s="162" t="n"/>
      <c r="AU1015" s="76">
        <f>IF(ISBLANK(AT1015),0,AJ1015-AT1015)</f>
        <v/>
      </c>
      <c r="AV1015" s="157" t="n"/>
      <c r="AW1015" s="75">
        <f>_xlfn.IFNA(VLOOKUP(L1015,list_vat[],3,FALSE),0)</f>
        <v/>
      </c>
      <c r="AX1015" s="76">
        <f>IFERROR(ROUND(S1015*(1+AW1015)/E1015,2),0)</f>
        <v/>
      </c>
      <c r="AY1015" s="76">
        <f>E1015*AX1015</f>
        <v/>
      </c>
      <c r="AZ1015" s="192">
        <f>S1015*(1+M1015)</f>
        <v/>
      </c>
      <c r="BA1015" s="76">
        <f>cost_fin_total*$BD1015</f>
        <v/>
      </c>
      <c r="BB1015" s="193">
        <f>credit_sales_interest*BD1015</f>
        <v/>
      </c>
      <c r="BC1015" s="102">
        <f>IFERROR(IF($I$13&gt;0,$I1015/$I$13,$S1015/$S$13),0)</f>
        <v/>
      </c>
      <c r="BD1015" s="102">
        <f>IFERROR($S1015/$S$13,0)</f>
        <v/>
      </c>
      <c r="BE1015" s="413" t="inlineStr">
        <is>
          <t>$</t>
        </is>
      </c>
    </row>
    <row r="1016" ht="12" customFormat="1" customHeight="1" s="65">
      <c r="A1016" s="43" t="n">
        <v>1001</v>
      </c>
      <c r="B1016" s="166" t="n"/>
      <c r="C1016" s="166" t="n"/>
      <c r="D1016" s="166" t="n"/>
      <c r="E1016" s="162" t="n"/>
      <c r="F1016" s="166" t="n"/>
      <c r="G1016" s="162" t="n"/>
      <c r="H1016" s="162" t="n"/>
      <c r="I1016" s="189">
        <f>E1016*G1016</f>
        <v/>
      </c>
      <c r="J1016" s="195" t="n"/>
      <c r="K1016" s="162" t="n"/>
      <c r="L1016" s="168" t="n"/>
      <c r="M1016" s="75">
        <f>_xlfn.XLOOKUP(L1016,list_vat[Страна],list_vat[Ставка НДС %],0,0)</f>
        <v/>
      </c>
      <c r="N1016" s="162">
        <f>IFERROR(IF(L1016="Китай",K1016,K1016/(1+M1016)),0)</f>
        <v/>
      </c>
      <c r="O1016" s="169" t="n"/>
      <c r="P1016" s="76">
        <f>N1016*(1-O1016)</f>
        <v/>
      </c>
      <c r="Q1016" s="162" t="n"/>
      <c r="R1016" s="162">
        <f>IF(ISBLANK(Q1016),"введи курс",P1016/Q1016)</f>
        <v/>
      </c>
      <c r="S1016" s="196">
        <f>IF(AND(ISNUMBER(E1016),ISNUMBER(Q1016)),E1016*R1016,0)</f>
        <v/>
      </c>
      <c r="T1016" s="192">
        <f>$BC1016*V$11</f>
        <v/>
      </c>
      <c r="U1016" s="76">
        <f>$BC1016*W$11</f>
        <v/>
      </c>
      <c r="V1016" s="193">
        <f>+SUM(T1016:U1016)</f>
        <v/>
      </c>
      <c r="W1016" s="191" t="n"/>
      <c r="X1016" s="170" t="n"/>
      <c r="Y1016" s="76">
        <f>ROUND(IF(offer_incoterms="DDP",X1016*(S1016*(1+AW1016)+T1016),0),2)</f>
        <v/>
      </c>
      <c r="Z1016" s="188" t="n"/>
      <c r="AA1016" s="192">
        <f>IFERROR(AB1016/E1016,0)</f>
        <v/>
      </c>
      <c r="AB1016" s="76">
        <f>ROUND(SUM(S1016,V1016,Y1016:Z1016,BA1016:BB1016),2)</f>
        <v/>
      </c>
      <c r="AC1016" s="797" t="n"/>
      <c r="AD1016" s="192">
        <f t="array" ref="AD1016">IFERROR(ROUND((_xlfn.IFS(offer_sale_type="поставка",AB1016,offer_sale_type="транзит",S1016)*(1+AC1016))/E1016,2),0)</f>
        <v/>
      </c>
      <c r="AE1016" s="76">
        <f>AD1016*E1016</f>
        <v/>
      </c>
      <c r="AF1016" s="193">
        <f t="array" ref="AF1016">IFERROR(ROUND(_xlfn.IFS(offer_sale_type="поставка",AB1016,offer_sale_type="транзит",S1016)*AC1016,2),0)</f>
        <v/>
      </c>
      <c r="AG1016" s="192">
        <f>$BD1016*VLOOKUP($AG$3,$AF$4:$AG$7,2,FALSE)</f>
        <v/>
      </c>
      <c r="AH1016" s="76">
        <f>SUM(AE1016,AG1016,AI1016)*rate_forex_risk</f>
        <v/>
      </c>
      <c r="AI1016" s="193">
        <f>IF(OR(seller_region="TR",offer_sale_type="экспорт"),0,rate_fin_comm)*SUM(AZ1016,AZ1016*AW1016,T1016)</f>
        <v/>
      </c>
      <c r="AJ1016" s="118">
        <f>IFERROR(ROUND(SUM(AB1016,AF1016:AI1016)/E1016,2),0)</f>
        <v/>
      </c>
      <c r="AK1016" s="76">
        <f>AJ1016*E1016</f>
        <v/>
      </c>
      <c r="AL1016" s="174">
        <f>ROUND(IFERROR(AM1016*E1016,0),2)</f>
        <v/>
      </c>
      <c r="AM1016" s="175">
        <f>ROUND(AJ1016*(1+IF(offer_incoterms="DDP",IF((TODAY()+offer_turnaround_time)&gt;=helpsheet!$L$17,rate_vatRU_from_26,rate_vatRu_till_25),0)),2)</f>
        <v/>
      </c>
      <c r="AN1016" s="192">
        <f>AL1016-AK1016</f>
        <v/>
      </c>
      <c r="AO1016" s="76">
        <f>SUM(AY1016,Y1016:Z1016,T1016)*IF(AND(offer_incoterms="DDP",offer_sale_type&lt;&gt;"экспорт"),IF((TODAY()+offer_turnaround_time)&gt;=helpsheet!$L$17,rate_vatRU_from_26,rate_vatRu_till_25),0)</f>
        <v/>
      </c>
      <c r="AP1016" s="193">
        <f>AN1016-AO1016</f>
        <v/>
      </c>
      <c r="AQ1016" s="118">
        <f>IF(offer_sale_type="транзит",SUM(AF1016:AI1016,BA1016,BB1016),0)</f>
        <v/>
      </c>
      <c r="AR1016" s="82">
        <f>HYPERLINK("https://www.alta.ru/tnved/code/")&amp;W1016&amp;"/"</f>
        <v/>
      </c>
      <c r="AS1016" s="157" t="n"/>
      <c r="AT1016" s="162" t="n"/>
      <c r="AU1016" s="76">
        <f>IF(ISBLANK(AT1016),0,AJ1016-AT1016)</f>
        <v/>
      </c>
      <c r="AV1016" s="157" t="n"/>
      <c r="AW1016" s="75">
        <f>_xlfn.IFNA(VLOOKUP(L1016,list_vat[],3,FALSE),0)</f>
        <v/>
      </c>
      <c r="AX1016" s="76">
        <f>IFERROR(ROUND(S1016*(1+AW1016)/E1016,2),0)</f>
        <v/>
      </c>
      <c r="AY1016" s="76">
        <f>E1016*AX1016</f>
        <v/>
      </c>
      <c r="AZ1016" s="192">
        <f>S1016*(1+M1016)</f>
        <v/>
      </c>
      <c r="BA1016" s="76">
        <f>cost_fin_total*$BD1016</f>
        <v/>
      </c>
      <c r="BB1016" s="193">
        <f>credit_sales_interest*BD1016</f>
        <v/>
      </c>
      <c r="BC1016" s="102">
        <f>IFERROR(IF($I$13&gt;0,$I1016/$I$13,$S1016/$S$13),0)</f>
        <v/>
      </c>
      <c r="BD1016" s="102">
        <f>IFERROR($S1016/$S$13,0)</f>
        <v/>
      </c>
      <c r="BE1016" s="413" t="inlineStr">
        <is>
          <t>$</t>
        </is>
      </c>
    </row>
    <row r="1017" ht="12" customFormat="1" customHeight="1" s="65">
      <c r="A1017" s="43" t="n">
        <v>1002</v>
      </c>
      <c r="B1017" s="166" t="n"/>
      <c r="C1017" s="166" t="n"/>
      <c r="D1017" s="166" t="n"/>
      <c r="E1017" s="162" t="n"/>
      <c r="F1017" s="166" t="n"/>
      <c r="G1017" s="162" t="n"/>
      <c r="H1017" s="162" t="n"/>
      <c r="I1017" s="189">
        <f>E1017*G1017</f>
        <v/>
      </c>
      <c r="J1017" s="195" t="n"/>
      <c r="K1017" s="162" t="n"/>
      <c r="L1017" s="168" t="n"/>
      <c r="M1017" s="75">
        <f>_xlfn.XLOOKUP(L1017,list_vat[Страна],list_vat[Ставка НДС %],0,0)</f>
        <v/>
      </c>
      <c r="N1017" s="162">
        <f>IFERROR(IF(L1017="Китай",K1017,K1017/(1+M1017)),0)</f>
        <v/>
      </c>
      <c r="O1017" s="169" t="n"/>
      <c r="P1017" s="76">
        <f>N1017*(1-O1017)</f>
        <v/>
      </c>
      <c r="Q1017" s="162" t="n"/>
      <c r="R1017" s="162">
        <f>IF(ISBLANK(Q1017),"введи курс",P1017/Q1017)</f>
        <v/>
      </c>
      <c r="S1017" s="196">
        <f>IF(AND(ISNUMBER(E1017),ISNUMBER(Q1017)),E1017*R1017,0)</f>
        <v/>
      </c>
      <c r="T1017" s="192">
        <f>$BC1017*V$11</f>
        <v/>
      </c>
      <c r="U1017" s="76">
        <f>$BC1017*W$11</f>
        <v/>
      </c>
      <c r="V1017" s="193">
        <f>+SUM(T1017:U1017)</f>
        <v/>
      </c>
      <c r="W1017" s="191" t="n"/>
      <c r="X1017" s="170" t="n"/>
      <c r="Y1017" s="76">
        <f>ROUND(IF(offer_incoterms="DDP",X1017*(S1017*(1+AW1017)+T1017),0),2)</f>
        <v/>
      </c>
      <c r="Z1017" s="188" t="n"/>
      <c r="AA1017" s="192">
        <f>IFERROR(AB1017/E1017,0)</f>
        <v/>
      </c>
      <c r="AB1017" s="76">
        <f>ROUND(SUM(S1017,V1017,Y1017:Z1017,BA1017:BB1017),2)</f>
        <v/>
      </c>
      <c r="AC1017" s="797" t="n"/>
      <c r="AD1017" s="192">
        <f t="array" ref="AD1017">IFERROR(ROUND((_xlfn.IFS(offer_sale_type="поставка",AB1017,offer_sale_type="транзит",S1017)*(1+AC1017))/E1017,2),0)</f>
        <v/>
      </c>
      <c r="AE1017" s="76">
        <f>AD1017*E1017</f>
        <v/>
      </c>
      <c r="AF1017" s="193">
        <f t="array" ref="AF1017">IFERROR(ROUND(_xlfn.IFS(offer_sale_type="поставка",AB1017,offer_sale_type="транзит",S1017)*AC1017,2),0)</f>
        <v/>
      </c>
      <c r="AG1017" s="192">
        <f>$BD1017*VLOOKUP($AG$3,$AF$4:$AG$7,2,FALSE)</f>
        <v/>
      </c>
      <c r="AH1017" s="76">
        <f>SUM(AE1017,AG1017,AI1017)*rate_forex_risk</f>
        <v/>
      </c>
      <c r="AI1017" s="193">
        <f>IF(OR(seller_region="TR",offer_sale_type="экспорт"),0,rate_fin_comm)*SUM(AZ1017,AZ1017*AW1017,T1017)</f>
        <v/>
      </c>
      <c r="AJ1017" s="118">
        <f>IFERROR(ROUND(SUM(AB1017,AF1017:AI1017)/E1017,2),0)</f>
        <v/>
      </c>
      <c r="AK1017" s="76">
        <f>AJ1017*E1017</f>
        <v/>
      </c>
      <c r="AL1017" s="174">
        <f>ROUND(IFERROR(AM1017*E1017,0),2)</f>
        <v/>
      </c>
      <c r="AM1017" s="175">
        <f>ROUND(AJ1017*(1+IF(offer_incoterms="DDP",IF((TODAY()+offer_turnaround_time)&gt;=helpsheet!$L$17,rate_vatRU_from_26,rate_vatRu_till_25),0)),2)</f>
        <v/>
      </c>
      <c r="AN1017" s="192">
        <f>AL1017-AK1017</f>
        <v/>
      </c>
      <c r="AO1017" s="76">
        <f>SUM(AY1017,Y1017:Z1017,T1017)*IF(AND(offer_incoterms="DDP",offer_sale_type&lt;&gt;"экспорт"),IF((TODAY()+offer_turnaround_time)&gt;=helpsheet!$L$17,rate_vatRU_from_26,rate_vatRu_till_25),0)</f>
        <v/>
      </c>
      <c r="AP1017" s="193">
        <f>AN1017-AO1017</f>
        <v/>
      </c>
      <c r="AQ1017" s="118">
        <f>IF(offer_sale_type="транзит",SUM(AF1017:AI1017,BA1017,BB1017),0)</f>
        <v/>
      </c>
      <c r="AR1017" s="82">
        <f>HYPERLINK("https://www.alta.ru/tnved/code/")&amp;W1017&amp;"/"</f>
        <v/>
      </c>
      <c r="AS1017" s="157" t="n"/>
      <c r="AT1017" s="162" t="n"/>
      <c r="AU1017" s="76">
        <f>IF(ISBLANK(AT1017),0,AJ1017-AT1017)</f>
        <v/>
      </c>
      <c r="AV1017" s="157" t="n"/>
      <c r="AW1017" s="75">
        <f>_xlfn.IFNA(VLOOKUP(L1017,list_vat[],3,FALSE),0)</f>
        <v/>
      </c>
      <c r="AX1017" s="76">
        <f>IFERROR(ROUND(S1017*(1+AW1017)/E1017,2),0)</f>
        <v/>
      </c>
      <c r="AY1017" s="76">
        <f>E1017*AX1017</f>
        <v/>
      </c>
      <c r="AZ1017" s="192">
        <f>S1017*(1+M1017)</f>
        <v/>
      </c>
      <c r="BA1017" s="76">
        <f>cost_fin_total*$BD1017</f>
        <v/>
      </c>
      <c r="BB1017" s="193">
        <f>credit_sales_interest*BD1017</f>
        <v/>
      </c>
      <c r="BC1017" s="102">
        <f>IFERROR(IF($I$13&gt;0,$I1017/$I$13,$S1017/$S$13),0)</f>
        <v/>
      </c>
      <c r="BD1017" s="102">
        <f>IFERROR($S1017/$S$13,0)</f>
        <v/>
      </c>
      <c r="BE1017" s="413" t="inlineStr">
        <is>
          <t>$</t>
        </is>
      </c>
    </row>
    <row r="1018" ht="12" customFormat="1" customHeight="1" s="65">
      <c r="A1018" s="43" t="n">
        <v>1003</v>
      </c>
      <c r="B1018" s="166" t="n"/>
      <c r="C1018" s="166" t="n"/>
      <c r="D1018" s="166" t="n"/>
      <c r="E1018" s="162" t="n"/>
      <c r="F1018" s="166" t="n"/>
      <c r="G1018" s="162" t="n"/>
      <c r="H1018" s="162" t="n"/>
      <c r="I1018" s="189">
        <f>E1018*G1018</f>
        <v/>
      </c>
      <c r="J1018" s="195" t="n"/>
      <c r="K1018" s="162" t="n"/>
      <c r="L1018" s="168" t="n"/>
      <c r="M1018" s="75">
        <f>_xlfn.XLOOKUP(L1018,list_vat[Страна],list_vat[Ставка НДС %],0,0)</f>
        <v/>
      </c>
      <c r="N1018" s="162">
        <f>IFERROR(IF(L1018="Китай",K1018,K1018/(1+M1018)),0)</f>
        <v/>
      </c>
      <c r="O1018" s="169" t="n"/>
      <c r="P1018" s="76">
        <f>N1018*(1-O1018)</f>
        <v/>
      </c>
      <c r="Q1018" s="162" t="n"/>
      <c r="R1018" s="162">
        <f>IF(ISBLANK(Q1018),"введи курс",P1018/Q1018)</f>
        <v/>
      </c>
      <c r="S1018" s="196">
        <f>IF(AND(ISNUMBER(E1018),ISNUMBER(Q1018)),E1018*R1018,0)</f>
        <v/>
      </c>
      <c r="T1018" s="192">
        <f>$BC1018*V$11</f>
        <v/>
      </c>
      <c r="U1018" s="76">
        <f>$BC1018*W$11</f>
        <v/>
      </c>
      <c r="V1018" s="193">
        <f>+SUM(T1018:U1018)</f>
        <v/>
      </c>
      <c r="W1018" s="191" t="n"/>
      <c r="X1018" s="170" t="n"/>
      <c r="Y1018" s="76">
        <f>ROUND(IF(offer_incoterms="DDP",X1018*(S1018*(1+AW1018)+T1018),0),2)</f>
        <v/>
      </c>
      <c r="Z1018" s="188" t="n"/>
      <c r="AA1018" s="192">
        <f>IFERROR(AB1018/E1018,0)</f>
        <v/>
      </c>
      <c r="AB1018" s="76">
        <f>ROUND(SUM(S1018,V1018,Y1018:Z1018,BA1018:BB1018),2)</f>
        <v/>
      </c>
      <c r="AC1018" s="797" t="n"/>
      <c r="AD1018" s="192">
        <f t="array" ref="AD1018">IFERROR(ROUND((_xlfn.IFS(offer_sale_type="поставка",AB1018,offer_sale_type="транзит",S1018)*(1+AC1018))/E1018,2),0)</f>
        <v/>
      </c>
      <c r="AE1018" s="76">
        <f>AD1018*E1018</f>
        <v/>
      </c>
      <c r="AF1018" s="193">
        <f t="array" ref="AF1018">IFERROR(ROUND(_xlfn.IFS(offer_sale_type="поставка",AB1018,offer_sale_type="транзит",S1018)*AC1018,2),0)</f>
        <v/>
      </c>
      <c r="AG1018" s="192">
        <f>$BD1018*VLOOKUP($AG$3,$AF$4:$AG$7,2,FALSE)</f>
        <v/>
      </c>
      <c r="AH1018" s="76">
        <f>SUM(AE1018,AG1018,AI1018)*rate_forex_risk</f>
        <v/>
      </c>
      <c r="AI1018" s="193">
        <f>IF(OR(seller_region="TR",offer_sale_type="экспорт"),0,rate_fin_comm)*SUM(AZ1018,AZ1018*AW1018,T1018)</f>
        <v/>
      </c>
      <c r="AJ1018" s="118">
        <f>IFERROR(ROUND(SUM(AB1018,AF1018:AI1018)/E1018,2),0)</f>
        <v/>
      </c>
      <c r="AK1018" s="76">
        <f>AJ1018*E1018</f>
        <v/>
      </c>
      <c r="AL1018" s="174">
        <f>ROUND(IFERROR(AM1018*E1018,0),2)</f>
        <v/>
      </c>
      <c r="AM1018" s="175">
        <f>ROUND(AJ1018*(1+IF(offer_incoterms="DDP",IF((TODAY()+offer_turnaround_time)&gt;=helpsheet!$L$17,rate_vatRU_from_26,rate_vatRu_till_25),0)),2)</f>
        <v/>
      </c>
      <c r="AN1018" s="192">
        <f>AL1018-AK1018</f>
        <v/>
      </c>
      <c r="AO1018" s="76">
        <f>SUM(AY1018,Y1018:Z1018,T1018)*IF(AND(offer_incoterms="DDP",offer_sale_type&lt;&gt;"экспорт"),IF((TODAY()+offer_turnaround_time)&gt;=helpsheet!$L$17,rate_vatRU_from_26,rate_vatRu_till_25),0)</f>
        <v/>
      </c>
      <c r="AP1018" s="193">
        <f>AN1018-AO1018</f>
        <v/>
      </c>
      <c r="AQ1018" s="118">
        <f>IF(offer_sale_type="транзит",SUM(AF1018:AI1018,BA1018,BB1018),0)</f>
        <v/>
      </c>
      <c r="AR1018" s="82">
        <f>HYPERLINK("https://www.alta.ru/tnved/code/")&amp;W1018&amp;"/"</f>
        <v/>
      </c>
      <c r="AS1018" s="157" t="n"/>
      <c r="AT1018" s="162" t="n"/>
      <c r="AU1018" s="76">
        <f>IF(ISBLANK(AT1018),0,AJ1018-AT1018)</f>
        <v/>
      </c>
      <c r="AV1018" s="157" t="n"/>
      <c r="AW1018" s="75">
        <f>_xlfn.IFNA(VLOOKUP(L1018,list_vat[],3,FALSE),0)</f>
        <v/>
      </c>
      <c r="AX1018" s="76">
        <f>IFERROR(ROUND(S1018*(1+AW1018)/E1018,2),0)</f>
        <v/>
      </c>
      <c r="AY1018" s="76">
        <f>E1018*AX1018</f>
        <v/>
      </c>
      <c r="AZ1018" s="192">
        <f>S1018*(1+M1018)</f>
        <v/>
      </c>
      <c r="BA1018" s="76">
        <f>cost_fin_total*$BD1018</f>
        <v/>
      </c>
      <c r="BB1018" s="193">
        <f>credit_sales_interest*BD1018</f>
        <v/>
      </c>
      <c r="BC1018" s="102">
        <f>IFERROR(IF($I$13&gt;0,$I1018/$I$13,$S1018/$S$13),0)</f>
        <v/>
      </c>
      <c r="BD1018" s="102">
        <f>IFERROR($S1018/$S$13,0)</f>
        <v/>
      </c>
      <c r="BE1018" s="413" t="inlineStr">
        <is>
          <t>$</t>
        </is>
      </c>
    </row>
    <row r="1019" ht="12" customFormat="1" customHeight="1" s="65">
      <c r="A1019" s="43" t="n">
        <v>1004</v>
      </c>
      <c r="B1019" s="166" t="n"/>
      <c r="C1019" s="166" t="n"/>
      <c r="D1019" s="166" t="n"/>
      <c r="E1019" s="162" t="n"/>
      <c r="F1019" s="166" t="n"/>
      <c r="G1019" s="162" t="n"/>
      <c r="H1019" s="162" t="n"/>
      <c r="I1019" s="189">
        <f>E1019*G1019</f>
        <v/>
      </c>
      <c r="J1019" s="195" t="n"/>
      <c r="K1019" s="162" t="n"/>
      <c r="L1019" s="168" t="n"/>
      <c r="M1019" s="75">
        <f>_xlfn.XLOOKUP(L1019,list_vat[Страна],list_vat[Ставка НДС %],0,0)</f>
        <v/>
      </c>
      <c r="N1019" s="162">
        <f>IFERROR(IF(L1019="Китай",K1019,K1019/(1+M1019)),0)</f>
        <v/>
      </c>
      <c r="O1019" s="169" t="n"/>
      <c r="P1019" s="76">
        <f>N1019*(1-O1019)</f>
        <v/>
      </c>
      <c r="Q1019" s="162" t="n"/>
      <c r="R1019" s="162">
        <f>IF(ISBLANK(Q1019),"введи курс",P1019/Q1019)</f>
        <v/>
      </c>
      <c r="S1019" s="196">
        <f>IF(AND(ISNUMBER(E1019),ISNUMBER(Q1019)),E1019*R1019,0)</f>
        <v/>
      </c>
      <c r="T1019" s="192">
        <f>$BC1019*V$11</f>
        <v/>
      </c>
      <c r="U1019" s="76">
        <f>$BC1019*W$11</f>
        <v/>
      </c>
      <c r="V1019" s="193">
        <f>+SUM(T1019:U1019)</f>
        <v/>
      </c>
      <c r="W1019" s="191" t="n"/>
      <c r="X1019" s="170" t="n"/>
      <c r="Y1019" s="76">
        <f>ROUND(IF(offer_incoterms="DDP",X1019*(S1019*(1+AW1019)+T1019),0),2)</f>
        <v/>
      </c>
      <c r="Z1019" s="188" t="n"/>
      <c r="AA1019" s="192">
        <f>IFERROR(AB1019/E1019,0)</f>
        <v/>
      </c>
      <c r="AB1019" s="76">
        <f>ROUND(SUM(S1019,V1019,Y1019:Z1019,BA1019:BB1019),2)</f>
        <v/>
      </c>
      <c r="AC1019" s="797" t="n"/>
      <c r="AD1019" s="192">
        <f t="array" ref="AD1019">IFERROR(ROUND((_xlfn.IFS(offer_sale_type="поставка",AB1019,offer_sale_type="транзит",S1019)*(1+AC1019))/E1019,2),0)</f>
        <v/>
      </c>
      <c r="AE1019" s="76">
        <f>AD1019*E1019</f>
        <v/>
      </c>
      <c r="AF1019" s="193">
        <f t="array" ref="AF1019">IFERROR(ROUND(_xlfn.IFS(offer_sale_type="поставка",AB1019,offer_sale_type="транзит",S1019)*AC1019,2),0)</f>
        <v/>
      </c>
      <c r="AG1019" s="192">
        <f>$BD1019*VLOOKUP($AG$3,$AF$4:$AG$7,2,FALSE)</f>
        <v/>
      </c>
      <c r="AH1019" s="76">
        <f>SUM(AE1019,AG1019,AI1019)*rate_forex_risk</f>
        <v/>
      </c>
      <c r="AI1019" s="193">
        <f>IF(OR(seller_region="TR",offer_sale_type="экспорт"),0,rate_fin_comm)*SUM(AZ1019,AZ1019*AW1019,T1019)</f>
        <v/>
      </c>
      <c r="AJ1019" s="118">
        <f>IFERROR(ROUND(SUM(AB1019,AF1019:AI1019)/E1019,2),0)</f>
        <v/>
      </c>
      <c r="AK1019" s="76">
        <f>AJ1019*E1019</f>
        <v/>
      </c>
      <c r="AL1019" s="174">
        <f>ROUND(IFERROR(AM1019*E1019,0),2)</f>
        <v/>
      </c>
      <c r="AM1019" s="175">
        <f>ROUND(AJ1019*(1+IF(offer_incoterms="DDP",IF((TODAY()+offer_turnaround_time)&gt;=helpsheet!$L$17,rate_vatRU_from_26,rate_vatRu_till_25),0)),2)</f>
        <v/>
      </c>
      <c r="AN1019" s="192">
        <f>AL1019-AK1019</f>
        <v/>
      </c>
      <c r="AO1019" s="76">
        <f>SUM(AY1019,Y1019:Z1019,T1019)*IF(AND(offer_incoterms="DDP",offer_sale_type&lt;&gt;"экспорт"),IF((TODAY()+offer_turnaround_time)&gt;=helpsheet!$L$17,rate_vatRU_from_26,rate_vatRu_till_25),0)</f>
        <v/>
      </c>
      <c r="AP1019" s="193">
        <f>AN1019-AO1019</f>
        <v/>
      </c>
      <c r="AQ1019" s="118">
        <f>IF(offer_sale_type="транзит",SUM(AF1019:AI1019,BA1019,BB1019),0)</f>
        <v/>
      </c>
      <c r="AR1019" s="82">
        <f>HYPERLINK("https://www.alta.ru/tnved/code/")&amp;W1019&amp;"/"</f>
        <v/>
      </c>
      <c r="AS1019" s="157" t="n"/>
      <c r="AT1019" s="162" t="n"/>
      <c r="AU1019" s="76">
        <f>IF(ISBLANK(AT1019),0,AJ1019-AT1019)</f>
        <v/>
      </c>
      <c r="AV1019" s="157" t="n"/>
      <c r="AW1019" s="75">
        <f>_xlfn.IFNA(VLOOKUP(L1019,list_vat[],3,FALSE),0)</f>
        <v/>
      </c>
      <c r="AX1019" s="76">
        <f>IFERROR(ROUND(S1019*(1+AW1019)/E1019,2),0)</f>
        <v/>
      </c>
      <c r="AY1019" s="76">
        <f>E1019*AX1019</f>
        <v/>
      </c>
      <c r="AZ1019" s="192">
        <f>S1019*(1+M1019)</f>
        <v/>
      </c>
      <c r="BA1019" s="76">
        <f>cost_fin_total*$BD1019</f>
        <v/>
      </c>
      <c r="BB1019" s="193">
        <f>credit_sales_interest*BD1019</f>
        <v/>
      </c>
      <c r="BC1019" s="102">
        <f>IFERROR(IF($I$13&gt;0,$I1019/$I$13,$S1019/$S$13),0)</f>
        <v/>
      </c>
      <c r="BD1019" s="102">
        <f>IFERROR($S1019/$S$13,0)</f>
        <v/>
      </c>
      <c r="BE1019" s="413" t="inlineStr">
        <is>
          <t>$</t>
        </is>
      </c>
    </row>
    <row r="1020" ht="12" customFormat="1" customHeight="1" s="65">
      <c r="A1020" s="43" t="n">
        <v>1005</v>
      </c>
      <c r="B1020" s="166" t="n"/>
      <c r="C1020" s="166" t="n"/>
      <c r="D1020" s="166" t="n"/>
      <c r="E1020" s="162" t="n"/>
      <c r="F1020" s="166" t="n"/>
      <c r="G1020" s="162" t="n"/>
      <c r="H1020" s="162" t="n"/>
      <c r="I1020" s="189">
        <f>E1020*G1020</f>
        <v/>
      </c>
      <c r="J1020" s="195" t="n"/>
      <c r="K1020" s="162" t="n"/>
      <c r="L1020" s="168" t="n"/>
      <c r="M1020" s="75">
        <f>_xlfn.XLOOKUP(L1020,list_vat[Страна],list_vat[Ставка НДС %],0,0)</f>
        <v/>
      </c>
      <c r="N1020" s="162">
        <f>IFERROR(IF(L1020="Китай",K1020,K1020/(1+M1020)),0)</f>
        <v/>
      </c>
      <c r="O1020" s="169" t="n"/>
      <c r="P1020" s="76">
        <f>N1020*(1-O1020)</f>
        <v/>
      </c>
      <c r="Q1020" s="162" t="n"/>
      <c r="R1020" s="162">
        <f>IF(ISBLANK(Q1020),"введи курс",P1020/Q1020)</f>
        <v/>
      </c>
      <c r="S1020" s="196">
        <f>IF(AND(ISNUMBER(E1020),ISNUMBER(Q1020)),E1020*R1020,0)</f>
        <v/>
      </c>
      <c r="T1020" s="192">
        <f>$BC1020*V$11</f>
        <v/>
      </c>
      <c r="U1020" s="76">
        <f>$BC1020*W$11</f>
        <v/>
      </c>
      <c r="V1020" s="193">
        <f>+SUM(T1020:U1020)</f>
        <v/>
      </c>
      <c r="W1020" s="191" t="n"/>
      <c r="X1020" s="170" t="n"/>
      <c r="Y1020" s="76">
        <f>ROUND(IF(offer_incoterms="DDP",X1020*(S1020*(1+AW1020)+T1020),0),2)</f>
        <v/>
      </c>
      <c r="Z1020" s="188" t="n"/>
      <c r="AA1020" s="192">
        <f>IFERROR(AB1020/E1020,0)</f>
        <v/>
      </c>
      <c r="AB1020" s="76">
        <f>ROUND(SUM(S1020,V1020,Y1020:Z1020,BA1020:BB1020),2)</f>
        <v/>
      </c>
      <c r="AC1020" s="797" t="n"/>
      <c r="AD1020" s="192">
        <f t="array" ref="AD1020">IFERROR(ROUND((_xlfn.IFS(offer_sale_type="поставка",AB1020,offer_sale_type="транзит",S1020)*(1+AC1020))/E1020,2),0)</f>
        <v/>
      </c>
      <c r="AE1020" s="76">
        <f>AD1020*E1020</f>
        <v/>
      </c>
      <c r="AF1020" s="193">
        <f t="array" ref="AF1020">IFERROR(ROUND(_xlfn.IFS(offer_sale_type="поставка",AB1020,offer_sale_type="транзит",S1020)*AC1020,2),0)</f>
        <v/>
      </c>
      <c r="AG1020" s="192">
        <f>$BD1020*VLOOKUP($AG$3,$AF$4:$AG$7,2,FALSE)</f>
        <v/>
      </c>
      <c r="AH1020" s="76">
        <f>SUM(AE1020,AG1020,AI1020)*rate_forex_risk</f>
        <v/>
      </c>
      <c r="AI1020" s="193">
        <f>IF(OR(seller_region="TR",offer_sale_type="экспорт"),0,rate_fin_comm)*SUM(AZ1020,AZ1020*AW1020,T1020)</f>
        <v/>
      </c>
      <c r="AJ1020" s="118">
        <f>IFERROR(ROUND(SUM(AB1020,AF1020:AI1020)/E1020,2),0)</f>
        <v/>
      </c>
      <c r="AK1020" s="76">
        <f>AJ1020*E1020</f>
        <v/>
      </c>
      <c r="AL1020" s="174">
        <f>ROUND(IFERROR(AM1020*E1020,0),2)</f>
        <v/>
      </c>
      <c r="AM1020" s="175">
        <f>ROUND(AJ1020*(1+IF(offer_incoterms="DDP",IF((TODAY()+offer_turnaround_time)&gt;=helpsheet!$L$17,rate_vatRU_from_26,rate_vatRu_till_25),0)),2)</f>
        <v/>
      </c>
      <c r="AN1020" s="192">
        <f>AL1020-AK1020</f>
        <v/>
      </c>
      <c r="AO1020" s="76">
        <f>SUM(AY1020,Y1020:Z1020,T1020)*IF(AND(offer_incoterms="DDP",offer_sale_type&lt;&gt;"экспорт"),IF((TODAY()+offer_turnaround_time)&gt;=helpsheet!$L$17,rate_vatRU_from_26,rate_vatRu_till_25),0)</f>
        <v/>
      </c>
      <c r="AP1020" s="193">
        <f>AN1020-AO1020</f>
        <v/>
      </c>
      <c r="AQ1020" s="118">
        <f>IF(offer_sale_type="транзит",SUM(AF1020:AI1020,BA1020,BB1020),0)</f>
        <v/>
      </c>
      <c r="AR1020" s="82">
        <f>HYPERLINK("https://www.alta.ru/tnved/code/")&amp;W1020&amp;"/"</f>
        <v/>
      </c>
      <c r="AS1020" s="157" t="n"/>
      <c r="AT1020" s="162" t="n"/>
      <c r="AU1020" s="76">
        <f>IF(ISBLANK(AT1020),0,AJ1020-AT1020)</f>
        <v/>
      </c>
      <c r="AV1020" s="157" t="n"/>
      <c r="AW1020" s="75">
        <f>_xlfn.IFNA(VLOOKUP(L1020,list_vat[],3,FALSE),0)</f>
        <v/>
      </c>
      <c r="AX1020" s="76">
        <f>IFERROR(ROUND(S1020*(1+AW1020)/E1020,2),0)</f>
        <v/>
      </c>
      <c r="AY1020" s="76">
        <f>E1020*AX1020</f>
        <v/>
      </c>
      <c r="AZ1020" s="192">
        <f>S1020*(1+M1020)</f>
        <v/>
      </c>
      <c r="BA1020" s="76">
        <f>cost_fin_total*$BD1020</f>
        <v/>
      </c>
      <c r="BB1020" s="193">
        <f>credit_sales_interest*BD1020</f>
        <v/>
      </c>
      <c r="BC1020" s="102">
        <f>IFERROR(IF($I$13&gt;0,$I1020/$I$13,$S1020/$S$13),0)</f>
        <v/>
      </c>
      <c r="BD1020" s="102">
        <f>IFERROR($S1020/$S$13,0)</f>
        <v/>
      </c>
      <c r="BE1020" s="413" t="inlineStr">
        <is>
          <t>$</t>
        </is>
      </c>
    </row>
    <row r="1021" ht="12" customFormat="1" customHeight="1" s="65">
      <c r="A1021" s="43" t="n">
        <v>1006</v>
      </c>
      <c r="B1021" s="166" t="n"/>
      <c r="C1021" s="166" t="n"/>
      <c r="D1021" s="166" t="n"/>
      <c r="E1021" s="162" t="n"/>
      <c r="F1021" s="166" t="n"/>
      <c r="G1021" s="162" t="n"/>
      <c r="H1021" s="162" t="n"/>
      <c r="I1021" s="189">
        <f>E1021*G1021</f>
        <v/>
      </c>
      <c r="J1021" s="195" t="n"/>
      <c r="K1021" s="162" t="n"/>
      <c r="L1021" s="168" t="n"/>
      <c r="M1021" s="75">
        <f>_xlfn.XLOOKUP(L1021,list_vat[Страна],list_vat[Ставка НДС %],0,0)</f>
        <v/>
      </c>
      <c r="N1021" s="162">
        <f>IFERROR(IF(L1021="Китай",K1021,K1021/(1+M1021)),0)</f>
        <v/>
      </c>
      <c r="O1021" s="169" t="n"/>
      <c r="P1021" s="76">
        <f>N1021*(1-O1021)</f>
        <v/>
      </c>
      <c r="Q1021" s="162" t="n"/>
      <c r="R1021" s="162">
        <f>IF(ISBLANK(Q1021),"введи курс",P1021/Q1021)</f>
        <v/>
      </c>
      <c r="S1021" s="196">
        <f>IF(AND(ISNUMBER(E1021),ISNUMBER(Q1021)),E1021*R1021,0)</f>
        <v/>
      </c>
      <c r="T1021" s="192">
        <f>$BC1021*V$11</f>
        <v/>
      </c>
      <c r="U1021" s="76">
        <f>$BC1021*W$11</f>
        <v/>
      </c>
      <c r="V1021" s="193">
        <f>+SUM(T1021:U1021)</f>
        <v/>
      </c>
      <c r="W1021" s="191" t="n"/>
      <c r="X1021" s="170" t="n"/>
      <c r="Y1021" s="76">
        <f>ROUND(IF(offer_incoterms="DDP",X1021*(S1021*(1+AW1021)+T1021),0),2)</f>
        <v/>
      </c>
      <c r="Z1021" s="188" t="n"/>
      <c r="AA1021" s="192">
        <f>IFERROR(AB1021/E1021,0)</f>
        <v/>
      </c>
      <c r="AB1021" s="76">
        <f>ROUND(SUM(S1021,V1021,Y1021:Z1021,BA1021:BB1021),2)</f>
        <v/>
      </c>
      <c r="AC1021" s="797" t="n"/>
      <c r="AD1021" s="192">
        <f t="array" ref="AD1021">IFERROR(ROUND((_xlfn.IFS(offer_sale_type="поставка",AB1021,offer_sale_type="транзит",S1021)*(1+AC1021))/E1021,2),0)</f>
        <v/>
      </c>
      <c r="AE1021" s="76">
        <f>AD1021*E1021</f>
        <v/>
      </c>
      <c r="AF1021" s="193">
        <f t="array" ref="AF1021">IFERROR(ROUND(_xlfn.IFS(offer_sale_type="поставка",AB1021,offer_sale_type="транзит",S1021)*AC1021,2),0)</f>
        <v/>
      </c>
      <c r="AG1021" s="192">
        <f>$BD1021*VLOOKUP($AG$3,$AF$4:$AG$7,2,FALSE)</f>
        <v/>
      </c>
      <c r="AH1021" s="76">
        <f>SUM(AE1021,AG1021,AI1021)*rate_forex_risk</f>
        <v/>
      </c>
      <c r="AI1021" s="193">
        <f>IF(OR(seller_region="TR",offer_sale_type="экспорт"),0,rate_fin_comm)*SUM(AZ1021,AZ1021*AW1021,T1021)</f>
        <v/>
      </c>
      <c r="AJ1021" s="118">
        <f>IFERROR(ROUND(SUM(AB1021,AF1021:AI1021)/E1021,2),0)</f>
        <v/>
      </c>
      <c r="AK1021" s="76">
        <f>AJ1021*E1021</f>
        <v/>
      </c>
      <c r="AL1021" s="174">
        <f>ROUND(IFERROR(AM1021*E1021,0),2)</f>
        <v/>
      </c>
      <c r="AM1021" s="175">
        <f>ROUND(AJ1021*(1+IF(offer_incoterms="DDP",IF((TODAY()+offer_turnaround_time)&gt;=helpsheet!$L$17,rate_vatRU_from_26,rate_vatRu_till_25),0)),2)</f>
        <v/>
      </c>
      <c r="AN1021" s="192">
        <f>AL1021-AK1021</f>
        <v/>
      </c>
      <c r="AO1021" s="76">
        <f>SUM(AY1021,Y1021:Z1021,T1021)*IF(AND(offer_incoterms="DDP",offer_sale_type&lt;&gt;"экспорт"),IF((TODAY()+offer_turnaround_time)&gt;=helpsheet!$L$17,rate_vatRU_from_26,rate_vatRu_till_25),0)</f>
        <v/>
      </c>
      <c r="AP1021" s="193">
        <f>AN1021-AO1021</f>
        <v/>
      </c>
      <c r="AQ1021" s="118">
        <f>IF(offer_sale_type="транзит",SUM(AF1021:AI1021,BA1021,BB1021),0)</f>
        <v/>
      </c>
      <c r="AR1021" s="82">
        <f>HYPERLINK("https://www.alta.ru/tnved/code/")&amp;W1021&amp;"/"</f>
        <v/>
      </c>
      <c r="AS1021" s="157" t="n"/>
      <c r="AT1021" s="162" t="n"/>
      <c r="AU1021" s="76">
        <f>IF(ISBLANK(AT1021),0,AJ1021-AT1021)</f>
        <v/>
      </c>
      <c r="AV1021" s="157" t="n"/>
      <c r="AW1021" s="75">
        <f>_xlfn.IFNA(VLOOKUP(L1021,list_vat[],3,FALSE),0)</f>
        <v/>
      </c>
      <c r="AX1021" s="76">
        <f>IFERROR(ROUND(S1021*(1+AW1021)/E1021,2),0)</f>
        <v/>
      </c>
      <c r="AY1021" s="76">
        <f>E1021*AX1021</f>
        <v/>
      </c>
      <c r="AZ1021" s="192">
        <f>S1021*(1+M1021)</f>
        <v/>
      </c>
      <c r="BA1021" s="76">
        <f>cost_fin_total*$BD1021</f>
        <v/>
      </c>
      <c r="BB1021" s="193">
        <f>credit_sales_interest*BD1021</f>
        <v/>
      </c>
      <c r="BC1021" s="102">
        <f>IFERROR(IF($I$13&gt;0,$I1021/$I$13,$S1021/$S$13),0)</f>
        <v/>
      </c>
      <c r="BD1021" s="102">
        <f>IFERROR($S1021/$S$13,0)</f>
        <v/>
      </c>
      <c r="BE1021" s="413" t="inlineStr">
        <is>
          <t>$</t>
        </is>
      </c>
    </row>
    <row r="1022" ht="12" customFormat="1" customHeight="1" s="65">
      <c r="A1022" s="43" t="n">
        <v>1007</v>
      </c>
      <c r="B1022" s="166" t="n"/>
      <c r="C1022" s="166" t="n"/>
      <c r="D1022" s="166" t="n"/>
      <c r="E1022" s="162" t="n"/>
      <c r="F1022" s="166" t="n"/>
      <c r="G1022" s="162" t="n"/>
      <c r="H1022" s="162" t="n"/>
      <c r="I1022" s="189">
        <f>E1022*G1022</f>
        <v/>
      </c>
      <c r="J1022" s="195" t="n"/>
      <c r="K1022" s="162" t="n"/>
      <c r="L1022" s="168" t="n"/>
      <c r="M1022" s="75">
        <f>_xlfn.XLOOKUP(L1022,list_vat[Страна],list_vat[Ставка НДС %],0,0)</f>
        <v/>
      </c>
      <c r="N1022" s="162">
        <f>IFERROR(IF(L1022="Китай",K1022,K1022/(1+M1022)),0)</f>
        <v/>
      </c>
      <c r="O1022" s="169" t="n"/>
      <c r="P1022" s="76">
        <f>N1022*(1-O1022)</f>
        <v/>
      </c>
      <c r="Q1022" s="162" t="n"/>
      <c r="R1022" s="162">
        <f>IF(ISBLANK(Q1022),"введи курс",P1022/Q1022)</f>
        <v/>
      </c>
      <c r="S1022" s="196">
        <f>IF(AND(ISNUMBER(E1022),ISNUMBER(Q1022)),E1022*R1022,0)</f>
        <v/>
      </c>
      <c r="T1022" s="192">
        <f>$BC1022*V$11</f>
        <v/>
      </c>
      <c r="U1022" s="76">
        <f>$BC1022*W$11</f>
        <v/>
      </c>
      <c r="V1022" s="193">
        <f>+SUM(T1022:U1022)</f>
        <v/>
      </c>
      <c r="W1022" s="191" t="n"/>
      <c r="X1022" s="170" t="n"/>
      <c r="Y1022" s="76">
        <f>ROUND(IF(offer_incoterms="DDP",X1022*(S1022*(1+AW1022)+T1022),0),2)</f>
        <v/>
      </c>
      <c r="Z1022" s="188" t="n"/>
      <c r="AA1022" s="192">
        <f>IFERROR(AB1022/E1022,0)</f>
        <v/>
      </c>
      <c r="AB1022" s="76">
        <f>ROUND(SUM(S1022,V1022,Y1022:Z1022,BA1022:BB1022),2)</f>
        <v/>
      </c>
      <c r="AC1022" s="797" t="n"/>
      <c r="AD1022" s="192">
        <f t="array" ref="AD1022">IFERROR(ROUND((_xlfn.IFS(offer_sale_type="поставка",AB1022,offer_sale_type="транзит",S1022)*(1+AC1022))/E1022,2),0)</f>
        <v/>
      </c>
      <c r="AE1022" s="76">
        <f>AD1022*E1022</f>
        <v/>
      </c>
      <c r="AF1022" s="193">
        <f t="array" ref="AF1022">IFERROR(ROUND(_xlfn.IFS(offer_sale_type="поставка",AB1022,offer_sale_type="транзит",S1022)*AC1022,2),0)</f>
        <v/>
      </c>
      <c r="AG1022" s="192">
        <f>$BD1022*VLOOKUP($AG$3,$AF$4:$AG$7,2,FALSE)</f>
        <v/>
      </c>
      <c r="AH1022" s="76">
        <f>SUM(AE1022,AG1022,AI1022)*rate_forex_risk</f>
        <v/>
      </c>
      <c r="AI1022" s="193">
        <f>IF(OR(seller_region="TR",offer_sale_type="экспорт"),0,rate_fin_comm)*SUM(AZ1022,AZ1022*AW1022,T1022)</f>
        <v/>
      </c>
      <c r="AJ1022" s="118">
        <f>IFERROR(ROUND(SUM(AB1022,AF1022:AI1022)/E1022,2),0)</f>
        <v/>
      </c>
      <c r="AK1022" s="76">
        <f>AJ1022*E1022</f>
        <v/>
      </c>
      <c r="AL1022" s="174">
        <f>ROUND(IFERROR(AM1022*E1022,0),2)</f>
        <v/>
      </c>
      <c r="AM1022" s="175">
        <f>ROUND(AJ1022*(1+IF(offer_incoterms="DDP",IF((TODAY()+offer_turnaround_time)&gt;=helpsheet!$L$17,rate_vatRU_from_26,rate_vatRu_till_25),0)),2)</f>
        <v/>
      </c>
      <c r="AN1022" s="192">
        <f>AL1022-AK1022</f>
        <v/>
      </c>
      <c r="AO1022" s="76">
        <f>SUM(AY1022,Y1022:Z1022,T1022)*IF(AND(offer_incoterms="DDP",offer_sale_type&lt;&gt;"экспорт"),IF((TODAY()+offer_turnaround_time)&gt;=helpsheet!$L$17,rate_vatRU_from_26,rate_vatRu_till_25),0)</f>
        <v/>
      </c>
      <c r="AP1022" s="193">
        <f>AN1022-AO1022</f>
        <v/>
      </c>
      <c r="AQ1022" s="118">
        <f>IF(offer_sale_type="транзит",SUM(AF1022:AI1022,BA1022,BB1022),0)</f>
        <v/>
      </c>
      <c r="AR1022" s="82">
        <f>HYPERLINK("https://www.alta.ru/tnved/code/")&amp;W1022&amp;"/"</f>
        <v/>
      </c>
      <c r="AS1022" s="157" t="n"/>
      <c r="AT1022" s="162" t="n"/>
      <c r="AU1022" s="76">
        <f>IF(ISBLANK(AT1022),0,AJ1022-AT1022)</f>
        <v/>
      </c>
      <c r="AV1022" s="157" t="n"/>
      <c r="AW1022" s="75">
        <f>_xlfn.IFNA(VLOOKUP(L1022,list_vat[],3,FALSE),0)</f>
        <v/>
      </c>
      <c r="AX1022" s="76">
        <f>IFERROR(ROUND(S1022*(1+AW1022)/E1022,2),0)</f>
        <v/>
      </c>
      <c r="AY1022" s="76">
        <f>E1022*AX1022</f>
        <v/>
      </c>
      <c r="AZ1022" s="192">
        <f>S1022*(1+M1022)</f>
        <v/>
      </c>
      <c r="BA1022" s="76">
        <f>cost_fin_total*$BD1022</f>
        <v/>
      </c>
      <c r="BB1022" s="193">
        <f>credit_sales_interest*BD1022</f>
        <v/>
      </c>
      <c r="BC1022" s="102">
        <f>IFERROR(IF($I$13&gt;0,$I1022/$I$13,$S1022/$S$13),0)</f>
        <v/>
      </c>
      <c r="BD1022" s="102">
        <f>IFERROR($S1022/$S$13,0)</f>
        <v/>
      </c>
      <c r="BE1022" s="413" t="inlineStr">
        <is>
          <t>$</t>
        </is>
      </c>
    </row>
    <row r="1023" ht="12" customFormat="1" customHeight="1" s="65">
      <c r="A1023" s="43" t="n">
        <v>1008</v>
      </c>
      <c r="B1023" s="166" t="n"/>
      <c r="C1023" s="166" t="n"/>
      <c r="D1023" s="166" t="n"/>
      <c r="E1023" s="162" t="n"/>
      <c r="F1023" s="166" t="n"/>
      <c r="G1023" s="162" t="n"/>
      <c r="H1023" s="162" t="n"/>
      <c r="I1023" s="189">
        <f>E1023*G1023</f>
        <v/>
      </c>
      <c r="J1023" s="195" t="n"/>
      <c r="K1023" s="162" t="n"/>
      <c r="L1023" s="168" t="n"/>
      <c r="M1023" s="75">
        <f>_xlfn.XLOOKUP(L1023,list_vat[Страна],list_vat[Ставка НДС %],0,0)</f>
        <v/>
      </c>
      <c r="N1023" s="162">
        <f>IFERROR(IF(L1023="Китай",K1023,K1023/(1+M1023)),0)</f>
        <v/>
      </c>
      <c r="O1023" s="169" t="n"/>
      <c r="P1023" s="76">
        <f>N1023*(1-O1023)</f>
        <v/>
      </c>
      <c r="Q1023" s="162" t="n"/>
      <c r="R1023" s="162">
        <f>IF(ISBLANK(Q1023),"введи курс",P1023/Q1023)</f>
        <v/>
      </c>
      <c r="S1023" s="196">
        <f>IF(AND(ISNUMBER(E1023),ISNUMBER(Q1023)),E1023*R1023,0)</f>
        <v/>
      </c>
      <c r="T1023" s="192">
        <f>$BC1023*V$11</f>
        <v/>
      </c>
      <c r="U1023" s="76">
        <f>$BC1023*W$11</f>
        <v/>
      </c>
      <c r="V1023" s="193">
        <f>+SUM(T1023:U1023)</f>
        <v/>
      </c>
      <c r="W1023" s="191" t="n"/>
      <c r="X1023" s="170" t="n"/>
      <c r="Y1023" s="76">
        <f>ROUND(IF(offer_incoterms="DDP",X1023*(S1023*(1+AW1023)+T1023),0),2)</f>
        <v/>
      </c>
      <c r="Z1023" s="188" t="n"/>
      <c r="AA1023" s="192">
        <f>IFERROR(AB1023/E1023,0)</f>
        <v/>
      </c>
      <c r="AB1023" s="76">
        <f>ROUND(SUM(S1023,V1023,Y1023:Z1023,BA1023:BB1023),2)</f>
        <v/>
      </c>
      <c r="AC1023" s="797" t="n"/>
      <c r="AD1023" s="192">
        <f t="array" ref="AD1023">IFERROR(ROUND((_xlfn.IFS(offer_sale_type="поставка",AB1023,offer_sale_type="транзит",S1023)*(1+AC1023))/E1023,2),0)</f>
        <v/>
      </c>
      <c r="AE1023" s="76">
        <f>AD1023*E1023</f>
        <v/>
      </c>
      <c r="AF1023" s="193">
        <f t="array" ref="AF1023">IFERROR(ROUND(_xlfn.IFS(offer_sale_type="поставка",AB1023,offer_sale_type="транзит",S1023)*AC1023,2),0)</f>
        <v/>
      </c>
      <c r="AG1023" s="192">
        <f>$BD1023*VLOOKUP($AG$3,$AF$4:$AG$7,2,FALSE)</f>
        <v/>
      </c>
      <c r="AH1023" s="76">
        <f>SUM(AE1023,AG1023,AI1023)*rate_forex_risk</f>
        <v/>
      </c>
      <c r="AI1023" s="193">
        <f>IF(OR(seller_region="TR",offer_sale_type="экспорт"),0,rate_fin_comm)*SUM(AZ1023,AZ1023*AW1023,T1023)</f>
        <v/>
      </c>
      <c r="AJ1023" s="118">
        <f>IFERROR(ROUND(SUM(AB1023,AF1023:AI1023)/E1023,2),0)</f>
        <v/>
      </c>
      <c r="AK1023" s="76">
        <f>AJ1023*E1023</f>
        <v/>
      </c>
      <c r="AL1023" s="174">
        <f>ROUND(IFERROR(AM1023*E1023,0),2)</f>
        <v/>
      </c>
      <c r="AM1023" s="175">
        <f>ROUND(AJ1023*(1+IF(offer_incoterms="DDP",IF((TODAY()+offer_turnaround_time)&gt;=helpsheet!$L$17,rate_vatRU_from_26,rate_vatRu_till_25),0)),2)</f>
        <v/>
      </c>
      <c r="AN1023" s="192">
        <f>AL1023-AK1023</f>
        <v/>
      </c>
      <c r="AO1023" s="76">
        <f>SUM(AY1023,Y1023:Z1023,T1023)*IF(AND(offer_incoterms="DDP",offer_sale_type&lt;&gt;"экспорт"),IF((TODAY()+offer_turnaround_time)&gt;=helpsheet!$L$17,rate_vatRU_from_26,rate_vatRu_till_25),0)</f>
        <v/>
      </c>
      <c r="AP1023" s="193">
        <f>AN1023-AO1023</f>
        <v/>
      </c>
      <c r="AQ1023" s="118">
        <f>IF(offer_sale_type="транзит",SUM(AF1023:AI1023,BA1023,BB1023),0)</f>
        <v/>
      </c>
      <c r="AR1023" s="82">
        <f>HYPERLINK("https://www.alta.ru/tnved/code/")&amp;W1023&amp;"/"</f>
        <v/>
      </c>
      <c r="AS1023" s="157" t="n"/>
      <c r="AT1023" s="162" t="n"/>
      <c r="AU1023" s="76">
        <f>IF(ISBLANK(AT1023),0,AJ1023-AT1023)</f>
        <v/>
      </c>
      <c r="AV1023" s="157" t="n"/>
      <c r="AW1023" s="75">
        <f>_xlfn.IFNA(VLOOKUP(L1023,list_vat[],3,FALSE),0)</f>
        <v/>
      </c>
      <c r="AX1023" s="76">
        <f>IFERROR(ROUND(S1023*(1+AW1023)/E1023,2),0)</f>
        <v/>
      </c>
      <c r="AY1023" s="76">
        <f>E1023*AX1023</f>
        <v/>
      </c>
      <c r="AZ1023" s="192">
        <f>S1023*(1+M1023)</f>
        <v/>
      </c>
      <c r="BA1023" s="76">
        <f>cost_fin_total*$BD1023</f>
        <v/>
      </c>
      <c r="BB1023" s="193">
        <f>credit_sales_interest*BD1023</f>
        <v/>
      </c>
      <c r="BC1023" s="102">
        <f>IFERROR(IF($I$13&gt;0,$I1023/$I$13,$S1023/$S$13),0)</f>
        <v/>
      </c>
      <c r="BD1023" s="102">
        <f>IFERROR($S1023/$S$13,0)</f>
        <v/>
      </c>
      <c r="BE1023" s="413" t="inlineStr">
        <is>
          <t>$</t>
        </is>
      </c>
    </row>
    <row r="1024" ht="12" customFormat="1" customHeight="1" s="65">
      <c r="A1024" s="43" t="n">
        <v>1009</v>
      </c>
      <c r="B1024" s="166" t="n"/>
      <c r="C1024" s="166" t="n"/>
      <c r="D1024" s="166" t="n"/>
      <c r="E1024" s="162" t="n"/>
      <c r="F1024" s="166" t="n"/>
      <c r="G1024" s="162" t="n"/>
      <c r="H1024" s="162" t="n"/>
      <c r="I1024" s="189">
        <f>E1024*G1024</f>
        <v/>
      </c>
      <c r="J1024" s="195" t="n"/>
      <c r="K1024" s="162" t="n"/>
      <c r="L1024" s="168" t="n"/>
      <c r="M1024" s="75">
        <f>_xlfn.XLOOKUP(L1024,list_vat[Страна],list_vat[Ставка НДС %],0,0)</f>
        <v/>
      </c>
      <c r="N1024" s="162">
        <f>IFERROR(IF(L1024="Китай",K1024,K1024/(1+M1024)),0)</f>
        <v/>
      </c>
      <c r="O1024" s="169" t="n"/>
      <c r="P1024" s="76">
        <f>N1024*(1-O1024)</f>
        <v/>
      </c>
      <c r="Q1024" s="162" t="n"/>
      <c r="R1024" s="162">
        <f>IF(ISBLANK(Q1024),"введи курс",P1024/Q1024)</f>
        <v/>
      </c>
      <c r="S1024" s="196">
        <f>IF(AND(ISNUMBER(E1024),ISNUMBER(Q1024)),E1024*R1024,0)</f>
        <v/>
      </c>
      <c r="T1024" s="192">
        <f>$BC1024*V$11</f>
        <v/>
      </c>
      <c r="U1024" s="76">
        <f>$BC1024*W$11</f>
        <v/>
      </c>
      <c r="V1024" s="193">
        <f>+SUM(T1024:U1024)</f>
        <v/>
      </c>
      <c r="W1024" s="191" t="n"/>
      <c r="X1024" s="170" t="n"/>
      <c r="Y1024" s="76">
        <f>ROUND(IF(offer_incoterms="DDP",X1024*(S1024*(1+AW1024)+T1024),0),2)</f>
        <v/>
      </c>
      <c r="Z1024" s="188" t="n"/>
      <c r="AA1024" s="192">
        <f>IFERROR(AB1024/E1024,0)</f>
        <v/>
      </c>
      <c r="AB1024" s="76">
        <f>ROUND(SUM(S1024,V1024,Y1024:Z1024,BA1024:BB1024),2)</f>
        <v/>
      </c>
      <c r="AC1024" s="797" t="n"/>
      <c r="AD1024" s="192">
        <f t="array" ref="AD1024">IFERROR(ROUND((_xlfn.IFS(offer_sale_type="поставка",AB1024,offer_sale_type="транзит",S1024)*(1+AC1024))/E1024,2),0)</f>
        <v/>
      </c>
      <c r="AE1024" s="76">
        <f>AD1024*E1024</f>
        <v/>
      </c>
      <c r="AF1024" s="193">
        <f t="array" ref="AF1024">IFERROR(ROUND(_xlfn.IFS(offer_sale_type="поставка",AB1024,offer_sale_type="транзит",S1024)*AC1024,2),0)</f>
        <v/>
      </c>
      <c r="AG1024" s="192">
        <f>$BD1024*VLOOKUP($AG$3,$AF$4:$AG$7,2,FALSE)</f>
        <v/>
      </c>
      <c r="AH1024" s="76">
        <f>SUM(AE1024,AG1024,AI1024)*rate_forex_risk</f>
        <v/>
      </c>
      <c r="AI1024" s="193">
        <f>IF(OR(seller_region="TR",offer_sale_type="экспорт"),0,rate_fin_comm)*SUM(AZ1024,AZ1024*AW1024,T1024)</f>
        <v/>
      </c>
      <c r="AJ1024" s="118">
        <f>IFERROR(ROUND(SUM(AB1024,AF1024:AI1024)/E1024,2),0)</f>
        <v/>
      </c>
      <c r="AK1024" s="76">
        <f>AJ1024*E1024</f>
        <v/>
      </c>
      <c r="AL1024" s="174">
        <f>ROUND(IFERROR(AM1024*E1024,0),2)</f>
        <v/>
      </c>
      <c r="AM1024" s="175">
        <f>ROUND(AJ1024*(1+IF(offer_incoterms="DDP",IF((TODAY()+offer_turnaround_time)&gt;=helpsheet!$L$17,rate_vatRU_from_26,rate_vatRu_till_25),0)),2)</f>
        <v/>
      </c>
      <c r="AN1024" s="192">
        <f>AL1024-AK1024</f>
        <v/>
      </c>
      <c r="AO1024" s="76">
        <f>SUM(AY1024,Y1024:Z1024,T1024)*IF(AND(offer_incoterms="DDP",offer_sale_type&lt;&gt;"экспорт"),IF((TODAY()+offer_turnaround_time)&gt;=helpsheet!$L$17,rate_vatRU_from_26,rate_vatRu_till_25),0)</f>
        <v/>
      </c>
      <c r="AP1024" s="193">
        <f>AN1024-AO1024</f>
        <v/>
      </c>
      <c r="AQ1024" s="118">
        <f>IF(offer_sale_type="транзит",SUM(AF1024:AI1024,BA1024,BB1024),0)</f>
        <v/>
      </c>
      <c r="AR1024" s="82">
        <f>HYPERLINK("https://www.alta.ru/tnved/code/")&amp;W1024&amp;"/"</f>
        <v/>
      </c>
      <c r="AS1024" s="157" t="n"/>
      <c r="AT1024" s="162" t="n"/>
      <c r="AU1024" s="76">
        <f>IF(ISBLANK(AT1024),0,AJ1024-AT1024)</f>
        <v/>
      </c>
      <c r="AV1024" s="157" t="n"/>
      <c r="AW1024" s="75">
        <f>_xlfn.IFNA(VLOOKUP(L1024,list_vat[],3,FALSE),0)</f>
        <v/>
      </c>
      <c r="AX1024" s="76">
        <f>IFERROR(ROUND(S1024*(1+AW1024)/E1024,2),0)</f>
        <v/>
      </c>
      <c r="AY1024" s="76">
        <f>E1024*AX1024</f>
        <v/>
      </c>
      <c r="AZ1024" s="192">
        <f>S1024*(1+M1024)</f>
        <v/>
      </c>
      <c r="BA1024" s="76">
        <f>cost_fin_total*$BD1024</f>
        <v/>
      </c>
      <c r="BB1024" s="193">
        <f>credit_sales_interest*BD1024</f>
        <v/>
      </c>
      <c r="BC1024" s="102">
        <f>IFERROR(IF($I$13&gt;0,$I1024/$I$13,$S1024/$S$13),0)</f>
        <v/>
      </c>
      <c r="BD1024" s="102">
        <f>IFERROR($S1024/$S$13,0)</f>
        <v/>
      </c>
      <c r="BE1024" s="413" t="inlineStr">
        <is>
          <t>$</t>
        </is>
      </c>
    </row>
    <row r="1025" ht="12" customFormat="1" customHeight="1" s="65">
      <c r="A1025" s="43" t="n">
        <v>1010</v>
      </c>
      <c r="B1025" s="166" t="n"/>
      <c r="C1025" s="166" t="n"/>
      <c r="D1025" s="166" t="n"/>
      <c r="E1025" s="162" t="n"/>
      <c r="F1025" s="166" t="n"/>
      <c r="G1025" s="162" t="n"/>
      <c r="H1025" s="162" t="n"/>
      <c r="I1025" s="189">
        <f>E1025*G1025</f>
        <v/>
      </c>
      <c r="J1025" s="195" t="n"/>
      <c r="K1025" s="162" t="n"/>
      <c r="L1025" s="168" t="n"/>
      <c r="M1025" s="75">
        <f>_xlfn.XLOOKUP(L1025,list_vat[Страна],list_vat[Ставка НДС %],0,0)</f>
        <v/>
      </c>
      <c r="N1025" s="162">
        <f>IFERROR(IF(L1025="Китай",K1025,K1025/(1+M1025)),0)</f>
        <v/>
      </c>
      <c r="O1025" s="169" t="n"/>
      <c r="P1025" s="76">
        <f>N1025*(1-O1025)</f>
        <v/>
      </c>
      <c r="Q1025" s="162" t="n"/>
      <c r="R1025" s="162">
        <f>IF(ISBLANK(Q1025),"введи курс",P1025/Q1025)</f>
        <v/>
      </c>
      <c r="S1025" s="196">
        <f>IF(AND(ISNUMBER(E1025),ISNUMBER(Q1025)),E1025*R1025,0)</f>
        <v/>
      </c>
      <c r="T1025" s="192">
        <f>$BC1025*V$11</f>
        <v/>
      </c>
      <c r="U1025" s="76">
        <f>$BC1025*W$11</f>
        <v/>
      </c>
      <c r="V1025" s="193">
        <f>+SUM(T1025:U1025)</f>
        <v/>
      </c>
      <c r="W1025" s="191" t="n"/>
      <c r="X1025" s="170" t="n"/>
      <c r="Y1025" s="76">
        <f>ROUND(IF(offer_incoterms="DDP",X1025*(S1025*(1+AW1025)+T1025),0),2)</f>
        <v/>
      </c>
      <c r="Z1025" s="188" t="n"/>
      <c r="AA1025" s="192">
        <f>IFERROR(AB1025/E1025,0)</f>
        <v/>
      </c>
      <c r="AB1025" s="76">
        <f>ROUND(SUM(S1025,V1025,Y1025:Z1025,BA1025:BB1025),2)</f>
        <v/>
      </c>
      <c r="AC1025" s="797" t="n"/>
      <c r="AD1025" s="192">
        <f t="array" ref="AD1025">IFERROR(ROUND((_xlfn.IFS(offer_sale_type="поставка",AB1025,offer_sale_type="транзит",S1025)*(1+AC1025))/E1025,2),0)</f>
        <v/>
      </c>
      <c r="AE1025" s="76">
        <f>AD1025*E1025</f>
        <v/>
      </c>
      <c r="AF1025" s="193">
        <f t="array" ref="AF1025">IFERROR(ROUND(_xlfn.IFS(offer_sale_type="поставка",AB1025,offer_sale_type="транзит",S1025)*AC1025,2),0)</f>
        <v/>
      </c>
      <c r="AG1025" s="192">
        <f>$BD1025*VLOOKUP($AG$3,$AF$4:$AG$7,2,FALSE)</f>
        <v/>
      </c>
      <c r="AH1025" s="76">
        <f>SUM(AE1025,AG1025,AI1025)*rate_forex_risk</f>
        <v/>
      </c>
      <c r="AI1025" s="193">
        <f>IF(OR(seller_region="TR",offer_sale_type="экспорт"),0,rate_fin_comm)*SUM(AZ1025,AZ1025*AW1025,T1025)</f>
        <v/>
      </c>
      <c r="AJ1025" s="118">
        <f>IFERROR(ROUND(SUM(AB1025,AF1025:AI1025)/E1025,2),0)</f>
        <v/>
      </c>
      <c r="AK1025" s="76">
        <f>AJ1025*E1025</f>
        <v/>
      </c>
      <c r="AL1025" s="174">
        <f>ROUND(IFERROR(AM1025*E1025,0),2)</f>
        <v/>
      </c>
      <c r="AM1025" s="175">
        <f>ROUND(AJ1025*(1+IF(offer_incoterms="DDP",IF((TODAY()+offer_turnaround_time)&gt;=helpsheet!$L$17,rate_vatRU_from_26,rate_vatRu_till_25),0)),2)</f>
        <v/>
      </c>
      <c r="AN1025" s="192">
        <f>AL1025-AK1025</f>
        <v/>
      </c>
      <c r="AO1025" s="76">
        <f>SUM(AY1025,Y1025:Z1025,T1025)*IF(AND(offer_incoterms="DDP",offer_sale_type&lt;&gt;"экспорт"),IF((TODAY()+offer_turnaround_time)&gt;=helpsheet!$L$17,rate_vatRU_from_26,rate_vatRu_till_25),0)</f>
        <v/>
      </c>
      <c r="AP1025" s="193">
        <f>AN1025-AO1025</f>
        <v/>
      </c>
      <c r="AQ1025" s="118">
        <f>IF(offer_sale_type="транзит",SUM(AF1025:AI1025,BA1025,BB1025),0)</f>
        <v/>
      </c>
      <c r="AR1025" s="82">
        <f>HYPERLINK("https://www.alta.ru/tnved/code/")&amp;W1025&amp;"/"</f>
        <v/>
      </c>
      <c r="AS1025" s="157" t="n"/>
      <c r="AT1025" s="162" t="n"/>
      <c r="AU1025" s="76">
        <f>IF(ISBLANK(AT1025),0,AJ1025-AT1025)</f>
        <v/>
      </c>
      <c r="AV1025" s="157" t="n"/>
      <c r="AW1025" s="75">
        <f>_xlfn.IFNA(VLOOKUP(L1025,list_vat[],3,FALSE),0)</f>
        <v/>
      </c>
      <c r="AX1025" s="76">
        <f>IFERROR(ROUND(S1025*(1+AW1025)/E1025,2),0)</f>
        <v/>
      </c>
      <c r="AY1025" s="76">
        <f>E1025*AX1025</f>
        <v/>
      </c>
      <c r="AZ1025" s="192">
        <f>S1025*(1+M1025)</f>
        <v/>
      </c>
      <c r="BA1025" s="76">
        <f>cost_fin_total*$BD1025</f>
        <v/>
      </c>
      <c r="BB1025" s="193">
        <f>credit_sales_interest*BD1025</f>
        <v/>
      </c>
      <c r="BC1025" s="102">
        <f>IFERROR(IF($I$13&gt;0,$I1025/$I$13,$S1025/$S$13),0)</f>
        <v/>
      </c>
      <c r="BD1025" s="102">
        <f>IFERROR($S1025/$S$13,0)</f>
        <v/>
      </c>
      <c r="BE1025" s="413" t="inlineStr">
        <is>
          <t>$</t>
        </is>
      </c>
    </row>
    <row r="1026" ht="12" customFormat="1" customHeight="1" s="65">
      <c r="A1026" s="43" t="n">
        <v>1011</v>
      </c>
      <c r="B1026" s="166" t="n"/>
      <c r="C1026" s="166" t="n"/>
      <c r="D1026" s="166" t="n"/>
      <c r="E1026" s="162" t="n"/>
      <c r="F1026" s="166" t="n"/>
      <c r="G1026" s="162" t="n"/>
      <c r="H1026" s="162" t="n"/>
      <c r="I1026" s="189">
        <f>E1026*G1026</f>
        <v/>
      </c>
      <c r="J1026" s="195" t="n"/>
      <c r="K1026" s="162" t="n"/>
      <c r="L1026" s="168" t="n"/>
      <c r="M1026" s="75">
        <f>_xlfn.XLOOKUP(L1026,list_vat[Страна],list_vat[Ставка НДС %],0,0)</f>
        <v/>
      </c>
      <c r="N1026" s="162">
        <f>IFERROR(IF(L1026="Китай",K1026,K1026/(1+M1026)),0)</f>
        <v/>
      </c>
      <c r="O1026" s="169" t="n"/>
      <c r="P1026" s="76">
        <f>N1026*(1-O1026)</f>
        <v/>
      </c>
      <c r="Q1026" s="162" t="n"/>
      <c r="R1026" s="162">
        <f>IF(ISBLANK(Q1026),"введи курс",P1026/Q1026)</f>
        <v/>
      </c>
      <c r="S1026" s="196">
        <f>IF(AND(ISNUMBER(E1026),ISNUMBER(Q1026)),E1026*R1026,0)</f>
        <v/>
      </c>
      <c r="T1026" s="192">
        <f>$BC1026*V$11</f>
        <v/>
      </c>
      <c r="U1026" s="76">
        <f>$BC1026*W$11</f>
        <v/>
      </c>
      <c r="V1026" s="193">
        <f>+SUM(T1026:U1026)</f>
        <v/>
      </c>
      <c r="W1026" s="191" t="n"/>
      <c r="X1026" s="170" t="n"/>
      <c r="Y1026" s="76">
        <f>ROUND(IF(offer_incoterms="DDP",X1026*(S1026*(1+AW1026)+T1026),0),2)</f>
        <v/>
      </c>
      <c r="Z1026" s="188" t="n"/>
      <c r="AA1026" s="192">
        <f>IFERROR(AB1026/E1026,0)</f>
        <v/>
      </c>
      <c r="AB1026" s="76">
        <f>ROUND(SUM(S1026,V1026,Y1026:Z1026,BA1026:BB1026),2)</f>
        <v/>
      </c>
      <c r="AC1026" s="797" t="n"/>
      <c r="AD1026" s="192">
        <f t="array" ref="AD1026">IFERROR(ROUND((_xlfn.IFS(offer_sale_type="поставка",AB1026,offer_sale_type="транзит",S1026)*(1+AC1026))/E1026,2),0)</f>
        <v/>
      </c>
      <c r="AE1026" s="76">
        <f>AD1026*E1026</f>
        <v/>
      </c>
      <c r="AF1026" s="193">
        <f t="array" ref="AF1026">IFERROR(ROUND(_xlfn.IFS(offer_sale_type="поставка",AB1026,offer_sale_type="транзит",S1026)*AC1026,2),0)</f>
        <v/>
      </c>
      <c r="AG1026" s="192">
        <f>$BD1026*VLOOKUP($AG$3,$AF$4:$AG$7,2,FALSE)</f>
        <v/>
      </c>
      <c r="AH1026" s="76">
        <f>SUM(AE1026,AG1026,AI1026)*rate_forex_risk</f>
        <v/>
      </c>
      <c r="AI1026" s="193">
        <f>IF(OR(seller_region="TR",offer_sale_type="экспорт"),0,rate_fin_comm)*SUM(AZ1026,AZ1026*AW1026,T1026)</f>
        <v/>
      </c>
      <c r="AJ1026" s="118">
        <f>IFERROR(ROUND(SUM(AB1026,AF1026:AI1026)/E1026,2),0)</f>
        <v/>
      </c>
      <c r="AK1026" s="76">
        <f>AJ1026*E1026</f>
        <v/>
      </c>
      <c r="AL1026" s="174">
        <f>ROUND(IFERROR(AM1026*E1026,0),2)</f>
        <v/>
      </c>
      <c r="AM1026" s="175">
        <f>ROUND(AJ1026*(1+IF(offer_incoterms="DDP",IF((TODAY()+offer_turnaround_time)&gt;=helpsheet!$L$17,rate_vatRU_from_26,rate_vatRu_till_25),0)),2)</f>
        <v/>
      </c>
      <c r="AN1026" s="192">
        <f>AL1026-AK1026</f>
        <v/>
      </c>
      <c r="AO1026" s="76">
        <f>SUM(AY1026,Y1026:Z1026,T1026)*IF(AND(offer_incoterms="DDP",offer_sale_type&lt;&gt;"экспорт"),IF((TODAY()+offer_turnaround_time)&gt;=helpsheet!$L$17,rate_vatRU_from_26,rate_vatRu_till_25),0)</f>
        <v/>
      </c>
      <c r="AP1026" s="193">
        <f>AN1026-AO1026</f>
        <v/>
      </c>
      <c r="AQ1026" s="118">
        <f>IF(offer_sale_type="транзит",SUM(AF1026:AI1026,BA1026,BB1026),0)</f>
        <v/>
      </c>
      <c r="AR1026" s="82">
        <f>HYPERLINK("https://www.alta.ru/tnved/code/")&amp;W1026&amp;"/"</f>
        <v/>
      </c>
      <c r="AS1026" s="157" t="n"/>
      <c r="AT1026" s="162" t="n"/>
      <c r="AU1026" s="76">
        <f>IF(ISBLANK(AT1026),0,AJ1026-AT1026)</f>
        <v/>
      </c>
      <c r="AV1026" s="157" t="n"/>
      <c r="AW1026" s="75">
        <f>_xlfn.IFNA(VLOOKUP(L1026,list_vat[],3,FALSE),0)</f>
        <v/>
      </c>
      <c r="AX1026" s="76">
        <f>IFERROR(ROUND(S1026*(1+AW1026)/E1026,2),0)</f>
        <v/>
      </c>
      <c r="AY1026" s="76">
        <f>E1026*AX1026</f>
        <v/>
      </c>
      <c r="AZ1026" s="192">
        <f>S1026*(1+M1026)</f>
        <v/>
      </c>
      <c r="BA1026" s="76">
        <f>cost_fin_total*$BD1026</f>
        <v/>
      </c>
      <c r="BB1026" s="193">
        <f>credit_sales_interest*BD1026</f>
        <v/>
      </c>
      <c r="BC1026" s="102">
        <f>IFERROR(IF($I$13&gt;0,$I1026/$I$13,$S1026/$S$13),0)</f>
        <v/>
      </c>
      <c r="BD1026" s="102">
        <f>IFERROR($S1026/$S$13,0)</f>
        <v/>
      </c>
      <c r="BE1026" s="413" t="inlineStr">
        <is>
          <t>$</t>
        </is>
      </c>
    </row>
    <row r="1027" ht="12" customFormat="1" customHeight="1" s="65">
      <c r="A1027" s="43" t="n">
        <v>1012</v>
      </c>
      <c r="B1027" s="166" t="n"/>
      <c r="C1027" s="166" t="n"/>
      <c r="D1027" s="166" t="n"/>
      <c r="E1027" s="162" t="n"/>
      <c r="F1027" s="166" t="n"/>
      <c r="G1027" s="162" t="n"/>
      <c r="H1027" s="162" t="n"/>
      <c r="I1027" s="189">
        <f>E1027*G1027</f>
        <v/>
      </c>
      <c r="J1027" s="195" t="n"/>
      <c r="K1027" s="162" t="n"/>
      <c r="L1027" s="168" t="n"/>
      <c r="M1027" s="75">
        <f>_xlfn.XLOOKUP(L1027,list_vat[Страна],list_vat[Ставка НДС %],0,0)</f>
        <v/>
      </c>
      <c r="N1027" s="162">
        <f>IFERROR(IF(L1027="Китай",K1027,K1027/(1+M1027)),0)</f>
        <v/>
      </c>
      <c r="O1027" s="169" t="n"/>
      <c r="P1027" s="76">
        <f>N1027*(1-O1027)</f>
        <v/>
      </c>
      <c r="Q1027" s="162" t="n"/>
      <c r="R1027" s="162">
        <f>IF(ISBLANK(Q1027),"введи курс",P1027/Q1027)</f>
        <v/>
      </c>
      <c r="S1027" s="196">
        <f>IF(AND(ISNUMBER(E1027),ISNUMBER(Q1027)),E1027*R1027,0)</f>
        <v/>
      </c>
      <c r="T1027" s="192">
        <f>$BC1027*V$11</f>
        <v/>
      </c>
      <c r="U1027" s="76">
        <f>$BC1027*W$11</f>
        <v/>
      </c>
      <c r="V1027" s="193">
        <f>+SUM(T1027:U1027)</f>
        <v/>
      </c>
      <c r="W1027" s="191" t="n"/>
      <c r="X1027" s="170" t="n"/>
      <c r="Y1027" s="76">
        <f>ROUND(IF(offer_incoterms="DDP",X1027*(S1027*(1+AW1027)+T1027),0),2)</f>
        <v/>
      </c>
      <c r="Z1027" s="188" t="n"/>
      <c r="AA1027" s="192">
        <f>IFERROR(AB1027/E1027,0)</f>
        <v/>
      </c>
      <c r="AB1027" s="76">
        <f>ROUND(SUM(S1027,V1027,Y1027:Z1027,BA1027:BB1027),2)</f>
        <v/>
      </c>
      <c r="AC1027" s="797" t="n"/>
      <c r="AD1027" s="192">
        <f t="array" ref="AD1027">IFERROR(ROUND((_xlfn.IFS(offer_sale_type="поставка",AB1027,offer_sale_type="транзит",S1027)*(1+AC1027))/E1027,2),0)</f>
        <v/>
      </c>
      <c r="AE1027" s="76">
        <f>AD1027*E1027</f>
        <v/>
      </c>
      <c r="AF1027" s="193">
        <f t="array" ref="AF1027">IFERROR(ROUND(_xlfn.IFS(offer_sale_type="поставка",AB1027,offer_sale_type="транзит",S1027)*AC1027,2),0)</f>
        <v/>
      </c>
      <c r="AG1027" s="192">
        <f>$BD1027*VLOOKUP($AG$3,$AF$4:$AG$7,2,FALSE)</f>
        <v/>
      </c>
      <c r="AH1027" s="76">
        <f>SUM(AE1027,AG1027,AI1027)*rate_forex_risk</f>
        <v/>
      </c>
      <c r="AI1027" s="193">
        <f>IF(OR(seller_region="TR",offer_sale_type="экспорт"),0,rate_fin_comm)*SUM(AZ1027,AZ1027*AW1027,T1027)</f>
        <v/>
      </c>
      <c r="AJ1027" s="118">
        <f>IFERROR(ROUND(SUM(AB1027,AF1027:AI1027)/E1027,2),0)</f>
        <v/>
      </c>
      <c r="AK1027" s="76">
        <f>AJ1027*E1027</f>
        <v/>
      </c>
      <c r="AL1027" s="174">
        <f>ROUND(IFERROR(AM1027*E1027,0),2)</f>
        <v/>
      </c>
      <c r="AM1027" s="175">
        <f>ROUND(AJ1027*(1+IF(offer_incoterms="DDP",IF((TODAY()+offer_turnaround_time)&gt;=helpsheet!$L$17,rate_vatRU_from_26,rate_vatRu_till_25),0)),2)</f>
        <v/>
      </c>
      <c r="AN1027" s="192">
        <f>AL1027-AK1027</f>
        <v/>
      </c>
      <c r="AO1027" s="76">
        <f>SUM(AY1027,Y1027:Z1027,T1027)*IF(AND(offer_incoterms="DDP",offer_sale_type&lt;&gt;"экспорт"),IF((TODAY()+offer_turnaround_time)&gt;=helpsheet!$L$17,rate_vatRU_from_26,rate_vatRu_till_25),0)</f>
        <v/>
      </c>
      <c r="AP1027" s="193">
        <f>AN1027-AO1027</f>
        <v/>
      </c>
      <c r="AQ1027" s="118">
        <f>IF(offer_sale_type="транзит",SUM(AF1027:AI1027,BA1027,BB1027),0)</f>
        <v/>
      </c>
      <c r="AR1027" s="82">
        <f>HYPERLINK("https://www.alta.ru/tnved/code/")&amp;W1027&amp;"/"</f>
        <v/>
      </c>
      <c r="AS1027" s="157" t="n"/>
      <c r="AT1027" s="162" t="n"/>
      <c r="AU1027" s="76">
        <f>IF(ISBLANK(AT1027),0,AJ1027-AT1027)</f>
        <v/>
      </c>
      <c r="AV1027" s="157" t="n"/>
      <c r="AW1027" s="75">
        <f>_xlfn.IFNA(VLOOKUP(L1027,list_vat[],3,FALSE),0)</f>
        <v/>
      </c>
      <c r="AX1027" s="76">
        <f>IFERROR(ROUND(S1027*(1+AW1027)/E1027,2),0)</f>
        <v/>
      </c>
      <c r="AY1027" s="76">
        <f>E1027*AX1027</f>
        <v/>
      </c>
      <c r="AZ1027" s="192">
        <f>S1027*(1+M1027)</f>
        <v/>
      </c>
      <c r="BA1027" s="76">
        <f>cost_fin_total*$BD1027</f>
        <v/>
      </c>
      <c r="BB1027" s="193">
        <f>credit_sales_interest*BD1027</f>
        <v/>
      </c>
      <c r="BC1027" s="102">
        <f>IFERROR(IF($I$13&gt;0,$I1027/$I$13,$S1027/$S$13),0)</f>
        <v/>
      </c>
      <c r="BD1027" s="102">
        <f>IFERROR($S1027/$S$13,0)</f>
        <v/>
      </c>
      <c r="BE1027" s="413" t="inlineStr">
        <is>
          <t>$</t>
        </is>
      </c>
    </row>
    <row r="1028" ht="12" customFormat="1" customHeight="1" s="65">
      <c r="A1028" s="43" t="n">
        <v>1013</v>
      </c>
      <c r="B1028" s="166" t="n"/>
      <c r="C1028" s="166" t="n"/>
      <c r="D1028" s="166" t="n"/>
      <c r="E1028" s="162" t="n"/>
      <c r="F1028" s="166" t="n"/>
      <c r="G1028" s="162" t="n"/>
      <c r="H1028" s="162" t="n"/>
      <c r="I1028" s="189">
        <f>E1028*G1028</f>
        <v/>
      </c>
      <c r="J1028" s="195" t="n"/>
      <c r="K1028" s="162" t="n"/>
      <c r="L1028" s="168" t="n"/>
      <c r="M1028" s="75">
        <f>_xlfn.XLOOKUP(L1028,list_vat[Страна],list_vat[Ставка НДС %],0,0)</f>
        <v/>
      </c>
      <c r="N1028" s="162">
        <f>IFERROR(IF(L1028="Китай",K1028,K1028/(1+M1028)),0)</f>
        <v/>
      </c>
      <c r="O1028" s="169" t="n"/>
      <c r="P1028" s="76">
        <f>N1028*(1-O1028)</f>
        <v/>
      </c>
      <c r="Q1028" s="162" t="n"/>
      <c r="R1028" s="162">
        <f>IF(ISBLANK(Q1028),"введи курс",P1028/Q1028)</f>
        <v/>
      </c>
      <c r="S1028" s="196">
        <f>IF(AND(ISNUMBER(E1028),ISNUMBER(Q1028)),E1028*R1028,0)</f>
        <v/>
      </c>
      <c r="T1028" s="192">
        <f>$BC1028*V$11</f>
        <v/>
      </c>
      <c r="U1028" s="76">
        <f>$BC1028*W$11</f>
        <v/>
      </c>
      <c r="V1028" s="193">
        <f>+SUM(T1028:U1028)</f>
        <v/>
      </c>
      <c r="W1028" s="191" t="n"/>
      <c r="X1028" s="170" t="n"/>
      <c r="Y1028" s="76">
        <f>ROUND(IF(offer_incoterms="DDP",X1028*(S1028*(1+AW1028)+T1028),0),2)</f>
        <v/>
      </c>
      <c r="Z1028" s="188" t="n"/>
      <c r="AA1028" s="192">
        <f>IFERROR(AB1028/E1028,0)</f>
        <v/>
      </c>
      <c r="AB1028" s="76">
        <f>ROUND(SUM(S1028,V1028,Y1028:Z1028,BA1028:BB1028),2)</f>
        <v/>
      </c>
      <c r="AC1028" s="797" t="n"/>
      <c r="AD1028" s="192">
        <f t="array" ref="AD1028">IFERROR(ROUND((_xlfn.IFS(offer_sale_type="поставка",AB1028,offer_sale_type="транзит",S1028)*(1+AC1028))/E1028,2),0)</f>
        <v/>
      </c>
      <c r="AE1028" s="76">
        <f>AD1028*E1028</f>
        <v/>
      </c>
      <c r="AF1028" s="193">
        <f t="array" ref="AF1028">IFERROR(ROUND(_xlfn.IFS(offer_sale_type="поставка",AB1028,offer_sale_type="транзит",S1028)*AC1028,2),0)</f>
        <v/>
      </c>
      <c r="AG1028" s="192">
        <f>$BD1028*VLOOKUP($AG$3,$AF$4:$AG$7,2,FALSE)</f>
        <v/>
      </c>
      <c r="AH1028" s="76">
        <f>SUM(AE1028,AG1028,AI1028)*rate_forex_risk</f>
        <v/>
      </c>
      <c r="AI1028" s="193">
        <f>IF(OR(seller_region="TR",offer_sale_type="экспорт"),0,rate_fin_comm)*SUM(AZ1028,AZ1028*AW1028,T1028)</f>
        <v/>
      </c>
      <c r="AJ1028" s="118">
        <f>IFERROR(ROUND(SUM(AB1028,AF1028:AI1028)/E1028,2),0)</f>
        <v/>
      </c>
      <c r="AK1028" s="76">
        <f>AJ1028*E1028</f>
        <v/>
      </c>
      <c r="AL1028" s="174">
        <f>ROUND(IFERROR(AM1028*E1028,0),2)</f>
        <v/>
      </c>
      <c r="AM1028" s="175">
        <f>ROUND(AJ1028*(1+IF(offer_incoterms="DDP",IF((TODAY()+offer_turnaround_time)&gt;=helpsheet!$L$17,rate_vatRU_from_26,rate_vatRu_till_25),0)),2)</f>
        <v/>
      </c>
      <c r="AN1028" s="192">
        <f>AL1028-AK1028</f>
        <v/>
      </c>
      <c r="AO1028" s="76">
        <f>SUM(AY1028,Y1028:Z1028,T1028)*IF(AND(offer_incoterms="DDP",offer_sale_type&lt;&gt;"экспорт"),IF((TODAY()+offer_turnaround_time)&gt;=helpsheet!$L$17,rate_vatRU_from_26,rate_vatRu_till_25),0)</f>
        <v/>
      </c>
      <c r="AP1028" s="193">
        <f>AN1028-AO1028</f>
        <v/>
      </c>
      <c r="AQ1028" s="118">
        <f>IF(offer_sale_type="транзит",SUM(AF1028:AI1028,BA1028,BB1028),0)</f>
        <v/>
      </c>
      <c r="AR1028" s="82">
        <f>HYPERLINK("https://www.alta.ru/tnved/code/")&amp;W1028&amp;"/"</f>
        <v/>
      </c>
      <c r="AS1028" s="157" t="n"/>
      <c r="AT1028" s="162" t="n"/>
      <c r="AU1028" s="76">
        <f>IF(ISBLANK(AT1028),0,AJ1028-AT1028)</f>
        <v/>
      </c>
      <c r="AV1028" s="157" t="n"/>
      <c r="AW1028" s="75">
        <f>_xlfn.IFNA(VLOOKUP(L1028,list_vat[],3,FALSE),0)</f>
        <v/>
      </c>
      <c r="AX1028" s="76">
        <f>IFERROR(ROUND(S1028*(1+AW1028)/E1028,2),0)</f>
        <v/>
      </c>
      <c r="AY1028" s="76">
        <f>E1028*AX1028</f>
        <v/>
      </c>
      <c r="AZ1028" s="192">
        <f>S1028*(1+M1028)</f>
        <v/>
      </c>
      <c r="BA1028" s="76">
        <f>cost_fin_total*$BD1028</f>
        <v/>
      </c>
      <c r="BB1028" s="193">
        <f>credit_sales_interest*BD1028</f>
        <v/>
      </c>
      <c r="BC1028" s="102">
        <f>IFERROR(IF($I$13&gt;0,$I1028/$I$13,$S1028/$S$13),0)</f>
        <v/>
      </c>
      <c r="BD1028" s="102">
        <f>IFERROR($S1028/$S$13,0)</f>
        <v/>
      </c>
      <c r="BE1028" s="413" t="inlineStr">
        <is>
          <t>$</t>
        </is>
      </c>
    </row>
    <row r="1029" ht="12" customFormat="1" customHeight="1" s="65">
      <c r="A1029" s="43" t="n">
        <v>1014</v>
      </c>
      <c r="B1029" s="166" t="n"/>
      <c r="C1029" s="166" t="n"/>
      <c r="D1029" s="166" t="n"/>
      <c r="E1029" s="162" t="n"/>
      <c r="F1029" s="166" t="n"/>
      <c r="G1029" s="162" t="n"/>
      <c r="H1029" s="162" t="n"/>
      <c r="I1029" s="189">
        <f>E1029*G1029</f>
        <v/>
      </c>
      <c r="J1029" s="195" t="n"/>
      <c r="K1029" s="162" t="n"/>
      <c r="L1029" s="168" t="n"/>
      <c r="M1029" s="75">
        <f>_xlfn.XLOOKUP(L1029,list_vat[Страна],list_vat[Ставка НДС %],0,0)</f>
        <v/>
      </c>
      <c r="N1029" s="162">
        <f>IFERROR(IF(L1029="Китай",K1029,K1029/(1+M1029)),0)</f>
        <v/>
      </c>
      <c r="O1029" s="169" t="n"/>
      <c r="P1029" s="76">
        <f>N1029*(1-O1029)</f>
        <v/>
      </c>
      <c r="Q1029" s="162" t="n"/>
      <c r="R1029" s="162">
        <f>IF(ISBLANK(Q1029),"введи курс",P1029/Q1029)</f>
        <v/>
      </c>
      <c r="S1029" s="196">
        <f>IF(AND(ISNUMBER(E1029),ISNUMBER(Q1029)),E1029*R1029,0)</f>
        <v/>
      </c>
      <c r="T1029" s="192">
        <f>$BC1029*V$11</f>
        <v/>
      </c>
      <c r="U1029" s="76">
        <f>$BC1029*W$11</f>
        <v/>
      </c>
      <c r="V1029" s="193">
        <f>+SUM(T1029:U1029)</f>
        <v/>
      </c>
      <c r="W1029" s="191" t="n"/>
      <c r="X1029" s="170" t="n"/>
      <c r="Y1029" s="76">
        <f>ROUND(IF(offer_incoterms="DDP",X1029*(S1029*(1+AW1029)+T1029),0),2)</f>
        <v/>
      </c>
      <c r="Z1029" s="188" t="n"/>
      <c r="AA1029" s="192">
        <f>IFERROR(AB1029/E1029,0)</f>
        <v/>
      </c>
      <c r="AB1029" s="76">
        <f>ROUND(SUM(S1029,V1029,Y1029:Z1029,BA1029:BB1029),2)</f>
        <v/>
      </c>
      <c r="AC1029" s="797" t="n"/>
      <c r="AD1029" s="192">
        <f t="array" ref="AD1029">IFERROR(ROUND((_xlfn.IFS(offer_sale_type="поставка",AB1029,offer_sale_type="транзит",S1029)*(1+AC1029))/E1029,2),0)</f>
        <v/>
      </c>
      <c r="AE1029" s="76">
        <f>AD1029*E1029</f>
        <v/>
      </c>
      <c r="AF1029" s="193">
        <f t="array" ref="AF1029">IFERROR(ROUND(_xlfn.IFS(offer_sale_type="поставка",AB1029,offer_sale_type="транзит",S1029)*AC1029,2),0)</f>
        <v/>
      </c>
      <c r="AG1029" s="192">
        <f>$BD1029*VLOOKUP($AG$3,$AF$4:$AG$7,2,FALSE)</f>
        <v/>
      </c>
      <c r="AH1029" s="76">
        <f>SUM(AE1029,AG1029,AI1029)*rate_forex_risk</f>
        <v/>
      </c>
      <c r="AI1029" s="193">
        <f>IF(OR(seller_region="TR",offer_sale_type="экспорт"),0,rate_fin_comm)*SUM(AZ1029,AZ1029*AW1029,T1029)</f>
        <v/>
      </c>
      <c r="AJ1029" s="118">
        <f>IFERROR(ROUND(SUM(AB1029,AF1029:AI1029)/E1029,2),0)</f>
        <v/>
      </c>
      <c r="AK1029" s="76">
        <f>AJ1029*E1029</f>
        <v/>
      </c>
      <c r="AL1029" s="174">
        <f>ROUND(IFERROR(AM1029*E1029,0),2)</f>
        <v/>
      </c>
      <c r="AM1029" s="175">
        <f>ROUND(AJ1029*(1+IF(offer_incoterms="DDP",IF((TODAY()+offer_turnaround_time)&gt;=helpsheet!$L$17,rate_vatRU_from_26,rate_vatRu_till_25),0)),2)</f>
        <v/>
      </c>
      <c r="AN1029" s="192">
        <f>AL1029-AK1029</f>
        <v/>
      </c>
      <c r="AO1029" s="76">
        <f>SUM(AY1029,Y1029:Z1029,T1029)*IF(AND(offer_incoterms="DDP",offer_sale_type&lt;&gt;"экспорт"),IF((TODAY()+offer_turnaround_time)&gt;=helpsheet!$L$17,rate_vatRU_from_26,rate_vatRu_till_25),0)</f>
        <v/>
      </c>
      <c r="AP1029" s="193">
        <f>AN1029-AO1029</f>
        <v/>
      </c>
      <c r="AQ1029" s="118">
        <f>IF(offer_sale_type="транзит",SUM(AF1029:AI1029,BA1029,BB1029),0)</f>
        <v/>
      </c>
      <c r="AR1029" s="82">
        <f>HYPERLINK("https://www.alta.ru/tnved/code/")&amp;W1029&amp;"/"</f>
        <v/>
      </c>
      <c r="AS1029" s="157" t="n"/>
      <c r="AT1029" s="162" t="n"/>
      <c r="AU1029" s="76">
        <f>IF(ISBLANK(AT1029),0,AJ1029-AT1029)</f>
        <v/>
      </c>
      <c r="AV1029" s="157" t="n"/>
      <c r="AW1029" s="75">
        <f>_xlfn.IFNA(VLOOKUP(L1029,list_vat[],3,FALSE),0)</f>
        <v/>
      </c>
      <c r="AX1029" s="76">
        <f>IFERROR(ROUND(S1029*(1+AW1029)/E1029,2),0)</f>
        <v/>
      </c>
      <c r="AY1029" s="76">
        <f>E1029*AX1029</f>
        <v/>
      </c>
      <c r="AZ1029" s="192">
        <f>S1029*(1+M1029)</f>
        <v/>
      </c>
      <c r="BA1029" s="76">
        <f>cost_fin_total*$BD1029</f>
        <v/>
      </c>
      <c r="BB1029" s="193">
        <f>credit_sales_interest*BD1029</f>
        <v/>
      </c>
      <c r="BC1029" s="102">
        <f>IFERROR(IF($I$13&gt;0,$I1029/$I$13,$S1029/$S$13),0)</f>
        <v/>
      </c>
      <c r="BD1029" s="102">
        <f>IFERROR($S1029/$S$13,0)</f>
        <v/>
      </c>
      <c r="BE1029" s="413" t="inlineStr">
        <is>
          <t>$</t>
        </is>
      </c>
    </row>
    <row r="1030" ht="12" customFormat="1" customHeight="1" s="65">
      <c r="A1030" s="43" t="n">
        <v>1015</v>
      </c>
      <c r="B1030" s="166" t="n"/>
      <c r="C1030" s="166" t="n"/>
      <c r="D1030" s="166" t="n"/>
      <c r="E1030" s="162" t="n"/>
      <c r="F1030" s="166" t="n"/>
      <c r="G1030" s="162" t="n"/>
      <c r="H1030" s="162" t="n"/>
      <c r="I1030" s="189">
        <f>E1030*G1030</f>
        <v/>
      </c>
      <c r="J1030" s="195" t="n"/>
      <c r="K1030" s="162" t="n"/>
      <c r="L1030" s="168" t="n"/>
      <c r="M1030" s="75">
        <f>_xlfn.XLOOKUP(L1030,list_vat[Страна],list_vat[Ставка НДС %],0,0)</f>
        <v/>
      </c>
      <c r="N1030" s="162">
        <f>IFERROR(IF(L1030="Китай",K1030,K1030/(1+M1030)),0)</f>
        <v/>
      </c>
      <c r="O1030" s="169" t="n"/>
      <c r="P1030" s="76">
        <f>N1030*(1-O1030)</f>
        <v/>
      </c>
      <c r="Q1030" s="162" t="n"/>
      <c r="R1030" s="162">
        <f>IF(ISBLANK(Q1030),"введи курс",P1030/Q1030)</f>
        <v/>
      </c>
      <c r="S1030" s="196">
        <f>IF(AND(ISNUMBER(E1030),ISNUMBER(Q1030)),E1030*R1030,0)</f>
        <v/>
      </c>
      <c r="T1030" s="192">
        <f>$BC1030*V$11</f>
        <v/>
      </c>
      <c r="U1030" s="76">
        <f>$BC1030*W$11</f>
        <v/>
      </c>
      <c r="V1030" s="193">
        <f>+SUM(T1030:U1030)</f>
        <v/>
      </c>
      <c r="W1030" s="191" t="n"/>
      <c r="X1030" s="170" t="n"/>
      <c r="Y1030" s="76">
        <f>ROUND(IF(offer_incoterms="DDP",X1030*(S1030*(1+AW1030)+T1030),0),2)</f>
        <v/>
      </c>
      <c r="Z1030" s="188" t="n"/>
      <c r="AA1030" s="192">
        <f>IFERROR(AB1030/E1030,0)</f>
        <v/>
      </c>
      <c r="AB1030" s="76">
        <f>ROUND(SUM(S1030,V1030,Y1030:Z1030,BA1030:BB1030),2)</f>
        <v/>
      </c>
      <c r="AC1030" s="797" t="n"/>
      <c r="AD1030" s="192">
        <f t="array" ref="AD1030">IFERROR(ROUND((_xlfn.IFS(offer_sale_type="поставка",AB1030,offer_sale_type="транзит",S1030)*(1+AC1030))/E1030,2),0)</f>
        <v/>
      </c>
      <c r="AE1030" s="76">
        <f>AD1030*E1030</f>
        <v/>
      </c>
      <c r="AF1030" s="193">
        <f t="array" ref="AF1030">IFERROR(ROUND(_xlfn.IFS(offer_sale_type="поставка",AB1030,offer_sale_type="транзит",S1030)*AC1030,2),0)</f>
        <v/>
      </c>
      <c r="AG1030" s="192">
        <f>$BD1030*VLOOKUP($AG$3,$AF$4:$AG$7,2,FALSE)</f>
        <v/>
      </c>
      <c r="AH1030" s="76">
        <f>SUM(AE1030,AG1030,AI1030)*rate_forex_risk</f>
        <v/>
      </c>
      <c r="AI1030" s="193">
        <f>IF(OR(seller_region="TR",offer_sale_type="экспорт"),0,rate_fin_comm)*SUM(AZ1030,AZ1030*AW1030,T1030)</f>
        <v/>
      </c>
      <c r="AJ1030" s="118">
        <f>IFERROR(ROUND(SUM(AB1030,AF1030:AI1030)/E1030,2),0)</f>
        <v/>
      </c>
      <c r="AK1030" s="76">
        <f>AJ1030*E1030</f>
        <v/>
      </c>
      <c r="AL1030" s="174">
        <f>ROUND(IFERROR(AM1030*E1030,0),2)</f>
        <v/>
      </c>
      <c r="AM1030" s="175">
        <f>ROUND(AJ1030*(1+IF(offer_incoterms="DDP",IF((TODAY()+offer_turnaround_time)&gt;=helpsheet!$L$17,rate_vatRU_from_26,rate_vatRu_till_25),0)),2)</f>
        <v/>
      </c>
      <c r="AN1030" s="192">
        <f>AL1030-AK1030</f>
        <v/>
      </c>
      <c r="AO1030" s="76">
        <f>SUM(AY1030,Y1030:Z1030,T1030)*IF(AND(offer_incoterms="DDP",offer_sale_type&lt;&gt;"экспорт"),IF((TODAY()+offer_turnaround_time)&gt;=helpsheet!$L$17,rate_vatRU_from_26,rate_vatRu_till_25),0)</f>
        <v/>
      </c>
      <c r="AP1030" s="193">
        <f>AN1030-AO1030</f>
        <v/>
      </c>
      <c r="AQ1030" s="118">
        <f>IF(offer_sale_type="транзит",SUM(AF1030:AI1030,BA1030,BB1030),0)</f>
        <v/>
      </c>
      <c r="AR1030" s="82">
        <f>HYPERLINK("https://www.alta.ru/tnved/code/")&amp;W1030&amp;"/"</f>
        <v/>
      </c>
      <c r="AS1030" s="157" t="n"/>
      <c r="AT1030" s="162" t="n"/>
      <c r="AU1030" s="76">
        <f>IF(ISBLANK(AT1030),0,AJ1030-AT1030)</f>
        <v/>
      </c>
      <c r="AV1030" s="157" t="n"/>
      <c r="AW1030" s="75">
        <f>_xlfn.IFNA(VLOOKUP(L1030,list_vat[],3,FALSE),0)</f>
        <v/>
      </c>
      <c r="AX1030" s="76">
        <f>IFERROR(ROUND(S1030*(1+AW1030)/E1030,2),0)</f>
        <v/>
      </c>
      <c r="AY1030" s="76">
        <f>E1030*AX1030</f>
        <v/>
      </c>
      <c r="AZ1030" s="192">
        <f>S1030*(1+M1030)</f>
        <v/>
      </c>
      <c r="BA1030" s="76">
        <f>cost_fin_total*$BD1030</f>
        <v/>
      </c>
      <c r="BB1030" s="193">
        <f>credit_sales_interest*BD1030</f>
        <v/>
      </c>
      <c r="BC1030" s="102">
        <f>IFERROR(IF($I$13&gt;0,$I1030/$I$13,$S1030/$S$13),0)</f>
        <v/>
      </c>
      <c r="BD1030" s="102">
        <f>IFERROR($S1030/$S$13,0)</f>
        <v/>
      </c>
      <c r="BE1030" s="413" t="inlineStr">
        <is>
          <t>$</t>
        </is>
      </c>
    </row>
    <row r="1031" ht="12" customFormat="1" customHeight="1" s="65">
      <c r="A1031" s="43" t="n">
        <v>1016</v>
      </c>
      <c r="B1031" s="166" t="n"/>
      <c r="C1031" s="166" t="n"/>
      <c r="D1031" s="166" t="n"/>
      <c r="E1031" s="162" t="n"/>
      <c r="F1031" s="166" t="n"/>
      <c r="G1031" s="162" t="n"/>
      <c r="H1031" s="162" t="n"/>
      <c r="I1031" s="189">
        <f>E1031*G1031</f>
        <v/>
      </c>
      <c r="J1031" s="195" t="n"/>
      <c r="K1031" s="162" t="n"/>
      <c r="L1031" s="168" t="n"/>
      <c r="M1031" s="75">
        <f>_xlfn.XLOOKUP(L1031,list_vat[Страна],list_vat[Ставка НДС %],0,0)</f>
        <v/>
      </c>
      <c r="N1031" s="162">
        <f>IFERROR(IF(L1031="Китай",K1031,K1031/(1+M1031)),0)</f>
        <v/>
      </c>
      <c r="O1031" s="169" t="n"/>
      <c r="P1031" s="76">
        <f>N1031*(1-O1031)</f>
        <v/>
      </c>
      <c r="Q1031" s="162" t="n"/>
      <c r="R1031" s="162">
        <f>IF(ISBLANK(Q1031),"введи курс",P1031/Q1031)</f>
        <v/>
      </c>
      <c r="S1031" s="196">
        <f>IF(AND(ISNUMBER(E1031),ISNUMBER(Q1031)),E1031*R1031,0)</f>
        <v/>
      </c>
      <c r="T1031" s="192">
        <f>$BC1031*V$11</f>
        <v/>
      </c>
      <c r="U1031" s="76">
        <f>$BC1031*W$11</f>
        <v/>
      </c>
      <c r="V1031" s="193">
        <f>+SUM(T1031:U1031)</f>
        <v/>
      </c>
      <c r="W1031" s="191" t="n"/>
      <c r="X1031" s="170" t="n"/>
      <c r="Y1031" s="76">
        <f>ROUND(IF(offer_incoterms="DDP",X1031*(S1031*(1+AW1031)+T1031),0),2)</f>
        <v/>
      </c>
      <c r="Z1031" s="188" t="n"/>
      <c r="AA1031" s="192">
        <f>IFERROR(AB1031/E1031,0)</f>
        <v/>
      </c>
      <c r="AB1031" s="76">
        <f>ROUND(SUM(S1031,V1031,Y1031:Z1031,BA1031:BB1031),2)</f>
        <v/>
      </c>
      <c r="AC1031" s="797" t="n"/>
      <c r="AD1031" s="192">
        <f t="array" ref="AD1031">IFERROR(ROUND((_xlfn.IFS(offer_sale_type="поставка",AB1031,offer_sale_type="транзит",S1031)*(1+AC1031))/E1031,2),0)</f>
        <v/>
      </c>
      <c r="AE1031" s="76">
        <f>AD1031*E1031</f>
        <v/>
      </c>
      <c r="AF1031" s="193">
        <f t="array" ref="AF1031">IFERROR(ROUND(_xlfn.IFS(offer_sale_type="поставка",AB1031,offer_sale_type="транзит",S1031)*AC1031,2),0)</f>
        <v/>
      </c>
      <c r="AG1031" s="192">
        <f>$BD1031*VLOOKUP($AG$3,$AF$4:$AG$7,2,FALSE)</f>
        <v/>
      </c>
      <c r="AH1031" s="76">
        <f>SUM(AE1031,AG1031,AI1031)*rate_forex_risk</f>
        <v/>
      </c>
      <c r="AI1031" s="193">
        <f>IF(OR(seller_region="TR",offer_sale_type="экспорт"),0,rate_fin_comm)*SUM(AZ1031,AZ1031*AW1031,T1031)</f>
        <v/>
      </c>
      <c r="AJ1031" s="118">
        <f>IFERROR(ROUND(SUM(AB1031,AF1031:AI1031)/E1031,2),0)</f>
        <v/>
      </c>
      <c r="AK1031" s="76">
        <f>AJ1031*E1031</f>
        <v/>
      </c>
      <c r="AL1031" s="174">
        <f>ROUND(IFERROR(AM1031*E1031,0),2)</f>
        <v/>
      </c>
      <c r="AM1031" s="175">
        <f>ROUND(AJ1031*(1+IF(offer_incoterms="DDP",IF((TODAY()+offer_turnaround_time)&gt;=helpsheet!$L$17,rate_vatRU_from_26,rate_vatRu_till_25),0)),2)</f>
        <v/>
      </c>
      <c r="AN1031" s="192">
        <f>AL1031-AK1031</f>
        <v/>
      </c>
      <c r="AO1031" s="76">
        <f>SUM(AY1031,Y1031:Z1031,T1031)*IF(AND(offer_incoterms="DDP",offer_sale_type&lt;&gt;"экспорт"),IF((TODAY()+offer_turnaround_time)&gt;=helpsheet!$L$17,rate_vatRU_from_26,rate_vatRu_till_25),0)</f>
        <v/>
      </c>
      <c r="AP1031" s="193">
        <f>AN1031-AO1031</f>
        <v/>
      </c>
      <c r="AQ1031" s="118">
        <f>IF(offer_sale_type="транзит",SUM(AF1031:AI1031,BA1031,BB1031),0)</f>
        <v/>
      </c>
      <c r="AR1031" s="82">
        <f>HYPERLINK("https://www.alta.ru/tnved/code/")&amp;W1031&amp;"/"</f>
        <v/>
      </c>
      <c r="AS1031" s="157" t="n"/>
      <c r="AT1031" s="162" t="n"/>
      <c r="AU1031" s="76">
        <f>IF(ISBLANK(AT1031),0,AJ1031-AT1031)</f>
        <v/>
      </c>
      <c r="AV1031" s="157" t="n"/>
      <c r="AW1031" s="75">
        <f>_xlfn.IFNA(VLOOKUP(L1031,list_vat[],3,FALSE),0)</f>
        <v/>
      </c>
      <c r="AX1031" s="76">
        <f>IFERROR(ROUND(S1031*(1+AW1031)/E1031,2),0)</f>
        <v/>
      </c>
      <c r="AY1031" s="76">
        <f>E1031*AX1031</f>
        <v/>
      </c>
      <c r="AZ1031" s="192">
        <f>S1031*(1+M1031)</f>
        <v/>
      </c>
      <c r="BA1031" s="76">
        <f>cost_fin_total*$BD1031</f>
        <v/>
      </c>
      <c r="BB1031" s="193">
        <f>credit_sales_interest*BD1031</f>
        <v/>
      </c>
      <c r="BC1031" s="102">
        <f>IFERROR(IF($I$13&gt;0,$I1031/$I$13,$S1031/$S$13),0)</f>
        <v/>
      </c>
      <c r="BD1031" s="102">
        <f>IFERROR($S1031/$S$13,0)</f>
        <v/>
      </c>
      <c r="BE1031" s="413" t="inlineStr">
        <is>
          <t>$</t>
        </is>
      </c>
    </row>
    <row r="1032" ht="12" customFormat="1" customHeight="1" s="65">
      <c r="A1032" s="43" t="n">
        <v>1017</v>
      </c>
      <c r="B1032" s="166" t="n"/>
      <c r="C1032" s="166" t="n"/>
      <c r="D1032" s="166" t="n"/>
      <c r="E1032" s="162" t="n"/>
      <c r="F1032" s="166" t="n"/>
      <c r="G1032" s="162" t="n"/>
      <c r="H1032" s="162" t="n"/>
      <c r="I1032" s="189">
        <f>E1032*G1032</f>
        <v/>
      </c>
      <c r="J1032" s="195" t="n"/>
      <c r="K1032" s="162" t="n"/>
      <c r="L1032" s="168" t="n"/>
      <c r="M1032" s="75">
        <f>_xlfn.XLOOKUP(L1032,list_vat[Страна],list_vat[Ставка НДС %],0,0)</f>
        <v/>
      </c>
      <c r="N1032" s="162">
        <f>IFERROR(IF(L1032="Китай",K1032,K1032/(1+M1032)),0)</f>
        <v/>
      </c>
      <c r="O1032" s="169" t="n"/>
      <c r="P1032" s="76">
        <f>N1032*(1-O1032)</f>
        <v/>
      </c>
      <c r="Q1032" s="162" t="n"/>
      <c r="R1032" s="162">
        <f>IF(ISBLANK(Q1032),"введи курс",P1032/Q1032)</f>
        <v/>
      </c>
      <c r="S1032" s="196">
        <f>IF(AND(ISNUMBER(E1032),ISNUMBER(Q1032)),E1032*R1032,0)</f>
        <v/>
      </c>
      <c r="T1032" s="192">
        <f>$BC1032*V$11</f>
        <v/>
      </c>
      <c r="U1032" s="76">
        <f>$BC1032*W$11</f>
        <v/>
      </c>
      <c r="V1032" s="193">
        <f>+SUM(T1032:U1032)</f>
        <v/>
      </c>
      <c r="W1032" s="191" t="n"/>
      <c r="X1032" s="170" t="n"/>
      <c r="Y1032" s="76">
        <f>ROUND(IF(offer_incoterms="DDP",X1032*(S1032*(1+AW1032)+T1032),0),2)</f>
        <v/>
      </c>
      <c r="Z1032" s="188" t="n"/>
      <c r="AA1032" s="192">
        <f>IFERROR(AB1032/E1032,0)</f>
        <v/>
      </c>
      <c r="AB1032" s="76">
        <f>ROUND(SUM(S1032,V1032,Y1032:Z1032,BA1032:BB1032),2)</f>
        <v/>
      </c>
      <c r="AC1032" s="797" t="n"/>
      <c r="AD1032" s="192">
        <f t="array" ref="AD1032">IFERROR(ROUND((_xlfn.IFS(offer_sale_type="поставка",AB1032,offer_sale_type="транзит",S1032)*(1+AC1032))/E1032,2),0)</f>
        <v/>
      </c>
      <c r="AE1032" s="76">
        <f>AD1032*E1032</f>
        <v/>
      </c>
      <c r="AF1032" s="193">
        <f t="array" ref="AF1032">IFERROR(ROUND(_xlfn.IFS(offer_sale_type="поставка",AB1032,offer_sale_type="транзит",S1032)*AC1032,2),0)</f>
        <v/>
      </c>
      <c r="AG1032" s="192">
        <f>$BD1032*VLOOKUP($AG$3,$AF$4:$AG$7,2,FALSE)</f>
        <v/>
      </c>
      <c r="AH1032" s="76">
        <f>SUM(AE1032,AG1032,AI1032)*rate_forex_risk</f>
        <v/>
      </c>
      <c r="AI1032" s="193">
        <f>IF(OR(seller_region="TR",offer_sale_type="экспорт"),0,rate_fin_comm)*SUM(AZ1032,AZ1032*AW1032,T1032)</f>
        <v/>
      </c>
      <c r="AJ1032" s="118">
        <f>IFERROR(ROUND(SUM(AB1032,AF1032:AI1032)/E1032,2),0)</f>
        <v/>
      </c>
      <c r="AK1032" s="76">
        <f>AJ1032*E1032</f>
        <v/>
      </c>
      <c r="AL1032" s="174">
        <f>ROUND(IFERROR(AM1032*E1032,0),2)</f>
        <v/>
      </c>
      <c r="AM1032" s="175">
        <f>ROUND(AJ1032*(1+IF(offer_incoterms="DDP",IF((TODAY()+offer_turnaround_time)&gt;=helpsheet!$L$17,rate_vatRU_from_26,rate_vatRu_till_25),0)),2)</f>
        <v/>
      </c>
      <c r="AN1032" s="192">
        <f>AL1032-AK1032</f>
        <v/>
      </c>
      <c r="AO1032" s="76">
        <f>SUM(AY1032,Y1032:Z1032,T1032)*IF(AND(offer_incoterms="DDP",offer_sale_type&lt;&gt;"экспорт"),IF((TODAY()+offer_turnaround_time)&gt;=helpsheet!$L$17,rate_vatRU_from_26,rate_vatRu_till_25),0)</f>
        <v/>
      </c>
      <c r="AP1032" s="193">
        <f>AN1032-AO1032</f>
        <v/>
      </c>
      <c r="AQ1032" s="118">
        <f>IF(offer_sale_type="транзит",SUM(AF1032:AI1032,BA1032,BB1032),0)</f>
        <v/>
      </c>
      <c r="AR1032" s="82">
        <f>HYPERLINK("https://www.alta.ru/tnved/code/")&amp;W1032&amp;"/"</f>
        <v/>
      </c>
      <c r="AS1032" s="157" t="n"/>
      <c r="AT1032" s="162" t="n"/>
      <c r="AU1032" s="76">
        <f>IF(ISBLANK(AT1032),0,AJ1032-AT1032)</f>
        <v/>
      </c>
      <c r="AV1032" s="157" t="n"/>
      <c r="AW1032" s="75">
        <f>_xlfn.IFNA(VLOOKUP(L1032,list_vat[],3,FALSE),0)</f>
        <v/>
      </c>
      <c r="AX1032" s="76">
        <f>IFERROR(ROUND(S1032*(1+AW1032)/E1032,2),0)</f>
        <v/>
      </c>
      <c r="AY1032" s="76">
        <f>E1032*AX1032</f>
        <v/>
      </c>
      <c r="AZ1032" s="192">
        <f>S1032*(1+M1032)</f>
        <v/>
      </c>
      <c r="BA1032" s="76">
        <f>cost_fin_total*$BD1032</f>
        <v/>
      </c>
      <c r="BB1032" s="193">
        <f>credit_sales_interest*BD1032</f>
        <v/>
      </c>
      <c r="BC1032" s="102">
        <f>IFERROR(IF($I$13&gt;0,$I1032/$I$13,$S1032/$S$13),0)</f>
        <v/>
      </c>
      <c r="BD1032" s="102">
        <f>IFERROR($S1032/$S$13,0)</f>
        <v/>
      </c>
      <c r="BE1032" s="413" t="inlineStr">
        <is>
          <t>$</t>
        </is>
      </c>
    </row>
    <row r="1033" ht="12" customFormat="1" customHeight="1" s="65">
      <c r="A1033" s="43" t="n">
        <v>1018</v>
      </c>
      <c r="B1033" s="166" t="n"/>
      <c r="C1033" s="166" t="n"/>
      <c r="D1033" s="166" t="n"/>
      <c r="E1033" s="162" t="n"/>
      <c r="F1033" s="166" t="n"/>
      <c r="G1033" s="162" t="n"/>
      <c r="H1033" s="162" t="n"/>
      <c r="I1033" s="189">
        <f>E1033*G1033</f>
        <v/>
      </c>
      <c r="J1033" s="195" t="n"/>
      <c r="K1033" s="162" t="n"/>
      <c r="L1033" s="168" t="n"/>
      <c r="M1033" s="75">
        <f>_xlfn.XLOOKUP(L1033,list_vat[Страна],list_vat[Ставка НДС %],0,0)</f>
        <v/>
      </c>
      <c r="N1033" s="162">
        <f>IFERROR(IF(L1033="Китай",K1033,K1033/(1+M1033)),0)</f>
        <v/>
      </c>
      <c r="O1033" s="169" t="n"/>
      <c r="P1033" s="76">
        <f>N1033*(1-O1033)</f>
        <v/>
      </c>
      <c r="Q1033" s="162" t="n"/>
      <c r="R1033" s="162">
        <f>IF(ISBLANK(Q1033),"введи курс",P1033/Q1033)</f>
        <v/>
      </c>
      <c r="S1033" s="196">
        <f>IF(AND(ISNUMBER(E1033),ISNUMBER(Q1033)),E1033*R1033,0)</f>
        <v/>
      </c>
      <c r="T1033" s="192">
        <f>$BC1033*V$11</f>
        <v/>
      </c>
      <c r="U1033" s="76">
        <f>$BC1033*W$11</f>
        <v/>
      </c>
      <c r="V1033" s="193">
        <f>+SUM(T1033:U1033)</f>
        <v/>
      </c>
      <c r="W1033" s="191" t="n"/>
      <c r="X1033" s="170" t="n"/>
      <c r="Y1033" s="76">
        <f>ROUND(IF(offer_incoterms="DDP",X1033*(S1033*(1+AW1033)+T1033),0),2)</f>
        <v/>
      </c>
      <c r="Z1033" s="188" t="n"/>
      <c r="AA1033" s="192">
        <f>IFERROR(AB1033/E1033,0)</f>
        <v/>
      </c>
      <c r="AB1033" s="76">
        <f>ROUND(SUM(S1033,V1033,Y1033:Z1033,BA1033:BB1033),2)</f>
        <v/>
      </c>
      <c r="AC1033" s="797" t="n"/>
      <c r="AD1033" s="192">
        <f t="array" ref="AD1033">IFERROR(ROUND((_xlfn.IFS(offer_sale_type="поставка",AB1033,offer_sale_type="транзит",S1033)*(1+AC1033))/E1033,2),0)</f>
        <v/>
      </c>
      <c r="AE1033" s="76">
        <f>AD1033*E1033</f>
        <v/>
      </c>
      <c r="AF1033" s="193">
        <f t="array" ref="AF1033">IFERROR(ROUND(_xlfn.IFS(offer_sale_type="поставка",AB1033,offer_sale_type="транзит",S1033)*AC1033,2),0)</f>
        <v/>
      </c>
      <c r="AG1033" s="192">
        <f>$BD1033*VLOOKUP($AG$3,$AF$4:$AG$7,2,FALSE)</f>
        <v/>
      </c>
      <c r="AH1033" s="76">
        <f>SUM(AE1033,AG1033,AI1033)*rate_forex_risk</f>
        <v/>
      </c>
      <c r="AI1033" s="193">
        <f>IF(OR(seller_region="TR",offer_sale_type="экспорт"),0,rate_fin_comm)*SUM(AZ1033,AZ1033*AW1033,T1033)</f>
        <v/>
      </c>
      <c r="AJ1033" s="118">
        <f>IFERROR(ROUND(SUM(AB1033,AF1033:AI1033)/E1033,2),0)</f>
        <v/>
      </c>
      <c r="AK1033" s="76">
        <f>AJ1033*E1033</f>
        <v/>
      </c>
      <c r="AL1033" s="174">
        <f>ROUND(IFERROR(AM1033*E1033,0),2)</f>
        <v/>
      </c>
      <c r="AM1033" s="175">
        <f>ROUND(AJ1033*(1+IF(offer_incoterms="DDP",IF((TODAY()+offer_turnaround_time)&gt;=helpsheet!$L$17,rate_vatRU_from_26,rate_vatRu_till_25),0)),2)</f>
        <v/>
      </c>
      <c r="AN1033" s="192">
        <f>AL1033-AK1033</f>
        <v/>
      </c>
      <c r="AO1033" s="76">
        <f>SUM(AY1033,Y1033:Z1033,T1033)*IF(AND(offer_incoterms="DDP",offer_sale_type&lt;&gt;"экспорт"),IF((TODAY()+offer_turnaround_time)&gt;=helpsheet!$L$17,rate_vatRU_from_26,rate_vatRu_till_25),0)</f>
        <v/>
      </c>
      <c r="AP1033" s="193">
        <f>AN1033-AO1033</f>
        <v/>
      </c>
      <c r="AQ1033" s="118">
        <f>IF(offer_sale_type="транзит",SUM(AF1033:AI1033,BA1033,BB1033),0)</f>
        <v/>
      </c>
      <c r="AR1033" s="82">
        <f>HYPERLINK("https://www.alta.ru/tnved/code/")&amp;W1033&amp;"/"</f>
        <v/>
      </c>
      <c r="AS1033" s="157" t="n"/>
      <c r="AT1033" s="162" t="n"/>
      <c r="AU1033" s="76">
        <f>IF(ISBLANK(AT1033),0,AJ1033-AT1033)</f>
        <v/>
      </c>
      <c r="AV1033" s="157" t="n"/>
      <c r="AW1033" s="75">
        <f>_xlfn.IFNA(VLOOKUP(L1033,list_vat[],3,FALSE),0)</f>
        <v/>
      </c>
      <c r="AX1033" s="76">
        <f>IFERROR(ROUND(S1033*(1+AW1033)/E1033,2),0)</f>
        <v/>
      </c>
      <c r="AY1033" s="76">
        <f>E1033*AX1033</f>
        <v/>
      </c>
      <c r="AZ1033" s="192">
        <f>S1033*(1+M1033)</f>
        <v/>
      </c>
      <c r="BA1033" s="76">
        <f>cost_fin_total*$BD1033</f>
        <v/>
      </c>
      <c r="BB1033" s="193">
        <f>credit_sales_interest*BD1033</f>
        <v/>
      </c>
      <c r="BC1033" s="102">
        <f>IFERROR(IF($I$13&gt;0,$I1033/$I$13,$S1033/$S$13),0)</f>
        <v/>
      </c>
      <c r="BD1033" s="102">
        <f>IFERROR($S1033/$S$13,0)</f>
        <v/>
      </c>
      <c r="BE1033" s="413" t="inlineStr">
        <is>
          <t>$</t>
        </is>
      </c>
    </row>
    <row r="1034" ht="12" customFormat="1" customHeight="1" s="65">
      <c r="A1034" s="43" t="n">
        <v>1019</v>
      </c>
      <c r="B1034" s="166" t="n"/>
      <c r="C1034" s="166" t="n"/>
      <c r="D1034" s="166" t="n"/>
      <c r="E1034" s="162" t="n"/>
      <c r="F1034" s="166" t="n"/>
      <c r="G1034" s="162" t="n"/>
      <c r="H1034" s="162" t="n"/>
      <c r="I1034" s="189">
        <f>E1034*G1034</f>
        <v/>
      </c>
      <c r="J1034" s="195" t="n"/>
      <c r="K1034" s="162" t="n"/>
      <c r="L1034" s="168" t="n"/>
      <c r="M1034" s="75">
        <f>_xlfn.XLOOKUP(L1034,list_vat[Страна],list_vat[Ставка НДС %],0,0)</f>
        <v/>
      </c>
      <c r="N1034" s="162">
        <f>IFERROR(IF(L1034="Китай",K1034,K1034/(1+M1034)),0)</f>
        <v/>
      </c>
      <c r="O1034" s="169" t="n"/>
      <c r="P1034" s="76">
        <f>N1034*(1-O1034)</f>
        <v/>
      </c>
      <c r="Q1034" s="162" t="n"/>
      <c r="R1034" s="162">
        <f>IF(ISBLANK(Q1034),"введи курс",P1034/Q1034)</f>
        <v/>
      </c>
      <c r="S1034" s="196">
        <f>IF(AND(ISNUMBER(E1034),ISNUMBER(Q1034)),E1034*R1034,0)</f>
        <v/>
      </c>
      <c r="T1034" s="192">
        <f>$BC1034*V$11</f>
        <v/>
      </c>
      <c r="U1034" s="76">
        <f>$BC1034*W$11</f>
        <v/>
      </c>
      <c r="V1034" s="193">
        <f>+SUM(T1034:U1034)</f>
        <v/>
      </c>
      <c r="W1034" s="191" t="n"/>
      <c r="X1034" s="170" t="n"/>
      <c r="Y1034" s="76">
        <f>ROUND(IF(offer_incoterms="DDP",X1034*(S1034*(1+AW1034)+T1034),0),2)</f>
        <v/>
      </c>
      <c r="Z1034" s="188" t="n"/>
      <c r="AA1034" s="192">
        <f>IFERROR(AB1034/E1034,0)</f>
        <v/>
      </c>
      <c r="AB1034" s="76">
        <f>ROUND(SUM(S1034,V1034,Y1034:Z1034,BA1034:BB1034),2)</f>
        <v/>
      </c>
      <c r="AC1034" s="797" t="n"/>
      <c r="AD1034" s="192">
        <f t="array" ref="AD1034">IFERROR(ROUND((_xlfn.IFS(offer_sale_type="поставка",AB1034,offer_sale_type="транзит",S1034)*(1+AC1034))/E1034,2),0)</f>
        <v/>
      </c>
      <c r="AE1034" s="76">
        <f>AD1034*E1034</f>
        <v/>
      </c>
      <c r="AF1034" s="193">
        <f t="array" ref="AF1034">IFERROR(ROUND(_xlfn.IFS(offer_sale_type="поставка",AB1034,offer_sale_type="транзит",S1034)*AC1034,2),0)</f>
        <v/>
      </c>
      <c r="AG1034" s="192">
        <f>$BD1034*VLOOKUP($AG$3,$AF$4:$AG$7,2,FALSE)</f>
        <v/>
      </c>
      <c r="AH1034" s="76">
        <f>SUM(AE1034,AG1034,AI1034)*rate_forex_risk</f>
        <v/>
      </c>
      <c r="AI1034" s="193">
        <f>IF(OR(seller_region="TR",offer_sale_type="экспорт"),0,rate_fin_comm)*SUM(AZ1034,AZ1034*AW1034,T1034)</f>
        <v/>
      </c>
      <c r="AJ1034" s="118">
        <f>IFERROR(ROUND(SUM(AB1034,AF1034:AI1034)/E1034,2),0)</f>
        <v/>
      </c>
      <c r="AK1034" s="76">
        <f>AJ1034*E1034</f>
        <v/>
      </c>
      <c r="AL1034" s="174">
        <f>ROUND(IFERROR(AM1034*E1034,0),2)</f>
        <v/>
      </c>
      <c r="AM1034" s="175">
        <f>ROUND(AJ1034*(1+IF(offer_incoterms="DDP",IF((TODAY()+offer_turnaround_time)&gt;=helpsheet!$L$17,rate_vatRU_from_26,rate_vatRu_till_25),0)),2)</f>
        <v/>
      </c>
      <c r="AN1034" s="192">
        <f>AL1034-AK1034</f>
        <v/>
      </c>
      <c r="AO1034" s="76">
        <f>SUM(AY1034,Y1034:Z1034,T1034)*IF(AND(offer_incoterms="DDP",offer_sale_type&lt;&gt;"экспорт"),IF((TODAY()+offer_turnaround_time)&gt;=helpsheet!$L$17,rate_vatRU_from_26,rate_vatRu_till_25),0)</f>
        <v/>
      </c>
      <c r="AP1034" s="193">
        <f>AN1034-AO1034</f>
        <v/>
      </c>
      <c r="AQ1034" s="118">
        <f>IF(offer_sale_type="транзит",SUM(AF1034:AI1034,BA1034,BB1034),0)</f>
        <v/>
      </c>
      <c r="AR1034" s="82">
        <f>HYPERLINK("https://www.alta.ru/tnved/code/")&amp;W1034&amp;"/"</f>
        <v/>
      </c>
      <c r="AS1034" s="157" t="n"/>
      <c r="AT1034" s="162" t="n"/>
      <c r="AU1034" s="76">
        <f>IF(ISBLANK(AT1034),0,AJ1034-AT1034)</f>
        <v/>
      </c>
      <c r="AV1034" s="157" t="n"/>
      <c r="AW1034" s="75">
        <f>_xlfn.IFNA(VLOOKUP(L1034,list_vat[],3,FALSE),0)</f>
        <v/>
      </c>
      <c r="AX1034" s="76">
        <f>IFERROR(ROUND(S1034*(1+AW1034)/E1034,2),0)</f>
        <v/>
      </c>
      <c r="AY1034" s="76">
        <f>E1034*AX1034</f>
        <v/>
      </c>
      <c r="AZ1034" s="192">
        <f>S1034*(1+M1034)</f>
        <v/>
      </c>
      <c r="BA1034" s="76">
        <f>cost_fin_total*$BD1034</f>
        <v/>
      </c>
      <c r="BB1034" s="193">
        <f>credit_sales_interest*BD1034</f>
        <v/>
      </c>
      <c r="BC1034" s="102">
        <f>IFERROR(IF($I$13&gt;0,$I1034/$I$13,$S1034/$S$13),0)</f>
        <v/>
      </c>
      <c r="BD1034" s="102">
        <f>IFERROR($S1034/$S$13,0)</f>
        <v/>
      </c>
      <c r="BE1034" s="413" t="inlineStr">
        <is>
          <t>$</t>
        </is>
      </c>
    </row>
    <row r="1035" ht="12" customFormat="1" customHeight="1" s="65">
      <c r="A1035" s="43" t="n">
        <v>1020</v>
      </c>
      <c r="B1035" s="166" t="n"/>
      <c r="C1035" s="166" t="n"/>
      <c r="D1035" s="166" t="n"/>
      <c r="E1035" s="162" t="n"/>
      <c r="F1035" s="166" t="n"/>
      <c r="G1035" s="162" t="n"/>
      <c r="H1035" s="162" t="n"/>
      <c r="I1035" s="189">
        <f>E1035*G1035</f>
        <v/>
      </c>
      <c r="J1035" s="195" t="n"/>
      <c r="K1035" s="162" t="n"/>
      <c r="L1035" s="168" t="n"/>
      <c r="M1035" s="75">
        <f>_xlfn.XLOOKUP(L1035,list_vat[Страна],list_vat[Ставка НДС %],0,0)</f>
        <v/>
      </c>
      <c r="N1035" s="162">
        <f>IFERROR(IF(L1035="Китай",K1035,K1035/(1+M1035)),0)</f>
        <v/>
      </c>
      <c r="O1035" s="169" t="n"/>
      <c r="P1035" s="76">
        <f>N1035*(1-O1035)</f>
        <v/>
      </c>
      <c r="Q1035" s="162" t="n"/>
      <c r="R1035" s="162">
        <f>IF(ISBLANK(Q1035),"введи курс",P1035/Q1035)</f>
        <v/>
      </c>
      <c r="S1035" s="196">
        <f>IF(AND(ISNUMBER(E1035),ISNUMBER(Q1035)),E1035*R1035,0)</f>
        <v/>
      </c>
      <c r="T1035" s="192">
        <f>$BC1035*V$11</f>
        <v/>
      </c>
      <c r="U1035" s="76">
        <f>$BC1035*W$11</f>
        <v/>
      </c>
      <c r="V1035" s="193">
        <f>+SUM(T1035:U1035)</f>
        <v/>
      </c>
      <c r="W1035" s="191" t="n"/>
      <c r="X1035" s="170" t="n"/>
      <c r="Y1035" s="76">
        <f>ROUND(IF(offer_incoterms="DDP",X1035*(S1035*(1+AW1035)+T1035),0),2)</f>
        <v/>
      </c>
      <c r="Z1035" s="188" t="n"/>
      <c r="AA1035" s="192">
        <f>IFERROR(AB1035/E1035,0)</f>
        <v/>
      </c>
      <c r="AB1035" s="76">
        <f>ROUND(SUM(S1035,V1035,Y1035:Z1035,BA1035:BB1035),2)</f>
        <v/>
      </c>
      <c r="AC1035" s="797" t="n"/>
      <c r="AD1035" s="192">
        <f t="array" ref="AD1035">IFERROR(ROUND((_xlfn.IFS(offer_sale_type="поставка",AB1035,offer_sale_type="транзит",S1035)*(1+AC1035))/E1035,2),0)</f>
        <v/>
      </c>
      <c r="AE1035" s="76">
        <f>AD1035*E1035</f>
        <v/>
      </c>
      <c r="AF1035" s="193">
        <f t="array" ref="AF1035">IFERROR(ROUND(_xlfn.IFS(offer_sale_type="поставка",AB1035,offer_sale_type="транзит",S1035)*AC1035,2),0)</f>
        <v/>
      </c>
      <c r="AG1035" s="192">
        <f>$BD1035*VLOOKUP($AG$3,$AF$4:$AG$7,2,FALSE)</f>
        <v/>
      </c>
      <c r="AH1035" s="76">
        <f>SUM(AE1035,AG1035,AI1035)*rate_forex_risk</f>
        <v/>
      </c>
      <c r="AI1035" s="193">
        <f>IF(OR(seller_region="TR",offer_sale_type="экспорт"),0,rate_fin_comm)*SUM(AZ1035,AZ1035*AW1035,T1035)</f>
        <v/>
      </c>
      <c r="AJ1035" s="118">
        <f>IFERROR(ROUND(SUM(AB1035,AF1035:AI1035)/E1035,2),0)</f>
        <v/>
      </c>
      <c r="AK1035" s="76">
        <f>AJ1035*E1035</f>
        <v/>
      </c>
      <c r="AL1035" s="174">
        <f>ROUND(IFERROR(AM1035*E1035,0),2)</f>
        <v/>
      </c>
      <c r="AM1035" s="175">
        <f>ROUND(AJ1035*(1+IF(offer_incoterms="DDP",IF((TODAY()+offer_turnaround_time)&gt;=helpsheet!$L$17,rate_vatRU_from_26,rate_vatRu_till_25),0)),2)</f>
        <v/>
      </c>
      <c r="AN1035" s="192">
        <f>AL1035-AK1035</f>
        <v/>
      </c>
      <c r="AO1035" s="76">
        <f>SUM(AY1035,Y1035:Z1035,T1035)*IF(AND(offer_incoterms="DDP",offer_sale_type&lt;&gt;"экспорт"),IF((TODAY()+offer_turnaround_time)&gt;=helpsheet!$L$17,rate_vatRU_from_26,rate_vatRu_till_25),0)</f>
        <v/>
      </c>
      <c r="AP1035" s="193">
        <f>AN1035-AO1035</f>
        <v/>
      </c>
      <c r="AQ1035" s="118">
        <f>IF(offer_sale_type="транзит",SUM(AF1035:AI1035,BA1035,BB1035),0)</f>
        <v/>
      </c>
      <c r="AR1035" s="82">
        <f>HYPERLINK("https://www.alta.ru/tnved/code/")&amp;W1035&amp;"/"</f>
        <v/>
      </c>
      <c r="AS1035" s="157" t="n"/>
      <c r="AT1035" s="162" t="n"/>
      <c r="AU1035" s="76">
        <f>IF(ISBLANK(AT1035),0,AJ1035-AT1035)</f>
        <v/>
      </c>
      <c r="AV1035" s="157" t="n"/>
      <c r="AW1035" s="75">
        <f>_xlfn.IFNA(VLOOKUP(L1035,list_vat[],3,FALSE),0)</f>
        <v/>
      </c>
      <c r="AX1035" s="76">
        <f>IFERROR(ROUND(S1035*(1+AW1035)/E1035,2),0)</f>
        <v/>
      </c>
      <c r="AY1035" s="76">
        <f>E1035*AX1035</f>
        <v/>
      </c>
      <c r="AZ1035" s="192">
        <f>S1035*(1+M1035)</f>
        <v/>
      </c>
      <c r="BA1035" s="76">
        <f>cost_fin_total*$BD1035</f>
        <v/>
      </c>
      <c r="BB1035" s="193">
        <f>credit_sales_interest*BD1035</f>
        <v/>
      </c>
      <c r="BC1035" s="102">
        <f>IFERROR(IF($I$13&gt;0,$I1035/$I$13,$S1035/$S$13),0)</f>
        <v/>
      </c>
      <c r="BD1035" s="102">
        <f>IFERROR($S1035/$S$13,0)</f>
        <v/>
      </c>
      <c r="BE1035" s="413" t="inlineStr">
        <is>
          <t>$</t>
        </is>
      </c>
    </row>
    <row r="1036" ht="12" customFormat="1" customHeight="1" s="65">
      <c r="A1036" s="43" t="n">
        <v>1021</v>
      </c>
      <c r="B1036" s="166" t="n"/>
      <c r="C1036" s="166" t="n"/>
      <c r="D1036" s="166" t="n"/>
      <c r="E1036" s="162" t="n"/>
      <c r="F1036" s="166" t="n"/>
      <c r="G1036" s="162" t="n"/>
      <c r="H1036" s="162" t="n"/>
      <c r="I1036" s="189">
        <f>E1036*G1036</f>
        <v/>
      </c>
      <c r="J1036" s="195" t="n"/>
      <c r="K1036" s="162" t="n"/>
      <c r="L1036" s="168" t="n"/>
      <c r="M1036" s="75">
        <f>_xlfn.XLOOKUP(L1036,list_vat[Страна],list_vat[Ставка НДС %],0,0)</f>
        <v/>
      </c>
      <c r="N1036" s="162">
        <f>IFERROR(IF(L1036="Китай",K1036,K1036/(1+M1036)),0)</f>
        <v/>
      </c>
      <c r="O1036" s="169" t="n"/>
      <c r="P1036" s="76">
        <f>N1036*(1-O1036)</f>
        <v/>
      </c>
      <c r="Q1036" s="162" t="n"/>
      <c r="R1036" s="162">
        <f>IF(ISBLANK(Q1036),"введи курс",P1036/Q1036)</f>
        <v/>
      </c>
      <c r="S1036" s="196">
        <f>IF(AND(ISNUMBER(E1036),ISNUMBER(Q1036)),E1036*R1036,0)</f>
        <v/>
      </c>
      <c r="T1036" s="192">
        <f>$BC1036*V$11</f>
        <v/>
      </c>
      <c r="U1036" s="76">
        <f>$BC1036*W$11</f>
        <v/>
      </c>
      <c r="V1036" s="193">
        <f>+SUM(T1036:U1036)</f>
        <v/>
      </c>
      <c r="W1036" s="191" t="n"/>
      <c r="X1036" s="170" t="n"/>
      <c r="Y1036" s="76">
        <f>ROUND(IF(offer_incoterms="DDP",X1036*(S1036*(1+AW1036)+T1036),0),2)</f>
        <v/>
      </c>
      <c r="Z1036" s="188" t="n"/>
      <c r="AA1036" s="192">
        <f>IFERROR(AB1036/E1036,0)</f>
        <v/>
      </c>
      <c r="AB1036" s="76">
        <f>ROUND(SUM(S1036,V1036,Y1036:Z1036,BA1036:BB1036),2)</f>
        <v/>
      </c>
      <c r="AC1036" s="797" t="n"/>
      <c r="AD1036" s="192">
        <f t="array" ref="AD1036">IFERROR(ROUND((_xlfn.IFS(offer_sale_type="поставка",AB1036,offer_sale_type="транзит",S1036)*(1+AC1036))/E1036,2),0)</f>
        <v/>
      </c>
      <c r="AE1036" s="76">
        <f>AD1036*E1036</f>
        <v/>
      </c>
      <c r="AF1036" s="193">
        <f t="array" ref="AF1036">IFERROR(ROUND(_xlfn.IFS(offer_sale_type="поставка",AB1036,offer_sale_type="транзит",S1036)*AC1036,2),0)</f>
        <v/>
      </c>
      <c r="AG1036" s="192">
        <f>$BD1036*VLOOKUP($AG$3,$AF$4:$AG$7,2,FALSE)</f>
        <v/>
      </c>
      <c r="AH1036" s="76">
        <f>SUM(AE1036,AG1036,AI1036)*rate_forex_risk</f>
        <v/>
      </c>
      <c r="AI1036" s="193">
        <f>IF(OR(seller_region="TR",offer_sale_type="экспорт"),0,rate_fin_comm)*SUM(AZ1036,AZ1036*AW1036,T1036)</f>
        <v/>
      </c>
      <c r="AJ1036" s="118">
        <f>IFERROR(ROUND(SUM(AB1036,AF1036:AI1036)/E1036,2),0)</f>
        <v/>
      </c>
      <c r="AK1036" s="76">
        <f>AJ1036*E1036</f>
        <v/>
      </c>
      <c r="AL1036" s="174">
        <f>ROUND(IFERROR(AM1036*E1036,0),2)</f>
        <v/>
      </c>
      <c r="AM1036" s="175">
        <f>ROUND(AJ1036*(1+IF(offer_incoterms="DDP",IF((TODAY()+offer_turnaround_time)&gt;=helpsheet!$L$17,rate_vatRU_from_26,rate_vatRu_till_25),0)),2)</f>
        <v/>
      </c>
      <c r="AN1036" s="192">
        <f>AL1036-AK1036</f>
        <v/>
      </c>
      <c r="AO1036" s="76">
        <f>SUM(AY1036,Y1036:Z1036,T1036)*IF(AND(offer_incoterms="DDP",offer_sale_type&lt;&gt;"экспорт"),IF((TODAY()+offer_turnaround_time)&gt;=helpsheet!$L$17,rate_vatRU_from_26,rate_vatRu_till_25),0)</f>
        <v/>
      </c>
      <c r="AP1036" s="193">
        <f>AN1036-AO1036</f>
        <v/>
      </c>
      <c r="AQ1036" s="118">
        <f>IF(offer_sale_type="транзит",SUM(AF1036:AI1036,BA1036,BB1036),0)</f>
        <v/>
      </c>
      <c r="AR1036" s="82">
        <f>HYPERLINK("https://www.alta.ru/tnved/code/")&amp;W1036&amp;"/"</f>
        <v/>
      </c>
      <c r="AS1036" s="157" t="n"/>
      <c r="AT1036" s="162" t="n"/>
      <c r="AU1036" s="76">
        <f>IF(ISBLANK(AT1036),0,AJ1036-AT1036)</f>
        <v/>
      </c>
      <c r="AV1036" s="157" t="n"/>
      <c r="AW1036" s="75">
        <f>_xlfn.IFNA(VLOOKUP(L1036,list_vat[],3,FALSE),0)</f>
        <v/>
      </c>
      <c r="AX1036" s="76">
        <f>IFERROR(ROUND(S1036*(1+AW1036)/E1036,2),0)</f>
        <v/>
      </c>
      <c r="AY1036" s="76">
        <f>E1036*AX1036</f>
        <v/>
      </c>
      <c r="AZ1036" s="192">
        <f>S1036*(1+M1036)</f>
        <v/>
      </c>
      <c r="BA1036" s="76">
        <f>cost_fin_total*$BD1036</f>
        <v/>
      </c>
      <c r="BB1036" s="193">
        <f>credit_sales_interest*BD1036</f>
        <v/>
      </c>
      <c r="BC1036" s="102">
        <f>IFERROR(IF($I$13&gt;0,$I1036/$I$13,$S1036/$S$13),0)</f>
        <v/>
      </c>
      <c r="BD1036" s="102">
        <f>IFERROR($S1036/$S$13,0)</f>
        <v/>
      </c>
      <c r="BE1036" s="413" t="inlineStr">
        <is>
          <t>$</t>
        </is>
      </c>
    </row>
    <row r="1037" ht="12" customFormat="1" customHeight="1" s="65">
      <c r="A1037" s="43" t="n">
        <v>1022</v>
      </c>
      <c r="B1037" s="166" t="n"/>
      <c r="C1037" s="166" t="n"/>
      <c r="D1037" s="166" t="n"/>
      <c r="E1037" s="162" t="n"/>
      <c r="F1037" s="166" t="n"/>
      <c r="G1037" s="162" t="n"/>
      <c r="H1037" s="162" t="n"/>
      <c r="I1037" s="189">
        <f>E1037*G1037</f>
        <v/>
      </c>
      <c r="J1037" s="195" t="n"/>
      <c r="K1037" s="162" t="n"/>
      <c r="L1037" s="168" t="n"/>
      <c r="M1037" s="75">
        <f>_xlfn.XLOOKUP(L1037,list_vat[Страна],list_vat[Ставка НДС %],0,0)</f>
        <v/>
      </c>
      <c r="N1037" s="162">
        <f>IFERROR(IF(L1037="Китай",K1037,K1037/(1+M1037)),0)</f>
        <v/>
      </c>
      <c r="O1037" s="169" t="n"/>
      <c r="P1037" s="76">
        <f>N1037*(1-O1037)</f>
        <v/>
      </c>
      <c r="Q1037" s="162" t="n"/>
      <c r="R1037" s="162">
        <f>IF(ISBLANK(Q1037),"введи курс",P1037/Q1037)</f>
        <v/>
      </c>
      <c r="S1037" s="196">
        <f>IF(AND(ISNUMBER(E1037),ISNUMBER(Q1037)),E1037*R1037,0)</f>
        <v/>
      </c>
      <c r="T1037" s="192">
        <f>$BC1037*V$11</f>
        <v/>
      </c>
      <c r="U1037" s="76">
        <f>$BC1037*W$11</f>
        <v/>
      </c>
      <c r="V1037" s="193">
        <f>+SUM(T1037:U1037)</f>
        <v/>
      </c>
      <c r="W1037" s="191" t="n"/>
      <c r="X1037" s="170" t="n"/>
      <c r="Y1037" s="76">
        <f>ROUND(IF(offer_incoterms="DDP",X1037*(S1037*(1+AW1037)+T1037),0),2)</f>
        <v/>
      </c>
      <c r="Z1037" s="188" t="n"/>
      <c r="AA1037" s="192">
        <f>IFERROR(AB1037/E1037,0)</f>
        <v/>
      </c>
      <c r="AB1037" s="76">
        <f>ROUND(SUM(S1037,V1037,Y1037:Z1037,BA1037:BB1037),2)</f>
        <v/>
      </c>
      <c r="AC1037" s="797" t="n"/>
      <c r="AD1037" s="192">
        <f t="array" ref="AD1037">IFERROR(ROUND((_xlfn.IFS(offer_sale_type="поставка",AB1037,offer_sale_type="транзит",S1037)*(1+AC1037))/E1037,2),0)</f>
        <v/>
      </c>
      <c r="AE1037" s="76">
        <f>AD1037*E1037</f>
        <v/>
      </c>
      <c r="AF1037" s="193">
        <f t="array" ref="AF1037">IFERROR(ROUND(_xlfn.IFS(offer_sale_type="поставка",AB1037,offer_sale_type="транзит",S1037)*AC1037,2),0)</f>
        <v/>
      </c>
      <c r="AG1037" s="192">
        <f>$BD1037*VLOOKUP($AG$3,$AF$4:$AG$7,2,FALSE)</f>
        <v/>
      </c>
      <c r="AH1037" s="76">
        <f>SUM(AE1037,AG1037,AI1037)*rate_forex_risk</f>
        <v/>
      </c>
      <c r="AI1037" s="193">
        <f>IF(OR(seller_region="TR",offer_sale_type="экспорт"),0,rate_fin_comm)*SUM(AZ1037,AZ1037*AW1037,T1037)</f>
        <v/>
      </c>
      <c r="AJ1037" s="118">
        <f>IFERROR(ROUND(SUM(AB1037,AF1037:AI1037)/E1037,2),0)</f>
        <v/>
      </c>
      <c r="AK1037" s="76">
        <f>AJ1037*E1037</f>
        <v/>
      </c>
      <c r="AL1037" s="174">
        <f>ROUND(IFERROR(AM1037*E1037,0),2)</f>
        <v/>
      </c>
      <c r="AM1037" s="175">
        <f>ROUND(AJ1037*(1+IF(offer_incoterms="DDP",IF((TODAY()+offer_turnaround_time)&gt;=helpsheet!$L$17,rate_vatRU_from_26,rate_vatRu_till_25),0)),2)</f>
        <v/>
      </c>
      <c r="AN1037" s="192">
        <f>AL1037-AK1037</f>
        <v/>
      </c>
      <c r="AO1037" s="76">
        <f>SUM(AY1037,Y1037:Z1037,T1037)*IF(AND(offer_incoterms="DDP",offer_sale_type&lt;&gt;"экспорт"),IF((TODAY()+offer_turnaround_time)&gt;=helpsheet!$L$17,rate_vatRU_from_26,rate_vatRu_till_25),0)</f>
        <v/>
      </c>
      <c r="AP1037" s="193">
        <f>AN1037-AO1037</f>
        <v/>
      </c>
      <c r="AQ1037" s="118">
        <f>IF(offer_sale_type="транзит",SUM(AF1037:AI1037,BA1037,BB1037),0)</f>
        <v/>
      </c>
      <c r="AR1037" s="82">
        <f>HYPERLINK("https://www.alta.ru/tnved/code/")&amp;W1037&amp;"/"</f>
        <v/>
      </c>
      <c r="AS1037" s="157" t="n"/>
      <c r="AT1037" s="162" t="n"/>
      <c r="AU1037" s="76">
        <f>IF(ISBLANK(AT1037),0,AJ1037-AT1037)</f>
        <v/>
      </c>
      <c r="AV1037" s="157" t="n"/>
      <c r="AW1037" s="75">
        <f>_xlfn.IFNA(VLOOKUP(L1037,list_vat[],3,FALSE),0)</f>
        <v/>
      </c>
      <c r="AX1037" s="76">
        <f>IFERROR(ROUND(S1037*(1+AW1037)/E1037,2),0)</f>
        <v/>
      </c>
      <c r="AY1037" s="76">
        <f>E1037*AX1037</f>
        <v/>
      </c>
      <c r="AZ1037" s="192">
        <f>S1037*(1+M1037)</f>
        <v/>
      </c>
      <c r="BA1037" s="76">
        <f>cost_fin_total*$BD1037</f>
        <v/>
      </c>
      <c r="BB1037" s="193">
        <f>credit_sales_interest*BD1037</f>
        <v/>
      </c>
      <c r="BC1037" s="102">
        <f>IFERROR(IF($I$13&gt;0,$I1037/$I$13,$S1037/$S$13),0)</f>
        <v/>
      </c>
      <c r="BD1037" s="102">
        <f>IFERROR($S1037/$S$13,0)</f>
        <v/>
      </c>
      <c r="BE1037" s="413" t="inlineStr">
        <is>
          <t>$</t>
        </is>
      </c>
    </row>
    <row r="1038" ht="12" customFormat="1" customHeight="1" s="65">
      <c r="A1038" s="43" t="n">
        <v>1023</v>
      </c>
      <c r="B1038" s="166" t="n"/>
      <c r="C1038" s="166" t="n"/>
      <c r="D1038" s="166" t="n"/>
      <c r="E1038" s="162" t="n"/>
      <c r="F1038" s="166" t="n"/>
      <c r="G1038" s="162" t="n"/>
      <c r="H1038" s="162" t="n"/>
      <c r="I1038" s="189">
        <f>E1038*G1038</f>
        <v/>
      </c>
      <c r="J1038" s="195" t="n"/>
      <c r="K1038" s="162" t="n"/>
      <c r="L1038" s="168" t="n"/>
      <c r="M1038" s="75">
        <f>_xlfn.XLOOKUP(L1038,list_vat[Страна],list_vat[Ставка НДС %],0,0)</f>
        <v/>
      </c>
      <c r="N1038" s="162">
        <f>IFERROR(IF(L1038="Китай",K1038,K1038/(1+M1038)),0)</f>
        <v/>
      </c>
      <c r="O1038" s="169" t="n"/>
      <c r="P1038" s="76">
        <f>N1038*(1-O1038)</f>
        <v/>
      </c>
      <c r="Q1038" s="162" t="n"/>
      <c r="R1038" s="162">
        <f>IF(ISBLANK(Q1038),"введи курс",P1038/Q1038)</f>
        <v/>
      </c>
      <c r="S1038" s="196">
        <f>IF(AND(ISNUMBER(E1038),ISNUMBER(Q1038)),E1038*R1038,0)</f>
        <v/>
      </c>
      <c r="T1038" s="192">
        <f>$BC1038*V$11</f>
        <v/>
      </c>
      <c r="U1038" s="76">
        <f>$BC1038*W$11</f>
        <v/>
      </c>
      <c r="V1038" s="193">
        <f>+SUM(T1038:U1038)</f>
        <v/>
      </c>
      <c r="W1038" s="191" t="n"/>
      <c r="X1038" s="170" t="n"/>
      <c r="Y1038" s="76">
        <f>ROUND(IF(offer_incoterms="DDP",X1038*(S1038*(1+AW1038)+T1038),0),2)</f>
        <v/>
      </c>
      <c r="Z1038" s="188" t="n"/>
      <c r="AA1038" s="192">
        <f>IFERROR(AB1038/E1038,0)</f>
        <v/>
      </c>
      <c r="AB1038" s="76">
        <f>ROUND(SUM(S1038,V1038,Y1038:Z1038,BA1038:BB1038),2)</f>
        <v/>
      </c>
      <c r="AC1038" s="797" t="n"/>
      <c r="AD1038" s="192">
        <f t="array" ref="AD1038">IFERROR(ROUND((_xlfn.IFS(offer_sale_type="поставка",AB1038,offer_sale_type="транзит",S1038)*(1+AC1038))/E1038,2),0)</f>
        <v/>
      </c>
      <c r="AE1038" s="76">
        <f>AD1038*E1038</f>
        <v/>
      </c>
      <c r="AF1038" s="193">
        <f t="array" ref="AF1038">IFERROR(ROUND(_xlfn.IFS(offer_sale_type="поставка",AB1038,offer_sale_type="транзит",S1038)*AC1038,2),0)</f>
        <v/>
      </c>
      <c r="AG1038" s="192">
        <f>$BD1038*VLOOKUP($AG$3,$AF$4:$AG$7,2,FALSE)</f>
        <v/>
      </c>
      <c r="AH1038" s="76">
        <f>SUM(AE1038,AG1038,AI1038)*rate_forex_risk</f>
        <v/>
      </c>
      <c r="AI1038" s="193">
        <f>IF(OR(seller_region="TR",offer_sale_type="экспорт"),0,rate_fin_comm)*SUM(AZ1038,AZ1038*AW1038,T1038)</f>
        <v/>
      </c>
      <c r="AJ1038" s="118">
        <f>IFERROR(ROUND(SUM(AB1038,AF1038:AI1038)/E1038,2),0)</f>
        <v/>
      </c>
      <c r="AK1038" s="76">
        <f>AJ1038*E1038</f>
        <v/>
      </c>
      <c r="AL1038" s="174">
        <f>ROUND(IFERROR(AM1038*E1038,0),2)</f>
        <v/>
      </c>
      <c r="AM1038" s="175">
        <f>ROUND(AJ1038*(1+IF(offer_incoterms="DDP",IF((TODAY()+offer_turnaround_time)&gt;=helpsheet!$L$17,rate_vatRU_from_26,rate_vatRu_till_25),0)),2)</f>
        <v/>
      </c>
      <c r="AN1038" s="192">
        <f>AL1038-AK1038</f>
        <v/>
      </c>
      <c r="AO1038" s="76">
        <f>SUM(AY1038,Y1038:Z1038,T1038)*IF(AND(offer_incoterms="DDP",offer_sale_type&lt;&gt;"экспорт"),IF((TODAY()+offer_turnaround_time)&gt;=helpsheet!$L$17,rate_vatRU_from_26,rate_vatRu_till_25),0)</f>
        <v/>
      </c>
      <c r="AP1038" s="193">
        <f>AN1038-AO1038</f>
        <v/>
      </c>
      <c r="AQ1038" s="118">
        <f>IF(offer_sale_type="транзит",SUM(AF1038:AI1038,BA1038,BB1038),0)</f>
        <v/>
      </c>
      <c r="AR1038" s="82">
        <f>HYPERLINK("https://www.alta.ru/tnved/code/")&amp;W1038&amp;"/"</f>
        <v/>
      </c>
      <c r="AS1038" s="157" t="n"/>
      <c r="AT1038" s="162" t="n"/>
      <c r="AU1038" s="76">
        <f>IF(ISBLANK(AT1038),0,AJ1038-AT1038)</f>
        <v/>
      </c>
      <c r="AV1038" s="157" t="n"/>
      <c r="AW1038" s="75">
        <f>_xlfn.IFNA(VLOOKUP(L1038,list_vat[],3,FALSE),0)</f>
        <v/>
      </c>
      <c r="AX1038" s="76">
        <f>IFERROR(ROUND(S1038*(1+AW1038)/E1038,2),0)</f>
        <v/>
      </c>
      <c r="AY1038" s="76">
        <f>E1038*AX1038</f>
        <v/>
      </c>
      <c r="AZ1038" s="192">
        <f>S1038*(1+M1038)</f>
        <v/>
      </c>
      <c r="BA1038" s="76">
        <f>cost_fin_total*$BD1038</f>
        <v/>
      </c>
      <c r="BB1038" s="193">
        <f>credit_sales_interest*BD1038</f>
        <v/>
      </c>
      <c r="BC1038" s="102">
        <f>IFERROR(IF($I$13&gt;0,$I1038/$I$13,$S1038/$S$13),0)</f>
        <v/>
      </c>
      <c r="BD1038" s="102">
        <f>IFERROR($S1038/$S$13,0)</f>
        <v/>
      </c>
      <c r="BE1038" s="413" t="inlineStr">
        <is>
          <t>$</t>
        </is>
      </c>
    </row>
    <row r="1039" ht="12" customFormat="1" customHeight="1" s="65">
      <c r="A1039" s="43" t="n">
        <v>1024</v>
      </c>
      <c r="B1039" s="166" t="n"/>
      <c r="C1039" s="166" t="n"/>
      <c r="D1039" s="166" t="n"/>
      <c r="E1039" s="162" t="n"/>
      <c r="F1039" s="166" t="n"/>
      <c r="G1039" s="162" t="n"/>
      <c r="H1039" s="162" t="n"/>
      <c r="I1039" s="189">
        <f>E1039*G1039</f>
        <v/>
      </c>
      <c r="J1039" s="195" t="n"/>
      <c r="K1039" s="162" t="n"/>
      <c r="L1039" s="168" t="n"/>
      <c r="M1039" s="75">
        <f>_xlfn.XLOOKUP(L1039,list_vat[Страна],list_vat[Ставка НДС %],0,0)</f>
        <v/>
      </c>
      <c r="N1039" s="162">
        <f>IFERROR(IF(L1039="Китай",K1039,K1039/(1+M1039)),0)</f>
        <v/>
      </c>
      <c r="O1039" s="169" t="n"/>
      <c r="P1039" s="76">
        <f>N1039*(1-O1039)</f>
        <v/>
      </c>
      <c r="Q1039" s="162" t="n"/>
      <c r="R1039" s="162">
        <f>IF(ISBLANK(Q1039),"введи курс",P1039/Q1039)</f>
        <v/>
      </c>
      <c r="S1039" s="196">
        <f>IF(AND(ISNUMBER(E1039),ISNUMBER(Q1039)),E1039*R1039,0)</f>
        <v/>
      </c>
      <c r="T1039" s="192">
        <f>$BC1039*V$11</f>
        <v/>
      </c>
      <c r="U1039" s="76">
        <f>$BC1039*W$11</f>
        <v/>
      </c>
      <c r="V1039" s="193">
        <f>+SUM(T1039:U1039)</f>
        <v/>
      </c>
      <c r="W1039" s="191" t="n"/>
      <c r="X1039" s="170" t="n"/>
      <c r="Y1039" s="76">
        <f>ROUND(IF(offer_incoterms="DDP",X1039*(S1039*(1+AW1039)+T1039),0),2)</f>
        <v/>
      </c>
      <c r="Z1039" s="188" t="n"/>
      <c r="AA1039" s="192">
        <f>IFERROR(AB1039/E1039,0)</f>
        <v/>
      </c>
      <c r="AB1039" s="76">
        <f>ROUND(SUM(S1039,V1039,Y1039:Z1039,BA1039:BB1039),2)</f>
        <v/>
      </c>
      <c r="AC1039" s="797" t="n"/>
      <c r="AD1039" s="192">
        <f t="array" ref="AD1039">IFERROR(ROUND((_xlfn.IFS(offer_sale_type="поставка",AB1039,offer_sale_type="транзит",S1039)*(1+AC1039))/E1039,2),0)</f>
        <v/>
      </c>
      <c r="AE1039" s="76">
        <f>AD1039*E1039</f>
        <v/>
      </c>
      <c r="AF1039" s="193">
        <f t="array" ref="AF1039">IFERROR(ROUND(_xlfn.IFS(offer_sale_type="поставка",AB1039,offer_sale_type="транзит",S1039)*AC1039,2),0)</f>
        <v/>
      </c>
      <c r="AG1039" s="192">
        <f>$BD1039*VLOOKUP($AG$3,$AF$4:$AG$7,2,FALSE)</f>
        <v/>
      </c>
      <c r="AH1039" s="76">
        <f>SUM(AE1039,AG1039,AI1039)*rate_forex_risk</f>
        <v/>
      </c>
      <c r="AI1039" s="193">
        <f>IF(OR(seller_region="TR",offer_sale_type="экспорт"),0,rate_fin_comm)*SUM(AZ1039,AZ1039*AW1039,T1039)</f>
        <v/>
      </c>
      <c r="AJ1039" s="118">
        <f>IFERROR(ROUND(SUM(AB1039,AF1039:AI1039)/E1039,2),0)</f>
        <v/>
      </c>
      <c r="AK1039" s="76">
        <f>AJ1039*E1039</f>
        <v/>
      </c>
      <c r="AL1039" s="174">
        <f>ROUND(IFERROR(AM1039*E1039,0),2)</f>
        <v/>
      </c>
      <c r="AM1039" s="175">
        <f>ROUND(AJ1039*(1+IF(offer_incoterms="DDP",IF((TODAY()+offer_turnaround_time)&gt;=helpsheet!$L$17,rate_vatRU_from_26,rate_vatRu_till_25),0)),2)</f>
        <v/>
      </c>
      <c r="AN1039" s="192">
        <f>AL1039-AK1039</f>
        <v/>
      </c>
      <c r="AO1039" s="76">
        <f>SUM(AY1039,Y1039:Z1039,T1039)*IF(AND(offer_incoterms="DDP",offer_sale_type&lt;&gt;"экспорт"),IF((TODAY()+offer_turnaround_time)&gt;=helpsheet!$L$17,rate_vatRU_from_26,rate_vatRu_till_25),0)</f>
        <v/>
      </c>
      <c r="AP1039" s="193">
        <f>AN1039-AO1039</f>
        <v/>
      </c>
      <c r="AQ1039" s="118">
        <f>IF(offer_sale_type="транзит",SUM(AF1039:AI1039,BA1039,BB1039),0)</f>
        <v/>
      </c>
      <c r="AR1039" s="82">
        <f>HYPERLINK("https://www.alta.ru/tnved/code/")&amp;W1039&amp;"/"</f>
        <v/>
      </c>
      <c r="AS1039" s="157" t="n"/>
      <c r="AT1039" s="162" t="n"/>
      <c r="AU1039" s="76">
        <f>IF(ISBLANK(AT1039),0,AJ1039-AT1039)</f>
        <v/>
      </c>
      <c r="AV1039" s="157" t="n"/>
      <c r="AW1039" s="75">
        <f>_xlfn.IFNA(VLOOKUP(L1039,list_vat[],3,FALSE),0)</f>
        <v/>
      </c>
      <c r="AX1039" s="76">
        <f>IFERROR(ROUND(S1039*(1+AW1039)/E1039,2),0)</f>
        <v/>
      </c>
      <c r="AY1039" s="76">
        <f>E1039*AX1039</f>
        <v/>
      </c>
      <c r="AZ1039" s="192">
        <f>S1039*(1+M1039)</f>
        <v/>
      </c>
      <c r="BA1039" s="76">
        <f>cost_fin_total*$BD1039</f>
        <v/>
      </c>
      <c r="BB1039" s="193">
        <f>credit_sales_interest*BD1039</f>
        <v/>
      </c>
      <c r="BC1039" s="102">
        <f>IFERROR(IF($I$13&gt;0,$I1039/$I$13,$S1039/$S$13),0)</f>
        <v/>
      </c>
      <c r="BD1039" s="102">
        <f>IFERROR($S1039/$S$13,0)</f>
        <v/>
      </c>
      <c r="BE1039" s="413" t="inlineStr">
        <is>
          <t>$</t>
        </is>
      </c>
    </row>
    <row r="1040" ht="12" customFormat="1" customHeight="1" s="65">
      <c r="A1040" s="43" t="n">
        <v>1025</v>
      </c>
      <c r="B1040" s="166" t="n"/>
      <c r="C1040" s="166" t="n"/>
      <c r="D1040" s="166" t="n"/>
      <c r="E1040" s="162" t="n"/>
      <c r="F1040" s="166" t="n"/>
      <c r="G1040" s="162" t="n"/>
      <c r="H1040" s="162" t="n"/>
      <c r="I1040" s="189">
        <f>E1040*G1040</f>
        <v/>
      </c>
      <c r="J1040" s="195" t="n"/>
      <c r="K1040" s="162" t="n"/>
      <c r="L1040" s="168" t="n"/>
      <c r="M1040" s="75">
        <f>_xlfn.XLOOKUP(L1040,list_vat[Страна],list_vat[Ставка НДС %],0,0)</f>
        <v/>
      </c>
      <c r="N1040" s="162">
        <f>IFERROR(IF(L1040="Китай",K1040,K1040/(1+M1040)),0)</f>
        <v/>
      </c>
      <c r="O1040" s="169" t="n"/>
      <c r="P1040" s="76">
        <f>N1040*(1-O1040)</f>
        <v/>
      </c>
      <c r="Q1040" s="162" t="n"/>
      <c r="R1040" s="162">
        <f>IF(ISBLANK(Q1040),"введи курс",P1040/Q1040)</f>
        <v/>
      </c>
      <c r="S1040" s="196">
        <f>IF(AND(ISNUMBER(E1040),ISNUMBER(Q1040)),E1040*R1040,0)</f>
        <v/>
      </c>
      <c r="T1040" s="192">
        <f>$BC1040*V$11</f>
        <v/>
      </c>
      <c r="U1040" s="76">
        <f>$BC1040*W$11</f>
        <v/>
      </c>
      <c r="V1040" s="193">
        <f>+SUM(T1040:U1040)</f>
        <v/>
      </c>
      <c r="W1040" s="191" t="n"/>
      <c r="X1040" s="170" t="n"/>
      <c r="Y1040" s="76">
        <f>ROUND(IF(offer_incoterms="DDP",X1040*(S1040*(1+AW1040)+T1040),0),2)</f>
        <v/>
      </c>
      <c r="Z1040" s="188" t="n"/>
      <c r="AA1040" s="192">
        <f>IFERROR(AB1040/E1040,0)</f>
        <v/>
      </c>
      <c r="AB1040" s="76">
        <f>ROUND(SUM(S1040,V1040,Y1040:Z1040,BA1040:BB1040),2)</f>
        <v/>
      </c>
      <c r="AC1040" s="797" t="n"/>
      <c r="AD1040" s="192">
        <f t="array" ref="AD1040">IFERROR(ROUND((_xlfn.IFS(offer_sale_type="поставка",AB1040,offer_sale_type="транзит",S1040)*(1+AC1040))/E1040,2),0)</f>
        <v/>
      </c>
      <c r="AE1040" s="76">
        <f>AD1040*E1040</f>
        <v/>
      </c>
      <c r="AF1040" s="193">
        <f t="array" ref="AF1040">IFERROR(ROUND(_xlfn.IFS(offer_sale_type="поставка",AB1040,offer_sale_type="транзит",S1040)*AC1040,2),0)</f>
        <v/>
      </c>
      <c r="AG1040" s="192">
        <f>$BD1040*VLOOKUP($AG$3,$AF$4:$AG$7,2,FALSE)</f>
        <v/>
      </c>
      <c r="AH1040" s="76">
        <f>SUM(AE1040,AG1040,AI1040)*rate_forex_risk</f>
        <v/>
      </c>
      <c r="AI1040" s="193">
        <f>IF(OR(seller_region="TR",offer_sale_type="экспорт"),0,rate_fin_comm)*SUM(AZ1040,AZ1040*AW1040,T1040)</f>
        <v/>
      </c>
      <c r="AJ1040" s="118">
        <f>IFERROR(ROUND(SUM(AB1040,AF1040:AI1040)/E1040,2),0)</f>
        <v/>
      </c>
      <c r="AK1040" s="76">
        <f>AJ1040*E1040</f>
        <v/>
      </c>
      <c r="AL1040" s="174">
        <f>ROUND(IFERROR(AM1040*E1040,0),2)</f>
        <v/>
      </c>
      <c r="AM1040" s="175">
        <f>ROUND(AJ1040*(1+IF(offer_incoterms="DDP",IF((TODAY()+offer_turnaround_time)&gt;=helpsheet!$L$17,rate_vatRU_from_26,rate_vatRu_till_25),0)),2)</f>
        <v/>
      </c>
      <c r="AN1040" s="192">
        <f>AL1040-AK1040</f>
        <v/>
      </c>
      <c r="AO1040" s="76">
        <f>SUM(AY1040,Y1040:Z1040,T1040)*IF(AND(offer_incoterms="DDP",offer_sale_type&lt;&gt;"экспорт"),IF((TODAY()+offer_turnaround_time)&gt;=helpsheet!$L$17,rate_vatRU_from_26,rate_vatRu_till_25),0)</f>
        <v/>
      </c>
      <c r="AP1040" s="193">
        <f>AN1040-AO1040</f>
        <v/>
      </c>
      <c r="AQ1040" s="118">
        <f>IF(offer_sale_type="транзит",SUM(AF1040:AI1040,BA1040,BB1040),0)</f>
        <v/>
      </c>
      <c r="AR1040" s="82">
        <f>HYPERLINK("https://www.alta.ru/tnved/code/")&amp;W1040&amp;"/"</f>
        <v/>
      </c>
      <c r="AS1040" s="157" t="n"/>
      <c r="AT1040" s="162" t="n"/>
      <c r="AU1040" s="76">
        <f>IF(ISBLANK(AT1040),0,AJ1040-AT1040)</f>
        <v/>
      </c>
      <c r="AV1040" s="157" t="n"/>
      <c r="AW1040" s="75">
        <f>_xlfn.IFNA(VLOOKUP(L1040,list_vat[],3,FALSE),0)</f>
        <v/>
      </c>
      <c r="AX1040" s="76">
        <f>IFERROR(ROUND(S1040*(1+AW1040)/E1040,2),0)</f>
        <v/>
      </c>
      <c r="AY1040" s="76">
        <f>E1040*AX1040</f>
        <v/>
      </c>
      <c r="AZ1040" s="192">
        <f>S1040*(1+M1040)</f>
        <v/>
      </c>
      <c r="BA1040" s="76">
        <f>cost_fin_total*$BD1040</f>
        <v/>
      </c>
      <c r="BB1040" s="193">
        <f>credit_sales_interest*BD1040</f>
        <v/>
      </c>
      <c r="BC1040" s="102">
        <f>IFERROR(IF($I$13&gt;0,$I1040/$I$13,$S1040/$S$13),0)</f>
        <v/>
      </c>
      <c r="BD1040" s="102">
        <f>IFERROR($S1040/$S$13,0)</f>
        <v/>
      </c>
      <c r="BE1040" s="413" t="inlineStr">
        <is>
          <t>$</t>
        </is>
      </c>
    </row>
    <row r="1041" ht="12" customFormat="1" customHeight="1" s="65">
      <c r="A1041" s="43" t="n">
        <v>1026</v>
      </c>
      <c r="B1041" s="166" t="n"/>
      <c r="C1041" s="166" t="n"/>
      <c r="D1041" s="166" t="n"/>
      <c r="E1041" s="162" t="n"/>
      <c r="F1041" s="166" t="n"/>
      <c r="G1041" s="162" t="n"/>
      <c r="H1041" s="162" t="n"/>
      <c r="I1041" s="189">
        <f>E1041*G1041</f>
        <v/>
      </c>
      <c r="J1041" s="195" t="n"/>
      <c r="K1041" s="162" t="n"/>
      <c r="L1041" s="168" t="n"/>
      <c r="M1041" s="75">
        <f>_xlfn.XLOOKUP(L1041,list_vat[Страна],list_vat[Ставка НДС %],0,0)</f>
        <v/>
      </c>
      <c r="N1041" s="162">
        <f>IFERROR(IF(L1041="Китай",K1041,K1041/(1+M1041)),0)</f>
        <v/>
      </c>
      <c r="O1041" s="169" t="n"/>
      <c r="P1041" s="76">
        <f>N1041*(1-O1041)</f>
        <v/>
      </c>
      <c r="Q1041" s="162" t="n"/>
      <c r="R1041" s="162">
        <f>IF(ISBLANK(Q1041),"введи курс",P1041/Q1041)</f>
        <v/>
      </c>
      <c r="S1041" s="196">
        <f>IF(AND(ISNUMBER(E1041),ISNUMBER(Q1041)),E1041*R1041,0)</f>
        <v/>
      </c>
      <c r="T1041" s="192">
        <f>$BC1041*V$11</f>
        <v/>
      </c>
      <c r="U1041" s="76">
        <f>$BC1041*W$11</f>
        <v/>
      </c>
      <c r="V1041" s="193">
        <f>+SUM(T1041:U1041)</f>
        <v/>
      </c>
      <c r="W1041" s="191" t="n"/>
      <c r="X1041" s="170" t="n"/>
      <c r="Y1041" s="76">
        <f>ROUND(IF(offer_incoterms="DDP",X1041*(S1041*(1+AW1041)+T1041),0),2)</f>
        <v/>
      </c>
      <c r="Z1041" s="188" t="n"/>
      <c r="AA1041" s="192">
        <f>IFERROR(AB1041/E1041,0)</f>
        <v/>
      </c>
      <c r="AB1041" s="76">
        <f>ROUND(SUM(S1041,V1041,Y1041:Z1041,BA1041:BB1041),2)</f>
        <v/>
      </c>
      <c r="AC1041" s="797" t="n"/>
      <c r="AD1041" s="192">
        <f t="array" ref="AD1041">IFERROR(ROUND((_xlfn.IFS(offer_sale_type="поставка",AB1041,offer_sale_type="транзит",S1041)*(1+AC1041))/E1041,2),0)</f>
        <v/>
      </c>
      <c r="AE1041" s="76">
        <f>AD1041*E1041</f>
        <v/>
      </c>
      <c r="AF1041" s="193">
        <f t="array" ref="AF1041">IFERROR(ROUND(_xlfn.IFS(offer_sale_type="поставка",AB1041,offer_sale_type="транзит",S1041)*AC1041,2),0)</f>
        <v/>
      </c>
      <c r="AG1041" s="192">
        <f>$BD1041*VLOOKUP($AG$3,$AF$4:$AG$7,2,FALSE)</f>
        <v/>
      </c>
      <c r="AH1041" s="76">
        <f>SUM(AE1041,AG1041,AI1041)*rate_forex_risk</f>
        <v/>
      </c>
      <c r="AI1041" s="193">
        <f>IF(OR(seller_region="TR",offer_sale_type="экспорт"),0,rate_fin_comm)*SUM(AZ1041,AZ1041*AW1041,T1041)</f>
        <v/>
      </c>
      <c r="AJ1041" s="118">
        <f>IFERROR(ROUND(SUM(AB1041,AF1041:AI1041)/E1041,2),0)</f>
        <v/>
      </c>
      <c r="AK1041" s="76">
        <f>AJ1041*E1041</f>
        <v/>
      </c>
      <c r="AL1041" s="174">
        <f>ROUND(IFERROR(AM1041*E1041,0),2)</f>
        <v/>
      </c>
      <c r="AM1041" s="175">
        <f>ROUND(AJ1041*(1+IF(offer_incoterms="DDP",IF((TODAY()+offer_turnaround_time)&gt;=helpsheet!$L$17,rate_vatRU_from_26,rate_vatRu_till_25),0)),2)</f>
        <v/>
      </c>
      <c r="AN1041" s="192">
        <f>AL1041-AK1041</f>
        <v/>
      </c>
      <c r="AO1041" s="76">
        <f>SUM(AY1041,Y1041:Z1041,T1041)*IF(AND(offer_incoterms="DDP",offer_sale_type&lt;&gt;"экспорт"),IF((TODAY()+offer_turnaround_time)&gt;=helpsheet!$L$17,rate_vatRU_from_26,rate_vatRu_till_25),0)</f>
        <v/>
      </c>
      <c r="AP1041" s="193">
        <f>AN1041-AO1041</f>
        <v/>
      </c>
      <c r="AQ1041" s="118">
        <f>IF(offer_sale_type="транзит",SUM(AF1041:AI1041,BA1041,BB1041),0)</f>
        <v/>
      </c>
      <c r="AR1041" s="82">
        <f>HYPERLINK("https://www.alta.ru/tnved/code/")&amp;W1041&amp;"/"</f>
        <v/>
      </c>
      <c r="AS1041" s="157" t="n"/>
      <c r="AT1041" s="162" t="n"/>
      <c r="AU1041" s="76">
        <f>IF(ISBLANK(AT1041),0,AJ1041-AT1041)</f>
        <v/>
      </c>
      <c r="AV1041" s="157" t="n"/>
      <c r="AW1041" s="75">
        <f>_xlfn.IFNA(VLOOKUP(L1041,list_vat[],3,FALSE),0)</f>
        <v/>
      </c>
      <c r="AX1041" s="76">
        <f>IFERROR(ROUND(S1041*(1+AW1041)/E1041,2),0)</f>
        <v/>
      </c>
      <c r="AY1041" s="76">
        <f>E1041*AX1041</f>
        <v/>
      </c>
      <c r="AZ1041" s="192">
        <f>S1041*(1+M1041)</f>
        <v/>
      </c>
      <c r="BA1041" s="76">
        <f>cost_fin_total*$BD1041</f>
        <v/>
      </c>
      <c r="BB1041" s="193">
        <f>credit_sales_interest*BD1041</f>
        <v/>
      </c>
      <c r="BC1041" s="102">
        <f>IFERROR(IF($I$13&gt;0,$I1041/$I$13,$S1041/$S$13),0)</f>
        <v/>
      </c>
      <c r="BD1041" s="102">
        <f>IFERROR($S1041/$S$13,0)</f>
        <v/>
      </c>
      <c r="BE1041" s="413" t="inlineStr">
        <is>
          <t>$</t>
        </is>
      </c>
    </row>
    <row r="1042" ht="12" customFormat="1" customHeight="1" s="65">
      <c r="A1042" s="43" t="n">
        <v>1027</v>
      </c>
      <c r="B1042" s="166" t="n"/>
      <c r="C1042" s="166" t="n"/>
      <c r="D1042" s="166" t="n"/>
      <c r="E1042" s="162" t="n"/>
      <c r="F1042" s="166" t="n"/>
      <c r="G1042" s="162" t="n"/>
      <c r="H1042" s="162" t="n"/>
      <c r="I1042" s="189">
        <f>E1042*G1042</f>
        <v/>
      </c>
      <c r="J1042" s="195" t="n"/>
      <c r="K1042" s="162" t="n"/>
      <c r="L1042" s="168" t="n"/>
      <c r="M1042" s="75">
        <f>_xlfn.XLOOKUP(L1042,list_vat[Страна],list_vat[Ставка НДС %],0,0)</f>
        <v/>
      </c>
      <c r="N1042" s="162">
        <f>IFERROR(IF(L1042="Китай",K1042,K1042/(1+M1042)),0)</f>
        <v/>
      </c>
      <c r="O1042" s="169" t="n"/>
      <c r="P1042" s="76">
        <f>N1042*(1-O1042)</f>
        <v/>
      </c>
      <c r="Q1042" s="162" t="n"/>
      <c r="R1042" s="162">
        <f>IF(ISBLANK(Q1042),"введи курс",P1042/Q1042)</f>
        <v/>
      </c>
      <c r="S1042" s="196">
        <f>IF(AND(ISNUMBER(E1042),ISNUMBER(Q1042)),E1042*R1042,0)</f>
        <v/>
      </c>
      <c r="T1042" s="192">
        <f>$BC1042*V$11</f>
        <v/>
      </c>
      <c r="U1042" s="76">
        <f>$BC1042*W$11</f>
        <v/>
      </c>
      <c r="V1042" s="193">
        <f>+SUM(T1042:U1042)</f>
        <v/>
      </c>
      <c r="W1042" s="191" t="n"/>
      <c r="X1042" s="170" t="n"/>
      <c r="Y1042" s="76">
        <f>ROUND(IF(offer_incoterms="DDP",X1042*(S1042*(1+AW1042)+T1042),0),2)</f>
        <v/>
      </c>
      <c r="Z1042" s="188" t="n"/>
      <c r="AA1042" s="192">
        <f>IFERROR(AB1042/E1042,0)</f>
        <v/>
      </c>
      <c r="AB1042" s="76">
        <f>ROUND(SUM(S1042,V1042,Y1042:Z1042,BA1042:BB1042),2)</f>
        <v/>
      </c>
      <c r="AC1042" s="797" t="n"/>
      <c r="AD1042" s="192">
        <f t="array" ref="AD1042">IFERROR(ROUND((_xlfn.IFS(offer_sale_type="поставка",AB1042,offer_sale_type="транзит",S1042)*(1+AC1042))/E1042,2),0)</f>
        <v/>
      </c>
      <c r="AE1042" s="76">
        <f>AD1042*E1042</f>
        <v/>
      </c>
      <c r="AF1042" s="193">
        <f t="array" ref="AF1042">IFERROR(ROUND(_xlfn.IFS(offer_sale_type="поставка",AB1042,offer_sale_type="транзит",S1042)*AC1042,2),0)</f>
        <v/>
      </c>
      <c r="AG1042" s="192">
        <f>$BD1042*VLOOKUP($AG$3,$AF$4:$AG$7,2,FALSE)</f>
        <v/>
      </c>
      <c r="AH1042" s="76">
        <f>SUM(AE1042,AG1042,AI1042)*rate_forex_risk</f>
        <v/>
      </c>
      <c r="AI1042" s="193">
        <f>IF(OR(seller_region="TR",offer_sale_type="экспорт"),0,rate_fin_comm)*SUM(AZ1042,AZ1042*AW1042,T1042)</f>
        <v/>
      </c>
      <c r="AJ1042" s="118">
        <f>IFERROR(ROUND(SUM(AB1042,AF1042:AI1042)/E1042,2),0)</f>
        <v/>
      </c>
      <c r="AK1042" s="76">
        <f>AJ1042*E1042</f>
        <v/>
      </c>
      <c r="AL1042" s="174">
        <f>ROUND(IFERROR(AM1042*E1042,0),2)</f>
        <v/>
      </c>
      <c r="AM1042" s="175">
        <f>ROUND(AJ1042*(1+IF(offer_incoterms="DDP",IF((TODAY()+offer_turnaround_time)&gt;=helpsheet!$L$17,rate_vatRU_from_26,rate_vatRu_till_25),0)),2)</f>
        <v/>
      </c>
      <c r="AN1042" s="192">
        <f>AL1042-AK1042</f>
        <v/>
      </c>
      <c r="AO1042" s="76">
        <f>SUM(AY1042,Y1042:Z1042,T1042)*IF(AND(offer_incoterms="DDP",offer_sale_type&lt;&gt;"экспорт"),IF((TODAY()+offer_turnaround_time)&gt;=helpsheet!$L$17,rate_vatRU_from_26,rate_vatRu_till_25),0)</f>
        <v/>
      </c>
      <c r="AP1042" s="193">
        <f>AN1042-AO1042</f>
        <v/>
      </c>
      <c r="AQ1042" s="118">
        <f>IF(offer_sale_type="транзит",SUM(AF1042:AI1042,BA1042,BB1042),0)</f>
        <v/>
      </c>
      <c r="AR1042" s="82">
        <f>HYPERLINK("https://www.alta.ru/tnved/code/")&amp;W1042&amp;"/"</f>
        <v/>
      </c>
      <c r="AS1042" s="157" t="n"/>
      <c r="AT1042" s="162" t="n"/>
      <c r="AU1042" s="76">
        <f>IF(ISBLANK(AT1042),0,AJ1042-AT1042)</f>
        <v/>
      </c>
      <c r="AV1042" s="157" t="n"/>
      <c r="AW1042" s="75">
        <f>_xlfn.IFNA(VLOOKUP(L1042,list_vat[],3,FALSE),0)</f>
        <v/>
      </c>
      <c r="AX1042" s="76">
        <f>IFERROR(ROUND(S1042*(1+AW1042)/E1042,2),0)</f>
        <v/>
      </c>
      <c r="AY1042" s="76">
        <f>E1042*AX1042</f>
        <v/>
      </c>
      <c r="AZ1042" s="192">
        <f>S1042*(1+M1042)</f>
        <v/>
      </c>
      <c r="BA1042" s="76">
        <f>cost_fin_total*$BD1042</f>
        <v/>
      </c>
      <c r="BB1042" s="193">
        <f>credit_sales_interest*BD1042</f>
        <v/>
      </c>
      <c r="BC1042" s="102">
        <f>IFERROR(IF($I$13&gt;0,$I1042/$I$13,$S1042/$S$13),0)</f>
        <v/>
      </c>
      <c r="BD1042" s="102">
        <f>IFERROR($S1042/$S$13,0)</f>
        <v/>
      </c>
      <c r="BE1042" s="413" t="inlineStr">
        <is>
          <t>$</t>
        </is>
      </c>
    </row>
    <row r="1043" ht="12" customFormat="1" customHeight="1" s="65">
      <c r="A1043" s="43" t="n">
        <v>1028</v>
      </c>
      <c r="B1043" s="166" t="n"/>
      <c r="C1043" s="166" t="n"/>
      <c r="D1043" s="166" t="n"/>
      <c r="E1043" s="162" t="n"/>
      <c r="F1043" s="166" t="n"/>
      <c r="G1043" s="162" t="n"/>
      <c r="H1043" s="162" t="n"/>
      <c r="I1043" s="189">
        <f>E1043*G1043</f>
        <v/>
      </c>
      <c r="J1043" s="195" t="n"/>
      <c r="K1043" s="162" t="n"/>
      <c r="L1043" s="168" t="n"/>
      <c r="M1043" s="75">
        <f>_xlfn.XLOOKUP(L1043,list_vat[Страна],list_vat[Ставка НДС %],0,0)</f>
        <v/>
      </c>
      <c r="N1043" s="162">
        <f>IFERROR(IF(L1043="Китай",K1043,K1043/(1+M1043)),0)</f>
        <v/>
      </c>
      <c r="O1043" s="169" t="n"/>
      <c r="P1043" s="76">
        <f>N1043*(1-O1043)</f>
        <v/>
      </c>
      <c r="Q1043" s="162" t="n"/>
      <c r="R1043" s="162">
        <f>IF(ISBLANK(Q1043),"введи курс",P1043/Q1043)</f>
        <v/>
      </c>
      <c r="S1043" s="196">
        <f>IF(AND(ISNUMBER(E1043),ISNUMBER(Q1043)),E1043*R1043,0)</f>
        <v/>
      </c>
      <c r="T1043" s="192">
        <f>$BC1043*V$11</f>
        <v/>
      </c>
      <c r="U1043" s="76">
        <f>$BC1043*W$11</f>
        <v/>
      </c>
      <c r="V1043" s="193">
        <f>+SUM(T1043:U1043)</f>
        <v/>
      </c>
      <c r="W1043" s="191" t="n"/>
      <c r="X1043" s="170" t="n"/>
      <c r="Y1043" s="76">
        <f>ROUND(IF(offer_incoterms="DDP",X1043*(S1043*(1+AW1043)+T1043),0),2)</f>
        <v/>
      </c>
      <c r="Z1043" s="188" t="n"/>
      <c r="AA1043" s="192">
        <f>IFERROR(AB1043/E1043,0)</f>
        <v/>
      </c>
      <c r="AB1043" s="76">
        <f>ROUND(SUM(S1043,V1043,Y1043:Z1043,BA1043:BB1043),2)</f>
        <v/>
      </c>
      <c r="AC1043" s="797" t="n"/>
      <c r="AD1043" s="192">
        <f t="array" ref="AD1043">IFERROR(ROUND((_xlfn.IFS(offer_sale_type="поставка",AB1043,offer_sale_type="транзит",S1043)*(1+AC1043))/E1043,2),0)</f>
        <v/>
      </c>
      <c r="AE1043" s="76">
        <f>AD1043*E1043</f>
        <v/>
      </c>
      <c r="AF1043" s="193">
        <f t="array" ref="AF1043">IFERROR(ROUND(_xlfn.IFS(offer_sale_type="поставка",AB1043,offer_sale_type="транзит",S1043)*AC1043,2),0)</f>
        <v/>
      </c>
      <c r="AG1043" s="192">
        <f>$BD1043*VLOOKUP($AG$3,$AF$4:$AG$7,2,FALSE)</f>
        <v/>
      </c>
      <c r="AH1043" s="76">
        <f>SUM(AE1043,AG1043,AI1043)*rate_forex_risk</f>
        <v/>
      </c>
      <c r="AI1043" s="193">
        <f>IF(OR(seller_region="TR",offer_sale_type="экспорт"),0,rate_fin_comm)*SUM(AZ1043,AZ1043*AW1043,T1043)</f>
        <v/>
      </c>
      <c r="AJ1043" s="118">
        <f>IFERROR(ROUND(SUM(AB1043,AF1043:AI1043)/E1043,2),0)</f>
        <v/>
      </c>
      <c r="AK1043" s="76">
        <f>AJ1043*E1043</f>
        <v/>
      </c>
      <c r="AL1043" s="174">
        <f>ROUND(IFERROR(AM1043*E1043,0),2)</f>
        <v/>
      </c>
      <c r="AM1043" s="175">
        <f>ROUND(AJ1043*(1+IF(offer_incoterms="DDP",IF((TODAY()+offer_turnaround_time)&gt;=helpsheet!$L$17,rate_vatRU_from_26,rate_vatRu_till_25),0)),2)</f>
        <v/>
      </c>
      <c r="AN1043" s="192">
        <f>AL1043-AK1043</f>
        <v/>
      </c>
      <c r="AO1043" s="76">
        <f>SUM(AY1043,Y1043:Z1043,T1043)*IF(AND(offer_incoterms="DDP",offer_sale_type&lt;&gt;"экспорт"),IF((TODAY()+offer_turnaround_time)&gt;=helpsheet!$L$17,rate_vatRU_from_26,rate_vatRu_till_25),0)</f>
        <v/>
      </c>
      <c r="AP1043" s="193">
        <f>AN1043-AO1043</f>
        <v/>
      </c>
      <c r="AQ1043" s="118">
        <f>IF(offer_sale_type="транзит",SUM(AF1043:AI1043,BA1043,BB1043),0)</f>
        <v/>
      </c>
      <c r="AR1043" s="82">
        <f>HYPERLINK("https://www.alta.ru/tnved/code/")&amp;W1043&amp;"/"</f>
        <v/>
      </c>
      <c r="AS1043" s="157" t="n"/>
      <c r="AT1043" s="162" t="n"/>
      <c r="AU1043" s="76">
        <f>IF(ISBLANK(AT1043),0,AJ1043-AT1043)</f>
        <v/>
      </c>
      <c r="AV1043" s="157" t="n"/>
      <c r="AW1043" s="75">
        <f>_xlfn.IFNA(VLOOKUP(L1043,list_vat[],3,FALSE),0)</f>
        <v/>
      </c>
      <c r="AX1043" s="76">
        <f>IFERROR(ROUND(S1043*(1+AW1043)/E1043,2),0)</f>
        <v/>
      </c>
      <c r="AY1043" s="76">
        <f>E1043*AX1043</f>
        <v/>
      </c>
      <c r="AZ1043" s="192">
        <f>S1043*(1+M1043)</f>
        <v/>
      </c>
      <c r="BA1043" s="76">
        <f>cost_fin_total*$BD1043</f>
        <v/>
      </c>
      <c r="BB1043" s="193">
        <f>credit_sales_interest*BD1043</f>
        <v/>
      </c>
      <c r="BC1043" s="102">
        <f>IFERROR(IF($I$13&gt;0,$I1043/$I$13,$S1043/$S$13),0)</f>
        <v/>
      </c>
      <c r="BD1043" s="102">
        <f>IFERROR($S1043/$S$13,0)</f>
        <v/>
      </c>
      <c r="BE1043" s="413" t="inlineStr">
        <is>
          <t>$</t>
        </is>
      </c>
    </row>
    <row r="1044" ht="12" customFormat="1" customHeight="1" s="65">
      <c r="A1044" s="43" t="n">
        <v>1029</v>
      </c>
      <c r="B1044" s="166" t="n"/>
      <c r="C1044" s="166" t="n"/>
      <c r="D1044" s="166" t="n"/>
      <c r="E1044" s="162" t="n"/>
      <c r="F1044" s="166" t="n"/>
      <c r="G1044" s="162" t="n"/>
      <c r="H1044" s="162" t="n"/>
      <c r="I1044" s="189">
        <f>E1044*G1044</f>
        <v/>
      </c>
      <c r="J1044" s="195" t="n"/>
      <c r="K1044" s="162" t="n"/>
      <c r="L1044" s="168" t="n"/>
      <c r="M1044" s="75">
        <f>_xlfn.XLOOKUP(L1044,list_vat[Страна],list_vat[Ставка НДС %],0,0)</f>
        <v/>
      </c>
      <c r="N1044" s="162">
        <f>IFERROR(IF(L1044="Китай",K1044,K1044/(1+M1044)),0)</f>
        <v/>
      </c>
      <c r="O1044" s="169" t="n"/>
      <c r="P1044" s="76">
        <f>N1044*(1-O1044)</f>
        <v/>
      </c>
      <c r="Q1044" s="162" t="n"/>
      <c r="R1044" s="162">
        <f>IF(ISBLANK(Q1044),"введи курс",P1044/Q1044)</f>
        <v/>
      </c>
      <c r="S1044" s="196">
        <f>IF(AND(ISNUMBER(E1044),ISNUMBER(Q1044)),E1044*R1044,0)</f>
        <v/>
      </c>
      <c r="T1044" s="192">
        <f>$BC1044*V$11</f>
        <v/>
      </c>
      <c r="U1044" s="76">
        <f>$BC1044*W$11</f>
        <v/>
      </c>
      <c r="V1044" s="193">
        <f>+SUM(T1044:U1044)</f>
        <v/>
      </c>
      <c r="W1044" s="191" t="n"/>
      <c r="X1044" s="170" t="n"/>
      <c r="Y1044" s="76">
        <f>ROUND(IF(offer_incoterms="DDP",X1044*(S1044*(1+AW1044)+T1044),0),2)</f>
        <v/>
      </c>
      <c r="Z1044" s="188" t="n"/>
      <c r="AA1044" s="192">
        <f>IFERROR(AB1044/E1044,0)</f>
        <v/>
      </c>
      <c r="AB1044" s="76">
        <f>ROUND(SUM(S1044,V1044,Y1044:Z1044,BA1044:BB1044),2)</f>
        <v/>
      </c>
      <c r="AC1044" s="797" t="n"/>
      <c r="AD1044" s="192">
        <f t="array" ref="AD1044">IFERROR(ROUND((_xlfn.IFS(offer_sale_type="поставка",AB1044,offer_sale_type="транзит",S1044)*(1+AC1044))/E1044,2),0)</f>
        <v/>
      </c>
      <c r="AE1044" s="76">
        <f>AD1044*E1044</f>
        <v/>
      </c>
      <c r="AF1044" s="193">
        <f t="array" ref="AF1044">IFERROR(ROUND(_xlfn.IFS(offer_sale_type="поставка",AB1044,offer_sale_type="транзит",S1044)*AC1044,2),0)</f>
        <v/>
      </c>
      <c r="AG1044" s="192">
        <f>$BD1044*VLOOKUP($AG$3,$AF$4:$AG$7,2,FALSE)</f>
        <v/>
      </c>
      <c r="AH1044" s="76">
        <f>SUM(AE1044,AG1044,AI1044)*rate_forex_risk</f>
        <v/>
      </c>
      <c r="AI1044" s="193">
        <f>IF(OR(seller_region="TR",offer_sale_type="экспорт"),0,rate_fin_comm)*SUM(AZ1044,AZ1044*AW1044,T1044)</f>
        <v/>
      </c>
      <c r="AJ1044" s="118">
        <f>IFERROR(ROUND(SUM(AB1044,AF1044:AI1044)/E1044,2),0)</f>
        <v/>
      </c>
      <c r="AK1044" s="76">
        <f>AJ1044*E1044</f>
        <v/>
      </c>
      <c r="AL1044" s="174">
        <f>ROUND(IFERROR(AM1044*E1044,0),2)</f>
        <v/>
      </c>
      <c r="AM1044" s="175">
        <f>ROUND(AJ1044*(1+IF(offer_incoterms="DDP",IF((TODAY()+offer_turnaround_time)&gt;=helpsheet!$L$17,rate_vatRU_from_26,rate_vatRu_till_25),0)),2)</f>
        <v/>
      </c>
      <c r="AN1044" s="192">
        <f>AL1044-AK1044</f>
        <v/>
      </c>
      <c r="AO1044" s="76">
        <f>SUM(AY1044,Y1044:Z1044,T1044)*IF(AND(offer_incoterms="DDP",offer_sale_type&lt;&gt;"экспорт"),IF((TODAY()+offer_turnaround_time)&gt;=helpsheet!$L$17,rate_vatRU_from_26,rate_vatRu_till_25),0)</f>
        <v/>
      </c>
      <c r="AP1044" s="193">
        <f>AN1044-AO1044</f>
        <v/>
      </c>
      <c r="AQ1044" s="118">
        <f>IF(offer_sale_type="транзит",SUM(AF1044:AI1044,BA1044,BB1044),0)</f>
        <v/>
      </c>
      <c r="AR1044" s="82">
        <f>HYPERLINK("https://www.alta.ru/tnved/code/")&amp;W1044&amp;"/"</f>
        <v/>
      </c>
      <c r="AS1044" s="157" t="n"/>
      <c r="AT1044" s="162" t="n"/>
      <c r="AU1044" s="76">
        <f>IF(ISBLANK(AT1044),0,AJ1044-AT1044)</f>
        <v/>
      </c>
      <c r="AV1044" s="157" t="n"/>
      <c r="AW1044" s="75">
        <f>_xlfn.IFNA(VLOOKUP(L1044,list_vat[],3,FALSE),0)</f>
        <v/>
      </c>
      <c r="AX1044" s="76">
        <f>IFERROR(ROUND(S1044*(1+AW1044)/E1044,2),0)</f>
        <v/>
      </c>
      <c r="AY1044" s="76">
        <f>E1044*AX1044</f>
        <v/>
      </c>
      <c r="AZ1044" s="192">
        <f>S1044*(1+M1044)</f>
        <v/>
      </c>
      <c r="BA1044" s="76">
        <f>cost_fin_total*$BD1044</f>
        <v/>
      </c>
      <c r="BB1044" s="193">
        <f>credit_sales_interest*BD1044</f>
        <v/>
      </c>
      <c r="BC1044" s="102">
        <f>IFERROR(IF($I$13&gt;0,$I1044/$I$13,$S1044/$S$13),0)</f>
        <v/>
      </c>
      <c r="BD1044" s="102">
        <f>IFERROR($S1044/$S$13,0)</f>
        <v/>
      </c>
      <c r="BE1044" s="413" t="inlineStr">
        <is>
          <t>$</t>
        </is>
      </c>
    </row>
    <row r="1045" ht="12" customFormat="1" customHeight="1" s="65">
      <c r="A1045" s="43" t="n">
        <v>1030</v>
      </c>
      <c r="B1045" s="166" t="n"/>
      <c r="C1045" s="166" t="n"/>
      <c r="D1045" s="166" t="n"/>
      <c r="E1045" s="162" t="n"/>
      <c r="F1045" s="166" t="n"/>
      <c r="G1045" s="162" t="n"/>
      <c r="H1045" s="162" t="n"/>
      <c r="I1045" s="189">
        <f>E1045*G1045</f>
        <v/>
      </c>
      <c r="J1045" s="195" t="n"/>
      <c r="K1045" s="162" t="n"/>
      <c r="L1045" s="168" t="n"/>
      <c r="M1045" s="75">
        <f>_xlfn.XLOOKUP(L1045,list_vat[Страна],list_vat[Ставка НДС %],0,0)</f>
        <v/>
      </c>
      <c r="N1045" s="162">
        <f>IFERROR(IF(L1045="Китай",K1045,K1045/(1+M1045)),0)</f>
        <v/>
      </c>
      <c r="O1045" s="169" t="n"/>
      <c r="P1045" s="76">
        <f>N1045*(1-O1045)</f>
        <v/>
      </c>
      <c r="Q1045" s="162" t="n"/>
      <c r="R1045" s="162">
        <f>IF(ISBLANK(Q1045),"введи курс",P1045/Q1045)</f>
        <v/>
      </c>
      <c r="S1045" s="196">
        <f>IF(AND(ISNUMBER(E1045),ISNUMBER(Q1045)),E1045*R1045,0)</f>
        <v/>
      </c>
      <c r="T1045" s="192">
        <f>$BC1045*V$11</f>
        <v/>
      </c>
      <c r="U1045" s="76">
        <f>$BC1045*W$11</f>
        <v/>
      </c>
      <c r="V1045" s="193">
        <f>+SUM(T1045:U1045)</f>
        <v/>
      </c>
      <c r="W1045" s="191" t="n"/>
      <c r="X1045" s="170" t="n"/>
      <c r="Y1045" s="76">
        <f>ROUND(IF(offer_incoterms="DDP",X1045*(S1045*(1+AW1045)+T1045),0),2)</f>
        <v/>
      </c>
      <c r="Z1045" s="188" t="n"/>
      <c r="AA1045" s="192">
        <f>IFERROR(AB1045/E1045,0)</f>
        <v/>
      </c>
      <c r="AB1045" s="76">
        <f>ROUND(SUM(S1045,V1045,Y1045:Z1045,BA1045:BB1045),2)</f>
        <v/>
      </c>
      <c r="AC1045" s="797" t="n"/>
      <c r="AD1045" s="192">
        <f t="array" ref="AD1045">IFERROR(ROUND((_xlfn.IFS(offer_sale_type="поставка",AB1045,offer_sale_type="транзит",S1045)*(1+AC1045))/E1045,2),0)</f>
        <v/>
      </c>
      <c r="AE1045" s="76">
        <f>AD1045*E1045</f>
        <v/>
      </c>
      <c r="AF1045" s="193">
        <f t="array" ref="AF1045">IFERROR(ROUND(_xlfn.IFS(offer_sale_type="поставка",AB1045,offer_sale_type="транзит",S1045)*AC1045,2),0)</f>
        <v/>
      </c>
      <c r="AG1045" s="192">
        <f>$BD1045*VLOOKUP($AG$3,$AF$4:$AG$7,2,FALSE)</f>
        <v/>
      </c>
      <c r="AH1045" s="76">
        <f>SUM(AE1045,AG1045,AI1045)*rate_forex_risk</f>
        <v/>
      </c>
      <c r="AI1045" s="193">
        <f>IF(OR(seller_region="TR",offer_sale_type="экспорт"),0,rate_fin_comm)*SUM(AZ1045,AZ1045*AW1045,T1045)</f>
        <v/>
      </c>
      <c r="AJ1045" s="118">
        <f>IFERROR(ROUND(SUM(AB1045,AF1045:AI1045)/E1045,2),0)</f>
        <v/>
      </c>
      <c r="AK1045" s="76">
        <f>AJ1045*E1045</f>
        <v/>
      </c>
      <c r="AL1045" s="174">
        <f>ROUND(IFERROR(AM1045*E1045,0),2)</f>
        <v/>
      </c>
      <c r="AM1045" s="175">
        <f>ROUND(AJ1045*(1+IF(offer_incoterms="DDP",IF((TODAY()+offer_turnaround_time)&gt;=helpsheet!$L$17,rate_vatRU_from_26,rate_vatRu_till_25),0)),2)</f>
        <v/>
      </c>
      <c r="AN1045" s="192">
        <f>AL1045-AK1045</f>
        <v/>
      </c>
      <c r="AO1045" s="76">
        <f>SUM(AY1045,Y1045:Z1045,T1045)*IF(AND(offer_incoterms="DDP",offer_sale_type&lt;&gt;"экспорт"),IF((TODAY()+offer_turnaround_time)&gt;=helpsheet!$L$17,rate_vatRU_from_26,rate_vatRu_till_25),0)</f>
        <v/>
      </c>
      <c r="AP1045" s="193">
        <f>AN1045-AO1045</f>
        <v/>
      </c>
      <c r="AQ1045" s="118">
        <f>IF(offer_sale_type="транзит",SUM(AF1045:AI1045,BA1045,BB1045),0)</f>
        <v/>
      </c>
      <c r="AR1045" s="82">
        <f>HYPERLINK("https://www.alta.ru/tnved/code/")&amp;W1045&amp;"/"</f>
        <v/>
      </c>
      <c r="AS1045" s="157" t="n"/>
      <c r="AT1045" s="162" t="n"/>
      <c r="AU1045" s="76">
        <f>IF(ISBLANK(AT1045),0,AJ1045-AT1045)</f>
        <v/>
      </c>
      <c r="AV1045" s="157" t="n"/>
      <c r="AW1045" s="75">
        <f>_xlfn.IFNA(VLOOKUP(L1045,list_vat[],3,FALSE),0)</f>
        <v/>
      </c>
      <c r="AX1045" s="76">
        <f>IFERROR(ROUND(S1045*(1+AW1045)/E1045,2),0)</f>
        <v/>
      </c>
      <c r="AY1045" s="76">
        <f>E1045*AX1045</f>
        <v/>
      </c>
      <c r="AZ1045" s="192">
        <f>S1045*(1+M1045)</f>
        <v/>
      </c>
      <c r="BA1045" s="76">
        <f>cost_fin_total*$BD1045</f>
        <v/>
      </c>
      <c r="BB1045" s="193">
        <f>credit_sales_interest*BD1045</f>
        <v/>
      </c>
      <c r="BC1045" s="102">
        <f>IFERROR(IF($I$13&gt;0,$I1045/$I$13,$S1045/$S$13),0)</f>
        <v/>
      </c>
      <c r="BD1045" s="102">
        <f>IFERROR($S1045/$S$13,0)</f>
        <v/>
      </c>
      <c r="BE1045" s="413" t="inlineStr">
        <is>
          <t>$</t>
        </is>
      </c>
    </row>
    <row r="1046" ht="12" customFormat="1" customHeight="1" s="65">
      <c r="A1046" s="43" t="n">
        <v>1031</v>
      </c>
      <c r="B1046" s="166" t="n"/>
      <c r="C1046" s="166" t="n"/>
      <c r="D1046" s="166" t="n"/>
      <c r="E1046" s="162" t="n"/>
      <c r="F1046" s="166" t="n"/>
      <c r="G1046" s="162" t="n"/>
      <c r="H1046" s="162" t="n"/>
      <c r="I1046" s="189">
        <f>E1046*G1046</f>
        <v/>
      </c>
      <c r="J1046" s="195" t="n"/>
      <c r="K1046" s="162" t="n"/>
      <c r="L1046" s="168" t="n"/>
      <c r="M1046" s="75">
        <f>_xlfn.XLOOKUP(L1046,list_vat[Страна],list_vat[Ставка НДС %],0,0)</f>
        <v/>
      </c>
      <c r="N1046" s="162">
        <f>IFERROR(IF(L1046="Китай",K1046,K1046/(1+M1046)),0)</f>
        <v/>
      </c>
      <c r="O1046" s="169" t="n"/>
      <c r="P1046" s="76">
        <f>N1046*(1-O1046)</f>
        <v/>
      </c>
      <c r="Q1046" s="162" t="n"/>
      <c r="R1046" s="162">
        <f>IF(ISBLANK(Q1046),"введи курс",P1046/Q1046)</f>
        <v/>
      </c>
      <c r="S1046" s="196">
        <f>IF(AND(ISNUMBER(E1046),ISNUMBER(Q1046)),E1046*R1046,0)</f>
        <v/>
      </c>
      <c r="T1046" s="192">
        <f>$BC1046*V$11</f>
        <v/>
      </c>
      <c r="U1046" s="76">
        <f>$BC1046*W$11</f>
        <v/>
      </c>
      <c r="V1046" s="193">
        <f>+SUM(T1046:U1046)</f>
        <v/>
      </c>
      <c r="W1046" s="191" t="n"/>
      <c r="X1046" s="170" t="n"/>
      <c r="Y1046" s="76">
        <f>ROUND(IF(offer_incoterms="DDP",X1046*(S1046*(1+AW1046)+T1046),0),2)</f>
        <v/>
      </c>
      <c r="Z1046" s="188" t="n"/>
      <c r="AA1046" s="192">
        <f>IFERROR(AB1046/E1046,0)</f>
        <v/>
      </c>
      <c r="AB1046" s="76">
        <f>ROUND(SUM(S1046,V1046,Y1046:Z1046,BA1046:BB1046),2)</f>
        <v/>
      </c>
      <c r="AC1046" s="797" t="n"/>
      <c r="AD1046" s="192">
        <f t="array" ref="AD1046">IFERROR(ROUND((_xlfn.IFS(offer_sale_type="поставка",AB1046,offer_sale_type="транзит",S1046)*(1+AC1046))/E1046,2),0)</f>
        <v/>
      </c>
      <c r="AE1046" s="76">
        <f>AD1046*E1046</f>
        <v/>
      </c>
      <c r="AF1046" s="193">
        <f t="array" ref="AF1046">IFERROR(ROUND(_xlfn.IFS(offer_sale_type="поставка",AB1046,offer_sale_type="транзит",S1046)*AC1046,2),0)</f>
        <v/>
      </c>
      <c r="AG1046" s="192">
        <f>$BD1046*VLOOKUP($AG$3,$AF$4:$AG$7,2,FALSE)</f>
        <v/>
      </c>
      <c r="AH1046" s="76">
        <f>SUM(AE1046,AG1046,AI1046)*rate_forex_risk</f>
        <v/>
      </c>
      <c r="AI1046" s="193">
        <f>IF(OR(seller_region="TR",offer_sale_type="экспорт"),0,rate_fin_comm)*SUM(AZ1046,AZ1046*AW1046,T1046)</f>
        <v/>
      </c>
      <c r="AJ1046" s="118">
        <f>IFERROR(ROUND(SUM(AB1046,AF1046:AI1046)/E1046,2),0)</f>
        <v/>
      </c>
      <c r="AK1046" s="76">
        <f>AJ1046*E1046</f>
        <v/>
      </c>
      <c r="AL1046" s="174">
        <f>ROUND(IFERROR(AM1046*E1046,0),2)</f>
        <v/>
      </c>
      <c r="AM1046" s="175">
        <f>ROUND(AJ1046*(1+IF(offer_incoterms="DDP",IF((TODAY()+offer_turnaround_time)&gt;=helpsheet!$L$17,rate_vatRU_from_26,rate_vatRu_till_25),0)),2)</f>
        <v/>
      </c>
      <c r="AN1046" s="192">
        <f>AL1046-AK1046</f>
        <v/>
      </c>
      <c r="AO1046" s="76">
        <f>SUM(AY1046,Y1046:Z1046,T1046)*IF(AND(offer_incoterms="DDP",offer_sale_type&lt;&gt;"экспорт"),IF((TODAY()+offer_turnaround_time)&gt;=helpsheet!$L$17,rate_vatRU_from_26,rate_vatRu_till_25),0)</f>
        <v/>
      </c>
      <c r="AP1046" s="193">
        <f>AN1046-AO1046</f>
        <v/>
      </c>
      <c r="AQ1046" s="118">
        <f>IF(offer_sale_type="транзит",SUM(AF1046:AI1046,BA1046,BB1046),0)</f>
        <v/>
      </c>
      <c r="AR1046" s="82">
        <f>HYPERLINK("https://www.alta.ru/tnved/code/")&amp;W1046&amp;"/"</f>
        <v/>
      </c>
      <c r="AS1046" s="157" t="n"/>
      <c r="AT1046" s="162" t="n"/>
      <c r="AU1046" s="76">
        <f>IF(ISBLANK(AT1046),0,AJ1046-AT1046)</f>
        <v/>
      </c>
      <c r="AV1046" s="157" t="n"/>
      <c r="AW1046" s="75">
        <f>_xlfn.IFNA(VLOOKUP(L1046,list_vat[],3,FALSE),0)</f>
        <v/>
      </c>
      <c r="AX1046" s="76">
        <f>IFERROR(ROUND(S1046*(1+AW1046)/E1046,2),0)</f>
        <v/>
      </c>
      <c r="AY1046" s="76">
        <f>E1046*AX1046</f>
        <v/>
      </c>
      <c r="AZ1046" s="192">
        <f>S1046*(1+M1046)</f>
        <v/>
      </c>
      <c r="BA1046" s="76">
        <f>cost_fin_total*$BD1046</f>
        <v/>
      </c>
      <c r="BB1046" s="193">
        <f>credit_sales_interest*BD1046</f>
        <v/>
      </c>
      <c r="BC1046" s="102">
        <f>IFERROR(IF($I$13&gt;0,$I1046/$I$13,$S1046/$S$13),0)</f>
        <v/>
      </c>
      <c r="BD1046" s="102">
        <f>IFERROR($S1046/$S$13,0)</f>
        <v/>
      </c>
      <c r="BE1046" s="413" t="inlineStr">
        <is>
          <t>$</t>
        </is>
      </c>
    </row>
    <row r="1047" ht="12" customFormat="1" customHeight="1" s="65">
      <c r="A1047" s="43" t="n">
        <v>1032</v>
      </c>
      <c r="B1047" s="166" t="n"/>
      <c r="C1047" s="166" t="n"/>
      <c r="D1047" s="166" t="n"/>
      <c r="E1047" s="162" t="n"/>
      <c r="F1047" s="166" t="n"/>
      <c r="G1047" s="162" t="n"/>
      <c r="H1047" s="162" t="n"/>
      <c r="I1047" s="189">
        <f>E1047*G1047</f>
        <v/>
      </c>
      <c r="J1047" s="195" t="n"/>
      <c r="K1047" s="162" t="n"/>
      <c r="L1047" s="168" t="n"/>
      <c r="M1047" s="75">
        <f>_xlfn.XLOOKUP(L1047,list_vat[Страна],list_vat[Ставка НДС %],0,0)</f>
        <v/>
      </c>
      <c r="N1047" s="162">
        <f>IFERROR(IF(L1047="Китай",K1047,K1047/(1+M1047)),0)</f>
        <v/>
      </c>
      <c r="O1047" s="169" t="n"/>
      <c r="P1047" s="76">
        <f>N1047*(1-O1047)</f>
        <v/>
      </c>
      <c r="Q1047" s="162" t="n"/>
      <c r="R1047" s="162">
        <f>IF(ISBLANK(Q1047),"введи курс",P1047/Q1047)</f>
        <v/>
      </c>
      <c r="S1047" s="196">
        <f>IF(AND(ISNUMBER(E1047),ISNUMBER(Q1047)),E1047*R1047,0)</f>
        <v/>
      </c>
      <c r="T1047" s="192">
        <f>$BC1047*V$11</f>
        <v/>
      </c>
      <c r="U1047" s="76">
        <f>$BC1047*W$11</f>
        <v/>
      </c>
      <c r="V1047" s="193">
        <f>+SUM(T1047:U1047)</f>
        <v/>
      </c>
      <c r="W1047" s="191" t="n"/>
      <c r="X1047" s="170" t="n"/>
      <c r="Y1047" s="76">
        <f>ROUND(IF(offer_incoterms="DDP",X1047*(S1047*(1+AW1047)+T1047),0),2)</f>
        <v/>
      </c>
      <c r="Z1047" s="188" t="n"/>
      <c r="AA1047" s="192">
        <f>IFERROR(AB1047/E1047,0)</f>
        <v/>
      </c>
      <c r="AB1047" s="76">
        <f>ROUND(SUM(S1047,V1047,Y1047:Z1047,BA1047:BB1047),2)</f>
        <v/>
      </c>
      <c r="AC1047" s="797" t="n"/>
      <c r="AD1047" s="192">
        <f t="array" ref="AD1047">IFERROR(ROUND((_xlfn.IFS(offer_sale_type="поставка",AB1047,offer_sale_type="транзит",S1047)*(1+AC1047))/E1047,2),0)</f>
        <v/>
      </c>
      <c r="AE1047" s="76">
        <f>AD1047*E1047</f>
        <v/>
      </c>
      <c r="AF1047" s="193">
        <f t="array" ref="AF1047">IFERROR(ROUND(_xlfn.IFS(offer_sale_type="поставка",AB1047,offer_sale_type="транзит",S1047)*AC1047,2),0)</f>
        <v/>
      </c>
      <c r="AG1047" s="192">
        <f>$BD1047*VLOOKUP($AG$3,$AF$4:$AG$7,2,FALSE)</f>
        <v/>
      </c>
      <c r="AH1047" s="76">
        <f>SUM(AE1047,AG1047,AI1047)*rate_forex_risk</f>
        <v/>
      </c>
      <c r="AI1047" s="193">
        <f>IF(OR(seller_region="TR",offer_sale_type="экспорт"),0,rate_fin_comm)*SUM(AZ1047,AZ1047*AW1047,T1047)</f>
        <v/>
      </c>
      <c r="AJ1047" s="118">
        <f>IFERROR(ROUND(SUM(AB1047,AF1047:AI1047)/E1047,2),0)</f>
        <v/>
      </c>
      <c r="AK1047" s="76">
        <f>AJ1047*E1047</f>
        <v/>
      </c>
      <c r="AL1047" s="174">
        <f>ROUND(IFERROR(AM1047*E1047,0),2)</f>
        <v/>
      </c>
      <c r="AM1047" s="175">
        <f>ROUND(AJ1047*(1+IF(offer_incoterms="DDP",IF((TODAY()+offer_turnaround_time)&gt;=helpsheet!$L$17,rate_vatRU_from_26,rate_vatRu_till_25),0)),2)</f>
        <v/>
      </c>
      <c r="AN1047" s="192">
        <f>AL1047-AK1047</f>
        <v/>
      </c>
      <c r="AO1047" s="76">
        <f>SUM(AY1047,Y1047:Z1047,T1047)*IF(AND(offer_incoterms="DDP",offer_sale_type&lt;&gt;"экспорт"),IF((TODAY()+offer_turnaround_time)&gt;=helpsheet!$L$17,rate_vatRU_from_26,rate_vatRu_till_25),0)</f>
        <v/>
      </c>
      <c r="AP1047" s="193">
        <f>AN1047-AO1047</f>
        <v/>
      </c>
      <c r="AQ1047" s="118">
        <f>IF(offer_sale_type="транзит",SUM(AF1047:AI1047,BA1047,BB1047),0)</f>
        <v/>
      </c>
      <c r="AR1047" s="82">
        <f>HYPERLINK("https://www.alta.ru/tnved/code/")&amp;W1047&amp;"/"</f>
        <v/>
      </c>
      <c r="AS1047" s="157" t="n"/>
      <c r="AT1047" s="162" t="n"/>
      <c r="AU1047" s="76">
        <f>IF(ISBLANK(AT1047),0,AJ1047-AT1047)</f>
        <v/>
      </c>
      <c r="AV1047" s="157" t="n"/>
      <c r="AW1047" s="75">
        <f>_xlfn.IFNA(VLOOKUP(L1047,list_vat[],3,FALSE),0)</f>
        <v/>
      </c>
      <c r="AX1047" s="76">
        <f>IFERROR(ROUND(S1047*(1+AW1047)/E1047,2),0)</f>
        <v/>
      </c>
      <c r="AY1047" s="76">
        <f>E1047*AX1047</f>
        <v/>
      </c>
      <c r="AZ1047" s="192">
        <f>S1047*(1+M1047)</f>
        <v/>
      </c>
      <c r="BA1047" s="76">
        <f>cost_fin_total*$BD1047</f>
        <v/>
      </c>
      <c r="BB1047" s="193">
        <f>credit_sales_interest*BD1047</f>
        <v/>
      </c>
      <c r="BC1047" s="102">
        <f>IFERROR(IF($I$13&gt;0,$I1047/$I$13,$S1047/$S$13),0)</f>
        <v/>
      </c>
      <c r="BD1047" s="102">
        <f>IFERROR($S1047/$S$13,0)</f>
        <v/>
      </c>
      <c r="BE1047" s="413" t="inlineStr">
        <is>
          <t>$</t>
        </is>
      </c>
    </row>
    <row r="1048" ht="12" customFormat="1" customHeight="1" s="65">
      <c r="A1048" s="43" t="n">
        <v>1033</v>
      </c>
      <c r="B1048" s="166" t="n"/>
      <c r="C1048" s="166" t="n"/>
      <c r="D1048" s="166" t="n"/>
      <c r="E1048" s="162" t="n"/>
      <c r="F1048" s="166" t="n"/>
      <c r="G1048" s="162" t="n"/>
      <c r="H1048" s="162" t="n"/>
      <c r="I1048" s="189">
        <f>E1048*G1048</f>
        <v/>
      </c>
      <c r="J1048" s="195" t="n"/>
      <c r="K1048" s="162" t="n"/>
      <c r="L1048" s="168" t="n"/>
      <c r="M1048" s="75">
        <f>_xlfn.XLOOKUP(L1048,list_vat[Страна],list_vat[Ставка НДС %],0,0)</f>
        <v/>
      </c>
      <c r="N1048" s="162">
        <f>IFERROR(IF(L1048="Китай",K1048,K1048/(1+M1048)),0)</f>
        <v/>
      </c>
      <c r="O1048" s="169" t="n"/>
      <c r="P1048" s="76">
        <f>N1048*(1-O1048)</f>
        <v/>
      </c>
      <c r="Q1048" s="162" t="n"/>
      <c r="R1048" s="162">
        <f>IF(ISBLANK(Q1048),"введи курс",P1048/Q1048)</f>
        <v/>
      </c>
      <c r="S1048" s="196">
        <f>IF(AND(ISNUMBER(E1048),ISNUMBER(Q1048)),E1048*R1048,0)</f>
        <v/>
      </c>
      <c r="T1048" s="192">
        <f>$BC1048*V$11</f>
        <v/>
      </c>
      <c r="U1048" s="76">
        <f>$BC1048*W$11</f>
        <v/>
      </c>
      <c r="V1048" s="193">
        <f>+SUM(T1048:U1048)</f>
        <v/>
      </c>
      <c r="W1048" s="191" t="n"/>
      <c r="X1048" s="170" t="n"/>
      <c r="Y1048" s="76">
        <f>ROUND(IF(offer_incoterms="DDP",X1048*(S1048*(1+AW1048)+T1048),0),2)</f>
        <v/>
      </c>
      <c r="Z1048" s="188" t="n"/>
      <c r="AA1048" s="192">
        <f>IFERROR(AB1048/E1048,0)</f>
        <v/>
      </c>
      <c r="AB1048" s="76">
        <f>ROUND(SUM(S1048,V1048,Y1048:Z1048,BA1048:BB1048),2)</f>
        <v/>
      </c>
      <c r="AC1048" s="797" t="n"/>
      <c r="AD1048" s="192">
        <f t="array" ref="AD1048">IFERROR(ROUND((_xlfn.IFS(offer_sale_type="поставка",AB1048,offer_sale_type="транзит",S1048)*(1+AC1048))/E1048,2),0)</f>
        <v/>
      </c>
      <c r="AE1048" s="76">
        <f>AD1048*E1048</f>
        <v/>
      </c>
      <c r="AF1048" s="193">
        <f t="array" ref="AF1048">IFERROR(ROUND(_xlfn.IFS(offer_sale_type="поставка",AB1048,offer_sale_type="транзит",S1048)*AC1048,2),0)</f>
        <v/>
      </c>
      <c r="AG1048" s="192">
        <f>$BD1048*VLOOKUP($AG$3,$AF$4:$AG$7,2,FALSE)</f>
        <v/>
      </c>
      <c r="AH1048" s="76">
        <f>SUM(AE1048,AG1048,AI1048)*rate_forex_risk</f>
        <v/>
      </c>
      <c r="AI1048" s="193">
        <f>IF(OR(seller_region="TR",offer_sale_type="экспорт"),0,rate_fin_comm)*SUM(AZ1048,AZ1048*AW1048,T1048)</f>
        <v/>
      </c>
      <c r="AJ1048" s="118">
        <f>IFERROR(ROUND(SUM(AB1048,AF1048:AI1048)/E1048,2),0)</f>
        <v/>
      </c>
      <c r="AK1048" s="76">
        <f>AJ1048*E1048</f>
        <v/>
      </c>
      <c r="AL1048" s="174">
        <f>ROUND(IFERROR(AM1048*E1048,0),2)</f>
        <v/>
      </c>
      <c r="AM1048" s="175">
        <f>ROUND(AJ1048*(1+IF(offer_incoterms="DDP",IF((TODAY()+offer_turnaround_time)&gt;=helpsheet!$L$17,rate_vatRU_from_26,rate_vatRu_till_25),0)),2)</f>
        <v/>
      </c>
      <c r="AN1048" s="192">
        <f>AL1048-AK1048</f>
        <v/>
      </c>
      <c r="AO1048" s="76">
        <f>SUM(AY1048,Y1048:Z1048,T1048)*IF(AND(offer_incoterms="DDP",offer_sale_type&lt;&gt;"экспорт"),IF((TODAY()+offer_turnaround_time)&gt;=helpsheet!$L$17,rate_vatRU_from_26,rate_vatRu_till_25),0)</f>
        <v/>
      </c>
      <c r="AP1048" s="193">
        <f>AN1048-AO1048</f>
        <v/>
      </c>
      <c r="AQ1048" s="118">
        <f>IF(offer_sale_type="транзит",SUM(AF1048:AI1048,BA1048,BB1048),0)</f>
        <v/>
      </c>
      <c r="AR1048" s="82">
        <f>HYPERLINK("https://www.alta.ru/tnved/code/")&amp;W1048&amp;"/"</f>
        <v/>
      </c>
      <c r="AS1048" s="157" t="n"/>
      <c r="AT1048" s="162" t="n"/>
      <c r="AU1048" s="76">
        <f>IF(ISBLANK(AT1048),0,AJ1048-AT1048)</f>
        <v/>
      </c>
      <c r="AV1048" s="157" t="n"/>
      <c r="AW1048" s="75">
        <f>_xlfn.IFNA(VLOOKUP(L1048,list_vat[],3,FALSE),0)</f>
        <v/>
      </c>
      <c r="AX1048" s="76">
        <f>IFERROR(ROUND(S1048*(1+AW1048)/E1048,2),0)</f>
        <v/>
      </c>
      <c r="AY1048" s="76">
        <f>E1048*AX1048</f>
        <v/>
      </c>
      <c r="AZ1048" s="192">
        <f>S1048*(1+M1048)</f>
        <v/>
      </c>
      <c r="BA1048" s="76">
        <f>cost_fin_total*$BD1048</f>
        <v/>
      </c>
      <c r="BB1048" s="193">
        <f>credit_sales_interest*BD1048</f>
        <v/>
      </c>
      <c r="BC1048" s="102">
        <f>IFERROR(IF($I$13&gt;0,$I1048/$I$13,$S1048/$S$13),0)</f>
        <v/>
      </c>
      <c r="BD1048" s="102">
        <f>IFERROR($S1048/$S$13,0)</f>
        <v/>
      </c>
      <c r="BE1048" s="413" t="inlineStr">
        <is>
          <t>$</t>
        </is>
      </c>
    </row>
    <row r="1049" ht="12" customFormat="1" customHeight="1" s="65">
      <c r="A1049" s="43" t="n">
        <v>1034</v>
      </c>
      <c r="B1049" s="166" t="n"/>
      <c r="C1049" s="166" t="n"/>
      <c r="D1049" s="166" t="n"/>
      <c r="E1049" s="162" t="n"/>
      <c r="F1049" s="166" t="n"/>
      <c r="G1049" s="162" t="n"/>
      <c r="H1049" s="162" t="n"/>
      <c r="I1049" s="189">
        <f>E1049*G1049</f>
        <v/>
      </c>
      <c r="J1049" s="195" t="n"/>
      <c r="K1049" s="162" t="n"/>
      <c r="L1049" s="168" t="n"/>
      <c r="M1049" s="75">
        <f>_xlfn.XLOOKUP(L1049,list_vat[Страна],list_vat[Ставка НДС %],0,0)</f>
        <v/>
      </c>
      <c r="N1049" s="162">
        <f>IFERROR(IF(L1049="Китай",K1049,K1049/(1+M1049)),0)</f>
        <v/>
      </c>
      <c r="O1049" s="169" t="n"/>
      <c r="P1049" s="76">
        <f>N1049*(1-O1049)</f>
        <v/>
      </c>
      <c r="Q1049" s="162" t="n"/>
      <c r="R1049" s="162">
        <f>IF(ISBLANK(Q1049),"введи курс",P1049/Q1049)</f>
        <v/>
      </c>
      <c r="S1049" s="196">
        <f>IF(AND(ISNUMBER(E1049),ISNUMBER(Q1049)),E1049*R1049,0)</f>
        <v/>
      </c>
      <c r="T1049" s="192">
        <f>$BC1049*V$11</f>
        <v/>
      </c>
      <c r="U1049" s="76">
        <f>$BC1049*W$11</f>
        <v/>
      </c>
      <c r="V1049" s="193">
        <f>+SUM(T1049:U1049)</f>
        <v/>
      </c>
      <c r="W1049" s="191" t="n"/>
      <c r="X1049" s="170" t="n"/>
      <c r="Y1049" s="76">
        <f>ROUND(IF(offer_incoterms="DDP",X1049*(S1049*(1+AW1049)+T1049),0),2)</f>
        <v/>
      </c>
      <c r="Z1049" s="188" t="n"/>
      <c r="AA1049" s="192">
        <f>IFERROR(AB1049/E1049,0)</f>
        <v/>
      </c>
      <c r="AB1049" s="76">
        <f>ROUND(SUM(S1049,V1049,Y1049:Z1049,BA1049:BB1049),2)</f>
        <v/>
      </c>
      <c r="AC1049" s="797" t="n"/>
      <c r="AD1049" s="192">
        <f t="array" ref="AD1049">IFERROR(ROUND((_xlfn.IFS(offer_sale_type="поставка",AB1049,offer_sale_type="транзит",S1049)*(1+AC1049))/E1049,2),0)</f>
        <v/>
      </c>
      <c r="AE1049" s="76">
        <f>AD1049*E1049</f>
        <v/>
      </c>
      <c r="AF1049" s="193">
        <f t="array" ref="AF1049">IFERROR(ROUND(_xlfn.IFS(offer_sale_type="поставка",AB1049,offer_sale_type="транзит",S1049)*AC1049,2),0)</f>
        <v/>
      </c>
      <c r="AG1049" s="192">
        <f>$BD1049*VLOOKUP($AG$3,$AF$4:$AG$7,2,FALSE)</f>
        <v/>
      </c>
      <c r="AH1049" s="76">
        <f>SUM(AE1049,AG1049,AI1049)*rate_forex_risk</f>
        <v/>
      </c>
      <c r="AI1049" s="193">
        <f>IF(OR(seller_region="TR",offer_sale_type="экспорт"),0,rate_fin_comm)*SUM(AZ1049,AZ1049*AW1049,T1049)</f>
        <v/>
      </c>
      <c r="AJ1049" s="118">
        <f>IFERROR(ROUND(SUM(AB1049,AF1049:AI1049)/E1049,2),0)</f>
        <v/>
      </c>
      <c r="AK1049" s="76">
        <f>AJ1049*E1049</f>
        <v/>
      </c>
      <c r="AL1049" s="174">
        <f>ROUND(IFERROR(AM1049*E1049,0),2)</f>
        <v/>
      </c>
      <c r="AM1049" s="175">
        <f>ROUND(AJ1049*(1+IF(offer_incoterms="DDP",IF((TODAY()+offer_turnaround_time)&gt;=helpsheet!$L$17,rate_vatRU_from_26,rate_vatRu_till_25),0)),2)</f>
        <v/>
      </c>
      <c r="AN1049" s="192">
        <f>AL1049-AK1049</f>
        <v/>
      </c>
      <c r="AO1049" s="76">
        <f>SUM(AY1049,Y1049:Z1049,T1049)*IF(AND(offer_incoterms="DDP",offer_sale_type&lt;&gt;"экспорт"),IF((TODAY()+offer_turnaround_time)&gt;=helpsheet!$L$17,rate_vatRU_from_26,rate_vatRu_till_25),0)</f>
        <v/>
      </c>
      <c r="AP1049" s="193">
        <f>AN1049-AO1049</f>
        <v/>
      </c>
      <c r="AQ1049" s="118">
        <f>IF(offer_sale_type="транзит",SUM(AF1049:AI1049,BA1049,BB1049),0)</f>
        <v/>
      </c>
      <c r="AR1049" s="82">
        <f>HYPERLINK("https://www.alta.ru/tnved/code/")&amp;W1049&amp;"/"</f>
        <v/>
      </c>
      <c r="AS1049" s="157" t="n"/>
      <c r="AT1049" s="162" t="n"/>
      <c r="AU1049" s="76">
        <f>IF(ISBLANK(AT1049),0,AJ1049-AT1049)</f>
        <v/>
      </c>
      <c r="AV1049" s="157" t="n"/>
      <c r="AW1049" s="75">
        <f>_xlfn.IFNA(VLOOKUP(L1049,list_vat[],3,FALSE),0)</f>
        <v/>
      </c>
      <c r="AX1049" s="76">
        <f>IFERROR(ROUND(S1049*(1+AW1049)/E1049,2),0)</f>
        <v/>
      </c>
      <c r="AY1049" s="76">
        <f>E1049*AX1049</f>
        <v/>
      </c>
      <c r="AZ1049" s="192">
        <f>S1049*(1+M1049)</f>
        <v/>
      </c>
      <c r="BA1049" s="76">
        <f>cost_fin_total*$BD1049</f>
        <v/>
      </c>
      <c r="BB1049" s="193">
        <f>credit_sales_interest*BD1049</f>
        <v/>
      </c>
      <c r="BC1049" s="102">
        <f>IFERROR(IF($I$13&gt;0,$I1049/$I$13,$S1049/$S$13),0)</f>
        <v/>
      </c>
      <c r="BD1049" s="102">
        <f>IFERROR($S1049/$S$13,0)</f>
        <v/>
      </c>
      <c r="BE1049" s="413" t="inlineStr">
        <is>
          <t>$</t>
        </is>
      </c>
    </row>
    <row r="1050" ht="12" customFormat="1" customHeight="1" s="65">
      <c r="A1050" s="43" t="n">
        <v>1035</v>
      </c>
      <c r="B1050" s="166" t="n"/>
      <c r="C1050" s="166" t="n"/>
      <c r="D1050" s="166" t="n"/>
      <c r="E1050" s="162" t="n"/>
      <c r="F1050" s="166" t="n"/>
      <c r="G1050" s="162" t="n"/>
      <c r="H1050" s="162" t="n"/>
      <c r="I1050" s="189">
        <f>E1050*G1050</f>
        <v/>
      </c>
      <c r="J1050" s="195" t="n"/>
      <c r="K1050" s="162" t="n"/>
      <c r="L1050" s="168" t="n"/>
      <c r="M1050" s="75">
        <f>_xlfn.XLOOKUP(L1050,list_vat[Страна],list_vat[Ставка НДС %],0,0)</f>
        <v/>
      </c>
      <c r="N1050" s="162">
        <f>IFERROR(IF(L1050="Китай",K1050,K1050/(1+M1050)),0)</f>
        <v/>
      </c>
      <c r="O1050" s="169" t="n"/>
      <c r="P1050" s="76">
        <f>N1050*(1-O1050)</f>
        <v/>
      </c>
      <c r="Q1050" s="162" t="n"/>
      <c r="R1050" s="162">
        <f>IF(ISBLANK(Q1050),"введи курс",P1050/Q1050)</f>
        <v/>
      </c>
      <c r="S1050" s="196">
        <f>IF(AND(ISNUMBER(E1050),ISNUMBER(Q1050)),E1050*R1050,0)</f>
        <v/>
      </c>
      <c r="T1050" s="192">
        <f>$BC1050*V$11</f>
        <v/>
      </c>
      <c r="U1050" s="76">
        <f>$BC1050*W$11</f>
        <v/>
      </c>
      <c r="V1050" s="193">
        <f>+SUM(T1050:U1050)</f>
        <v/>
      </c>
      <c r="W1050" s="191" t="n"/>
      <c r="X1050" s="170" t="n"/>
      <c r="Y1050" s="76">
        <f>ROUND(IF(offer_incoterms="DDP",X1050*(S1050*(1+AW1050)+T1050),0),2)</f>
        <v/>
      </c>
      <c r="Z1050" s="188" t="n"/>
      <c r="AA1050" s="192">
        <f>IFERROR(AB1050/E1050,0)</f>
        <v/>
      </c>
      <c r="AB1050" s="76">
        <f>ROUND(SUM(S1050,V1050,Y1050:Z1050,BA1050:BB1050),2)</f>
        <v/>
      </c>
      <c r="AC1050" s="797" t="n"/>
      <c r="AD1050" s="192">
        <f t="array" ref="AD1050">IFERROR(ROUND((_xlfn.IFS(offer_sale_type="поставка",AB1050,offer_sale_type="транзит",S1050)*(1+AC1050))/E1050,2),0)</f>
        <v/>
      </c>
      <c r="AE1050" s="76">
        <f>AD1050*E1050</f>
        <v/>
      </c>
      <c r="AF1050" s="193">
        <f t="array" ref="AF1050">IFERROR(ROUND(_xlfn.IFS(offer_sale_type="поставка",AB1050,offer_sale_type="транзит",S1050)*AC1050,2),0)</f>
        <v/>
      </c>
      <c r="AG1050" s="192">
        <f>$BD1050*VLOOKUP($AG$3,$AF$4:$AG$7,2,FALSE)</f>
        <v/>
      </c>
      <c r="AH1050" s="76">
        <f>SUM(AE1050,AG1050,AI1050)*rate_forex_risk</f>
        <v/>
      </c>
      <c r="AI1050" s="193">
        <f>IF(OR(seller_region="TR",offer_sale_type="экспорт"),0,rate_fin_comm)*SUM(AZ1050,AZ1050*AW1050,T1050)</f>
        <v/>
      </c>
      <c r="AJ1050" s="118">
        <f>IFERROR(ROUND(SUM(AB1050,AF1050:AI1050)/E1050,2),0)</f>
        <v/>
      </c>
      <c r="AK1050" s="76">
        <f>AJ1050*E1050</f>
        <v/>
      </c>
      <c r="AL1050" s="174">
        <f>ROUND(IFERROR(AM1050*E1050,0),2)</f>
        <v/>
      </c>
      <c r="AM1050" s="175">
        <f>ROUND(AJ1050*(1+IF(offer_incoterms="DDP",IF((TODAY()+offer_turnaround_time)&gt;=helpsheet!$L$17,rate_vatRU_from_26,rate_vatRu_till_25),0)),2)</f>
        <v/>
      </c>
      <c r="AN1050" s="192">
        <f>AL1050-AK1050</f>
        <v/>
      </c>
      <c r="AO1050" s="76">
        <f>SUM(AY1050,Y1050:Z1050,T1050)*IF(AND(offer_incoterms="DDP",offer_sale_type&lt;&gt;"экспорт"),IF((TODAY()+offer_turnaround_time)&gt;=helpsheet!$L$17,rate_vatRU_from_26,rate_vatRu_till_25),0)</f>
        <v/>
      </c>
      <c r="AP1050" s="193">
        <f>AN1050-AO1050</f>
        <v/>
      </c>
      <c r="AQ1050" s="118">
        <f>IF(offer_sale_type="транзит",SUM(AF1050:AI1050,BA1050,BB1050),0)</f>
        <v/>
      </c>
      <c r="AR1050" s="82">
        <f>HYPERLINK("https://www.alta.ru/tnved/code/")&amp;W1050&amp;"/"</f>
        <v/>
      </c>
      <c r="AS1050" s="157" t="n"/>
      <c r="AT1050" s="162" t="n"/>
      <c r="AU1050" s="76">
        <f>IF(ISBLANK(AT1050),0,AJ1050-AT1050)</f>
        <v/>
      </c>
      <c r="AV1050" s="157" t="n"/>
      <c r="AW1050" s="75">
        <f>_xlfn.IFNA(VLOOKUP(L1050,list_vat[],3,FALSE),0)</f>
        <v/>
      </c>
      <c r="AX1050" s="76">
        <f>IFERROR(ROUND(S1050*(1+AW1050)/E1050,2),0)</f>
        <v/>
      </c>
      <c r="AY1050" s="76">
        <f>E1050*AX1050</f>
        <v/>
      </c>
      <c r="AZ1050" s="192">
        <f>S1050*(1+M1050)</f>
        <v/>
      </c>
      <c r="BA1050" s="76">
        <f>cost_fin_total*$BD1050</f>
        <v/>
      </c>
      <c r="BB1050" s="193">
        <f>credit_sales_interest*BD1050</f>
        <v/>
      </c>
      <c r="BC1050" s="102">
        <f>IFERROR(IF($I$13&gt;0,$I1050/$I$13,$S1050/$S$13),0)</f>
        <v/>
      </c>
      <c r="BD1050" s="102">
        <f>IFERROR($S1050/$S$13,0)</f>
        <v/>
      </c>
      <c r="BE1050" s="413" t="inlineStr">
        <is>
          <t>$</t>
        </is>
      </c>
    </row>
    <row r="1051" ht="12" customFormat="1" customHeight="1" s="65">
      <c r="A1051" s="43" t="n">
        <v>1036</v>
      </c>
      <c r="B1051" s="166" t="n"/>
      <c r="C1051" s="166" t="n"/>
      <c r="D1051" s="166" t="n"/>
      <c r="E1051" s="162" t="n"/>
      <c r="F1051" s="166" t="n"/>
      <c r="G1051" s="162" t="n"/>
      <c r="H1051" s="162" t="n"/>
      <c r="I1051" s="189">
        <f>E1051*G1051</f>
        <v/>
      </c>
      <c r="J1051" s="195" t="n"/>
      <c r="K1051" s="162" t="n"/>
      <c r="L1051" s="168" t="n"/>
      <c r="M1051" s="75">
        <f>_xlfn.XLOOKUP(L1051,list_vat[Страна],list_vat[Ставка НДС %],0,0)</f>
        <v/>
      </c>
      <c r="N1051" s="162">
        <f>IFERROR(IF(L1051="Китай",K1051,K1051/(1+M1051)),0)</f>
        <v/>
      </c>
      <c r="O1051" s="169" t="n"/>
      <c r="P1051" s="76">
        <f>N1051*(1-O1051)</f>
        <v/>
      </c>
      <c r="Q1051" s="162" t="n"/>
      <c r="R1051" s="162">
        <f>IF(ISBLANK(Q1051),"введи курс",P1051/Q1051)</f>
        <v/>
      </c>
      <c r="S1051" s="196">
        <f>IF(AND(ISNUMBER(E1051),ISNUMBER(Q1051)),E1051*R1051,0)</f>
        <v/>
      </c>
      <c r="T1051" s="192">
        <f>$BC1051*V$11</f>
        <v/>
      </c>
      <c r="U1051" s="76">
        <f>$BC1051*W$11</f>
        <v/>
      </c>
      <c r="V1051" s="193">
        <f>+SUM(T1051:U1051)</f>
        <v/>
      </c>
      <c r="W1051" s="191" t="n"/>
      <c r="X1051" s="170" t="n"/>
      <c r="Y1051" s="76">
        <f>ROUND(IF(offer_incoterms="DDP",X1051*(S1051*(1+AW1051)+T1051),0),2)</f>
        <v/>
      </c>
      <c r="Z1051" s="188" t="n"/>
      <c r="AA1051" s="192">
        <f>IFERROR(AB1051/E1051,0)</f>
        <v/>
      </c>
      <c r="AB1051" s="76">
        <f>ROUND(SUM(S1051,V1051,Y1051:Z1051,BA1051:BB1051),2)</f>
        <v/>
      </c>
      <c r="AC1051" s="797" t="n"/>
      <c r="AD1051" s="192">
        <f t="array" ref="AD1051">IFERROR(ROUND((_xlfn.IFS(offer_sale_type="поставка",AB1051,offer_sale_type="транзит",S1051)*(1+AC1051))/E1051,2),0)</f>
        <v/>
      </c>
      <c r="AE1051" s="76">
        <f>AD1051*E1051</f>
        <v/>
      </c>
      <c r="AF1051" s="193">
        <f t="array" ref="AF1051">IFERROR(ROUND(_xlfn.IFS(offer_sale_type="поставка",AB1051,offer_sale_type="транзит",S1051)*AC1051,2),0)</f>
        <v/>
      </c>
      <c r="AG1051" s="192">
        <f>$BD1051*VLOOKUP($AG$3,$AF$4:$AG$7,2,FALSE)</f>
        <v/>
      </c>
      <c r="AH1051" s="76">
        <f>SUM(AE1051,AG1051,AI1051)*rate_forex_risk</f>
        <v/>
      </c>
      <c r="AI1051" s="193">
        <f>IF(OR(seller_region="TR",offer_sale_type="экспорт"),0,rate_fin_comm)*SUM(AZ1051,AZ1051*AW1051,T1051)</f>
        <v/>
      </c>
      <c r="AJ1051" s="118">
        <f>IFERROR(ROUND(SUM(AB1051,AF1051:AI1051)/E1051,2),0)</f>
        <v/>
      </c>
      <c r="AK1051" s="76">
        <f>AJ1051*E1051</f>
        <v/>
      </c>
      <c r="AL1051" s="174">
        <f>ROUND(IFERROR(AM1051*E1051,0),2)</f>
        <v/>
      </c>
      <c r="AM1051" s="175">
        <f>ROUND(AJ1051*(1+IF(offer_incoterms="DDP",IF((TODAY()+offer_turnaround_time)&gt;=helpsheet!$L$17,rate_vatRU_from_26,rate_vatRu_till_25),0)),2)</f>
        <v/>
      </c>
      <c r="AN1051" s="192">
        <f>AL1051-AK1051</f>
        <v/>
      </c>
      <c r="AO1051" s="76">
        <f>SUM(AY1051,Y1051:Z1051,T1051)*IF(AND(offer_incoterms="DDP",offer_sale_type&lt;&gt;"экспорт"),IF((TODAY()+offer_turnaround_time)&gt;=helpsheet!$L$17,rate_vatRU_from_26,rate_vatRu_till_25),0)</f>
        <v/>
      </c>
      <c r="AP1051" s="193">
        <f>AN1051-AO1051</f>
        <v/>
      </c>
      <c r="AQ1051" s="118">
        <f>IF(offer_sale_type="транзит",SUM(AF1051:AI1051,BA1051,BB1051),0)</f>
        <v/>
      </c>
      <c r="AR1051" s="82">
        <f>HYPERLINK("https://www.alta.ru/tnved/code/")&amp;W1051&amp;"/"</f>
        <v/>
      </c>
      <c r="AS1051" s="157" t="n"/>
      <c r="AT1051" s="162" t="n"/>
      <c r="AU1051" s="76">
        <f>IF(ISBLANK(AT1051),0,AJ1051-AT1051)</f>
        <v/>
      </c>
      <c r="AV1051" s="157" t="n"/>
      <c r="AW1051" s="75">
        <f>_xlfn.IFNA(VLOOKUP(L1051,list_vat[],3,FALSE),0)</f>
        <v/>
      </c>
      <c r="AX1051" s="76">
        <f>IFERROR(ROUND(S1051*(1+AW1051)/E1051,2),0)</f>
        <v/>
      </c>
      <c r="AY1051" s="76">
        <f>E1051*AX1051</f>
        <v/>
      </c>
      <c r="AZ1051" s="192">
        <f>S1051*(1+M1051)</f>
        <v/>
      </c>
      <c r="BA1051" s="76">
        <f>cost_fin_total*$BD1051</f>
        <v/>
      </c>
      <c r="BB1051" s="193">
        <f>credit_sales_interest*BD1051</f>
        <v/>
      </c>
      <c r="BC1051" s="102">
        <f>IFERROR(IF($I$13&gt;0,$I1051/$I$13,$S1051/$S$13),0)</f>
        <v/>
      </c>
      <c r="BD1051" s="102">
        <f>IFERROR($S1051/$S$13,0)</f>
        <v/>
      </c>
      <c r="BE1051" s="413" t="inlineStr">
        <is>
          <t>$</t>
        </is>
      </c>
    </row>
    <row r="1052" ht="12" customFormat="1" customHeight="1" s="65">
      <c r="A1052" s="43" t="n">
        <v>1037</v>
      </c>
      <c r="B1052" s="166" t="n"/>
      <c r="C1052" s="166" t="n"/>
      <c r="D1052" s="166" t="n"/>
      <c r="E1052" s="162" t="n"/>
      <c r="F1052" s="166" t="n"/>
      <c r="G1052" s="162" t="n"/>
      <c r="H1052" s="162" t="n"/>
      <c r="I1052" s="189">
        <f>E1052*G1052</f>
        <v/>
      </c>
      <c r="J1052" s="195" t="n"/>
      <c r="K1052" s="162" t="n"/>
      <c r="L1052" s="168" t="n"/>
      <c r="M1052" s="75">
        <f>_xlfn.XLOOKUP(L1052,list_vat[Страна],list_vat[Ставка НДС %],0,0)</f>
        <v/>
      </c>
      <c r="N1052" s="162">
        <f>IFERROR(IF(L1052="Китай",K1052,K1052/(1+M1052)),0)</f>
        <v/>
      </c>
      <c r="O1052" s="169" t="n"/>
      <c r="P1052" s="76">
        <f>N1052*(1-O1052)</f>
        <v/>
      </c>
      <c r="Q1052" s="162" t="n"/>
      <c r="R1052" s="162">
        <f>IF(ISBLANK(Q1052),"введи курс",P1052/Q1052)</f>
        <v/>
      </c>
      <c r="S1052" s="196">
        <f>IF(AND(ISNUMBER(E1052),ISNUMBER(Q1052)),E1052*R1052,0)</f>
        <v/>
      </c>
      <c r="T1052" s="192">
        <f>$BC1052*V$11</f>
        <v/>
      </c>
      <c r="U1052" s="76">
        <f>$BC1052*W$11</f>
        <v/>
      </c>
      <c r="V1052" s="193">
        <f>+SUM(T1052:U1052)</f>
        <v/>
      </c>
      <c r="W1052" s="191" t="n"/>
      <c r="X1052" s="170" t="n"/>
      <c r="Y1052" s="76">
        <f>ROUND(IF(offer_incoterms="DDP",X1052*(S1052*(1+AW1052)+T1052),0),2)</f>
        <v/>
      </c>
      <c r="Z1052" s="188" t="n"/>
      <c r="AA1052" s="192">
        <f>IFERROR(AB1052/E1052,0)</f>
        <v/>
      </c>
      <c r="AB1052" s="76">
        <f>ROUND(SUM(S1052,V1052,Y1052:Z1052,BA1052:BB1052),2)</f>
        <v/>
      </c>
      <c r="AC1052" s="797" t="n"/>
      <c r="AD1052" s="192">
        <f t="array" ref="AD1052">IFERROR(ROUND((_xlfn.IFS(offer_sale_type="поставка",AB1052,offer_sale_type="транзит",S1052)*(1+AC1052))/E1052,2),0)</f>
        <v/>
      </c>
      <c r="AE1052" s="76">
        <f>AD1052*E1052</f>
        <v/>
      </c>
      <c r="AF1052" s="193">
        <f t="array" ref="AF1052">IFERROR(ROUND(_xlfn.IFS(offer_sale_type="поставка",AB1052,offer_sale_type="транзит",S1052)*AC1052,2),0)</f>
        <v/>
      </c>
      <c r="AG1052" s="192">
        <f>$BD1052*VLOOKUP($AG$3,$AF$4:$AG$7,2,FALSE)</f>
        <v/>
      </c>
      <c r="AH1052" s="76">
        <f>SUM(AE1052,AG1052,AI1052)*rate_forex_risk</f>
        <v/>
      </c>
      <c r="AI1052" s="193">
        <f>IF(OR(seller_region="TR",offer_sale_type="экспорт"),0,rate_fin_comm)*SUM(AZ1052,AZ1052*AW1052,T1052)</f>
        <v/>
      </c>
      <c r="AJ1052" s="118">
        <f>IFERROR(ROUND(SUM(AB1052,AF1052:AI1052)/E1052,2),0)</f>
        <v/>
      </c>
      <c r="AK1052" s="76">
        <f>AJ1052*E1052</f>
        <v/>
      </c>
      <c r="AL1052" s="174">
        <f>ROUND(IFERROR(AM1052*E1052,0),2)</f>
        <v/>
      </c>
      <c r="AM1052" s="175">
        <f>ROUND(AJ1052*(1+IF(offer_incoterms="DDP",IF((TODAY()+offer_turnaround_time)&gt;=helpsheet!$L$17,rate_vatRU_from_26,rate_vatRu_till_25),0)),2)</f>
        <v/>
      </c>
      <c r="AN1052" s="192">
        <f>AL1052-AK1052</f>
        <v/>
      </c>
      <c r="AO1052" s="76">
        <f>SUM(AY1052,Y1052:Z1052,T1052)*IF(AND(offer_incoterms="DDP",offer_sale_type&lt;&gt;"экспорт"),IF((TODAY()+offer_turnaround_time)&gt;=helpsheet!$L$17,rate_vatRU_from_26,rate_vatRu_till_25),0)</f>
        <v/>
      </c>
      <c r="AP1052" s="193">
        <f>AN1052-AO1052</f>
        <v/>
      </c>
      <c r="AQ1052" s="118">
        <f>IF(offer_sale_type="транзит",SUM(AF1052:AI1052,BA1052,BB1052),0)</f>
        <v/>
      </c>
      <c r="AR1052" s="82">
        <f>HYPERLINK("https://www.alta.ru/tnved/code/")&amp;W1052&amp;"/"</f>
        <v/>
      </c>
      <c r="AS1052" s="157" t="n"/>
      <c r="AT1052" s="162" t="n"/>
      <c r="AU1052" s="76">
        <f>IF(ISBLANK(AT1052),0,AJ1052-AT1052)</f>
        <v/>
      </c>
      <c r="AV1052" s="157" t="n"/>
      <c r="AW1052" s="75">
        <f>_xlfn.IFNA(VLOOKUP(L1052,list_vat[],3,FALSE),0)</f>
        <v/>
      </c>
      <c r="AX1052" s="76">
        <f>IFERROR(ROUND(S1052*(1+AW1052)/E1052,2),0)</f>
        <v/>
      </c>
      <c r="AY1052" s="76">
        <f>E1052*AX1052</f>
        <v/>
      </c>
      <c r="AZ1052" s="192">
        <f>S1052*(1+M1052)</f>
        <v/>
      </c>
      <c r="BA1052" s="76">
        <f>cost_fin_total*$BD1052</f>
        <v/>
      </c>
      <c r="BB1052" s="193">
        <f>credit_sales_interest*BD1052</f>
        <v/>
      </c>
      <c r="BC1052" s="102">
        <f>IFERROR(IF($I$13&gt;0,$I1052/$I$13,$S1052/$S$13),0)</f>
        <v/>
      </c>
      <c r="BD1052" s="102">
        <f>IFERROR($S1052/$S$13,0)</f>
        <v/>
      </c>
      <c r="BE1052" s="413" t="inlineStr">
        <is>
          <t>$</t>
        </is>
      </c>
    </row>
    <row r="1053" ht="12" customFormat="1" customHeight="1" s="65">
      <c r="A1053" s="43" t="n">
        <v>1038</v>
      </c>
      <c r="B1053" s="166" t="n"/>
      <c r="C1053" s="166" t="n"/>
      <c r="D1053" s="166" t="n"/>
      <c r="E1053" s="162" t="n"/>
      <c r="F1053" s="166" t="n"/>
      <c r="G1053" s="162" t="n"/>
      <c r="H1053" s="162" t="n"/>
      <c r="I1053" s="189">
        <f>E1053*G1053</f>
        <v/>
      </c>
      <c r="J1053" s="195" t="n"/>
      <c r="K1053" s="162" t="n"/>
      <c r="L1053" s="168" t="n"/>
      <c r="M1053" s="75">
        <f>_xlfn.XLOOKUP(L1053,list_vat[Страна],list_vat[Ставка НДС %],0,0)</f>
        <v/>
      </c>
      <c r="N1053" s="162">
        <f>IFERROR(IF(L1053="Китай",K1053,K1053/(1+M1053)),0)</f>
        <v/>
      </c>
      <c r="O1053" s="169" t="n"/>
      <c r="P1053" s="76">
        <f>N1053*(1-O1053)</f>
        <v/>
      </c>
      <c r="Q1053" s="162" t="n"/>
      <c r="R1053" s="162">
        <f>IF(ISBLANK(Q1053),"введи курс",P1053/Q1053)</f>
        <v/>
      </c>
      <c r="S1053" s="196">
        <f>IF(AND(ISNUMBER(E1053),ISNUMBER(Q1053)),E1053*R1053,0)</f>
        <v/>
      </c>
      <c r="T1053" s="192">
        <f>$BC1053*V$11</f>
        <v/>
      </c>
      <c r="U1053" s="76">
        <f>$BC1053*W$11</f>
        <v/>
      </c>
      <c r="V1053" s="193">
        <f>+SUM(T1053:U1053)</f>
        <v/>
      </c>
      <c r="W1053" s="191" t="n"/>
      <c r="X1053" s="170" t="n"/>
      <c r="Y1053" s="76">
        <f>ROUND(IF(offer_incoterms="DDP",X1053*(S1053*(1+AW1053)+T1053),0),2)</f>
        <v/>
      </c>
      <c r="Z1053" s="188" t="n"/>
      <c r="AA1053" s="192">
        <f>IFERROR(AB1053/E1053,0)</f>
        <v/>
      </c>
      <c r="AB1053" s="76">
        <f>ROUND(SUM(S1053,V1053,Y1053:Z1053,BA1053:BB1053),2)</f>
        <v/>
      </c>
      <c r="AC1053" s="797" t="n"/>
      <c r="AD1053" s="192">
        <f t="array" ref="AD1053">IFERROR(ROUND((_xlfn.IFS(offer_sale_type="поставка",AB1053,offer_sale_type="транзит",S1053)*(1+AC1053))/E1053,2),0)</f>
        <v/>
      </c>
      <c r="AE1053" s="76">
        <f>AD1053*E1053</f>
        <v/>
      </c>
      <c r="AF1053" s="193">
        <f t="array" ref="AF1053">IFERROR(ROUND(_xlfn.IFS(offer_sale_type="поставка",AB1053,offer_sale_type="транзит",S1053)*AC1053,2),0)</f>
        <v/>
      </c>
      <c r="AG1053" s="192">
        <f>$BD1053*VLOOKUP($AG$3,$AF$4:$AG$7,2,FALSE)</f>
        <v/>
      </c>
      <c r="AH1053" s="76">
        <f>SUM(AE1053,AG1053,AI1053)*rate_forex_risk</f>
        <v/>
      </c>
      <c r="AI1053" s="193">
        <f>IF(OR(seller_region="TR",offer_sale_type="экспорт"),0,rate_fin_comm)*SUM(AZ1053,AZ1053*AW1053,T1053)</f>
        <v/>
      </c>
      <c r="AJ1053" s="118">
        <f>IFERROR(ROUND(SUM(AB1053,AF1053:AI1053)/E1053,2),0)</f>
        <v/>
      </c>
      <c r="AK1053" s="76">
        <f>AJ1053*E1053</f>
        <v/>
      </c>
      <c r="AL1053" s="174">
        <f>ROUND(IFERROR(AM1053*E1053,0),2)</f>
        <v/>
      </c>
      <c r="AM1053" s="175">
        <f>ROUND(AJ1053*(1+IF(offer_incoterms="DDP",IF((TODAY()+offer_turnaround_time)&gt;=helpsheet!$L$17,rate_vatRU_from_26,rate_vatRu_till_25),0)),2)</f>
        <v/>
      </c>
      <c r="AN1053" s="192">
        <f>AL1053-AK1053</f>
        <v/>
      </c>
      <c r="AO1053" s="76">
        <f>SUM(AY1053,Y1053:Z1053,T1053)*IF(AND(offer_incoterms="DDP",offer_sale_type&lt;&gt;"экспорт"),IF((TODAY()+offer_turnaround_time)&gt;=helpsheet!$L$17,rate_vatRU_from_26,rate_vatRu_till_25),0)</f>
        <v/>
      </c>
      <c r="AP1053" s="193">
        <f>AN1053-AO1053</f>
        <v/>
      </c>
      <c r="AQ1053" s="118">
        <f>IF(offer_sale_type="транзит",SUM(AF1053:AI1053,BA1053,BB1053),0)</f>
        <v/>
      </c>
      <c r="AR1053" s="82">
        <f>HYPERLINK("https://www.alta.ru/tnved/code/")&amp;W1053&amp;"/"</f>
        <v/>
      </c>
      <c r="AS1053" s="157" t="n"/>
      <c r="AT1053" s="162" t="n"/>
      <c r="AU1053" s="76">
        <f>IF(ISBLANK(AT1053),0,AJ1053-AT1053)</f>
        <v/>
      </c>
      <c r="AV1053" s="157" t="n"/>
      <c r="AW1053" s="75">
        <f>_xlfn.IFNA(VLOOKUP(L1053,list_vat[],3,FALSE),0)</f>
        <v/>
      </c>
      <c r="AX1053" s="76">
        <f>IFERROR(ROUND(S1053*(1+AW1053)/E1053,2),0)</f>
        <v/>
      </c>
      <c r="AY1053" s="76">
        <f>E1053*AX1053</f>
        <v/>
      </c>
      <c r="AZ1053" s="192">
        <f>S1053*(1+M1053)</f>
        <v/>
      </c>
      <c r="BA1053" s="76">
        <f>cost_fin_total*$BD1053</f>
        <v/>
      </c>
      <c r="BB1053" s="193">
        <f>credit_sales_interest*BD1053</f>
        <v/>
      </c>
      <c r="BC1053" s="102">
        <f>IFERROR(IF($I$13&gt;0,$I1053/$I$13,$S1053/$S$13),0)</f>
        <v/>
      </c>
      <c r="BD1053" s="102">
        <f>IFERROR($S1053/$S$13,0)</f>
        <v/>
      </c>
      <c r="BE1053" s="413" t="inlineStr">
        <is>
          <t>$</t>
        </is>
      </c>
    </row>
    <row r="1054" ht="12" customFormat="1" customHeight="1" s="65">
      <c r="A1054" s="43" t="n">
        <v>1039</v>
      </c>
      <c r="B1054" s="166" t="n"/>
      <c r="C1054" s="166" t="n"/>
      <c r="D1054" s="166" t="n"/>
      <c r="E1054" s="162" t="n"/>
      <c r="F1054" s="166" t="n"/>
      <c r="G1054" s="162" t="n"/>
      <c r="H1054" s="162" t="n"/>
      <c r="I1054" s="189">
        <f>E1054*G1054</f>
        <v/>
      </c>
      <c r="J1054" s="195" t="n"/>
      <c r="K1054" s="162" t="n"/>
      <c r="L1054" s="168" t="n"/>
      <c r="M1054" s="75">
        <f>_xlfn.XLOOKUP(L1054,list_vat[Страна],list_vat[Ставка НДС %],0,0)</f>
        <v/>
      </c>
      <c r="N1054" s="162">
        <f>IFERROR(IF(L1054="Китай",K1054,K1054/(1+M1054)),0)</f>
        <v/>
      </c>
      <c r="O1054" s="169" t="n"/>
      <c r="P1054" s="76">
        <f>N1054*(1-O1054)</f>
        <v/>
      </c>
      <c r="Q1054" s="162" t="n"/>
      <c r="R1054" s="162">
        <f>IF(ISBLANK(Q1054),"введи курс",P1054/Q1054)</f>
        <v/>
      </c>
      <c r="S1054" s="196">
        <f>IF(AND(ISNUMBER(E1054),ISNUMBER(Q1054)),E1054*R1054,0)</f>
        <v/>
      </c>
      <c r="T1054" s="192">
        <f>$BC1054*V$11</f>
        <v/>
      </c>
      <c r="U1054" s="76">
        <f>$BC1054*W$11</f>
        <v/>
      </c>
      <c r="V1054" s="193">
        <f>+SUM(T1054:U1054)</f>
        <v/>
      </c>
      <c r="W1054" s="191" t="n"/>
      <c r="X1054" s="170" t="n"/>
      <c r="Y1054" s="76">
        <f>ROUND(IF(offer_incoterms="DDP",X1054*(S1054*(1+AW1054)+T1054),0),2)</f>
        <v/>
      </c>
      <c r="Z1054" s="188" t="n"/>
      <c r="AA1054" s="192">
        <f>IFERROR(AB1054/E1054,0)</f>
        <v/>
      </c>
      <c r="AB1054" s="76">
        <f>ROUND(SUM(S1054,V1054,Y1054:Z1054,BA1054:BB1054),2)</f>
        <v/>
      </c>
      <c r="AC1054" s="797" t="n"/>
      <c r="AD1054" s="192">
        <f t="array" ref="AD1054">IFERROR(ROUND((_xlfn.IFS(offer_sale_type="поставка",AB1054,offer_sale_type="транзит",S1054)*(1+AC1054))/E1054,2),0)</f>
        <v/>
      </c>
      <c r="AE1054" s="76">
        <f>AD1054*E1054</f>
        <v/>
      </c>
      <c r="AF1054" s="193">
        <f t="array" ref="AF1054">IFERROR(ROUND(_xlfn.IFS(offer_sale_type="поставка",AB1054,offer_sale_type="транзит",S1054)*AC1054,2),0)</f>
        <v/>
      </c>
      <c r="AG1054" s="192">
        <f>$BD1054*VLOOKUP($AG$3,$AF$4:$AG$7,2,FALSE)</f>
        <v/>
      </c>
      <c r="AH1054" s="76">
        <f>SUM(AE1054,AG1054,AI1054)*rate_forex_risk</f>
        <v/>
      </c>
      <c r="AI1054" s="193">
        <f>IF(OR(seller_region="TR",offer_sale_type="экспорт"),0,rate_fin_comm)*SUM(AZ1054,AZ1054*AW1054,T1054)</f>
        <v/>
      </c>
      <c r="AJ1054" s="118">
        <f>IFERROR(ROUND(SUM(AB1054,AF1054:AI1054)/E1054,2),0)</f>
        <v/>
      </c>
      <c r="AK1054" s="76">
        <f>AJ1054*E1054</f>
        <v/>
      </c>
      <c r="AL1054" s="174">
        <f>ROUND(IFERROR(AM1054*E1054,0),2)</f>
        <v/>
      </c>
      <c r="AM1054" s="175">
        <f>ROUND(AJ1054*(1+IF(offer_incoterms="DDP",IF((TODAY()+offer_turnaround_time)&gt;=helpsheet!$L$17,rate_vatRU_from_26,rate_vatRu_till_25),0)),2)</f>
        <v/>
      </c>
      <c r="AN1054" s="192">
        <f>AL1054-AK1054</f>
        <v/>
      </c>
      <c r="AO1054" s="76">
        <f>SUM(AY1054,Y1054:Z1054,T1054)*IF(AND(offer_incoterms="DDP",offer_sale_type&lt;&gt;"экспорт"),IF((TODAY()+offer_turnaround_time)&gt;=helpsheet!$L$17,rate_vatRU_from_26,rate_vatRu_till_25),0)</f>
        <v/>
      </c>
      <c r="AP1054" s="193">
        <f>AN1054-AO1054</f>
        <v/>
      </c>
      <c r="AQ1054" s="118">
        <f>IF(offer_sale_type="транзит",SUM(AF1054:AI1054,BA1054,BB1054),0)</f>
        <v/>
      </c>
      <c r="AR1054" s="82">
        <f>HYPERLINK("https://www.alta.ru/tnved/code/")&amp;W1054&amp;"/"</f>
        <v/>
      </c>
      <c r="AS1054" s="157" t="n"/>
      <c r="AT1054" s="162" t="n"/>
      <c r="AU1054" s="76">
        <f>IF(ISBLANK(AT1054),0,AJ1054-AT1054)</f>
        <v/>
      </c>
      <c r="AV1054" s="157" t="n"/>
      <c r="AW1054" s="75">
        <f>_xlfn.IFNA(VLOOKUP(L1054,list_vat[],3,FALSE),0)</f>
        <v/>
      </c>
      <c r="AX1054" s="76">
        <f>IFERROR(ROUND(S1054*(1+AW1054)/E1054,2),0)</f>
        <v/>
      </c>
      <c r="AY1054" s="76">
        <f>E1054*AX1054</f>
        <v/>
      </c>
      <c r="AZ1054" s="192">
        <f>S1054*(1+M1054)</f>
        <v/>
      </c>
      <c r="BA1054" s="76">
        <f>cost_fin_total*$BD1054</f>
        <v/>
      </c>
      <c r="BB1054" s="193">
        <f>credit_sales_interest*BD1054</f>
        <v/>
      </c>
      <c r="BC1054" s="102">
        <f>IFERROR(IF($I$13&gt;0,$I1054/$I$13,$S1054/$S$13),0)</f>
        <v/>
      </c>
      <c r="BD1054" s="102">
        <f>IFERROR($S1054/$S$13,0)</f>
        <v/>
      </c>
      <c r="BE1054" s="413" t="inlineStr">
        <is>
          <t>$</t>
        </is>
      </c>
    </row>
    <row r="1055" ht="12" customFormat="1" customHeight="1" s="65">
      <c r="A1055" s="43" t="n">
        <v>1040</v>
      </c>
      <c r="B1055" s="166" t="n"/>
      <c r="C1055" s="166" t="n"/>
      <c r="D1055" s="166" t="n"/>
      <c r="E1055" s="162" t="n"/>
      <c r="F1055" s="166" t="n"/>
      <c r="G1055" s="162" t="n"/>
      <c r="H1055" s="162" t="n"/>
      <c r="I1055" s="189">
        <f>E1055*G1055</f>
        <v/>
      </c>
      <c r="J1055" s="195" t="n"/>
      <c r="K1055" s="162" t="n"/>
      <c r="L1055" s="168" t="n"/>
      <c r="M1055" s="75">
        <f>_xlfn.XLOOKUP(L1055,list_vat[Страна],list_vat[Ставка НДС %],0,0)</f>
        <v/>
      </c>
      <c r="N1055" s="162">
        <f>IFERROR(IF(L1055="Китай",K1055,K1055/(1+M1055)),0)</f>
        <v/>
      </c>
      <c r="O1055" s="169" t="n"/>
      <c r="P1055" s="76">
        <f>N1055*(1-O1055)</f>
        <v/>
      </c>
      <c r="Q1055" s="162" t="n"/>
      <c r="R1055" s="162">
        <f>IF(ISBLANK(Q1055),"введи курс",P1055/Q1055)</f>
        <v/>
      </c>
      <c r="S1055" s="196">
        <f>IF(AND(ISNUMBER(E1055),ISNUMBER(Q1055)),E1055*R1055,0)</f>
        <v/>
      </c>
      <c r="T1055" s="192">
        <f>$BC1055*V$11</f>
        <v/>
      </c>
      <c r="U1055" s="76">
        <f>$BC1055*W$11</f>
        <v/>
      </c>
      <c r="V1055" s="193">
        <f>+SUM(T1055:U1055)</f>
        <v/>
      </c>
      <c r="W1055" s="191" t="n"/>
      <c r="X1055" s="170" t="n"/>
      <c r="Y1055" s="76">
        <f>ROUND(IF(offer_incoterms="DDP",X1055*(S1055*(1+AW1055)+T1055),0),2)</f>
        <v/>
      </c>
      <c r="Z1055" s="188" t="n"/>
      <c r="AA1055" s="192">
        <f>IFERROR(AB1055/E1055,0)</f>
        <v/>
      </c>
      <c r="AB1055" s="76">
        <f>ROUND(SUM(S1055,V1055,Y1055:Z1055,BA1055:BB1055),2)</f>
        <v/>
      </c>
      <c r="AC1055" s="797" t="n"/>
      <c r="AD1055" s="192">
        <f t="array" ref="AD1055">IFERROR(ROUND((_xlfn.IFS(offer_sale_type="поставка",AB1055,offer_sale_type="транзит",S1055)*(1+AC1055))/E1055,2),0)</f>
        <v/>
      </c>
      <c r="AE1055" s="76">
        <f>AD1055*E1055</f>
        <v/>
      </c>
      <c r="AF1055" s="193">
        <f t="array" ref="AF1055">IFERROR(ROUND(_xlfn.IFS(offer_sale_type="поставка",AB1055,offer_sale_type="транзит",S1055)*AC1055,2),0)</f>
        <v/>
      </c>
      <c r="AG1055" s="192">
        <f>$BD1055*VLOOKUP($AG$3,$AF$4:$AG$7,2,FALSE)</f>
        <v/>
      </c>
      <c r="AH1055" s="76">
        <f>SUM(AE1055,AG1055,AI1055)*rate_forex_risk</f>
        <v/>
      </c>
      <c r="AI1055" s="193">
        <f>IF(OR(seller_region="TR",offer_sale_type="экспорт"),0,rate_fin_comm)*SUM(AZ1055,AZ1055*AW1055,T1055)</f>
        <v/>
      </c>
      <c r="AJ1055" s="118">
        <f>IFERROR(ROUND(SUM(AB1055,AF1055:AI1055)/E1055,2),0)</f>
        <v/>
      </c>
      <c r="AK1055" s="76">
        <f>AJ1055*E1055</f>
        <v/>
      </c>
      <c r="AL1055" s="174">
        <f>ROUND(IFERROR(AM1055*E1055,0),2)</f>
        <v/>
      </c>
      <c r="AM1055" s="175">
        <f>ROUND(AJ1055*(1+IF(offer_incoterms="DDP",IF((TODAY()+offer_turnaround_time)&gt;=helpsheet!$L$17,rate_vatRU_from_26,rate_vatRu_till_25),0)),2)</f>
        <v/>
      </c>
      <c r="AN1055" s="192">
        <f>AL1055-AK1055</f>
        <v/>
      </c>
      <c r="AO1055" s="76">
        <f>SUM(AY1055,Y1055:Z1055,T1055)*IF(AND(offer_incoterms="DDP",offer_sale_type&lt;&gt;"экспорт"),IF((TODAY()+offer_turnaround_time)&gt;=helpsheet!$L$17,rate_vatRU_from_26,rate_vatRu_till_25),0)</f>
        <v/>
      </c>
      <c r="AP1055" s="193">
        <f>AN1055-AO1055</f>
        <v/>
      </c>
      <c r="AQ1055" s="118">
        <f>IF(offer_sale_type="транзит",SUM(AF1055:AI1055,BA1055,BB1055),0)</f>
        <v/>
      </c>
      <c r="AR1055" s="82">
        <f>HYPERLINK("https://www.alta.ru/tnved/code/")&amp;W1055&amp;"/"</f>
        <v/>
      </c>
      <c r="AS1055" s="157" t="n"/>
      <c r="AT1055" s="162" t="n"/>
      <c r="AU1055" s="76">
        <f>IF(ISBLANK(AT1055),0,AJ1055-AT1055)</f>
        <v/>
      </c>
      <c r="AV1055" s="157" t="n"/>
      <c r="AW1055" s="75">
        <f>_xlfn.IFNA(VLOOKUP(L1055,list_vat[],3,FALSE),0)</f>
        <v/>
      </c>
      <c r="AX1055" s="76">
        <f>IFERROR(ROUND(S1055*(1+AW1055)/E1055,2),0)</f>
        <v/>
      </c>
      <c r="AY1055" s="76">
        <f>E1055*AX1055</f>
        <v/>
      </c>
      <c r="AZ1055" s="192">
        <f>S1055*(1+M1055)</f>
        <v/>
      </c>
      <c r="BA1055" s="76">
        <f>cost_fin_total*$BD1055</f>
        <v/>
      </c>
      <c r="BB1055" s="193">
        <f>credit_sales_interest*BD1055</f>
        <v/>
      </c>
      <c r="BC1055" s="102">
        <f>IFERROR(IF($I$13&gt;0,$I1055/$I$13,$S1055/$S$13),0)</f>
        <v/>
      </c>
      <c r="BD1055" s="102">
        <f>IFERROR($S1055/$S$13,0)</f>
        <v/>
      </c>
      <c r="BE1055" s="413" t="inlineStr">
        <is>
          <t>$</t>
        </is>
      </c>
    </row>
    <row r="1056" ht="12" customFormat="1" customHeight="1" s="65">
      <c r="A1056" s="43" t="n">
        <v>1041</v>
      </c>
      <c r="B1056" s="166" t="n"/>
      <c r="C1056" s="166" t="n"/>
      <c r="D1056" s="166" t="n"/>
      <c r="E1056" s="162" t="n"/>
      <c r="F1056" s="166" t="n"/>
      <c r="G1056" s="162" t="n"/>
      <c r="H1056" s="162" t="n"/>
      <c r="I1056" s="189">
        <f>E1056*G1056</f>
        <v/>
      </c>
      <c r="J1056" s="195" t="n"/>
      <c r="K1056" s="162" t="n"/>
      <c r="L1056" s="168" t="n"/>
      <c r="M1056" s="75">
        <f>_xlfn.XLOOKUP(L1056,list_vat[Страна],list_vat[Ставка НДС %],0,0)</f>
        <v/>
      </c>
      <c r="N1056" s="162">
        <f>IFERROR(IF(L1056="Китай",K1056,K1056/(1+M1056)),0)</f>
        <v/>
      </c>
      <c r="O1056" s="169" t="n"/>
      <c r="P1056" s="76">
        <f>N1056*(1-O1056)</f>
        <v/>
      </c>
      <c r="Q1056" s="162" t="n"/>
      <c r="R1056" s="162">
        <f>IF(ISBLANK(Q1056),"введи курс",P1056/Q1056)</f>
        <v/>
      </c>
      <c r="S1056" s="196">
        <f>IF(AND(ISNUMBER(E1056),ISNUMBER(Q1056)),E1056*R1056,0)</f>
        <v/>
      </c>
      <c r="T1056" s="192">
        <f>$BC1056*V$11</f>
        <v/>
      </c>
      <c r="U1056" s="76">
        <f>$BC1056*W$11</f>
        <v/>
      </c>
      <c r="V1056" s="193">
        <f>+SUM(T1056:U1056)</f>
        <v/>
      </c>
      <c r="W1056" s="191" t="n"/>
      <c r="X1056" s="170" t="n"/>
      <c r="Y1056" s="76">
        <f>ROUND(IF(offer_incoterms="DDP",X1056*(S1056*(1+AW1056)+T1056),0),2)</f>
        <v/>
      </c>
      <c r="Z1056" s="188" t="n"/>
      <c r="AA1056" s="192">
        <f>IFERROR(AB1056/E1056,0)</f>
        <v/>
      </c>
      <c r="AB1056" s="76">
        <f>ROUND(SUM(S1056,V1056,Y1056:Z1056,BA1056:BB1056),2)</f>
        <v/>
      </c>
      <c r="AC1056" s="797" t="n"/>
      <c r="AD1056" s="192">
        <f t="array" ref="AD1056">IFERROR(ROUND((_xlfn.IFS(offer_sale_type="поставка",AB1056,offer_sale_type="транзит",S1056)*(1+AC1056))/E1056,2),0)</f>
        <v/>
      </c>
      <c r="AE1056" s="76">
        <f>AD1056*E1056</f>
        <v/>
      </c>
      <c r="AF1056" s="193">
        <f t="array" ref="AF1056">IFERROR(ROUND(_xlfn.IFS(offer_sale_type="поставка",AB1056,offer_sale_type="транзит",S1056)*AC1056,2),0)</f>
        <v/>
      </c>
      <c r="AG1056" s="192">
        <f>$BD1056*VLOOKUP($AG$3,$AF$4:$AG$7,2,FALSE)</f>
        <v/>
      </c>
      <c r="AH1056" s="76">
        <f>SUM(AE1056,AG1056,AI1056)*rate_forex_risk</f>
        <v/>
      </c>
      <c r="AI1056" s="193">
        <f>IF(OR(seller_region="TR",offer_sale_type="экспорт"),0,rate_fin_comm)*SUM(AZ1056,AZ1056*AW1056,T1056)</f>
        <v/>
      </c>
      <c r="AJ1056" s="118">
        <f>IFERROR(ROUND(SUM(AB1056,AF1056:AI1056)/E1056,2),0)</f>
        <v/>
      </c>
      <c r="AK1056" s="76">
        <f>AJ1056*E1056</f>
        <v/>
      </c>
      <c r="AL1056" s="174">
        <f>ROUND(IFERROR(AM1056*E1056,0),2)</f>
        <v/>
      </c>
      <c r="AM1056" s="175">
        <f>ROUND(AJ1056*(1+IF(offer_incoterms="DDP",IF((TODAY()+offer_turnaround_time)&gt;=helpsheet!$L$17,rate_vatRU_from_26,rate_vatRu_till_25),0)),2)</f>
        <v/>
      </c>
      <c r="AN1056" s="192">
        <f>AL1056-AK1056</f>
        <v/>
      </c>
      <c r="AO1056" s="76">
        <f>SUM(AY1056,Y1056:Z1056,T1056)*IF(AND(offer_incoterms="DDP",offer_sale_type&lt;&gt;"экспорт"),IF((TODAY()+offer_turnaround_time)&gt;=helpsheet!$L$17,rate_vatRU_from_26,rate_vatRu_till_25),0)</f>
        <v/>
      </c>
      <c r="AP1056" s="193">
        <f>AN1056-AO1056</f>
        <v/>
      </c>
      <c r="AQ1056" s="118">
        <f>IF(offer_sale_type="транзит",SUM(AF1056:AI1056,BA1056,BB1056),0)</f>
        <v/>
      </c>
      <c r="AR1056" s="82">
        <f>HYPERLINK("https://www.alta.ru/tnved/code/")&amp;W1056&amp;"/"</f>
        <v/>
      </c>
      <c r="AS1056" s="157" t="n"/>
      <c r="AT1056" s="162" t="n"/>
      <c r="AU1056" s="76">
        <f>IF(ISBLANK(AT1056),0,AJ1056-AT1056)</f>
        <v/>
      </c>
      <c r="AV1056" s="157" t="n"/>
      <c r="AW1056" s="75">
        <f>_xlfn.IFNA(VLOOKUP(L1056,list_vat[],3,FALSE),0)</f>
        <v/>
      </c>
      <c r="AX1056" s="76">
        <f>IFERROR(ROUND(S1056*(1+AW1056)/E1056,2),0)</f>
        <v/>
      </c>
      <c r="AY1056" s="76">
        <f>E1056*AX1056</f>
        <v/>
      </c>
      <c r="AZ1056" s="192">
        <f>S1056*(1+M1056)</f>
        <v/>
      </c>
      <c r="BA1056" s="76">
        <f>cost_fin_total*$BD1056</f>
        <v/>
      </c>
      <c r="BB1056" s="193">
        <f>credit_sales_interest*BD1056</f>
        <v/>
      </c>
      <c r="BC1056" s="102">
        <f>IFERROR(IF($I$13&gt;0,$I1056/$I$13,$S1056/$S$13),0)</f>
        <v/>
      </c>
      <c r="BD1056" s="102">
        <f>IFERROR($S1056/$S$13,0)</f>
        <v/>
      </c>
      <c r="BE1056" s="413" t="inlineStr">
        <is>
          <t>$</t>
        </is>
      </c>
    </row>
    <row r="1057" ht="12" customFormat="1" customHeight="1" s="65">
      <c r="A1057" s="43" t="n">
        <v>1042</v>
      </c>
      <c r="B1057" s="166" t="n"/>
      <c r="C1057" s="166" t="n"/>
      <c r="D1057" s="166" t="n"/>
      <c r="E1057" s="162" t="n"/>
      <c r="F1057" s="166" t="n"/>
      <c r="G1057" s="162" t="n"/>
      <c r="H1057" s="162" t="n"/>
      <c r="I1057" s="189">
        <f>E1057*G1057</f>
        <v/>
      </c>
      <c r="J1057" s="195" t="n"/>
      <c r="K1057" s="162" t="n"/>
      <c r="L1057" s="168" t="n"/>
      <c r="M1057" s="75">
        <f>_xlfn.XLOOKUP(L1057,list_vat[Страна],list_vat[Ставка НДС %],0,0)</f>
        <v/>
      </c>
      <c r="N1057" s="162">
        <f>IFERROR(IF(L1057="Китай",K1057,K1057/(1+M1057)),0)</f>
        <v/>
      </c>
      <c r="O1057" s="169" t="n"/>
      <c r="P1057" s="76">
        <f>N1057*(1-O1057)</f>
        <v/>
      </c>
      <c r="Q1057" s="162" t="n"/>
      <c r="R1057" s="162">
        <f>IF(ISBLANK(Q1057),"введи курс",P1057/Q1057)</f>
        <v/>
      </c>
      <c r="S1057" s="196">
        <f>IF(AND(ISNUMBER(E1057),ISNUMBER(Q1057)),E1057*R1057,0)</f>
        <v/>
      </c>
      <c r="T1057" s="192">
        <f>$BC1057*V$11</f>
        <v/>
      </c>
      <c r="U1057" s="76">
        <f>$BC1057*W$11</f>
        <v/>
      </c>
      <c r="V1057" s="193">
        <f>+SUM(T1057:U1057)</f>
        <v/>
      </c>
      <c r="W1057" s="191" t="n"/>
      <c r="X1057" s="170" t="n"/>
      <c r="Y1057" s="76">
        <f>ROUND(IF(offer_incoterms="DDP",X1057*(S1057*(1+AW1057)+T1057),0),2)</f>
        <v/>
      </c>
      <c r="Z1057" s="188" t="n"/>
      <c r="AA1057" s="192">
        <f>IFERROR(AB1057/E1057,0)</f>
        <v/>
      </c>
      <c r="AB1057" s="76">
        <f>ROUND(SUM(S1057,V1057,Y1057:Z1057,BA1057:BB1057),2)</f>
        <v/>
      </c>
      <c r="AC1057" s="797" t="n"/>
      <c r="AD1057" s="192">
        <f t="array" ref="AD1057">IFERROR(ROUND((_xlfn.IFS(offer_sale_type="поставка",AB1057,offer_sale_type="транзит",S1057)*(1+AC1057))/E1057,2),0)</f>
        <v/>
      </c>
      <c r="AE1057" s="76">
        <f>AD1057*E1057</f>
        <v/>
      </c>
      <c r="AF1057" s="193">
        <f t="array" ref="AF1057">IFERROR(ROUND(_xlfn.IFS(offer_sale_type="поставка",AB1057,offer_sale_type="транзит",S1057)*AC1057,2),0)</f>
        <v/>
      </c>
      <c r="AG1057" s="192">
        <f>$BD1057*VLOOKUP($AG$3,$AF$4:$AG$7,2,FALSE)</f>
        <v/>
      </c>
      <c r="AH1057" s="76">
        <f>SUM(AE1057,AG1057,AI1057)*rate_forex_risk</f>
        <v/>
      </c>
      <c r="AI1057" s="193">
        <f>IF(OR(seller_region="TR",offer_sale_type="экспорт"),0,rate_fin_comm)*SUM(AZ1057,AZ1057*AW1057,T1057)</f>
        <v/>
      </c>
      <c r="AJ1057" s="118">
        <f>IFERROR(ROUND(SUM(AB1057,AF1057:AI1057)/E1057,2),0)</f>
        <v/>
      </c>
      <c r="AK1057" s="76">
        <f>AJ1057*E1057</f>
        <v/>
      </c>
      <c r="AL1057" s="174">
        <f>ROUND(IFERROR(AM1057*E1057,0),2)</f>
        <v/>
      </c>
      <c r="AM1057" s="175">
        <f>ROUND(AJ1057*(1+IF(offer_incoterms="DDP",IF((TODAY()+offer_turnaround_time)&gt;=helpsheet!$L$17,rate_vatRU_from_26,rate_vatRu_till_25),0)),2)</f>
        <v/>
      </c>
      <c r="AN1057" s="192">
        <f>AL1057-AK1057</f>
        <v/>
      </c>
      <c r="AO1057" s="76">
        <f>SUM(AY1057,Y1057:Z1057,T1057)*IF(AND(offer_incoterms="DDP",offer_sale_type&lt;&gt;"экспорт"),IF((TODAY()+offer_turnaround_time)&gt;=helpsheet!$L$17,rate_vatRU_from_26,rate_vatRu_till_25),0)</f>
        <v/>
      </c>
      <c r="AP1057" s="193">
        <f>AN1057-AO1057</f>
        <v/>
      </c>
      <c r="AQ1057" s="118">
        <f>IF(offer_sale_type="транзит",SUM(AF1057:AI1057,BA1057,BB1057),0)</f>
        <v/>
      </c>
      <c r="AR1057" s="82">
        <f>HYPERLINK("https://www.alta.ru/tnved/code/")&amp;W1057&amp;"/"</f>
        <v/>
      </c>
      <c r="AS1057" s="157" t="n"/>
      <c r="AT1057" s="162" t="n"/>
      <c r="AU1057" s="76">
        <f>IF(ISBLANK(AT1057),0,AJ1057-AT1057)</f>
        <v/>
      </c>
      <c r="AV1057" s="157" t="n"/>
      <c r="AW1057" s="75">
        <f>_xlfn.IFNA(VLOOKUP(L1057,list_vat[],3,FALSE),0)</f>
        <v/>
      </c>
      <c r="AX1057" s="76">
        <f>IFERROR(ROUND(S1057*(1+AW1057)/E1057,2),0)</f>
        <v/>
      </c>
      <c r="AY1057" s="76">
        <f>E1057*AX1057</f>
        <v/>
      </c>
      <c r="AZ1057" s="192">
        <f>S1057*(1+M1057)</f>
        <v/>
      </c>
      <c r="BA1057" s="76">
        <f>cost_fin_total*$BD1057</f>
        <v/>
      </c>
      <c r="BB1057" s="193">
        <f>credit_sales_interest*BD1057</f>
        <v/>
      </c>
      <c r="BC1057" s="102">
        <f>IFERROR(IF($I$13&gt;0,$I1057/$I$13,$S1057/$S$13),0)</f>
        <v/>
      </c>
      <c r="BD1057" s="102">
        <f>IFERROR($S1057/$S$13,0)</f>
        <v/>
      </c>
      <c r="BE1057" s="413" t="inlineStr">
        <is>
          <t>$</t>
        </is>
      </c>
    </row>
    <row r="1058" ht="12" customFormat="1" customHeight="1" s="65">
      <c r="A1058" s="43" t="n">
        <v>1043</v>
      </c>
      <c r="B1058" s="166" t="n"/>
      <c r="C1058" s="166" t="n"/>
      <c r="D1058" s="166" t="n"/>
      <c r="E1058" s="162" t="n"/>
      <c r="F1058" s="166" t="n"/>
      <c r="G1058" s="162" t="n"/>
      <c r="H1058" s="162" t="n"/>
      <c r="I1058" s="189">
        <f>E1058*G1058</f>
        <v/>
      </c>
      <c r="J1058" s="195" t="n"/>
      <c r="K1058" s="162" t="n"/>
      <c r="L1058" s="168" t="n"/>
      <c r="M1058" s="75">
        <f>_xlfn.XLOOKUP(L1058,list_vat[Страна],list_vat[Ставка НДС %],0,0)</f>
        <v/>
      </c>
      <c r="N1058" s="162">
        <f>IFERROR(IF(L1058="Китай",K1058,K1058/(1+M1058)),0)</f>
        <v/>
      </c>
      <c r="O1058" s="169" t="n"/>
      <c r="P1058" s="76">
        <f>N1058*(1-O1058)</f>
        <v/>
      </c>
      <c r="Q1058" s="162" t="n"/>
      <c r="R1058" s="162">
        <f>IF(ISBLANK(Q1058),"введи курс",P1058/Q1058)</f>
        <v/>
      </c>
      <c r="S1058" s="196">
        <f>IF(AND(ISNUMBER(E1058),ISNUMBER(Q1058)),E1058*R1058,0)</f>
        <v/>
      </c>
      <c r="T1058" s="192">
        <f>$BC1058*V$11</f>
        <v/>
      </c>
      <c r="U1058" s="76">
        <f>$BC1058*W$11</f>
        <v/>
      </c>
      <c r="V1058" s="193">
        <f>+SUM(T1058:U1058)</f>
        <v/>
      </c>
      <c r="W1058" s="191" t="n"/>
      <c r="X1058" s="170" t="n"/>
      <c r="Y1058" s="76">
        <f>ROUND(IF(offer_incoterms="DDP",X1058*(S1058*(1+AW1058)+T1058),0),2)</f>
        <v/>
      </c>
      <c r="Z1058" s="188" t="n"/>
      <c r="AA1058" s="192">
        <f>IFERROR(AB1058/E1058,0)</f>
        <v/>
      </c>
      <c r="AB1058" s="76">
        <f>ROUND(SUM(S1058,V1058,Y1058:Z1058,BA1058:BB1058),2)</f>
        <v/>
      </c>
      <c r="AC1058" s="797" t="n"/>
      <c r="AD1058" s="192">
        <f t="array" ref="AD1058">IFERROR(ROUND((_xlfn.IFS(offer_sale_type="поставка",AB1058,offer_sale_type="транзит",S1058)*(1+AC1058))/E1058,2),0)</f>
        <v/>
      </c>
      <c r="AE1058" s="76">
        <f>AD1058*E1058</f>
        <v/>
      </c>
      <c r="AF1058" s="193">
        <f t="array" ref="AF1058">IFERROR(ROUND(_xlfn.IFS(offer_sale_type="поставка",AB1058,offer_sale_type="транзит",S1058)*AC1058,2),0)</f>
        <v/>
      </c>
      <c r="AG1058" s="192">
        <f>$BD1058*VLOOKUP($AG$3,$AF$4:$AG$7,2,FALSE)</f>
        <v/>
      </c>
      <c r="AH1058" s="76">
        <f>SUM(AE1058,AG1058,AI1058)*rate_forex_risk</f>
        <v/>
      </c>
      <c r="AI1058" s="193">
        <f>IF(OR(seller_region="TR",offer_sale_type="экспорт"),0,rate_fin_comm)*SUM(AZ1058,AZ1058*AW1058,T1058)</f>
        <v/>
      </c>
      <c r="AJ1058" s="118">
        <f>IFERROR(ROUND(SUM(AB1058,AF1058:AI1058)/E1058,2),0)</f>
        <v/>
      </c>
      <c r="AK1058" s="76">
        <f>AJ1058*E1058</f>
        <v/>
      </c>
      <c r="AL1058" s="174">
        <f>ROUND(IFERROR(AM1058*E1058,0),2)</f>
        <v/>
      </c>
      <c r="AM1058" s="175">
        <f>ROUND(AJ1058*(1+IF(offer_incoterms="DDP",IF((TODAY()+offer_turnaround_time)&gt;=helpsheet!$L$17,rate_vatRU_from_26,rate_vatRu_till_25),0)),2)</f>
        <v/>
      </c>
      <c r="AN1058" s="192">
        <f>AL1058-AK1058</f>
        <v/>
      </c>
      <c r="AO1058" s="76">
        <f>SUM(AY1058,Y1058:Z1058,T1058)*IF(AND(offer_incoterms="DDP",offer_sale_type&lt;&gt;"экспорт"),IF((TODAY()+offer_turnaround_time)&gt;=helpsheet!$L$17,rate_vatRU_from_26,rate_vatRu_till_25),0)</f>
        <v/>
      </c>
      <c r="AP1058" s="193">
        <f>AN1058-AO1058</f>
        <v/>
      </c>
      <c r="AQ1058" s="118">
        <f>IF(offer_sale_type="транзит",SUM(AF1058:AI1058,BA1058,BB1058),0)</f>
        <v/>
      </c>
      <c r="AR1058" s="82">
        <f>HYPERLINK("https://www.alta.ru/tnved/code/")&amp;W1058&amp;"/"</f>
        <v/>
      </c>
      <c r="AS1058" s="157" t="n"/>
      <c r="AT1058" s="162" t="n"/>
      <c r="AU1058" s="76">
        <f>IF(ISBLANK(AT1058),0,AJ1058-AT1058)</f>
        <v/>
      </c>
      <c r="AV1058" s="157" t="n"/>
      <c r="AW1058" s="75">
        <f>_xlfn.IFNA(VLOOKUP(L1058,list_vat[],3,FALSE),0)</f>
        <v/>
      </c>
      <c r="AX1058" s="76">
        <f>IFERROR(ROUND(S1058*(1+AW1058)/E1058,2),0)</f>
        <v/>
      </c>
      <c r="AY1058" s="76">
        <f>E1058*AX1058</f>
        <v/>
      </c>
      <c r="AZ1058" s="192">
        <f>S1058*(1+M1058)</f>
        <v/>
      </c>
      <c r="BA1058" s="76">
        <f>cost_fin_total*$BD1058</f>
        <v/>
      </c>
      <c r="BB1058" s="193">
        <f>credit_sales_interest*BD1058</f>
        <v/>
      </c>
      <c r="BC1058" s="102">
        <f>IFERROR(IF($I$13&gt;0,$I1058/$I$13,$S1058/$S$13),0)</f>
        <v/>
      </c>
      <c r="BD1058" s="102">
        <f>IFERROR($S1058/$S$13,0)</f>
        <v/>
      </c>
      <c r="BE1058" s="413" t="inlineStr">
        <is>
          <t>$</t>
        </is>
      </c>
    </row>
    <row r="1059" ht="12" customFormat="1" customHeight="1" s="65">
      <c r="A1059" s="43" t="n">
        <v>1044</v>
      </c>
      <c r="B1059" s="166" t="n"/>
      <c r="C1059" s="166" t="n"/>
      <c r="D1059" s="166" t="n"/>
      <c r="E1059" s="162" t="n"/>
      <c r="F1059" s="166" t="n"/>
      <c r="G1059" s="162" t="n"/>
      <c r="H1059" s="162" t="n"/>
      <c r="I1059" s="189">
        <f>E1059*G1059</f>
        <v/>
      </c>
      <c r="J1059" s="195" t="n"/>
      <c r="K1059" s="162" t="n"/>
      <c r="L1059" s="168" t="n"/>
      <c r="M1059" s="75">
        <f>_xlfn.XLOOKUP(L1059,list_vat[Страна],list_vat[Ставка НДС %],0,0)</f>
        <v/>
      </c>
      <c r="N1059" s="162">
        <f>IFERROR(IF(L1059="Китай",K1059,K1059/(1+M1059)),0)</f>
        <v/>
      </c>
      <c r="O1059" s="169" t="n"/>
      <c r="P1059" s="76">
        <f>N1059*(1-O1059)</f>
        <v/>
      </c>
      <c r="Q1059" s="162" t="n"/>
      <c r="R1059" s="162">
        <f>IF(ISBLANK(Q1059),"введи курс",P1059/Q1059)</f>
        <v/>
      </c>
      <c r="S1059" s="196">
        <f>IF(AND(ISNUMBER(E1059),ISNUMBER(Q1059)),E1059*R1059,0)</f>
        <v/>
      </c>
      <c r="T1059" s="192">
        <f>$BC1059*V$11</f>
        <v/>
      </c>
      <c r="U1059" s="76">
        <f>$BC1059*W$11</f>
        <v/>
      </c>
      <c r="V1059" s="193">
        <f>+SUM(T1059:U1059)</f>
        <v/>
      </c>
      <c r="W1059" s="191" t="n"/>
      <c r="X1059" s="170" t="n"/>
      <c r="Y1059" s="76">
        <f>ROUND(IF(offer_incoterms="DDP",X1059*(S1059*(1+AW1059)+T1059),0),2)</f>
        <v/>
      </c>
      <c r="Z1059" s="188" t="n"/>
      <c r="AA1059" s="192">
        <f>IFERROR(AB1059/E1059,0)</f>
        <v/>
      </c>
      <c r="AB1059" s="76">
        <f>ROUND(SUM(S1059,V1059,Y1059:Z1059,BA1059:BB1059),2)</f>
        <v/>
      </c>
      <c r="AC1059" s="797" t="n"/>
      <c r="AD1059" s="192">
        <f t="array" ref="AD1059">IFERROR(ROUND((_xlfn.IFS(offer_sale_type="поставка",AB1059,offer_sale_type="транзит",S1059)*(1+AC1059))/E1059,2),0)</f>
        <v/>
      </c>
      <c r="AE1059" s="76">
        <f>AD1059*E1059</f>
        <v/>
      </c>
      <c r="AF1059" s="193">
        <f t="array" ref="AF1059">IFERROR(ROUND(_xlfn.IFS(offer_sale_type="поставка",AB1059,offer_sale_type="транзит",S1059)*AC1059,2),0)</f>
        <v/>
      </c>
      <c r="AG1059" s="192">
        <f>$BD1059*VLOOKUP($AG$3,$AF$4:$AG$7,2,FALSE)</f>
        <v/>
      </c>
      <c r="AH1059" s="76">
        <f>SUM(AE1059,AG1059,AI1059)*rate_forex_risk</f>
        <v/>
      </c>
      <c r="AI1059" s="193">
        <f>IF(OR(seller_region="TR",offer_sale_type="экспорт"),0,rate_fin_comm)*SUM(AZ1059,AZ1059*AW1059,T1059)</f>
        <v/>
      </c>
      <c r="AJ1059" s="118">
        <f>IFERROR(ROUND(SUM(AB1059,AF1059:AI1059)/E1059,2),0)</f>
        <v/>
      </c>
      <c r="AK1059" s="76">
        <f>AJ1059*E1059</f>
        <v/>
      </c>
      <c r="AL1059" s="174">
        <f>ROUND(IFERROR(AM1059*E1059,0),2)</f>
        <v/>
      </c>
      <c r="AM1059" s="175">
        <f>ROUND(AJ1059*(1+IF(offer_incoterms="DDP",IF((TODAY()+offer_turnaround_time)&gt;=helpsheet!$L$17,rate_vatRU_from_26,rate_vatRu_till_25),0)),2)</f>
        <v/>
      </c>
      <c r="AN1059" s="192">
        <f>AL1059-AK1059</f>
        <v/>
      </c>
      <c r="AO1059" s="76">
        <f>SUM(AY1059,Y1059:Z1059,T1059)*IF(AND(offer_incoterms="DDP",offer_sale_type&lt;&gt;"экспорт"),IF((TODAY()+offer_turnaround_time)&gt;=helpsheet!$L$17,rate_vatRU_from_26,rate_vatRu_till_25),0)</f>
        <v/>
      </c>
      <c r="AP1059" s="193">
        <f>AN1059-AO1059</f>
        <v/>
      </c>
      <c r="AQ1059" s="118">
        <f>IF(offer_sale_type="транзит",SUM(AF1059:AI1059,BA1059,BB1059),0)</f>
        <v/>
      </c>
      <c r="AR1059" s="82">
        <f>HYPERLINK("https://www.alta.ru/tnved/code/")&amp;W1059&amp;"/"</f>
        <v/>
      </c>
      <c r="AS1059" s="157" t="n"/>
      <c r="AT1059" s="162" t="n"/>
      <c r="AU1059" s="76">
        <f>IF(ISBLANK(AT1059),0,AJ1059-AT1059)</f>
        <v/>
      </c>
      <c r="AV1059" s="157" t="n"/>
      <c r="AW1059" s="75">
        <f>_xlfn.IFNA(VLOOKUP(L1059,list_vat[],3,FALSE),0)</f>
        <v/>
      </c>
      <c r="AX1059" s="76">
        <f>IFERROR(ROUND(S1059*(1+AW1059)/E1059,2),0)</f>
        <v/>
      </c>
      <c r="AY1059" s="76">
        <f>E1059*AX1059</f>
        <v/>
      </c>
      <c r="AZ1059" s="192">
        <f>S1059*(1+M1059)</f>
        <v/>
      </c>
      <c r="BA1059" s="76">
        <f>cost_fin_total*$BD1059</f>
        <v/>
      </c>
      <c r="BB1059" s="193">
        <f>credit_sales_interest*BD1059</f>
        <v/>
      </c>
      <c r="BC1059" s="102">
        <f>IFERROR(IF($I$13&gt;0,$I1059/$I$13,$S1059/$S$13),0)</f>
        <v/>
      </c>
      <c r="BD1059" s="102">
        <f>IFERROR($S1059/$S$13,0)</f>
        <v/>
      </c>
      <c r="BE1059" s="413" t="inlineStr">
        <is>
          <t>$</t>
        </is>
      </c>
    </row>
    <row r="1060" ht="12" customFormat="1" customHeight="1" s="65">
      <c r="A1060" s="43" t="n">
        <v>1045</v>
      </c>
      <c r="B1060" s="166" t="n"/>
      <c r="C1060" s="166" t="n"/>
      <c r="D1060" s="166" t="n"/>
      <c r="E1060" s="162" t="n"/>
      <c r="F1060" s="166" t="n"/>
      <c r="G1060" s="162" t="n"/>
      <c r="H1060" s="162" t="n"/>
      <c r="I1060" s="189">
        <f>E1060*G1060</f>
        <v/>
      </c>
      <c r="J1060" s="195" t="n"/>
      <c r="K1060" s="162" t="n"/>
      <c r="L1060" s="168" t="n"/>
      <c r="M1060" s="75">
        <f>_xlfn.XLOOKUP(L1060,list_vat[Страна],list_vat[Ставка НДС %],0,0)</f>
        <v/>
      </c>
      <c r="N1060" s="162">
        <f>IFERROR(IF(L1060="Китай",K1060,K1060/(1+M1060)),0)</f>
        <v/>
      </c>
      <c r="O1060" s="169" t="n"/>
      <c r="P1060" s="76">
        <f>N1060*(1-O1060)</f>
        <v/>
      </c>
      <c r="Q1060" s="162" t="n"/>
      <c r="R1060" s="162">
        <f>IF(ISBLANK(Q1060),"введи курс",P1060/Q1060)</f>
        <v/>
      </c>
      <c r="S1060" s="196">
        <f>IF(AND(ISNUMBER(E1060),ISNUMBER(Q1060)),E1060*R1060,0)</f>
        <v/>
      </c>
      <c r="T1060" s="192">
        <f>$BC1060*V$11</f>
        <v/>
      </c>
      <c r="U1060" s="76">
        <f>$BC1060*W$11</f>
        <v/>
      </c>
      <c r="V1060" s="193">
        <f>+SUM(T1060:U1060)</f>
        <v/>
      </c>
      <c r="W1060" s="191" t="n"/>
      <c r="X1060" s="170" t="n"/>
      <c r="Y1060" s="76">
        <f>ROUND(IF(offer_incoterms="DDP",X1060*(S1060*(1+AW1060)+T1060),0),2)</f>
        <v/>
      </c>
      <c r="Z1060" s="188" t="n"/>
      <c r="AA1060" s="192">
        <f>IFERROR(AB1060/E1060,0)</f>
        <v/>
      </c>
      <c r="AB1060" s="76">
        <f>ROUND(SUM(S1060,V1060,Y1060:Z1060,BA1060:BB1060),2)</f>
        <v/>
      </c>
      <c r="AC1060" s="797" t="n"/>
      <c r="AD1060" s="192">
        <f t="array" ref="AD1060">IFERROR(ROUND((_xlfn.IFS(offer_sale_type="поставка",AB1060,offer_sale_type="транзит",S1060)*(1+AC1060))/E1060,2),0)</f>
        <v/>
      </c>
      <c r="AE1060" s="76">
        <f>AD1060*E1060</f>
        <v/>
      </c>
      <c r="AF1060" s="193">
        <f t="array" ref="AF1060">IFERROR(ROUND(_xlfn.IFS(offer_sale_type="поставка",AB1060,offer_sale_type="транзит",S1060)*AC1060,2),0)</f>
        <v/>
      </c>
      <c r="AG1060" s="192">
        <f>$BD1060*VLOOKUP($AG$3,$AF$4:$AG$7,2,FALSE)</f>
        <v/>
      </c>
      <c r="AH1060" s="76">
        <f>SUM(AE1060,AG1060,AI1060)*rate_forex_risk</f>
        <v/>
      </c>
      <c r="AI1060" s="193">
        <f>IF(OR(seller_region="TR",offer_sale_type="экспорт"),0,rate_fin_comm)*SUM(AZ1060,AZ1060*AW1060,T1060)</f>
        <v/>
      </c>
      <c r="AJ1060" s="118">
        <f>IFERROR(ROUND(SUM(AB1060,AF1060:AI1060)/E1060,2),0)</f>
        <v/>
      </c>
      <c r="AK1060" s="76">
        <f>AJ1060*E1060</f>
        <v/>
      </c>
      <c r="AL1060" s="174">
        <f>ROUND(IFERROR(AM1060*E1060,0),2)</f>
        <v/>
      </c>
      <c r="AM1060" s="175">
        <f>ROUND(AJ1060*(1+IF(offer_incoterms="DDP",IF((TODAY()+offer_turnaround_time)&gt;=helpsheet!$L$17,rate_vatRU_from_26,rate_vatRu_till_25),0)),2)</f>
        <v/>
      </c>
      <c r="AN1060" s="192">
        <f>AL1060-AK1060</f>
        <v/>
      </c>
      <c r="AO1060" s="76">
        <f>SUM(AY1060,Y1060:Z1060,T1060)*IF(AND(offer_incoterms="DDP",offer_sale_type&lt;&gt;"экспорт"),IF((TODAY()+offer_turnaround_time)&gt;=helpsheet!$L$17,rate_vatRU_from_26,rate_vatRu_till_25),0)</f>
        <v/>
      </c>
      <c r="AP1060" s="193">
        <f>AN1060-AO1060</f>
        <v/>
      </c>
      <c r="AQ1060" s="118">
        <f>IF(offer_sale_type="транзит",SUM(AF1060:AI1060,BA1060,BB1060),0)</f>
        <v/>
      </c>
      <c r="AR1060" s="82">
        <f>HYPERLINK("https://www.alta.ru/tnved/code/")&amp;W1060&amp;"/"</f>
        <v/>
      </c>
      <c r="AS1060" s="157" t="n"/>
      <c r="AT1060" s="162" t="n"/>
      <c r="AU1060" s="76">
        <f>IF(ISBLANK(AT1060),0,AJ1060-AT1060)</f>
        <v/>
      </c>
      <c r="AV1060" s="157" t="n"/>
      <c r="AW1060" s="75">
        <f>_xlfn.IFNA(VLOOKUP(L1060,list_vat[],3,FALSE),0)</f>
        <v/>
      </c>
      <c r="AX1060" s="76">
        <f>IFERROR(ROUND(S1060*(1+AW1060)/E1060,2),0)</f>
        <v/>
      </c>
      <c r="AY1060" s="76">
        <f>E1060*AX1060</f>
        <v/>
      </c>
      <c r="AZ1060" s="192">
        <f>S1060*(1+M1060)</f>
        <v/>
      </c>
      <c r="BA1060" s="76">
        <f>cost_fin_total*$BD1060</f>
        <v/>
      </c>
      <c r="BB1060" s="193">
        <f>credit_sales_interest*BD1060</f>
        <v/>
      </c>
      <c r="BC1060" s="102">
        <f>IFERROR(IF($I$13&gt;0,$I1060/$I$13,$S1060/$S$13),0)</f>
        <v/>
      </c>
      <c r="BD1060" s="102">
        <f>IFERROR($S1060/$S$13,0)</f>
        <v/>
      </c>
      <c r="BE1060" s="413" t="inlineStr">
        <is>
          <t>$</t>
        </is>
      </c>
    </row>
    <row r="1061" ht="12" customFormat="1" customHeight="1" s="65">
      <c r="A1061" s="43" t="n">
        <v>1046</v>
      </c>
      <c r="B1061" s="166" t="n"/>
      <c r="C1061" s="166" t="n"/>
      <c r="D1061" s="166" t="n"/>
      <c r="E1061" s="162" t="n"/>
      <c r="F1061" s="166" t="n"/>
      <c r="G1061" s="162" t="n"/>
      <c r="H1061" s="162" t="n"/>
      <c r="I1061" s="189">
        <f>E1061*G1061</f>
        <v/>
      </c>
      <c r="J1061" s="195" t="n"/>
      <c r="K1061" s="162" t="n"/>
      <c r="L1061" s="168" t="n"/>
      <c r="M1061" s="75">
        <f>_xlfn.XLOOKUP(L1061,list_vat[Страна],list_vat[Ставка НДС %],0,0)</f>
        <v/>
      </c>
      <c r="N1061" s="162">
        <f>IFERROR(IF(L1061="Китай",K1061,K1061/(1+M1061)),0)</f>
        <v/>
      </c>
      <c r="O1061" s="169" t="n"/>
      <c r="P1061" s="76">
        <f>N1061*(1-O1061)</f>
        <v/>
      </c>
      <c r="Q1061" s="162" t="n"/>
      <c r="R1061" s="162">
        <f>IF(ISBLANK(Q1061),"введи курс",P1061/Q1061)</f>
        <v/>
      </c>
      <c r="S1061" s="196">
        <f>IF(AND(ISNUMBER(E1061),ISNUMBER(Q1061)),E1061*R1061,0)</f>
        <v/>
      </c>
      <c r="T1061" s="192">
        <f>$BC1061*V$11</f>
        <v/>
      </c>
      <c r="U1061" s="76">
        <f>$BC1061*W$11</f>
        <v/>
      </c>
      <c r="V1061" s="193">
        <f>+SUM(T1061:U1061)</f>
        <v/>
      </c>
      <c r="W1061" s="191" t="n"/>
      <c r="X1061" s="170" t="n"/>
      <c r="Y1061" s="76">
        <f>ROUND(IF(offer_incoterms="DDP",X1061*(S1061*(1+AW1061)+T1061),0),2)</f>
        <v/>
      </c>
      <c r="Z1061" s="188" t="n"/>
      <c r="AA1061" s="192">
        <f>IFERROR(AB1061/E1061,0)</f>
        <v/>
      </c>
      <c r="AB1061" s="76">
        <f>ROUND(SUM(S1061,V1061,Y1061:Z1061,BA1061:BB1061),2)</f>
        <v/>
      </c>
      <c r="AC1061" s="797" t="n"/>
      <c r="AD1061" s="192">
        <f t="array" ref="AD1061">IFERROR(ROUND((_xlfn.IFS(offer_sale_type="поставка",AB1061,offer_sale_type="транзит",S1061)*(1+AC1061))/E1061,2),0)</f>
        <v/>
      </c>
      <c r="AE1061" s="76">
        <f>AD1061*E1061</f>
        <v/>
      </c>
      <c r="AF1061" s="193">
        <f t="array" ref="AF1061">IFERROR(ROUND(_xlfn.IFS(offer_sale_type="поставка",AB1061,offer_sale_type="транзит",S1061)*AC1061,2),0)</f>
        <v/>
      </c>
      <c r="AG1061" s="192">
        <f>$BD1061*VLOOKUP($AG$3,$AF$4:$AG$7,2,FALSE)</f>
        <v/>
      </c>
      <c r="AH1061" s="76">
        <f>SUM(AE1061,AG1061,AI1061)*rate_forex_risk</f>
        <v/>
      </c>
      <c r="AI1061" s="193">
        <f>IF(OR(seller_region="TR",offer_sale_type="экспорт"),0,rate_fin_comm)*SUM(AZ1061,AZ1061*AW1061,T1061)</f>
        <v/>
      </c>
      <c r="AJ1061" s="118">
        <f>IFERROR(ROUND(SUM(AB1061,AF1061:AI1061)/E1061,2),0)</f>
        <v/>
      </c>
      <c r="AK1061" s="76">
        <f>AJ1061*E1061</f>
        <v/>
      </c>
      <c r="AL1061" s="174">
        <f>ROUND(IFERROR(AM1061*E1061,0),2)</f>
        <v/>
      </c>
      <c r="AM1061" s="175">
        <f>ROUND(AJ1061*(1+IF(offer_incoterms="DDP",IF((TODAY()+offer_turnaround_time)&gt;=helpsheet!$L$17,rate_vatRU_from_26,rate_vatRu_till_25),0)),2)</f>
        <v/>
      </c>
      <c r="AN1061" s="192">
        <f>AL1061-AK1061</f>
        <v/>
      </c>
      <c r="AO1061" s="76">
        <f>SUM(AY1061,Y1061:Z1061,T1061)*IF(AND(offer_incoterms="DDP",offer_sale_type&lt;&gt;"экспорт"),IF((TODAY()+offer_turnaround_time)&gt;=helpsheet!$L$17,rate_vatRU_from_26,rate_vatRu_till_25),0)</f>
        <v/>
      </c>
      <c r="AP1061" s="193">
        <f>AN1061-AO1061</f>
        <v/>
      </c>
      <c r="AQ1061" s="118">
        <f>IF(offer_sale_type="транзит",SUM(AF1061:AI1061,BA1061,BB1061),0)</f>
        <v/>
      </c>
      <c r="AR1061" s="82">
        <f>HYPERLINK("https://www.alta.ru/tnved/code/")&amp;W1061&amp;"/"</f>
        <v/>
      </c>
      <c r="AS1061" s="157" t="n"/>
      <c r="AT1061" s="162" t="n"/>
      <c r="AU1061" s="76">
        <f>IF(ISBLANK(AT1061),0,AJ1061-AT1061)</f>
        <v/>
      </c>
      <c r="AV1061" s="157" t="n"/>
      <c r="AW1061" s="75">
        <f>_xlfn.IFNA(VLOOKUP(L1061,list_vat[],3,FALSE),0)</f>
        <v/>
      </c>
      <c r="AX1061" s="76">
        <f>IFERROR(ROUND(S1061*(1+AW1061)/E1061,2),0)</f>
        <v/>
      </c>
      <c r="AY1061" s="76">
        <f>E1061*AX1061</f>
        <v/>
      </c>
      <c r="AZ1061" s="192">
        <f>S1061*(1+M1061)</f>
        <v/>
      </c>
      <c r="BA1061" s="76">
        <f>cost_fin_total*$BD1061</f>
        <v/>
      </c>
      <c r="BB1061" s="193">
        <f>credit_sales_interest*BD1061</f>
        <v/>
      </c>
      <c r="BC1061" s="102">
        <f>IFERROR(IF($I$13&gt;0,$I1061/$I$13,$S1061/$S$13),0)</f>
        <v/>
      </c>
      <c r="BD1061" s="102">
        <f>IFERROR($S1061/$S$13,0)</f>
        <v/>
      </c>
      <c r="BE1061" s="413" t="inlineStr">
        <is>
          <t>$</t>
        </is>
      </c>
    </row>
    <row r="1062" ht="12" customFormat="1" customHeight="1" s="65">
      <c r="A1062" s="43" t="n">
        <v>1047</v>
      </c>
      <c r="B1062" s="166" t="n"/>
      <c r="C1062" s="166" t="n"/>
      <c r="D1062" s="166" t="n"/>
      <c r="E1062" s="162" t="n"/>
      <c r="F1062" s="166" t="n"/>
      <c r="G1062" s="162" t="n"/>
      <c r="H1062" s="162" t="n"/>
      <c r="I1062" s="189">
        <f>E1062*G1062</f>
        <v/>
      </c>
      <c r="J1062" s="195" t="n"/>
      <c r="K1062" s="162" t="n"/>
      <c r="L1062" s="168" t="n"/>
      <c r="M1062" s="75">
        <f>_xlfn.XLOOKUP(L1062,list_vat[Страна],list_vat[Ставка НДС %],0,0)</f>
        <v/>
      </c>
      <c r="N1062" s="162">
        <f>IFERROR(IF(L1062="Китай",K1062,K1062/(1+M1062)),0)</f>
        <v/>
      </c>
      <c r="O1062" s="169" t="n"/>
      <c r="P1062" s="76">
        <f>N1062*(1-O1062)</f>
        <v/>
      </c>
      <c r="Q1062" s="162" t="n"/>
      <c r="R1062" s="162">
        <f>IF(ISBLANK(Q1062),"введи курс",P1062/Q1062)</f>
        <v/>
      </c>
      <c r="S1062" s="196">
        <f>IF(AND(ISNUMBER(E1062),ISNUMBER(Q1062)),E1062*R1062,0)</f>
        <v/>
      </c>
      <c r="T1062" s="192">
        <f>$BC1062*V$11</f>
        <v/>
      </c>
      <c r="U1062" s="76">
        <f>$BC1062*W$11</f>
        <v/>
      </c>
      <c r="V1062" s="193">
        <f>+SUM(T1062:U1062)</f>
        <v/>
      </c>
      <c r="W1062" s="191" t="n"/>
      <c r="X1062" s="170" t="n"/>
      <c r="Y1062" s="76">
        <f>ROUND(IF(offer_incoterms="DDP",X1062*(S1062*(1+AW1062)+T1062),0),2)</f>
        <v/>
      </c>
      <c r="Z1062" s="188" t="n"/>
      <c r="AA1062" s="192">
        <f>IFERROR(AB1062/E1062,0)</f>
        <v/>
      </c>
      <c r="AB1062" s="76">
        <f>ROUND(SUM(S1062,V1062,Y1062:Z1062,BA1062:BB1062),2)</f>
        <v/>
      </c>
      <c r="AC1062" s="797" t="n"/>
      <c r="AD1062" s="192">
        <f t="array" ref="AD1062">IFERROR(ROUND((_xlfn.IFS(offer_sale_type="поставка",AB1062,offer_sale_type="транзит",S1062)*(1+AC1062))/E1062,2),0)</f>
        <v/>
      </c>
      <c r="AE1062" s="76">
        <f>AD1062*E1062</f>
        <v/>
      </c>
      <c r="AF1062" s="193">
        <f t="array" ref="AF1062">IFERROR(ROUND(_xlfn.IFS(offer_sale_type="поставка",AB1062,offer_sale_type="транзит",S1062)*AC1062,2),0)</f>
        <v/>
      </c>
      <c r="AG1062" s="192">
        <f>$BD1062*VLOOKUP($AG$3,$AF$4:$AG$7,2,FALSE)</f>
        <v/>
      </c>
      <c r="AH1062" s="76">
        <f>SUM(AE1062,AG1062,AI1062)*rate_forex_risk</f>
        <v/>
      </c>
      <c r="AI1062" s="193">
        <f>IF(OR(seller_region="TR",offer_sale_type="экспорт"),0,rate_fin_comm)*SUM(AZ1062,AZ1062*AW1062,T1062)</f>
        <v/>
      </c>
      <c r="AJ1062" s="118">
        <f>IFERROR(ROUND(SUM(AB1062,AF1062:AI1062)/E1062,2),0)</f>
        <v/>
      </c>
      <c r="AK1062" s="76">
        <f>AJ1062*E1062</f>
        <v/>
      </c>
      <c r="AL1062" s="174">
        <f>ROUND(IFERROR(AM1062*E1062,0),2)</f>
        <v/>
      </c>
      <c r="AM1062" s="175">
        <f>ROUND(AJ1062*(1+IF(offer_incoterms="DDP",IF((TODAY()+offer_turnaround_time)&gt;=helpsheet!$L$17,rate_vatRU_from_26,rate_vatRu_till_25),0)),2)</f>
        <v/>
      </c>
      <c r="AN1062" s="192">
        <f>AL1062-AK1062</f>
        <v/>
      </c>
      <c r="AO1062" s="76">
        <f>SUM(AY1062,Y1062:Z1062,T1062)*IF(AND(offer_incoterms="DDP",offer_sale_type&lt;&gt;"экспорт"),IF((TODAY()+offer_turnaround_time)&gt;=helpsheet!$L$17,rate_vatRU_from_26,rate_vatRu_till_25),0)</f>
        <v/>
      </c>
      <c r="AP1062" s="193">
        <f>AN1062-AO1062</f>
        <v/>
      </c>
      <c r="AQ1062" s="118">
        <f>IF(offer_sale_type="транзит",SUM(AF1062:AI1062,BA1062,BB1062),0)</f>
        <v/>
      </c>
      <c r="AR1062" s="82">
        <f>HYPERLINK("https://www.alta.ru/tnved/code/")&amp;W1062&amp;"/"</f>
        <v/>
      </c>
      <c r="AS1062" s="157" t="n"/>
      <c r="AT1062" s="162" t="n"/>
      <c r="AU1062" s="76">
        <f>IF(ISBLANK(AT1062),0,AJ1062-AT1062)</f>
        <v/>
      </c>
      <c r="AV1062" s="157" t="n"/>
      <c r="AW1062" s="75">
        <f>_xlfn.IFNA(VLOOKUP(L1062,list_vat[],3,FALSE),0)</f>
        <v/>
      </c>
      <c r="AX1062" s="76">
        <f>IFERROR(ROUND(S1062*(1+AW1062)/E1062,2),0)</f>
        <v/>
      </c>
      <c r="AY1062" s="76">
        <f>E1062*AX1062</f>
        <v/>
      </c>
      <c r="AZ1062" s="192">
        <f>S1062*(1+M1062)</f>
        <v/>
      </c>
      <c r="BA1062" s="76">
        <f>cost_fin_total*$BD1062</f>
        <v/>
      </c>
      <c r="BB1062" s="193">
        <f>credit_sales_interest*BD1062</f>
        <v/>
      </c>
      <c r="BC1062" s="102">
        <f>IFERROR(IF($I$13&gt;0,$I1062/$I$13,$S1062/$S$13),0)</f>
        <v/>
      </c>
      <c r="BD1062" s="102">
        <f>IFERROR($S1062/$S$13,0)</f>
        <v/>
      </c>
      <c r="BE1062" s="413" t="inlineStr">
        <is>
          <t>$</t>
        </is>
      </c>
    </row>
    <row r="1063" ht="12" customFormat="1" customHeight="1" s="65">
      <c r="A1063" s="43" t="n">
        <v>1048</v>
      </c>
      <c r="B1063" s="166" t="n"/>
      <c r="C1063" s="166" t="n"/>
      <c r="D1063" s="166" t="n"/>
      <c r="E1063" s="162" t="n"/>
      <c r="F1063" s="166" t="n"/>
      <c r="G1063" s="162" t="n"/>
      <c r="H1063" s="162" t="n"/>
      <c r="I1063" s="189">
        <f>E1063*G1063</f>
        <v/>
      </c>
      <c r="J1063" s="195" t="n"/>
      <c r="K1063" s="162" t="n"/>
      <c r="L1063" s="168" t="n"/>
      <c r="M1063" s="75">
        <f>_xlfn.XLOOKUP(L1063,list_vat[Страна],list_vat[Ставка НДС %],0,0)</f>
        <v/>
      </c>
      <c r="N1063" s="162">
        <f>IFERROR(IF(L1063="Китай",K1063,K1063/(1+M1063)),0)</f>
        <v/>
      </c>
      <c r="O1063" s="169" t="n"/>
      <c r="P1063" s="76">
        <f>N1063*(1-O1063)</f>
        <v/>
      </c>
      <c r="Q1063" s="162" t="n"/>
      <c r="R1063" s="162">
        <f>IF(ISBLANK(Q1063),"введи курс",P1063/Q1063)</f>
        <v/>
      </c>
      <c r="S1063" s="196">
        <f>IF(AND(ISNUMBER(E1063),ISNUMBER(Q1063)),E1063*R1063,0)</f>
        <v/>
      </c>
      <c r="T1063" s="192">
        <f>$BC1063*V$11</f>
        <v/>
      </c>
      <c r="U1063" s="76">
        <f>$BC1063*W$11</f>
        <v/>
      </c>
      <c r="V1063" s="193">
        <f>+SUM(T1063:U1063)</f>
        <v/>
      </c>
      <c r="W1063" s="191" t="n"/>
      <c r="X1063" s="170" t="n"/>
      <c r="Y1063" s="76">
        <f>ROUND(IF(offer_incoterms="DDP",X1063*(S1063*(1+AW1063)+T1063),0),2)</f>
        <v/>
      </c>
      <c r="Z1063" s="188" t="n"/>
      <c r="AA1063" s="192">
        <f>IFERROR(AB1063/E1063,0)</f>
        <v/>
      </c>
      <c r="AB1063" s="76">
        <f>ROUND(SUM(S1063,V1063,Y1063:Z1063,BA1063:BB1063),2)</f>
        <v/>
      </c>
      <c r="AC1063" s="797" t="n"/>
      <c r="AD1063" s="192">
        <f t="array" ref="AD1063">IFERROR(ROUND((_xlfn.IFS(offer_sale_type="поставка",AB1063,offer_sale_type="транзит",S1063)*(1+AC1063))/E1063,2),0)</f>
        <v/>
      </c>
      <c r="AE1063" s="76">
        <f>AD1063*E1063</f>
        <v/>
      </c>
      <c r="AF1063" s="193">
        <f t="array" ref="AF1063">IFERROR(ROUND(_xlfn.IFS(offer_sale_type="поставка",AB1063,offer_sale_type="транзит",S1063)*AC1063,2),0)</f>
        <v/>
      </c>
      <c r="AG1063" s="192">
        <f>$BD1063*VLOOKUP($AG$3,$AF$4:$AG$7,2,FALSE)</f>
        <v/>
      </c>
      <c r="AH1063" s="76">
        <f>SUM(AE1063,AG1063,AI1063)*rate_forex_risk</f>
        <v/>
      </c>
      <c r="AI1063" s="193">
        <f>IF(OR(seller_region="TR",offer_sale_type="экспорт"),0,rate_fin_comm)*SUM(AZ1063,AZ1063*AW1063,T1063)</f>
        <v/>
      </c>
      <c r="AJ1063" s="118">
        <f>IFERROR(ROUND(SUM(AB1063,AF1063:AI1063)/E1063,2),0)</f>
        <v/>
      </c>
      <c r="AK1063" s="76">
        <f>AJ1063*E1063</f>
        <v/>
      </c>
      <c r="AL1063" s="174">
        <f>ROUND(IFERROR(AM1063*E1063,0),2)</f>
        <v/>
      </c>
      <c r="AM1063" s="175">
        <f>ROUND(AJ1063*(1+IF(offer_incoterms="DDP",IF((TODAY()+offer_turnaround_time)&gt;=helpsheet!$L$17,rate_vatRU_from_26,rate_vatRu_till_25),0)),2)</f>
        <v/>
      </c>
      <c r="AN1063" s="192">
        <f>AL1063-AK1063</f>
        <v/>
      </c>
      <c r="AO1063" s="76">
        <f>SUM(AY1063,Y1063:Z1063,T1063)*IF(AND(offer_incoterms="DDP",offer_sale_type&lt;&gt;"экспорт"),IF((TODAY()+offer_turnaround_time)&gt;=helpsheet!$L$17,rate_vatRU_from_26,rate_vatRu_till_25),0)</f>
        <v/>
      </c>
      <c r="AP1063" s="193">
        <f>AN1063-AO1063</f>
        <v/>
      </c>
      <c r="AQ1063" s="118">
        <f>IF(offer_sale_type="транзит",SUM(AF1063:AI1063,BA1063,BB1063),0)</f>
        <v/>
      </c>
      <c r="AR1063" s="82">
        <f>HYPERLINK("https://www.alta.ru/tnved/code/")&amp;W1063&amp;"/"</f>
        <v/>
      </c>
      <c r="AS1063" s="157" t="n"/>
      <c r="AT1063" s="162" t="n"/>
      <c r="AU1063" s="76">
        <f>IF(ISBLANK(AT1063),0,AJ1063-AT1063)</f>
        <v/>
      </c>
      <c r="AV1063" s="157" t="n"/>
      <c r="AW1063" s="75">
        <f>_xlfn.IFNA(VLOOKUP(L1063,list_vat[],3,FALSE),0)</f>
        <v/>
      </c>
      <c r="AX1063" s="76">
        <f>IFERROR(ROUND(S1063*(1+AW1063)/E1063,2),0)</f>
        <v/>
      </c>
      <c r="AY1063" s="76">
        <f>E1063*AX1063</f>
        <v/>
      </c>
      <c r="AZ1063" s="192">
        <f>S1063*(1+M1063)</f>
        <v/>
      </c>
      <c r="BA1063" s="76">
        <f>cost_fin_total*$BD1063</f>
        <v/>
      </c>
      <c r="BB1063" s="193">
        <f>credit_sales_interest*BD1063</f>
        <v/>
      </c>
      <c r="BC1063" s="102">
        <f>IFERROR(IF($I$13&gt;0,$I1063/$I$13,$S1063/$S$13),0)</f>
        <v/>
      </c>
      <c r="BD1063" s="102">
        <f>IFERROR($S1063/$S$13,0)</f>
        <v/>
      </c>
      <c r="BE1063" s="413" t="inlineStr">
        <is>
          <t>$</t>
        </is>
      </c>
    </row>
    <row r="1064" ht="12" customFormat="1" customHeight="1" s="65">
      <c r="A1064" s="43" t="n">
        <v>1049</v>
      </c>
      <c r="B1064" s="166" t="n"/>
      <c r="C1064" s="166" t="n"/>
      <c r="D1064" s="166" t="n"/>
      <c r="E1064" s="162" t="n"/>
      <c r="F1064" s="166" t="n"/>
      <c r="G1064" s="162" t="n"/>
      <c r="H1064" s="162" t="n"/>
      <c r="I1064" s="189">
        <f>E1064*G1064</f>
        <v/>
      </c>
      <c r="J1064" s="195" t="n"/>
      <c r="K1064" s="162" t="n"/>
      <c r="L1064" s="168" t="n"/>
      <c r="M1064" s="75">
        <f>_xlfn.XLOOKUP(L1064,list_vat[Страна],list_vat[Ставка НДС %],0,0)</f>
        <v/>
      </c>
      <c r="N1064" s="162">
        <f>IFERROR(IF(L1064="Китай",K1064,K1064/(1+M1064)),0)</f>
        <v/>
      </c>
      <c r="O1064" s="169" t="n"/>
      <c r="P1064" s="76">
        <f>N1064*(1-O1064)</f>
        <v/>
      </c>
      <c r="Q1064" s="162" t="n"/>
      <c r="R1064" s="162">
        <f>IF(ISBLANK(Q1064),"введи курс",P1064/Q1064)</f>
        <v/>
      </c>
      <c r="S1064" s="196">
        <f>IF(AND(ISNUMBER(E1064),ISNUMBER(Q1064)),E1064*R1064,0)</f>
        <v/>
      </c>
      <c r="T1064" s="192">
        <f>$BC1064*V$11</f>
        <v/>
      </c>
      <c r="U1064" s="76">
        <f>$BC1064*W$11</f>
        <v/>
      </c>
      <c r="V1064" s="193">
        <f>+SUM(T1064:U1064)</f>
        <v/>
      </c>
      <c r="W1064" s="191" t="n"/>
      <c r="X1064" s="170" t="n"/>
      <c r="Y1064" s="76">
        <f>ROUND(IF(offer_incoterms="DDP",X1064*(S1064*(1+AW1064)+T1064),0),2)</f>
        <v/>
      </c>
      <c r="Z1064" s="188" t="n"/>
      <c r="AA1064" s="192">
        <f>IFERROR(AB1064/E1064,0)</f>
        <v/>
      </c>
      <c r="AB1064" s="76">
        <f>ROUND(SUM(S1064,V1064,Y1064:Z1064,BA1064:BB1064),2)</f>
        <v/>
      </c>
      <c r="AC1064" s="797" t="n"/>
      <c r="AD1064" s="192">
        <f t="array" ref="AD1064">IFERROR(ROUND((_xlfn.IFS(offer_sale_type="поставка",AB1064,offer_sale_type="транзит",S1064)*(1+AC1064))/E1064,2),0)</f>
        <v/>
      </c>
      <c r="AE1064" s="76">
        <f>AD1064*E1064</f>
        <v/>
      </c>
      <c r="AF1064" s="193">
        <f t="array" ref="AF1064">IFERROR(ROUND(_xlfn.IFS(offer_sale_type="поставка",AB1064,offer_sale_type="транзит",S1064)*AC1064,2),0)</f>
        <v/>
      </c>
      <c r="AG1064" s="192">
        <f>$BD1064*VLOOKUP($AG$3,$AF$4:$AG$7,2,FALSE)</f>
        <v/>
      </c>
      <c r="AH1064" s="76">
        <f>SUM(AE1064,AG1064,AI1064)*rate_forex_risk</f>
        <v/>
      </c>
      <c r="AI1064" s="193">
        <f>IF(OR(seller_region="TR",offer_sale_type="экспорт"),0,rate_fin_comm)*SUM(AZ1064,AZ1064*AW1064,T1064)</f>
        <v/>
      </c>
      <c r="AJ1064" s="118">
        <f>IFERROR(ROUND(SUM(AB1064,AF1064:AI1064)/E1064,2),0)</f>
        <v/>
      </c>
      <c r="AK1064" s="76">
        <f>AJ1064*E1064</f>
        <v/>
      </c>
      <c r="AL1064" s="174">
        <f>ROUND(IFERROR(AM1064*E1064,0),2)</f>
        <v/>
      </c>
      <c r="AM1064" s="175">
        <f>ROUND(AJ1064*(1+IF(offer_incoterms="DDP",IF((TODAY()+offer_turnaround_time)&gt;=helpsheet!$L$17,rate_vatRU_from_26,rate_vatRu_till_25),0)),2)</f>
        <v/>
      </c>
      <c r="AN1064" s="192">
        <f>AL1064-AK1064</f>
        <v/>
      </c>
      <c r="AO1064" s="76">
        <f>SUM(AY1064,Y1064:Z1064,T1064)*IF(AND(offer_incoterms="DDP",offer_sale_type&lt;&gt;"экспорт"),IF((TODAY()+offer_turnaround_time)&gt;=helpsheet!$L$17,rate_vatRU_from_26,rate_vatRu_till_25),0)</f>
        <v/>
      </c>
      <c r="AP1064" s="193">
        <f>AN1064-AO1064</f>
        <v/>
      </c>
      <c r="AQ1064" s="118">
        <f>IF(offer_sale_type="транзит",SUM(AF1064:AI1064,BA1064,BB1064),0)</f>
        <v/>
      </c>
      <c r="AR1064" s="82">
        <f>HYPERLINK("https://www.alta.ru/tnved/code/")&amp;W1064&amp;"/"</f>
        <v/>
      </c>
      <c r="AS1064" s="157" t="n"/>
      <c r="AT1064" s="162" t="n"/>
      <c r="AU1064" s="76">
        <f>IF(ISBLANK(AT1064),0,AJ1064-AT1064)</f>
        <v/>
      </c>
      <c r="AV1064" s="157" t="n"/>
      <c r="AW1064" s="75">
        <f>_xlfn.IFNA(VLOOKUP(L1064,list_vat[],3,FALSE),0)</f>
        <v/>
      </c>
      <c r="AX1064" s="76">
        <f>IFERROR(ROUND(S1064*(1+AW1064)/E1064,2),0)</f>
        <v/>
      </c>
      <c r="AY1064" s="76">
        <f>E1064*AX1064</f>
        <v/>
      </c>
      <c r="AZ1064" s="192">
        <f>S1064*(1+M1064)</f>
        <v/>
      </c>
      <c r="BA1064" s="76">
        <f>cost_fin_total*$BD1064</f>
        <v/>
      </c>
      <c r="BB1064" s="193">
        <f>credit_sales_interest*BD1064</f>
        <v/>
      </c>
      <c r="BC1064" s="102">
        <f>IFERROR(IF($I$13&gt;0,$I1064/$I$13,$S1064/$S$13),0)</f>
        <v/>
      </c>
      <c r="BD1064" s="102">
        <f>IFERROR($S1064/$S$13,0)</f>
        <v/>
      </c>
      <c r="BE1064" s="413" t="inlineStr">
        <is>
          <t>$</t>
        </is>
      </c>
    </row>
    <row r="1065" ht="12" customFormat="1" customHeight="1" s="65">
      <c r="A1065" s="43" t="n">
        <v>1050</v>
      </c>
      <c r="B1065" s="166" t="n"/>
      <c r="C1065" s="166" t="n"/>
      <c r="D1065" s="166" t="n"/>
      <c r="E1065" s="162" t="n"/>
      <c r="F1065" s="166" t="n"/>
      <c r="G1065" s="162" t="n"/>
      <c r="H1065" s="162" t="n"/>
      <c r="I1065" s="189">
        <f>E1065*G1065</f>
        <v/>
      </c>
      <c r="J1065" s="195" t="n"/>
      <c r="K1065" s="162" t="n"/>
      <c r="L1065" s="168" t="n"/>
      <c r="M1065" s="75">
        <f>_xlfn.XLOOKUP(L1065,list_vat[Страна],list_vat[Ставка НДС %],0,0)</f>
        <v/>
      </c>
      <c r="N1065" s="162">
        <f>IFERROR(IF(L1065="Китай",K1065,K1065/(1+M1065)),0)</f>
        <v/>
      </c>
      <c r="O1065" s="169" t="n"/>
      <c r="P1065" s="76">
        <f>N1065*(1-O1065)</f>
        <v/>
      </c>
      <c r="Q1065" s="162" t="n"/>
      <c r="R1065" s="162">
        <f>IF(ISBLANK(Q1065),"введи курс",P1065/Q1065)</f>
        <v/>
      </c>
      <c r="S1065" s="196">
        <f>IF(AND(ISNUMBER(E1065),ISNUMBER(Q1065)),E1065*R1065,0)</f>
        <v/>
      </c>
      <c r="T1065" s="192">
        <f>$BC1065*V$11</f>
        <v/>
      </c>
      <c r="U1065" s="76">
        <f>$BC1065*W$11</f>
        <v/>
      </c>
      <c r="V1065" s="193">
        <f>+SUM(T1065:U1065)</f>
        <v/>
      </c>
      <c r="W1065" s="191" t="n"/>
      <c r="X1065" s="170" t="n"/>
      <c r="Y1065" s="76">
        <f>ROUND(IF(offer_incoterms="DDP",X1065*(S1065*(1+AW1065)+T1065),0),2)</f>
        <v/>
      </c>
      <c r="Z1065" s="188" t="n"/>
      <c r="AA1065" s="192">
        <f>IFERROR(AB1065/E1065,0)</f>
        <v/>
      </c>
      <c r="AB1065" s="76">
        <f>ROUND(SUM(S1065,V1065,Y1065:Z1065,BA1065:BB1065),2)</f>
        <v/>
      </c>
      <c r="AC1065" s="797" t="n"/>
      <c r="AD1065" s="192">
        <f t="array" ref="AD1065">IFERROR(ROUND((_xlfn.IFS(offer_sale_type="поставка",AB1065,offer_sale_type="транзит",S1065)*(1+AC1065))/E1065,2),0)</f>
        <v/>
      </c>
      <c r="AE1065" s="76">
        <f>AD1065*E1065</f>
        <v/>
      </c>
      <c r="AF1065" s="193">
        <f t="array" ref="AF1065">IFERROR(ROUND(_xlfn.IFS(offer_sale_type="поставка",AB1065,offer_sale_type="транзит",S1065)*AC1065,2),0)</f>
        <v/>
      </c>
      <c r="AG1065" s="192">
        <f>$BD1065*VLOOKUP($AG$3,$AF$4:$AG$7,2,FALSE)</f>
        <v/>
      </c>
      <c r="AH1065" s="76">
        <f>SUM(AE1065,AG1065,AI1065)*rate_forex_risk</f>
        <v/>
      </c>
      <c r="AI1065" s="193">
        <f>IF(OR(seller_region="TR",offer_sale_type="экспорт"),0,rate_fin_comm)*SUM(AZ1065,AZ1065*AW1065,T1065)</f>
        <v/>
      </c>
      <c r="AJ1065" s="118">
        <f>IFERROR(ROUND(SUM(AB1065,AF1065:AI1065)/E1065,2),0)</f>
        <v/>
      </c>
      <c r="AK1065" s="76">
        <f>AJ1065*E1065</f>
        <v/>
      </c>
      <c r="AL1065" s="174">
        <f>ROUND(IFERROR(AM1065*E1065,0),2)</f>
        <v/>
      </c>
      <c r="AM1065" s="175">
        <f>ROUND(AJ1065*(1+IF(offer_incoterms="DDP",IF((TODAY()+offer_turnaround_time)&gt;=helpsheet!$L$17,rate_vatRU_from_26,rate_vatRu_till_25),0)),2)</f>
        <v/>
      </c>
      <c r="AN1065" s="192">
        <f>AL1065-AK1065</f>
        <v/>
      </c>
      <c r="AO1065" s="76">
        <f>SUM(AY1065,Y1065:Z1065,T1065)*IF(AND(offer_incoterms="DDP",offer_sale_type&lt;&gt;"экспорт"),IF((TODAY()+offer_turnaround_time)&gt;=helpsheet!$L$17,rate_vatRU_from_26,rate_vatRu_till_25),0)</f>
        <v/>
      </c>
      <c r="AP1065" s="193">
        <f>AN1065-AO1065</f>
        <v/>
      </c>
      <c r="AQ1065" s="118">
        <f>IF(offer_sale_type="транзит",SUM(AF1065:AI1065,BA1065,BB1065),0)</f>
        <v/>
      </c>
      <c r="AR1065" s="82">
        <f>HYPERLINK("https://www.alta.ru/tnved/code/")&amp;W1065&amp;"/"</f>
        <v/>
      </c>
      <c r="AS1065" s="157" t="n"/>
      <c r="AT1065" s="162" t="n"/>
      <c r="AU1065" s="76">
        <f>IF(ISBLANK(AT1065),0,AJ1065-AT1065)</f>
        <v/>
      </c>
      <c r="AV1065" s="157" t="n"/>
      <c r="AW1065" s="75">
        <f>_xlfn.IFNA(VLOOKUP(L1065,list_vat[],3,FALSE),0)</f>
        <v/>
      </c>
      <c r="AX1065" s="76">
        <f>IFERROR(ROUND(S1065*(1+AW1065)/E1065,2),0)</f>
        <v/>
      </c>
      <c r="AY1065" s="76">
        <f>E1065*AX1065</f>
        <v/>
      </c>
      <c r="AZ1065" s="192">
        <f>S1065*(1+M1065)</f>
        <v/>
      </c>
      <c r="BA1065" s="76">
        <f>cost_fin_total*$BD1065</f>
        <v/>
      </c>
      <c r="BB1065" s="193">
        <f>credit_sales_interest*BD1065</f>
        <v/>
      </c>
      <c r="BC1065" s="102">
        <f>IFERROR(IF($I$13&gt;0,$I1065/$I$13,$S1065/$S$13),0)</f>
        <v/>
      </c>
      <c r="BD1065" s="102">
        <f>IFERROR($S1065/$S$13,0)</f>
        <v/>
      </c>
      <c r="BE1065" s="413" t="inlineStr">
        <is>
          <t>$</t>
        </is>
      </c>
    </row>
    <row r="1066" ht="12" customFormat="1" customHeight="1" s="65">
      <c r="A1066" s="43" t="n">
        <v>1051</v>
      </c>
      <c r="B1066" s="166" t="n"/>
      <c r="C1066" s="166" t="n"/>
      <c r="D1066" s="166" t="n"/>
      <c r="E1066" s="162" t="n"/>
      <c r="F1066" s="166" t="n"/>
      <c r="G1066" s="162" t="n"/>
      <c r="H1066" s="162" t="n"/>
      <c r="I1066" s="189">
        <f>E1066*G1066</f>
        <v/>
      </c>
      <c r="J1066" s="195" t="n"/>
      <c r="K1066" s="162" t="n"/>
      <c r="L1066" s="168" t="n"/>
      <c r="M1066" s="75">
        <f>_xlfn.XLOOKUP(L1066,list_vat[Страна],list_vat[Ставка НДС %],0,0)</f>
        <v/>
      </c>
      <c r="N1066" s="162">
        <f>IFERROR(IF(L1066="Китай",K1066,K1066/(1+M1066)),0)</f>
        <v/>
      </c>
      <c r="O1066" s="169" t="n"/>
      <c r="P1066" s="76">
        <f>N1066*(1-O1066)</f>
        <v/>
      </c>
      <c r="Q1066" s="162" t="n"/>
      <c r="R1066" s="162">
        <f>IF(ISBLANK(Q1066),"введи курс",P1066/Q1066)</f>
        <v/>
      </c>
      <c r="S1066" s="196">
        <f>IF(AND(ISNUMBER(E1066),ISNUMBER(Q1066)),E1066*R1066,0)</f>
        <v/>
      </c>
      <c r="T1066" s="192">
        <f>$BC1066*V$11</f>
        <v/>
      </c>
      <c r="U1066" s="76">
        <f>$BC1066*W$11</f>
        <v/>
      </c>
      <c r="V1066" s="193">
        <f>+SUM(T1066:U1066)</f>
        <v/>
      </c>
      <c r="W1066" s="191" t="n"/>
      <c r="X1066" s="170" t="n"/>
      <c r="Y1066" s="76">
        <f>ROUND(IF(offer_incoterms="DDP",X1066*(S1066*(1+AW1066)+T1066),0),2)</f>
        <v/>
      </c>
      <c r="Z1066" s="188" t="n"/>
      <c r="AA1066" s="192">
        <f>IFERROR(AB1066/E1066,0)</f>
        <v/>
      </c>
      <c r="AB1066" s="76">
        <f>ROUND(SUM(S1066,V1066,Y1066:Z1066,BA1066:BB1066),2)</f>
        <v/>
      </c>
      <c r="AC1066" s="797" t="n"/>
      <c r="AD1066" s="192">
        <f t="array" ref="AD1066">IFERROR(ROUND((_xlfn.IFS(offer_sale_type="поставка",AB1066,offer_sale_type="транзит",S1066)*(1+AC1066))/E1066,2),0)</f>
        <v/>
      </c>
      <c r="AE1066" s="76">
        <f>AD1066*E1066</f>
        <v/>
      </c>
      <c r="AF1066" s="193">
        <f t="array" ref="AF1066">IFERROR(ROUND(_xlfn.IFS(offer_sale_type="поставка",AB1066,offer_sale_type="транзит",S1066)*AC1066,2),0)</f>
        <v/>
      </c>
      <c r="AG1066" s="192">
        <f>$BD1066*VLOOKUP($AG$3,$AF$4:$AG$7,2,FALSE)</f>
        <v/>
      </c>
      <c r="AH1066" s="76">
        <f>SUM(AE1066,AG1066,AI1066)*rate_forex_risk</f>
        <v/>
      </c>
      <c r="AI1066" s="193">
        <f>IF(OR(seller_region="TR",offer_sale_type="экспорт"),0,rate_fin_comm)*SUM(AZ1066,AZ1066*AW1066,T1066)</f>
        <v/>
      </c>
      <c r="AJ1066" s="118">
        <f>IFERROR(ROUND(SUM(AB1066,AF1066:AI1066)/E1066,2),0)</f>
        <v/>
      </c>
      <c r="AK1066" s="76">
        <f>AJ1066*E1066</f>
        <v/>
      </c>
      <c r="AL1066" s="174">
        <f>ROUND(IFERROR(AM1066*E1066,0),2)</f>
        <v/>
      </c>
      <c r="AM1066" s="175">
        <f>ROUND(AJ1066*(1+IF(offer_incoterms="DDP",IF((TODAY()+offer_turnaround_time)&gt;=helpsheet!$L$17,rate_vatRU_from_26,rate_vatRu_till_25),0)),2)</f>
        <v/>
      </c>
      <c r="AN1066" s="192">
        <f>AL1066-AK1066</f>
        <v/>
      </c>
      <c r="AO1066" s="76">
        <f>SUM(AY1066,Y1066:Z1066,T1066)*IF(AND(offer_incoterms="DDP",offer_sale_type&lt;&gt;"экспорт"),IF((TODAY()+offer_turnaround_time)&gt;=helpsheet!$L$17,rate_vatRU_from_26,rate_vatRu_till_25),0)</f>
        <v/>
      </c>
      <c r="AP1066" s="193">
        <f>AN1066-AO1066</f>
        <v/>
      </c>
      <c r="AQ1066" s="118">
        <f>IF(offer_sale_type="транзит",SUM(AF1066:AI1066,BA1066,BB1066),0)</f>
        <v/>
      </c>
      <c r="AR1066" s="82">
        <f>HYPERLINK("https://www.alta.ru/tnved/code/")&amp;W1066&amp;"/"</f>
        <v/>
      </c>
      <c r="AS1066" s="157" t="n"/>
      <c r="AT1066" s="162" t="n"/>
      <c r="AU1066" s="76">
        <f>IF(ISBLANK(AT1066),0,AJ1066-AT1066)</f>
        <v/>
      </c>
      <c r="AV1066" s="157" t="n"/>
      <c r="AW1066" s="75">
        <f>_xlfn.IFNA(VLOOKUP(L1066,list_vat[],3,FALSE),0)</f>
        <v/>
      </c>
      <c r="AX1066" s="76">
        <f>IFERROR(ROUND(S1066*(1+AW1066)/E1066,2),0)</f>
        <v/>
      </c>
      <c r="AY1066" s="76">
        <f>E1066*AX1066</f>
        <v/>
      </c>
      <c r="AZ1066" s="192">
        <f>S1066*(1+M1066)</f>
        <v/>
      </c>
      <c r="BA1066" s="76">
        <f>cost_fin_total*$BD1066</f>
        <v/>
      </c>
      <c r="BB1066" s="193">
        <f>credit_sales_interest*BD1066</f>
        <v/>
      </c>
      <c r="BC1066" s="102">
        <f>IFERROR(IF($I$13&gt;0,$I1066/$I$13,$S1066/$S$13),0)</f>
        <v/>
      </c>
      <c r="BD1066" s="102">
        <f>IFERROR($S1066/$S$13,0)</f>
        <v/>
      </c>
      <c r="BE1066" s="413" t="inlineStr">
        <is>
          <t>$</t>
        </is>
      </c>
    </row>
    <row r="1067" ht="12" customFormat="1" customHeight="1" s="65">
      <c r="A1067" s="43" t="n">
        <v>1052</v>
      </c>
      <c r="B1067" s="166" t="n"/>
      <c r="C1067" s="166" t="n"/>
      <c r="D1067" s="166" t="n"/>
      <c r="E1067" s="162" t="n"/>
      <c r="F1067" s="166" t="n"/>
      <c r="G1067" s="162" t="n"/>
      <c r="H1067" s="162" t="n"/>
      <c r="I1067" s="189">
        <f>E1067*G1067</f>
        <v/>
      </c>
      <c r="J1067" s="195" t="n"/>
      <c r="K1067" s="162" t="n"/>
      <c r="L1067" s="168" t="n"/>
      <c r="M1067" s="75">
        <f>_xlfn.XLOOKUP(L1067,list_vat[Страна],list_vat[Ставка НДС %],0,0)</f>
        <v/>
      </c>
      <c r="N1067" s="162">
        <f>IFERROR(IF(L1067="Китай",K1067,K1067/(1+M1067)),0)</f>
        <v/>
      </c>
      <c r="O1067" s="169" t="n"/>
      <c r="P1067" s="76">
        <f>N1067*(1-O1067)</f>
        <v/>
      </c>
      <c r="Q1067" s="162" t="n"/>
      <c r="R1067" s="162">
        <f>IF(ISBLANK(Q1067),"введи курс",P1067/Q1067)</f>
        <v/>
      </c>
      <c r="S1067" s="196">
        <f>IF(AND(ISNUMBER(E1067),ISNUMBER(Q1067)),E1067*R1067,0)</f>
        <v/>
      </c>
      <c r="T1067" s="192">
        <f>$BC1067*V$11</f>
        <v/>
      </c>
      <c r="U1067" s="76">
        <f>$BC1067*W$11</f>
        <v/>
      </c>
      <c r="V1067" s="193">
        <f>+SUM(T1067:U1067)</f>
        <v/>
      </c>
      <c r="W1067" s="191" t="n"/>
      <c r="X1067" s="170" t="n"/>
      <c r="Y1067" s="76">
        <f>ROUND(IF(offer_incoterms="DDP",X1067*(S1067*(1+AW1067)+T1067),0),2)</f>
        <v/>
      </c>
      <c r="Z1067" s="188" t="n"/>
      <c r="AA1067" s="192">
        <f>IFERROR(AB1067/E1067,0)</f>
        <v/>
      </c>
      <c r="AB1067" s="76">
        <f>ROUND(SUM(S1067,V1067,Y1067:Z1067,BA1067:BB1067),2)</f>
        <v/>
      </c>
      <c r="AC1067" s="797" t="n"/>
      <c r="AD1067" s="192">
        <f t="array" ref="AD1067">IFERROR(ROUND((_xlfn.IFS(offer_sale_type="поставка",AB1067,offer_sale_type="транзит",S1067)*(1+AC1067))/E1067,2),0)</f>
        <v/>
      </c>
      <c r="AE1067" s="76">
        <f>AD1067*E1067</f>
        <v/>
      </c>
      <c r="AF1067" s="193">
        <f t="array" ref="AF1067">IFERROR(ROUND(_xlfn.IFS(offer_sale_type="поставка",AB1067,offer_sale_type="транзит",S1067)*AC1067,2),0)</f>
        <v/>
      </c>
      <c r="AG1067" s="192">
        <f>$BD1067*VLOOKUP($AG$3,$AF$4:$AG$7,2,FALSE)</f>
        <v/>
      </c>
      <c r="AH1067" s="76">
        <f>SUM(AE1067,AG1067,AI1067)*rate_forex_risk</f>
        <v/>
      </c>
      <c r="AI1067" s="193">
        <f>IF(OR(seller_region="TR",offer_sale_type="экспорт"),0,rate_fin_comm)*SUM(AZ1067,AZ1067*AW1067,T1067)</f>
        <v/>
      </c>
      <c r="AJ1067" s="118">
        <f>IFERROR(ROUND(SUM(AB1067,AF1067:AI1067)/E1067,2),0)</f>
        <v/>
      </c>
      <c r="AK1067" s="76">
        <f>AJ1067*E1067</f>
        <v/>
      </c>
      <c r="AL1067" s="174">
        <f>ROUND(IFERROR(AM1067*E1067,0),2)</f>
        <v/>
      </c>
      <c r="AM1067" s="175">
        <f>ROUND(AJ1067*(1+IF(offer_incoterms="DDP",IF((TODAY()+offer_turnaround_time)&gt;=helpsheet!$L$17,rate_vatRU_from_26,rate_vatRu_till_25),0)),2)</f>
        <v/>
      </c>
      <c r="AN1067" s="192">
        <f>AL1067-AK1067</f>
        <v/>
      </c>
      <c r="AO1067" s="76">
        <f>SUM(AY1067,Y1067:Z1067,T1067)*IF(AND(offer_incoterms="DDP",offer_sale_type&lt;&gt;"экспорт"),IF((TODAY()+offer_turnaround_time)&gt;=helpsheet!$L$17,rate_vatRU_from_26,rate_vatRu_till_25),0)</f>
        <v/>
      </c>
      <c r="AP1067" s="193">
        <f>AN1067-AO1067</f>
        <v/>
      </c>
      <c r="AQ1067" s="118">
        <f>IF(offer_sale_type="транзит",SUM(AF1067:AI1067,BA1067,BB1067),0)</f>
        <v/>
      </c>
      <c r="AR1067" s="82">
        <f>HYPERLINK("https://www.alta.ru/tnved/code/")&amp;W1067&amp;"/"</f>
        <v/>
      </c>
      <c r="AS1067" s="157" t="n"/>
      <c r="AT1067" s="162" t="n"/>
      <c r="AU1067" s="76">
        <f>IF(ISBLANK(AT1067),0,AJ1067-AT1067)</f>
        <v/>
      </c>
      <c r="AV1067" s="157" t="n"/>
      <c r="AW1067" s="75">
        <f>_xlfn.IFNA(VLOOKUP(L1067,list_vat[],3,FALSE),0)</f>
        <v/>
      </c>
      <c r="AX1067" s="76">
        <f>IFERROR(ROUND(S1067*(1+AW1067)/E1067,2),0)</f>
        <v/>
      </c>
      <c r="AY1067" s="76">
        <f>E1067*AX1067</f>
        <v/>
      </c>
      <c r="AZ1067" s="192">
        <f>S1067*(1+M1067)</f>
        <v/>
      </c>
      <c r="BA1067" s="76">
        <f>cost_fin_total*$BD1067</f>
        <v/>
      </c>
      <c r="BB1067" s="193">
        <f>credit_sales_interest*BD1067</f>
        <v/>
      </c>
      <c r="BC1067" s="102">
        <f>IFERROR(IF($I$13&gt;0,$I1067/$I$13,$S1067/$S$13),0)</f>
        <v/>
      </c>
      <c r="BD1067" s="102">
        <f>IFERROR($S1067/$S$13,0)</f>
        <v/>
      </c>
      <c r="BE1067" s="413" t="inlineStr">
        <is>
          <t>$</t>
        </is>
      </c>
    </row>
    <row r="1068" ht="12" customFormat="1" customHeight="1" s="65">
      <c r="A1068" s="43" t="n">
        <v>1053</v>
      </c>
      <c r="B1068" s="166" t="n"/>
      <c r="C1068" s="166" t="n"/>
      <c r="D1068" s="166" t="n"/>
      <c r="E1068" s="162" t="n"/>
      <c r="F1068" s="166" t="n"/>
      <c r="G1068" s="162" t="n"/>
      <c r="H1068" s="162" t="n"/>
      <c r="I1068" s="189">
        <f>E1068*G1068</f>
        <v/>
      </c>
      <c r="J1068" s="195" t="n"/>
      <c r="K1068" s="162" t="n"/>
      <c r="L1068" s="168" t="n"/>
      <c r="M1068" s="75">
        <f>_xlfn.XLOOKUP(L1068,list_vat[Страна],list_vat[Ставка НДС %],0,0)</f>
        <v/>
      </c>
      <c r="N1068" s="162">
        <f>IFERROR(IF(L1068="Китай",K1068,K1068/(1+M1068)),0)</f>
        <v/>
      </c>
      <c r="O1068" s="169" t="n"/>
      <c r="P1068" s="76">
        <f>N1068*(1-O1068)</f>
        <v/>
      </c>
      <c r="Q1068" s="162" t="n"/>
      <c r="R1068" s="162">
        <f>IF(ISBLANK(Q1068),"введи курс",P1068/Q1068)</f>
        <v/>
      </c>
      <c r="S1068" s="196">
        <f>IF(AND(ISNUMBER(E1068),ISNUMBER(Q1068)),E1068*R1068,0)</f>
        <v/>
      </c>
      <c r="T1068" s="192">
        <f>$BC1068*V$11</f>
        <v/>
      </c>
      <c r="U1068" s="76">
        <f>$BC1068*W$11</f>
        <v/>
      </c>
      <c r="V1068" s="193">
        <f>+SUM(T1068:U1068)</f>
        <v/>
      </c>
      <c r="W1068" s="191" t="n"/>
      <c r="X1068" s="170" t="n"/>
      <c r="Y1068" s="76">
        <f>ROUND(IF(offer_incoterms="DDP",X1068*(S1068*(1+AW1068)+T1068),0),2)</f>
        <v/>
      </c>
      <c r="Z1068" s="188" t="n"/>
      <c r="AA1068" s="192">
        <f>IFERROR(AB1068/E1068,0)</f>
        <v/>
      </c>
      <c r="AB1068" s="76">
        <f>ROUND(SUM(S1068,V1068,Y1068:Z1068,BA1068:BB1068),2)</f>
        <v/>
      </c>
      <c r="AC1068" s="797" t="n"/>
      <c r="AD1068" s="192">
        <f t="array" ref="AD1068">IFERROR(ROUND((_xlfn.IFS(offer_sale_type="поставка",AB1068,offer_sale_type="транзит",S1068)*(1+AC1068))/E1068,2),0)</f>
        <v/>
      </c>
      <c r="AE1068" s="76">
        <f>AD1068*E1068</f>
        <v/>
      </c>
      <c r="AF1068" s="193">
        <f t="array" ref="AF1068">IFERROR(ROUND(_xlfn.IFS(offer_sale_type="поставка",AB1068,offer_sale_type="транзит",S1068)*AC1068,2),0)</f>
        <v/>
      </c>
      <c r="AG1068" s="192">
        <f>$BD1068*VLOOKUP($AG$3,$AF$4:$AG$7,2,FALSE)</f>
        <v/>
      </c>
      <c r="AH1068" s="76">
        <f>SUM(AE1068,AG1068,AI1068)*rate_forex_risk</f>
        <v/>
      </c>
      <c r="AI1068" s="193">
        <f>IF(OR(seller_region="TR",offer_sale_type="экспорт"),0,rate_fin_comm)*SUM(AZ1068,AZ1068*AW1068,T1068)</f>
        <v/>
      </c>
      <c r="AJ1068" s="118">
        <f>IFERROR(ROUND(SUM(AB1068,AF1068:AI1068)/E1068,2),0)</f>
        <v/>
      </c>
      <c r="AK1068" s="76">
        <f>AJ1068*E1068</f>
        <v/>
      </c>
      <c r="AL1068" s="174">
        <f>ROUND(IFERROR(AM1068*E1068,0),2)</f>
        <v/>
      </c>
      <c r="AM1068" s="175">
        <f>ROUND(AJ1068*(1+IF(offer_incoterms="DDP",IF((TODAY()+offer_turnaround_time)&gt;=helpsheet!$L$17,rate_vatRU_from_26,rate_vatRu_till_25),0)),2)</f>
        <v/>
      </c>
      <c r="AN1068" s="192">
        <f>AL1068-AK1068</f>
        <v/>
      </c>
      <c r="AO1068" s="76">
        <f>SUM(AY1068,Y1068:Z1068,T1068)*IF(AND(offer_incoterms="DDP",offer_sale_type&lt;&gt;"экспорт"),IF((TODAY()+offer_turnaround_time)&gt;=helpsheet!$L$17,rate_vatRU_from_26,rate_vatRu_till_25),0)</f>
        <v/>
      </c>
      <c r="AP1068" s="193">
        <f>AN1068-AO1068</f>
        <v/>
      </c>
      <c r="AQ1068" s="118">
        <f>IF(offer_sale_type="транзит",SUM(AF1068:AI1068,BA1068,BB1068),0)</f>
        <v/>
      </c>
      <c r="AR1068" s="82">
        <f>HYPERLINK("https://www.alta.ru/tnved/code/")&amp;W1068&amp;"/"</f>
        <v/>
      </c>
      <c r="AS1068" s="157" t="n"/>
      <c r="AT1068" s="162" t="n"/>
      <c r="AU1068" s="76">
        <f>IF(ISBLANK(AT1068),0,AJ1068-AT1068)</f>
        <v/>
      </c>
      <c r="AV1068" s="157" t="n"/>
      <c r="AW1068" s="75">
        <f>_xlfn.IFNA(VLOOKUP(L1068,list_vat[],3,FALSE),0)</f>
        <v/>
      </c>
      <c r="AX1068" s="76">
        <f>IFERROR(ROUND(S1068*(1+AW1068)/E1068,2),0)</f>
        <v/>
      </c>
      <c r="AY1068" s="76">
        <f>E1068*AX1068</f>
        <v/>
      </c>
      <c r="AZ1068" s="192">
        <f>S1068*(1+M1068)</f>
        <v/>
      </c>
      <c r="BA1068" s="76">
        <f>cost_fin_total*$BD1068</f>
        <v/>
      </c>
      <c r="BB1068" s="193">
        <f>credit_sales_interest*BD1068</f>
        <v/>
      </c>
      <c r="BC1068" s="102">
        <f>IFERROR(IF($I$13&gt;0,$I1068/$I$13,$S1068/$S$13),0)</f>
        <v/>
      </c>
      <c r="BD1068" s="102">
        <f>IFERROR($S1068/$S$13,0)</f>
        <v/>
      </c>
      <c r="BE1068" s="413" t="inlineStr">
        <is>
          <t>$</t>
        </is>
      </c>
    </row>
    <row r="1069" ht="12" customFormat="1" customHeight="1" s="65">
      <c r="A1069" s="43" t="n">
        <v>1054</v>
      </c>
      <c r="B1069" s="166" t="n"/>
      <c r="C1069" s="166" t="n"/>
      <c r="D1069" s="166" t="n"/>
      <c r="E1069" s="162" t="n"/>
      <c r="F1069" s="166" t="n"/>
      <c r="G1069" s="162" t="n"/>
      <c r="H1069" s="162" t="n"/>
      <c r="I1069" s="189">
        <f>E1069*G1069</f>
        <v/>
      </c>
      <c r="J1069" s="195" t="n"/>
      <c r="K1069" s="162" t="n"/>
      <c r="L1069" s="168" t="n"/>
      <c r="M1069" s="75">
        <f>_xlfn.XLOOKUP(L1069,list_vat[Страна],list_vat[Ставка НДС %],0,0)</f>
        <v/>
      </c>
      <c r="N1069" s="162">
        <f>IFERROR(IF(L1069="Китай",K1069,K1069/(1+M1069)),0)</f>
        <v/>
      </c>
      <c r="O1069" s="169" t="n"/>
      <c r="P1069" s="76">
        <f>N1069*(1-O1069)</f>
        <v/>
      </c>
      <c r="Q1069" s="162" t="n"/>
      <c r="R1069" s="162">
        <f>IF(ISBLANK(Q1069),"введи курс",P1069/Q1069)</f>
        <v/>
      </c>
      <c r="S1069" s="196">
        <f>IF(AND(ISNUMBER(E1069),ISNUMBER(Q1069)),E1069*R1069,0)</f>
        <v/>
      </c>
      <c r="T1069" s="192">
        <f>$BC1069*V$11</f>
        <v/>
      </c>
      <c r="U1069" s="76">
        <f>$BC1069*W$11</f>
        <v/>
      </c>
      <c r="V1069" s="193">
        <f>+SUM(T1069:U1069)</f>
        <v/>
      </c>
      <c r="W1069" s="191" t="n"/>
      <c r="X1069" s="170" t="n"/>
      <c r="Y1069" s="76">
        <f>ROUND(IF(offer_incoterms="DDP",X1069*(S1069*(1+AW1069)+T1069),0),2)</f>
        <v/>
      </c>
      <c r="Z1069" s="188" t="n"/>
      <c r="AA1069" s="192">
        <f>IFERROR(AB1069/E1069,0)</f>
        <v/>
      </c>
      <c r="AB1069" s="76">
        <f>ROUND(SUM(S1069,V1069,Y1069:Z1069,BA1069:BB1069),2)</f>
        <v/>
      </c>
      <c r="AC1069" s="797" t="n"/>
      <c r="AD1069" s="192">
        <f t="array" ref="AD1069">IFERROR(ROUND((_xlfn.IFS(offer_sale_type="поставка",AB1069,offer_sale_type="транзит",S1069)*(1+AC1069))/E1069,2),0)</f>
        <v/>
      </c>
      <c r="AE1069" s="76">
        <f>AD1069*E1069</f>
        <v/>
      </c>
      <c r="AF1069" s="193">
        <f t="array" ref="AF1069">IFERROR(ROUND(_xlfn.IFS(offer_sale_type="поставка",AB1069,offer_sale_type="транзит",S1069)*AC1069,2),0)</f>
        <v/>
      </c>
      <c r="AG1069" s="192">
        <f>$BD1069*VLOOKUP($AG$3,$AF$4:$AG$7,2,FALSE)</f>
        <v/>
      </c>
      <c r="AH1069" s="76">
        <f>SUM(AE1069,AG1069,AI1069)*rate_forex_risk</f>
        <v/>
      </c>
      <c r="AI1069" s="193">
        <f>IF(OR(seller_region="TR",offer_sale_type="экспорт"),0,rate_fin_comm)*SUM(AZ1069,AZ1069*AW1069,T1069)</f>
        <v/>
      </c>
      <c r="AJ1069" s="118">
        <f>IFERROR(ROUND(SUM(AB1069,AF1069:AI1069)/E1069,2),0)</f>
        <v/>
      </c>
      <c r="AK1069" s="76">
        <f>AJ1069*E1069</f>
        <v/>
      </c>
      <c r="AL1069" s="174">
        <f>ROUND(IFERROR(AM1069*E1069,0),2)</f>
        <v/>
      </c>
      <c r="AM1069" s="175">
        <f>ROUND(AJ1069*(1+IF(offer_incoterms="DDP",IF((TODAY()+offer_turnaround_time)&gt;=helpsheet!$L$17,rate_vatRU_from_26,rate_vatRu_till_25),0)),2)</f>
        <v/>
      </c>
      <c r="AN1069" s="192">
        <f>AL1069-AK1069</f>
        <v/>
      </c>
      <c r="AO1069" s="76">
        <f>SUM(AY1069,Y1069:Z1069,T1069)*IF(AND(offer_incoterms="DDP",offer_sale_type&lt;&gt;"экспорт"),IF((TODAY()+offer_turnaround_time)&gt;=helpsheet!$L$17,rate_vatRU_from_26,rate_vatRu_till_25),0)</f>
        <v/>
      </c>
      <c r="AP1069" s="193">
        <f>AN1069-AO1069</f>
        <v/>
      </c>
      <c r="AQ1069" s="118">
        <f>IF(offer_sale_type="транзит",SUM(AF1069:AI1069,BA1069,BB1069),0)</f>
        <v/>
      </c>
      <c r="AR1069" s="82">
        <f>HYPERLINK("https://www.alta.ru/tnved/code/")&amp;W1069&amp;"/"</f>
        <v/>
      </c>
      <c r="AS1069" s="157" t="n"/>
      <c r="AT1069" s="162" t="n"/>
      <c r="AU1069" s="76">
        <f>IF(ISBLANK(AT1069),0,AJ1069-AT1069)</f>
        <v/>
      </c>
      <c r="AV1069" s="157" t="n"/>
      <c r="AW1069" s="75">
        <f>_xlfn.IFNA(VLOOKUP(L1069,list_vat[],3,FALSE),0)</f>
        <v/>
      </c>
      <c r="AX1069" s="76">
        <f>IFERROR(ROUND(S1069*(1+AW1069)/E1069,2),0)</f>
        <v/>
      </c>
      <c r="AY1069" s="76">
        <f>E1069*AX1069</f>
        <v/>
      </c>
      <c r="AZ1069" s="192">
        <f>S1069*(1+M1069)</f>
        <v/>
      </c>
      <c r="BA1069" s="76">
        <f>cost_fin_total*$BD1069</f>
        <v/>
      </c>
      <c r="BB1069" s="193">
        <f>credit_sales_interest*BD1069</f>
        <v/>
      </c>
      <c r="BC1069" s="102">
        <f>IFERROR(IF($I$13&gt;0,$I1069/$I$13,$S1069/$S$13),0)</f>
        <v/>
      </c>
      <c r="BD1069" s="102">
        <f>IFERROR($S1069/$S$13,0)</f>
        <v/>
      </c>
      <c r="BE1069" s="413" t="inlineStr">
        <is>
          <t>$</t>
        </is>
      </c>
    </row>
    <row r="1070" ht="12" customFormat="1" customHeight="1" s="65">
      <c r="A1070" s="43" t="n">
        <v>1055</v>
      </c>
      <c r="B1070" s="166" t="n"/>
      <c r="C1070" s="166" t="n"/>
      <c r="D1070" s="166" t="n"/>
      <c r="E1070" s="162" t="n"/>
      <c r="F1070" s="166" t="n"/>
      <c r="G1070" s="162" t="n"/>
      <c r="H1070" s="162" t="n"/>
      <c r="I1070" s="189">
        <f>E1070*G1070</f>
        <v/>
      </c>
      <c r="J1070" s="195" t="n"/>
      <c r="K1070" s="162" t="n"/>
      <c r="L1070" s="168" t="n"/>
      <c r="M1070" s="75">
        <f>_xlfn.XLOOKUP(L1070,list_vat[Страна],list_vat[Ставка НДС %],0,0)</f>
        <v/>
      </c>
      <c r="N1070" s="162">
        <f>IFERROR(IF(L1070="Китай",K1070,K1070/(1+M1070)),0)</f>
        <v/>
      </c>
      <c r="O1070" s="169" t="n"/>
      <c r="P1070" s="76">
        <f>N1070*(1-O1070)</f>
        <v/>
      </c>
      <c r="Q1070" s="162" t="n"/>
      <c r="R1070" s="162">
        <f>IF(ISBLANK(Q1070),"введи курс",P1070/Q1070)</f>
        <v/>
      </c>
      <c r="S1070" s="196">
        <f>IF(AND(ISNUMBER(E1070),ISNUMBER(Q1070)),E1070*R1070,0)</f>
        <v/>
      </c>
      <c r="T1070" s="192">
        <f>$BC1070*V$11</f>
        <v/>
      </c>
      <c r="U1070" s="76">
        <f>$BC1070*W$11</f>
        <v/>
      </c>
      <c r="V1070" s="193">
        <f>+SUM(T1070:U1070)</f>
        <v/>
      </c>
      <c r="W1070" s="191" t="n"/>
      <c r="X1070" s="170" t="n"/>
      <c r="Y1070" s="76">
        <f>ROUND(IF(offer_incoterms="DDP",X1070*(S1070*(1+AW1070)+T1070),0),2)</f>
        <v/>
      </c>
      <c r="Z1070" s="188" t="n"/>
      <c r="AA1070" s="192">
        <f>IFERROR(AB1070/E1070,0)</f>
        <v/>
      </c>
      <c r="AB1070" s="76">
        <f>ROUND(SUM(S1070,V1070,Y1070:Z1070,BA1070:BB1070),2)</f>
        <v/>
      </c>
      <c r="AC1070" s="797" t="n"/>
      <c r="AD1070" s="192">
        <f t="array" ref="AD1070">IFERROR(ROUND((_xlfn.IFS(offer_sale_type="поставка",AB1070,offer_sale_type="транзит",S1070)*(1+AC1070))/E1070,2),0)</f>
        <v/>
      </c>
      <c r="AE1070" s="76">
        <f>AD1070*E1070</f>
        <v/>
      </c>
      <c r="AF1070" s="193">
        <f t="array" ref="AF1070">IFERROR(ROUND(_xlfn.IFS(offer_sale_type="поставка",AB1070,offer_sale_type="транзит",S1070)*AC1070,2),0)</f>
        <v/>
      </c>
      <c r="AG1070" s="192">
        <f>$BD1070*VLOOKUP($AG$3,$AF$4:$AG$7,2,FALSE)</f>
        <v/>
      </c>
      <c r="AH1070" s="76">
        <f>SUM(AE1070,AG1070,AI1070)*rate_forex_risk</f>
        <v/>
      </c>
      <c r="AI1070" s="193">
        <f>IF(OR(seller_region="TR",offer_sale_type="экспорт"),0,rate_fin_comm)*SUM(AZ1070,AZ1070*AW1070,T1070)</f>
        <v/>
      </c>
      <c r="AJ1070" s="118">
        <f>IFERROR(ROUND(SUM(AB1070,AF1070:AI1070)/E1070,2),0)</f>
        <v/>
      </c>
      <c r="AK1070" s="76">
        <f>AJ1070*E1070</f>
        <v/>
      </c>
      <c r="AL1070" s="174">
        <f>ROUND(IFERROR(AM1070*E1070,0),2)</f>
        <v/>
      </c>
      <c r="AM1070" s="175">
        <f>ROUND(AJ1070*(1+IF(offer_incoterms="DDP",IF((TODAY()+offer_turnaround_time)&gt;=helpsheet!$L$17,rate_vatRU_from_26,rate_vatRu_till_25),0)),2)</f>
        <v/>
      </c>
      <c r="AN1070" s="192">
        <f>AL1070-AK1070</f>
        <v/>
      </c>
      <c r="AO1070" s="76">
        <f>SUM(AY1070,Y1070:Z1070,T1070)*IF(AND(offer_incoterms="DDP",offer_sale_type&lt;&gt;"экспорт"),IF((TODAY()+offer_turnaround_time)&gt;=helpsheet!$L$17,rate_vatRU_from_26,rate_vatRu_till_25),0)</f>
        <v/>
      </c>
      <c r="AP1070" s="193">
        <f>AN1070-AO1070</f>
        <v/>
      </c>
      <c r="AQ1070" s="118">
        <f>IF(offer_sale_type="транзит",SUM(AF1070:AI1070,BA1070,BB1070),0)</f>
        <v/>
      </c>
      <c r="AR1070" s="82">
        <f>HYPERLINK("https://www.alta.ru/tnved/code/")&amp;W1070&amp;"/"</f>
        <v/>
      </c>
      <c r="AS1070" s="157" t="n"/>
      <c r="AT1070" s="162" t="n"/>
      <c r="AU1070" s="76">
        <f>IF(ISBLANK(AT1070),0,AJ1070-AT1070)</f>
        <v/>
      </c>
      <c r="AV1070" s="157" t="n"/>
      <c r="AW1070" s="75">
        <f>_xlfn.IFNA(VLOOKUP(L1070,list_vat[],3,FALSE),0)</f>
        <v/>
      </c>
      <c r="AX1070" s="76">
        <f>IFERROR(ROUND(S1070*(1+AW1070)/E1070,2),0)</f>
        <v/>
      </c>
      <c r="AY1070" s="76">
        <f>E1070*AX1070</f>
        <v/>
      </c>
      <c r="AZ1070" s="192">
        <f>S1070*(1+M1070)</f>
        <v/>
      </c>
      <c r="BA1070" s="76">
        <f>cost_fin_total*$BD1070</f>
        <v/>
      </c>
      <c r="BB1070" s="193">
        <f>credit_sales_interest*BD1070</f>
        <v/>
      </c>
      <c r="BC1070" s="102">
        <f>IFERROR(IF($I$13&gt;0,$I1070/$I$13,$S1070/$S$13),0)</f>
        <v/>
      </c>
      <c r="BD1070" s="102">
        <f>IFERROR($S1070/$S$13,0)</f>
        <v/>
      </c>
      <c r="BE1070" s="413" t="inlineStr">
        <is>
          <t>$</t>
        </is>
      </c>
    </row>
    <row r="1071" ht="12" customFormat="1" customHeight="1" s="65">
      <c r="A1071" s="43" t="n">
        <v>1056</v>
      </c>
      <c r="B1071" s="166" t="n"/>
      <c r="C1071" s="166" t="n"/>
      <c r="D1071" s="166" t="n"/>
      <c r="E1071" s="162" t="n"/>
      <c r="F1071" s="166" t="n"/>
      <c r="G1071" s="162" t="n"/>
      <c r="H1071" s="162" t="n"/>
      <c r="I1071" s="189">
        <f>E1071*G1071</f>
        <v/>
      </c>
      <c r="J1071" s="195" t="n"/>
      <c r="K1071" s="162" t="n"/>
      <c r="L1071" s="168" t="n"/>
      <c r="M1071" s="75">
        <f>_xlfn.XLOOKUP(L1071,list_vat[Страна],list_vat[Ставка НДС %],0,0)</f>
        <v/>
      </c>
      <c r="N1071" s="162">
        <f>IFERROR(IF(L1071="Китай",K1071,K1071/(1+M1071)),0)</f>
        <v/>
      </c>
      <c r="O1071" s="169" t="n"/>
      <c r="P1071" s="76">
        <f>N1071*(1-O1071)</f>
        <v/>
      </c>
      <c r="Q1071" s="162" t="n"/>
      <c r="R1071" s="162">
        <f>IF(ISBLANK(Q1071),"введи курс",P1071/Q1071)</f>
        <v/>
      </c>
      <c r="S1071" s="196">
        <f>IF(AND(ISNUMBER(E1071),ISNUMBER(Q1071)),E1071*R1071,0)</f>
        <v/>
      </c>
      <c r="T1071" s="192">
        <f>$BC1071*V$11</f>
        <v/>
      </c>
      <c r="U1071" s="76">
        <f>$BC1071*W$11</f>
        <v/>
      </c>
      <c r="V1071" s="193">
        <f>+SUM(T1071:U1071)</f>
        <v/>
      </c>
      <c r="W1071" s="191" t="n"/>
      <c r="X1071" s="170" t="n"/>
      <c r="Y1071" s="76">
        <f>ROUND(IF(offer_incoterms="DDP",X1071*(S1071*(1+AW1071)+T1071),0),2)</f>
        <v/>
      </c>
      <c r="Z1071" s="188" t="n"/>
      <c r="AA1071" s="192">
        <f>IFERROR(AB1071/E1071,0)</f>
        <v/>
      </c>
      <c r="AB1071" s="76">
        <f>ROUND(SUM(S1071,V1071,Y1071:Z1071,BA1071:BB1071),2)</f>
        <v/>
      </c>
      <c r="AC1071" s="797" t="n"/>
      <c r="AD1071" s="192">
        <f t="array" ref="AD1071">IFERROR(ROUND((_xlfn.IFS(offer_sale_type="поставка",AB1071,offer_sale_type="транзит",S1071)*(1+AC1071))/E1071,2),0)</f>
        <v/>
      </c>
      <c r="AE1071" s="76">
        <f>AD1071*E1071</f>
        <v/>
      </c>
      <c r="AF1071" s="193">
        <f t="array" ref="AF1071">IFERROR(ROUND(_xlfn.IFS(offer_sale_type="поставка",AB1071,offer_sale_type="транзит",S1071)*AC1071,2),0)</f>
        <v/>
      </c>
      <c r="AG1071" s="192">
        <f>$BD1071*VLOOKUP($AG$3,$AF$4:$AG$7,2,FALSE)</f>
        <v/>
      </c>
      <c r="AH1071" s="76">
        <f>SUM(AE1071,AG1071,AI1071)*rate_forex_risk</f>
        <v/>
      </c>
      <c r="AI1071" s="193">
        <f>IF(OR(seller_region="TR",offer_sale_type="экспорт"),0,rate_fin_comm)*SUM(AZ1071,AZ1071*AW1071,T1071)</f>
        <v/>
      </c>
      <c r="AJ1071" s="118">
        <f>IFERROR(ROUND(SUM(AB1071,AF1071:AI1071)/E1071,2),0)</f>
        <v/>
      </c>
      <c r="AK1071" s="76">
        <f>AJ1071*E1071</f>
        <v/>
      </c>
      <c r="AL1071" s="174">
        <f>ROUND(IFERROR(AM1071*E1071,0),2)</f>
        <v/>
      </c>
      <c r="AM1071" s="175">
        <f>ROUND(AJ1071*(1+IF(offer_incoterms="DDP",IF((TODAY()+offer_turnaround_time)&gt;=helpsheet!$L$17,rate_vatRU_from_26,rate_vatRu_till_25),0)),2)</f>
        <v/>
      </c>
      <c r="AN1071" s="192">
        <f>AL1071-AK1071</f>
        <v/>
      </c>
      <c r="AO1071" s="76">
        <f>SUM(AY1071,Y1071:Z1071,T1071)*IF(AND(offer_incoterms="DDP",offer_sale_type&lt;&gt;"экспорт"),IF((TODAY()+offer_turnaround_time)&gt;=helpsheet!$L$17,rate_vatRU_from_26,rate_vatRu_till_25),0)</f>
        <v/>
      </c>
      <c r="AP1071" s="193">
        <f>AN1071-AO1071</f>
        <v/>
      </c>
      <c r="AQ1071" s="118">
        <f>IF(offer_sale_type="транзит",SUM(AF1071:AI1071,BA1071,BB1071),0)</f>
        <v/>
      </c>
      <c r="AR1071" s="82">
        <f>HYPERLINK("https://www.alta.ru/tnved/code/")&amp;W1071&amp;"/"</f>
        <v/>
      </c>
      <c r="AS1071" s="157" t="n"/>
      <c r="AT1071" s="162" t="n"/>
      <c r="AU1071" s="76">
        <f>IF(ISBLANK(AT1071),0,AJ1071-AT1071)</f>
        <v/>
      </c>
      <c r="AV1071" s="157" t="n"/>
      <c r="AW1071" s="75">
        <f>_xlfn.IFNA(VLOOKUP(L1071,list_vat[],3,FALSE),0)</f>
        <v/>
      </c>
      <c r="AX1071" s="76">
        <f>IFERROR(ROUND(S1071*(1+AW1071)/E1071,2),0)</f>
        <v/>
      </c>
      <c r="AY1071" s="76">
        <f>E1071*AX1071</f>
        <v/>
      </c>
      <c r="AZ1071" s="192">
        <f>S1071*(1+M1071)</f>
        <v/>
      </c>
      <c r="BA1071" s="76">
        <f>cost_fin_total*$BD1071</f>
        <v/>
      </c>
      <c r="BB1071" s="193">
        <f>credit_sales_interest*BD1071</f>
        <v/>
      </c>
      <c r="BC1071" s="102">
        <f>IFERROR(IF($I$13&gt;0,$I1071/$I$13,$S1071/$S$13),0)</f>
        <v/>
      </c>
      <c r="BD1071" s="102">
        <f>IFERROR($S1071/$S$13,0)</f>
        <v/>
      </c>
      <c r="BE1071" s="413" t="inlineStr">
        <is>
          <t>$</t>
        </is>
      </c>
    </row>
    <row r="1072" ht="12" customFormat="1" customHeight="1" s="65">
      <c r="A1072" s="43" t="n">
        <v>1057</v>
      </c>
      <c r="B1072" s="166" t="n"/>
      <c r="C1072" s="166" t="n"/>
      <c r="D1072" s="166" t="n"/>
      <c r="E1072" s="162" t="n"/>
      <c r="F1072" s="166" t="n"/>
      <c r="G1072" s="162" t="n"/>
      <c r="H1072" s="162" t="n"/>
      <c r="I1072" s="189">
        <f>E1072*G1072</f>
        <v/>
      </c>
      <c r="J1072" s="195" t="n"/>
      <c r="K1072" s="162" t="n"/>
      <c r="L1072" s="168" t="n"/>
      <c r="M1072" s="75">
        <f>_xlfn.XLOOKUP(L1072,list_vat[Страна],list_vat[Ставка НДС %],0,0)</f>
        <v/>
      </c>
      <c r="N1072" s="162">
        <f>IFERROR(IF(L1072="Китай",K1072,K1072/(1+M1072)),0)</f>
        <v/>
      </c>
      <c r="O1072" s="169" t="n"/>
      <c r="P1072" s="76">
        <f>N1072*(1-O1072)</f>
        <v/>
      </c>
      <c r="Q1072" s="162" t="n"/>
      <c r="R1072" s="162">
        <f>IF(ISBLANK(Q1072),"введи курс",P1072/Q1072)</f>
        <v/>
      </c>
      <c r="S1072" s="196">
        <f>IF(AND(ISNUMBER(E1072),ISNUMBER(Q1072)),E1072*R1072,0)</f>
        <v/>
      </c>
      <c r="T1072" s="192">
        <f>$BC1072*V$11</f>
        <v/>
      </c>
      <c r="U1072" s="76">
        <f>$BC1072*W$11</f>
        <v/>
      </c>
      <c r="V1072" s="193">
        <f>+SUM(T1072:U1072)</f>
        <v/>
      </c>
      <c r="W1072" s="191" t="n"/>
      <c r="X1072" s="170" t="n"/>
      <c r="Y1072" s="76">
        <f>ROUND(IF(offer_incoterms="DDP",X1072*(S1072*(1+AW1072)+T1072),0),2)</f>
        <v/>
      </c>
      <c r="Z1072" s="188" t="n"/>
      <c r="AA1072" s="192">
        <f>IFERROR(AB1072/E1072,0)</f>
        <v/>
      </c>
      <c r="AB1072" s="76">
        <f>ROUND(SUM(S1072,V1072,Y1072:Z1072,BA1072:BB1072),2)</f>
        <v/>
      </c>
      <c r="AC1072" s="797" t="n"/>
      <c r="AD1072" s="192">
        <f t="array" ref="AD1072">IFERROR(ROUND((_xlfn.IFS(offer_sale_type="поставка",AB1072,offer_sale_type="транзит",S1072)*(1+AC1072))/E1072,2),0)</f>
        <v/>
      </c>
      <c r="AE1072" s="76">
        <f>AD1072*E1072</f>
        <v/>
      </c>
      <c r="AF1072" s="193">
        <f t="array" ref="AF1072">IFERROR(ROUND(_xlfn.IFS(offer_sale_type="поставка",AB1072,offer_sale_type="транзит",S1072)*AC1072,2),0)</f>
        <v/>
      </c>
      <c r="AG1072" s="192">
        <f>$BD1072*VLOOKUP($AG$3,$AF$4:$AG$7,2,FALSE)</f>
        <v/>
      </c>
      <c r="AH1072" s="76">
        <f>SUM(AE1072,AG1072,AI1072)*rate_forex_risk</f>
        <v/>
      </c>
      <c r="AI1072" s="193">
        <f>IF(OR(seller_region="TR",offer_sale_type="экспорт"),0,rate_fin_comm)*SUM(AZ1072,AZ1072*AW1072,T1072)</f>
        <v/>
      </c>
      <c r="AJ1072" s="118">
        <f>IFERROR(ROUND(SUM(AB1072,AF1072:AI1072)/E1072,2),0)</f>
        <v/>
      </c>
      <c r="AK1072" s="76">
        <f>AJ1072*E1072</f>
        <v/>
      </c>
      <c r="AL1072" s="174">
        <f>ROUND(IFERROR(AM1072*E1072,0),2)</f>
        <v/>
      </c>
      <c r="AM1072" s="175">
        <f>ROUND(AJ1072*(1+IF(offer_incoterms="DDP",IF((TODAY()+offer_turnaround_time)&gt;=helpsheet!$L$17,rate_vatRU_from_26,rate_vatRu_till_25),0)),2)</f>
        <v/>
      </c>
      <c r="AN1072" s="192">
        <f>AL1072-AK1072</f>
        <v/>
      </c>
      <c r="AO1072" s="76">
        <f>SUM(AY1072,Y1072:Z1072,T1072)*IF(AND(offer_incoterms="DDP",offer_sale_type&lt;&gt;"экспорт"),IF((TODAY()+offer_turnaround_time)&gt;=helpsheet!$L$17,rate_vatRU_from_26,rate_vatRu_till_25),0)</f>
        <v/>
      </c>
      <c r="AP1072" s="193">
        <f>AN1072-AO1072</f>
        <v/>
      </c>
      <c r="AQ1072" s="118">
        <f>IF(offer_sale_type="транзит",SUM(AF1072:AI1072,BA1072,BB1072),0)</f>
        <v/>
      </c>
      <c r="AR1072" s="82">
        <f>HYPERLINK("https://www.alta.ru/tnved/code/")&amp;W1072&amp;"/"</f>
        <v/>
      </c>
      <c r="AS1072" s="157" t="n"/>
      <c r="AT1072" s="162" t="n"/>
      <c r="AU1072" s="76">
        <f>IF(ISBLANK(AT1072),0,AJ1072-AT1072)</f>
        <v/>
      </c>
      <c r="AV1072" s="157" t="n"/>
      <c r="AW1072" s="75">
        <f>_xlfn.IFNA(VLOOKUP(L1072,list_vat[],3,FALSE),0)</f>
        <v/>
      </c>
      <c r="AX1072" s="76">
        <f>IFERROR(ROUND(S1072*(1+AW1072)/E1072,2),0)</f>
        <v/>
      </c>
      <c r="AY1072" s="76">
        <f>E1072*AX1072</f>
        <v/>
      </c>
      <c r="AZ1072" s="192">
        <f>S1072*(1+M1072)</f>
        <v/>
      </c>
      <c r="BA1072" s="76">
        <f>cost_fin_total*$BD1072</f>
        <v/>
      </c>
      <c r="BB1072" s="193">
        <f>credit_sales_interest*BD1072</f>
        <v/>
      </c>
      <c r="BC1072" s="102">
        <f>IFERROR(IF($I$13&gt;0,$I1072/$I$13,$S1072/$S$13),0)</f>
        <v/>
      </c>
      <c r="BD1072" s="102">
        <f>IFERROR($S1072/$S$13,0)</f>
        <v/>
      </c>
      <c r="BE1072" s="413" t="inlineStr">
        <is>
          <t>$</t>
        </is>
      </c>
    </row>
    <row r="1073" ht="12" customFormat="1" customHeight="1" s="65">
      <c r="A1073" s="43" t="n">
        <v>1058</v>
      </c>
      <c r="B1073" s="166" t="n"/>
      <c r="C1073" s="166" t="n"/>
      <c r="D1073" s="166" t="n"/>
      <c r="E1073" s="162" t="n"/>
      <c r="F1073" s="166" t="n"/>
      <c r="G1073" s="162" t="n"/>
      <c r="H1073" s="162" t="n"/>
      <c r="I1073" s="189">
        <f>E1073*G1073</f>
        <v/>
      </c>
      <c r="J1073" s="195" t="n"/>
      <c r="K1073" s="162" t="n"/>
      <c r="L1073" s="168" t="n"/>
      <c r="M1073" s="75">
        <f>_xlfn.XLOOKUP(L1073,list_vat[Страна],list_vat[Ставка НДС %],0,0)</f>
        <v/>
      </c>
      <c r="N1073" s="162">
        <f>IFERROR(IF(L1073="Китай",K1073,K1073/(1+M1073)),0)</f>
        <v/>
      </c>
      <c r="O1073" s="169" t="n"/>
      <c r="P1073" s="76">
        <f>N1073*(1-O1073)</f>
        <v/>
      </c>
      <c r="Q1073" s="162" t="n"/>
      <c r="R1073" s="162">
        <f>IF(ISBLANK(Q1073),"введи курс",P1073/Q1073)</f>
        <v/>
      </c>
      <c r="S1073" s="196">
        <f>IF(AND(ISNUMBER(E1073),ISNUMBER(Q1073)),E1073*R1073,0)</f>
        <v/>
      </c>
      <c r="T1073" s="192">
        <f>$BC1073*V$11</f>
        <v/>
      </c>
      <c r="U1073" s="76">
        <f>$BC1073*W$11</f>
        <v/>
      </c>
      <c r="V1073" s="193">
        <f>+SUM(T1073:U1073)</f>
        <v/>
      </c>
      <c r="W1073" s="191" t="n"/>
      <c r="X1073" s="170" t="n"/>
      <c r="Y1073" s="76">
        <f>ROUND(IF(offer_incoterms="DDP",X1073*(S1073*(1+AW1073)+T1073),0),2)</f>
        <v/>
      </c>
      <c r="Z1073" s="188" t="n"/>
      <c r="AA1073" s="192">
        <f>IFERROR(AB1073/E1073,0)</f>
        <v/>
      </c>
      <c r="AB1073" s="76">
        <f>ROUND(SUM(S1073,V1073,Y1073:Z1073,BA1073:BB1073),2)</f>
        <v/>
      </c>
      <c r="AC1073" s="797" t="n"/>
      <c r="AD1073" s="192">
        <f t="array" ref="AD1073">IFERROR(ROUND((_xlfn.IFS(offer_sale_type="поставка",AB1073,offer_sale_type="транзит",S1073)*(1+AC1073))/E1073,2),0)</f>
        <v/>
      </c>
      <c r="AE1073" s="76">
        <f>AD1073*E1073</f>
        <v/>
      </c>
      <c r="AF1073" s="193">
        <f t="array" ref="AF1073">IFERROR(ROUND(_xlfn.IFS(offer_sale_type="поставка",AB1073,offer_sale_type="транзит",S1073)*AC1073,2),0)</f>
        <v/>
      </c>
      <c r="AG1073" s="192">
        <f>$BD1073*VLOOKUP($AG$3,$AF$4:$AG$7,2,FALSE)</f>
        <v/>
      </c>
      <c r="AH1073" s="76">
        <f>SUM(AE1073,AG1073,AI1073)*rate_forex_risk</f>
        <v/>
      </c>
      <c r="AI1073" s="193">
        <f>IF(OR(seller_region="TR",offer_sale_type="экспорт"),0,rate_fin_comm)*SUM(AZ1073,AZ1073*AW1073,T1073)</f>
        <v/>
      </c>
      <c r="AJ1073" s="118">
        <f>IFERROR(ROUND(SUM(AB1073,AF1073:AI1073)/E1073,2),0)</f>
        <v/>
      </c>
      <c r="AK1073" s="76">
        <f>AJ1073*E1073</f>
        <v/>
      </c>
      <c r="AL1073" s="174">
        <f>ROUND(IFERROR(AM1073*E1073,0),2)</f>
        <v/>
      </c>
      <c r="AM1073" s="175">
        <f>ROUND(AJ1073*(1+IF(offer_incoterms="DDP",IF((TODAY()+offer_turnaround_time)&gt;=helpsheet!$L$17,rate_vatRU_from_26,rate_vatRu_till_25),0)),2)</f>
        <v/>
      </c>
      <c r="AN1073" s="192">
        <f>AL1073-AK1073</f>
        <v/>
      </c>
      <c r="AO1073" s="76">
        <f>SUM(AY1073,Y1073:Z1073,T1073)*IF(AND(offer_incoterms="DDP",offer_sale_type&lt;&gt;"экспорт"),IF((TODAY()+offer_turnaround_time)&gt;=helpsheet!$L$17,rate_vatRU_from_26,rate_vatRu_till_25),0)</f>
        <v/>
      </c>
      <c r="AP1073" s="193">
        <f>AN1073-AO1073</f>
        <v/>
      </c>
      <c r="AQ1073" s="118">
        <f>IF(offer_sale_type="транзит",SUM(AF1073:AI1073,BA1073,BB1073),0)</f>
        <v/>
      </c>
      <c r="AR1073" s="82">
        <f>HYPERLINK("https://www.alta.ru/tnved/code/")&amp;W1073&amp;"/"</f>
        <v/>
      </c>
      <c r="AS1073" s="157" t="n"/>
      <c r="AT1073" s="162" t="n"/>
      <c r="AU1073" s="76">
        <f>IF(ISBLANK(AT1073),0,AJ1073-AT1073)</f>
        <v/>
      </c>
      <c r="AV1073" s="157" t="n"/>
      <c r="AW1073" s="75">
        <f>_xlfn.IFNA(VLOOKUP(L1073,list_vat[],3,FALSE),0)</f>
        <v/>
      </c>
      <c r="AX1073" s="76">
        <f>IFERROR(ROUND(S1073*(1+AW1073)/E1073,2),0)</f>
        <v/>
      </c>
      <c r="AY1073" s="76">
        <f>E1073*AX1073</f>
        <v/>
      </c>
      <c r="AZ1073" s="192">
        <f>S1073*(1+M1073)</f>
        <v/>
      </c>
      <c r="BA1073" s="76">
        <f>cost_fin_total*$BD1073</f>
        <v/>
      </c>
      <c r="BB1073" s="193">
        <f>credit_sales_interest*BD1073</f>
        <v/>
      </c>
      <c r="BC1073" s="102">
        <f>IFERROR(IF($I$13&gt;0,$I1073/$I$13,$S1073/$S$13),0)</f>
        <v/>
      </c>
      <c r="BD1073" s="102">
        <f>IFERROR($S1073/$S$13,0)</f>
        <v/>
      </c>
      <c r="BE1073" s="413" t="inlineStr">
        <is>
          <t>$</t>
        </is>
      </c>
    </row>
    <row r="1074" ht="12" customFormat="1" customHeight="1" s="65">
      <c r="A1074" s="43" t="n">
        <v>1059</v>
      </c>
      <c r="B1074" s="166" t="n"/>
      <c r="C1074" s="166" t="n"/>
      <c r="D1074" s="166" t="n"/>
      <c r="E1074" s="162" t="n"/>
      <c r="F1074" s="166" t="n"/>
      <c r="G1074" s="162" t="n"/>
      <c r="H1074" s="162" t="n"/>
      <c r="I1074" s="189">
        <f>E1074*G1074</f>
        <v/>
      </c>
      <c r="J1074" s="195" t="n"/>
      <c r="K1074" s="162" t="n"/>
      <c r="L1074" s="168" t="n"/>
      <c r="M1074" s="75">
        <f>_xlfn.XLOOKUP(L1074,list_vat[Страна],list_vat[Ставка НДС %],0,0)</f>
        <v/>
      </c>
      <c r="N1074" s="162">
        <f>IFERROR(IF(L1074="Китай",K1074,K1074/(1+M1074)),0)</f>
        <v/>
      </c>
      <c r="O1074" s="169" t="n"/>
      <c r="P1074" s="76">
        <f>N1074*(1-O1074)</f>
        <v/>
      </c>
      <c r="Q1074" s="162" t="n"/>
      <c r="R1074" s="162">
        <f>IF(ISBLANK(Q1074),"введи курс",P1074/Q1074)</f>
        <v/>
      </c>
      <c r="S1074" s="196">
        <f>IF(AND(ISNUMBER(E1074),ISNUMBER(Q1074)),E1074*R1074,0)</f>
        <v/>
      </c>
      <c r="T1074" s="192">
        <f>$BC1074*V$11</f>
        <v/>
      </c>
      <c r="U1074" s="76">
        <f>$BC1074*W$11</f>
        <v/>
      </c>
      <c r="V1074" s="193">
        <f>+SUM(T1074:U1074)</f>
        <v/>
      </c>
      <c r="W1074" s="191" t="n"/>
      <c r="X1074" s="170" t="n"/>
      <c r="Y1074" s="76">
        <f>ROUND(IF(offer_incoterms="DDP",X1074*(S1074*(1+AW1074)+T1074),0),2)</f>
        <v/>
      </c>
      <c r="Z1074" s="188" t="n"/>
      <c r="AA1074" s="192">
        <f>IFERROR(AB1074/E1074,0)</f>
        <v/>
      </c>
      <c r="AB1074" s="76">
        <f>ROUND(SUM(S1074,V1074,Y1074:Z1074,BA1074:BB1074),2)</f>
        <v/>
      </c>
      <c r="AC1074" s="797" t="n"/>
      <c r="AD1074" s="192">
        <f t="array" ref="AD1074">IFERROR(ROUND((_xlfn.IFS(offer_sale_type="поставка",AB1074,offer_sale_type="транзит",S1074)*(1+AC1074))/E1074,2),0)</f>
        <v/>
      </c>
      <c r="AE1074" s="76">
        <f>AD1074*E1074</f>
        <v/>
      </c>
      <c r="AF1074" s="193">
        <f t="array" ref="AF1074">IFERROR(ROUND(_xlfn.IFS(offer_sale_type="поставка",AB1074,offer_sale_type="транзит",S1074)*AC1074,2),0)</f>
        <v/>
      </c>
      <c r="AG1074" s="192">
        <f>$BD1074*VLOOKUP($AG$3,$AF$4:$AG$7,2,FALSE)</f>
        <v/>
      </c>
      <c r="AH1074" s="76">
        <f>SUM(AE1074,AG1074,AI1074)*rate_forex_risk</f>
        <v/>
      </c>
      <c r="AI1074" s="193">
        <f>IF(OR(seller_region="TR",offer_sale_type="экспорт"),0,rate_fin_comm)*SUM(AZ1074,AZ1074*AW1074,T1074)</f>
        <v/>
      </c>
      <c r="AJ1074" s="118">
        <f>IFERROR(ROUND(SUM(AB1074,AF1074:AI1074)/E1074,2),0)</f>
        <v/>
      </c>
      <c r="AK1074" s="76">
        <f>AJ1074*E1074</f>
        <v/>
      </c>
      <c r="AL1074" s="174">
        <f>ROUND(IFERROR(AM1074*E1074,0),2)</f>
        <v/>
      </c>
      <c r="AM1074" s="175">
        <f>ROUND(AJ1074*(1+IF(offer_incoterms="DDP",IF((TODAY()+offer_turnaround_time)&gt;=helpsheet!$L$17,rate_vatRU_from_26,rate_vatRu_till_25),0)),2)</f>
        <v/>
      </c>
      <c r="AN1074" s="192">
        <f>AL1074-AK1074</f>
        <v/>
      </c>
      <c r="AO1074" s="76">
        <f>SUM(AY1074,Y1074:Z1074,T1074)*IF(AND(offer_incoterms="DDP",offer_sale_type&lt;&gt;"экспорт"),IF((TODAY()+offer_turnaround_time)&gt;=helpsheet!$L$17,rate_vatRU_from_26,rate_vatRu_till_25),0)</f>
        <v/>
      </c>
      <c r="AP1074" s="193">
        <f>AN1074-AO1074</f>
        <v/>
      </c>
      <c r="AQ1074" s="118">
        <f>IF(offer_sale_type="транзит",SUM(AF1074:AI1074,BA1074,BB1074),0)</f>
        <v/>
      </c>
      <c r="AR1074" s="82">
        <f>HYPERLINK("https://www.alta.ru/tnved/code/")&amp;W1074&amp;"/"</f>
        <v/>
      </c>
      <c r="AS1074" s="157" t="n"/>
      <c r="AT1074" s="162" t="n"/>
      <c r="AU1074" s="76">
        <f>IF(ISBLANK(AT1074),0,AJ1074-AT1074)</f>
        <v/>
      </c>
      <c r="AV1074" s="157" t="n"/>
      <c r="AW1074" s="75">
        <f>_xlfn.IFNA(VLOOKUP(L1074,list_vat[],3,FALSE),0)</f>
        <v/>
      </c>
      <c r="AX1074" s="76">
        <f>IFERROR(ROUND(S1074*(1+AW1074)/E1074,2),0)</f>
        <v/>
      </c>
      <c r="AY1074" s="76">
        <f>E1074*AX1074</f>
        <v/>
      </c>
      <c r="AZ1074" s="192">
        <f>S1074*(1+M1074)</f>
        <v/>
      </c>
      <c r="BA1074" s="76">
        <f>cost_fin_total*$BD1074</f>
        <v/>
      </c>
      <c r="BB1074" s="193">
        <f>credit_sales_interest*BD1074</f>
        <v/>
      </c>
      <c r="BC1074" s="102">
        <f>IFERROR(IF($I$13&gt;0,$I1074/$I$13,$S1074/$S$13),0)</f>
        <v/>
      </c>
      <c r="BD1074" s="102">
        <f>IFERROR($S1074/$S$13,0)</f>
        <v/>
      </c>
      <c r="BE1074" s="413" t="inlineStr">
        <is>
          <t>$</t>
        </is>
      </c>
    </row>
    <row r="1075" ht="12" customFormat="1" customHeight="1" s="65">
      <c r="A1075" s="43" t="n">
        <v>1060</v>
      </c>
      <c r="B1075" s="166" t="n"/>
      <c r="C1075" s="166" t="n"/>
      <c r="D1075" s="166" t="n"/>
      <c r="E1075" s="162" t="n"/>
      <c r="F1075" s="166" t="n"/>
      <c r="G1075" s="162" t="n"/>
      <c r="H1075" s="162" t="n"/>
      <c r="I1075" s="189">
        <f>E1075*G1075</f>
        <v/>
      </c>
      <c r="J1075" s="195" t="n"/>
      <c r="K1075" s="162" t="n"/>
      <c r="L1075" s="168" t="n"/>
      <c r="M1075" s="75">
        <f>_xlfn.XLOOKUP(L1075,list_vat[Страна],list_vat[Ставка НДС %],0,0)</f>
        <v/>
      </c>
      <c r="N1075" s="162">
        <f>IFERROR(IF(L1075="Китай",K1075,K1075/(1+M1075)),0)</f>
        <v/>
      </c>
      <c r="O1075" s="169" t="n"/>
      <c r="P1075" s="76">
        <f>N1075*(1-O1075)</f>
        <v/>
      </c>
      <c r="Q1075" s="162" t="n"/>
      <c r="R1075" s="162">
        <f>IF(ISBLANK(Q1075),"введи курс",P1075/Q1075)</f>
        <v/>
      </c>
      <c r="S1075" s="196">
        <f>IF(AND(ISNUMBER(E1075),ISNUMBER(Q1075)),E1075*R1075,0)</f>
        <v/>
      </c>
      <c r="T1075" s="192">
        <f>$BC1075*V$11</f>
        <v/>
      </c>
      <c r="U1075" s="76">
        <f>$BC1075*W$11</f>
        <v/>
      </c>
      <c r="V1075" s="193">
        <f>+SUM(T1075:U1075)</f>
        <v/>
      </c>
      <c r="W1075" s="191" t="n"/>
      <c r="X1075" s="170" t="n"/>
      <c r="Y1075" s="76">
        <f>ROUND(IF(offer_incoterms="DDP",X1075*(S1075*(1+AW1075)+T1075),0),2)</f>
        <v/>
      </c>
      <c r="Z1075" s="188" t="n"/>
      <c r="AA1075" s="192">
        <f>IFERROR(AB1075/E1075,0)</f>
        <v/>
      </c>
      <c r="AB1075" s="76">
        <f>ROUND(SUM(S1075,V1075,Y1075:Z1075,BA1075:BB1075),2)</f>
        <v/>
      </c>
      <c r="AC1075" s="797" t="n"/>
      <c r="AD1075" s="192">
        <f t="array" ref="AD1075">IFERROR(ROUND((_xlfn.IFS(offer_sale_type="поставка",AB1075,offer_sale_type="транзит",S1075)*(1+AC1075))/E1075,2),0)</f>
        <v/>
      </c>
      <c r="AE1075" s="76">
        <f>AD1075*E1075</f>
        <v/>
      </c>
      <c r="AF1075" s="193">
        <f t="array" ref="AF1075">IFERROR(ROUND(_xlfn.IFS(offer_sale_type="поставка",AB1075,offer_sale_type="транзит",S1075)*AC1075,2),0)</f>
        <v/>
      </c>
      <c r="AG1075" s="192">
        <f>$BD1075*VLOOKUP($AG$3,$AF$4:$AG$7,2,FALSE)</f>
        <v/>
      </c>
      <c r="AH1075" s="76">
        <f>SUM(AE1075,AG1075,AI1075)*rate_forex_risk</f>
        <v/>
      </c>
      <c r="AI1075" s="193">
        <f>IF(OR(seller_region="TR",offer_sale_type="экспорт"),0,rate_fin_comm)*SUM(AZ1075,AZ1075*AW1075,T1075)</f>
        <v/>
      </c>
      <c r="AJ1075" s="118">
        <f>IFERROR(ROUND(SUM(AB1075,AF1075:AI1075)/E1075,2),0)</f>
        <v/>
      </c>
      <c r="AK1075" s="76">
        <f>AJ1075*E1075</f>
        <v/>
      </c>
      <c r="AL1075" s="174">
        <f>ROUND(IFERROR(AM1075*E1075,0),2)</f>
        <v/>
      </c>
      <c r="AM1075" s="175">
        <f>ROUND(AJ1075*(1+IF(offer_incoterms="DDP",IF((TODAY()+offer_turnaround_time)&gt;=helpsheet!$L$17,rate_vatRU_from_26,rate_vatRu_till_25),0)),2)</f>
        <v/>
      </c>
      <c r="AN1075" s="192">
        <f>AL1075-AK1075</f>
        <v/>
      </c>
      <c r="AO1075" s="76">
        <f>SUM(AY1075,Y1075:Z1075,T1075)*IF(AND(offer_incoterms="DDP",offer_sale_type&lt;&gt;"экспорт"),IF((TODAY()+offer_turnaround_time)&gt;=helpsheet!$L$17,rate_vatRU_from_26,rate_vatRu_till_25),0)</f>
        <v/>
      </c>
      <c r="AP1075" s="193">
        <f>AN1075-AO1075</f>
        <v/>
      </c>
      <c r="AQ1075" s="118">
        <f>IF(offer_sale_type="транзит",SUM(AF1075:AI1075,BA1075,BB1075),0)</f>
        <v/>
      </c>
      <c r="AR1075" s="82">
        <f>HYPERLINK("https://www.alta.ru/tnved/code/")&amp;W1075&amp;"/"</f>
        <v/>
      </c>
      <c r="AS1075" s="157" t="n"/>
      <c r="AT1075" s="162" t="n"/>
      <c r="AU1075" s="76">
        <f>IF(ISBLANK(AT1075),0,AJ1075-AT1075)</f>
        <v/>
      </c>
      <c r="AV1075" s="157" t="n"/>
      <c r="AW1075" s="75">
        <f>_xlfn.IFNA(VLOOKUP(L1075,list_vat[],3,FALSE),0)</f>
        <v/>
      </c>
      <c r="AX1075" s="76">
        <f>IFERROR(ROUND(S1075*(1+AW1075)/E1075,2),0)</f>
        <v/>
      </c>
      <c r="AY1075" s="76">
        <f>E1075*AX1075</f>
        <v/>
      </c>
      <c r="AZ1075" s="192">
        <f>S1075*(1+M1075)</f>
        <v/>
      </c>
      <c r="BA1075" s="76">
        <f>cost_fin_total*$BD1075</f>
        <v/>
      </c>
      <c r="BB1075" s="193">
        <f>credit_sales_interest*BD1075</f>
        <v/>
      </c>
      <c r="BC1075" s="102">
        <f>IFERROR(IF($I$13&gt;0,$I1075/$I$13,$S1075/$S$13),0)</f>
        <v/>
      </c>
      <c r="BD1075" s="102">
        <f>IFERROR($S1075/$S$13,0)</f>
        <v/>
      </c>
      <c r="BE1075" s="413" t="inlineStr">
        <is>
          <t>$</t>
        </is>
      </c>
    </row>
    <row r="1076" ht="12" customFormat="1" customHeight="1" s="65">
      <c r="A1076" s="43" t="n">
        <v>1061</v>
      </c>
      <c r="B1076" s="166" t="n"/>
      <c r="C1076" s="166" t="n"/>
      <c r="D1076" s="166" t="n"/>
      <c r="E1076" s="162" t="n"/>
      <c r="F1076" s="166" t="n"/>
      <c r="G1076" s="162" t="n"/>
      <c r="H1076" s="162" t="n"/>
      <c r="I1076" s="189">
        <f>E1076*G1076</f>
        <v/>
      </c>
      <c r="J1076" s="195" t="n"/>
      <c r="K1076" s="162" t="n"/>
      <c r="L1076" s="168" t="n"/>
      <c r="M1076" s="75">
        <f>_xlfn.XLOOKUP(L1076,list_vat[Страна],list_vat[Ставка НДС %],0,0)</f>
        <v/>
      </c>
      <c r="N1076" s="162">
        <f>IFERROR(IF(L1076="Китай",K1076,K1076/(1+M1076)),0)</f>
        <v/>
      </c>
      <c r="O1076" s="169" t="n"/>
      <c r="P1076" s="76">
        <f>N1076*(1-O1076)</f>
        <v/>
      </c>
      <c r="Q1076" s="162" t="n"/>
      <c r="R1076" s="162">
        <f>IF(ISBLANK(Q1076),"введи курс",P1076/Q1076)</f>
        <v/>
      </c>
      <c r="S1076" s="196">
        <f>IF(AND(ISNUMBER(E1076),ISNUMBER(Q1076)),E1076*R1076,0)</f>
        <v/>
      </c>
      <c r="T1076" s="192">
        <f>$BC1076*V$11</f>
        <v/>
      </c>
      <c r="U1076" s="76">
        <f>$BC1076*W$11</f>
        <v/>
      </c>
      <c r="V1076" s="193">
        <f>+SUM(T1076:U1076)</f>
        <v/>
      </c>
      <c r="W1076" s="191" t="n"/>
      <c r="X1076" s="170" t="n"/>
      <c r="Y1076" s="76">
        <f>ROUND(IF(offer_incoterms="DDP",X1076*(S1076*(1+AW1076)+T1076),0),2)</f>
        <v/>
      </c>
      <c r="Z1076" s="188" t="n"/>
      <c r="AA1076" s="192">
        <f>IFERROR(AB1076/E1076,0)</f>
        <v/>
      </c>
      <c r="AB1076" s="76">
        <f>ROUND(SUM(S1076,V1076,Y1076:Z1076,BA1076:BB1076),2)</f>
        <v/>
      </c>
      <c r="AC1076" s="797" t="n"/>
      <c r="AD1076" s="192">
        <f t="array" ref="AD1076">IFERROR(ROUND((_xlfn.IFS(offer_sale_type="поставка",AB1076,offer_sale_type="транзит",S1076)*(1+AC1076))/E1076,2),0)</f>
        <v/>
      </c>
      <c r="AE1076" s="76">
        <f>AD1076*E1076</f>
        <v/>
      </c>
      <c r="AF1076" s="193">
        <f t="array" ref="AF1076">IFERROR(ROUND(_xlfn.IFS(offer_sale_type="поставка",AB1076,offer_sale_type="транзит",S1076)*AC1076,2),0)</f>
        <v/>
      </c>
      <c r="AG1076" s="192">
        <f>$BD1076*VLOOKUP($AG$3,$AF$4:$AG$7,2,FALSE)</f>
        <v/>
      </c>
      <c r="AH1076" s="76">
        <f>SUM(AE1076,AG1076,AI1076)*rate_forex_risk</f>
        <v/>
      </c>
      <c r="AI1076" s="193">
        <f>IF(OR(seller_region="TR",offer_sale_type="экспорт"),0,rate_fin_comm)*SUM(AZ1076,AZ1076*AW1076,T1076)</f>
        <v/>
      </c>
      <c r="AJ1076" s="118">
        <f>IFERROR(ROUND(SUM(AB1076,AF1076:AI1076)/E1076,2),0)</f>
        <v/>
      </c>
      <c r="AK1076" s="76">
        <f>AJ1076*E1076</f>
        <v/>
      </c>
      <c r="AL1076" s="174">
        <f>ROUND(IFERROR(AM1076*E1076,0),2)</f>
        <v/>
      </c>
      <c r="AM1076" s="175">
        <f>ROUND(AJ1076*(1+IF(offer_incoterms="DDP",IF((TODAY()+offer_turnaround_time)&gt;=helpsheet!$L$17,rate_vatRU_from_26,rate_vatRu_till_25),0)),2)</f>
        <v/>
      </c>
      <c r="AN1076" s="192">
        <f>AL1076-AK1076</f>
        <v/>
      </c>
      <c r="AO1076" s="76">
        <f>SUM(AY1076,Y1076:Z1076,T1076)*IF(AND(offer_incoterms="DDP",offer_sale_type&lt;&gt;"экспорт"),IF((TODAY()+offer_turnaround_time)&gt;=helpsheet!$L$17,rate_vatRU_from_26,rate_vatRu_till_25),0)</f>
        <v/>
      </c>
      <c r="AP1076" s="193">
        <f>AN1076-AO1076</f>
        <v/>
      </c>
      <c r="AQ1076" s="118">
        <f>IF(offer_sale_type="транзит",SUM(AF1076:AI1076,BA1076,BB1076),0)</f>
        <v/>
      </c>
      <c r="AR1076" s="82">
        <f>HYPERLINK("https://www.alta.ru/tnved/code/")&amp;W1076&amp;"/"</f>
        <v/>
      </c>
      <c r="AS1076" s="157" t="n"/>
      <c r="AT1076" s="162" t="n"/>
      <c r="AU1076" s="76">
        <f>IF(ISBLANK(AT1076),0,AJ1076-AT1076)</f>
        <v/>
      </c>
      <c r="AV1076" s="157" t="n"/>
      <c r="AW1076" s="75">
        <f>_xlfn.IFNA(VLOOKUP(L1076,list_vat[],3,FALSE),0)</f>
        <v/>
      </c>
      <c r="AX1076" s="76">
        <f>IFERROR(ROUND(S1076*(1+AW1076)/E1076,2),0)</f>
        <v/>
      </c>
      <c r="AY1076" s="76">
        <f>E1076*AX1076</f>
        <v/>
      </c>
      <c r="AZ1076" s="192">
        <f>S1076*(1+M1076)</f>
        <v/>
      </c>
      <c r="BA1076" s="76">
        <f>cost_fin_total*$BD1076</f>
        <v/>
      </c>
      <c r="BB1076" s="193">
        <f>credit_sales_interest*BD1076</f>
        <v/>
      </c>
      <c r="BC1076" s="102">
        <f>IFERROR(IF($I$13&gt;0,$I1076/$I$13,$S1076/$S$13),0)</f>
        <v/>
      </c>
      <c r="BD1076" s="102">
        <f>IFERROR($S1076/$S$13,0)</f>
        <v/>
      </c>
      <c r="BE1076" s="413" t="inlineStr">
        <is>
          <t>$</t>
        </is>
      </c>
    </row>
    <row r="1077" ht="12" customFormat="1" customHeight="1" s="65">
      <c r="A1077" s="43" t="n">
        <v>1062</v>
      </c>
      <c r="B1077" s="166" t="n"/>
      <c r="C1077" s="166" t="n"/>
      <c r="D1077" s="166" t="n"/>
      <c r="E1077" s="162" t="n"/>
      <c r="F1077" s="166" t="n"/>
      <c r="G1077" s="162" t="n"/>
      <c r="H1077" s="162" t="n"/>
      <c r="I1077" s="189">
        <f>E1077*G1077</f>
        <v/>
      </c>
      <c r="J1077" s="195" t="n"/>
      <c r="K1077" s="162" t="n"/>
      <c r="L1077" s="168" t="n"/>
      <c r="M1077" s="75">
        <f>_xlfn.XLOOKUP(L1077,list_vat[Страна],list_vat[Ставка НДС %],0,0)</f>
        <v/>
      </c>
      <c r="N1077" s="162">
        <f>IFERROR(IF(L1077="Китай",K1077,K1077/(1+M1077)),0)</f>
        <v/>
      </c>
      <c r="O1077" s="169" t="n"/>
      <c r="P1077" s="76">
        <f>N1077*(1-O1077)</f>
        <v/>
      </c>
      <c r="Q1077" s="162" t="n"/>
      <c r="R1077" s="162">
        <f>IF(ISBLANK(Q1077),"введи курс",P1077/Q1077)</f>
        <v/>
      </c>
      <c r="S1077" s="196">
        <f>IF(AND(ISNUMBER(E1077),ISNUMBER(Q1077)),E1077*R1077,0)</f>
        <v/>
      </c>
      <c r="T1077" s="192">
        <f>$BC1077*V$11</f>
        <v/>
      </c>
      <c r="U1077" s="76">
        <f>$BC1077*W$11</f>
        <v/>
      </c>
      <c r="V1077" s="193">
        <f>+SUM(T1077:U1077)</f>
        <v/>
      </c>
      <c r="W1077" s="191" t="n"/>
      <c r="X1077" s="170" t="n"/>
      <c r="Y1077" s="76">
        <f>ROUND(IF(offer_incoterms="DDP",X1077*(S1077*(1+AW1077)+T1077),0),2)</f>
        <v/>
      </c>
      <c r="Z1077" s="188" t="n"/>
      <c r="AA1077" s="192">
        <f>IFERROR(AB1077/E1077,0)</f>
        <v/>
      </c>
      <c r="AB1077" s="76">
        <f>ROUND(SUM(S1077,V1077,Y1077:Z1077,BA1077:BB1077),2)</f>
        <v/>
      </c>
      <c r="AC1077" s="797" t="n"/>
      <c r="AD1077" s="192">
        <f t="array" ref="AD1077">IFERROR(ROUND((_xlfn.IFS(offer_sale_type="поставка",AB1077,offer_sale_type="транзит",S1077)*(1+AC1077))/E1077,2),0)</f>
        <v/>
      </c>
      <c r="AE1077" s="76">
        <f>AD1077*E1077</f>
        <v/>
      </c>
      <c r="AF1077" s="193">
        <f t="array" ref="AF1077">IFERROR(ROUND(_xlfn.IFS(offer_sale_type="поставка",AB1077,offer_sale_type="транзит",S1077)*AC1077,2),0)</f>
        <v/>
      </c>
      <c r="AG1077" s="192">
        <f>$BD1077*VLOOKUP($AG$3,$AF$4:$AG$7,2,FALSE)</f>
        <v/>
      </c>
      <c r="AH1077" s="76">
        <f>SUM(AE1077,AG1077,AI1077)*rate_forex_risk</f>
        <v/>
      </c>
      <c r="AI1077" s="193">
        <f>IF(OR(seller_region="TR",offer_sale_type="экспорт"),0,rate_fin_comm)*SUM(AZ1077,AZ1077*AW1077,T1077)</f>
        <v/>
      </c>
      <c r="AJ1077" s="118">
        <f>IFERROR(ROUND(SUM(AB1077,AF1077:AI1077)/E1077,2),0)</f>
        <v/>
      </c>
      <c r="AK1077" s="76">
        <f>AJ1077*E1077</f>
        <v/>
      </c>
      <c r="AL1077" s="174">
        <f>ROUND(IFERROR(AM1077*E1077,0),2)</f>
        <v/>
      </c>
      <c r="AM1077" s="175">
        <f>ROUND(AJ1077*(1+IF(offer_incoterms="DDP",IF((TODAY()+offer_turnaround_time)&gt;=helpsheet!$L$17,rate_vatRU_from_26,rate_vatRu_till_25),0)),2)</f>
        <v/>
      </c>
      <c r="AN1077" s="192">
        <f>AL1077-AK1077</f>
        <v/>
      </c>
      <c r="AO1077" s="76">
        <f>SUM(AY1077,Y1077:Z1077,T1077)*IF(AND(offer_incoterms="DDP",offer_sale_type&lt;&gt;"экспорт"),IF((TODAY()+offer_turnaround_time)&gt;=helpsheet!$L$17,rate_vatRU_from_26,rate_vatRu_till_25),0)</f>
        <v/>
      </c>
      <c r="AP1077" s="193">
        <f>AN1077-AO1077</f>
        <v/>
      </c>
      <c r="AQ1077" s="118">
        <f>IF(offer_sale_type="транзит",SUM(AF1077:AI1077,BA1077,BB1077),0)</f>
        <v/>
      </c>
      <c r="AR1077" s="82">
        <f>HYPERLINK("https://www.alta.ru/tnved/code/")&amp;W1077&amp;"/"</f>
        <v/>
      </c>
      <c r="AS1077" s="157" t="n"/>
      <c r="AT1077" s="162" t="n"/>
      <c r="AU1077" s="76">
        <f>IF(ISBLANK(AT1077),0,AJ1077-AT1077)</f>
        <v/>
      </c>
      <c r="AV1077" s="157" t="n"/>
      <c r="AW1077" s="75">
        <f>_xlfn.IFNA(VLOOKUP(L1077,list_vat[],3,FALSE),0)</f>
        <v/>
      </c>
      <c r="AX1077" s="76">
        <f>IFERROR(ROUND(S1077*(1+AW1077)/E1077,2),0)</f>
        <v/>
      </c>
      <c r="AY1077" s="76">
        <f>E1077*AX1077</f>
        <v/>
      </c>
      <c r="AZ1077" s="192">
        <f>S1077*(1+M1077)</f>
        <v/>
      </c>
      <c r="BA1077" s="76">
        <f>cost_fin_total*$BD1077</f>
        <v/>
      </c>
      <c r="BB1077" s="193">
        <f>credit_sales_interest*BD1077</f>
        <v/>
      </c>
      <c r="BC1077" s="102">
        <f>IFERROR(IF($I$13&gt;0,$I1077/$I$13,$S1077/$S$13),0)</f>
        <v/>
      </c>
      <c r="BD1077" s="102">
        <f>IFERROR($S1077/$S$13,0)</f>
        <v/>
      </c>
      <c r="BE1077" s="413" t="inlineStr">
        <is>
          <t>$</t>
        </is>
      </c>
    </row>
    <row r="1078" ht="12" customFormat="1" customHeight="1" s="65">
      <c r="A1078" s="43" t="n">
        <v>1063</v>
      </c>
      <c r="B1078" s="166" t="n"/>
      <c r="C1078" s="166" t="n"/>
      <c r="D1078" s="166" t="n"/>
      <c r="E1078" s="162" t="n"/>
      <c r="F1078" s="166" t="n"/>
      <c r="G1078" s="162" t="n"/>
      <c r="H1078" s="162" t="n"/>
      <c r="I1078" s="189">
        <f>E1078*G1078</f>
        <v/>
      </c>
      <c r="J1078" s="195" t="n"/>
      <c r="K1078" s="162" t="n"/>
      <c r="L1078" s="168" t="n"/>
      <c r="M1078" s="75">
        <f>_xlfn.XLOOKUP(L1078,list_vat[Страна],list_vat[Ставка НДС %],0,0)</f>
        <v/>
      </c>
      <c r="N1078" s="162">
        <f>IFERROR(IF(L1078="Китай",K1078,K1078/(1+M1078)),0)</f>
        <v/>
      </c>
      <c r="O1078" s="169" t="n"/>
      <c r="P1078" s="76">
        <f>N1078*(1-O1078)</f>
        <v/>
      </c>
      <c r="Q1078" s="162" t="n"/>
      <c r="R1078" s="162">
        <f>IF(ISBLANK(Q1078),"введи курс",P1078/Q1078)</f>
        <v/>
      </c>
      <c r="S1078" s="196">
        <f>IF(AND(ISNUMBER(E1078),ISNUMBER(Q1078)),E1078*R1078,0)</f>
        <v/>
      </c>
      <c r="T1078" s="192">
        <f>$BC1078*V$11</f>
        <v/>
      </c>
      <c r="U1078" s="76">
        <f>$BC1078*W$11</f>
        <v/>
      </c>
      <c r="V1078" s="193">
        <f>+SUM(T1078:U1078)</f>
        <v/>
      </c>
      <c r="W1078" s="191" t="n"/>
      <c r="X1078" s="170" t="n"/>
      <c r="Y1078" s="76">
        <f>ROUND(IF(offer_incoterms="DDP",X1078*(S1078*(1+AW1078)+T1078),0),2)</f>
        <v/>
      </c>
      <c r="Z1078" s="188" t="n"/>
      <c r="AA1078" s="192">
        <f>IFERROR(AB1078/E1078,0)</f>
        <v/>
      </c>
      <c r="AB1078" s="76">
        <f>ROUND(SUM(S1078,V1078,Y1078:Z1078,BA1078:BB1078),2)</f>
        <v/>
      </c>
      <c r="AC1078" s="797" t="n"/>
      <c r="AD1078" s="192">
        <f t="array" ref="AD1078">IFERROR(ROUND((_xlfn.IFS(offer_sale_type="поставка",AB1078,offer_sale_type="транзит",S1078)*(1+AC1078))/E1078,2),0)</f>
        <v/>
      </c>
      <c r="AE1078" s="76">
        <f>AD1078*E1078</f>
        <v/>
      </c>
      <c r="AF1078" s="193">
        <f t="array" ref="AF1078">IFERROR(ROUND(_xlfn.IFS(offer_sale_type="поставка",AB1078,offer_sale_type="транзит",S1078)*AC1078,2),0)</f>
        <v/>
      </c>
      <c r="AG1078" s="192">
        <f>$BD1078*VLOOKUP($AG$3,$AF$4:$AG$7,2,FALSE)</f>
        <v/>
      </c>
      <c r="AH1078" s="76">
        <f>SUM(AE1078,AG1078,AI1078)*rate_forex_risk</f>
        <v/>
      </c>
      <c r="AI1078" s="193">
        <f>IF(OR(seller_region="TR",offer_sale_type="экспорт"),0,rate_fin_comm)*SUM(AZ1078,AZ1078*AW1078,T1078)</f>
        <v/>
      </c>
      <c r="AJ1078" s="118">
        <f>IFERROR(ROUND(SUM(AB1078,AF1078:AI1078)/E1078,2),0)</f>
        <v/>
      </c>
      <c r="AK1078" s="76">
        <f>AJ1078*E1078</f>
        <v/>
      </c>
      <c r="AL1078" s="174">
        <f>ROUND(IFERROR(AM1078*E1078,0),2)</f>
        <v/>
      </c>
      <c r="AM1078" s="175">
        <f>ROUND(AJ1078*(1+IF(offer_incoterms="DDP",IF((TODAY()+offer_turnaround_time)&gt;=helpsheet!$L$17,rate_vatRU_from_26,rate_vatRu_till_25),0)),2)</f>
        <v/>
      </c>
      <c r="AN1078" s="192">
        <f>AL1078-AK1078</f>
        <v/>
      </c>
      <c r="AO1078" s="76">
        <f>SUM(AY1078,Y1078:Z1078,T1078)*IF(AND(offer_incoterms="DDP",offer_sale_type&lt;&gt;"экспорт"),IF((TODAY()+offer_turnaround_time)&gt;=helpsheet!$L$17,rate_vatRU_from_26,rate_vatRu_till_25),0)</f>
        <v/>
      </c>
      <c r="AP1078" s="193">
        <f>AN1078-AO1078</f>
        <v/>
      </c>
      <c r="AQ1078" s="118">
        <f>IF(offer_sale_type="транзит",SUM(AF1078:AI1078,BA1078,BB1078),0)</f>
        <v/>
      </c>
      <c r="AR1078" s="82">
        <f>HYPERLINK("https://www.alta.ru/tnved/code/")&amp;W1078&amp;"/"</f>
        <v/>
      </c>
      <c r="AS1078" s="157" t="n"/>
      <c r="AT1078" s="162" t="n"/>
      <c r="AU1078" s="76">
        <f>IF(ISBLANK(AT1078),0,AJ1078-AT1078)</f>
        <v/>
      </c>
      <c r="AV1078" s="157" t="n"/>
      <c r="AW1078" s="75">
        <f>_xlfn.IFNA(VLOOKUP(L1078,list_vat[],3,FALSE),0)</f>
        <v/>
      </c>
      <c r="AX1078" s="76">
        <f>IFERROR(ROUND(S1078*(1+AW1078)/E1078,2),0)</f>
        <v/>
      </c>
      <c r="AY1078" s="76">
        <f>E1078*AX1078</f>
        <v/>
      </c>
      <c r="AZ1078" s="192">
        <f>S1078*(1+M1078)</f>
        <v/>
      </c>
      <c r="BA1078" s="76">
        <f>cost_fin_total*$BD1078</f>
        <v/>
      </c>
      <c r="BB1078" s="193">
        <f>credit_sales_interest*BD1078</f>
        <v/>
      </c>
      <c r="BC1078" s="102">
        <f>IFERROR(IF($I$13&gt;0,$I1078/$I$13,$S1078/$S$13),0)</f>
        <v/>
      </c>
      <c r="BD1078" s="102">
        <f>IFERROR($S1078/$S$13,0)</f>
        <v/>
      </c>
      <c r="BE1078" s="413" t="inlineStr">
        <is>
          <t>$</t>
        </is>
      </c>
    </row>
    <row r="1079" ht="12" customFormat="1" customHeight="1" s="65">
      <c r="A1079" s="43" t="n">
        <v>1064</v>
      </c>
      <c r="B1079" s="166" t="n"/>
      <c r="C1079" s="166" t="n"/>
      <c r="D1079" s="166" t="n"/>
      <c r="E1079" s="162" t="n"/>
      <c r="F1079" s="166" t="n"/>
      <c r="G1079" s="162" t="n"/>
      <c r="H1079" s="162" t="n"/>
      <c r="I1079" s="189">
        <f>E1079*G1079</f>
        <v/>
      </c>
      <c r="J1079" s="195" t="n"/>
      <c r="K1079" s="162" t="n"/>
      <c r="L1079" s="168" t="n"/>
      <c r="M1079" s="75">
        <f>_xlfn.XLOOKUP(L1079,list_vat[Страна],list_vat[Ставка НДС %],0,0)</f>
        <v/>
      </c>
      <c r="N1079" s="162">
        <f>IFERROR(IF(L1079="Китай",K1079,K1079/(1+M1079)),0)</f>
        <v/>
      </c>
      <c r="O1079" s="169" t="n"/>
      <c r="P1079" s="76">
        <f>N1079*(1-O1079)</f>
        <v/>
      </c>
      <c r="Q1079" s="162" t="n"/>
      <c r="R1079" s="162">
        <f>IF(ISBLANK(Q1079),"введи курс",P1079/Q1079)</f>
        <v/>
      </c>
      <c r="S1079" s="196">
        <f>IF(AND(ISNUMBER(E1079),ISNUMBER(Q1079)),E1079*R1079,0)</f>
        <v/>
      </c>
      <c r="T1079" s="192">
        <f>$BC1079*V$11</f>
        <v/>
      </c>
      <c r="U1079" s="76">
        <f>$BC1079*W$11</f>
        <v/>
      </c>
      <c r="V1079" s="193">
        <f>+SUM(T1079:U1079)</f>
        <v/>
      </c>
      <c r="W1079" s="191" t="n"/>
      <c r="X1079" s="170" t="n"/>
      <c r="Y1079" s="76">
        <f>ROUND(IF(offer_incoterms="DDP",X1079*(S1079*(1+AW1079)+T1079),0),2)</f>
        <v/>
      </c>
      <c r="Z1079" s="188" t="n"/>
      <c r="AA1079" s="192">
        <f>IFERROR(AB1079/E1079,0)</f>
        <v/>
      </c>
      <c r="AB1079" s="76">
        <f>ROUND(SUM(S1079,V1079,Y1079:Z1079,BA1079:BB1079),2)</f>
        <v/>
      </c>
      <c r="AC1079" s="797" t="n"/>
      <c r="AD1079" s="192">
        <f t="array" ref="AD1079">IFERROR(ROUND((_xlfn.IFS(offer_sale_type="поставка",AB1079,offer_sale_type="транзит",S1079)*(1+AC1079))/E1079,2),0)</f>
        <v/>
      </c>
      <c r="AE1079" s="76">
        <f>AD1079*E1079</f>
        <v/>
      </c>
      <c r="AF1079" s="193">
        <f t="array" ref="AF1079">IFERROR(ROUND(_xlfn.IFS(offer_sale_type="поставка",AB1079,offer_sale_type="транзит",S1079)*AC1079,2),0)</f>
        <v/>
      </c>
      <c r="AG1079" s="192">
        <f>$BD1079*VLOOKUP($AG$3,$AF$4:$AG$7,2,FALSE)</f>
        <v/>
      </c>
      <c r="AH1079" s="76">
        <f>SUM(AE1079,AG1079,AI1079)*rate_forex_risk</f>
        <v/>
      </c>
      <c r="AI1079" s="193">
        <f>IF(OR(seller_region="TR",offer_sale_type="экспорт"),0,rate_fin_comm)*SUM(AZ1079,AZ1079*AW1079,T1079)</f>
        <v/>
      </c>
      <c r="AJ1079" s="118">
        <f>IFERROR(ROUND(SUM(AB1079,AF1079:AI1079)/E1079,2),0)</f>
        <v/>
      </c>
      <c r="AK1079" s="76">
        <f>AJ1079*E1079</f>
        <v/>
      </c>
      <c r="AL1079" s="174">
        <f>ROUND(IFERROR(AM1079*E1079,0),2)</f>
        <v/>
      </c>
      <c r="AM1079" s="175">
        <f>ROUND(AJ1079*(1+IF(offer_incoterms="DDP",IF((TODAY()+offer_turnaround_time)&gt;=helpsheet!$L$17,rate_vatRU_from_26,rate_vatRu_till_25),0)),2)</f>
        <v/>
      </c>
      <c r="AN1079" s="192">
        <f>AL1079-AK1079</f>
        <v/>
      </c>
      <c r="AO1079" s="76">
        <f>SUM(AY1079,Y1079:Z1079,T1079)*IF(AND(offer_incoterms="DDP",offer_sale_type&lt;&gt;"экспорт"),IF((TODAY()+offer_turnaround_time)&gt;=helpsheet!$L$17,rate_vatRU_from_26,rate_vatRu_till_25),0)</f>
        <v/>
      </c>
      <c r="AP1079" s="193">
        <f>AN1079-AO1079</f>
        <v/>
      </c>
      <c r="AQ1079" s="118">
        <f>IF(offer_sale_type="транзит",SUM(AF1079:AI1079,BA1079,BB1079),0)</f>
        <v/>
      </c>
      <c r="AR1079" s="82">
        <f>HYPERLINK("https://www.alta.ru/tnved/code/")&amp;W1079&amp;"/"</f>
        <v/>
      </c>
      <c r="AS1079" s="157" t="n"/>
      <c r="AT1079" s="162" t="n"/>
      <c r="AU1079" s="76">
        <f>IF(ISBLANK(AT1079),0,AJ1079-AT1079)</f>
        <v/>
      </c>
      <c r="AV1079" s="157" t="n"/>
      <c r="AW1079" s="75">
        <f>_xlfn.IFNA(VLOOKUP(L1079,list_vat[],3,FALSE),0)</f>
        <v/>
      </c>
      <c r="AX1079" s="76">
        <f>IFERROR(ROUND(S1079*(1+AW1079)/E1079,2),0)</f>
        <v/>
      </c>
      <c r="AY1079" s="76">
        <f>E1079*AX1079</f>
        <v/>
      </c>
      <c r="AZ1079" s="192">
        <f>S1079*(1+M1079)</f>
        <v/>
      </c>
      <c r="BA1079" s="76">
        <f>cost_fin_total*$BD1079</f>
        <v/>
      </c>
      <c r="BB1079" s="193">
        <f>credit_sales_interest*BD1079</f>
        <v/>
      </c>
      <c r="BC1079" s="102">
        <f>IFERROR(IF($I$13&gt;0,$I1079/$I$13,$S1079/$S$13),0)</f>
        <v/>
      </c>
      <c r="BD1079" s="102">
        <f>IFERROR($S1079/$S$13,0)</f>
        <v/>
      </c>
      <c r="BE1079" s="413" t="inlineStr">
        <is>
          <t>$</t>
        </is>
      </c>
    </row>
    <row r="1080" ht="12" customFormat="1" customHeight="1" s="65">
      <c r="A1080" s="43" t="n">
        <v>1065</v>
      </c>
      <c r="B1080" s="166" t="n"/>
      <c r="C1080" s="166" t="n"/>
      <c r="D1080" s="166" t="n"/>
      <c r="E1080" s="162" t="n"/>
      <c r="F1080" s="166" t="n"/>
      <c r="G1080" s="162" t="n"/>
      <c r="H1080" s="162" t="n"/>
      <c r="I1080" s="189">
        <f>E1080*G1080</f>
        <v/>
      </c>
      <c r="J1080" s="195" t="n"/>
      <c r="K1080" s="162" t="n"/>
      <c r="L1080" s="168" t="n"/>
      <c r="M1080" s="75">
        <f>_xlfn.XLOOKUP(L1080,list_vat[Страна],list_vat[Ставка НДС %],0,0)</f>
        <v/>
      </c>
      <c r="N1080" s="162">
        <f>IFERROR(IF(L1080="Китай",K1080,K1080/(1+M1080)),0)</f>
        <v/>
      </c>
      <c r="O1080" s="169" t="n"/>
      <c r="P1080" s="76">
        <f>N1080*(1-O1080)</f>
        <v/>
      </c>
      <c r="Q1080" s="162" t="n"/>
      <c r="R1080" s="162">
        <f>IF(ISBLANK(Q1080),"введи курс",P1080/Q1080)</f>
        <v/>
      </c>
      <c r="S1080" s="196">
        <f>IF(AND(ISNUMBER(E1080),ISNUMBER(Q1080)),E1080*R1080,0)</f>
        <v/>
      </c>
      <c r="T1080" s="192">
        <f>$BC1080*V$11</f>
        <v/>
      </c>
      <c r="U1080" s="76">
        <f>$BC1080*W$11</f>
        <v/>
      </c>
      <c r="V1080" s="193">
        <f>+SUM(T1080:U1080)</f>
        <v/>
      </c>
      <c r="W1080" s="191" t="n"/>
      <c r="X1080" s="170" t="n"/>
      <c r="Y1080" s="76">
        <f>ROUND(IF(offer_incoterms="DDP",X1080*(S1080*(1+AW1080)+T1080),0),2)</f>
        <v/>
      </c>
      <c r="Z1080" s="188" t="n"/>
      <c r="AA1080" s="192">
        <f>IFERROR(AB1080/E1080,0)</f>
        <v/>
      </c>
      <c r="AB1080" s="76">
        <f>ROUND(SUM(S1080,V1080,Y1080:Z1080,BA1080:BB1080),2)</f>
        <v/>
      </c>
      <c r="AC1080" s="797" t="n"/>
      <c r="AD1080" s="192">
        <f t="array" ref="AD1080">IFERROR(ROUND((_xlfn.IFS(offer_sale_type="поставка",AB1080,offer_sale_type="транзит",S1080)*(1+AC1080))/E1080,2),0)</f>
        <v/>
      </c>
      <c r="AE1080" s="76">
        <f>AD1080*E1080</f>
        <v/>
      </c>
      <c r="AF1080" s="193">
        <f t="array" ref="AF1080">IFERROR(ROUND(_xlfn.IFS(offer_sale_type="поставка",AB1080,offer_sale_type="транзит",S1080)*AC1080,2),0)</f>
        <v/>
      </c>
      <c r="AG1080" s="192">
        <f>$BD1080*VLOOKUP($AG$3,$AF$4:$AG$7,2,FALSE)</f>
        <v/>
      </c>
      <c r="AH1080" s="76">
        <f>SUM(AE1080,AG1080,AI1080)*rate_forex_risk</f>
        <v/>
      </c>
      <c r="AI1080" s="193">
        <f>IF(OR(seller_region="TR",offer_sale_type="экспорт"),0,rate_fin_comm)*SUM(AZ1080,AZ1080*AW1080,T1080)</f>
        <v/>
      </c>
      <c r="AJ1080" s="118">
        <f>IFERROR(ROUND(SUM(AB1080,AF1080:AI1080)/E1080,2),0)</f>
        <v/>
      </c>
      <c r="AK1080" s="76">
        <f>AJ1080*E1080</f>
        <v/>
      </c>
      <c r="AL1080" s="174">
        <f>ROUND(IFERROR(AM1080*E1080,0),2)</f>
        <v/>
      </c>
      <c r="AM1080" s="175">
        <f>ROUND(AJ1080*(1+IF(offer_incoterms="DDP",IF((TODAY()+offer_turnaround_time)&gt;=helpsheet!$L$17,rate_vatRU_from_26,rate_vatRu_till_25),0)),2)</f>
        <v/>
      </c>
      <c r="AN1080" s="192">
        <f>AL1080-AK1080</f>
        <v/>
      </c>
      <c r="AO1080" s="76">
        <f>SUM(AY1080,Y1080:Z1080,T1080)*IF(AND(offer_incoterms="DDP",offer_sale_type&lt;&gt;"экспорт"),IF((TODAY()+offer_turnaround_time)&gt;=helpsheet!$L$17,rate_vatRU_from_26,rate_vatRu_till_25),0)</f>
        <v/>
      </c>
      <c r="AP1080" s="193">
        <f>AN1080-AO1080</f>
        <v/>
      </c>
      <c r="AQ1080" s="118">
        <f>IF(offer_sale_type="транзит",SUM(AF1080:AI1080,BA1080,BB1080),0)</f>
        <v/>
      </c>
      <c r="AR1080" s="82">
        <f>HYPERLINK("https://www.alta.ru/tnved/code/")&amp;W1080&amp;"/"</f>
        <v/>
      </c>
      <c r="AS1080" s="157" t="n"/>
      <c r="AT1080" s="162" t="n"/>
      <c r="AU1080" s="76">
        <f>IF(ISBLANK(AT1080),0,AJ1080-AT1080)</f>
        <v/>
      </c>
      <c r="AV1080" s="157" t="n"/>
      <c r="AW1080" s="75">
        <f>_xlfn.IFNA(VLOOKUP(L1080,list_vat[],3,FALSE),0)</f>
        <v/>
      </c>
      <c r="AX1080" s="76">
        <f>IFERROR(ROUND(S1080*(1+AW1080)/E1080,2),0)</f>
        <v/>
      </c>
      <c r="AY1080" s="76">
        <f>E1080*AX1080</f>
        <v/>
      </c>
      <c r="AZ1080" s="192">
        <f>S1080*(1+M1080)</f>
        <v/>
      </c>
      <c r="BA1080" s="76">
        <f>cost_fin_total*$BD1080</f>
        <v/>
      </c>
      <c r="BB1080" s="193">
        <f>credit_sales_interest*BD1080</f>
        <v/>
      </c>
      <c r="BC1080" s="102">
        <f>IFERROR(IF($I$13&gt;0,$I1080/$I$13,$S1080/$S$13),0)</f>
        <v/>
      </c>
      <c r="BD1080" s="102">
        <f>IFERROR($S1080/$S$13,0)</f>
        <v/>
      </c>
      <c r="BE1080" s="413" t="inlineStr">
        <is>
          <t>$</t>
        </is>
      </c>
    </row>
    <row r="1081" ht="12" customFormat="1" customHeight="1" s="65">
      <c r="A1081" s="43" t="n">
        <v>1066</v>
      </c>
      <c r="B1081" s="166" t="n"/>
      <c r="C1081" s="166" t="n"/>
      <c r="D1081" s="166" t="n"/>
      <c r="E1081" s="162" t="n"/>
      <c r="F1081" s="166" t="n"/>
      <c r="G1081" s="162" t="n"/>
      <c r="H1081" s="162" t="n"/>
      <c r="I1081" s="189">
        <f>E1081*G1081</f>
        <v/>
      </c>
      <c r="J1081" s="195" t="n"/>
      <c r="K1081" s="162" t="n"/>
      <c r="L1081" s="168" t="n"/>
      <c r="M1081" s="75">
        <f>_xlfn.XLOOKUP(L1081,list_vat[Страна],list_vat[Ставка НДС %],0,0)</f>
        <v/>
      </c>
      <c r="N1081" s="162">
        <f>IFERROR(IF(L1081="Китай",K1081,K1081/(1+M1081)),0)</f>
        <v/>
      </c>
      <c r="O1081" s="169" t="n"/>
      <c r="P1081" s="76">
        <f>N1081*(1-O1081)</f>
        <v/>
      </c>
      <c r="Q1081" s="162" t="n"/>
      <c r="R1081" s="162">
        <f>IF(ISBLANK(Q1081),"введи курс",P1081/Q1081)</f>
        <v/>
      </c>
      <c r="S1081" s="196">
        <f>IF(AND(ISNUMBER(E1081),ISNUMBER(Q1081)),E1081*R1081,0)</f>
        <v/>
      </c>
      <c r="T1081" s="192">
        <f>$BC1081*V$11</f>
        <v/>
      </c>
      <c r="U1081" s="76">
        <f>$BC1081*W$11</f>
        <v/>
      </c>
      <c r="V1081" s="193">
        <f>+SUM(T1081:U1081)</f>
        <v/>
      </c>
      <c r="W1081" s="191" t="n"/>
      <c r="X1081" s="170" t="n"/>
      <c r="Y1081" s="76">
        <f>ROUND(IF(offer_incoterms="DDP",X1081*(S1081*(1+AW1081)+T1081),0),2)</f>
        <v/>
      </c>
      <c r="Z1081" s="188" t="n"/>
      <c r="AA1081" s="192">
        <f>IFERROR(AB1081/E1081,0)</f>
        <v/>
      </c>
      <c r="AB1081" s="76">
        <f>ROUND(SUM(S1081,V1081,Y1081:Z1081,BA1081:BB1081),2)</f>
        <v/>
      </c>
      <c r="AC1081" s="797" t="n"/>
      <c r="AD1081" s="192">
        <f t="array" ref="AD1081">IFERROR(ROUND((_xlfn.IFS(offer_sale_type="поставка",AB1081,offer_sale_type="транзит",S1081)*(1+AC1081))/E1081,2),0)</f>
        <v/>
      </c>
      <c r="AE1081" s="76">
        <f>AD1081*E1081</f>
        <v/>
      </c>
      <c r="AF1081" s="193">
        <f t="array" ref="AF1081">IFERROR(ROUND(_xlfn.IFS(offer_sale_type="поставка",AB1081,offer_sale_type="транзит",S1081)*AC1081,2),0)</f>
        <v/>
      </c>
      <c r="AG1081" s="192">
        <f>$BD1081*VLOOKUP($AG$3,$AF$4:$AG$7,2,FALSE)</f>
        <v/>
      </c>
      <c r="AH1081" s="76">
        <f>SUM(AE1081,AG1081,AI1081)*rate_forex_risk</f>
        <v/>
      </c>
      <c r="AI1081" s="193">
        <f>IF(OR(seller_region="TR",offer_sale_type="экспорт"),0,rate_fin_comm)*SUM(AZ1081,AZ1081*AW1081,T1081)</f>
        <v/>
      </c>
      <c r="AJ1081" s="118">
        <f>IFERROR(ROUND(SUM(AB1081,AF1081:AI1081)/E1081,2),0)</f>
        <v/>
      </c>
      <c r="AK1081" s="76">
        <f>AJ1081*E1081</f>
        <v/>
      </c>
      <c r="AL1081" s="174">
        <f>ROUND(IFERROR(AM1081*E1081,0),2)</f>
        <v/>
      </c>
      <c r="AM1081" s="175">
        <f>ROUND(AJ1081*(1+IF(offer_incoterms="DDP",IF((TODAY()+offer_turnaround_time)&gt;=helpsheet!$L$17,rate_vatRU_from_26,rate_vatRu_till_25),0)),2)</f>
        <v/>
      </c>
      <c r="AN1081" s="192">
        <f>AL1081-AK1081</f>
        <v/>
      </c>
      <c r="AO1081" s="76">
        <f>SUM(AY1081,Y1081:Z1081,T1081)*IF(AND(offer_incoterms="DDP",offer_sale_type&lt;&gt;"экспорт"),IF((TODAY()+offer_turnaround_time)&gt;=helpsheet!$L$17,rate_vatRU_from_26,rate_vatRu_till_25),0)</f>
        <v/>
      </c>
      <c r="AP1081" s="193">
        <f>AN1081-AO1081</f>
        <v/>
      </c>
      <c r="AQ1081" s="118">
        <f>IF(offer_sale_type="транзит",SUM(AF1081:AI1081,BA1081,BB1081),0)</f>
        <v/>
      </c>
      <c r="AR1081" s="82">
        <f>HYPERLINK("https://www.alta.ru/tnved/code/")&amp;W1081&amp;"/"</f>
        <v/>
      </c>
      <c r="AS1081" s="157" t="n"/>
      <c r="AT1081" s="162" t="n"/>
      <c r="AU1081" s="76">
        <f>IF(ISBLANK(AT1081),0,AJ1081-AT1081)</f>
        <v/>
      </c>
      <c r="AV1081" s="157" t="n"/>
      <c r="AW1081" s="75">
        <f>_xlfn.IFNA(VLOOKUP(L1081,list_vat[],3,FALSE),0)</f>
        <v/>
      </c>
      <c r="AX1081" s="76">
        <f>IFERROR(ROUND(S1081*(1+AW1081)/E1081,2),0)</f>
        <v/>
      </c>
      <c r="AY1081" s="76">
        <f>E1081*AX1081</f>
        <v/>
      </c>
      <c r="AZ1081" s="192">
        <f>S1081*(1+M1081)</f>
        <v/>
      </c>
      <c r="BA1081" s="76">
        <f>cost_fin_total*$BD1081</f>
        <v/>
      </c>
      <c r="BB1081" s="193">
        <f>credit_sales_interest*BD1081</f>
        <v/>
      </c>
      <c r="BC1081" s="102">
        <f>IFERROR(IF($I$13&gt;0,$I1081/$I$13,$S1081/$S$13),0)</f>
        <v/>
      </c>
      <c r="BD1081" s="102">
        <f>IFERROR($S1081/$S$13,0)</f>
        <v/>
      </c>
      <c r="BE1081" s="413" t="inlineStr">
        <is>
          <t>$</t>
        </is>
      </c>
    </row>
    <row r="1082" ht="12" customFormat="1" customHeight="1" s="65">
      <c r="A1082" s="43" t="n">
        <v>1067</v>
      </c>
      <c r="B1082" s="166" t="n"/>
      <c r="C1082" s="166" t="n"/>
      <c r="D1082" s="166" t="n"/>
      <c r="E1082" s="162" t="n"/>
      <c r="F1082" s="166" t="n"/>
      <c r="G1082" s="162" t="n"/>
      <c r="H1082" s="162" t="n"/>
      <c r="I1082" s="189">
        <f>E1082*G1082</f>
        <v/>
      </c>
      <c r="J1082" s="195" t="n"/>
      <c r="K1082" s="162" t="n"/>
      <c r="L1082" s="168" t="n"/>
      <c r="M1082" s="75">
        <f>_xlfn.XLOOKUP(L1082,list_vat[Страна],list_vat[Ставка НДС %],0,0)</f>
        <v/>
      </c>
      <c r="N1082" s="162">
        <f>IFERROR(IF(L1082="Китай",K1082,K1082/(1+M1082)),0)</f>
        <v/>
      </c>
      <c r="O1082" s="169" t="n"/>
      <c r="P1082" s="76">
        <f>N1082*(1-O1082)</f>
        <v/>
      </c>
      <c r="Q1082" s="162" t="n"/>
      <c r="R1082" s="162">
        <f>IF(ISBLANK(Q1082),"введи курс",P1082/Q1082)</f>
        <v/>
      </c>
      <c r="S1082" s="196">
        <f>IF(AND(ISNUMBER(E1082),ISNUMBER(Q1082)),E1082*R1082,0)</f>
        <v/>
      </c>
      <c r="T1082" s="192">
        <f>$BC1082*V$11</f>
        <v/>
      </c>
      <c r="U1082" s="76">
        <f>$BC1082*W$11</f>
        <v/>
      </c>
      <c r="V1082" s="193">
        <f>+SUM(T1082:U1082)</f>
        <v/>
      </c>
      <c r="W1082" s="191" t="n"/>
      <c r="X1082" s="170" t="n"/>
      <c r="Y1082" s="76">
        <f>ROUND(IF(offer_incoterms="DDP",X1082*(S1082*(1+AW1082)+T1082),0),2)</f>
        <v/>
      </c>
      <c r="Z1082" s="188" t="n"/>
      <c r="AA1082" s="192">
        <f>IFERROR(AB1082/E1082,0)</f>
        <v/>
      </c>
      <c r="AB1082" s="76">
        <f>ROUND(SUM(S1082,V1082,Y1082:Z1082,BA1082:BB1082),2)</f>
        <v/>
      </c>
      <c r="AC1082" s="797" t="n"/>
      <c r="AD1082" s="192">
        <f t="array" ref="AD1082">IFERROR(ROUND((_xlfn.IFS(offer_sale_type="поставка",AB1082,offer_sale_type="транзит",S1082)*(1+AC1082))/E1082,2),0)</f>
        <v/>
      </c>
      <c r="AE1082" s="76">
        <f>AD1082*E1082</f>
        <v/>
      </c>
      <c r="AF1082" s="193">
        <f t="array" ref="AF1082">IFERROR(ROUND(_xlfn.IFS(offer_sale_type="поставка",AB1082,offer_sale_type="транзит",S1082)*AC1082,2),0)</f>
        <v/>
      </c>
      <c r="AG1082" s="192">
        <f>$BD1082*VLOOKUP($AG$3,$AF$4:$AG$7,2,FALSE)</f>
        <v/>
      </c>
      <c r="AH1082" s="76">
        <f>SUM(AE1082,AG1082,AI1082)*rate_forex_risk</f>
        <v/>
      </c>
      <c r="AI1082" s="193">
        <f>IF(OR(seller_region="TR",offer_sale_type="экспорт"),0,rate_fin_comm)*SUM(AZ1082,AZ1082*AW1082,T1082)</f>
        <v/>
      </c>
      <c r="AJ1082" s="118">
        <f>IFERROR(ROUND(SUM(AB1082,AF1082:AI1082)/E1082,2),0)</f>
        <v/>
      </c>
      <c r="AK1082" s="76">
        <f>AJ1082*E1082</f>
        <v/>
      </c>
      <c r="AL1082" s="174">
        <f>ROUND(IFERROR(AM1082*E1082,0),2)</f>
        <v/>
      </c>
      <c r="AM1082" s="175">
        <f>ROUND(AJ1082*(1+IF(offer_incoterms="DDP",IF((TODAY()+offer_turnaround_time)&gt;=helpsheet!$L$17,rate_vatRU_from_26,rate_vatRu_till_25),0)),2)</f>
        <v/>
      </c>
      <c r="AN1082" s="192">
        <f>AL1082-AK1082</f>
        <v/>
      </c>
      <c r="AO1082" s="76">
        <f>SUM(AY1082,Y1082:Z1082,T1082)*IF(AND(offer_incoterms="DDP",offer_sale_type&lt;&gt;"экспорт"),IF((TODAY()+offer_turnaround_time)&gt;=helpsheet!$L$17,rate_vatRU_from_26,rate_vatRu_till_25),0)</f>
        <v/>
      </c>
      <c r="AP1082" s="193">
        <f>AN1082-AO1082</f>
        <v/>
      </c>
      <c r="AQ1082" s="118">
        <f>IF(offer_sale_type="транзит",SUM(AF1082:AI1082,BA1082,BB1082),0)</f>
        <v/>
      </c>
      <c r="AR1082" s="82">
        <f>HYPERLINK("https://www.alta.ru/tnved/code/")&amp;W1082&amp;"/"</f>
        <v/>
      </c>
      <c r="AS1082" s="157" t="n"/>
      <c r="AT1082" s="162" t="n"/>
      <c r="AU1082" s="76">
        <f>IF(ISBLANK(AT1082),0,AJ1082-AT1082)</f>
        <v/>
      </c>
      <c r="AV1082" s="157" t="n"/>
      <c r="AW1082" s="75">
        <f>_xlfn.IFNA(VLOOKUP(L1082,list_vat[],3,FALSE),0)</f>
        <v/>
      </c>
      <c r="AX1082" s="76">
        <f>IFERROR(ROUND(S1082*(1+AW1082)/E1082,2),0)</f>
        <v/>
      </c>
      <c r="AY1082" s="76">
        <f>E1082*AX1082</f>
        <v/>
      </c>
      <c r="AZ1082" s="192">
        <f>S1082*(1+M1082)</f>
        <v/>
      </c>
      <c r="BA1082" s="76">
        <f>cost_fin_total*$BD1082</f>
        <v/>
      </c>
      <c r="BB1082" s="193">
        <f>credit_sales_interest*BD1082</f>
        <v/>
      </c>
      <c r="BC1082" s="102">
        <f>IFERROR(IF($I$13&gt;0,$I1082/$I$13,$S1082/$S$13),0)</f>
        <v/>
      </c>
      <c r="BD1082" s="102">
        <f>IFERROR($S1082/$S$13,0)</f>
        <v/>
      </c>
      <c r="BE1082" s="413" t="inlineStr">
        <is>
          <t>$</t>
        </is>
      </c>
    </row>
    <row r="1083" ht="12" customFormat="1" customHeight="1" s="65">
      <c r="A1083" s="43" t="n">
        <v>1068</v>
      </c>
      <c r="B1083" s="166" t="n"/>
      <c r="C1083" s="166" t="n"/>
      <c r="D1083" s="166" t="n"/>
      <c r="E1083" s="162" t="n"/>
      <c r="F1083" s="166" t="n"/>
      <c r="G1083" s="162" t="n"/>
      <c r="H1083" s="162" t="n"/>
      <c r="I1083" s="189">
        <f>E1083*G1083</f>
        <v/>
      </c>
      <c r="J1083" s="195" t="n"/>
      <c r="K1083" s="162" t="n"/>
      <c r="L1083" s="168" t="n"/>
      <c r="M1083" s="75">
        <f>_xlfn.XLOOKUP(L1083,list_vat[Страна],list_vat[Ставка НДС %],0,0)</f>
        <v/>
      </c>
      <c r="N1083" s="162">
        <f>IFERROR(IF(L1083="Китай",K1083,K1083/(1+M1083)),0)</f>
        <v/>
      </c>
      <c r="O1083" s="169" t="n"/>
      <c r="P1083" s="76">
        <f>N1083*(1-O1083)</f>
        <v/>
      </c>
      <c r="Q1083" s="162" t="n"/>
      <c r="R1083" s="162">
        <f>IF(ISBLANK(Q1083),"введи курс",P1083/Q1083)</f>
        <v/>
      </c>
      <c r="S1083" s="196">
        <f>IF(AND(ISNUMBER(E1083),ISNUMBER(Q1083)),E1083*R1083,0)</f>
        <v/>
      </c>
      <c r="T1083" s="192">
        <f>$BC1083*V$11</f>
        <v/>
      </c>
      <c r="U1083" s="76">
        <f>$BC1083*W$11</f>
        <v/>
      </c>
      <c r="V1083" s="193">
        <f>+SUM(T1083:U1083)</f>
        <v/>
      </c>
      <c r="W1083" s="191" t="n"/>
      <c r="X1083" s="170" t="n"/>
      <c r="Y1083" s="76">
        <f>ROUND(IF(offer_incoterms="DDP",X1083*(S1083*(1+AW1083)+T1083),0),2)</f>
        <v/>
      </c>
      <c r="Z1083" s="188" t="n"/>
      <c r="AA1083" s="192">
        <f>IFERROR(AB1083/E1083,0)</f>
        <v/>
      </c>
      <c r="AB1083" s="76">
        <f>ROUND(SUM(S1083,V1083,Y1083:Z1083,BA1083:BB1083),2)</f>
        <v/>
      </c>
      <c r="AC1083" s="797" t="n"/>
      <c r="AD1083" s="192">
        <f t="array" ref="AD1083">IFERROR(ROUND((_xlfn.IFS(offer_sale_type="поставка",AB1083,offer_sale_type="транзит",S1083)*(1+AC1083))/E1083,2),0)</f>
        <v/>
      </c>
      <c r="AE1083" s="76">
        <f>AD1083*E1083</f>
        <v/>
      </c>
      <c r="AF1083" s="193">
        <f t="array" ref="AF1083">IFERROR(ROUND(_xlfn.IFS(offer_sale_type="поставка",AB1083,offer_sale_type="транзит",S1083)*AC1083,2),0)</f>
        <v/>
      </c>
      <c r="AG1083" s="192">
        <f>$BD1083*VLOOKUP($AG$3,$AF$4:$AG$7,2,FALSE)</f>
        <v/>
      </c>
      <c r="AH1083" s="76">
        <f>SUM(AE1083,AG1083,AI1083)*rate_forex_risk</f>
        <v/>
      </c>
      <c r="AI1083" s="193">
        <f>IF(OR(seller_region="TR",offer_sale_type="экспорт"),0,rate_fin_comm)*SUM(AZ1083,AZ1083*AW1083,T1083)</f>
        <v/>
      </c>
      <c r="AJ1083" s="118">
        <f>IFERROR(ROUND(SUM(AB1083,AF1083:AI1083)/E1083,2),0)</f>
        <v/>
      </c>
      <c r="AK1083" s="76">
        <f>AJ1083*E1083</f>
        <v/>
      </c>
      <c r="AL1083" s="174">
        <f>ROUND(IFERROR(AM1083*E1083,0),2)</f>
        <v/>
      </c>
      <c r="AM1083" s="175">
        <f>ROUND(AJ1083*(1+IF(offer_incoterms="DDP",IF((TODAY()+offer_turnaround_time)&gt;=helpsheet!$L$17,rate_vatRU_from_26,rate_vatRu_till_25),0)),2)</f>
        <v/>
      </c>
      <c r="AN1083" s="192">
        <f>AL1083-AK1083</f>
        <v/>
      </c>
      <c r="AO1083" s="76">
        <f>SUM(AY1083,Y1083:Z1083,T1083)*IF(AND(offer_incoterms="DDP",offer_sale_type&lt;&gt;"экспорт"),IF((TODAY()+offer_turnaround_time)&gt;=helpsheet!$L$17,rate_vatRU_from_26,rate_vatRu_till_25),0)</f>
        <v/>
      </c>
      <c r="AP1083" s="193">
        <f>AN1083-AO1083</f>
        <v/>
      </c>
      <c r="AQ1083" s="118">
        <f>IF(offer_sale_type="транзит",SUM(AF1083:AI1083,BA1083,BB1083),0)</f>
        <v/>
      </c>
      <c r="AR1083" s="82">
        <f>HYPERLINK("https://www.alta.ru/tnved/code/")&amp;W1083&amp;"/"</f>
        <v/>
      </c>
      <c r="AS1083" s="157" t="n"/>
      <c r="AT1083" s="162" t="n"/>
      <c r="AU1083" s="76">
        <f>IF(ISBLANK(AT1083),0,AJ1083-AT1083)</f>
        <v/>
      </c>
      <c r="AV1083" s="157" t="n"/>
      <c r="AW1083" s="75">
        <f>_xlfn.IFNA(VLOOKUP(L1083,list_vat[],3,FALSE),0)</f>
        <v/>
      </c>
      <c r="AX1083" s="76">
        <f>IFERROR(ROUND(S1083*(1+AW1083)/E1083,2),0)</f>
        <v/>
      </c>
      <c r="AY1083" s="76">
        <f>E1083*AX1083</f>
        <v/>
      </c>
      <c r="AZ1083" s="192">
        <f>S1083*(1+M1083)</f>
        <v/>
      </c>
      <c r="BA1083" s="76">
        <f>cost_fin_total*$BD1083</f>
        <v/>
      </c>
      <c r="BB1083" s="193">
        <f>credit_sales_interest*BD1083</f>
        <v/>
      </c>
      <c r="BC1083" s="102">
        <f>IFERROR(IF($I$13&gt;0,$I1083/$I$13,$S1083/$S$13),0)</f>
        <v/>
      </c>
      <c r="BD1083" s="102">
        <f>IFERROR($S1083/$S$13,0)</f>
        <v/>
      </c>
      <c r="BE1083" s="413" t="inlineStr">
        <is>
          <t>$</t>
        </is>
      </c>
    </row>
    <row r="1084" ht="12" customFormat="1" customHeight="1" s="65">
      <c r="A1084" s="43" t="n">
        <v>1069</v>
      </c>
      <c r="B1084" s="166" t="n"/>
      <c r="C1084" s="166" t="n"/>
      <c r="D1084" s="166" t="n"/>
      <c r="E1084" s="162" t="n"/>
      <c r="F1084" s="166" t="n"/>
      <c r="G1084" s="162" t="n"/>
      <c r="H1084" s="162" t="n"/>
      <c r="I1084" s="189">
        <f>E1084*G1084</f>
        <v/>
      </c>
      <c r="J1084" s="195" t="n"/>
      <c r="K1084" s="162" t="n"/>
      <c r="L1084" s="168" t="n"/>
      <c r="M1084" s="75">
        <f>_xlfn.XLOOKUP(L1084,list_vat[Страна],list_vat[Ставка НДС %],0,0)</f>
        <v/>
      </c>
      <c r="N1084" s="162">
        <f>IFERROR(IF(L1084="Китай",K1084,K1084/(1+M1084)),0)</f>
        <v/>
      </c>
      <c r="O1084" s="169" t="n"/>
      <c r="P1084" s="76">
        <f>N1084*(1-O1084)</f>
        <v/>
      </c>
      <c r="Q1084" s="162" t="n"/>
      <c r="R1084" s="162">
        <f>IF(ISBLANK(Q1084),"введи курс",P1084/Q1084)</f>
        <v/>
      </c>
      <c r="S1084" s="196">
        <f>IF(AND(ISNUMBER(E1084),ISNUMBER(Q1084)),E1084*R1084,0)</f>
        <v/>
      </c>
      <c r="T1084" s="192">
        <f>$BC1084*V$11</f>
        <v/>
      </c>
      <c r="U1084" s="76">
        <f>$BC1084*W$11</f>
        <v/>
      </c>
      <c r="V1084" s="193">
        <f>+SUM(T1084:U1084)</f>
        <v/>
      </c>
      <c r="W1084" s="191" t="n"/>
      <c r="X1084" s="170" t="n"/>
      <c r="Y1084" s="76">
        <f>ROUND(IF(offer_incoterms="DDP",X1084*(S1084*(1+AW1084)+T1084),0),2)</f>
        <v/>
      </c>
      <c r="Z1084" s="188" t="n"/>
      <c r="AA1084" s="192">
        <f>IFERROR(AB1084/E1084,0)</f>
        <v/>
      </c>
      <c r="AB1084" s="76">
        <f>ROUND(SUM(S1084,V1084,Y1084:Z1084,BA1084:BB1084),2)</f>
        <v/>
      </c>
      <c r="AC1084" s="797" t="n"/>
      <c r="AD1084" s="192">
        <f t="array" ref="AD1084">IFERROR(ROUND((_xlfn.IFS(offer_sale_type="поставка",AB1084,offer_sale_type="транзит",S1084)*(1+AC1084))/E1084,2),0)</f>
        <v/>
      </c>
      <c r="AE1084" s="76">
        <f>AD1084*E1084</f>
        <v/>
      </c>
      <c r="AF1084" s="193">
        <f t="array" ref="AF1084">IFERROR(ROUND(_xlfn.IFS(offer_sale_type="поставка",AB1084,offer_sale_type="транзит",S1084)*AC1084,2),0)</f>
        <v/>
      </c>
      <c r="AG1084" s="192">
        <f>$BD1084*VLOOKUP($AG$3,$AF$4:$AG$7,2,FALSE)</f>
        <v/>
      </c>
      <c r="AH1084" s="76">
        <f>SUM(AE1084,AG1084,AI1084)*rate_forex_risk</f>
        <v/>
      </c>
      <c r="AI1084" s="193">
        <f>IF(OR(seller_region="TR",offer_sale_type="экспорт"),0,rate_fin_comm)*SUM(AZ1084,AZ1084*AW1084,T1084)</f>
        <v/>
      </c>
      <c r="AJ1084" s="118">
        <f>IFERROR(ROUND(SUM(AB1084,AF1084:AI1084)/E1084,2),0)</f>
        <v/>
      </c>
      <c r="AK1084" s="76">
        <f>AJ1084*E1084</f>
        <v/>
      </c>
      <c r="AL1084" s="174">
        <f>ROUND(IFERROR(AM1084*E1084,0),2)</f>
        <v/>
      </c>
      <c r="AM1084" s="175">
        <f>ROUND(AJ1084*(1+IF(offer_incoterms="DDP",IF((TODAY()+offer_turnaround_time)&gt;=helpsheet!$L$17,rate_vatRU_from_26,rate_vatRu_till_25),0)),2)</f>
        <v/>
      </c>
      <c r="AN1084" s="192">
        <f>AL1084-AK1084</f>
        <v/>
      </c>
      <c r="AO1084" s="76">
        <f>SUM(AY1084,Y1084:Z1084,T1084)*IF(AND(offer_incoterms="DDP",offer_sale_type&lt;&gt;"экспорт"),IF((TODAY()+offer_turnaround_time)&gt;=helpsheet!$L$17,rate_vatRU_from_26,rate_vatRu_till_25),0)</f>
        <v/>
      </c>
      <c r="AP1084" s="193">
        <f>AN1084-AO1084</f>
        <v/>
      </c>
      <c r="AQ1084" s="118">
        <f>IF(offer_sale_type="транзит",SUM(AF1084:AI1084,BA1084,BB1084),0)</f>
        <v/>
      </c>
      <c r="AR1084" s="82">
        <f>HYPERLINK("https://www.alta.ru/tnved/code/")&amp;W1084&amp;"/"</f>
        <v/>
      </c>
      <c r="AS1084" s="157" t="n"/>
      <c r="AT1084" s="162" t="n"/>
      <c r="AU1084" s="76">
        <f>IF(ISBLANK(AT1084),0,AJ1084-AT1084)</f>
        <v/>
      </c>
      <c r="AV1084" s="157" t="n"/>
      <c r="AW1084" s="75">
        <f>_xlfn.IFNA(VLOOKUP(L1084,list_vat[],3,FALSE),0)</f>
        <v/>
      </c>
      <c r="AX1084" s="76">
        <f>IFERROR(ROUND(S1084*(1+AW1084)/E1084,2),0)</f>
        <v/>
      </c>
      <c r="AY1084" s="76">
        <f>E1084*AX1084</f>
        <v/>
      </c>
      <c r="AZ1084" s="192">
        <f>S1084*(1+M1084)</f>
        <v/>
      </c>
      <c r="BA1084" s="76">
        <f>cost_fin_total*$BD1084</f>
        <v/>
      </c>
      <c r="BB1084" s="193">
        <f>credit_sales_interest*BD1084</f>
        <v/>
      </c>
      <c r="BC1084" s="102">
        <f>IFERROR(IF($I$13&gt;0,$I1084/$I$13,$S1084/$S$13),0)</f>
        <v/>
      </c>
      <c r="BD1084" s="102">
        <f>IFERROR($S1084/$S$13,0)</f>
        <v/>
      </c>
      <c r="BE1084" s="413" t="inlineStr">
        <is>
          <t>$</t>
        </is>
      </c>
    </row>
    <row r="1085" ht="12" customFormat="1" customHeight="1" s="65">
      <c r="A1085" s="43" t="n">
        <v>1070</v>
      </c>
      <c r="B1085" s="166" t="n"/>
      <c r="C1085" s="166" t="n"/>
      <c r="D1085" s="166" t="n"/>
      <c r="E1085" s="162" t="n"/>
      <c r="F1085" s="166" t="n"/>
      <c r="G1085" s="162" t="n"/>
      <c r="H1085" s="162" t="n"/>
      <c r="I1085" s="189">
        <f>E1085*G1085</f>
        <v/>
      </c>
      <c r="J1085" s="195" t="n"/>
      <c r="K1085" s="162" t="n"/>
      <c r="L1085" s="168" t="n"/>
      <c r="M1085" s="75">
        <f>_xlfn.XLOOKUP(L1085,list_vat[Страна],list_vat[Ставка НДС %],0,0)</f>
        <v/>
      </c>
      <c r="N1085" s="162">
        <f>IFERROR(IF(L1085="Китай",K1085,K1085/(1+M1085)),0)</f>
        <v/>
      </c>
      <c r="O1085" s="169" t="n"/>
      <c r="P1085" s="76">
        <f>N1085*(1-O1085)</f>
        <v/>
      </c>
      <c r="Q1085" s="162" t="n"/>
      <c r="R1085" s="162">
        <f>IF(ISBLANK(Q1085),"введи курс",P1085/Q1085)</f>
        <v/>
      </c>
      <c r="S1085" s="196">
        <f>IF(AND(ISNUMBER(E1085),ISNUMBER(Q1085)),E1085*R1085,0)</f>
        <v/>
      </c>
      <c r="T1085" s="192">
        <f>$BC1085*V$11</f>
        <v/>
      </c>
      <c r="U1085" s="76">
        <f>$BC1085*W$11</f>
        <v/>
      </c>
      <c r="V1085" s="193">
        <f>+SUM(T1085:U1085)</f>
        <v/>
      </c>
      <c r="W1085" s="191" t="n"/>
      <c r="X1085" s="170" t="n"/>
      <c r="Y1085" s="76">
        <f>ROUND(IF(offer_incoterms="DDP",X1085*(S1085*(1+AW1085)+T1085),0),2)</f>
        <v/>
      </c>
      <c r="Z1085" s="188" t="n"/>
      <c r="AA1085" s="192">
        <f>IFERROR(AB1085/E1085,0)</f>
        <v/>
      </c>
      <c r="AB1085" s="76">
        <f>ROUND(SUM(S1085,V1085,Y1085:Z1085,BA1085:BB1085),2)</f>
        <v/>
      </c>
      <c r="AC1085" s="797" t="n"/>
      <c r="AD1085" s="192">
        <f t="array" ref="AD1085">IFERROR(ROUND((_xlfn.IFS(offer_sale_type="поставка",AB1085,offer_sale_type="транзит",S1085)*(1+AC1085))/E1085,2),0)</f>
        <v/>
      </c>
      <c r="AE1085" s="76">
        <f>AD1085*E1085</f>
        <v/>
      </c>
      <c r="AF1085" s="193">
        <f t="array" ref="AF1085">IFERROR(ROUND(_xlfn.IFS(offer_sale_type="поставка",AB1085,offer_sale_type="транзит",S1085)*AC1085,2),0)</f>
        <v/>
      </c>
      <c r="AG1085" s="192">
        <f>$BD1085*VLOOKUP($AG$3,$AF$4:$AG$7,2,FALSE)</f>
        <v/>
      </c>
      <c r="AH1085" s="76">
        <f>SUM(AE1085,AG1085,AI1085)*rate_forex_risk</f>
        <v/>
      </c>
      <c r="AI1085" s="193">
        <f>IF(OR(seller_region="TR",offer_sale_type="экспорт"),0,rate_fin_comm)*SUM(AZ1085,AZ1085*AW1085,T1085)</f>
        <v/>
      </c>
      <c r="AJ1085" s="118">
        <f>IFERROR(ROUND(SUM(AB1085,AF1085:AI1085)/E1085,2),0)</f>
        <v/>
      </c>
      <c r="AK1085" s="76">
        <f>AJ1085*E1085</f>
        <v/>
      </c>
      <c r="AL1085" s="174">
        <f>ROUND(IFERROR(AM1085*E1085,0),2)</f>
        <v/>
      </c>
      <c r="AM1085" s="175">
        <f>ROUND(AJ1085*(1+IF(offer_incoterms="DDP",IF((TODAY()+offer_turnaround_time)&gt;=helpsheet!$L$17,rate_vatRU_from_26,rate_vatRu_till_25),0)),2)</f>
        <v/>
      </c>
      <c r="AN1085" s="192">
        <f>AL1085-AK1085</f>
        <v/>
      </c>
      <c r="AO1085" s="76">
        <f>SUM(AY1085,Y1085:Z1085,T1085)*IF(AND(offer_incoterms="DDP",offer_sale_type&lt;&gt;"экспорт"),IF((TODAY()+offer_turnaround_time)&gt;=helpsheet!$L$17,rate_vatRU_from_26,rate_vatRu_till_25),0)</f>
        <v/>
      </c>
      <c r="AP1085" s="193">
        <f>AN1085-AO1085</f>
        <v/>
      </c>
      <c r="AQ1085" s="118">
        <f>IF(offer_sale_type="транзит",SUM(AF1085:AI1085,BA1085,BB1085),0)</f>
        <v/>
      </c>
      <c r="AR1085" s="82">
        <f>HYPERLINK("https://www.alta.ru/tnved/code/")&amp;W1085&amp;"/"</f>
        <v/>
      </c>
      <c r="AS1085" s="157" t="n"/>
      <c r="AT1085" s="162" t="n"/>
      <c r="AU1085" s="76">
        <f>IF(ISBLANK(AT1085),0,AJ1085-AT1085)</f>
        <v/>
      </c>
      <c r="AV1085" s="157" t="n"/>
      <c r="AW1085" s="75">
        <f>_xlfn.IFNA(VLOOKUP(L1085,list_vat[],3,FALSE),0)</f>
        <v/>
      </c>
      <c r="AX1085" s="76">
        <f>IFERROR(ROUND(S1085*(1+AW1085)/E1085,2),0)</f>
        <v/>
      </c>
      <c r="AY1085" s="76">
        <f>E1085*AX1085</f>
        <v/>
      </c>
      <c r="AZ1085" s="192">
        <f>S1085*(1+M1085)</f>
        <v/>
      </c>
      <c r="BA1085" s="76">
        <f>cost_fin_total*$BD1085</f>
        <v/>
      </c>
      <c r="BB1085" s="193">
        <f>credit_sales_interest*BD1085</f>
        <v/>
      </c>
      <c r="BC1085" s="102">
        <f>IFERROR(IF($I$13&gt;0,$I1085/$I$13,$S1085/$S$13),0)</f>
        <v/>
      </c>
      <c r="BD1085" s="102">
        <f>IFERROR($S1085/$S$13,0)</f>
        <v/>
      </c>
      <c r="BE1085" s="413" t="inlineStr">
        <is>
          <t>$</t>
        </is>
      </c>
    </row>
    <row r="1086" ht="12" customFormat="1" customHeight="1" s="65">
      <c r="A1086" s="43" t="n">
        <v>1071</v>
      </c>
      <c r="B1086" s="166" t="n"/>
      <c r="C1086" s="166" t="n"/>
      <c r="D1086" s="166" t="n"/>
      <c r="E1086" s="162" t="n"/>
      <c r="F1086" s="166" t="n"/>
      <c r="G1086" s="162" t="n"/>
      <c r="H1086" s="162" t="n"/>
      <c r="I1086" s="189">
        <f>E1086*G1086</f>
        <v/>
      </c>
      <c r="J1086" s="195" t="n"/>
      <c r="K1086" s="162" t="n"/>
      <c r="L1086" s="168" t="n"/>
      <c r="M1086" s="75">
        <f>_xlfn.XLOOKUP(L1086,list_vat[Страна],list_vat[Ставка НДС %],0,0)</f>
        <v/>
      </c>
      <c r="N1086" s="162">
        <f>IFERROR(IF(L1086="Китай",K1086,K1086/(1+M1086)),0)</f>
        <v/>
      </c>
      <c r="O1086" s="169" t="n"/>
      <c r="P1086" s="76">
        <f>N1086*(1-O1086)</f>
        <v/>
      </c>
      <c r="Q1086" s="162" t="n"/>
      <c r="R1086" s="162">
        <f>IF(ISBLANK(Q1086),"введи курс",P1086/Q1086)</f>
        <v/>
      </c>
      <c r="S1086" s="196">
        <f>IF(AND(ISNUMBER(E1086),ISNUMBER(Q1086)),E1086*R1086,0)</f>
        <v/>
      </c>
      <c r="T1086" s="192">
        <f>$BC1086*V$11</f>
        <v/>
      </c>
      <c r="U1086" s="76">
        <f>$BC1086*W$11</f>
        <v/>
      </c>
      <c r="V1086" s="193">
        <f>+SUM(T1086:U1086)</f>
        <v/>
      </c>
      <c r="W1086" s="191" t="n"/>
      <c r="X1086" s="170" t="n"/>
      <c r="Y1086" s="76">
        <f>ROUND(IF(offer_incoterms="DDP",X1086*(S1086*(1+AW1086)+T1086),0),2)</f>
        <v/>
      </c>
      <c r="Z1086" s="188" t="n"/>
      <c r="AA1086" s="192">
        <f>IFERROR(AB1086/E1086,0)</f>
        <v/>
      </c>
      <c r="AB1086" s="76">
        <f>ROUND(SUM(S1086,V1086,Y1086:Z1086,BA1086:BB1086),2)</f>
        <v/>
      </c>
      <c r="AC1086" s="797" t="n"/>
      <c r="AD1086" s="192">
        <f t="array" ref="AD1086">IFERROR(ROUND((_xlfn.IFS(offer_sale_type="поставка",AB1086,offer_sale_type="транзит",S1086)*(1+AC1086))/E1086,2),0)</f>
        <v/>
      </c>
      <c r="AE1086" s="76">
        <f>AD1086*E1086</f>
        <v/>
      </c>
      <c r="AF1086" s="193">
        <f t="array" ref="AF1086">IFERROR(ROUND(_xlfn.IFS(offer_sale_type="поставка",AB1086,offer_sale_type="транзит",S1086)*AC1086,2),0)</f>
        <v/>
      </c>
      <c r="AG1086" s="192">
        <f>$BD1086*VLOOKUP($AG$3,$AF$4:$AG$7,2,FALSE)</f>
        <v/>
      </c>
      <c r="AH1086" s="76">
        <f>SUM(AE1086,AG1086,AI1086)*rate_forex_risk</f>
        <v/>
      </c>
      <c r="AI1086" s="193">
        <f>IF(OR(seller_region="TR",offer_sale_type="экспорт"),0,rate_fin_comm)*SUM(AZ1086,AZ1086*AW1086,T1086)</f>
        <v/>
      </c>
      <c r="AJ1086" s="118">
        <f>IFERROR(ROUND(SUM(AB1086,AF1086:AI1086)/E1086,2),0)</f>
        <v/>
      </c>
      <c r="AK1086" s="76">
        <f>AJ1086*E1086</f>
        <v/>
      </c>
      <c r="AL1086" s="174">
        <f>ROUND(IFERROR(AM1086*E1086,0),2)</f>
        <v/>
      </c>
      <c r="AM1086" s="175">
        <f>ROUND(AJ1086*(1+IF(offer_incoterms="DDP",IF((TODAY()+offer_turnaround_time)&gt;=helpsheet!$L$17,rate_vatRU_from_26,rate_vatRu_till_25),0)),2)</f>
        <v/>
      </c>
      <c r="AN1086" s="192">
        <f>AL1086-AK1086</f>
        <v/>
      </c>
      <c r="AO1086" s="76">
        <f>SUM(AY1086,Y1086:Z1086,T1086)*IF(AND(offer_incoterms="DDP",offer_sale_type&lt;&gt;"экспорт"),IF((TODAY()+offer_turnaround_time)&gt;=helpsheet!$L$17,rate_vatRU_from_26,rate_vatRu_till_25),0)</f>
        <v/>
      </c>
      <c r="AP1086" s="193">
        <f>AN1086-AO1086</f>
        <v/>
      </c>
      <c r="AQ1086" s="118">
        <f>IF(offer_sale_type="транзит",SUM(AF1086:AI1086,BA1086,BB1086),0)</f>
        <v/>
      </c>
      <c r="AR1086" s="82">
        <f>HYPERLINK("https://www.alta.ru/tnved/code/")&amp;W1086&amp;"/"</f>
        <v/>
      </c>
      <c r="AS1086" s="157" t="n"/>
      <c r="AT1086" s="162" t="n"/>
      <c r="AU1086" s="76">
        <f>IF(ISBLANK(AT1086),0,AJ1086-AT1086)</f>
        <v/>
      </c>
      <c r="AV1086" s="157" t="n"/>
      <c r="AW1086" s="75">
        <f>_xlfn.IFNA(VLOOKUP(L1086,list_vat[],3,FALSE),0)</f>
        <v/>
      </c>
      <c r="AX1086" s="76">
        <f>IFERROR(ROUND(S1086*(1+AW1086)/E1086,2),0)</f>
        <v/>
      </c>
      <c r="AY1086" s="76">
        <f>E1086*AX1086</f>
        <v/>
      </c>
      <c r="AZ1086" s="192">
        <f>S1086*(1+M1086)</f>
        <v/>
      </c>
      <c r="BA1086" s="76">
        <f>cost_fin_total*$BD1086</f>
        <v/>
      </c>
      <c r="BB1086" s="193">
        <f>credit_sales_interest*BD1086</f>
        <v/>
      </c>
      <c r="BC1086" s="102">
        <f>IFERROR(IF($I$13&gt;0,$I1086/$I$13,$S1086/$S$13),0)</f>
        <v/>
      </c>
      <c r="BD1086" s="102">
        <f>IFERROR($S1086/$S$13,0)</f>
        <v/>
      </c>
      <c r="BE1086" s="413" t="inlineStr">
        <is>
          <t>$</t>
        </is>
      </c>
    </row>
    <row r="1087" ht="12" customFormat="1" customHeight="1" s="65">
      <c r="A1087" s="43" t="n">
        <v>1072</v>
      </c>
      <c r="B1087" s="166" t="n"/>
      <c r="C1087" s="166" t="n"/>
      <c r="D1087" s="166" t="n"/>
      <c r="E1087" s="162" t="n"/>
      <c r="F1087" s="166" t="n"/>
      <c r="G1087" s="162" t="n"/>
      <c r="H1087" s="162" t="n"/>
      <c r="I1087" s="189">
        <f>E1087*G1087</f>
        <v/>
      </c>
      <c r="J1087" s="195" t="n"/>
      <c r="K1087" s="162" t="n"/>
      <c r="L1087" s="168" t="n"/>
      <c r="M1087" s="75">
        <f>_xlfn.XLOOKUP(L1087,list_vat[Страна],list_vat[Ставка НДС %],0,0)</f>
        <v/>
      </c>
      <c r="N1087" s="162">
        <f>IFERROR(IF(L1087="Китай",K1087,K1087/(1+M1087)),0)</f>
        <v/>
      </c>
      <c r="O1087" s="169" t="n"/>
      <c r="P1087" s="76">
        <f>N1087*(1-O1087)</f>
        <v/>
      </c>
      <c r="Q1087" s="162" t="n"/>
      <c r="R1087" s="162">
        <f>IF(ISBLANK(Q1087),"введи курс",P1087/Q1087)</f>
        <v/>
      </c>
      <c r="S1087" s="196">
        <f>IF(AND(ISNUMBER(E1087),ISNUMBER(Q1087)),E1087*R1087,0)</f>
        <v/>
      </c>
      <c r="T1087" s="192">
        <f>$BC1087*V$11</f>
        <v/>
      </c>
      <c r="U1087" s="76">
        <f>$BC1087*W$11</f>
        <v/>
      </c>
      <c r="V1087" s="193">
        <f>+SUM(T1087:U1087)</f>
        <v/>
      </c>
      <c r="W1087" s="191" t="n"/>
      <c r="X1087" s="170" t="n"/>
      <c r="Y1087" s="76">
        <f>ROUND(IF(offer_incoterms="DDP",X1087*(S1087*(1+AW1087)+T1087),0),2)</f>
        <v/>
      </c>
      <c r="Z1087" s="188" t="n"/>
      <c r="AA1087" s="192">
        <f>IFERROR(AB1087/E1087,0)</f>
        <v/>
      </c>
      <c r="AB1087" s="76">
        <f>ROUND(SUM(S1087,V1087,Y1087:Z1087,BA1087:BB1087),2)</f>
        <v/>
      </c>
      <c r="AC1087" s="797" t="n"/>
      <c r="AD1087" s="192">
        <f t="array" ref="AD1087">IFERROR(ROUND((_xlfn.IFS(offer_sale_type="поставка",AB1087,offer_sale_type="транзит",S1087)*(1+AC1087))/E1087,2),0)</f>
        <v/>
      </c>
      <c r="AE1087" s="76">
        <f>AD1087*E1087</f>
        <v/>
      </c>
      <c r="AF1087" s="193">
        <f t="array" ref="AF1087">IFERROR(ROUND(_xlfn.IFS(offer_sale_type="поставка",AB1087,offer_sale_type="транзит",S1087)*AC1087,2),0)</f>
        <v/>
      </c>
      <c r="AG1087" s="192">
        <f>$BD1087*VLOOKUP($AG$3,$AF$4:$AG$7,2,FALSE)</f>
        <v/>
      </c>
      <c r="AH1087" s="76">
        <f>SUM(AE1087,AG1087,AI1087)*rate_forex_risk</f>
        <v/>
      </c>
      <c r="AI1087" s="193">
        <f>IF(OR(seller_region="TR",offer_sale_type="экспорт"),0,rate_fin_comm)*SUM(AZ1087,AZ1087*AW1087,T1087)</f>
        <v/>
      </c>
      <c r="AJ1087" s="118">
        <f>IFERROR(ROUND(SUM(AB1087,AF1087:AI1087)/E1087,2),0)</f>
        <v/>
      </c>
      <c r="AK1087" s="76">
        <f>AJ1087*E1087</f>
        <v/>
      </c>
      <c r="AL1087" s="174">
        <f>ROUND(IFERROR(AM1087*E1087,0),2)</f>
        <v/>
      </c>
      <c r="AM1087" s="175">
        <f>ROUND(AJ1087*(1+IF(offer_incoterms="DDP",IF((TODAY()+offer_turnaround_time)&gt;=helpsheet!$L$17,rate_vatRU_from_26,rate_vatRu_till_25),0)),2)</f>
        <v/>
      </c>
      <c r="AN1087" s="192">
        <f>AL1087-AK1087</f>
        <v/>
      </c>
      <c r="AO1087" s="76">
        <f>SUM(AY1087,Y1087:Z1087,T1087)*IF(AND(offer_incoterms="DDP",offer_sale_type&lt;&gt;"экспорт"),IF((TODAY()+offer_turnaround_time)&gt;=helpsheet!$L$17,rate_vatRU_from_26,rate_vatRu_till_25),0)</f>
        <v/>
      </c>
      <c r="AP1087" s="193">
        <f>AN1087-AO1087</f>
        <v/>
      </c>
      <c r="AQ1087" s="118">
        <f>IF(offer_sale_type="транзит",SUM(AF1087:AI1087,BA1087,BB1087),0)</f>
        <v/>
      </c>
      <c r="AR1087" s="82">
        <f>HYPERLINK("https://www.alta.ru/tnved/code/")&amp;W1087&amp;"/"</f>
        <v/>
      </c>
      <c r="AS1087" s="157" t="n"/>
      <c r="AT1087" s="162" t="n"/>
      <c r="AU1087" s="76">
        <f>IF(ISBLANK(AT1087),0,AJ1087-AT1087)</f>
        <v/>
      </c>
      <c r="AV1087" s="157" t="n"/>
      <c r="AW1087" s="75">
        <f>_xlfn.IFNA(VLOOKUP(L1087,list_vat[],3,FALSE),0)</f>
        <v/>
      </c>
      <c r="AX1087" s="76">
        <f>IFERROR(ROUND(S1087*(1+AW1087)/E1087,2),0)</f>
        <v/>
      </c>
      <c r="AY1087" s="76">
        <f>E1087*AX1087</f>
        <v/>
      </c>
      <c r="AZ1087" s="192">
        <f>S1087*(1+M1087)</f>
        <v/>
      </c>
      <c r="BA1087" s="76">
        <f>cost_fin_total*$BD1087</f>
        <v/>
      </c>
      <c r="BB1087" s="193">
        <f>credit_sales_interest*BD1087</f>
        <v/>
      </c>
      <c r="BC1087" s="102">
        <f>IFERROR(IF($I$13&gt;0,$I1087/$I$13,$S1087/$S$13),0)</f>
        <v/>
      </c>
      <c r="BD1087" s="102">
        <f>IFERROR($S1087/$S$13,0)</f>
        <v/>
      </c>
      <c r="BE1087" s="413" t="inlineStr">
        <is>
          <t>$</t>
        </is>
      </c>
    </row>
    <row r="1088" ht="12" customFormat="1" customHeight="1" s="65">
      <c r="A1088" s="43" t="n">
        <v>1073</v>
      </c>
      <c r="B1088" s="166" t="n"/>
      <c r="C1088" s="166" t="n"/>
      <c r="D1088" s="166" t="n"/>
      <c r="E1088" s="162" t="n"/>
      <c r="F1088" s="166" t="n"/>
      <c r="G1088" s="162" t="n"/>
      <c r="H1088" s="162" t="n"/>
      <c r="I1088" s="189">
        <f>E1088*G1088</f>
        <v/>
      </c>
      <c r="J1088" s="195" t="n"/>
      <c r="K1088" s="162" t="n"/>
      <c r="L1088" s="168" t="n"/>
      <c r="M1088" s="75">
        <f>_xlfn.XLOOKUP(L1088,list_vat[Страна],list_vat[Ставка НДС %],0,0)</f>
        <v/>
      </c>
      <c r="N1088" s="162">
        <f>IFERROR(IF(L1088="Китай",K1088,K1088/(1+M1088)),0)</f>
        <v/>
      </c>
      <c r="O1088" s="169" t="n"/>
      <c r="P1088" s="76">
        <f>N1088*(1-O1088)</f>
        <v/>
      </c>
      <c r="Q1088" s="162" t="n"/>
      <c r="R1088" s="162">
        <f>IF(ISBLANK(Q1088),"введи курс",P1088/Q1088)</f>
        <v/>
      </c>
      <c r="S1088" s="196">
        <f>IF(AND(ISNUMBER(E1088),ISNUMBER(Q1088)),E1088*R1088,0)</f>
        <v/>
      </c>
      <c r="T1088" s="192">
        <f>$BC1088*V$11</f>
        <v/>
      </c>
      <c r="U1088" s="76">
        <f>$BC1088*W$11</f>
        <v/>
      </c>
      <c r="V1088" s="193">
        <f>+SUM(T1088:U1088)</f>
        <v/>
      </c>
      <c r="W1088" s="191" t="n"/>
      <c r="X1088" s="170" t="n"/>
      <c r="Y1088" s="76">
        <f>ROUND(IF(offer_incoterms="DDP",X1088*(S1088*(1+AW1088)+T1088),0),2)</f>
        <v/>
      </c>
      <c r="Z1088" s="188" t="n"/>
      <c r="AA1088" s="192">
        <f>IFERROR(AB1088/E1088,0)</f>
        <v/>
      </c>
      <c r="AB1088" s="76">
        <f>ROUND(SUM(S1088,V1088,Y1088:Z1088,BA1088:BB1088),2)</f>
        <v/>
      </c>
      <c r="AC1088" s="797" t="n"/>
      <c r="AD1088" s="192">
        <f t="array" ref="AD1088">IFERROR(ROUND((_xlfn.IFS(offer_sale_type="поставка",AB1088,offer_sale_type="транзит",S1088)*(1+AC1088))/E1088,2),0)</f>
        <v/>
      </c>
      <c r="AE1088" s="76">
        <f>AD1088*E1088</f>
        <v/>
      </c>
      <c r="AF1088" s="193">
        <f t="array" ref="AF1088">IFERROR(ROUND(_xlfn.IFS(offer_sale_type="поставка",AB1088,offer_sale_type="транзит",S1088)*AC1088,2),0)</f>
        <v/>
      </c>
      <c r="AG1088" s="192">
        <f>$BD1088*VLOOKUP($AG$3,$AF$4:$AG$7,2,FALSE)</f>
        <v/>
      </c>
      <c r="AH1088" s="76">
        <f>SUM(AE1088,AG1088,AI1088)*rate_forex_risk</f>
        <v/>
      </c>
      <c r="AI1088" s="193">
        <f>IF(OR(seller_region="TR",offer_sale_type="экспорт"),0,rate_fin_comm)*SUM(AZ1088,AZ1088*AW1088,T1088)</f>
        <v/>
      </c>
      <c r="AJ1088" s="118">
        <f>IFERROR(ROUND(SUM(AB1088,AF1088:AI1088)/E1088,2),0)</f>
        <v/>
      </c>
      <c r="AK1088" s="76">
        <f>AJ1088*E1088</f>
        <v/>
      </c>
      <c r="AL1088" s="174">
        <f>ROUND(IFERROR(AM1088*E1088,0),2)</f>
        <v/>
      </c>
      <c r="AM1088" s="175">
        <f>ROUND(AJ1088*(1+IF(offer_incoterms="DDP",IF((TODAY()+offer_turnaround_time)&gt;=helpsheet!$L$17,rate_vatRU_from_26,rate_vatRu_till_25),0)),2)</f>
        <v/>
      </c>
      <c r="AN1088" s="192">
        <f>AL1088-AK1088</f>
        <v/>
      </c>
      <c r="AO1088" s="76">
        <f>SUM(AY1088,Y1088:Z1088,T1088)*IF(AND(offer_incoterms="DDP",offer_sale_type&lt;&gt;"экспорт"),IF((TODAY()+offer_turnaround_time)&gt;=helpsheet!$L$17,rate_vatRU_from_26,rate_vatRu_till_25),0)</f>
        <v/>
      </c>
      <c r="AP1088" s="193">
        <f>AN1088-AO1088</f>
        <v/>
      </c>
      <c r="AQ1088" s="118">
        <f>IF(offer_sale_type="транзит",SUM(AF1088:AI1088,BA1088,BB1088),0)</f>
        <v/>
      </c>
      <c r="AR1088" s="82">
        <f>HYPERLINK("https://www.alta.ru/tnved/code/")&amp;W1088&amp;"/"</f>
        <v/>
      </c>
      <c r="AS1088" s="157" t="n"/>
      <c r="AT1088" s="162" t="n"/>
      <c r="AU1088" s="76">
        <f>IF(ISBLANK(AT1088),0,AJ1088-AT1088)</f>
        <v/>
      </c>
      <c r="AV1088" s="157" t="n"/>
      <c r="AW1088" s="75">
        <f>_xlfn.IFNA(VLOOKUP(L1088,list_vat[],3,FALSE),0)</f>
        <v/>
      </c>
      <c r="AX1088" s="76">
        <f>IFERROR(ROUND(S1088*(1+AW1088)/E1088,2),0)</f>
        <v/>
      </c>
      <c r="AY1088" s="76">
        <f>E1088*AX1088</f>
        <v/>
      </c>
      <c r="AZ1088" s="192">
        <f>S1088*(1+M1088)</f>
        <v/>
      </c>
      <c r="BA1088" s="76">
        <f>cost_fin_total*$BD1088</f>
        <v/>
      </c>
      <c r="BB1088" s="193">
        <f>credit_sales_interest*BD1088</f>
        <v/>
      </c>
      <c r="BC1088" s="102">
        <f>IFERROR(IF($I$13&gt;0,$I1088/$I$13,$S1088/$S$13),0)</f>
        <v/>
      </c>
      <c r="BD1088" s="102">
        <f>IFERROR($S1088/$S$13,0)</f>
        <v/>
      </c>
      <c r="BE1088" s="413" t="inlineStr">
        <is>
          <t>$</t>
        </is>
      </c>
    </row>
    <row r="1089" ht="12" customFormat="1" customHeight="1" s="65">
      <c r="A1089" s="43" t="n">
        <v>1074</v>
      </c>
      <c r="B1089" s="166" t="n"/>
      <c r="C1089" s="166" t="n"/>
      <c r="D1089" s="166" t="n"/>
      <c r="E1089" s="162" t="n"/>
      <c r="F1089" s="166" t="n"/>
      <c r="G1089" s="162" t="n"/>
      <c r="H1089" s="162" t="n"/>
      <c r="I1089" s="189">
        <f>E1089*G1089</f>
        <v/>
      </c>
      <c r="J1089" s="195" t="n"/>
      <c r="K1089" s="162" t="n"/>
      <c r="L1089" s="168" t="n"/>
      <c r="M1089" s="75">
        <f>_xlfn.XLOOKUP(L1089,list_vat[Страна],list_vat[Ставка НДС %],0,0)</f>
        <v/>
      </c>
      <c r="N1089" s="162">
        <f>IFERROR(IF(L1089="Китай",K1089,K1089/(1+M1089)),0)</f>
        <v/>
      </c>
      <c r="O1089" s="169" t="n"/>
      <c r="P1089" s="76">
        <f>N1089*(1-O1089)</f>
        <v/>
      </c>
      <c r="Q1089" s="162" t="n"/>
      <c r="R1089" s="162">
        <f>IF(ISBLANK(Q1089),"введи курс",P1089/Q1089)</f>
        <v/>
      </c>
      <c r="S1089" s="196">
        <f>IF(AND(ISNUMBER(E1089),ISNUMBER(Q1089)),E1089*R1089,0)</f>
        <v/>
      </c>
      <c r="T1089" s="192">
        <f>$BC1089*V$11</f>
        <v/>
      </c>
      <c r="U1089" s="76">
        <f>$BC1089*W$11</f>
        <v/>
      </c>
      <c r="V1089" s="193">
        <f>+SUM(T1089:U1089)</f>
        <v/>
      </c>
      <c r="W1089" s="191" t="n"/>
      <c r="X1089" s="170" t="n"/>
      <c r="Y1089" s="76">
        <f>ROUND(IF(offer_incoterms="DDP",X1089*(S1089*(1+AW1089)+T1089),0),2)</f>
        <v/>
      </c>
      <c r="Z1089" s="188" t="n"/>
      <c r="AA1089" s="192">
        <f>IFERROR(AB1089/E1089,0)</f>
        <v/>
      </c>
      <c r="AB1089" s="76">
        <f>ROUND(SUM(S1089,V1089,Y1089:Z1089,BA1089:BB1089),2)</f>
        <v/>
      </c>
      <c r="AC1089" s="797" t="n"/>
      <c r="AD1089" s="192">
        <f t="array" ref="AD1089">IFERROR(ROUND((_xlfn.IFS(offer_sale_type="поставка",AB1089,offer_sale_type="транзит",S1089)*(1+AC1089))/E1089,2),0)</f>
        <v/>
      </c>
      <c r="AE1089" s="76">
        <f>AD1089*E1089</f>
        <v/>
      </c>
      <c r="AF1089" s="193">
        <f t="array" ref="AF1089">IFERROR(ROUND(_xlfn.IFS(offer_sale_type="поставка",AB1089,offer_sale_type="транзит",S1089)*AC1089,2),0)</f>
        <v/>
      </c>
      <c r="AG1089" s="192">
        <f>$BD1089*VLOOKUP($AG$3,$AF$4:$AG$7,2,FALSE)</f>
        <v/>
      </c>
      <c r="AH1089" s="76">
        <f>SUM(AE1089,AG1089,AI1089)*rate_forex_risk</f>
        <v/>
      </c>
      <c r="AI1089" s="193">
        <f>IF(OR(seller_region="TR",offer_sale_type="экспорт"),0,rate_fin_comm)*SUM(AZ1089,AZ1089*AW1089,T1089)</f>
        <v/>
      </c>
      <c r="AJ1089" s="118">
        <f>IFERROR(ROUND(SUM(AB1089,AF1089:AI1089)/E1089,2),0)</f>
        <v/>
      </c>
      <c r="AK1089" s="76">
        <f>AJ1089*E1089</f>
        <v/>
      </c>
      <c r="AL1089" s="174">
        <f>ROUND(IFERROR(AM1089*E1089,0),2)</f>
        <v/>
      </c>
      <c r="AM1089" s="175">
        <f>ROUND(AJ1089*(1+IF(offer_incoterms="DDP",IF((TODAY()+offer_turnaround_time)&gt;=helpsheet!$L$17,rate_vatRU_from_26,rate_vatRu_till_25),0)),2)</f>
        <v/>
      </c>
      <c r="AN1089" s="192">
        <f>AL1089-AK1089</f>
        <v/>
      </c>
      <c r="AO1089" s="76">
        <f>SUM(AY1089,Y1089:Z1089,T1089)*IF(AND(offer_incoterms="DDP",offer_sale_type&lt;&gt;"экспорт"),IF((TODAY()+offer_turnaround_time)&gt;=helpsheet!$L$17,rate_vatRU_from_26,rate_vatRu_till_25),0)</f>
        <v/>
      </c>
      <c r="AP1089" s="193">
        <f>AN1089-AO1089</f>
        <v/>
      </c>
      <c r="AQ1089" s="118">
        <f>IF(offer_sale_type="транзит",SUM(AF1089:AI1089,BA1089,BB1089),0)</f>
        <v/>
      </c>
      <c r="AR1089" s="82">
        <f>HYPERLINK("https://www.alta.ru/tnved/code/")&amp;W1089&amp;"/"</f>
        <v/>
      </c>
      <c r="AS1089" s="157" t="n"/>
      <c r="AT1089" s="162" t="n"/>
      <c r="AU1089" s="76">
        <f>IF(ISBLANK(AT1089),0,AJ1089-AT1089)</f>
        <v/>
      </c>
      <c r="AV1089" s="157" t="n"/>
      <c r="AW1089" s="75">
        <f>_xlfn.IFNA(VLOOKUP(L1089,list_vat[],3,FALSE),0)</f>
        <v/>
      </c>
      <c r="AX1089" s="76">
        <f>IFERROR(ROUND(S1089*(1+AW1089)/E1089,2),0)</f>
        <v/>
      </c>
      <c r="AY1089" s="76">
        <f>E1089*AX1089</f>
        <v/>
      </c>
      <c r="AZ1089" s="192">
        <f>S1089*(1+M1089)</f>
        <v/>
      </c>
      <c r="BA1089" s="76">
        <f>cost_fin_total*$BD1089</f>
        <v/>
      </c>
      <c r="BB1089" s="193">
        <f>credit_sales_interest*BD1089</f>
        <v/>
      </c>
      <c r="BC1089" s="102">
        <f>IFERROR(IF($I$13&gt;0,$I1089/$I$13,$S1089/$S$13),0)</f>
        <v/>
      </c>
      <c r="BD1089" s="102">
        <f>IFERROR($S1089/$S$13,0)</f>
        <v/>
      </c>
      <c r="BE1089" s="413" t="inlineStr">
        <is>
          <t>$</t>
        </is>
      </c>
    </row>
    <row r="1090" ht="12" customFormat="1" customHeight="1" s="65">
      <c r="A1090" s="43" t="n">
        <v>1075</v>
      </c>
      <c r="B1090" s="166" t="n"/>
      <c r="C1090" s="166" t="n"/>
      <c r="D1090" s="166" t="n"/>
      <c r="E1090" s="162" t="n"/>
      <c r="F1090" s="166" t="n"/>
      <c r="G1090" s="162" t="n"/>
      <c r="H1090" s="162" t="n"/>
      <c r="I1090" s="189">
        <f>E1090*G1090</f>
        <v/>
      </c>
      <c r="J1090" s="195" t="n"/>
      <c r="K1090" s="162" t="n"/>
      <c r="L1090" s="168" t="n"/>
      <c r="M1090" s="75">
        <f>_xlfn.XLOOKUP(L1090,list_vat[Страна],list_vat[Ставка НДС %],0,0)</f>
        <v/>
      </c>
      <c r="N1090" s="162">
        <f>IFERROR(IF(L1090="Китай",K1090,K1090/(1+M1090)),0)</f>
        <v/>
      </c>
      <c r="O1090" s="169" t="n"/>
      <c r="P1090" s="76">
        <f>N1090*(1-O1090)</f>
        <v/>
      </c>
      <c r="Q1090" s="162" t="n"/>
      <c r="R1090" s="162">
        <f>IF(ISBLANK(Q1090),"введи курс",P1090/Q1090)</f>
        <v/>
      </c>
      <c r="S1090" s="196">
        <f>IF(AND(ISNUMBER(E1090),ISNUMBER(Q1090)),E1090*R1090,0)</f>
        <v/>
      </c>
      <c r="T1090" s="192">
        <f>$BC1090*V$11</f>
        <v/>
      </c>
      <c r="U1090" s="76">
        <f>$BC1090*W$11</f>
        <v/>
      </c>
      <c r="V1090" s="193">
        <f>+SUM(T1090:U1090)</f>
        <v/>
      </c>
      <c r="W1090" s="191" t="n"/>
      <c r="X1090" s="170" t="n"/>
      <c r="Y1090" s="76">
        <f>ROUND(IF(offer_incoterms="DDP",X1090*(S1090*(1+AW1090)+T1090),0),2)</f>
        <v/>
      </c>
      <c r="Z1090" s="188" t="n"/>
      <c r="AA1090" s="192">
        <f>IFERROR(AB1090/E1090,0)</f>
        <v/>
      </c>
      <c r="AB1090" s="76">
        <f>ROUND(SUM(S1090,V1090,Y1090:Z1090,BA1090:BB1090),2)</f>
        <v/>
      </c>
      <c r="AC1090" s="797" t="n"/>
      <c r="AD1090" s="192">
        <f t="array" ref="AD1090">IFERROR(ROUND((_xlfn.IFS(offer_sale_type="поставка",AB1090,offer_sale_type="транзит",S1090)*(1+AC1090))/E1090,2),0)</f>
        <v/>
      </c>
      <c r="AE1090" s="76">
        <f>AD1090*E1090</f>
        <v/>
      </c>
      <c r="AF1090" s="193">
        <f t="array" ref="AF1090">IFERROR(ROUND(_xlfn.IFS(offer_sale_type="поставка",AB1090,offer_sale_type="транзит",S1090)*AC1090,2),0)</f>
        <v/>
      </c>
      <c r="AG1090" s="192">
        <f>$BD1090*VLOOKUP($AG$3,$AF$4:$AG$7,2,FALSE)</f>
        <v/>
      </c>
      <c r="AH1090" s="76">
        <f>SUM(AE1090,AG1090,AI1090)*rate_forex_risk</f>
        <v/>
      </c>
      <c r="AI1090" s="193">
        <f>IF(OR(seller_region="TR",offer_sale_type="экспорт"),0,rate_fin_comm)*SUM(AZ1090,AZ1090*AW1090,T1090)</f>
        <v/>
      </c>
      <c r="AJ1090" s="118">
        <f>IFERROR(ROUND(SUM(AB1090,AF1090:AI1090)/E1090,2),0)</f>
        <v/>
      </c>
      <c r="AK1090" s="76">
        <f>AJ1090*E1090</f>
        <v/>
      </c>
      <c r="AL1090" s="174">
        <f>ROUND(IFERROR(AM1090*E1090,0),2)</f>
        <v/>
      </c>
      <c r="AM1090" s="175">
        <f>ROUND(AJ1090*(1+IF(offer_incoterms="DDP",IF((TODAY()+offer_turnaround_time)&gt;=helpsheet!$L$17,rate_vatRU_from_26,rate_vatRu_till_25),0)),2)</f>
        <v/>
      </c>
      <c r="AN1090" s="192">
        <f>AL1090-AK1090</f>
        <v/>
      </c>
      <c r="AO1090" s="76">
        <f>SUM(AY1090,Y1090:Z1090,T1090)*IF(AND(offer_incoterms="DDP",offer_sale_type&lt;&gt;"экспорт"),IF((TODAY()+offer_turnaround_time)&gt;=helpsheet!$L$17,rate_vatRU_from_26,rate_vatRu_till_25),0)</f>
        <v/>
      </c>
      <c r="AP1090" s="193">
        <f>AN1090-AO1090</f>
        <v/>
      </c>
      <c r="AQ1090" s="118">
        <f>IF(offer_sale_type="транзит",SUM(AF1090:AI1090,BA1090,BB1090),0)</f>
        <v/>
      </c>
      <c r="AR1090" s="82">
        <f>HYPERLINK("https://www.alta.ru/tnved/code/")&amp;W1090&amp;"/"</f>
        <v/>
      </c>
      <c r="AS1090" s="157" t="n"/>
      <c r="AT1090" s="162" t="n"/>
      <c r="AU1090" s="76">
        <f>IF(ISBLANK(AT1090),0,AJ1090-AT1090)</f>
        <v/>
      </c>
      <c r="AV1090" s="157" t="n"/>
      <c r="AW1090" s="75">
        <f>_xlfn.IFNA(VLOOKUP(L1090,list_vat[],3,FALSE),0)</f>
        <v/>
      </c>
      <c r="AX1090" s="76">
        <f>IFERROR(ROUND(S1090*(1+AW1090)/E1090,2),0)</f>
        <v/>
      </c>
      <c r="AY1090" s="76">
        <f>E1090*AX1090</f>
        <v/>
      </c>
      <c r="AZ1090" s="192">
        <f>S1090*(1+M1090)</f>
        <v/>
      </c>
      <c r="BA1090" s="76">
        <f>cost_fin_total*$BD1090</f>
        <v/>
      </c>
      <c r="BB1090" s="193">
        <f>credit_sales_interest*BD1090</f>
        <v/>
      </c>
      <c r="BC1090" s="102">
        <f>IFERROR(IF($I$13&gt;0,$I1090/$I$13,$S1090/$S$13),0)</f>
        <v/>
      </c>
      <c r="BD1090" s="102">
        <f>IFERROR($S1090/$S$13,0)</f>
        <v/>
      </c>
      <c r="BE1090" s="413" t="inlineStr">
        <is>
          <t>$</t>
        </is>
      </c>
    </row>
    <row r="1091" ht="12" customFormat="1" customHeight="1" s="65">
      <c r="A1091" s="43" t="n">
        <v>1076</v>
      </c>
      <c r="B1091" s="166" t="n"/>
      <c r="C1091" s="166" t="n"/>
      <c r="D1091" s="166" t="n"/>
      <c r="E1091" s="162" t="n"/>
      <c r="F1091" s="166" t="n"/>
      <c r="G1091" s="162" t="n"/>
      <c r="H1091" s="162" t="n"/>
      <c r="I1091" s="189">
        <f>E1091*G1091</f>
        <v/>
      </c>
      <c r="J1091" s="195" t="n"/>
      <c r="K1091" s="162" t="n"/>
      <c r="L1091" s="168" t="n"/>
      <c r="M1091" s="75">
        <f>_xlfn.XLOOKUP(L1091,list_vat[Страна],list_vat[Ставка НДС %],0,0)</f>
        <v/>
      </c>
      <c r="N1091" s="162">
        <f>IFERROR(IF(L1091="Китай",K1091,K1091/(1+M1091)),0)</f>
        <v/>
      </c>
      <c r="O1091" s="169" t="n"/>
      <c r="P1091" s="76">
        <f>N1091*(1-O1091)</f>
        <v/>
      </c>
      <c r="Q1091" s="162" t="n"/>
      <c r="R1091" s="162">
        <f>IF(ISBLANK(Q1091),"введи курс",P1091/Q1091)</f>
        <v/>
      </c>
      <c r="S1091" s="196">
        <f>IF(AND(ISNUMBER(E1091),ISNUMBER(Q1091)),E1091*R1091,0)</f>
        <v/>
      </c>
      <c r="T1091" s="192">
        <f>$BC1091*V$11</f>
        <v/>
      </c>
      <c r="U1091" s="76">
        <f>$BC1091*W$11</f>
        <v/>
      </c>
      <c r="V1091" s="193">
        <f>+SUM(T1091:U1091)</f>
        <v/>
      </c>
      <c r="W1091" s="191" t="n"/>
      <c r="X1091" s="170" t="n"/>
      <c r="Y1091" s="76">
        <f>ROUND(IF(offer_incoterms="DDP",X1091*(S1091*(1+AW1091)+T1091),0),2)</f>
        <v/>
      </c>
      <c r="Z1091" s="188" t="n"/>
      <c r="AA1091" s="192">
        <f>IFERROR(AB1091/E1091,0)</f>
        <v/>
      </c>
      <c r="AB1091" s="76">
        <f>ROUND(SUM(S1091,V1091,Y1091:Z1091,BA1091:BB1091),2)</f>
        <v/>
      </c>
      <c r="AC1091" s="797" t="n"/>
      <c r="AD1091" s="192">
        <f t="array" ref="AD1091">IFERROR(ROUND((_xlfn.IFS(offer_sale_type="поставка",AB1091,offer_sale_type="транзит",S1091)*(1+AC1091))/E1091,2),0)</f>
        <v/>
      </c>
      <c r="AE1091" s="76">
        <f>AD1091*E1091</f>
        <v/>
      </c>
      <c r="AF1091" s="193">
        <f t="array" ref="AF1091">IFERROR(ROUND(_xlfn.IFS(offer_sale_type="поставка",AB1091,offer_sale_type="транзит",S1091)*AC1091,2),0)</f>
        <v/>
      </c>
      <c r="AG1091" s="192">
        <f>$BD1091*VLOOKUP($AG$3,$AF$4:$AG$7,2,FALSE)</f>
        <v/>
      </c>
      <c r="AH1091" s="76">
        <f>SUM(AE1091,AG1091,AI1091)*rate_forex_risk</f>
        <v/>
      </c>
      <c r="AI1091" s="193">
        <f>IF(OR(seller_region="TR",offer_sale_type="экспорт"),0,rate_fin_comm)*SUM(AZ1091,AZ1091*AW1091,T1091)</f>
        <v/>
      </c>
      <c r="AJ1091" s="118">
        <f>IFERROR(ROUND(SUM(AB1091,AF1091:AI1091)/E1091,2),0)</f>
        <v/>
      </c>
      <c r="AK1091" s="76">
        <f>AJ1091*E1091</f>
        <v/>
      </c>
      <c r="AL1091" s="174">
        <f>ROUND(IFERROR(AM1091*E1091,0),2)</f>
        <v/>
      </c>
      <c r="AM1091" s="175">
        <f>ROUND(AJ1091*(1+IF(offer_incoterms="DDP",IF((TODAY()+offer_turnaround_time)&gt;=helpsheet!$L$17,rate_vatRU_from_26,rate_vatRu_till_25),0)),2)</f>
        <v/>
      </c>
      <c r="AN1091" s="192">
        <f>AL1091-AK1091</f>
        <v/>
      </c>
      <c r="AO1091" s="76">
        <f>SUM(AY1091,Y1091:Z1091,T1091)*IF(AND(offer_incoterms="DDP",offer_sale_type&lt;&gt;"экспорт"),IF((TODAY()+offer_turnaround_time)&gt;=helpsheet!$L$17,rate_vatRU_from_26,rate_vatRu_till_25),0)</f>
        <v/>
      </c>
      <c r="AP1091" s="193">
        <f>AN1091-AO1091</f>
        <v/>
      </c>
      <c r="AQ1091" s="118">
        <f>IF(offer_sale_type="транзит",SUM(AF1091:AI1091,BA1091,BB1091),0)</f>
        <v/>
      </c>
      <c r="AR1091" s="82">
        <f>HYPERLINK("https://www.alta.ru/tnved/code/")&amp;W1091&amp;"/"</f>
        <v/>
      </c>
      <c r="AS1091" s="157" t="n"/>
      <c r="AT1091" s="162" t="n"/>
      <c r="AU1091" s="76">
        <f>IF(ISBLANK(AT1091),0,AJ1091-AT1091)</f>
        <v/>
      </c>
      <c r="AV1091" s="157" t="n"/>
      <c r="AW1091" s="75">
        <f>_xlfn.IFNA(VLOOKUP(L1091,list_vat[],3,FALSE),0)</f>
        <v/>
      </c>
      <c r="AX1091" s="76">
        <f>IFERROR(ROUND(S1091*(1+AW1091)/E1091,2),0)</f>
        <v/>
      </c>
      <c r="AY1091" s="76">
        <f>E1091*AX1091</f>
        <v/>
      </c>
      <c r="AZ1091" s="192">
        <f>S1091*(1+M1091)</f>
        <v/>
      </c>
      <c r="BA1091" s="76">
        <f>cost_fin_total*$BD1091</f>
        <v/>
      </c>
      <c r="BB1091" s="193">
        <f>credit_sales_interest*BD1091</f>
        <v/>
      </c>
      <c r="BC1091" s="102">
        <f>IFERROR(IF($I$13&gt;0,$I1091/$I$13,$S1091/$S$13),0)</f>
        <v/>
      </c>
      <c r="BD1091" s="102">
        <f>IFERROR($S1091/$S$13,0)</f>
        <v/>
      </c>
      <c r="BE1091" s="413" t="inlineStr">
        <is>
          <t>$</t>
        </is>
      </c>
    </row>
    <row r="1092" ht="12" customFormat="1" customHeight="1" s="65">
      <c r="A1092" s="43" t="n">
        <v>1077</v>
      </c>
      <c r="B1092" s="166" t="n"/>
      <c r="C1092" s="166" t="n"/>
      <c r="D1092" s="166" t="n"/>
      <c r="E1092" s="162" t="n"/>
      <c r="F1092" s="166" t="n"/>
      <c r="G1092" s="162" t="n"/>
      <c r="H1092" s="162" t="n"/>
      <c r="I1092" s="189">
        <f>E1092*G1092</f>
        <v/>
      </c>
      <c r="J1092" s="195" t="n"/>
      <c r="K1092" s="162" t="n"/>
      <c r="L1092" s="168" t="n"/>
      <c r="M1092" s="75">
        <f>_xlfn.XLOOKUP(L1092,list_vat[Страна],list_vat[Ставка НДС %],0,0)</f>
        <v/>
      </c>
      <c r="N1092" s="162">
        <f>IFERROR(IF(L1092="Китай",K1092,K1092/(1+M1092)),0)</f>
        <v/>
      </c>
      <c r="O1092" s="169" t="n"/>
      <c r="P1092" s="76">
        <f>N1092*(1-O1092)</f>
        <v/>
      </c>
      <c r="Q1092" s="162" t="n"/>
      <c r="R1092" s="162">
        <f>IF(ISBLANK(Q1092),"введи курс",P1092/Q1092)</f>
        <v/>
      </c>
      <c r="S1092" s="196">
        <f>IF(AND(ISNUMBER(E1092),ISNUMBER(Q1092)),E1092*R1092,0)</f>
        <v/>
      </c>
      <c r="T1092" s="192">
        <f>$BC1092*V$11</f>
        <v/>
      </c>
      <c r="U1092" s="76">
        <f>$BC1092*W$11</f>
        <v/>
      </c>
      <c r="V1092" s="193">
        <f>+SUM(T1092:U1092)</f>
        <v/>
      </c>
      <c r="W1092" s="191" t="n"/>
      <c r="X1092" s="170" t="n"/>
      <c r="Y1092" s="76">
        <f>ROUND(IF(offer_incoterms="DDP",X1092*(S1092*(1+AW1092)+T1092),0),2)</f>
        <v/>
      </c>
      <c r="Z1092" s="188" t="n"/>
      <c r="AA1092" s="192">
        <f>IFERROR(AB1092/E1092,0)</f>
        <v/>
      </c>
      <c r="AB1092" s="76">
        <f>ROUND(SUM(S1092,V1092,Y1092:Z1092,BA1092:BB1092),2)</f>
        <v/>
      </c>
      <c r="AC1092" s="797" t="n"/>
      <c r="AD1092" s="192">
        <f t="array" ref="AD1092">IFERROR(ROUND((_xlfn.IFS(offer_sale_type="поставка",AB1092,offer_sale_type="транзит",S1092)*(1+AC1092))/E1092,2),0)</f>
        <v/>
      </c>
      <c r="AE1092" s="76">
        <f>AD1092*E1092</f>
        <v/>
      </c>
      <c r="AF1092" s="193">
        <f t="array" ref="AF1092">IFERROR(ROUND(_xlfn.IFS(offer_sale_type="поставка",AB1092,offer_sale_type="транзит",S1092)*AC1092,2),0)</f>
        <v/>
      </c>
      <c r="AG1092" s="192">
        <f>$BD1092*VLOOKUP($AG$3,$AF$4:$AG$7,2,FALSE)</f>
        <v/>
      </c>
      <c r="AH1092" s="76">
        <f>SUM(AE1092,AG1092,AI1092)*rate_forex_risk</f>
        <v/>
      </c>
      <c r="AI1092" s="193">
        <f>IF(OR(seller_region="TR",offer_sale_type="экспорт"),0,rate_fin_comm)*SUM(AZ1092,AZ1092*AW1092,T1092)</f>
        <v/>
      </c>
      <c r="AJ1092" s="118">
        <f>IFERROR(ROUND(SUM(AB1092,AF1092:AI1092)/E1092,2),0)</f>
        <v/>
      </c>
      <c r="AK1092" s="76">
        <f>AJ1092*E1092</f>
        <v/>
      </c>
      <c r="AL1092" s="174">
        <f>ROUND(IFERROR(AM1092*E1092,0),2)</f>
        <v/>
      </c>
      <c r="AM1092" s="175">
        <f>ROUND(AJ1092*(1+IF(offer_incoterms="DDP",IF((TODAY()+offer_turnaround_time)&gt;=helpsheet!$L$17,rate_vatRU_from_26,rate_vatRu_till_25),0)),2)</f>
        <v/>
      </c>
      <c r="AN1092" s="192">
        <f>AL1092-AK1092</f>
        <v/>
      </c>
      <c r="AO1092" s="76">
        <f>SUM(AY1092,Y1092:Z1092,T1092)*IF(AND(offer_incoterms="DDP",offer_sale_type&lt;&gt;"экспорт"),IF((TODAY()+offer_turnaround_time)&gt;=helpsheet!$L$17,rate_vatRU_from_26,rate_vatRu_till_25),0)</f>
        <v/>
      </c>
      <c r="AP1092" s="193">
        <f>AN1092-AO1092</f>
        <v/>
      </c>
      <c r="AQ1092" s="118">
        <f>IF(offer_sale_type="транзит",SUM(AF1092:AI1092,BA1092,BB1092),0)</f>
        <v/>
      </c>
      <c r="AR1092" s="82">
        <f>HYPERLINK("https://www.alta.ru/tnved/code/")&amp;W1092&amp;"/"</f>
        <v/>
      </c>
      <c r="AS1092" s="157" t="n"/>
      <c r="AT1092" s="162" t="n"/>
      <c r="AU1092" s="76">
        <f>IF(ISBLANK(AT1092),0,AJ1092-AT1092)</f>
        <v/>
      </c>
      <c r="AV1092" s="157" t="n"/>
      <c r="AW1092" s="75">
        <f>_xlfn.IFNA(VLOOKUP(L1092,list_vat[],3,FALSE),0)</f>
        <v/>
      </c>
      <c r="AX1092" s="76">
        <f>IFERROR(ROUND(S1092*(1+AW1092)/E1092,2),0)</f>
        <v/>
      </c>
      <c r="AY1092" s="76">
        <f>E1092*AX1092</f>
        <v/>
      </c>
      <c r="AZ1092" s="192">
        <f>S1092*(1+M1092)</f>
        <v/>
      </c>
      <c r="BA1092" s="76">
        <f>cost_fin_total*$BD1092</f>
        <v/>
      </c>
      <c r="BB1092" s="193">
        <f>credit_sales_interest*BD1092</f>
        <v/>
      </c>
      <c r="BC1092" s="102">
        <f>IFERROR(IF($I$13&gt;0,$I1092/$I$13,$S1092/$S$13),0)</f>
        <v/>
      </c>
      <c r="BD1092" s="102">
        <f>IFERROR($S1092/$S$13,0)</f>
        <v/>
      </c>
      <c r="BE1092" s="413" t="inlineStr">
        <is>
          <t>$</t>
        </is>
      </c>
    </row>
    <row r="1093" ht="12" customFormat="1" customHeight="1" s="65">
      <c r="A1093" s="43" t="n">
        <v>1078</v>
      </c>
      <c r="B1093" s="166" t="n"/>
      <c r="C1093" s="166" t="n"/>
      <c r="D1093" s="166" t="n"/>
      <c r="E1093" s="162" t="n"/>
      <c r="F1093" s="166" t="n"/>
      <c r="G1093" s="162" t="n"/>
      <c r="H1093" s="162" t="n"/>
      <c r="I1093" s="189">
        <f>E1093*G1093</f>
        <v/>
      </c>
      <c r="J1093" s="195" t="n"/>
      <c r="K1093" s="162" t="n"/>
      <c r="L1093" s="168" t="n"/>
      <c r="M1093" s="75">
        <f>_xlfn.XLOOKUP(L1093,list_vat[Страна],list_vat[Ставка НДС %],0,0)</f>
        <v/>
      </c>
      <c r="N1093" s="162">
        <f>IFERROR(IF(L1093="Китай",K1093,K1093/(1+M1093)),0)</f>
        <v/>
      </c>
      <c r="O1093" s="169" t="n"/>
      <c r="P1093" s="76">
        <f>N1093*(1-O1093)</f>
        <v/>
      </c>
      <c r="Q1093" s="162" t="n"/>
      <c r="R1093" s="162">
        <f>IF(ISBLANK(Q1093),"введи курс",P1093/Q1093)</f>
        <v/>
      </c>
      <c r="S1093" s="196">
        <f>IF(AND(ISNUMBER(E1093),ISNUMBER(Q1093)),E1093*R1093,0)</f>
        <v/>
      </c>
      <c r="T1093" s="192">
        <f>$BC1093*V$11</f>
        <v/>
      </c>
      <c r="U1093" s="76">
        <f>$BC1093*W$11</f>
        <v/>
      </c>
      <c r="V1093" s="193">
        <f>+SUM(T1093:U1093)</f>
        <v/>
      </c>
      <c r="W1093" s="191" t="n"/>
      <c r="X1093" s="170" t="n"/>
      <c r="Y1093" s="76">
        <f>ROUND(IF(offer_incoterms="DDP",X1093*(S1093*(1+AW1093)+T1093),0),2)</f>
        <v/>
      </c>
      <c r="Z1093" s="188" t="n"/>
      <c r="AA1093" s="192">
        <f>IFERROR(AB1093/E1093,0)</f>
        <v/>
      </c>
      <c r="AB1093" s="76">
        <f>ROUND(SUM(S1093,V1093,Y1093:Z1093,BA1093:BB1093),2)</f>
        <v/>
      </c>
      <c r="AC1093" s="797" t="n"/>
      <c r="AD1093" s="192">
        <f t="array" ref="AD1093">IFERROR(ROUND((_xlfn.IFS(offer_sale_type="поставка",AB1093,offer_sale_type="транзит",S1093)*(1+AC1093))/E1093,2),0)</f>
        <v/>
      </c>
      <c r="AE1093" s="76">
        <f>AD1093*E1093</f>
        <v/>
      </c>
      <c r="AF1093" s="193">
        <f t="array" ref="AF1093">IFERROR(ROUND(_xlfn.IFS(offer_sale_type="поставка",AB1093,offer_sale_type="транзит",S1093)*AC1093,2),0)</f>
        <v/>
      </c>
      <c r="AG1093" s="192">
        <f>$BD1093*VLOOKUP($AG$3,$AF$4:$AG$7,2,FALSE)</f>
        <v/>
      </c>
      <c r="AH1093" s="76">
        <f>SUM(AE1093,AG1093,AI1093)*rate_forex_risk</f>
        <v/>
      </c>
      <c r="AI1093" s="193">
        <f>IF(OR(seller_region="TR",offer_sale_type="экспорт"),0,rate_fin_comm)*SUM(AZ1093,AZ1093*AW1093,T1093)</f>
        <v/>
      </c>
      <c r="AJ1093" s="118">
        <f>IFERROR(ROUND(SUM(AB1093,AF1093:AI1093)/E1093,2),0)</f>
        <v/>
      </c>
      <c r="AK1093" s="76">
        <f>AJ1093*E1093</f>
        <v/>
      </c>
      <c r="AL1093" s="174">
        <f>ROUND(IFERROR(AM1093*E1093,0),2)</f>
        <v/>
      </c>
      <c r="AM1093" s="175">
        <f>ROUND(AJ1093*(1+IF(offer_incoterms="DDP",IF((TODAY()+offer_turnaround_time)&gt;=helpsheet!$L$17,rate_vatRU_from_26,rate_vatRu_till_25),0)),2)</f>
        <v/>
      </c>
      <c r="AN1093" s="192">
        <f>AL1093-AK1093</f>
        <v/>
      </c>
      <c r="AO1093" s="76">
        <f>SUM(AY1093,Y1093:Z1093,T1093)*IF(AND(offer_incoterms="DDP",offer_sale_type&lt;&gt;"экспорт"),IF((TODAY()+offer_turnaround_time)&gt;=helpsheet!$L$17,rate_vatRU_from_26,rate_vatRu_till_25),0)</f>
        <v/>
      </c>
      <c r="AP1093" s="193">
        <f>AN1093-AO1093</f>
        <v/>
      </c>
      <c r="AQ1093" s="118">
        <f>IF(offer_sale_type="транзит",SUM(AF1093:AI1093,BA1093,BB1093),0)</f>
        <v/>
      </c>
      <c r="AR1093" s="82">
        <f>HYPERLINK("https://www.alta.ru/tnved/code/")&amp;W1093&amp;"/"</f>
        <v/>
      </c>
      <c r="AS1093" s="157" t="n"/>
      <c r="AT1093" s="162" t="n"/>
      <c r="AU1093" s="76">
        <f>IF(ISBLANK(AT1093),0,AJ1093-AT1093)</f>
        <v/>
      </c>
      <c r="AV1093" s="157" t="n"/>
      <c r="AW1093" s="75">
        <f>_xlfn.IFNA(VLOOKUP(L1093,list_vat[],3,FALSE),0)</f>
        <v/>
      </c>
      <c r="AX1093" s="76">
        <f>IFERROR(ROUND(S1093*(1+AW1093)/E1093,2),0)</f>
        <v/>
      </c>
      <c r="AY1093" s="76">
        <f>E1093*AX1093</f>
        <v/>
      </c>
      <c r="AZ1093" s="192">
        <f>S1093*(1+M1093)</f>
        <v/>
      </c>
      <c r="BA1093" s="76">
        <f>cost_fin_total*$BD1093</f>
        <v/>
      </c>
      <c r="BB1093" s="193">
        <f>credit_sales_interest*BD1093</f>
        <v/>
      </c>
      <c r="BC1093" s="102">
        <f>IFERROR(IF($I$13&gt;0,$I1093/$I$13,$S1093/$S$13),0)</f>
        <v/>
      </c>
      <c r="BD1093" s="102">
        <f>IFERROR($S1093/$S$13,0)</f>
        <v/>
      </c>
      <c r="BE1093" s="413" t="inlineStr">
        <is>
          <t>$</t>
        </is>
      </c>
    </row>
    <row r="1094" ht="12" customFormat="1" customHeight="1" s="65">
      <c r="A1094" s="43" t="n">
        <v>1079</v>
      </c>
      <c r="B1094" s="166" t="n"/>
      <c r="C1094" s="166" t="n"/>
      <c r="D1094" s="166" t="n"/>
      <c r="E1094" s="162" t="n"/>
      <c r="F1094" s="166" t="n"/>
      <c r="G1094" s="162" t="n"/>
      <c r="H1094" s="162" t="n"/>
      <c r="I1094" s="189">
        <f>E1094*G1094</f>
        <v/>
      </c>
      <c r="J1094" s="195" t="n"/>
      <c r="K1094" s="162" t="n"/>
      <c r="L1094" s="168" t="n"/>
      <c r="M1094" s="75">
        <f>_xlfn.XLOOKUP(L1094,list_vat[Страна],list_vat[Ставка НДС %],0,0)</f>
        <v/>
      </c>
      <c r="N1094" s="162">
        <f>IFERROR(IF(L1094="Китай",K1094,K1094/(1+M1094)),0)</f>
        <v/>
      </c>
      <c r="O1094" s="169" t="n"/>
      <c r="P1094" s="76">
        <f>N1094*(1-O1094)</f>
        <v/>
      </c>
      <c r="Q1094" s="162" t="n"/>
      <c r="R1094" s="162">
        <f>IF(ISBLANK(Q1094),"введи курс",P1094/Q1094)</f>
        <v/>
      </c>
      <c r="S1094" s="196">
        <f>IF(AND(ISNUMBER(E1094),ISNUMBER(Q1094)),E1094*R1094,0)</f>
        <v/>
      </c>
      <c r="T1094" s="192">
        <f>$BC1094*V$11</f>
        <v/>
      </c>
      <c r="U1094" s="76">
        <f>$BC1094*W$11</f>
        <v/>
      </c>
      <c r="V1094" s="193">
        <f>+SUM(T1094:U1094)</f>
        <v/>
      </c>
      <c r="W1094" s="191" t="n"/>
      <c r="X1094" s="170" t="n"/>
      <c r="Y1094" s="76">
        <f>ROUND(IF(offer_incoterms="DDP",X1094*(S1094*(1+AW1094)+T1094),0),2)</f>
        <v/>
      </c>
      <c r="Z1094" s="188" t="n"/>
      <c r="AA1094" s="192">
        <f>IFERROR(AB1094/E1094,0)</f>
        <v/>
      </c>
      <c r="AB1094" s="76">
        <f>ROUND(SUM(S1094,V1094,Y1094:Z1094,BA1094:BB1094),2)</f>
        <v/>
      </c>
      <c r="AC1094" s="797" t="n"/>
      <c r="AD1094" s="192">
        <f t="array" ref="AD1094">IFERROR(ROUND((_xlfn.IFS(offer_sale_type="поставка",AB1094,offer_sale_type="транзит",S1094)*(1+AC1094))/E1094,2),0)</f>
        <v/>
      </c>
      <c r="AE1094" s="76">
        <f>AD1094*E1094</f>
        <v/>
      </c>
      <c r="AF1094" s="193">
        <f t="array" ref="AF1094">IFERROR(ROUND(_xlfn.IFS(offer_sale_type="поставка",AB1094,offer_sale_type="транзит",S1094)*AC1094,2),0)</f>
        <v/>
      </c>
      <c r="AG1094" s="192">
        <f>$BD1094*VLOOKUP($AG$3,$AF$4:$AG$7,2,FALSE)</f>
        <v/>
      </c>
      <c r="AH1094" s="76">
        <f>SUM(AE1094,AG1094,AI1094)*rate_forex_risk</f>
        <v/>
      </c>
      <c r="AI1094" s="193">
        <f>IF(OR(seller_region="TR",offer_sale_type="экспорт"),0,rate_fin_comm)*SUM(AZ1094,AZ1094*AW1094,T1094)</f>
        <v/>
      </c>
      <c r="AJ1094" s="118">
        <f>IFERROR(ROUND(SUM(AB1094,AF1094:AI1094)/E1094,2),0)</f>
        <v/>
      </c>
      <c r="AK1094" s="76">
        <f>AJ1094*E1094</f>
        <v/>
      </c>
      <c r="AL1094" s="174">
        <f>ROUND(IFERROR(AM1094*E1094,0),2)</f>
        <v/>
      </c>
      <c r="AM1094" s="175">
        <f>ROUND(AJ1094*(1+IF(offer_incoterms="DDP",IF((TODAY()+offer_turnaround_time)&gt;=helpsheet!$L$17,rate_vatRU_from_26,rate_vatRu_till_25),0)),2)</f>
        <v/>
      </c>
      <c r="AN1094" s="192">
        <f>AL1094-AK1094</f>
        <v/>
      </c>
      <c r="AO1094" s="76">
        <f>SUM(AY1094,Y1094:Z1094,T1094)*IF(AND(offer_incoterms="DDP",offer_sale_type&lt;&gt;"экспорт"),IF((TODAY()+offer_turnaround_time)&gt;=helpsheet!$L$17,rate_vatRU_from_26,rate_vatRu_till_25),0)</f>
        <v/>
      </c>
      <c r="AP1094" s="193">
        <f>AN1094-AO1094</f>
        <v/>
      </c>
      <c r="AQ1094" s="118">
        <f>IF(offer_sale_type="транзит",SUM(AF1094:AI1094,BA1094,BB1094),0)</f>
        <v/>
      </c>
      <c r="AR1094" s="82">
        <f>HYPERLINK("https://www.alta.ru/tnved/code/")&amp;W1094&amp;"/"</f>
        <v/>
      </c>
      <c r="AS1094" s="157" t="n"/>
      <c r="AT1094" s="162" t="n"/>
      <c r="AU1094" s="76">
        <f>IF(ISBLANK(AT1094),0,AJ1094-AT1094)</f>
        <v/>
      </c>
      <c r="AV1094" s="157" t="n"/>
      <c r="AW1094" s="75">
        <f>_xlfn.IFNA(VLOOKUP(L1094,list_vat[],3,FALSE),0)</f>
        <v/>
      </c>
      <c r="AX1094" s="76">
        <f>IFERROR(ROUND(S1094*(1+AW1094)/E1094,2),0)</f>
        <v/>
      </c>
      <c r="AY1094" s="76">
        <f>E1094*AX1094</f>
        <v/>
      </c>
      <c r="AZ1094" s="192">
        <f>S1094*(1+M1094)</f>
        <v/>
      </c>
      <c r="BA1094" s="76">
        <f>cost_fin_total*$BD1094</f>
        <v/>
      </c>
      <c r="BB1094" s="193">
        <f>credit_sales_interest*BD1094</f>
        <v/>
      </c>
      <c r="BC1094" s="102">
        <f>IFERROR(IF($I$13&gt;0,$I1094/$I$13,$S1094/$S$13),0)</f>
        <v/>
      </c>
      <c r="BD1094" s="102">
        <f>IFERROR($S1094/$S$13,0)</f>
        <v/>
      </c>
      <c r="BE1094" s="413" t="inlineStr">
        <is>
          <t>$</t>
        </is>
      </c>
    </row>
    <row r="1095" ht="12" customFormat="1" customHeight="1" s="65">
      <c r="A1095" s="43" t="n">
        <v>1080</v>
      </c>
      <c r="B1095" s="166" t="n"/>
      <c r="C1095" s="166" t="n"/>
      <c r="D1095" s="166" t="n"/>
      <c r="E1095" s="162" t="n"/>
      <c r="F1095" s="166" t="n"/>
      <c r="G1095" s="162" t="n"/>
      <c r="H1095" s="162" t="n"/>
      <c r="I1095" s="189">
        <f>E1095*G1095</f>
        <v/>
      </c>
      <c r="J1095" s="195" t="n"/>
      <c r="K1095" s="162" t="n"/>
      <c r="L1095" s="168" t="n"/>
      <c r="M1095" s="75">
        <f>_xlfn.XLOOKUP(L1095,list_vat[Страна],list_vat[Ставка НДС %],0,0)</f>
        <v/>
      </c>
      <c r="N1095" s="162">
        <f>IFERROR(IF(L1095="Китай",K1095,K1095/(1+M1095)),0)</f>
        <v/>
      </c>
      <c r="O1095" s="169" t="n"/>
      <c r="P1095" s="76">
        <f>N1095*(1-O1095)</f>
        <v/>
      </c>
      <c r="Q1095" s="162" t="n"/>
      <c r="R1095" s="162">
        <f>IF(ISBLANK(Q1095),"введи курс",P1095/Q1095)</f>
        <v/>
      </c>
      <c r="S1095" s="196">
        <f>IF(AND(ISNUMBER(E1095),ISNUMBER(Q1095)),E1095*R1095,0)</f>
        <v/>
      </c>
      <c r="T1095" s="192">
        <f>$BC1095*V$11</f>
        <v/>
      </c>
      <c r="U1095" s="76">
        <f>$BC1095*W$11</f>
        <v/>
      </c>
      <c r="V1095" s="193">
        <f>+SUM(T1095:U1095)</f>
        <v/>
      </c>
      <c r="W1095" s="191" t="n"/>
      <c r="X1095" s="170" t="n"/>
      <c r="Y1095" s="76">
        <f>ROUND(IF(offer_incoterms="DDP",X1095*(S1095*(1+AW1095)+T1095),0),2)</f>
        <v/>
      </c>
      <c r="Z1095" s="188" t="n"/>
      <c r="AA1095" s="192">
        <f>IFERROR(AB1095/E1095,0)</f>
        <v/>
      </c>
      <c r="AB1095" s="76">
        <f>ROUND(SUM(S1095,V1095,Y1095:Z1095,BA1095:BB1095),2)</f>
        <v/>
      </c>
      <c r="AC1095" s="797" t="n"/>
      <c r="AD1095" s="192">
        <f t="array" ref="AD1095">IFERROR(ROUND((_xlfn.IFS(offer_sale_type="поставка",AB1095,offer_sale_type="транзит",S1095)*(1+AC1095))/E1095,2),0)</f>
        <v/>
      </c>
      <c r="AE1095" s="76">
        <f>AD1095*E1095</f>
        <v/>
      </c>
      <c r="AF1095" s="193">
        <f t="array" ref="AF1095">IFERROR(ROUND(_xlfn.IFS(offer_sale_type="поставка",AB1095,offer_sale_type="транзит",S1095)*AC1095,2),0)</f>
        <v/>
      </c>
      <c r="AG1095" s="192">
        <f>$BD1095*VLOOKUP($AG$3,$AF$4:$AG$7,2,FALSE)</f>
        <v/>
      </c>
      <c r="AH1095" s="76">
        <f>SUM(AE1095,AG1095,AI1095)*rate_forex_risk</f>
        <v/>
      </c>
      <c r="AI1095" s="193">
        <f>IF(OR(seller_region="TR",offer_sale_type="экспорт"),0,rate_fin_comm)*SUM(AZ1095,AZ1095*AW1095,T1095)</f>
        <v/>
      </c>
      <c r="AJ1095" s="118">
        <f>IFERROR(ROUND(SUM(AB1095,AF1095:AI1095)/E1095,2),0)</f>
        <v/>
      </c>
      <c r="AK1095" s="76">
        <f>AJ1095*E1095</f>
        <v/>
      </c>
      <c r="AL1095" s="174">
        <f>ROUND(IFERROR(AM1095*E1095,0),2)</f>
        <v/>
      </c>
      <c r="AM1095" s="175">
        <f>ROUND(AJ1095*(1+IF(offer_incoterms="DDP",IF((TODAY()+offer_turnaround_time)&gt;=helpsheet!$L$17,rate_vatRU_from_26,rate_vatRu_till_25),0)),2)</f>
        <v/>
      </c>
      <c r="AN1095" s="192">
        <f>AL1095-AK1095</f>
        <v/>
      </c>
      <c r="AO1095" s="76">
        <f>SUM(AY1095,Y1095:Z1095,T1095)*IF(AND(offer_incoterms="DDP",offer_sale_type&lt;&gt;"экспорт"),IF((TODAY()+offer_turnaround_time)&gt;=helpsheet!$L$17,rate_vatRU_from_26,rate_vatRu_till_25),0)</f>
        <v/>
      </c>
      <c r="AP1095" s="193">
        <f>AN1095-AO1095</f>
        <v/>
      </c>
      <c r="AQ1095" s="118">
        <f>IF(offer_sale_type="транзит",SUM(AF1095:AI1095,BA1095,BB1095),0)</f>
        <v/>
      </c>
      <c r="AR1095" s="82">
        <f>HYPERLINK("https://www.alta.ru/tnved/code/")&amp;W1095&amp;"/"</f>
        <v/>
      </c>
      <c r="AS1095" s="157" t="n"/>
      <c r="AT1095" s="162" t="n"/>
      <c r="AU1095" s="76">
        <f>IF(ISBLANK(AT1095),0,AJ1095-AT1095)</f>
        <v/>
      </c>
      <c r="AV1095" s="157" t="n"/>
      <c r="AW1095" s="75">
        <f>_xlfn.IFNA(VLOOKUP(L1095,list_vat[],3,FALSE),0)</f>
        <v/>
      </c>
      <c r="AX1095" s="76">
        <f>IFERROR(ROUND(S1095*(1+AW1095)/E1095,2),0)</f>
        <v/>
      </c>
      <c r="AY1095" s="76">
        <f>E1095*AX1095</f>
        <v/>
      </c>
      <c r="AZ1095" s="192">
        <f>S1095*(1+M1095)</f>
        <v/>
      </c>
      <c r="BA1095" s="76">
        <f>cost_fin_total*$BD1095</f>
        <v/>
      </c>
      <c r="BB1095" s="193">
        <f>credit_sales_interest*BD1095</f>
        <v/>
      </c>
      <c r="BC1095" s="102">
        <f>IFERROR(IF($I$13&gt;0,$I1095/$I$13,$S1095/$S$13),0)</f>
        <v/>
      </c>
      <c r="BD1095" s="102">
        <f>IFERROR($S1095/$S$13,0)</f>
        <v/>
      </c>
      <c r="BE1095" s="413" t="inlineStr">
        <is>
          <t>$</t>
        </is>
      </c>
    </row>
    <row r="1096" ht="12" customFormat="1" customHeight="1" s="65">
      <c r="A1096" s="43" t="n">
        <v>1081</v>
      </c>
      <c r="B1096" s="166" t="n"/>
      <c r="C1096" s="166" t="n"/>
      <c r="D1096" s="166" t="n"/>
      <c r="E1096" s="162" t="n"/>
      <c r="F1096" s="166" t="n"/>
      <c r="G1096" s="162" t="n"/>
      <c r="H1096" s="162" t="n"/>
      <c r="I1096" s="189">
        <f>E1096*G1096</f>
        <v/>
      </c>
      <c r="J1096" s="195" t="n"/>
      <c r="K1096" s="162" t="n"/>
      <c r="L1096" s="168" t="n"/>
      <c r="M1096" s="75">
        <f>_xlfn.XLOOKUP(L1096,list_vat[Страна],list_vat[Ставка НДС %],0,0)</f>
        <v/>
      </c>
      <c r="N1096" s="162">
        <f>IFERROR(IF(L1096="Китай",K1096,K1096/(1+M1096)),0)</f>
        <v/>
      </c>
      <c r="O1096" s="169" t="n"/>
      <c r="P1096" s="76">
        <f>N1096*(1-O1096)</f>
        <v/>
      </c>
      <c r="Q1096" s="162" t="n"/>
      <c r="R1096" s="162">
        <f>IF(ISBLANK(Q1096),"введи курс",P1096/Q1096)</f>
        <v/>
      </c>
      <c r="S1096" s="196">
        <f>IF(AND(ISNUMBER(E1096),ISNUMBER(Q1096)),E1096*R1096,0)</f>
        <v/>
      </c>
      <c r="T1096" s="192">
        <f>$BC1096*V$11</f>
        <v/>
      </c>
      <c r="U1096" s="76">
        <f>$BC1096*W$11</f>
        <v/>
      </c>
      <c r="V1096" s="193">
        <f>+SUM(T1096:U1096)</f>
        <v/>
      </c>
      <c r="W1096" s="191" t="n"/>
      <c r="X1096" s="170" t="n"/>
      <c r="Y1096" s="76">
        <f>ROUND(IF(offer_incoterms="DDP",X1096*(S1096*(1+AW1096)+T1096),0),2)</f>
        <v/>
      </c>
      <c r="Z1096" s="188" t="n"/>
      <c r="AA1096" s="192">
        <f>IFERROR(AB1096/E1096,0)</f>
        <v/>
      </c>
      <c r="AB1096" s="76">
        <f>ROUND(SUM(S1096,V1096,Y1096:Z1096,BA1096:BB1096),2)</f>
        <v/>
      </c>
      <c r="AC1096" s="797" t="n"/>
      <c r="AD1096" s="192">
        <f t="array" ref="AD1096">IFERROR(ROUND((_xlfn.IFS(offer_sale_type="поставка",AB1096,offer_sale_type="транзит",S1096)*(1+AC1096))/E1096,2),0)</f>
        <v/>
      </c>
      <c r="AE1096" s="76">
        <f>AD1096*E1096</f>
        <v/>
      </c>
      <c r="AF1096" s="193">
        <f t="array" ref="AF1096">IFERROR(ROUND(_xlfn.IFS(offer_sale_type="поставка",AB1096,offer_sale_type="транзит",S1096)*AC1096,2),0)</f>
        <v/>
      </c>
      <c r="AG1096" s="192">
        <f>$BD1096*VLOOKUP($AG$3,$AF$4:$AG$7,2,FALSE)</f>
        <v/>
      </c>
      <c r="AH1096" s="76">
        <f>SUM(AE1096,AG1096,AI1096)*rate_forex_risk</f>
        <v/>
      </c>
      <c r="AI1096" s="193">
        <f>IF(OR(seller_region="TR",offer_sale_type="экспорт"),0,rate_fin_comm)*SUM(AZ1096,AZ1096*AW1096,T1096)</f>
        <v/>
      </c>
      <c r="AJ1096" s="118">
        <f>IFERROR(ROUND(SUM(AB1096,AF1096:AI1096)/E1096,2),0)</f>
        <v/>
      </c>
      <c r="AK1096" s="76">
        <f>AJ1096*E1096</f>
        <v/>
      </c>
      <c r="AL1096" s="174">
        <f>ROUND(IFERROR(AM1096*E1096,0),2)</f>
        <v/>
      </c>
      <c r="AM1096" s="175">
        <f>ROUND(AJ1096*(1+IF(offer_incoterms="DDP",IF((TODAY()+offer_turnaround_time)&gt;=helpsheet!$L$17,rate_vatRU_from_26,rate_vatRu_till_25),0)),2)</f>
        <v/>
      </c>
      <c r="AN1096" s="192">
        <f>AL1096-AK1096</f>
        <v/>
      </c>
      <c r="AO1096" s="76">
        <f>SUM(AY1096,Y1096:Z1096,T1096)*IF(AND(offer_incoterms="DDP",offer_sale_type&lt;&gt;"экспорт"),IF((TODAY()+offer_turnaround_time)&gt;=helpsheet!$L$17,rate_vatRU_from_26,rate_vatRu_till_25),0)</f>
        <v/>
      </c>
      <c r="AP1096" s="193">
        <f>AN1096-AO1096</f>
        <v/>
      </c>
      <c r="AQ1096" s="118">
        <f>IF(offer_sale_type="транзит",SUM(AF1096:AI1096,BA1096,BB1096),0)</f>
        <v/>
      </c>
      <c r="AR1096" s="82">
        <f>HYPERLINK("https://www.alta.ru/tnved/code/")&amp;W1096&amp;"/"</f>
        <v/>
      </c>
      <c r="AS1096" s="157" t="n"/>
      <c r="AT1096" s="162" t="n"/>
      <c r="AU1096" s="76">
        <f>IF(ISBLANK(AT1096),0,AJ1096-AT1096)</f>
        <v/>
      </c>
      <c r="AV1096" s="157" t="n"/>
      <c r="AW1096" s="75">
        <f>_xlfn.IFNA(VLOOKUP(L1096,list_vat[],3,FALSE),0)</f>
        <v/>
      </c>
      <c r="AX1096" s="76">
        <f>IFERROR(ROUND(S1096*(1+AW1096)/E1096,2),0)</f>
        <v/>
      </c>
      <c r="AY1096" s="76">
        <f>E1096*AX1096</f>
        <v/>
      </c>
      <c r="AZ1096" s="192">
        <f>S1096*(1+M1096)</f>
        <v/>
      </c>
      <c r="BA1096" s="76">
        <f>cost_fin_total*$BD1096</f>
        <v/>
      </c>
      <c r="BB1096" s="193">
        <f>credit_sales_interest*BD1096</f>
        <v/>
      </c>
      <c r="BC1096" s="102">
        <f>IFERROR(IF($I$13&gt;0,$I1096/$I$13,$S1096/$S$13),0)</f>
        <v/>
      </c>
      <c r="BD1096" s="102">
        <f>IFERROR($S1096/$S$13,0)</f>
        <v/>
      </c>
      <c r="BE1096" s="413" t="inlineStr">
        <is>
          <t>$</t>
        </is>
      </c>
    </row>
    <row r="1097" ht="12" customFormat="1" customHeight="1" s="65">
      <c r="A1097" s="43" t="n">
        <v>1082</v>
      </c>
      <c r="B1097" s="166" t="n"/>
      <c r="C1097" s="166" t="n"/>
      <c r="D1097" s="166" t="n"/>
      <c r="E1097" s="162" t="n"/>
      <c r="F1097" s="166" t="n"/>
      <c r="G1097" s="162" t="n"/>
      <c r="H1097" s="162" t="n"/>
      <c r="I1097" s="189">
        <f>E1097*G1097</f>
        <v/>
      </c>
      <c r="J1097" s="195" t="n"/>
      <c r="K1097" s="162" t="n"/>
      <c r="L1097" s="168" t="n"/>
      <c r="M1097" s="75">
        <f>_xlfn.XLOOKUP(L1097,list_vat[Страна],list_vat[Ставка НДС %],0,0)</f>
        <v/>
      </c>
      <c r="N1097" s="162">
        <f>IFERROR(IF(L1097="Китай",K1097,K1097/(1+M1097)),0)</f>
        <v/>
      </c>
      <c r="O1097" s="169" t="n"/>
      <c r="P1097" s="76">
        <f>N1097*(1-O1097)</f>
        <v/>
      </c>
      <c r="Q1097" s="162" t="n"/>
      <c r="R1097" s="162">
        <f>IF(ISBLANK(Q1097),"введи курс",P1097/Q1097)</f>
        <v/>
      </c>
      <c r="S1097" s="196">
        <f>IF(AND(ISNUMBER(E1097),ISNUMBER(Q1097)),E1097*R1097,0)</f>
        <v/>
      </c>
      <c r="T1097" s="192">
        <f>$BC1097*V$11</f>
        <v/>
      </c>
      <c r="U1097" s="76">
        <f>$BC1097*W$11</f>
        <v/>
      </c>
      <c r="V1097" s="193">
        <f>+SUM(T1097:U1097)</f>
        <v/>
      </c>
      <c r="W1097" s="191" t="n"/>
      <c r="X1097" s="170" t="n"/>
      <c r="Y1097" s="76">
        <f>ROUND(IF(offer_incoterms="DDP",X1097*(S1097*(1+AW1097)+T1097),0),2)</f>
        <v/>
      </c>
      <c r="Z1097" s="188" t="n"/>
      <c r="AA1097" s="192">
        <f>IFERROR(AB1097/E1097,0)</f>
        <v/>
      </c>
      <c r="AB1097" s="76">
        <f>ROUND(SUM(S1097,V1097,Y1097:Z1097,BA1097:BB1097),2)</f>
        <v/>
      </c>
      <c r="AC1097" s="797" t="n"/>
      <c r="AD1097" s="192">
        <f t="array" ref="AD1097">IFERROR(ROUND((_xlfn.IFS(offer_sale_type="поставка",AB1097,offer_sale_type="транзит",S1097)*(1+AC1097))/E1097,2),0)</f>
        <v/>
      </c>
      <c r="AE1097" s="76">
        <f>AD1097*E1097</f>
        <v/>
      </c>
      <c r="AF1097" s="193">
        <f t="array" ref="AF1097">IFERROR(ROUND(_xlfn.IFS(offer_sale_type="поставка",AB1097,offer_sale_type="транзит",S1097)*AC1097,2),0)</f>
        <v/>
      </c>
      <c r="AG1097" s="192">
        <f>$BD1097*VLOOKUP($AG$3,$AF$4:$AG$7,2,FALSE)</f>
        <v/>
      </c>
      <c r="AH1097" s="76">
        <f>SUM(AE1097,AG1097,AI1097)*rate_forex_risk</f>
        <v/>
      </c>
      <c r="AI1097" s="193">
        <f>IF(OR(seller_region="TR",offer_sale_type="экспорт"),0,rate_fin_comm)*SUM(AZ1097,AZ1097*AW1097,T1097)</f>
        <v/>
      </c>
      <c r="AJ1097" s="118">
        <f>IFERROR(ROUND(SUM(AB1097,AF1097:AI1097)/E1097,2),0)</f>
        <v/>
      </c>
      <c r="AK1097" s="76">
        <f>AJ1097*E1097</f>
        <v/>
      </c>
      <c r="AL1097" s="174">
        <f>ROUND(IFERROR(AM1097*E1097,0),2)</f>
        <v/>
      </c>
      <c r="AM1097" s="175">
        <f>ROUND(AJ1097*(1+IF(offer_incoterms="DDP",IF((TODAY()+offer_turnaround_time)&gt;=helpsheet!$L$17,rate_vatRU_from_26,rate_vatRu_till_25),0)),2)</f>
        <v/>
      </c>
      <c r="AN1097" s="192">
        <f>AL1097-AK1097</f>
        <v/>
      </c>
      <c r="AO1097" s="76">
        <f>SUM(AY1097,Y1097:Z1097,T1097)*IF(AND(offer_incoterms="DDP",offer_sale_type&lt;&gt;"экспорт"),IF((TODAY()+offer_turnaround_time)&gt;=helpsheet!$L$17,rate_vatRU_from_26,rate_vatRu_till_25),0)</f>
        <v/>
      </c>
      <c r="AP1097" s="193">
        <f>AN1097-AO1097</f>
        <v/>
      </c>
      <c r="AQ1097" s="118">
        <f>IF(offer_sale_type="транзит",SUM(AF1097:AI1097,BA1097,BB1097),0)</f>
        <v/>
      </c>
      <c r="AR1097" s="82">
        <f>HYPERLINK("https://www.alta.ru/tnved/code/")&amp;W1097&amp;"/"</f>
        <v/>
      </c>
      <c r="AS1097" s="157" t="n"/>
      <c r="AT1097" s="162" t="n"/>
      <c r="AU1097" s="76">
        <f>IF(ISBLANK(AT1097),0,AJ1097-AT1097)</f>
        <v/>
      </c>
      <c r="AV1097" s="157" t="n"/>
      <c r="AW1097" s="75">
        <f>_xlfn.IFNA(VLOOKUP(L1097,list_vat[],3,FALSE),0)</f>
        <v/>
      </c>
      <c r="AX1097" s="76">
        <f>IFERROR(ROUND(S1097*(1+AW1097)/E1097,2),0)</f>
        <v/>
      </c>
      <c r="AY1097" s="76">
        <f>E1097*AX1097</f>
        <v/>
      </c>
      <c r="AZ1097" s="192">
        <f>S1097*(1+M1097)</f>
        <v/>
      </c>
      <c r="BA1097" s="76">
        <f>cost_fin_total*$BD1097</f>
        <v/>
      </c>
      <c r="BB1097" s="193">
        <f>credit_sales_interest*BD1097</f>
        <v/>
      </c>
      <c r="BC1097" s="102">
        <f>IFERROR(IF($I$13&gt;0,$I1097/$I$13,$S1097/$S$13),0)</f>
        <v/>
      </c>
      <c r="BD1097" s="102">
        <f>IFERROR($S1097/$S$13,0)</f>
        <v/>
      </c>
      <c r="BE1097" s="413" t="inlineStr">
        <is>
          <t>$</t>
        </is>
      </c>
    </row>
    <row r="1098" ht="12" customFormat="1" customHeight="1" s="65">
      <c r="A1098" s="43" t="n">
        <v>1083</v>
      </c>
      <c r="B1098" s="166" t="n"/>
      <c r="C1098" s="166" t="n"/>
      <c r="D1098" s="166" t="n"/>
      <c r="E1098" s="162" t="n"/>
      <c r="F1098" s="166" t="n"/>
      <c r="G1098" s="162" t="n"/>
      <c r="H1098" s="162" t="n"/>
      <c r="I1098" s="189">
        <f>E1098*G1098</f>
        <v/>
      </c>
      <c r="J1098" s="195" t="n"/>
      <c r="K1098" s="162" t="n"/>
      <c r="L1098" s="168" t="n"/>
      <c r="M1098" s="75">
        <f>_xlfn.XLOOKUP(L1098,list_vat[Страна],list_vat[Ставка НДС %],0,0)</f>
        <v/>
      </c>
      <c r="N1098" s="162">
        <f>IFERROR(IF(L1098="Китай",K1098,K1098/(1+M1098)),0)</f>
        <v/>
      </c>
      <c r="O1098" s="169" t="n"/>
      <c r="P1098" s="76">
        <f>N1098*(1-O1098)</f>
        <v/>
      </c>
      <c r="Q1098" s="162" t="n"/>
      <c r="R1098" s="162">
        <f>IF(ISBLANK(Q1098),"введи курс",P1098/Q1098)</f>
        <v/>
      </c>
      <c r="S1098" s="196">
        <f>IF(AND(ISNUMBER(E1098),ISNUMBER(Q1098)),E1098*R1098,0)</f>
        <v/>
      </c>
      <c r="T1098" s="192">
        <f>$BC1098*V$11</f>
        <v/>
      </c>
      <c r="U1098" s="76">
        <f>$BC1098*W$11</f>
        <v/>
      </c>
      <c r="V1098" s="193">
        <f>+SUM(T1098:U1098)</f>
        <v/>
      </c>
      <c r="W1098" s="191" t="n"/>
      <c r="X1098" s="170" t="n"/>
      <c r="Y1098" s="76">
        <f>ROUND(IF(offer_incoterms="DDP",X1098*(S1098*(1+AW1098)+T1098),0),2)</f>
        <v/>
      </c>
      <c r="Z1098" s="188" t="n"/>
      <c r="AA1098" s="192">
        <f>IFERROR(AB1098/E1098,0)</f>
        <v/>
      </c>
      <c r="AB1098" s="76">
        <f>ROUND(SUM(S1098,V1098,Y1098:Z1098,BA1098:BB1098),2)</f>
        <v/>
      </c>
      <c r="AC1098" s="797" t="n"/>
      <c r="AD1098" s="192">
        <f t="array" ref="AD1098">IFERROR(ROUND((_xlfn.IFS(offer_sale_type="поставка",AB1098,offer_sale_type="транзит",S1098)*(1+AC1098))/E1098,2),0)</f>
        <v/>
      </c>
      <c r="AE1098" s="76">
        <f>AD1098*E1098</f>
        <v/>
      </c>
      <c r="AF1098" s="193">
        <f t="array" ref="AF1098">IFERROR(ROUND(_xlfn.IFS(offer_sale_type="поставка",AB1098,offer_sale_type="транзит",S1098)*AC1098,2),0)</f>
        <v/>
      </c>
      <c r="AG1098" s="192">
        <f>$BD1098*VLOOKUP($AG$3,$AF$4:$AG$7,2,FALSE)</f>
        <v/>
      </c>
      <c r="AH1098" s="76">
        <f>SUM(AE1098,AG1098,AI1098)*rate_forex_risk</f>
        <v/>
      </c>
      <c r="AI1098" s="193">
        <f>IF(OR(seller_region="TR",offer_sale_type="экспорт"),0,rate_fin_comm)*SUM(AZ1098,AZ1098*AW1098,T1098)</f>
        <v/>
      </c>
      <c r="AJ1098" s="118">
        <f>IFERROR(ROUND(SUM(AB1098,AF1098:AI1098)/E1098,2),0)</f>
        <v/>
      </c>
      <c r="AK1098" s="76">
        <f>AJ1098*E1098</f>
        <v/>
      </c>
      <c r="AL1098" s="174">
        <f>ROUND(IFERROR(AM1098*E1098,0),2)</f>
        <v/>
      </c>
      <c r="AM1098" s="175">
        <f>ROUND(AJ1098*(1+IF(offer_incoterms="DDP",IF((TODAY()+offer_turnaround_time)&gt;=helpsheet!$L$17,rate_vatRU_from_26,rate_vatRu_till_25),0)),2)</f>
        <v/>
      </c>
      <c r="AN1098" s="192">
        <f>AL1098-AK1098</f>
        <v/>
      </c>
      <c r="AO1098" s="76">
        <f>SUM(AY1098,Y1098:Z1098,T1098)*IF(AND(offer_incoterms="DDP",offer_sale_type&lt;&gt;"экспорт"),IF((TODAY()+offer_turnaround_time)&gt;=helpsheet!$L$17,rate_vatRU_from_26,rate_vatRu_till_25),0)</f>
        <v/>
      </c>
      <c r="AP1098" s="193">
        <f>AN1098-AO1098</f>
        <v/>
      </c>
      <c r="AQ1098" s="118">
        <f>IF(offer_sale_type="транзит",SUM(AF1098:AI1098,BA1098,BB1098),0)</f>
        <v/>
      </c>
      <c r="AR1098" s="82">
        <f>HYPERLINK("https://www.alta.ru/tnved/code/")&amp;W1098&amp;"/"</f>
        <v/>
      </c>
      <c r="AS1098" s="157" t="n"/>
      <c r="AT1098" s="162" t="n"/>
      <c r="AU1098" s="76">
        <f>IF(ISBLANK(AT1098),0,AJ1098-AT1098)</f>
        <v/>
      </c>
      <c r="AV1098" s="157" t="n"/>
      <c r="AW1098" s="75">
        <f>_xlfn.IFNA(VLOOKUP(L1098,list_vat[],3,FALSE),0)</f>
        <v/>
      </c>
      <c r="AX1098" s="76">
        <f>IFERROR(ROUND(S1098*(1+AW1098)/E1098,2),0)</f>
        <v/>
      </c>
      <c r="AY1098" s="76">
        <f>E1098*AX1098</f>
        <v/>
      </c>
      <c r="AZ1098" s="192">
        <f>S1098*(1+M1098)</f>
        <v/>
      </c>
      <c r="BA1098" s="76">
        <f>cost_fin_total*$BD1098</f>
        <v/>
      </c>
      <c r="BB1098" s="193">
        <f>credit_sales_interest*BD1098</f>
        <v/>
      </c>
      <c r="BC1098" s="102">
        <f>IFERROR(IF($I$13&gt;0,$I1098/$I$13,$S1098/$S$13),0)</f>
        <v/>
      </c>
      <c r="BD1098" s="102">
        <f>IFERROR($S1098/$S$13,0)</f>
        <v/>
      </c>
      <c r="BE1098" s="413" t="inlineStr">
        <is>
          <t>$</t>
        </is>
      </c>
    </row>
    <row r="1099" ht="12" customFormat="1" customHeight="1" s="65">
      <c r="A1099" s="43" t="n">
        <v>1084</v>
      </c>
      <c r="B1099" s="166" t="n"/>
      <c r="C1099" s="166" t="n"/>
      <c r="D1099" s="166" t="n"/>
      <c r="E1099" s="162" t="n"/>
      <c r="F1099" s="166" t="n"/>
      <c r="G1099" s="162" t="n"/>
      <c r="H1099" s="162" t="n"/>
      <c r="I1099" s="189">
        <f>E1099*G1099</f>
        <v/>
      </c>
      <c r="J1099" s="195" t="n"/>
      <c r="K1099" s="162" t="n"/>
      <c r="L1099" s="168" t="n"/>
      <c r="M1099" s="75">
        <f>_xlfn.XLOOKUP(L1099,list_vat[Страна],list_vat[Ставка НДС %],0,0)</f>
        <v/>
      </c>
      <c r="N1099" s="162">
        <f>IFERROR(IF(L1099="Китай",K1099,K1099/(1+M1099)),0)</f>
        <v/>
      </c>
      <c r="O1099" s="169" t="n"/>
      <c r="P1099" s="76">
        <f>N1099*(1-O1099)</f>
        <v/>
      </c>
      <c r="Q1099" s="162" t="n"/>
      <c r="R1099" s="162">
        <f>IF(ISBLANK(Q1099),"введи курс",P1099/Q1099)</f>
        <v/>
      </c>
      <c r="S1099" s="196">
        <f>IF(AND(ISNUMBER(E1099),ISNUMBER(Q1099)),E1099*R1099,0)</f>
        <v/>
      </c>
      <c r="T1099" s="192">
        <f>$BC1099*V$11</f>
        <v/>
      </c>
      <c r="U1099" s="76">
        <f>$BC1099*W$11</f>
        <v/>
      </c>
      <c r="V1099" s="193">
        <f>+SUM(T1099:U1099)</f>
        <v/>
      </c>
      <c r="W1099" s="191" t="n"/>
      <c r="X1099" s="170" t="n"/>
      <c r="Y1099" s="76">
        <f>ROUND(IF(offer_incoterms="DDP",X1099*(S1099*(1+AW1099)+T1099),0),2)</f>
        <v/>
      </c>
      <c r="Z1099" s="188" t="n"/>
      <c r="AA1099" s="192">
        <f>IFERROR(AB1099/E1099,0)</f>
        <v/>
      </c>
      <c r="AB1099" s="76">
        <f>ROUND(SUM(S1099,V1099,Y1099:Z1099,BA1099:BB1099),2)</f>
        <v/>
      </c>
      <c r="AC1099" s="797" t="n"/>
      <c r="AD1099" s="192">
        <f t="array" ref="AD1099">IFERROR(ROUND((_xlfn.IFS(offer_sale_type="поставка",AB1099,offer_sale_type="транзит",S1099)*(1+AC1099))/E1099,2),0)</f>
        <v/>
      </c>
      <c r="AE1099" s="76">
        <f>AD1099*E1099</f>
        <v/>
      </c>
      <c r="AF1099" s="193">
        <f t="array" ref="AF1099">IFERROR(ROUND(_xlfn.IFS(offer_sale_type="поставка",AB1099,offer_sale_type="транзит",S1099)*AC1099,2),0)</f>
        <v/>
      </c>
      <c r="AG1099" s="192">
        <f>$BD1099*VLOOKUP($AG$3,$AF$4:$AG$7,2,FALSE)</f>
        <v/>
      </c>
      <c r="AH1099" s="76">
        <f>SUM(AE1099,AG1099,AI1099)*rate_forex_risk</f>
        <v/>
      </c>
      <c r="AI1099" s="193">
        <f>IF(OR(seller_region="TR",offer_sale_type="экспорт"),0,rate_fin_comm)*SUM(AZ1099,AZ1099*AW1099,T1099)</f>
        <v/>
      </c>
      <c r="AJ1099" s="118">
        <f>IFERROR(ROUND(SUM(AB1099,AF1099:AI1099)/E1099,2),0)</f>
        <v/>
      </c>
      <c r="AK1099" s="76">
        <f>AJ1099*E1099</f>
        <v/>
      </c>
      <c r="AL1099" s="174">
        <f>ROUND(IFERROR(AM1099*E1099,0),2)</f>
        <v/>
      </c>
      <c r="AM1099" s="175">
        <f>ROUND(AJ1099*(1+IF(offer_incoterms="DDP",IF((TODAY()+offer_turnaround_time)&gt;=helpsheet!$L$17,rate_vatRU_from_26,rate_vatRu_till_25),0)),2)</f>
        <v/>
      </c>
      <c r="AN1099" s="192">
        <f>AL1099-AK1099</f>
        <v/>
      </c>
      <c r="AO1099" s="76">
        <f>SUM(AY1099,Y1099:Z1099,T1099)*IF(AND(offer_incoterms="DDP",offer_sale_type&lt;&gt;"экспорт"),IF((TODAY()+offer_turnaround_time)&gt;=helpsheet!$L$17,rate_vatRU_from_26,rate_vatRu_till_25),0)</f>
        <v/>
      </c>
      <c r="AP1099" s="193">
        <f>AN1099-AO1099</f>
        <v/>
      </c>
      <c r="AQ1099" s="118">
        <f>IF(offer_sale_type="транзит",SUM(AF1099:AI1099,BA1099,BB1099),0)</f>
        <v/>
      </c>
      <c r="AR1099" s="82">
        <f>HYPERLINK("https://www.alta.ru/tnved/code/")&amp;W1099&amp;"/"</f>
        <v/>
      </c>
      <c r="AS1099" s="157" t="n"/>
      <c r="AT1099" s="162" t="n"/>
      <c r="AU1099" s="76">
        <f>IF(ISBLANK(AT1099),0,AJ1099-AT1099)</f>
        <v/>
      </c>
      <c r="AV1099" s="157" t="n"/>
      <c r="AW1099" s="75">
        <f>_xlfn.IFNA(VLOOKUP(L1099,list_vat[],3,FALSE),0)</f>
        <v/>
      </c>
      <c r="AX1099" s="76">
        <f>IFERROR(ROUND(S1099*(1+AW1099)/E1099,2),0)</f>
        <v/>
      </c>
      <c r="AY1099" s="76">
        <f>E1099*AX1099</f>
        <v/>
      </c>
      <c r="AZ1099" s="192">
        <f>S1099*(1+M1099)</f>
        <v/>
      </c>
      <c r="BA1099" s="76">
        <f>cost_fin_total*$BD1099</f>
        <v/>
      </c>
      <c r="BB1099" s="193">
        <f>credit_sales_interest*BD1099</f>
        <v/>
      </c>
      <c r="BC1099" s="102">
        <f>IFERROR(IF($I$13&gt;0,$I1099/$I$13,$S1099/$S$13),0)</f>
        <v/>
      </c>
      <c r="BD1099" s="102">
        <f>IFERROR($S1099/$S$13,0)</f>
        <v/>
      </c>
      <c r="BE1099" s="413" t="inlineStr">
        <is>
          <t>$</t>
        </is>
      </c>
    </row>
    <row r="1100" ht="12" customFormat="1" customHeight="1" s="65">
      <c r="A1100" s="43" t="n">
        <v>1085</v>
      </c>
      <c r="B1100" s="166" t="n"/>
      <c r="C1100" s="166" t="n"/>
      <c r="D1100" s="166" t="n"/>
      <c r="E1100" s="162" t="n"/>
      <c r="F1100" s="166" t="n"/>
      <c r="G1100" s="162" t="n"/>
      <c r="H1100" s="162" t="n"/>
      <c r="I1100" s="189">
        <f>E1100*G1100</f>
        <v/>
      </c>
      <c r="J1100" s="195" t="n"/>
      <c r="K1100" s="162" t="n"/>
      <c r="L1100" s="168" t="n"/>
      <c r="M1100" s="75">
        <f>_xlfn.XLOOKUP(L1100,list_vat[Страна],list_vat[Ставка НДС %],0,0)</f>
        <v/>
      </c>
      <c r="N1100" s="162">
        <f>IFERROR(IF(L1100="Китай",K1100,K1100/(1+M1100)),0)</f>
        <v/>
      </c>
      <c r="O1100" s="169" t="n"/>
      <c r="P1100" s="76">
        <f>N1100*(1-O1100)</f>
        <v/>
      </c>
      <c r="Q1100" s="162" t="n"/>
      <c r="R1100" s="162">
        <f>IF(ISBLANK(Q1100),"введи курс",P1100/Q1100)</f>
        <v/>
      </c>
      <c r="S1100" s="196">
        <f>IF(AND(ISNUMBER(E1100),ISNUMBER(Q1100)),E1100*R1100,0)</f>
        <v/>
      </c>
      <c r="T1100" s="192">
        <f>$BC1100*V$11</f>
        <v/>
      </c>
      <c r="U1100" s="76">
        <f>$BC1100*W$11</f>
        <v/>
      </c>
      <c r="V1100" s="193">
        <f>+SUM(T1100:U1100)</f>
        <v/>
      </c>
      <c r="W1100" s="191" t="n"/>
      <c r="X1100" s="170" t="n"/>
      <c r="Y1100" s="76">
        <f>ROUND(IF(offer_incoterms="DDP",X1100*(S1100*(1+AW1100)+T1100),0),2)</f>
        <v/>
      </c>
      <c r="Z1100" s="188" t="n"/>
      <c r="AA1100" s="192">
        <f>IFERROR(AB1100/E1100,0)</f>
        <v/>
      </c>
      <c r="AB1100" s="76">
        <f>ROUND(SUM(S1100,V1100,Y1100:Z1100,BA1100:BB1100),2)</f>
        <v/>
      </c>
      <c r="AC1100" s="797" t="n"/>
      <c r="AD1100" s="192">
        <f t="array" ref="AD1100">IFERROR(ROUND((_xlfn.IFS(offer_sale_type="поставка",AB1100,offer_sale_type="транзит",S1100)*(1+AC1100))/E1100,2),0)</f>
        <v/>
      </c>
      <c r="AE1100" s="76">
        <f>AD1100*E1100</f>
        <v/>
      </c>
      <c r="AF1100" s="193">
        <f t="array" ref="AF1100">IFERROR(ROUND(_xlfn.IFS(offer_sale_type="поставка",AB1100,offer_sale_type="транзит",S1100)*AC1100,2),0)</f>
        <v/>
      </c>
      <c r="AG1100" s="192">
        <f>$BD1100*VLOOKUP($AG$3,$AF$4:$AG$7,2,FALSE)</f>
        <v/>
      </c>
      <c r="AH1100" s="76">
        <f>SUM(AE1100,AG1100,AI1100)*rate_forex_risk</f>
        <v/>
      </c>
      <c r="AI1100" s="193">
        <f>IF(OR(seller_region="TR",offer_sale_type="экспорт"),0,rate_fin_comm)*SUM(AZ1100,AZ1100*AW1100,T1100)</f>
        <v/>
      </c>
      <c r="AJ1100" s="118">
        <f>IFERROR(ROUND(SUM(AB1100,AF1100:AI1100)/E1100,2),0)</f>
        <v/>
      </c>
      <c r="AK1100" s="76">
        <f>AJ1100*E1100</f>
        <v/>
      </c>
      <c r="AL1100" s="174">
        <f>ROUND(IFERROR(AM1100*E1100,0),2)</f>
        <v/>
      </c>
      <c r="AM1100" s="175">
        <f>ROUND(AJ1100*(1+IF(offer_incoterms="DDP",IF((TODAY()+offer_turnaround_time)&gt;=helpsheet!$L$17,rate_vatRU_from_26,rate_vatRu_till_25),0)),2)</f>
        <v/>
      </c>
      <c r="AN1100" s="192">
        <f>AL1100-AK1100</f>
        <v/>
      </c>
      <c r="AO1100" s="76">
        <f>SUM(AY1100,Y1100:Z1100,T1100)*IF(AND(offer_incoterms="DDP",offer_sale_type&lt;&gt;"экспорт"),IF((TODAY()+offer_turnaround_time)&gt;=helpsheet!$L$17,rate_vatRU_from_26,rate_vatRu_till_25),0)</f>
        <v/>
      </c>
      <c r="AP1100" s="193">
        <f>AN1100-AO1100</f>
        <v/>
      </c>
      <c r="AQ1100" s="118">
        <f>IF(offer_sale_type="транзит",SUM(AF1100:AI1100,BA1100,BB1100),0)</f>
        <v/>
      </c>
      <c r="AR1100" s="82">
        <f>HYPERLINK("https://www.alta.ru/tnved/code/")&amp;W1100&amp;"/"</f>
        <v/>
      </c>
      <c r="AS1100" s="157" t="n"/>
      <c r="AT1100" s="162" t="n"/>
      <c r="AU1100" s="76">
        <f>IF(ISBLANK(AT1100),0,AJ1100-AT1100)</f>
        <v/>
      </c>
      <c r="AV1100" s="157" t="n"/>
      <c r="AW1100" s="75">
        <f>_xlfn.IFNA(VLOOKUP(L1100,list_vat[],3,FALSE),0)</f>
        <v/>
      </c>
      <c r="AX1100" s="76">
        <f>IFERROR(ROUND(S1100*(1+AW1100)/E1100,2),0)</f>
        <v/>
      </c>
      <c r="AY1100" s="76">
        <f>E1100*AX1100</f>
        <v/>
      </c>
      <c r="AZ1100" s="192">
        <f>S1100*(1+M1100)</f>
        <v/>
      </c>
      <c r="BA1100" s="76">
        <f>cost_fin_total*$BD1100</f>
        <v/>
      </c>
      <c r="BB1100" s="193">
        <f>credit_sales_interest*BD1100</f>
        <v/>
      </c>
      <c r="BC1100" s="102">
        <f>IFERROR(IF($I$13&gt;0,$I1100/$I$13,$S1100/$S$13),0)</f>
        <v/>
      </c>
      <c r="BD1100" s="102">
        <f>IFERROR($S1100/$S$13,0)</f>
        <v/>
      </c>
      <c r="BE1100" s="413" t="inlineStr">
        <is>
          <t>$</t>
        </is>
      </c>
    </row>
    <row r="1101" ht="12" customFormat="1" customHeight="1" s="65">
      <c r="A1101" s="43" t="n">
        <v>1086</v>
      </c>
      <c r="B1101" s="166" t="n"/>
      <c r="C1101" s="166" t="n"/>
      <c r="D1101" s="166" t="n"/>
      <c r="E1101" s="162" t="n"/>
      <c r="F1101" s="166" t="n"/>
      <c r="G1101" s="162" t="n"/>
      <c r="H1101" s="162" t="n"/>
      <c r="I1101" s="189">
        <f>E1101*G1101</f>
        <v/>
      </c>
      <c r="J1101" s="195" t="n"/>
      <c r="K1101" s="162" t="n"/>
      <c r="L1101" s="168" t="n"/>
      <c r="M1101" s="75">
        <f>_xlfn.XLOOKUP(L1101,list_vat[Страна],list_vat[Ставка НДС %],0,0)</f>
        <v/>
      </c>
      <c r="N1101" s="162">
        <f>IFERROR(IF(L1101="Китай",K1101,K1101/(1+M1101)),0)</f>
        <v/>
      </c>
      <c r="O1101" s="169" t="n"/>
      <c r="P1101" s="76">
        <f>N1101*(1-O1101)</f>
        <v/>
      </c>
      <c r="Q1101" s="162" t="n"/>
      <c r="R1101" s="162">
        <f>IF(ISBLANK(Q1101),"введи курс",P1101/Q1101)</f>
        <v/>
      </c>
      <c r="S1101" s="196">
        <f>IF(AND(ISNUMBER(E1101),ISNUMBER(Q1101)),E1101*R1101,0)</f>
        <v/>
      </c>
      <c r="T1101" s="192">
        <f>$BC1101*V$11</f>
        <v/>
      </c>
      <c r="U1101" s="76">
        <f>$BC1101*W$11</f>
        <v/>
      </c>
      <c r="V1101" s="193">
        <f>+SUM(T1101:U1101)</f>
        <v/>
      </c>
      <c r="W1101" s="191" t="n"/>
      <c r="X1101" s="170" t="n"/>
      <c r="Y1101" s="76">
        <f>ROUND(IF(offer_incoterms="DDP",X1101*(S1101*(1+AW1101)+T1101),0),2)</f>
        <v/>
      </c>
      <c r="Z1101" s="188" t="n"/>
      <c r="AA1101" s="192">
        <f>IFERROR(AB1101/E1101,0)</f>
        <v/>
      </c>
      <c r="AB1101" s="76">
        <f>ROUND(SUM(S1101,V1101,Y1101:Z1101,BA1101:BB1101),2)</f>
        <v/>
      </c>
      <c r="AC1101" s="797" t="n"/>
      <c r="AD1101" s="192">
        <f t="array" ref="AD1101">IFERROR(ROUND((_xlfn.IFS(offer_sale_type="поставка",AB1101,offer_sale_type="транзит",S1101)*(1+AC1101))/E1101,2),0)</f>
        <v/>
      </c>
      <c r="AE1101" s="76">
        <f>AD1101*E1101</f>
        <v/>
      </c>
      <c r="AF1101" s="193">
        <f t="array" ref="AF1101">IFERROR(ROUND(_xlfn.IFS(offer_sale_type="поставка",AB1101,offer_sale_type="транзит",S1101)*AC1101,2),0)</f>
        <v/>
      </c>
      <c r="AG1101" s="192">
        <f>$BD1101*VLOOKUP($AG$3,$AF$4:$AG$7,2,FALSE)</f>
        <v/>
      </c>
      <c r="AH1101" s="76">
        <f>SUM(AE1101,AG1101,AI1101)*rate_forex_risk</f>
        <v/>
      </c>
      <c r="AI1101" s="193">
        <f>IF(OR(seller_region="TR",offer_sale_type="экспорт"),0,rate_fin_comm)*SUM(AZ1101,AZ1101*AW1101,T1101)</f>
        <v/>
      </c>
      <c r="AJ1101" s="118">
        <f>IFERROR(ROUND(SUM(AB1101,AF1101:AI1101)/E1101,2),0)</f>
        <v/>
      </c>
      <c r="AK1101" s="76">
        <f>AJ1101*E1101</f>
        <v/>
      </c>
      <c r="AL1101" s="174">
        <f>ROUND(IFERROR(AM1101*E1101,0),2)</f>
        <v/>
      </c>
      <c r="AM1101" s="175">
        <f>ROUND(AJ1101*(1+IF(offer_incoterms="DDP",IF((TODAY()+offer_turnaround_time)&gt;=helpsheet!$L$17,rate_vatRU_from_26,rate_vatRu_till_25),0)),2)</f>
        <v/>
      </c>
      <c r="AN1101" s="192">
        <f>AL1101-AK1101</f>
        <v/>
      </c>
      <c r="AO1101" s="76">
        <f>SUM(AY1101,Y1101:Z1101,T1101)*IF(AND(offer_incoterms="DDP",offer_sale_type&lt;&gt;"экспорт"),IF((TODAY()+offer_turnaround_time)&gt;=helpsheet!$L$17,rate_vatRU_from_26,rate_vatRu_till_25),0)</f>
        <v/>
      </c>
      <c r="AP1101" s="193">
        <f>AN1101-AO1101</f>
        <v/>
      </c>
      <c r="AQ1101" s="118">
        <f>IF(offer_sale_type="транзит",SUM(AF1101:AI1101,BA1101,BB1101),0)</f>
        <v/>
      </c>
      <c r="AR1101" s="82">
        <f>HYPERLINK("https://www.alta.ru/tnved/code/")&amp;W1101&amp;"/"</f>
        <v/>
      </c>
      <c r="AS1101" s="157" t="n"/>
      <c r="AT1101" s="162" t="n"/>
      <c r="AU1101" s="76">
        <f>IF(ISBLANK(AT1101),0,AJ1101-AT1101)</f>
        <v/>
      </c>
      <c r="AV1101" s="157" t="n"/>
      <c r="AW1101" s="75">
        <f>_xlfn.IFNA(VLOOKUP(L1101,list_vat[],3,FALSE),0)</f>
        <v/>
      </c>
      <c r="AX1101" s="76">
        <f>IFERROR(ROUND(S1101*(1+AW1101)/E1101,2),0)</f>
        <v/>
      </c>
      <c r="AY1101" s="76">
        <f>E1101*AX1101</f>
        <v/>
      </c>
      <c r="AZ1101" s="192">
        <f>S1101*(1+M1101)</f>
        <v/>
      </c>
      <c r="BA1101" s="76">
        <f>cost_fin_total*$BD1101</f>
        <v/>
      </c>
      <c r="BB1101" s="193">
        <f>credit_sales_interest*BD1101</f>
        <v/>
      </c>
      <c r="BC1101" s="102">
        <f>IFERROR(IF($I$13&gt;0,$I1101/$I$13,$S1101/$S$13),0)</f>
        <v/>
      </c>
      <c r="BD1101" s="102">
        <f>IFERROR($S1101/$S$13,0)</f>
        <v/>
      </c>
      <c r="BE1101" s="413" t="inlineStr">
        <is>
          <t>$</t>
        </is>
      </c>
    </row>
    <row r="1102" ht="12" customFormat="1" customHeight="1" s="65">
      <c r="A1102" s="43" t="n">
        <v>1087</v>
      </c>
      <c r="B1102" s="166" t="n"/>
      <c r="C1102" s="166" t="n"/>
      <c r="D1102" s="166" t="n"/>
      <c r="E1102" s="162" t="n"/>
      <c r="F1102" s="166" t="n"/>
      <c r="G1102" s="162" t="n"/>
      <c r="H1102" s="162" t="n"/>
      <c r="I1102" s="189">
        <f>E1102*G1102</f>
        <v/>
      </c>
      <c r="J1102" s="195" t="n"/>
      <c r="K1102" s="162" t="n"/>
      <c r="L1102" s="168" t="n"/>
      <c r="M1102" s="75">
        <f>_xlfn.XLOOKUP(L1102,list_vat[Страна],list_vat[Ставка НДС %],0,0)</f>
        <v/>
      </c>
      <c r="N1102" s="162">
        <f>IFERROR(IF(L1102="Китай",K1102,K1102/(1+M1102)),0)</f>
        <v/>
      </c>
      <c r="O1102" s="169" t="n"/>
      <c r="P1102" s="76">
        <f>N1102*(1-O1102)</f>
        <v/>
      </c>
      <c r="Q1102" s="162" t="n"/>
      <c r="R1102" s="162">
        <f>IF(ISBLANK(Q1102),"введи курс",P1102/Q1102)</f>
        <v/>
      </c>
      <c r="S1102" s="196">
        <f>IF(AND(ISNUMBER(E1102),ISNUMBER(Q1102)),E1102*R1102,0)</f>
        <v/>
      </c>
      <c r="T1102" s="192">
        <f>$BC1102*V$11</f>
        <v/>
      </c>
      <c r="U1102" s="76">
        <f>$BC1102*W$11</f>
        <v/>
      </c>
      <c r="V1102" s="193">
        <f>+SUM(T1102:U1102)</f>
        <v/>
      </c>
      <c r="W1102" s="191" t="n"/>
      <c r="X1102" s="170" t="n"/>
      <c r="Y1102" s="76">
        <f>ROUND(IF(offer_incoterms="DDP",X1102*(S1102*(1+AW1102)+T1102),0),2)</f>
        <v/>
      </c>
      <c r="Z1102" s="188" t="n"/>
      <c r="AA1102" s="192">
        <f>IFERROR(AB1102/E1102,0)</f>
        <v/>
      </c>
      <c r="AB1102" s="76">
        <f>ROUND(SUM(S1102,V1102,Y1102:Z1102,BA1102:BB1102),2)</f>
        <v/>
      </c>
      <c r="AC1102" s="797" t="n"/>
      <c r="AD1102" s="192">
        <f t="array" ref="AD1102">IFERROR(ROUND((_xlfn.IFS(offer_sale_type="поставка",AB1102,offer_sale_type="транзит",S1102)*(1+AC1102))/E1102,2),0)</f>
        <v/>
      </c>
      <c r="AE1102" s="76">
        <f>AD1102*E1102</f>
        <v/>
      </c>
      <c r="AF1102" s="193">
        <f t="array" ref="AF1102">IFERROR(ROUND(_xlfn.IFS(offer_sale_type="поставка",AB1102,offer_sale_type="транзит",S1102)*AC1102,2),0)</f>
        <v/>
      </c>
      <c r="AG1102" s="192">
        <f>$BD1102*VLOOKUP($AG$3,$AF$4:$AG$7,2,FALSE)</f>
        <v/>
      </c>
      <c r="AH1102" s="76">
        <f>SUM(AE1102,AG1102,AI1102)*rate_forex_risk</f>
        <v/>
      </c>
      <c r="AI1102" s="193">
        <f>IF(OR(seller_region="TR",offer_sale_type="экспорт"),0,rate_fin_comm)*SUM(AZ1102,AZ1102*AW1102,T1102)</f>
        <v/>
      </c>
      <c r="AJ1102" s="118">
        <f>IFERROR(ROUND(SUM(AB1102,AF1102:AI1102)/E1102,2),0)</f>
        <v/>
      </c>
      <c r="AK1102" s="76">
        <f>AJ1102*E1102</f>
        <v/>
      </c>
      <c r="AL1102" s="174">
        <f>ROUND(IFERROR(AM1102*E1102,0),2)</f>
        <v/>
      </c>
      <c r="AM1102" s="175">
        <f>ROUND(AJ1102*(1+IF(offer_incoterms="DDP",IF((TODAY()+offer_turnaround_time)&gt;=helpsheet!$L$17,rate_vatRU_from_26,rate_vatRu_till_25),0)),2)</f>
        <v/>
      </c>
      <c r="AN1102" s="192">
        <f>AL1102-AK1102</f>
        <v/>
      </c>
      <c r="AO1102" s="76">
        <f>SUM(AY1102,Y1102:Z1102,T1102)*IF(AND(offer_incoterms="DDP",offer_sale_type&lt;&gt;"экспорт"),IF((TODAY()+offer_turnaround_time)&gt;=helpsheet!$L$17,rate_vatRU_from_26,rate_vatRu_till_25),0)</f>
        <v/>
      </c>
      <c r="AP1102" s="193">
        <f>AN1102-AO1102</f>
        <v/>
      </c>
      <c r="AQ1102" s="118">
        <f>IF(offer_sale_type="транзит",SUM(AF1102:AI1102,BA1102,BB1102),0)</f>
        <v/>
      </c>
      <c r="AR1102" s="82">
        <f>HYPERLINK("https://www.alta.ru/tnved/code/")&amp;W1102&amp;"/"</f>
        <v/>
      </c>
      <c r="AS1102" s="157" t="n"/>
      <c r="AT1102" s="162" t="n"/>
      <c r="AU1102" s="76">
        <f>IF(ISBLANK(AT1102),0,AJ1102-AT1102)</f>
        <v/>
      </c>
      <c r="AV1102" s="157" t="n"/>
      <c r="AW1102" s="75">
        <f>_xlfn.IFNA(VLOOKUP(L1102,list_vat[],3,FALSE),0)</f>
        <v/>
      </c>
      <c r="AX1102" s="76">
        <f>IFERROR(ROUND(S1102*(1+AW1102)/E1102,2),0)</f>
        <v/>
      </c>
      <c r="AY1102" s="76">
        <f>E1102*AX1102</f>
        <v/>
      </c>
      <c r="AZ1102" s="192">
        <f>S1102*(1+M1102)</f>
        <v/>
      </c>
      <c r="BA1102" s="76">
        <f>cost_fin_total*$BD1102</f>
        <v/>
      </c>
      <c r="BB1102" s="193">
        <f>credit_sales_interest*BD1102</f>
        <v/>
      </c>
      <c r="BC1102" s="102">
        <f>IFERROR(IF($I$13&gt;0,$I1102/$I$13,$S1102/$S$13),0)</f>
        <v/>
      </c>
      <c r="BD1102" s="102">
        <f>IFERROR($S1102/$S$13,0)</f>
        <v/>
      </c>
      <c r="BE1102" s="413" t="inlineStr">
        <is>
          <t>$</t>
        </is>
      </c>
    </row>
    <row r="1103" ht="12" customFormat="1" customHeight="1" s="65">
      <c r="A1103" s="43" t="n">
        <v>1088</v>
      </c>
      <c r="B1103" s="166" t="n"/>
      <c r="C1103" s="166" t="n"/>
      <c r="D1103" s="166" t="n"/>
      <c r="E1103" s="162" t="n"/>
      <c r="F1103" s="166" t="n"/>
      <c r="G1103" s="162" t="n"/>
      <c r="H1103" s="162" t="n"/>
      <c r="I1103" s="189">
        <f>E1103*G1103</f>
        <v/>
      </c>
      <c r="J1103" s="195" t="n"/>
      <c r="K1103" s="162" t="n"/>
      <c r="L1103" s="168" t="n"/>
      <c r="M1103" s="75">
        <f>_xlfn.XLOOKUP(L1103,list_vat[Страна],list_vat[Ставка НДС %],0,0)</f>
        <v/>
      </c>
      <c r="N1103" s="162">
        <f>IFERROR(IF(L1103="Китай",K1103,K1103/(1+M1103)),0)</f>
        <v/>
      </c>
      <c r="O1103" s="169" t="n"/>
      <c r="P1103" s="76">
        <f>N1103*(1-O1103)</f>
        <v/>
      </c>
      <c r="Q1103" s="162" t="n"/>
      <c r="R1103" s="162">
        <f>IF(ISBLANK(Q1103),"введи курс",P1103/Q1103)</f>
        <v/>
      </c>
      <c r="S1103" s="196">
        <f>IF(AND(ISNUMBER(E1103),ISNUMBER(Q1103)),E1103*R1103,0)</f>
        <v/>
      </c>
      <c r="T1103" s="192">
        <f>$BC1103*V$11</f>
        <v/>
      </c>
      <c r="U1103" s="76">
        <f>$BC1103*W$11</f>
        <v/>
      </c>
      <c r="V1103" s="193">
        <f>+SUM(T1103:U1103)</f>
        <v/>
      </c>
      <c r="W1103" s="191" t="n"/>
      <c r="X1103" s="170" t="n"/>
      <c r="Y1103" s="76">
        <f>ROUND(IF(offer_incoterms="DDP",X1103*(S1103*(1+AW1103)+T1103),0),2)</f>
        <v/>
      </c>
      <c r="Z1103" s="188" t="n"/>
      <c r="AA1103" s="192">
        <f>IFERROR(AB1103/E1103,0)</f>
        <v/>
      </c>
      <c r="AB1103" s="76">
        <f>ROUND(SUM(S1103,V1103,Y1103:Z1103,BA1103:BB1103),2)</f>
        <v/>
      </c>
      <c r="AC1103" s="797" t="n"/>
      <c r="AD1103" s="192">
        <f t="array" ref="AD1103">IFERROR(ROUND((_xlfn.IFS(offer_sale_type="поставка",AB1103,offer_sale_type="транзит",S1103)*(1+AC1103))/E1103,2),0)</f>
        <v/>
      </c>
      <c r="AE1103" s="76">
        <f>AD1103*E1103</f>
        <v/>
      </c>
      <c r="AF1103" s="193">
        <f t="array" ref="AF1103">IFERROR(ROUND(_xlfn.IFS(offer_sale_type="поставка",AB1103,offer_sale_type="транзит",S1103)*AC1103,2),0)</f>
        <v/>
      </c>
      <c r="AG1103" s="192">
        <f>$BD1103*VLOOKUP($AG$3,$AF$4:$AG$7,2,FALSE)</f>
        <v/>
      </c>
      <c r="AH1103" s="76">
        <f>SUM(AE1103,AG1103,AI1103)*rate_forex_risk</f>
        <v/>
      </c>
      <c r="AI1103" s="193">
        <f>IF(OR(seller_region="TR",offer_sale_type="экспорт"),0,rate_fin_comm)*SUM(AZ1103,AZ1103*AW1103,T1103)</f>
        <v/>
      </c>
      <c r="AJ1103" s="118">
        <f>IFERROR(ROUND(SUM(AB1103,AF1103:AI1103)/E1103,2),0)</f>
        <v/>
      </c>
      <c r="AK1103" s="76">
        <f>AJ1103*E1103</f>
        <v/>
      </c>
      <c r="AL1103" s="174">
        <f>ROUND(IFERROR(AM1103*E1103,0),2)</f>
        <v/>
      </c>
      <c r="AM1103" s="175">
        <f>ROUND(AJ1103*(1+IF(offer_incoterms="DDP",IF((TODAY()+offer_turnaround_time)&gt;=helpsheet!$L$17,rate_vatRU_from_26,rate_vatRu_till_25),0)),2)</f>
        <v/>
      </c>
      <c r="AN1103" s="192">
        <f>AL1103-AK1103</f>
        <v/>
      </c>
      <c r="AO1103" s="76">
        <f>SUM(AY1103,Y1103:Z1103,T1103)*IF(AND(offer_incoterms="DDP",offer_sale_type&lt;&gt;"экспорт"),IF((TODAY()+offer_turnaround_time)&gt;=helpsheet!$L$17,rate_vatRU_from_26,rate_vatRu_till_25),0)</f>
        <v/>
      </c>
      <c r="AP1103" s="193">
        <f>AN1103-AO1103</f>
        <v/>
      </c>
      <c r="AQ1103" s="118">
        <f>IF(offer_sale_type="транзит",SUM(AF1103:AI1103,BA1103,BB1103),0)</f>
        <v/>
      </c>
      <c r="AR1103" s="82">
        <f>HYPERLINK("https://www.alta.ru/tnved/code/")&amp;W1103&amp;"/"</f>
        <v/>
      </c>
      <c r="AS1103" s="157" t="n"/>
      <c r="AT1103" s="162" t="n"/>
      <c r="AU1103" s="76">
        <f>IF(ISBLANK(AT1103),0,AJ1103-AT1103)</f>
        <v/>
      </c>
      <c r="AV1103" s="157" t="n"/>
      <c r="AW1103" s="75">
        <f>_xlfn.IFNA(VLOOKUP(L1103,list_vat[],3,FALSE),0)</f>
        <v/>
      </c>
      <c r="AX1103" s="76">
        <f>IFERROR(ROUND(S1103*(1+AW1103)/E1103,2),0)</f>
        <v/>
      </c>
      <c r="AY1103" s="76">
        <f>E1103*AX1103</f>
        <v/>
      </c>
      <c r="AZ1103" s="192">
        <f>S1103*(1+M1103)</f>
        <v/>
      </c>
      <c r="BA1103" s="76">
        <f>cost_fin_total*$BD1103</f>
        <v/>
      </c>
      <c r="BB1103" s="193">
        <f>credit_sales_interest*BD1103</f>
        <v/>
      </c>
      <c r="BC1103" s="102">
        <f>IFERROR(IF($I$13&gt;0,$I1103/$I$13,$S1103/$S$13),0)</f>
        <v/>
      </c>
      <c r="BD1103" s="102">
        <f>IFERROR($S1103/$S$13,0)</f>
        <v/>
      </c>
      <c r="BE1103" s="413" t="inlineStr">
        <is>
          <t>$</t>
        </is>
      </c>
    </row>
    <row r="1104" ht="12" customFormat="1" customHeight="1" s="65">
      <c r="A1104" s="43" t="n">
        <v>1089</v>
      </c>
      <c r="B1104" s="166" t="n"/>
      <c r="C1104" s="166" t="n"/>
      <c r="D1104" s="166" t="n"/>
      <c r="E1104" s="162" t="n"/>
      <c r="F1104" s="166" t="n"/>
      <c r="G1104" s="162" t="n"/>
      <c r="H1104" s="162" t="n"/>
      <c r="I1104" s="189">
        <f>E1104*G1104</f>
        <v/>
      </c>
      <c r="J1104" s="195" t="n"/>
      <c r="K1104" s="162" t="n"/>
      <c r="L1104" s="168" t="n"/>
      <c r="M1104" s="75">
        <f>_xlfn.XLOOKUP(L1104,list_vat[Страна],list_vat[Ставка НДС %],0,0)</f>
        <v/>
      </c>
      <c r="N1104" s="162">
        <f>IFERROR(IF(L1104="Китай",K1104,K1104/(1+M1104)),0)</f>
        <v/>
      </c>
      <c r="O1104" s="169" t="n"/>
      <c r="P1104" s="76">
        <f>N1104*(1-O1104)</f>
        <v/>
      </c>
      <c r="Q1104" s="162" t="n"/>
      <c r="R1104" s="162">
        <f>IF(ISBLANK(Q1104),"введи курс",P1104/Q1104)</f>
        <v/>
      </c>
      <c r="S1104" s="196">
        <f>IF(AND(ISNUMBER(E1104),ISNUMBER(Q1104)),E1104*R1104,0)</f>
        <v/>
      </c>
      <c r="T1104" s="192">
        <f>$BC1104*V$11</f>
        <v/>
      </c>
      <c r="U1104" s="76">
        <f>$BC1104*W$11</f>
        <v/>
      </c>
      <c r="V1104" s="193">
        <f>+SUM(T1104:U1104)</f>
        <v/>
      </c>
      <c r="W1104" s="191" t="n"/>
      <c r="X1104" s="170" t="n"/>
      <c r="Y1104" s="76">
        <f>ROUND(IF(offer_incoterms="DDP",X1104*(S1104*(1+AW1104)+T1104),0),2)</f>
        <v/>
      </c>
      <c r="Z1104" s="188" t="n"/>
      <c r="AA1104" s="192">
        <f>IFERROR(AB1104/E1104,0)</f>
        <v/>
      </c>
      <c r="AB1104" s="76">
        <f>ROUND(SUM(S1104,V1104,Y1104:Z1104,BA1104:BB1104),2)</f>
        <v/>
      </c>
      <c r="AC1104" s="797" t="n"/>
      <c r="AD1104" s="192">
        <f t="array" ref="AD1104">IFERROR(ROUND((_xlfn.IFS(offer_sale_type="поставка",AB1104,offer_sale_type="транзит",S1104)*(1+AC1104))/E1104,2),0)</f>
        <v/>
      </c>
      <c r="AE1104" s="76">
        <f>AD1104*E1104</f>
        <v/>
      </c>
      <c r="AF1104" s="193">
        <f t="array" ref="AF1104">IFERROR(ROUND(_xlfn.IFS(offer_sale_type="поставка",AB1104,offer_sale_type="транзит",S1104)*AC1104,2),0)</f>
        <v/>
      </c>
      <c r="AG1104" s="192">
        <f>$BD1104*VLOOKUP($AG$3,$AF$4:$AG$7,2,FALSE)</f>
        <v/>
      </c>
      <c r="AH1104" s="76">
        <f>SUM(AE1104,AG1104,AI1104)*rate_forex_risk</f>
        <v/>
      </c>
      <c r="AI1104" s="193">
        <f>IF(OR(seller_region="TR",offer_sale_type="экспорт"),0,rate_fin_comm)*SUM(AZ1104,AZ1104*AW1104,T1104)</f>
        <v/>
      </c>
      <c r="AJ1104" s="118">
        <f>IFERROR(ROUND(SUM(AB1104,AF1104:AI1104)/E1104,2),0)</f>
        <v/>
      </c>
      <c r="AK1104" s="76">
        <f>AJ1104*E1104</f>
        <v/>
      </c>
      <c r="AL1104" s="174">
        <f>ROUND(IFERROR(AM1104*E1104,0),2)</f>
        <v/>
      </c>
      <c r="AM1104" s="175">
        <f>ROUND(AJ1104*(1+IF(offer_incoterms="DDP",IF((TODAY()+offer_turnaround_time)&gt;=helpsheet!$L$17,rate_vatRU_from_26,rate_vatRu_till_25),0)),2)</f>
        <v/>
      </c>
      <c r="AN1104" s="192">
        <f>AL1104-AK1104</f>
        <v/>
      </c>
      <c r="AO1104" s="76">
        <f>SUM(AY1104,Y1104:Z1104,T1104)*IF(AND(offer_incoterms="DDP",offer_sale_type&lt;&gt;"экспорт"),IF((TODAY()+offer_turnaround_time)&gt;=helpsheet!$L$17,rate_vatRU_from_26,rate_vatRu_till_25),0)</f>
        <v/>
      </c>
      <c r="AP1104" s="193">
        <f>AN1104-AO1104</f>
        <v/>
      </c>
      <c r="AQ1104" s="118">
        <f>IF(offer_sale_type="транзит",SUM(AF1104:AI1104,BA1104,BB1104),0)</f>
        <v/>
      </c>
      <c r="AR1104" s="82">
        <f>HYPERLINK("https://www.alta.ru/tnved/code/")&amp;W1104&amp;"/"</f>
        <v/>
      </c>
      <c r="AS1104" s="157" t="n"/>
      <c r="AT1104" s="162" t="n"/>
      <c r="AU1104" s="76">
        <f>IF(ISBLANK(AT1104),0,AJ1104-AT1104)</f>
        <v/>
      </c>
      <c r="AV1104" s="157" t="n"/>
      <c r="AW1104" s="75">
        <f>_xlfn.IFNA(VLOOKUP(L1104,list_vat[],3,FALSE),0)</f>
        <v/>
      </c>
      <c r="AX1104" s="76">
        <f>IFERROR(ROUND(S1104*(1+AW1104)/E1104,2),0)</f>
        <v/>
      </c>
      <c r="AY1104" s="76">
        <f>E1104*AX1104</f>
        <v/>
      </c>
      <c r="AZ1104" s="192">
        <f>S1104*(1+M1104)</f>
        <v/>
      </c>
      <c r="BA1104" s="76">
        <f>cost_fin_total*$BD1104</f>
        <v/>
      </c>
      <c r="BB1104" s="193">
        <f>credit_sales_interest*BD1104</f>
        <v/>
      </c>
      <c r="BC1104" s="102">
        <f>IFERROR(IF($I$13&gt;0,$I1104/$I$13,$S1104/$S$13),0)</f>
        <v/>
      </c>
      <c r="BD1104" s="102">
        <f>IFERROR($S1104/$S$13,0)</f>
        <v/>
      </c>
      <c r="BE1104" s="413" t="inlineStr">
        <is>
          <t>$</t>
        </is>
      </c>
    </row>
    <row r="1105" ht="12" customFormat="1" customHeight="1" s="65">
      <c r="A1105" s="43" t="n">
        <v>1090</v>
      </c>
      <c r="B1105" s="166" t="n"/>
      <c r="C1105" s="166" t="n"/>
      <c r="D1105" s="166" t="n"/>
      <c r="E1105" s="162" t="n"/>
      <c r="F1105" s="166" t="n"/>
      <c r="G1105" s="162" t="n"/>
      <c r="H1105" s="162" t="n"/>
      <c r="I1105" s="189">
        <f>E1105*G1105</f>
        <v/>
      </c>
      <c r="J1105" s="195" t="n"/>
      <c r="K1105" s="162" t="n"/>
      <c r="L1105" s="168" t="n"/>
      <c r="M1105" s="75">
        <f>_xlfn.XLOOKUP(L1105,list_vat[Страна],list_vat[Ставка НДС %],0,0)</f>
        <v/>
      </c>
      <c r="N1105" s="162">
        <f>IFERROR(IF(L1105="Китай",K1105,K1105/(1+M1105)),0)</f>
        <v/>
      </c>
      <c r="O1105" s="169" t="n"/>
      <c r="P1105" s="76">
        <f>N1105*(1-O1105)</f>
        <v/>
      </c>
      <c r="Q1105" s="162" t="n"/>
      <c r="R1105" s="162">
        <f>IF(ISBLANK(Q1105),"введи курс",P1105/Q1105)</f>
        <v/>
      </c>
      <c r="S1105" s="196">
        <f>IF(AND(ISNUMBER(E1105),ISNUMBER(Q1105)),E1105*R1105,0)</f>
        <v/>
      </c>
      <c r="T1105" s="192">
        <f>$BC1105*V$11</f>
        <v/>
      </c>
      <c r="U1105" s="76">
        <f>$BC1105*W$11</f>
        <v/>
      </c>
      <c r="V1105" s="193">
        <f>+SUM(T1105:U1105)</f>
        <v/>
      </c>
      <c r="W1105" s="191" t="n"/>
      <c r="X1105" s="170" t="n"/>
      <c r="Y1105" s="76">
        <f>ROUND(IF(offer_incoterms="DDP",X1105*(S1105*(1+AW1105)+T1105),0),2)</f>
        <v/>
      </c>
      <c r="Z1105" s="188" t="n"/>
      <c r="AA1105" s="192">
        <f>IFERROR(AB1105/E1105,0)</f>
        <v/>
      </c>
      <c r="AB1105" s="76">
        <f>ROUND(SUM(S1105,V1105,Y1105:Z1105,BA1105:BB1105),2)</f>
        <v/>
      </c>
      <c r="AC1105" s="797" t="n"/>
      <c r="AD1105" s="192">
        <f t="array" ref="AD1105">IFERROR(ROUND((_xlfn.IFS(offer_sale_type="поставка",AB1105,offer_sale_type="транзит",S1105)*(1+AC1105))/E1105,2),0)</f>
        <v/>
      </c>
      <c r="AE1105" s="76">
        <f>AD1105*E1105</f>
        <v/>
      </c>
      <c r="AF1105" s="193">
        <f t="array" ref="AF1105">IFERROR(ROUND(_xlfn.IFS(offer_sale_type="поставка",AB1105,offer_sale_type="транзит",S1105)*AC1105,2),0)</f>
        <v/>
      </c>
      <c r="AG1105" s="192">
        <f>$BD1105*VLOOKUP($AG$3,$AF$4:$AG$7,2,FALSE)</f>
        <v/>
      </c>
      <c r="AH1105" s="76">
        <f>SUM(AE1105,AG1105,AI1105)*rate_forex_risk</f>
        <v/>
      </c>
      <c r="AI1105" s="193">
        <f>IF(OR(seller_region="TR",offer_sale_type="экспорт"),0,rate_fin_comm)*SUM(AZ1105,AZ1105*AW1105,T1105)</f>
        <v/>
      </c>
      <c r="AJ1105" s="118">
        <f>IFERROR(ROUND(SUM(AB1105,AF1105:AI1105)/E1105,2),0)</f>
        <v/>
      </c>
      <c r="AK1105" s="76">
        <f>AJ1105*E1105</f>
        <v/>
      </c>
      <c r="AL1105" s="174">
        <f>ROUND(IFERROR(AM1105*E1105,0),2)</f>
        <v/>
      </c>
      <c r="AM1105" s="175">
        <f>ROUND(AJ1105*(1+IF(offer_incoterms="DDP",IF((TODAY()+offer_turnaround_time)&gt;=helpsheet!$L$17,rate_vatRU_from_26,rate_vatRu_till_25),0)),2)</f>
        <v/>
      </c>
      <c r="AN1105" s="192">
        <f>AL1105-AK1105</f>
        <v/>
      </c>
      <c r="AO1105" s="76">
        <f>SUM(AY1105,Y1105:Z1105,T1105)*IF(AND(offer_incoterms="DDP",offer_sale_type&lt;&gt;"экспорт"),IF((TODAY()+offer_turnaround_time)&gt;=helpsheet!$L$17,rate_vatRU_from_26,rate_vatRu_till_25),0)</f>
        <v/>
      </c>
      <c r="AP1105" s="193">
        <f>AN1105-AO1105</f>
        <v/>
      </c>
      <c r="AQ1105" s="118">
        <f>IF(offer_sale_type="транзит",SUM(AF1105:AI1105,BA1105,BB1105),0)</f>
        <v/>
      </c>
      <c r="AR1105" s="82">
        <f>HYPERLINK("https://www.alta.ru/tnved/code/")&amp;W1105&amp;"/"</f>
        <v/>
      </c>
      <c r="AS1105" s="157" t="n"/>
      <c r="AT1105" s="162" t="n"/>
      <c r="AU1105" s="76">
        <f>IF(ISBLANK(AT1105),0,AJ1105-AT1105)</f>
        <v/>
      </c>
      <c r="AV1105" s="157" t="n"/>
      <c r="AW1105" s="75">
        <f>_xlfn.IFNA(VLOOKUP(L1105,list_vat[],3,FALSE),0)</f>
        <v/>
      </c>
      <c r="AX1105" s="76">
        <f>IFERROR(ROUND(S1105*(1+AW1105)/E1105,2),0)</f>
        <v/>
      </c>
      <c r="AY1105" s="76">
        <f>E1105*AX1105</f>
        <v/>
      </c>
      <c r="AZ1105" s="192">
        <f>S1105*(1+M1105)</f>
        <v/>
      </c>
      <c r="BA1105" s="76">
        <f>cost_fin_total*$BD1105</f>
        <v/>
      </c>
      <c r="BB1105" s="193">
        <f>credit_sales_interest*BD1105</f>
        <v/>
      </c>
      <c r="BC1105" s="102">
        <f>IFERROR(IF($I$13&gt;0,$I1105/$I$13,$S1105/$S$13),0)</f>
        <v/>
      </c>
      <c r="BD1105" s="102">
        <f>IFERROR($S1105/$S$13,0)</f>
        <v/>
      </c>
      <c r="BE1105" s="413" t="inlineStr">
        <is>
          <t>$</t>
        </is>
      </c>
    </row>
    <row r="1106" ht="12" customFormat="1" customHeight="1" s="65">
      <c r="A1106" s="43" t="n">
        <v>1091</v>
      </c>
      <c r="B1106" s="166" t="n"/>
      <c r="C1106" s="166" t="n"/>
      <c r="D1106" s="166" t="n"/>
      <c r="E1106" s="162" t="n"/>
      <c r="F1106" s="166" t="n"/>
      <c r="G1106" s="162" t="n"/>
      <c r="H1106" s="162" t="n"/>
      <c r="I1106" s="189">
        <f>E1106*G1106</f>
        <v/>
      </c>
      <c r="J1106" s="195" t="n"/>
      <c r="K1106" s="162" t="n"/>
      <c r="L1106" s="168" t="n"/>
      <c r="M1106" s="75">
        <f>_xlfn.XLOOKUP(L1106,list_vat[Страна],list_vat[Ставка НДС %],0,0)</f>
        <v/>
      </c>
      <c r="N1106" s="162">
        <f>IFERROR(IF(L1106="Китай",K1106,K1106/(1+M1106)),0)</f>
        <v/>
      </c>
      <c r="O1106" s="169" t="n"/>
      <c r="P1106" s="76">
        <f>N1106*(1-O1106)</f>
        <v/>
      </c>
      <c r="Q1106" s="162" t="n"/>
      <c r="R1106" s="162">
        <f>IF(ISBLANK(Q1106),"введи курс",P1106/Q1106)</f>
        <v/>
      </c>
      <c r="S1106" s="196">
        <f>IF(AND(ISNUMBER(E1106),ISNUMBER(Q1106)),E1106*R1106,0)</f>
        <v/>
      </c>
      <c r="T1106" s="192">
        <f>$BC1106*V$11</f>
        <v/>
      </c>
      <c r="U1106" s="76">
        <f>$BC1106*W$11</f>
        <v/>
      </c>
      <c r="V1106" s="193">
        <f>+SUM(T1106:U1106)</f>
        <v/>
      </c>
      <c r="W1106" s="191" t="n"/>
      <c r="X1106" s="170" t="n"/>
      <c r="Y1106" s="76">
        <f>ROUND(IF(offer_incoterms="DDP",X1106*(S1106*(1+AW1106)+T1106),0),2)</f>
        <v/>
      </c>
      <c r="Z1106" s="188" t="n"/>
      <c r="AA1106" s="192">
        <f>IFERROR(AB1106/E1106,0)</f>
        <v/>
      </c>
      <c r="AB1106" s="76">
        <f>ROUND(SUM(S1106,V1106,Y1106:Z1106,BA1106:BB1106),2)</f>
        <v/>
      </c>
      <c r="AC1106" s="797" t="n"/>
      <c r="AD1106" s="192">
        <f t="array" ref="AD1106">IFERROR(ROUND((_xlfn.IFS(offer_sale_type="поставка",AB1106,offer_sale_type="транзит",S1106)*(1+AC1106))/E1106,2),0)</f>
        <v/>
      </c>
      <c r="AE1106" s="76">
        <f>AD1106*E1106</f>
        <v/>
      </c>
      <c r="AF1106" s="193">
        <f t="array" ref="AF1106">IFERROR(ROUND(_xlfn.IFS(offer_sale_type="поставка",AB1106,offer_sale_type="транзит",S1106)*AC1106,2),0)</f>
        <v/>
      </c>
      <c r="AG1106" s="192">
        <f>$BD1106*VLOOKUP($AG$3,$AF$4:$AG$7,2,FALSE)</f>
        <v/>
      </c>
      <c r="AH1106" s="76">
        <f>SUM(AE1106,AG1106,AI1106)*rate_forex_risk</f>
        <v/>
      </c>
      <c r="AI1106" s="193">
        <f>IF(OR(seller_region="TR",offer_sale_type="экспорт"),0,rate_fin_comm)*SUM(AZ1106,AZ1106*AW1106,T1106)</f>
        <v/>
      </c>
      <c r="AJ1106" s="118">
        <f>IFERROR(ROUND(SUM(AB1106,AF1106:AI1106)/E1106,2),0)</f>
        <v/>
      </c>
      <c r="AK1106" s="76">
        <f>AJ1106*E1106</f>
        <v/>
      </c>
      <c r="AL1106" s="174">
        <f>ROUND(IFERROR(AM1106*E1106,0),2)</f>
        <v/>
      </c>
      <c r="AM1106" s="175">
        <f>ROUND(AJ1106*(1+IF(offer_incoterms="DDP",IF((TODAY()+offer_turnaround_time)&gt;=helpsheet!$L$17,rate_vatRU_from_26,rate_vatRu_till_25),0)),2)</f>
        <v/>
      </c>
      <c r="AN1106" s="192">
        <f>AL1106-AK1106</f>
        <v/>
      </c>
      <c r="AO1106" s="76">
        <f>SUM(AY1106,Y1106:Z1106,T1106)*IF(AND(offer_incoterms="DDP",offer_sale_type&lt;&gt;"экспорт"),IF((TODAY()+offer_turnaround_time)&gt;=helpsheet!$L$17,rate_vatRU_from_26,rate_vatRu_till_25),0)</f>
        <v/>
      </c>
      <c r="AP1106" s="193">
        <f>AN1106-AO1106</f>
        <v/>
      </c>
      <c r="AQ1106" s="118">
        <f>IF(offer_sale_type="транзит",SUM(AF1106:AI1106,BA1106,BB1106),0)</f>
        <v/>
      </c>
      <c r="AR1106" s="82">
        <f>HYPERLINK("https://www.alta.ru/tnved/code/")&amp;W1106&amp;"/"</f>
        <v/>
      </c>
      <c r="AS1106" s="157" t="n"/>
      <c r="AT1106" s="162" t="n"/>
      <c r="AU1106" s="76">
        <f>IF(ISBLANK(AT1106),0,AJ1106-AT1106)</f>
        <v/>
      </c>
      <c r="AV1106" s="157" t="n"/>
      <c r="AW1106" s="75">
        <f>_xlfn.IFNA(VLOOKUP(L1106,list_vat[],3,FALSE),0)</f>
        <v/>
      </c>
      <c r="AX1106" s="76">
        <f>IFERROR(ROUND(S1106*(1+AW1106)/E1106,2),0)</f>
        <v/>
      </c>
      <c r="AY1106" s="76">
        <f>E1106*AX1106</f>
        <v/>
      </c>
      <c r="AZ1106" s="192">
        <f>S1106*(1+M1106)</f>
        <v/>
      </c>
      <c r="BA1106" s="76">
        <f>cost_fin_total*$BD1106</f>
        <v/>
      </c>
      <c r="BB1106" s="193">
        <f>credit_sales_interest*BD1106</f>
        <v/>
      </c>
      <c r="BC1106" s="102">
        <f>IFERROR(IF($I$13&gt;0,$I1106/$I$13,$S1106/$S$13),0)</f>
        <v/>
      </c>
      <c r="BD1106" s="102">
        <f>IFERROR($S1106/$S$13,0)</f>
        <v/>
      </c>
      <c r="BE1106" s="413" t="inlineStr">
        <is>
          <t>$</t>
        </is>
      </c>
    </row>
    <row r="1107" ht="12" customFormat="1" customHeight="1" s="65">
      <c r="A1107" s="43" t="n">
        <v>1092</v>
      </c>
      <c r="B1107" s="166" t="n"/>
      <c r="C1107" s="166" t="n"/>
      <c r="D1107" s="166" t="n"/>
      <c r="E1107" s="162" t="n"/>
      <c r="F1107" s="166" t="n"/>
      <c r="G1107" s="162" t="n"/>
      <c r="H1107" s="162" t="n"/>
      <c r="I1107" s="189">
        <f>E1107*G1107</f>
        <v/>
      </c>
      <c r="J1107" s="195" t="n"/>
      <c r="K1107" s="162" t="n"/>
      <c r="L1107" s="168" t="n"/>
      <c r="M1107" s="75">
        <f>_xlfn.XLOOKUP(L1107,list_vat[Страна],list_vat[Ставка НДС %],0,0)</f>
        <v/>
      </c>
      <c r="N1107" s="162">
        <f>IFERROR(IF(L1107="Китай",K1107,K1107/(1+M1107)),0)</f>
        <v/>
      </c>
      <c r="O1107" s="169" t="n"/>
      <c r="P1107" s="76">
        <f>N1107*(1-O1107)</f>
        <v/>
      </c>
      <c r="Q1107" s="162" t="n"/>
      <c r="R1107" s="162">
        <f>IF(ISBLANK(Q1107),"введи курс",P1107/Q1107)</f>
        <v/>
      </c>
      <c r="S1107" s="196">
        <f>IF(AND(ISNUMBER(E1107),ISNUMBER(Q1107)),E1107*R1107,0)</f>
        <v/>
      </c>
      <c r="T1107" s="192">
        <f>$BC1107*V$11</f>
        <v/>
      </c>
      <c r="U1107" s="76">
        <f>$BC1107*W$11</f>
        <v/>
      </c>
      <c r="V1107" s="193">
        <f>+SUM(T1107:U1107)</f>
        <v/>
      </c>
      <c r="W1107" s="191" t="n"/>
      <c r="X1107" s="170" t="n"/>
      <c r="Y1107" s="76">
        <f>ROUND(IF(offer_incoterms="DDP",X1107*(S1107*(1+AW1107)+T1107),0),2)</f>
        <v/>
      </c>
      <c r="Z1107" s="188" t="n"/>
      <c r="AA1107" s="192">
        <f>IFERROR(AB1107/E1107,0)</f>
        <v/>
      </c>
      <c r="AB1107" s="76">
        <f>ROUND(SUM(S1107,V1107,Y1107:Z1107,BA1107:BB1107),2)</f>
        <v/>
      </c>
      <c r="AC1107" s="797" t="n"/>
      <c r="AD1107" s="192">
        <f t="array" ref="AD1107">IFERROR(ROUND((_xlfn.IFS(offer_sale_type="поставка",AB1107,offer_sale_type="транзит",S1107)*(1+AC1107))/E1107,2),0)</f>
        <v/>
      </c>
      <c r="AE1107" s="76">
        <f>AD1107*E1107</f>
        <v/>
      </c>
      <c r="AF1107" s="193">
        <f t="array" ref="AF1107">IFERROR(ROUND(_xlfn.IFS(offer_sale_type="поставка",AB1107,offer_sale_type="транзит",S1107)*AC1107,2),0)</f>
        <v/>
      </c>
      <c r="AG1107" s="192">
        <f>$BD1107*VLOOKUP($AG$3,$AF$4:$AG$7,2,FALSE)</f>
        <v/>
      </c>
      <c r="AH1107" s="76">
        <f>SUM(AE1107,AG1107,AI1107)*rate_forex_risk</f>
        <v/>
      </c>
      <c r="AI1107" s="193">
        <f>IF(OR(seller_region="TR",offer_sale_type="экспорт"),0,rate_fin_comm)*SUM(AZ1107,AZ1107*AW1107,T1107)</f>
        <v/>
      </c>
      <c r="AJ1107" s="118">
        <f>IFERROR(ROUND(SUM(AB1107,AF1107:AI1107)/E1107,2),0)</f>
        <v/>
      </c>
      <c r="AK1107" s="76">
        <f>AJ1107*E1107</f>
        <v/>
      </c>
      <c r="AL1107" s="174">
        <f>ROUND(IFERROR(AM1107*E1107,0),2)</f>
        <v/>
      </c>
      <c r="AM1107" s="175">
        <f>ROUND(AJ1107*(1+IF(offer_incoterms="DDP",IF((TODAY()+offer_turnaround_time)&gt;=helpsheet!$L$17,rate_vatRU_from_26,rate_vatRu_till_25),0)),2)</f>
        <v/>
      </c>
      <c r="AN1107" s="192">
        <f>AL1107-AK1107</f>
        <v/>
      </c>
      <c r="AO1107" s="76">
        <f>SUM(AY1107,Y1107:Z1107,T1107)*IF(AND(offer_incoterms="DDP",offer_sale_type&lt;&gt;"экспорт"),IF((TODAY()+offer_turnaround_time)&gt;=helpsheet!$L$17,rate_vatRU_from_26,rate_vatRu_till_25),0)</f>
        <v/>
      </c>
      <c r="AP1107" s="193">
        <f>AN1107-AO1107</f>
        <v/>
      </c>
      <c r="AQ1107" s="118">
        <f>IF(offer_sale_type="транзит",SUM(AF1107:AI1107,BA1107,BB1107),0)</f>
        <v/>
      </c>
      <c r="AR1107" s="82">
        <f>HYPERLINK("https://www.alta.ru/tnved/code/")&amp;W1107&amp;"/"</f>
        <v/>
      </c>
      <c r="AS1107" s="157" t="n"/>
      <c r="AT1107" s="162" t="n"/>
      <c r="AU1107" s="76">
        <f>IF(ISBLANK(AT1107),0,AJ1107-AT1107)</f>
        <v/>
      </c>
      <c r="AV1107" s="157" t="n"/>
      <c r="AW1107" s="75">
        <f>_xlfn.IFNA(VLOOKUP(L1107,list_vat[],3,FALSE),0)</f>
        <v/>
      </c>
      <c r="AX1107" s="76">
        <f>IFERROR(ROUND(S1107*(1+AW1107)/E1107,2),0)</f>
        <v/>
      </c>
      <c r="AY1107" s="76">
        <f>E1107*AX1107</f>
        <v/>
      </c>
      <c r="AZ1107" s="192">
        <f>S1107*(1+M1107)</f>
        <v/>
      </c>
      <c r="BA1107" s="76">
        <f>cost_fin_total*$BD1107</f>
        <v/>
      </c>
      <c r="BB1107" s="193">
        <f>credit_sales_interest*BD1107</f>
        <v/>
      </c>
      <c r="BC1107" s="102">
        <f>IFERROR(IF($I$13&gt;0,$I1107/$I$13,$S1107/$S$13),0)</f>
        <v/>
      </c>
      <c r="BD1107" s="102">
        <f>IFERROR($S1107/$S$13,0)</f>
        <v/>
      </c>
      <c r="BE1107" s="413" t="inlineStr">
        <is>
          <t>$</t>
        </is>
      </c>
    </row>
    <row r="1108" ht="12" customFormat="1" customHeight="1" s="65">
      <c r="A1108" s="43" t="n">
        <v>1093</v>
      </c>
      <c r="B1108" s="166" t="n"/>
      <c r="C1108" s="166" t="n"/>
      <c r="D1108" s="166" t="n"/>
      <c r="E1108" s="162" t="n"/>
      <c r="F1108" s="166" t="n"/>
      <c r="G1108" s="162" t="n"/>
      <c r="H1108" s="162" t="n"/>
      <c r="I1108" s="189">
        <f>E1108*G1108</f>
        <v/>
      </c>
      <c r="J1108" s="195" t="n"/>
      <c r="K1108" s="162" t="n"/>
      <c r="L1108" s="168" t="n"/>
      <c r="M1108" s="75">
        <f>_xlfn.XLOOKUP(L1108,list_vat[Страна],list_vat[Ставка НДС %],0,0)</f>
        <v/>
      </c>
      <c r="N1108" s="162">
        <f>IFERROR(IF(L1108="Китай",K1108,K1108/(1+M1108)),0)</f>
        <v/>
      </c>
      <c r="O1108" s="169" t="n"/>
      <c r="P1108" s="76">
        <f>N1108*(1-O1108)</f>
        <v/>
      </c>
      <c r="Q1108" s="162" t="n"/>
      <c r="R1108" s="162">
        <f>IF(ISBLANK(Q1108),"введи курс",P1108/Q1108)</f>
        <v/>
      </c>
      <c r="S1108" s="196">
        <f>IF(AND(ISNUMBER(E1108),ISNUMBER(Q1108)),E1108*R1108,0)</f>
        <v/>
      </c>
      <c r="T1108" s="192">
        <f>$BC1108*V$11</f>
        <v/>
      </c>
      <c r="U1108" s="76">
        <f>$BC1108*W$11</f>
        <v/>
      </c>
      <c r="V1108" s="193">
        <f>+SUM(T1108:U1108)</f>
        <v/>
      </c>
      <c r="W1108" s="191" t="n"/>
      <c r="X1108" s="170" t="n"/>
      <c r="Y1108" s="76">
        <f>ROUND(IF(offer_incoterms="DDP",X1108*(S1108*(1+AW1108)+T1108),0),2)</f>
        <v/>
      </c>
      <c r="Z1108" s="188" t="n"/>
      <c r="AA1108" s="192">
        <f>IFERROR(AB1108/E1108,0)</f>
        <v/>
      </c>
      <c r="AB1108" s="76">
        <f>ROUND(SUM(S1108,V1108,Y1108:Z1108,BA1108:BB1108),2)</f>
        <v/>
      </c>
      <c r="AC1108" s="797" t="n"/>
      <c r="AD1108" s="192">
        <f t="array" ref="AD1108">IFERROR(ROUND((_xlfn.IFS(offer_sale_type="поставка",AB1108,offer_sale_type="транзит",S1108)*(1+AC1108))/E1108,2),0)</f>
        <v/>
      </c>
      <c r="AE1108" s="76">
        <f>AD1108*E1108</f>
        <v/>
      </c>
      <c r="AF1108" s="193">
        <f t="array" ref="AF1108">IFERROR(ROUND(_xlfn.IFS(offer_sale_type="поставка",AB1108,offer_sale_type="транзит",S1108)*AC1108,2),0)</f>
        <v/>
      </c>
      <c r="AG1108" s="192">
        <f>$BD1108*VLOOKUP($AG$3,$AF$4:$AG$7,2,FALSE)</f>
        <v/>
      </c>
      <c r="AH1108" s="76">
        <f>SUM(AE1108,AG1108,AI1108)*rate_forex_risk</f>
        <v/>
      </c>
      <c r="AI1108" s="193">
        <f>IF(OR(seller_region="TR",offer_sale_type="экспорт"),0,rate_fin_comm)*SUM(AZ1108,AZ1108*AW1108,T1108)</f>
        <v/>
      </c>
      <c r="AJ1108" s="118">
        <f>IFERROR(ROUND(SUM(AB1108,AF1108:AI1108)/E1108,2),0)</f>
        <v/>
      </c>
      <c r="AK1108" s="76">
        <f>AJ1108*E1108</f>
        <v/>
      </c>
      <c r="AL1108" s="174">
        <f>ROUND(IFERROR(AM1108*E1108,0),2)</f>
        <v/>
      </c>
      <c r="AM1108" s="175">
        <f>ROUND(AJ1108*(1+IF(offer_incoterms="DDP",IF((TODAY()+offer_turnaround_time)&gt;=helpsheet!$L$17,rate_vatRU_from_26,rate_vatRu_till_25),0)),2)</f>
        <v/>
      </c>
      <c r="AN1108" s="192">
        <f>AL1108-AK1108</f>
        <v/>
      </c>
      <c r="AO1108" s="76">
        <f>SUM(AY1108,Y1108:Z1108,T1108)*IF(AND(offer_incoterms="DDP",offer_sale_type&lt;&gt;"экспорт"),IF((TODAY()+offer_turnaround_time)&gt;=helpsheet!$L$17,rate_vatRU_from_26,rate_vatRu_till_25),0)</f>
        <v/>
      </c>
      <c r="AP1108" s="193">
        <f>AN1108-AO1108</f>
        <v/>
      </c>
      <c r="AQ1108" s="118">
        <f>IF(offer_sale_type="транзит",SUM(AF1108:AI1108,BA1108,BB1108),0)</f>
        <v/>
      </c>
      <c r="AR1108" s="82">
        <f>HYPERLINK("https://www.alta.ru/tnved/code/")&amp;W1108&amp;"/"</f>
        <v/>
      </c>
      <c r="AS1108" s="157" t="n"/>
      <c r="AT1108" s="162" t="n"/>
      <c r="AU1108" s="76">
        <f>IF(ISBLANK(AT1108),0,AJ1108-AT1108)</f>
        <v/>
      </c>
      <c r="AV1108" s="157" t="n"/>
      <c r="AW1108" s="75">
        <f>_xlfn.IFNA(VLOOKUP(L1108,list_vat[],3,FALSE),0)</f>
        <v/>
      </c>
      <c r="AX1108" s="76">
        <f>IFERROR(ROUND(S1108*(1+AW1108)/E1108,2),0)</f>
        <v/>
      </c>
      <c r="AY1108" s="76">
        <f>E1108*AX1108</f>
        <v/>
      </c>
      <c r="AZ1108" s="192">
        <f>S1108*(1+M1108)</f>
        <v/>
      </c>
      <c r="BA1108" s="76">
        <f>cost_fin_total*$BD1108</f>
        <v/>
      </c>
      <c r="BB1108" s="193">
        <f>credit_sales_interest*BD1108</f>
        <v/>
      </c>
      <c r="BC1108" s="102">
        <f>IFERROR(IF($I$13&gt;0,$I1108/$I$13,$S1108/$S$13),0)</f>
        <v/>
      </c>
      <c r="BD1108" s="102">
        <f>IFERROR($S1108/$S$13,0)</f>
        <v/>
      </c>
      <c r="BE1108" s="413" t="inlineStr">
        <is>
          <t>$</t>
        </is>
      </c>
    </row>
    <row r="1109" ht="12" customFormat="1" customHeight="1" s="65">
      <c r="A1109" s="43" t="n">
        <v>1094</v>
      </c>
      <c r="B1109" s="166" t="n"/>
      <c r="C1109" s="166" t="n"/>
      <c r="D1109" s="166" t="n"/>
      <c r="E1109" s="162" t="n"/>
      <c r="F1109" s="166" t="n"/>
      <c r="G1109" s="162" t="n"/>
      <c r="H1109" s="162" t="n"/>
      <c r="I1109" s="189">
        <f>E1109*G1109</f>
        <v/>
      </c>
      <c r="J1109" s="195" t="n"/>
      <c r="K1109" s="162" t="n"/>
      <c r="L1109" s="168" t="n"/>
      <c r="M1109" s="75">
        <f>_xlfn.XLOOKUP(L1109,list_vat[Страна],list_vat[Ставка НДС %],0,0)</f>
        <v/>
      </c>
      <c r="N1109" s="162">
        <f>IFERROR(IF(L1109="Китай",K1109,K1109/(1+M1109)),0)</f>
        <v/>
      </c>
      <c r="O1109" s="169" t="n"/>
      <c r="P1109" s="76">
        <f>N1109*(1-O1109)</f>
        <v/>
      </c>
      <c r="Q1109" s="162" t="n"/>
      <c r="R1109" s="162">
        <f>IF(ISBLANK(Q1109),"введи курс",P1109/Q1109)</f>
        <v/>
      </c>
      <c r="S1109" s="196">
        <f>IF(AND(ISNUMBER(E1109),ISNUMBER(Q1109)),E1109*R1109,0)</f>
        <v/>
      </c>
      <c r="T1109" s="192">
        <f>$BC1109*V$11</f>
        <v/>
      </c>
      <c r="U1109" s="76">
        <f>$BC1109*W$11</f>
        <v/>
      </c>
      <c r="V1109" s="193">
        <f>+SUM(T1109:U1109)</f>
        <v/>
      </c>
      <c r="W1109" s="191" t="n"/>
      <c r="X1109" s="170" t="n"/>
      <c r="Y1109" s="76">
        <f>ROUND(IF(offer_incoterms="DDP",X1109*(S1109*(1+AW1109)+T1109),0),2)</f>
        <v/>
      </c>
      <c r="Z1109" s="188" t="n"/>
      <c r="AA1109" s="192">
        <f>IFERROR(AB1109/E1109,0)</f>
        <v/>
      </c>
      <c r="AB1109" s="76">
        <f>ROUND(SUM(S1109,V1109,Y1109:Z1109,BA1109:BB1109),2)</f>
        <v/>
      </c>
      <c r="AC1109" s="797" t="n"/>
      <c r="AD1109" s="192">
        <f t="array" ref="AD1109">IFERROR(ROUND((_xlfn.IFS(offer_sale_type="поставка",AB1109,offer_sale_type="транзит",S1109)*(1+AC1109))/E1109,2),0)</f>
        <v/>
      </c>
      <c r="AE1109" s="76">
        <f>AD1109*E1109</f>
        <v/>
      </c>
      <c r="AF1109" s="193">
        <f t="array" ref="AF1109">IFERROR(ROUND(_xlfn.IFS(offer_sale_type="поставка",AB1109,offer_sale_type="транзит",S1109)*AC1109,2),0)</f>
        <v/>
      </c>
      <c r="AG1109" s="192">
        <f>$BD1109*VLOOKUP($AG$3,$AF$4:$AG$7,2,FALSE)</f>
        <v/>
      </c>
      <c r="AH1109" s="76">
        <f>SUM(AE1109,AG1109,AI1109)*rate_forex_risk</f>
        <v/>
      </c>
      <c r="AI1109" s="193">
        <f>IF(OR(seller_region="TR",offer_sale_type="экспорт"),0,rate_fin_comm)*SUM(AZ1109,AZ1109*AW1109,T1109)</f>
        <v/>
      </c>
      <c r="AJ1109" s="118">
        <f>IFERROR(ROUND(SUM(AB1109,AF1109:AI1109)/E1109,2),0)</f>
        <v/>
      </c>
      <c r="AK1109" s="76">
        <f>AJ1109*E1109</f>
        <v/>
      </c>
      <c r="AL1109" s="174">
        <f>ROUND(IFERROR(AM1109*E1109,0),2)</f>
        <v/>
      </c>
      <c r="AM1109" s="175">
        <f>ROUND(AJ1109*(1+IF(offer_incoterms="DDP",IF((TODAY()+offer_turnaround_time)&gt;=helpsheet!$L$17,rate_vatRU_from_26,rate_vatRu_till_25),0)),2)</f>
        <v/>
      </c>
      <c r="AN1109" s="192">
        <f>AL1109-AK1109</f>
        <v/>
      </c>
      <c r="AO1109" s="76">
        <f>SUM(AY1109,Y1109:Z1109,T1109)*IF(AND(offer_incoterms="DDP",offer_sale_type&lt;&gt;"экспорт"),IF((TODAY()+offer_turnaround_time)&gt;=helpsheet!$L$17,rate_vatRU_from_26,rate_vatRu_till_25),0)</f>
        <v/>
      </c>
      <c r="AP1109" s="193">
        <f>AN1109-AO1109</f>
        <v/>
      </c>
      <c r="AQ1109" s="118">
        <f>IF(offer_sale_type="транзит",SUM(AF1109:AI1109,BA1109,BB1109),0)</f>
        <v/>
      </c>
      <c r="AR1109" s="82">
        <f>HYPERLINK("https://www.alta.ru/tnved/code/")&amp;W1109&amp;"/"</f>
        <v/>
      </c>
      <c r="AS1109" s="157" t="n"/>
      <c r="AT1109" s="162" t="n"/>
      <c r="AU1109" s="76">
        <f>IF(ISBLANK(AT1109),0,AJ1109-AT1109)</f>
        <v/>
      </c>
      <c r="AV1109" s="157" t="n"/>
      <c r="AW1109" s="75">
        <f>_xlfn.IFNA(VLOOKUP(L1109,list_vat[],3,FALSE),0)</f>
        <v/>
      </c>
      <c r="AX1109" s="76">
        <f>IFERROR(ROUND(S1109*(1+AW1109)/E1109,2),0)</f>
        <v/>
      </c>
      <c r="AY1109" s="76">
        <f>E1109*AX1109</f>
        <v/>
      </c>
      <c r="AZ1109" s="192">
        <f>S1109*(1+M1109)</f>
        <v/>
      </c>
      <c r="BA1109" s="76">
        <f>cost_fin_total*$BD1109</f>
        <v/>
      </c>
      <c r="BB1109" s="193">
        <f>credit_sales_interest*BD1109</f>
        <v/>
      </c>
      <c r="BC1109" s="102">
        <f>IFERROR(IF($I$13&gt;0,$I1109/$I$13,$S1109/$S$13),0)</f>
        <v/>
      </c>
      <c r="BD1109" s="102">
        <f>IFERROR($S1109/$S$13,0)</f>
        <v/>
      </c>
      <c r="BE1109" s="413" t="inlineStr">
        <is>
          <t>$</t>
        </is>
      </c>
    </row>
    <row r="1110" ht="12" customFormat="1" customHeight="1" s="65">
      <c r="A1110" s="43" t="n">
        <v>1095</v>
      </c>
      <c r="B1110" s="166" t="n"/>
      <c r="C1110" s="166" t="n"/>
      <c r="D1110" s="166" t="n"/>
      <c r="E1110" s="162" t="n"/>
      <c r="F1110" s="166" t="n"/>
      <c r="G1110" s="162" t="n"/>
      <c r="H1110" s="162" t="n"/>
      <c r="I1110" s="189">
        <f>E1110*G1110</f>
        <v/>
      </c>
      <c r="J1110" s="195" t="n"/>
      <c r="K1110" s="162" t="n"/>
      <c r="L1110" s="168" t="n"/>
      <c r="M1110" s="75">
        <f>_xlfn.XLOOKUP(L1110,list_vat[Страна],list_vat[Ставка НДС %],0,0)</f>
        <v/>
      </c>
      <c r="N1110" s="162">
        <f>IFERROR(IF(L1110="Китай",K1110,K1110/(1+M1110)),0)</f>
        <v/>
      </c>
      <c r="O1110" s="169" t="n"/>
      <c r="P1110" s="76">
        <f>N1110*(1-O1110)</f>
        <v/>
      </c>
      <c r="Q1110" s="162" t="n"/>
      <c r="R1110" s="162">
        <f>IF(ISBLANK(Q1110),"введи курс",P1110/Q1110)</f>
        <v/>
      </c>
      <c r="S1110" s="196">
        <f>IF(AND(ISNUMBER(E1110),ISNUMBER(Q1110)),E1110*R1110,0)</f>
        <v/>
      </c>
      <c r="T1110" s="192">
        <f>$BC1110*V$11</f>
        <v/>
      </c>
      <c r="U1110" s="76">
        <f>$BC1110*W$11</f>
        <v/>
      </c>
      <c r="V1110" s="193">
        <f>+SUM(T1110:U1110)</f>
        <v/>
      </c>
      <c r="W1110" s="191" t="n"/>
      <c r="X1110" s="170" t="n"/>
      <c r="Y1110" s="76">
        <f>ROUND(IF(offer_incoterms="DDP",X1110*(S1110*(1+AW1110)+T1110),0),2)</f>
        <v/>
      </c>
      <c r="Z1110" s="188" t="n"/>
      <c r="AA1110" s="192">
        <f>IFERROR(AB1110/E1110,0)</f>
        <v/>
      </c>
      <c r="AB1110" s="76">
        <f>ROUND(SUM(S1110,V1110,Y1110:Z1110,BA1110:BB1110),2)</f>
        <v/>
      </c>
      <c r="AC1110" s="797" t="n"/>
      <c r="AD1110" s="192">
        <f t="array" ref="AD1110">IFERROR(ROUND((_xlfn.IFS(offer_sale_type="поставка",AB1110,offer_sale_type="транзит",S1110)*(1+AC1110))/E1110,2),0)</f>
        <v/>
      </c>
      <c r="AE1110" s="76">
        <f>AD1110*E1110</f>
        <v/>
      </c>
      <c r="AF1110" s="193">
        <f t="array" ref="AF1110">IFERROR(ROUND(_xlfn.IFS(offer_sale_type="поставка",AB1110,offer_sale_type="транзит",S1110)*AC1110,2),0)</f>
        <v/>
      </c>
      <c r="AG1110" s="192">
        <f>$BD1110*VLOOKUP($AG$3,$AF$4:$AG$7,2,FALSE)</f>
        <v/>
      </c>
      <c r="AH1110" s="76">
        <f>SUM(AE1110,AG1110,AI1110)*rate_forex_risk</f>
        <v/>
      </c>
      <c r="AI1110" s="193">
        <f>IF(OR(seller_region="TR",offer_sale_type="экспорт"),0,rate_fin_comm)*SUM(AZ1110,AZ1110*AW1110,T1110)</f>
        <v/>
      </c>
      <c r="AJ1110" s="118">
        <f>IFERROR(ROUND(SUM(AB1110,AF1110:AI1110)/E1110,2),0)</f>
        <v/>
      </c>
      <c r="AK1110" s="76">
        <f>AJ1110*E1110</f>
        <v/>
      </c>
      <c r="AL1110" s="174">
        <f>ROUND(IFERROR(AM1110*E1110,0),2)</f>
        <v/>
      </c>
      <c r="AM1110" s="175">
        <f>ROUND(AJ1110*(1+IF(offer_incoterms="DDP",IF((TODAY()+offer_turnaround_time)&gt;=helpsheet!$L$17,rate_vatRU_from_26,rate_vatRu_till_25),0)),2)</f>
        <v/>
      </c>
      <c r="AN1110" s="192">
        <f>AL1110-AK1110</f>
        <v/>
      </c>
      <c r="AO1110" s="76">
        <f>SUM(AY1110,Y1110:Z1110,T1110)*IF(AND(offer_incoterms="DDP",offer_sale_type&lt;&gt;"экспорт"),IF((TODAY()+offer_turnaround_time)&gt;=helpsheet!$L$17,rate_vatRU_from_26,rate_vatRu_till_25),0)</f>
        <v/>
      </c>
      <c r="AP1110" s="193">
        <f>AN1110-AO1110</f>
        <v/>
      </c>
      <c r="AQ1110" s="118">
        <f>IF(offer_sale_type="транзит",SUM(AF1110:AI1110,BA1110,BB1110),0)</f>
        <v/>
      </c>
      <c r="AR1110" s="82">
        <f>HYPERLINK("https://www.alta.ru/tnved/code/")&amp;W1110&amp;"/"</f>
        <v/>
      </c>
      <c r="AS1110" s="157" t="n"/>
      <c r="AT1110" s="162" t="n"/>
      <c r="AU1110" s="76">
        <f>IF(ISBLANK(AT1110),0,AJ1110-AT1110)</f>
        <v/>
      </c>
      <c r="AV1110" s="157" t="n"/>
      <c r="AW1110" s="75">
        <f>_xlfn.IFNA(VLOOKUP(L1110,list_vat[],3,FALSE),0)</f>
        <v/>
      </c>
      <c r="AX1110" s="76">
        <f>IFERROR(ROUND(S1110*(1+AW1110)/E1110,2),0)</f>
        <v/>
      </c>
      <c r="AY1110" s="76">
        <f>E1110*AX1110</f>
        <v/>
      </c>
      <c r="AZ1110" s="192">
        <f>S1110*(1+M1110)</f>
        <v/>
      </c>
      <c r="BA1110" s="76">
        <f>cost_fin_total*$BD1110</f>
        <v/>
      </c>
      <c r="BB1110" s="193">
        <f>credit_sales_interest*BD1110</f>
        <v/>
      </c>
      <c r="BC1110" s="102">
        <f>IFERROR(IF($I$13&gt;0,$I1110/$I$13,$S1110/$S$13),0)</f>
        <v/>
      </c>
      <c r="BD1110" s="102">
        <f>IFERROR($S1110/$S$13,0)</f>
        <v/>
      </c>
      <c r="BE1110" s="413" t="inlineStr">
        <is>
          <t>$</t>
        </is>
      </c>
    </row>
    <row r="1111" ht="12" customFormat="1" customHeight="1" s="65">
      <c r="A1111" s="43" t="n">
        <v>1096</v>
      </c>
      <c r="B1111" s="166" t="n"/>
      <c r="C1111" s="166" t="n"/>
      <c r="D1111" s="166" t="n"/>
      <c r="E1111" s="162" t="n"/>
      <c r="F1111" s="166" t="n"/>
      <c r="G1111" s="162" t="n"/>
      <c r="H1111" s="162" t="n"/>
      <c r="I1111" s="189">
        <f>E1111*G1111</f>
        <v/>
      </c>
      <c r="J1111" s="195" t="n"/>
      <c r="K1111" s="162" t="n"/>
      <c r="L1111" s="168" t="n"/>
      <c r="M1111" s="75">
        <f>_xlfn.XLOOKUP(L1111,list_vat[Страна],list_vat[Ставка НДС %],0,0)</f>
        <v/>
      </c>
      <c r="N1111" s="162">
        <f>IFERROR(IF(L1111="Китай",K1111,K1111/(1+M1111)),0)</f>
        <v/>
      </c>
      <c r="O1111" s="169" t="n"/>
      <c r="P1111" s="76">
        <f>N1111*(1-O1111)</f>
        <v/>
      </c>
      <c r="Q1111" s="162" t="n"/>
      <c r="R1111" s="162">
        <f>IF(ISBLANK(Q1111),"введи курс",P1111/Q1111)</f>
        <v/>
      </c>
      <c r="S1111" s="196">
        <f>IF(AND(ISNUMBER(E1111),ISNUMBER(Q1111)),E1111*R1111,0)</f>
        <v/>
      </c>
      <c r="T1111" s="192">
        <f>$BC1111*V$11</f>
        <v/>
      </c>
      <c r="U1111" s="76">
        <f>$BC1111*W$11</f>
        <v/>
      </c>
      <c r="V1111" s="193">
        <f>+SUM(T1111:U1111)</f>
        <v/>
      </c>
      <c r="W1111" s="191" t="n"/>
      <c r="X1111" s="170" t="n"/>
      <c r="Y1111" s="76">
        <f>ROUND(IF(offer_incoterms="DDP",X1111*(S1111*(1+AW1111)+T1111),0),2)</f>
        <v/>
      </c>
      <c r="Z1111" s="188" t="n"/>
      <c r="AA1111" s="192">
        <f>IFERROR(AB1111/E1111,0)</f>
        <v/>
      </c>
      <c r="AB1111" s="76">
        <f>ROUND(SUM(S1111,V1111,Y1111:Z1111,BA1111:BB1111),2)</f>
        <v/>
      </c>
      <c r="AC1111" s="797" t="n"/>
      <c r="AD1111" s="192">
        <f t="array" ref="AD1111">IFERROR(ROUND((_xlfn.IFS(offer_sale_type="поставка",AB1111,offer_sale_type="транзит",S1111)*(1+AC1111))/E1111,2),0)</f>
        <v/>
      </c>
      <c r="AE1111" s="76">
        <f>AD1111*E1111</f>
        <v/>
      </c>
      <c r="AF1111" s="193">
        <f t="array" ref="AF1111">IFERROR(ROUND(_xlfn.IFS(offer_sale_type="поставка",AB1111,offer_sale_type="транзит",S1111)*AC1111,2),0)</f>
        <v/>
      </c>
      <c r="AG1111" s="192">
        <f>$BD1111*VLOOKUP($AG$3,$AF$4:$AG$7,2,FALSE)</f>
        <v/>
      </c>
      <c r="AH1111" s="76">
        <f>SUM(AE1111,AG1111,AI1111)*rate_forex_risk</f>
        <v/>
      </c>
      <c r="AI1111" s="193">
        <f>IF(OR(seller_region="TR",offer_sale_type="экспорт"),0,rate_fin_comm)*SUM(AZ1111,AZ1111*AW1111,T1111)</f>
        <v/>
      </c>
      <c r="AJ1111" s="118">
        <f>IFERROR(ROUND(SUM(AB1111,AF1111:AI1111)/E1111,2),0)</f>
        <v/>
      </c>
      <c r="AK1111" s="76">
        <f>AJ1111*E1111</f>
        <v/>
      </c>
      <c r="AL1111" s="174">
        <f>ROUND(IFERROR(AM1111*E1111,0),2)</f>
        <v/>
      </c>
      <c r="AM1111" s="175">
        <f>ROUND(AJ1111*(1+IF(offer_incoterms="DDP",IF((TODAY()+offer_turnaround_time)&gt;=helpsheet!$L$17,rate_vatRU_from_26,rate_vatRu_till_25),0)),2)</f>
        <v/>
      </c>
      <c r="AN1111" s="192">
        <f>AL1111-AK1111</f>
        <v/>
      </c>
      <c r="AO1111" s="76">
        <f>SUM(AY1111,Y1111:Z1111,T1111)*IF(AND(offer_incoterms="DDP",offer_sale_type&lt;&gt;"экспорт"),IF((TODAY()+offer_turnaround_time)&gt;=helpsheet!$L$17,rate_vatRU_from_26,rate_vatRu_till_25),0)</f>
        <v/>
      </c>
      <c r="AP1111" s="193">
        <f>AN1111-AO1111</f>
        <v/>
      </c>
      <c r="AQ1111" s="118">
        <f>IF(offer_sale_type="транзит",SUM(AF1111:AI1111,BA1111,BB1111),0)</f>
        <v/>
      </c>
      <c r="AR1111" s="82">
        <f>HYPERLINK("https://www.alta.ru/tnved/code/")&amp;W1111&amp;"/"</f>
        <v/>
      </c>
      <c r="AS1111" s="157" t="n"/>
      <c r="AT1111" s="162" t="n"/>
      <c r="AU1111" s="76">
        <f>IF(ISBLANK(AT1111),0,AJ1111-AT1111)</f>
        <v/>
      </c>
      <c r="AV1111" s="157" t="n"/>
      <c r="AW1111" s="75">
        <f>_xlfn.IFNA(VLOOKUP(L1111,list_vat[],3,FALSE),0)</f>
        <v/>
      </c>
      <c r="AX1111" s="76">
        <f>IFERROR(ROUND(S1111*(1+AW1111)/E1111,2),0)</f>
        <v/>
      </c>
      <c r="AY1111" s="76">
        <f>E1111*AX1111</f>
        <v/>
      </c>
      <c r="AZ1111" s="192">
        <f>S1111*(1+M1111)</f>
        <v/>
      </c>
      <c r="BA1111" s="76">
        <f>cost_fin_total*$BD1111</f>
        <v/>
      </c>
      <c r="BB1111" s="193">
        <f>credit_sales_interest*BD1111</f>
        <v/>
      </c>
      <c r="BC1111" s="102">
        <f>IFERROR(IF($I$13&gt;0,$I1111/$I$13,$S1111/$S$13),0)</f>
        <v/>
      </c>
      <c r="BD1111" s="102">
        <f>IFERROR($S1111/$S$13,0)</f>
        <v/>
      </c>
      <c r="BE1111" s="413" t="inlineStr">
        <is>
          <t>$</t>
        </is>
      </c>
    </row>
    <row r="1112" ht="12" customFormat="1" customHeight="1" s="65">
      <c r="A1112" s="43" t="n">
        <v>1097</v>
      </c>
      <c r="B1112" s="166" t="n"/>
      <c r="C1112" s="166" t="n"/>
      <c r="D1112" s="166" t="n"/>
      <c r="E1112" s="162" t="n"/>
      <c r="F1112" s="166" t="n"/>
      <c r="G1112" s="162" t="n"/>
      <c r="H1112" s="162" t="n"/>
      <c r="I1112" s="189">
        <f>E1112*G1112</f>
        <v/>
      </c>
      <c r="J1112" s="195" t="n"/>
      <c r="K1112" s="162" t="n"/>
      <c r="L1112" s="168" t="n"/>
      <c r="M1112" s="75">
        <f>_xlfn.XLOOKUP(L1112,list_vat[Страна],list_vat[Ставка НДС %],0,0)</f>
        <v/>
      </c>
      <c r="N1112" s="162">
        <f>IFERROR(IF(L1112="Китай",K1112,K1112/(1+M1112)),0)</f>
        <v/>
      </c>
      <c r="O1112" s="169" t="n"/>
      <c r="P1112" s="76">
        <f>N1112*(1-O1112)</f>
        <v/>
      </c>
      <c r="Q1112" s="162" t="n"/>
      <c r="R1112" s="162">
        <f>IF(ISBLANK(Q1112),"введи курс",P1112/Q1112)</f>
        <v/>
      </c>
      <c r="S1112" s="196">
        <f>IF(AND(ISNUMBER(E1112),ISNUMBER(Q1112)),E1112*R1112,0)</f>
        <v/>
      </c>
      <c r="T1112" s="192">
        <f>$BC1112*V$11</f>
        <v/>
      </c>
      <c r="U1112" s="76">
        <f>$BC1112*W$11</f>
        <v/>
      </c>
      <c r="V1112" s="193">
        <f>+SUM(T1112:U1112)</f>
        <v/>
      </c>
      <c r="W1112" s="191" t="n"/>
      <c r="X1112" s="170" t="n"/>
      <c r="Y1112" s="76">
        <f>ROUND(IF(offer_incoterms="DDP",X1112*(S1112*(1+AW1112)+T1112),0),2)</f>
        <v/>
      </c>
      <c r="Z1112" s="188" t="n"/>
      <c r="AA1112" s="192">
        <f>IFERROR(AB1112/E1112,0)</f>
        <v/>
      </c>
      <c r="AB1112" s="76">
        <f>ROUND(SUM(S1112,V1112,Y1112:Z1112,BA1112:BB1112),2)</f>
        <v/>
      </c>
      <c r="AC1112" s="797" t="n"/>
      <c r="AD1112" s="192">
        <f t="array" ref="AD1112">IFERROR(ROUND((_xlfn.IFS(offer_sale_type="поставка",AB1112,offer_sale_type="транзит",S1112)*(1+AC1112))/E1112,2),0)</f>
        <v/>
      </c>
      <c r="AE1112" s="76">
        <f>AD1112*E1112</f>
        <v/>
      </c>
      <c r="AF1112" s="193">
        <f t="array" ref="AF1112">IFERROR(ROUND(_xlfn.IFS(offer_sale_type="поставка",AB1112,offer_sale_type="транзит",S1112)*AC1112,2),0)</f>
        <v/>
      </c>
      <c r="AG1112" s="192">
        <f>$BD1112*VLOOKUP($AG$3,$AF$4:$AG$7,2,FALSE)</f>
        <v/>
      </c>
      <c r="AH1112" s="76">
        <f>SUM(AE1112,AG1112,AI1112)*rate_forex_risk</f>
        <v/>
      </c>
      <c r="AI1112" s="193">
        <f>IF(OR(seller_region="TR",offer_sale_type="экспорт"),0,rate_fin_comm)*SUM(AZ1112,AZ1112*AW1112,T1112)</f>
        <v/>
      </c>
      <c r="AJ1112" s="118">
        <f>IFERROR(ROUND(SUM(AB1112,AF1112:AI1112)/E1112,2),0)</f>
        <v/>
      </c>
      <c r="AK1112" s="76">
        <f>AJ1112*E1112</f>
        <v/>
      </c>
      <c r="AL1112" s="174">
        <f>ROUND(IFERROR(AM1112*E1112,0),2)</f>
        <v/>
      </c>
      <c r="AM1112" s="175">
        <f>ROUND(AJ1112*(1+IF(offer_incoterms="DDP",IF((TODAY()+offer_turnaround_time)&gt;=helpsheet!$L$17,rate_vatRU_from_26,rate_vatRu_till_25),0)),2)</f>
        <v/>
      </c>
      <c r="AN1112" s="192">
        <f>AL1112-AK1112</f>
        <v/>
      </c>
      <c r="AO1112" s="76">
        <f>SUM(AY1112,Y1112:Z1112,T1112)*IF(AND(offer_incoterms="DDP",offer_sale_type&lt;&gt;"экспорт"),IF((TODAY()+offer_turnaround_time)&gt;=helpsheet!$L$17,rate_vatRU_from_26,rate_vatRu_till_25),0)</f>
        <v/>
      </c>
      <c r="AP1112" s="193">
        <f>AN1112-AO1112</f>
        <v/>
      </c>
      <c r="AQ1112" s="118">
        <f>IF(offer_sale_type="транзит",SUM(AF1112:AI1112,BA1112,BB1112),0)</f>
        <v/>
      </c>
      <c r="AR1112" s="82">
        <f>HYPERLINK("https://www.alta.ru/tnved/code/")&amp;W1112&amp;"/"</f>
        <v/>
      </c>
      <c r="AS1112" s="157" t="n"/>
      <c r="AT1112" s="162" t="n"/>
      <c r="AU1112" s="76">
        <f>IF(ISBLANK(AT1112),0,AJ1112-AT1112)</f>
        <v/>
      </c>
      <c r="AV1112" s="157" t="n"/>
      <c r="AW1112" s="75">
        <f>_xlfn.IFNA(VLOOKUP(L1112,list_vat[],3,FALSE),0)</f>
        <v/>
      </c>
      <c r="AX1112" s="76">
        <f>IFERROR(ROUND(S1112*(1+AW1112)/E1112,2),0)</f>
        <v/>
      </c>
      <c r="AY1112" s="76">
        <f>E1112*AX1112</f>
        <v/>
      </c>
      <c r="AZ1112" s="192">
        <f>S1112*(1+M1112)</f>
        <v/>
      </c>
      <c r="BA1112" s="76">
        <f>cost_fin_total*$BD1112</f>
        <v/>
      </c>
      <c r="BB1112" s="193">
        <f>credit_sales_interest*BD1112</f>
        <v/>
      </c>
      <c r="BC1112" s="102">
        <f>IFERROR(IF($I$13&gt;0,$I1112/$I$13,$S1112/$S$13),0)</f>
        <v/>
      </c>
      <c r="BD1112" s="102">
        <f>IFERROR($S1112/$S$13,0)</f>
        <v/>
      </c>
      <c r="BE1112" s="413" t="inlineStr">
        <is>
          <t>$</t>
        </is>
      </c>
    </row>
    <row r="1113" ht="12" customFormat="1" customHeight="1" s="65">
      <c r="A1113" s="43" t="n">
        <v>1098</v>
      </c>
      <c r="B1113" s="166" t="n"/>
      <c r="C1113" s="166" t="n"/>
      <c r="D1113" s="166" t="n"/>
      <c r="E1113" s="162" t="n"/>
      <c r="F1113" s="166" t="n"/>
      <c r="G1113" s="162" t="n"/>
      <c r="H1113" s="162" t="n"/>
      <c r="I1113" s="189">
        <f>E1113*G1113</f>
        <v/>
      </c>
      <c r="J1113" s="195" t="n"/>
      <c r="K1113" s="162" t="n"/>
      <c r="L1113" s="168" t="n"/>
      <c r="M1113" s="75">
        <f>_xlfn.XLOOKUP(L1113,list_vat[Страна],list_vat[Ставка НДС %],0,0)</f>
        <v/>
      </c>
      <c r="N1113" s="162">
        <f>IFERROR(IF(L1113="Китай",K1113,K1113/(1+M1113)),0)</f>
        <v/>
      </c>
      <c r="O1113" s="169" t="n"/>
      <c r="P1113" s="76">
        <f>N1113*(1-O1113)</f>
        <v/>
      </c>
      <c r="Q1113" s="162" t="n"/>
      <c r="R1113" s="162">
        <f>IF(ISBLANK(Q1113),"введи курс",P1113/Q1113)</f>
        <v/>
      </c>
      <c r="S1113" s="196">
        <f>IF(AND(ISNUMBER(E1113),ISNUMBER(Q1113)),E1113*R1113,0)</f>
        <v/>
      </c>
      <c r="T1113" s="192">
        <f>$BC1113*V$11</f>
        <v/>
      </c>
      <c r="U1113" s="76">
        <f>$BC1113*W$11</f>
        <v/>
      </c>
      <c r="V1113" s="193">
        <f>+SUM(T1113:U1113)</f>
        <v/>
      </c>
      <c r="W1113" s="191" t="n"/>
      <c r="X1113" s="170" t="n"/>
      <c r="Y1113" s="76">
        <f>ROUND(IF(offer_incoterms="DDP",X1113*(S1113*(1+AW1113)+T1113),0),2)</f>
        <v/>
      </c>
      <c r="Z1113" s="188" t="n"/>
      <c r="AA1113" s="192">
        <f>IFERROR(AB1113/E1113,0)</f>
        <v/>
      </c>
      <c r="AB1113" s="76">
        <f>ROUND(SUM(S1113,V1113,Y1113:Z1113,BA1113:BB1113),2)</f>
        <v/>
      </c>
      <c r="AC1113" s="797" t="n"/>
      <c r="AD1113" s="192">
        <f t="array" ref="AD1113">IFERROR(ROUND((_xlfn.IFS(offer_sale_type="поставка",AB1113,offer_sale_type="транзит",S1113)*(1+AC1113))/E1113,2),0)</f>
        <v/>
      </c>
      <c r="AE1113" s="76">
        <f>AD1113*E1113</f>
        <v/>
      </c>
      <c r="AF1113" s="193">
        <f t="array" ref="AF1113">IFERROR(ROUND(_xlfn.IFS(offer_sale_type="поставка",AB1113,offer_sale_type="транзит",S1113)*AC1113,2),0)</f>
        <v/>
      </c>
      <c r="AG1113" s="192">
        <f>$BD1113*VLOOKUP($AG$3,$AF$4:$AG$7,2,FALSE)</f>
        <v/>
      </c>
      <c r="AH1113" s="76">
        <f>SUM(AE1113,AG1113,AI1113)*rate_forex_risk</f>
        <v/>
      </c>
      <c r="AI1113" s="193">
        <f>IF(OR(seller_region="TR",offer_sale_type="экспорт"),0,rate_fin_comm)*SUM(AZ1113,AZ1113*AW1113,T1113)</f>
        <v/>
      </c>
      <c r="AJ1113" s="118">
        <f>IFERROR(ROUND(SUM(AB1113,AF1113:AI1113)/E1113,2),0)</f>
        <v/>
      </c>
      <c r="AK1113" s="76">
        <f>AJ1113*E1113</f>
        <v/>
      </c>
      <c r="AL1113" s="174">
        <f>ROUND(IFERROR(AM1113*E1113,0),2)</f>
        <v/>
      </c>
      <c r="AM1113" s="175">
        <f>ROUND(AJ1113*(1+IF(offer_incoterms="DDP",IF((TODAY()+offer_turnaround_time)&gt;=helpsheet!$L$17,rate_vatRU_from_26,rate_vatRu_till_25),0)),2)</f>
        <v/>
      </c>
      <c r="AN1113" s="192">
        <f>AL1113-AK1113</f>
        <v/>
      </c>
      <c r="AO1113" s="76">
        <f>SUM(AY1113,Y1113:Z1113,T1113)*IF(AND(offer_incoterms="DDP",offer_sale_type&lt;&gt;"экспорт"),IF((TODAY()+offer_turnaround_time)&gt;=helpsheet!$L$17,rate_vatRU_from_26,rate_vatRu_till_25),0)</f>
        <v/>
      </c>
      <c r="AP1113" s="193">
        <f>AN1113-AO1113</f>
        <v/>
      </c>
      <c r="AQ1113" s="118">
        <f>IF(offer_sale_type="транзит",SUM(AF1113:AI1113,BA1113,BB1113),0)</f>
        <v/>
      </c>
      <c r="AR1113" s="82">
        <f>HYPERLINK("https://www.alta.ru/tnved/code/")&amp;W1113&amp;"/"</f>
        <v/>
      </c>
      <c r="AS1113" s="157" t="n"/>
      <c r="AT1113" s="162" t="n"/>
      <c r="AU1113" s="76">
        <f>IF(ISBLANK(AT1113),0,AJ1113-AT1113)</f>
        <v/>
      </c>
      <c r="AV1113" s="157" t="n"/>
      <c r="AW1113" s="75">
        <f>_xlfn.IFNA(VLOOKUP(L1113,list_vat[],3,FALSE),0)</f>
        <v/>
      </c>
      <c r="AX1113" s="76">
        <f>IFERROR(ROUND(S1113*(1+AW1113)/E1113,2),0)</f>
        <v/>
      </c>
      <c r="AY1113" s="76">
        <f>E1113*AX1113</f>
        <v/>
      </c>
      <c r="AZ1113" s="192">
        <f>S1113*(1+M1113)</f>
        <v/>
      </c>
      <c r="BA1113" s="76">
        <f>cost_fin_total*$BD1113</f>
        <v/>
      </c>
      <c r="BB1113" s="193">
        <f>credit_sales_interest*BD1113</f>
        <v/>
      </c>
      <c r="BC1113" s="102">
        <f>IFERROR(IF($I$13&gt;0,$I1113/$I$13,$S1113/$S$13),0)</f>
        <v/>
      </c>
      <c r="BD1113" s="102">
        <f>IFERROR($S1113/$S$13,0)</f>
        <v/>
      </c>
      <c r="BE1113" s="413" t="inlineStr">
        <is>
          <t>$</t>
        </is>
      </c>
    </row>
    <row r="1114" ht="12" customFormat="1" customHeight="1" s="65">
      <c r="A1114" s="43" t="n">
        <v>1099</v>
      </c>
      <c r="B1114" s="166" t="n"/>
      <c r="C1114" s="166" t="n"/>
      <c r="D1114" s="166" t="n"/>
      <c r="E1114" s="162" t="n"/>
      <c r="F1114" s="166" t="n"/>
      <c r="G1114" s="162" t="n"/>
      <c r="H1114" s="162" t="n"/>
      <c r="I1114" s="189">
        <f>E1114*G1114</f>
        <v/>
      </c>
      <c r="J1114" s="195" t="n"/>
      <c r="K1114" s="162" t="n"/>
      <c r="L1114" s="168" t="n"/>
      <c r="M1114" s="75">
        <f>_xlfn.XLOOKUP(L1114,list_vat[Страна],list_vat[Ставка НДС %],0,0)</f>
        <v/>
      </c>
      <c r="N1114" s="162">
        <f>IFERROR(IF(L1114="Китай",K1114,K1114/(1+M1114)),0)</f>
        <v/>
      </c>
      <c r="O1114" s="169" t="n"/>
      <c r="P1114" s="76">
        <f>N1114*(1-O1114)</f>
        <v/>
      </c>
      <c r="Q1114" s="162" t="n"/>
      <c r="R1114" s="162">
        <f>IF(ISBLANK(Q1114),"введи курс",P1114/Q1114)</f>
        <v/>
      </c>
      <c r="S1114" s="196">
        <f>IF(AND(ISNUMBER(E1114),ISNUMBER(Q1114)),E1114*R1114,0)</f>
        <v/>
      </c>
      <c r="T1114" s="192">
        <f>$BC1114*V$11</f>
        <v/>
      </c>
      <c r="U1114" s="76">
        <f>$BC1114*W$11</f>
        <v/>
      </c>
      <c r="V1114" s="193">
        <f>+SUM(T1114:U1114)</f>
        <v/>
      </c>
      <c r="W1114" s="191" t="n"/>
      <c r="X1114" s="170" t="n"/>
      <c r="Y1114" s="76">
        <f>ROUND(IF(offer_incoterms="DDP",X1114*(S1114*(1+AW1114)+T1114),0),2)</f>
        <v/>
      </c>
      <c r="Z1114" s="188" t="n"/>
      <c r="AA1114" s="192">
        <f>IFERROR(AB1114/E1114,0)</f>
        <v/>
      </c>
      <c r="AB1114" s="76">
        <f>ROUND(SUM(S1114,V1114,Y1114:Z1114,BA1114:BB1114),2)</f>
        <v/>
      </c>
      <c r="AC1114" s="797" t="n"/>
      <c r="AD1114" s="192">
        <f t="array" ref="AD1114">IFERROR(ROUND((_xlfn.IFS(offer_sale_type="поставка",AB1114,offer_sale_type="транзит",S1114)*(1+AC1114))/E1114,2),0)</f>
        <v/>
      </c>
      <c r="AE1114" s="76">
        <f>AD1114*E1114</f>
        <v/>
      </c>
      <c r="AF1114" s="193">
        <f t="array" ref="AF1114">IFERROR(ROUND(_xlfn.IFS(offer_sale_type="поставка",AB1114,offer_sale_type="транзит",S1114)*AC1114,2),0)</f>
        <v/>
      </c>
      <c r="AG1114" s="192">
        <f>$BD1114*VLOOKUP($AG$3,$AF$4:$AG$7,2,FALSE)</f>
        <v/>
      </c>
      <c r="AH1114" s="76">
        <f>SUM(AE1114,AG1114,AI1114)*rate_forex_risk</f>
        <v/>
      </c>
      <c r="AI1114" s="193">
        <f>IF(OR(seller_region="TR",offer_sale_type="экспорт"),0,rate_fin_comm)*SUM(AZ1114,AZ1114*AW1114,T1114)</f>
        <v/>
      </c>
      <c r="AJ1114" s="118">
        <f>IFERROR(ROUND(SUM(AB1114,AF1114:AI1114)/E1114,2),0)</f>
        <v/>
      </c>
      <c r="AK1114" s="76">
        <f>AJ1114*E1114</f>
        <v/>
      </c>
      <c r="AL1114" s="174">
        <f>ROUND(IFERROR(AM1114*E1114,0),2)</f>
        <v/>
      </c>
      <c r="AM1114" s="175">
        <f>ROUND(AJ1114*(1+IF(offer_incoterms="DDP",IF((TODAY()+offer_turnaround_time)&gt;=helpsheet!$L$17,rate_vatRU_from_26,rate_vatRu_till_25),0)),2)</f>
        <v/>
      </c>
      <c r="AN1114" s="192">
        <f>AL1114-AK1114</f>
        <v/>
      </c>
      <c r="AO1114" s="76">
        <f>SUM(AY1114,Y1114:Z1114,T1114)*IF(AND(offer_incoterms="DDP",offer_sale_type&lt;&gt;"экспорт"),IF((TODAY()+offer_turnaround_time)&gt;=helpsheet!$L$17,rate_vatRU_from_26,rate_vatRu_till_25),0)</f>
        <v/>
      </c>
      <c r="AP1114" s="193">
        <f>AN1114-AO1114</f>
        <v/>
      </c>
      <c r="AQ1114" s="118">
        <f>IF(offer_sale_type="транзит",SUM(AF1114:AI1114,BA1114,BB1114),0)</f>
        <v/>
      </c>
      <c r="AR1114" s="82">
        <f>HYPERLINK("https://www.alta.ru/tnved/code/")&amp;W1114&amp;"/"</f>
        <v/>
      </c>
      <c r="AS1114" s="157" t="n"/>
      <c r="AT1114" s="162" t="n"/>
      <c r="AU1114" s="76">
        <f>IF(ISBLANK(AT1114),0,AJ1114-AT1114)</f>
        <v/>
      </c>
      <c r="AV1114" s="157" t="n"/>
      <c r="AW1114" s="75">
        <f>_xlfn.IFNA(VLOOKUP(L1114,list_vat[],3,FALSE),0)</f>
        <v/>
      </c>
      <c r="AX1114" s="76">
        <f>IFERROR(ROUND(S1114*(1+AW1114)/E1114,2),0)</f>
        <v/>
      </c>
      <c r="AY1114" s="76">
        <f>E1114*AX1114</f>
        <v/>
      </c>
      <c r="AZ1114" s="192">
        <f>S1114*(1+M1114)</f>
        <v/>
      </c>
      <c r="BA1114" s="76">
        <f>cost_fin_total*$BD1114</f>
        <v/>
      </c>
      <c r="BB1114" s="193">
        <f>credit_sales_interest*BD1114</f>
        <v/>
      </c>
      <c r="BC1114" s="102">
        <f>IFERROR(IF($I$13&gt;0,$I1114/$I$13,$S1114/$S$13),0)</f>
        <v/>
      </c>
      <c r="BD1114" s="102">
        <f>IFERROR($S1114/$S$13,0)</f>
        <v/>
      </c>
      <c r="BE1114" s="413" t="inlineStr">
        <is>
          <t>$</t>
        </is>
      </c>
    </row>
    <row r="1115" ht="12" customFormat="1" customHeight="1" s="65">
      <c r="A1115" s="43" t="n">
        <v>1100</v>
      </c>
      <c r="B1115" s="166" t="n"/>
      <c r="C1115" s="166" t="n"/>
      <c r="D1115" s="166" t="n"/>
      <c r="E1115" s="162" t="n"/>
      <c r="F1115" s="166" t="n"/>
      <c r="G1115" s="162" t="n"/>
      <c r="H1115" s="162" t="n"/>
      <c r="I1115" s="189">
        <f>E1115*G1115</f>
        <v/>
      </c>
      <c r="J1115" s="195" t="n"/>
      <c r="K1115" s="162" t="n"/>
      <c r="L1115" s="168" t="n"/>
      <c r="M1115" s="75">
        <f>_xlfn.XLOOKUP(L1115,list_vat[Страна],list_vat[Ставка НДС %],0,0)</f>
        <v/>
      </c>
      <c r="N1115" s="162">
        <f>IFERROR(IF(L1115="Китай",K1115,K1115/(1+M1115)),0)</f>
        <v/>
      </c>
      <c r="O1115" s="169" t="n"/>
      <c r="P1115" s="76">
        <f>N1115*(1-O1115)</f>
        <v/>
      </c>
      <c r="Q1115" s="162" t="n"/>
      <c r="R1115" s="162">
        <f>IF(ISBLANK(Q1115),"введи курс",P1115/Q1115)</f>
        <v/>
      </c>
      <c r="S1115" s="196">
        <f>IF(AND(ISNUMBER(E1115),ISNUMBER(Q1115)),E1115*R1115,0)</f>
        <v/>
      </c>
      <c r="T1115" s="192">
        <f>$BC1115*V$11</f>
        <v/>
      </c>
      <c r="U1115" s="76">
        <f>$BC1115*W$11</f>
        <v/>
      </c>
      <c r="V1115" s="193">
        <f>+SUM(T1115:U1115)</f>
        <v/>
      </c>
      <c r="W1115" s="191" t="n"/>
      <c r="X1115" s="170" t="n"/>
      <c r="Y1115" s="76">
        <f>ROUND(IF(offer_incoterms="DDP",X1115*(S1115*(1+AW1115)+T1115),0),2)</f>
        <v/>
      </c>
      <c r="Z1115" s="188" t="n"/>
      <c r="AA1115" s="192">
        <f>IFERROR(AB1115/E1115,0)</f>
        <v/>
      </c>
      <c r="AB1115" s="76">
        <f>ROUND(SUM(S1115,V1115,Y1115:Z1115,BA1115:BB1115),2)</f>
        <v/>
      </c>
      <c r="AC1115" s="797" t="n"/>
      <c r="AD1115" s="192">
        <f t="array" ref="AD1115">IFERROR(ROUND((_xlfn.IFS(offer_sale_type="поставка",AB1115,offer_sale_type="транзит",S1115)*(1+AC1115))/E1115,2),0)</f>
        <v/>
      </c>
      <c r="AE1115" s="76">
        <f>AD1115*E1115</f>
        <v/>
      </c>
      <c r="AF1115" s="193">
        <f t="array" ref="AF1115">IFERROR(ROUND(_xlfn.IFS(offer_sale_type="поставка",AB1115,offer_sale_type="транзит",S1115)*AC1115,2),0)</f>
        <v/>
      </c>
      <c r="AG1115" s="192">
        <f>$BD1115*VLOOKUP($AG$3,$AF$4:$AG$7,2,FALSE)</f>
        <v/>
      </c>
      <c r="AH1115" s="76">
        <f>SUM(AE1115,AG1115,AI1115)*rate_forex_risk</f>
        <v/>
      </c>
      <c r="AI1115" s="193">
        <f>IF(OR(seller_region="TR",offer_sale_type="экспорт"),0,rate_fin_comm)*SUM(AZ1115,AZ1115*AW1115,T1115)</f>
        <v/>
      </c>
      <c r="AJ1115" s="118">
        <f>IFERROR(ROUND(SUM(AB1115,AF1115:AI1115)/E1115,2),0)</f>
        <v/>
      </c>
      <c r="AK1115" s="76">
        <f>AJ1115*E1115</f>
        <v/>
      </c>
      <c r="AL1115" s="174">
        <f>ROUND(IFERROR(AM1115*E1115,0),2)</f>
        <v/>
      </c>
      <c r="AM1115" s="175">
        <f>ROUND(AJ1115*(1+IF(offer_incoterms="DDP",IF((TODAY()+offer_turnaround_time)&gt;=helpsheet!$L$17,rate_vatRU_from_26,rate_vatRu_till_25),0)),2)</f>
        <v/>
      </c>
      <c r="AN1115" s="192">
        <f>AL1115-AK1115</f>
        <v/>
      </c>
      <c r="AO1115" s="76">
        <f>SUM(AY1115,Y1115:Z1115,T1115)*IF(AND(offer_incoterms="DDP",offer_sale_type&lt;&gt;"экспорт"),IF((TODAY()+offer_turnaround_time)&gt;=helpsheet!$L$17,rate_vatRU_from_26,rate_vatRu_till_25),0)</f>
        <v/>
      </c>
      <c r="AP1115" s="193">
        <f>AN1115-AO1115</f>
        <v/>
      </c>
      <c r="AQ1115" s="118">
        <f>IF(offer_sale_type="транзит",SUM(AF1115:AI1115,BA1115,BB1115),0)</f>
        <v/>
      </c>
      <c r="AR1115" s="82">
        <f>HYPERLINK("https://www.alta.ru/tnved/code/")&amp;W1115&amp;"/"</f>
        <v/>
      </c>
      <c r="AS1115" s="157" t="n"/>
      <c r="AT1115" s="162" t="n"/>
      <c r="AU1115" s="76">
        <f>IF(ISBLANK(AT1115),0,AJ1115-AT1115)</f>
        <v/>
      </c>
      <c r="AV1115" s="157" t="n"/>
      <c r="AW1115" s="75">
        <f>_xlfn.IFNA(VLOOKUP(L1115,list_vat[],3,FALSE),0)</f>
        <v/>
      </c>
      <c r="AX1115" s="76">
        <f>IFERROR(ROUND(S1115*(1+AW1115)/E1115,2),0)</f>
        <v/>
      </c>
      <c r="AY1115" s="76">
        <f>E1115*AX1115</f>
        <v/>
      </c>
      <c r="AZ1115" s="192">
        <f>S1115*(1+M1115)</f>
        <v/>
      </c>
      <c r="BA1115" s="76">
        <f>cost_fin_total*$BD1115</f>
        <v/>
      </c>
      <c r="BB1115" s="193">
        <f>credit_sales_interest*BD1115</f>
        <v/>
      </c>
      <c r="BC1115" s="102">
        <f>IFERROR(IF($I$13&gt;0,$I1115/$I$13,$S1115/$S$13),0)</f>
        <v/>
      </c>
      <c r="BD1115" s="102">
        <f>IFERROR($S1115/$S$13,0)</f>
        <v/>
      </c>
      <c r="BE1115" s="413" t="inlineStr">
        <is>
          <t>$</t>
        </is>
      </c>
    </row>
    <row r="1116" ht="12" customFormat="1" customHeight="1" s="65">
      <c r="A1116" s="43" t="n">
        <v>1101</v>
      </c>
      <c r="B1116" s="166" t="n"/>
      <c r="C1116" s="166" t="n"/>
      <c r="D1116" s="166" t="n"/>
      <c r="E1116" s="162" t="n"/>
      <c r="F1116" s="166" t="n"/>
      <c r="G1116" s="162" t="n"/>
      <c r="H1116" s="162" t="n"/>
      <c r="I1116" s="189">
        <f>E1116*G1116</f>
        <v/>
      </c>
      <c r="J1116" s="195" t="n"/>
      <c r="K1116" s="162" t="n"/>
      <c r="L1116" s="168" t="n"/>
      <c r="M1116" s="75">
        <f>_xlfn.XLOOKUP(L1116,list_vat[Страна],list_vat[Ставка НДС %],0,0)</f>
        <v/>
      </c>
      <c r="N1116" s="162">
        <f>IFERROR(IF(L1116="Китай",K1116,K1116/(1+M1116)),0)</f>
        <v/>
      </c>
      <c r="O1116" s="169" t="n"/>
      <c r="P1116" s="76">
        <f>N1116*(1-O1116)</f>
        <v/>
      </c>
      <c r="Q1116" s="162" t="n"/>
      <c r="R1116" s="162">
        <f>IF(ISBLANK(Q1116),"введи курс",P1116/Q1116)</f>
        <v/>
      </c>
      <c r="S1116" s="196">
        <f>IF(AND(ISNUMBER(E1116),ISNUMBER(Q1116)),E1116*R1116,0)</f>
        <v/>
      </c>
      <c r="T1116" s="192">
        <f>$BC1116*V$11</f>
        <v/>
      </c>
      <c r="U1116" s="76">
        <f>$BC1116*W$11</f>
        <v/>
      </c>
      <c r="V1116" s="193">
        <f>+SUM(T1116:U1116)</f>
        <v/>
      </c>
      <c r="W1116" s="191" t="n"/>
      <c r="X1116" s="170" t="n"/>
      <c r="Y1116" s="76">
        <f>ROUND(IF(offer_incoterms="DDP",X1116*(S1116*(1+AW1116)+T1116),0),2)</f>
        <v/>
      </c>
      <c r="Z1116" s="188" t="n"/>
      <c r="AA1116" s="192">
        <f>IFERROR(AB1116/E1116,0)</f>
        <v/>
      </c>
      <c r="AB1116" s="76">
        <f>ROUND(SUM(S1116,V1116,Y1116:Z1116,BA1116:BB1116),2)</f>
        <v/>
      </c>
      <c r="AC1116" s="797" t="n"/>
      <c r="AD1116" s="192">
        <f t="array" ref="AD1116">IFERROR(ROUND((_xlfn.IFS(offer_sale_type="поставка",AB1116,offer_sale_type="транзит",S1116)*(1+AC1116))/E1116,2),0)</f>
        <v/>
      </c>
      <c r="AE1116" s="76">
        <f>AD1116*E1116</f>
        <v/>
      </c>
      <c r="AF1116" s="193">
        <f t="array" ref="AF1116">IFERROR(ROUND(_xlfn.IFS(offer_sale_type="поставка",AB1116,offer_sale_type="транзит",S1116)*AC1116,2),0)</f>
        <v/>
      </c>
      <c r="AG1116" s="192">
        <f>$BD1116*VLOOKUP($AG$3,$AF$4:$AG$7,2,FALSE)</f>
        <v/>
      </c>
      <c r="AH1116" s="76">
        <f>SUM(AE1116,AG1116,AI1116)*rate_forex_risk</f>
        <v/>
      </c>
      <c r="AI1116" s="193">
        <f>IF(OR(seller_region="TR",offer_sale_type="экспорт"),0,rate_fin_comm)*SUM(AZ1116,AZ1116*AW1116,T1116)</f>
        <v/>
      </c>
      <c r="AJ1116" s="118">
        <f>IFERROR(ROUND(SUM(AB1116,AF1116:AI1116)/E1116,2),0)</f>
        <v/>
      </c>
      <c r="AK1116" s="76">
        <f>AJ1116*E1116</f>
        <v/>
      </c>
      <c r="AL1116" s="174">
        <f>ROUND(IFERROR(AM1116*E1116,0),2)</f>
        <v/>
      </c>
      <c r="AM1116" s="175">
        <f>ROUND(AJ1116*(1+IF(offer_incoterms="DDP",IF((TODAY()+offer_turnaround_time)&gt;=helpsheet!$L$17,rate_vatRU_from_26,rate_vatRu_till_25),0)),2)</f>
        <v/>
      </c>
      <c r="AN1116" s="192">
        <f>AL1116-AK1116</f>
        <v/>
      </c>
      <c r="AO1116" s="76">
        <f>SUM(AY1116,Y1116:Z1116,T1116)*IF(AND(offer_incoterms="DDP",offer_sale_type&lt;&gt;"экспорт"),IF((TODAY()+offer_turnaround_time)&gt;=helpsheet!$L$17,rate_vatRU_from_26,rate_vatRu_till_25),0)</f>
        <v/>
      </c>
      <c r="AP1116" s="193">
        <f>AN1116-AO1116</f>
        <v/>
      </c>
      <c r="AQ1116" s="118">
        <f>IF(offer_sale_type="транзит",SUM(AF1116:AI1116,BA1116,BB1116),0)</f>
        <v/>
      </c>
      <c r="AR1116" s="82">
        <f>HYPERLINK("https://www.alta.ru/tnved/code/")&amp;W1116&amp;"/"</f>
        <v/>
      </c>
      <c r="AS1116" s="157" t="n"/>
      <c r="AT1116" s="162" t="n"/>
      <c r="AU1116" s="76">
        <f>IF(ISBLANK(AT1116),0,AJ1116-AT1116)</f>
        <v/>
      </c>
      <c r="AV1116" s="157" t="n"/>
      <c r="AW1116" s="75">
        <f>_xlfn.IFNA(VLOOKUP(L1116,list_vat[],3,FALSE),0)</f>
        <v/>
      </c>
      <c r="AX1116" s="76">
        <f>IFERROR(ROUND(S1116*(1+AW1116)/E1116,2),0)</f>
        <v/>
      </c>
      <c r="AY1116" s="76">
        <f>E1116*AX1116</f>
        <v/>
      </c>
      <c r="AZ1116" s="192">
        <f>S1116*(1+M1116)</f>
        <v/>
      </c>
      <c r="BA1116" s="76">
        <f>cost_fin_total*$BD1116</f>
        <v/>
      </c>
      <c r="BB1116" s="193">
        <f>credit_sales_interest*BD1116</f>
        <v/>
      </c>
      <c r="BC1116" s="102">
        <f>IFERROR(IF($I$13&gt;0,$I1116/$I$13,$S1116/$S$13),0)</f>
        <v/>
      </c>
      <c r="BD1116" s="102">
        <f>IFERROR($S1116/$S$13,0)</f>
        <v/>
      </c>
      <c r="BE1116" s="413" t="inlineStr">
        <is>
          <t>$</t>
        </is>
      </c>
    </row>
    <row r="1117" ht="12" customFormat="1" customHeight="1" s="65">
      <c r="A1117" s="43" t="n">
        <v>1102</v>
      </c>
      <c r="B1117" s="166" t="n"/>
      <c r="C1117" s="166" t="n"/>
      <c r="D1117" s="166" t="n"/>
      <c r="E1117" s="162" t="n"/>
      <c r="F1117" s="166" t="n"/>
      <c r="G1117" s="162" t="n"/>
      <c r="H1117" s="162" t="n"/>
      <c r="I1117" s="189">
        <f>E1117*G1117</f>
        <v/>
      </c>
      <c r="J1117" s="195" t="n"/>
      <c r="K1117" s="162" t="n"/>
      <c r="L1117" s="168" t="n"/>
      <c r="M1117" s="75">
        <f>_xlfn.XLOOKUP(L1117,list_vat[Страна],list_vat[Ставка НДС %],0,0)</f>
        <v/>
      </c>
      <c r="N1117" s="162">
        <f>IFERROR(IF(L1117="Китай",K1117,K1117/(1+M1117)),0)</f>
        <v/>
      </c>
      <c r="O1117" s="169" t="n"/>
      <c r="P1117" s="76">
        <f>N1117*(1-O1117)</f>
        <v/>
      </c>
      <c r="Q1117" s="162" t="n"/>
      <c r="R1117" s="162">
        <f>IF(ISBLANK(Q1117),"введи курс",P1117/Q1117)</f>
        <v/>
      </c>
      <c r="S1117" s="196">
        <f>IF(AND(ISNUMBER(E1117),ISNUMBER(Q1117)),E1117*R1117,0)</f>
        <v/>
      </c>
      <c r="T1117" s="192">
        <f>$BC1117*V$11</f>
        <v/>
      </c>
      <c r="U1117" s="76">
        <f>$BC1117*W$11</f>
        <v/>
      </c>
      <c r="V1117" s="193">
        <f>+SUM(T1117:U1117)</f>
        <v/>
      </c>
      <c r="W1117" s="191" t="n"/>
      <c r="X1117" s="170" t="n"/>
      <c r="Y1117" s="76">
        <f>ROUND(IF(offer_incoterms="DDP",X1117*(S1117*(1+AW1117)+T1117),0),2)</f>
        <v/>
      </c>
      <c r="Z1117" s="188" t="n"/>
      <c r="AA1117" s="192">
        <f>IFERROR(AB1117/E1117,0)</f>
        <v/>
      </c>
      <c r="AB1117" s="76">
        <f>ROUND(SUM(S1117,V1117,Y1117:Z1117,BA1117:BB1117),2)</f>
        <v/>
      </c>
      <c r="AC1117" s="797" t="n"/>
      <c r="AD1117" s="192">
        <f t="array" ref="AD1117">IFERROR(ROUND((_xlfn.IFS(offer_sale_type="поставка",AB1117,offer_sale_type="транзит",S1117)*(1+AC1117))/E1117,2),0)</f>
        <v/>
      </c>
      <c r="AE1117" s="76">
        <f>AD1117*E1117</f>
        <v/>
      </c>
      <c r="AF1117" s="193">
        <f t="array" ref="AF1117">IFERROR(ROUND(_xlfn.IFS(offer_sale_type="поставка",AB1117,offer_sale_type="транзит",S1117)*AC1117,2),0)</f>
        <v/>
      </c>
      <c r="AG1117" s="192">
        <f>$BD1117*VLOOKUP($AG$3,$AF$4:$AG$7,2,FALSE)</f>
        <v/>
      </c>
      <c r="AH1117" s="76">
        <f>SUM(AE1117,AG1117,AI1117)*rate_forex_risk</f>
        <v/>
      </c>
      <c r="AI1117" s="193">
        <f>IF(OR(seller_region="TR",offer_sale_type="экспорт"),0,rate_fin_comm)*SUM(AZ1117,AZ1117*AW1117,T1117)</f>
        <v/>
      </c>
      <c r="AJ1117" s="118">
        <f>IFERROR(ROUND(SUM(AB1117,AF1117:AI1117)/E1117,2),0)</f>
        <v/>
      </c>
      <c r="AK1117" s="76">
        <f>AJ1117*E1117</f>
        <v/>
      </c>
      <c r="AL1117" s="174">
        <f>ROUND(IFERROR(AM1117*E1117,0),2)</f>
        <v/>
      </c>
      <c r="AM1117" s="175">
        <f>ROUND(AJ1117*(1+IF(offer_incoterms="DDP",IF((TODAY()+offer_turnaround_time)&gt;=helpsheet!$L$17,rate_vatRU_from_26,rate_vatRu_till_25),0)),2)</f>
        <v/>
      </c>
      <c r="AN1117" s="192">
        <f>AL1117-AK1117</f>
        <v/>
      </c>
      <c r="AO1117" s="76">
        <f>SUM(AY1117,Y1117:Z1117,T1117)*IF(AND(offer_incoterms="DDP",offer_sale_type&lt;&gt;"экспорт"),IF((TODAY()+offer_turnaround_time)&gt;=helpsheet!$L$17,rate_vatRU_from_26,rate_vatRu_till_25),0)</f>
        <v/>
      </c>
      <c r="AP1117" s="193">
        <f>AN1117-AO1117</f>
        <v/>
      </c>
      <c r="AQ1117" s="118">
        <f>IF(offer_sale_type="транзит",SUM(AF1117:AI1117,BA1117,BB1117),0)</f>
        <v/>
      </c>
      <c r="AR1117" s="82">
        <f>HYPERLINK("https://www.alta.ru/tnved/code/")&amp;W1117&amp;"/"</f>
        <v/>
      </c>
      <c r="AS1117" s="157" t="n"/>
      <c r="AT1117" s="162" t="n"/>
      <c r="AU1117" s="76">
        <f>IF(ISBLANK(AT1117),0,AJ1117-AT1117)</f>
        <v/>
      </c>
      <c r="AV1117" s="157" t="n"/>
      <c r="AW1117" s="75">
        <f>_xlfn.IFNA(VLOOKUP(L1117,list_vat[],3,FALSE),0)</f>
        <v/>
      </c>
      <c r="AX1117" s="76">
        <f>IFERROR(ROUND(S1117*(1+AW1117)/E1117,2),0)</f>
        <v/>
      </c>
      <c r="AY1117" s="76">
        <f>E1117*AX1117</f>
        <v/>
      </c>
      <c r="AZ1117" s="192">
        <f>S1117*(1+M1117)</f>
        <v/>
      </c>
      <c r="BA1117" s="76">
        <f>cost_fin_total*$BD1117</f>
        <v/>
      </c>
      <c r="BB1117" s="193">
        <f>credit_sales_interest*BD1117</f>
        <v/>
      </c>
      <c r="BC1117" s="102">
        <f>IFERROR(IF($I$13&gt;0,$I1117/$I$13,$S1117/$S$13),0)</f>
        <v/>
      </c>
      <c r="BD1117" s="102">
        <f>IFERROR($S1117/$S$13,0)</f>
        <v/>
      </c>
      <c r="BE1117" s="413" t="inlineStr">
        <is>
          <t>$</t>
        </is>
      </c>
    </row>
    <row r="1118" ht="12" customFormat="1" customHeight="1" s="65">
      <c r="A1118" s="43" t="n">
        <v>1103</v>
      </c>
      <c r="B1118" s="166" t="n"/>
      <c r="C1118" s="166" t="n"/>
      <c r="D1118" s="166" t="n"/>
      <c r="E1118" s="162" t="n"/>
      <c r="F1118" s="166" t="n"/>
      <c r="G1118" s="162" t="n"/>
      <c r="H1118" s="162" t="n"/>
      <c r="I1118" s="189">
        <f>E1118*G1118</f>
        <v/>
      </c>
      <c r="J1118" s="195" t="n"/>
      <c r="K1118" s="162" t="n"/>
      <c r="L1118" s="168" t="n"/>
      <c r="M1118" s="75">
        <f>_xlfn.XLOOKUP(L1118,list_vat[Страна],list_vat[Ставка НДС %],0,0)</f>
        <v/>
      </c>
      <c r="N1118" s="162">
        <f>IFERROR(IF(L1118="Китай",K1118,K1118/(1+M1118)),0)</f>
        <v/>
      </c>
      <c r="O1118" s="169" t="n"/>
      <c r="P1118" s="76">
        <f>N1118*(1-O1118)</f>
        <v/>
      </c>
      <c r="Q1118" s="162" t="n"/>
      <c r="R1118" s="162">
        <f>IF(ISBLANK(Q1118),"введи курс",P1118/Q1118)</f>
        <v/>
      </c>
      <c r="S1118" s="196">
        <f>IF(AND(ISNUMBER(E1118),ISNUMBER(Q1118)),E1118*R1118,0)</f>
        <v/>
      </c>
      <c r="T1118" s="192">
        <f>$BC1118*V$11</f>
        <v/>
      </c>
      <c r="U1118" s="76">
        <f>$BC1118*W$11</f>
        <v/>
      </c>
      <c r="V1118" s="193">
        <f>+SUM(T1118:U1118)</f>
        <v/>
      </c>
      <c r="W1118" s="191" t="n"/>
      <c r="X1118" s="170" t="n"/>
      <c r="Y1118" s="76">
        <f>ROUND(IF(offer_incoterms="DDP",X1118*(S1118*(1+AW1118)+T1118),0),2)</f>
        <v/>
      </c>
      <c r="Z1118" s="188" t="n"/>
      <c r="AA1118" s="192">
        <f>IFERROR(AB1118/E1118,0)</f>
        <v/>
      </c>
      <c r="AB1118" s="76">
        <f>ROUND(SUM(S1118,V1118,Y1118:Z1118,BA1118:BB1118),2)</f>
        <v/>
      </c>
      <c r="AC1118" s="797" t="n"/>
      <c r="AD1118" s="192">
        <f t="array" ref="AD1118">IFERROR(ROUND((_xlfn.IFS(offer_sale_type="поставка",AB1118,offer_sale_type="транзит",S1118)*(1+AC1118))/E1118,2),0)</f>
        <v/>
      </c>
      <c r="AE1118" s="76">
        <f>AD1118*E1118</f>
        <v/>
      </c>
      <c r="AF1118" s="193">
        <f t="array" ref="AF1118">IFERROR(ROUND(_xlfn.IFS(offer_sale_type="поставка",AB1118,offer_sale_type="транзит",S1118)*AC1118,2),0)</f>
        <v/>
      </c>
      <c r="AG1118" s="192">
        <f>$BD1118*VLOOKUP($AG$3,$AF$4:$AG$7,2,FALSE)</f>
        <v/>
      </c>
      <c r="AH1118" s="76">
        <f>SUM(AE1118,AG1118,AI1118)*rate_forex_risk</f>
        <v/>
      </c>
      <c r="AI1118" s="193">
        <f>IF(OR(seller_region="TR",offer_sale_type="экспорт"),0,rate_fin_comm)*SUM(AZ1118,AZ1118*AW1118,T1118)</f>
        <v/>
      </c>
      <c r="AJ1118" s="118">
        <f>IFERROR(ROUND(SUM(AB1118,AF1118:AI1118)/E1118,2),0)</f>
        <v/>
      </c>
      <c r="AK1118" s="76">
        <f>AJ1118*E1118</f>
        <v/>
      </c>
      <c r="AL1118" s="174">
        <f>ROUND(IFERROR(AM1118*E1118,0),2)</f>
        <v/>
      </c>
      <c r="AM1118" s="175">
        <f>ROUND(AJ1118*(1+IF(offer_incoterms="DDP",IF((TODAY()+offer_turnaround_time)&gt;=helpsheet!$L$17,rate_vatRU_from_26,rate_vatRu_till_25),0)),2)</f>
        <v/>
      </c>
      <c r="AN1118" s="192">
        <f>AL1118-AK1118</f>
        <v/>
      </c>
      <c r="AO1118" s="76">
        <f>SUM(AY1118,Y1118:Z1118,T1118)*IF(AND(offer_incoterms="DDP",offer_sale_type&lt;&gt;"экспорт"),IF((TODAY()+offer_turnaround_time)&gt;=helpsheet!$L$17,rate_vatRU_from_26,rate_vatRu_till_25),0)</f>
        <v/>
      </c>
      <c r="AP1118" s="193">
        <f>AN1118-AO1118</f>
        <v/>
      </c>
      <c r="AQ1118" s="118">
        <f>IF(offer_sale_type="транзит",SUM(AF1118:AI1118,BA1118,BB1118),0)</f>
        <v/>
      </c>
      <c r="AR1118" s="82">
        <f>HYPERLINK("https://www.alta.ru/tnved/code/")&amp;W1118&amp;"/"</f>
        <v/>
      </c>
      <c r="AS1118" s="157" t="n"/>
      <c r="AT1118" s="162" t="n"/>
      <c r="AU1118" s="76">
        <f>IF(ISBLANK(AT1118),0,AJ1118-AT1118)</f>
        <v/>
      </c>
      <c r="AV1118" s="157" t="n"/>
      <c r="AW1118" s="75">
        <f>_xlfn.IFNA(VLOOKUP(L1118,list_vat[],3,FALSE),0)</f>
        <v/>
      </c>
      <c r="AX1118" s="76">
        <f>IFERROR(ROUND(S1118*(1+AW1118)/E1118,2),0)</f>
        <v/>
      </c>
      <c r="AY1118" s="76">
        <f>E1118*AX1118</f>
        <v/>
      </c>
      <c r="AZ1118" s="192">
        <f>S1118*(1+M1118)</f>
        <v/>
      </c>
      <c r="BA1118" s="76">
        <f>cost_fin_total*$BD1118</f>
        <v/>
      </c>
      <c r="BB1118" s="193">
        <f>credit_sales_interest*BD1118</f>
        <v/>
      </c>
      <c r="BC1118" s="102">
        <f>IFERROR(IF($I$13&gt;0,$I1118/$I$13,$S1118/$S$13),0)</f>
        <v/>
      </c>
      <c r="BD1118" s="102">
        <f>IFERROR($S1118/$S$13,0)</f>
        <v/>
      </c>
      <c r="BE1118" s="413" t="inlineStr">
        <is>
          <t>$</t>
        </is>
      </c>
    </row>
    <row r="1119" ht="12" customFormat="1" customHeight="1" s="65">
      <c r="A1119" s="43" t="n">
        <v>1104</v>
      </c>
      <c r="B1119" s="166" t="n"/>
      <c r="C1119" s="166" t="n"/>
      <c r="D1119" s="166" t="n"/>
      <c r="E1119" s="162" t="n"/>
      <c r="F1119" s="166" t="n"/>
      <c r="G1119" s="162" t="n"/>
      <c r="H1119" s="162" t="n"/>
      <c r="I1119" s="189">
        <f>E1119*G1119</f>
        <v/>
      </c>
      <c r="J1119" s="195" t="n"/>
      <c r="K1119" s="162" t="n"/>
      <c r="L1119" s="168" t="n"/>
      <c r="M1119" s="75">
        <f>_xlfn.XLOOKUP(L1119,list_vat[Страна],list_vat[Ставка НДС %],0,0)</f>
        <v/>
      </c>
      <c r="N1119" s="162">
        <f>IFERROR(IF(L1119="Китай",K1119,K1119/(1+M1119)),0)</f>
        <v/>
      </c>
      <c r="O1119" s="169" t="n"/>
      <c r="P1119" s="76">
        <f>N1119*(1-O1119)</f>
        <v/>
      </c>
      <c r="Q1119" s="162" t="n"/>
      <c r="R1119" s="162">
        <f>IF(ISBLANK(Q1119),"введи курс",P1119/Q1119)</f>
        <v/>
      </c>
      <c r="S1119" s="196">
        <f>IF(AND(ISNUMBER(E1119),ISNUMBER(Q1119)),E1119*R1119,0)</f>
        <v/>
      </c>
      <c r="T1119" s="192">
        <f>$BC1119*V$11</f>
        <v/>
      </c>
      <c r="U1119" s="76">
        <f>$BC1119*W$11</f>
        <v/>
      </c>
      <c r="V1119" s="193">
        <f>+SUM(T1119:U1119)</f>
        <v/>
      </c>
      <c r="W1119" s="191" t="n"/>
      <c r="X1119" s="170" t="n"/>
      <c r="Y1119" s="76">
        <f>ROUND(IF(offer_incoterms="DDP",X1119*(S1119*(1+AW1119)+T1119),0),2)</f>
        <v/>
      </c>
      <c r="Z1119" s="188" t="n"/>
      <c r="AA1119" s="192">
        <f>IFERROR(AB1119/E1119,0)</f>
        <v/>
      </c>
      <c r="AB1119" s="76">
        <f>ROUND(SUM(S1119,V1119,Y1119:Z1119,BA1119:BB1119),2)</f>
        <v/>
      </c>
      <c r="AC1119" s="797" t="n"/>
      <c r="AD1119" s="192">
        <f t="array" ref="AD1119">IFERROR(ROUND((_xlfn.IFS(offer_sale_type="поставка",AB1119,offer_sale_type="транзит",S1119)*(1+AC1119))/E1119,2),0)</f>
        <v/>
      </c>
      <c r="AE1119" s="76">
        <f>AD1119*E1119</f>
        <v/>
      </c>
      <c r="AF1119" s="193">
        <f t="array" ref="AF1119">IFERROR(ROUND(_xlfn.IFS(offer_sale_type="поставка",AB1119,offer_sale_type="транзит",S1119)*AC1119,2),0)</f>
        <v/>
      </c>
      <c r="AG1119" s="192">
        <f>$BD1119*VLOOKUP($AG$3,$AF$4:$AG$7,2,FALSE)</f>
        <v/>
      </c>
      <c r="AH1119" s="76">
        <f>SUM(AE1119,AG1119,AI1119)*rate_forex_risk</f>
        <v/>
      </c>
      <c r="AI1119" s="193">
        <f>IF(OR(seller_region="TR",offer_sale_type="экспорт"),0,rate_fin_comm)*SUM(AZ1119,AZ1119*AW1119,T1119)</f>
        <v/>
      </c>
      <c r="AJ1119" s="118">
        <f>IFERROR(ROUND(SUM(AB1119,AF1119:AI1119)/E1119,2),0)</f>
        <v/>
      </c>
      <c r="AK1119" s="76">
        <f>AJ1119*E1119</f>
        <v/>
      </c>
      <c r="AL1119" s="174">
        <f>ROUND(IFERROR(AM1119*E1119,0),2)</f>
        <v/>
      </c>
      <c r="AM1119" s="175">
        <f>ROUND(AJ1119*(1+IF(offer_incoterms="DDP",IF((TODAY()+offer_turnaround_time)&gt;=helpsheet!$L$17,rate_vatRU_from_26,rate_vatRu_till_25),0)),2)</f>
        <v/>
      </c>
      <c r="AN1119" s="192">
        <f>AL1119-AK1119</f>
        <v/>
      </c>
      <c r="AO1119" s="76">
        <f>SUM(AY1119,Y1119:Z1119,T1119)*IF(AND(offer_incoterms="DDP",offer_sale_type&lt;&gt;"экспорт"),IF((TODAY()+offer_turnaround_time)&gt;=helpsheet!$L$17,rate_vatRU_from_26,rate_vatRu_till_25),0)</f>
        <v/>
      </c>
      <c r="AP1119" s="193">
        <f>AN1119-AO1119</f>
        <v/>
      </c>
      <c r="AQ1119" s="118">
        <f>IF(offer_sale_type="транзит",SUM(AF1119:AI1119,BA1119,BB1119),0)</f>
        <v/>
      </c>
      <c r="AR1119" s="82">
        <f>HYPERLINK("https://www.alta.ru/tnved/code/")&amp;W1119&amp;"/"</f>
        <v/>
      </c>
      <c r="AS1119" s="157" t="n"/>
      <c r="AT1119" s="162" t="n"/>
      <c r="AU1119" s="76">
        <f>IF(ISBLANK(AT1119),0,AJ1119-AT1119)</f>
        <v/>
      </c>
      <c r="AV1119" s="157" t="n"/>
      <c r="AW1119" s="75">
        <f>_xlfn.IFNA(VLOOKUP(L1119,list_vat[],3,FALSE),0)</f>
        <v/>
      </c>
      <c r="AX1119" s="76">
        <f>IFERROR(ROUND(S1119*(1+AW1119)/E1119,2),0)</f>
        <v/>
      </c>
      <c r="AY1119" s="76">
        <f>E1119*AX1119</f>
        <v/>
      </c>
      <c r="AZ1119" s="192">
        <f>S1119*(1+M1119)</f>
        <v/>
      </c>
      <c r="BA1119" s="76">
        <f>cost_fin_total*$BD1119</f>
        <v/>
      </c>
      <c r="BB1119" s="193">
        <f>credit_sales_interest*BD1119</f>
        <v/>
      </c>
      <c r="BC1119" s="102">
        <f>IFERROR(IF($I$13&gt;0,$I1119/$I$13,$S1119/$S$13),0)</f>
        <v/>
      </c>
      <c r="BD1119" s="102">
        <f>IFERROR($S1119/$S$13,0)</f>
        <v/>
      </c>
      <c r="BE1119" s="413" t="inlineStr">
        <is>
          <t>$</t>
        </is>
      </c>
    </row>
    <row r="1120" ht="12" customFormat="1" customHeight="1" s="65">
      <c r="A1120" s="43" t="n">
        <v>1105</v>
      </c>
      <c r="B1120" s="166" t="n"/>
      <c r="C1120" s="166" t="n"/>
      <c r="D1120" s="166" t="n"/>
      <c r="E1120" s="162" t="n"/>
      <c r="F1120" s="166" t="n"/>
      <c r="G1120" s="162" t="n"/>
      <c r="H1120" s="162" t="n"/>
      <c r="I1120" s="189">
        <f>E1120*G1120</f>
        <v/>
      </c>
      <c r="J1120" s="195" t="n"/>
      <c r="K1120" s="162" t="n"/>
      <c r="L1120" s="168" t="n"/>
      <c r="M1120" s="75">
        <f>_xlfn.XLOOKUP(L1120,list_vat[Страна],list_vat[Ставка НДС %],0,0)</f>
        <v/>
      </c>
      <c r="N1120" s="162">
        <f>IFERROR(IF(L1120="Китай",K1120,K1120/(1+M1120)),0)</f>
        <v/>
      </c>
      <c r="O1120" s="169" t="n"/>
      <c r="P1120" s="76">
        <f>N1120*(1-O1120)</f>
        <v/>
      </c>
      <c r="Q1120" s="162" t="n"/>
      <c r="R1120" s="162">
        <f>IF(ISBLANK(Q1120),"введи курс",P1120/Q1120)</f>
        <v/>
      </c>
      <c r="S1120" s="196">
        <f>IF(AND(ISNUMBER(E1120),ISNUMBER(Q1120)),E1120*R1120,0)</f>
        <v/>
      </c>
      <c r="T1120" s="192">
        <f>$BC1120*V$11</f>
        <v/>
      </c>
      <c r="U1120" s="76">
        <f>$BC1120*W$11</f>
        <v/>
      </c>
      <c r="V1120" s="193">
        <f>+SUM(T1120:U1120)</f>
        <v/>
      </c>
      <c r="W1120" s="191" t="n"/>
      <c r="X1120" s="170" t="n"/>
      <c r="Y1120" s="76">
        <f>ROUND(IF(offer_incoterms="DDP",X1120*(S1120*(1+AW1120)+T1120),0),2)</f>
        <v/>
      </c>
      <c r="Z1120" s="188" t="n"/>
      <c r="AA1120" s="192">
        <f>IFERROR(AB1120/E1120,0)</f>
        <v/>
      </c>
      <c r="AB1120" s="76">
        <f>ROUND(SUM(S1120,V1120,Y1120:Z1120,BA1120:BB1120),2)</f>
        <v/>
      </c>
      <c r="AC1120" s="797" t="n"/>
      <c r="AD1120" s="192">
        <f t="array" ref="AD1120">IFERROR(ROUND((_xlfn.IFS(offer_sale_type="поставка",AB1120,offer_sale_type="транзит",S1120)*(1+AC1120))/E1120,2),0)</f>
        <v/>
      </c>
      <c r="AE1120" s="76">
        <f>AD1120*E1120</f>
        <v/>
      </c>
      <c r="AF1120" s="193">
        <f t="array" ref="AF1120">IFERROR(ROUND(_xlfn.IFS(offer_sale_type="поставка",AB1120,offer_sale_type="транзит",S1120)*AC1120,2),0)</f>
        <v/>
      </c>
      <c r="AG1120" s="192">
        <f>$BD1120*VLOOKUP($AG$3,$AF$4:$AG$7,2,FALSE)</f>
        <v/>
      </c>
      <c r="AH1120" s="76">
        <f>SUM(AE1120,AG1120,AI1120)*rate_forex_risk</f>
        <v/>
      </c>
      <c r="AI1120" s="193">
        <f>IF(OR(seller_region="TR",offer_sale_type="экспорт"),0,rate_fin_comm)*SUM(AZ1120,AZ1120*AW1120,T1120)</f>
        <v/>
      </c>
      <c r="AJ1120" s="118">
        <f>IFERROR(ROUND(SUM(AB1120,AF1120:AI1120)/E1120,2),0)</f>
        <v/>
      </c>
      <c r="AK1120" s="76">
        <f>AJ1120*E1120</f>
        <v/>
      </c>
      <c r="AL1120" s="174">
        <f>ROUND(IFERROR(AM1120*E1120,0),2)</f>
        <v/>
      </c>
      <c r="AM1120" s="175">
        <f>ROUND(AJ1120*(1+IF(offer_incoterms="DDP",IF((TODAY()+offer_turnaround_time)&gt;=helpsheet!$L$17,rate_vatRU_from_26,rate_vatRu_till_25),0)),2)</f>
        <v/>
      </c>
      <c r="AN1120" s="192">
        <f>AL1120-AK1120</f>
        <v/>
      </c>
      <c r="AO1120" s="76">
        <f>SUM(AY1120,Y1120:Z1120,T1120)*IF(AND(offer_incoterms="DDP",offer_sale_type&lt;&gt;"экспорт"),IF((TODAY()+offer_turnaround_time)&gt;=helpsheet!$L$17,rate_vatRU_from_26,rate_vatRu_till_25),0)</f>
        <v/>
      </c>
      <c r="AP1120" s="193">
        <f>AN1120-AO1120</f>
        <v/>
      </c>
      <c r="AQ1120" s="118">
        <f>IF(offer_sale_type="транзит",SUM(AF1120:AI1120,BA1120,BB1120),0)</f>
        <v/>
      </c>
      <c r="AR1120" s="82">
        <f>HYPERLINK("https://www.alta.ru/tnved/code/")&amp;W1120&amp;"/"</f>
        <v/>
      </c>
      <c r="AS1120" s="157" t="n"/>
      <c r="AT1120" s="162" t="n"/>
      <c r="AU1120" s="76">
        <f>IF(ISBLANK(AT1120),0,AJ1120-AT1120)</f>
        <v/>
      </c>
      <c r="AV1120" s="157" t="n"/>
      <c r="AW1120" s="75">
        <f>_xlfn.IFNA(VLOOKUP(L1120,list_vat[],3,FALSE),0)</f>
        <v/>
      </c>
      <c r="AX1120" s="76">
        <f>IFERROR(ROUND(S1120*(1+AW1120)/E1120,2),0)</f>
        <v/>
      </c>
      <c r="AY1120" s="76">
        <f>E1120*AX1120</f>
        <v/>
      </c>
      <c r="AZ1120" s="192">
        <f>S1120*(1+M1120)</f>
        <v/>
      </c>
      <c r="BA1120" s="76">
        <f>cost_fin_total*$BD1120</f>
        <v/>
      </c>
      <c r="BB1120" s="193">
        <f>credit_sales_interest*BD1120</f>
        <v/>
      </c>
      <c r="BC1120" s="102">
        <f>IFERROR(IF($I$13&gt;0,$I1120/$I$13,$S1120/$S$13),0)</f>
        <v/>
      </c>
      <c r="BD1120" s="102">
        <f>IFERROR($S1120/$S$13,0)</f>
        <v/>
      </c>
      <c r="BE1120" s="413" t="inlineStr">
        <is>
          <t>$</t>
        </is>
      </c>
    </row>
    <row r="1121" ht="12" customFormat="1" customHeight="1" s="65">
      <c r="A1121" s="43" t="n">
        <v>1106</v>
      </c>
      <c r="B1121" s="166" t="n"/>
      <c r="C1121" s="166" t="n"/>
      <c r="D1121" s="166" t="n"/>
      <c r="E1121" s="162" t="n"/>
      <c r="F1121" s="166" t="n"/>
      <c r="G1121" s="162" t="n"/>
      <c r="H1121" s="162" t="n"/>
      <c r="I1121" s="189">
        <f>E1121*G1121</f>
        <v/>
      </c>
      <c r="J1121" s="195" t="n"/>
      <c r="K1121" s="162" t="n"/>
      <c r="L1121" s="168" t="n"/>
      <c r="M1121" s="75">
        <f>_xlfn.XLOOKUP(L1121,list_vat[Страна],list_vat[Ставка НДС %],0,0)</f>
        <v/>
      </c>
      <c r="N1121" s="162">
        <f>IFERROR(IF(L1121="Китай",K1121,K1121/(1+M1121)),0)</f>
        <v/>
      </c>
      <c r="O1121" s="169" t="n"/>
      <c r="P1121" s="76">
        <f>N1121*(1-O1121)</f>
        <v/>
      </c>
      <c r="Q1121" s="162" t="n"/>
      <c r="R1121" s="162">
        <f>IF(ISBLANK(Q1121),"введи курс",P1121/Q1121)</f>
        <v/>
      </c>
      <c r="S1121" s="196">
        <f>IF(AND(ISNUMBER(E1121),ISNUMBER(Q1121)),E1121*R1121,0)</f>
        <v/>
      </c>
      <c r="T1121" s="192">
        <f>$BC1121*V$11</f>
        <v/>
      </c>
      <c r="U1121" s="76">
        <f>$BC1121*W$11</f>
        <v/>
      </c>
      <c r="V1121" s="193">
        <f>+SUM(T1121:U1121)</f>
        <v/>
      </c>
      <c r="W1121" s="191" t="n"/>
      <c r="X1121" s="170" t="n"/>
      <c r="Y1121" s="76">
        <f>ROUND(IF(offer_incoterms="DDP",X1121*(S1121*(1+AW1121)+T1121),0),2)</f>
        <v/>
      </c>
      <c r="Z1121" s="188" t="n"/>
      <c r="AA1121" s="192">
        <f>IFERROR(AB1121/E1121,0)</f>
        <v/>
      </c>
      <c r="AB1121" s="76">
        <f>ROUND(SUM(S1121,V1121,Y1121:Z1121,BA1121:BB1121),2)</f>
        <v/>
      </c>
      <c r="AC1121" s="797" t="n"/>
      <c r="AD1121" s="192">
        <f t="array" ref="AD1121">IFERROR(ROUND((_xlfn.IFS(offer_sale_type="поставка",AB1121,offer_sale_type="транзит",S1121)*(1+AC1121))/E1121,2),0)</f>
        <v/>
      </c>
      <c r="AE1121" s="76">
        <f>AD1121*E1121</f>
        <v/>
      </c>
      <c r="AF1121" s="193">
        <f t="array" ref="AF1121">IFERROR(ROUND(_xlfn.IFS(offer_sale_type="поставка",AB1121,offer_sale_type="транзит",S1121)*AC1121,2),0)</f>
        <v/>
      </c>
      <c r="AG1121" s="192">
        <f>$BD1121*VLOOKUP($AG$3,$AF$4:$AG$7,2,FALSE)</f>
        <v/>
      </c>
      <c r="AH1121" s="76">
        <f>SUM(AE1121,AG1121,AI1121)*rate_forex_risk</f>
        <v/>
      </c>
      <c r="AI1121" s="193">
        <f>IF(OR(seller_region="TR",offer_sale_type="экспорт"),0,rate_fin_comm)*SUM(AZ1121,AZ1121*AW1121,T1121)</f>
        <v/>
      </c>
      <c r="AJ1121" s="118">
        <f>IFERROR(ROUND(SUM(AB1121,AF1121:AI1121)/E1121,2),0)</f>
        <v/>
      </c>
      <c r="AK1121" s="76">
        <f>AJ1121*E1121</f>
        <v/>
      </c>
      <c r="AL1121" s="174">
        <f>ROUND(IFERROR(AM1121*E1121,0),2)</f>
        <v/>
      </c>
      <c r="AM1121" s="175">
        <f>ROUND(AJ1121*(1+IF(offer_incoterms="DDP",IF((TODAY()+offer_turnaround_time)&gt;=helpsheet!$L$17,rate_vatRU_from_26,rate_vatRu_till_25),0)),2)</f>
        <v/>
      </c>
      <c r="AN1121" s="192">
        <f>AL1121-AK1121</f>
        <v/>
      </c>
      <c r="AO1121" s="76">
        <f>SUM(AY1121,Y1121:Z1121,T1121)*IF(AND(offer_incoterms="DDP",offer_sale_type&lt;&gt;"экспорт"),IF((TODAY()+offer_turnaround_time)&gt;=helpsheet!$L$17,rate_vatRU_from_26,rate_vatRu_till_25),0)</f>
        <v/>
      </c>
      <c r="AP1121" s="193">
        <f>AN1121-AO1121</f>
        <v/>
      </c>
      <c r="AQ1121" s="118">
        <f>IF(offer_sale_type="транзит",SUM(AF1121:AI1121,BA1121,BB1121),0)</f>
        <v/>
      </c>
      <c r="AR1121" s="82">
        <f>HYPERLINK("https://www.alta.ru/tnved/code/")&amp;W1121&amp;"/"</f>
        <v/>
      </c>
      <c r="AS1121" s="157" t="n"/>
      <c r="AT1121" s="162" t="n"/>
      <c r="AU1121" s="76">
        <f>IF(ISBLANK(AT1121),0,AJ1121-AT1121)</f>
        <v/>
      </c>
      <c r="AV1121" s="157" t="n"/>
      <c r="AW1121" s="75">
        <f>_xlfn.IFNA(VLOOKUP(L1121,list_vat[],3,FALSE),0)</f>
        <v/>
      </c>
      <c r="AX1121" s="76">
        <f>IFERROR(ROUND(S1121*(1+AW1121)/E1121,2),0)</f>
        <v/>
      </c>
      <c r="AY1121" s="76">
        <f>E1121*AX1121</f>
        <v/>
      </c>
      <c r="AZ1121" s="192">
        <f>S1121*(1+M1121)</f>
        <v/>
      </c>
      <c r="BA1121" s="76">
        <f>cost_fin_total*$BD1121</f>
        <v/>
      </c>
      <c r="BB1121" s="193">
        <f>credit_sales_interest*BD1121</f>
        <v/>
      </c>
      <c r="BC1121" s="102">
        <f>IFERROR(IF($I$13&gt;0,$I1121/$I$13,$S1121/$S$13),0)</f>
        <v/>
      </c>
      <c r="BD1121" s="102">
        <f>IFERROR($S1121/$S$13,0)</f>
        <v/>
      </c>
      <c r="BE1121" s="413" t="inlineStr">
        <is>
          <t>$</t>
        </is>
      </c>
    </row>
    <row r="1122" ht="12" customFormat="1" customHeight="1" s="65">
      <c r="A1122" s="43" t="n">
        <v>1107</v>
      </c>
      <c r="B1122" s="166" t="n"/>
      <c r="C1122" s="166" t="n"/>
      <c r="D1122" s="166" t="n"/>
      <c r="E1122" s="162" t="n"/>
      <c r="F1122" s="166" t="n"/>
      <c r="G1122" s="162" t="n"/>
      <c r="H1122" s="162" t="n"/>
      <c r="I1122" s="189">
        <f>E1122*G1122</f>
        <v/>
      </c>
      <c r="J1122" s="195" t="n"/>
      <c r="K1122" s="162" t="n"/>
      <c r="L1122" s="168" t="n"/>
      <c r="M1122" s="75">
        <f>_xlfn.XLOOKUP(L1122,list_vat[Страна],list_vat[Ставка НДС %],0,0)</f>
        <v/>
      </c>
      <c r="N1122" s="162">
        <f>IFERROR(IF(L1122="Китай",K1122,K1122/(1+M1122)),0)</f>
        <v/>
      </c>
      <c r="O1122" s="169" t="n"/>
      <c r="P1122" s="76">
        <f>N1122*(1-O1122)</f>
        <v/>
      </c>
      <c r="Q1122" s="162" t="n"/>
      <c r="R1122" s="162">
        <f>IF(ISBLANK(Q1122),"введи курс",P1122/Q1122)</f>
        <v/>
      </c>
      <c r="S1122" s="196">
        <f>IF(AND(ISNUMBER(E1122),ISNUMBER(Q1122)),E1122*R1122,0)</f>
        <v/>
      </c>
      <c r="T1122" s="192">
        <f>$BC1122*V$11</f>
        <v/>
      </c>
      <c r="U1122" s="76">
        <f>$BC1122*W$11</f>
        <v/>
      </c>
      <c r="V1122" s="193">
        <f>+SUM(T1122:U1122)</f>
        <v/>
      </c>
      <c r="W1122" s="191" t="n"/>
      <c r="X1122" s="170" t="n"/>
      <c r="Y1122" s="76">
        <f>ROUND(IF(offer_incoterms="DDP",X1122*(S1122*(1+AW1122)+T1122),0),2)</f>
        <v/>
      </c>
      <c r="Z1122" s="188" t="n"/>
      <c r="AA1122" s="192">
        <f>IFERROR(AB1122/E1122,0)</f>
        <v/>
      </c>
      <c r="AB1122" s="76">
        <f>ROUND(SUM(S1122,V1122,Y1122:Z1122,BA1122:BB1122),2)</f>
        <v/>
      </c>
      <c r="AC1122" s="797" t="n"/>
      <c r="AD1122" s="192">
        <f t="array" ref="AD1122">IFERROR(ROUND((_xlfn.IFS(offer_sale_type="поставка",AB1122,offer_sale_type="транзит",S1122)*(1+AC1122))/E1122,2),0)</f>
        <v/>
      </c>
      <c r="AE1122" s="76">
        <f>AD1122*E1122</f>
        <v/>
      </c>
      <c r="AF1122" s="193">
        <f t="array" ref="AF1122">IFERROR(ROUND(_xlfn.IFS(offer_sale_type="поставка",AB1122,offer_sale_type="транзит",S1122)*AC1122,2),0)</f>
        <v/>
      </c>
      <c r="AG1122" s="192">
        <f>$BD1122*VLOOKUP($AG$3,$AF$4:$AG$7,2,FALSE)</f>
        <v/>
      </c>
      <c r="AH1122" s="76">
        <f>SUM(AE1122,AG1122,AI1122)*rate_forex_risk</f>
        <v/>
      </c>
      <c r="AI1122" s="193">
        <f>IF(OR(seller_region="TR",offer_sale_type="экспорт"),0,rate_fin_comm)*SUM(AZ1122,AZ1122*AW1122,T1122)</f>
        <v/>
      </c>
      <c r="AJ1122" s="118">
        <f>IFERROR(ROUND(SUM(AB1122,AF1122:AI1122)/E1122,2),0)</f>
        <v/>
      </c>
      <c r="AK1122" s="76">
        <f>AJ1122*E1122</f>
        <v/>
      </c>
      <c r="AL1122" s="174">
        <f>ROUND(IFERROR(AM1122*E1122,0),2)</f>
        <v/>
      </c>
      <c r="AM1122" s="175">
        <f>ROUND(AJ1122*(1+IF(offer_incoterms="DDP",IF((TODAY()+offer_turnaround_time)&gt;=helpsheet!$L$17,rate_vatRU_from_26,rate_vatRu_till_25),0)),2)</f>
        <v/>
      </c>
      <c r="AN1122" s="192">
        <f>AL1122-AK1122</f>
        <v/>
      </c>
      <c r="AO1122" s="76">
        <f>SUM(AY1122,Y1122:Z1122,T1122)*IF(AND(offer_incoterms="DDP",offer_sale_type&lt;&gt;"экспорт"),IF((TODAY()+offer_turnaround_time)&gt;=helpsheet!$L$17,rate_vatRU_from_26,rate_vatRu_till_25),0)</f>
        <v/>
      </c>
      <c r="AP1122" s="193">
        <f>AN1122-AO1122</f>
        <v/>
      </c>
      <c r="AQ1122" s="118">
        <f>IF(offer_sale_type="транзит",SUM(AF1122:AI1122,BA1122,BB1122),0)</f>
        <v/>
      </c>
      <c r="AR1122" s="82">
        <f>HYPERLINK("https://www.alta.ru/tnved/code/")&amp;W1122&amp;"/"</f>
        <v/>
      </c>
      <c r="AS1122" s="157" t="n"/>
      <c r="AT1122" s="162" t="n"/>
      <c r="AU1122" s="76">
        <f>IF(ISBLANK(AT1122),0,AJ1122-AT1122)</f>
        <v/>
      </c>
      <c r="AV1122" s="157" t="n"/>
      <c r="AW1122" s="75">
        <f>_xlfn.IFNA(VLOOKUP(L1122,list_vat[],3,FALSE),0)</f>
        <v/>
      </c>
      <c r="AX1122" s="76">
        <f>IFERROR(ROUND(S1122*(1+AW1122)/E1122,2),0)</f>
        <v/>
      </c>
      <c r="AY1122" s="76">
        <f>E1122*AX1122</f>
        <v/>
      </c>
      <c r="AZ1122" s="192">
        <f>S1122*(1+M1122)</f>
        <v/>
      </c>
      <c r="BA1122" s="76">
        <f>cost_fin_total*$BD1122</f>
        <v/>
      </c>
      <c r="BB1122" s="193">
        <f>credit_sales_interest*BD1122</f>
        <v/>
      </c>
      <c r="BC1122" s="102">
        <f>IFERROR(IF($I$13&gt;0,$I1122/$I$13,$S1122/$S$13),0)</f>
        <v/>
      </c>
      <c r="BD1122" s="102">
        <f>IFERROR($S1122/$S$13,0)</f>
        <v/>
      </c>
      <c r="BE1122" s="413" t="inlineStr">
        <is>
          <t>$</t>
        </is>
      </c>
    </row>
    <row r="1123" ht="12" customFormat="1" customHeight="1" s="65">
      <c r="A1123" s="43" t="n">
        <v>1108</v>
      </c>
      <c r="B1123" s="166" t="n"/>
      <c r="C1123" s="166" t="n"/>
      <c r="D1123" s="166" t="n"/>
      <c r="E1123" s="162" t="n"/>
      <c r="F1123" s="166" t="n"/>
      <c r="G1123" s="162" t="n"/>
      <c r="H1123" s="162" t="n"/>
      <c r="I1123" s="189">
        <f>E1123*G1123</f>
        <v/>
      </c>
      <c r="J1123" s="195" t="n"/>
      <c r="K1123" s="162" t="n"/>
      <c r="L1123" s="168" t="n"/>
      <c r="M1123" s="75">
        <f>_xlfn.XLOOKUP(L1123,list_vat[Страна],list_vat[Ставка НДС %],0,0)</f>
        <v/>
      </c>
      <c r="N1123" s="162">
        <f>IFERROR(IF(L1123="Китай",K1123,K1123/(1+M1123)),0)</f>
        <v/>
      </c>
      <c r="O1123" s="169" t="n"/>
      <c r="P1123" s="76">
        <f>N1123*(1-O1123)</f>
        <v/>
      </c>
      <c r="Q1123" s="162" t="n"/>
      <c r="R1123" s="162">
        <f>IF(ISBLANK(Q1123),"введи курс",P1123/Q1123)</f>
        <v/>
      </c>
      <c r="S1123" s="196">
        <f>IF(AND(ISNUMBER(E1123),ISNUMBER(Q1123)),E1123*R1123,0)</f>
        <v/>
      </c>
      <c r="T1123" s="192">
        <f>$BC1123*V$11</f>
        <v/>
      </c>
      <c r="U1123" s="76">
        <f>$BC1123*W$11</f>
        <v/>
      </c>
      <c r="V1123" s="193">
        <f>+SUM(T1123:U1123)</f>
        <v/>
      </c>
      <c r="W1123" s="191" t="n"/>
      <c r="X1123" s="170" t="n"/>
      <c r="Y1123" s="76">
        <f>ROUND(IF(offer_incoterms="DDP",X1123*(S1123*(1+AW1123)+T1123),0),2)</f>
        <v/>
      </c>
      <c r="Z1123" s="188" t="n"/>
      <c r="AA1123" s="192">
        <f>IFERROR(AB1123/E1123,0)</f>
        <v/>
      </c>
      <c r="AB1123" s="76">
        <f>ROUND(SUM(S1123,V1123,Y1123:Z1123,BA1123:BB1123),2)</f>
        <v/>
      </c>
      <c r="AC1123" s="797" t="n"/>
      <c r="AD1123" s="192">
        <f t="array" ref="AD1123">IFERROR(ROUND((_xlfn.IFS(offer_sale_type="поставка",AB1123,offer_sale_type="транзит",S1123)*(1+AC1123))/E1123,2),0)</f>
        <v/>
      </c>
      <c r="AE1123" s="76">
        <f>AD1123*E1123</f>
        <v/>
      </c>
      <c r="AF1123" s="193">
        <f t="array" ref="AF1123">IFERROR(ROUND(_xlfn.IFS(offer_sale_type="поставка",AB1123,offer_sale_type="транзит",S1123)*AC1123,2),0)</f>
        <v/>
      </c>
      <c r="AG1123" s="192">
        <f>$BD1123*VLOOKUP($AG$3,$AF$4:$AG$7,2,FALSE)</f>
        <v/>
      </c>
      <c r="AH1123" s="76">
        <f>SUM(AE1123,AG1123,AI1123)*rate_forex_risk</f>
        <v/>
      </c>
      <c r="AI1123" s="193">
        <f>IF(OR(seller_region="TR",offer_sale_type="экспорт"),0,rate_fin_comm)*SUM(AZ1123,AZ1123*AW1123,T1123)</f>
        <v/>
      </c>
      <c r="AJ1123" s="118">
        <f>IFERROR(ROUND(SUM(AB1123,AF1123:AI1123)/E1123,2),0)</f>
        <v/>
      </c>
      <c r="AK1123" s="76">
        <f>AJ1123*E1123</f>
        <v/>
      </c>
      <c r="AL1123" s="174">
        <f>ROUND(IFERROR(AM1123*E1123,0),2)</f>
        <v/>
      </c>
      <c r="AM1123" s="175">
        <f>ROUND(AJ1123*(1+IF(offer_incoterms="DDP",IF((TODAY()+offer_turnaround_time)&gt;=helpsheet!$L$17,rate_vatRU_from_26,rate_vatRu_till_25),0)),2)</f>
        <v/>
      </c>
      <c r="AN1123" s="192">
        <f>AL1123-AK1123</f>
        <v/>
      </c>
      <c r="AO1123" s="76">
        <f>SUM(AY1123,Y1123:Z1123,T1123)*IF(AND(offer_incoterms="DDP",offer_sale_type&lt;&gt;"экспорт"),IF((TODAY()+offer_turnaround_time)&gt;=helpsheet!$L$17,rate_vatRU_from_26,rate_vatRu_till_25),0)</f>
        <v/>
      </c>
      <c r="AP1123" s="193">
        <f>AN1123-AO1123</f>
        <v/>
      </c>
      <c r="AQ1123" s="118">
        <f>IF(offer_sale_type="транзит",SUM(AF1123:AI1123,BA1123,BB1123),0)</f>
        <v/>
      </c>
      <c r="AR1123" s="82">
        <f>HYPERLINK("https://www.alta.ru/tnved/code/")&amp;W1123&amp;"/"</f>
        <v/>
      </c>
      <c r="AS1123" s="157" t="n"/>
      <c r="AT1123" s="162" t="n"/>
      <c r="AU1123" s="76">
        <f>IF(ISBLANK(AT1123),0,AJ1123-AT1123)</f>
        <v/>
      </c>
      <c r="AV1123" s="157" t="n"/>
      <c r="AW1123" s="75">
        <f>_xlfn.IFNA(VLOOKUP(L1123,list_vat[],3,FALSE),0)</f>
        <v/>
      </c>
      <c r="AX1123" s="76">
        <f>IFERROR(ROUND(S1123*(1+AW1123)/E1123,2),0)</f>
        <v/>
      </c>
      <c r="AY1123" s="76">
        <f>E1123*AX1123</f>
        <v/>
      </c>
      <c r="AZ1123" s="192">
        <f>S1123*(1+M1123)</f>
        <v/>
      </c>
      <c r="BA1123" s="76">
        <f>cost_fin_total*$BD1123</f>
        <v/>
      </c>
      <c r="BB1123" s="193">
        <f>credit_sales_interest*BD1123</f>
        <v/>
      </c>
      <c r="BC1123" s="102">
        <f>IFERROR(IF($I$13&gt;0,$I1123/$I$13,$S1123/$S$13),0)</f>
        <v/>
      </c>
      <c r="BD1123" s="102">
        <f>IFERROR($S1123/$S$13,0)</f>
        <v/>
      </c>
      <c r="BE1123" s="413" t="inlineStr">
        <is>
          <t>$</t>
        </is>
      </c>
    </row>
    <row r="1124" ht="12" customFormat="1" customHeight="1" s="65">
      <c r="A1124" s="43" t="n">
        <v>1109</v>
      </c>
      <c r="B1124" s="166" t="n"/>
      <c r="C1124" s="166" t="n"/>
      <c r="D1124" s="166" t="n"/>
      <c r="E1124" s="162" t="n"/>
      <c r="F1124" s="166" t="n"/>
      <c r="G1124" s="162" t="n"/>
      <c r="H1124" s="162" t="n"/>
      <c r="I1124" s="189">
        <f>E1124*G1124</f>
        <v/>
      </c>
      <c r="J1124" s="195" t="n"/>
      <c r="K1124" s="162" t="n"/>
      <c r="L1124" s="168" t="n"/>
      <c r="M1124" s="75">
        <f>_xlfn.XLOOKUP(L1124,list_vat[Страна],list_vat[Ставка НДС %],0,0)</f>
        <v/>
      </c>
      <c r="N1124" s="162">
        <f>IFERROR(IF(L1124="Китай",K1124,K1124/(1+M1124)),0)</f>
        <v/>
      </c>
      <c r="O1124" s="169" t="n"/>
      <c r="P1124" s="76">
        <f>N1124*(1-O1124)</f>
        <v/>
      </c>
      <c r="Q1124" s="162" t="n"/>
      <c r="R1124" s="162">
        <f>IF(ISBLANK(Q1124),"введи курс",P1124/Q1124)</f>
        <v/>
      </c>
      <c r="S1124" s="196">
        <f>IF(AND(ISNUMBER(E1124),ISNUMBER(Q1124)),E1124*R1124,0)</f>
        <v/>
      </c>
      <c r="T1124" s="192">
        <f>$BC1124*V$11</f>
        <v/>
      </c>
      <c r="U1124" s="76">
        <f>$BC1124*W$11</f>
        <v/>
      </c>
      <c r="V1124" s="193">
        <f>+SUM(T1124:U1124)</f>
        <v/>
      </c>
      <c r="W1124" s="191" t="n"/>
      <c r="X1124" s="170" t="n"/>
      <c r="Y1124" s="76">
        <f>ROUND(IF(offer_incoterms="DDP",X1124*(S1124*(1+AW1124)+T1124),0),2)</f>
        <v/>
      </c>
      <c r="Z1124" s="188" t="n"/>
      <c r="AA1124" s="192">
        <f>IFERROR(AB1124/E1124,0)</f>
        <v/>
      </c>
      <c r="AB1124" s="76">
        <f>ROUND(SUM(S1124,V1124,Y1124:Z1124,BA1124:BB1124),2)</f>
        <v/>
      </c>
      <c r="AC1124" s="797" t="n"/>
      <c r="AD1124" s="192">
        <f t="array" ref="AD1124">IFERROR(ROUND((_xlfn.IFS(offer_sale_type="поставка",AB1124,offer_sale_type="транзит",S1124)*(1+AC1124))/E1124,2),0)</f>
        <v/>
      </c>
      <c r="AE1124" s="76">
        <f>AD1124*E1124</f>
        <v/>
      </c>
      <c r="AF1124" s="193">
        <f t="array" ref="AF1124">IFERROR(ROUND(_xlfn.IFS(offer_sale_type="поставка",AB1124,offer_sale_type="транзит",S1124)*AC1124,2),0)</f>
        <v/>
      </c>
      <c r="AG1124" s="192">
        <f>$BD1124*VLOOKUP($AG$3,$AF$4:$AG$7,2,FALSE)</f>
        <v/>
      </c>
      <c r="AH1124" s="76">
        <f>SUM(AE1124,AG1124,AI1124)*rate_forex_risk</f>
        <v/>
      </c>
      <c r="AI1124" s="193">
        <f>IF(OR(seller_region="TR",offer_sale_type="экспорт"),0,rate_fin_comm)*SUM(AZ1124,AZ1124*AW1124,T1124)</f>
        <v/>
      </c>
      <c r="AJ1124" s="118">
        <f>IFERROR(ROUND(SUM(AB1124,AF1124:AI1124)/E1124,2),0)</f>
        <v/>
      </c>
      <c r="AK1124" s="76">
        <f>AJ1124*E1124</f>
        <v/>
      </c>
      <c r="AL1124" s="174">
        <f>ROUND(IFERROR(AM1124*E1124,0),2)</f>
        <v/>
      </c>
      <c r="AM1124" s="175">
        <f>ROUND(AJ1124*(1+IF(offer_incoterms="DDP",IF((TODAY()+offer_turnaround_time)&gt;=helpsheet!$L$17,rate_vatRU_from_26,rate_vatRu_till_25),0)),2)</f>
        <v/>
      </c>
      <c r="AN1124" s="192">
        <f>AL1124-AK1124</f>
        <v/>
      </c>
      <c r="AO1124" s="76">
        <f>SUM(AY1124,Y1124:Z1124,T1124)*IF(AND(offer_incoterms="DDP",offer_sale_type&lt;&gt;"экспорт"),IF((TODAY()+offer_turnaround_time)&gt;=helpsheet!$L$17,rate_vatRU_from_26,rate_vatRu_till_25),0)</f>
        <v/>
      </c>
      <c r="AP1124" s="193">
        <f>AN1124-AO1124</f>
        <v/>
      </c>
      <c r="AQ1124" s="118">
        <f>IF(offer_sale_type="транзит",SUM(AF1124:AI1124,BA1124,BB1124),0)</f>
        <v/>
      </c>
      <c r="AR1124" s="82">
        <f>HYPERLINK("https://www.alta.ru/tnved/code/")&amp;W1124&amp;"/"</f>
        <v/>
      </c>
      <c r="AS1124" s="157" t="n"/>
      <c r="AT1124" s="162" t="n"/>
      <c r="AU1124" s="76">
        <f>IF(ISBLANK(AT1124),0,AJ1124-AT1124)</f>
        <v/>
      </c>
      <c r="AV1124" s="157" t="n"/>
      <c r="AW1124" s="75">
        <f>_xlfn.IFNA(VLOOKUP(L1124,list_vat[],3,FALSE),0)</f>
        <v/>
      </c>
      <c r="AX1124" s="76">
        <f>IFERROR(ROUND(S1124*(1+AW1124)/E1124,2),0)</f>
        <v/>
      </c>
      <c r="AY1124" s="76">
        <f>E1124*AX1124</f>
        <v/>
      </c>
      <c r="AZ1124" s="192">
        <f>S1124*(1+M1124)</f>
        <v/>
      </c>
      <c r="BA1124" s="76">
        <f>cost_fin_total*$BD1124</f>
        <v/>
      </c>
      <c r="BB1124" s="193">
        <f>credit_sales_interest*BD1124</f>
        <v/>
      </c>
      <c r="BC1124" s="102">
        <f>IFERROR(IF($I$13&gt;0,$I1124/$I$13,$S1124/$S$13),0)</f>
        <v/>
      </c>
      <c r="BD1124" s="102">
        <f>IFERROR($S1124/$S$13,0)</f>
        <v/>
      </c>
      <c r="BE1124" s="413" t="inlineStr">
        <is>
          <t>$</t>
        </is>
      </c>
    </row>
    <row r="1125" ht="12" customFormat="1" customHeight="1" s="65">
      <c r="A1125" s="43" t="n">
        <v>1110</v>
      </c>
      <c r="B1125" s="166" t="n"/>
      <c r="C1125" s="166" t="n"/>
      <c r="D1125" s="166" t="n"/>
      <c r="E1125" s="162" t="n"/>
      <c r="F1125" s="166" t="n"/>
      <c r="G1125" s="162" t="n"/>
      <c r="H1125" s="162" t="n"/>
      <c r="I1125" s="189">
        <f>E1125*G1125</f>
        <v/>
      </c>
      <c r="J1125" s="195" t="n"/>
      <c r="K1125" s="162" t="n"/>
      <c r="L1125" s="168" t="n"/>
      <c r="M1125" s="75">
        <f>_xlfn.XLOOKUP(L1125,list_vat[Страна],list_vat[Ставка НДС %],0,0)</f>
        <v/>
      </c>
      <c r="N1125" s="162">
        <f>IFERROR(IF(L1125="Китай",K1125,K1125/(1+M1125)),0)</f>
        <v/>
      </c>
      <c r="O1125" s="169" t="n"/>
      <c r="P1125" s="76">
        <f>N1125*(1-O1125)</f>
        <v/>
      </c>
      <c r="Q1125" s="162" t="n"/>
      <c r="R1125" s="162">
        <f>IF(ISBLANK(Q1125),"введи курс",P1125/Q1125)</f>
        <v/>
      </c>
      <c r="S1125" s="196">
        <f>IF(AND(ISNUMBER(E1125),ISNUMBER(Q1125)),E1125*R1125,0)</f>
        <v/>
      </c>
      <c r="T1125" s="192">
        <f>$BC1125*V$11</f>
        <v/>
      </c>
      <c r="U1125" s="76">
        <f>$BC1125*W$11</f>
        <v/>
      </c>
      <c r="V1125" s="193">
        <f>+SUM(T1125:U1125)</f>
        <v/>
      </c>
      <c r="W1125" s="191" t="n"/>
      <c r="X1125" s="170" t="n"/>
      <c r="Y1125" s="76">
        <f>ROUND(IF(offer_incoterms="DDP",X1125*(S1125*(1+AW1125)+T1125),0),2)</f>
        <v/>
      </c>
      <c r="Z1125" s="188" t="n"/>
      <c r="AA1125" s="192">
        <f>IFERROR(AB1125/E1125,0)</f>
        <v/>
      </c>
      <c r="AB1125" s="76">
        <f>ROUND(SUM(S1125,V1125,Y1125:Z1125,BA1125:BB1125),2)</f>
        <v/>
      </c>
      <c r="AC1125" s="797" t="n"/>
      <c r="AD1125" s="192">
        <f t="array" ref="AD1125">IFERROR(ROUND((_xlfn.IFS(offer_sale_type="поставка",AB1125,offer_sale_type="транзит",S1125)*(1+AC1125))/E1125,2),0)</f>
        <v/>
      </c>
      <c r="AE1125" s="76">
        <f>AD1125*E1125</f>
        <v/>
      </c>
      <c r="AF1125" s="193">
        <f t="array" ref="AF1125">IFERROR(ROUND(_xlfn.IFS(offer_sale_type="поставка",AB1125,offer_sale_type="транзит",S1125)*AC1125,2),0)</f>
        <v/>
      </c>
      <c r="AG1125" s="192">
        <f>$BD1125*VLOOKUP($AG$3,$AF$4:$AG$7,2,FALSE)</f>
        <v/>
      </c>
      <c r="AH1125" s="76">
        <f>SUM(AE1125,AG1125,AI1125)*rate_forex_risk</f>
        <v/>
      </c>
      <c r="AI1125" s="193">
        <f>IF(OR(seller_region="TR",offer_sale_type="экспорт"),0,rate_fin_comm)*SUM(AZ1125,AZ1125*AW1125,T1125)</f>
        <v/>
      </c>
      <c r="AJ1125" s="118">
        <f>IFERROR(ROUND(SUM(AB1125,AF1125:AI1125)/E1125,2),0)</f>
        <v/>
      </c>
      <c r="AK1125" s="76">
        <f>AJ1125*E1125</f>
        <v/>
      </c>
      <c r="AL1125" s="174">
        <f>ROUND(IFERROR(AM1125*E1125,0),2)</f>
        <v/>
      </c>
      <c r="AM1125" s="175">
        <f>ROUND(AJ1125*(1+IF(offer_incoterms="DDP",IF((TODAY()+offer_turnaround_time)&gt;=helpsheet!$L$17,rate_vatRU_from_26,rate_vatRu_till_25),0)),2)</f>
        <v/>
      </c>
      <c r="AN1125" s="192">
        <f>AL1125-AK1125</f>
        <v/>
      </c>
      <c r="AO1125" s="76">
        <f>SUM(AY1125,Y1125:Z1125,T1125)*IF(AND(offer_incoterms="DDP",offer_sale_type&lt;&gt;"экспорт"),IF((TODAY()+offer_turnaround_time)&gt;=helpsheet!$L$17,rate_vatRU_from_26,rate_vatRu_till_25),0)</f>
        <v/>
      </c>
      <c r="AP1125" s="193">
        <f>AN1125-AO1125</f>
        <v/>
      </c>
      <c r="AQ1125" s="118">
        <f>IF(offer_sale_type="транзит",SUM(AF1125:AI1125,BA1125,BB1125),0)</f>
        <v/>
      </c>
      <c r="AR1125" s="82">
        <f>HYPERLINK("https://www.alta.ru/tnved/code/")&amp;W1125&amp;"/"</f>
        <v/>
      </c>
      <c r="AS1125" s="157" t="n"/>
      <c r="AT1125" s="162" t="n"/>
      <c r="AU1125" s="76">
        <f>IF(ISBLANK(AT1125),0,AJ1125-AT1125)</f>
        <v/>
      </c>
      <c r="AV1125" s="157" t="n"/>
      <c r="AW1125" s="75">
        <f>_xlfn.IFNA(VLOOKUP(L1125,list_vat[],3,FALSE),0)</f>
        <v/>
      </c>
      <c r="AX1125" s="76">
        <f>IFERROR(ROUND(S1125*(1+AW1125)/E1125,2),0)</f>
        <v/>
      </c>
      <c r="AY1125" s="76">
        <f>E1125*AX1125</f>
        <v/>
      </c>
      <c r="AZ1125" s="192">
        <f>S1125*(1+M1125)</f>
        <v/>
      </c>
      <c r="BA1125" s="76">
        <f>cost_fin_total*$BD1125</f>
        <v/>
      </c>
      <c r="BB1125" s="193">
        <f>credit_sales_interest*BD1125</f>
        <v/>
      </c>
      <c r="BC1125" s="102">
        <f>IFERROR(IF($I$13&gt;0,$I1125/$I$13,$S1125/$S$13),0)</f>
        <v/>
      </c>
      <c r="BD1125" s="102">
        <f>IFERROR($S1125/$S$13,0)</f>
        <v/>
      </c>
      <c r="BE1125" s="413" t="inlineStr">
        <is>
          <t>$</t>
        </is>
      </c>
    </row>
    <row r="1126" ht="12" customFormat="1" customHeight="1" s="65">
      <c r="A1126" s="43" t="n">
        <v>1111</v>
      </c>
      <c r="B1126" s="166" t="n"/>
      <c r="C1126" s="166" t="n"/>
      <c r="D1126" s="166" t="n"/>
      <c r="E1126" s="162" t="n"/>
      <c r="F1126" s="166" t="n"/>
      <c r="G1126" s="162" t="n"/>
      <c r="H1126" s="162" t="n"/>
      <c r="I1126" s="189">
        <f>E1126*G1126</f>
        <v/>
      </c>
      <c r="J1126" s="195" t="n"/>
      <c r="K1126" s="162" t="n"/>
      <c r="L1126" s="168" t="n"/>
      <c r="M1126" s="75">
        <f>_xlfn.XLOOKUP(L1126,list_vat[Страна],list_vat[Ставка НДС %],0,0)</f>
        <v/>
      </c>
      <c r="N1126" s="162">
        <f>IFERROR(IF(L1126="Китай",K1126,K1126/(1+M1126)),0)</f>
        <v/>
      </c>
      <c r="O1126" s="169" t="n"/>
      <c r="P1126" s="76">
        <f>N1126*(1-O1126)</f>
        <v/>
      </c>
      <c r="Q1126" s="162" t="n"/>
      <c r="R1126" s="162">
        <f>IF(ISBLANK(Q1126),"введи курс",P1126/Q1126)</f>
        <v/>
      </c>
      <c r="S1126" s="196">
        <f>IF(AND(ISNUMBER(E1126),ISNUMBER(Q1126)),E1126*R1126,0)</f>
        <v/>
      </c>
      <c r="T1126" s="192">
        <f>$BC1126*V$11</f>
        <v/>
      </c>
      <c r="U1126" s="76">
        <f>$BC1126*W$11</f>
        <v/>
      </c>
      <c r="V1126" s="193">
        <f>+SUM(T1126:U1126)</f>
        <v/>
      </c>
      <c r="W1126" s="191" t="n"/>
      <c r="X1126" s="170" t="n"/>
      <c r="Y1126" s="76">
        <f>ROUND(IF(offer_incoterms="DDP",X1126*(S1126*(1+AW1126)+T1126),0),2)</f>
        <v/>
      </c>
      <c r="Z1126" s="188" t="n"/>
      <c r="AA1126" s="192">
        <f>IFERROR(AB1126/E1126,0)</f>
        <v/>
      </c>
      <c r="AB1126" s="76">
        <f>ROUND(SUM(S1126,V1126,Y1126:Z1126,BA1126:BB1126),2)</f>
        <v/>
      </c>
      <c r="AC1126" s="797" t="n"/>
      <c r="AD1126" s="192">
        <f t="array" ref="AD1126">IFERROR(ROUND((_xlfn.IFS(offer_sale_type="поставка",AB1126,offer_sale_type="транзит",S1126)*(1+AC1126))/E1126,2),0)</f>
        <v/>
      </c>
      <c r="AE1126" s="76">
        <f>AD1126*E1126</f>
        <v/>
      </c>
      <c r="AF1126" s="193">
        <f t="array" ref="AF1126">IFERROR(ROUND(_xlfn.IFS(offer_sale_type="поставка",AB1126,offer_sale_type="транзит",S1126)*AC1126,2),0)</f>
        <v/>
      </c>
      <c r="AG1126" s="192">
        <f>$BD1126*VLOOKUP($AG$3,$AF$4:$AG$7,2,FALSE)</f>
        <v/>
      </c>
      <c r="AH1126" s="76">
        <f>SUM(AE1126,AG1126,AI1126)*rate_forex_risk</f>
        <v/>
      </c>
      <c r="AI1126" s="193">
        <f>IF(OR(seller_region="TR",offer_sale_type="экспорт"),0,rate_fin_comm)*SUM(AZ1126,AZ1126*AW1126,T1126)</f>
        <v/>
      </c>
      <c r="AJ1126" s="118">
        <f>IFERROR(ROUND(SUM(AB1126,AF1126:AI1126)/E1126,2),0)</f>
        <v/>
      </c>
      <c r="AK1126" s="76">
        <f>AJ1126*E1126</f>
        <v/>
      </c>
      <c r="AL1126" s="174">
        <f>ROUND(IFERROR(AM1126*E1126,0),2)</f>
        <v/>
      </c>
      <c r="AM1126" s="175">
        <f>ROUND(AJ1126*(1+IF(offer_incoterms="DDP",IF((TODAY()+offer_turnaround_time)&gt;=helpsheet!$L$17,rate_vatRU_from_26,rate_vatRu_till_25),0)),2)</f>
        <v/>
      </c>
      <c r="AN1126" s="192">
        <f>AL1126-AK1126</f>
        <v/>
      </c>
      <c r="AO1126" s="76">
        <f>SUM(AY1126,Y1126:Z1126,T1126)*IF(AND(offer_incoterms="DDP",offer_sale_type&lt;&gt;"экспорт"),IF((TODAY()+offer_turnaround_time)&gt;=helpsheet!$L$17,rate_vatRU_from_26,rate_vatRu_till_25),0)</f>
        <v/>
      </c>
      <c r="AP1126" s="193">
        <f>AN1126-AO1126</f>
        <v/>
      </c>
      <c r="AQ1126" s="118">
        <f>IF(offer_sale_type="транзит",SUM(AF1126:AI1126,BA1126,BB1126),0)</f>
        <v/>
      </c>
      <c r="AR1126" s="82">
        <f>HYPERLINK("https://www.alta.ru/tnved/code/")&amp;W1126&amp;"/"</f>
        <v/>
      </c>
      <c r="AS1126" s="157" t="n"/>
      <c r="AT1126" s="162" t="n"/>
      <c r="AU1126" s="76">
        <f>IF(ISBLANK(AT1126),0,AJ1126-AT1126)</f>
        <v/>
      </c>
      <c r="AV1126" s="157" t="n"/>
      <c r="AW1126" s="75">
        <f>_xlfn.IFNA(VLOOKUP(L1126,list_vat[],3,FALSE),0)</f>
        <v/>
      </c>
      <c r="AX1126" s="76">
        <f>IFERROR(ROUND(S1126*(1+AW1126)/E1126,2),0)</f>
        <v/>
      </c>
      <c r="AY1126" s="76">
        <f>E1126*AX1126</f>
        <v/>
      </c>
      <c r="AZ1126" s="192">
        <f>S1126*(1+M1126)</f>
        <v/>
      </c>
      <c r="BA1126" s="76">
        <f>cost_fin_total*$BD1126</f>
        <v/>
      </c>
      <c r="BB1126" s="193">
        <f>credit_sales_interest*BD1126</f>
        <v/>
      </c>
      <c r="BC1126" s="102">
        <f>IFERROR(IF($I$13&gt;0,$I1126/$I$13,$S1126/$S$13),0)</f>
        <v/>
      </c>
      <c r="BD1126" s="102">
        <f>IFERROR($S1126/$S$13,0)</f>
        <v/>
      </c>
      <c r="BE1126" s="413" t="inlineStr">
        <is>
          <t>$</t>
        </is>
      </c>
    </row>
    <row r="1127" ht="12" customFormat="1" customHeight="1" s="65">
      <c r="A1127" s="43" t="n">
        <v>1112</v>
      </c>
      <c r="B1127" s="166" t="n"/>
      <c r="C1127" s="166" t="n"/>
      <c r="D1127" s="166" t="n"/>
      <c r="E1127" s="162" t="n"/>
      <c r="F1127" s="166" t="n"/>
      <c r="G1127" s="162" t="n"/>
      <c r="H1127" s="162" t="n"/>
      <c r="I1127" s="189">
        <f>E1127*G1127</f>
        <v/>
      </c>
      <c r="J1127" s="195" t="n"/>
      <c r="K1127" s="162" t="n"/>
      <c r="L1127" s="168" t="n"/>
      <c r="M1127" s="75">
        <f>_xlfn.XLOOKUP(L1127,list_vat[Страна],list_vat[Ставка НДС %],0,0)</f>
        <v/>
      </c>
      <c r="N1127" s="162">
        <f>IFERROR(IF(L1127="Китай",K1127,K1127/(1+M1127)),0)</f>
        <v/>
      </c>
      <c r="O1127" s="169" t="n"/>
      <c r="P1127" s="76">
        <f>N1127*(1-O1127)</f>
        <v/>
      </c>
      <c r="Q1127" s="162" t="n"/>
      <c r="R1127" s="162">
        <f>IF(ISBLANK(Q1127),"введи курс",P1127/Q1127)</f>
        <v/>
      </c>
      <c r="S1127" s="196">
        <f>IF(AND(ISNUMBER(E1127),ISNUMBER(Q1127)),E1127*R1127,0)</f>
        <v/>
      </c>
      <c r="T1127" s="192">
        <f>$BC1127*V$11</f>
        <v/>
      </c>
      <c r="U1127" s="76">
        <f>$BC1127*W$11</f>
        <v/>
      </c>
      <c r="V1127" s="193">
        <f>+SUM(T1127:U1127)</f>
        <v/>
      </c>
      <c r="W1127" s="191" t="n"/>
      <c r="X1127" s="170" t="n"/>
      <c r="Y1127" s="76">
        <f>ROUND(IF(offer_incoterms="DDP",X1127*(S1127*(1+AW1127)+T1127),0),2)</f>
        <v/>
      </c>
      <c r="Z1127" s="188" t="n"/>
      <c r="AA1127" s="192">
        <f>IFERROR(AB1127/E1127,0)</f>
        <v/>
      </c>
      <c r="AB1127" s="76">
        <f>ROUND(SUM(S1127,V1127,Y1127:Z1127,BA1127:BB1127),2)</f>
        <v/>
      </c>
      <c r="AC1127" s="797" t="n"/>
      <c r="AD1127" s="192">
        <f t="array" ref="AD1127">IFERROR(ROUND((_xlfn.IFS(offer_sale_type="поставка",AB1127,offer_sale_type="транзит",S1127)*(1+AC1127))/E1127,2),0)</f>
        <v/>
      </c>
      <c r="AE1127" s="76">
        <f>AD1127*E1127</f>
        <v/>
      </c>
      <c r="AF1127" s="193">
        <f t="array" ref="AF1127">IFERROR(ROUND(_xlfn.IFS(offer_sale_type="поставка",AB1127,offer_sale_type="транзит",S1127)*AC1127,2),0)</f>
        <v/>
      </c>
      <c r="AG1127" s="192">
        <f>$BD1127*VLOOKUP($AG$3,$AF$4:$AG$7,2,FALSE)</f>
        <v/>
      </c>
      <c r="AH1127" s="76">
        <f>SUM(AE1127,AG1127,AI1127)*rate_forex_risk</f>
        <v/>
      </c>
      <c r="AI1127" s="193">
        <f>IF(OR(seller_region="TR",offer_sale_type="экспорт"),0,rate_fin_comm)*SUM(AZ1127,AZ1127*AW1127,T1127)</f>
        <v/>
      </c>
      <c r="AJ1127" s="118">
        <f>IFERROR(ROUND(SUM(AB1127,AF1127:AI1127)/E1127,2),0)</f>
        <v/>
      </c>
      <c r="AK1127" s="76">
        <f>AJ1127*E1127</f>
        <v/>
      </c>
      <c r="AL1127" s="174">
        <f>ROUND(IFERROR(AM1127*E1127,0),2)</f>
        <v/>
      </c>
      <c r="AM1127" s="175">
        <f>ROUND(AJ1127*(1+IF(offer_incoterms="DDP",IF((TODAY()+offer_turnaround_time)&gt;=helpsheet!$L$17,rate_vatRU_from_26,rate_vatRu_till_25),0)),2)</f>
        <v/>
      </c>
      <c r="AN1127" s="192">
        <f>AL1127-AK1127</f>
        <v/>
      </c>
      <c r="AO1127" s="76">
        <f>SUM(AY1127,Y1127:Z1127,T1127)*IF(AND(offer_incoterms="DDP",offer_sale_type&lt;&gt;"экспорт"),IF((TODAY()+offer_turnaround_time)&gt;=helpsheet!$L$17,rate_vatRU_from_26,rate_vatRu_till_25),0)</f>
        <v/>
      </c>
      <c r="AP1127" s="193">
        <f>AN1127-AO1127</f>
        <v/>
      </c>
      <c r="AQ1127" s="118">
        <f>IF(offer_sale_type="транзит",SUM(AF1127:AI1127,BA1127,BB1127),0)</f>
        <v/>
      </c>
      <c r="AR1127" s="82">
        <f>HYPERLINK("https://www.alta.ru/tnved/code/")&amp;W1127&amp;"/"</f>
        <v/>
      </c>
      <c r="AS1127" s="157" t="n"/>
      <c r="AT1127" s="162" t="n"/>
      <c r="AU1127" s="76">
        <f>IF(ISBLANK(AT1127),0,AJ1127-AT1127)</f>
        <v/>
      </c>
      <c r="AV1127" s="157" t="n"/>
      <c r="AW1127" s="75">
        <f>_xlfn.IFNA(VLOOKUP(L1127,list_vat[],3,FALSE),0)</f>
        <v/>
      </c>
      <c r="AX1127" s="76">
        <f>IFERROR(ROUND(S1127*(1+AW1127)/E1127,2),0)</f>
        <v/>
      </c>
      <c r="AY1127" s="76">
        <f>E1127*AX1127</f>
        <v/>
      </c>
      <c r="AZ1127" s="192">
        <f>S1127*(1+M1127)</f>
        <v/>
      </c>
      <c r="BA1127" s="76">
        <f>cost_fin_total*$BD1127</f>
        <v/>
      </c>
      <c r="BB1127" s="193">
        <f>credit_sales_interest*BD1127</f>
        <v/>
      </c>
      <c r="BC1127" s="102">
        <f>IFERROR(IF($I$13&gt;0,$I1127/$I$13,$S1127/$S$13),0)</f>
        <v/>
      </c>
      <c r="BD1127" s="102">
        <f>IFERROR($S1127/$S$13,0)</f>
        <v/>
      </c>
      <c r="BE1127" s="413" t="inlineStr">
        <is>
          <t>$</t>
        </is>
      </c>
    </row>
    <row r="1128" ht="12" customFormat="1" customHeight="1" s="65">
      <c r="A1128" s="43" t="n">
        <v>1113</v>
      </c>
      <c r="B1128" s="166" t="n"/>
      <c r="C1128" s="166" t="n"/>
      <c r="D1128" s="166" t="n"/>
      <c r="E1128" s="162" t="n"/>
      <c r="F1128" s="166" t="n"/>
      <c r="G1128" s="162" t="n"/>
      <c r="H1128" s="162" t="n"/>
      <c r="I1128" s="189">
        <f>E1128*G1128</f>
        <v/>
      </c>
      <c r="J1128" s="195" t="n"/>
      <c r="K1128" s="162" t="n"/>
      <c r="L1128" s="168" t="n"/>
      <c r="M1128" s="75">
        <f>_xlfn.XLOOKUP(L1128,list_vat[Страна],list_vat[Ставка НДС %],0,0)</f>
        <v/>
      </c>
      <c r="N1128" s="162">
        <f>IFERROR(IF(L1128="Китай",K1128,K1128/(1+M1128)),0)</f>
        <v/>
      </c>
      <c r="O1128" s="169" t="n"/>
      <c r="P1128" s="76">
        <f>N1128*(1-O1128)</f>
        <v/>
      </c>
      <c r="Q1128" s="162" t="n"/>
      <c r="R1128" s="162">
        <f>IF(ISBLANK(Q1128),"введи курс",P1128/Q1128)</f>
        <v/>
      </c>
      <c r="S1128" s="196">
        <f>IF(AND(ISNUMBER(E1128),ISNUMBER(Q1128)),E1128*R1128,0)</f>
        <v/>
      </c>
      <c r="T1128" s="192">
        <f>$BC1128*V$11</f>
        <v/>
      </c>
      <c r="U1128" s="76">
        <f>$BC1128*W$11</f>
        <v/>
      </c>
      <c r="V1128" s="193">
        <f>+SUM(T1128:U1128)</f>
        <v/>
      </c>
      <c r="W1128" s="191" t="n"/>
      <c r="X1128" s="170" t="n"/>
      <c r="Y1128" s="76">
        <f>ROUND(IF(offer_incoterms="DDP",X1128*(S1128*(1+AW1128)+T1128),0),2)</f>
        <v/>
      </c>
      <c r="Z1128" s="188" t="n"/>
      <c r="AA1128" s="192">
        <f>IFERROR(AB1128/E1128,0)</f>
        <v/>
      </c>
      <c r="AB1128" s="76">
        <f>ROUND(SUM(S1128,V1128,Y1128:Z1128,BA1128:BB1128),2)</f>
        <v/>
      </c>
      <c r="AC1128" s="797" t="n"/>
      <c r="AD1128" s="192">
        <f t="array" ref="AD1128">IFERROR(ROUND((_xlfn.IFS(offer_sale_type="поставка",AB1128,offer_sale_type="транзит",S1128)*(1+AC1128))/E1128,2),0)</f>
        <v/>
      </c>
      <c r="AE1128" s="76">
        <f>AD1128*E1128</f>
        <v/>
      </c>
      <c r="AF1128" s="193">
        <f t="array" ref="AF1128">IFERROR(ROUND(_xlfn.IFS(offer_sale_type="поставка",AB1128,offer_sale_type="транзит",S1128)*AC1128,2),0)</f>
        <v/>
      </c>
      <c r="AG1128" s="192">
        <f>$BD1128*VLOOKUP($AG$3,$AF$4:$AG$7,2,FALSE)</f>
        <v/>
      </c>
      <c r="AH1128" s="76">
        <f>SUM(AE1128,AG1128,AI1128)*rate_forex_risk</f>
        <v/>
      </c>
      <c r="AI1128" s="193">
        <f>IF(OR(seller_region="TR",offer_sale_type="экспорт"),0,rate_fin_comm)*SUM(AZ1128,AZ1128*AW1128,T1128)</f>
        <v/>
      </c>
      <c r="AJ1128" s="118">
        <f>IFERROR(ROUND(SUM(AB1128,AF1128:AI1128)/E1128,2),0)</f>
        <v/>
      </c>
      <c r="AK1128" s="76">
        <f>AJ1128*E1128</f>
        <v/>
      </c>
      <c r="AL1128" s="174">
        <f>ROUND(IFERROR(AM1128*E1128,0),2)</f>
        <v/>
      </c>
      <c r="AM1128" s="175">
        <f>ROUND(AJ1128*(1+IF(offer_incoterms="DDP",IF((TODAY()+offer_turnaround_time)&gt;=helpsheet!$L$17,rate_vatRU_from_26,rate_vatRu_till_25),0)),2)</f>
        <v/>
      </c>
      <c r="AN1128" s="192">
        <f>AL1128-AK1128</f>
        <v/>
      </c>
      <c r="AO1128" s="76">
        <f>SUM(AY1128,Y1128:Z1128,T1128)*IF(AND(offer_incoterms="DDP",offer_sale_type&lt;&gt;"экспорт"),IF((TODAY()+offer_turnaround_time)&gt;=helpsheet!$L$17,rate_vatRU_from_26,rate_vatRu_till_25),0)</f>
        <v/>
      </c>
      <c r="AP1128" s="193">
        <f>AN1128-AO1128</f>
        <v/>
      </c>
      <c r="AQ1128" s="118">
        <f>IF(offer_sale_type="транзит",SUM(AF1128:AI1128,BA1128,BB1128),0)</f>
        <v/>
      </c>
      <c r="AR1128" s="82">
        <f>HYPERLINK("https://www.alta.ru/tnved/code/")&amp;W1128&amp;"/"</f>
        <v/>
      </c>
      <c r="AS1128" s="157" t="n"/>
      <c r="AT1128" s="162" t="n"/>
      <c r="AU1128" s="76">
        <f>IF(ISBLANK(AT1128),0,AJ1128-AT1128)</f>
        <v/>
      </c>
      <c r="AV1128" s="157" t="n"/>
      <c r="AW1128" s="75">
        <f>_xlfn.IFNA(VLOOKUP(L1128,list_vat[],3,FALSE),0)</f>
        <v/>
      </c>
      <c r="AX1128" s="76">
        <f>IFERROR(ROUND(S1128*(1+AW1128)/E1128,2),0)</f>
        <v/>
      </c>
      <c r="AY1128" s="76">
        <f>E1128*AX1128</f>
        <v/>
      </c>
      <c r="AZ1128" s="192">
        <f>S1128*(1+M1128)</f>
        <v/>
      </c>
      <c r="BA1128" s="76">
        <f>cost_fin_total*$BD1128</f>
        <v/>
      </c>
      <c r="BB1128" s="193">
        <f>credit_sales_interest*BD1128</f>
        <v/>
      </c>
      <c r="BC1128" s="102">
        <f>IFERROR(IF($I$13&gt;0,$I1128/$I$13,$S1128/$S$13),0)</f>
        <v/>
      </c>
      <c r="BD1128" s="102">
        <f>IFERROR($S1128/$S$13,0)</f>
        <v/>
      </c>
      <c r="BE1128" s="413" t="inlineStr">
        <is>
          <t>$</t>
        </is>
      </c>
    </row>
    <row r="1129" ht="12" customFormat="1" customHeight="1" s="65">
      <c r="A1129" s="43" t="n">
        <v>1114</v>
      </c>
      <c r="B1129" s="166" t="n"/>
      <c r="C1129" s="166" t="n"/>
      <c r="D1129" s="166" t="n"/>
      <c r="E1129" s="162" t="n"/>
      <c r="F1129" s="166" t="n"/>
      <c r="G1129" s="162" t="n"/>
      <c r="H1129" s="162" t="n"/>
      <c r="I1129" s="189">
        <f>E1129*G1129</f>
        <v/>
      </c>
      <c r="J1129" s="195" t="n"/>
      <c r="K1129" s="162" t="n"/>
      <c r="L1129" s="168" t="n"/>
      <c r="M1129" s="75">
        <f>_xlfn.XLOOKUP(L1129,list_vat[Страна],list_vat[Ставка НДС %],0,0)</f>
        <v/>
      </c>
      <c r="N1129" s="162">
        <f>IFERROR(IF(L1129="Китай",K1129,K1129/(1+M1129)),0)</f>
        <v/>
      </c>
      <c r="O1129" s="169" t="n"/>
      <c r="P1129" s="76">
        <f>N1129*(1-O1129)</f>
        <v/>
      </c>
      <c r="Q1129" s="162" t="n"/>
      <c r="R1129" s="162">
        <f>IF(ISBLANK(Q1129),"введи курс",P1129/Q1129)</f>
        <v/>
      </c>
      <c r="S1129" s="196">
        <f>IF(AND(ISNUMBER(E1129),ISNUMBER(Q1129)),E1129*R1129,0)</f>
        <v/>
      </c>
      <c r="T1129" s="192">
        <f>$BC1129*V$11</f>
        <v/>
      </c>
      <c r="U1129" s="76">
        <f>$BC1129*W$11</f>
        <v/>
      </c>
      <c r="V1129" s="193">
        <f>+SUM(T1129:U1129)</f>
        <v/>
      </c>
      <c r="W1129" s="191" t="n"/>
      <c r="X1129" s="170" t="n"/>
      <c r="Y1129" s="76">
        <f>ROUND(IF(offer_incoterms="DDP",X1129*(S1129*(1+AW1129)+T1129),0),2)</f>
        <v/>
      </c>
      <c r="Z1129" s="188" t="n"/>
      <c r="AA1129" s="192">
        <f>IFERROR(AB1129/E1129,0)</f>
        <v/>
      </c>
      <c r="AB1129" s="76">
        <f>ROUND(SUM(S1129,V1129,Y1129:Z1129,BA1129:BB1129),2)</f>
        <v/>
      </c>
      <c r="AC1129" s="797" t="n"/>
      <c r="AD1129" s="192">
        <f t="array" ref="AD1129">IFERROR(ROUND((_xlfn.IFS(offer_sale_type="поставка",AB1129,offer_sale_type="транзит",S1129)*(1+AC1129))/E1129,2),0)</f>
        <v/>
      </c>
      <c r="AE1129" s="76">
        <f>AD1129*E1129</f>
        <v/>
      </c>
      <c r="AF1129" s="193">
        <f t="array" ref="AF1129">IFERROR(ROUND(_xlfn.IFS(offer_sale_type="поставка",AB1129,offer_sale_type="транзит",S1129)*AC1129,2),0)</f>
        <v/>
      </c>
      <c r="AG1129" s="192">
        <f>$BD1129*VLOOKUP($AG$3,$AF$4:$AG$7,2,FALSE)</f>
        <v/>
      </c>
      <c r="AH1129" s="76">
        <f>SUM(AE1129,AG1129,AI1129)*rate_forex_risk</f>
        <v/>
      </c>
      <c r="AI1129" s="193">
        <f>IF(OR(seller_region="TR",offer_sale_type="экспорт"),0,rate_fin_comm)*SUM(AZ1129,AZ1129*AW1129,T1129)</f>
        <v/>
      </c>
      <c r="AJ1129" s="118">
        <f>IFERROR(ROUND(SUM(AB1129,AF1129:AI1129)/E1129,2),0)</f>
        <v/>
      </c>
      <c r="AK1129" s="76">
        <f>AJ1129*E1129</f>
        <v/>
      </c>
      <c r="AL1129" s="174">
        <f>ROUND(IFERROR(AM1129*E1129,0),2)</f>
        <v/>
      </c>
      <c r="AM1129" s="175">
        <f>ROUND(AJ1129*(1+IF(offer_incoterms="DDP",IF((TODAY()+offer_turnaround_time)&gt;=helpsheet!$L$17,rate_vatRU_from_26,rate_vatRu_till_25),0)),2)</f>
        <v/>
      </c>
      <c r="AN1129" s="192">
        <f>AL1129-AK1129</f>
        <v/>
      </c>
      <c r="AO1129" s="76">
        <f>SUM(AY1129,Y1129:Z1129,T1129)*IF(AND(offer_incoterms="DDP",offer_sale_type&lt;&gt;"экспорт"),IF((TODAY()+offer_turnaround_time)&gt;=helpsheet!$L$17,rate_vatRU_from_26,rate_vatRu_till_25),0)</f>
        <v/>
      </c>
      <c r="AP1129" s="193">
        <f>AN1129-AO1129</f>
        <v/>
      </c>
      <c r="AQ1129" s="118">
        <f>IF(offer_sale_type="транзит",SUM(AF1129:AI1129,BA1129,BB1129),0)</f>
        <v/>
      </c>
      <c r="AR1129" s="82">
        <f>HYPERLINK("https://www.alta.ru/tnved/code/")&amp;W1129&amp;"/"</f>
        <v/>
      </c>
      <c r="AS1129" s="157" t="n"/>
      <c r="AT1129" s="162" t="n"/>
      <c r="AU1129" s="76">
        <f>IF(ISBLANK(AT1129),0,AJ1129-AT1129)</f>
        <v/>
      </c>
      <c r="AV1129" s="157" t="n"/>
      <c r="AW1129" s="75">
        <f>_xlfn.IFNA(VLOOKUP(L1129,list_vat[],3,FALSE),0)</f>
        <v/>
      </c>
      <c r="AX1129" s="76">
        <f>IFERROR(ROUND(S1129*(1+AW1129)/E1129,2),0)</f>
        <v/>
      </c>
      <c r="AY1129" s="76">
        <f>E1129*AX1129</f>
        <v/>
      </c>
      <c r="AZ1129" s="192">
        <f>S1129*(1+M1129)</f>
        <v/>
      </c>
      <c r="BA1129" s="76">
        <f>cost_fin_total*$BD1129</f>
        <v/>
      </c>
      <c r="BB1129" s="193">
        <f>credit_sales_interest*BD1129</f>
        <v/>
      </c>
      <c r="BC1129" s="102">
        <f>IFERROR(IF($I$13&gt;0,$I1129/$I$13,$S1129/$S$13),0)</f>
        <v/>
      </c>
      <c r="BD1129" s="102">
        <f>IFERROR($S1129/$S$13,0)</f>
        <v/>
      </c>
      <c r="BE1129" s="413" t="inlineStr">
        <is>
          <t>$</t>
        </is>
      </c>
    </row>
    <row r="1130" ht="12" customFormat="1" customHeight="1" s="65">
      <c r="A1130" s="43" t="n">
        <v>1115</v>
      </c>
      <c r="B1130" s="166" t="n"/>
      <c r="C1130" s="166" t="n"/>
      <c r="D1130" s="166" t="n"/>
      <c r="E1130" s="162" t="n"/>
      <c r="F1130" s="166" t="n"/>
      <c r="G1130" s="162" t="n"/>
      <c r="H1130" s="162" t="n"/>
      <c r="I1130" s="189">
        <f>E1130*G1130</f>
        <v/>
      </c>
      <c r="J1130" s="195" t="n"/>
      <c r="K1130" s="162" t="n"/>
      <c r="L1130" s="168" t="n"/>
      <c r="M1130" s="75">
        <f>_xlfn.XLOOKUP(L1130,list_vat[Страна],list_vat[Ставка НДС %],0,0)</f>
        <v/>
      </c>
      <c r="N1130" s="162">
        <f>IFERROR(IF(L1130="Китай",K1130,K1130/(1+M1130)),0)</f>
        <v/>
      </c>
      <c r="O1130" s="169" t="n"/>
      <c r="P1130" s="76">
        <f>N1130*(1-O1130)</f>
        <v/>
      </c>
      <c r="Q1130" s="162" t="n"/>
      <c r="R1130" s="162">
        <f>IF(ISBLANK(Q1130),"введи курс",P1130/Q1130)</f>
        <v/>
      </c>
      <c r="S1130" s="196">
        <f>IF(AND(ISNUMBER(E1130),ISNUMBER(Q1130)),E1130*R1130,0)</f>
        <v/>
      </c>
      <c r="T1130" s="192">
        <f>$BC1130*V$11</f>
        <v/>
      </c>
      <c r="U1130" s="76">
        <f>$BC1130*W$11</f>
        <v/>
      </c>
      <c r="V1130" s="193">
        <f>+SUM(T1130:U1130)</f>
        <v/>
      </c>
      <c r="W1130" s="191" t="n"/>
      <c r="X1130" s="170" t="n"/>
      <c r="Y1130" s="76">
        <f>ROUND(IF(offer_incoterms="DDP",X1130*(S1130*(1+AW1130)+T1130),0),2)</f>
        <v/>
      </c>
      <c r="Z1130" s="188" t="n"/>
      <c r="AA1130" s="192">
        <f>IFERROR(AB1130/E1130,0)</f>
        <v/>
      </c>
      <c r="AB1130" s="76">
        <f>ROUND(SUM(S1130,V1130,Y1130:Z1130,BA1130:BB1130),2)</f>
        <v/>
      </c>
      <c r="AC1130" s="797" t="n"/>
      <c r="AD1130" s="192">
        <f t="array" ref="AD1130">IFERROR(ROUND((_xlfn.IFS(offer_sale_type="поставка",AB1130,offer_sale_type="транзит",S1130)*(1+AC1130))/E1130,2),0)</f>
        <v/>
      </c>
      <c r="AE1130" s="76">
        <f>AD1130*E1130</f>
        <v/>
      </c>
      <c r="AF1130" s="193">
        <f t="array" ref="AF1130">IFERROR(ROUND(_xlfn.IFS(offer_sale_type="поставка",AB1130,offer_sale_type="транзит",S1130)*AC1130,2),0)</f>
        <v/>
      </c>
      <c r="AG1130" s="192">
        <f>$BD1130*VLOOKUP($AG$3,$AF$4:$AG$7,2,FALSE)</f>
        <v/>
      </c>
      <c r="AH1130" s="76">
        <f>SUM(AE1130,AG1130,AI1130)*rate_forex_risk</f>
        <v/>
      </c>
      <c r="AI1130" s="193">
        <f>IF(OR(seller_region="TR",offer_sale_type="экспорт"),0,rate_fin_comm)*SUM(AZ1130,AZ1130*AW1130,T1130)</f>
        <v/>
      </c>
      <c r="AJ1130" s="118">
        <f>IFERROR(ROUND(SUM(AB1130,AF1130:AI1130)/E1130,2),0)</f>
        <v/>
      </c>
      <c r="AK1130" s="76">
        <f>AJ1130*E1130</f>
        <v/>
      </c>
      <c r="AL1130" s="174">
        <f>ROUND(IFERROR(AM1130*E1130,0),2)</f>
        <v/>
      </c>
      <c r="AM1130" s="175">
        <f>ROUND(AJ1130*(1+IF(offer_incoterms="DDP",IF((TODAY()+offer_turnaround_time)&gt;=helpsheet!$L$17,rate_vatRU_from_26,rate_vatRu_till_25),0)),2)</f>
        <v/>
      </c>
      <c r="AN1130" s="192">
        <f>AL1130-AK1130</f>
        <v/>
      </c>
      <c r="AO1130" s="76">
        <f>SUM(AY1130,Y1130:Z1130,T1130)*IF(AND(offer_incoterms="DDP",offer_sale_type&lt;&gt;"экспорт"),IF((TODAY()+offer_turnaround_time)&gt;=helpsheet!$L$17,rate_vatRU_from_26,rate_vatRu_till_25),0)</f>
        <v/>
      </c>
      <c r="AP1130" s="193">
        <f>AN1130-AO1130</f>
        <v/>
      </c>
      <c r="AQ1130" s="118">
        <f>IF(offer_sale_type="транзит",SUM(AF1130:AI1130,BA1130,BB1130),0)</f>
        <v/>
      </c>
      <c r="AR1130" s="82">
        <f>HYPERLINK("https://www.alta.ru/tnved/code/")&amp;W1130&amp;"/"</f>
        <v/>
      </c>
      <c r="AS1130" s="157" t="n"/>
      <c r="AT1130" s="162" t="n"/>
      <c r="AU1130" s="76">
        <f>IF(ISBLANK(AT1130),0,AJ1130-AT1130)</f>
        <v/>
      </c>
      <c r="AV1130" s="157" t="n"/>
      <c r="AW1130" s="75">
        <f>_xlfn.IFNA(VLOOKUP(L1130,list_vat[],3,FALSE),0)</f>
        <v/>
      </c>
      <c r="AX1130" s="76">
        <f>IFERROR(ROUND(S1130*(1+AW1130)/E1130,2),0)</f>
        <v/>
      </c>
      <c r="AY1130" s="76">
        <f>E1130*AX1130</f>
        <v/>
      </c>
      <c r="AZ1130" s="192">
        <f>S1130*(1+M1130)</f>
        <v/>
      </c>
      <c r="BA1130" s="76">
        <f>cost_fin_total*$BD1130</f>
        <v/>
      </c>
      <c r="BB1130" s="193">
        <f>credit_sales_interest*BD1130</f>
        <v/>
      </c>
      <c r="BC1130" s="102">
        <f>IFERROR(IF($I$13&gt;0,$I1130/$I$13,$S1130/$S$13),0)</f>
        <v/>
      </c>
      <c r="BD1130" s="102">
        <f>IFERROR($S1130/$S$13,0)</f>
        <v/>
      </c>
      <c r="BE1130" s="413" t="inlineStr">
        <is>
          <t>$</t>
        </is>
      </c>
    </row>
    <row r="1131" ht="12" customFormat="1" customHeight="1" s="65">
      <c r="A1131" s="43" t="n">
        <v>1116</v>
      </c>
      <c r="B1131" s="166" t="n"/>
      <c r="C1131" s="166" t="n"/>
      <c r="D1131" s="166" t="n"/>
      <c r="E1131" s="162" t="n"/>
      <c r="F1131" s="166" t="n"/>
      <c r="G1131" s="162" t="n"/>
      <c r="H1131" s="162" t="n"/>
      <c r="I1131" s="189">
        <f>E1131*G1131</f>
        <v/>
      </c>
      <c r="J1131" s="195" t="n"/>
      <c r="K1131" s="162" t="n"/>
      <c r="L1131" s="168" t="n"/>
      <c r="M1131" s="75">
        <f>_xlfn.XLOOKUP(L1131,list_vat[Страна],list_vat[Ставка НДС %],0,0)</f>
        <v/>
      </c>
      <c r="N1131" s="162">
        <f>IFERROR(IF(L1131="Китай",K1131,K1131/(1+M1131)),0)</f>
        <v/>
      </c>
      <c r="O1131" s="169" t="n"/>
      <c r="P1131" s="76">
        <f>N1131*(1-O1131)</f>
        <v/>
      </c>
      <c r="Q1131" s="162" t="n"/>
      <c r="R1131" s="162">
        <f>IF(ISBLANK(Q1131),"введи курс",P1131/Q1131)</f>
        <v/>
      </c>
      <c r="S1131" s="196">
        <f>IF(AND(ISNUMBER(E1131),ISNUMBER(Q1131)),E1131*R1131,0)</f>
        <v/>
      </c>
      <c r="T1131" s="192">
        <f>$BC1131*V$11</f>
        <v/>
      </c>
      <c r="U1131" s="76">
        <f>$BC1131*W$11</f>
        <v/>
      </c>
      <c r="V1131" s="193">
        <f>+SUM(T1131:U1131)</f>
        <v/>
      </c>
      <c r="W1131" s="191" t="n"/>
      <c r="X1131" s="170" t="n"/>
      <c r="Y1131" s="76">
        <f>ROUND(IF(offer_incoterms="DDP",X1131*(S1131*(1+AW1131)+T1131),0),2)</f>
        <v/>
      </c>
      <c r="Z1131" s="188" t="n"/>
      <c r="AA1131" s="192">
        <f>IFERROR(AB1131/E1131,0)</f>
        <v/>
      </c>
      <c r="AB1131" s="76">
        <f>ROUND(SUM(S1131,V1131,Y1131:Z1131,BA1131:BB1131),2)</f>
        <v/>
      </c>
      <c r="AC1131" s="797" t="n"/>
      <c r="AD1131" s="192">
        <f t="array" ref="AD1131">IFERROR(ROUND((_xlfn.IFS(offer_sale_type="поставка",AB1131,offer_sale_type="транзит",S1131)*(1+AC1131))/E1131,2),0)</f>
        <v/>
      </c>
      <c r="AE1131" s="76">
        <f>AD1131*E1131</f>
        <v/>
      </c>
      <c r="AF1131" s="193">
        <f t="array" ref="AF1131">IFERROR(ROUND(_xlfn.IFS(offer_sale_type="поставка",AB1131,offer_sale_type="транзит",S1131)*AC1131,2),0)</f>
        <v/>
      </c>
      <c r="AG1131" s="192">
        <f>$BD1131*VLOOKUP($AG$3,$AF$4:$AG$7,2,FALSE)</f>
        <v/>
      </c>
      <c r="AH1131" s="76">
        <f>SUM(AE1131,AG1131,AI1131)*rate_forex_risk</f>
        <v/>
      </c>
      <c r="AI1131" s="193">
        <f>IF(OR(seller_region="TR",offer_sale_type="экспорт"),0,rate_fin_comm)*SUM(AZ1131,AZ1131*AW1131,T1131)</f>
        <v/>
      </c>
      <c r="AJ1131" s="118">
        <f>IFERROR(ROUND(SUM(AB1131,AF1131:AI1131)/E1131,2),0)</f>
        <v/>
      </c>
      <c r="AK1131" s="76">
        <f>AJ1131*E1131</f>
        <v/>
      </c>
      <c r="AL1131" s="174">
        <f>ROUND(IFERROR(AM1131*E1131,0),2)</f>
        <v/>
      </c>
      <c r="AM1131" s="175">
        <f>ROUND(AJ1131*(1+IF(offer_incoterms="DDP",IF((TODAY()+offer_turnaround_time)&gt;=helpsheet!$L$17,rate_vatRU_from_26,rate_vatRu_till_25),0)),2)</f>
        <v/>
      </c>
      <c r="AN1131" s="192">
        <f>AL1131-AK1131</f>
        <v/>
      </c>
      <c r="AO1131" s="76">
        <f>SUM(AY1131,Y1131:Z1131,T1131)*IF(AND(offer_incoterms="DDP",offer_sale_type&lt;&gt;"экспорт"),IF((TODAY()+offer_turnaround_time)&gt;=helpsheet!$L$17,rate_vatRU_from_26,rate_vatRu_till_25),0)</f>
        <v/>
      </c>
      <c r="AP1131" s="193">
        <f>AN1131-AO1131</f>
        <v/>
      </c>
      <c r="AQ1131" s="118">
        <f>IF(offer_sale_type="транзит",SUM(AF1131:AI1131,BA1131,BB1131),0)</f>
        <v/>
      </c>
      <c r="AR1131" s="82">
        <f>HYPERLINK("https://www.alta.ru/tnved/code/")&amp;W1131&amp;"/"</f>
        <v/>
      </c>
      <c r="AS1131" s="157" t="n"/>
      <c r="AT1131" s="162" t="n"/>
      <c r="AU1131" s="76">
        <f>IF(ISBLANK(AT1131),0,AJ1131-AT1131)</f>
        <v/>
      </c>
      <c r="AV1131" s="157" t="n"/>
      <c r="AW1131" s="75">
        <f>_xlfn.IFNA(VLOOKUP(L1131,list_vat[],3,FALSE),0)</f>
        <v/>
      </c>
      <c r="AX1131" s="76">
        <f>IFERROR(ROUND(S1131*(1+AW1131)/E1131,2),0)</f>
        <v/>
      </c>
      <c r="AY1131" s="76">
        <f>E1131*AX1131</f>
        <v/>
      </c>
      <c r="AZ1131" s="192">
        <f>S1131*(1+M1131)</f>
        <v/>
      </c>
      <c r="BA1131" s="76">
        <f>cost_fin_total*$BD1131</f>
        <v/>
      </c>
      <c r="BB1131" s="193">
        <f>credit_sales_interest*BD1131</f>
        <v/>
      </c>
      <c r="BC1131" s="102">
        <f>IFERROR(IF($I$13&gt;0,$I1131/$I$13,$S1131/$S$13),0)</f>
        <v/>
      </c>
      <c r="BD1131" s="102">
        <f>IFERROR($S1131/$S$13,0)</f>
        <v/>
      </c>
      <c r="BE1131" s="413" t="inlineStr">
        <is>
          <t>$</t>
        </is>
      </c>
    </row>
    <row r="1132" ht="12" customFormat="1" customHeight="1" s="65">
      <c r="A1132" s="43" t="n">
        <v>1117</v>
      </c>
      <c r="B1132" s="166" t="n"/>
      <c r="C1132" s="166" t="n"/>
      <c r="D1132" s="166" t="n"/>
      <c r="E1132" s="162" t="n"/>
      <c r="F1132" s="166" t="n"/>
      <c r="G1132" s="162" t="n"/>
      <c r="H1132" s="162" t="n"/>
      <c r="I1132" s="189">
        <f>E1132*G1132</f>
        <v/>
      </c>
      <c r="J1132" s="195" t="n"/>
      <c r="K1132" s="162" t="n"/>
      <c r="L1132" s="168" t="n"/>
      <c r="M1132" s="75">
        <f>_xlfn.XLOOKUP(L1132,list_vat[Страна],list_vat[Ставка НДС %],0,0)</f>
        <v/>
      </c>
      <c r="N1132" s="162">
        <f>IFERROR(IF(L1132="Китай",K1132,K1132/(1+M1132)),0)</f>
        <v/>
      </c>
      <c r="O1132" s="169" t="n"/>
      <c r="P1132" s="76">
        <f>N1132*(1-O1132)</f>
        <v/>
      </c>
      <c r="Q1132" s="162" t="n"/>
      <c r="R1132" s="162">
        <f>IF(ISBLANK(Q1132),"введи курс",P1132/Q1132)</f>
        <v/>
      </c>
      <c r="S1132" s="196">
        <f>IF(AND(ISNUMBER(E1132),ISNUMBER(Q1132)),E1132*R1132,0)</f>
        <v/>
      </c>
      <c r="T1132" s="192">
        <f>$BC1132*V$11</f>
        <v/>
      </c>
      <c r="U1132" s="76">
        <f>$BC1132*W$11</f>
        <v/>
      </c>
      <c r="V1132" s="193">
        <f>+SUM(T1132:U1132)</f>
        <v/>
      </c>
      <c r="W1132" s="191" t="n"/>
      <c r="X1132" s="170" t="n"/>
      <c r="Y1132" s="76">
        <f>ROUND(IF(offer_incoterms="DDP",X1132*(S1132*(1+AW1132)+T1132),0),2)</f>
        <v/>
      </c>
      <c r="Z1132" s="188" t="n"/>
      <c r="AA1132" s="192">
        <f>IFERROR(AB1132/E1132,0)</f>
        <v/>
      </c>
      <c r="AB1132" s="76">
        <f>ROUND(SUM(S1132,V1132,Y1132:Z1132,BA1132:BB1132),2)</f>
        <v/>
      </c>
      <c r="AC1132" s="797" t="n"/>
      <c r="AD1132" s="192">
        <f t="array" ref="AD1132">IFERROR(ROUND((_xlfn.IFS(offer_sale_type="поставка",AB1132,offer_sale_type="транзит",S1132)*(1+AC1132))/E1132,2),0)</f>
        <v/>
      </c>
      <c r="AE1132" s="76">
        <f>AD1132*E1132</f>
        <v/>
      </c>
      <c r="AF1132" s="193">
        <f t="array" ref="AF1132">IFERROR(ROUND(_xlfn.IFS(offer_sale_type="поставка",AB1132,offer_sale_type="транзит",S1132)*AC1132,2),0)</f>
        <v/>
      </c>
      <c r="AG1132" s="192">
        <f>$BD1132*VLOOKUP($AG$3,$AF$4:$AG$7,2,FALSE)</f>
        <v/>
      </c>
      <c r="AH1132" s="76">
        <f>SUM(AE1132,AG1132,AI1132)*rate_forex_risk</f>
        <v/>
      </c>
      <c r="AI1132" s="193">
        <f>IF(OR(seller_region="TR",offer_sale_type="экспорт"),0,rate_fin_comm)*SUM(AZ1132,AZ1132*AW1132,T1132)</f>
        <v/>
      </c>
      <c r="AJ1132" s="118">
        <f>IFERROR(ROUND(SUM(AB1132,AF1132:AI1132)/E1132,2),0)</f>
        <v/>
      </c>
      <c r="AK1132" s="76">
        <f>AJ1132*E1132</f>
        <v/>
      </c>
      <c r="AL1132" s="174">
        <f>ROUND(IFERROR(AM1132*E1132,0),2)</f>
        <v/>
      </c>
      <c r="AM1132" s="175">
        <f>ROUND(AJ1132*(1+IF(offer_incoterms="DDP",IF((TODAY()+offer_turnaround_time)&gt;=helpsheet!$L$17,rate_vatRU_from_26,rate_vatRu_till_25),0)),2)</f>
        <v/>
      </c>
      <c r="AN1132" s="192">
        <f>AL1132-AK1132</f>
        <v/>
      </c>
      <c r="AO1132" s="76">
        <f>SUM(AY1132,Y1132:Z1132,T1132)*IF(AND(offer_incoterms="DDP",offer_sale_type&lt;&gt;"экспорт"),IF((TODAY()+offer_turnaround_time)&gt;=helpsheet!$L$17,rate_vatRU_from_26,rate_vatRu_till_25),0)</f>
        <v/>
      </c>
      <c r="AP1132" s="193">
        <f>AN1132-AO1132</f>
        <v/>
      </c>
      <c r="AQ1132" s="118">
        <f>IF(offer_sale_type="транзит",SUM(AF1132:AI1132,BA1132,BB1132),0)</f>
        <v/>
      </c>
      <c r="AR1132" s="82">
        <f>HYPERLINK("https://www.alta.ru/tnved/code/")&amp;W1132&amp;"/"</f>
        <v/>
      </c>
      <c r="AS1132" s="157" t="n"/>
      <c r="AT1132" s="162" t="n"/>
      <c r="AU1132" s="76">
        <f>IF(ISBLANK(AT1132),0,AJ1132-AT1132)</f>
        <v/>
      </c>
      <c r="AV1132" s="157" t="n"/>
      <c r="AW1132" s="75">
        <f>_xlfn.IFNA(VLOOKUP(L1132,list_vat[],3,FALSE),0)</f>
        <v/>
      </c>
      <c r="AX1132" s="76">
        <f>IFERROR(ROUND(S1132*(1+AW1132)/E1132,2),0)</f>
        <v/>
      </c>
      <c r="AY1132" s="76">
        <f>E1132*AX1132</f>
        <v/>
      </c>
      <c r="AZ1132" s="192">
        <f>S1132*(1+M1132)</f>
        <v/>
      </c>
      <c r="BA1132" s="76">
        <f>cost_fin_total*$BD1132</f>
        <v/>
      </c>
      <c r="BB1132" s="193">
        <f>credit_sales_interest*BD1132</f>
        <v/>
      </c>
      <c r="BC1132" s="102">
        <f>IFERROR(IF($I$13&gt;0,$I1132/$I$13,$S1132/$S$13),0)</f>
        <v/>
      </c>
      <c r="BD1132" s="102">
        <f>IFERROR($S1132/$S$13,0)</f>
        <v/>
      </c>
      <c r="BE1132" s="413" t="inlineStr">
        <is>
          <t>$</t>
        </is>
      </c>
    </row>
    <row r="1133" ht="12" customFormat="1" customHeight="1" s="65">
      <c r="A1133" s="43" t="n">
        <v>1118</v>
      </c>
      <c r="B1133" s="166" t="n"/>
      <c r="C1133" s="166" t="n"/>
      <c r="D1133" s="166" t="n"/>
      <c r="E1133" s="162" t="n"/>
      <c r="F1133" s="166" t="n"/>
      <c r="G1133" s="162" t="n"/>
      <c r="H1133" s="162" t="n"/>
      <c r="I1133" s="189">
        <f>E1133*G1133</f>
        <v/>
      </c>
      <c r="J1133" s="195" t="n"/>
      <c r="K1133" s="162" t="n"/>
      <c r="L1133" s="168" t="n"/>
      <c r="M1133" s="75">
        <f>_xlfn.XLOOKUP(L1133,list_vat[Страна],list_vat[Ставка НДС %],0,0)</f>
        <v/>
      </c>
      <c r="N1133" s="162">
        <f>IFERROR(IF(L1133="Китай",K1133,K1133/(1+M1133)),0)</f>
        <v/>
      </c>
      <c r="O1133" s="169" t="n"/>
      <c r="P1133" s="76">
        <f>N1133*(1-O1133)</f>
        <v/>
      </c>
      <c r="Q1133" s="162" t="n"/>
      <c r="R1133" s="162">
        <f>IF(ISBLANK(Q1133),"введи курс",P1133/Q1133)</f>
        <v/>
      </c>
      <c r="S1133" s="196">
        <f>IF(AND(ISNUMBER(E1133),ISNUMBER(Q1133)),E1133*R1133,0)</f>
        <v/>
      </c>
      <c r="T1133" s="192">
        <f>$BC1133*V$11</f>
        <v/>
      </c>
      <c r="U1133" s="76">
        <f>$BC1133*W$11</f>
        <v/>
      </c>
      <c r="V1133" s="193">
        <f>+SUM(T1133:U1133)</f>
        <v/>
      </c>
      <c r="W1133" s="191" t="n"/>
      <c r="X1133" s="170" t="n"/>
      <c r="Y1133" s="76">
        <f>ROUND(IF(offer_incoterms="DDP",X1133*(S1133*(1+AW1133)+T1133),0),2)</f>
        <v/>
      </c>
      <c r="Z1133" s="188" t="n"/>
      <c r="AA1133" s="192">
        <f>IFERROR(AB1133/E1133,0)</f>
        <v/>
      </c>
      <c r="AB1133" s="76">
        <f>ROUND(SUM(S1133,V1133,Y1133:Z1133,BA1133:BB1133),2)</f>
        <v/>
      </c>
      <c r="AC1133" s="797" t="n"/>
      <c r="AD1133" s="192">
        <f t="array" ref="AD1133">IFERROR(ROUND((_xlfn.IFS(offer_sale_type="поставка",AB1133,offer_sale_type="транзит",S1133)*(1+AC1133))/E1133,2),0)</f>
        <v/>
      </c>
      <c r="AE1133" s="76">
        <f>AD1133*E1133</f>
        <v/>
      </c>
      <c r="AF1133" s="193">
        <f t="array" ref="AF1133">IFERROR(ROUND(_xlfn.IFS(offer_sale_type="поставка",AB1133,offer_sale_type="транзит",S1133)*AC1133,2),0)</f>
        <v/>
      </c>
      <c r="AG1133" s="192">
        <f>$BD1133*VLOOKUP($AG$3,$AF$4:$AG$7,2,FALSE)</f>
        <v/>
      </c>
      <c r="AH1133" s="76">
        <f>SUM(AE1133,AG1133,AI1133)*rate_forex_risk</f>
        <v/>
      </c>
      <c r="AI1133" s="193">
        <f>IF(OR(seller_region="TR",offer_sale_type="экспорт"),0,rate_fin_comm)*SUM(AZ1133,AZ1133*AW1133,T1133)</f>
        <v/>
      </c>
      <c r="AJ1133" s="118">
        <f>IFERROR(ROUND(SUM(AB1133,AF1133:AI1133)/E1133,2),0)</f>
        <v/>
      </c>
      <c r="AK1133" s="76">
        <f>AJ1133*E1133</f>
        <v/>
      </c>
      <c r="AL1133" s="174">
        <f>ROUND(IFERROR(AM1133*E1133,0),2)</f>
        <v/>
      </c>
      <c r="AM1133" s="175">
        <f>ROUND(AJ1133*(1+IF(offer_incoterms="DDP",IF((TODAY()+offer_turnaround_time)&gt;=helpsheet!$L$17,rate_vatRU_from_26,rate_vatRu_till_25),0)),2)</f>
        <v/>
      </c>
      <c r="AN1133" s="192">
        <f>AL1133-AK1133</f>
        <v/>
      </c>
      <c r="AO1133" s="76">
        <f>SUM(AY1133,Y1133:Z1133,T1133)*IF(AND(offer_incoterms="DDP",offer_sale_type&lt;&gt;"экспорт"),IF((TODAY()+offer_turnaround_time)&gt;=helpsheet!$L$17,rate_vatRU_from_26,rate_vatRu_till_25),0)</f>
        <v/>
      </c>
      <c r="AP1133" s="193">
        <f>AN1133-AO1133</f>
        <v/>
      </c>
      <c r="AQ1133" s="118">
        <f>IF(offer_sale_type="транзит",SUM(AF1133:AI1133,BA1133,BB1133),0)</f>
        <v/>
      </c>
      <c r="AR1133" s="82">
        <f>HYPERLINK("https://www.alta.ru/tnved/code/")&amp;W1133&amp;"/"</f>
        <v/>
      </c>
      <c r="AS1133" s="157" t="n"/>
      <c r="AT1133" s="162" t="n"/>
      <c r="AU1133" s="76">
        <f>IF(ISBLANK(AT1133),0,AJ1133-AT1133)</f>
        <v/>
      </c>
      <c r="AV1133" s="157" t="n"/>
      <c r="AW1133" s="75">
        <f>_xlfn.IFNA(VLOOKUP(L1133,list_vat[],3,FALSE),0)</f>
        <v/>
      </c>
      <c r="AX1133" s="76">
        <f>IFERROR(ROUND(S1133*(1+AW1133)/E1133,2),0)</f>
        <v/>
      </c>
      <c r="AY1133" s="76">
        <f>E1133*AX1133</f>
        <v/>
      </c>
      <c r="AZ1133" s="192">
        <f>S1133*(1+M1133)</f>
        <v/>
      </c>
      <c r="BA1133" s="76">
        <f>cost_fin_total*$BD1133</f>
        <v/>
      </c>
      <c r="BB1133" s="193">
        <f>credit_sales_interest*BD1133</f>
        <v/>
      </c>
      <c r="BC1133" s="102">
        <f>IFERROR(IF($I$13&gt;0,$I1133/$I$13,$S1133/$S$13),0)</f>
        <v/>
      </c>
      <c r="BD1133" s="102">
        <f>IFERROR($S1133/$S$13,0)</f>
        <v/>
      </c>
      <c r="BE1133" s="413" t="inlineStr">
        <is>
          <t>$</t>
        </is>
      </c>
    </row>
    <row r="1134" ht="12" customFormat="1" customHeight="1" s="65">
      <c r="A1134" s="43" t="n">
        <v>1119</v>
      </c>
      <c r="B1134" s="166" t="n"/>
      <c r="C1134" s="166" t="n"/>
      <c r="D1134" s="166" t="n"/>
      <c r="E1134" s="162" t="n"/>
      <c r="F1134" s="166" t="n"/>
      <c r="G1134" s="162" t="n"/>
      <c r="H1134" s="162" t="n"/>
      <c r="I1134" s="189">
        <f>E1134*G1134</f>
        <v/>
      </c>
      <c r="J1134" s="195" t="n"/>
      <c r="K1134" s="162" t="n"/>
      <c r="L1134" s="168" t="n"/>
      <c r="M1134" s="75">
        <f>_xlfn.XLOOKUP(L1134,list_vat[Страна],list_vat[Ставка НДС %],0,0)</f>
        <v/>
      </c>
      <c r="N1134" s="162">
        <f>IFERROR(IF(L1134="Китай",K1134,K1134/(1+M1134)),0)</f>
        <v/>
      </c>
      <c r="O1134" s="169" t="n"/>
      <c r="P1134" s="76">
        <f>N1134*(1-O1134)</f>
        <v/>
      </c>
      <c r="Q1134" s="162" t="n"/>
      <c r="R1134" s="162">
        <f>IF(ISBLANK(Q1134),"введи курс",P1134/Q1134)</f>
        <v/>
      </c>
      <c r="S1134" s="196">
        <f>IF(AND(ISNUMBER(E1134),ISNUMBER(Q1134)),E1134*R1134,0)</f>
        <v/>
      </c>
      <c r="T1134" s="192">
        <f>$BC1134*V$11</f>
        <v/>
      </c>
      <c r="U1134" s="76">
        <f>$BC1134*W$11</f>
        <v/>
      </c>
      <c r="V1134" s="193">
        <f>+SUM(T1134:U1134)</f>
        <v/>
      </c>
      <c r="W1134" s="191" t="n"/>
      <c r="X1134" s="170" t="n"/>
      <c r="Y1134" s="76">
        <f>ROUND(IF(offer_incoterms="DDP",X1134*(S1134*(1+AW1134)+T1134),0),2)</f>
        <v/>
      </c>
      <c r="Z1134" s="188" t="n"/>
      <c r="AA1134" s="192">
        <f>IFERROR(AB1134/E1134,0)</f>
        <v/>
      </c>
      <c r="AB1134" s="76">
        <f>ROUND(SUM(S1134,V1134,Y1134:Z1134,BA1134:BB1134),2)</f>
        <v/>
      </c>
      <c r="AC1134" s="797" t="n"/>
      <c r="AD1134" s="192">
        <f t="array" ref="AD1134">IFERROR(ROUND((_xlfn.IFS(offer_sale_type="поставка",AB1134,offer_sale_type="транзит",S1134)*(1+AC1134))/E1134,2),0)</f>
        <v/>
      </c>
      <c r="AE1134" s="76">
        <f>AD1134*E1134</f>
        <v/>
      </c>
      <c r="AF1134" s="193">
        <f t="array" ref="AF1134">IFERROR(ROUND(_xlfn.IFS(offer_sale_type="поставка",AB1134,offer_sale_type="транзит",S1134)*AC1134,2),0)</f>
        <v/>
      </c>
      <c r="AG1134" s="192">
        <f>$BD1134*VLOOKUP($AG$3,$AF$4:$AG$7,2,FALSE)</f>
        <v/>
      </c>
      <c r="AH1134" s="76">
        <f>SUM(AE1134,AG1134,AI1134)*rate_forex_risk</f>
        <v/>
      </c>
      <c r="AI1134" s="193">
        <f>IF(OR(seller_region="TR",offer_sale_type="экспорт"),0,rate_fin_comm)*SUM(AZ1134,AZ1134*AW1134,T1134)</f>
        <v/>
      </c>
      <c r="AJ1134" s="118">
        <f>IFERROR(ROUND(SUM(AB1134,AF1134:AI1134)/E1134,2),0)</f>
        <v/>
      </c>
      <c r="AK1134" s="76">
        <f>AJ1134*E1134</f>
        <v/>
      </c>
      <c r="AL1134" s="174">
        <f>ROUND(IFERROR(AM1134*E1134,0),2)</f>
        <v/>
      </c>
      <c r="AM1134" s="175">
        <f>ROUND(AJ1134*(1+IF(offer_incoterms="DDP",IF((TODAY()+offer_turnaround_time)&gt;=helpsheet!$L$17,rate_vatRU_from_26,rate_vatRu_till_25),0)),2)</f>
        <v/>
      </c>
      <c r="AN1134" s="192">
        <f>AL1134-AK1134</f>
        <v/>
      </c>
      <c r="AO1134" s="76">
        <f>SUM(AY1134,Y1134:Z1134,T1134)*IF(AND(offer_incoterms="DDP",offer_sale_type&lt;&gt;"экспорт"),IF((TODAY()+offer_turnaround_time)&gt;=helpsheet!$L$17,rate_vatRU_from_26,rate_vatRu_till_25),0)</f>
        <v/>
      </c>
      <c r="AP1134" s="193">
        <f>AN1134-AO1134</f>
        <v/>
      </c>
      <c r="AQ1134" s="118">
        <f>IF(offer_sale_type="транзит",SUM(AF1134:AI1134,BA1134,BB1134),0)</f>
        <v/>
      </c>
      <c r="AR1134" s="82">
        <f>HYPERLINK("https://www.alta.ru/tnved/code/")&amp;W1134&amp;"/"</f>
        <v/>
      </c>
      <c r="AS1134" s="157" t="n"/>
      <c r="AT1134" s="162" t="n"/>
      <c r="AU1134" s="76">
        <f>IF(ISBLANK(AT1134),0,AJ1134-AT1134)</f>
        <v/>
      </c>
      <c r="AV1134" s="157" t="n"/>
      <c r="AW1134" s="75">
        <f>_xlfn.IFNA(VLOOKUP(L1134,list_vat[],3,FALSE),0)</f>
        <v/>
      </c>
      <c r="AX1134" s="76">
        <f>IFERROR(ROUND(S1134*(1+AW1134)/E1134,2),0)</f>
        <v/>
      </c>
      <c r="AY1134" s="76">
        <f>E1134*AX1134</f>
        <v/>
      </c>
      <c r="AZ1134" s="192">
        <f>S1134*(1+M1134)</f>
        <v/>
      </c>
      <c r="BA1134" s="76">
        <f>cost_fin_total*$BD1134</f>
        <v/>
      </c>
      <c r="BB1134" s="193">
        <f>credit_sales_interest*BD1134</f>
        <v/>
      </c>
      <c r="BC1134" s="102">
        <f>IFERROR(IF($I$13&gt;0,$I1134/$I$13,$S1134/$S$13),0)</f>
        <v/>
      </c>
      <c r="BD1134" s="102">
        <f>IFERROR($S1134/$S$13,0)</f>
        <v/>
      </c>
      <c r="BE1134" s="413" t="inlineStr">
        <is>
          <t>$</t>
        </is>
      </c>
    </row>
    <row r="1135" ht="12" customFormat="1" customHeight="1" s="65">
      <c r="A1135" s="43" t="n">
        <v>1120</v>
      </c>
      <c r="B1135" s="166" t="n"/>
      <c r="C1135" s="166" t="n"/>
      <c r="D1135" s="166" t="n"/>
      <c r="E1135" s="162" t="n"/>
      <c r="F1135" s="166" t="n"/>
      <c r="G1135" s="162" t="n"/>
      <c r="H1135" s="162" t="n"/>
      <c r="I1135" s="189">
        <f>E1135*G1135</f>
        <v/>
      </c>
      <c r="J1135" s="195" t="n"/>
      <c r="K1135" s="162" t="n"/>
      <c r="L1135" s="168" t="n"/>
      <c r="M1135" s="75">
        <f>_xlfn.XLOOKUP(L1135,list_vat[Страна],list_vat[Ставка НДС %],0,0)</f>
        <v/>
      </c>
      <c r="N1135" s="162">
        <f>IFERROR(IF(L1135="Китай",K1135,K1135/(1+M1135)),0)</f>
        <v/>
      </c>
      <c r="O1135" s="169" t="n"/>
      <c r="P1135" s="76">
        <f>N1135*(1-O1135)</f>
        <v/>
      </c>
      <c r="Q1135" s="162" t="n"/>
      <c r="R1135" s="162">
        <f>IF(ISBLANK(Q1135),"введи курс",P1135/Q1135)</f>
        <v/>
      </c>
      <c r="S1135" s="196">
        <f>IF(AND(ISNUMBER(E1135),ISNUMBER(Q1135)),E1135*R1135,0)</f>
        <v/>
      </c>
      <c r="T1135" s="192">
        <f>$BC1135*V$11</f>
        <v/>
      </c>
      <c r="U1135" s="76">
        <f>$BC1135*W$11</f>
        <v/>
      </c>
      <c r="V1135" s="193">
        <f>+SUM(T1135:U1135)</f>
        <v/>
      </c>
      <c r="W1135" s="191" t="n"/>
      <c r="X1135" s="170" t="n"/>
      <c r="Y1135" s="76">
        <f>ROUND(IF(offer_incoterms="DDP",X1135*(S1135*(1+AW1135)+T1135),0),2)</f>
        <v/>
      </c>
      <c r="Z1135" s="188" t="n"/>
      <c r="AA1135" s="192">
        <f>IFERROR(AB1135/E1135,0)</f>
        <v/>
      </c>
      <c r="AB1135" s="76">
        <f>ROUND(SUM(S1135,V1135,Y1135:Z1135,BA1135:BB1135),2)</f>
        <v/>
      </c>
      <c r="AC1135" s="797" t="n"/>
      <c r="AD1135" s="192">
        <f t="array" ref="AD1135">IFERROR(ROUND((_xlfn.IFS(offer_sale_type="поставка",AB1135,offer_sale_type="транзит",S1135)*(1+AC1135))/E1135,2),0)</f>
        <v/>
      </c>
      <c r="AE1135" s="76">
        <f>AD1135*E1135</f>
        <v/>
      </c>
      <c r="AF1135" s="193">
        <f t="array" ref="AF1135">IFERROR(ROUND(_xlfn.IFS(offer_sale_type="поставка",AB1135,offer_sale_type="транзит",S1135)*AC1135,2),0)</f>
        <v/>
      </c>
      <c r="AG1135" s="192">
        <f>$BD1135*VLOOKUP($AG$3,$AF$4:$AG$7,2,FALSE)</f>
        <v/>
      </c>
      <c r="AH1135" s="76">
        <f>SUM(AE1135,AG1135,AI1135)*rate_forex_risk</f>
        <v/>
      </c>
      <c r="AI1135" s="193">
        <f>IF(OR(seller_region="TR",offer_sale_type="экспорт"),0,rate_fin_comm)*SUM(AZ1135,AZ1135*AW1135,T1135)</f>
        <v/>
      </c>
      <c r="AJ1135" s="118">
        <f>IFERROR(ROUND(SUM(AB1135,AF1135:AI1135)/E1135,2),0)</f>
        <v/>
      </c>
      <c r="AK1135" s="76">
        <f>AJ1135*E1135</f>
        <v/>
      </c>
      <c r="AL1135" s="174">
        <f>ROUND(IFERROR(AM1135*E1135,0),2)</f>
        <v/>
      </c>
      <c r="AM1135" s="175">
        <f>ROUND(AJ1135*(1+IF(offer_incoterms="DDP",IF((TODAY()+offer_turnaround_time)&gt;=helpsheet!$L$17,rate_vatRU_from_26,rate_vatRu_till_25),0)),2)</f>
        <v/>
      </c>
      <c r="AN1135" s="192">
        <f>AL1135-AK1135</f>
        <v/>
      </c>
      <c r="AO1135" s="76">
        <f>SUM(AY1135,Y1135:Z1135,T1135)*IF(AND(offer_incoterms="DDP",offer_sale_type&lt;&gt;"экспорт"),IF((TODAY()+offer_turnaround_time)&gt;=helpsheet!$L$17,rate_vatRU_from_26,rate_vatRu_till_25),0)</f>
        <v/>
      </c>
      <c r="AP1135" s="193">
        <f>AN1135-AO1135</f>
        <v/>
      </c>
      <c r="AQ1135" s="118">
        <f>IF(offer_sale_type="транзит",SUM(AF1135:AI1135,BA1135,BB1135),0)</f>
        <v/>
      </c>
      <c r="AR1135" s="82">
        <f>HYPERLINK("https://www.alta.ru/tnved/code/")&amp;W1135&amp;"/"</f>
        <v/>
      </c>
      <c r="AS1135" s="157" t="n"/>
      <c r="AT1135" s="162" t="n"/>
      <c r="AU1135" s="76">
        <f>IF(ISBLANK(AT1135),0,AJ1135-AT1135)</f>
        <v/>
      </c>
      <c r="AV1135" s="157" t="n"/>
      <c r="AW1135" s="75">
        <f>_xlfn.IFNA(VLOOKUP(L1135,list_vat[],3,FALSE),0)</f>
        <v/>
      </c>
      <c r="AX1135" s="76">
        <f>IFERROR(ROUND(S1135*(1+AW1135)/E1135,2),0)</f>
        <v/>
      </c>
      <c r="AY1135" s="76">
        <f>E1135*AX1135</f>
        <v/>
      </c>
      <c r="AZ1135" s="192">
        <f>S1135*(1+M1135)</f>
        <v/>
      </c>
      <c r="BA1135" s="76">
        <f>cost_fin_total*$BD1135</f>
        <v/>
      </c>
      <c r="BB1135" s="193">
        <f>credit_sales_interest*BD1135</f>
        <v/>
      </c>
      <c r="BC1135" s="102">
        <f>IFERROR(IF($I$13&gt;0,$I1135/$I$13,$S1135/$S$13),0)</f>
        <v/>
      </c>
      <c r="BD1135" s="102">
        <f>IFERROR($S1135/$S$13,0)</f>
        <v/>
      </c>
      <c r="BE1135" s="413" t="inlineStr">
        <is>
          <t>$</t>
        </is>
      </c>
    </row>
    <row r="1136" ht="12" customFormat="1" customHeight="1" s="65">
      <c r="A1136" s="43" t="n">
        <v>1121</v>
      </c>
      <c r="B1136" s="166" t="n"/>
      <c r="C1136" s="166" t="n"/>
      <c r="D1136" s="166" t="n"/>
      <c r="E1136" s="162" t="n"/>
      <c r="F1136" s="166" t="n"/>
      <c r="G1136" s="162" t="n"/>
      <c r="H1136" s="162" t="n"/>
      <c r="I1136" s="189">
        <f>E1136*G1136</f>
        <v/>
      </c>
      <c r="J1136" s="195" t="n"/>
      <c r="K1136" s="162" t="n"/>
      <c r="L1136" s="168" t="n"/>
      <c r="M1136" s="75">
        <f>_xlfn.XLOOKUP(L1136,list_vat[Страна],list_vat[Ставка НДС %],0,0)</f>
        <v/>
      </c>
      <c r="N1136" s="162">
        <f>IFERROR(IF(L1136="Китай",K1136,K1136/(1+M1136)),0)</f>
        <v/>
      </c>
      <c r="O1136" s="169" t="n"/>
      <c r="P1136" s="76">
        <f>N1136*(1-O1136)</f>
        <v/>
      </c>
      <c r="Q1136" s="162" t="n"/>
      <c r="R1136" s="162">
        <f>IF(ISBLANK(Q1136),"введи курс",P1136/Q1136)</f>
        <v/>
      </c>
      <c r="S1136" s="196">
        <f>IF(AND(ISNUMBER(E1136),ISNUMBER(Q1136)),E1136*R1136,0)</f>
        <v/>
      </c>
      <c r="T1136" s="192">
        <f>$BC1136*V$11</f>
        <v/>
      </c>
      <c r="U1136" s="76">
        <f>$BC1136*W$11</f>
        <v/>
      </c>
      <c r="V1136" s="193">
        <f>+SUM(T1136:U1136)</f>
        <v/>
      </c>
      <c r="W1136" s="191" t="n"/>
      <c r="X1136" s="170" t="n"/>
      <c r="Y1136" s="76">
        <f>ROUND(IF(offer_incoterms="DDP",X1136*(S1136*(1+AW1136)+T1136),0),2)</f>
        <v/>
      </c>
      <c r="Z1136" s="188" t="n"/>
      <c r="AA1136" s="192">
        <f>IFERROR(AB1136/E1136,0)</f>
        <v/>
      </c>
      <c r="AB1136" s="76">
        <f>ROUND(SUM(S1136,V1136,Y1136:Z1136,BA1136:BB1136),2)</f>
        <v/>
      </c>
      <c r="AC1136" s="797" t="n"/>
      <c r="AD1136" s="192">
        <f t="array" ref="AD1136">IFERROR(ROUND((_xlfn.IFS(offer_sale_type="поставка",AB1136,offer_sale_type="транзит",S1136)*(1+AC1136))/E1136,2),0)</f>
        <v/>
      </c>
      <c r="AE1136" s="76">
        <f>AD1136*E1136</f>
        <v/>
      </c>
      <c r="AF1136" s="193">
        <f t="array" ref="AF1136">IFERROR(ROUND(_xlfn.IFS(offer_sale_type="поставка",AB1136,offer_sale_type="транзит",S1136)*AC1136,2),0)</f>
        <v/>
      </c>
      <c r="AG1136" s="192">
        <f>$BD1136*VLOOKUP($AG$3,$AF$4:$AG$7,2,FALSE)</f>
        <v/>
      </c>
      <c r="AH1136" s="76">
        <f>SUM(AE1136,AG1136,AI1136)*rate_forex_risk</f>
        <v/>
      </c>
      <c r="AI1136" s="193">
        <f>IF(OR(seller_region="TR",offer_sale_type="экспорт"),0,rate_fin_comm)*SUM(AZ1136,AZ1136*AW1136,T1136)</f>
        <v/>
      </c>
      <c r="AJ1136" s="118">
        <f>IFERROR(ROUND(SUM(AB1136,AF1136:AI1136)/E1136,2),0)</f>
        <v/>
      </c>
      <c r="AK1136" s="76">
        <f>AJ1136*E1136</f>
        <v/>
      </c>
      <c r="AL1136" s="174">
        <f>ROUND(IFERROR(AM1136*E1136,0),2)</f>
        <v/>
      </c>
      <c r="AM1136" s="175">
        <f>ROUND(AJ1136*(1+IF(offer_incoterms="DDP",IF((TODAY()+offer_turnaround_time)&gt;=helpsheet!$L$17,rate_vatRU_from_26,rate_vatRu_till_25),0)),2)</f>
        <v/>
      </c>
      <c r="AN1136" s="192">
        <f>AL1136-AK1136</f>
        <v/>
      </c>
      <c r="AO1136" s="76">
        <f>SUM(AY1136,Y1136:Z1136,T1136)*IF(AND(offer_incoterms="DDP",offer_sale_type&lt;&gt;"экспорт"),IF((TODAY()+offer_turnaround_time)&gt;=helpsheet!$L$17,rate_vatRU_from_26,rate_vatRu_till_25),0)</f>
        <v/>
      </c>
      <c r="AP1136" s="193">
        <f>AN1136-AO1136</f>
        <v/>
      </c>
      <c r="AQ1136" s="118">
        <f>IF(offer_sale_type="транзит",SUM(AF1136:AI1136,BA1136,BB1136),0)</f>
        <v/>
      </c>
      <c r="AR1136" s="82">
        <f>HYPERLINK("https://www.alta.ru/tnved/code/")&amp;W1136&amp;"/"</f>
        <v/>
      </c>
      <c r="AS1136" s="157" t="n"/>
      <c r="AT1136" s="162" t="n"/>
      <c r="AU1136" s="76">
        <f>IF(ISBLANK(AT1136),0,AJ1136-AT1136)</f>
        <v/>
      </c>
      <c r="AV1136" s="157" t="n"/>
      <c r="AW1136" s="75">
        <f>_xlfn.IFNA(VLOOKUP(L1136,list_vat[],3,FALSE),0)</f>
        <v/>
      </c>
      <c r="AX1136" s="76">
        <f>IFERROR(ROUND(S1136*(1+AW1136)/E1136,2),0)</f>
        <v/>
      </c>
      <c r="AY1136" s="76">
        <f>E1136*AX1136</f>
        <v/>
      </c>
      <c r="AZ1136" s="192">
        <f>S1136*(1+M1136)</f>
        <v/>
      </c>
      <c r="BA1136" s="76">
        <f>cost_fin_total*$BD1136</f>
        <v/>
      </c>
      <c r="BB1136" s="193">
        <f>credit_sales_interest*BD1136</f>
        <v/>
      </c>
      <c r="BC1136" s="102">
        <f>IFERROR(IF($I$13&gt;0,$I1136/$I$13,$S1136/$S$13),0)</f>
        <v/>
      </c>
      <c r="BD1136" s="102">
        <f>IFERROR($S1136/$S$13,0)</f>
        <v/>
      </c>
      <c r="BE1136" s="413" t="inlineStr">
        <is>
          <t>$</t>
        </is>
      </c>
    </row>
    <row r="1137" ht="12" customFormat="1" customHeight="1" s="65">
      <c r="A1137" s="43" t="n">
        <v>1122</v>
      </c>
      <c r="B1137" s="166" t="n"/>
      <c r="C1137" s="166" t="n"/>
      <c r="D1137" s="166" t="n"/>
      <c r="E1137" s="162" t="n"/>
      <c r="F1137" s="166" t="n"/>
      <c r="G1137" s="162" t="n"/>
      <c r="H1137" s="162" t="n"/>
      <c r="I1137" s="189">
        <f>E1137*G1137</f>
        <v/>
      </c>
      <c r="J1137" s="195" t="n"/>
      <c r="K1137" s="162" t="n"/>
      <c r="L1137" s="168" t="n"/>
      <c r="M1137" s="75">
        <f>_xlfn.XLOOKUP(L1137,list_vat[Страна],list_vat[Ставка НДС %],0,0)</f>
        <v/>
      </c>
      <c r="N1137" s="162">
        <f>IFERROR(IF(L1137="Китай",K1137,K1137/(1+M1137)),0)</f>
        <v/>
      </c>
      <c r="O1137" s="169" t="n"/>
      <c r="P1137" s="76">
        <f>N1137*(1-O1137)</f>
        <v/>
      </c>
      <c r="Q1137" s="162" t="n"/>
      <c r="R1137" s="162">
        <f>IF(ISBLANK(Q1137),"введи курс",P1137/Q1137)</f>
        <v/>
      </c>
      <c r="S1137" s="196">
        <f>IF(AND(ISNUMBER(E1137),ISNUMBER(Q1137)),E1137*R1137,0)</f>
        <v/>
      </c>
      <c r="T1137" s="192">
        <f>$BC1137*V$11</f>
        <v/>
      </c>
      <c r="U1137" s="76">
        <f>$BC1137*W$11</f>
        <v/>
      </c>
      <c r="V1137" s="193">
        <f>+SUM(T1137:U1137)</f>
        <v/>
      </c>
      <c r="W1137" s="191" t="n"/>
      <c r="X1137" s="170" t="n"/>
      <c r="Y1137" s="76">
        <f>ROUND(IF(offer_incoterms="DDP",X1137*(S1137*(1+AW1137)+T1137),0),2)</f>
        <v/>
      </c>
      <c r="Z1137" s="188" t="n"/>
      <c r="AA1137" s="192">
        <f>IFERROR(AB1137/E1137,0)</f>
        <v/>
      </c>
      <c r="AB1137" s="76">
        <f>ROUND(SUM(S1137,V1137,Y1137:Z1137,BA1137:BB1137),2)</f>
        <v/>
      </c>
      <c r="AC1137" s="797" t="n"/>
      <c r="AD1137" s="192">
        <f t="array" ref="AD1137">IFERROR(ROUND((_xlfn.IFS(offer_sale_type="поставка",AB1137,offer_sale_type="транзит",S1137)*(1+AC1137))/E1137,2),0)</f>
        <v/>
      </c>
      <c r="AE1137" s="76">
        <f>AD1137*E1137</f>
        <v/>
      </c>
      <c r="AF1137" s="193">
        <f t="array" ref="AF1137">IFERROR(ROUND(_xlfn.IFS(offer_sale_type="поставка",AB1137,offer_sale_type="транзит",S1137)*AC1137,2),0)</f>
        <v/>
      </c>
      <c r="AG1137" s="192">
        <f>$BD1137*VLOOKUP($AG$3,$AF$4:$AG$7,2,FALSE)</f>
        <v/>
      </c>
      <c r="AH1137" s="76">
        <f>SUM(AE1137,AG1137,AI1137)*rate_forex_risk</f>
        <v/>
      </c>
      <c r="AI1137" s="193">
        <f>IF(OR(seller_region="TR",offer_sale_type="экспорт"),0,rate_fin_comm)*SUM(AZ1137,AZ1137*AW1137,T1137)</f>
        <v/>
      </c>
      <c r="AJ1137" s="118">
        <f>IFERROR(ROUND(SUM(AB1137,AF1137:AI1137)/E1137,2),0)</f>
        <v/>
      </c>
      <c r="AK1137" s="76">
        <f>AJ1137*E1137</f>
        <v/>
      </c>
      <c r="AL1137" s="174">
        <f>ROUND(IFERROR(AM1137*E1137,0),2)</f>
        <v/>
      </c>
      <c r="AM1137" s="175">
        <f>ROUND(AJ1137*(1+IF(offer_incoterms="DDP",IF((TODAY()+offer_turnaround_time)&gt;=helpsheet!$L$17,rate_vatRU_from_26,rate_vatRu_till_25),0)),2)</f>
        <v/>
      </c>
      <c r="AN1137" s="192">
        <f>AL1137-AK1137</f>
        <v/>
      </c>
      <c r="AO1137" s="76">
        <f>SUM(AY1137,Y1137:Z1137,T1137)*IF(AND(offer_incoterms="DDP",offer_sale_type&lt;&gt;"экспорт"),IF((TODAY()+offer_turnaround_time)&gt;=helpsheet!$L$17,rate_vatRU_from_26,rate_vatRu_till_25),0)</f>
        <v/>
      </c>
      <c r="AP1137" s="193">
        <f>AN1137-AO1137</f>
        <v/>
      </c>
      <c r="AQ1137" s="118">
        <f>IF(offer_sale_type="транзит",SUM(AF1137:AI1137,BA1137,BB1137),0)</f>
        <v/>
      </c>
      <c r="AR1137" s="82">
        <f>HYPERLINK("https://www.alta.ru/tnved/code/")&amp;W1137&amp;"/"</f>
        <v/>
      </c>
      <c r="AS1137" s="157" t="n"/>
      <c r="AT1137" s="162" t="n"/>
      <c r="AU1137" s="76">
        <f>IF(ISBLANK(AT1137),0,AJ1137-AT1137)</f>
        <v/>
      </c>
      <c r="AV1137" s="157" t="n"/>
      <c r="AW1137" s="75">
        <f>_xlfn.IFNA(VLOOKUP(L1137,list_vat[],3,FALSE),0)</f>
        <v/>
      </c>
      <c r="AX1137" s="76">
        <f>IFERROR(ROUND(S1137*(1+AW1137)/E1137,2),0)</f>
        <v/>
      </c>
      <c r="AY1137" s="76">
        <f>E1137*AX1137</f>
        <v/>
      </c>
      <c r="AZ1137" s="192">
        <f>S1137*(1+M1137)</f>
        <v/>
      </c>
      <c r="BA1137" s="76">
        <f>cost_fin_total*$BD1137</f>
        <v/>
      </c>
      <c r="BB1137" s="193">
        <f>credit_sales_interest*BD1137</f>
        <v/>
      </c>
      <c r="BC1137" s="102">
        <f>IFERROR(IF($I$13&gt;0,$I1137/$I$13,$S1137/$S$13),0)</f>
        <v/>
      </c>
      <c r="BD1137" s="102">
        <f>IFERROR($S1137/$S$13,0)</f>
        <v/>
      </c>
      <c r="BE1137" s="413" t="inlineStr">
        <is>
          <t>$</t>
        </is>
      </c>
    </row>
    <row r="1138" ht="12" customFormat="1" customHeight="1" s="65">
      <c r="A1138" s="43" t="n">
        <v>1123</v>
      </c>
      <c r="B1138" s="166" t="n"/>
      <c r="C1138" s="166" t="n"/>
      <c r="D1138" s="166" t="n"/>
      <c r="E1138" s="162" t="n"/>
      <c r="F1138" s="166" t="n"/>
      <c r="G1138" s="162" t="n"/>
      <c r="H1138" s="162" t="n"/>
      <c r="I1138" s="189">
        <f>E1138*G1138</f>
        <v/>
      </c>
      <c r="J1138" s="195" t="n"/>
      <c r="K1138" s="162" t="n"/>
      <c r="L1138" s="168" t="n"/>
      <c r="M1138" s="75">
        <f>_xlfn.XLOOKUP(L1138,list_vat[Страна],list_vat[Ставка НДС %],0,0)</f>
        <v/>
      </c>
      <c r="N1138" s="162">
        <f>IFERROR(IF(L1138="Китай",K1138,K1138/(1+M1138)),0)</f>
        <v/>
      </c>
      <c r="O1138" s="169" t="n"/>
      <c r="P1138" s="76">
        <f>N1138*(1-O1138)</f>
        <v/>
      </c>
      <c r="Q1138" s="162" t="n"/>
      <c r="R1138" s="162">
        <f>IF(ISBLANK(Q1138),"введи курс",P1138/Q1138)</f>
        <v/>
      </c>
      <c r="S1138" s="196">
        <f>IF(AND(ISNUMBER(E1138),ISNUMBER(Q1138)),E1138*R1138,0)</f>
        <v/>
      </c>
      <c r="T1138" s="192">
        <f>$BC1138*V$11</f>
        <v/>
      </c>
      <c r="U1138" s="76">
        <f>$BC1138*W$11</f>
        <v/>
      </c>
      <c r="V1138" s="193">
        <f>+SUM(T1138:U1138)</f>
        <v/>
      </c>
      <c r="W1138" s="191" t="n"/>
      <c r="X1138" s="170" t="n"/>
      <c r="Y1138" s="76">
        <f>ROUND(IF(offer_incoterms="DDP",X1138*(S1138*(1+AW1138)+T1138),0),2)</f>
        <v/>
      </c>
      <c r="Z1138" s="188" t="n"/>
      <c r="AA1138" s="192">
        <f>IFERROR(AB1138/E1138,0)</f>
        <v/>
      </c>
      <c r="AB1138" s="76">
        <f>ROUND(SUM(S1138,V1138,Y1138:Z1138,BA1138:BB1138),2)</f>
        <v/>
      </c>
      <c r="AC1138" s="797" t="n"/>
      <c r="AD1138" s="192">
        <f t="array" ref="AD1138">IFERROR(ROUND((_xlfn.IFS(offer_sale_type="поставка",AB1138,offer_sale_type="транзит",S1138)*(1+AC1138))/E1138,2),0)</f>
        <v/>
      </c>
      <c r="AE1138" s="76">
        <f>AD1138*E1138</f>
        <v/>
      </c>
      <c r="AF1138" s="193">
        <f t="array" ref="AF1138">IFERROR(ROUND(_xlfn.IFS(offer_sale_type="поставка",AB1138,offer_sale_type="транзит",S1138)*AC1138,2),0)</f>
        <v/>
      </c>
      <c r="AG1138" s="192">
        <f>$BD1138*VLOOKUP($AG$3,$AF$4:$AG$7,2,FALSE)</f>
        <v/>
      </c>
      <c r="AH1138" s="76">
        <f>SUM(AE1138,AG1138,AI1138)*rate_forex_risk</f>
        <v/>
      </c>
      <c r="AI1138" s="193">
        <f>IF(OR(seller_region="TR",offer_sale_type="экспорт"),0,rate_fin_comm)*SUM(AZ1138,AZ1138*AW1138,T1138)</f>
        <v/>
      </c>
      <c r="AJ1138" s="118">
        <f>IFERROR(ROUND(SUM(AB1138,AF1138:AI1138)/E1138,2),0)</f>
        <v/>
      </c>
      <c r="AK1138" s="76">
        <f>AJ1138*E1138</f>
        <v/>
      </c>
      <c r="AL1138" s="174">
        <f>ROUND(IFERROR(AM1138*E1138,0),2)</f>
        <v/>
      </c>
      <c r="AM1138" s="175">
        <f>ROUND(AJ1138*(1+IF(offer_incoterms="DDP",IF((TODAY()+offer_turnaround_time)&gt;=helpsheet!$L$17,rate_vatRU_from_26,rate_vatRu_till_25),0)),2)</f>
        <v/>
      </c>
      <c r="AN1138" s="192">
        <f>AL1138-AK1138</f>
        <v/>
      </c>
      <c r="AO1138" s="76">
        <f>SUM(AY1138,Y1138:Z1138,T1138)*IF(AND(offer_incoterms="DDP",offer_sale_type&lt;&gt;"экспорт"),IF((TODAY()+offer_turnaround_time)&gt;=helpsheet!$L$17,rate_vatRU_from_26,rate_vatRu_till_25),0)</f>
        <v/>
      </c>
      <c r="AP1138" s="193">
        <f>AN1138-AO1138</f>
        <v/>
      </c>
      <c r="AQ1138" s="118">
        <f>IF(offer_sale_type="транзит",SUM(AF1138:AI1138,BA1138,BB1138),0)</f>
        <v/>
      </c>
      <c r="AR1138" s="82">
        <f>HYPERLINK("https://www.alta.ru/tnved/code/")&amp;W1138&amp;"/"</f>
        <v/>
      </c>
      <c r="AS1138" s="157" t="n"/>
      <c r="AT1138" s="162" t="n"/>
      <c r="AU1138" s="76">
        <f>IF(ISBLANK(AT1138),0,AJ1138-AT1138)</f>
        <v/>
      </c>
      <c r="AV1138" s="157" t="n"/>
      <c r="AW1138" s="75">
        <f>_xlfn.IFNA(VLOOKUP(L1138,list_vat[],3,FALSE),0)</f>
        <v/>
      </c>
      <c r="AX1138" s="76">
        <f>IFERROR(ROUND(S1138*(1+AW1138)/E1138,2),0)</f>
        <v/>
      </c>
      <c r="AY1138" s="76">
        <f>E1138*AX1138</f>
        <v/>
      </c>
      <c r="AZ1138" s="192">
        <f>S1138*(1+M1138)</f>
        <v/>
      </c>
      <c r="BA1138" s="76">
        <f>cost_fin_total*$BD1138</f>
        <v/>
      </c>
      <c r="BB1138" s="193">
        <f>credit_sales_interest*BD1138</f>
        <v/>
      </c>
      <c r="BC1138" s="102">
        <f>IFERROR(IF($I$13&gt;0,$I1138/$I$13,$S1138/$S$13),0)</f>
        <v/>
      </c>
      <c r="BD1138" s="102">
        <f>IFERROR($S1138/$S$13,0)</f>
        <v/>
      </c>
      <c r="BE1138" s="413" t="inlineStr">
        <is>
          <t>$</t>
        </is>
      </c>
    </row>
    <row r="1139" ht="12" customFormat="1" customHeight="1" s="65">
      <c r="A1139" s="43" t="n">
        <v>1124</v>
      </c>
      <c r="B1139" s="166" t="n"/>
      <c r="C1139" s="166" t="n"/>
      <c r="D1139" s="166" t="n"/>
      <c r="E1139" s="162" t="n"/>
      <c r="F1139" s="166" t="n"/>
      <c r="G1139" s="162" t="n"/>
      <c r="H1139" s="162" t="n"/>
      <c r="I1139" s="189">
        <f>E1139*G1139</f>
        <v/>
      </c>
      <c r="J1139" s="195" t="n"/>
      <c r="K1139" s="162" t="n"/>
      <c r="L1139" s="168" t="n"/>
      <c r="M1139" s="75">
        <f>_xlfn.XLOOKUP(L1139,list_vat[Страна],list_vat[Ставка НДС %],0,0)</f>
        <v/>
      </c>
      <c r="N1139" s="162">
        <f>IFERROR(IF(L1139="Китай",K1139,K1139/(1+M1139)),0)</f>
        <v/>
      </c>
      <c r="O1139" s="169" t="n"/>
      <c r="P1139" s="76">
        <f>N1139*(1-O1139)</f>
        <v/>
      </c>
      <c r="Q1139" s="162" t="n"/>
      <c r="R1139" s="162">
        <f>IF(ISBLANK(Q1139),"введи курс",P1139/Q1139)</f>
        <v/>
      </c>
      <c r="S1139" s="196">
        <f>IF(AND(ISNUMBER(E1139),ISNUMBER(Q1139)),E1139*R1139,0)</f>
        <v/>
      </c>
      <c r="T1139" s="192">
        <f>$BC1139*V$11</f>
        <v/>
      </c>
      <c r="U1139" s="76">
        <f>$BC1139*W$11</f>
        <v/>
      </c>
      <c r="V1139" s="193">
        <f>+SUM(T1139:U1139)</f>
        <v/>
      </c>
      <c r="W1139" s="191" t="n"/>
      <c r="X1139" s="170" t="n"/>
      <c r="Y1139" s="76">
        <f>ROUND(IF(offer_incoterms="DDP",X1139*(S1139*(1+AW1139)+T1139),0),2)</f>
        <v/>
      </c>
      <c r="Z1139" s="188" t="n"/>
      <c r="AA1139" s="192">
        <f>IFERROR(AB1139/E1139,0)</f>
        <v/>
      </c>
      <c r="AB1139" s="76">
        <f>ROUND(SUM(S1139,V1139,Y1139:Z1139,BA1139:BB1139),2)</f>
        <v/>
      </c>
      <c r="AC1139" s="797" t="n"/>
      <c r="AD1139" s="192">
        <f t="array" ref="AD1139">IFERROR(ROUND((_xlfn.IFS(offer_sale_type="поставка",AB1139,offer_sale_type="транзит",S1139)*(1+AC1139))/E1139,2),0)</f>
        <v/>
      </c>
      <c r="AE1139" s="76">
        <f>AD1139*E1139</f>
        <v/>
      </c>
      <c r="AF1139" s="193">
        <f t="array" ref="AF1139">IFERROR(ROUND(_xlfn.IFS(offer_sale_type="поставка",AB1139,offer_sale_type="транзит",S1139)*AC1139,2),0)</f>
        <v/>
      </c>
      <c r="AG1139" s="192">
        <f>$BD1139*VLOOKUP($AG$3,$AF$4:$AG$7,2,FALSE)</f>
        <v/>
      </c>
      <c r="AH1139" s="76">
        <f>SUM(AE1139,AG1139,AI1139)*rate_forex_risk</f>
        <v/>
      </c>
      <c r="AI1139" s="193">
        <f>IF(OR(seller_region="TR",offer_sale_type="экспорт"),0,rate_fin_comm)*SUM(AZ1139,AZ1139*AW1139,T1139)</f>
        <v/>
      </c>
      <c r="AJ1139" s="118">
        <f>IFERROR(ROUND(SUM(AB1139,AF1139:AI1139)/E1139,2),0)</f>
        <v/>
      </c>
      <c r="AK1139" s="76">
        <f>AJ1139*E1139</f>
        <v/>
      </c>
      <c r="AL1139" s="174">
        <f>ROUND(IFERROR(AM1139*E1139,0),2)</f>
        <v/>
      </c>
      <c r="AM1139" s="175">
        <f>ROUND(AJ1139*(1+IF(offer_incoterms="DDP",IF((TODAY()+offer_turnaround_time)&gt;=helpsheet!$L$17,rate_vatRU_from_26,rate_vatRu_till_25),0)),2)</f>
        <v/>
      </c>
      <c r="AN1139" s="192">
        <f>AL1139-AK1139</f>
        <v/>
      </c>
      <c r="AO1139" s="76">
        <f>SUM(AY1139,Y1139:Z1139,T1139)*IF(AND(offer_incoterms="DDP",offer_sale_type&lt;&gt;"экспорт"),IF((TODAY()+offer_turnaround_time)&gt;=helpsheet!$L$17,rate_vatRU_from_26,rate_vatRu_till_25),0)</f>
        <v/>
      </c>
      <c r="AP1139" s="193">
        <f>AN1139-AO1139</f>
        <v/>
      </c>
      <c r="AQ1139" s="118">
        <f>IF(offer_sale_type="транзит",SUM(AF1139:AI1139,BA1139,BB1139),0)</f>
        <v/>
      </c>
      <c r="AR1139" s="82">
        <f>HYPERLINK("https://www.alta.ru/tnved/code/")&amp;W1139&amp;"/"</f>
        <v/>
      </c>
      <c r="AS1139" s="157" t="n"/>
      <c r="AT1139" s="162" t="n"/>
      <c r="AU1139" s="76">
        <f>IF(ISBLANK(AT1139),0,AJ1139-AT1139)</f>
        <v/>
      </c>
      <c r="AV1139" s="157" t="n"/>
      <c r="AW1139" s="75">
        <f>_xlfn.IFNA(VLOOKUP(L1139,list_vat[],3,FALSE),0)</f>
        <v/>
      </c>
      <c r="AX1139" s="76">
        <f>IFERROR(ROUND(S1139*(1+AW1139)/E1139,2),0)</f>
        <v/>
      </c>
      <c r="AY1139" s="76">
        <f>E1139*AX1139</f>
        <v/>
      </c>
      <c r="AZ1139" s="192">
        <f>S1139*(1+M1139)</f>
        <v/>
      </c>
      <c r="BA1139" s="76">
        <f>cost_fin_total*$BD1139</f>
        <v/>
      </c>
      <c r="BB1139" s="193">
        <f>credit_sales_interest*BD1139</f>
        <v/>
      </c>
      <c r="BC1139" s="102">
        <f>IFERROR(IF($I$13&gt;0,$I1139/$I$13,$S1139/$S$13),0)</f>
        <v/>
      </c>
      <c r="BD1139" s="102">
        <f>IFERROR($S1139/$S$13,0)</f>
        <v/>
      </c>
      <c r="BE1139" s="413" t="inlineStr">
        <is>
          <t>$</t>
        </is>
      </c>
    </row>
    <row r="1140" ht="12" customFormat="1" customHeight="1" s="65">
      <c r="A1140" s="43" t="n">
        <v>1125</v>
      </c>
      <c r="B1140" s="166" t="n"/>
      <c r="C1140" s="166" t="n"/>
      <c r="D1140" s="166" t="n"/>
      <c r="E1140" s="162" t="n"/>
      <c r="F1140" s="166" t="n"/>
      <c r="G1140" s="162" t="n"/>
      <c r="H1140" s="162" t="n"/>
      <c r="I1140" s="189">
        <f>E1140*G1140</f>
        <v/>
      </c>
      <c r="J1140" s="195" t="n"/>
      <c r="K1140" s="162" t="n"/>
      <c r="L1140" s="168" t="n"/>
      <c r="M1140" s="75">
        <f>_xlfn.XLOOKUP(L1140,list_vat[Страна],list_vat[Ставка НДС %],0,0)</f>
        <v/>
      </c>
      <c r="N1140" s="162">
        <f>IFERROR(IF(L1140="Китай",K1140,K1140/(1+M1140)),0)</f>
        <v/>
      </c>
      <c r="O1140" s="169" t="n"/>
      <c r="P1140" s="76">
        <f>N1140*(1-O1140)</f>
        <v/>
      </c>
      <c r="Q1140" s="162" t="n"/>
      <c r="R1140" s="162">
        <f>IF(ISBLANK(Q1140),"введи курс",P1140/Q1140)</f>
        <v/>
      </c>
      <c r="S1140" s="196">
        <f>IF(AND(ISNUMBER(E1140),ISNUMBER(Q1140)),E1140*R1140,0)</f>
        <v/>
      </c>
      <c r="T1140" s="192">
        <f>$BC1140*V$11</f>
        <v/>
      </c>
      <c r="U1140" s="76">
        <f>$BC1140*W$11</f>
        <v/>
      </c>
      <c r="V1140" s="193">
        <f>+SUM(T1140:U1140)</f>
        <v/>
      </c>
      <c r="W1140" s="191" t="n"/>
      <c r="X1140" s="170" t="n"/>
      <c r="Y1140" s="76">
        <f>ROUND(IF(offer_incoterms="DDP",X1140*(S1140*(1+AW1140)+T1140),0),2)</f>
        <v/>
      </c>
      <c r="Z1140" s="188" t="n"/>
      <c r="AA1140" s="192">
        <f>IFERROR(AB1140/E1140,0)</f>
        <v/>
      </c>
      <c r="AB1140" s="76">
        <f>ROUND(SUM(S1140,V1140,Y1140:Z1140,BA1140:BB1140),2)</f>
        <v/>
      </c>
      <c r="AC1140" s="797" t="n"/>
      <c r="AD1140" s="192">
        <f t="array" ref="AD1140">IFERROR(ROUND((_xlfn.IFS(offer_sale_type="поставка",AB1140,offer_sale_type="транзит",S1140)*(1+AC1140))/E1140,2),0)</f>
        <v/>
      </c>
      <c r="AE1140" s="76">
        <f>AD1140*E1140</f>
        <v/>
      </c>
      <c r="AF1140" s="193">
        <f t="array" ref="AF1140">IFERROR(ROUND(_xlfn.IFS(offer_sale_type="поставка",AB1140,offer_sale_type="транзит",S1140)*AC1140,2),0)</f>
        <v/>
      </c>
      <c r="AG1140" s="192">
        <f>$BD1140*VLOOKUP($AG$3,$AF$4:$AG$7,2,FALSE)</f>
        <v/>
      </c>
      <c r="AH1140" s="76">
        <f>SUM(AE1140,AG1140,AI1140)*rate_forex_risk</f>
        <v/>
      </c>
      <c r="AI1140" s="193">
        <f>IF(OR(seller_region="TR",offer_sale_type="экспорт"),0,rate_fin_comm)*SUM(AZ1140,AZ1140*AW1140,T1140)</f>
        <v/>
      </c>
      <c r="AJ1140" s="118">
        <f>IFERROR(ROUND(SUM(AB1140,AF1140:AI1140)/E1140,2),0)</f>
        <v/>
      </c>
      <c r="AK1140" s="76">
        <f>AJ1140*E1140</f>
        <v/>
      </c>
      <c r="AL1140" s="174">
        <f>ROUND(IFERROR(AM1140*E1140,0),2)</f>
        <v/>
      </c>
      <c r="AM1140" s="175">
        <f>ROUND(AJ1140*(1+IF(offer_incoterms="DDP",IF((TODAY()+offer_turnaround_time)&gt;=helpsheet!$L$17,rate_vatRU_from_26,rate_vatRu_till_25),0)),2)</f>
        <v/>
      </c>
      <c r="AN1140" s="192">
        <f>AL1140-AK1140</f>
        <v/>
      </c>
      <c r="AO1140" s="76">
        <f>SUM(AY1140,Y1140:Z1140,T1140)*IF(AND(offer_incoterms="DDP",offer_sale_type&lt;&gt;"экспорт"),IF((TODAY()+offer_turnaround_time)&gt;=helpsheet!$L$17,rate_vatRU_from_26,rate_vatRu_till_25),0)</f>
        <v/>
      </c>
      <c r="AP1140" s="193">
        <f>AN1140-AO1140</f>
        <v/>
      </c>
      <c r="AQ1140" s="118">
        <f>IF(offer_sale_type="транзит",SUM(AF1140:AI1140,BA1140,BB1140),0)</f>
        <v/>
      </c>
      <c r="AR1140" s="82">
        <f>HYPERLINK("https://www.alta.ru/tnved/code/")&amp;W1140&amp;"/"</f>
        <v/>
      </c>
      <c r="AS1140" s="157" t="n"/>
      <c r="AT1140" s="162" t="n"/>
      <c r="AU1140" s="76">
        <f>IF(ISBLANK(AT1140),0,AJ1140-AT1140)</f>
        <v/>
      </c>
      <c r="AV1140" s="157" t="n"/>
      <c r="AW1140" s="75">
        <f>_xlfn.IFNA(VLOOKUP(L1140,list_vat[],3,FALSE),0)</f>
        <v/>
      </c>
      <c r="AX1140" s="76">
        <f>IFERROR(ROUND(S1140*(1+AW1140)/E1140,2),0)</f>
        <v/>
      </c>
      <c r="AY1140" s="76">
        <f>E1140*AX1140</f>
        <v/>
      </c>
      <c r="AZ1140" s="192">
        <f>S1140*(1+M1140)</f>
        <v/>
      </c>
      <c r="BA1140" s="76">
        <f>cost_fin_total*$BD1140</f>
        <v/>
      </c>
      <c r="BB1140" s="193">
        <f>credit_sales_interest*BD1140</f>
        <v/>
      </c>
      <c r="BC1140" s="102">
        <f>IFERROR(IF($I$13&gt;0,$I1140/$I$13,$S1140/$S$13),0)</f>
        <v/>
      </c>
      <c r="BD1140" s="102">
        <f>IFERROR($S1140/$S$13,0)</f>
        <v/>
      </c>
      <c r="BE1140" s="413" t="inlineStr">
        <is>
          <t>$</t>
        </is>
      </c>
    </row>
    <row r="1141" ht="12" customFormat="1" customHeight="1" s="65">
      <c r="A1141" s="43" t="n">
        <v>1126</v>
      </c>
      <c r="B1141" s="166" t="n"/>
      <c r="C1141" s="166" t="n"/>
      <c r="D1141" s="166" t="n"/>
      <c r="E1141" s="162" t="n"/>
      <c r="F1141" s="166" t="n"/>
      <c r="G1141" s="162" t="n"/>
      <c r="H1141" s="162" t="n"/>
      <c r="I1141" s="189">
        <f>E1141*G1141</f>
        <v/>
      </c>
      <c r="J1141" s="195" t="n"/>
      <c r="K1141" s="162" t="n"/>
      <c r="L1141" s="168" t="n"/>
      <c r="M1141" s="75">
        <f>_xlfn.XLOOKUP(L1141,list_vat[Страна],list_vat[Ставка НДС %],0,0)</f>
        <v/>
      </c>
      <c r="N1141" s="162">
        <f>IFERROR(IF(L1141="Китай",K1141,K1141/(1+M1141)),0)</f>
        <v/>
      </c>
      <c r="O1141" s="169" t="n"/>
      <c r="P1141" s="76">
        <f>N1141*(1-O1141)</f>
        <v/>
      </c>
      <c r="Q1141" s="162" t="n"/>
      <c r="R1141" s="162">
        <f>IF(ISBLANK(Q1141),"введи курс",P1141/Q1141)</f>
        <v/>
      </c>
      <c r="S1141" s="196">
        <f>IF(AND(ISNUMBER(E1141),ISNUMBER(Q1141)),E1141*R1141,0)</f>
        <v/>
      </c>
      <c r="T1141" s="192">
        <f>$BC1141*V$11</f>
        <v/>
      </c>
      <c r="U1141" s="76">
        <f>$BC1141*W$11</f>
        <v/>
      </c>
      <c r="V1141" s="193">
        <f>+SUM(T1141:U1141)</f>
        <v/>
      </c>
      <c r="W1141" s="191" t="n"/>
      <c r="X1141" s="170" t="n"/>
      <c r="Y1141" s="76">
        <f>ROUND(IF(offer_incoterms="DDP",X1141*(S1141*(1+AW1141)+T1141),0),2)</f>
        <v/>
      </c>
      <c r="Z1141" s="188" t="n"/>
      <c r="AA1141" s="192">
        <f>IFERROR(AB1141/E1141,0)</f>
        <v/>
      </c>
      <c r="AB1141" s="76">
        <f>ROUND(SUM(S1141,V1141,Y1141:Z1141,BA1141:BB1141),2)</f>
        <v/>
      </c>
      <c r="AC1141" s="797" t="n"/>
      <c r="AD1141" s="192">
        <f t="array" ref="AD1141">IFERROR(ROUND((_xlfn.IFS(offer_sale_type="поставка",AB1141,offer_sale_type="транзит",S1141)*(1+AC1141))/E1141,2),0)</f>
        <v/>
      </c>
      <c r="AE1141" s="76">
        <f>AD1141*E1141</f>
        <v/>
      </c>
      <c r="AF1141" s="193">
        <f t="array" ref="AF1141">IFERROR(ROUND(_xlfn.IFS(offer_sale_type="поставка",AB1141,offer_sale_type="транзит",S1141)*AC1141,2),0)</f>
        <v/>
      </c>
      <c r="AG1141" s="192">
        <f>$BD1141*VLOOKUP($AG$3,$AF$4:$AG$7,2,FALSE)</f>
        <v/>
      </c>
      <c r="AH1141" s="76">
        <f>SUM(AE1141,AG1141,AI1141)*rate_forex_risk</f>
        <v/>
      </c>
      <c r="AI1141" s="193">
        <f>IF(OR(seller_region="TR",offer_sale_type="экспорт"),0,rate_fin_comm)*SUM(AZ1141,AZ1141*AW1141,T1141)</f>
        <v/>
      </c>
      <c r="AJ1141" s="118">
        <f>IFERROR(ROUND(SUM(AB1141,AF1141:AI1141)/E1141,2),0)</f>
        <v/>
      </c>
      <c r="AK1141" s="76">
        <f>AJ1141*E1141</f>
        <v/>
      </c>
      <c r="AL1141" s="174">
        <f>ROUND(IFERROR(AM1141*E1141,0),2)</f>
        <v/>
      </c>
      <c r="AM1141" s="175">
        <f>ROUND(AJ1141*(1+IF(offer_incoterms="DDP",IF((TODAY()+offer_turnaround_time)&gt;=helpsheet!$L$17,rate_vatRU_from_26,rate_vatRu_till_25),0)),2)</f>
        <v/>
      </c>
      <c r="AN1141" s="192">
        <f>AL1141-AK1141</f>
        <v/>
      </c>
      <c r="AO1141" s="76">
        <f>SUM(AY1141,Y1141:Z1141,T1141)*IF(AND(offer_incoterms="DDP",offer_sale_type&lt;&gt;"экспорт"),IF((TODAY()+offer_turnaround_time)&gt;=helpsheet!$L$17,rate_vatRU_from_26,rate_vatRu_till_25),0)</f>
        <v/>
      </c>
      <c r="AP1141" s="193">
        <f>AN1141-AO1141</f>
        <v/>
      </c>
      <c r="AQ1141" s="118">
        <f>IF(offer_sale_type="транзит",SUM(AF1141:AI1141,BA1141,BB1141),0)</f>
        <v/>
      </c>
      <c r="AR1141" s="82">
        <f>HYPERLINK("https://www.alta.ru/tnved/code/")&amp;W1141&amp;"/"</f>
        <v/>
      </c>
      <c r="AS1141" s="157" t="n"/>
      <c r="AT1141" s="162" t="n"/>
      <c r="AU1141" s="76">
        <f>IF(ISBLANK(AT1141),0,AJ1141-AT1141)</f>
        <v/>
      </c>
      <c r="AV1141" s="157" t="n"/>
      <c r="AW1141" s="75">
        <f>_xlfn.IFNA(VLOOKUP(L1141,list_vat[],3,FALSE),0)</f>
        <v/>
      </c>
      <c r="AX1141" s="76">
        <f>IFERROR(ROUND(S1141*(1+AW1141)/E1141,2),0)</f>
        <v/>
      </c>
      <c r="AY1141" s="76">
        <f>E1141*AX1141</f>
        <v/>
      </c>
      <c r="AZ1141" s="192">
        <f>S1141*(1+M1141)</f>
        <v/>
      </c>
      <c r="BA1141" s="76">
        <f>cost_fin_total*$BD1141</f>
        <v/>
      </c>
      <c r="BB1141" s="193">
        <f>credit_sales_interest*BD1141</f>
        <v/>
      </c>
      <c r="BC1141" s="102">
        <f>IFERROR(IF($I$13&gt;0,$I1141/$I$13,$S1141/$S$13),0)</f>
        <v/>
      </c>
      <c r="BD1141" s="102">
        <f>IFERROR($S1141/$S$13,0)</f>
        <v/>
      </c>
      <c r="BE1141" s="413" t="inlineStr">
        <is>
          <t>$</t>
        </is>
      </c>
    </row>
    <row r="1142" ht="12" customFormat="1" customHeight="1" s="65">
      <c r="A1142" s="43" t="n">
        <v>1127</v>
      </c>
      <c r="B1142" s="166" t="n"/>
      <c r="C1142" s="166" t="n"/>
      <c r="D1142" s="166" t="n"/>
      <c r="E1142" s="162" t="n"/>
      <c r="F1142" s="166" t="n"/>
      <c r="G1142" s="162" t="n"/>
      <c r="H1142" s="162" t="n"/>
      <c r="I1142" s="189">
        <f>E1142*G1142</f>
        <v/>
      </c>
      <c r="J1142" s="195" t="n"/>
      <c r="K1142" s="162" t="n"/>
      <c r="L1142" s="168" t="n"/>
      <c r="M1142" s="75">
        <f>_xlfn.XLOOKUP(L1142,list_vat[Страна],list_vat[Ставка НДС %],0,0)</f>
        <v/>
      </c>
      <c r="N1142" s="162">
        <f>IFERROR(IF(L1142="Китай",K1142,K1142/(1+M1142)),0)</f>
        <v/>
      </c>
      <c r="O1142" s="169" t="n"/>
      <c r="P1142" s="76">
        <f>N1142*(1-O1142)</f>
        <v/>
      </c>
      <c r="Q1142" s="162" t="n"/>
      <c r="R1142" s="162">
        <f>IF(ISBLANK(Q1142),"введи курс",P1142/Q1142)</f>
        <v/>
      </c>
      <c r="S1142" s="196">
        <f>IF(AND(ISNUMBER(E1142),ISNUMBER(Q1142)),E1142*R1142,0)</f>
        <v/>
      </c>
      <c r="T1142" s="192">
        <f>$BC1142*V$11</f>
        <v/>
      </c>
      <c r="U1142" s="76">
        <f>$BC1142*W$11</f>
        <v/>
      </c>
      <c r="V1142" s="193">
        <f>+SUM(T1142:U1142)</f>
        <v/>
      </c>
      <c r="W1142" s="191" t="n"/>
      <c r="X1142" s="170" t="n"/>
      <c r="Y1142" s="76">
        <f>ROUND(IF(offer_incoterms="DDP",X1142*(S1142*(1+AW1142)+T1142),0),2)</f>
        <v/>
      </c>
      <c r="Z1142" s="188" t="n"/>
      <c r="AA1142" s="192">
        <f>IFERROR(AB1142/E1142,0)</f>
        <v/>
      </c>
      <c r="AB1142" s="76">
        <f>ROUND(SUM(S1142,V1142,Y1142:Z1142,BA1142:BB1142),2)</f>
        <v/>
      </c>
      <c r="AC1142" s="797" t="n"/>
      <c r="AD1142" s="192">
        <f t="array" ref="AD1142">IFERROR(ROUND((_xlfn.IFS(offer_sale_type="поставка",AB1142,offer_sale_type="транзит",S1142)*(1+AC1142))/E1142,2),0)</f>
        <v/>
      </c>
      <c r="AE1142" s="76">
        <f>AD1142*E1142</f>
        <v/>
      </c>
      <c r="AF1142" s="193">
        <f t="array" ref="AF1142">IFERROR(ROUND(_xlfn.IFS(offer_sale_type="поставка",AB1142,offer_sale_type="транзит",S1142)*AC1142,2),0)</f>
        <v/>
      </c>
      <c r="AG1142" s="192">
        <f>$BD1142*VLOOKUP($AG$3,$AF$4:$AG$7,2,FALSE)</f>
        <v/>
      </c>
      <c r="AH1142" s="76">
        <f>SUM(AE1142,AG1142,AI1142)*rate_forex_risk</f>
        <v/>
      </c>
      <c r="AI1142" s="193">
        <f>IF(OR(seller_region="TR",offer_sale_type="экспорт"),0,rate_fin_comm)*SUM(AZ1142,AZ1142*AW1142,T1142)</f>
        <v/>
      </c>
      <c r="AJ1142" s="118">
        <f>IFERROR(ROUND(SUM(AB1142,AF1142:AI1142)/E1142,2),0)</f>
        <v/>
      </c>
      <c r="AK1142" s="76">
        <f>AJ1142*E1142</f>
        <v/>
      </c>
      <c r="AL1142" s="174">
        <f>ROUND(IFERROR(AM1142*E1142,0),2)</f>
        <v/>
      </c>
      <c r="AM1142" s="175">
        <f>ROUND(AJ1142*(1+IF(offer_incoterms="DDP",IF((TODAY()+offer_turnaround_time)&gt;=helpsheet!$L$17,rate_vatRU_from_26,rate_vatRu_till_25),0)),2)</f>
        <v/>
      </c>
      <c r="AN1142" s="192">
        <f>AL1142-AK1142</f>
        <v/>
      </c>
      <c r="AO1142" s="76">
        <f>SUM(AY1142,Y1142:Z1142,T1142)*IF(AND(offer_incoterms="DDP",offer_sale_type&lt;&gt;"экспорт"),IF((TODAY()+offer_turnaround_time)&gt;=helpsheet!$L$17,rate_vatRU_from_26,rate_vatRu_till_25),0)</f>
        <v/>
      </c>
      <c r="AP1142" s="193">
        <f>AN1142-AO1142</f>
        <v/>
      </c>
      <c r="AQ1142" s="118">
        <f>IF(offer_sale_type="транзит",SUM(AF1142:AI1142,BA1142,BB1142),0)</f>
        <v/>
      </c>
      <c r="AR1142" s="82">
        <f>HYPERLINK("https://www.alta.ru/tnved/code/")&amp;W1142&amp;"/"</f>
        <v/>
      </c>
      <c r="AS1142" s="157" t="n"/>
      <c r="AT1142" s="162" t="n"/>
      <c r="AU1142" s="76">
        <f>IF(ISBLANK(AT1142),0,AJ1142-AT1142)</f>
        <v/>
      </c>
      <c r="AV1142" s="157" t="n"/>
      <c r="AW1142" s="75">
        <f>_xlfn.IFNA(VLOOKUP(L1142,list_vat[],3,FALSE),0)</f>
        <v/>
      </c>
      <c r="AX1142" s="76">
        <f>IFERROR(ROUND(S1142*(1+AW1142)/E1142,2),0)</f>
        <v/>
      </c>
      <c r="AY1142" s="76">
        <f>E1142*AX1142</f>
        <v/>
      </c>
      <c r="AZ1142" s="192">
        <f>S1142*(1+M1142)</f>
        <v/>
      </c>
      <c r="BA1142" s="76">
        <f>cost_fin_total*$BD1142</f>
        <v/>
      </c>
      <c r="BB1142" s="193">
        <f>credit_sales_interest*BD1142</f>
        <v/>
      </c>
      <c r="BC1142" s="102">
        <f>IFERROR(IF($I$13&gt;0,$I1142/$I$13,$S1142/$S$13),0)</f>
        <v/>
      </c>
      <c r="BD1142" s="102">
        <f>IFERROR($S1142/$S$13,0)</f>
        <v/>
      </c>
      <c r="BE1142" s="413" t="inlineStr">
        <is>
          <t>$</t>
        </is>
      </c>
    </row>
    <row r="1143" ht="12" customFormat="1" customHeight="1" s="65">
      <c r="A1143" s="43" t="n">
        <v>1128</v>
      </c>
      <c r="B1143" s="166" t="n"/>
      <c r="C1143" s="166" t="n"/>
      <c r="D1143" s="166" t="n"/>
      <c r="E1143" s="162" t="n"/>
      <c r="F1143" s="166" t="n"/>
      <c r="G1143" s="162" t="n"/>
      <c r="H1143" s="162" t="n"/>
      <c r="I1143" s="189">
        <f>E1143*G1143</f>
        <v/>
      </c>
      <c r="J1143" s="195" t="n"/>
      <c r="K1143" s="162" t="n"/>
      <c r="L1143" s="168" t="n"/>
      <c r="M1143" s="75">
        <f>_xlfn.XLOOKUP(L1143,list_vat[Страна],list_vat[Ставка НДС %],0,0)</f>
        <v/>
      </c>
      <c r="N1143" s="162">
        <f>IFERROR(IF(L1143="Китай",K1143,K1143/(1+M1143)),0)</f>
        <v/>
      </c>
      <c r="O1143" s="169" t="n"/>
      <c r="P1143" s="76">
        <f>N1143*(1-O1143)</f>
        <v/>
      </c>
      <c r="Q1143" s="162" t="n"/>
      <c r="R1143" s="162">
        <f>IF(ISBLANK(Q1143),"введи курс",P1143/Q1143)</f>
        <v/>
      </c>
      <c r="S1143" s="196">
        <f>IF(AND(ISNUMBER(E1143),ISNUMBER(Q1143)),E1143*R1143,0)</f>
        <v/>
      </c>
      <c r="T1143" s="192">
        <f>$BC1143*V$11</f>
        <v/>
      </c>
      <c r="U1143" s="76">
        <f>$BC1143*W$11</f>
        <v/>
      </c>
      <c r="V1143" s="193">
        <f>+SUM(T1143:U1143)</f>
        <v/>
      </c>
      <c r="W1143" s="191" t="n"/>
      <c r="X1143" s="170" t="n"/>
      <c r="Y1143" s="76">
        <f>ROUND(IF(offer_incoterms="DDP",X1143*(S1143*(1+AW1143)+T1143),0),2)</f>
        <v/>
      </c>
      <c r="Z1143" s="188" t="n"/>
      <c r="AA1143" s="192">
        <f>IFERROR(AB1143/E1143,0)</f>
        <v/>
      </c>
      <c r="AB1143" s="76">
        <f>ROUND(SUM(S1143,V1143,Y1143:Z1143,BA1143:BB1143),2)</f>
        <v/>
      </c>
      <c r="AC1143" s="797" t="n"/>
      <c r="AD1143" s="192">
        <f t="array" ref="AD1143">IFERROR(ROUND((_xlfn.IFS(offer_sale_type="поставка",AB1143,offer_sale_type="транзит",S1143)*(1+AC1143))/E1143,2),0)</f>
        <v/>
      </c>
      <c r="AE1143" s="76">
        <f>AD1143*E1143</f>
        <v/>
      </c>
      <c r="AF1143" s="193">
        <f t="array" ref="AF1143">IFERROR(ROUND(_xlfn.IFS(offer_sale_type="поставка",AB1143,offer_sale_type="транзит",S1143)*AC1143,2),0)</f>
        <v/>
      </c>
      <c r="AG1143" s="192">
        <f>$BD1143*VLOOKUP($AG$3,$AF$4:$AG$7,2,FALSE)</f>
        <v/>
      </c>
      <c r="AH1143" s="76">
        <f>SUM(AE1143,AG1143,AI1143)*rate_forex_risk</f>
        <v/>
      </c>
      <c r="AI1143" s="193">
        <f>IF(OR(seller_region="TR",offer_sale_type="экспорт"),0,rate_fin_comm)*SUM(AZ1143,AZ1143*AW1143,T1143)</f>
        <v/>
      </c>
      <c r="AJ1143" s="118">
        <f>IFERROR(ROUND(SUM(AB1143,AF1143:AI1143)/E1143,2),0)</f>
        <v/>
      </c>
      <c r="AK1143" s="76">
        <f>AJ1143*E1143</f>
        <v/>
      </c>
      <c r="AL1143" s="174">
        <f>ROUND(IFERROR(AM1143*E1143,0),2)</f>
        <v/>
      </c>
      <c r="AM1143" s="175">
        <f>ROUND(AJ1143*(1+IF(offer_incoterms="DDP",IF((TODAY()+offer_turnaround_time)&gt;=helpsheet!$L$17,rate_vatRU_from_26,rate_vatRu_till_25),0)),2)</f>
        <v/>
      </c>
      <c r="AN1143" s="192">
        <f>AL1143-AK1143</f>
        <v/>
      </c>
      <c r="AO1143" s="76">
        <f>SUM(AY1143,Y1143:Z1143,T1143)*IF(AND(offer_incoterms="DDP",offer_sale_type&lt;&gt;"экспорт"),IF((TODAY()+offer_turnaround_time)&gt;=helpsheet!$L$17,rate_vatRU_from_26,rate_vatRu_till_25),0)</f>
        <v/>
      </c>
      <c r="AP1143" s="193">
        <f>AN1143-AO1143</f>
        <v/>
      </c>
      <c r="AQ1143" s="118">
        <f>IF(offer_sale_type="транзит",SUM(AF1143:AI1143,BA1143,BB1143),0)</f>
        <v/>
      </c>
      <c r="AR1143" s="82">
        <f>HYPERLINK("https://www.alta.ru/tnved/code/")&amp;W1143&amp;"/"</f>
        <v/>
      </c>
      <c r="AS1143" s="157" t="n"/>
      <c r="AT1143" s="162" t="n"/>
      <c r="AU1143" s="76">
        <f>IF(ISBLANK(AT1143),0,AJ1143-AT1143)</f>
        <v/>
      </c>
      <c r="AV1143" s="157" t="n"/>
      <c r="AW1143" s="75">
        <f>_xlfn.IFNA(VLOOKUP(L1143,list_vat[],3,FALSE),0)</f>
        <v/>
      </c>
      <c r="AX1143" s="76">
        <f>IFERROR(ROUND(S1143*(1+AW1143)/E1143,2),0)</f>
        <v/>
      </c>
      <c r="AY1143" s="76">
        <f>E1143*AX1143</f>
        <v/>
      </c>
      <c r="AZ1143" s="192">
        <f>S1143*(1+M1143)</f>
        <v/>
      </c>
      <c r="BA1143" s="76">
        <f>cost_fin_total*$BD1143</f>
        <v/>
      </c>
      <c r="BB1143" s="193">
        <f>credit_sales_interest*BD1143</f>
        <v/>
      </c>
      <c r="BC1143" s="102">
        <f>IFERROR(IF($I$13&gt;0,$I1143/$I$13,$S1143/$S$13),0)</f>
        <v/>
      </c>
      <c r="BD1143" s="102">
        <f>IFERROR($S1143/$S$13,0)</f>
        <v/>
      </c>
      <c r="BE1143" s="413" t="inlineStr">
        <is>
          <t>$</t>
        </is>
      </c>
    </row>
    <row r="1144" ht="12" customFormat="1" customHeight="1" s="65">
      <c r="A1144" s="43" t="n">
        <v>1129</v>
      </c>
      <c r="B1144" s="166" t="n"/>
      <c r="C1144" s="166" t="n"/>
      <c r="D1144" s="166" t="n"/>
      <c r="E1144" s="162" t="n"/>
      <c r="F1144" s="166" t="n"/>
      <c r="G1144" s="162" t="n"/>
      <c r="H1144" s="162" t="n"/>
      <c r="I1144" s="189">
        <f>E1144*G1144</f>
        <v/>
      </c>
      <c r="J1144" s="195" t="n"/>
      <c r="K1144" s="162" t="n"/>
      <c r="L1144" s="168" t="n"/>
      <c r="M1144" s="75">
        <f>_xlfn.XLOOKUP(L1144,list_vat[Страна],list_vat[Ставка НДС %],0,0)</f>
        <v/>
      </c>
      <c r="N1144" s="162">
        <f>IFERROR(IF(L1144="Китай",K1144,K1144/(1+M1144)),0)</f>
        <v/>
      </c>
      <c r="O1144" s="169" t="n"/>
      <c r="P1144" s="76">
        <f>N1144*(1-O1144)</f>
        <v/>
      </c>
      <c r="Q1144" s="162" t="n"/>
      <c r="R1144" s="162">
        <f>IF(ISBLANK(Q1144),"введи курс",P1144/Q1144)</f>
        <v/>
      </c>
      <c r="S1144" s="196">
        <f>IF(AND(ISNUMBER(E1144),ISNUMBER(Q1144)),E1144*R1144,0)</f>
        <v/>
      </c>
      <c r="T1144" s="192">
        <f>$BC1144*V$11</f>
        <v/>
      </c>
      <c r="U1144" s="76">
        <f>$BC1144*W$11</f>
        <v/>
      </c>
      <c r="V1144" s="193">
        <f>+SUM(T1144:U1144)</f>
        <v/>
      </c>
      <c r="W1144" s="191" t="n"/>
      <c r="X1144" s="170" t="n"/>
      <c r="Y1144" s="76">
        <f>ROUND(IF(offer_incoterms="DDP",X1144*(S1144*(1+AW1144)+T1144),0),2)</f>
        <v/>
      </c>
      <c r="Z1144" s="188" t="n"/>
      <c r="AA1144" s="192">
        <f>IFERROR(AB1144/E1144,0)</f>
        <v/>
      </c>
      <c r="AB1144" s="76">
        <f>ROUND(SUM(S1144,V1144,Y1144:Z1144,BA1144:BB1144),2)</f>
        <v/>
      </c>
      <c r="AC1144" s="797" t="n"/>
      <c r="AD1144" s="192">
        <f t="array" ref="AD1144">IFERROR(ROUND((_xlfn.IFS(offer_sale_type="поставка",AB1144,offer_sale_type="транзит",S1144)*(1+AC1144))/E1144,2),0)</f>
        <v/>
      </c>
      <c r="AE1144" s="76">
        <f>AD1144*E1144</f>
        <v/>
      </c>
      <c r="AF1144" s="193">
        <f t="array" ref="AF1144">IFERROR(ROUND(_xlfn.IFS(offer_sale_type="поставка",AB1144,offer_sale_type="транзит",S1144)*AC1144,2),0)</f>
        <v/>
      </c>
      <c r="AG1144" s="192">
        <f>$BD1144*VLOOKUP($AG$3,$AF$4:$AG$7,2,FALSE)</f>
        <v/>
      </c>
      <c r="AH1144" s="76">
        <f>SUM(AE1144,AG1144,AI1144)*rate_forex_risk</f>
        <v/>
      </c>
      <c r="AI1144" s="193">
        <f>IF(OR(seller_region="TR",offer_sale_type="экспорт"),0,rate_fin_comm)*SUM(AZ1144,AZ1144*AW1144,T1144)</f>
        <v/>
      </c>
      <c r="AJ1144" s="118">
        <f>IFERROR(ROUND(SUM(AB1144,AF1144:AI1144)/E1144,2),0)</f>
        <v/>
      </c>
      <c r="AK1144" s="76">
        <f>AJ1144*E1144</f>
        <v/>
      </c>
      <c r="AL1144" s="174">
        <f>ROUND(IFERROR(AM1144*E1144,0),2)</f>
        <v/>
      </c>
      <c r="AM1144" s="175">
        <f>ROUND(AJ1144*(1+IF(offer_incoterms="DDP",IF((TODAY()+offer_turnaround_time)&gt;=helpsheet!$L$17,rate_vatRU_from_26,rate_vatRu_till_25),0)),2)</f>
        <v/>
      </c>
      <c r="AN1144" s="192">
        <f>AL1144-AK1144</f>
        <v/>
      </c>
      <c r="AO1144" s="76">
        <f>SUM(AY1144,Y1144:Z1144,T1144)*IF(AND(offer_incoterms="DDP",offer_sale_type&lt;&gt;"экспорт"),IF((TODAY()+offer_turnaround_time)&gt;=helpsheet!$L$17,rate_vatRU_from_26,rate_vatRu_till_25),0)</f>
        <v/>
      </c>
      <c r="AP1144" s="193">
        <f>AN1144-AO1144</f>
        <v/>
      </c>
      <c r="AQ1144" s="118">
        <f>IF(offer_sale_type="транзит",SUM(AF1144:AI1144,BA1144,BB1144),0)</f>
        <v/>
      </c>
      <c r="AR1144" s="82">
        <f>HYPERLINK("https://www.alta.ru/tnved/code/")&amp;W1144&amp;"/"</f>
        <v/>
      </c>
      <c r="AS1144" s="157" t="n"/>
      <c r="AT1144" s="162" t="n"/>
      <c r="AU1144" s="76">
        <f>IF(ISBLANK(AT1144),0,AJ1144-AT1144)</f>
        <v/>
      </c>
      <c r="AV1144" s="157" t="n"/>
      <c r="AW1144" s="75">
        <f>_xlfn.IFNA(VLOOKUP(L1144,list_vat[],3,FALSE),0)</f>
        <v/>
      </c>
      <c r="AX1144" s="76">
        <f>IFERROR(ROUND(S1144*(1+AW1144)/E1144,2),0)</f>
        <v/>
      </c>
      <c r="AY1144" s="76">
        <f>E1144*AX1144</f>
        <v/>
      </c>
      <c r="AZ1144" s="192">
        <f>S1144*(1+M1144)</f>
        <v/>
      </c>
      <c r="BA1144" s="76">
        <f>cost_fin_total*$BD1144</f>
        <v/>
      </c>
      <c r="BB1144" s="193">
        <f>credit_sales_interest*BD1144</f>
        <v/>
      </c>
      <c r="BC1144" s="102">
        <f>IFERROR(IF($I$13&gt;0,$I1144/$I$13,$S1144/$S$13),0)</f>
        <v/>
      </c>
      <c r="BD1144" s="102">
        <f>IFERROR($S1144/$S$13,0)</f>
        <v/>
      </c>
      <c r="BE1144" s="413" t="inlineStr">
        <is>
          <t>$</t>
        </is>
      </c>
    </row>
    <row r="1145" ht="12" customFormat="1" customHeight="1" s="65">
      <c r="A1145" s="43" t="n">
        <v>1130</v>
      </c>
      <c r="B1145" s="166" t="n"/>
      <c r="C1145" s="166" t="n"/>
      <c r="D1145" s="166" t="n"/>
      <c r="E1145" s="162" t="n"/>
      <c r="F1145" s="166" t="n"/>
      <c r="G1145" s="162" t="n"/>
      <c r="H1145" s="162" t="n"/>
      <c r="I1145" s="189">
        <f>E1145*G1145</f>
        <v/>
      </c>
      <c r="J1145" s="195" t="n"/>
      <c r="K1145" s="162" t="n"/>
      <c r="L1145" s="168" t="n"/>
      <c r="M1145" s="75">
        <f>_xlfn.XLOOKUP(L1145,list_vat[Страна],list_vat[Ставка НДС %],0,0)</f>
        <v/>
      </c>
      <c r="N1145" s="162">
        <f>IFERROR(IF(L1145="Китай",K1145,K1145/(1+M1145)),0)</f>
        <v/>
      </c>
      <c r="O1145" s="169" t="n"/>
      <c r="P1145" s="76">
        <f>N1145*(1-O1145)</f>
        <v/>
      </c>
      <c r="Q1145" s="162" t="n"/>
      <c r="R1145" s="162">
        <f>IF(ISBLANK(Q1145),"введи курс",P1145/Q1145)</f>
        <v/>
      </c>
      <c r="S1145" s="196">
        <f>IF(AND(ISNUMBER(E1145),ISNUMBER(Q1145)),E1145*R1145,0)</f>
        <v/>
      </c>
      <c r="T1145" s="192">
        <f>$BC1145*V$11</f>
        <v/>
      </c>
      <c r="U1145" s="76">
        <f>$BC1145*W$11</f>
        <v/>
      </c>
      <c r="V1145" s="193">
        <f>+SUM(T1145:U1145)</f>
        <v/>
      </c>
      <c r="W1145" s="191" t="n"/>
      <c r="X1145" s="170" t="n"/>
      <c r="Y1145" s="76">
        <f>ROUND(IF(offer_incoterms="DDP",X1145*(S1145*(1+AW1145)+T1145),0),2)</f>
        <v/>
      </c>
      <c r="Z1145" s="188" t="n"/>
      <c r="AA1145" s="192">
        <f>IFERROR(AB1145/E1145,0)</f>
        <v/>
      </c>
      <c r="AB1145" s="76">
        <f>ROUND(SUM(S1145,V1145,Y1145:Z1145,BA1145:BB1145),2)</f>
        <v/>
      </c>
      <c r="AC1145" s="797" t="n"/>
      <c r="AD1145" s="192">
        <f t="array" ref="AD1145">IFERROR(ROUND((_xlfn.IFS(offer_sale_type="поставка",AB1145,offer_sale_type="транзит",S1145)*(1+AC1145))/E1145,2),0)</f>
        <v/>
      </c>
      <c r="AE1145" s="76">
        <f>AD1145*E1145</f>
        <v/>
      </c>
      <c r="AF1145" s="193">
        <f t="array" ref="AF1145">IFERROR(ROUND(_xlfn.IFS(offer_sale_type="поставка",AB1145,offer_sale_type="транзит",S1145)*AC1145,2),0)</f>
        <v/>
      </c>
      <c r="AG1145" s="192">
        <f>$BD1145*VLOOKUP($AG$3,$AF$4:$AG$7,2,FALSE)</f>
        <v/>
      </c>
      <c r="AH1145" s="76">
        <f>SUM(AE1145,AG1145,AI1145)*rate_forex_risk</f>
        <v/>
      </c>
      <c r="AI1145" s="193">
        <f>IF(OR(seller_region="TR",offer_sale_type="экспорт"),0,rate_fin_comm)*SUM(AZ1145,AZ1145*AW1145,T1145)</f>
        <v/>
      </c>
      <c r="AJ1145" s="118">
        <f>IFERROR(ROUND(SUM(AB1145,AF1145:AI1145)/E1145,2),0)</f>
        <v/>
      </c>
      <c r="AK1145" s="76">
        <f>AJ1145*E1145</f>
        <v/>
      </c>
      <c r="AL1145" s="174">
        <f>ROUND(IFERROR(AM1145*E1145,0),2)</f>
        <v/>
      </c>
      <c r="AM1145" s="175">
        <f>ROUND(AJ1145*(1+IF(offer_incoterms="DDP",IF((TODAY()+offer_turnaround_time)&gt;=helpsheet!$L$17,rate_vatRU_from_26,rate_vatRu_till_25),0)),2)</f>
        <v/>
      </c>
      <c r="AN1145" s="192">
        <f>AL1145-AK1145</f>
        <v/>
      </c>
      <c r="AO1145" s="76">
        <f>SUM(AY1145,Y1145:Z1145,T1145)*IF(AND(offer_incoterms="DDP",offer_sale_type&lt;&gt;"экспорт"),IF((TODAY()+offer_turnaround_time)&gt;=helpsheet!$L$17,rate_vatRU_from_26,rate_vatRu_till_25),0)</f>
        <v/>
      </c>
      <c r="AP1145" s="193">
        <f>AN1145-AO1145</f>
        <v/>
      </c>
      <c r="AQ1145" s="118">
        <f>IF(offer_sale_type="транзит",SUM(AF1145:AI1145,BA1145,BB1145),0)</f>
        <v/>
      </c>
      <c r="AR1145" s="82">
        <f>HYPERLINK("https://www.alta.ru/tnved/code/")&amp;W1145&amp;"/"</f>
        <v/>
      </c>
      <c r="AS1145" s="157" t="n"/>
      <c r="AT1145" s="162" t="n"/>
      <c r="AU1145" s="76">
        <f>IF(ISBLANK(AT1145),0,AJ1145-AT1145)</f>
        <v/>
      </c>
      <c r="AV1145" s="157" t="n"/>
      <c r="AW1145" s="75">
        <f>_xlfn.IFNA(VLOOKUP(L1145,list_vat[],3,FALSE),0)</f>
        <v/>
      </c>
      <c r="AX1145" s="76">
        <f>IFERROR(ROUND(S1145*(1+AW1145)/E1145,2),0)</f>
        <v/>
      </c>
      <c r="AY1145" s="76">
        <f>E1145*AX1145</f>
        <v/>
      </c>
      <c r="AZ1145" s="192">
        <f>S1145*(1+M1145)</f>
        <v/>
      </c>
      <c r="BA1145" s="76">
        <f>cost_fin_total*$BD1145</f>
        <v/>
      </c>
      <c r="BB1145" s="193">
        <f>credit_sales_interest*BD1145</f>
        <v/>
      </c>
      <c r="BC1145" s="102">
        <f>IFERROR(IF($I$13&gt;0,$I1145/$I$13,$S1145/$S$13),0)</f>
        <v/>
      </c>
      <c r="BD1145" s="102">
        <f>IFERROR($S1145/$S$13,0)</f>
        <v/>
      </c>
      <c r="BE1145" s="413" t="inlineStr">
        <is>
          <t>$</t>
        </is>
      </c>
    </row>
    <row r="1146" ht="12" customFormat="1" customHeight="1" s="65">
      <c r="A1146" s="43" t="n">
        <v>1131</v>
      </c>
      <c r="B1146" s="166" t="n"/>
      <c r="C1146" s="166" t="n"/>
      <c r="D1146" s="166" t="n"/>
      <c r="E1146" s="162" t="n"/>
      <c r="F1146" s="166" t="n"/>
      <c r="G1146" s="162" t="n"/>
      <c r="H1146" s="162" t="n"/>
      <c r="I1146" s="189">
        <f>E1146*G1146</f>
        <v/>
      </c>
      <c r="J1146" s="195" t="n"/>
      <c r="K1146" s="162" t="n"/>
      <c r="L1146" s="168" t="n"/>
      <c r="M1146" s="75">
        <f>_xlfn.XLOOKUP(L1146,list_vat[Страна],list_vat[Ставка НДС %],0,0)</f>
        <v/>
      </c>
      <c r="N1146" s="162">
        <f>IFERROR(IF(L1146="Китай",K1146,K1146/(1+M1146)),0)</f>
        <v/>
      </c>
      <c r="O1146" s="169" t="n"/>
      <c r="P1146" s="76">
        <f>N1146*(1-O1146)</f>
        <v/>
      </c>
      <c r="Q1146" s="162" t="n"/>
      <c r="R1146" s="162">
        <f>IF(ISBLANK(Q1146),"введи курс",P1146/Q1146)</f>
        <v/>
      </c>
      <c r="S1146" s="196">
        <f>IF(AND(ISNUMBER(E1146),ISNUMBER(Q1146)),E1146*R1146,0)</f>
        <v/>
      </c>
      <c r="T1146" s="192">
        <f>$BC1146*V$11</f>
        <v/>
      </c>
      <c r="U1146" s="76">
        <f>$BC1146*W$11</f>
        <v/>
      </c>
      <c r="V1146" s="193">
        <f>+SUM(T1146:U1146)</f>
        <v/>
      </c>
      <c r="W1146" s="191" t="n"/>
      <c r="X1146" s="170" t="n"/>
      <c r="Y1146" s="76">
        <f>ROUND(IF(offer_incoterms="DDP",X1146*(S1146*(1+AW1146)+T1146),0),2)</f>
        <v/>
      </c>
      <c r="Z1146" s="188" t="n"/>
      <c r="AA1146" s="192">
        <f>IFERROR(AB1146/E1146,0)</f>
        <v/>
      </c>
      <c r="AB1146" s="76">
        <f>ROUND(SUM(S1146,V1146,Y1146:Z1146,BA1146:BB1146),2)</f>
        <v/>
      </c>
      <c r="AC1146" s="797" t="n"/>
      <c r="AD1146" s="192">
        <f t="array" ref="AD1146">IFERROR(ROUND((_xlfn.IFS(offer_sale_type="поставка",AB1146,offer_sale_type="транзит",S1146)*(1+AC1146))/E1146,2),0)</f>
        <v/>
      </c>
      <c r="AE1146" s="76">
        <f>AD1146*E1146</f>
        <v/>
      </c>
      <c r="AF1146" s="193">
        <f t="array" ref="AF1146">IFERROR(ROUND(_xlfn.IFS(offer_sale_type="поставка",AB1146,offer_sale_type="транзит",S1146)*AC1146,2),0)</f>
        <v/>
      </c>
      <c r="AG1146" s="192">
        <f>$BD1146*VLOOKUP($AG$3,$AF$4:$AG$7,2,FALSE)</f>
        <v/>
      </c>
      <c r="AH1146" s="76">
        <f>SUM(AE1146,AG1146,AI1146)*rate_forex_risk</f>
        <v/>
      </c>
      <c r="AI1146" s="193">
        <f>IF(OR(seller_region="TR",offer_sale_type="экспорт"),0,rate_fin_comm)*SUM(AZ1146,AZ1146*AW1146,T1146)</f>
        <v/>
      </c>
      <c r="AJ1146" s="118">
        <f>IFERROR(ROUND(SUM(AB1146,AF1146:AI1146)/E1146,2),0)</f>
        <v/>
      </c>
      <c r="AK1146" s="76">
        <f>AJ1146*E1146</f>
        <v/>
      </c>
      <c r="AL1146" s="174">
        <f>ROUND(IFERROR(AM1146*E1146,0),2)</f>
        <v/>
      </c>
      <c r="AM1146" s="175">
        <f>ROUND(AJ1146*(1+IF(offer_incoterms="DDP",IF((TODAY()+offer_turnaround_time)&gt;=helpsheet!$L$17,rate_vatRU_from_26,rate_vatRu_till_25),0)),2)</f>
        <v/>
      </c>
      <c r="AN1146" s="192">
        <f>AL1146-AK1146</f>
        <v/>
      </c>
      <c r="AO1146" s="76">
        <f>SUM(AY1146,Y1146:Z1146,T1146)*IF(AND(offer_incoterms="DDP",offer_sale_type&lt;&gt;"экспорт"),IF((TODAY()+offer_turnaround_time)&gt;=helpsheet!$L$17,rate_vatRU_from_26,rate_vatRu_till_25),0)</f>
        <v/>
      </c>
      <c r="AP1146" s="193">
        <f>AN1146-AO1146</f>
        <v/>
      </c>
      <c r="AQ1146" s="118">
        <f>IF(offer_sale_type="транзит",SUM(AF1146:AI1146,BA1146,BB1146),0)</f>
        <v/>
      </c>
      <c r="AR1146" s="82">
        <f>HYPERLINK("https://www.alta.ru/tnved/code/")&amp;W1146&amp;"/"</f>
        <v/>
      </c>
      <c r="AS1146" s="157" t="n"/>
      <c r="AT1146" s="162" t="n"/>
      <c r="AU1146" s="76">
        <f>IF(ISBLANK(AT1146),0,AJ1146-AT1146)</f>
        <v/>
      </c>
      <c r="AV1146" s="157" t="n"/>
      <c r="AW1146" s="75">
        <f>_xlfn.IFNA(VLOOKUP(L1146,list_vat[],3,FALSE),0)</f>
        <v/>
      </c>
      <c r="AX1146" s="76">
        <f>IFERROR(ROUND(S1146*(1+AW1146)/E1146,2),0)</f>
        <v/>
      </c>
      <c r="AY1146" s="76">
        <f>E1146*AX1146</f>
        <v/>
      </c>
      <c r="AZ1146" s="192">
        <f>S1146*(1+M1146)</f>
        <v/>
      </c>
      <c r="BA1146" s="76">
        <f>cost_fin_total*$BD1146</f>
        <v/>
      </c>
      <c r="BB1146" s="193">
        <f>credit_sales_interest*BD1146</f>
        <v/>
      </c>
      <c r="BC1146" s="102">
        <f>IFERROR(IF($I$13&gt;0,$I1146/$I$13,$S1146/$S$13),0)</f>
        <v/>
      </c>
      <c r="BD1146" s="102">
        <f>IFERROR($S1146/$S$13,0)</f>
        <v/>
      </c>
      <c r="BE1146" s="413" t="inlineStr">
        <is>
          <t>$</t>
        </is>
      </c>
    </row>
    <row r="1147" ht="12" customFormat="1" customHeight="1" s="65">
      <c r="A1147" s="43" t="n">
        <v>1132</v>
      </c>
      <c r="B1147" s="166" t="n"/>
      <c r="C1147" s="166" t="n"/>
      <c r="D1147" s="166" t="n"/>
      <c r="E1147" s="162" t="n"/>
      <c r="F1147" s="166" t="n"/>
      <c r="G1147" s="162" t="n"/>
      <c r="H1147" s="162" t="n"/>
      <c r="I1147" s="189">
        <f>E1147*G1147</f>
        <v/>
      </c>
      <c r="J1147" s="195" t="n"/>
      <c r="K1147" s="162" t="n"/>
      <c r="L1147" s="168" t="n"/>
      <c r="M1147" s="75">
        <f>_xlfn.XLOOKUP(L1147,list_vat[Страна],list_vat[Ставка НДС %],0,0)</f>
        <v/>
      </c>
      <c r="N1147" s="162">
        <f>IFERROR(IF(L1147="Китай",K1147,K1147/(1+M1147)),0)</f>
        <v/>
      </c>
      <c r="O1147" s="169" t="n"/>
      <c r="P1147" s="76">
        <f>N1147*(1-O1147)</f>
        <v/>
      </c>
      <c r="Q1147" s="162" t="n"/>
      <c r="R1147" s="162">
        <f>IF(ISBLANK(Q1147),"введи курс",P1147/Q1147)</f>
        <v/>
      </c>
      <c r="S1147" s="196">
        <f>IF(AND(ISNUMBER(E1147),ISNUMBER(Q1147)),E1147*R1147,0)</f>
        <v/>
      </c>
      <c r="T1147" s="192">
        <f>$BC1147*V$11</f>
        <v/>
      </c>
      <c r="U1147" s="76">
        <f>$BC1147*W$11</f>
        <v/>
      </c>
      <c r="V1147" s="193">
        <f>+SUM(T1147:U1147)</f>
        <v/>
      </c>
      <c r="W1147" s="191" t="n"/>
      <c r="X1147" s="170" t="n"/>
      <c r="Y1147" s="76">
        <f>ROUND(IF(offer_incoterms="DDP",X1147*(S1147*(1+AW1147)+T1147),0),2)</f>
        <v/>
      </c>
      <c r="Z1147" s="188" t="n"/>
      <c r="AA1147" s="192">
        <f>IFERROR(AB1147/E1147,0)</f>
        <v/>
      </c>
      <c r="AB1147" s="76">
        <f>ROUND(SUM(S1147,V1147,Y1147:Z1147,BA1147:BB1147),2)</f>
        <v/>
      </c>
      <c r="AC1147" s="797" t="n"/>
      <c r="AD1147" s="192">
        <f t="array" ref="AD1147">IFERROR(ROUND((_xlfn.IFS(offer_sale_type="поставка",AB1147,offer_sale_type="транзит",S1147)*(1+AC1147))/E1147,2),0)</f>
        <v/>
      </c>
      <c r="AE1147" s="76">
        <f>AD1147*E1147</f>
        <v/>
      </c>
      <c r="AF1147" s="193">
        <f t="array" ref="AF1147">IFERROR(ROUND(_xlfn.IFS(offer_sale_type="поставка",AB1147,offer_sale_type="транзит",S1147)*AC1147,2),0)</f>
        <v/>
      </c>
      <c r="AG1147" s="192">
        <f>$BD1147*VLOOKUP($AG$3,$AF$4:$AG$7,2,FALSE)</f>
        <v/>
      </c>
      <c r="AH1147" s="76">
        <f>SUM(AE1147,AG1147,AI1147)*rate_forex_risk</f>
        <v/>
      </c>
      <c r="AI1147" s="193">
        <f>IF(OR(seller_region="TR",offer_sale_type="экспорт"),0,rate_fin_comm)*SUM(AZ1147,AZ1147*AW1147,T1147)</f>
        <v/>
      </c>
      <c r="AJ1147" s="118">
        <f>IFERROR(ROUND(SUM(AB1147,AF1147:AI1147)/E1147,2),0)</f>
        <v/>
      </c>
      <c r="AK1147" s="76">
        <f>AJ1147*E1147</f>
        <v/>
      </c>
      <c r="AL1147" s="174">
        <f>ROUND(IFERROR(AM1147*E1147,0),2)</f>
        <v/>
      </c>
      <c r="AM1147" s="175">
        <f>ROUND(AJ1147*(1+IF(offer_incoterms="DDP",IF((TODAY()+offer_turnaround_time)&gt;=helpsheet!$L$17,rate_vatRU_from_26,rate_vatRu_till_25),0)),2)</f>
        <v/>
      </c>
      <c r="AN1147" s="192">
        <f>AL1147-AK1147</f>
        <v/>
      </c>
      <c r="AO1147" s="76">
        <f>SUM(AY1147,Y1147:Z1147,T1147)*IF(AND(offer_incoterms="DDP",offer_sale_type&lt;&gt;"экспорт"),IF((TODAY()+offer_turnaround_time)&gt;=helpsheet!$L$17,rate_vatRU_from_26,rate_vatRu_till_25),0)</f>
        <v/>
      </c>
      <c r="AP1147" s="193">
        <f>AN1147-AO1147</f>
        <v/>
      </c>
      <c r="AQ1147" s="118">
        <f>IF(offer_sale_type="транзит",SUM(AF1147:AI1147,BA1147,BB1147),0)</f>
        <v/>
      </c>
      <c r="AR1147" s="82">
        <f>HYPERLINK("https://www.alta.ru/tnved/code/")&amp;W1147&amp;"/"</f>
        <v/>
      </c>
      <c r="AS1147" s="157" t="n"/>
      <c r="AT1147" s="162" t="n"/>
      <c r="AU1147" s="76">
        <f>IF(ISBLANK(AT1147),0,AJ1147-AT1147)</f>
        <v/>
      </c>
      <c r="AV1147" s="157" t="n"/>
      <c r="AW1147" s="75">
        <f>_xlfn.IFNA(VLOOKUP(L1147,list_vat[],3,FALSE),0)</f>
        <v/>
      </c>
      <c r="AX1147" s="76">
        <f>IFERROR(ROUND(S1147*(1+AW1147)/E1147,2),0)</f>
        <v/>
      </c>
      <c r="AY1147" s="76">
        <f>E1147*AX1147</f>
        <v/>
      </c>
      <c r="AZ1147" s="192">
        <f>S1147*(1+M1147)</f>
        <v/>
      </c>
      <c r="BA1147" s="76">
        <f>cost_fin_total*$BD1147</f>
        <v/>
      </c>
      <c r="BB1147" s="193">
        <f>credit_sales_interest*BD1147</f>
        <v/>
      </c>
      <c r="BC1147" s="102">
        <f>IFERROR(IF($I$13&gt;0,$I1147/$I$13,$S1147/$S$13),0)</f>
        <v/>
      </c>
      <c r="BD1147" s="102">
        <f>IFERROR($S1147/$S$13,0)</f>
        <v/>
      </c>
      <c r="BE1147" s="413" t="inlineStr">
        <is>
          <t>$</t>
        </is>
      </c>
    </row>
    <row r="1148" ht="12" customFormat="1" customHeight="1" s="65">
      <c r="A1148" s="43" t="n">
        <v>1133</v>
      </c>
      <c r="B1148" s="166" t="n"/>
      <c r="C1148" s="166" t="n"/>
      <c r="D1148" s="166" t="n"/>
      <c r="E1148" s="162" t="n"/>
      <c r="F1148" s="166" t="n"/>
      <c r="G1148" s="162" t="n"/>
      <c r="H1148" s="162" t="n"/>
      <c r="I1148" s="189">
        <f>E1148*G1148</f>
        <v/>
      </c>
      <c r="J1148" s="195" t="n"/>
      <c r="K1148" s="162" t="n"/>
      <c r="L1148" s="168" t="n"/>
      <c r="M1148" s="75">
        <f>_xlfn.XLOOKUP(L1148,list_vat[Страна],list_vat[Ставка НДС %],0,0)</f>
        <v/>
      </c>
      <c r="N1148" s="162">
        <f>IFERROR(IF(L1148="Китай",K1148,K1148/(1+M1148)),0)</f>
        <v/>
      </c>
      <c r="O1148" s="169" t="n"/>
      <c r="P1148" s="76">
        <f>N1148*(1-O1148)</f>
        <v/>
      </c>
      <c r="Q1148" s="162" t="n"/>
      <c r="R1148" s="162">
        <f>IF(ISBLANK(Q1148),"введи курс",P1148/Q1148)</f>
        <v/>
      </c>
      <c r="S1148" s="196">
        <f>IF(AND(ISNUMBER(E1148),ISNUMBER(Q1148)),E1148*R1148,0)</f>
        <v/>
      </c>
      <c r="T1148" s="192">
        <f>$BC1148*V$11</f>
        <v/>
      </c>
      <c r="U1148" s="76">
        <f>$BC1148*W$11</f>
        <v/>
      </c>
      <c r="V1148" s="193">
        <f>+SUM(T1148:U1148)</f>
        <v/>
      </c>
      <c r="W1148" s="191" t="n"/>
      <c r="X1148" s="170" t="n"/>
      <c r="Y1148" s="76">
        <f>ROUND(IF(offer_incoterms="DDP",X1148*(S1148*(1+AW1148)+T1148),0),2)</f>
        <v/>
      </c>
      <c r="Z1148" s="188" t="n"/>
      <c r="AA1148" s="192">
        <f>IFERROR(AB1148/E1148,0)</f>
        <v/>
      </c>
      <c r="AB1148" s="76">
        <f>ROUND(SUM(S1148,V1148,Y1148:Z1148,BA1148:BB1148),2)</f>
        <v/>
      </c>
      <c r="AC1148" s="797" t="n"/>
      <c r="AD1148" s="192">
        <f t="array" ref="AD1148">IFERROR(ROUND((_xlfn.IFS(offer_sale_type="поставка",AB1148,offer_sale_type="транзит",S1148)*(1+AC1148))/E1148,2),0)</f>
        <v/>
      </c>
      <c r="AE1148" s="76">
        <f>AD1148*E1148</f>
        <v/>
      </c>
      <c r="AF1148" s="193">
        <f t="array" ref="AF1148">IFERROR(ROUND(_xlfn.IFS(offer_sale_type="поставка",AB1148,offer_sale_type="транзит",S1148)*AC1148,2),0)</f>
        <v/>
      </c>
      <c r="AG1148" s="192">
        <f>$BD1148*VLOOKUP($AG$3,$AF$4:$AG$7,2,FALSE)</f>
        <v/>
      </c>
      <c r="AH1148" s="76">
        <f>SUM(AE1148,AG1148,AI1148)*rate_forex_risk</f>
        <v/>
      </c>
      <c r="AI1148" s="193">
        <f>IF(OR(seller_region="TR",offer_sale_type="экспорт"),0,rate_fin_comm)*SUM(AZ1148,AZ1148*AW1148,T1148)</f>
        <v/>
      </c>
      <c r="AJ1148" s="118">
        <f>IFERROR(ROUND(SUM(AB1148,AF1148:AI1148)/E1148,2),0)</f>
        <v/>
      </c>
      <c r="AK1148" s="76">
        <f>AJ1148*E1148</f>
        <v/>
      </c>
      <c r="AL1148" s="174">
        <f>ROUND(IFERROR(AM1148*E1148,0),2)</f>
        <v/>
      </c>
      <c r="AM1148" s="175">
        <f>ROUND(AJ1148*(1+IF(offer_incoterms="DDP",IF((TODAY()+offer_turnaround_time)&gt;=helpsheet!$L$17,rate_vatRU_from_26,rate_vatRu_till_25),0)),2)</f>
        <v/>
      </c>
      <c r="AN1148" s="192">
        <f>AL1148-AK1148</f>
        <v/>
      </c>
      <c r="AO1148" s="76">
        <f>SUM(AY1148,Y1148:Z1148,T1148)*IF(AND(offer_incoterms="DDP",offer_sale_type&lt;&gt;"экспорт"),IF((TODAY()+offer_turnaround_time)&gt;=helpsheet!$L$17,rate_vatRU_from_26,rate_vatRu_till_25),0)</f>
        <v/>
      </c>
      <c r="AP1148" s="193">
        <f>AN1148-AO1148</f>
        <v/>
      </c>
      <c r="AQ1148" s="118">
        <f>IF(offer_sale_type="транзит",SUM(AF1148:AI1148,BA1148,BB1148),0)</f>
        <v/>
      </c>
      <c r="AR1148" s="82">
        <f>HYPERLINK("https://www.alta.ru/tnved/code/")&amp;W1148&amp;"/"</f>
        <v/>
      </c>
      <c r="AS1148" s="157" t="n"/>
      <c r="AT1148" s="162" t="n"/>
      <c r="AU1148" s="76">
        <f>IF(ISBLANK(AT1148),0,AJ1148-AT1148)</f>
        <v/>
      </c>
      <c r="AV1148" s="157" t="n"/>
      <c r="AW1148" s="75">
        <f>_xlfn.IFNA(VLOOKUP(L1148,list_vat[],3,FALSE),0)</f>
        <v/>
      </c>
      <c r="AX1148" s="76">
        <f>IFERROR(ROUND(S1148*(1+AW1148)/E1148,2),0)</f>
        <v/>
      </c>
      <c r="AY1148" s="76">
        <f>E1148*AX1148</f>
        <v/>
      </c>
      <c r="AZ1148" s="192">
        <f>S1148*(1+M1148)</f>
        <v/>
      </c>
      <c r="BA1148" s="76">
        <f>cost_fin_total*$BD1148</f>
        <v/>
      </c>
      <c r="BB1148" s="193">
        <f>credit_sales_interest*BD1148</f>
        <v/>
      </c>
      <c r="BC1148" s="102">
        <f>IFERROR(IF($I$13&gt;0,$I1148/$I$13,$S1148/$S$13),0)</f>
        <v/>
      </c>
      <c r="BD1148" s="102">
        <f>IFERROR($S1148/$S$13,0)</f>
        <v/>
      </c>
      <c r="BE1148" s="413" t="inlineStr">
        <is>
          <t>$</t>
        </is>
      </c>
    </row>
    <row r="1149" ht="12" customFormat="1" customHeight="1" s="65">
      <c r="A1149" s="43" t="n">
        <v>1134</v>
      </c>
      <c r="B1149" s="166" t="n"/>
      <c r="C1149" s="166" t="n"/>
      <c r="D1149" s="166" t="n"/>
      <c r="E1149" s="162" t="n"/>
      <c r="F1149" s="166" t="n"/>
      <c r="G1149" s="162" t="n"/>
      <c r="H1149" s="162" t="n"/>
      <c r="I1149" s="189">
        <f>E1149*G1149</f>
        <v/>
      </c>
      <c r="J1149" s="195" t="n"/>
      <c r="K1149" s="162" t="n"/>
      <c r="L1149" s="168" t="n"/>
      <c r="M1149" s="75">
        <f>_xlfn.XLOOKUP(L1149,list_vat[Страна],list_vat[Ставка НДС %],0,0)</f>
        <v/>
      </c>
      <c r="N1149" s="162">
        <f>IFERROR(IF(L1149="Китай",K1149,K1149/(1+M1149)),0)</f>
        <v/>
      </c>
      <c r="O1149" s="169" t="n"/>
      <c r="P1149" s="76">
        <f>N1149*(1-O1149)</f>
        <v/>
      </c>
      <c r="Q1149" s="162" t="n"/>
      <c r="R1149" s="162">
        <f>IF(ISBLANK(Q1149),"введи курс",P1149/Q1149)</f>
        <v/>
      </c>
      <c r="S1149" s="196">
        <f>IF(AND(ISNUMBER(E1149),ISNUMBER(Q1149)),E1149*R1149,0)</f>
        <v/>
      </c>
      <c r="T1149" s="192">
        <f>$BC1149*V$11</f>
        <v/>
      </c>
      <c r="U1149" s="76">
        <f>$BC1149*W$11</f>
        <v/>
      </c>
      <c r="V1149" s="193">
        <f>+SUM(T1149:U1149)</f>
        <v/>
      </c>
      <c r="W1149" s="191" t="n"/>
      <c r="X1149" s="170" t="n"/>
      <c r="Y1149" s="76">
        <f>ROUND(IF(offer_incoterms="DDP",X1149*(S1149*(1+AW1149)+T1149),0),2)</f>
        <v/>
      </c>
      <c r="Z1149" s="188" t="n"/>
      <c r="AA1149" s="192">
        <f>IFERROR(AB1149/E1149,0)</f>
        <v/>
      </c>
      <c r="AB1149" s="76">
        <f>ROUND(SUM(S1149,V1149,Y1149:Z1149,BA1149:BB1149),2)</f>
        <v/>
      </c>
      <c r="AC1149" s="797" t="n"/>
      <c r="AD1149" s="192">
        <f t="array" ref="AD1149">IFERROR(ROUND((_xlfn.IFS(offer_sale_type="поставка",AB1149,offer_sale_type="транзит",S1149)*(1+AC1149))/E1149,2),0)</f>
        <v/>
      </c>
      <c r="AE1149" s="76">
        <f>AD1149*E1149</f>
        <v/>
      </c>
      <c r="AF1149" s="193">
        <f t="array" ref="AF1149">IFERROR(ROUND(_xlfn.IFS(offer_sale_type="поставка",AB1149,offer_sale_type="транзит",S1149)*AC1149,2),0)</f>
        <v/>
      </c>
      <c r="AG1149" s="192">
        <f>$BD1149*VLOOKUP($AG$3,$AF$4:$AG$7,2,FALSE)</f>
        <v/>
      </c>
      <c r="AH1149" s="76">
        <f>SUM(AE1149,AG1149,AI1149)*rate_forex_risk</f>
        <v/>
      </c>
      <c r="AI1149" s="193">
        <f>IF(OR(seller_region="TR",offer_sale_type="экспорт"),0,rate_fin_comm)*SUM(AZ1149,AZ1149*AW1149,T1149)</f>
        <v/>
      </c>
      <c r="AJ1149" s="118">
        <f>IFERROR(ROUND(SUM(AB1149,AF1149:AI1149)/E1149,2),0)</f>
        <v/>
      </c>
      <c r="AK1149" s="76">
        <f>AJ1149*E1149</f>
        <v/>
      </c>
      <c r="AL1149" s="174">
        <f>ROUND(IFERROR(AM1149*E1149,0),2)</f>
        <v/>
      </c>
      <c r="AM1149" s="175">
        <f>ROUND(AJ1149*(1+IF(offer_incoterms="DDP",IF((TODAY()+offer_turnaround_time)&gt;=helpsheet!$L$17,rate_vatRU_from_26,rate_vatRu_till_25),0)),2)</f>
        <v/>
      </c>
      <c r="AN1149" s="192">
        <f>AL1149-AK1149</f>
        <v/>
      </c>
      <c r="AO1149" s="76">
        <f>SUM(AY1149,Y1149:Z1149,T1149)*IF(AND(offer_incoterms="DDP",offer_sale_type&lt;&gt;"экспорт"),IF((TODAY()+offer_turnaround_time)&gt;=helpsheet!$L$17,rate_vatRU_from_26,rate_vatRu_till_25),0)</f>
        <v/>
      </c>
      <c r="AP1149" s="193">
        <f>AN1149-AO1149</f>
        <v/>
      </c>
      <c r="AQ1149" s="118">
        <f>IF(offer_sale_type="транзит",SUM(AF1149:AI1149,BA1149,BB1149),0)</f>
        <v/>
      </c>
      <c r="AR1149" s="82">
        <f>HYPERLINK("https://www.alta.ru/tnved/code/")&amp;W1149&amp;"/"</f>
        <v/>
      </c>
      <c r="AS1149" s="157" t="n"/>
      <c r="AT1149" s="162" t="n"/>
      <c r="AU1149" s="76">
        <f>IF(ISBLANK(AT1149),0,AJ1149-AT1149)</f>
        <v/>
      </c>
      <c r="AV1149" s="157" t="n"/>
      <c r="AW1149" s="75">
        <f>_xlfn.IFNA(VLOOKUP(L1149,list_vat[],3,FALSE),0)</f>
        <v/>
      </c>
      <c r="AX1149" s="76">
        <f>IFERROR(ROUND(S1149*(1+AW1149)/E1149,2),0)</f>
        <v/>
      </c>
      <c r="AY1149" s="76">
        <f>E1149*AX1149</f>
        <v/>
      </c>
      <c r="AZ1149" s="192">
        <f>S1149*(1+M1149)</f>
        <v/>
      </c>
      <c r="BA1149" s="76">
        <f>cost_fin_total*$BD1149</f>
        <v/>
      </c>
      <c r="BB1149" s="193">
        <f>credit_sales_interest*BD1149</f>
        <v/>
      </c>
      <c r="BC1149" s="102">
        <f>IFERROR(IF($I$13&gt;0,$I1149/$I$13,$S1149/$S$13),0)</f>
        <v/>
      </c>
      <c r="BD1149" s="102">
        <f>IFERROR($S1149/$S$13,0)</f>
        <v/>
      </c>
      <c r="BE1149" s="413" t="inlineStr">
        <is>
          <t>$</t>
        </is>
      </c>
    </row>
    <row r="1150" ht="12" customFormat="1" customHeight="1" s="65">
      <c r="A1150" s="43" t="n">
        <v>1135</v>
      </c>
      <c r="B1150" s="166" t="n"/>
      <c r="C1150" s="166" t="n"/>
      <c r="D1150" s="166" t="n"/>
      <c r="E1150" s="162" t="n"/>
      <c r="F1150" s="166" t="n"/>
      <c r="G1150" s="162" t="n"/>
      <c r="H1150" s="162" t="n"/>
      <c r="I1150" s="189">
        <f>E1150*G1150</f>
        <v/>
      </c>
      <c r="J1150" s="195" t="n"/>
      <c r="K1150" s="162" t="n"/>
      <c r="L1150" s="168" t="n"/>
      <c r="M1150" s="75">
        <f>_xlfn.XLOOKUP(L1150,list_vat[Страна],list_vat[Ставка НДС %],0,0)</f>
        <v/>
      </c>
      <c r="N1150" s="162">
        <f>IFERROR(IF(L1150="Китай",K1150,K1150/(1+M1150)),0)</f>
        <v/>
      </c>
      <c r="O1150" s="169" t="n"/>
      <c r="P1150" s="76">
        <f>N1150*(1-O1150)</f>
        <v/>
      </c>
      <c r="Q1150" s="162" t="n"/>
      <c r="R1150" s="162">
        <f>IF(ISBLANK(Q1150),"введи курс",P1150/Q1150)</f>
        <v/>
      </c>
      <c r="S1150" s="196">
        <f>IF(AND(ISNUMBER(E1150),ISNUMBER(Q1150)),E1150*R1150,0)</f>
        <v/>
      </c>
      <c r="T1150" s="192">
        <f>$BC1150*V$11</f>
        <v/>
      </c>
      <c r="U1150" s="76">
        <f>$BC1150*W$11</f>
        <v/>
      </c>
      <c r="V1150" s="193">
        <f>+SUM(T1150:U1150)</f>
        <v/>
      </c>
      <c r="W1150" s="191" t="n"/>
      <c r="X1150" s="170" t="n"/>
      <c r="Y1150" s="76">
        <f>ROUND(IF(offer_incoterms="DDP",X1150*(S1150*(1+AW1150)+T1150),0),2)</f>
        <v/>
      </c>
      <c r="Z1150" s="188" t="n"/>
      <c r="AA1150" s="192">
        <f>IFERROR(AB1150/E1150,0)</f>
        <v/>
      </c>
      <c r="AB1150" s="76">
        <f>ROUND(SUM(S1150,V1150,Y1150:Z1150,BA1150:BB1150),2)</f>
        <v/>
      </c>
      <c r="AC1150" s="797" t="n"/>
      <c r="AD1150" s="192">
        <f t="array" ref="AD1150">IFERROR(ROUND((_xlfn.IFS(offer_sale_type="поставка",AB1150,offer_sale_type="транзит",S1150)*(1+AC1150))/E1150,2),0)</f>
        <v/>
      </c>
      <c r="AE1150" s="76">
        <f>AD1150*E1150</f>
        <v/>
      </c>
      <c r="AF1150" s="193">
        <f t="array" ref="AF1150">IFERROR(ROUND(_xlfn.IFS(offer_sale_type="поставка",AB1150,offer_sale_type="транзит",S1150)*AC1150,2),0)</f>
        <v/>
      </c>
      <c r="AG1150" s="192">
        <f>$BD1150*VLOOKUP($AG$3,$AF$4:$AG$7,2,FALSE)</f>
        <v/>
      </c>
      <c r="AH1150" s="76">
        <f>SUM(AE1150,AG1150,AI1150)*rate_forex_risk</f>
        <v/>
      </c>
      <c r="AI1150" s="193">
        <f>IF(OR(seller_region="TR",offer_sale_type="экспорт"),0,rate_fin_comm)*SUM(AZ1150,AZ1150*AW1150,T1150)</f>
        <v/>
      </c>
      <c r="AJ1150" s="118">
        <f>IFERROR(ROUND(SUM(AB1150,AF1150:AI1150)/E1150,2),0)</f>
        <v/>
      </c>
      <c r="AK1150" s="76">
        <f>AJ1150*E1150</f>
        <v/>
      </c>
      <c r="AL1150" s="174">
        <f>ROUND(IFERROR(AM1150*E1150,0),2)</f>
        <v/>
      </c>
      <c r="AM1150" s="175">
        <f>ROUND(AJ1150*(1+IF(offer_incoterms="DDP",IF((TODAY()+offer_turnaround_time)&gt;=helpsheet!$L$17,rate_vatRU_from_26,rate_vatRu_till_25),0)),2)</f>
        <v/>
      </c>
      <c r="AN1150" s="192">
        <f>AL1150-AK1150</f>
        <v/>
      </c>
      <c r="AO1150" s="76">
        <f>SUM(AY1150,Y1150:Z1150,T1150)*IF(AND(offer_incoterms="DDP",offer_sale_type&lt;&gt;"экспорт"),IF((TODAY()+offer_turnaround_time)&gt;=helpsheet!$L$17,rate_vatRU_from_26,rate_vatRu_till_25),0)</f>
        <v/>
      </c>
      <c r="AP1150" s="193">
        <f>AN1150-AO1150</f>
        <v/>
      </c>
      <c r="AQ1150" s="118">
        <f>IF(offer_sale_type="транзит",SUM(AF1150:AI1150,BA1150,BB1150),0)</f>
        <v/>
      </c>
      <c r="AR1150" s="82">
        <f>HYPERLINK("https://www.alta.ru/tnved/code/")&amp;W1150&amp;"/"</f>
        <v/>
      </c>
      <c r="AS1150" s="157" t="n"/>
      <c r="AT1150" s="162" t="n"/>
      <c r="AU1150" s="76">
        <f>IF(ISBLANK(AT1150),0,AJ1150-AT1150)</f>
        <v/>
      </c>
      <c r="AV1150" s="157" t="n"/>
      <c r="AW1150" s="75">
        <f>_xlfn.IFNA(VLOOKUP(L1150,list_vat[],3,FALSE),0)</f>
        <v/>
      </c>
      <c r="AX1150" s="76">
        <f>IFERROR(ROUND(S1150*(1+AW1150)/E1150,2),0)</f>
        <v/>
      </c>
      <c r="AY1150" s="76">
        <f>E1150*AX1150</f>
        <v/>
      </c>
      <c r="AZ1150" s="192">
        <f>S1150*(1+M1150)</f>
        <v/>
      </c>
      <c r="BA1150" s="76">
        <f>cost_fin_total*$BD1150</f>
        <v/>
      </c>
      <c r="BB1150" s="193">
        <f>credit_sales_interest*BD1150</f>
        <v/>
      </c>
      <c r="BC1150" s="102">
        <f>IFERROR(IF($I$13&gt;0,$I1150/$I$13,$S1150/$S$13),0)</f>
        <v/>
      </c>
      <c r="BD1150" s="102">
        <f>IFERROR($S1150/$S$13,0)</f>
        <v/>
      </c>
      <c r="BE1150" s="413" t="inlineStr">
        <is>
          <t>$</t>
        </is>
      </c>
    </row>
    <row r="1151" ht="12" customFormat="1" customHeight="1" s="65">
      <c r="A1151" s="43" t="n">
        <v>1136</v>
      </c>
      <c r="B1151" s="166" t="n"/>
      <c r="C1151" s="166" t="n"/>
      <c r="D1151" s="166" t="n"/>
      <c r="E1151" s="162" t="n"/>
      <c r="F1151" s="166" t="n"/>
      <c r="G1151" s="162" t="n"/>
      <c r="H1151" s="162" t="n"/>
      <c r="I1151" s="189">
        <f>E1151*G1151</f>
        <v/>
      </c>
      <c r="J1151" s="195" t="n"/>
      <c r="K1151" s="162" t="n"/>
      <c r="L1151" s="168" t="n"/>
      <c r="M1151" s="75">
        <f>_xlfn.XLOOKUP(L1151,list_vat[Страна],list_vat[Ставка НДС %],0,0)</f>
        <v/>
      </c>
      <c r="N1151" s="162">
        <f>IFERROR(IF(L1151="Китай",K1151,K1151/(1+M1151)),0)</f>
        <v/>
      </c>
      <c r="O1151" s="169" t="n"/>
      <c r="P1151" s="76">
        <f>N1151*(1-O1151)</f>
        <v/>
      </c>
      <c r="Q1151" s="162" t="n"/>
      <c r="R1151" s="162">
        <f>IF(ISBLANK(Q1151),"введи курс",P1151/Q1151)</f>
        <v/>
      </c>
      <c r="S1151" s="196">
        <f>IF(AND(ISNUMBER(E1151),ISNUMBER(Q1151)),E1151*R1151,0)</f>
        <v/>
      </c>
      <c r="T1151" s="192">
        <f>$BC1151*V$11</f>
        <v/>
      </c>
      <c r="U1151" s="76">
        <f>$BC1151*W$11</f>
        <v/>
      </c>
      <c r="V1151" s="193">
        <f>+SUM(T1151:U1151)</f>
        <v/>
      </c>
      <c r="W1151" s="191" t="n"/>
      <c r="X1151" s="170" t="n"/>
      <c r="Y1151" s="76">
        <f>ROUND(IF(offer_incoterms="DDP",X1151*(S1151*(1+AW1151)+T1151),0),2)</f>
        <v/>
      </c>
      <c r="Z1151" s="188" t="n"/>
      <c r="AA1151" s="192">
        <f>IFERROR(AB1151/E1151,0)</f>
        <v/>
      </c>
      <c r="AB1151" s="76">
        <f>ROUND(SUM(S1151,V1151,Y1151:Z1151,BA1151:BB1151),2)</f>
        <v/>
      </c>
      <c r="AC1151" s="797" t="n"/>
      <c r="AD1151" s="192">
        <f t="array" ref="AD1151">IFERROR(ROUND((_xlfn.IFS(offer_sale_type="поставка",AB1151,offer_sale_type="транзит",S1151)*(1+AC1151))/E1151,2),0)</f>
        <v/>
      </c>
      <c r="AE1151" s="76">
        <f>AD1151*E1151</f>
        <v/>
      </c>
      <c r="AF1151" s="193">
        <f t="array" ref="AF1151">IFERROR(ROUND(_xlfn.IFS(offer_sale_type="поставка",AB1151,offer_sale_type="транзит",S1151)*AC1151,2),0)</f>
        <v/>
      </c>
      <c r="AG1151" s="192">
        <f>$BD1151*VLOOKUP($AG$3,$AF$4:$AG$7,2,FALSE)</f>
        <v/>
      </c>
      <c r="AH1151" s="76">
        <f>SUM(AE1151,AG1151,AI1151)*rate_forex_risk</f>
        <v/>
      </c>
      <c r="AI1151" s="193">
        <f>IF(OR(seller_region="TR",offer_sale_type="экспорт"),0,rate_fin_comm)*SUM(AZ1151,AZ1151*AW1151,T1151)</f>
        <v/>
      </c>
      <c r="AJ1151" s="118">
        <f>IFERROR(ROUND(SUM(AB1151,AF1151:AI1151)/E1151,2),0)</f>
        <v/>
      </c>
      <c r="AK1151" s="76">
        <f>AJ1151*E1151</f>
        <v/>
      </c>
      <c r="AL1151" s="174">
        <f>ROUND(IFERROR(AM1151*E1151,0),2)</f>
        <v/>
      </c>
      <c r="AM1151" s="175">
        <f>ROUND(AJ1151*(1+IF(offer_incoterms="DDP",IF((TODAY()+offer_turnaround_time)&gt;=helpsheet!$L$17,rate_vatRU_from_26,rate_vatRu_till_25),0)),2)</f>
        <v/>
      </c>
      <c r="AN1151" s="192">
        <f>AL1151-AK1151</f>
        <v/>
      </c>
      <c r="AO1151" s="76">
        <f>SUM(AY1151,Y1151:Z1151,T1151)*IF(AND(offer_incoterms="DDP",offer_sale_type&lt;&gt;"экспорт"),IF((TODAY()+offer_turnaround_time)&gt;=helpsheet!$L$17,rate_vatRU_from_26,rate_vatRu_till_25),0)</f>
        <v/>
      </c>
      <c r="AP1151" s="193">
        <f>AN1151-AO1151</f>
        <v/>
      </c>
      <c r="AQ1151" s="118">
        <f>IF(offer_sale_type="транзит",SUM(AF1151:AI1151,BA1151,BB1151),0)</f>
        <v/>
      </c>
      <c r="AR1151" s="82">
        <f>HYPERLINK("https://www.alta.ru/tnved/code/")&amp;W1151&amp;"/"</f>
        <v/>
      </c>
      <c r="AS1151" s="157" t="n"/>
      <c r="AT1151" s="162" t="n"/>
      <c r="AU1151" s="76">
        <f>IF(ISBLANK(AT1151),0,AJ1151-AT1151)</f>
        <v/>
      </c>
      <c r="AV1151" s="157" t="n"/>
      <c r="AW1151" s="75">
        <f>_xlfn.IFNA(VLOOKUP(L1151,list_vat[],3,FALSE),0)</f>
        <v/>
      </c>
      <c r="AX1151" s="76">
        <f>IFERROR(ROUND(S1151*(1+AW1151)/E1151,2),0)</f>
        <v/>
      </c>
      <c r="AY1151" s="76">
        <f>E1151*AX1151</f>
        <v/>
      </c>
      <c r="AZ1151" s="192">
        <f>S1151*(1+M1151)</f>
        <v/>
      </c>
      <c r="BA1151" s="76">
        <f>cost_fin_total*$BD1151</f>
        <v/>
      </c>
      <c r="BB1151" s="193">
        <f>credit_sales_interest*BD1151</f>
        <v/>
      </c>
      <c r="BC1151" s="102">
        <f>IFERROR(IF($I$13&gt;0,$I1151/$I$13,$S1151/$S$13),0)</f>
        <v/>
      </c>
      <c r="BD1151" s="102">
        <f>IFERROR($S1151/$S$13,0)</f>
        <v/>
      </c>
      <c r="BE1151" s="413" t="inlineStr">
        <is>
          <t>$</t>
        </is>
      </c>
    </row>
    <row r="1152" ht="12" customFormat="1" customHeight="1" s="65">
      <c r="A1152" s="43" t="n">
        <v>1137</v>
      </c>
      <c r="B1152" s="166" t="n"/>
      <c r="C1152" s="166" t="n"/>
      <c r="D1152" s="166" t="n"/>
      <c r="E1152" s="162" t="n"/>
      <c r="F1152" s="166" t="n"/>
      <c r="G1152" s="162" t="n"/>
      <c r="H1152" s="162" t="n"/>
      <c r="I1152" s="189">
        <f>E1152*G1152</f>
        <v/>
      </c>
      <c r="J1152" s="195" t="n"/>
      <c r="K1152" s="162" t="n"/>
      <c r="L1152" s="168" t="n"/>
      <c r="M1152" s="75">
        <f>_xlfn.XLOOKUP(L1152,list_vat[Страна],list_vat[Ставка НДС %],0,0)</f>
        <v/>
      </c>
      <c r="N1152" s="162">
        <f>IFERROR(IF(L1152="Китай",K1152,K1152/(1+M1152)),0)</f>
        <v/>
      </c>
      <c r="O1152" s="169" t="n"/>
      <c r="P1152" s="76">
        <f>N1152*(1-O1152)</f>
        <v/>
      </c>
      <c r="Q1152" s="162" t="n"/>
      <c r="R1152" s="162">
        <f>IF(ISBLANK(Q1152),"введи курс",P1152/Q1152)</f>
        <v/>
      </c>
      <c r="S1152" s="196">
        <f>IF(AND(ISNUMBER(E1152),ISNUMBER(Q1152)),E1152*R1152,0)</f>
        <v/>
      </c>
      <c r="T1152" s="192">
        <f>$BC1152*V$11</f>
        <v/>
      </c>
      <c r="U1152" s="76">
        <f>$BC1152*W$11</f>
        <v/>
      </c>
      <c r="V1152" s="193">
        <f>+SUM(T1152:U1152)</f>
        <v/>
      </c>
      <c r="W1152" s="191" t="n"/>
      <c r="X1152" s="170" t="n"/>
      <c r="Y1152" s="76">
        <f>ROUND(IF(offer_incoterms="DDP",X1152*(S1152*(1+AW1152)+T1152),0),2)</f>
        <v/>
      </c>
      <c r="Z1152" s="188" t="n"/>
      <c r="AA1152" s="192">
        <f>IFERROR(AB1152/E1152,0)</f>
        <v/>
      </c>
      <c r="AB1152" s="76">
        <f>ROUND(SUM(S1152,V1152,Y1152:Z1152,BA1152:BB1152),2)</f>
        <v/>
      </c>
      <c r="AC1152" s="797" t="n"/>
      <c r="AD1152" s="192">
        <f t="array" ref="AD1152">IFERROR(ROUND((_xlfn.IFS(offer_sale_type="поставка",AB1152,offer_sale_type="транзит",S1152)*(1+AC1152))/E1152,2),0)</f>
        <v/>
      </c>
      <c r="AE1152" s="76">
        <f>AD1152*E1152</f>
        <v/>
      </c>
      <c r="AF1152" s="193">
        <f t="array" ref="AF1152">IFERROR(ROUND(_xlfn.IFS(offer_sale_type="поставка",AB1152,offer_sale_type="транзит",S1152)*AC1152,2),0)</f>
        <v/>
      </c>
      <c r="AG1152" s="192">
        <f>$BD1152*VLOOKUP($AG$3,$AF$4:$AG$7,2,FALSE)</f>
        <v/>
      </c>
      <c r="AH1152" s="76">
        <f>SUM(AE1152,AG1152,AI1152)*rate_forex_risk</f>
        <v/>
      </c>
      <c r="AI1152" s="193">
        <f>IF(OR(seller_region="TR",offer_sale_type="экспорт"),0,rate_fin_comm)*SUM(AZ1152,AZ1152*AW1152,T1152)</f>
        <v/>
      </c>
      <c r="AJ1152" s="118">
        <f>IFERROR(ROUND(SUM(AB1152,AF1152:AI1152)/E1152,2),0)</f>
        <v/>
      </c>
      <c r="AK1152" s="76">
        <f>AJ1152*E1152</f>
        <v/>
      </c>
      <c r="AL1152" s="174">
        <f>ROUND(IFERROR(AM1152*E1152,0),2)</f>
        <v/>
      </c>
      <c r="AM1152" s="175">
        <f>ROUND(AJ1152*(1+IF(offer_incoterms="DDP",IF((TODAY()+offer_turnaround_time)&gt;=helpsheet!$L$17,rate_vatRU_from_26,rate_vatRu_till_25),0)),2)</f>
        <v/>
      </c>
      <c r="AN1152" s="192">
        <f>AL1152-AK1152</f>
        <v/>
      </c>
      <c r="AO1152" s="76">
        <f>SUM(AY1152,Y1152:Z1152,T1152)*IF(AND(offer_incoterms="DDP",offer_sale_type&lt;&gt;"экспорт"),IF((TODAY()+offer_turnaround_time)&gt;=helpsheet!$L$17,rate_vatRU_from_26,rate_vatRu_till_25),0)</f>
        <v/>
      </c>
      <c r="AP1152" s="193">
        <f>AN1152-AO1152</f>
        <v/>
      </c>
      <c r="AQ1152" s="118">
        <f>IF(offer_sale_type="транзит",SUM(AF1152:AI1152,BA1152,BB1152),0)</f>
        <v/>
      </c>
      <c r="AR1152" s="82">
        <f>HYPERLINK("https://www.alta.ru/tnved/code/")&amp;W1152&amp;"/"</f>
        <v/>
      </c>
      <c r="AS1152" s="157" t="n"/>
      <c r="AT1152" s="162" t="n"/>
      <c r="AU1152" s="76">
        <f>IF(ISBLANK(AT1152),0,AJ1152-AT1152)</f>
        <v/>
      </c>
      <c r="AV1152" s="157" t="n"/>
      <c r="AW1152" s="75">
        <f>_xlfn.IFNA(VLOOKUP(L1152,list_vat[],3,FALSE),0)</f>
        <v/>
      </c>
      <c r="AX1152" s="76">
        <f>IFERROR(ROUND(S1152*(1+AW1152)/E1152,2),0)</f>
        <v/>
      </c>
      <c r="AY1152" s="76">
        <f>E1152*AX1152</f>
        <v/>
      </c>
      <c r="AZ1152" s="192">
        <f>S1152*(1+M1152)</f>
        <v/>
      </c>
      <c r="BA1152" s="76">
        <f>cost_fin_total*$BD1152</f>
        <v/>
      </c>
      <c r="BB1152" s="193">
        <f>credit_sales_interest*BD1152</f>
        <v/>
      </c>
      <c r="BC1152" s="102">
        <f>IFERROR(IF($I$13&gt;0,$I1152/$I$13,$S1152/$S$13),0)</f>
        <v/>
      </c>
      <c r="BD1152" s="102">
        <f>IFERROR($S1152/$S$13,0)</f>
        <v/>
      </c>
      <c r="BE1152" s="413" t="inlineStr">
        <is>
          <t>$</t>
        </is>
      </c>
    </row>
    <row r="1153" ht="12" customFormat="1" customHeight="1" s="65">
      <c r="A1153" s="43" t="n">
        <v>1138</v>
      </c>
      <c r="B1153" s="166" t="n"/>
      <c r="C1153" s="166" t="n"/>
      <c r="D1153" s="166" t="n"/>
      <c r="E1153" s="162" t="n"/>
      <c r="F1153" s="166" t="n"/>
      <c r="G1153" s="162" t="n"/>
      <c r="H1153" s="162" t="n"/>
      <c r="I1153" s="189">
        <f>E1153*G1153</f>
        <v/>
      </c>
      <c r="J1153" s="195" t="n"/>
      <c r="K1153" s="162" t="n"/>
      <c r="L1153" s="168" t="n"/>
      <c r="M1153" s="75">
        <f>_xlfn.XLOOKUP(L1153,list_vat[Страна],list_vat[Ставка НДС %],0,0)</f>
        <v/>
      </c>
      <c r="N1153" s="162">
        <f>IFERROR(IF(L1153="Китай",K1153,K1153/(1+M1153)),0)</f>
        <v/>
      </c>
      <c r="O1153" s="169" t="n"/>
      <c r="P1153" s="76">
        <f>N1153*(1-O1153)</f>
        <v/>
      </c>
      <c r="Q1153" s="162" t="n"/>
      <c r="R1153" s="162">
        <f>IF(ISBLANK(Q1153),"введи курс",P1153/Q1153)</f>
        <v/>
      </c>
      <c r="S1153" s="196">
        <f>IF(AND(ISNUMBER(E1153),ISNUMBER(Q1153)),E1153*R1153,0)</f>
        <v/>
      </c>
      <c r="T1153" s="192">
        <f>$BC1153*V$11</f>
        <v/>
      </c>
      <c r="U1153" s="76">
        <f>$BC1153*W$11</f>
        <v/>
      </c>
      <c r="V1153" s="193">
        <f>+SUM(T1153:U1153)</f>
        <v/>
      </c>
      <c r="W1153" s="191" t="n"/>
      <c r="X1153" s="170" t="n"/>
      <c r="Y1153" s="76">
        <f>ROUND(IF(offer_incoterms="DDP",X1153*(S1153*(1+AW1153)+T1153),0),2)</f>
        <v/>
      </c>
      <c r="Z1153" s="188" t="n"/>
      <c r="AA1153" s="192">
        <f>IFERROR(AB1153/E1153,0)</f>
        <v/>
      </c>
      <c r="AB1153" s="76">
        <f>ROUND(SUM(S1153,V1153,Y1153:Z1153,BA1153:BB1153),2)</f>
        <v/>
      </c>
      <c r="AC1153" s="797" t="n"/>
      <c r="AD1153" s="192">
        <f t="array" ref="AD1153">IFERROR(ROUND((_xlfn.IFS(offer_sale_type="поставка",AB1153,offer_sale_type="транзит",S1153)*(1+AC1153))/E1153,2),0)</f>
        <v/>
      </c>
      <c r="AE1153" s="76">
        <f>AD1153*E1153</f>
        <v/>
      </c>
      <c r="AF1153" s="193">
        <f t="array" ref="AF1153">IFERROR(ROUND(_xlfn.IFS(offer_sale_type="поставка",AB1153,offer_sale_type="транзит",S1153)*AC1153,2),0)</f>
        <v/>
      </c>
      <c r="AG1153" s="192">
        <f>$BD1153*VLOOKUP($AG$3,$AF$4:$AG$7,2,FALSE)</f>
        <v/>
      </c>
      <c r="AH1153" s="76">
        <f>SUM(AE1153,AG1153,AI1153)*rate_forex_risk</f>
        <v/>
      </c>
      <c r="AI1153" s="193">
        <f>IF(OR(seller_region="TR",offer_sale_type="экспорт"),0,rate_fin_comm)*SUM(AZ1153,AZ1153*AW1153,T1153)</f>
        <v/>
      </c>
      <c r="AJ1153" s="118">
        <f>IFERROR(ROUND(SUM(AB1153,AF1153:AI1153)/E1153,2),0)</f>
        <v/>
      </c>
      <c r="AK1153" s="76">
        <f>AJ1153*E1153</f>
        <v/>
      </c>
      <c r="AL1153" s="174">
        <f>ROUND(IFERROR(AM1153*E1153,0),2)</f>
        <v/>
      </c>
      <c r="AM1153" s="175">
        <f>ROUND(AJ1153*(1+IF(offer_incoterms="DDP",IF((TODAY()+offer_turnaround_time)&gt;=helpsheet!$L$17,rate_vatRU_from_26,rate_vatRu_till_25),0)),2)</f>
        <v/>
      </c>
      <c r="AN1153" s="192">
        <f>AL1153-AK1153</f>
        <v/>
      </c>
      <c r="AO1153" s="76">
        <f>SUM(AY1153,Y1153:Z1153,T1153)*IF(AND(offer_incoterms="DDP",offer_sale_type&lt;&gt;"экспорт"),IF((TODAY()+offer_turnaround_time)&gt;=helpsheet!$L$17,rate_vatRU_from_26,rate_vatRu_till_25),0)</f>
        <v/>
      </c>
      <c r="AP1153" s="193">
        <f>AN1153-AO1153</f>
        <v/>
      </c>
      <c r="AQ1153" s="118">
        <f>IF(offer_sale_type="транзит",SUM(AF1153:AI1153,BA1153,BB1153),0)</f>
        <v/>
      </c>
      <c r="AR1153" s="82">
        <f>HYPERLINK("https://www.alta.ru/tnved/code/")&amp;W1153&amp;"/"</f>
        <v/>
      </c>
      <c r="AS1153" s="157" t="n"/>
      <c r="AT1153" s="162" t="n"/>
      <c r="AU1153" s="76">
        <f>IF(ISBLANK(AT1153),0,AJ1153-AT1153)</f>
        <v/>
      </c>
      <c r="AV1153" s="157" t="n"/>
      <c r="AW1153" s="75">
        <f>_xlfn.IFNA(VLOOKUP(L1153,list_vat[],3,FALSE),0)</f>
        <v/>
      </c>
      <c r="AX1153" s="76">
        <f>IFERROR(ROUND(S1153*(1+AW1153)/E1153,2),0)</f>
        <v/>
      </c>
      <c r="AY1153" s="76">
        <f>E1153*AX1153</f>
        <v/>
      </c>
      <c r="AZ1153" s="192">
        <f>S1153*(1+M1153)</f>
        <v/>
      </c>
      <c r="BA1153" s="76">
        <f>cost_fin_total*$BD1153</f>
        <v/>
      </c>
      <c r="BB1153" s="193">
        <f>credit_sales_interest*BD1153</f>
        <v/>
      </c>
      <c r="BC1153" s="102">
        <f>IFERROR(IF($I$13&gt;0,$I1153/$I$13,$S1153/$S$13),0)</f>
        <v/>
      </c>
      <c r="BD1153" s="102">
        <f>IFERROR($S1153/$S$13,0)</f>
        <v/>
      </c>
      <c r="BE1153" s="413" t="inlineStr">
        <is>
          <t>$</t>
        </is>
      </c>
    </row>
    <row r="1154" ht="12" customFormat="1" customHeight="1" s="65">
      <c r="A1154" s="43" t="n">
        <v>1139</v>
      </c>
      <c r="B1154" s="166" t="n"/>
      <c r="C1154" s="166" t="n"/>
      <c r="D1154" s="166" t="n"/>
      <c r="E1154" s="162" t="n"/>
      <c r="F1154" s="166" t="n"/>
      <c r="G1154" s="162" t="n"/>
      <c r="H1154" s="162" t="n"/>
      <c r="I1154" s="189">
        <f>E1154*G1154</f>
        <v/>
      </c>
      <c r="J1154" s="195" t="n"/>
      <c r="K1154" s="162" t="n"/>
      <c r="L1154" s="168" t="n"/>
      <c r="M1154" s="75">
        <f>_xlfn.XLOOKUP(L1154,list_vat[Страна],list_vat[Ставка НДС %],0,0)</f>
        <v/>
      </c>
      <c r="N1154" s="162">
        <f>IFERROR(IF(L1154="Китай",K1154,K1154/(1+M1154)),0)</f>
        <v/>
      </c>
      <c r="O1154" s="169" t="n"/>
      <c r="P1154" s="76">
        <f>N1154*(1-O1154)</f>
        <v/>
      </c>
      <c r="Q1154" s="162" t="n"/>
      <c r="R1154" s="162">
        <f>IF(ISBLANK(Q1154),"введи курс",P1154/Q1154)</f>
        <v/>
      </c>
      <c r="S1154" s="196">
        <f>IF(AND(ISNUMBER(E1154),ISNUMBER(Q1154)),E1154*R1154,0)</f>
        <v/>
      </c>
      <c r="T1154" s="192">
        <f>$BC1154*V$11</f>
        <v/>
      </c>
      <c r="U1154" s="76">
        <f>$BC1154*W$11</f>
        <v/>
      </c>
      <c r="V1154" s="193">
        <f>+SUM(T1154:U1154)</f>
        <v/>
      </c>
      <c r="W1154" s="191" t="n"/>
      <c r="X1154" s="170" t="n"/>
      <c r="Y1154" s="76">
        <f>ROUND(IF(offer_incoterms="DDP",X1154*(S1154*(1+AW1154)+T1154),0),2)</f>
        <v/>
      </c>
      <c r="Z1154" s="188" t="n"/>
      <c r="AA1154" s="192">
        <f>IFERROR(AB1154/E1154,0)</f>
        <v/>
      </c>
      <c r="AB1154" s="76">
        <f>ROUND(SUM(S1154,V1154,Y1154:Z1154,BA1154:BB1154),2)</f>
        <v/>
      </c>
      <c r="AC1154" s="797" t="n"/>
      <c r="AD1154" s="192">
        <f t="array" ref="AD1154">IFERROR(ROUND((_xlfn.IFS(offer_sale_type="поставка",AB1154,offer_sale_type="транзит",S1154)*(1+AC1154))/E1154,2),0)</f>
        <v/>
      </c>
      <c r="AE1154" s="76">
        <f>AD1154*E1154</f>
        <v/>
      </c>
      <c r="AF1154" s="193">
        <f t="array" ref="AF1154">IFERROR(ROUND(_xlfn.IFS(offer_sale_type="поставка",AB1154,offer_sale_type="транзит",S1154)*AC1154,2),0)</f>
        <v/>
      </c>
      <c r="AG1154" s="192">
        <f>$BD1154*VLOOKUP($AG$3,$AF$4:$AG$7,2,FALSE)</f>
        <v/>
      </c>
      <c r="AH1154" s="76">
        <f>SUM(AE1154,AG1154,AI1154)*rate_forex_risk</f>
        <v/>
      </c>
      <c r="AI1154" s="193">
        <f>IF(OR(seller_region="TR",offer_sale_type="экспорт"),0,rate_fin_comm)*SUM(AZ1154,AZ1154*AW1154,T1154)</f>
        <v/>
      </c>
      <c r="AJ1154" s="118">
        <f>IFERROR(ROUND(SUM(AB1154,AF1154:AI1154)/E1154,2),0)</f>
        <v/>
      </c>
      <c r="AK1154" s="76">
        <f>AJ1154*E1154</f>
        <v/>
      </c>
      <c r="AL1154" s="174">
        <f>ROUND(IFERROR(AM1154*E1154,0),2)</f>
        <v/>
      </c>
      <c r="AM1154" s="175">
        <f>ROUND(AJ1154*(1+IF(offer_incoterms="DDP",IF((TODAY()+offer_turnaround_time)&gt;=helpsheet!$L$17,rate_vatRU_from_26,rate_vatRu_till_25),0)),2)</f>
        <v/>
      </c>
      <c r="AN1154" s="192">
        <f>AL1154-AK1154</f>
        <v/>
      </c>
      <c r="AO1154" s="76">
        <f>SUM(AY1154,Y1154:Z1154,T1154)*IF(AND(offer_incoterms="DDP",offer_sale_type&lt;&gt;"экспорт"),IF((TODAY()+offer_turnaround_time)&gt;=helpsheet!$L$17,rate_vatRU_from_26,rate_vatRu_till_25),0)</f>
        <v/>
      </c>
      <c r="AP1154" s="193">
        <f>AN1154-AO1154</f>
        <v/>
      </c>
      <c r="AQ1154" s="118">
        <f>IF(offer_sale_type="транзит",SUM(AF1154:AI1154,BA1154,BB1154),0)</f>
        <v/>
      </c>
      <c r="AR1154" s="82">
        <f>HYPERLINK("https://www.alta.ru/tnved/code/")&amp;W1154&amp;"/"</f>
        <v/>
      </c>
      <c r="AS1154" s="157" t="n"/>
      <c r="AT1154" s="162" t="n"/>
      <c r="AU1154" s="76">
        <f>IF(ISBLANK(AT1154),0,AJ1154-AT1154)</f>
        <v/>
      </c>
      <c r="AV1154" s="157" t="n"/>
      <c r="AW1154" s="75">
        <f>_xlfn.IFNA(VLOOKUP(L1154,list_vat[],3,FALSE),0)</f>
        <v/>
      </c>
      <c r="AX1154" s="76">
        <f>IFERROR(ROUND(S1154*(1+AW1154)/E1154,2),0)</f>
        <v/>
      </c>
      <c r="AY1154" s="76">
        <f>E1154*AX1154</f>
        <v/>
      </c>
      <c r="AZ1154" s="192">
        <f>S1154*(1+M1154)</f>
        <v/>
      </c>
      <c r="BA1154" s="76">
        <f>cost_fin_total*$BD1154</f>
        <v/>
      </c>
      <c r="BB1154" s="193">
        <f>credit_sales_interest*BD1154</f>
        <v/>
      </c>
      <c r="BC1154" s="102">
        <f>IFERROR(IF($I$13&gt;0,$I1154/$I$13,$S1154/$S$13),0)</f>
        <v/>
      </c>
      <c r="BD1154" s="102">
        <f>IFERROR($S1154/$S$13,0)</f>
        <v/>
      </c>
      <c r="BE1154" s="413" t="inlineStr">
        <is>
          <t>$</t>
        </is>
      </c>
    </row>
    <row r="1155" ht="12" customFormat="1" customHeight="1" s="65">
      <c r="A1155" s="43" t="n">
        <v>1140</v>
      </c>
      <c r="B1155" s="166" t="n"/>
      <c r="C1155" s="166" t="n"/>
      <c r="D1155" s="166" t="n"/>
      <c r="E1155" s="162" t="n"/>
      <c r="F1155" s="166" t="n"/>
      <c r="G1155" s="162" t="n"/>
      <c r="H1155" s="162" t="n"/>
      <c r="I1155" s="189">
        <f>E1155*G1155</f>
        <v/>
      </c>
      <c r="J1155" s="195" t="n"/>
      <c r="K1155" s="162" t="n"/>
      <c r="L1155" s="168" t="n"/>
      <c r="M1155" s="75">
        <f>_xlfn.XLOOKUP(L1155,list_vat[Страна],list_vat[Ставка НДС %],0,0)</f>
        <v/>
      </c>
      <c r="N1155" s="162">
        <f>IFERROR(IF(L1155="Китай",K1155,K1155/(1+M1155)),0)</f>
        <v/>
      </c>
      <c r="O1155" s="169" t="n"/>
      <c r="P1155" s="76">
        <f>N1155*(1-O1155)</f>
        <v/>
      </c>
      <c r="Q1155" s="162" t="n"/>
      <c r="R1155" s="162">
        <f>IF(ISBLANK(Q1155),"введи курс",P1155/Q1155)</f>
        <v/>
      </c>
      <c r="S1155" s="196">
        <f>IF(AND(ISNUMBER(E1155),ISNUMBER(Q1155)),E1155*R1155,0)</f>
        <v/>
      </c>
      <c r="T1155" s="192">
        <f>$BC1155*V$11</f>
        <v/>
      </c>
      <c r="U1155" s="76">
        <f>$BC1155*W$11</f>
        <v/>
      </c>
      <c r="V1155" s="193">
        <f>+SUM(T1155:U1155)</f>
        <v/>
      </c>
      <c r="W1155" s="191" t="n"/>
      <c r="X1155" s="170" t="n"/>
      <c r="Y1155" s="76">
        <f>ROUND(IF(offer_incoterms="DDP",X1155*(S1155*(1+AW1155)+T1155),0),2)</f>
        <v/>
      </c>
      <c r="Z1155" s="188" t="n"/>
      <c r="AA1155" s="192">
        <f>IFERROR(AB1155/E1155,0)</f>
        <v/>
      </c>
      <c r="AB1155" s="76">
        <f>ROUND(SUM(S1155,V1155,Y1155:Z1155,BA1155:BB1155),2)</f>
        <v/>
      </c>
      <c r="AC1155" s="797" t="n"/>
      <c r="AD1155" s="192">
        <f t="array" ref="AD1155">IFERROR(ROUND((_xlfn.IFS(offer_sale_type="поставка",AB1155,offer_sale_type="транзит",S1155)*(1+AC1155))/E1155,2),0)</f>
        <v/>
      </c>
      <c r="AE1155" s="76">
        <f>AD1155*E1155</f>
        <v/>
      </c>
      <c r="AF1155" s="193">
        <f t="array" ref="AF1155">IFERROR(ROUND(_xlfn.IFS(offer_sale_type="поставка",AB1155,offer_sale_type="транзит",S1155)*AC1155,2),0)</f>
        <v/>
      </c>
      <c r="AG1155" s="192">
        <f>$BD1155*VLOOKUP($AG$3,$AF$4:$AG$7,2,FALSE)</f>
        <v/>
      </c>
      <c r="AH1155" s="76">
        <f>SUM(AE1155,AG1155,AI1155)*rate_forex_risk</f>
        <v/>
      </c>
      <c r="AI1155" s="193">
        <f>IF(OR(seller_region="TR",offer_sale_type="экспорт"),0,rate_fin_comm)*SUM(AZ1155,AZ1155*AW1155,T1155)</f>
        <v/>
      </c>
      <c r="AJ1155" s="118">
        <f>IFERROR(ROUND(SUM(AB1155,AF1155:AI1155)/E1155,2),0)</f>
        <v/>
      </c>
      <c r="AK1155" s="76">
        <f>AJ1155*E1155</f>
        <v/>
      </c>
      <c r="AL1155" s="174">
        <f>ROUND(IFERROR(AM1155*E1155,0),2)</f>
        <v/>
      </c>
      <c r="AM1155" s="175">
        <f>ROUND(AJ1155*(1+IF(offer_incoterms="DDP",IF((TODAY()+offer_turnaround_time)&gt;=helpsheet!$L$17,rate_vatRU_from_26,rate_vatRu_till_25),0)),2)</f>
        <v/>
      </c>
      <c r="AN1155" s="192">
        <f>AL1155-AK1155</f>
        <v/>
      </c>
      <c r="AO1155" s="76">
        <f>SUM(AY1155,Y1155:Z1155,T1155)*IF(AND(offer_incoterms="DDP",offer_sale_type&lt;&gt;"экспорт"),IF((TODAY()+offer_turnaround_time)&gt;=helpsheet!$L$17,rate_vatRU_from_26,rate_vatRu_till_25),0)</f>
        <v/>
      </c>
      <c r="AP1155" s="193">
        <f>AN1155-AO1155</f>
        <v/>
      </c>
      <c r="AQ1155" s="118">
        <f>IF(offer_sale_type="транзит",SUM(AF1155:AI1155,BA1155,BB1155),0)</f>
        <v/>
      </c>
      <c r="AR1155" s="82">
        <f>HYPERLINK("https://www.alta.ru/tnved/code/")&amp;W1155&amp;"/"</f>
        <v/>
      </c>
      <c r="AS1155" s="157" t="n"/>
      <c r="AT1155" s="162" t="n"/>
      <c r="AU1155" s="76">
        <f>IF(ISBLANK(AT1155),0,AJ1155-AT1155)</f>
        <v/>
      </c>
      <c r="AV1155" s="157" t="n"/>
      <c r="AW1155" s="75">
        <f>_xlfn.IFNA(VLOOKUP(L1155,list_vat[],3,FALSE),0)</f>
        <v/>
      </c>
      <c r="AX1155" s="76">
        <f>IFERROR(ROUND(S1155*(1+AW1155)/E1155,2),0)</f>
        <v/>
      </c>
      <c r="AY1155" s="76">
        <f>E1155*AX1155</f>
        <v/>
      </c>
      <c r="AZ1155" s="192">
        <f>S1155*(1+M1155)</f>
        <v/>
      </c>
      <c r="BA1155" s="76">
        <f>cost_fin_total*$BD1155</f>
        <v/>
      </c>
      <c r="BB1155" s="193">
        <f>credit_sales_interest*BD1155</f>
        <v/>
      </c>
      <c r="BC1155" s="102">
        <f>IFERROR(IF($I$13&gt;0,$I1155/$I$13,$S1155/$S$13),0)</f>
        <v/>
      </c>
      <c r="BD1155" s="102">
        <f>IFERROR($S1155/$S$13,0)</f>
        <v/>
      </c>
      <c r="BE1155" s="413" t="inlineStr">
        <is>
          <t>$</t>
        </is>
      </c>
    </row>
    <row r="1156" ht="12" customFormat="1" customHeight="1" s="65">
      <c r="A1156" s="43" t="n">
        <v>1141</v>
      </c>
      <c r="B1156" s="166" t="n"/>
      <c r="C1156" s="166" t="n"/>
      <c r="D1156" s="166" t="n"/>
      <c r="E1156" s="162" t="n"/>
      <c r="F1156" s="166" t="n"/>
      <c r="G1156" s="162" t="n"/>
      <c r="H1156" s="162" t="n"/>
      <c r="I1156" s="189">
        <f>E1156*G1156</f>
        <v/>
      </c>
      <c r="J1156" s="195" t="n"/>
      <c r="K1156" s="162" t="n"/>
      <c r="L1156" s="168" t="n"/>
      <c r="M1156" s="75">
        <f>_xlfn.XLOOKUP(L1156,list_vat[Страна],list_vat[Ставка НДС %],0,0)</f>
        <v/>
      </c>
      <c r="N1156" s="162">
        <f>IFERROR(IF(L1156="Китай",K1156,K1156/(1+M1156)),0)</f>
        <v/>
      </c>
      <c r="O1156" s="169" t="n"/>
      <c r="P1156" s="76">
        <f>N1156*(1-O1156)</f>
        <v/>
      </c>
      <c r="Q1156" s="162" t="n"/>
      <c r="R1156" s="162">
        <f>IF(ISBLANK(Q1156),"введи курс",P1156/Q1156)</f>
        <v/>
      </c>
      <c r="S1156" s="196">
        <f>IF(AND(ISNUMBER(E1156),ISNUMBER(Q1156)),E1156*R1156,0)</f>
        <v/>
      </c>
      <c r="T1156" s="192">
        <f>$BC1156*V$11</f>
        <v/>
      </c>
      <c r="U1156" s="76">
        <f>$BC1156*W$11</f>
        <v/>
      </c>
      <c r="V1156" s="193">
        <f>+SUM(T1156:U1156)</f>
        <v/>
      </c>
      <c r="W1156" s="191" t="n"/>
      <c r="X1156" s="170" t="n"/>
      <c r="Y1156" s="76">
        <f>ROUND(IF(offer_incoterms="DDP",X1156*(S1156*(1+AW1156)+T1156),0),2)</f>
        <v/>
      </c>
      <c r="Z1156" s="188" t="n"/>
      <c r="AA1156" s="192">
        <f>IFERROR(AB1156/E1156,0)</f>
        <v/>
      </c>
      <c r="AB1156" s="76">
        <f>ROUND(SUM(S1156,V1156,Y1156:Z1156,BA1156:BB1156),2)</f>
        <v/>
      </c>
      <c r="AC1156" s="797" t="n"/>
      <c r="AD1156" s="192">
        <f t="array" ref="AD1156">IFERROR(ROUND((_xlfn.IFS(offer_sale_type="поставка",AB1156,offer_sale_type="транзит",S1156)*(1+AC1156))/E1156,2),0)</f>
        <v/>
      </c>
      <c r="AE1156" s="76">
        <f>AD1156*E1156</f>
        <v/>
      </c>
      <c r="AF1156" s="193">
        <f t="array" ref="AF1156">IFERROR(ROUND(_xlfn.IFS(offer_sale_type="поставка",AB1156,offer_sale_type="транзит",S1156)*AC1156,2),0)</f>
        <v/>
      </c>
      <c r="AG1156" s="192">
        <f>$BD1156*VLOOKUP($AG$3,$AF$4:$AG$7,2,FALSE)</f>
        <v/>
      </c>
      <c r="AH1156" s="76">
        <f>SUM(AE1156,AG1156,AI1156)*rate_forex_risk</f>
        <v/>
      </c>
      <c r="AI1156" s="193">
        <f>IF(OR(seller_region="TR",offer_sale_type="экспорт"),0,rate_fin_comm)*SUM(AZ1156,AZ1156*AW1156,T1156)</f>
        <v/>
      </c>
      <c r="AJ1156" s="118">
        <f>IFERROR(ROUND(SUM(AB1156,AF1156:AI1156)/E1156,2),0)</f>
        <v/>
      </c>
      <c r="AK1156" s="76">
        <f>AJ1156*E1156</f>
        <v/>
      </c>
      <c r="AL1156" s="174">
        <f>ROUND(IFERROR(AM1156*E1156,0),2)</f>
        <v/>
      </c>
      <c r="AM1156" s="175">
        <f>ROUND(AJ1156*(1+IF(offer_incoterms="DDP",IF((TODAY()+offer_turnaround_time)&gt;=helpsheet!$L$17,rate_vatRU_from_26,rate_vatRu_till_25),0)),2)</f>
        <v/>
      </c>
      <c r="AN1156" s="192">
        <f>AL1156-AK1156</f>
        <v/>
      </c>
      <c r="AO1156" s="76">
        <f>SUM(AY1156,Y1156:Z1156,T1156)*IF(AND(offer_incoterms="DDP",offer_sale_type&lt;&gt;"экспорт"),IF((TODAY()+offer_turnaround_time)&gt;=helpsheet!$L$17,rate_vatRU_from_26,rate_vatRu_till_25),0)</f>
        <v/>
      </c>
      <c r="AP1156" s="193">
        <f>AN1156-AO1156</f>
        <v/>
      </c>
      <c r="AQ1156" s="118">
        <f>IF(offer_sale_type="транзит",SUM(AF1156:AI1156,BA1156,BB1156),0)</f>
        <v/>
      </c>
      <c r="AR1156" s="82">
        <f>HYPERLINK("https://www.alta.ru/tnved/code/")&amp;W1156&amp;"/"</f>
        <v/>
      </c>
      <c r="AS1156" s="157" t="n"/>
      <c r="AT1156" s="162" t="n"/>
      <c r="AU1156" s="76">
        <f>IF(ISBLANK(AT1156),0,AJ1156-AT1156)</f>
        <v/>
      </c>
      <c r="AV1156" s="157" t="n"/>
      <c r="AW1156" s="75">
        <f>_xlfn.IFNA(VLOOKUP(L1156,list_vat[],3,FALSE),0)</f>
        <v/>
      </c>
      <c r="AX1156" s="76">
        <f>IFERROR(ROUND(S1156*(1+AW1156)/E1156,2),0)</f>
        <v/>
      </c>
      <c r="AY1156" s="76">
        <f>E1156*AX1156</f>
        <v/>
      </c>
      <c r="AZ1156" s="192">
        <f>S1156*(1+M1156)</f>
        <v/>
      </c>
      <c r="BA1156" s="76">
        <f>cost_fin_total*$BD1156</f>
        <v/>
      </c>
      <c r="BB1156" s="193">
        <f>credit_sales_interest*BD1156</f>
        <v/>
      </c>
      <c r="BC1156" s="102">
        <f>IFERROR(IF($I$13&gt;0,$I1156/$I$13,$S1156/$S$13),0)</f>
        <v/>
      </c>
      <c r="BD1156" s="102">
        <f>IFERROR($S1156/$S$13,0)</f>
        <v/>
      </c>
      <c r="BE1156" s="413" t="inlineStr">
        <is>
          <t>$</t>
        </is>
      </c>
    </row>
    <row r="1157" ht="12" customFormat="1" customHeight="1" s="65">
      <c r="A1157" s="43" t="n">
        <v>1142</v>
      </c>
      <c r="B1157" s="166" t="n"/>
      <c r="C1157" s="166" t="n"/>
      <c r="D1157" s="166" t="n"/>
      <c r="E1157" s="162" t="n"/>
      <c r="F1157" s="166" t="n"/>
      <c r="G1157" s="162" t="n"/>
      <c r="H1157" s="162" t="n"/>
      <c r="I1157" s="189">
        <f>E1157*G1157</f>
        <v/>
      </c>
      <c r="J1157" s="195" t="n"/>
      <c r="K1157" s="162" t="n"/>
      <c r="L1157" s="168" t="n"/>
      <c r="M1157" s="75">
        <f>_xlfn.XLOOKUP(L1157,list_vat[Страна],list_vat[Ставка НДС %],0,0)</f>
        <v/>
      </c>
      <c r="N1157" s="162">
        <f>IFERROR(IF(L1157="Китай",K1157,K1157/(1+M1157)),0)</f>
        <v/>
      </c>
      <c r="O1157" s="169" t="n"/>
      <c r="P1157" s="76">
        <f>N1157*(1-O1157)</f>
        <v/>
      </c>
      <c r="Q1157" s="162" t="n"/>
      <c r="R1157" s="162">
        <f>IF(ISBLANK(Q1157),"введи курс",P1157/Q1157)</f>
        <v/>
      </c>
      <c r="S1157" s="196">
        <f>IF(AND(ISNUMBER(E1157),ISNUMBER(Q1157)),E1157*R1157,0)</f>
        <v/>
      </c>
      <c r="T1157" s="192">
        <f>$BC1157*V$11</f>
        <v/>
      </c>
      <c r="U1157" s="76">
        <f>$BC1157*W$11</f>
        <v/>
      </c>
      <c r="V1157" s="193">
        <f>+SUM(T1157:U1157)</f>
        <v/>
      </c>
      <c r="W1157" s="191" t="n"/>
      <c r="X1157" s="170" t="n"/>
      <c r="Y1157" s="76">
        <f>ROUND(IF(offer_incoterms="DDP",X1157*(S1157*(1+AW1157)+T1157),0),2)</f>
        <v/>
      </c>
      <c r="Z1157" s="188" t="n"/>
      <c r="AA1157" s="192">
        <f>IFERROR(AB1157/E1157,0)</f>
        <v/>
      </c>
      <c r="AB1157" s="76">
        <f>ROUND(SUM(S1157,V1157,Y1157:Z1157,BA1157:BB1157),2)</f>
        <v/>
      </c>
      <c r="AC1157" s="797" t="n"/>
      <c r="AD1157" s="192">
        <f t="array" ref="AD1157">IFERROR(ROUND((_xlfn.IFS(offer_sale_type="поставка",AB1157,offer_sale_type="транзит",S1157)*(1+AC1157))/E1157,2),0)</f>
        <v/>
      </c>
      <c r="AE1157" s="76">
        <f>AD1157*E1157</f>
        <v/>
      </c>
      <c r="AF1157" s="193">
        <f t="array" ref="AF1157">IFERROR(ROUND(_xlfn.IFS(offer_sale_type="поставка",AB1157,offer_sale_type="транзит",S1157)*AC1157,2),0)</f>
        <v/>
      </c>
      <c r="AG1157" s="192">
        <f>$BD1157*VLOOKUP($AG$3,$AF$4:$AG$7,2,FALSE)</f>
        <v/>
      </c>
      <c r="AH1157" s="76">
        <f>SUM(AE1157,AG1157,AI1157)*rate_forex_risk</f>
        <v/>
      </c>
      <c r="AI1157" s="193">
        <f>IF(OR(seller_region="TR",offer_sale_type="экспорт"),0,rate_fin_comm)*SUM(AZ1157,AZ1157*AW1157,T1157)</f>
        <v/>
      </c>
      <c r="AJ1157" s="118">
        <f>IFERROR(ROUND(SUM(AB1157,AF1157:AI1157)/E1157,2),0)</f>
        <v/>
      </c>
      <c r="AK1157" s="76">
        <f>AJ1157*E1157</f>
        <v/>
      </c>
      <c r="AL1157" s="174">
        <f>ROUND(IFERROR(AM1157*E1157,0),2)</f>
        <v/>
      </c>
      <c r="AM1157" s="175">
        <f>ROUND(AJ1157*(1+IF(offer_incoterms="DDP",IF((TODAY()+offer_turnaround_time)&gt;=helpsheet!$L$17,rate_vatRU_from_26,rate_vatRu_till_25),0)),2)</f>
        <v/>
      </c>
      <c r="AN1157" s="192">
        <f>AL1157-AK1157</f>
        <v/>
      </c>
      <c r="AO1157" s="76">
        <f>SUM(AY1157,Y1157:Z1157,T1157)*IF(AND(offer_incoterms="DDP",offer_sale_type&lt;&gt;"экспорт"),IF((TODAY()+offer_turnaround_time)&gt;=helpsheet!$L$17,rate_vatRU_from_26,rate_vatRu_till_25),0)</f>
        <v/>
      </c>
      <c r="AP1157" s="193">
        <f>AN1157-AO1157</f>
        <v/>
      </c>
      <c r="AQ1157" s="118">
        <f>IF(offer_sale_type="транзит",SUM(AF1157:AI1157,BA1157,BB1157),0)</f>
        <v/>
      </c>
      <c r="AR1157" s="82">
        <f>HYPERLINK("https://www.alta.ru/tnved/code/")&amp;W1157&amp;"/"</f>
        <v/>
      </c>
      <c r="AS1157" s="157" t="n"/>
      <c r="AT1157" s="162" t="n"/>
      <c r="AU1157" s="76">
        <f>IF(ISBLANK(AT1157),0,AJ1157-AT1157)</f>
        <v/>
      </c>
      <c r="AV1157" s="157" t="n"/>
      <c r="AW1157" s="75">
        <f>_xlfn.IFNA(VLOOKUP(L1157,list_vat[],3,FALSE),0)</f>
        <v/>
      </c>
      <c r="AX1157" s="76">
        <f>IFERROR(ROUND(S1157*(1+AW1157)/E1157,2),0)</f>
        <v/>
      </c>
      <c r="AY1157" s="76">
        <f>E1157*AX1157</f>
        <v/>
      </c>
      <c r="AZ1157" s="192">
        <f>S1157*(1+M1157)</f>
        <v/>
      </c>
      <c r="BA1157" s="76">
        <f>cost_fin_total*$BD1157</f>
        <v/>
      </c>
      <c r="BB1157" s="193">
        <f>credit_sales_interest*BD1157</f>
        <v/>
      </c>
      <c r="BC1157" s="102">
        <f>IFERROR(IF($I$13&gt;0,$I1157/$I$13,$S1157/$S$13),0)</f>
        <v/>
      </c>
      <c r="BD1157" s="102">
        <f>IFERROR($S1157/$S$13,0)</f>
        <v/>
      </c>
      <c r="BE1157" s="413" t="inlineStr">
        <is>
          <t>$</t>
        </is>
      </c>
    </row>
    <row r="1158" ht="12" customFormat="1" customHeight="1" s="65">
      <c r="A1158" s="43" t="n">
        <v>1143</v>
      </c>
      <c r="B1158" s="166" t="n"/>
      <c r="C1158" s="166" t="n"/>
      <c r="D1158" s="166" t="n"/>
      <c r="E1158" s="162" t="n"/>
      <c r="F1158" s="166" t="n"/>
      <c r="G1158" s="162" t="n"/>
      <c r="H1158" s="162" t="n"/>
      <c r="I1158" s="189">
        <f>E1158*G1158</f>
        <v/>
      </c>
      <c r="J1158" s="195" t="n"/>
      <c r="K1158" s="162" t="n"/>
      <c r="L1158" s="168" t="n"/>
      <c r="M1158" s="75">
        <f>_xlfn.XLOOKUP(L1158,list_vat[Страна],list_vat[Ставка НДС %],0,0)</f>
        <v/>
      </c>
      <c r="N1158" s="162">
        <f>IFERROR(IF(L1158="Китай",K1158,K1158/(1+M1158)),0)</f>
        <v/>
      </c>
      <c r="O1158" s="169" t="n"/>
      <c r="P1158" s="76">
        <f>N1158*(1-O1158)</f>
        <v/>
      </c>
      <c r="Q1158" s="162" t="n"/>
      <c r="R1158" s="162">
        <f>IF(ISBLANK(Q1158),"введи курс",P1158/Q1158)</f>
        <v/>
      </c>
      <c r="S1158" s="196">
        <f>IF(AND(ISNUMBER(E1158),ISNUMBER(Q1158)),E1158*R1158,0)</f>
        <v/>
      </c>
      <c r="T1158" s="192">
        <f>$BC1158*V$11</f>
        <v/>
      </c>
      <c r="U1158" s="76">
        <f>$BC1158*W$11</f>
        <v/>
      </c>
      <c r="V1158" s="193">
        <f>+SUM(T1158:U1158)</f>
        <v/>
      </c>
      <c r="W1158" s="191" t="n"/>
      <c r="X1158" s="170" t="n"/>
      <c r="Y1158" s="76">
        <f>ROUND(IF(offer_incoterms="DDP",X1158*(S1158*(1+AW1158)+T1158),0),2)</f>
        <v/>
      </c>
      <c r="Z1158" s="188" t="n"/>
      <c r="AA1158" s="192">
        <f>IFERROR(AB1158/E1158,0)</f>
        <v/>
      </c>
      <c r="AB1158" s="76">
        <f>ROUND(SUM(S1158,V1158,Y1158:Z1158,BA1158:BB1158),2)</f>
        <v/>
      </c>
      <c r="AC1158" s="797" t="n"/>
      <c r="AD1158" s="192">
        <f t="array" ref="AD1158">IFERROR(ROUND((_xlfn.IFS(offer_sale_type="поставка",AB1158,offer_sale_type="транзит",S1158)*(1+AC1158))/E1158,2),0)</f>
        <v/>
      </c>
      <c r="AE1158" s="76">
        <f>AD1158*E1158</f>
        <v/>
      </c>
      <c r="AF1158" s="193">
        <f t="array" ref="AF1158">IFERROR(ROUND(_xlfn.IFS(offer_sale_type="поставка",AB1158,offer_sale_type="транзит",S1158)*AC1158,2),0)</f>
        <v/>
      </c>
      <c r="AG1158" s="192">
        <f>$BD1158*VLOOKUP($AG$3,$AF$4:$AG$7,2,FALSE)</f>
        <v/>
      </c>
      <c r="AH1158" s="76">
        <f>SUM(AE1158,AG1158,AI1158)*rate_forex_risk</f>
        <v/>
      </c>
      <c r="AI1158" s="193">
        <f>IF(OR(seller_region="TR",offer_sale_type="экспорт"),0,rate_fin_comm)*SUM(AZ1158,AZ1158*AW1158,T1158)</f>
        <v/>
      </c>
      <c r="AJ1158" s="118">
        <f>IFERROR(ROUND(SUM(AB1158,AF1158:AI1158)/E1158,2),0)</f>
        <v/>
      </c>
      <c r="AK1158" s="76">
        <f>AJ1158*E1158</f>
        <v/>
      </c>
      <c r="AL1158" s="174">
        <f>ROUND(IFERROR(AM1158*E1158,0),2)</f>
        <v/>
      </c>
      <c r="AM1158" s="175">
        <f>ROUND(AJ1158*(1+IF(offer_incoterms="DDP",IF((TODAY()+offer_turnaround_time)&gt;=helpsheet!$L$17,rate_vatRU_from_26,rate_vatRu_till_25),0)),2)</f>
        <v/>
      </c>
      <c r="AN1158" s="192">
        <f>AL1158-AK1158</f>
        <v/>
      </c>
      <c r="AO1158" s="76">
        <f>SUM(AY1158,Y1158:Z1158,T1158)*IF(AND(offer_incoterms="DDP",offer_sale_type&lt;&gt;"экспорт"),IF((TODAY()+offer_turnaround_time)&gt;=helpsheet!$L$17,rate_vatRU_from_26,rate_vatRu_till_25),0)</f>
        <v/>
      </c>
      <c r="AP1158" s="193">
        <f>AN1158-AO1158</f>
        <v/>
      </c>
      <c r="AQ1158" s="118">
        <f>IF(offer_sale_type="транзит",SUM(AF1158:AI1158,BA1158,BB1158),0)</f>
        <v/>
      </c>
      <c r="AR1158" s="82">
        <f>HYPERLINK("https://www.alta.ru/tnved/code/")&amp;W1158&amp;"/"</f>
        <v/>
      </c>
      <c r="AS1158" s="157" t="n"/>
      <c r="AT1158" s="162" t="n"/>
      <c r="AU1158" s="76">
        <f>IF(ISBLANK(AT1158),0,AJ1158-AT1158)</f>
        <v/>
      </c>
      <c r="AV1158" s="157" t="n"/>
      <c r="AW1158" s="75">
        <f>_xlfn.IFNA(VLOOKUP(L1158,list_vat[],3,FALSE),0)</f>
        <v/>
      </c>
      <c r="AX1158" s="76">
        <f>IFERROR(ROUND(S1158*(1+AW1158)/E1158,2),0)</f>
        <v/>
      </c>
      <c r="AY1158" s="76">
        <f>E1158*AX1158</f>
        <v/>
      </c>
      <c r="AZ1158" s="192">
        <f>S1158*(1+M1158)</f>
        <v/>
      </c>
      <c r="BA1158" s="76">
        <f>cost_fin_total*$BD1158</f>
        <v/>
      </c>
      <c r="BB1158" s="193">
        <f>credit_sales_interest*BD1158</f>
        <v/>
      </c>
      <c r="BC1158" s="102">
        <f>IFERROR(IF($I$13&gt;0,$I1158/$I$13,$S1158/$S$13),0)</f>
        <v/>
      </c>
      <c r="BD1158" s="102">
        <f>IFERROR($S1158/$S$13,0)</f>
        <v/>
      </c>
      <c r="BE1158" s="413" t="inlineStr">
        <is>
          <t>$</t>
        </is>
      </c>
    </row>
    <row r="1159" ht="12" customFormat="1" customHeight="1" s="65">
      <c r="A1159" s="43" t="n">
        <v>1144</v>
      </c>
      <c r="B1159" s="166" t="n"/>
      <c r="C1159" s="166" t="n"/>
      <c r="D1159" s="166" t="n"/>
      <c r="E1159" s="162" t="n"/>
      <c r="F1159" s="166" t="n"/>
      <c r="G1159" s="162" t="n"/>
      <c r="H1159" s="162" t="n"/>
      <c r="I1159" s="189">
        <f>E1159*G1159</f>
        <v/>
      </c>
      <c r="J1159" s="195" t="n"/>
      <c r="K1159" s="162" t="n"/>
      <c r="L1159" s="168" t="n"/>
      <c r="M1159" s="75">
        <f>_xlfn.XLOOKUP(L1159,list_vat[Страна],list_vat[Ставка НДС %],0,0)</f>
        <v/>
      </c>
      <c r="N1159" s="162">
        <f>IFERROR(IF(L1159="Китай",K1159,K1159/(1+M1159)),0)</f>
        <v/>
      </c>
      <c r="O1159" s="169" t="n"/>
      <c r="P1159" s="76">
        <f>N1159*(1-O1159)</f>
        <v/>
      </c>
      <c r="Q1159" s="162" t="n"/>
      <c r="R1159" s="162">
        <f>IF(ISBLANK(Q1159),"введи курс",P1159/Q1159)</f>
        <v/>
      </c>
      <c r="S1159" s="196">
        <f>IF(AND(ISNUMBER(E1159),ISNUMBER(Q1159)),E1159*R1159,0)</f>
        <v/>
      </c>
      <c r="T1159" s="192">
        <f>$BC1159*V$11</f>
        <v/>
      </c>
      <c r="U1159" s="76">
        <f>$BC1159*W$11</f>
        <v/>
      </c>
      <c r="V1159" s="193">
        <f>+SUM(T1159:U1159)</f>
        <v/>
      </c>
      <c r="W1159" s="191" t="n"/>
      <c r="X1159" s="170" t="n"/>
      <c r="Y1159" s="76">
        <f>ROUND(IF(offer_incoterms="DDP",X1159*(S1159*(1+AW1159)+T1159),0),2)</f>
        <v/>
      </c>
      <c r="Z1159" s="188" t="n"/>
      <c r="AA1159" s="192">
        <f>IFERROR(AB1159/E1159,0)</f>
        <v/>
      </c>
      <c r="AB1159" s="76">
        <f>ROUND(SUM(S1159,V1159,Y1159:Z1159,BA1159:BB1159),2)</f>
        <v/>
      </c>
      <c r="AC1159" s="797" t="n"/>
      <c r="AD1159" s="192">
        <f t="array" ref="AD1159">IFERROR(ROUND((_xlfn.IFS(offer_sale_type="поставка",AB1159,offer_sale_type="транзит",S1159)*(1+AC1159))/E1159,2),0)</f>
        <v/>
      </c>
      <c r="AE1159" s="76">
        <f>AD1159*E1159</f>
        <v/>
      </c>
      <c r="AF1159" s="193">
        <f t="array" ref="AF1159">IFERROR(ROUND(_xlfn.IFS(offer_sale_type="поставка",AB1159,offer_sale_type="транзит",S1159)*AC1159,2),0)</f>
        <v/>
      </c>
      <c r="AG1159" s="192">
        <f>$BD1159*VLOOKUP($AG$3,$AF$4:$AG$7,2,FALSE)</f>
        <v/>
      </c>
      <c r="AH1159" s="76">
        <f>SUM(AE1159,AG1159,AI1159)*rate_forex_risk</f>
        <v/>
      </c>
      <c r="AI1159" s="193">
        <f>IF(OR(seller_region="TR",offer_sale_type="экспорт"),0,rate_fin_comm)*SUM(AZ1159,AZ1159*AW1159,T1159)</f>
        <v/>
      </c>
      <c r="AJ1159" s="118">
        <f>IFERROR(ROUND(SUM(AB1159,AF1159:AI1159)/E1159,2),0)</f>
        <v/>
      </c>
      <c r="AK1159" s="76">
        <f>AJ1159*E1159</f>
        <v/>
      </c>
      <c r="AL1159" s="174">
        <f>ROUND(IFERROR(AM1159*E1159,0),2)</f>
        <v/>
      </c>
      <c r="AM1159" s="175">
        <f>ROUND(AJ1159*(1+IF(offer_incoterms="DDP",IF((TODAY()+offer_turnaround_time)&gt;=helpsheet!$L$17,rate_vatRU_from_26,rate_vatRu_till_25),0)),2)</f>
        <v/>
      </c>
      <c r="AN1159" s="192">
        <f>AL1159-AK1159</f>
        <v/>
      </c>
      <c r="AO1159" s="76">
        <f>SUM(AY1159,Y1159:Z1159,T1159)*IF(AND(offer_incoterms="DDP",offer_sale_type&lt;&gt;"экспорт"),IF((TODAY()+offer_turnaround_time)&gt;=helpsheet!$L$17,rate_vatRU_from_26,rate_vatRu_till_25),0)</f>
        <v/>
      </c>
      <c r="AP1159" s="193">
        <f>AN1159-AO1159</f>
        <v/>
      </c>
      <c r="AQ1159" s="118">
        <f>IF(offer_sale_type="транзит",SUM(AF1159:AI1159,BA1159,BB1159),0)</f>
        <v/>
      </c>
      <c r="AR1159" s="82">
        <f>HYPERLINK("https://www.alta.ru/tnved/code/")&amp;W1159&amp;"/"</f>
        <v/>
      </c>
      <c r="AS1159" s="157" t="n"/>
      <c r="AT1159" s="162" t="n"/>
      <c r="AU1159" s="76">
        <f>IF(ISBLANK(AT1159),0,AJ1159-AT1159)</f>
        <v/>
      </c>
      <c r="AV1159" s="157" t="n"/>
      <c r="AW1159" s="75">
        <f>_xlfn.IFNA(VLOOKUP(L1159,list_vat[],3,FALSE),0)</f>
        <v/>
      </c>
      <c r="AX1159" s="76">
        <f>IFERROR(ROUND(S1159*(1+AW1159)/E1159,2),0)</f>
        <v/>
      </c>
      <c r="AY1159" s="76">
        <f>E1159*AX1159</f>
        <v/>
      </c>
      <c r="AZ1159" s="192">
        <f>S1159*(1+M1159)</f>
        <v/>
      </c>
      <c r="BA1159" s="76">
        <f>cost_fin_total*$BD1159</f>
        <v/>
      </c>
      <c r="BB1159" s="193">
        <f>credit_sales_interest*BD1159</f>
        <v/>
      </c>
      <c r="BC1159" s="102">
        <f>IFERROR(IF($I$13&gt;0,$I1159/$I$13,$S1159/$S$13),0)</f>
        <v/>
      </c>
      <c r="BD1159" s="102">
        <f>IFERROR($S1159/$S$13,0)</f>
        <v/>
      </c>
      <c r="BE1159" s="413" t="inlineStr">
        <is>
          <t>$</t>
        </is>
      </c>
    </row>
    <row r="1160" ht="12" customFormat="1" customHeight="1" s="65">
      <c r="A1160" s="43" t="n">
        <v>1145</v>
      </c>
      <c r="B1160" s="166" t="n"/>
      <c r="C1160" s="166" t="n"/>
      <c r="D1160" s="166" t="n"/>
      <c r="E1160" s="162" t="n"/>
      <c r="F1160" s="166" t="n"/>
      <c r="G1160" s="162" t="n"/>
      <c r="H1160" s="162" t="n"/>
      <c r="I1160" s="189">
        <f>E1160*G1160</f>
        <v/>
      </c>
      <c r="J1160" s="195" t="n"/>
      <c r="K1160" s="162" t="n"/>
      <c r="L1160" s="168" t="n"/>
      <c r="M1160" s="75">
        <f>_xlfn.XLOOKUP(L1160,list_vat[Страна],list_vat[Ставка НДС %],0,0)</f>
        <v/>
      </c>
      <c r="N1160" s="162">
        <f>IFERROR(IF(L1160="Китай",K1160,K1160/(1+M1160)),0)</f>
        <v/>
      </c>
      <c r="O1160" s="169" t="n"/>
      <c r="P1160" s="76">
        <f>N1160*(1-O1160)</f>
        <v/>
      </c>
      <c r="Q1160" s="162" t="n"/>
      <c r="R1160" s="162">
        <f>IF(ISBLANK(Q1160),"введи курс",P1160/Q1160)</f>
        <v/>
      </c>
      <c r="S1160" s="196">
        <f>IF(AND(ISNUMBER(E1160),ISNUMBER(Q1160)),E1160*R1160,0)</f>
        <v/>
      </c>
      <c r="T1160" s="192">
        <f>$BC1160*V$11</f>
        <v/>
      </c>
      <c r="U1160" s="76">
        <f>$BC1160*W$11</f>
        <v/>
      </c>
      <c r="V1160" s="193">
        <f>+SUM(T1160:U1160)</f>
        <v/>
      </c>
      <c r="W1160" s="191" t="n"/>
      <c r="X1160" s="170" t="n"/>
      <c r="Y1160" s="76">
        <f>ROUND(IF(offer_incoterms="DDP",X1160*(S1160*(1+AW1160)+T1160),0),2)</f>
        <v/>
      </c>
      <c r="Z1160" s="188" t="n"/>
      <c r="AA1160" s="192">
        <f>IFERROR(AB1160/E1160,0)</f>
        <v/>
      </c>
      <c r="AB1160" s="76">
        <f>ROUND(SUM(S1160,V1160,Y1160:Z1160,BA1160:BB1160),2)</f>
        <v/>
      </c>
      <c r="AC1160" s="797" t="n"/>
      <c r="AD1160" s="192">
        <f t="array" ref="AD1160">IFERROR(ROUND((_xlfn.IFS(offer_sale_type="поставка",AB1160,offer_sale_type="транзит",S1160)*(1+AC1160))/E1160,2),0)</f>
        <v/>
      </c>
      <c r="AE1160" s="76">
        <f>AD1160*E1160</f>
        <v/>
      </c>
      <c r="AF1160" s="193">
        <f t="array" ref="AF1160">IFERROR(ROUND(_xlfn.IFS(offer_sale_type="поставка",AB1160,offer_sale_type="транзит",S1160)*AC1160,2),0)</f>
        <v/>
      </c>
      <c r="AG1160" s="192">
        <f>$BD1160*VLOOKUP($AG$3,$AF$4:$AG$7,2,FALSE)</f>
        <v/>
      </c>
      <c r="AH1160" s="76">
        <f>SUM(AE1160,AG1160,AI1160)*rate_forex_risk</f>
        <v/>
      </c>
      <c r="AI1160" s="193">
        <f>IF(OR(seller_region="TR",offer_sale_type="экспорт"),0,rate_fin_comm)*SUM(AZ1160,AZ1160*AW1160,T1160)</f>
        <v/>
      </c>
      <c r="AJ1160" s="118">
        <f>IFERROR(ROUND(SUM(AB1160,AF1160:AI1160)/E1160,2),0)</f>
        <v/>
      </c>
      <c r="AK1160" s="76">
        <f>AJ1160*E1160</f>
        <v/>
      </c>
      <c r="AL1160" s="174">
        <f>ROUND(IFERROR(AM1160*E1160,0),2)</f>
        <v/>
      </c>
      <c r="AM1160" s="175">
        <f>ROUND(AJ1160*(1+IF(offer_incoterms="DDP",IF((TODAY()+offer_turnaround_time)&gt;=helpsheet!$L$17,rate_vatRU_from_26,rate_vatRu_till_25),0)),2)</f>
        <v/>
      </c>
      <c r="AN1160" s="192">
        <f>AL1160-AK1160</f>
        <v/>
      </c>
      <c r="AO1160" s="76">
        <f>SUM(AY1160,Y1160:Z1160,T1160)*IF(AND(offer_incoterms="DDP",offer_sale_type&lt;&gt;"экспорт"),IF((TODAY()+offer_turnaround_time)&gt;=helpsheet!$L$17,rate_vatRU_from_26,rate_vatRu_till_25),0)</f>
        <v/>
      </c>
      <c r="AP1160" s="193">
        <f>AN1160-AO1160</f>
        <v/>
      </c>
      <c r="AQ1160" s="118">
        <f>IF(offer_sale_type="транзит",SUM(AF1160:AI1160,BA1160,BB1160),0)</f>
        <v/>
      </c>
      <c r="AR1160" s="82">
        <f>HYPERLINK("https://www.alta.ru/tnved/code/")&amp;W1160&amp;"/"</f>
        <v/>
      </c>
      <c r="AS1160" s="157" t="n"/>
      <c r="AT1160" s="162" t="n"/>
      <c r="AU1160" s="76">
        <f>IF(ISBLANK(AT1160),0,AJ1160-AT1160)</f>
        <v/>
      </c>
      <c r="AV1160" s="157" t="n"/>
      <c r="AW1160" s="75">
        <f>_xlfn.IFNA(VLOOKUP(L1160,list_vat[],3,FALSE),0)</f>
        <v/>
      </c>
      <c r="AX1160" s="76">
        <f>IFERROR(ROUND(S1160*(1+AW1160)/E1160,2),0)</f>
        <v/>
      </c>
      <c r="AY1160" s="76">
        <f>E1160*AX1160</f>
        <v/>
      </c>
      <c r="AZ1160" s="192">
        <f>S1160*(1+M1160)</f>
        <v/>
      </c>
      <c r="BA1160" s="76">
        <f>cost_fin_total*$BD1160</f>
        <v/>
      </c>
      <c r="BB1160" s="193">
        <f>credit_sales_interest*BD1160</f>
        <v/>
      </c>
      <c r="BC1160" s="102">
        <f>IFERROR(IF($I$13&gt;0,$I1160/$I$13,$S1160/$S$13),0)</f>
        <v/>
      </c>
      <c r="BD1160" s="102">
        <f>IFERROR($S1160/$S$13,0)</f>
        <v/>
      </c>
      <c r="BE1160" s="413" t="inlineStr">
        <is>
          <t>$</t>
        </is>
      </c>
    </row>
    <row r="1161" ht="12" customFormat="1" customHeight="1" s="65">
      <c r="A1161" s="43" t="n">
        <v>1146</v>
      </c>
      <c r="B1161" s="166" t="n"/>
      <c r="C1161" s="166" t="n"/>
      <c r="D1161" s="166" t="n"/>
      <c r="E1161" s="162" t="n"/>
      <c r="F1161" s="166" t="n"/>
      <c r="G1161" s="162" t="n"/>
      <c r="H1161" s="162" t="n"/>
      <c r="I1161" s="189">
        <f>E1161*G1161</f>
        <v/>
      </c>
      <c r="J1161" s="195" t="n"/>
      <c r="K1161" s="162" t="n"/>
      <c r="L1161" s="168" t="n"/>
      <c r="M1161" s="75">
        <f>_xlfn.XLOOKUP(L1161,list_vat[Страна],list_vat[Ставка НДС %],0,0)</f>
        <v/>
      </c>
      <c r="N1161" s="162">
        <f>IFERROR(IF(L1161="Китай",K1161,K1161/(1+M1161)),0)</f>
        <v/>
      </c>
      <c r="O1161" s="169" t="n"/>
      <c r="P1161" s="76">
        <f>N1161*(1-O1161)</f>
        <v/>
      </c>
      <c r="Q1161" s="162" t="n"/>
      <c r="R1161" s="162">
        <f>IF(ISBLANK(Q1161),"введи курс",P1161/Q1161)</f>
        <v/>
      </c>
      <c r="S1161" s="196">
        <f>IF(AND(ISNUMBER(E1161),ISNUMBER(Q1161)),E1161*R1161,0)</f>
        <v/>
      </c>
      <c r="T1161" s="192">
        <f>$BC1161*V$11</f>
        <v/>
      </c>
      <c r="U1161" s="76">
        <f>$BC1161*W$11</f>
        <v/>
      </c>
      <c r="V1161" s="193">
        <f>+SUM(T1161:U1161)</f>
        <v/>
      </c>
      <c r="W1161" s="191" t="n"/>
      <c r="X1161" s="170" t="n"/>
      <c r="Y1161" s="76">
        <f>ROUND(IF(offer_incoterms="DDP",X1161*(S1161*(1+AW1161)+T1161),0),2)</f>
        <v/>
      </c>
      <c r="Z1161" s="188" t="n"/>
      <c r="AA1161" s="192">
        <f>IFERROR(AB1161/E1161,0)</f>
        <v/>
      </c>
      <c r="AB1161" s="76">
        <f>ROUND(SUM(S1161,V1161,Y1161:Z1161,BA1161:BB1161),2)</f>
        <v/>
      </c>
      <c r="AC1161" s="797" t="n"/>
      <c r="AD1161" s="192">
        <f t="array" ref="AD1161">IFERROR(ROUND((_xlfn.IFS(offer_sale_type="поставка",AB1161,offer_sale_type="транзит",S1161)*(1+AC1161))/E1161,2),0)</f>
        <v/>
      </c>
      <c r="AE1161" s="76">
        <f>AD1161*E1161</f>
        <v/>
      </c>
      <c r="AF1161" s="193">
        <f t="array" ref="AF1161">IFERROR(ROUND(_xlfn.IFS(offer_sale_type="поставка",AB1161,offer_sale_type="транзит",S1161)*AC1161,2),0)</f>
        <v/>
      </c>
      <c r="AG1161" s="192">
        <f>$BD1161*VLOOKUP($AG$3,$AF$4:$AG$7,2,FALSE)</f>
        <v/>
      </c>
      <c r="AH1161" s="76">
        <f>SUM(AE1161,AG1161,AI1161)*rate_forex_risk</f>
        <v/>
      </c>
      <c r="AI1161" s="193">
        <f>IF(OR(seller_region="TR",offer_sale_type="экспорт"),0,rate_fin_comm)*SUM(AZ1161,AZ1161*AW1161,T1161)</f>
        <v/>
      </c>
      <c r="AJ1161" s="118">
        <f>IFERROR(ROUND(SUM(AB1161,AF1161:AI1161)/E1161,2),0)</f>
        <v/>
      </c>
      <c r="AK1161" s="76">
        <f>AJ1161*E1161</f>
        <v/>
      </c>
      <c r="AL1161" s="174">
        <f>ROUND(IFERROR(AM1161*E1161,0),2)</f>
        <v/>
      </c>
      <c r="AM1161" s="175">
        <f>ROUND(AJ1161*(1+IF(offer_incoterms="DDP",IF((TODAY()+offer_turnaround_time)&gt;=helpsheet!$L$17,rate_vatRU_from_26,rate_vatRu_till_25),0)),2)</f>
        <v/>
      </c>
      <c r="AN1161" s="192">
        <f>AL1161-AK1161</f>
        <v/>
      </c>
      <c r="AO1161" s="76">
        <f>SUM(AY1161,Y1161:Z1161,T1161)*IF(AND(offer_incoterms="DDP",offer_sale_type&lt;&gt;"экспорт"),IF((TODAY()+offer_turnaround_time)&gt;=helpsheet!$L$17,rate_vatRU_from_26,rate_vatRu_till_25),0)</f>
        <v/>
      </c>
      <c r="AP1161" s="193">
        <f>AN1161-AO1161</f>
        <v/>
      </c>
      <c r="AQ1161" s="118">
        <f>IF(offer_sale_type="транзит",SUM(AF1161:AI1161,BA1161,BB1161),0)</f>
        <v/>
      </c>
      <c r="AR1161" s="82">
        <f>HYPERLINK("https://www.alta.ru/tnved/code/")&amp;W1161&amp;"/"</f>
        <v/>
      </c>
      <c r="AS1161" s="157" t="n"/>
      <c r="AT1161" s="162" t="n"/>
      <c r="AU1161" s="76">
        <f>IF(ISBLANK(AT1161),0,AJ1161-AT1161)</f>
        <v/>
      </c>
      <c r="AV1161" s="157" t="n"/>
      <c r="AW1161" s="75">
        <f>_xlfn.IFNA(VLOOKUP(L1161,list_vat[],3,FALSE),0)</f>
        <v/>
      </c>
      <c r="AX1161" s="76">
        <f>IFERROR(ROUND(S1161*(1+AW1161)/E1161,2),0)</f>
        <v/>
      </c>
      <c r="AY1161" s="76">
        <f>E1161*AX1161</f>
        <v/>
      </c>
      <c r="AZ1161" s="192">
        <f>S1161*(1+M1161)</f>
        <v/>
      </c>
      <c r="BA1161" s="76">
        <f>cost_fin_total*$BD1161</f>
        <v/>
      </c>
      <c r="BB1161" s="193">
        <f>credit_sales_interest*BD1161</f>
        <v/>
      </c>
      <c r="BC1161" s="102">
        <f>IFERROR(IF($I$13&gt;0,$I1161/$I$13,$S1161/$S$13),0)</f>
        <v/>
      </c>
      <c r="BD1161" s="102">
        <f>IFERROR($S1161/$S$13,0)</f>
        <v/>
      </c>
      <c r="BE1161" s="413" t="inlineStr">
        <is>
          <t>$</t>
        </is>
      </c>
    </row>
    <row r="1162" ht="12" customFormat="1" customHeight="1" s="65">
      <c r="A1162" s="43" t="n">
        <v>1147</v>
      </c>
      <c r="B1162" s="166" t="n"/>
      <c r="C1162" s="166" t="n"/>
      <c r="D1162" s="166" t="n"/>
      <c r="E1162" s="162" t="n"/>
      <c r="F1162" s="166" t="n"/>
      <c r="G1162" s="162" t="n"/>
      <c r="H1162" s="162" t="n"/>
      <c r="I1162" s="189">
        <f>E1162*G1162</f>
        <v/>
      </c>
      <c r="J1162" s="195" t="n"/>
      <c r="K1162" s="162" t="n"/>
      <c r="L1162" s="168" t="n"/>
      <c r="M1162" s="75">
        <f>_xlfn.XLOOKUP(L1162,list_vat[Страна],list_vat[Ставка НДС %],0,0)</f>
        <v/>
      </c>
      <c r="N1162" s="162">
        <f>IFERROR(IF(L1162="Китай",K1162,K1162/(1+M1162)),0)</f>
        <v/>
      </c>
      <c r="O1162" s="169" t="n"/>
      <c r="P1162" s="76">
        <f>N1162*(1-O1162)</f>
        <v/>
      </c>
      <c r="Q1162" s="162" t="n"/>
      <c r="R1162" s="162">
        <f>IF(ISBLANK(Q1162),"введи курс",P1162/Q1162)</f>
        <v/>
      </c>
      <c r="S1162" s="196">
        <f>IF(AND(ISNUMBER(E1162),ISNUMBER(Q1162)),E1162*R1162,0)</f>
        <v/>
      </c>
      <c r="T1162" s="192">
        <f>$BC1162*V$11</f>
        <v/>
      </c>
      <c r="U1162" s="76">
        <f>$BC1162*W$11</f>
        <v/>
      </c>
      <c r="V1162" s="193">
        <f>+SUM(T1162:U1162)</f>
        <v/>
      </c>
      <c r="W1162" s="191" t="n"/>
      <c r="X1162" s="170" t="n"/>
      <c r="Y1162" s="76">
        <f>ROUND(IF(offer_incoterms="DDP",X1162*(S1162*(1+AW1162)+T1162),0),2)</f>
        <v/>
      </c>
      <c r="Z1162" s="188" t="n"/>
      <c r="AA1162" s="192">
        <f>IFERROR(AB1162/E1162,0)</f>
        <v/>
      </c>
      <c r="AB1162" s="76">
        <f>ROUND(SUM(S1162,V1162,Y1162:Z1162,BA1162:BB1162),2)</f>
        <v/>
      </c>
      <c r="AC1162" s="797" t="n"/>
      <c r="AD1162" s="192">
        <f t="array" ref="AD1162">IFERROR(ROUND((_xlfn.IFS(offer_sale_type="поставка",AB1162,offer_sale_type="транзит",S1162)*(1+AC1162))/E1162,2),0)</f>
        <v/>
      </c>
      <c r="AE1162" s="76">
        <f>AD1162*E1162</f>
        <v/>
      </c>
      <c r="AF1162" s="193">
        <f t="array" ref="AF1162">IFERROR(ROUND(_xlfn.IFS(offer_sale_type="поставка",AB1162,offer_sale_type="транзит",S1162)*AC1162,2),0)</f>
        <v/>
      </c>
      <c r="AG1162" s="192">
        <f>$BD1162*VLOOKUP($AG$3,$AF$4:$AG$7,2,FALSE)</f>
        <v/>
      </c>
      <c r="AH1162" s="76">
        <f>SUM(AE1162,AG1162,AI1162)*rate_forex_risk</f>
        <v/>
      </c>
      <c r="AI1162" s="193">
        <f>IF(OR(seller_region="TR",offer_sale_type="экспорт"),0,rate_fin_comm)*SUM(AZ1162,AZ1162*AW1162,T1162)</f>
        <v/>
      </c>
      <c r="AJ1162" s="118">
        <f>IFERROR(ROUND(SUM(AB1162,AF1162:AI1162)/E1162,2),0)</f>
        <v/>
      </c>
      <c r="AK1162" s="76">
        <f>AJ1162*E1162</f>
        <v/>
      </c>
      <c r="AL1162" s="174">
        <f>ROUND(IFERROR(AM1162*E1162,0),2)</f>
        <v/>
      </c>
      <c r="AM1162" s="175">
        <f>ROUND(AJ1162*(1+IF(offer_incoterms="DDP",IF((TODAY()+offer_turnaround_time)&gt;=helpsheet!$L$17,rate_vatRU_from_26,rate_vatRu_till_25),0)),2)</f>
        <v/>
      </c>
      <c r="AN1162" s="192">
        <f>AL1162-AK1162</f>
        <v/>
      </c>
      <c r="AO1162" s="76">
        <f>SUM(AY1162,Y1162:Z1162,T1162)*IF(AND(offer_incoterms="DDP",offer_sale_type&lt;&gt;"экспорт"),IF((TODAY()+offer_turnaround_time)&gt;=helpsheet!$L$17,rate_vatRU_from_26,rate_vatRu_till_25),0)</f>
        <v/>
      </c>
      <c r="AP1162" s="193">
        <f>AN1162-AO1162</f>
        <v/>
      </c>
      <c r="AQ1162" s="118">
        <f>IF(offer_sale_type="транзит",SUM(AF1162:AI1162,BA1162,BB1162),0)</f>
        <v/>
      </c>
      <c r="AR1162" s="82">
        <f>HYPERLINK("https://www.alta.ru/tnved/code/")&amp;W1162&amp;"/"</f>
        <v/>
      </c>
      <c r="AS1162" s="157" t="n"/>
      <c r="AT1162" s="162" t="n"/>
      <c r="AU1162" s="76">
        <f>IF(ISBLANK(AT1162),0,AJ1162-AT1162)</f>
        <v/>
      </c>
      <c r="AV1162" s="157" t="n"/>
      <c r="AW1162" s="75">
        <f>_xlfn.IFNA(VLOOKUP(L1162,list_vat[],3,FALSE),0)</f>
        <v/>
      </c>
      <c r="AX1162" s="76">
        <f>IFERROR(ROUND(S1162*(1+AW1162)/E1162,2),0)</f>
        <v/>
      </c>
      <c r="AY1162" s="76">
        <f>E1162*AX1162</f>
        <v/>
      </c>
      <c r="AZ1162" s="192">
        <f>S1162*(1+M1162)</f>
        <v/>
      </c>
      <c r="BA1162" s="76">
        <f>cost_fin_total*$BD1162</f>
        <v/>
      </c>
      <c r="BB1162" s="193">
        <f>credit_sales_interest*BD1162</f>
        <v/>
      </c>
      <c r="BC1162" s="102">
        <f>IFERROR(IF($I$13&gt;0,$I1162/$I$13,$S1162/$S$13),0)</f>
        <v/>
      </c>
      <c r="BD1162" s="102">
        <f>IFERROR($S1162/$S$13,0)</f>
        <v/>
      </c>
      <c r="BE1162" s="413" t="inlineStr">
        <is>
          <t>$</t>
        </is>
      </c>
    </row>
    <row r="1163" ht="12" customFormat="1" customHeight="1" s="65">
      <c r="A1163" s="43" t="n">
        <v>1148</v>
      </c>
      <c r="B1163" s="166" t="n"/>
      <c r="C1163" s="166" t="n"/>
      <c r="D1163" s="166" t="n"/>
      <c r="E1163" s="162" t="n"/>
      <c r="F1163" s="166" t="n"/>
      <c r="G1163" s="162" t="n"/>
      <c r="H1163" s="162" t="n"/>
      <c r="I1163" s="189">
        <f>E1163*G1163</f>
        <v/>
      </c>
      <c r="J1163" s="195" t="n"/>
      <c r="K1163" s="162" t="n"/>
      <c r="L1163" s="168" t="n"/>
      <c r="M1163" s="75">
        <f>_xlfn.XLOOKUP(L1163,list_vat[Страна],list_vat[Ставка НДС %],0,0)</f>
        <v/>
      </c>
      <c r="N1163" s="162">
        <f>IFERROR(IF(L1163="Китай",K1163,K1163/(1+M1163)),0)</f>
        <v/>
      </c>
      <c r="O1163" s="169" t="n"/>
      <c r="P1163" s="76">
        <f>N1163*(1-O1163)</f>
        <v/>
      </c>
      <c r="Q1163" s="162" t="n"/>
      <c r="R1163" s="162">
        <f>IF(ISBLANK(Q1163),"введи курс",P1163/Q1163)</f>
        <v/>
      </c>
      <c r="S1163" s="196">
        <f>IF(AND(ISNUMBER(E1163),ISNUMBER(Q1163)),E1163*R1163,0)</f>
        <v/>
      </c>
      <c r="T1163" s="192">
        <f>$BC1163*V$11</f>
        <v/>
      </c>
      <c r="U1163" s="76">
        <f>$BC1163*W$11</f>
        <v/>
      </c>
      <c r="V1163" s="193">
        <f>+SUM(T1163:U1163)</f>
        <v/>
      </c>
      <c r="W1163" s="191" t="n"/>
      <c r="X1163" s="170" t="n"/>
      <c r="Y1163" s="76">
        <f>ROUND(IF(offer_incoterms="DDP",X1163*(S1163*(1+AW1163)+T1163),0),2)</f>
        <v/>
      </c>
      <c r="Z1163" s="188" t="n"/>
      <c r="AA1163" s="192">
        <f>IFERROR(AB1163/E1163,0)</f>
        <v/>
      </c>
      <c r="AB1163" s="76">
        <f>ROUND(SUM(S1163,V1163,Y1163:Z1163,BA1163:BB1163),2)</f>
        <v/>
      </c>
      <c r="AC1163" s="797" t="n"/>
      <c r="AD1163" s="192">
        <f t="array" ref="AD1163">IFERROR(ROUND((_xlfn.IFS(offer_sale_type="поставка",AB1163,offer_sale_type="транзит",S1163)*(1+AC1163))/E1163,2),0)</f>
        <v/>
      </c>
      <c r="AE1163" s="76">
        <f>AD1163*E1163</f>
        <v/>
      </c>
      <c r="AF1163" s="193">
        <f t="array" ref="AF1163">IFERROR(ROUND(_xlfn.IFS(offer_sale_type="поставка",AB1163,offer_sale_type="транзит",S1163)*AC1163,2),0)</f>
        <v/>
      </c>
      <c r="AG1163" s="192">
        <f>$BD1163*VLOOKUP($AG$3,$AF$4:$AG$7,2,FALSE)</f>
        <v/>
      </c>
      <c r="AH1163" s="76">
        <f>SUM(AE1163,AG1163,AI1163)*rate_forex_risk</f>
        <v/>
      </c>
      <c r="AI1163" s="193">
        <f>IF(OR(seller_region="TR",offer_sale_type="экспорт"),0,rate_fin_comm)*SUM(AZ1163,AZ1163*AW1163,T1163)</f>
        <v/>
      </c>
      <c r="AJ1163" s="118">
        <f>IFERROR(ROUND(SUM(AB1163,AF1163:AI1163)/E1163,2),0)</f>
        <v/>
      </c>
      <c r="AK1163" s="76">
        <f>AJ1163*E1163</f>
        <v/>
      </c>
      <c r="AL1163" s="174">
        <f>ROUND(IFERROR(AM1163*E1163,0),2)</f>
        <v/>
      </c>
      <c r="AM1163" s="175">
        <f>ROUND(AJ1163*(1+IF(offer_incoterms="DDP",IF((TODAY()+offer_turnaround_time)&gt;=helpsheet!$L$17,rate_vatRU_from_26,rate_vatRu_till_25),0)),2)</f>
        <v/>
      </c>
      <c r="AN1163" s="192">
        <f>AL1163-AK1163</f>
        <v/>
      </c>
      <c r="AO1163" s="76">
        <f>SUM(AY1163,Y1163:Z1163,T1163)*IF(AND(offer_incoterms="DDP",offer_sale_type&lt;&gt;"экспорт"),IF((TODAY()+offer_turnaround_time)&gt;=helpsheet!$L$17,rate_vatRU_from_26,rate_vatRu_till_25),0)</f>
        <v/>
      </c>
      <c r="AP1163" s="193">
        <f>AN1163-AO1163</f>
        <v/>
      </c>
      <c r="AQ1163" s="118">
        <f>IF(offer_sale_type="транзит",SUM(AF1163:AI1163,BA1163,BB1163),0)</f>
        <v/>
      </c>
      <c r="AR1163" s="82">
        <f>HYPERLINK("https://www.alta.ru/tnved/code/")&amp;W1163&amp;"/"</f>
        <v/>
      </c>
      <c r="AS1163" s="157" t="n"/>
      <c r="AT1163" s="162" t="n"/>
      <c r="AU1163" s="76">
        <f>IF(ISBLANK(AT1163),0,AJ1163-AT1163)</f>
        <v/>
      </c>
      <c r="AV1163" s="157" t="n"/>
      <c r="AW1163" s="75">
        <f>_xlfn.IFNA(VLOOKUP(L1163,list_vat[],3,FALSE),0)</f>
        <v/>
      </c>
      <c r="AX1163" s="76">
        <f>IFERROR(ROUND(S1163*(1+AW1163)/E1163,2),0)</f>
        <v/>
      </c>
      <c r="AY1163" s="76">
        <f>E1163*AX1163</f>
        <v/>
      </c>
      <c r="AZ1163" s="192">
        <f>S1163*(1+M1163)</f>
        <v/>
      </c>
      <c r="BA1163" s="76">
        <f>cost_fin_total*$BD1163</f>
        <v/>
      </c>
      <c r="BB1163" s="193">
        <f>credit_sales_interest*BD1163</f>
        <v/>
      </c>
      <c r="BC1163" s="102">
        <f>IFERROR(IF($I$13&gt;0,$I1163/$I$13,$S1163/$S$13),0)</f>
        <v/>
      </c>
      <c r="BD1163" s="102">
        <f>IFERROR($S1163/$S$13,0)</f>
        <v/>
      </c>
      <c r="BE1163" s="413" t="inlineStr">
        <is>
          <t>$</t>
        </is>
      </c>
    </row>
    <row r="1164" ht="12" customFormat="1" customHeight="1" s="65">
      <c r="A1164" s="43" t="n">
        <v>1149</v>
      </c>
      <c r="B1164" s="166" t="n"/>
      <c r="C1164" s="166" t="n"/>
      <c r="D1164" s="166" t="n"/>
      <c r="E1164" s="162" t="n"/>
      <c r="F1164" s="166" t="n"/>
      <c r="G1164" s="162" t="n"/>
      <c r="H1164" s="162" t="n"/>
      <c r="I1164" s="189">
        <f>E1164*G1164</f>
        <v/>
      </c>
      <c r="J1164" s="195" t="n"/>
      <c r="K1164" s="162" t="n"/>
      <c r="L1164" s="168" t="n"/>
      <c r="M1164" s="75">
        <f>_xlfn.XLOOKUP(L1164,list_vat[Страна],list_vat[Ставка НДС %],0,0)</f>
        <v/>
      </c>
      <c r="N1164" s="162">
        <f>IFERROR(IF(L1164="Китай",K1164,K1164/(1+M1164)),0)</f>
        <v/>
      </c>
      <c r="O1164" s="169" t="n"/>
      <c r="P1164" s="76">
        <f>N1164*(1-O1164)</f>
        <v/>
      </c>
      <c r="Q1164" s="162" t="n"/>
      <c r="R1164" s="162">
        <f>IF(ISBLANK(Q1164),"введи курс",P1164/Q1164)</f>
        <v/>
      </c>
      <c r="S1164" s="196">
        <f>IF(AND(ISNUMBER(E1164),ISNUMBER(Q1164)),E1164*R1164,0)</f>
        <v/>
      </c>
      <c r="T1164" s="192">
        <f>$BC1164*V$11</f>
        <v/>
      </c>
      <c r="U1164" s="76">
        <f>$BC1164*W$11</f>
        <v/>
      </c>
      <c r="V1164" s="193">
        <f>+SUM(T1164:U1164)</f>
        <v/>
      </c>
      <c r="W1164" s="191" t="n"/>
      <c r="X1164" s="170" t="n"/>
      <c r="Y1164" s="76">
        <f>ROUND(IF(offer_incoterms="DDP",X1164*(S1164*(1+AW1164)+T1164),0),2)</f>
        <v/>
      </c>
      <c r="Z1164" s="188" t="n"/>
      <c r="AA1164" s="192">
        <f>IFERROR(AB1164/E1164,0)</f>
        <v/>
      </c>
      <c r="AB1164" s="76">
        <f>ROUND(SUM(S1164,V1164,Y1164:Z1164,BA1164:BB1164),2)</f>
        <v/>
      </c>
      <c r="AC1164" s="797" t="n"/>
      <c r="AD1164" s="192">
        <f t="array" ref="AD1164">IFERROR(ROUND((_xlfn.IFS(offer_sale_type="поставка",AB1164,offer_sale_type="транзит",S1164)*(1+AC1164))/E1164,2),0)</f>
        <v/>
      </c>
      <c r="AE1164" s="76">
        <f>AD1164*E1164</f>
        <v/>
      </c>
      <c r="AF1164" s="193">
        <f t="array" ref="AF1164">IFERROR(ROUND(_xlfn.IFS(offer_sale_type="поставка",AB1164,offer_sale_type="транзит",S1164)*AC1164,2),0)</f>
        <v/>
      </c>
      <c r="AG1164" s="192">
        <f>$BD1164*VLOOKUP($AG$3,$AF$4:$AG$7,2,FALSE)</f>
        <v/>
      </c>
      <c r="AH1164" s="76">
        <f>SUM(AE1164,AG1164,AI1164)*rate_forex_risk</f>
        <v/>
      </c>
      <c r="AI1164" s="193">
        <f>IF(OR(seller_region="TR",offer_sale_type="экспорт"),0,rate_fin_comm)*SUM(AZ1164,AZ1164*AW1164,T1164)</f>
        <v/>
      </c>
      <c r="AJ1164" s="118">
        <f>IFERROR(ROUND(SUM(AB1164,AF1164:AI1164)/E1164,2),0)</f>
        <v/>
      </c>
      <c r="AK1164" s="76">
        <f>AJ1164*E1164</f>
        <v/>
      </c>
      <c r="AL1164" s="174">
        <f>ROUND(IFERROR(AM1164*E1164,0),2)</f>
        <v/>
      </c>
      <c r="AM1164" s="175">
        <f>ROUND(AJ1164*(1+IF(offer_incoterms="DDP",IF((TODAY()+offer_turnaround_time)&gt;=helpsheet!$L$17,rate_vatRU_from_26,rate_vatRu_till_25),0)),2)</f>
        <v/>
      </c>
      <c r="AN1164" s="192">
        <f>AL1164-AK1164</f>
        <v/>
      </c>
      <c r="AO1164" s="76">
        <f>SUM(AY1164,Y1164:Z1164,T1164)*IF(AND(offer_incoterms="DDP",offer_sale_type&lt;&gt;"экспорт"),IF((TODAY()+offer_turnaround_time)&gt;=helpsheet!$L$17,rate_vatRU_from_26,rate_vatRu_till_25),0)</f>
        <v/>
      </c>
      <c r="AP1164" s="193">
        <f>AN1164-AO1164</f>
        <v/>
      </c>
      <c r="AQ1164" s="118">
        <f>IF(offer_sale_type="транзит",SUM(AF1164:AI1164,BA1164,BB1164),0)</f>
        <v/>
      </c>
      <c r="AR1164" s="82">
        <f>HYPERLINK("https://www.alta.ru/tnved/code/")&amp;W1164&amp;"/"</f>
        <v/>
      </c>
      <c r="AS1164" s="157" t="n"/>
      <c r="AT1164" s="162" t="n"/>
      <c r="AU1164" s="76">
        <f>IF(ISBLANK(AT1164),0,AJ1164-AT1164)</f>
        <v/>
      </c>
      <c r="AV1164" s="157" t="n"/>
      <c r="AW1164" s="75">
        <f>_xlfn.IFNA(VLOOKUP(L1164,list_vat[],3,FALSE),0)</f>
        <v/>
      </c>
      <c r="AX1164" s="76">
        <f>IFERROR(ROUND(S1164*(1+AW1164)/E1164,2),0)</f>
        <v/>
      </c>
      <c r="AY1164" s="76">
        <f>E1164*AX1164</f>
        <v/>
      </c>
      <c r="AZ1164" s="192">
        <f>S1164*(1+M1164)</f>
        <v/>
      </c>
      <c r="BA1164" s="76">
        <f>cost_fin_total*$BD1164</f>
        <v/>
      </c>
      <c r="BB1164" s="193">
        <f>credit_sales_interest*BD1164</f>
        <v/>
      </c>
      <c r="BC1164" s="102">
        <f>IFERROR(IF($I$13&gt;0,$I1164/$I$13,$S1164/$S$13),0)</f>
        <v/>
      </c>
      <c r="BD1164" s="102">
        <f>IFERROR($S1164/$S$13,0)</f>
        <v/>
      </c>
      <c r="BE1164" s="413" t="inlineStr">
        <is>
          <t>$</t>
        </is>
      </c>
    </row>
    <row r="1165" ht="12" customFormat="1" customHeight="1" s="65">
      <c r="A1165" s="43" t="n">
        <v>1150</v>
      </c>
      <c r="B1165" s="166" t="n"/>
      <c r="C1165" s="166" t="n"/>
      <c r="D1165" s="166" t="n"/>
      <c r="E1165" s="162" t="n"/>
      <c r="F1165" s="166" t="n"/>
      <c r="G1165" s="162" t="n"/>
      <c r="H1165" s="162" t="n"/>
      <c r="I1165" s="189">
        <f>E1165*G1165</f>
        <v/>
      </c>
      <c r="J1165" s="195" t="n"/>
      <c r="K1165" s="162" t="n"/>
      <c r="L1165" s="168" t="n"/>
      <c r="M1165" s="75">
        <f>_xlfn.XLOOKUP(L1165,list_vat[Страна],list_vat[Ставка НДС %],0,0)</f>
        <v/>
      </c>
      <c r="N1165" s="162">
        <f>IFERROR(IF(L1165="Китай",K1165,K1165/(1+M1165)),0)</f>
        <v/>
      </c>
      <c r="O1165" s="169" t="n"/>
      <c r="P1165" s="76">
        <f>N1165*(1-O1165)</f>
        <v/>
      </c>
      <c r="Q1165" s="162" t="n"/>
      <c r="R1165" s="162">
        <f>IF(ISBLANK(Q1165),"введи курс",P1165/Q1165)</f>
        <v/>
      </c>
      <c r="S1165" s="196">
        <f>IF(AND(ISNUMBER(E1165),ISNUMBER(Q1165)),E1165*R1165,0)</f>
        <v/>
      </c>
      <c r="T1165" s="192">
        <f>$BC1165*V$11</f>
        <v/>
      </c>
      <c r="U1165" s="76">
        <f>$BC1165*W$11</f>
        <v/>
      </c>
      <c r="V1165" s="193">
        <f>+SUM(T1165:U1165)</f>
        <v/>
      </c>
      <c r="W1165" s="191" t="n"/>
      <c r="X1165" s="170" t="n"/>
      <c r="Y1165" s="76">
        <f>ROUND(IF(offer_incoterms="DDP",X1165*(S1165*(1+AW1165)+T1165),0),2)</f>
        <v/>
      </c>
      <c r="Z1165" s="188" t="n"/>
      <c r="AA1165" s="192">
        <f>IFERROR(AB1165/E1165,0)</f>
        <v/>
      </c>
      <c r="AB1165" s="76">
        <f>ROUND(SUM(S1165,V1165,Y1165:Z1165,BA1165:BB1165),2)</f>
        <v/>
      </c>
      <c r="AC1165" s="797" t="n"/>
      <c r="AD1165" s="192">
        <f t="array" ref="AD1165">IFERROR(ROUND((_xlfn.IFS(offer_sale_type="поставка",AB1165,offer_sale_type="транзит",S1165)*(1+AC1165))/E1165,2),0)</f>
        <v/>
      </c>
      <c r="AE1165" s="76">
        <f>AD1165*E1165</f>
        <v/>
      </c>
      <c r="AF1165" s="193">
        <f t="array" ref="AF1165">IFERROR(ROUND(_xlfn.IFS(offer_sale_type="поставка",AB1165,offer_sale_type="транзит",S1165)*AC1165,2),0)</f>
        <v/>
      </c>
      <c r="AG1165" s="192">
        <f>$BD1165*VLOOKUP($AG$3,$AF$4:$AG$7,2,FALSE)</f>
        <v/>
      </c>
      <c r="AH1165" s="76">
        <f>SUM(AE1165,AG1165,AI1165)*rate_forex_risk</f>
        <v/>
      </c>
      <c r="AI1165" s="193">
        <f>IF(OR(seller_region="TR",offer_sale_type="экспорт"),0,rate_fin_comm)*SUM(AZ1165,AZ1165*AW1165,T1165)</f>
        <v/>
      </c>
      <c r="AJ1165" s="118">
        <f>IFERROR(ROUND(SUM(AB1165,AF1165:AI1165)/E1165,2),0)</f>
        <v/>
      </c>
      <c r="AK1165" s="76">
        <f>AJ1165*E1165</f>
        <v/>
      </c>
      <c r="AL1165" s="174">
        <f>ROUND(IFERROR(AM1165*E1165,0),2)</f>
        <v/>
      </c>
      <c r="AM1165" s="175">
        <f>ROUND(AJ1165*(1+IF(offer_incoterms="DDP",IF((TODAY()+offer_turnaround_time)&gt;=helpsheet!$L$17,rate_vatRU_from_26,rate_vatRu_till_25),0)),2)</f>
        <v/>
      </c>
      <c r="AN1165" s="192">
        <f>AL1165-AK1165</f>
        <v/>
      </c>
      <c r="AO1165" s="76">
        <f>SUM(AY1165,Y1165:Z1165,T1165)*IF(AND(offer_incoterms="DDP",offer_sale_type&lt;&gt;"экспорт"),IF((TODAY()+offer_turnaround_time)&gt;=helpsheet!$L$17,rate_vatRU_from_26,rate_vatRu_till_25),0)</f>
        <v/>
      </c>
      <c r="AP1165" s="193">
        <f>AN1165-AO1165</f>
        <v/>
      </c>
      <c r="AQ1165" s="118">
        <f>IF(offer_sale_type="транзит",SUM(AF1165:AI1165,BA1165,BB1165),0)</f>
        <v/>
      </c>
      <c r="AR1165" s="82">
        <f>HYPERLINK("https://www.alta.ru/tnved/code/")&amp;W1165&amp;"/"</f>
        <v/>
      </c>
      <c r="AS1165" s="157" t="n"/>
      <c r="AT1165" s="162" t="n"/>
      <c r="AU1165" s="76">
        <f>IF(ISBLANK(AT1165),0,AJ1165-AT1165)</f>
        <v/>
      </c>
      <c r="AV1165" s="157" t="n"/>
      <c r="AW1165" s="75">
        <f>_xlfn.IFNA(VLOOKUP(L1165,list_vat[],3,FALSE),0)</f>
        <v/>
      </c>
      <c r="AX1165" s="76">
        <f>IFERROR(ROUND(S1165*(1+AW1165)/E1165,2),0)</f>
        <v/>
      </c>
      <c r="AY1165" s="76">
        <f>E1165*AX1165</f>
        <v/>
      </c>
      <c r="AZ1165" s="192">
        <f>S1165*(1+M1165)</f>
        <v/>
      </c>
      <c r="BA1165" s="76">
        <f>cost_fin_total*$BD1165</f>
        <v/>
      </c>
      <c r="BB1165" s="193">
        <f>credit_sales_interest*BD1165</f>
        <v/>
      </c>
      <c r="BC1165" s="102">
        <f>IFERROR(IF($I$13&gt;0,$I1165/$I$13,$S1165/$S$13),0)</f>
        <v/>
      </c>
      <c r="BD1165" s="102">
        <f>IFERROR($S1165/$S$13,0)</f>
        <v/>
      </c>
      <c r="BE1165" s="413" t="inlineStr">
        <is>
          <t>$</t>
        </is>
      </c>
    </row>
    <row r="1166" ht="12" customFormat="1" customHeight="1" s="65">
      <c r="A1166" s="43" t="n">
        <v>1151</v>
      </c>
      <c r="B1166" s="166" t="n"/>
      <c r="C1166" s="166" t="n"/>
      <c r="D1166" s="166" t="n"/>
      <c r="E1166" s="162" t="n"/>
      <c r="F1166" s="166" t="n"/>
      <c r="G1166" s="162" t="n"/>
      <c r="H1166" s="162" t="n"/>
      <c r="I1166" s="189">
        <f>E1166*G1166</f>
        <v/>
      </c>
      <c r="J1166" s="195" t="n"/>
      <c r="K1166" s="162" t="n"/>
      <c r="L1166" s="168" t="n"/>
      <c r="M1166" s="75">
        <f>_xlfn.XLOOKUP(L1166,list_vat[Страна],list_vat[Ставка НДС %],0,0)</f>
        <v/>
      </c>
      <c r="N1166" s="162">
        <f>IFERROR(IF(L1166="Китай",K1166,K1166/(1+M1166)),0)</f>
        <v/>
      </c>
      <c r="O1166" s="169" t="n"/>
      <c r="P1166" s="76">
        <f>N1166*(1-O1166)</f>
        <v/>
      </c>
      <c r="Q1166" s="162" t="n"/>
      <c r="R1166" s="162">
        <f>IF(ISBLANK(Q1166),"введи курс",P1166/Q1166)</f>
        <v/>
      </c>
      <c r="S1166" s="196">
        <f>IF(AND(ISNUMBER(E1166),ISNUMBER(Q1166)),E1166*R1166,0)</f>
        <v/>
      </c>
      <c r="T1166" s="192">
        <f>$BC1166*V$11</f>
        <v/>
      </c>
      <c r="U1166" s="76">
        <f>$BC1166*W$11</f>
        <v/>
      </c>
      <c r="V1166" s="193">
        <f>+SUM(T1166:U1166)</f>
        <v/>
      </c>
      <c r="W1166" s="191" t="n"/>
      <c r="X1166" s="170" t="n"/>
      <c r="Y1166" s="76">
        <f>ROUND(IF(offer_incoterms="DDP",X1166*(S1166*(1+AW1166)+T1166),0),2)</f>
        <v/>
      </c>
      <c r="Z1166" s="188" t="n"/>
      <c r="AA1166" s="192">
        <f>IFERROR(AB1166/E1166,0)</f>
        <v/>
      </c>
      <c r="AB1166" s="76">
        <f>ROUND(SUM(S1166,V1166,Y1166:Z1166,BA1166:BB1166),2)</f>
        <v/>
      </c>
      <c r="AC1166" s="797" t="n"/>
      <c r="AD1166" s="192">
        <f t="array" ref="AD1166">IFERROR(ROUND((_xlfn.IFS(offer_sale_type="поставка",AB1166,offer_sale_type="транзит",S1166)*(1+AC1166))/E1166,2),0)</f>
        <v/>
      </c>
      <c r="AE1166" s="76">
        <f>AD1166*E1166</f>
        <v/>
      </c>
      <c r="AF1166" s="193">
        <f t="array" ref="AF1166">IFERROR(ROUND(_xlfn.IFS(offer_sale_type="поставка",AB1166,offer_sale_type="транзит",S1166)*AC1166,2),0)</f>
        <v/>
      </c>
      <c r="AG1166" s="192">
        <f>$BD1166*VLOOKUP($AG$3,$AF$4:$AG$7,2,FALSE)</f>
        <v/>
      </c>
      <c r="AH1166" s="76">
        <f>SUM(AE1166,AG1166,AI1166)*rate_forex_risk</f>
        <v/>
      </c>
      <c r="AI1166" s="193">
        <f>IF(OR(seller_region="TR",offer_sale_type="экспорт"),0,rate_fin_comm)*SUM(AZ1166,AZ1166*AW1166,T1166)</f>
        <v/>
      </c>
      <c r="AJ1166" s="118">
        <f>IFERROR(ROUND(SUM(AB1166,AF1166:AI1166)/E1166,2),0)</f>
        <v/>
      </c>
      <c r="AK1166" s="76">
        <f>AJ1166*E1166</f>
        <v/>
      </c>
      <c r="AL1166" s="174">
        <f>ROUND(IFERROR(AM1166*E1166,0),2)</f>
        <v/>
      </c>
      <c r="AM1166" s="175">
        <f>ROUND(AJ1166*(1+IF(offer_incoterms="DDP",IF((TODAY()+offer_turnaround_time)&gt;=helpsheet!$L$17,rate_vatRU_from_26,rate_vatRu_till_25),0)),2)</f>
        <v/>
      </c>
      <c r="AN1166" s="192">
        <f>AL1166-AK1166</f>
        <v/>
      </c>
      <c r="AO1166" s="76">
        <f>SUM(AY1166,Y1166:Z1166,T1166)*IF(AND(offer_incoterms="DDP",offer_sale_type&lt;&gt;"экспорт"),IF((TODAY()+offer_turnaround_time)&gt;=helpsheet!$L$17,rate_vatRU_from_26,rate_vatRu_till_25),0)</f>
        <v/>
      </c>
      <c r="AP1166" s="193">
        <f>AN1166-AO1166</f>
        <v/>
      </c>
      <c r="AQ1166" s="118">
        <f>IF(offer_sale_type="транзит",SUM(AF1166:AI1166,BA1166,BB1166),0)</f>
        <v/>
      </c>
      <c r="AR1166" s="82">
        <f>HYPERLINK("https://www.alta.ru/tnved/code/")&amp;W1166&amp;"/"</f>
        <v/>
      </c>
      <c r="AS1166" s="157" t="n"/>
      <c r="AT1166" s="162" t="n"/>
      <c r="AU1166" s="76">
        <f>IF(ISBLANK(AT1166),0,AJ1166-AT1166)</f>
        <v/>
      </c>
      <c r="AV1166" s="157" t="n"/>
      <c r="AW1166" s="75">
        <f>_xlfn.IFNA(VLOOKUP(L1166,list_vat[],3,FALSE),0)</f>
        <v/>
      </c>
      <c r="AX1166" s="76">
        <f>IFERROR(ROUND(S1166*(1+AW1166)/E1166,2),0)</f>
        <v/>
      </c>
      <c r="AY1166" s="76">
        <f>E1166*AX1166</f>
        <v/>
      </c>
      <c r="AZ1166" s="192">
        <f>S1166*(1+M1166)</f>
        <v/>
      </c>
      <c r="BA1166" s="76">
        <f>cost_fin_total*$BD1166</f>
        <v/>
      </c>
      <c r="BB1166" s="193">
        <f>credit_sales_interest*BD1166</f>
        <v/>
      </c>
      <c r="BC1166" s="102">
        <f>IFERROR(IF($I$13&gt;0,$I1166/$I$13,$S1166/$S$13),0)</f>
        <v/>
      </c>
      <c r="BD1166" s="102">
        <f>IFERROR($S1166/$S$13,0)</f>
        <v/>
      </c>
      <c r="BE1166" s="413" t="inlineStr">
        <is>
          <t>$</t>
        </is>
      </c>
    </row>
    <row r="1167" ht="12" customFormat="1" customHeight="1" s="65">
      <c r="A1167" s="43" t="n">
        <v>1152</v>
      </c>
      <c r="B1167" s="166" t="n"/>
      <c r="C1167" s="166" t="n"/>
      <c r="D1167" s="166" t="n"/>
      <c r="E1167" s="162" t="n"/>
      <c r="F1167" s="166" t="n"/>
      <c r="G1167" s="162" t="n"/>
      <c r="H1167" s="162" t="n"/>
      <c r="I1167" s="189">
        <f>E1167*G1167</f>
        <v/>
      </c>
      <c r="J1167" s="195" t="n"/>
      <c r="K1167" s="162" t="n"/>
      <c r="L1167" s="168" t="n"/>
      <c r="M1167" s="75">
        <f>_xlfn.XLOOKUP(L1167,list_vat[Страна],list_vat[Ставка НДС %],0,0)</f>
        <v/>
      </c>
      <c r="N1167" s="162">
        <f>IFERROR(IF(L1167="Китай",K1167,K1167/(1+M1167)),0)</f>
        <v/>
      </c>
      <c r="O1167" s="169" t="n"/>
      <c r="P1167" s="76">
        <f>N1167*(1-O1167)</f>
        <v/>
      </c>
      <c r="Q1167" s="162" t="n"/>
      <c r="R1167" s="162">
        <f>IF(ISBLANK(Q1167),"введи курс",P1167/Q1167)</f>
        <v/>
      </c>
      <c r="S1167" s="196">
        <f>IF(AND(ISNUMBER(E1167),ISNUMBER(Q1167)),E1167*R1167,0)</f>
        <v/>
      </c>
      <c r="T1167" s="192">
        <f>$BC1167*V$11</f>
        <v/>
      </c>
      <c r="U1167" s="76">
        <f>$BC1167*W$11</f>
        <v/>
      </c>
      <c r="V1167" s="193">
        <f>+SUM(T1167:U1167)</f>
        <v/>
      </c>
      <c r="W1167" s="191" t="n"/>
      <c r="X1167" s="170" t="n"/>
      <c r="Y1167" s="76">
        <f>ROUND(IF(offer_incoterms="DDP",X1167*(S1167*(1+AW1167)+T1167),0),2)</f>
        <v/>
      </c>
      <c r="Z1167" s="188" t="n"/>
      <c r="AA1167" s="192">
        <f>IFERROR(AB1167/E1167,0)</f>
        <v/>
      </c>
      <c r="AB1167" s="76">
        <f>ROUND(SUM(S1167,V1167,Y1167:Z1167,BA1167:BB1167),2)</f>
        <v/>
      </c>
      <c r="AC1167" s="797" t="n"/>
      <c r="AD1167" s="192">
        <f t="array" ref="AD1167">IFERROR(ROUND((_xlfn.IFS(offer_sale_type="поставка",AB1167,offer_sale_type="транзит",S1167)*(1+AC1167))/E1167,2),0)</f>
        <v/>
      </c>
      <c r="AE1167" s="76">
        <f>AD1167*E1167</f>
        <v/>
      </c>
      <c r="AF1167" s="193">
        <f t="array" ref="AF1167">IFERROR(ROUND(_xlfn.IFS(offer_sale_type="поставка",AB1167,offer_sale_type="транзит",S1167)*AC1167,2),0)</f>
        <v/>
      </c>
      <c r="AG1167" s="192">
        <f>$BD1167*VLOOKUP($AG$3,$AF$4:$AG$7,2,FALSE)</f>
        <v/>
      </c>
      <c r="AH1167" s="76">
        <f>SUM(AE1167,AG1167,AI1167)*rate_forex_risk</f>
        <v/>
      </c>
      <c r="AI1167" s="193">
        <f>IF(OR(seller_region="TR",offer_sale_type="экспорт"),0,rate_fin_comm)*SUM(AZ1167,AZ1167*AW1167,T1167)</f>
        <v/>
      </c>
      <c r="AJ1167" s="118">
        <f>IFERROR(ROUND(SUM(AB1167,AF1167:AI1167)/E1167,2),0)</f>
        <v/>
      </c>
      <c r="AK1167" s="76">
        <f>AJ1167*E1167</f>
        <v/>
      </c>
      <c r="AL1167" s="174">
        <f>ROUND(IFERROR(AM1167*E1167,0),2)</f>
        <v/>
      </c>
      <c r="AM1167" s="175">
        <f>ROUND(AJ1167*(1+IF(offer_incoterms="DDP",IF((TODAY()+offer_turnaround_time)&gt;=helpsheet!$L$17,rate_vatRU_from_26,rate_vatRu_till_25),0)),2)</f>
        <v/>
      </c>
      <c r="AN1167" s="192">
        <f>AL1167-AK1167</f>
        <v/>
      </c>
      <c r="AO1167" s="76">
        <f>SUM(AY1167,Y1167:Z1167,T1167)*IF(AND(offer_incoterms="DDP",offer_sale_type&lt;&gt;"экспорт"),IF((TODAY()+offer_turnaround_time)&gt;=helpsheet!$L$17,rate_vatRU_from_26,rate_vatRu_till_25),0)</f>
        <v/>
      </c>
      <c r="AP1167" s="193">
        <f>AN1167-AO1167</f>
        <v/>
      </c>
      <c r="AQ1167" s="118">
        <f>IF(offer_sale_type="транзит",SUM(AF1167:AI1167,BA1167,BB1167),0)</f>
        <v/>
      </c>
      <c r="AR1167" s="82">
        <f>HYPERLINK("https://www.alta.ru/tnved/code/")&amp;W1167&amp;"/"</f>
        <v/>
      </c>
      <c r="AS1167" s="157" t="n"/>
      <c r="AT1167" s="162" t="n"/>
      <c r="AU1167" s="76">
        <f>IF(ISBLANK(AT1167),0,AJ1167-AT1167)</f>
        <v/>
      </c>
      <c r="AV1167" s="157" t="n"/>
      <c r="AW1167" s="75">
        <f>_xlfn.IFNA(VLOOKUP(L1167,list_vat[],3,FALSE),0)</f>
        <v/>
      </c>
      <c r="AX1167" s="76">
        <f>IFERROR(ROUND(S1167*(1+AW1167)/E1167,2),0)</f>
        <v/>
      </c>
      <c r="AY1167" s="76">
        <f>E1167*AX1167</f>
        <v/>
      </c>
      <c r="AZ1167" s="192">
        <f>S1167*(1+M1167)</f>
        <v/>
      </c>
      <c r="BA1167" s="76">
        <f>cost_fin_total*$BD1167</f>
        <v/>
      </c>
      <c r="BB1167" s="193">
        <f>credit_sales_interest*BD1167</f>
        <v/>
      </c>
      <c r="BC1167" s="102">
        <f>IFERROR(IF($I$13&gt;0,$I1167/$I$13,$S1167/$S$13),0)</f>
        <v/>
      </c>
      <c r="BD1167" s="102">
        <f>IFERROR($S1167/$S$13,0)</f>
        <v/>
      </c>
      <c r="BE1167" s="413" t="inlineStr">
        <is>
          <t>$</t>
        </is>
      </c>
    </row>
    <row r="1168" ht="12" customFormat="1" customHeight="1" s="65">
      <c r="A1168" s="43" t="n">
        <v>1153</v>
      </c>
      <c r="B1168" s="166" t="n"/>
      <c r="C1168" s="166" t="n"/>
      <c r="D1168" s="166" t="n"/>
      <c r="E1168" s="162" t="n"/>
      <c r="F1168" s="166" t="n"/>
      <c r="G1168" s="162" t="n"/>
      <c r="H1168" s="162" t="n"/>
      <c r="I1168" s="189">
        <f>E1168*G1168</f>
        <v/>
      </c>
      <c r="J1168" s="195" t="n"/>
      <c r="K1168" s="162" t="n"/>
      <c r="L1168" s="168" t="n"/>
      <c r="M1168" s="75">
        <f>_xlfn.XLOOKUP(L1168,list_vat[Страна],list_vat[Ставка НДС %],0,0)</f>
        <v/>
      </c>
      <c r="N1168" s="162">
        <f>IFERROR(IF(L1168="Китай",K1168,K1168/(1+M1168)),0)</f>
        <v/>
      </c>
      <c r="O1168" s="169" t="n"/>
      <c r="P1168" s="76">
        <f>N1168*(1-O1168)</f>
        <v/>
      </c>
      <c r="Q1168" s="162" t="n"/>
      <c r="R1168" s="162">
        <f>IF(ISBLANK(Q1168),"введи курс",P1168/Q1168)</f>
        <v/>
      </c>
      <c r="S1168" s="196">
        <f>IF(AND(ISNUMBER(E1168),ISNUMBER(Q1168)),E1168*R1168,0)</f>
        <v/>
      </c>
      <c r="T1168" s="192">
        <f>$BC1168*V$11</f>
        <v/>
      </c>
      <c r="U1168" s="76">
        <f>$BC1168*W$11</f>
        <v/>
      </c>
      <c r="V1168" s="193">
        <f>+SUM(T1168:U1168)</f>
        <v/>
      </c>
      <c r="W1168" s="191" t="n"/>
      <c r="X1168" s="170" t="n"/>
      <c r="Y1168" s="76">
        <f>ROUND(IF(offer_incoterms="DDP",X1168*(S1168*(1+AW1168)+T1168),0),2)</f>
        <v/>
      </c>
      <c r="Z1168" s="188" t="n"/>
      <c r="AA1168" s="192">
        <f>IFERROR(AB1168/E1168,0)</f>
        <v/>
      </c>
      <c r="AB1168" s="76">
        <f>ROUND(SUM(S1168,V1168,Y1168:Z1168,BA1168:BB1168),2)</f>
        <v/>
      </c>
      <c r="AC1168" s="797" t="n"/>
      <c r="AD1168" s="192">
        <f t="array" ref="AD1168">IFERROR(ROUND((_xlfn.IFS(offer_sale_type="поставка",AB1168,offer_sale_type="транзит",S1168)*(1+AC1168))/E1168,2),0)</f>
        <v/>
      </c>
      <c r="AE1168" s="76">
        <f>AD1168*E1168</f>
        <v/>
      </c>
      <c r="AF1168" s="193">
        <f t="array" ref="AF1168">IFERROR(ROUND(_xlfn.IFS(offer_sale_type="поставка",AB1168,offer_sale_type="транзит",S1168)*AC1168,2),0)</f>
        <v/>
      </c>
      <c r="AG1168" s="192">
        <f>$BD1168*VLOOKUP($AG$3,$AF$4:$AG$7,2,FALSE)</f>
        <v/>
      </c>
      <c r="AH1168" s="76">
        <f>SUM(AE1168,AG1168,AI1168)*rate_forex_risk</f>
        <v/>
      </c>
      <c r="AI1168" s="193">
        <f>IF(OR(seller_region="TR",offer_sale_type="экспорт"),0,rate_fin_comm)*SUM(AZ1168,AZ1168*AW1168,T1168)</f>
        <v/>
      </c>
      <c r="AJ1168" s="118">
        <f>IFERROR(ROUND(SUM(AB1168,AF1168:AI1168)/E1168,2),0)</f>
        <v/>
      </c>
      <c r="AK1168" s="76">
        <f>AJ1168*E1168</f>
        <v/>
      </c>
      <c r="AL1168" s="174">
        <f>ROUND(IFERROR(AM1168*E1168,0),2)</f>
        <v/>
      </c>
      <c r="AM1168" s="175">
        <f>ROUND(AJ1168*(1+IF(offer_incoterms="DDP",IF((TODAY()+offer_turnaround_time)&gt;=helpsheet!$L$17,rate_vatRU_from_26,rate_vatRu_till_25),0)),2)</f>
        <v/>
      </c>
      <c r="AN1168" s="192">
        <f>AL1168-AK1168</f>
        <v/>
      </c>
      <c r="AO1168" s="76">
        <f>SUM(AY1168,Y1168:Z1168,T1168)*IF(AND(offer_incoterms="DDP",offer_sale_type&lt;&gt;"экспорт"),IF((TODAY()+offer_turnaround_time)&gt;=helpsheet!$L$17,rate_vatRU_from_26,rate_vatRu_till_25),0)</f>
        <v/>
      </c>
      <c r="AP1168" s="193">
        <f>AN1168-AO1168</f>
        <v/>
      </c>
      <c r="AQ1168" s="118">
        <f>IF(offer_sale_type="транзит",SUM(AF1168:AI1168,BA1168,BB1168),0)</f>
        <v/>
      </c>
      <c r="AR1168" s="82">
        <f>HYPERLINK("https://www.alta.ru/tnved/code/")&amp;W1168&amp;"/"</f>
        <v/>
      </c>
      <c r="AS1168" s="157" t="n"/>
      <c r="AT1168" s="162" t="n"/>
      <c r="AU1168" s="76">
        <f>IF(ISBLANK(AT1168),0,AJ1168-AT1168)</f>
        <v/>
      </c>
      <c r="AV1168" s="157" t="n"/>
      <c r="AW1168" s="75">
        <f>_xlfn.IFNA(VLOOKUP(L1168,list_vat[],3,FALSE),0)</f>
        <v/>
      </c>
      <c r="AX1168" s="76">
        <f>IFERROR(ROUND(S1168*(1+AW1168)/E1168,2),0)</f>
        <v/>
      </c>
      <c r="AY1168" s="76">
        <f>E1168*AX1168</f>
        <v/>
      </c>
      <c r="AZ1168" s="192">
        <f>S1168*(1+M1168)</f>
        <v/>
      </c>
      <c r="BA1168" s="76">
        <f>cost_fin_total*$BD1168</f>
        <v/>
      </c>
      <c r="BB1168" s="193">
        <f>credit_sales_interest*BD1168</f>
        <v/>
      </c>
      <c r="BC1168" s="102">
        <f>IFERROR(IF($I$13&gt;0,$I1168/$I$13,$S1168/$S$13),0)</f>
        <v/>
      </c>
      <c r="BD1168" s="102">
        <f>IFERROR($S1168/$S$13,0)</f>
        <v/>
      </c>
      <c r="BE1168" s="413" t="inlineStr">
        <is>
          <t>$</t>
        </is>
      </c>
    </row>
    <row r="1169" ht="12" customFormat="1" customHeight="1" s="65">
      <c r="A1169" s="43" t="n">
        <v>1154</v>
      </c>
      <c r="B1169" s="166" t="n"/>
      <c r="C1169" s="166" t="n"/>
      <c r="D1169" s="166" t="n"/>
      <c r="E1169" s="162" t="n"/>
      <c r="F1169" s="166" t="n"/>
      <c r="G1169" s="162" t="n"/>
      <c r="H1169" s="162" t="n"/>
      <c r="I1169" s="189">
        <f>E1169*G1169</f>
        <v/>
      </c>
      <c r="J1169" s="195" t="n"/>
      <c r="K1169" s="162" t="n"/>
      <c r="L1169" s="168" t="n"/>
      <c r="M1169" s="75">
        <f>_xlfn.XLOOKUP(L1169,list_vat[Страна],list_vat[Ставка НДС %],0,0)</f>
        <v/>
      </c>
      <c r="N1169" s="162">
        <f>IFERROR(IF(L1169="Китай",K1169,K1169/(1+M1169)),0)</f>
        <v/>
      </c>
      <c r="O1169" s="169" t="n"/>
      <c r="P1169" s="76">
        <f>N1169*(1-O1169)</f>
        <v/>
      </c>
      <c r="Q1169" s="162" t="n"/>
      <c r="R1169" s="162">
        <f>IF(ISBLANK(Q1169),"введи курс",P1169/Q1169)</f>
        <v/>
      </c>
      <c r="S1169" s="196">
        <f>IF(AND(ISNUMBER(E1169),ISNUMBER(Q1169)),E1169*R1169,0)</f>
        <v/>
      </c>
      <c r="T1169" s="192">
        <f>$BC1169*V$11</f>
        <v/>
      </c>
      <c r="U1169" s="76">
        <f>$BC1169*W$11</f>
        <v/>
      </c>
      <c r="V1169" s="193">
        <f>+SUM(T1169:U1169)</f>
        <v/>
      </c>
      <c r="W1169" s="191" t="n"/>
      <c r="X1169" s="170" t="n"/>
      <c r="Y1169" s="76">
        <f>ROUND(IF(offer_incoterms="DDP",X1169*(S1169*(1+AW1169)+T1169),0),2)</f>
        <v/>
      </c>
      <c r="Z1169" s="188" t="n"/>
      <c r="AA1169" s="192">
        <f>IFERROR(AB1169/E1169,0)</f>
        <v/>
      </c>
      <c r="AB1169" s="76">
        <f>ROUND(SUM(S1169,V1169,Y1169:Z1169,BA1169:BB1169),2)</f>
        <v/>
      </c>
      <c r="AC1169" s="797" t="n"/>
      <c r="AD1169" s="192">
        <f t="array" ref="AD1169">IFERROR(ROUND((_xlfn.IFS(offer_sale_type="поставка",AB1169,offer_sale_type="транзит",S1169)*(1+AC1169))/E1169,2),0)</f>
        <v/>
      </c>
      <c r="AE1169" s="76">
        <f>AD1169*E1169</f>
        <v/>
      </c>
      <c r="AF1169" s="193">
        <f t="array" ref="AF1169">IFERROR(ROUND(_xlfn.IFS(offer_sale_type="поставка",AB1169,offer_sale_type="транзит",S1169)*AC1169,2),0)</f>
        <v/>
      </c>
      <c r="AG1169" s="192">
        <f>$BD1169*VLOOKUP($AG$3,$AF$4:$AG$7,2,FALSE)</f>
        <v/>
      </c>
      <c r="AH1169" s="76">
        <f>SUM(AE1169,AG1169,AI1169)*rate_forex_risk</f>
        <v/>
      </c>
      <c r="AI1169" s="193">
        <f>IF(OR(seller_region="TR",offer_sale_type="экспорт"),0,rate_fin_comm)*SUM(AZ1169,AZ1169*AW1169,T1169)</f>
        <v/>
      </c>
      <c r="AJ1169" s="118">
        <f>IFERROR(ROUND(SUM(AB1169,AF1169:AI1169)/E1169,2),0)</f>
        <v/>
      </c>
      <c r="AK1169" s="76">
        <f>AJ1169*E1169</f>
        <v/>
      </c>
      <c r="AL1169" s="174">
        <f>ROUND(IFERROR(AM1169*E1169,0),2)</f>
        <v/>
      </c>
      <c r="AM1169" s="175">
        <f>ROUND(AJ1169*(1+IF(offer_incoterms="DDP",IF((TODAY()+offer_turnaround_time)&gt;=helpsheet!$L$17,rate_vatRU_from_26,rate_vatRu_till_25),0)),2)</f>
        <v/>
      </c>
      <c r="AN1169" s="192">
        <f>AL1169-AK1169</f>
        <v/>
      </c>
      <c r="AO1169" s="76">
        <f>SUM(AY1169,Y1169:Z1169,T1169)*IF(AND(offer_incoterms="DDP",offer_sale_type&lt;&gt;"экспорт"),IF((TODAY()+offer_turnaround_time)&gt;=helpsheet!$L$17,rate_vatRU_from_26,rate_vatRu_till_25),0)</f>
        <v/>
      </c>
      <c r="AP1169" s="193">
        <f>AN1169-AO1169</f>
        <v/>
      </c>
      <c r="AQ1169" s="118">
        <f>IF(offer_sale_type="транзит",SUM(AF1169:AI1169,BA1169,BB1169),0)</f>
        <v/>
      </c>
      <c r="AR1169" s="82">
        <f>HYPERLINK("https://www.alta.ru/tnved/code/")&amp;W1169&amp;"/"</f>
        <v/>
      </c>
      <c r="AS1169" s="157" t="n"/>
      <c r="AT1169" s="162" t="n"/>
      <c r="AU1169" s="76">
        <f>IF(ISBLANK(AT1169),0,AJ1169-AT1169)</f>
        <v/>
      </c>
      <c r="AV1169" s="157" t="n"/>
      <c r="AW1169" s="75">
        <f>_xlfn.IFNA(VLOOKUP(L1169,list_vat[],3,FALSE),0)</f>
        <v/>
      </c>
      <c r="AX1169" s="76">
        <f>IFERROR(ROUND(S1169*(1+AW1169)/E1169,2),0)</f>
        <v/>
      </c>
      <c r="AY1169" s="76">
        <f>E1169*AX1169</f>
        <v/>
      </c>
      <c r="AZ1169" s="192">
        <f>S1169*(1+M1169)</f>
        <v/>
      </c>
      <c r="BA1169" s="76">
        <f>cost_fin_total*$BD1169</f>
        <v/>
      </c>
      <c r="BB1169" s="193">
        <f>credit_sales_interest*BD1169</f>
        <v/>
      </c>
      <c r="BC1169" s="102">
        <f>IFERROR(IF($I$13&gt;0,$I1169/$I$13,$S1169/$S$13),0)</f>
        <v/>
      </c>
      <c r="BD1169" s="102">
        <f>IFERROR($S1169/$S$13,0)</f>
        <v/>
      </c>
      <c r="BE1169" s="413" t="inlineStr">
        <is>
          <t>$</t>
        </is>
      </c>
    </row>
    <row r="1170" ht="12" customFormat="1" customHeight="1" s="65">
      <c r="A1170" s="43" t="n">
        <v>1155</v>
      </c>
      <c r="B1170" s="166" t="n"/>
      <c r="C1170" s="166" t="n"/>
      <c r="D1170" s="166" t="n"/>
      <c r="E1170" s="162" t="n"/>
      <c r="F1170" s="166" t="n"/>
      <c r="G1170" s="162" t="n"/>
      <c r="H1170" s="162" t="n"/>
      <c r="I1170" s="189">
        <f>E1170*G1170</f>
        <v/>
      </c>
      <c r="J1170" s="195" t="n"/>
      <c r="K1170" s="162" t="n"/>
      <c r="L1170" s="168" t="n"/>
      <c r="M1170" s="75">
        <f>_xlfn.XLOOKUP(L1170,list_vat[Страна],list_vat[Ставка НДС %],0,0)</f>
        <v/>
      </c>
      <c r="N1170" s="162">
        <f>IFERROR(IF(L1170="Китай",K1170,K1170/(1+M1170)),0)</f>
        <v/>
      </c>
      <c r="O1170" s="169" t="n"/>
      <c r="P1170" s="76">
        <f>N1170*(1-O1170)</f>
        <v/>
      </c>
      <c r="Q1170" s="162" t="n"/>
      <c r="R1170" s="162">
        <f>IF(ISBLANK(Q1170),"введи курс",P1170/Q1170)</f>
        <v/>
      </c>
      <c r="S1170" s="196">
        <f>IF(AND(ISNUMBER(E1170),ISNUMBER(Q1170)),E1170*R1170,0)</f>
        <v/>
      </c>
      <c r="T1170" s="192">
        <f>$BC1170*V$11</f>
        <v/>
      </c>
      <c r="U1170" s="76">
        <f>$BC1170*W$11</f>
        <v/>
      </c>
      <c r="V1170" s="193">
        <f>+SUM(T1170:U1170)</f>
        <v/>
      </c>
      <c r="W1170" s="191" t="n"/>
      <c r="X1170" s="170" t="n"/>
      <c r="Y1170" s="76">
        <f>ROUND(IF(offer_incoterms="DDP",X1170*(S1170*(1+AW1170)+T1170),0),2)</f>
        <v/>
      </c>
      <c r="Z1170" s="188" t="n"/>
      <c r="AA1170" s="192">
        <f>IFERROR(AB1170/E1170,0)</f>
        <v/>
      </c>
      <c r="AB1170" s="76">
        <f>ROUND(SUM(S1170,V1170,Y1170:Z1170,BA1170:BB1170),2)</f>
        <v/>
      </c>
      <c r="AC1170" s="797" t="n"/>
      <c r="AD1170" s="192">
        <f t="array" ref="AD1170">IFERROR(ROUND((_xlfn.IFS(offer_sale_type="поставка",AB1170,offer_sale_type="транзит",S1170)*(1+AC1170))/E1170,2),0)</f>
        <v/>
      </c>
      <c r="AE1170" s="76">
        <f>AD1170*E1170</f>
        <v/>
      </c>
      <c r="AF1170" s="193">
        <f t="array" ref="AF1170">IFERROR(ROUND(_xlfn.IFS(offer_sale_type="поставка",AB1170,offer_sale_type="транзит",S1170)*AC1170,2),0)</f>
        <v/>
      </c>
      <c r="AG1170" s="192">
        <f>$BD1170*VLOOKUP($AG$3,$AF$4:$AG$7,2,FALSE)</f>
        <v/>
      </c>
      <c r="AH1170" s="76">
        <f>SUM(AE1170,AG1170,AI1170)*rate_forex_risk</f>
        <v/>
      </c>
      <c r="AI1170" s="193">
        <f>IF(OR(seller_region="TR",offer_sale_type="экспорт"),0,rate_fin_comm)*SUM(AZ1170,AZ1170*AW1170,T1170)</f>
        <v/>
      </c>
      <c r="AJ1170" s="118">
        <f>IFERROR(ROUND(SUM(AB1170,AF1170:AI1170)/E1170,2),0)</f>
        <v/>
      </c>
      <c r="AK1170" s="76">
        <f>AJ1170*E1170</f>
        <v/>
      </c>
      <c r="AL1170" s="174">
        <f>ROUND(IFERROR(AM1170*E1170,0),2)</f>
        <v/>
      </c>
      <c r="AM1170" s="175">
        <f>ROUND(AJ1170*(1+IF(offer_incoterms="DDP",IF((TODAY()+offer_turnaround_time)&gt;=helpsheet!$L$17,rate_vatRU_from_26,rate_vatRu_till_25),0)),2)</f>
        <v/>
      </c>
      <c r="AN1170" s="192">
        <f>AL1170-AK1170</f>
        <v/>
      </c>
      <c r="AO1170" s="76">
        <f>SUM(AY1170,Y1170:Z1170,T1170)*IF(AND(offer_incoterms="DDP",offer_sale_type&lt;&gt;"экспорт"),IF((TODAY()+offer_turnaround_time)&gt;=helpsheet!$L$17,rate_vatRU_from_26,rate_vatRu_till_25),0)</f>
        <v/>
      </c>
      <c r="AP1170" s="193">
        <f>AN1170-AO1170</f>
        <v/>
      </c>
      <c r="AQ1170" s="118">
        <f>IF(offer_sale_type="транзит",SUM(AF1170:AI1170,BA1170,BB1170),0)</f>
        <v/>
      </c>
      <c r="AR1170" s="82">
        <f>HYPERLINK("https://www.alta.ru/tnved/code/")&amp;W1170&amp;"/"</f>
        <v/>
      </c>
      <c r="AS1170" s="157" t="n"/>
      <c r="AT1170" s="162" t="n"/>
      <c r="AU1170" s="76">
        <f>IF(ISBLANK(AT1170),0,AJ1170-AT1170)</f>
        <v/>
      </c>
      <c r="AV1170" s="157" t="n"/>
      <c r="AW1170" s="75">
        <f>_xlfn.IFNA(VLOOKUP(L1170,list_vat[],3,FALSE),0)</f>
        <v/>
      </c>
      <c r="AX1170" s="76">
        <f>IFERROR(ROUND(S1170*(1+AW1170)/E1170,2),0)</f>
        <v/>
      </c>
      <c r="AY1170" s="76">
        <f>E1170*AX1170</f>
        <v/>
      </c>
      <c r="AZ1170" s="192">
        <f>S1170*(1+M1170)</f>
        <v/>
      </c>
      <c r="BA1170" s="76">
        <f>cost_fin_total*$BD1170</f>
        <v/>
      </c>
      <c r="BB1170" s="193">
        <f>credit_sales_interest*BD1170</f>
        <v/>
      </c>
      <c r="BC1170" s="102">
        <f>IFERROR(IF($I$13&gt;0,$I1170/$I$13,$S1170/$S$13),0)</f>
        <v/>
      </c>
      <c r="BD1170" s="102">
        <f>IFERROR($S1170/$S$13,0)</f>
        <v/>
      </c>
      <c r="BE1170" s="413" t="inlineStr">
        <is>
          <t>$</t>
        </is>
      </c>
    </row>
    <row r="1171" ht="12" customFormat="1" customHeight="1" s="65">
      <c r="A1171" s="43" t="n">
        <v>1156</v>
      </c>
      <c r="B1171" s="166" t="n"/>
      <c r="C1171" s="166" t="n"/>
      <c r="D1171" s="166" t="n"/>
      <c r="E1171" s="162" t="n"/>
      <c r="F1171" s="166" t="n"/>
      <c r="G1171" s="162" t="n"/>
      <c r="H1171" s="162" t="n"/>
      <c r="I1171" s="189">
        <f>E1171*G1171</f>
        <v/>
      </c>
      <c r="J1171" s="195" t="n"/>
      <c r="K1171" s="162" t="n"/>
      <c r="L1171" s="168" t="n"/>
      <c r="M1171" s="75">
        <f>_xlfn.XLOOKUP(L1171,list_vat[Страна],list_vat[Ставка НДС %],0,0)</f>
        <v/>
      </c>
      <c r="N1171" s="162">
        <f>IFERROR(IF(L1171="Китай",K1171,K1171/(1+M1171)),0)</f>
        <v/>
      </c>
      <c r="O1171" s="169" t="n"/>
      <c r="P1171" s="76">
        <f>N1171*(1-O1171)</f>
        <v/>
      </c>
      <c r="Q1171" s="162" t="n"/>
      <c r="R1171" s="162">
        <f>IF(ISBLANK(Q1171),"введи курс",P1171/Q1171)</f>
        <v/>
      </c>
      <c r="S1171" s="196">
        <f>IF(AND(ISNUMBER(E1171),ISNUMBER(Q1171)),E1171*R1171,0)</f>
        <v/>
      </c>
      <c r="T1171" s="192">
        <f>$BC1171*V$11</f>
        <v/>
      </c>
      <c r="U1171" s="76">
        <f>$BC1171*W$11</f>
        <v/>
      </c>
      <c r="V1171" s="193">
        <f>+SUM(T1171:U1171)</f>
        <v/>
      </c>
      <c r="W1171" s="191" t="n"/>
      <c r="X1171" s="170" t="n"/>
      <c r="Y1171" s="76">
        <f>ROUND(IF(offer_incoterms="DDP",X1171*(S1171*(1+AW1171)+T1171),0),2)</f>
        <v/>
      </c>
      <c r="Z1171" s="188" t="n"/>
      <c r="AA1171" s="192">
        <f>IFERROR(AB1171/E1171,0)</f>
        <v/>
      </c>
      <c r="AB1171" s="76">
        <f>ROUND(SUM(S1171,V1171,Y1171:Z1171,BA1171:BB1171),2)</f>
        <v/>
      </c>
      <c r="AC1171" s="797" t="n"/>
      <c r="AD1171" s="192">
        <f t="array" ref="AD1171">IFERROR(ROUND((_xlfn.IFS(offer_sale_type="поставка",AB1171,offer_sale_type="транзит",S1171)*(1+AC1171))/E1171,2),0)</f>
        <v/>
      </c>
      <c r="AE1171" s="76">
        <f>AD1171*E1171</f>
        <v/>
      </c>
      <c r="AF1171" s="193">
        <f t="array" ref="AF1171">IFERROR(ROUND(_xlfn.IFS(offer_sale_type="поставка",AB1171,offer_sale_type="транзит",S1171)*AC1171,2),0)</f>
        <v/>
      </c>
      <c r="AG1171" s="192">
        <f>$BD1171*VLOOKUP($AG$3,$AF$4:$AG$7,2,FALSE)</f>
        <v/>
      </c>
      <c r="AH1171" s="76">
        <f>SUM(AE1171,AG1171,AI1171)*rate_forex_risk</f>
        <v/>
      </c>
      <c r="AI1171" s="193">
        <f>IF(OR(seller_region="TR",offer_sale_type="экспорт"),0,rate_fin_comm)*SUM(AZ1171,AZ1171*AW1171,T1171)</f>
        <v/>
      </c>
      <c r="AJ1171" s="118">
        <f>IFERROR(ROUND(SUM(AB1171,AF1171:AI1171)/E1171,2),0)</f>
        <v/>
      </c>
      <c r="AK1171" s="76">
        <f>AJ1171*E1171</f>
        <v/>
      </c>
      <c r="AL1171" s="174">
        <f>ROUND(IFERROR(AM1171*E1171,0),2)</f>
        <v/>
      </c>
      <c r="AM1171" s="175">
        <f>ROUND(AJ1171*(1+IF(offer_incoterms="DDP",IF((TODAY()+offer_turnaround_time)&gt;=helpsheet!$L$17,rate_vatRU_from_26,rate_vatRu_till_25),0)),2)</f>
        <v/>
      </c>
      <c r="AN1171" s="192">
        <f>AL1171-AK1171</f>
        <v/>
      </c>
      <c r="AO1171" s="76">
        <f>SUM(AY1171,Y1171:Z1171,T1171)*IF(AND(offer_incoterms="DDP",offer_sale_type&lt;&gt;"экспорт"),IF((TODAY()+offer_turnaround_time)&gt;=helpsheet!$L$17,rate_vatRU_from_26,rate_vatRu_till_25),0)</f>
        <v/>
      </c>
      <c r="AP1171" s="193">
        <f>AN1171-AO1171</f>
        <v/>
      </c>
      <c r="AQ1171" s="118">
        <f>IF(offer_sale_type="транзит",SUM(AF1171:AI1171,BA1171,BB1171),0)</f>
        <v/>
      </c>
      <c r="AR1171" s="82">
        <f>HYPERLINK("https://www.alta.ru/tnved/code/")&amp;W1171&amp;"/"</f>
        <v/>
      </c>
      <c r="AS1171" s="157" t="n"/>
      <c r="AT1171" s="162" t="n"/>
      <c r="AU1171" s="76">
        <f>IF(ISBLANK(AT1171),0,AJ1171-AT1171)</f>
        <v/>
      </c>
      <c r="AV1171" s="157" t="n"/>
      <c r="AW1171" s="75">
        <f>_xlfn.IFNA(VLOOKUP(L1171,list_vat[],3,FALSE),0)</f>
        <v/>
      </c>
      <c r="AX1171" s="76">
        <f>IFERROR(ROUND(S1171*(1+AW1171)/E1171,2),0)</f>
        <v/>
      </c>
      <c r="AY1171" s="76">
        <f>E1171*AX1171</f>
        <v/>
      </c>
      <c r="AZ1171" s="192">
        <f>S1171*(1+M1171)</f>
        <v/>
      </c>
      <c r="BA1171" s="76">
        <f>cost_fin_total*$BD1171</f>
        <v/>
      </c>
      <c r="BB1171" s="193">
        <f>credit_sales_interest*BD1171</f>
        <v/>
      </c>
      <c r="BC1171" s="102">
        <f>IFERROR(IF($I$13&gt;0,$I1171/$I$13,$S1171/$S$13),0)</f>
        <v/>
      </c>
      <c r="BD1171" s="102">
        <f>IFERROR($S1171/$S$13,0)</f>
        <v/>
      </c>
      <c r="BE1171" s="413" t="inlineStr">
        <is>
          <t>$</t>
        </is>
      </c>
    </row>
    <row r="1172" ht="12" customFormat="1" customHeight="1" s="65">
      <c r="A1172" s="43" t="n">
        <v>1157</v>
      </c>
      <c r="B1172" s="166" t="n"/>
      <c r="C1172" s="166" t="n"/>
      <c r="D1172" s="166" t="n"/>
      <c r="E1172" s="162" t="n"/>
      <c r="F1172" s="166" t="n"/>
      <c r="G1172" s="162" t="n"/>
      <c r="H1172" s="162" t="n"/>
      <c r="I1172" s="189">
        <f>E1172*G1172</f>
        <v/>
      </c>
      <c r="J1172" s="195" t="n"/>
      <c r="K1172" s="162" t="n"/>
      <c r="L1172" s="168" t="n"/>
      <c r="M1172" s="75">
        <f>_xlfn.XLOOKUP(L1172,list_vat[Страна],list_vat[Ставка НДС %],0,0)</f>
        <v/>
      </c>
      <c r="N1172" s="162">
        <f>IFERROR(IF(L1172="Китай",K1172,K1172/(1+M1172)),0)</f>
        <v/>
      </c>
      <c r="O1172" s="169" t="n"/>
      <c r="P1172" s="76">
        <f>N1172*(1-O1172)</f>
        <v/>
      </c>
      <c r="Q1172" s="162" t="n"/>
      <c r="R1172" s="162">
        <f>IF(ISBLANK(Q1172),"введи курс",P1172/Q1172)</f>
        <v/>
      </c>
      <c r="S1172" s="196">
        <f>IF(AND(ISNUMBER(E1172),ISNUMBER(Q1172)),E1172*R1172,0)</f>
        <v/>
      </c>
      <c r="T1172" s="192">
        <f>$BC1172*V$11</f>
        <v/>
      </c>
      <c r="U1172" s="76">
        <f>$BC1172*W$11</f>
        <v/>
      </c>
      <c r="V1172" s="193">
        <f>+SUM(T1172:U1172)</f>
        <v/>
      </c>
      <c r="W1172" s="191" t="n"/>
      <c r="X1172" s="170" t="n"/>
      <c r="Y1172" s="76">
        <f>ROUND(IF(offer_incoterms="DDP",X1172*(S1172*(1+AW1172)+T1172),0),2)</f>
        <v/>
      </c>
      <c r="Z1172" s="188" t="n"/>
      <c r="AA1172" s="192">
        <f>IFERROR(AB1172/E1172,0)</f>
        <v/>
      </c>
      <c r="AB1172" s="76">
        <f>ROUND(SUM(S1172,V1172,Y1172:Z1172,BA1172:BB1172),2)</f>
        <v/>
      </c>
      <c r="AC1172" s="797" t="n"/>
      <c r="AD1172" s="192">
        <f t="array" ref="AD1172">IFERROR(ROUND((_xlfn.IFS(offer_sale_type="поставка",AB1172,offer_sale_type="транзит",S1172)*(1+AC1172))/E1172,2),0)</f>
        <v/>
      </c>
      <c r="AE1172" s="76">
        <f>AD1172*E1172</f>
        <v/>
      </c>
      <c r="AF1172" s="193">
        <f t="array" ref="AF1172">IFERROR(ROUND(_xlfn.IFS(offer_sale_type="поставка",AB1172,offer_sale_type="транзит",S1172)*AC1172,2),0)</f>
        <v/>
      </c>
      <c r="AG1172" s="192">
        <f>$BD1172*VLOOKUP($AG$3,$AF$4:$AG$7,2,FALSE)</f>
        <v/>
      </c>
      <c r="AH1172" s="76">
        <f>SUM(AE1172,AG1172,AI1172)*rate_forex_risk</f>
        <v/>
      </c>
      <c r="AI1172" s="193">
        <f>IF(OR(seller_region="TR",offer_sale_type="экспорт"),0,rate_fin_comm)*SUM(AZ1172,AZ1172*AW1172,T1172)</f>
        <v/>
      </c>
      <c r="AJ1172" s="118">
        <f>IFERROR(ROUND(SUM(AB1172,AF1172:AI1172)/E1172,2),0)</f>
        <v/>
      </c>
      <c r="AK1172" s="76">
        <f>AJ1172*E1172</f>
        <v/>
      </c>
      <c r="AL1172" s="174">
        <f>ROUND(IFERROR(AM1172*E1172,0),2)</f>
        <v/>
      </c>
      <c r="AM1172" s="175">
        <f>ROUND(AJ1172*(1+IF(offer_incoterms="DDP",IF((TODAY()+offer_turnaround_time)&gt;=helpsheet!$L$17,rate_vatRU_from_26,rate_vatRu_till_25),0)),2)</f>
        <v/>
      </c>
      <c r="AN1172" s="192">
        <f>AL1172-AK1172</f>
        <v/>
      </c>
      <c r="AO1172" s="76">
        <f>SUM(AY1172,Y1172:Z1172,T1172)*IF(AND(offer_incoterms="DDP",offer_sale_type&lt;&gt;"экспорт"),IF((TODAY()+offer_turnaround_time)&gt;=helpsheet!$L$17,rate_vatRU_from_26,rate_vatRu_till_25),0)</f>
        <v/>
      </c>
      <c r="AP1172" s="193">
        <f>AN1172-AO1172</f>
        <v/>
      </c>
      <c r="AQ1172" s="118">
        <f>IF(offer_sale_type="транзит",SUM(AF1172:AI1172,BA1172,BB1172),0)</f>
        <v/>
      </c>
      <c r="AR1172" s="82">
        <f>HYPERLINK("https://www.alta.ru/tnved/code/")&amp;W1172&amp;"/"</f>
        <v/>
      </c>
      <c r="AS1172" s="157" t="n"/>
      <c r="AT1172" s="162" t="n"/>
      <c r="AU1172" s="76">
        <f>IF(ISBLANK(AT1172),0,AJ1172-AT1172)</f>
        <v/>
      </c>
      <c r="AV1172" s="157" t="n"/>
      <c r="AW1172" s="75">
        <f>_xlfn.IFNA(VLOOKUP(L1172,list_vat[],3,FALSE),0)</f>
        <v/>
      </c>
      <c r="AX1172" s="76">
        <f>IFERROR(ROUND(S1172*(1+AW1172)/E1172,2),0)</f>
        <v/>
      </c>
      <c r="AY1172" s="76">
        <f>E1172*AX1172</f>
        <v/>
      </c>
      <c r="AZ1172" s="192">
        <f>S1172*(1+M1172)</f>
        <v/>
      </c>
      <c r="BA1172" s="76">
        <f>cost_fin_total*$BD1172</f>
        <v/>
      </c>
      <c r="BB1172" s="193">
        <f>credit_sales_interest*BD1172</f>
        <v/>
      </c>
      <c r="BC1172" s="102">
        <f>IFERROR(IF($I$13&gt;0,$I1172/$I$13,$S1172/$S$13),0)</f>
        <v/>
      </c>
      <c r="BD1172" s="102">
        <f>IFERROR($S1172/$S$13,0)</f>
        <v/>
      </c>
      <c r="BE1172" s="413" t="inlineStr">
        <is>
          <t>$</t>
        </is>
      </c>
    </row>
    <row r="1173" ht="12" customFormat="1" customHeight="1" s="65">
      <c r="A1173" s="43" t="n">
        <v>1158</v>
      </c>
      <c r="B1173" s="166" t="n"/>
      <c r="C1173" s="166" t="n"/>
      <c r="D1173" s="166" t="n"/>
      <c r="E1173" s="162" t="n"/>
      <c r="F1173" s="166" t="n"/>
      <c r="G1173" s="162" t="n"/>
      <c r="H1173" s="162" t="n"/>
      <c r="I1173" s="189">
        <f>E1173*G1173</f>
        <v/>
      </c>
      <c r="J1173" s="195" t="n"/>
      <c r="K1173" s="162" t="n"/>
      <c r="L1173" s="168" t="n"/>
      <c r="M1173" s="75">
        <f>_xlfn.XLOOKUP(L1173,list_vat[Страна],list_vat[Ставка НДС %],0,0)</f>
        <v/>
      </c>
      <c r="N1173" s="162">
        <f>IFERROR(IF(L1173="Китай",K1173,K1173/(1+M1173)),0)</f>
        <v/>
      </c>
      <c r="O1173" s="169" t="n"/>
      <c r="P1173" s="76">
        <f>N1173*(1-O1173)</f>
        <v/>
      </c>
      <c r="Q1173" s="162" t="n"/>
      <c r="R1173" s="162">
        <f>IF(ISBLANK(Q1173),"введи курс",P1173/Q1173)</f>
        <v/>
      </c>
      <c r="S1173" s="196">
        <f>IF(AND(ISNUMBER(E1173),ISNUMBER(Q1173)),E1173*R1173,0)</f>
        <v/>
      </c>
      <c r="T1173" s="192">
        <f>$BC1173*V$11</f>
        <v/>
      </c>
      <c r="U1173" s="76">
        <f>$BC1173*W$11</f>
        <v/>
      </c>
      <c r="V1173" s="193">
        <f>+SUM(T1173:U1173)</f>
        <v/>
      </c>
      <c r="W1173" s="191" t="n"/>
      <c r="X1173" s="170" t="n"/>
      <c r="Y1173" s="76">
        <f>ROUND(IF(offer_incoterms="DDP",X1173*(S1173*(1+AW1173)+T1173),0),2)</f>
        <v/>
      </c>
      <c r="Z1173" s="188" t="n"/>
      <c r="AA1173" s="192">
        <f>IFERROR(AB1173/E1173,0)</f>
        <v/>
      </c>
      <c r="AB1173" s="76">
        <f>ROUND(SUM(S1173,V1173,Y1173:Z1173,BA1173:BB1173),2)</f>
        <v/>
      </c>
      <c r="AC1173" s="797" t="n"/>
      <c r="AD1173" s="192">
        <f t="array" ref="AD1173">IFERROR(ROUND((_xlfn.IFS(offer_sale_type="поставка",AB1173,offer_sale_type="транзит",S1173)*(1+AC1173))/E1173,2),0)</f>
        <v/>
      </c>
      <c r="AE1173" s="76">
        <f>AD1173*E1173</f>
        <v/>
      </c>
      <c r="AF1173" s="193">
        <f t="array" ref="AF1173">IFERROR(ROUND(_xlfn.IFS(offer_sale_type="поставка",AB1173,offer_sale_type="транзит",S1173)*AC1173,2),0)</f>
        <v/>
      </c>
      <c r="AG1173" s="192">
        <f>$BD1173*VLOOKUP($AG$3,$AF$4:$AG$7,2,FALSE)</f>
        <v/>
      </c>
      <c r="AH1173" s="76">
        <f>SUM(AE1173,AG1173,AI1173)*rate_forex_risk</f>
        <v/>
      </c>
      <c r="AI1173" s="193">
        <f>IF(OR(seller_region="TR",offer_sale_type="экспорт"),0,rate_fin_comm)*SUM(AZ1173,AZ1173*AW1173,T1173)</f>
        <v/>
      </c>
      <c r="AJ1173" s="118">
        <f>IFERROR(ROUND(SUM(AB1173,AF1173:AI1173)/E1173,2),0)</f>
        <v/>
      </c>
      <c r="AK1173" s="76">
        <f>AJ1173*E1173</f>
        <v/>
      </c>
      <c r="AL1173" s="174">
        <f>ROUND(IFERROR(AM1173*E1173,0),2)</f>
        <v/>
      </c>
      <c r="AM1173" s="175">
        <f>ROUND(AJ1173*(1+IF(offer_incoterms="DDP",IF((TODAY()+offer_turnaround_time)&gt;=helpsheet!$L$17,rate_vatRU_from_26,rate_vatRu_till_25),0)),2)</f>
        <v/>
      </c>
      <c r="AN1173" s="192">
        <f>AL1173-AK1173</f>
        <v/>
      </c>
      <c r="AO1173" s="76">
        <f>SUM(AY1173,Y1173:Z1173,T1173)*IF(AND(offer_incoterms="DDP",offer_sale_type&lt;&gt;"экспорт"),IF((TODAY()+offer_turnaround_time)&gt;=helpsheet!$L$17,rate_vatRU_from_26,rate_vatRu_till_25),0)</f>
        <v/>
      </c>
      <c r="AP1173" s="193">
        <f>AN1173-AO1173</f>
        <v/>
      </c>
      <c r="AQ1173" s="118">
        <f>IF(offer_sale_type="транзит",SUM(AF1173:AI1173,BA1173,BB1173),0)</f>
        <v/>
      </c>
      <c r="AR1173" s="82">
        <f>HYPERLINK("https://www.alta.ru/tnved/code/")&amp;W1173&amp;"/"</f>
        <v/>
      </c>
      <c r="AS1173" s="157" t="n"/>
      <c r="AT1173" s="162" t="n"/>
      <c r="AU1173" s="76">
        <f>IF(ISBLANK(AT1173),0,AJ1173-AT1173)</f>
        <v/>
      </c>
      <c r="AV1173" s="157" t="n"/>
      <c r="AW1173" s="75">
        <f>_xlfn.IFNA(VLOOKUP(L1173,list_vat[],3,FALSE),0)</f>
        <v/>
      </c>
      <c r="AX1173" s="76">
        <f>IFERROR(ROUND(S1173*(1+AW1173)/E1173,2),0)</f>
        <v/>
      </c>
      <c r="AY1173" s="76">
        <f>E1173*AX1173</f>
        <v/>
      </c>
      <c r="AZ1173" s="192">
        <f>S1173*(1+M1173)</f>
        <v/>
      </c>
      <c r="BA1173" s="76">
        <f>cost_fin_total*$BD1173</f>
        <v/>
      </c>
      <c r="BB1173" s="193">
        <f>credit_sales_interest*BD1173</f>
        <v/>
      </c>
      <c r="BC1173" s="102">
        <f>IFERROR(IF($I$13&gt;0,$I1173/$I$13,$S1173/$S$13),0)</f>
        <v/>
      </c>
      <c r="BD1173" s="102">
        <f>IFERROR($S1173/$S$13,0)</f>
        <v/>
      </c>
      <c r="BE1173" s="413" t="inlineStr">
        <is>
          <t>$</t>
        </is>
      </c>
    </row>
    <row r="1174" ht="12" customFormat="1" customHeight="1" s="65">
      <c r="A1174" s="43" t="n">
        <v>1159</v>
      </c>
      <c r="B1174" s="166" t="n"/>
      <c r="C1174" s="166" t="n"/>
      <c r="D1174" s="166" t="n"/>
      <c r="E1174" s="162" t="n"/>
      <c r="F1174" s="166" t="n"/>
      <c r="G1174" s="162" t="n"/>
      <c r="H1174" s="162" t="n"/>
      <c r="I1174" s="189">
        <f>E1174*G1174</f>
        <v/>
      </c>
      <c r="J1174" s="195" t="n"/>
      <c r="K1174" s="162" t="n"/>
      <c r="L1174" s="168" t="n"/>
      <c r="M1174" s="75">
        <f>_xlfn.XLOOKUP(L1174,list_vat[Страна],list_vat[Ставка НДС %],0,0)</f>
        <v/>
      </c>
      <c r="N1174" s="162">
        <f>IFERROR(IF(L1174="Китай",K1174,K1174/(1+M1174)),0)</f>
        <v/>
      </c>
      <c r="O1174" s="169" t="n"/>
      <c r="P1174" s="76">
        <f>N1174*(1-O1174)</f>
        <v/>
      </c>
      <c r="Q1174" s="162" t="n"/>
      <c r="R1174" s="162">
        <f>IF(ISBLANK(Q1174),"введи курс",P1174/Q1174)</f>
        <v/>
      </c>
      <c r="S1174" s="196">
        <f>IF(AND(ISNUMBER(E1174),ISNUMBER(Q1174)),E1174*R1174,0)</f>
        <v/>
      </c>
      <c r="T1174" s="192">
        <f>$BC1174*V$11</f>
        <v/>
      </c>
      <c r="U1174" s="76">
        <f>$BC1174*W$11</f>
        <v/>
      </c>
      <c r="V1174" s="193">
        <f>+SUM(T1174:U1174)</f>
        <v/>
      </c>
      <c r="W1174" s="191" t="n"/>
      <c r="X1174" s="170" t="n"/>
      <c r="Y1174" s="76">
        <f>ROUND(IF(offer_incoterms="DDP",X1174*(S1174*(1+AW1174)+T1174),0),2)</f>
        <v/>
      </c>
      <c r="Z1174" s="188" t="n"/>
      <c r="AA1174" s="192">
        <f>IFERROR(AB1174/E1174,0)</f>
        <v/>
      </c>
      <c r="AB1174" s="76">
        <f>ROUND(SUM(S1174,V1174,Y1174:Z1174,BA1174:BB1174),2)</f>
        <v/>
      </c>
      <c r="AC1174" s="797" t="n"/>
      <c r="AD1174" s="192">
        <f t="array" ref="AD1174">IFERROR(ROUND((_xlfn.IFS(offer_sale_type="поставка",AB1174,offer_sale_type="транзит",S1174)*(1+AC1174))/E1174,2),0)</f>
        <v/>
      </c>
      <c r="AE1174" s="76">
        <f>AD1174*E1174</f>
        <v/>
      </c>
      <c r="AF1174" s="193">
        <f t="array" ref="AF1174">IFERROR(ROUND(_xlfn.IFS(offer_sale_type="поставка",AB1174,offer_sale_type="транзит",S1174)*AC1174,2),0)</f>
        <v/>
      </c>
      <c r="AG1174" s="192">
        <f>$BD1174*VLOOKUP($AG$3,$AF$4:$AG$7,2,FALSE)</f>
        <v/>
      </c>
      <c r="AH1174" s="76">
        <f>SUM(AE1174,AG1174,AI1174)*rate_forex_risk</f>
        <v/>
      </c>
      <c r="AI1174" s="193">
        <f>IF(OR(seller_region="TR",offer_sale_type="экспорт"),0,rate_fin_comm)*SUM(AZ1174,AZ1174*AW1174,T1174)</f>
        <v/>
      </c>
      <c r="AJ1174" s="118">
        <f>IFERROR(ROUND(SUM(AB1174,AF1174:AI1174)/E1174,2),0)</f>
        <v/>
      </c>
      <c r="AK1174" s="76">
        <f>AJ1174*E1174</f>
        <v/>
      </c>
      <c r="AL1174" s="174">
        <f>ROUND(IFERROR(AM1174*E1174,0),2)</f>
        <v/>
      </c>
      <c r="AM1174" s="175">
        <f>ROUND(AJ1174*(1+IF(offer_incoterms="DDP",IF((TODAY()+offer_turnaround_time)&gt;=helpsheet!$L$17,rate_vatRU_from_26,rate_vatRu_till_25),0)),2)</f>
        <v/>
      </c>
      <c r="AN1174" s="192">
        <f>AL1174-AK1174</f>
        <v/>
      </c>
      <c r="AO1174" s="76">
        <f>SUM(AY1174,Y1174:Z1174,T1174)*IF(AND(offer_incoterms="DDP",offer_sale_type&lt;&gt;"экспорт"),IF((TODAY()+offer_turnaround_time)&gt;=helpsheet!$L$17,rate_vatRU_from_26,rate_vatRu_till_25),0)</f>
        <v/>
      </c>
      <c r="AP1174" s="193">
        <f>AN1174-AO1174</f>
        <v/>
      </c>
      <c r="AQ1174" s="118">
        <f>IF(offer_sale_type="транзит",SUM(AF1174:AI1174,BA1174,BB1174),0)</f>
        <v/>
      </c>
      <c r="AR1174" s="82">
        <f>HYPERLINK("https://www.alta.ru/tnved/code/")&amp;W1174&amp;"/"</f>
        <v/>
      </c>
      <c r="AS1174" s="157" t="n"/>
      <c r="AT1174" s="162" t="n"/>
      <c r="AU1174" s="76">
        <f>IF(ISBLANK(AT1174),0,AJ1174-AT1174)</f>
        <v/>
      </c>
      <c r="AV1174" s="157" t="n"/>
      <c r="AW1174" s="75">
        <f>_xlfn.IFNA(VLOOKUP(L1174,list_vat[],3,FALSE),0)</f>
        <v/>
      </c>
      <c r="AX1174" s="76">
        <f>IFERROR(ROUND(S1174*(1+AW1174)/E1174,2),0)</f>
        <v/>
      </c>
      <c r="AY1174" s="76">
        <f>E1174*AX1174</f>
        <v/>
      </c>
      <c r="AZ1174" s="192">
        <f>S1174*(1+M1174)</f>
        <v/>
      </c>
      <c r="BA1174" s="76">
        <f>cost_fin_total*$BD1174</f>
        <v/>
      </c>
      <c r="BB1174" s="193">
        <f>credit_sales_interest*BD1174</f>
        <v/>
      </c>
      <c r="BC1174" s="102">
        <f>IFERROR(IF($I$13&gt;0,$I1174/$I$13,$S1174/$S$13),0)</f>
        <v/>
      </c>
      <c r="BD1174" s="102">
        <f>IFERROR($S1174/$S$13,0)</f>
        <v/>
      </c>
      <c r="BE1174" s="413" t="inlineStr">
        <is>
          <t>$</t>
        </is>
      </c>
    </row>
    <row r="1175" ht="12" customFormat="1" customHeight="1" s="65">
      <c r="A1175" s="43" t="n">
        <v>1160</v>
      </c>
      <c r="B1175" s="166" t="n"/>
      <c r="C1175" s="166" t="n"/>
      <c r="D1175" s="166" t="n"/>
      <c r="E1175" s="162" t="n"/>
      <c r="F1175" s="166" t="n"/>
      <c r="G1175" s="162" t="n"/>
      <c r="H1175" s="162" t="n"/>
      <c r="I1175" s="189">
        <f>E1175*G1175</f>
        <v/>
      </c>
      <c r="J1175" s="195" t="n"/>
      <c r="K1175" s="162" t="n"/>
      <c r="L1175" s="168" t="n"/>
      <c r="M1175" s="75">
        <f>_xlfn.XLOOKUP(L1175,list_vat[Страна],list_vat[Ставка НДС %],0,0)</f>
        <v/>
      </c>
      <c r="N1175" s="162">
        <f>IFERROR(IF(L1175="Китай",K1175,K1175/(1+M1175)),0)</f>
        <v/>
      </c>
      <c r="O1175" s="169" t="n"/>
      <c r="P1175" s="76">
        <f>N1175*(1-O1175)</f>
        <v/>
      </c>
      <c r="Q1175" s="162" t="n"/>
      <c r="R1175" s="162">
        <f>IF(ISBLANK(Q1175),"введи курс",P1175/Q1175)</f>
        <v/>
      </c>
      <c r="S1175" s="196">
        <f>IF(AND(ISNUMBER(E1175),ISNUMBER(Q1175)),E1175*R1175,0)</f>
        <v/>
      </c>
      <c r="T1175" s="192">
        <f>$BC1175*V$11</f>
        <v/>
      </c>
      <c r="U1175" s="76">
        <f>$BC1175*W$11</f>
        <v/>
      </c>
      <c r="V1175" s="193">
        <f>+SUM(T1175:U1175)</f>
        <v/>
      </c>
      <c r="W1175" s="191" t="n"/>
      <c r="X1175" s="170" t="n"/>
      <c r="Y1175" s="76">
        <f>ROUND(IF(offer_incoterms="DDP",X1175*(S1175*(1+AW1175)+T1175),0),2)</f>
        <v/>
      </c>
      <c r="Z1175" s="188" t="n"/>
      <c r="AA1175" s="192">
        <f>IFERROR(AB1175/E1175,0)</f>
        <v/>
      </c>
      <c r="AB1175" s="76">
        <f>ROUND(SUM(S1175,V1175,Y1175:Z1175,BA1175:BB1175),2)</f>
        <v/>
      </c>
      <c r="AC1175" s="797" t="n"/>
      <c r="AD1175" s="192">
        <f t="array" ref="AD1175">IFERROR(ROUND((_xlfn.IFS(offer_sale_type="поставка",AB1175,offer_sale_type="транзит",S1175)*(1+AC1175))/E1175,2),0)</f>
        <v/>
      </c>
      <c r="AE1175" s="76">
        <f>AD1175*E1175</f>
        <v/>
      </c>
      <c r="AF1175" s="193">
        <f t="array" ref="AF1175">IFERROR(ROUND(_xlfn.IFS(offer_sale_type="поставка",AB1175,offer_sale_type="транзит",S1175)*AC1175,2),0)</f>
        <v/>
      </c>
      <c r="AG1175" s="192">
        <f>$BD1175*VLOOKUP($AG$3,$AF$4:$AG$7,2,FALSE)</f>
        <v/>
      </c>
      <c r="AH1175" s="76">
        <f>SUM(AE1175,AG1175,AI1175)*rate_forex_risk</f>
        <v/>
      </c>
      <c r="AI1175" s="193">
        <f>IF(OR(seller_region="TR",offer_sale_type="экспорт"),0,rate_fin_comm)*SUM(AZ1175,AZ1175*AW1175,T1175)</f>
        <v/>
      </c>
      <c r="AJ1175" s="118">
        <f>IFERROR(ROUND(SUM(AB1175,AF1175:AI1175)/E1175,2),0)</f>
        <v/>
      </c>
      <c r="AK1175" s="76">
        <f>AJ1175*E1175</f>
        <v/>
      </c>
      <c r="AL1175" s="174">
        <f>ROUND(IFERROR(AM1175*E1175,0),2)</f>
        <v/>
      </c>
      <c r="AM1175" s="175">
        <f>ROUND(AJ1175*(1+IF(offer_incoterms="DDP",IF((TODAY()+offer_turnaround_time)&gt;=helpsheet!$L$17,rate_vatRU_from_26,rate_vatRu_till_25),0)),2)</f>
        <v/>
      </c>
      <c r="AN1175" s="192">
        <f>AL1175-AK1175</f>
        <v/>
      </c>
      <c r="AO1175" s="76">
        <f>SUM(AY1175,Y1175:Z1175,T1175)*IF(AND(offer_incoterms="DDP",offer_sale_type&lt;&gt;"экспорт"),IF((TODAY()+offer_turnaround_time)&gt;=helpsheet!$L$17,rate_vatRU_from_26,rate_vatRu_till_25),0)</f>
        <v/>
      </c>
      <c r="AP1175" s="193">
        <f>AN1175-AO1175</f>
        <v/>
      </c>
      <c r="AQ1175" s="118">
        <f>IF(offer_sale_type="транзит",SUM(AF1175:AI1175,BA1175,BB1175),0)</f>
        <v/>
      </c>
      <c r="AR1175" s="82">
        <f>HYPERLINK("https://www.alta.ru/tnved/code/")&amp;W1175&amp;"/"</f>
        <v/>
      </c>
      <c r="AS1175" s="157" t="n"/>
      <c r="AT1175" s="162" t="n"/>
      <c r="AU1175" s="76">
        <f>IF(ISBLANK(AT1175),0,AJ1175-AT1175)</f>
        <v/>
      </c>
      <c r="AV1175" s="157" t="n"/>
      <c r="AW1175" s="75">
        <f>_xlfn.IFNA(VLOOKUP(L1175,list_vat[],3,FALSE),0)</f>
        <v/>
      </c>
      <c r="AX1175" s="76">
        <f>IFERROR(ROUND(S1175*(1+AW1175)/E1175,2),0)</f>
        <v/>
      </c>
      <c r="AY1175" s="76">
        <f>E1175*AX1175</f>
        <v/>
      </c>
      <c r="AZ1175" s="192">
        <f>S1175*(1+M1175)</f>
        <v/>
      </c>
      <c r="BA1175" s="76">
        <f>cost_fin_total*$BD1175</f>
        <v/>
      </c>
      <c r="BB1175" s="193">
        <f>credit_sales_interest*BD1175</f>
        <v/>
      </c>
      <c r="BC1175" s="102">
        <f>IFERROR(IF($I$13&gt;0,$I1175/$I$13,$S1175/$S$13),0)</f>
        <v/>
      </c>
      <c r="BD1175" s="102">
        <f>IFERROR($S1175/$S$13,0)</f>
        <v/>
      </c>
      <c r="BE1175" s="413" t="inlineStr">
        <is>
          <t>$</t>
        </is>
      </c>
    </row>
    <row r="1176" ht="12" customFormat="1" customHeight="1" s="65">
      <c r="A1176" s="43" t="n">
        <v>1161</v>
      </c>
      <c r="B1176" s="166" t="n"/>
      <c r="C1176" s="166" t="n"/>
      <c r="D1176" s="166" t="n"/>
      <c r="E1176" s="162" t="n"/>
      <c r="F1176" s="166" t="n"/>
      <c r="G1176" s="162" t="n"/>
      <c r="H1176" s="162" t="n"/>
      <c r="I1176" s="189">
        <f>E1176*G1176</f>
        <v/>
      </c>
      <c r="J1176" s="195" t="n"/>
      <c r="K1176" s="162" t="n"/>
      <c r="L1176" s="168" t="n"/>
      <c r="M1176" s="75">
        <f>_xlfn.XLOOKUP(L1176,list_vat[Страна],list_vat[Ставка НДС %],0,0)</f>
        <v/>
      </c>
      <c r="N1176" s="162">
        <f>IFERROR(IF(L1176="Китай",K1176,K1176/(1+M1176)),0)</f>
        <v/>
      </c>
      <c r="O1176" s="169" t="n"/>
      <c r="P1176" s="76">
        <f>N1176*(1-O1176)</f>
        <v/>
      </c>
      <c r="Q1176" s="162" t="n"/>
      <c r="R1176" s="162">
        <f>IF(ISBLANK(Q1176),"введи курс",P1176/Q1176)</f>
        <v/>
      </c>
      <c r="S1176" s="196">
        <f>IF(AND(ISNUMBER(E1176),ISNUMBER(Q1176)),E1176*R1176,0)</f>
        <v/>
      </c>
      <c r="T1176" s="192">
        <f>$BC1176*V$11</f>
        <v/>
      </c>
      <c r="U1176" s="76">
        <f>$BC1176*W$11</f>
        <v/>
      </c>
      <c r="V1176" s="193">
        <f>+SUM(T1176:U1176)</f>
        <v/>
      </c>
      <c r="W1176" s="191" t="n"/>
      <c r="X1176" s="170" t="n"/>
      <c r="Y1176" s="76">
        <f>ROUND(IF(offer_incoterms="DDP",X1176*(S1176*(1+AW1176)+T1176),0),2)</f>
        <v/>
      </c>
      <c r="Z1176" s="188" t="n"/>
      <c r="AA1176" s="192">
        <f>IFERROR(AB1176/E1176,0)</f>
        <v/>
      </c>
      <c r="AB1176" s="76">
        <f>ROUND(SUM(S1176,V1176,Y1176:Z1176,BA1176:BB1176),2)</f>
        <v/>
      </c>
      <c r="AC1176" s="797" t="n"/>
      <c r="AD1176" s="192">
        <f t="array" ref="AD1176">IFERROR(ROUND((_xlfn.IFS(offer_sale_type="поставка",AB1176,offer_sale_type="транзит",S1176)*(1+AC1176))/E1176,2),0)</f>
        <v/>
      </c>
      <c r="AE1176" s="76">
        <f>AD1176*E1176</f>
        <v/>
      </c>
      <c r="AF1176" s="193">
        <f t="array" ref="AF1176">IFERROR(ROUND(_xlfn.IFS(offer_sale_type="поставка",AB1176,offer_sale_type="транзит",S1176)*AC1176,2),0)</f>
        <v/>
      </c>
      <c r="AG1176" s="192">
        <f>$BD1176*VLOOKUP($AG$3,$AF$4:$AG$7,2,FALSE)</f>
        <v/>
      </c>
      <c r="AH1176" s="76">
        <f>SUM(AE1176,AG1176,AI1176)*rate_forex_risk</f>
        <v/>
      </c>
      <c r="AI1176" s="193">
        <f>IF(OR(seller_region="TR",offer_sale_type="экспорт"),0,rate_fin_comm)*SUM(AZ1176,AZ1176*AW1176,T1176)</f>
        <v/>
      </c>
      <c r="AJ1176" s="118">
        <f>IFERROR(ROUND(SUM(AB1176,AF1176:AI1176)/E1176,2),0)</f>
        <v/>
      </c>
      <c r="AK1176" s="76">
        <f>AJ1176*E1176</f>
        <v/>
      </c>
      <c r="AL1176" s="174">
        <f>ROUND(IFERROR(AM1176*E1176,0),2)</f>
        <v/>
      </c>
      <c r="AM1176" s="175">
        <f>ROUND(AJ1176*(1+IF(offer_incoterms="DDP",IF((TODAY()+offer_turnaround_time)&gt;=helpsheet!$L$17,rate_vatRU_from_26,rate_vatRu_till_25),0)),2)</f>
        <v/>
      </c>
      <c r="AN1176" s="192">
        <f>AL1176-AK1176</f>
        <v/>
      </c>
      <c r="AO1176" s="76">
        <f>SUM(AY1176,Y1176:Z1176,T1176)*IF(AND(offer_incoterms="DDP",offer_sale_type&lt;&gt;"экспорт"),IF((TODAY()+offer_turnaround_time)&gt;=helpsheet!$L$17,rate_vatRU_from_26,rate_vatRu_till_25),0)</f>
        <v/>
      </c>
      <c r="AP1176" s="193">
        <f>AN1176-AO1176</f>
        <v/>
      </c>
      <c r="AQ1176" s="118">
        <f>IF(offer_sale_type="транзит",SUM(AF1176:AI1176,BA1176,BB1176),0)</f>
        <v/>
      </c>
      <c r="AR1176" s="82">
        <f>HYPERLINK("https://www.alta.ru/tnved/code/")&amp;W1176&amp;"/"</f>
        <v/>
      </c>
      <c r="AS1176" s="157" t="n"/>
      <c r="AT1176" s="162" t="n"/>
      <c r="AU1176" s="76">
        <f>IF(ISBLANK(AT1176),0,AJ1176-AT1176)</f>
        <v/>
      </c>
      <c r="AV1176" s="157" t="n"/>
      <c r="AW1176" s="75">
        <f>_xlfn.IFNA(VLOOKUP(L1176,list_vat[],3,FALSE),0)</f>
        <v/>
      </c>
      <c r="AX1176" s="76">
        <f>IFERROR(ROUND(S1176*(1+AW1176)/E1176,2),0)</f>
        <v/>
      </c>
      <c r="AY1176" s="76">
        <f>E1176*AX1176</f>
        <v/>
      </c>
      <c r="AZ1176" s="192">
        <f>S1176*(1+M1176)</f>
        <v/>
      </c>
      <c r="BA1176" s="76">
        <f>cost_fin_total*$BD1176</f>
        <v/>
      </c>
      <c r="BB1176" s="193">
        <f>credit_sales_interest*BD1176</f>
        <v/>
      </c>
      <c r="BC1176" s="102">
        <f>IFERROR(IF($I$13&gt;0,$I1176/$I$13,$S1176/$S$13),0)</f>
        <v/>
      </c>
      <c r="BD1176" s="102">
        <f>IFERROR($S1176/$S$13,0)</f>
        <v/>
      </c>
      <c r="BE1176" s="413" t="inlineStr">
        <is>
          <t>$</t>
        </is>
      </c>
    </row>
    <row r="1177" ht="12" customFormat="1" customHeight="1" s="65">
      <c r="A1177" s="43" t="n">
        <v>1162</v>
      </c>
      <c r="B1177" s="166" t="n"/>
      <c r="C1177" s="166" t="n"/>
      <c r="D1177" s="166" t="n"/>
      <c r="E1177" s="162" t="n"/>
      <c r="F1177" s="166" t="n"/>
      <c r="G1177" s="162" t="n"/>
      <c r="H1177" s="162" t="n"/>
      <c r="I1177" s="189">
        <f>E1177*G1177</f>
        <v/>
      </c>
      <c r="J1177" s="195" t="n"/>
      <c r="K1177" s="162" t="n"/>
      <c r="L1177" s="168" t="n"/>
      <c r="M1177" s="75">
        <f>_xlfn.XLOOKUP(L1177,list_vat[Страна],list_vat[Ставка НДС %],0,0)</f>
        <v/>
      </c>
      <c r="N1177" s="162">
        <f>IFERROR(IF(L1177="Китай",K1177,K1177/(1+M1177)),0)</f>
        <v/>
      </c>
      <c r="O1177" s="169" t="n"/>
      <c r="P1177" s="76">
        <f>N1177*(1-O1177)</f>
        <v/>
      </c>
      <c r="Q1177" s="162" t="n"/>
      <c r="R1177" s="162">
        <f>IF(ISBLANK(Q1177),"введи курс",P1177/Q1177)</f>
        <v/>
      </c>
      <c r="S1177" s="196">
        <f>IF(AND(ISNUMBER(E1177),ISNUMBER(Q1177)),E1177*R1177,0)</f>
        <v/>
      </c>
      <c r="T1177" s="192">
        <f>$BC1177*V$11</f>
        <v/>
      </c>
      <c r="U1177" s="76">
        <f>$BC1177*W$11</f>
        <v/>
      </c>
      <c r="V1177" s="193">
        <f>+SUM(T1177:U1177)</f>
        <v/>
      </c>
      <c r="W1177" s="191" t="n"/>
      <c r="X1177" s="170" t="n"/>
      <c r="Y1177" s="76">
        <f>ROUND(IF(offer_incoterms="DDP",X1177*(S1177*(1+AW1177)+T1177),0),2)</f>
        <v/>
      </c>
      <c r="Z1177" s="188" t="n"/>
      <c r="AA1177" s="192">
        <f>IFERROR(AB1177/E1177,0)</f>
        <v/>
      </c>
      <c r="AB1177" s="76">
        <f>ROUND(SUM(S1177,V1177,Y1177:Z1177,BA1177:BB1177),2)</f>
        <v/>
      </c>
      <c r="AC1177" s="797" t="n"/>
      <c r="AD1177" s="192">
        <f t="array" ref="AD1177">IFERROR(ROUND((_xlfn.IFS(offer_sale_type="поставка",AB1177,offer_sale_type="транзит",S1177)*(1+AC1177))/E1177,2),0)</f>
        <v/>
      </c>
      <c r="AE1177" s="76">
        <f>AD1177*E1177</f>
        <v/>
      </c>
      <c r="AF1177" s="193">
        <f t="array" ref="AF1177">IFERROR(ROUND(_xlfn.IFS(offer_sale_type="поставка",AB1177,offer_sale_type="транзит",S1177)*AC1177,2),0)</f>
        <v/>
      </c>
      <c r="AG1177" s="192">
        <f>$BD1177*VLOOKUP($AG$3,$AF$4:$AG$7,2,FALSE)</f>
        <v/>
      </c>
      <c r="AH1177" s="76">
        <f>SUM(AE1177,AG1177,AI1177)*rate_forex_risk</f>
        <v/>
      </c>
      <c r="AI1177" s="193">
        <f>IF(OR(seller_region="TR",offer_sale_type="экспорт"),0,rate_fin_comm)*SUM(AZ1177,AZ1177*AW1177,T1177)</f>
        <v/>
      </c>
      <c r="AJ1177" s="118">
        <f>IFERROR(ROUND(SUM(AB1177,AF1177:AI1177)/E1177,2),0)</f>
        <v/>
      </c>
      <c r="AK1177" s="76">
        <f>AJ1177*E1177</f>
        <v/>
      </c>
      <c r="AL1177" s="174">
        <f>ROUND(IFERROR(AM1177*E1177,0),2)</f>
        <v/>
      </c>
      <c r="AM1177" s="175">
        <f>ROUND(AJ1177*(1+IF(offer_incoterms="DDP",IF((TODAY()+offer_turnaround_time)&gt;=helpsheet!$L$17,rate_vatRU_from_26,rate_vatRu_till_25),0)),2)</f>
        <v/>
      </c>
      <c r="AN1177" s="192">
        <f>AL1177-AK1177</f>
        <v/>
      </c>
      <c r="AO1177" s="76">
        <f>SUM(AY1177,Y1177:Z1177,T1177)*IF(AND(offer_incoterms="DDP",offer_sale_type&lt;&gt;"экспорт"),IF((TODAY()+offer_turnaround_time)&gt;=helpsheet!$L$17,rate_vatRU_from_26,rate_vatRu_till_25),0)</f>
        <v/>
      </c>
      <c r="AP1177" s="193">
        <f>AN1177-AO1177</f>
        <v/>
      </c>
      <c r="AQ1177" s="118">
        <f>IF(offer_sale_type="транзит",SUM(AF1177:AI1177,BA1177,BB1177),0)</f>
        <v/>
      </c>
      <c r="AR1177" s="82">
        <f>HYPERLINK("https://www.alta.ru/tnved/code/")&amp;W1177&amp;"/"</f>
        <v/>
      </c>
      <c r="AS1177" s="157" t="n"/>
      <c r="AT1177" s="162" t="n"/>
      <c r="AU1177" s="76">
        <f>IF(ISBLANK(AT1177),0,AJ1177-AT1177)</f>
        <v/>
      </c>
      <c r="AV1177" s="157" t="n"/>
      <c r="AW1177" s="75">
        <f>_xlfn.IFNA(VLOOKUP(L1177,list_vat[],3,FALSE),0)</f>
        <v/>
      </c>
      <c r="AX1177" s="76">
        <f>IFERROR(ROUND(S1177*(1+AW1177)/E1177,2),0)</f>
        <v/>
      </c>
      <c r="AY1177" s="76">
        <f>E1177*AX1177</f>
        <v/>
      </c>
      <c r="AZ1177" s="192">
        <f>S1177*(1+M1177)</f>
        <v/>
      </c>
      <c r="BA1177" s="76">
        <f>cost_fin_total*$BD1177</f>
        <v/>
      </c>
      <c r="BB1177" s="193">
        <f>credit_sales_interest*BD1177</f>
        <v/>
      </c>
      <c r="BC1177" s="102">
        <f>IFERROR(IF($I$13&gt;0,$I1177/$I$13,$S1177/$S$13),0)</f>
        <v/>
      </c>
      <c r="BD1177" s="102">
        <f>IFERROR($S1177/$S$13,0)</f>
        <v/>
      </c>
      <c r="BE1177" s="413" t="inlineStr">
        <is>
          <t>$</t>
        </is>
      </c>
    </row>
    <row r="1178" ht="12" customFormat="1" customHeight="1" s="65">
      <c r="A1178" s="43" t="n">
        <v>1163</v>
      </c>
      <c r="B1178" s="166" t="n"/>
      <c r="C1178" s="166" t="n"/>
      <c r="D1178" s="166" t="n"/>
      <c r="E1178" s="162" t="n"/>
      <c r="F1178" s="166" t="n"/>
      <c r="G1178" s="162" t="n"/>
      <c r="H1178" s="162" t="n"/>
      <c r="I1178" s="189">
        <f>E1178*G1178</f>
        <v/>
      </c>
      <c r="J1178" s="195" t="n"/>
      <c r="K1178" s="162" t="n"/>
      <c r="L1178" s="168" t="n"/>
      <c r="M1178" s="75">
        <f>_xlfn.XLOOKUP(L1178,list_vat[Страна],list_vat[Ставка НДС %],0,0)</f>
        <v/>
      </c>
      <c r="N1178" s="162">
        <f>IFERROR(IF(L1178="Китай",K1178,K1178/(1+M1178)),0)</f>
        <v/>
      </c>
      <c r="O1178" s="169" t="n"/>
      <c r="P1178" s="76">
        <f>N1178*(1-O1178)</f>
        <v/>
      </c>
      <c r="Q1178" s="162" t="n"/>
      <c r="R1178" s="162">
        <f>IF(ISBLANK(Q1178),"введи курс",P1178/Q1178)</f>
        <v/>
      </c>
      <c r="S1178" s="196">
        <f>IF(AND(ISNUMBER(E1178),ISNUMBER(Q1178)),E1178*R1178,0)</f>
        <v/>
      </c>
      <c r="T1178" s="192">
        <f>$BC1178*V$11</f>
        <v/>
      </c>
      <c r="U1178" s="76">
        <f>$BC1178*W$11</f>
        <v/>
      </c>
      <c r="V1178" s="193">
        <f>+SUM(T1178:U1178)</f>
        <v/>
      </c>
      <c r="W1178" s="191" t="n"/>
      <c r="X1178" s="170" t="n"/>
      <c r="Y1178" s="76">
        <f>ROUND(IF(offer_incoterms="DDP",X1178*(S1178*(1+AW1178)+T1178),0),2)</f>
        <v/>
      </c>
      <c r="Z1178" s="188" t="n"/>
      <c r="AA1178" s="192">
        <f>IFERROR(AB1178/E1178,0)</f>
        <v/>
      </c>
      <c r="AB1178" s="76">
        <f>ROUND(SUM(S1178,V1178,Y1178:Z1178,BA1178:BB1178),2)</f>
        <v/>
      </c>
      <c r="AC1178" s="797" t="n"/>
      <c r="AD1178" s="192">
        <f t="array" ref="AD1178">IFERROR(ROUND((_xlfn.IFS(offer_sale_type="поставка",AB1178,offer_sale_type="транзит",S1178)*(1+AC1178))/E1178,2),0)</f>
        <v/>
      </c>
      <c r="AE1178" s="76">
        <f>AD1178*E1178</f>
        <v/>
      </c>
      <c r="AF1178" s="193">
        <f t="array" ref="AF1178">IFERROR(ROUND(_xlfn.IFS(offer_sale_type="поставка",AB1178,offer_sale_type="транзит",S1178)*AC1178,2),0)</f>
        <v/>
      </c>
      <c r="AG1178" s="192">
        <f>$BD1178*VLOOKUP($AG$3,$AF$4:$AG$7,2,FALSE)</f>
        <v/>
      </c>
      <c r="AH1178" s="76">
        <f>SUM(AE1178,AG1178,AI1178)*rate_forex_risk</f>
        <v/>
      </c>
      <c r="AI1178" s="193">
        <f>IF(OR(seller_region="TR",offer_sale_type="экспорт"),0,rate_fin_comm)*SUM(AZ1178,AZ1178*AW1178,T1178)</f>
        <v/>
      </c>
      <c r="AJ1178" s="118">
        <f>IFERROR(ROUND(SUM(AB1178,AF1178:AI1178)/E1178,2),0)</f>
        <v/>
      </c>
      <c r="AK1178" s="76">
        <f>AJ1178*E1178</f>
        <v/>
      </c>
      <c r="AL1178" s="174">
        <f>ROUND(IFERROR(AM1178*E1178,0),2)</f>
        <v/>
      </c>
      <c r="AM1178" s="175">
        <f>ROUND(AJ1178*(1+IF(offer_incoterms="DDP",IF((TODAY()+offer_turnaround_time)&gt;=helpsheet!$L$17,rate_vatRU_from_26,rate_vatRu_till_25),0)),2)</f>
        <v/>
      </c>
      <c r="AN1178" s="192">
        <f>AL1178-AK1178</f>
        <v/>
      </c>
      <c r="AO1178" s="76">
        <f>SUM(AY1178,Y1178:Z1178,T1178)*IF(AND(offer_incoterms="DDP",offer_sale_type&lt;&gt;"экспорт"),IF((TODAY()+offer_turnaround_time)&gt;=helpsheet!$L$17,rate_vatRU_from_26,rate_vatRu_till_25),0)</f>
        <v/>
      </c>
      <c r="AP1178" s="193">
        <f>AN1178-AO1178</f>
        <v/>
      </c>
      <c r="AQ1178" s="118">
        <f>IF(offer_sale_type="транзит",SUM(AF1178:AI1178,BA1178,BB1178),0)</f>
        <v/>
      </c>
      <c r="AR1178" s="82">
        <f>HYPERLINK("https://www.alta.ru/tnved/code/")&amp;W1178&amp;"/"</f>
        <v/>
      </c>
      <c r="AS1178" s="157" t="n"/>
      <c r="AT1178" s="162" t="n"/>
      <c r="AU1178" s="76">
        <f>IF(ISBLANK(AT1178),0,AJ1178-AT1178)</f>
        <v/>
      </c>
      <c r="AV1178" s="157" t="n"/>
      <c r="AW1178" s="75">
        <f>_xlfn.IFNA(VLOOKUP(L1178,list_vat[],3,FALSE),0)</f>
        <v/>
      </c>
      <c r="AX1178" s="76">
        <f>IFERROR(ROUND(S1178*(1+AW1178)/E1178,2),0)</f>
        <v/>
      </c>
      <c r="AY1178" s="76">
        <f>E1178*AX1178</f>
        <v/>
      </c>
      <c r="AZ1178" s="192">
        <f>S1178*(1+M1178)</f>
        <v/>
      </c>
      <c r="BA1178" s="76">
        <f>cost_fin_total*$BD1178</f>
        <v/>
      </c>
      <c r="BB1178" s="193">
        <f>credit_sales_interest*BD1178</f>
        <v/>
      </c>
      <c r="BC1178" s="102">
        <f>IFERROR(IF($I$13&gt;0,$I1178/$I$13,$S1178/$S$13),0)</f>
        <v/>
      </c>
      <c r="BD1178" s="102">
        <f>IFERROR($S1178/$S$13,0)</f>
        <v/>
      </c>
      <c r="BE1178" s="413" t="inlineStr">
        <is>
          <t>$</t>
        </is>
      </c>
    </row>
    <row r="1179" ht="12" customFormat="1" customHeight="1" s="65">
      <c r="A1179" s="43" t="n">
        <v>1164</v>
      </c>
      <c r="B1179" s="166" t="n"/>
      <c r="C1179" s="166" t="n"/>
      <c r="D1179" s="166" t="n"/>
      <c r="E1179" s="162" t="n"/>
      <c r="F1179" s="166" t="n"/>
      <c r="G1179" s="162" t="n"/>
      <c r="H1179" s="162" t="n"/>
      <c r="I1179" s="189">
        <f>E1179*G1179</f>
        <v/>
      </c>
      <c r="J1179" s="195" t="n"/>
      <c r="K1179" s="162" t="n"/>
      <c r="L1179" s="168" t="n"/>
      <c r="M1179" s="75">
        <f>_xlfn.XLOOKUP(L1179,list_vat[Страна],list_vat[Ставка НДС %],0,0)</f>
        <v/>
      </c>
      <c r="N1179" s="162">
        <f>IFERROR(IF(L1179="Китай",K1179,K1179/(1+M1179)),0)</f>
        <v/>
      </c>
      <c r="O1179" s="169" t="n"/>
      <c r="P1179" s="76">
        <f>N1179*(1-O1179)</f>
        <v/>
      </c>
      <c r="Q1179" s="162" t="n"/>
      <c r="R1179" s="162">
        <f>IF(ISBLANK(Q1179),"введи курс",P1179/Q1179)</f>
        <v/>
      </c>
      <c r="S1179" s="196">
        <f>IF(AND(ISNUMBER(E1179),ISNUMBER(Q1179)),E1179*R1179,0)</f>
        <v/>
      </c>
      <c r="T1179" s="192">
        <f>$BC1179*V$11</f>
        <v/>
      </c>
      <c r="U1179" s="76">
        <f>$BC1179*W$11</f>
        <v/>
      </c>
      <c r="V1179" s="193">
        <f>+SUM(T1179:U1179)</f>
        <v/>
      </c>
      <c r="W1179" s="191" t="n"/>
      <c r="X1179" s="170" t="n"/>
      <c r="Y1179" s="76">
        <f>ROUND(IF(offer_incoterms="DDP",X1179*(S1179*(1+AW1179)+T1179),0),2)</f>
        <v/>
      </c>
      <c r="Z1179" s="188" t="n"/>
      <c r="AA1179" s="192">
        <f>IFERROR(AB1179/E1179,0)</f>
        <v/>
      </c>
      <c r="AB1179" s="76">
        <f>ROUND(SUM(S1179,V1179,Y1179:Z1179,BA1179:BB1179),2)</f>
        <v/>
      </c>
      <c r="AC1179" s="797" t="n"/>
      <c r="AD1179" s="192">
        <f t="array" ref="AD1179">IFERROR(ROUND((_xlfn.IFS(offer_sale_type="поставка",AB1179,offer_sale_type="транзит",S1179)*(1+AC1179))/E1179,2),0)</f>
        <v/>
      </c>
      <c r="AE1179" s="76">
        <f>AD1179*E1179</f>
        <v/>
      </c>
      <c r="AF1179" s="193">
        <f t="array" ref="AF1179">IFERROR(ROUND(_xlfn.IFS(offer_sale_type="поставка",AB1179,offer_sale_type="транзит",S1179)*AC1179,2),0)</f>
        <v/>
      </c>
      <c r="AG1179" s="192">
        <f>$BD1179*VLOOKUP($AG$3,$AF$4:$AG$7,2,FALSE)</f>
        <v/>
      </c>
      <c r="AH1179" s="76">
        <f>SUM(AE1179,AG1179,AI1179)*rate_forex_risk</f>
        <v/>
      </c>
      <c r="AI1179" s="193">
        <f>IF(OR(seller_region="TR",offer_sale_type="экспорт"),0,rate_fin_comm)*SUM(AZ1179,AZ1179*AW1179,T1179)</f>
        <v/>
      </c>
      <c r="AJ1179" s="118">
        <f>IFERROR(ROUND(SUM(AB1179,AF1179:AI1179)/E1179,2),0)</f>
        <v/>
      </c>
      <c r="AK1179" s="76">
        <f>AJ1179*E1179</f>
        <v/>
      </c>
      <c r="AL1179" s="174">
        <f>ROUND(IFERROR(AM1179*E1179,0),2)</f>
        <v/>
      </c>
      <c r="AM1179" s="175">
        <f>ROUND(AJ1179*(1+IF(offer_incoterms="DDP",IF((TODAY()+offer_turnaround_time)&gt;=helpsheet!$L$17,rate_vatRU_from_26,rate_vatRu_till_25),0)),2)</f>
        <v/>
      </c>
      <c r="AN1179" s="192">
        <f>AL1179-AK1179</f>
        <v/>
      </c>
      <c r="AO1179" s="76">
        <f>SUM(AY1179,Y1179:Z1179,T1179)*IF(AND(offer_incoterms="DDP",offer_sale_type&lt;&gt;"экспорт"),IF((TODAY()+offer_turnaround_time)&gt;=helpsheet!$L$17,rate_vatRU_from_26,rate_vatRu_till_25),0)</f>
        <v/>
      </c>
      <c r="AP1179" s="193">
        <f>AN1179-AO1179</f>
        <v/>
      </c>
      <c r="AQ1179" s="118">
        <f>IF(offer_sale_type="транзит",SUM(AF1179:AI1179,BA1179,BB1179),0)</f>
        <v/>
      </c>
      <c r="AR1179" s="82">
        <f>HYPERLINK("https://www.alta.ru/tnved/code/")&amp;W1179&amp;"/"</f>
        <v/>
      </c>
      <c r="AS1179" s="157" t="n"/>
      <c r="AT1179" s="162" t="n"/>
      <c r="AU1179" s="76">
        <f>IF(ISBLANK(AT1179),0,AJ1179-AT1179)</f>
        <v/>
      </c>
      <c r="AV1179" s="157" t="n"/>
      <c r="AW1179" s="75">
        <f>_xlfn.IFNA(VLOOKUP(L1179,list_vat[],3,FALSE),0)</f>
        <v/>
      </c>
      <c r="AX1179" s="76">
        <f>IFERROR(ROUND(S1179*(1+AW1179)/E1179,2),0)</f>
        <v/>
      </c>
      <c r="AY1179" s="76">
        <f>E1179*AX1179</f>
        <v/>
      </c>
      <c r="AZ1179" s="192">
        <f>S1179*(1+M1179)</f>
        <v/>
      </c>
      <c r="BA1179" s="76">
        <f>cost_fin_total*$BD1179</f>
        <v/>
      </c>
      <c r="BB1179" s="193">
        <f>credit_sales_interest*BD1179</f>
        <v/>
      </c>
      <c r="BC1179" s="102">
        <f>IFERROR(IF($I$13&gt;0,$I1179/$I$13,$S1179/$S$13),0)</f>
        <v/>
      </c>
      <c r="BD1179" s="102">
        <f>IFERROR($S1179/$S$13,0)</f>
        <v/>
      </c>
      <c r="BE1179" s="413" t="inlineStr">
        <is>
          <t>$</t>
        </is>
      </c>
    </row>
    <row r="1180" ht="12" customFormat="1" customHeight="1" s="65">
      <c r="A1180" s="43" t="n">
        <v>1165</v>
      </c>
      <c r="B1180" s="166" t="n"/>
      <c r="C1180" s="166" t="n"/>
      <c r="D1180" s="166" t="n"/>
      <c r="E1180" s="162" t="n"/>
      <c r="F1180" s="166" t="n"/>
      <c r="G1180" s="162" t="n"/>
      <c r="H1180" s="162" t="n"/>
      <c r="I1180" s="189">
        <f>E1180*G1180</f>
        <v/>
      </c>
      <c r="J1180" s="195" t="n"/>
      <c r="K1180" s="162" t="n"/>
      <c r="L1180" s="168" t="n"/>
      <c r="M1180" s="75">
        <f>_xlfn.XLOOKUP(L1180,list_vat[Страна],list_vat[Ставка НДС %],0,0)</f>
        <v/>
      </c>
      <c r="N1180" s="162">
        <f>IFERROR(IF(L1180="Китай",K1180,K1180/(1+M1180)),0)</f>
        <v/>
      </c>
      <c r="O1180" s="169" t="n"/>
      <c r="P1180" s="76">
        <f>N1180*(1-O1180)</f>
        <v/>
      </c>
      <c r="Q1180" s="162" t="n"/>
      <c r="R1180" s="162">
        <f>IF(ISBLANK(Q1180),"введи курс",P1180/Q1180)</f>
        <v/>
      </c>
      <c r="S1180" s="196">
        <f>IF(AND(ISNUMBER(E1180),ISNUMBER(Q1180)),E1180*R1180,0)</f>
        <v/>
      </c>
      <c r="T1180" s="192">
        <f>$BC1180*V$11</f>
        <v/>
      </c>
      <c r="U1180" s="76">
        <f>$BC1180*W$11</f>
        <v/>
      </c>
      <c r="V1180" s="193">
        <f>+SUM(T1180:U1180)</f>
        <v/>
      </c>
      <c r="W1180" s="191" t="n"/>
      <c r="X1180" s="170" t="n"/>
      <c r="Y1180" s="76">
        <f>ROUND(IF(offer_incoterms="DDP",X1180*(S1180*(1+AW1180)+T1180),0),2)</f>
        <v/>
      </c>
      <c r="Z1180" s="188" t="n"/>
      <c r="AA1180" s="192">
        <f>IFERROR(AB1180/E1180,0)</f>
        <v/>
      </c>
      <c r="AB1180" s="76">
        <f>ROUND(SUM(S1180,V1180,Y1180:Z1180,BA1180:BB1180),2)</f>
        <v/>
      </c>
      <c r="AC1180" s="797" t="n"/>
      <c r="AD1180" s="192">
        <f t="array" ref="AD1180">IFERROR(ROUND((_xlfn.IFS(offer_sale_type="поставка",AB1180,offer_sale_type="транзит",S1180)*(1+AC1180))/E1180,2),0)</f>
        <v/>
      </c>
      <c r="AE1180" s="76">
        <f>AD1180*E1180</f>
        <v/>
      </c>
      <c r="AF1180" s="193">
        <f t="array" ref="AF1180">IFERROR(ROUND(_xlfn.IFS(offer_sale_type="поставка",AB1180,offer_sale_type="транзит",S1180)*AC1180,2),0)</f>
        <v/>
      </c>
      <c r="AG1180" s="192">
        <f>$BD1180*VLOOKUP($AG$3,$AF$4:$AG$7,2,FALSE)</f>
        <v/>
      </c>
      <c r="AH1180" s="76">
        <f>SUM(AE1180,AG1180,AI1180)*rate_forex_risk</f>
        <v/>
      </c>
      <c r="AI1180" s="193">
        <f>IF(OR(seller_region="TR",offer_sale_type="экспорт"),0,rate_fin_comm)*SUM(AZ1180,AZ1180*AW1180,T1180)</f>
        <v/>
      </c>
      <c r="AJ1180" s="118">
        <f>IFERROR(ROUND(SUM(AB1180,AF1180:AI1180)/E1180,2),0)</f>
        <v/>
      </c>
      <c r="AK1180" s="76">
        <f>AJ1180*E1180</f>
        <v/>
      </c>
      <c r="AL1180" s="174">
        <f>ROUND(IFERROR(AM1180*E1180,0),2)</f>
        <v/>
      </c>
      <c r="AM1180" s="175">
        <f>ROUND(AJ1180*(1+IF(offer_incoterms="DDP",IF((TODAY()+offer_turnaround_time)&gt;=helpsheet!$L$17,rate_vatRU_from_26,rate_vatRu_till_25),0)),2)</f>
        <v/>
      </c>
      <c r="AN1180" s="192">
        <f>AL1180-AK1180</f>
        <v/>
      </c>
      <c r="AO1180" s="76">
        <f>SUM(AY1180,Y1180:Z1180,T1180)*IF(AND(offer_incoterms="DDP",offer_sale_type&lt;&gt;"экспорт"),IF((TODAY()+offer_turnaround_time)&gt;=helpsheet!$L$17,rate_vatRU_from_26,rate_vatRu_till_25),0)</f>
        <v/>
      </c>
      <c r="AP1180" s="193">
        <f>AN1180-AO1180</f>
        <v/>
      </c>
      <c r="AQ1180" s="118">
        <f>IF(offer_sale_type="транзит",SUM(AF1180:AI1180,BA1180,BB1180),0)</f>
        <v/>
      </c>
      <c r="AR1180" s="82">
        <f>HYPERLINK("https://www.alta.ru/tnved/code/")&amp;W1180&amp;"/"</f>
        <v/>
      </c>
      <c r="AS1180" s="157" t="n"/>
      <c r="AT1180" s="162" t="n"/>
      <c r="AU1180" s="76">
        <f>IF(ISBLANK(AT1180),0,AJ1180-AT1180)</f>
        <v/>
      </c>
      <c r="AV1180" s="157" t="n"/>
      <c r="AW1180" s="75">
        <f>_xlfn.IFNA(VLOOKUP(L1180,list_vat[],3,FALSE),0)</f>
        <v/>
      </c>
      <c r="AX1180" s="76">
        <f>IFERROR(ROUND(S1180*(1+AW1180)/E1180,2),0)</f>
        <v/>
      </c>
      <c r="AY1180" s="76">
        <f>E1180*AX1180</f>
        <v/>
      </c>
      <c r="AZ1180" s="192">
        <f>S1180*(1+M1180)</f>
        <v/>
      </c>
      <c r="BA1180" s="76">
        <f>cost_fin_total*$BD1180</f>
        <v/>
      </c>
      <c r="BB1180" s="193">
        <f>credit_sales_interest*BD1180</f>
        <v/>
      </c>
      <c r="BC1180" s="102">
        <f>IFERROR(IF($I$13&gt;0,$I1180/$I$13,$S1180/$S$13),0)</f>
        <v/>
      </c>
      <c r="BD1180" s="102">
        <f>IFERROR($S1180/$S$13,0)</f>
        <v/>
      </c>
      <c r="BE1180" s="413" t="inlineStr">
        <is>
          <t>$</t>
        </is>
      </c>
    </row>
    <row r="1181" ht="12" customFormat="1" customHeight="1" s="65">
      <c r="A1181" s="43" t="n">
        <v>1166</v>
      </c>
      <c r="B1181" s="166" t="n"/>
      <c r="C1181" s="166" t="n"/>
      <c r="D1181" s="166" t="n"/>
      <c r="E1181" s="162" t="n"/>
      <c r="F1181" s="166" t="n"/>
      <c r="G1181" s="162" t="n"/>
      <c r="H1181" s="162" t="n"/>
      <c r="I1181" s="189">
        <f>E1181*G1181</f>
        <v/>
      </c>
      <c r="J1181" s="195" t="n"/>
      <c r="K1181" s="162" t="n"/>
      <c r="L1181" s="168" t="n"/>
      <c r="M1181" s="75">
        <f>_xlfn.XLOOKUP(L1181,list_vat[Страна],list_vat[Ставка НДС %],0,0)</f>
        <v/>
      </c>
      <c r="N1181" s="162">
        <f>IFERROR(IF(L1181="Китай",K1181,K1181/(1+M1181)),0)</f>
        <v/>
      </c>
      <c r="O1181" s="169" t="n"/>
      <c r="P1181" s="76">
        <f>N1181*(1-O1181)</f>
        <v/>
      </c>
      <c r="Q1181" s="162" t="n"/>
      <c r="R1181" s="162">
        <f>IF(ISBLANK(Q1181),"введи курс",P1181/Q1181)</f>
        <v/>
      </c>
      <c r="S1181" s="196">
        <f>IF(AND(ISNUMBER(E1181),ISNUMBER(Q1181)),E1181*R1181,0)</f>
        <v/>
      </c>
      <c r="T1181" s="192">
        <f>$BC1181*V$11</f>
        <v/>
      </c>
      <c r="U1181" s="76">
        <f>$BC1181*W$11</f>
        <v/>
      </c>
      <c r="V1181" s="193">
        <f>+SUM(T1181:U1181)</f>
        <v/>
      </c>
      <c r="W1181" s="191" t="n"/>
      <c r="X1181" s="170" t="n"/>
      <c r="Y1181" s="76">
        <f>ROUND(IF(offer_incoterms="DDP",X1181*(S1181*(1+AW1181)+T1181),0),2)</f>
        <v/>
      </c>
      <c r="Z1181" s="188" t="n"/>
      <c r="AA1181" s="192">
        <f>IFERROR(AB1181/E1181,0)</f>
        <v/>
      </c>
      <c r="AB1181" s="76">
        <f>ROUND(SUM(S1181,V1181,Y1181:Z1181,BA1181:BB1181),2)</f>
        <v/>
      </c>
      <c r="AC1181" s="797" t="n"/>
      <c r="AD1181" s="192">
        <f t="array" ref="AD1181">IFERROR(ROUND((_xlfn.IFS(offer_sale_type="поставка",AB1181,offer_sale_type="транзит",S1181)*(1+AC1181))/E1181,2),0)</f>
        <v/>
      </c>
      <c r="AE1181" s="76">
        <f>AD1181*E1181</f>
        <v/>
      </c>
      <c r="AF1181" s="193">
        <f t="array" ref="AF1181">IFERROR(ROUND(_xlfn.IFS(offer_sale_type="поставка",AB1181,offer_sale_type="транзит",S1181)*AC1181,2),0)</f>
        <v/>
      </c>
      <c r="AG1181" s="192">
        <f>$BD1181*VLOOKUP($AG$3,$AF$4:$AG$7,2,FALSE)</f>
        <v/>
      </c>
      <c r="AH1181" s="76">
        <f>SUM(AE1181,AG1181,AI1181)*rate_forex_risk</f>
        <v/>
      </c>
      <c r="AI1181" s="193">
        <f>IF(OR(seller_region="TR",offer_sale_type="экспорт"),0,rate_fin_comm)*SUM(AZ1181,AZ1181*AW1181,T1181)</f>
        <v/>
      </c>
      <c r="AJ1181" s="118">
        <f>IFERROR(ROUND(SUM(AB1181,AF1181:AI1181)/E1181,2),0)</f>
        <v/>
      </c>
      <c r="AK1181" s="76">
        <f>AJ1181*E1181</f>
        <v/>
      </c>
      <c r="AL1181" s="174">
        <f>ROUND(IFERROR(AM1181*E1181,0),2)</f>
        <v/>
      </c>
      <c r="AM1181" s="175">
        <f>ROUND(AJ1181*(1+IF(offer_incoterms="DDP",IF((TODAY()+offer_turnaround_time)&gt;=helpsheet!$L$17,rate_vatRU_from_26,rate_vatRu_till_25),0)),2)</f>
        <v/>
      </c>
      <c r="AN1181" s="192">
        <f>AL1181-AK1181</f>
        <v/>
      </c>
      <c r="AO1181" s="76">
        <f>SUM(AY1181,Y1181:Z1181,T1181)*IF(AND(offer_incoterms="DDP",offer_sale_type&lt;&gt;"экспорт"),IF((TODAY()+offer_turnaround_time)&gt;=helpsheet!$L$17,rate_vatRU_from_26,rate_vatRu_till_25),0)</f>
        <v/>
      </c>
      <c r="AP1181" s="193">
        <f>AN1181-AO1181</f>
        <v/>
      </c>
      <c r="AQ1181" s="118">
        <f>IF(offer_sale_type="транзит",SUM(AF1181:AI1181,BA1181,BB1181),0)</f>
        <v/>
      </c>
      <c r="AR1181" s="82">
        <f>HYPERLINK("https://www.alta.ru/tnved/code/")&amp;W1181&amp;"/"</f>
        <v/>
      </c>
      <c r="AS1181" s="157" t="n"/>
      <c r="AT1181" s="162" t="n"/>
      <c r="AU1181" s="76">
        <f>IF(ISBLANK(AT1181),0,AJ1181-AT1181)</f>
        <v/>
      </c>
      <c r="AV1181" s="157" t="n"/>
      <c r="AW1181" s="75">
        <f>_xlfn.IFNA(VLOOKUP(L1181,list_vat[],3,FALSE),0)</f>
        <v/>
      </c>
      <c r="AX1181" s="76">
        <f>IFERROR(ROUND(S1181*(1+AW1181)/E1181,2),0)</f>
        <v/>
      </c>
      <c r="AY1181" s="76">
        <f>E1181*AX1181</f>
        <v/>
      </c>
      <c r="AZ1181" s="192">
        <f>S1181*(1+M1181)</f>
        <v/>
      </c>
      <c r="BA1181" s="76">
        <f>cost_fin_total*$BD1181</f>
        <v/>
      </c>
      <c r="BB1181" s="193">
        <f>credit_sales_interest*BD1181</f>
        <v/>
      </c>
      <c r="BC1181" s="102">
        <f>IFERROR(IF($I$13&gt;0,$I1181/$I$13,$S1181/$S$13),0)</f>
        <v/>
      </c>
      <c r="BD1181" s="102">
        <f>IFERROR($S1181/$S$13,0)</f>
        <v/>
      </c>
      <c r="BE1181" s="413" t="inlineStr">
        <is>
          <t>$</t>
        </is>
      </c>
    </row>
    <row r="1182" ht="12" customFormat="1" customHeight="1" s="65">
      <c r="A1182" s="43" t="n">
        <v>1167</v>
      </c>
      <c r="B1182" s="166" t="n"/>
      <c r="C1182" s="166" t="n"/>
      <c r="D1182" s="166" t="n"/>
      <c r="E1182" s="162" t="n"/>
      <c r="F1182" s="166" t="n"/>
      <c r="G1182" s="162" t="n"/>
      <c r="H1182" s="162" t="n"/>
      <c r="I1182" s="189">
        <f>E1182*G1182</f>
        <v/>
      </c>
      <c r="J1182" s="195" t="n"/>
      <c r="K1182" s="162" t="n"/>
      <c r="L1182" s="168" t="n"/>
      <c r="M1182" s="75">
        <f>_xlfn.XLOOKUP(L1182,list_vat[Страна],list_vat[Ставка НДС %],0,0)</f>
        <v/>
      </c>
      <c r="N1182" s="162">
        <f>IFERROR(IF(L1182="Китай",K1182,K1182/(1+M1182)),0)</f>
        <v/>
      </c>
      <c r="O1182" s="169" t="n"/>
      <c r="P1182" s="76">
        <f>N1182*(1-O1182)</f>
        <v/>
      </c>
      <c r="Q1182" s="162" t="n"/>
      <c r="R1182" s="162">
        <f>IF(ISBLANK(Q1182),"введи курс",P1182/Q1182)</f>
        <v/>
      </c>
      <c r="S1182" s="196">
        <f>IF(AND(ISNUMBER(E1182),ISNUMBER(Q1182)),E1182*R1182,0)</f>
        <v/>
      </c>
      <c r="T1182" s="192">
        <f>$BC1182*V$11</f>
        <v/>
      </c>
      <c r="U1182" s="76">
        <f>$BC1182*W$11</f>
        <v/>
      </c>
      <c r="V1182" s="193">
        <f>+SUM(T1182:U1182)</f>
        <v/>
      </c>
      <c r="W1182" s="191" t="n"/>
      <c r="X1182" s="170" t="n"/>
      <c r="Y1182" s="76">
        <f>ROUND(IF(offer_incoterms="DDP",X1182*(S1182*(1+AW1182)+T1182),0),2)</f>
        <v/>
      </c>
      <c r="Z1182" s="188" t="n"/>
      <c r="AA1182" s="192">
        <f>IFERROR(AB1182/E1182,0)</f>
        <v/>
      </c>
      <c r="AB1182" s="76">
        <f>ROUND(SUM(S1182,V1182,Y1182:Z1182,BA1182:BB1182),2)</f>
        <v/>
      </c>
      <c r="AC1182" s="797" t="n"/>
      <c r="AD1182" s="192">
        <f t="array" ref="AD1182">IFERROR(ROUND((_xlfn.IFS(offer_sale_type="поставка",AB1182,offer_sale_type="транзит",S1182)*(1+AC1182))/E1182,2),0)</f>
        <v/>
      </c>
      <c r="AE1182" s="76">
        <f>AD1182*E1182</f>
        <v/>
      </c>
      <c r="AF1182" s="193">
        <f t="array" ref="AF1182">IFERROR(ROUND(_xlfn.IFS(offer_sale_type="поставка",AB1182,offer_sale_type="транзит",S1182)*AC1182,2),0)</f>
        <v/>
      </c>
      <c r="AG1182" s="192">
        <f>$BD1182*VLOOKUP($AG$3,$AF$4:$AG$7,2,FALSE)</f>
        <v/>
      </c>
      <c r="AH1182" s="76">
        <f>SUM(AE1182,AG1182,AI1182)*rate_forex_risk</f>
        <v/>
      </c>
      <c r="AI1182" s="193">
        <f>IF(OR(seller_region="TR",offer_sale_type="экспорт"),0,rate_fin_comm)*SUM(AZ1182,AZ1182*AW1182,T1182)</f>
        <v/>
      </c>
      <c r="AJ1182" s="118">
        <f>IFERROR(ROUND(SUM(AB1182,AF1182:AI1182)/E1182,2),0)</f>
        <v/>
      </c>
      <c r="AK1182" s="76">
        <f>AJ1182*E1182</f>
        <v/>
      </c>
      <c r="AL1182" s="174">
        <f>ROUND(IFERROR(AM1182*E1182,0),2)</f>
        <v/>
      </c>
      <c r="AM1182" s="175">
        <f>ROUND(AJ1182*(1+IF(offer_incoterms="DDP",IF((TODAY()+offer_turnaround_time)&gt;=helpsheet!$L$17,rate_vatRU_from_26,rate_vatRu_till_25),0)),2)</f>
        <v/>
      </c>
      <c r="AN1182" s="192">
        <f>AL1182-AK1182</f>
        <v/>
      </c>
      <c r="AO1182" s="76">
        <f>SUM(AY1182,Y1182:Z1182,T1182)*IF(AND(offer_incoterms="DDP",offer_sale_type&lt;&gt;"экспорт"),IF((TODAY()+offer_turnaround_time)&gt;=helpsheet!$L$17,rate_vatRU_from_26,rate_vatRu_till_25),0)</f>
        <v/>
      </c>
      <c r="AP1182" s="193">
        <f>AN1182-AO1182</f>
        <v/>
      </c>
      <c r="AQ1182" s="118">
        <f>IF(offer_sale_type="транзит",SUM(AF1182:AI1182,BA1182,BB1182),0)</f>
        <v/>
      </c>
      <c r="AR1182" s="82">
        <f>HYPERLINK("https://www.alta.ru/tnved/code/")&amp;W1182&amp;"/"</f>
        <v/>
      </c>
      <c r="AS1182" s="157" t="n"/>
      <c r="AT1182" s="162" t="n"/>
      <c r="AU1182" s="76">
        <f>IF(ISBLANK(AT1182),0,AJ1182-AT1182)</f>
        <v/>
      </c>
      <c r="AV1182" s="157" t="n"/>
      <c r="AW1182" s="75">
        <f>_xlfn.IFNA(VLOOKUP(L1182,list_vat[],3,FALSE),0)</f>
        <v/>
      </c>
      <c r="AX1182" s="76">
        <f>IFERROR(ROUND(S1182*(1+AW1182)/E1182,2),0)</f>
        <v/>
      </c>
      <c r="AY1182" s="76">
        <f>E1182*AX1182</f>
        <v/>
      </c>
      <c r="AZ1182" s="192">
        <f>S1182*(1+M1182)</f>
        <v/>
      </c>
      <c r="BA1182" s="76">
        <f>cost_fin_total*$BD1182</f>
        <v/>
      </c>
      <c r="BB1182" s="193">
        <f>credit_sales_interest*BD1182</f>
        <v/>
      </c>
      <c r="BC1182" s="102">
        <f>IFERROR(IF($I$13&gt;0,$I1182/$I$13,$S1182/$S$13),0)</f>
        <v/>
      </c>
      <c r="BD1182" s="102">
        <f>IFERROR($S1182/$S$13,0)</f>
        <v/>
      </c>
      <c r="BE1182" s="413" t="inlineStr">
        <is>
          <t>$</t>
        </is>
      </c>
    </row>
    <row r="1183" ht="12" customFormat="1" customHeight="1" s="65">
      <c r="A1183" s="43" t="n">
        <v>1168</v>
      </c>
      <c r="B1183" s="166" t="n"/>
      <c r="C1183" s="166" t="n"/>
      <c r="D1183" s="166" t="n"/>
      <c r="E1183" s="162" t="n"/>
      <c r="F1183" s="166" t="n"/>
      <c r="G1183" s="162" t="n"/>
      <c r="H1183" s="162" t="n"/>
      <c r="I1183" s="189">
        <f>E1183*G1183</f>
        <v/>
      </c>
      <c r="J1183" s="195" t="n"/>
      <c r="K1183" s="162" t="n"/>
      <c r="L1183" s="168" t="n"/>
      <c r="M1183" s="75">
        <f>_xlfn.XLOOKUP(L1183,list_vat[Страна],list_vat[Ставка НДС %],0,0)</f>
        <v/>
      </c>
      <c r="N1183" s="162">
        <f>IFERROR(IF(L1183="Китай",K1183,K1183/(1+M1183)),0)</f>
        <v/>
      </c>
      <c r="O1183" s="169" t="n"/>
      <c r="P1183" s="76">
        <f>N1183*(1-O1183)</f>
        <v/>
      </c>
      <c r="Q1183" s="162" t="n"/>
      <c r="R1183" s="162">
        <f>IF(ISBLANK(Q1183),"введи курс",P1183/Q1183)</f>
        <v/>
      </c>
      <c r="S1183" s="196">
        <f>IF(AND(ISNUMBER(E1183),ISNUMBER(Q1183)),E1183*R1183,0)</f>
        <v/>
      </c>
      <c r="T1183" s="192">
        <f>$BC1183*V$11</f>
        <v/>
      </c>
      <c r="U1183" s="76">
        <f>$BC1183*W$11</f>
        <v/>
      </c>
      <c r="V1183" s="193">
        <f>+SUM(T1183:U1183)</f>
        <v/>
      </c>
      <c r="W1183" s="191" t="n"/>
      <c r="X1183" s="170" t="n"/>
      <c r="Y1183" s="76">
        <f>ROUND(IF(offer_incoterms="DDP",X1183*(S1183*(1+AW1183)+T1183),0),2)</f>
        <v/>
      </c>
      <c r="Z1183" s="188" t="n"/>
      <c r="AA1183" s="192">
        <f>IFERROR(AB1183/E1183,0)</f>
        <v/>
      </c>
      <c r="AB1183" s="76">
        <f>ROUND(SUM(S1183,V1183,Y1183:Z1183,BA1183:BB1183),2)</f>
        <v/>
      </c>
      <c r="AC1183" s="797" t="n"/>
      <c r="AD1183" s="192">
        <f t="array" ref="AD1183">IFERROR(ROUND((_xlfn.IFS(offer_sale_type="поставка",AB1183,offer_sale_type="транзит",S1183)*(1+AC1183))/E1183,2),0)</f>
        <v/>
      </c>
      <c r="AE1183" s="76">
        <f>AD1183*E1183</f>
        <v/>
      </c>
      <c r="AF1183" s="193">
        <f t="array" ref="AF1183">IFERROR(ROUND(_xlfn.IFS(offer_sale_type="поставка",AB1183,offer_sale_type="транзит",S1183)*AC1183,2),0)</f>
        <v/>
      </c>
      <c r="AG1183" s="192">
        <f>$BD1183*VLOOKUP($AG$3,$AF$4:$AG$7,2,FALSE)</f>
        <v/>
      </c>
      <c r="AH1183" s="76">
        <f>SUM(AE1183,AG1183,AI1183)*rate_forex_risk</f>
        <v/>
      </c>
      <c r="AI1183" s="193">
        <f>IF(OR(seller_region="TR",offer_sale_type="экспорт"),0,rate_fin_comm)*SUM(AZ1183,AZ1183*AW1183,T1183)</f>
        <v/>
      </c>
      <c r="AJ1183" s="118">
        <f>IFERROR(ROUND(SUM(AB1183,AF1183:AI1183)/E1183,2),0)</f>
        <v/>
      </c>
      <c r="AK1183" s="76">
        <f>AJ1183*E1183</f>
        <v/>
      </c>
      <c r="AL1183" s="174">
        <f>ROUND(IFERROR(AM1183*E1183,0),2)</f>
        <v/>
      </c>
      <c r="AM1183" s="175">
        <f>ROUND(AJ1183*(1+IF(offer_incoterms="DDP",IF((TODAY()+offer_turnaround_time)&gt;=helpsheet!$L$17,rate_vatRU_from_26,rate_vatRu_till_25),0)),2)</f>
        <v/>
      </c>
      <c r="AN1183" s="192">
        <f>AL1183-AK1183</f>
        <v/>
      </c>
      <c r="AO1183" s="76">
        <f>SUM(AY1183,Y1183:Z1183,T1183)*IF(AND(offer_incoterms="DDP",offer_sale_type&lt;&gt;"экспорт"),IF((TODAY()+offer_turnaround_time)&gt;=helpsheet!$L$17,rate_vatRU_from_26,rate_vatRu_till_25),0)</f>
        <v/>
      </c>
      <c r="AP1183" s="193">
        <f>AN1183-AO1183</f>
        <v/>
      </c>
      <c r="AQ1183" s="118">
        <f>IF(offer_sale_type="транзит",SUM(AF1183:AI1183,BA1183,BB1183),0)</f>
        <v/>
      </c>
      <c r="AR1183" s="82">
        <f>HYPERLINK("https://www.alta.ru/tnved/code/")&amp;W1183&amp;"/"</f>
        <v/>
      </c>
      <c r="AS1183" s="157" t="n"/>
      <c r="AT1183" s="162" t="n"/>
      <c r="AU1183" s="76">
        <f>IF(ISBLANK(AT1183),0,AJ1183-AT1183)</f>
        <v/>
      </c>
      <c r="AV1183" s="157" t="n"/>
      <c r="AW1183" s="75">
        <f>_xlfn.IFNA(VLOOKUP(L1183,list_vat[],3,FALSE),0)</f>
        <v/>
      </c>
      <c r="AX1183" s="76">
        <f>IFERROR(ROUND(S1183*(1+AW1183)/E1183,2),0)</f>
        <v/>
      </c>
      <c r="AY1183" s="76">
        <f>E1183*AX1183</f>
        <v/>
      </c>
      <c r="AZ1183" s="192">
        <f>S1183*(1+M1183)</f>
        <v/>
      </c>
      <c r="BA1183" s="76">
        <f>cost_fin_total*$BD1183</f>
        <v/>
      </c>
      <c r="BB1183" s="193">
        <f>credit_sales_interest*BD1183</f>
        <v/>
      </c>
      <c r="BC1183" s="102">
        <f>IFERROR(IF($I$13&gt;0,$I1183/$I$13,$S1183/$S$13),0)</f>
        <v/>
      </c>
      <c r="BD1183" s="102">
        <f>IFERROR($S1183/$S$13,0)</f>
        <v/>
      </c>
      <c r="BE1183" s="413" t="inlineStr">
        <is>
          <t>$</t>
        </is>
      </c>
    </row>
    <row r="1184" ht="12" customFormat="1" customHeight="1" s="65">
      <c r="A1184" s="43" t="n">
        <v>1169</v>
      </c>
      <c r="B1184" s="166" t="n"/>
      <c r="C1184" s="166" t="n"/>
      <c r="D1184" s="166" t="n"/>
      <c r="E1184" s="162" t="n"/>
      <c r="F1184" s="166" t="n"/>
      <c r="G1184" s="162" t="n"/>
      <c r="H1184" s="162" t="n"/>
      <c r="I1184" s="189">
        <f>E1184*G1184</f>
        <v/>
      </c>
      <c r="J1184" s="195" t="n"/>
      <c r="K1184" s="162" t="n"/>
      <c r="L1184" s="168" t="n"/>
      <c r="M1184" s="75">
        <f>_xlfn.XLOOKUP(L1184,list_vat[Страна],list_vat[Ставка НДС %],0,0)</f>
        <v/>
      </c>
      <c r="N1184" s="162">
        <f>IFERROR(IF(L1184="Китай",K1184,K1184/(1+M1184)),0)</f>
        <v/>
      </c>
      <c r="O1184" s="169" t="n"/>
      <c r="P1184" s="76">
        <f>N1184*(1-O1184)</f>
        <v/>
      </c>
      <c r="Q1184" s="162" t="n"/>
      <c r="R1184" s="162">
        <f>IF(ISBLANK(Q1184),"введи курс",P1184/Q1184)</f>
        <v/>
      </c>
      <c r="S1184" s="196">
        <f>IF(AND(ISNUMBER(E1184),ISNUMBER(Q1184)),E1184*R1184,0)</f>
        <v/>
      </c>
      <c r="T1184" s="192">
        <f>$BC1184*V$11</f>
        <v/>
      </c>
      <c r="U1184" s="76">
        <f>$BC1184*W$11</f>
        <v/>
      </c>
      <c r="V1184" s="193">
        <f>+SUM(T1184:U1184)</f>
        <v/>
      </c>
      <c r="W1184" s="191" t="n"/>
      <c r="X1184" s="170" t="n"/>
      <c r="Y1184" s="76">
        <f>ROUND(IF(offer_incoterms="DDP",X1184*(S1184*(1+AW1184)+T1184),0),2)</f>
        <v/>
      </c>
      <c r="Z1184" s="188" t="n"/>
      <c r="AA1184" s="192">
        <f>IFERROR(AB1184/E1184,0)</f>
        <v/>
      </c>
      <c r="AB1184" s="76">
        <f>ROUND(SUM(S1184,V1184,Y1184:Z1184,BA1184:BB1184),2)</f>
        <v/>
      </c>
      <c r="AC1184" s="797" t="n"/>
      <c r="AD1184" s="192">
        <f t="array" ref="AD1184">IFERROR(ROUND((_xlfn.IFS(offer_sale_type="поставка",AB1184,offer_sale_type="транзит",S1184)*(1+AC1184))/E1184,2),0)</f>
        <v/>
      </c>
      <c r="AE1184" s="76">
        <f>AD1184*E1184</f>
        <v/>
      </c>
      <c r="AF1184" s="193">
        <f t="array" ref="AF1184">IFERROR(ROUND(_xlfn.IFS(offer_sale_type="поставка",AB1184,offer_sale_type="транзит",S1184)*AC1184,2),0)</f>
        <v/>
      </c>
      <c r="AG1184" s="192">
        <f>$BD1184*VLOOKUP($AG$3,$AF$4:$AG$7,2,FALSE)</f>
        <v/>
      </c>
      <c r="AH1184" s="76">
        <f>SUM(AE1184,AG1184,AI1184)*rate_forex_risk</f>
        <v/>
      </c>
      <c r="AI1184" s="193">
        <f>IF(OR(seller_region="TR",offer_sale_type="экспорт"),0,rate_fin_comm)*SUM(AZ1184,AZ1184*AW1184,T1184)</f>
        <v/>
      </c>
      <c r="AJ1184" s="118">
        <f>IFERROR(ROUND(SUM(AB1184,AF1184:AI1184)/E1184,2),0)</f>
        <v/>
      </c>
      <c r="AK1184" s="76">
        <f>AJ1184*E1184</f>
        <v/>
      </c>
      <c r="AL1184" s="174">
        <f>ROUND(IFERROR(AM1184*E1184,0),2)</f>
        <v/>
      </c>
      <c r="AM1184" s="175">
        <f>ROUND(AJ1184*(1+IF(offer_incoterms="DDP",IF((TODAY()+offer_turnaround_time)&gt;=helpsheet!$L$17,rate_vatRU_from_26,rate_vatRu_till_25),0)),2)</f>
        <v/>
      </c>
      <c r="AN1184" s="192">
        <f>AL1184-AK1184</f>
        <v/>
      </c>
      <c r="AO1184" s="76">
        <f>SUM(AY1184,Y1184:Z1184,T1184)*IF(AND(offer_incoterms="DDP",offer_sale_type&lt;&gt;"экспорт"),IF((TODAY()+offer_turnaround_time)&gt;=helpsheet!$L$17,rate_vatRU_from_26,rate_vatRu_till_25),0)</f>
        <v/>
      </c>
      <c r="AP1184" s="193">
        <f>AN1184-AO1184</f>
        <v/>
      </c>
      <c r="AQ1184" s="118">
        <f>IF(offer_sale_type="транзит",SUM(AF1184:AI1184,BA1184,BB1184),0)</f>
        <v/>
      </c>
      <c r="AR1184" s="82">
        <f>HYPERLINK("https://www.alta.ru/tnved/code/")&amp;W1184&amp;"/"</f>
        <v/>
      </c>
      <c r="AS1184" s="157" t="n"/>
      <c r="AT1184" s="162" t="n"/>
      <c r="AU1184" s="76">
        <f>IF(ISBLANK(AT1184),0,AJ1184-AT1184)</f>
        <v/>
      </c>
      <c r="AV1184" s="157" t="n"/>
      <c r="AW1184" s="75">
        <f>_xlfn.IFNA(VLOOKUP(L1184,list_vat[],3,FALSE),0)</f>
        <v/>
      </c>
      <c r="AX1184" s="76">
        <f>IFERROR(ROUND(S1184*(1+AW1184)/E1184,2),0)</f>
        <v/>
      </c>
      <c r="AY1184" s="76">
        <f>E1184*AX1184</f>
        <v/>
      </c>
      <c r="AZ1184" s="192">
        <f>S1184*(1+M1184)</f>
        <v/>
      </c>
      <c r="BA1184" s="76">
        <f>cost_fin_total*$BD1184</f>
        <v/>
      </c>
      <c r="BB1184" s="193">
        <f>credit_sales_interest*BD1184</f>
        <v/>
      </c>
      <c r="BC1184" s="102">
        <f>IFERROR(IF($I$13&gt;0,$I1184/$I$13,$S1184/$S$13),0)</f>
        <v/>
      </c>
      <c r="BD1184" s="102">
        <f>IFERROR($S1184/$S$13,0)</f>
        <v/>
      </c>
      <c r="BE1184" s="413" t="inlineStr">
        <is>
          <t>$</t>
        </is>
      </c>
    </row>
    <row r="1185" ht="12" customFormat="1" customHeight="1" s="65">
      <c r="A1185" s="43" t="n">
        <v>1170</v>
      </c>
      <c r="B1185" s="166" t="n"/>
      <c r="C1185" s="166" t="n"/>
      <c r="D1185" s="166" t="n"/>
      <c r="E1185" s="162" t="n"/>
      <c r="F1185" s="166" t="n"/>
      <c r="G1185" s="162" t="n"/>
      <c r="H1185" s="162" t="n"/>
      <c r="I1185" s="189">
        <f>E1185*G1185</f>
        <v/>
      </c>
      <c r="J1185" s="195" t="n"/>
      <c r="K1185" s="162" t="n"/>
      <c r="L1185" s="168" t="n"/>
      <c r="M1185" s="75">
        <f>_xlfn.XLOOKUP(L1185,list_vat[Страна],list_vat[Ставка НДС %],0,0)</f>
        <v/>
      </c>
      <c r="N1185" s="162">
        <f>IFERROR(IF(L1185="Китай",K1185,K1185/(1+M1185)),0)</f>
        <v/>
      </c>
      <c r="O1185" s="169" t="n"/>
      <c r="P1185" s="76">
        <f>N1185*(1-O1185)</f>
        <v/>
      </c>
      <c r="Q1185" s="162" t="n"/>
      <c r="R1185" s="162">
        <f>IF(ISBLANK(Q1185),"введи курс",P1185/Q1185)</f>
        <v/>
      </c>
      <c r="S1185" s="196">
        <f>IF(AND(ISNUMBER(E1185),ISNUMBER(Q1185)),E1185*R1185,0)</f>
        <v/>
      </c>
      <c r="T1185" s="192">
        <f>$BC1185*V$11</f>
        <v/>
      </c>
      <c r="U1185" s="76">
        <f>$BC1185*W$11</f>
        <v/>
      </c>
      <c r="V1185" s="193">
        <f>+SUM(T1185:U1185)</f>
        <v/>
      </c>
      <c r="W1185" s="191" t="n"/>
      <c r="X1185" s="170" t="n"/>
      <c r="Y1185" s="76">
        <f>ROUND(IF(offer_incoterms="DDP",X1185*(S1185*(1+AW1185)+T1185),0),2)</f>
        <v/>
      </c>
      <c r="Z1185" s="188" t="n"/>
      <c r="AA1185" s="192">
        <f>IFERROR(AB1185/E1185,0)</f>
        <v/>
      </c>
      <c r="AB1185" s="76">
        <f>ROUND(SUM(S1185,V1185,Y1185:Z1185,BA1185:BB1185),2)</f>
        <v/>
      </c>
      <c r="AC1185" s="797" t="n"/>
      <c r="AD1185" s="192">
        <f t="array" ref="AD1185">IFERROR(ROUND((_xlfn.IFS(offer_sale_type="поставка",AB1185,offer_sale_type="транзит",S1185)*(1+AC1185))/E1185,2),0)</f>
        <v/>
      </c>
      <c r="AE1185" s="76">
        <f>AD1185*E1185</f>
        <v/>
      </c>
      <c r="AF1185" s="193">
        <f t="array" ref="AF1185">IFERROR(ROUND(_xlfn.IFS(offer_sale_type="поставка",AB1185,offer_sale_type="транзит",S1185)*AC1185,2),0)</f>
        <v/>
      </c>
      <c r="AG1185" s="192">
        <f>$BD1185*VLOOKUP($AG$3,$AF$4:$AG$7,2,FALSE)</f>
        <v/>
      </c>
      <c r="AH1185" s="76">
        <f>SUM(AE1185,AG1185,AI1185)*rate_forex_risk</f>
        <v/>
      </c>
      <c r="AI1185" s="193">
        <f>IF(OR(seller_region="TR",offer_sale_type="экспорт"),0,rate_fin_comm)*SUM(AZ1185,AZ1185*AW1185,T1185)</f>
        <v/>
      </c>
      <c r="AJ1185" s="118">
        <f>IFERROR(ROUND(SUM(AB1185,AF1185:AI1185)/E1185,2),0)</f>
        <v/>
      </c>
      <c r="AK1185" s="76">
        <f>AJ1185*E1185</f>
        <v/>
      </c>
      <c r="AL1185" s="174">
        <f>ROUND(IFERROR(AM1185*E1185,0),2)</f>
        <v/>
      </c>
      <c r="AM1185" s="175">
        <f>ROUND(AJ1185*(1+IF(offer_incoterms="DDP",IF((TODAY()+offer_turnaround_time)&gt;=helpsheet!$L$17,rate_vatRU_from_26,rate_vatRu_till_25),0)),2)</f>
        <v/>
      </c>
      <c r="AN1185" s="192">
        <f>AL1185-AK1185</f>
        <v/>
      </c>
      <c r="AO1185" s="76">
        <f>SUM(AY1185,Y1185:Z1185,T1185)*IF(AND(offer_incoterms="DDP",offer_sale_type&lt;&gt;"экспорт"),IF((TODAY()+offer_turnaround_time)&gt;=helpsheet!$L$17,rate_vatRU_from_26,rate_vatRu_till_25),0)</f>
        <v/>
      </c>
      <c r="AP1185" s="193">
        <f>AN1185-AO1185</f>
        <v/>
      </c>
      <c r="AQ1185" s="118">
        <f>IF(offer_sale_type="транзит",SUM(AF1185:AI1185,BA1185,BB1185),0)</f>
        <v/>
      </c>
      <c r="AR1185" s="82">
        <f>HYPERLINK("https://www.alta.ru/tnved/code/")&amp;W1185&amp;"/"</f>
        <v/>
      </c>
      <c r="AS1185" s="157" t="n"/>
      <c r="AT1185" s="162" t="n"/>
      <c r="AU1185" s="76">
        <f>IF(ISBLANK(AT1185),0,AJ1185-AT1185)</f>
        <v/>
      </c>
      <c r="AV1185" s="157" t="n"/>
      <c r="AW1185" s="75">
        <f>_xlfn.IFNA(VLOOKUP(L1185,list_vat[],3,FALSE),0)</f>
        <v/>
      </c>
      <c r="AX1185" s="76">
        <f>IFERROR(ROUND(S1185*(1+AW1185)/E1185,2),0)</f>
        <v/>
      </c>
      <c r="AY1185" s="76">
        <f>E1185*AX1185</f>
        <v/>
      </c>
      <c r="AZ1185" s="192">
        <f>S1185*(1+M1185)</f>
        <v/>
      </c>
      <c r="BA1185" s="76">
        <f>cost_fin_total*$BD1185</f>
        <v/>
      </c>
      <c r="BB1185" s="193">
        <f>credit_sales_interest*BD1185</f>
        <v/>
      </c>
      <c r="BC1185" s="102">
        <f>IFERROR(IF($I$13&gt;0,$I1185/$I$13,$S1185/$S$13),0)</f>
        <v/>
      </c>
      <c r="BD1185" s="102">
        <f>IFERROR($S1185/$S$13,0)</f>
        <v/>
      </c>
      <c r="BE1185" s="413" t="inlineStr">
        <is>
          <t>$</t>
        </is>
      </c>
    </row>
    <row r="1186" ht="12" customFormat="1" customHeight="1" s="65">
      <c r="A1186" s="43" t="n">
        <v>1171</v>
      </c>
      <c r="B1186" s="166" t="n"/>
      <c r="C1186" s="166" t="n"/>
      <c r="D1186" s="166" t="n"/>
      <c r="E1186" s="162" t="n"/>
      <c r="F1186" s="166" t="n"/>
      <c r="G1186" s="162" t="n"/>
      <c r="H1186" s="162" t="n"/>
      <c r="I1186" s="189">
        <f>E1186*G1186</f>
        <v/>
      </c>
      <c r="J1186" s="195" t="n"/>
      <c r="K1186" s="162" t="n"/>
      <c r="L1186" s="168" t="n"/>
      <c r="M1186" s="75">
        <f>_xlfn.XLOOKUP(L1186,list_vat[Страна],list_vat[Ставка НДС %],0,0)</f>
        <v/>
      </c>
      <c r="N1186" s="162">
        <f>IFERROR(IF(L1186="Китай",K1186,K1186/(1+M1186)),0)</f>
        <v/>
      </c>
      <c r="O1186" s="169" t="n"/>
      <c r="P1186" s="76">
        <f>N1186*(1-O1186)</f>
        <v/>
      </c>
      <c r="Q1186" s="162" t="n"/>
      <c r="R1186" s="162">
        <f>IF(ISBLANK(Q1186),"введи курс",P1186/Q1186)</f>
        <v/>
      </c>
      <c r="S1186" s="196">
        <f>IF(AND(ISNUMBER(E1186),ISNUMBER(Q1186)),E1186*R1186,0)</f>
        <v/>
      </c>
      <c r="T1186" s="192">
        <f>$BC1186*V$11</f>
        <v/>
      </c>
      <c r="U1186" s="76">
        <f>$BC1186*W$11</f>
        <v/>
      </c>
      <c r="V1186" s="193">
        <f>+SUM(T1186:U1186)</f>
        <v/>
      </c>
      <c r="W1186" s="191" t="n"/>
      <c r="X1186" s="170" t="n"/>
      <c r="Y1186" s="76">
        <f>ROUND(IF(offer_incoterms="DDP",X1186*(S1186*(1+AW1186)+T1186),0),2)</f>
        <v/>
      </c>
      <c r="Z1186" s="188" t="n"/>
      <c r="AA1186" s="192">
        <f>IFERROR(AB1186/E1186,0)</f>
        <v/>
      </c>
      <c r="AB1186" s="76">
        <f>ROUND(SUM(S1186,V1186,Y1186:Z1186,BA1186:BB1186),2)</f>
        <v/>
      </c>
      <c r="AC1186" s="797" t="n"/>
      <c r="AD1186" s="192">
        <f t="array" ref="AD1186">IFERROR(ROUND((_xlfn.IFS(offer_sale_type="поставка",AB1186,offer_sale_type="транзит",S1186)*(1+AC1186))/E1186,2),0)</f>
        <v/>
      </c>
      <c r="AE1186" s="76">
        <f>AD1186*E1186</f>
        <v/>
      </c>
      <c r="AF1186" s="193">
        <f t="array" ref="AF1186">IFERROR(ROUND(_xlfn.IFS(offer_sale_type="поставка",AB1186,offer_sale_type="транзит",S1186)*AC1186,2),0)</f>
        <v/>
      </c>
      <c r="AG1186" s="192">
        <f>$BD1186*VLOOKUP($AG$3,$AF$4:$AG$7,2,FALSE)</f>
        <v/>
      </c>
      <c r="AH1186" s="76">
        <f>SUM(AE1186,AG1186,AI1186)*rate_forex_risk</f>
        <v/>
      </c>
      <c r="AI1186" s="193">
        <f>IF(OR(seller_region="TR",offer_sale_type="экспорт"),0,rate_fin_comm)*SUM(AZ1186,AZ1186*AW1186,T1186)</f>
        <v/>
      </c>
      <c r="AJ1186" s="118">
        <f>IFERROR(ROUND(SUM(AB1186,AF1186:AI1186)/E1186,2),0)</f>
        <v/>
      </c>
      <c r="AK1186" s="76">
        <f>AJ1186*E1186</f>
        <v/>
      </c>
      <c r="AL1186" s="174">
        <f>ROUND(IFERROR(AM1186*E1186,0),2)</f>
        <v/>
      </c>
      <c r="AM1186" s="175">
        <f>ROUND(AJ1186*(1+IF(offer_incoterms="DDP",IF((TODAY()+offer_turnaround_time)&gt;=helpsheet!$L$17,rate_vatRU_from_26,rate_vatRu_till_25),0)),2)</f>
        <v/>
      </c>
      <c r="AN1186" s="192">
        <f>AL1186-AK1186</f>
        <v/>
      </c>
      <c r="AO1186" s="76">
        <f>SUM(AY1186,Y1186:Z1186,T1186)*IF(AND(offer_incoterms="DDP",offer_sale_type&lt;&gt;"экспорт"),IF((TODAY()+offer_turnaround_time)&gt;=helpsheet!$L$17,rate_vatRU_from_26,rate_vatRu_till_25),0)</f>
        <v/>
      </c>
      <c r="AP1186" s="193">
        <f>AN1186-AO1186</f>
        <v/>
      </c>
      <c r="AQ1186" s="118">
        <f>IF(offer_sale_type="транзит",SUM(AF1186:AI1186,BA1186,BB1186),0)</f>
        <v/>
      </c>
      <c r="AR1186" s="82">
        <f>HYPERLINK("https://www.alta.ru/tnved/code/")&amp;W1186&amp;"/"</f>
        <v/>
      </c>
      <c r="AS1186" s="157" t="n"/>
      <c r="AT1186" s="162" t="n"/>
      <c r="AU1186" s="76">
        <f>IF(ISBLANK(AT1186),0,AJ1186-AT1186)</f>
        <v/>
      </c>
      <c r="AV1186" s="157" t="n"/>
      <c r="AW1186" s="75">
        <f>_xlfn.IFNA(VLOOKUP(L1186,list_vat[],3,FALSE),0)</f>
        <v/>
      </c>
      <c r="AX1186" s="76">
        <f>IFERROR(ROUND(S1186*(1+AW1186)/E1186,2),0)</f>
        <v/>
      </c>
      <c r="AY1186" s="76">
        <f>E1186*AX1186</f>
        <v/>
      </c>
      <c r="AZ1186" s="192">
        <f>S1186*(1+M1186)</f>
        <v/>
      </c>
      <c r="BA1186" s="76">
        <f>cost_fin_total*$BD1186</f>
        <v/>
      </c>
      <c r="BB1186" s="193">
        <f>credit_sales_interest*BD1186</f>
        <v/>
      </c>
      <c r="BC1186" s="102">
        <f>IFERROR(IF($I$13&gt;0,$I1186/$I$13,$S1186/$S$13),0)</f>
        <v/>
      </c>
      <c r="BD1186" s="102">
        <f>IFERROR($S1186/$S$13,0)</f>
        <v/>
      </c>
      <c r="BE1186" s="413" t="inlineStr">
        <is>
          <t>$</t>
        </is>
      </c>
    </row>
    <row r="1187" ht="12" customFormat="1" customHeight="1" s="65">
      <c r="A1187" s="43" t="n">
        <v>1172</v>
      </c>
      <c r="B1187" s="166" t="n"/>
      <c r="C1187" s="166" t="n"/>
      <c r="D1187" s="166" t="n"/>
      <c r="E1187" s="162" t="n"/>
      <c r="F1187" s="166" t="n"/>
      <c r="G1187" s="162" t="n"/>
      <c r="H1187" s="162" t="n"/>
      <c r="I1187" s="189">
        <f>E1187*G1187</f>
        <v/>
      </c>
      <c r="J1187" s="195" t="n"/>
      <c r="K1187" s="162" t="n"/>
      <c r="L1187" s="168" t="n"/>
      <c r="M1187" s="75">
        <f>_xlfn.XLOOKUP(L1187,list_vat[Страна],list_vat[Ставка НДС %],0,0)</f>
        <v/>
      </c>
      <c r="N1187" s="162">
        <f>IFERROR(IF(L1187="Китай",K1187,K1187/(1+M1187)),0)</f>
        <v/>
      </c>
      <c r="O1187" s="169" t="n"/>
      <c r="P1187" s="76">
        <f>N1187*(1-O1187)</f>
        <v/>
      </c>
      <c r="Q1187" s="162" t="n"/>
      <c r="R1187" s="162">
        <f>IF(ISBLANK(Q1187),"введи курс",P1187/Q1187)</f>
        <v/>
      </c>
      <c r="S1187" s="196">
        <f>IF(AND(ISNUMBER(E1187),ISNUMBER(Q1187)),E1187*R1187,0)</f>
        <v/>
      </c>
      <c r="T1187" s="192">
        <f>$BC1187*V$11</f>
        <v/>
      </c>
      <c r="U1187" s="76">
        <f>$BC1187*W$11</f>
        <v/>
      </c>
      <c r="V1187" s="193">
        <f>+SUM(T1187:U1187)</f>
        <v/>
      </c>
      <c r="W1187" s="191" t="n"/>
      <c r="X1187" s="170" t="n"/>
      <c r="Y1187" s="76">
        <f>ROUND(IF(offer_incoterms="DDP",X1187*(S1187*(1+AW1187)+T1187),0),2)</f>
        <v/>
      </c>
      <c r="Z1187" s="188" t="n"/>
      <c r="AA1187" s="192">
        <f>IFERROR(AB1187/E1187,0)</f>
        <v/>
      </c>
      <c r="AB1187" s="76">
        <f>ROUND(SUM(S1187,V1187,Y1187:Z1187,BA1187:BB1187),2)</f>
        <v/>
      </c>
      <c r="AC1187" s="797" t="n"/>
      <c r="AD1187" s="192">
        <f t="array" ref="AD1187">IFERROR(ROUND((_xlfn.IFS(offer_sale_type="поставка",AB1187,offer_sale_type="транзит",S1187)*(1+AC1187))/E1187,2),0)</f>
        <v/>
      </c>
      <c r="AE1187" s="76">
        <f>AD1187*E1187</f>
        <v/>
      </c>
      <c r="AF1187" s="193">
        <f t="array" ref="AF1187">IFERROR(ROUND(_xlfn.IFS(offer_sale_type="поставка",AB1187,offer_sale_type="транзит",S1187)*AC1187,2),0)</f>
        <v/>
      </c>
      <c r="AG1187" s="192">
        <f>$BD1187*VLOOKUP($AG$3,$AF$4:$AG$7,2,FALSE)</f>
        <v/>
      </c>
      <c r="AH1187" s="76">
        <f>SUM(AE1187,AG1187,AI1187)*rate_forex_risk</f>
        <v/>
      </c>
      <c r="AI1187" s="193">
        <f>IF(OR(seller_region="TR",offer_sale_type="экспорт"),0,rate_fin_comm)*SUM(AZ1187,AZ1187*AW1187,T1187)</f>
        <v/>
      </c>
      <c r="AJ1187" s="118">
        <f>IFERROR(ROUND(SUM(AB1187,AF1187:AI1187)/E1187,2),0)</f>
        <v/>
      </c>
      <c r="AK1187" s="76">
        <f>AJ1187*E1187</f>
        <v/>
      </c>
      <c r="AL1187" s="174">
        <f>ROUND(IFERROR(AM1187*E1187,0),2)</f>
        <v/>
      </c>
      <c r="AM1187" s="175">
        <f>ROUND(AJ1187*(1+IF(offer_incoterms="DDP",IF((TODAY()+offer_turnaround_time)&gt;=helpsheet!$L$17,rate_vatRU_from_26,rate_vatRu_till_25),0)),2)</f>
        <v/>
      </c>
      <c r="AN1187" s="192">
        <f>AL1187-AK1187</f>
        <v/>
      </c>
      <c r="AO1187" s="76">
        <f>SUM(AY1187,Y1187:Z1187,T1187)*IF(AND(offer_incoterms="DDP",offer_sale_type&lt;&gt;"экспорт"),IF((TODAY()+offer_turnaround_time)&gt;=helpsheet!$L$17,rate_vatRU_from_26,rate_vatRu_till_25),0)</f>
        <v/>
      </c>
      <c r="AP1187" s="193">
        <f>AN1187-AO1187</f>
        <v/>
      </c>
      <c r="AQ1187" s="118">
        <f>IF(offer_sale_type="транзит",SUM(AF1187:AI1187,BA1187,BB1187),0)</f>
        <v/>
      </c>
      <c r="AR1187" s="82">
        <f>HYPERLINK("https://www.alta.ru/tnved/code/")&amp;W1187&amp;"/"</f>
        <v/>
      </c>
      <c r="AS1187" s="157" t="n"/>
      <c r="AT1187" s="162" t="n"/>
      <c r="AU1187" s="76">
        <f>IF(ISBLANK(AT1187),0,AJ1187-AT1187)</f>
        <v/>
      </c>
      <c r="AV1187" s="157" t="n"/>
      <c r="AW1187" s="75">
        <f>_xlfn.IFNA(VLOOKUP(L1187,list_vat[],3,FALSE),0)</f>
        <v/>
      </c>
      <c r="AX1187" s="76">
        <f>IFERROR(ROUND(S1187*(1+AW1187)/E1187,2),0)</f>
        <v/>
      </c>
      <c r="AY1187" s="76">
        <f>E1187*AX1187</f>
        <v/>
      </c>
      <c r="AZ1187" s="192">
        <f>S1187*(1+M1187)</f>
        <v/>
      </c>
      <c r="BA1187" s="76">
        <f>cost_fin_total*$BD1187</f>
        <v/>
      </c>
      <c r="BB1187" s="193">
        <f>credit_sales_interest*BD1187</f>
        <v/>
      </c>
      <c r="BC1187" s="102">
        <f>IFERROR(IF($I$13&gt;0,$I1187/$I$13,$S1187/$S$13),0)</f>
        <v/>
      </c>
      <c r="BD1187" s="102">
        <f>IFERROR($S1187/$S$13,0)</f>
        <v/>
      </c>
      <c r="BE1187" s="413" t="inlineStr">
        <is>
          <t>$</t>
        </is>
      </c>
    </row>
    <row r="1188" ht="12" customFormat="1" customHeight="1" s="65">
      <c r="A1188" s="43" t="n">
        <v>1173</v>
      </c>
      <c r="B1188" s="166" t="n"/>
      <c r="C1188" s="166" t="n"/>
      <c r="D1188" s="166" t="n"/>
      <c r="E1188" s="162" t="n"/>
      <c r="F1188" s="166" t="n"/>
      <c r="G1188" s="162" t="n"/>
      <c r="H1188" s="162" t="n"/>
      <c r="I1188" s="189">
        <f>E1188*G1188</f>
        <v/>
      </c>
      <c r="J1188" s="195" t="n"/>
      <c r="K1188" s="162" t="n"/>
      <c r="L1188" s="168" t="n"/>
      <c r="M1188" s="75">
        <f>_xlfn.XLOOKUP(L1188,list_vat[Страна],list_vat[Ставка НДС %],0,0)</f>
        <v/>
      </c>
      <c r="N1188" s="162">
        <f>IFERROR(IF(L1188="Китай",K1188,K1188/(1+M1188)),0)</f>
        <v/>
      </c>
      <c r="O1188" s="169" t="n"/>
      <c r="P1188" s="76">
        <f>N1188*(1-O1188)</f>
        <v/>
      </c>
      <c r="Q1188" s="162" t="n"/>
      <c r="R1188" s="162">
        <f>IF(ISBLANK(Q1188),"введи курс",P1188/Q1188)</f>
        <v/>
      </c>
      <c r="S1188" s="196">
        <f>IF(AND(ISNUMBER(E1188),ISNUMBER(Q1188)),E1188*R1188,0)</f>
        <v/>
      </c>
      <c r="T1188" s="192">
        <f>$BC1188*V$11</f>
        <v/>
      </c>
      <c r="U1188" s="76">
        <f>$BC1188*W$11</f>
        <v/>
      </c>
      <c r="V1188" s="193">
        <f>+SUM(T1188:U1188)</f>
        <v/>
      </c>
      <c r="W1188" s="191" t="n"/>
      <c r="X1188" s="170" t="n"/>
      <c r="Y1188" s="76">
        <f>ROUND(IF(offer_incoterms="DDP",X1188*(S1188*(1+AW1188)+T1188),0),2)</f>
        <v/>
      </c>
      <c r="Z1188" s="188" t="n"/>
      <c r="AA1188" s="192">
        <f>IFERROR(AB1188/E1188,0)</f>
        <v/>
      </c>
      <c r="AB1188" s="76">
        <f>ROUND(SUM(S1188,V1188,Y1188:Z1188,BA1188:BB1188),2)</f>
        <v/>
      </c>
      <c r="AC1188" s="797" t="n"/>
      <c r="AD1188" s="192">
        <f t="array" ref="AD1188">IFERROR(ROUND((_xlfn.IFS(offer_sale_type="поставка",AB1188,offer_sale_type="транзит",S1188)*(1+AC1188))/E1188,2),0)</f>
        <v/>
      </c>
      <c r="AE1188" s="76">
        <f>AD1188*E1188</f>
        <v/>
      </c>
      <c r="AF1188" s="193">
        <f t="array" ref="AF1188">IFERROR(ROUND(_xlfn.IFS(offer_sale_type="поставка",AB1188,offer_sale_type="транзит",S1188)*AC1188,2),0)</f>
        <v/>
      </c>
      <c r="AG1188" s="192">
        <f>$BD1188*VLOOKUP($AG$3,$AF$4:$AG$7,2,FALSE)</f>
        <v/>
      </c>
      <c r="AH1188" s="76">
        <f>SUM(AE1188,AG1188,AI1188)*rate_forex_risk</f>
        <v/>
      </c>
      <c r="AI1188" s="193">
        <f>IF(OR(seller_region="TR",offer_sale_type="экспорт"),0,rate_fin_comm)*SUM(AZ1188,AZ1188*AW1188,T1188)</f>
        <v/>
      </c>
      <c r="AJ1188" s="118">
        <f>IFERROR(ROUND(SUM(AB1188,AF1188:AI1188)/E1188,2),0)</f>
        <v/>
      </c>
      <c r="AK1188" s="76">
        <f>AJ1188*E1188</f>
        <v/>
      </c>
      <c r="AL1188" s="174">
        <f>ROUND(IFERROR(AM1188*E1188,0),2)</f>
        <v/>
      </c>
      <c r="AM1188" s="175">
        <f>ROUND(AJ1188*(1+IF(offer_incoterms="DDP",IF((TODAY()+offer_turnaround_time)&gt;=helpsheet!$L$17,rate_vatRU_from_26,rate_vatRu_till_25),0)),2)</f>
        <v/>
      </c>
      <c r="AN1188" s="192">
        <f>AL1188-AK1188</f>
        <v/>
      </c>
      <c r="AO1188" s="76">
        <f>SUM(AY1188,Y1188:Z1188,T1188)*IF(AND(offer_incoterms="DDP",offer_sale_type&lt;&gt;"экспорт"),IF((TODAY()+offer_turnaround_time)&gt;=helpsheet!$L$17,rate_vatRU_from_26,rate_vatRu_till_25),0)</f>
        <v/>
      </c>
      <c r="AP1188" s="193">
        <f>AN1188-AO1188</f>
        <v/>
      </c>
      <c r="AQ1188" s="118">
        <f>IF(offer_sale_type="транзит",SUM(AF1188:AI1188,BA1188,BB1188),0)</f>
        <v/>
      </c>
      <c r="AR1188" s="82">
        <f>HYPERLINK("https://www.alta.ru/tnved/code/")&amp;W1188&amp;"/"</f>
        <v/>
      </c>
      <c r="AS1188" s="157" t="n"/>
      <c r="AT1188" s="162" t="n"/>
      <c r="AU1188" s="76">
        <f>IF(ISBLANK(AT1188),0,AJ1188-AT1188)</f>
        <v/>
      </c>
      <c r="AV1188" s="157" t="n"/>
      <c r="AW1188" s="75">
        <f>_xlfn.IFNA(VLOOKUP(L1188,list_vat[],3,FALSE),0)</f>
        <v/>
      </c>
      <c r="AX1188" s="76">
        <f>IFERROR(ROUND(S1188*(1+AW1188)/E1188,2),0)</f>
        <v/>
      </c>
      <c r="AY1188" s="76">
        <f>E1188*AX1188</f>
        <v/>
      </c>
      <c r="AZ1188" s="192">
        <f>S1188*(1+M1188)</f>
        <v/>
      </c>
      <c r="BA1188" s="76">
        <f>cost_fin_total*$BD1188</f>
        <v/>
      </c>
      <c r="BB1188" s="193">
        <f>credit_sales_interest*BD1188</f>
        <v/>
      </c>
      <c r="BC1188" s="102">
        <f>IFERROR(IF($I$13&gt;0,$I1188/$I$13,$S1188/$S$13),0)</f>
        <v/>
      </c>
      <c r="BD1188" s="102">
        <f>IFERROR($S1188/$S$13,0)</f>
        <v/>
      </c>
      <c r="BE1188" s="413" t="inlineStr">
        <is>
          <t>$</t>
        </is>
      </c>
    </row>
    <row r="1189" ht="12" customFormat="1" customHeight="1" s="65">
      <c r="A1189" s="43" t="n">
        <v>1174</v>
      </c>
      <c r="B1189" s="166" t="n"/>
      <c r="C1189" s="166" t="n"/>
      <c r="D1189" s="166" t="n"/>
      <c r="E1189" s="162" t="n"/>
      <c r="F1189" s="166" t="n"/>
      <c r="G1189" s="162" t="n"/>
      <c r="H1189" s="162" t="n"/>
      <c r="I1189" s="189">
        <f>E1189*G1189</f>
        <v/>
      </c>
      <c r="J1189" s="195" t="n"/>
      <c r="K1189" s="162" t="n"/>
      <c r="L1189" s="168" t="n"/>
      <c r="M1189" s="75">
        <f>_xlfn.XLOOKUP(L1189,list_vat[Страна],list_vat[Ставка НДС %],0,0)</f>
        <v/>
      </c>
      <c r="N1189" s="162">
        <f>IFERROR(IF(L1189="Китай",K1189,K1189/(1+M1189)),0)</f>
        <v/>
      </c>
      <c r="O1189" s="169" t="n"/>
      <c r="P1189" s="76">
        <f>N1189*(1-O1189)</f>
        <v/>
      </c>
      <c r="Q1189" s="162" t="n"/>
      <c r="R1189" s="162">
        <f>IF(ISBLANK(Q1189),"введи курс",P1189/Q1189)</f>
        <v/>
      </c>
      <c r="S1189" s="196">
        <f>IF(AND(ISNUMBER(E1189),ISNUMBER(Q1189)),E1189*R1189,0)</f>
        <v/>
      </c>
      <c r="T1189" s="192">
        <f>$BC1189*V$11</f>
        <v/>
      </c>
      <c r="U1189" s="76">
        <f>$BC1189*W$11</f>
        <v/>
      </c>
      <c r="V1189" s="193">
        <f>+SUM(T1189:U1189)</f>
        <v/>
      </c>
      <c r="W1189" s="191" t="n"/>
      <c r="X1189" s="170" t="n"/>
      <c r="Y1189" s="76">
        <f>ROUND(IF(offer_incoterms="DDP",X1189*(S1189*(1+AW1189)+T1189),0),2)</f>
        <v/>
      </c>
      <c r="Z1189" s="188" t="n"/>
      <c r="AA1189" s="192">
        <f>IFERROR(AB1189/E1189,0)</f>
        <v/>
      </c>
      <c r="AB1189" s="76">
        <f>ROUND(SUM(S1189,V1189,Y1189:Z1189,BA1189:BB1189),2)</f>
        <v/>
      </c>
      <c r="AC1189" s="797" t="n"/>
      <c r="AD1189" s="192">
        <f t="array" ref="AD1189">IFERROR(ROUND((_xlfn.IFS(offer_sale_type="поставка",AB1189,offer_sale_type="транзит",S1189)*(1+AC1189))/E1189,2),0)</f>
        <v/>
      </c>
      <c r="AE1189" s="76">
        <f>AD1189*E1189</f>
        <v/>
      </c>
      <c r="AF1189" s="193">
        <f t="array" ref="AF1189">IFERROR(ROUND(_xlfn.IFS(offer_sale_type="поставка",AB1189,offer_sale_type="транзит",S1189)*AC1189,2),0)</f>
        <v/>
      </c>
      <c r="AG1189" s="192">
        <f>$BD1189*VLOOKUP($AG$3,$AF$4:$AG$7,2,FALSE)</f>
        <v/>
      </c>
      <c r="AH1189" s="76">
        <f>SUM(AE1189,AG1189,AI1189)*rate_forex_risk</f>
        <v/>
      </c>
      <c r="AI1189" s="193">
        <f>IF(OR(seller_region="TR",offer_sale_type="экспорт"),0,rate_fin_comm)*SUM(AZ1189,AZ1189*AW1189,T1189)</f>
        <v/>
      </c>
      <c r="AJ1189" s="118">
        <f>IFERROR(ROUND(SUM(AB1189,AF1189:AI1189)/E1189,2),0)</f>
        <v/>
      </c>
      <c r="AK1189" s="76">
        <f>AJ1189*E1189</f>
        <v/>
      </c>
      <c r="AL1189" s="174">
        <f>ROUND(IFERROR(AM1189*E1189,0),2)</f>
        <v/>
      </c>
      <c r="AM1189" s="175">
        <f>ROUND(AJ1189*(1+IF(offer_incoterms="DDP",IF((TODAY()+offer_turnaround_time)&gt;=helpsheet!$L$17,rate_vatRU_from_26,rate_vatRu_till_25),0)),2)</f>
        <v/>
      </c>
      <c r="AN1189" s="192">
        <f>AL1189-AK1189</f>
        <v/>
      </c>
      <c r="AO1189" s="76">
        <f>SUM(AY1189,Y1189:Z1189,T1189)*IF(AND(offer_incoterms="DDP",offer_sale_type&lt;&gt;"экспорт"),IF((TODAY()+offer_turnaround_time)&gt;=helpsheet!$L$17,rate_vatRU_from_26,rate_vatRu_till_25),0)</f>
        <v/>
      </c>
      <c r="AP1189" s="193">
        <f>AN1189-AO1189</f>
        <v/>
      </c>
      <c r="AQ1189" s="118">
        <f>IF(offer_sale_type="транзит",SUM(AF1189:AI1189,BA1189,BB1189),0)</f>
        <v/>
      </c>
      <c r="AR1189" s="82">
        <f>HYPERLINK("https://www.alta.ru/tnved/code/")&amp;W1189&amp;"/"</f>
        <v/>
      </c>
      <c r="AS1189" s="157" t="n"/>
      <c r="AT1189" s="162" t="n"/>
      <c r="AU1189" s="76">
        <f>IF(ISBLANK(AT1189),0,AJ1189-AT1189)</f>
        <v/>
      </c>
      <c r="AV1189" s="157" t="n"/>
      <c r="AW1189" s="75">
        <f>_xlfn.IFNA(VLOOKUP(L1189,list_vat[],3,FALSE),0)</f>
        <v/>
      </c>
      <c r="AX1189" s="76">
        <f>IFERROR(ROUND(S1189*(1+AW1189)/E1189,2),0)</f>
        <v/>
      </c>
      <c r="AY1189" s="76">
        <f>E1189*AX1189</f>
        <v/>
      </c>
      <c r="AZ1189" s="192">
        <f>S1189*(1+M1189)</f>
        <v/>
      </c>
      <c r="BA1189" s="76">
        <f>cost_fin_total*$BD1189</f>
        <v/>
      </c>
      <c r="BB1189" s="193">
        <f>credit_sales_interest*BD1189</f>
        <v/>
      </c>
      <c r="BC1189" s="102">
        <f>IFERROR(IF($I$13&gt;0,$I1189/$I$13,$S1189/$S$13),0)</f>
        <v/>
      </c>
      <c r="BD1189" s="102">
        <f>IFERROR($S1189/$S$13,0)</f>
        <v/>
      </c>
      <c r="BE1189" s="413" t="inlineStr">
        <is>
          <t>$</t>
        </is>
      </c>
    </row>
    <row r="1190" ht="12" customFormat="1" customHeight="1" s="65">
      <c r="A1190" s="43" t="n">
        <v>1175</v>
      </c>
      <c r="B1190" s="166" t="n"/>
      <c r="C1190" s="166" t="n"/>
      <c r="D1190" s="166" t="n"/>
      <c r="E1190" s="162" t="n"/>
      <c r="F1190" s="166" t="n"/>
      <c r="G1190" s="162" t="n"/>
      <c r="H1190" s="162" t="n"/>
      <c r="I1190" s="189">
        <f>E1190*G1190</f>
        <v/>
      </c>
      <c r="J1190" s="195" t="n"/>
      <c r="K1190" s="162" t="n"/>
      <c r="L1190" s="168" t="n"/>
      <c r="M1190" s="75">
        <f>_xlfn.XLOOKUP(L1190,list_vat[Страна],list_vat[Ставка НДС %],0,0)</f>
        <v/>
      </c>
      <c r="N1190" s="162">
        <f>IFERROR(IF(L1190="Китай",K1190,K1190/(1+M1190)),0)</f>
        <v/>
      </c>
      <c r="O1190" s="169" t="n"/>
      <c r="P1190" s="76">
        <f>N1190*(1-O1190)</f>
        <v/>
      </c>
      <c r="Q1190" s="162" t="n"/>
      <c r="R1190" s="162">
        <f>IF(ISBLANK(Q1190),"введи курс",P1190/Q1190)</f>
        <v/>
      </c>
      <c r="S1190" s="196">
        <f>IF(AND(ISNUMBER(E1190),ISNUMBER(Q1190)),E1190*R1190,0)</f>
        <v/>
      </c>
      <c r="T1190" s="192">
        <f>$BC1190*V$11</f>
        <v/>
      </c>
      <c r="U1190" s="76">
        <f>$BC1190*W$11</f>
        <v/>
      </c>
      <c r="V1190" s="193">
        <f>+SUM(T1190:U1190)</f>
        <v/>
      </c>
      <c r="W1190" s="191" t="n"/>
      <c r="X1190" s="170" t="n"/>
      <c r="Y1190" s="76">
        <f>ROUND(IF(offer_incoterms="DDP",X1190*(S1190*(1+AW1190)+T1190),0),2)</f>
        <v/>
      </c>
      <c r="Z1190" s="188" t="n"/>
      <c r="AA1190" s="192">
        <f>IFERROR(AB1190/E1190,0)</f>
        <v/>
      </c>
      <c r="AB1190" s="76">
        <f>ROUND(SUM(S1190,V1190,Y1190:Z1190,BA1190:BB1190),2)</f>
        <v/>
      </c>
      <c r="AC1190" s="797" t="n"/>
      <c r="AD1190" s="192">
        <f t="array" ref="AD1190">IFERROR(ROUND((_xlfn.IFS(offer_sale_type="поставка",AB1190,offer_sale_type="транзит",S1190)*(1+AC1190))/E1190,2),0)</f>
        <v/>
      </c>
      <c r="AE1190" s="76">
        <f>AD1190*E1190</f>
        <v/>
      </c>
      <c r="AF1190" s="193">
        <f t="array" ref="AF1190">IFERROR(ROUND(_xlfn.IFS(offer_sale_type="поставка",AB1190,offer_sale_type="транзит",S1190)*AC1190,2),0)</f>
        <v/>
      </c>
      <c r="AG1190" s="192">
        <f>$BD1190*VLOOKUP($AG$3,$AF$4:$AG$7,2,FALSE)</f>
        <v/>
      </c>
      <c r="AH1190" s="76">
        <f>SUM(AE1190,AG1190,AI1190)*rate_forex_risk</f>
        <v/>
      </c>
      <c r="AI1190" s="193">
        <f>IF(OR(seller_region="TR",offer_sale_type="экспорт"),0,rate_fin_comm)*SUM(AZ1190,AZ1190*AW1190,T1190)</f>
        <v/>
      </c>
      <c r="AJ1190" s="118">
        <f>IFERROR(ROUND(SUM(AB1190,AF1190:AI1190)/E1190,2),0)</f>
        <v/>
      </c>
      <c r="AK1190" s="76">
        <f>AJ1190*E1190</f>
        <v/>
      </c>
      <c r="AL1190" s="174">
        <f>ROUND(IFERROR(AM1190*E1190,0),2)</f>
        <v/>
      </c>
      <c r="AM1190" s="175">
        <f>ROUND(AJ1190*(1+IF(offer_incoterms="DDP",IF((TODAY()+offer_turnaround_time)&gt;=helpsheet!$L$17,rate_vatRU_from_26,rate_vatRu_till_25),0)),2)</f>
        <v/>
      </c>
      <c r="AN1190" s="192">
        <f>AL1190-AK1190</f>
        <v/>
      </c>
      <c r="AO1190" s="76">
        <f>SUM(AY1190,Y1190:Z1190,T1190)*IF(AND(offer_incoterms="DDP",offer_sale_type&lt;&gt;"экспорт"),IF((TODAY()+offer_turnaround_time)&gt;=helpsheet!$L$17,rate_vatRU_from_26,rate_vatRu_till_25),0)</f>
        <v/>
      </c>
      <c r="AP1190" s="193">
        <f>AN1190-AO1190</f>
        <v/>
      </c>
      <c r="AQ1190" s="118">
        <f>IF(offer_sale_type="транзит",SUM(AF1190:AI1190,BA1190,BB1190),0)</f>
        <v/>
      </c>
      <c r="AR1190" s="82">
        <f>HYPERLINK("https://www.alta.ru/tnved/code/")&amp;W1190&amp;"/"</f>
        <v/>
      </c>
      <c r="AS1190" s="157" t="n"/>
      <c r="AT1190" s="162" t="n"/>
      <c r="AU1190" s="76">
        <f>IF(ISBLANK(AT1190),0,AJ1190-AT1190)</f>
        <v/>
      </c>
      <c r="AV1190" s="157" t="n"/>
      <c r="AW1190" s="75">
        <f>_xlfn.IFNA(VLOOKUP(L1190,list_vat[],3,FALSE),0)</f>
        <v/>
      </c>
      <c r="AX1190" s="76">
        <f>IFERROR(ROUND(S1190*(1+AW1190)/E1190,2),0)</f>
        <v/>
      </c>
      <c r="AY1190" s="76">
        <f>E1190*AX1190</f>
        <v/>
      </c>
      <c r="AZ1190" s="192">
        <f>S1190*(1+M1190)</f>
        <v/>
      </c>
      <c r="BA1190" s="76">
        <f>cost_fin_total*$BD1190</f>
        <v/>
      </c>
      <c r="BB1190" s="193">
        <f>credit_sales_interest*BD1190</f>
        <v/>
      </c>
      <c r="BC1190" s="102">
        <f>IFERROR(IF($I$13&gt;0,$I1190/$I$13,$S1190/$S$13),0)</f>
        <v/>
      </c>
      <c r="BD1190" s="102">
        <f>IFERROR($S1190/$S$13,0)</f>
        <v/>
      </c>
      <c r="BE1190" s="413" t="inlineStr">
        <is>
          <t>$</t>
        </is>
      </c>
    </row>
    <row r="1191" ht="12" customFormat="1" customHeight="1" s="65">
      <c r="A1191" s="43" t="n">
        <v>1176</v>
      </c>
      <c r="B1191" s="166" t="n"/>
      <c r="C1191" s="166" t="n"/>
      <c r="D1191" s="166" t="n"/>
      <c r="E1191" s="162" t="n"/>
      <c r="F1191" s="166" t="n"/>
      <c r="G1191" s="162" t="n"/>
      <c r="H1191" s="162" t="n"/>
      <c r="I1191" s="189">
        <f>E1191*G1191</f>
        <v/>
      </c>
      <c r="J1191" s="195" t="n"/>
      <c r="K1191" s="162" t="n"/>
      <c r="L1191" s="168" t="n"/>
      <c r="M1191" s="75">
        <f>_xlfn.XLOOKUP(L1191,list_vat[Страна],list_vat[Ставка НДС %],0,0)</f>
        <v/>
      </c>
      <c r="N1191" s="162">
        <f>IFERROR(IF(L1191="Китай",K1191,K1191/(1+M1191)),0)</f>
        <v/>
      </c>
      <c r="O1191" s="169" t="n"/>
      <c r="P1191" s="76">
        <f>N1191*(1-O1191)</f>
        <v/>
      </c>
      <c r="Q1191" s="162" t="n"/>
      <c r="R1191" s="162">
        <f>IF(ISBLANK(Q1191),"введи курс",P1191/Q1191)</f>
        <v/>
      </c>
      <c r="S1191" s="196">
        <f>IF(AND(ISNUMBER(E1191),ISNUMBER(Q1191)),E1191*R1191,0)</f>
        <v/>
      </c>
      <c r="T1191" s="192">
        <f>$BC1191*V$11</f>
        <v/>
      </c>
      <c r="U1191" s="76">
        <f>$BC1191*W$11</f>
        <v/>
      </c>
      <c r="V1191" s="193">
        <f>+SUM(T1191:U1191)</f>
        <v/>
      </c>
      <c r="W1191" s="191" t="n"/>
      <c r="X1191" s="170" t="n"/>
      <c r="Y1191" s="76">
        <f>ROUND(IF(offer_incoterms="DDP",X1191*(S1191*(1+AW1191)+T1191),0),2)</f>
        <v/>
      </c>
      <c r="Z1191" s="188" t="n"/>
      <c r="AA1191" s="192">
        <f>IFERROR(AB1191/E1191,0)</f>
        <v/>
      </c>
      <c r="AB1191" s="76">
        <f>ROUND(SUM(S1191,V1191,Y1191:Z1191,BA1191:BB1191),2)</f>
        <v/>
      </c>
      <c r="AC1191" s="797" t="n"/>
      <c r="AD1191" s="192">
        <f t="array" ref="AD1191">IFERROR(ROUND((_xlfn.IFS(offer_sale_type="поставка",AB1191,offer_sale_type="транзит",S1191)*(1+AC1191))/E1191,2),0)</f>
        <v/>
      </c>
      <c r="AE1191" s="76">
        <f>AD1191*E1191</f>
        <v/>
      </c>
      <c r="AF1191" s="193">
        <f t="array" ref="AF1191">IFERROR(ROUND(_xlfn.IFS(offer_sale_type="поставка",AB1191,offer_sale_type="транзит",S1191)*AC1191,2),0)</f>
        <v/>
      </c>
      <c r="AG1191" s="192">
        <f>$BD1191*VLOOKUP($AG$3,$AF$4:$AG$7,2,FALSE)</f>
        <v/>
      </c>
      <c r="AH1191" s="76">
        <f>SUM(AE1191,AG1191,AI1191)*rate_forex_risk</f>
        <v/>
      </c>
      <c r="AI1191" s="193">
        <f>IF(OR(seller_region="TR",offer_sale_type="экспорт"),0,rate_fin_comm)*SUM(AZ1191,AZ1191*AW1191,T1191)</f>
        <v/>
      </c>
      <c r="AJ1191" s="118">
        <f>IFERROR(ROUND(SUM(AB1191,AF1191:AI1191)/E1191,2),0)</f>
        <v/>
      </c>
      <c r="AK1191" s="76">
        <f>AJ1191*E1191</f>
        <v/>
      </c>
      <c r="AL1191" s="174">
        <f>ROUND(IFERROR(AM1191*E1191,0),2)</f>
        <v/>
      </c>
      <c r="AM1191" s="175">
        <f>ROUND(AJ1191*(1+IF(offer_incoterms="DDP",IF((TODAY()+offer_turnaround_time)&gt;=helpsheet!$L$17,rate_vatRU_from_26,rate_vatRu_till_25),0)),2)</f>
        <v/>
      </c>
      <c r="AN1191" s="192">
        <f>AL1191-AK1191</f>
        <v/>
      </c>
      <c r="AO1191" s="76">
        <f>SUM(AY1191,Y1191:Z1191,T1191)*IF(AND(offer_incoterms="DDP",offer_sale_type&lt;&gt;"экспорт"),IF((TODAY()+offer_turnaround_time)&gt;=helpsheet!$L$17,rate_vatRU_from_26,rate_vatRu_till_25),0)</f>
        <v/>
      </c>
      <c r="AP1191" s="193">
        <f>AN1191-AO1191</f>
        <v/>
      </c>
      <c r="AQ1191" s="118">
        <f>IF(offer_sale_type="транзит",SUM(AF1191:AI1191,BA1191,BB1191),0)</f>
        <v/>
      </c>
      <c r="AR1191" s="82">
        <f>HYPERLINK("https://www.alta.ru/tnved/code/")&amp;W1191&amp;"/"</f>
        <v/>
      </c>
      <c r="AS1191" s="157" t="n"/>
      <c r="AT1191" s="162" t="n"/>
      <c r="AU1191" s="76">
        <f>IF(ISBLANK(AT1191),0,AJ1191-AT1191)</f>
        <v/>
      </c>
      <c r="AV1191" s="157" t="n"/>
      <c r="AW1191" s="75">
        <f>_xlfn.IFNA(VLOOKUP(L1191,list_vat[],3,FALSE),0)</f>
        <v/>
      </c>
      <c r="AX1191" s="76">
        <f>IFERROR(ROUND(S1191*(1+AW1191)/E1191,2),0)</f>
        <v/>
      </c>
      <c r="AY1191" s="76">
        <f>E1191*AX1191</f>
        <v/>
      </c>
      <c r="AZ1191" s="192">
        <f>S1191*(1+M1191)</f>
        <v/>
      </c>
      <c r="BA1191" s="76">
        <f>cost_fin_total*$BD1191</f>
        <v/>
      </c>
      <c r="BB1191" s="193">
        <f>credit_sales_interest*BD1191</f>
        <v/>
      </c>
      <c r="BC1191" s="102">
        <f>IFERROR(IF($I$13&gt;0,$I1191/$I$13,$S1191/$S$13),0)</f>
        <v/>
      </c>
      <c r="BD1191" s="102">
        <f>IFERROR($S1191/$S$13,0)</f>
        <v/>
      </c>
      <c r="BE1191" s="413" t="inlineStr">
        <is>
          <t>$</t>
        </is>
      </c>
    </row>
    <row r="1192" ht="12" customFormat="1" customHeight="1" s="65">
      <c r="A1192" s="43" t="n">
        <v>1177</v>
      </c>
      <c r="B1192" s="166" t="n"/>
      <c r="C1192" s="166" t="n"/>
      <c r="D1192" s="166" t="n"/>
      <c r="E1192" s="162" t="n"/>
      <c r="F1192" s="166" t="n"/>
      <c r="G1192" s="162" t="n"/>
      <c r="H1192" s="162" t="n"/>
      <c r="I1192" s="189">
        <f>E1192*G1192</f>
        <v/>
      </c>
      <c r="J1192" s="195" t="n"/>
      <c r="K1192" s="162" t="n"/>
      <c r="L1192" s="168" t="n"/>
      <c r="M1192" s="75">
        <f>_xlfn.XLOOKUP(L1192,list_vat[Страна],list_vat[Ставка НДС %],0,0)</f>
        <v/>
      </c>
      <c r="N1192" s="162">
        <f>IFERROR(IF(L1192="Китай",K1192,K1192/(1+M1192)),0)</f>
        <v/>
      </c>
      <c r="O1192" s="169" t="n"/>
      <c r="P1192" s="76">
        <f>N1192*(1-O1192)</f>
        <v/>
      </c>
      <c r="Q1192" s="162" t="n"/>
      <c r="R1192" s="162">
        <f>IF(ISBLANK(Q1192),"введи курс",P1192/Q1192)</f>
        <v/>
      </c>
      <c r="S1192" s="196">
        <f>IF(AND(ISNUMBER(E1192),ISNUMBER(Q1192)),E1192*R1192,0)</f>
        <v/>
      </c>
      <c r="T1192" s="192">
        <f>$BC1192*V$11</f>
        <v/>
      </c>
      <c r="U1192" s="76">
        <f>$BC1192*W$11</f>
        <v/>
      </c>
      <c r="V1192" s="193">
        <f>+SUM(T1192:U1192)</f>
        <v/>
      </c>
      <c r="W1192" s="191" t="n"/>
      <c r="X1192" s="170" t="n"/>
      <c r="Y1192" s="76">
        <f>ROUND(IF(offer_incoterms="DDP",X1192*(S1192*(1+AW1192)+T1192),0),2)</f>
        <v/>
      </c>
      <c r="Z1192" s="188" t="n"/>
      <c r="AA1192" s="192">
        <f>IFERROR(AB1192/E1192,0)</f>
        <v/>
      </c>
      <c r="AB1192" s="76">
        <f>ROUND(SUM(S1192,V1192,Y1192:Z1192,BA1192:BB1192),2)</f>
        <v/>
      </c>
      <c r="AC1192" s="797" t="n"/>
      <c r="AD1192" s="192">
        <f t="array" ref="AD1192">IFERROR(ROUND((_xlfn.IFS(offer_sale_type="поставка",AB1192,offer_sale_type="транзит",S1192)*(1+AC1192))/E1192,2),0)</f>
        <v/>
      </c>
      <c r="AE1192" s="76">
        <f>AD1192*E1192</f>
        <v/>
      </c>
      <c r="AF1192" s="193">
        <f t="array" ref="AF1192">IFERROR(ROUND(_xlfn.IFS(offer_sale_type="поставка",AB1192,offer_sale_type="транзит",S1192)*AC1192,2),0)</f>
        <v/>
      </c>
      <c r="AG1192" s="192">
        <f>$BD1192*VLOOKUP($AG$3,$AF$4:$AG$7,2,FALSE)</f>
        <v/>
      </c>
      <c r="AH1192" s="76">
        <f>SUM(AE1192,AG1192,AI1192)*rate_forex_risk</f>
        <v/>
      </c>
      <c r="AI1192" s="193">
        <f>IF(OR(seller_region="TR",offer_sale_type="экспорт"),0,rate_fin_comm)*SUM(AZ1192,AZ1192*AW1192,T1192)</f>
        <v/>
      </c>
      <c r="AJ1192" s="118">
        <f>IFERROR(ROUND(SUM(AB1192,AF1192:AI1192)/E1192,2),0)</f>
        <v/>
      </c>
      <c r="AK1192" s="76">
        <f>AJ1192*E1192</f>
        <v/>
      </c>
      <c r="AL1192" s="174">
        <f>ROUND(IFERROR(AM1192*E1192,0),2)</f>
        <v/>
      </c>
      <c r="AM1192" s="175">
        <f>ROUND(AJ1192*(1+IF(offer_incoterms="DDP",IF((TODAY()+offer_turnaround_time)&gt;=helpsheet!$L$17,rate_vatRU_from_26,rate_vatRu_till_25),0)),2)</f>
        <v/>
      </c>
      <c r="AN1192" s="192">
        <f>AL1192-AK1192</f>
        <v/>
      </c>
      <c r="AO1192" s="76">
        <f>SUM(AY1192,Y1192:Z1192,T1192)*IF(AND(offer_incoterms="DDP",offer_sale_type&lt;&gt;"экспорт"),IF((TODAY()+offer_turnaround_time)&gt;=helpsheet!$L$17,rate_vatRU_from_26,rate_vatRu_till_25),0)</f>
        <v/>
      </c>
      <c r="AP1192" s="193">
        <f>AN1192-AO1192</f>
        <v/>
      </c>
      <c r="AQ1192" s="118">
        <f>IF(offer_sale_type="транзит",SUM(AF1192:AI1192,BA1192,BB1192),0)</f>
        <v/>
      </c>
      <c r="AR1192" s="82">
        <f>HYPERLINK("https://www.alta.ru/tnved/code/")&amp;W1192&amp;"/"</f>
        <v/>
      </c>
      <c r="AS1192" s="157" t="n"/>
      <c r="AT1192" s="162" t="n"/>
      <c r="AU1192" s="76">
        <f>IF(ISBLANK(AT1192),0,AJ1192-AT1192)</f>
        <v/>
      </c>
      <c r="AV1192" s="157" t="n"/>
      <c r="AW1192" s="75">
        <f>_xlfn.IFNA(VLOOKUP(L1192,list_vat[],3,FALSE),0)</f>
        <v/>
      </c>
      <c r="AX1192" s="76">
        <f>IFERROR(ROUND(S1192*(1+AW1192)/E1192,2),0)</f>
        <v/>
      </c>
      <c r="AY1192" s="76">
        <f>E1192*AX1192</f>
        <v/>
      </c>
      <c r="AZ1192" s="192">
        <f>S1192*(1+M1192)</f>
        <v/>
      </c>
      <c r="BA1192" s="76">
        <f>cost_fin_total*$BD1192</f>
        <v/>
      </c>
      <c r="BB1192" s="193">
        <f>credit_sales_interest*BD1192</f>
        <v/>
      </c>
      <c r="BC1192" s="102">
        <f>IFERROR(IF($I$13&gt;0,$I1192/$I$13,$S1192/$S$13),0)</f>
        <v/>
      </c>
      <c r="BD1192" s="102">
        <f>IFERROR($S1192/$S$13,0)</f>
        <v/>
      </c>
      <c r="BE1192" s="413" t="inlineStr">
        <is>
          <t>$</t>
        </is>
      </c>
    </row>
    <row r="1193" ht="12" customFormat="1" customHeight="1" s="65">
      <c r="A1193" s="43" t="n">
        <v>1178</v>
      </c>
      <c r="B1193" s="166" t="n"/>
      <c r="C1193" s="166" t="n"/>
      <c r="D1193" s="166" t="n"/>
      <c r="E1193" s="162" t="n"/>
      <c r="F1193" s="166" t="n"/>
      <c r="G1193" s="162" t="n"/>
      <c r="H1193" s="162" t="n"/>
      <c r="I1193" s="189">
        <f>E1193*G1193</f>
        <v/>
      </c>
      <c r="J1193" s="195" t="n"/>
      <c r="K1193" s="162" t="n"/>
      <c r="L1193" s="168" t="n"/>
      <c r="M1193" s="75">
        <f>_xlfn.XLOOKUP(L1193,list_vat[Страна],list_vat[Ставка НДС %],0,0)</f>
        <v/>
      </c>
      <c r="N1193" s="162">
        <f>IFERROR(IF(L1193="Китай",K1193,K1193/(1+M1193)),0)</f>
        <v/>
      </c>
      <c r="O1193" s="169" t="n"/>
      <c r="P1193" s="76">
        <f>N1193*(1-O1193)</f>
        <v/>
      </c>
      <c r="Q1193" s="162" t="n"/>
      <c r="R1193" s="162">
        <f>IF(ISBLANK(Q1193),"введи курс",P1193/Q1193)</f>
        <v/>
      </c>
      <c r="S1193" s="196">
        <f>IF(AND(ISNUMBER(E1193),ISNUMBER(Q1193)),E1193*R1193,0)</f>
        <v/>
      </c>
      <c r="T1193" s="192">
        <f>$BC1193*V$11</f>
        <v/>
      </c>
      <c r="U1193" s="76">
        <f>$BC1193*W$11</f>
        <v/>
      </c>
      <c r="V1193" s="193">
        <f>+SUM(T1193:U1193)</f>
        <v/>
      </c>
      <c r="W1193" s="191" t="n"/>
      <c r="X1193" s="170" t="n"/>
      <c r="Y1193" s="76">
        <f>ROUND(IF(offer_incoterms="DDP",X1193*(S1193*(1+AW1193)+T1193),0),2)</f>
        <v/>
      </c>
      <c r="Z1193" s="188" t="n"/>
      <c r="AA1193" s="192">
        <f>IFERROR(AB1193/E1193,0)</f>
        <v/>
      </c>
      <c r="AB1193" s="76">
        <f>ROUND(SUM(S1193,V1193,Y1193:Z1193,BA1193:BB1193),2)</f>
        <v/>
      </c>
      <c r="AC1193" s="797" t="n"/>
      <c r="AD1193" s="192">
        <f t="array" ref="AD1193">IFERROR(ROUND((_xlfn.IFS(offer_sale_type="поставка",AB1193,offer_sale_type="транзит",S1193)*(1+AC1193))/E1193,2),0)</f>
        <v/>
      </c>
      <c r="AE1193" s="76">
        <f>AD1193*E1193</f>
        <v/>
      </c>
      <c r="AF1193" s="193">
        <f t="array" ref="AF1193">IFERROR(ROUND(_xlfn.IFS(offer_sale_type="поставка",AB1193,offer_sale_type="транзит",S1193)*AC1193,2),0)</f>
        <v/>
      </c>
      <c r="AG1193" s="192">
        <f>$BD1193*VLOOKUP($AG$3,$AF$4:$AG$7,2,FALSE)</f>
        <v/>
      </c>
      <c r="AH1193" s="76">
        <f>SUM(AE1193,AG1193,AI1193)*rate_forex_risk</f>
        <v/>
      </c>
      <c r="AI1193" s="193">
        <f>IF(OR(seller_region="TR",offer_sale_type="экспорт"),0,rate_fin_comm)*SUM(AZ1193,AZ1193*AW1193,T1193)</f>
        <v/>
      </c>
      <c r="AJ1193" s="118">
        <f>IFERROR(ROUND(SUM(AB1193,AF1193:AI1193)/E1193,2),0)</f>
        <v/>
      </c>
      <c r="AK1193" s="76">
        <f>AJ1193*E1193</f>
        <v/>
      </c>
      <c r="AL1193" s="174">
        <f>ROUND(IFERROR(AM1193*E1193,0),2)</f>
        <v/>
      </c>
      <c r="AM1193" s="175">
        <f>ROUND(AJ1193*(1+IF(offer_incoterms="DDP",IF((TODAY()+offer_turnaround_time)&gt;=helpsheet!$L$17,rate_vatRU_from_26,rate_vatRu_till_25),0)),2)</f>
        <v/>
      </c>
      <c r="AN1193" s="192">
        <f>AL1193-AK1193</f>
        <v/>
      </c>
      <c r="AO1193" s="76">
        <f>SUM(AY1193,Y1193:Z1193,T1193)*IF(AND(offer_incoterms="DDP",offer_sale_type&lt;&gt;"экспорт"),IF((TODAY()+offer_turnaround_time)&gt;=helpsheet!$L$17,rate_vatRU_from_26,rate_vatRu_till_25),0)</f>
        <v/>
      </c>
      <c r="AP1193" s="193">
        <f>AN1193-AO1193</f>
        <v/>
      </c>
      <c r="AQ1193" s="118">
        <f>IF(offer_sale_type="транзит",SUM(AF1193:AI1193,BA1193,BB1193),0)</f>
        <v/>
      </c>
      <c r="AR1193" s="82">
        <f>HYPERLINK("https://www.alta.ru/tnved/code/")&amp;W1193&amp;"/"</f>
        <v/>
      </c>
      <c r="AS1193" s="157" t="n"/>
      <c r="AT1193" s="162" t="n"/>
      <c r="AU1193" s="76">
        <f>IF(ISBLANK(AT1193),0,AJ1193-AT1193)</f>
        <v/>
      </c>
      <c r="AV1193" s="157" t="n"/>
      <c r="AW1193" s="75">
        <f>_xlfn.IFNA(VLOOKUP(L1193,list_vat[],3,FALSE),0)</f>
        <v/>
      </c>
      <c r="AX1193" s="76">
        <f>IFERROR(ROUND(S1193*(1+AW1193)/E1193,2),0)</f>
        <v/>
      </c>
      <c r="AY1193" s="76">
        <f>E1193*AX1193</f>
        <v/>
      </c>
      <c r="AZ1193" s="192">
        <f>S1193*(1+M1193)</f>
        <v/>
      </c>
      <c r="BA1193" s="76">
        <f>cost_fin_total*$BD1193</f>
        <v/>
      </c>
      <c r="BB1193" s="193">
        <f>credit_sales_interest*BD1193</f>
        <v/>
      </c>
      <c r="BC1193" s="102">
        <f>IFERROR(IF($I$13&gt;0,$I1193/$I$13,$S1193/$S$13),0)</f>
        <v/>
      </c>
      <c r="BD1193" s="102">
        <f>IFERROR($S1193/$S$13,0)</f>
        <v/>
      </c>
      <c r="BE1193" s="413" t="inlineStr">
        <is>
          <t>$</t>
        </is>
      </c>
    </row>
    <row r="1194" ht="12" customFormat="1" customHeight="1" s="65">
      <c r="A1194" s="43" t="n">
        <v>1179</v>
      </c>
      <c r="B1194" s="166" t="n"/>
      <c r="C1194" s="166" t="n"/>
      <c r="D1194" s="166" t="n"/>
      <c r="E1194" s="162" t="n"/>
      <c r="F1194" s="166" t="n"/>
      <c r="G1194" s="162" t="n"/>
      <c r="H1194" s="162" t="n"/>
      <c r="I1194" s="189">
        <f>E1194*G1194</f>
        <v/>
      </c>
      <c r="J1194" s="195" t="n"/>
      <c r="K1194" s="162" t="n"/>
      <c r="L1194" s="168" t="n"/>
      <c r="M1194" s="75">
        <f>_xlfn.XLOOKUP(L1194,list_vat[Страна],list_vat[Ставка НДС %],0,0)</f>
        <v/>
      </c>
      <c r="N1194" s="162">
        <f>IFERROR(IF(L1194="Китай",K1194,K1194/(1+M1194)),0)</f>
        <v/>
      </c>
      <c r="O1194" s="169" t="n"/>
      <c r="P1194" s="76">
        <f>N1194*(1-O1194)</f>
        <v/>
      </c>
      <c r="Q1194" s="162" t="n"/>
      <c r="R1194" s="162">
        <f>IF(ISBLANK(Q1194),"введи курс",P1194/Q1194)</f>
        <v/>
      </c>
      <c r="S1194" s="196">
        <f>IF(AND(ISNUMBER(E1194),ISNUMBER(Q1194)),E1194*R1194,0)</f>
        <v/>
      </c>
      <c r="T1194" s="192">
        <f>$BC1194*V$11</f>
        <v/>
      </c>
      <c r="U1194" s="76">
        <f>$BC1194*W$11</f>
        <v/>
      </c>
      <c r="V1194" s="193">
        <f>+SUM(T1194:U1194)</f>
        <v/>
      </c>
      <c r="W1194" s="191" t="n"/>
      <c r="X1194" s="170" t="n"/>
      <c r="Y1194" s="76">
        <f>ROUND(IF(offer_incoterms="DDP",X1194*(S1194*(1+AW1194)+T1194),0),2)</f>
        <v/>
      </c>
      <c r="Z1194" s="188" t="n"/>
      <c r="AA1194" s="192">
        <f>IFERROR(AB1194/E1194,0)</f>
        <v/>
      </c>
      <c r="AB1194" s="76">
        <f>ROUND(SUM(S1194,V1194,Y1194:Z1194,BA1194:BB1194),2)</f>
        <v/>
      </c>
      <c r="AC1194" s="797" t="n"/>
      <c r="AD1194" s="192">
        <f t="array" ref="AD1194">IFERROR(ROUND((_xlfn.IFS(offer_sale_type="поставка",AB1194,offer_sale_type="транзит",S1194)*(1+AC1194))/E1194,2),0)</f>
        <v/>
      </c>
      <c r="AE1194" s="76">
        <f>AD1194*E1194</f>
        <v/>
      </c>
      <c r="AF1194" s="193">
        <f t="array" ref="AF1194">IFERROR(ROUND(_xlfn.IFS(offer_sale_type="поставка",AB1194,offer_sale_type="транзит",S1194)*AC1194,2),0)</f>
        <v/>
      </c>
      <c r="AG1194" s="192">
        <f>$BD1194*VLOOKUP($AG$3,$AF$4:$AG$7,2,FALSE)</f>
        <v/>
      </c>
      <c r="AH1194" s="76">
        <f>SUM(AE1194,AG1194,AI1194)*rate_forex_risk</f>
        <v/>
      </c>
      <c r="AI1194" s="193">
        <f>IF(OR(seller_region="TR",offer_sale_type="экспорт"),0,rate_fin_comm)*SUM(AZ1194,AZ1194*AW1194,T1194)</f>
        <v/>
      </c>
      <c r="AJ1194" s="118">
        <f>IFERROR(ROUND(SUM(AB1194,AF1194:AI1194)/E1194,2),0)</f>
        <v/>
      </c>
      <c r="AK1194" s="76">
        <f>AJ1194*E1194</f>
        <v/>
      </c>
      <c r="AL1194" s="174">
        <f>ROUND(IFERROR(AM1194*E1194,0),2)</f>
        <v/>
      </c>
      <c r="AM1194" s="175">
        <f>ROUND(AJ1194*(1+IF(offer_incoterms="DDP",IF((TODAY()+offer_turnaround_time)&gt;=helpsheet!$L$17,rate_vatRU_from_26,rate_vatRu_till_25),0)),2)</f>
        <v/>
      </c>
      <c r="AN1194" s="192">
        <f>AL1194-AK1194</f>
        <v/>
      </c>
      <c r="AO1194" s="76">
        <f>SUM(AY1194,Y1194:Z1194,T1194)*IF(AND(offer_incoterms="DDP",offer_sale_type&lt;&gt;"экспорт"),IF((TODAY()+offer_turnaround_time)&gt;=helpsheet!$L$17,rate_vatRU_from_26,rate_vatRu_till_25),0)</f>
        <v/>
      </c>
      <c r="AP1194" s="193">
        <f>AN1194-AO1194</f>
        <v/>
      </c>
      <c r="AQ1194" s="118">
        <f>IF(offer_sale_type="транзит",SUM(AF1194:AI1194,BA1194,BB1194),0)</f>
        <v/>
      </c>
      <c r="AR1194" s="82">
        <f>HYPERLINK("https://www.alta.ru/tnved/code/")&amp;W1194&amp;"/"</f>
        <v/>
      </c>
      <c r="AS1194" s="157" t="n"/>
      <c r="AT1194" s="162" t="n"/>
      <c r="AU1194" s="76">
        <f>IF(ISBLANK(AT1194),0,AJ1194-AT1194)</f>
        <v/>
      </c>
      <c r="AV1194" s="157" t="n"/>
      <c r="AW1194" s="75">
        <f>_xlfn.IFNA(VLOOKUP(L1194,list_vat[],3,FALSE),0)</f>
        <v/>
      </c>
      <c r="AX1194" s="76">
        <f>IFERROR(ROUND(S1194*(1+AW1194)/E1194,2),0)</f>
        <v/>
      </c>
      <c r="AY1194" s="76">
        <f>E1194*AX1194</f>
        <v/>
      </c>
      <c r="AZ1194" s="192">
        <f>S1194*(1+M1194)</f>
        <v/>
      </c>
      <c r="BA1194" s="76">
        <f>cost_fin_total*$BD1194</f>
        <v/>
      </c>
      <c r="BB1194" s="193">
        <f>credit_sales_interest*BD1194</f>
        <v/>
      </c>
      <c r="BC1194" s="102">
        <f>IFERROR(IF($I$13&gt;0,$I1194/$I$13,$S1194/$S$13),0)</f>
        <v/>
      </c>
      <c r="BD1194" s="102">
        <f>IFERROR($S1194/$S$13,0)</f>
        <v/>
      </c>
      <c r="BE1194" s="413" t="inlineStr">
        <is>
          <t>$</t>
        </is>
      </c>
    </row>
    <row r="1195" ht="12" customFormat="1" customHeight="1" s="65">
      <c r="A1195" s="43" t="n">
        <v>1180</v>
      </c>
      <c r="B1195" s="166" t="n"/>
      <c r="C1195" s="166" t="n"/>
      <c r="D1195" s="166" t="n"/>
      <c r="E1195" s="162" t="n"/>
      <c r="F1195" s="166" t="n"/>
      <c r="G1195" s="162" t="n"/>
      <c r="H1195" s="162" t="n"/>
      <c r="I1195" s="189">
        <f>E1195*G1195</f>
        <v/>
      </c>
      <c r="J1195" s="195" t="n"/>
      <c r="K1195" s="162" t="n"/>
      <c r="L1195" s="168" t="n"/>
      <c r="M1195" s="75">
        <f>_xlfn.XLOOKUP(L1195,list_vat[Страна],list_vat[Ставка НДС %],0,0)</f>
        <v/>
      </c>
      <c r="N1195" s="162">
        <f>IFERROR(IF(L1195="Китай",K1195,K1195/(1+M1195)),0)</f>
        <v/>
      </c>
      <c r="O1195" s="169" t="n"/>
      <c r="P1195" s="76">
        <f>N1195*(1-O1195)</f>
        <v/>
      </c>
      <c r="Q1195" s="162" t="n"/>
      <c r="R1195" s="162">
        <f>IF(ISBLANK(Q1195),"введи курс",P1195/Q1195)</f>
        <v/>
      </c>
      <c r="S1195" s="196">
        <f>IF(AND(ISNUMBER(E1195),ISNUMBER(Q1195)),E1195*R1195,0)</f>
        <v/>
      </c>
      <c r="T1195" s="192">
        <f>$BC1195*V$11</f>
        <v/>
      </c>
      <c r="U1195" s="76">
        <f>$BC1195*W$11</f>
        <v/>
      </c>
      <c r="V1195" s="193">
        <f>+SUM(T1195:U1195)</f>
        <v/>
      </c>
      <c r="W1195" s="191" t="n"/>
      <c r="X1195" s="170" t="n"/>
      <c r="Y1195" s="76">
        <f>ROUND(IF(offer_incoterms="DDP",X1195*(S1195*(1+AW1195)+T1195),0),2)</f>
        <v/>
      </c>
      <c r="Z1195" s="188" t="n"/>
      <c r="AA1195" s="192">
        <f>IFERROR(AB1195/E1195,0)</f>
        <v/>
      </c>
      <c r="AB1195" s="76">
        <f>ROUND(SUM(S1195,V1195,Y1195:Z1195,BA1195:BB1195),2)</f>
        <v/>
      </c>
      <c r="AC1195" s="797" t="n"/>
      <c r="AD1195" s="192">
        <f t="array" ref="AD1195">IFERROR(ROUND((_xlfn.IFS(offer_sale_type="поставка",AB1195,offer_sale_type="транзит",S1195)*(1+AC1195))/E1195,2),0)</f>
        <v/>
      </c>
      <c r="AE1195" s="76">
        <f>AD1195*E1195</f>
        <v/>
      </c>
      <c r="AF1195" s="193">
        <f t="array" ref="AF1195">IFERROR(ROUND(_xlfn.IFS(offer_sale_type="поставка",AB1195,offer_sale_type="транзит",S1195)*AC1195,2),0)</f>
        <v/>
      </c>
      <c r="AG1195" s="192">
        <f>$BD1195*VLOOKUP($AG$3,$AF$4:$AG$7,2,FALSE)</f>
        <v/>
      </c>
      <c r="AH1195" s="76">
        <f>SUM(AE1195,AG1195,AI1195)*rate_forex_risk</f>
        <v/>
      </c>
      <c r="AI1195" s="193">
        <f>IF(OR(seller_region="TR",offer_sale_type="экспорт"),0,rate_fin_comm)*SUM(AZ1195,AZ1195*AW1195,T1195)</f>
        <v/>
      </c>
      <c r="AJ1195" s="118">
        <f>IFERROR(ROUND(SUM(AB1195,AF1195:AI1195)/E1195,2),0)</f>
        <v/>
      </c>
      <c r="AK1195" s="76">
        <f>AJ1195*E1195</f>
        <v/>
      </c>
      <c r="AL1195" s="174">
        <f>ROUND(IFERROR(AM1195*E1195,0),2)</f>
        <v/>
      </c>
      <c r="AM1195" s="175">
        <f>ROUND(AJ1195*(1+IF(offer_incoterms="DDP",IF((TODAY()+offer_turnaround_time)&gt;=helpsheet!$L$17,rate_vatRU_from_26,rate_vatRu_till_25),0)),2)</f>
        <v/>
      </c>
      <c r="AN1195" s="192">
        <f>AL1195-AK1195</f>
        <v/>
      </c>
      <c r="AO1195" s="76">
        <f>SUM(AY1195,Y1195:Z1195,T1195)*IF(AND(offer_incoterms="DDP",offer_sale_type&lt;&gt;"экспорт"),IF((TODAY()+offer_turnaround_time)&gt;=helpsheet!$L$17,rate_vatRU_from_26,rate_vatRu_till_25),0)</f>
        <v/>
      </c>
      <c r="AP1195" s="193">
        <f>AN1195-AO1195</f>
        <v/>
      </c>
      <c r="AQ1195" s="118">
        <f>IF(offer_sale_type="транзит",SUM(AF1195:AI1195,BA1195,BB1195),0)</f>
        <v/>
      </c>
      <c r="AR1195" s="82">
        <f>HYPERLINK("https://www.alta.ru/tnved/code/")&amp;W1195&amp;"/"</f>
        <v/>
      </c>
      <c r="AS1195" s="157" t="n"/>
      <c r="AT1195" s="162" t="n"/>
      <c r="AU1195" s="76">
        <f>IF(ISBLANK(AT1195),0,AJ1195-AT1195)</f>
        <v/>
      </c>
      <c r="AV1195" s="157" t="n"/>
      <c r="AW1195" s="75">
        <f>_xlfn.IFNA(VLOOKUP(L1195,list_vat[],3,FALSE),0)</f>
        <v/>
      </c>
      <c r="AX1195" s="76">
        <f>IFERROR(ROUND(S1195*(1+AW1195)/E1195,2),0)</f>
        <v/>
      </c>
      <c r="AY1195" s="76">
        <f>E1195*AX1195</f>
        <v/>
      </c>
      <c r="AZ1195" s="192">
        <f>S1195*(1+M1195)</f>
        <v/>
      </c>
      <c r="BA1195" s="76">
        <f>cost_fin_total*$BD1195</f>
        <v/>
      </c>
      <c r="BB1195" s="193">
        <f>credit_sales_interest*BD1195</f>
        <v/>
      </c>
      <c r="BC1195" s="102">
        <f>IFERROR(IF($I$13&gt;0,$I1195/$I$13,$S1195/$S$13),0)</f>
        <v/>
      </c>
      <c r="BD1195" s="102">
        <f>IFERROR($S1195/$S$13,0)</f>
        <v/>
      </c>
      <c r="BE1195" s="413" t="inlineStr">
        <is>
          <t>$</t>
        </is>
      </c>
    </row>
    <row r="1196" ht="12" customFormat="1" customHeight="1" s="65">
      <c r="A1196" s="43" t="n">
        <v>1181</v>
      </c>
      <c r="B1196" s="166" t="n"/>
      <c r="C1196" s="166" t="n"/>
      <c r="D1196" s="166" t="n"/>
      <c r="E1196" s="162" t="n"/>
      <c r="F1196" s="166" t="n"/>
      <c r="G1196" s="162" t="n"/>
      <c r="H1196" s="162" t="n"/>
      <c r="I1196" s="189">
        <f>E1196*G1196</f>
        <v/>
      </c>
      <c r="J1196" s="195" t="n"/>
      <c r="K1196" s="162" t="n"/>
      <c r="L1196" s="168" t="n"/>
      <c r="M1196" s="75">
        <f>_xlfn.XLOOKUP(L1196,list_vat[Страна],list_vat[Ставка НДС %],0,0)</f>
        <v/>
      </c>
      <c r="N1196" s="162">
        <f>IFERROR(IF(L1196="Китай",K1196,K1196/(1+M1196)),0)</f>
        <v/>
      </c>
      <c r="O1196" s="169" t="n"/>
      <c r="P1196" s="76">
        <f>N1196*(1-O1196)</f>
        <v/>
      </c>
      <c r="Q1196" s="162" t="n"/>
      <c r="R1196" s="162">
        <f>IF(ISBLANK(Q1196),"введи курс",P1196/Q1196)</f>
        <v/>
      </c>
      <c r="S1196" s="196">
        <f>IF(AND(ISNUMBER(E1196),ISNUMBER(Q1196)),E1196*R1196,0)</f>
        <v/>
      </c>
      <c r="T1196" s="192">
        <f>$BC1196*V$11</f>
        <v/>
      </c>
      <c r="U1196" s="76">
        <f>$BC1196*W$11</f>
        <v/>
      </c>
      <c r="V1196" s="193">
        <f>+SUM(T1196:U1196)</f>
        <v/>
      </c>
      <c r="W1196" s="191" t="n"/>
      <c r="X1196" s="170" t="n"/>
      <c r="Y1196" s="76">
        <f>ROUND(IF(offer_incoterms="DDP",X1196*(S1196*(1+AW1196)+T1196),0),2)</f>
        <v/>
      </c>
      <c r="Z1196" s="188" t="n"/>
      <c r="AA1196" s="192">
        <f>IFERROR(AB1196/E1196,0)</f>
        <v/>
      </c>
      <c r="AB1196" s="76">
        <f>ROUND(SUM(S1196,V1196,Y1196:Z1196,BA1196:BB1196),2)</f>
        <v/>
      </c>
      <c r="AC1196" s="797" t="n"/>
      <c r="AD1196" s="192">
        <f t="array" ref="AD1196">IFERROR(ROUND((_xlfn.IFS(offer_sale_type="поставка",AB1196,offer_sale_type="транзит",S1196)*(1+AC1196))/E1196,2),0)</f>
        <v/>
      </c>
      <c r="AE1196" s="76">
        <f>AD1196*E1196</f>
        <v/>
      </c>
      <c r="AF1196" s="193">
        <f t="array" ref="AF1196">IFERROR(ROUND(_xlfn.IFS(offer_sale_type="поставка",AB1196,offer_sale_type="транзит",S1196)*AC1196,2),0)</f>
        <v/>
      </c>
      <c r="AG1196" s="192">
        <f>$BD1196*VLOOKUP($AG$3,$AF$4:$AG$7,2,FALSE)</f>
        <v/>
      </c>
      <c r="AH1196" s="76">
        <f>SUM(AE1196,AG1196,AI1196)*rate_forex_risk</f>
        <v/>
      </c>
      <c r="AI1196" s="193">
        <f>IF(OR(seller_region="TR",offer_sale_type="экспорт"),0,rate_fin_comm)*SUM(AZ1196,AZ1196*AW1196,T1196)</f>
        <v/>
      </c>
      <c r="AJ1196" s="118">
        <f>IFERROR(ROUND(SUM(AB1196,AF1196:AI1196)/E1196,2),0)</f>
        <v/>
      </c>
      <c r="AK1196" s="76">
        <f>AJ1196*E1196</f>
        <v/>
      </c>
      <c r="AL1196" s="174">
        <f>ROUND(IFERROR(AM1196*E1196,0),2)</f>
        <v/>
      </c>
      <c r="AM1196" s="175">
        <f>ROUND(AJ1196*(1+IF(offer_incoterms="DDP",IF((TODAY()+offer_turnaround_time)&gt;=helpsheet!$L$17,rate_vatRU_from_26,rate_vatRu_till_25),0)),2)</f>
        <v/>
      </c>
      <c r="AN1196" s="192">
        <f>AL1196-AK1196</f>
        <v/>
      </c>
      <c r="AO1196" s="76">
        <f>SUM(AY1196,Y1196:Z1196,T1196)*IF(AND(offer_incoterms="DDP",offer_sale_type&lt;&gt;"экспорт"),IF((TODAY()+offer_turnaround_time)&gt;=helpsheet!$L$17,rate_vatRU_from_26,rate_vatRu_till_25),0)</f>
        <v/>
      </c>
      <c r="AP1196" s="193">
        <f>AN1196-AO1196</f>
        <v/>
      </c>
      <c r="AQ1196" s="118">
        <f>IF(offer_sale_type="транзит",SUM(AF1196:AI1196,BA1196,BB1196),0)</f>
        <v/>
      </c>
      <c r="AR1196" s="82">
        <f>HYPERLINK("https://www.alta.ru/tnved/code/")&amp;W1196&amp;"/"</f>
        <v/>
      </c>
      <c r="AS1196" s="157" t="n"/>
      <c r="AT1196" s="162" t="n"/>
      <c r="AU1196" s="76">
        <f>IF(ISBLANK(AT1196),0,AJ1196-AT1196)</f>
        <v/>
      </c>
      <c r="AV1196" s="157" t="n"/>
      <c r="AW1196" s="75">
        <f>_xlfn.IFNA(VLOOKUP(L1196,list_vat[],3,FALSE),0)</f>
        <v/>
      </c>
      <c r="AX1196" s="76">
        <f>IFERROR(ROUND(S1196*(1+AW1196)/E1196,2),0)</f>
        <v/>
      </c>
      <c r="AY1196" s="76">
        <f>E1196*AX1196</f>
        <v/>
      </c>
      <c r="AZ1196" s="192">
        <f>S1196*(1+M1196)</f>
        <v/>
      </c>
      <c r="BA1196" s="76">
        <f>cost_fin_total*$BD1196</f>
        <v/>
      </c>
      <c r="BB1196" s="193">
        <f>credit_sales_interest*BD1196</f>
        <v/>
      </c>
      <c r="BC1196" s="102">
        <f>IFERROR(IF($I$13&gt;0,$I1196/$I$13,$S1196/$S$13),0)</f>
        <v/>
      </c>
      <c r="BD1196" s="102">
        <f>IFERROR($S1196/$S$13,0)</f>
        <v/>
      </c>
      <c r="BE1196" s="413" t="inlineStr">
        <is>
          <t>$</t>
        </is>
      </c>
    </row>
    <row r="1197" ht="12" customFormat="1" customHeight="1" s="65">
      <c r="A1197" s="43" t="n">
        <v>1182</v>
      </c>
      <c r="B1197" s="166" t="n"/>
      <c r="C1197" s="166" t="n"/>
      <c r="D1197" s="166" t="n"/>
      <c r="E1197" s="162" t="n"/>
      <c r="F1197" s="166" t="n"/>
      <c r="G1197" s="162" t="n"/>
      <c r="H1197" s="162" t="n"/>
      <c r="I1197" s="189">
        <f>E1197*G1197</f>
        <v/>
      </c>
      <c r="J1197" s="195" t="n"/>
      <c r="K1197" s="162" t="n"/>
      <c r="L1197" s="168" t="n"/>
      <c r="M1197" s="75">
        <f>_xlfn.XLOOKUP(L1197,list_vat[Страна],list_vat[Ставка НДС %],0,0)</f>
        <v/>
      </c>
      <c r="N1197" s="162">
        <f>IFERROR(IF(L1197="Китай",K1197,K1197/(1+M1197)),0)</f>
        <v/>
      </c>
      <c r="O1197" s="169" t="n"/>
      <c r="P1197" s="76">
        <f>N1197*(1-O1197)</f>
        <v/>
      </c>
      <c r="Q1197" s="162" t="n"/>
      <c r="R1197" s="162">
        <f>IF(ISBLANK(Q1197),"введи курс",P1197/Q1197)</f>
        <v/>
      </c>
      <c r="S1197" s="196">
        <f>IF(AND(ISNUMBER(E1197),ISNUMBER(Q1197)),E1197*R1197,0)</f>
        <v/>
      </c>
      <c r="T1197" s="192">
        <f>$BC1197*V$11</f>
        <v/>
      </c>
      <c r="U1197" s="76">
        <f>$BC1197*W$11</f>
        <v/>
      </c>
      <c r="V1197" s="193">
        <f>+SUM(T1197:U1197)</f>
        <v/>
      </c>
      <c r="W1197" s="191" t="n"/>
      <c r="X1197" s="170" t="n"/>
      <c r="Y1197" s="76">
        <f>ROUND(IF(offer_incoterms="DDP",X1197*(S1197*(1+AW1197)+T1197),0),2)</f>
        <v/>
      </c>
      <c r="Z1197" s="188" t="n"/>
      <c r="AA1197" s="192">
        <f>IFERROR(AB1197/E1197,0)</f>
        <v/>
      </c>
      <c r="AB1197" s="76">
        <f>ROUND(SUM(S1197,V1197,Y1197:Z1197,BA1197:BB1197),2)</f>
        <v/>
      </c>
      <c r="AC1197" s="797" t="n"/>
      <c r="AD1197" s="192">
        <f t="array" ref="AD1197">IFERROR(ROUND((_xlfn.IFS(offer_sale_type="поставка",AB1197,offer_sale_type="транзит",S1197)*(1+AC1197))/E1197,2),0)</f>
        <v/>
      </c>
      <c r="AE1197" s="76">
        <f>AD1197*E1197</f>
        <v/>
      </c>
      <c r="AF1197" s="193">
        <f t="array" ref="AF1197">IFERROR(ROUND(_xlfn.IFS(offer_sale_type="поставка",AB1197,offer_sale_type="транзит",S1197)*AC1197,2),0)</f>
        <v/>
      </c>
      <c r="AG1197" s="192">
        <f>$BD1197*VLOOKUP($AG$3,$AF$4:$AG$7,2,FALSE)</f>
        <v/>
      </c>
      <c r="AH1197" s="76">
        <f>SUM(AE1197,AG1197,AI1197)*rate_forex_risk</f>
        <v/>
      </c>
      <c r="AI1197" s="193">
        <f>IF(OR(seller_region="TR",offer_sale_type="экспорт"),0,rate_fin_comm)*SUM(AZ1197,AZ1197*AW1197,T1197)</f>
        <v/>
      </c>
      <c r="AJ1197" s="118">
        <f>IFERROR(ROUND(SUM(AB1197,AF1197:AI1197)/E1197,2),0)</f>
        <v/>
      </c>
      <c r="AK1197" s="76">
        <f>AJ1197*E1197</f>
        <v/>
      </c>
      <c r="AL1197" s="174">
        <f>ROUND(IFERROR(AM1197*E1197,0),2)</f>
        <v/>
      </c>
      <c r="AM1197" s="175">
        <f>ROUND(AJ1197*(1+IF(offer_incoterms="DDP",IF((TODAY()+offer_turnaround_time)&gt;=helpsheet!$L$17,rate_vatRU_from_26,rate_vatRu_till_25),0)),2)</f>
        <v/>
      </c>
      <c r="AN1197" s="192">
        <f>AL1197-AK1197</f>
        <v/>
      </c>
      <c r="AO1197" s="76">
        <f>SUM(AY1197,Y1197:Z1197,T1197)*IF(AND(offer_incoterms="DDP",offer_sale_type&lt;&gt;"экспорт"),IF((TODAY()+offer_turnaround_time)&gt;=helpsheet!$L$17,rate_vatRU_from_26,rate_vatRu_till_25),0)</f>
        <v/>
      </c>
      <c r="AP1197" s="193">
        <f>AN1197-AO1197</f>
        <v/>
      </c>
      <c r="AQ1197" s="118">
        <f>IF(offer_sale_type="транзит",SUM(AF1197:AI1197,BA1197,BB1197),0)</f>
        <v/>
      </c>
      <c r="AR1197" s="82">
        <f>HYPERLINK("https://www.alta.ru/tnved/code/")&amp;W1197&amp;"/"</f>
        <v/>
      </c>
      <c r="AS1197" s="157" t="n"/>
      <c r="AT1197" s="162" t="n"/>
      <c r="AU1197" s="76">
        <f>IF(ISBLANK(AT1197),0,AJ1197-AT1197)</f>
        <v/>
      </c>
      <c r="AV1197" s="157" t="n"/>
      <c r="AW1197" s="75">
        <f>_xlfn.IFNA(VLOOKUP(L1197,list_vat[],3,FALSE),0)</f>
        <v/>
      </c>
      <c r="AX1197" s="76">
        <f>IFERROR(ROUND(S1197*(1+AW1197)/E1197,2),0)</f>
        <v/>
      </c>
      <c r="AY1197" s="76">
        <f>E1197*AX1197</f>
        <v/>
      </c>
      <c r="AZ1197" s="192">
        <f>S1197*(1+M1197)</f>
        <v/>
      </c>
      <c r="BA1197" s="76">
        <f>cost_fin_total*$BD1197</f>
        <v/>
      </c>
      <c r="BB1197" s="193">
        <f>credit_sales_interest*BD1197</f>
        <v/>
      </c>
      <c r="BC1197" s="102">
        <f>IFERROR(IF($I$13&gt;0,$I1197/$I$13,$S1197/$S$13),0)</f>
        <v/>
      </c>
      <c r="BD1197" s="102">
        <f>IFERROR($S1197/$S$13,0)</f>
        <v/>
      </c>
      <c r="BE1197" s="413" t="inlineStr">
        <is>
          <t>$</t>
        </is>
      </c>
    </row>
    <row r="1198" ht="12" customFormat="1" customHeight="1" s="65">
      <c r="A1198" s="43" t="n">
        <v>1183</v>
      </c>
      <c r="B1198" s="166" t="n"/>
      <c r="C1198" s="166" t="n"/>
      <c r="D1198" s="166" t="n"/>
      <c r="E1198" s="162" t="n"/>
      <c r="F1198" s="166" t="n"/>
      <c r="G1198" s="162" t="n"/>
      <c r="H1198" s="162" t="n"/>
      <c r="I1198" s="189">
        <f>E1198*G1198</f>
        <v/>
      </c>
      <c r="J1198" s="195" t="n"/>
      <c r="K1198" s="162" t="n"/>
      <c r="L1198" s="168" t="n"/>
      <c r="M1198" s="75">
        <f>_xlfn.XLOOKUP(L1198,list_vat[Страна],list_vat[Ставка НДС %],0,0)</f>
        <v/>
      </c>
      <c r="N1198" s="162">
        <f>IFERROR(IF(L1198="Китай",K1198,K1198/(1+M1198)),0)</f>
        <v/>
      </c>
      <c r="O1198" s="169" t="n"/>
      <c r="P1198" s="76">
        <f>N1198*(1-O1198)</f>
        <v/>
      </c>
      <c r="Q1198" s="162" t="n"/>
      <c r="R1198" s="162">
        <f>IF(ISBLANK(Q1198),"введи курс",P1198/Q1198)</f>
        <v/>
      </c>
      <c r="S1198" s="196">
        <f>IF(AND(ISNUMBER(E1198),ISNUMBER(Q1198)),E1198*R1198,0)</f>
        <v/>
      </c>
      <c r="T1198" s="192">
        <f>$BC1198*V$11</f>
        <v/>
      </c>
      <c r="U1198" s="76">
        <f>$BC1198*W$11</f>
        <v/>
      </c>
      <c r="V1198" s="193">
        <f>+SUM(T1198:U1198)</f>
        <v/>
      </c>
      <c r="W1198" s="191" t="n"/>
      <c r="X1198" s="170" t="n"/>
      <c r="Y1198" s="76">
        <f>ROUND(IF(offer_incoterms="DDP",X1198*(S1198*(1+AW1198)+T1198),0),2)</f>
        <v/>
      </c>
      <c r="Z1198" s="188" t="n"/>
      <c r="AA1198" s="192">
        <f>IFERROR(AB1198/E1198,0)</f>
        <v/>
      </c>
      <c r="AB1198" s="76">
        <f>ROUND(SUM(S1198,V1198,Y1198:Z1198,BA1198:BB1198),2)</f>
        <v/>
      </c>
      <c r="AC1198" s="797" t="n"/>
      <c r="AD1198" s="192">
        <f t="array" ref="AD1198">IFERROR(ROUND((_xlfn.IFS(offer_sale_type="поставка",AB1198,offer_sale_type="транзит",S1198)*(1+AC1198))/E1198,2),0)</f>
        <v/>
      </c>
      <c r="AE1198" s="76">
        <f>AD1198*E1198</f>
        <v/>
      </c>
      <c r="AF1198" s="193">
        <f t="array" ref="AF1198">IFERROR(ROUND(_xlfn.IFS(offer_sale_type="поставка",AB1198,offer_sale_type="транзит",S1198)*AC1198,2),0)</f>
        <v/>
      </c>
      <c r="AG1198" s="192">
        <f>$BD1198*VLOOKUP($AG$3,$AF$4:$AG$7,2,FALSE)</f>
        <v/>
      </c>
      <c r="AH1198" s="76">
        <f>SUM(AE1198,AG1198,AI1198)*rate_forex_risk</f>
        <v/>
      </c>
      <c r="AI1198" s="193">
        <f>IF(OR(seller_region="TR",offer_sale_type="экспорт"),0,rate_fin_comm)*SUM(AZ1198,AZ1198*AW1198,T1198)</f>
        <v/>
      </c>
      <c r="AJ1198" s="118">
        <f>IFERROR(ROUND(SUM(AB1198,AF1198:AI1198)/E1198,2),0)</f>
        <v/>
      </c>
      <c r="AK1198" s="76">
        <f>AJ1198*E1198</f>
        <v/>
      </c>
      <c r="AL1198" s="174">
        <f>ROUND(IFERROR(AM1198*E1198,0),2)</f>
        <v/>
      </c>
      <c r="AM1198" s="175">
        <f>ROUND(AJ1198*(1+IF(offer_incoterms="DDP",IF((TODAY()+offer_turnaround_time)&gt;=helpsheet!$L$17,rate_vatRU_from_26,rate_vatRu_till_25),0)),2)</f>
        <v/>
      </c>
      <c r="AN1198" s="192">
        <f>AL1198-AK1198</f>
        <v/>
      </c>
      <c r="AO1198" s="76">
        <f>SUM(AY1198,Y1198:Z1198,T1198)*IF(AND(offer_incoterms="DDP",offer_sale_type&lt;&gt;"экспорт"),IF((TODAY()+offer_turnaround_time)&gt;=helpsheet!$L$17,rate_vatRU_from_26,rate_vatRu_till_25),0)</f>
        <v/>
      </c>
      <c r="AP1198" s="193">
        <f>AN1198-AO1198</f>
        <v/>
      </c>
      <c r="AQ1198" s="118">
        <f>IF(offer_sale_type="транзит",SUM(AF1198:AI1198,BA1198,BB1198),0)</f>
        <v/>
      </c>
      <c r="AR1198" s="82">
        <f>HYPERLINK("https://www.alta.ru/tnved/code/")&amp;W1198&amp;"/"</f>
        <v/>
      </c>
      <c r="AS1198" s="157" t="n"/>
      <c r="AT1198" s="162" t="n"/>
      <c r="AU1198" s="76">
        <f>IF(ISBLANK(AT1198),0,AJ1198-AT1198)</f>
        <v/>
      </c>
      <c r="AV1198" s="157" t="n"/>
      <c r="AW1198" s="75">
        <f>_xlfn.IFNA(VLOOKUP(L1198,list_vat[],3,FALSE),0)</f>
        <v/>
      </c>
      <c r="AX1198" s="76">
        <f>IFERROR(ROUND(S1198*(1+AW1198)/E1198,2),0)</f>
        <v/>
      </c>
      <c r="AY1198" s="76">
        <f>E1198*AX1198</f>
        <v/>
      </c>
      <c r="AZ1198" s="192">
        <f>S1198*(1+M1198)</f>
        <v/>
      </c>
      <c r="BA1198" s="76">
        <f>cost_fin_total*$BD1198</f>
        <v/>
      </c>
      <c r="BB1198" s="193">
        <f>credit_sales_interest*BD1198</f>
        <v/>
      </c>
      <c r="BC1198" s="102">
        <f>IFERROR(IF($I$13&gt;0,$I1198/$I$13,$S1198/$S$13),0)</f>
        <v/>
      </c>
      <c r="BD1198" s="102">
        <f>IFERROR($S1198/$S$13,0)</f>
        <v/>
      </c>
      <c r="BE1198" s="413" t="inlineStr">
        <is>
          <t>$</t>
        </is>
      </c>
    </row>
    <row r="1199" ht="12" customFormat="1" customHeight="1" s="65">
      <c r="A1199" s="43" t="n">
        <v>1184</v>
      </c>
      <c r="B1199" s="166" t="n"/>
      <c r="C1199" s="166" t="n"/>
      <c r="D1199" s="166" t="n"/>
      <c r="E1199" s="162" t="n"/>
      <c r="F1199" s="166" t="n"/>
      <c r="G1199" s="162" t="n"/>
      <c r="H1199" s="162" t="n"/>
      <c r="I1199" s="189">
        <f>E1199*G1199</f>
        <v/>
      </c>
      <c r="J1199" s="195" t="n"/>
      <c r="K1199" s="162" t="n"/>
      <c r="L1199" s="168" t="n"/>
      <c r="M1199" s="75">
        <f>_xlfn.XLOOKUP(L1199,list_vat[Страна],list_vat[Ставка НДС %],0,0)</f>
        <v/>
      </c>
      <c r="N1199" s="162">
        <f>IFERROR(IF(L1199="Китай",K1199,K1199/(1+M1199)),0)</f>
        <v/>
      </c>
      <c r="O1199" s="169" t="n"/>
      <c r="P1199" s="76">
        <f>N1199*(1-O1199)</f>
        <v/>
      </c>
      <c r="Q1199" s="162" t="n"/>
      <c r="R1199" s="162">
        <f>IF(ISBLANK(Q1199),"введи курс",P1199/Q1199)</f>
        <v/>
      </c>
      <c r="S1199" s="196">
        <f>IF(AND(ISNUMBER(E1199),ISNUMBER(Q1199)),E1199*R1199,0)</f>
        <v/>
      </c>
      <c r="T1199" s="192">
        <f>$BC1199*V$11</f>
        <v/>
      </c>
      <c r="U1199" s="76">
        <f>$BC1199*W$11</f>
        <v/>
      </c>
      <c r="V1199" s="193">
        <f>+SUM(T1199:U1199)</f>
        <v/>
      </c>
      <c r="W1199" s="191" t="n"/>
      <c r="X1199" s="170" t="n"/>
      <c r="Y1199" s="76">
        <f>ROUND(IF(offer_incoterms="DDP",X1199*(S1199*(1+AW1199)+T1199),0),2)</f>
        <v/>
      </c>
      <c r="Z1199" s="188" t="n"/>
      <c r="AA1199" s="192">
        <f>IFERROR(AB1199/E1199,0)</f>
        <v/>
      </c>
      <c r="AB1199" s="76">
        <f>ROUND(SUM(S1199,V1199,Y1199:Z1199,BA1199:BB1199),2)</f>
        <v/>
      </c>
      <c r="AC1199" s="797" t="n"/>
      <c r="AD1199" s="192">
        <f t="array" ref="AD1199">IFERROR(ROUND((_xlfn.IFS(offer_sale_type="поставка",AB1199,offer_sale_type="транзит",S1199)*(1+AC1199))/E1199,2),0)</f>
        <v/>
      </c>
      <c r="AE1199" s="76">
        <f>AD1199*E1199</f>
        <v/>
      </c>
      <c r="AF1199" s="193">
        <f t="array" ref="AF1199">IFERROR(ROUND(_xlfn.IFS(offer_sale_type="поставка",AB1199,offer_sale_type="транзит",S1199)*AC1199,2),0)</f>
        <v/>
      </c>
      <c r="AG1199" s="192">
        <f>$BD1199*VLOOKUP($AG$3,$AF$4:$AG$7,2,FALSE)</f>
        <v/>
      </c>
      <c r="AH1199" s="76">
        <f>SUM(AE1199,AG1199,AI1199)*rate_forex_risk</f>
        <v/>
      </c>
      <c r="AI1199" s="193">
        <f>IF(OR(seller_region="TR",offer_sale_type="экспорт"),0,rate_fin_comm)*SUM(AZ1199,AZ1199*AW1199,T1199)</f>
        <v/>
      </c>
      <c r="AJ1199" s="118">
        <f>IFERROR(ROUND(SUM(AB1199,AF1199:AI1199)/E1199,2),0)</f>
        <v/>
      </c>
      <c r="AK1199" s="76">
        <f>AJ1199*E1199</f>
        <v/>
      </c>
      <c r="AL1199" s="174">
        <f>ROUND(IFERROR(AM1199*E1199,0),2)</f>
        <v/>
      </c>
      <c r="AM1199" s="175">
        <f>ROUND(AJ1199*(1+IF(offer_incoterms="DDP",IF((TODAY()+offer_turnaround_time)&gt;=helpsheet!$L$17,rate_vatRU_from_26,rate_vatRu_till_25),0)),2)</f>
        <v/>
      </c>
      <c r="AN1199" s="192">
        <f>AL1199-AK1199</f>
        <v/>
      </c>
      <c r="AO1199" s="76">
        <f>SUM(AY1199,Y1199:Z1199,T1199)*IF(AND(offer_incoterms="DDP",offer_sale_type&lt;&gt;"экспорт"),IF((TODAY()+offer_turnaround_time)&gt;=helpsheet!$L$17,rate_vatRU_from_26,rate_vatRu_till_25),0)</f>
        <v/>
      </c>
      <c r="AP1199" s="193">
        <f>AN1199-AO1199</f>
        <v/>
      </c>
      <c r="AQ1199" s="118">
        <f>IF(offer_sale_type="транзит",SUM(AF1199:AI1199,BA1199,BB1199),0)</f>
        <v/>
      </c>
      <c r="AR1199" s="82">
        <f>HYPERLINK("https://www.alta.ru/tnved/code/")&amp;W1199&amp;"/"</f>
        <v/>
      </c>
      <c r="AS1199" s="157" t="n"/>
      <c r="AT1199" s="162" t="n"/>
      <c r="AU1199" s="76">
        <f>IF(ISBLANK(AT1199),0,AJ1199-AT1199)</f>
        <v/>
      </c>
      <c r="AV1199" s="157" t="n"/>
      <c r="AW1199" s="75">
        <f>_xlfn.IFNA(VLOOKUP(L1199,list_vat[],3,FALSE),0)</f>
        <v/>
      </c>
      <c r="AX1199" s="76">
        <f>IFERROR(ROUND(S1199*(1+AW1199)/E1199,2),0)</f>
        <v/>
      </c>
      <c r="AY1199" s="76">
        <f>E1199*AX1199</f>
        <v/>
      </c>
      <c r="AZ1199" s="192">
        <f>S1199*(1+M1199)</f>
        <v/>
      </c>
      <c r="BA1199" s="76">
        <f>cost_fin_total*$BD1199</f>
        <v/>
      </c>
      <c r="BB1199" s="193">
        <f>credit_sales_interest*BD1199</f>
        <v/>
      </c>
      <c r="BC1199" s="102">
        <f>IFERROR(IF($I$13&gt;0,$I1199/$I$13,$S1199/$S$13),0)</f>
        <v/>
      </c>
      <c r="BD1199" s="102">
        <f>IFERROR($S1199/$S$13,0)</f>
        <v/>
      </c>
      <c r="BE1199" s="413" t="inlineStr">
        <is>
          <t>$</t>
        </is>
      </c>
    </row>
    <row r="1200" ht="12" customFormat="1" customHeight="1" s="65">
      <c r="A1200" s="43" t="n">
        <v>1185</v>
      </c>
      <c r="B1200" s="166" t="n"/>
      <c r="C1200" s="166" t="n"/>
      <c r="D1200" s="166" t="n"/>
      <c r="E1200" s="162" t="n"/>
      <c r="F1200" s="166" t="n"/>
      <c r="G1200" s="162" t="n"/>
      <c r="H1200" s="162" t="n"/>
      <c r="I1200" s="189">
        <f>E1200*G1200</f>
        <v/>
      </c>
      <c r="J1200" s="195" t="n"/>
      <c r="K1200" s="162" t="n"/>
      <c r="L1200" s="168" t="n"/>
      <c r="M1200" s="75">
        <f>_xlfn.XLOOKUP(L1200,list_vat[Страна],list_vat[Ставка НДС %],0,0)</f>
        <v/>
      </c>
      <c r="N1200" s="162">
        <f>IFERROR(IF(L1200="Китай",K1200,K1200/(1+M1200)),0)</f>
        <v/>
      </c>
      <c r="O1200" s="169" t="n"/>
      <c r="P1200" s="76">
        <f>N1200*(1-O1200)</f>
        <v/>
      </c>
      <c r="Q1200" s="162" t="n"/>
      <c r="R1200" s="162">
        <f>IF(ISBLANK(Q1200),"введи курс",P1200/Q1200)</f>
        <v/>
      </c>
      <c r="S1200" s="196">
        <f>IF(AND(ISNUMBER(E1200),ISNUMBER(Q1200)),E1200*R1200,0)</f>
        <v/>
      </c>
      <c r="T1200" s="192">
        <f>$BC1200*V$11</f>
        <v/>
      </c>
      <c r="U1200" s="76">
        <f>$BC1200*W$11</f>
        <v/>
      </c>
      <c r="V1200" s="193">
        <f>+SUM(T1200:U1200)</f>
        <v/>
      </c>
      <c r="W1200" s="191" t="n"/>
      <c r="X1200" s="170" t="n"/>
      <c r="Y1200" s="76">
        <f>ROUND(IF(offer_incoterms="DDP",X1200*(S1200*(1+AW1200)+T1200),0),2)</f>
        <v/>
      </c>
      <c r="Z1200" s="188" t="n"/>
      <c r="AA1200" s="192">
        <f>IFERROR(AB1200/E1200,0)</f>
        <v/>
      </c>
      <c r="AB1200" s="76">
        <f>ROUND(SUM(S1200,V1200,Y1200:Z1200,BA1200:BB1200),2)</f>
        <v/>
      </c>
      <c r="AC1200" s="797" t="n"/>
      <c r="AD1200" s="192">
        <f t="array" ref="AD1200">IFERROR(ROUND((_xlfn.IFS(offer_sale_type="поставка",AB1200,offer_sale_type="транзит",S1200)*(1+AC1200))/E1200,2),0)</f>
        <v/>
      </c>
      <c r="AE1200" s="76">
        <f>AD1200*E1200</f>
        <v/>
      </c>
      <c r="AF1200" s="193">
        <f t="array" ref="AF1200">IFERROR(ROUND(_xlfn.IFS(offer_sale_type="поставка",AB1200,offer_sale_type="транзит",S1200)*AC1200,2),0)</f>
        <v/>
      </c>
      <c r="AG1200" s="192">
        <f>$BD1200*VLOOKUP($AG$3,$AF$4:$AG$7,2,FALSE)</f>
        <v/>
      </c>
      <c r="AH1200" s="76">
        <f>SUM(AE1200,AG1200,AI1200)*rate_forex_risk</f>
        <v/>
      </c>
      <c r="AI1200" s="193">
        <f>IF(OR(seller_region="TR",offer_sale_type="экспорт"),0,rate_fin_comm)*SUM(AZ1200,AZ1200*AW1200,T1200)</f>
        <v/>
      </c>
      <c r="AJ1200" s="118">
        <f>IFERROR(ROUND(SUM(AB1200,AF1200:AI1200)/E1200,2),0)</f>
        <v/>
      </c>
      <c r="AK1200" s="76">
        <f>AJ1200*E1200</f>
        <v/>
      </c>
      <c r="AL1200" s="174">
        <f>ROUND(IFERROR(AM1200*E1200,0),2)</f>
        <v/>
      </c>
      <c r="AM1200" s="175">
        <f>ROUND(AJ1200*(1+IF(offer_incoterms="DDP",IF((TODAY()+offer_turnaround_time)&gt;=helpsheet!$L$17,rate_vatRU_from_26,rate_vatRu_till_25),0)),2)</f>
        <v/>
      </c>
      <c r="AN1200" s="192">
        <f>AL1200-AK1200</f>
        <v/>
      </c>
      <c r="AO1200" s="76">
        <f>SUM(AY1200,Y1200:Z1200,T1200)*IF(AND(offer_incoterms="DDP",offer_sale_type&lt;&gt;"экспорт"),IF((TODAY()+offer_turnaround_time)&gt;=helpsheet!$L$17,rate_vatRU_from_26,rate_vatRu_till_25),0)</f>
        <v/>
      </c>
      <c r="AP1200" s="193">
        <f>AN1200-AO1200</f>
        <v/>
      </c>
      <c r="AQ1200" s="118">
        <f>IF(offer_sale_type="транзит",SUM(AF1200:AI1200,BA1200,BB1200),0)</f>
        <v/>
      </c>
      <c r="AR1200" s="82">
        <f>HYPERLINK("https://www.alta.ru/tnved/code/")&amp;W1200&amp;"/"</f>
        <v/>
      </c>
      <c r="AS1200" s="157" t="n"/>
      <c r="AT1200" s="162" t="n"/>
      <c r="AU1200" s="76">
        <f>IF(ISBLANK(AT1200),0,AJ1200-AT1200)</f>
        <v/>
      </c>
      <c r="AV1200" s="157" t="n"/>
      <c r="AW1200" s="75">
        <f>_xlfn.IFNA(VLOOKUP(L1200,list_vat[],3,FALSE),0)</f>
        <v/>
      </c>
      <c r="AX1200" s="76">
        <f>IFERROR(ROUND(S1200*(1+AW1200)/E1200,2),0)</f>
        <v/>
      </c>
      <c r="AY1200" s="76">
        <f>E1200*AX1200</f>
        <v/>
      </c>
      <c r="AZ1200" s="192">
        <f>S1200*(1+M1200)</f>
        <v/>
      </c>
      <c r="BA1200" s="76">
        <f>cost_fin_total*$BD1200</f>
        <v/>
      </c>
      <c r="BB1200" s="193">
        <f>credit_sales_interest*BD1200</f>
        <v/>
      </c>
      <c r="BC1200" s="102">
        <f>IFERROR(IF($I$13&gt;0,$I1200/$I$13,$S1200/$S$13),0)</f>
        <v/>
      </c>
      <c r="BD1200" s="102">
        <f>IFERROR($S1200/$S$13,0)</f>
        <v/>
      </c>
      <c r="BE1200" s="413" t="inlineStr">
        <is>
          <t>$</t>
        </is>
      </c>
    </row>
    <row r="1201" ht="12" customFormat="1" customHeight="1" s="65">
      <c r="A1201" s="43" t="n">
        <v>1186</v>
      </c>
      <c r="B1201" s="166" t="n"/>
      <c r="C1201" s="166" t="n"/>
      <c r="D1201" s="166" t="n"/>
      <c r="E1201" s="162" t="n"/>
      <c r="F1201" s="166" t="n"/>
      <c r="G1201" s="162" t="n"/>
      <c r="H1201" s="162" t="n"/>
      <c r="I1201" s="189">
        <f>E1201*G1201</f>
        <v/>
      </c>
      <c r="J1201" s="195" t="n"/>
      <c r="K1201" s="162" t="n"/>
      <c r="L1201" s="168" t="n"/>
      <c r="M1201" s="75">
        <f>_xlfn.XLOOKUP(L1201,list_vat[Страна],list_vat[Ставка НДС %],0,0)</f>
        <v/>
      </c>
      <c r="N1201" s="162">
        <f>IFERROR(IF(L1201="Китай",K1201,K1201/(1+M1201)),0)</f>
        <v/>
      </c>
      <c r="O1201" s="169" t="n"/>
      <c r="P1201" s="76">
        <f>N1201*(1-O1201)</f>
        <v/>
      </c>
      <c r="Q1201" s="162" t="n"/>
      <c r="R1201" s="162">
        <f>IF(ISBLANK(Q1201),"введи курс",P1201/Q1201)</f>
        <v/>
      </c>
      <c r="S1201" s="196">
        <f>IF(AND(ISNUMBER(E1201),ISNUMBER(Q1201)),E1201*R1201,0)</f>
        <v/>
      </c>
      <c r="T1201" s="192">
        <f>$BC1201*V$11</f>
        <v/>
      </c>
      <c r="U1201" s="76">
        <f>$BC1201*W$11</f>
        <v/>
      </c>
      <c r="V1201" s="193">
        <f>+SUM(T1201:U1201)</f>
        <v/>
      </c>
      <c r="W1201" s="191" t="n"/>
      <c r="X1201" s="170" t="n"/>
      <c r="Y1201" s="76">
        <f>ROUND(IF(offer_incoterms="DDP",X1201*(S1201*(1+AW1201)+T1201),0),2)</f>
        <v/>
      </c>
      <c r="Z1201" s="188" t="n"/>
      <c r="AA1201" s="192">
        <f>IFERROR(AB1201/E1201,0)</f>
        <v/>
      </c>
      <c r="AB1201" s="76">
        <f>ROUND(SUM(S1201,V1201,Y1201:Z1201,BA1201:BB1201),2)</f>
        <v/>
      </c>
      <c r="AC1201" s="797" t="n"/>
      <c r="AD1201" s="192">
        <f t="array" ref="AD1201">IFERROR(ROUND((_xlfn.IFS(offer_sale_type="поставка",AB1201,offer_sale_type="транзит",S1201)*(1+AC1201))/E1201,2),0)</f>
        <v/>
      </c>
      <c r="AE1201" s="76">
        <f>AD1201*E1201</f>
        <v/>
      </c>
      <c r="AF1201" s="193">
        <f t="array" ref="AF1201">IFERROR(ROUND(_xlfn.IFS(offer_sale_type="поставка",AB1201,offer_sale_type="транзит",S1201)*AC1201,2),0)</f>
        <v/>
      </c>
      <c r="AG1201" s="192">
        <f>$BD1201*VLOOKUP($AG$3,$AF$4:$AG$7,2,FALSE)</f>
        <v/>
      </c>
      <c r="AH1201" s="76">
        <f>SUM(AE1201,AG1201,AI1201)*rate_forex_risk</f>
        <v/>
      </c>
      <c r="AI1201" s="193">
        <f>IF(OR(seller_region="TR",offer_sale_type="экспорт"),0,rate_fin_comm)*SUM(AZ1201,AZ1201*AW1201,T1201)</f>
        <v/>
      </c>
      <c r="AJ1201" s="118">
        <f>IFERROR(ROUND(SUM(AB1201,AF1201:AI1201)/E1201,2),0)</f>
        <v/>
      </c>
      <c r="AK1201" s="76">
        <f>AJ1201*E1201</f>
        <v/>
      </c>
      <c r="AL1201" s="174">
        <f>ROUND(IFERROR(AM1201*E1201,0),2)</f>
        <v/>
      </c>
      <c r="AM1201" s="175">
        <f>ROUND(AJ1201*(1+IF(offer_incoterms="DDP",IF((TODAY()+offer_turnaround_time)&gt;=helpsheet!$L$17,rate_vatRU_from_26,rate_vatRu_till_25),0)),2)</f>
        <v/>
      </c>
      <c r="AN1201" s="192">
        <f>AL1201-AK1201</f>
        <v/>
      </c>
      <c r="AO1201" s="76">
        <f>SUM(AY1201,Y1201:Z1201,T1201)*IF(AND(offer_incoterms="DDP",offer_sale_type&lt;&gt;"экспорт"),IF((TODAY()+offer_turnaround_time)&gt;=helpsheet!$L$17,rate_vatRU_from_26,rate_vatRu_till_25),0)</f>
        <v/>
      </c>
      <c r="AP1201" s="193">
        <f>AN1201-AO1201</f>
        <v/>
      </c>
      <c r="AQ1201" s="118">
        <f>IF(offer_sale_type="транзит",SUM(AF1201:AI1201,BA1201,BB1201),0)</f>
        <v/>
      </c>
      <c r="AR1201" s="82">
        <f>HYPERLINK("https://www.alta.ru/tnved/code/")&amp;W1201&amp;"/"</f>
        <v/>
      </c>
      <c r="AS1201" s="157" t="n"/>
      <c r="AT1201" s="162" t="n"/>
      <c r="AU1201" s="76">
        <f>IF(ISBLANK(AT1201),0,AJ1201-AT1201)</f>
        <v/>
      </c>
      <c r="AV1201" s="157" t="n"/>
      <c r="AW1201" s="75">
        <f>_xlfn.IFNA(VLOOKUP(L1201,list_vat[],3,FALSE),0)</f>
        <v/>
      </c>
      <c r="AX1201" s="76">
        <f>IFERROR(ROUND(S1201*(1+AW1201)/E1201,2),0)</f>
        <v/>
      </c>
      <c r="AY1201" s="76">
        <f>E1201*AX1201</f>
        <v/>
      </c>
      <c r="AZ1201" s="192">
        <f>S1201*(1+M1201)</f>
        <v/>
      </c>
      <c r="BA1201" s="76">
        <f>cost_fin_total*$BD1201</f>
        <v/>
      </c>
      <c r="BB1201" s="193">
        <f>credit_sales_interest*BD1201</f>
        <v/>
      </c>
      <c r="BC1201" s="102">
        <f>IFERROR(IF($I$13&gt;0,$I1201/$I$13,$S1201/$S$13),0)</f>
        <v/>
      </c>
      <c r="BD1201" s="102">
        <f>IFERROR($S1201/$S$13,0)</f>
        <v/>
      </c>
      <c r="BE1201" s="413" t="inlineStr">
        <is>
          <t>$</t>
        </is>
      </c>
    </row>
    <row r="1202" ht="12" customFormat="1" customHeight="1" s="65">
      <c r="A1202" s="43" t="n">
        <v>1187</v>
      </c>
      <c r="B1202" s="166" t="n"/>
      <c r="C1202" s="166" t="n"/>
      <c r="D1202" s="166" t="n"/>
      <c r="E1202" s="162" t="n"/>
      <c r="F1202" s="166" t="n"/>
      <c r="G1202" s="162" t="n"/>
      <c r="H1202" s="162" t="n"/>
      <c r="I1202" s="189">
        <f>E1202*G1202</f>
        <v/>
      </c>
      <c r="J1202" s="195" t="n"/>
      <c r="K1202" s="162" t="n"/>
      <c r="L1202" s="168" t="n"/>
      <c r="M1202" s="75">
        <f>_xlfn.XLOOKUP(L1202,list_vat[Страна],list_vat[Ставка НДС %],0,0)</f>
        <v/>
      </c>
      <c r="N1202" s="162">
        <f>IFERROR(IF(L1202="Китай",K1202,K1202/(1+M1202)),0)</f>
        <v/>
      </c>
      <c r="O1202" s="169" t="n"/>
      <c r="P1202" s="76">
        <f>N1202*(1-O1202)</f>
        <v/>
      </c>
      <c r="Q1202" s="162" t="n"/>
      <c r="R1202" s="162">
        <f>IF(ISBLANK(Q1202),"введи курс",P1202/Q1202)</f>
        <v/>
      </c>
      <c r="S1202" s="196">
        <f>IF(AND(ISNUMBER(E1202),ISNUMBER(Q1202)),E1202*R1202,0)</f>
        <v/>
      </c>
      <c r="T1202" s="192">
        <f>$BC1202*V$11</f>
        <v/>
      </c>
      <c r="U1202" s="76">
        <f>$BC1202*W$11</f>
        <v/>
      </c>
      <c r="V1202" s="193">
        <f>+SUM(T1202:U1202)</f>
        <v/>
      </c>
      <c r="W1202" s="191" t="n"/>
      <c r="X1202" s="170" t="n"/>
      <c r="Y1202" s="76">
        <f>ROUND(IF(offer_incoterms="DDP",X1202*(S1202*(1+AW1202)+T1202),0),2)</f>
        <v/>
      </c>
      <c r="Z1202" s="188" t="n"/>
      <c r="AA1202" s="192">
        <f>IFERROR(AB1202/E1202,0)</f>
        <v/>
      </c>
      <c r="AB1202" s="76">
        <f>ROUND(SUM(S1202,V1202,Y1202:Z1202,BA1202:BB1202),2)</f>
        <v/>
      </c>
      <c r="AC1202" s="797" t="n"/>
      <c r="AD1202" s="192">
        <f t="array" ref="AD1202">IFERROR(ROUND((_xlfn.IFS(offer_sale_type="поставка",AB1202,offer_sale_type="транзит",S1202)*(1+AC1202))/E1202,2),0)</f>
        <v/>
      </c>
      <c r="AE1202" s="76">
        <f>AD1202*E1202</f>
        <v/>
      </c>
      <c r="AF1202" s="193">
        <f t="array" ref="AF1202">IFERROR(ROUND(_xlfn.IFS(offer_sale_type="поставка",AB1202,offer_sale_type="транзит",S1202)*AC1202,2),0)</f>
        <v/>
      </c>
      <c r="AG1202" s="192">
        <f>$BD1202*VLOOKUP($AG$3,$AF$4:$AG$7,2,FALSE)</f>
        <v/>
      </c>
      <c r="AH1202" s="76">
        <f>SUM(AE1202,AG1202,AI1202)*rate_forex_risk</f>
        <v/>
      </c>
      <c r="AI1202" s="193">
        <f>IF(OR(seller_region="TR",offer_sale_type="экспорт"),0,rate_fin_comm)*SUM(AZ1202,AZ1202*AW1202,T1202)</f>
        <v/>
      </c>
      <c r="AJ1202" s="118">
        <f>IFERROR(ROUND(SUM(AB1202,AF1202:AI1202)/E1202,2),0)</f>
        <v/>
      </c>
      <c r="AK1202" s="76">
        <f>AJ1202*E1202</f>
        <v/>
      </c>
      <c r="AL1202" s="174">
        <f>ROUND(IFERROR(AM1202*E1202,0),2)</f>
        <v/>
      </c>
      <c r="AM1202" s="175">
        <f>ROUND(AJ1202*(1+IF(offer_incoterms="DDP",IF((TODAY()+offer_turnaround_time)&gt;=helpsheet!$L$17,rate_vatRU_from_26,rate_vatRu_till_25),0)),2)</f>
        <v/>
      </c>
      <c r="AN1202" s="192">
        <f>AL1202-AK1202</f>
        <v/>
      </c>
      <c r="AO1202" s="76">
        <f>SUM(AY1202,Y1202:Z1202,T1202)*IF(AND(offer_incoterms="DDP",offer_sale_type&lt;&gt;"экспорт"),IF((TODAY()+offer_turnaround_time)&gt;=helpsheet!$L$17,rate_vatRU_from_26,rate_vatRu_till_25),0)</f>
        <v/>
      </c>
      <c r="AP1202" s="193">
        <f>AN1202-AO1202</f>
        <v/>
      </c>
      <c r="AQ1202" s="118">
        <f>IF(offer_sale_type="транзит",SUM(AF1202:AI1202,BA1202,BB1202),0)</f>
        <v/>
      </c>
      <c r="AR1202" s="82">
        <f>HYPERLINK("https://www.alta.ru/tnved/code/")&amp;W1202&amp;"/"</f>
        <v/>
      </c>
      <c r="AS1202" s="157" t="n"/>
      <c r="AT1202" s="162" t="n"/>
      <c r="AU1202" s="76">
        <f>IF(ISBLANK(AT1202),0,AJ1202-AT1202)</f>
        <v/>
      </c>
      <c r="AV1202" s="157" t="n"/>
      <c r="AW1202" s="75">
        <f>_xlfn.IFNA(VLOOKUP(L1202,list_vat[],3,FALSE),0)</f>
        <v/>
      </c>
      <c r="AX1202" s="76">
        <f>IFERROR(ROUND(S1202*(1+AW1202)/E1202,2),0)</f>
        <v/>
      </c>
      <c r="AY1202" s="76">
        <f>E1202*AX1202</f>
        <v/>
      </c>
      <c r="AZ1202" s="192">
        <f>S1202*(1+M1202)</f>
        <v/>
      </c>
      <c r="BA1202" s="76">
        <f>cost_fin_total*$BD1202</f>
        <v/>
      </c>
      <c r="BB1202" s="193">
        <f>credit_sales_interest*BD1202</f>
        <v/>
      </c>
      <c r="BC1202" s="102">
        <f>IFERROR(IF($I$13&gt;0,$I1202/$I$13,$S1202/$S$13),0)</f>
        <v/>
      </c>
      <c r="BD1202" s="102">
        <f>IFERROR($S1202/$S$13,0)</f>
        <v/>
      </c>
      <c r="BE1202" s="413" t="inlineStr">
        <is>
          <t>$</t>
        </is>
      </c>
    </row>
    <row r="1203" ht="12" customFormat="1" customHeight="1" s="65">
      <c r="A1203" s="43" t="n">
        <v>1188</v>
      </c>
      <c r="B1203" s="166" t="n"/>
      <c r="C1203" s="166" t="n"/>
      <c r="D1203" s="166" t="n"/>
      <c r="E1203" s="162" t="n"/>
      <c r="F1203" s="166" t="n"/>
      <c r="G1203" s="162" t="n"/>
      <c r="H1203" s="162" t="n"/>
      <c r="I1203" s="189">
        <f>E1203*G1203</f>
        <v/>
      </c>
      <c r="J1203" s="195" t="n"/>
      <c r="K1203" s="162" t="n"/>
      <c r="L1203" s="168" t="n"/>
      <c r="M1203" s="75">
        <f>_xlfn.XLOOKUP(L1203,list_vat[Страна],list_vat[Ставка НДС %],0,0)</f>
        <v/>
      </c>
      <c r="N1203" s="162">
        <f>IFERROR(IF(L1203="Китай",K1203,K1203/(1+M1203)),0)</f>
        <v/>
      </c>
      <c r="O1203" s="169" t="n"/>
      <c r="P1203" s="76">
        <f>N1203*(1-O1203)</f>
        <v/>
      </c>
      <c r="Q1203" s="162" t="n"/>
      <c r="R1203" s="162">
        <f>IF(ISBLANK(Q1203),"введи курс",P1203/Q1203)</f>
        <v/>
      </c>
      <c r="S1203" s="196">
        <f>IF(AND(ISNUMBER(E1203),ISNUMBER(Q1203)),E1203*R1203,0)</f>
        <v/>
      </c>
      <c r="T1203" s="192">
        <f>$BC1203*V$11</f>
        <v/>
      </c>
      <c r="U1203" s="76">
        <f>$BC1203*W$11</f>
        <v/>
      </c>
      <c r="V1203" s="193">
        <f>+SUM(T1203:U1203)</f>
        <v/>
      </c>
      <c r="W1203" s="191" t="n"/>
      <c r="X1203" s="170" t="n"/>
      <c r="Y1203" s="76">
        <f>ROUND(IF(offer_incoterms="DDP",X1203*(S1203*(1+AW1203)+T1203),0),2)</f>
        <v/>
      </c>
      <c r="Z1203" s="188" t="n"/>
      <c r="AA1203" s="192">
        <f>IFERROR(AB1203/E1203,0)</f>
        <v/>
      </c>
      <c r="AB1203" s="76">
        <f>ROUND(SUM(S1203,V1203,Y1203:Z1203,BA1203:BB1203),2)</f>
        <v/>
      </c>
      <c r="AC1203" s="797" t="n"/>
      <c r="AD1203" s="192">
        <f t="array" ref="AD1203">IFERROR(ROUND((_xlfn.IFS(offer_sale_type="поставка",AB1203,offer_sale_type="транзит",S1203)*(1+AC1203))/E1203,2),0)</f>
        <v/>
      </c>
      <c r="AE1203" s="76">
        <f>AD1203*E1203</f>
        <v/>
      </c>
      <c r="AF1203" s="193">
        <f t="array" ref="AF1203">IFERROR(ROUND(_xlfn.IFS(offer_sale_type="поставка",AB1203,offer_sale_type="транзит",S1203)*AC1203,2),0)</f>
        <v/>
      </c>
      <c r="AG1203" s="192">
        <f>$BD1203*VLOOKUP($AG$3,$AF$4:$AG$7,2,FALSE)</f>
        <v/>
      </c>
      <c r="AH1203" s="76">
        <f>SUM(AE1203,AG1203,AI1203)*rate_forex_risk</f>
        <v/>
      </c>
      <c r="AI1203" s="193">
        <f>IF(OR(seller_region="TR",offer_sale_type="экспорт"),0,rate_fin_comm)*SUM(AZ1203,AZ1203*AW1203,T1203)</f>
        <v/>
      </c>
      <c r="AJ1203" s="118">
        <f>IFERROR(ROUND(SUM(AB1203,AF1203:AI1203)/E1203,2),0)</f>
        <v/>
      </c>
      <c r="AK1203" s="76">
        <f>AJ1203*E1203</f>
        <v/>
      </c>
      <c r="AL1203" s="174">
        <f>ROUND(IFERROR(AM1203*E1203,0),2)</f>
        <v/>
      </c>
      <c r="AM1203" s="175">
        <f>ROUND(AJ1203*(1+IF(offer_incoterms="DDP",IF((TODAY()+offer_turnaround_time)&gt;=helpsheet!$L$17,rate_vatRU_from_26,rate_vatRu_till_25),0)),2)</f>
        <v/>
      </c>
      <c r="AN1203" s="192">
        <f>AL1203-AK1203</f>
        <v/>
      </c>
      <c r="AO1203" s="76">
        <f>SUM(AY1203,Y1203:Z1203,T1203)*IF(AND(offer_incoterms="DDP",offer_sale_type&lt;&gt;"экспорт"),IF((TODAY()+offer_turnaround_time)&gt;=helpsheet!$L$17,rate_vatRU_from_26,rate_vatRu_till_25),0)</f>
        <v/>
      </c>
      <c r="AP1203" s="193">
        <f>AN1203-AO1203</f>
        <v/>
      </c>
      <c r="AQ1203" s="118">
        <f>IF(offer_sale_type="транзит",SUM(AF1203:AI1203,BA1203,BB1203),0)</f>
        <v/>
      </c>
      <c r="AR1203" s="82">
        <f>HYPERLINK("https://www.alta.ru/tnved/code/")&amp;W1203&amp;"/"</f>
        <v/>
      </c>
      <c r="AS1203" s="157" t="n"/>
      <c r="AT1203" s="162" t="n"/>
      <c r="AU1203" s="76">
        <f>IF(ISBLANK(AT1203),0,AJ1203-AT1203)</f>
        <v/>
      </c>
      <c r="AV1203" s="157" t="n"/>
      <c r="AW1203" s="75">
        <f>_xlfn.IFNA(VLOOKUP(L1203,list_vat[],3,FALSE),0)</f>
        <v/>
      </c>
      <c r="AX1203" s="76">
        <f>IFERROR(ROUND(S1203*(1+AW1203)/E1203,2),0)</f>
        <v/>
      </c>
      <c r="AY1203" s="76">
        <f>E1203*AX1203</f>
        <v/>
      </c>
      <c r="AZ1203" s="192">
        <f>S1203*(1+M1203)</f>
        <v/>
      </c>
      <c r="BA1203" s="76">
        <f>cost_fin_total*$BD1203</f>
        <v/>
      </c>
      <c r="BB1203" s="193">
        <f>credit_sales_interest*BD1203</f>
        <v/>
      </c>
      <c r="BC1203" s="102">
        <f>IFERROR(IF($I$13&gt;0,$I1203/$I$13,$S1203/$S$13),0)</f>
        <v/>
      </c>
      <c r="BD1203" s="102">
        <f>IFERROR($S1203/$S$13,0)</f>
        <v/>
      </c>
      <c r="BE1203" s="413" t="inlineStr">
        <is>
          <t>$</t>
        </is>
      </c>
    </row>
    <row r="1204" ht="12" customFormat="1" customHeight="1" s="65">
      <c r="A1204" s="43" t="n">
        <v>1189</v>
      </c>
      <c r="B1204" s="166" t="n"/>
      <c r="C1204" s="166" t="n"/>
      <c r="D1204" s="166" t="n"/>
      <c r="E1204" s="162" t="n"/>
      <c r="F1204" s="166" t="n"/>
      <c r="G1204" s="162" t="n"/>
      <c r="H1204" s="162" t="n"/>
      <c r="I1204" s="189">
        <f>E1204*G1204</f>
        <v/>
      </c>
      <c r="J1204" s="195" t="n"/>
      <c r="K1204" s="162" t="n"/>
      <c r="L1204" s="168" t="n"/>
      <c r="M1204" s="75">
        <f>_xlfn.XLOOKUP(L1204,list_vat[Страна],list_vat[Ставка НДС %],0,0)</f>
        <v/>
      </c>
      <c r="N1204" s="162">
        <f>IFERROR(IF(L1204="Китай",K1204,K1204/(1+M1204)),0)</f>
        <v/>
      </c>
      <c r="O1204" s="169" t="n"/>
      <c r="P1204" s="76">
        <f>N1204*(1-O1204)</f>
        <v/>
      </c>
      <c r="Q1204" s="162" t="n"/>
      <c r="R1204" s="162">
        <f>IF(ISBLANK(Q1204),"введи курс",P1204/Q1204)</f>
        <v/>
      </c>
      <c r="S1204" s="196">
        <f>IF(AND(ISNUMBER(E1204),ISNUMBER(Q1204)),E1204*R1204,0)</f>
        <v/>
      </c>
      <c r="T1204" s="192">
        <f>$BC1204*V$11</f>
        <v/>
      </c>
      <c r="U1204" s="76">
        <f>$BC1204*W$11</f>
        <v/>
      </c>
      <c r="V1204" s="193">
        <f>+SUM(T1204:U1204)</f>
        <v/>
      </c>
      <c r="W1204" s="191" t="n"/>
      <c r="X1204" s="170" t="n"/>
      <c r="Y1204" s="76">
        <f>ROUND(IF(offer_incoterms="DDP",X1204*(S1204*(1+AW1204)+T1204),0),2)</f>
        <v/>
      </c>
      <c r="Z1204" s="188" t="n"/>
      <c r="AA1204" s="192">
        <f>IFERROR(AB1204/E1204,0)</f>
        <v/>
      </c>
      <c r="AB1204" s="76">
        <f>ROUND(SUM(S1204,V1204,Y1204:Z1204,BA1204:BB1204),2)</f>
        <v/>
      </c>
      <c r="AC1204" s="797" t="n"/>
      <c r="AD1204" s="192">
        <f t="array" ref="AD1204">IFERROR(ROUND((_xlfn.IFS(offer_sale_type="поставка",AB1204,offer_sale_type="транзит",S1204)*(1+AC1204))/E1204,2),0)</f>
        <v/>
      </c>
      <c r="AE1204" s="76">
        <f>AD1204*E1204</f>
        <v/>
      </c>
      <c r="AF1204" s="193">
        <f t="array" ref="AF1204">IFERROR(ROUND(_xlfn.IFS(offer_sale_type="поставка",AB1204,offer_sale_type="транзит",S1204)*AC1204,2),0)</f>
        <v/>
      </c>
      <c r="AG1204" s="192">
        <f>$BD1204*VLOOKUP($AG$3,$AF$4:$AG$7,2,FALSE)</f>
        <v/>
      </c>
      <c r="AH1204" s="76">
        <f>SUM(AE1204,AG1204,AI1204)*rate_forex_risk</f>
        <v/>
      </c>
      <c r="AI1204" s="193">
        <f>IF(OR(seller_region="TR",offer_sale_type="экспорт"),0,rate_fin_comm)*SUM(AZ1204,AZ1204*AW1204,T1204)</f>
        <v/>
      </c>
      <c r="AJ1204" s="118">
        <f>IFERROR(ROUND(SUM(AB1204,AF1204:AI1204)/E1204,2),0)</f>
        <v/>
      </c>
      <c r="AK1204" s="76">
        <f>AJ1204*E1204</f>
        <v/>
      </c>
      <c r="AL1204" s="174">
        <f>ROUND(IFERROR(AM1204*E1204,0),2)</f>
        <v/>
      </c>
      <c r="AM1204" s="175">
        <f>ROUND(AJ1204*(1+IF(offer_incoterms="DDP",IF((TODAY()+offer_turnaround_time)&gt;=helpsheet!$L$17,rate_vatRU_from_26,rate_vatRu_till_25),0)),2)</f>
        <v/>
      </c>
      <c r="AN1204" s="192">
        <f>AL1204-AK1204</f>
        <v/>
      </c>
      <c r="AO1204" s="76">
        <f>SUM(AY1204,Y1204:Z1204,T1204)*IF(AND(offer_incoterms="DDP",offer_sale_type&lt;&gt;"экспорт"),IF((TODAY()+offer_turnaround_time)&gt;=helpsheet!$L$17,rate_vatRU_from_26,rate_vatRu_till_25),0)</f>
        <v/>
      </c>
      <c r="AP1204" s="193">
        <f>AN1204-AO1204</f>
        <v/>
      </c>
      <c r="AQ1204" s="118">
        <f>IF(offer_sale_type="транзит",SUM(AF1204:AI1204,BA1204,BB1204),0)</f>
        <v/>
      </c>
      <c r="AR1204" s="82">
        <f>HYPERLINK("https://www.alta.ru/tnved/code/")&amp;W1204&amp;"/"</f>
        <v/>
      </c>
      <c r="AS1204" s="157" t="n"/>
      <c r="AT1204" s="162" t="n"/>
      <c r="AU1204" s="76">
        <f>IF(ISBLANK(AT1204),0,AJ1204-AT1204)</f>
        <v/>
      </c>
      <c r="AV1204" s="157" t="n"/>
      <c r="AW1204" s="75">
        <f>_xlfn.IFNA(VLOOKUP(L1204,list_vat[],3,FALSE),0)</f>
        <v/>
      </c>
      <c r="AX1204" s="76">
        <f>IFERROR(ROUND(S1204*(1+AW1204)/E1204,2),0)</f>
        <v/>
      </c>
      <c r="AY1204" s="76">
        <f>E1204*AX1204</f>
        <v/>
      </c>
      <c r="AZ1204" s="192">
        <f>S1204*(1+M1204)</f>
        <v/>
      </c>
      <c r="BA1204" s="76">
        <f>cost_fin_total*$BD1204</f>
        <v/>
      </c>
      <c r="BB1204" s="193">
        <f>credit_sales_interest*BD1204</f>
        <v/>
      </c>
      <c r="BC1204" s="102">
        <f>IFERROR(IF($I$13&gt;0,$I1204/$I$13,$S1204/$S$13),0)</f>
        <v/>
      </c>
      <c r="BD1204" s="102">
        <f>IFERROR($S1204/$S$13,0)</f>
        <v/>
      </c>
      <c r="BE1204" s="413" t="inlineStr">
        <is>
          <t>$</t>
        </is>
      </c>
    </row>
    <row r="1205" ht="12" customFormat="1" customHeight="1" s="65">
      <c r="A1205" s="43" t="n">
        <v>1190</v>
      </c>
      <c r="B1205" s="166" t="n"/>
      <c r="C1205" s="166" t="n"/>
      <c r="D1205" s="166" t="n"/>
      <c r="E1205" s="162" t="n"/>
      <c r="F1205" s="166" t="n"/>
      <c r="G1205" s="162" t="n"/>
      <c r="H1205" s="162" t="n"/>
      <c r="I1205" s="189">
        <f>E1205*G1205</f>
        <v/>
      </c>
      <c r="J1205" s="195" t="n"/>
      <c r="K1205" s="162" t="n"/>
      <c r="L1205" s="168" t="n"/>
      <c r="M1205" s="75">
        <f>_xlfn.XLOOKUP(L1205,list_vat[Страна],list_vat[Ставка НДС %],0,0)</f>
        <v/>
      </c>
      <c r="N1205" s="162">
        <f>IFERROR(IF(L1205="Китай",K1205,K1205/(1+M1205)),0)</f>
        <v/>
      </c>
      <c r="O1205" s="169" t="n"/>
      <c r="P1205" s="76">
        <f>N1205*(1-O1205)</f>
        <v/>
      </c>
      <c r="Q1205" s="162" t="n"/>
      <c r="R1205" s="162">
        <f>IF(ISBLANK(Q1205),"введи курс",P1205/Q1205)</f>
        <v/>
      </c>
      <c r="S1205" s="196">
        <f>IF(AND(ISNUMBER(E1205),ISNUMBER(Q1205)),E1205*R1205,0)</f>
        <v/>
      </c>
      <c r="T1205" s="192">
        <f>$BC1205*V$11</f>
        <v/>
      </c>
      <c r="U1205" s="76">
        <f>$BC1205*W$11</f>
        <v/>
      </c>
      <c r="V1205" s="193">
        <f>+SUM(T1205:U1205)</f>
        <v/>
      </c>
      <c r="W1205" s="191" t="n"/>
      <c r="X1205" s="170" t="n"/>
      <c r="Y1205" s="76">
        <f>ROUND(IF(offer_incoterms="DDP",X1205*(S1205*(1+AW1205)+T1205),0),2)</f>
        <v/>
      </c>
      <c r="Z1205" s="188" t="n"/>
      <c r="AA1205" s="192">
        <f>IFERROR(AB1205/E1205,0)</f>
        <v/>
      </c>
      <c r="AB1205" s="76">
        <f>ROUND(SUM(S1205,V1205,Y1205:Z1205,BA1205:BB1205),2)</f>
        <v/>
      </c>
      <c r="AC1205" s="797" t="n"/>
      <c r="AD1205" s="192">
        <f t="array" ref="AD1205">IFERROR(ROUND((_xlfn.IFS(offer_sale_type="поставка",AB1205,offer_sale_type="транзит",S1205)*(1+AC1205))/E1205,2),0)</f>
        <v/>
      </c>
      <c r="AE1205" s="76">
        <f>AD1205*E1205</f>
        <v/>
      </c>
      <c r="AF1205" s="193">
        <f t="array" ref="AF1205">IFERROR(ROUND(_xlfn.IFS(offer_sale_type="поставка",AB1205,offer_sale_type="транзит",S1205)*AC1205,2),0)</f>
        <v/>
      </c>
      <c r="AG1205" s="192">
        <f>$BD1205*VLOOKUP($AG$3,$AF$4:$AG$7,2,FALSE)</f>
        <v/>
      </c>
      <c r="AH1205" s="76">
        <f>SUM(AE1205,AG1205,AI1205)*rate_forex_risk</f>
        <v/>
      </c>
      <c r="AI1205" s="193">
        <f>IF(OR(seller_region="TR",offer_sale_type="экспорт"),0,rate_fin_comm)*SUM(AZ1205,AZ1205*AW1205,T1205)</f>
        <v/>
      </c>
      <c r="AJ1205" s="118">
        <f>IFERROR(ROUND(SUM(AB1205,AF1205:AI1205)/E1205,2),0)</f>
        <v/>
      </c>
      <c r="AK1205" s="76">
        <f>AJ1205*E1205</f>
        <v/>
      </c>
      <c r="AL1205" s="174">
        <f>ROUND(IFERROR(AM1205*E1205,0),2)</f>
        <v/>
      </c>
      <c r="AM1205" s="175">
        <f>ROUND(AJ1205*(1+IF(offer_incoterms="DDP",IF((TODAY()+offer_turnaround_time)&gt;=helpsheet!$L$17,rate_vatRU_from_26,rate_vatRu_till_25),0)),2)</f>
        <v/>
      </c>
      <c r="AN1205" s="192">
        <f>AL1205-AK1205</f>
        <v/>
      </c>
      <c r="AO1205" s="76">
        <f>SUM(AY1205,Y1205:Z1205,T1205)*IF(AND(offer_incoterms="DDP",offer_sale_type&lt;&gt;"экспорт"),IF((TODAY()+offer_turnaround_time)&gt;=helpsheet!$L$17,rate_vatRU_from_26,rate_vatRu_till_25),0)</f>
        <v/>
      </c>
      <c r="AP1205" s="193">
        <f>AN1205-AO1205</f>
        <v/>
      </c>
      <c r="AQ1205" s="118">
        <f>IF(offer_sale_type="транзит",SUM(AF1205:AI1205,BA1205,BB1205),0)</f>
        <v/>
      </c>
      <c r="AR1205" s="82">
        <f>HYPERLINK("https://www.alta.ru/tnved/code/")&amp;W1205&amp;"/"</f>
        <v/>
      </c>
      <c r="AS1205" s="157" t="n"/>
      <c r="AT1205" s="162" t="n"/>
      <c r="AU1205" s="76">
        <f>IF(ISBLANK(AT1205),0,AJ1205-AT1205)</f>
        <v/>
      </c>
      <c r="AV1205" s="157" t="n"/>
      <c r="AW1205" s="75">
        <f>_xlfn.IFNA(VLOOKUP(L1205,list_vat[],3,FALSE),0)</f>
        <v/>
      </c>
      <c r="AX1205" s="76">
        <f>IFERROR(ROUND(S1205*(1+AW1205)/E1205,2),0)</f>
        <v/>
      </c>
      <c r="AY1205" s="76">
        <f>E1205*AX1205</f>
        <v/>
      </c>
      <c r="AZ1205" s="192">
        <f>S1205*(1+M1205)</f>
        <v/>
      </c>
      <c r="BA1205" s="76">
        <f>cost_fin_total*$BD1205</f>
        <v/>
      </c>
      <c r="BB1205" s="193">
        <f>credit_sales_interest*BD1205</f>
        <v/>
      </c>
      <c r="BC1205" s="102">
        <f>IFERROR(IF($I$13&gt;0,$I1205/$I$13,$S1205/$S$13),0)</f>
        <v/>
      </c>
      <c r="BD1205" s="102">
        <f>IFERROR($S1205/$S$13,0)</f>
        <v/>
      </c>
      <c r="BE1205" s="413" t="inlineStr">
        <is>
          <t>$</t>
        </is>
      </c>
    </row>
    <row r="1206" ht="12" customFormat="1" customHeight="1" s="65">
      <c r="A1206" s="43" t="n">
        <v>1191</v>
      </c>
      <c r="B1206" s="166" t="n"/>
      <c r="C1206" s="166" t="n"/>
      <c r="D1206" s="166" t="n"/>
      <c r="E1206" s="162" t="n"/>
      <c r="F1206" s="166" t="n"/>
      <c r="G1206" s="162" t="n"/>
      <c r="H1206" s="162" t="n"/>
      <c r="I1206" s="189">
        <f>E1206*G1206</f>
        <v/>
      </c>
      <c r="J1206" s="195" t="n"/>
      <c r="K1206" s="162" t="n"/>
      <c r="L1206" s="168" t="n"/>
      <c r="M1206" s="75">
        <f>_xlfn.XLOOKUP(L1206,list_vat[Страна],list_vat[Ставка НДС %],0,0)</f>
        <v/>
      </c>
      <c r="N1206" s="162">
        <f>IFERROR(IF(L1206="Китай",K1206,K1206/(1+M1206)),0)</f>
        <v/>
      </c>
      <c r="O1206" s="169" t="n"/>
      <c r="P1206" s="76">
        <f>N1206*(1-O1206)</f>
        <v/>
      </c>
      <c r="Q1206" s="162" t="n"/>
      <c r="R1206" s="162">
        <f>IF(ISBLANK(Q1206),"введи курс",P1206/Q1206)</f>
        <v/>
      </c>
      <c r="S1206" s="196">
        <f>IF(AND(ISNUMBER(E1206),ISNUMBER(Q1206)),E1206*R1206,0)</f>
        <v/>
      </c>
      <c r="T1206" s="192">
        <f>$BC1206*V$11</f>
        <v/>
      </c>
      <c r="U1206" s="76">
        <f>$BC1206*W$11</f>
        <v/>
      </c>
      <c r="V1206" s="193">
        <f>+SUM(T1206:U1206)</f>
        <v/>
      </c>
      <c r="W1206" s="191" t="n"/>
      <c r="X1206" s="170" t="n"/>
      <c r="Y1206" s="76">
        <f>ROUND(IF(offer_incoterms="DDP",X1206*(S1206*(1+AW1206)+T1206),0),2)</f>
        <v/>
      </c>
      <c r="Z1206" s="188" t="n"/>
      <c r="AA1206" s="192">
        <f>IFERROR(AB1206/E1206,0)</f>
        <v/>
      </c>
      <c r="AB1206" s="76">
        <f>ROUND(SUM(S1206,V1206,Y1206:Z1206,BA1206:BB1206),2)</f>
        <v/>
      </c>
      <c r="AC1206" s="797" t="n"/>
      <c r="AD1206" s="192">
        <f t="array" ref="AD1206">IFERROR(ROUND((_xlfn.IFS(offer_sale_type="поставка",AB1206,offer_sale_type="транзит",S1206)*(1+AC1206))/E1206,2),0)</f>
        <v/>
      </c>
      <c r="AE1206" s="76">
        <f>AD1206*E1206</f>
        <v/>
      </c>
      <c r="AF1206" s="193">
        <f t="array" ref="AF1206">IFERROR(ROUND(_xlfn.IFS(offer_sale_type="поставка",AB1206,offer_sale_type="транзит",S1206)*AC1206,2),0)</f>
        <v/>
      </c>
      <c r="AG1206" s="192">
        <f>$BD1206*VLOOKUP($AG$3,$AF$4:$AG$7,2,FALSE)</f>
        <v/>
      </c>
      <c r="AH1206" s="76">
        <f>SUM(AE1206,AG1206,AI1206)*rate_forex_risk</f>
        <v/>
      </c>
      <c r="AI1206" s="193">
        <f>IF(OR(seller_region="TR",offer_sale_type="экспорт"),0,rate_fin_comm)*SUM(AZ1206,AZ1206*AW1206,T1206)</f>
        <v/>
      </c>
      <c r="AJ1206" s="118">
        <f>IFERROR(ROUND(SUM(AB1206,AF1206:AI1206)/E1206,2),0)</f>
        <v/>
      </c>
      <c r="AK1206" s="76">
        <f>AJ1206*E1206</f>
        <v/>
      </c>
      <c r="AL1206" s="174">
        <f>ROUND(IFERROR(AM1206*E1206,0),2)</f>
        <v/>
      </c>
      <c r="AM1206" s="175">
        <f>ROUND(AJ1206*(1+IF(offer_incoterms="DDP",IF((TODAY()+offer_turnaround_time)&gt;=helpsheet!$L$17,rate_vatRU_from_26,rate_vatRu_till_25),0)),2)</f>
        <v/>
      </c>
      <c r="AN1206" s="192">
        <f>AL1206-AK1206</f>
        <v/>
      </c>
      <c r="AO1206" s="76">
        <f>SUM(AY1206,Y1206:Z1206,T1206)*IF(AND(offer_incoterms="DDP",offer_sale_type&lt;&gt;"экспорт"),IF((TODAY()+offer_turnaround_time)&gt;=helpsheet!$L$17,rate_vatRU_from_26,rate_vatRu_till_25),0)</f>
        <v/>
      </c>
      <c r="AP1206" s="193">
        <f>AN1206-AO1206</f>
        <v/>
      </c>
      <c r="AQ1206" s="118">
        <f>IF(offer_sale_type="транзит",SUM(AF1206:AI1206,BA1206,BB1206),0)</f>
        <v/>
      </c>
      <c r="AR1206" s="82">
        <f>HYPERLINK("https://www.alta.ru/tnved/code/")&amp;W1206&amp;"/"</f>
        <v/>
      </c>
      <c r="AS1206" s="157" t="n"/>
      <c r="AT1206" s="162" t="n"/>
      <c r="AU1206" s="76">
        <f>IF(ISBLANK(AT1206),0,AJ1206-AT1206)</f>
        <v/>
      </c>
      <c r="AV1206" s="157" t="n"/>
      <c r="AW1206" s="75">
        <f>_xlfn.IFNA(VLOOKUP(L1206,list_vat[],3,FALSE),0)</f>
        <v/>
      </c>
      <c r="AX1206" s="76">
        <f>IFERROR(ROUND(S1206*(1+AW1206)/E1206,2),0)</f>
        <v/>
      </c>
      <c r="AY1206" s="76">
        <f>E1206*AX1206</f>
        <v/>
      </c>
      <c r="AZ1206" s="192">
        <f>S1206*(1+M1206)</f>
        <v/>
      </c>
      <c r="BA1206" s="76">
        <f>cost_fin_total*$BD1206</f>
        <v/>
      </c>
      <c r="BB1206" s="193">
        <f>credit_sales_interest*BD1206</f>
        <v/>
      </c>
      <c r="BC1206" s="102">
        <f>IFERROR(IF($I$13&gt;0,$I1206/$I$13,$S1206/$S$13),0)</f>
        <v/>
      </c>
      <c r="BD1206" s="102">
        <f>IFERROR($S1206/$S$13,0)</f>
        <v/>
      </c>
      <c r="BE1206" s="413" t="inlineStr">
        <is>
          <t>$</t>
        </is>
      </c>
    </row>
    <row r="1207" ht="12" customFormat="1" customHeight="1" s="65">
      <c r="A1207" s="43" t="n">
        <v>1192</v>
      </c>
      <c r="B1207" s="166" t="n"/>
      <c r="C1207" s="166" t="n"/>
      <c r="D1207" s="166" t="n"/>
      <c r="E1207" s="162" t="n"/>
      <c r="F1207" s="166" t="n"/>
      <c r="G1207" s="162" t="n"/>
      <c r="H1207" s="162" t="n"/>
      <c r="I1207" s="189">
        <f>E1207*G1207</f>
        <v/>
      </c>
      <c r="J1207" s="195" t="n"/>
      <c r="K1207" s="162" t="n"/>
      <c r="L1207" s="168" t="n"/>
      <c r="M1207" s="75">
        <f>_xlfn.XLOOKUP(L1207,list_vat[Страна],list_vat[Ставка НДС %],0,0)</f>
        <v/>
      </c>
      <c r="N1207" s="162">
        <f>IFERROR(IF(L1207="Китай",K1207,K1207/(1+M1207)),0)</f>
        <v/>
      </c>
      <c r="O1207" s="169" t="n"/>
      <c r="P1207" s="76">
        <f>N1207*(1-O1207)</f>
        <v/>
      </c>
      <c r="Q1207" s="162" t="n"/>
      <c r="R1207" s="162">
        <f>IF(ISBLANK(Q1207),"введи курс",P1207/Q1207)</f>
        <v/>
      </c>
      <c r="S1207" s="196">
        <f>IF(AND(ISNUMBER(E1207),ISNUMBER(Q1207)),E1207*R1207,0)</f>
        <v/>
      </c>
      <c r="T1207" s="192">
        <f>$BC1207*V$11</f>
        <v/>
      </c>
      <c r="U1207" s="76">
        <f>$BC1207*W$11</f>
        <v/>
      </c>
      <c r="V1207" s="193">
        <f>+SUM(T1207:U1207)</f>
        <v/>
      </c>
      <c r="W1207" s="191" t="n"/>
      <c r="X1207" s="170" t="n"/>
      <c r="Y1207" s="76">
        <f>ROUND(IF(offer_incoterms="DDP",X1207*(S1207*(1+AW1207)+T1207),0),2)</f>
        <v/>
      </c>
      <c r="Z1207" s="188" t="n"/>
      <c r="AA1207" s="192">
        <f>IFERROR(AB1207/E1207,0)</f>
        <v/>
      </c>
      <c r="AB1207" s="76">
        <f>ROUND(SUM(S1207,V1207,Y1207:Z1207,BA1207:BB1207),2)</f>
        <v/>
      </c>
      <c r="AC1207" s="797" t="n"/>
      <c r="AD1207" s="192">
        <f t="array" ref="AD1207">IFERROR(ROUND((_xlfn.IFS(offer_sale_type="поставка",AB1207,offer_sale_type="транзит",S1207)*(1+AC1207))/E1207,2),0)</f>
        <v/>
      </c>
      <c r="AE1207" s="76">
        <f>AD1207*E1207</f>
        <v/>
      </c>
      <c r="AF1207" s="193">
        <f t="array" ref="AF1207">IFERROR(ROUND(_xlfn.IFS(offer_sale_type="поставка",AB1207,offer_sale_type="транзит",S1207)*AC1207,2),0)</f>
        <v/>
      </c>
      <c r="AG1207" s="192">
        <f>$BD1207*VLOOKUP($AG$3,$AF$4:$AG$7,2,FALSE)</f>
        <v/>
      </c>
      <c r="AH1207" s="76">
        <f>SUM(AE1207,AG1207,AI1207)*rate_forex_risk</f>
        <v/>
      </c>
      <c r="AI1207" s="193">
        <f>IF(OR(seller_region="TR",offer_sale_type="экспорт"),0,rate_fin_comm)*SUM(AZ1207,AZ1207*AW1207,T1207)</f>
        <v/>
      </c>
      <c r="AJ1207" s="118">
        <f>IFERROR(ROUND(SUM(AB1207,AF1207:AI1207)/E1207,2),0)</f>
        <v/>
      </c>
      <c r="AK1207" s="76">
        <f>AJ1207*E1207</f>
        <v/>
      </c>
      <c r="AL1207" s="174">
        <f>ROUND(IFERROR(AM1207*E1207,0),2)</f>
        <v/>
      </c>
      <c r="AM1207" s="175">
        <f>ROUND(AJ1207*(1+IF(offer_incoterms="DDP",IF((TODAY()+offer_turnaround_time)&gt;=helpsheet!$L$17,rate_vatRU_from_26,rate_vatRu_till_25),0)),2)</f>
        <v/>
      </c>
      <c r="AN1207" s="192">
        <f>AL1207-AK1207</f>
        <v/>
      </c>
      <c r="AO1207" s="76">
        <f>SUM(AY1207,Y1207:Z1207,T1207)*IF(AND(offer_incoterms="DDP",offer_sale_type&lt;&gt;"экспорт"),IF((TODAY()+offer_turnaround_time)&gt;=helpsheet!$L$17,rate_vatRU_from_26,rate_vatRu_till_25),0)</f>
        <v/>
      </c>
      <c r="AP1207" s="193">
        <f>AN1207-AO1207</f>
        <v/>
      </c>
      <c r="AQ1207" s="118">
        <f>IF(offer_sale_type="транзит",SUM(AF1207:AI1207,BA1207,BB1207),0)</f>
        <v/>
      </c>
      <c r="AR1207" s="82">
        <f>HYPERLINK("https://www.alta.ru/tnved/code/")&amp;W1207&amp;"/"</f>
        <v/>
      </c>
      <c r="AS1207" s="157" t="n"/>
      <c r="AT1207" s="162" t="n"/>
      <c r="AU1207" s="76">
        <f>IF(ISBLANK(AT1207),0,AJ1207-AT1207)</f>
        <v/>
      </c>
      <c r="AV1207" s="157" t="n"/>
      <c r="AW1207" s="75">
        <f>_xlfn.IFNA(VLOOKUP(L1207,list_vat[],3,FALSE),0)</f>
        <v/>
      </c>
      <c r="AX1207" s="76">
        <f>IFERROR(ROUND(S1207*(1+AW1207)/E1207,2),0)</f>
        <v/>
      </c>
      <c r="AY1207" s="76">
        <f>E1207*AX1207</f>
        <v/>
      </c>
      <c r="AZ1207" s="192">
        <f>S1207*(1+M1207)</f>
        <v/>
      </c>
      <c r="BA1207" s="76">
        <f>cost_fin_total*$BD1207</f>
        <v/>
      </c>
      <c r="BB1207" s="193">
        <f>credit_sales_interest*BD1207</f>
        <v/>
      </c>
      <c r="BC1207" s="102">
        <f>IFERROR(IF($I$13&gt;0,$I1207/$I$13,$S1207/$S$13),0)</f>
        <v/>
      </c>
      <c r="BD1207" s="102">
        <f>IFERROR($S1207/$S$13,0)</f>
        <v/>
      </c>
      <c r="BE1207" s="413" t="inlineStr">
        <is>
          <t>$</t>
        </is>
      </c>
    </row>
    <row r="1208" ht="12" customFormat="1" customHeight="1" s="65">
      <c r="A1208" s="43" t="n">
        <v>1193</v>
      </c>
      <c r="B1208" s="166" t="n"/>
      <c r="C1208" s="166" t="n"/>
      <c r="D1208" s="166" t="n"/>
      <c r="E1208" s="162" t="n"/>
      <c r="F1208" s="166" t="n"/>
      <c r="G1208" s="162" t="n"/>
      <c r="H1208" s="162" t="n"/>
      <c r="I1208" s="189">
        <f>E1208*G1208</f>
        <v/>
      </c>
      <c r="J1208" s="195" t="n"/>
      <c r="K1208" s="162" t="n"/>
      <c r="L1208" s="168" t="n"/>
      <c r="M1208" s="75">
        <f>_xlfn.XLOOKUP(L1208,list_vat[Страна],list_vat[Ставка НДС %],0,0)</f>
        <v/>
      </c>
      <c r="N1208" s="162">
        <f>IFERROR(IF(L1208="Китай",K1208,K1208/(1+M1208)),0)</f>
        <v/>
      </c>
      <c r="O1208" s="169" t="n"/>
      <c r="P1208" s="76">
        <f>N1208*(1-O1208)</f>
        <v/>
      </c>
      <c r="Q1208" s="162" t="n"/>
      <c r="R1208" s="162">
        <f>IF(ISBLANK(Q1208),"введи курс",P1208/Q1208)</f>
        <v/>
      </c>
      <c r="S1208" s="196">
        <f>IF(AND(ISNUMBER(E1208),ISNUMBER(Q1208)),E1208*R1208,0)</f>
        <v/>
      </c>
      <c r="T1208" s="192">
        <f>$BC1208*V$11</f>
        <v/>
      </c>
      <c r="U1208" s="76">
        <f>$BC1208*W$11</f>
        <v/>
      </c>
      <c r="V1208" s="193">
        <f>+SUM(T1208:U1208)</f>
        <v/>
      </c>
      <c r="W1208" s="191" t="n"/>
      <c r="X1208" s="170" t="n"/>
      <c r="Y1208" s="76">
        <f>ROUND(IF(offer_incoterms="DDP",X1208*(S1208*(1+AW1208)+T1208),0),2)</f>
        <v/>
      </c>
      <c r="Z1208" s="188" t="n"/>
      <c r="AA1208" s="192">
        <f>IFERROR(AB1208/E1208,0)</f>
        <v/>
      </c>
      <c r="AB1208" s="76">
        <f>ROUND(SUM(S1208,V1208,Y1208:Z1208,BA1208:BB1208),2)</f>
        <v/>
      </c>
      <c r="AC1208" s="797" t="n"/>
      <c r="AD1208" s="192">
        <f t="array" ref="AD1208">IFERROR(ROUND((_xlfn.IFS(offer_sale_type="поставка",AB1208,offer_sale_type="транзит",S1208)*(1+AC1208))/E1208,2),0)</f>
        <v/>
      </c>
      <c r="AE1208" s="76">
        <f>AD1208*E1208</f>
        <v/>
      </c>
      <c r="AF1208" s="193">
        <f t="array" ref="AF1208">IFERROR(ROUND(_xlfn.IFS(offer_sale_type="поставка",AB1208,offer_sale_type="транзит",S1208)*AC1208,2),0)</f>
        <v/>
      </c>
      <c r="AG1208" s="192">
        <f>$BD1208*VLOOKUP($AG$3,$AF$4:$AG$7,2,FALSE)</f>
        <v/>
      </c>
      <c r="AH1208" s="76">
        <f>SUM(AE1208,AG1208,AI1208)*rate_forex_risk</f>
        <v/>
      </c>
      <c r="AI1208" s="193">
        <f>IF(OR(seller_region="TR",offer_sale_type="экспорт"),0,rate_fin_comm)*SUM(AZ1208,AZ1208*AW1208,T1208)</f>
        <v/>
      </c>
      <c r="AJ1208" s="118">
        <f>IFERROR(ROUND(SUM(AB1208,AF1208:AI1208)/E1208,2),0)</f>
        <v/>
      </c>
      <c r="AK1208" s="76">
        <f>AJ1208*E1208</f>
        <v/>
      </c>
      <c r="AL1208" s="174">
        <f>ROUND(IFERROR(AM1208*E1208,0),2)</f>
        <v/>
      </c>
      <c r="AM1208" s="175">
        <f>ROUND(AJ1208*(1+IF(offer_incoterms="DDP",IF((TODAY()+offer_turnaround_time)&gt;=helpsheet!$L$17,rate_vatRU_from_26,rate_vatRu_till_25),0)),2)</f>
        <v/>
      </c>
      <c r="AN1208" s="192">
        <f>AL1208-AK1208</f>
        <v/>
      </c>
      <c r="AO1208" s="76">
        <f>SUM(AY1208,Y1208:Z1208,T1208)*IF(AND(offer_incoterms="DDP",offer_sale_type&lt;&gt;"экспорт"),IF((TODAY()+offer_turnaround_time)&gt;=helpsheet!$L$17,rate_vatRU_from_26,rate_vatRu_till_25),0)</f>
        <v/>
      </c>
      <c r="AP1208" s="193">
        <f>AN1208-AO1208</f>
        <v/>
      </c>
      <c r="AQ1208" s="118">
        <f>IF(offer_sale_type="транзит",SUM(AF1208:AI1208,BA1208,BB1208),0)</f>
        <v/>
      </c>
      <c r="AR1208" s="82">
        <f>HYPERLINK("https://www.alta.ru/tnved/code/")&amp;W1208&amp;"/"</f>
        <v/>
      </c>
      <c r="AS1208" s="157" t="n"/>
      <c r="AT1208" s="162" t="n"/>
      <c r="AU1208" s="76">
        <f>IF(ISBLANK(AT1208),0,AJ1208-AT1208)</f>
        <v/>
      </c>
      <c r="AV1208" s="157" t="n"/>
      <c r="AW1208" s="75">
        <f>_xlfn.IFNA(VLOOKUP(L1208,list_vat[],3,FALSE),0)</f>
        <v/>
      </c>
      <c r="AX1208" s="76">
        <f>IFERROR(ROUND(S1208*(1+AW1208)/E1208,2),0)</f>
        <v/>
      </c>
      <c r="AY1208" s="76">
        <f>E1208*AX1208</f>
        <v/>
      </c>
      <c r="AZ1208" s="192">
        <f>S1208*(1+M1208)</f>
        <v/>
      </c>
      <c r="BA1208" s="76">
        <f>cost_fin_total*$BD1208</f>
        <v/>
      </c>
      <c r="BB1208" s="193">
        <f>credit_sales_interest*BD1208</f>
        <v/>
      </c>
      <c r="BC1208" s="102">
        <f>IFERROR(IF($I$13&gt;0,$I1208/$I$13,$S1208/$S$13),0)</f>
        <v/>
      </c>
      <c r="BD1208" s="102">
        <f>IFERROR($S1208/$S$13,0)</f>
        <v/>
      </c>
      <c r="BE1208" s="413" t="inlineStr">
        <is>
          <t>$</t>
        </is>
      </c>
    </row>
    <row r="1209" ht="12" customFormat="1" customHeight="1" s="65">
      <c r="A1209" s="43" t="n">
        <v>1194</v>
      </c>
      <c r="B1209" s="166" t="n"/>
      <c r="C1209" s="166" t="n"/>
      <c r="D1209" s="166" t="n"/>
      <c r="E1209" s="162" t="n"/>
      <c r="F1209" s="166" t="n"/>
      <c r="G1209" s="162" t="n"/>
      <c r="H1209" s="162" t="n"/>
      <c r="I1209" s="189">
        <f>E1209*G1209</f>
        <v/>
      </c>
      <c r="J1209" s="195" t="n"/>
      <c r="K1209" s="162" t="n"/>
      <c r="L1209" s="168" t="n"/>
      <c r="M1209" s="75">
        <f>_xlfn.XLOOKUP(L1209,list_vat[Страна],list_vat[Ставка НДС %],0,0)</f>
        <v/>
      </c>
      <c r="N1209" s="162">
        <f>IFERROR(IF(L1209="Китай",K1209,K1209/(1+M1209)),0)</f>
        <v/>
      </c>
      <c r="O1209" s="169" t="n"/>
      <c r="P1209" s="76">
        <f>N1209*(1-O1209)</f>
        <v/>
      </c>
      <c r="Q1209" s="162" t="n"/>
      <c r="R1209" s="162">
        <f>IF(ISBLANK(Q1209),"введи курс",P1209/Q1209)</f>
        <v/>
      </c>
      <c r="S1209" s="196">
        <f>IF(AND(ISNUMBER(E1209),ISNUMBER(Q1209)),E1209*R1209,0)</f>
        <v/>
      </c>
      <c r="T1209" s="192">
        <f>$BC1209*V$11</f>
        <v/>
      </c>
      <c r="U1209" s="76">
        <f>$BC1209*W$11</f>
        <v/>
      </c>
      <c r="V1209" s="193">
        <f>+SUM(T1209:U1209)</f>
        <v/>
      </c>
      <c r="W1209" s="191" t="n"/>
      <c r="X1209" s="170" t="n"/>
      <c r="Y1209" s="76">
        <f>ROUND(IF(offer_incoterms="DDP",X1209*(S1209*(1+AW1209)+T1209),0),2)</f>
        <v/>
      </c>
      <c r="Z1209" s="188" t="n"/>
      <c r="AA1209" s="192">
        <f>IFERROR(AB1209/E1209,0)</f>
        <v/>
      </c>
      <c r="AB1209" s="76">
        <f>ROUND(SUM(S1209,V1209,Y1209:Z1209,BA1209:BB1209),2)</f>
        <v/>
      </c>
      <c r="AC1209" s="797" t="n"/>
      <c r="AD1209" s="192">
        <f t="array" ref="AD1209">IFERROR(ROUND((_xlfn.IFS(offer_sale_type="поставка",AB1209,offer_sale_type="транзит",S1209)*(1+AC1209))/E1209,2),0)</f>
        <v/>
      </c>
      <c r="AE1209" s="76">
        <f>AD1209*E1209</f>
        <v/>
      </c>
      <c r="AF1209" s="193">
        <f t="array" ref="AF1209">IFERROR(ROUND(_xlfn.IFS(offer_sale_type="поставка",AB1209,offer_sale_type="транзит",S1209)*AC1209,2),0)</f>
        <v/>
      </c>
      <c r="AG1209" s="192">
        <f>$BD1209*VLOOKUP($AG$3,$AF$4:$AG$7,2,FALSE)</f>
        <v/>
      </c>
      <c r="AH1209" s="76">
        <f>SUM(AE1209,AG1209,AI1209)*rate_forex_risk</f>
        <v/>
      </c>
      <c r="AI1209" s="193">
        <f>IF(OR(seller_region="TR",offer_sale_type="экспорт"),0,rate_fin_comm)*SUM(AZ1209,AZ1209*AW1209,T1209)</f>
        <v/>
      </c>
      <c r="AJ1209" s="118">
        <f>IFERROR(ROUND(SUM(AB1209,AF1209:AI1209)/E1209,2),0)</f>
        <v/>
      </c>
      <c r="AK1209" s="76">
        <f>AJ1209*E1209</f>
        <v/>
      </c>
      <c r="AL1209" s="174">
        <f>ROUND(IFERROR(AM1209*E1209,0),2)</f>
        <v/>
      </c>
      <c r="AM1209" s="175">
        <f>ROUND(AJ1209*(1+IF(offer_incoterms="DDP",IF((TODAY()+offer_turnaround_time)&gt;=helpsheet!$L$17,rate_vatRU_from_26,rate_vatRu_till_25),0)),2)</f>
        <v/>
      </c>
      <c r="AN1209" s="192">
        <f>AL1209-AK1209</f>
        <v/>
      </c>
      <c r="AO1209" s="76">
        <f>SUM(AY1209,Y1209:Z1209,T1209)*IF(AND(offer_incoterms="DDP",offer_sale_type&lt;&gt;"экспорт"),IF((TODAY()+offer_turnaround_time)&gt;=helpsheet!$L$17,rate_vatRU_from_26,rate_vatRu_till_25),0)</f>
        <v/>
      </c>
      <c r="AP1209" s="193">
        <f>AN1209-AO1209</f>
        <v/>
      </c>
      <c r="AQ1209" s="118">
        <f>IF(offer_sale_type="транзит",SUM(AF1209:AI1209,BA1209,BB1209),0)</f>
        <v/>
      </c>
      <c r="AR1209" s="82">
        <f>HYPERLINK("https://www.alta.ru/tnved/code/")&amp;W1209&amp;"/"</f>
        <v/>
      </c>
      <c r="AS1209" s="157" t="n"/>
      <c r="AT1209" s="162" t="n"/>
      <c r="AU1209" s="76">
        <f>IF(ISBLANK(AT1209),0,AJ1209-AT1209)</f>
        <v/>
      </c>
      <c r="AV1209" s="157" t="n"/>
      <c r="AW1209" s="75">
        <f>_xlfn.IFNA(VLOOKUP(L1209,list_vat[],3,FALSE),0)</f>
        <v/>
      </c>
      <c r="AX1209" s="76">
        <f>IFERROR(ROUND(S1209*(1+AW1209)/E1209,2),0)</f>
        <v/>
      </c>
      <c r="AY1209" s="76">
        <f>E1209*AX1209</f>
        <v/>
      </c>
      <c r="AZ1209" s="192">
        <f>S1209*(1+M1209)</f>
        <v/>
      </c>
      <c r="BA1209" s="76">
        <f>cost_fin_total*$BD1209</f>
        <v/>
      </c>
      <c r="BB1209" s="193">
        <f>credit_sales_interest*BD1209</f>
        <v/>
      </c>
      <c r="BC1209" s="102">
        <f>IFERROR(IF($I$13&gt;0,$I1209/$I$13,$S1209/$S$13),0)</f>
        <v/>
      </c>
      <c r="BD1209" s="102">
        <f>IFERROR($S1209/$S$13,0)</f>
        <v/>
      </c>
      <c r="BE1209" s="413" t="inlineStr">
        <is>
          <t>$</t>
        </is>
      </c>
    </row>
    <row r="1210" ht="12" customFormat="1" customHeight="1" s="65">
      <c r="A1210" s="43" t="n">
        <v>1195</v>
      </c>
      <c r="B1210" s="166" t="n"/>
      <c r="C1210" s="166" t="n"/>
      <c r="D1210" s="166" t="n"/>
      <c r="E1210" s="162" t="n"/>
      <c r="F1210" s="166" t="n"/>
      <c r="G1210" s="162" t="n"/>
      <c r="H1210" s="162" t="n"/>
      <c r="I1210" s="189">
        <f>E1210*G1210</f>
        <v/>
      </c>
      <c r="J1210" s="195" t="n"/>
      <c r="K1210" s="162" t="n"/>
      <c r="L1210" s="168" t="n"/>
      <c r="M1210" s="75">
        <f>_xlfn.XLOOKUP(L1210,list_vat[Страна],list_vat[Ставка НДС %],0,0)</f>
        <v/>
      </c>
      <c r="N1210" s="162">
        <f>IFERROR(IF(L1210="Китай",K1210,K1210/(1+M1210)),0)</f>
        <v/>
      </c>
      <c r="O1210" s="169" t="n"/>
      <c r="P1210" s="76">
        <f>N1210*(1-O1210)</f>
        <v/>
      </c>
      <c r="Q1210" s="162" t="n"/>
      <c r="R1210" s="162">
        <f>IF(ISBLANK(Q1210),"введи курс",P1210/Q1210)</f>
        <v/>
      </c>
      <c r="S1210" s="196">
        <f>IF(AND(ISNUMBER(E1210),ISNUMBER(Q1210)),E1210*R1210,0)</f>
        <v/>
      </c>
      <c r="T1210" s="192">
        <f>$BC1210*V$11</f>
        <v/>
      </c>
      <c r="U1210" s="76">
        <f>$BC1210*W$11</f>
        <v/>
      </c>
      <c r="V1210" s="193">
        <f>+SUM(T1210:U1210)</f>
        <v/>
      </c>
      <c r="W1210" s="191" t="n"/>
      <c r="X1210" s="170" t="n"/>
      <c r="Y1210" s="76">
        <f>ROUND(IF(offer_incoterms="DDP",X1210*(S1210*(1+AW1210)+T1210),0),2)</f>
        <v/>
      </c>
      <c r="Z1210" s="188" t="n"/>
      <c r="AA1210" s="192">
        <f>IFERROR(AB1210/E1210,0)</f>
        <v/>
      </c>
      <c r="AB1210" s="76">
        <f>ROUND(SUM(S1210,V1210,Y1210:Z1210,BA1210:BB1210),2)</f>
        <v/>
      </c>
      <c r="AC1210" s="797" t="n"/>
      <c r="AD1210" s="192">
        <f t="array" ref="AD1210">IFERROR(ROUND((_xlfn.IFS(offer_sale_type="поставка",AB1210,offer_sale_type="транзит",S1210)*(1+AC1210))/E1210,2),0)</f>
        <v/>
      </c>
      <c r="AE1210" s="76">
        <f>AD1210*E1210</f>
        <v/>
      </c>
      <c r="AF1210" s="193">
        <f t="array" ref="AF1210">IFERROR(ROUND(_xlfn.IFS(offer_sale_type="поставка",AB1210,offer_sale_type="транзит",S1210)*AC1210,2),0)</f>
        <v/>
      </c>
      <c r="AG1210" s="192">
        <f>$BD1210*VLOOKUP($AG$3,$AF$4:$AG$7,2,FALSE)</f>
        <v/>
      </c>
      <c r="AH1210" s="76">
        <f>SUM(AE1210,AG1210,AI1210)*rate_forex_risk</f>
        <v/>
      </c>
      <c r="AI1210" s="193">
        <f>IF(OR(seller_region="TR",offer_sale_type="экспорт"),0,rate_fin_comm)*SUM(AZ1210,AZ1210*AW1210,T1210)</f>
        <v/>
      </c>
      <c r="AJ1210" s="118">
        <f>IFERROR(ROUND(SUM(AB1210,AF1210:AI1210)/E1210,2),0)</f>
        <v/>
      </c>
      <c r="AK1210" s="76">
        <f>AJ1210*E1210</f>
        <v/>
      </c>
      <c r="AL1210" s="174">
        <f>ROUND(IFERROR(AM1210*E1210,0),2)</f>
        <v/>
      </c>
      <c r="AM1210" s="175">
        <f>ROUND(AJ1210*(1+IF(offer_incoterms="DDP",IF((TODAY()+offer_turnaround_time)&gt;=helpsheet!$L$17,rate_vatRU_from_26,rate_vatRu_till_25),0)),2)</f>
        <v/>
      </c>
      <c r="AN1210" s="192">
        <f>AL1210-AK1210</f>
        <v/>
      </c>
      <c r="AO1210" s="76">
        <f>SUM(AY1210,Y1210:Z1210,T1210)*IF(AND(offer_incoterms="DDP",offer_sale_type&lt;&gt;"экспорт"),IF((TODAY()+offer_turnaround_time)&gt;=helpsheet!$L$17,rate_vatRU_from_26,rate_vatRu_till_25),0)</f>
        <v/>
      </c>
      <c r="AP1210" s="193">
        <f>AN1210-AO1210</f>
        <v/>
      </c>
      <c r="AQ1210" s="118">
        <f>IF(offer_sale_type="транзит",SUM(AF1210:AI1210,BA1210,BB1210),0)</f>
        <v/>
      </c>
      <c r="AR1210" s="82">
        <f>HYPERLINK("https://www.alta.ru/tnved/code/")&amp;W1210&amp;"/"</f>
        <v/>
      </c>
      <c r="AS1210" s="157" t="n"/>
      <c r="AT1210" s="162" t="n"/>
      <c r="AU1210" s="76">
        <f>IF(ISBLANK(AT1210),0,AJ1210-AT1210)</f>
        <v/>
      </c>
      <c r="AV1210" s="157" t="n"/>
      <c r="AW1210" s="75">
        <f>_xlfn.IFNA(VLOOKUP(L1210,list_vat[],3,FALSE),0)</f>
        <v/>
      </c>
      <c r="AX1210" s="76">
        <f>IFERROR(ROUND(S1210*(1+AW1210)/E1210,2),0)</f>
        <v/>
      </c>
      <c r="AY1210" s="76">
        <f>E1210*AX1210</f>
        <v/>
      </c>
      <c r="AZ1210" s="192">
        <f>S1210*(1+M1210)</f>
        <v/>
      </c>
      <c r="BA1210" s="76">
        <f>cost_fin_total*$BD1210</f>
        <v/>
      </c>
      <c r="BB1210" s="193">
        <f>credit_sales_interest*BD1210</f>
        <v/>
      </c>
      <c r="BC1210" s="102">
        <f>IFERROR(IF($I$13&gt;0,$I1210/$I$13,$S1210/$S$13),0)</f>
        <v/>
      </c>
      <c r="BD1210" s="102">
        <f>IFERROR($S1210/$S$13,0)</f>
        <v/>
      </c>
      <c r="BE1210" s="413" t="inlineStr">
        <is>
          <t>$</t>
        </is>
      </c>
    </row>
    <row r="1211" ht="12" customFormat="1" customHeight="1" s="65">
      <c r="A1211" s="43" t="n">
        <v>1196</v>
      </c>
      <c r="B1211" s="166" t="n"/>
      <c r="C1211" s="166" t="n"/>
      <c r="D1211" s="166" t="n"/>
      <c r="E1211" s="162" t="n"/>
      <c r="F1211" s="166" t="n"/>
      <c r="G1211" s="162" t="n"/>
      <c r="H1211" s="162" t="n"/>
      <c r="I1211" s="189">
        <f>E1211*G1211</f>
        <v/>
      </c>
      <c r="J1211" s="195" t="n"/>
      <c r="K1211" s="162" t="n"/>
      <c r="L1211" s="168" t="n"/>
      <c r="M1211" s="75">
        <f>_xlfn.XLOOKUP(L1211,list_vat[Страна],list_vat[Ставка НДС %],0,0)</f>
        <v/>
      </c>
      <c r="N1211" s="162">
        <f>IFERROR(IF(L1211="Китай",K1211,K1211/(1+M1211)),0)</f>
        <v/>
      </c>
      <c r="O1211" s="169" t="n"/>
      <c r="P1211" s="76">
        <f>N1211*(1-O1211)</f>
        <v/>
      </c>
      <c r="Q1211" s="162" t="n"/>
      <c r="R1211" s="162">
        <f>IF(ISBLANK(Q1211),"введи курс",P1211/Q1211)</f>
        <v/>
      </c>
      <c r="S1211" s="196">
        <f>IF(AND(ISNUMBER(E1211),ISNUMBER(Q1211)),E1211*R1211,0)</f>
        <v/>
      </c>
      <c r="T1211" s="192">
        <f>$BC1211*V$11</f>
        <v/>
      </c>
      <c r="U1211" s="76">
        <f>$BC1211*W$11</f>
        <v/>
      </c>
      <c r="V1211" s="193">
        <f>+SUM(T1211:U1211)</f>
        <v/>
      </c>
      <c r="W1211" s="191" t="n"/>
      <c r="X1211" s="170" t="n"/>
      <c r="Y1211" s="76">
        <f>ROUND(IF(offer_incoterms="DDP",X1211*(S1211*(1+AW1211)+T1211),0),2)</f>
        <v/>
      </c>
      <c r="Z1211" s="188" t="n"/>
      <c r="AA1211" s="192">
        <f>IFERROR(AB1211/E1211,0)</f>
        <v/>
      </c>
      <c r="AB1211" s="76">
        <f>ROUND(SUM(S1211,V1211,Y1211:Z1211,BA1211:BB1211),2)</f>
        <v/>
      </c>
      <c r="AC1211" s="797" t="n"/>
      <c r="AD1211" s="192">
        <f t="array" ref="AD1211">IFERROR(ROUND((_xlfn.IFS(offer_sale_type="поставка",AB1211,offer_sale_type="транзит",S1211)*(1+AC1211))/E1211,2),0)</f>
        <v/>
      </c>
      <c r="AE1211" s="76">
        <f>AD1211*E1211</f>
        <v/>
      </c>
      <c r="AF1211" s="193">
        <f t="array" ref="AF1211">IFERROR(ROUND(_xlfn.IFS(offer_sale_type="поставка",AB1211,offer_sale_type="транзит",S1211)*AC1211,2),0)</f>
        <v/>
      </c>
      <c r="AG1211" s="192">
        <f>$BD1211*VLOOKUP($AG$3,$AF$4:$AG$7,2,FALSE)</f>
        <v/>
      </c>
      <c r="AH1211" s="76">
        <f>SUM(AE1211,AG1211,AI1211)*rate_forex_risk</f>
        <v/>
      </c>
      <c r="AI1211" s="193">
        <f>IF(OR(seller_region="TR",offer_sale_type="экспорт"),0,rate_fin_comm)*SUM(AZ1211,AZ1211*AW1211,T1211)</f>
        <v/>
      </c>
      <c r="AJ1211" s="118">
        <f>IFERROR(ROUND(SUM(AB1211,AF1211:AI1211)/E1211,2),0)</f>
        <v/>
      </c>
      <c r="AK1211" s="76">
        <f>AJ1211*E1211</f>
        <v/>
      </c>
      <c r="AL1211" s="174">
        <f>ROUND(IFERROR(AM1211*E1211,0),2)</f>
        <v/>
      </c>
      <c r="AM1211" s="175">
        <f>ROUND(AJ1211*(1+IF(offer_incoterms="DDP",IF((TODAY()+offer_turnaround_time)&gt;=helpsheet!$L$17,rate_vatRU_from_26,rate_vatRu_till_25),0)),2)</f>
        <v/>
      </c>
      <c r="AN1211" s="192">
        <f>AL1211-AK1211</f>
        <v/>
      </c>
      <c r="AO1211" s="76">
        <f>SUM(AY1211,Y1211:Z1211,T1211)*IF(AND(offer_incoterms="DDP",offer_sale_type&lt;&gt;"экспорт"),IF((TODAY()+offer_turnaround_time)&gt;=helpsheet!$L$17,rate_vatRU_from_26,rate_vatRu_till_25),0)</f>
        <v/>
      </c>
      <c r="AP1211" s="193">
        <f>AN1211-AO1211</f>
        <v/>
      </c>
      <c r="AQ1211" s="118">
        <f>IF(offer_sale_type="транзит",SUM(AF1211:AI1211,BA1211,BB1211),0)</f>
        <v/>
      </c>
      <c r="AR1211" s="82">
        <f>HYPERLINK("https://www.alta.ru/tnved/code/")&amp;W1211&amp;"/"</f>
        <v/>
      </c>
      <c r="AS1211" s="157" t="n"/>
      <c r="AT1211" s="162" t="n"/>
      <c r="AU1211" s="76">
        <f>IF(ISBLANK(AT1211),0,AJ1211-AT1211)</f>
        <v/>
      </c>
      <c r="AV1211" s="157" t="n"/>
      <c r="AW1211" s="75">
        <f>_xlfn.IFNA(VLOOKUP(L1211,list_vat[],3,FALSE),0)</f>
        <v/>
      </c>
      <c r="AX1211" s="76">
        <f>IFERROR(ROUND(S1211*(1+AW1211)/E1211,2),0)</f>
        <v/>
      </c>
      <c r="AY1211" s="76">
        <f>E1211*AX1211</f>
        <v/>
      </c>
      <c r="AZ1211" s="192">
        <f>S1211*(1+M1211)</f>
        <v/>
      </c>
      <c r="BA1211" s="76">
        <f>cost_fin_total*$BD1211</f>
        <v/>
      </c>
      <c r="BB1211" s="193">
        <f>credit_sales_interest*BD1211</f>
        <v/>
      </c>
      <c r="BC1211" s="102">
        <f>IFERROR(IF($I$13&gt;0,$I1211/$I$13,$S1211/$S$13),0)</f>
        <v/>
      </c>
      <c r="BD1211" s="102">
        <f>IFERROR($S1211/$S$13,0)</f>
        <v/>
      </c>
      <c r="BE1211" s="413" t="inlineStr">
        <is>
          <t>$</t>
        </is>
      </c>
    </row>
    <row r="1212" ht="12" customFormat="1" customHeight="1" s="65">
      <c r="A1212" s="43" t="n">
        <v>1197</v>
      </c>
      <c r="B1212" s="166" t="n"/>
      <c r="C1212" s="166" t="n"/>
      <c r="D1212" s="166" t="n"/>
      <c r="E1212" s="162" t="n"/>
      <c r="F1212" s="166" t="n"/>
      <c r="G1212" s="162" t="n"/>
      <c r="H1212" s="162" t="n"/>
      <c r="I1212" s="189">
        <f>E1212*G1212</f>
        <v/>
      </c>
      <c r="J1212" s="195" t="n"/>
      <c r="K1212" s="162" t="n"/>
      <c r="L1212" s="168" t="n"/>
      <c r="M1212" s="75">
        <f>_xlfn.XLOOKUP(L1212,list_vat[Страна],list_vat[Ставка НДС %],0,0)</f>
        <v/>
      </c>
      <c r="N1212" s="162">
        <f>IFERROR(IF(L1212="Китай",K1212,K1212/(1+M1212)),0)</f>
        <v/>
      </c>
      <c r="O1212" s="169" t="n"/>
      <c r="P1212" s="76">
        <f>N1212*(1-O1212)</f>
        <v/>
      </c>
      <c r="Q1212" s="162" t="n"/>
      <c r="R1212" s="162">
        <f>IF(ISBLANK(Q1212),"введи курс",P1212/Q1212)</f>
        <v/>
      </c>
      <c r="S1212" s="196">
        <f>IF(AND(ISNUMBER(E1212),ISNUMBER(Q1212)),E1212*R1212,0)</f>
        <v/>
      </c>
      <c r="T1212" s="192">
        <f>$BC1212*V$11</f>
        <v/>
      </c>
      <c r="U1212" s="76">
        <f>$BC1212*W$11</f>
        <v/>
      </c>
      <c r="V1212" s="193">
        <f>+SUM(T1212:U1212)</f>
        <v/>
      </c>
      <c r="W1212" s="191" t="n"/>
      <c r="X1212" s="170" t="n"/>
      <c r="Y1212" s="76">
        <f>ROUND(IF(offer_incoterms="DDP",X1212*(S1212*(1+AW1212)+T1212),0),2)</f>
        <v/>
      </c>
      <c r="Z1212" s="188" t="n"/>
      <c r="AA1212" s="192">
        <f>IFERROR(AB1212/E1212,0)</f>
        <v/>
      </c>
      <c r="AB1212" s="76">
        <f>ROUND(SUM(S1212,V1212,Y1212:Z1212,BA1212:BB1212),2)</f>
        <v/>
      </c>
      <c r="AC1212" s="797" t="n"/>
      <c r="AD1212" s="192">
        <f t="array" ref="AD1212">IFERROR(ROUND((_xlfn.IFS(offer_sale_type="поставка",AB1212,offer_sale_type="транзит",S1212)*(1+AC1212))/E1212,2),0)</f>
        <v/>
      </c>
      <c r="AE1212" s="76">
        <f>AD1212*E1212</f>
        <v/>
      </c>
      <c r="AF1212" s="193">
        <f t="array" ref="AF1212">IFERROR(ROUND(_xlfn.IFS(offer_sale_type="поставка",AB1212,offer_sale_type="транзит",S1212)*AC1212,2),0)</f>
        <v/>
      </c>
      <c r="AG1212" s="192">
        <f>$BD1212*VLOOKUP($AG$3,$AF$4:$AG$7,2,FALSE)</f>
        <v/>
      </c>
      <c r="AH1212" s="76">
        <f>SUM(AE1212,AG1212,AI1212)*rate_forex_risk</f>
        <v/>
      </c>
      <c r="AI1212" s="193">
        <f>IF(OR(seller_region="TR",offer_sale_type="экспорт"),0,rate_fin_comm)*SUM(AZ1212,AZ1212*AW1212,T1212)</f>
        <v/>
      </c>
      <c r="AJ1212" s="118">
        <f>IFERROR(ROUND(SUM(AB1212,AF1212:AI1212)/E1212,2),0)</f>
        <v/>
      </c>
      <c r="AK1212" s="76">
        <f>AJ1212*E1212</f>
        <v/>
      </c>
      <c r="AL1212" s="174">
        <f>ROUND(IFERROR(AM1212*E1212,0),2)</f>
        <v/>
      </c>
      <c r="AM1212" s="175">
        <f>ROUND(AJ1212*(1+IF(offer_incoterms="DDP",IF((TODAY()+offer_turnaround_time)&gt;=helpsheet!$L$17,rate_vatRU_from_26,rate_vatRu_till_25),0)),2)</f>
        <v/>
      </c>
      <c r="AN1212" s="192">
        <f>AL1212-AK1212</f>
        <v/>
      </c>
      <c r="AO1212" s="76">
        <f>SUM(AY1212,Y1212:Z1212,T1212)*IF(AND(offer_incoterms="DDP",offer_sale_type&lt;&gt;"экспорт"),IF((TODAY()+offer_turnaround_time)&gt;=helpsheet!$L$17,rate_vatRU_from_26,rate_vatRu_till_25),0)</f>
        <v/>
      </c>
      <c r="AP1212" s="193">
        <f>AN1212-AO1212</f>
        <v/>
      </c>
      <c r="AQ1212" s="118">
        <f>IF(offer_sale_type="транзит",SUM(AF1212:AI1212,BA1212,BB1212),0)</f>
        <v/>
      </c>
      <c r="AR1212" s="82">
        <f>HYPERLINK("https://www.alta.ru/tnved/code/")&amp;W1212&amp;"/"</f>
        <v/>
      </c>
      <c r="AS1212" s="157" t="n"/>
      <c r="AT1212" s="162" t="n"/>
      <c r="AU1212" s="76">
        <f>IF(ISBLANK(AT1212),0,AJ1212-AT1212)</f>
        <v/>
      </c>
      <c r="AV1212" s="157" t="n"/>
      <c r="AW1212" s="75">
        <f>_xlfn.IFNA(VLOOKUP(L1212,list_vat[],3,FALSE),0)</f>
        <v/>
      </c>
      <c r="AX1212" s="76">
        <f>IFERROR(ROUND(S1212*(1+AW1212)/E1212,2),0)</f>
        <v/>
      </c>
      <c r="AY1212" s="76">
        <f>E1212*AX1212</f>
        <v/>
      </c>
      <c r="AZ1212" s="192">
        <f>S1212*(1+M1212)</f>
        <v/>
      </c>
      <c r="BA1212" s="76">
        <f>cost_fin_total*$BD1212</f>
        <v/>
      </c>
      <c r="BB1212" s="193">
        <f>credit_sales_interest*BD1212</f>
        <v/>
      </c>
      <c r="BC1212" s="102">
        <f>IFERROR(IF($I$13&gt;0,$I1212/$I$13,$S1212/$S$13),0)</f>
        <v/>
      </c>
      <c r="BD1212" s="102">
        <f>IFERROR($S1212/$S$13,0)</f>
        <v/>
      </c>
      <c r="BE1212" s="413" t="inlineStr">
        <is>
          <t>$</t>
        </is>
      </c>
    </row>
    <row r="1213" ht="12" customFormat="1" customHeight="1" s="65">
      <c r="A1213" s="43" t="n">
        <v>1198</v>
      </c>
      <c r="B1213" s="166" t="n"/>
      <c r="C1213" s="166" t="n"/>
      <c r="D1213" s="166" t="n"/>
      <c r="E1213" s="162" t="n"/>
      <c r="F1213" s="166" t="n"/>
      <c r="G1213" s="162" t="n"/>
      <c r="H1213" s="162" t="n"/>
      <c r="I1213" s="189">
        <f>E1213*G1213</f>
        <v/>
      </c>
      <c r="J1213" s="195" t="n"/>
      <c r="K1213" s="162" t="n"/>
      <c r="L1213" s="168" t="n"/>
      <c r="M1213" s="75">
        <f>_xlfn.XLOOKUP(L1213,list_vat[Страна],list_vat[Ставка НДС %],0,0)</f>
        <v/>
      </c>
      <c r="N1213" s="162">
        <f>IFERROR(IF(L1213="Китай",K1213,K1213/(1+M1213)),0)</f>
        <v/>
      </c>
      <c r="O1213" s="169" t="n"/>
      <c r="P1213" s="76">
        <f>N1213*(1-O1213)</f>
        <v/>
      </c>
      <c r="Q1213" s="162" t="n"/>
      <c r="R1213" s="162">
        <f>IF(ISBLANK(Q1213),"введи курс",P1213/Q1213)</f>
        <v/>
      </c>
      <c r="S1213" s="196">
        <f>IF(AND(ISNUMBER(E1213),ISNUMBER(Q1213)),E1213*R1213,0)</f>
        <v/>
      </c>
      <c r="T1213" s="192">
        <f>$BC1213*V$11</f>
        <v/>
      </c>
      <c r="U1213" s="76">
        <f>$BC1213*W$11</f>
        <v/>
      </c>
      <c r="V1213" s="193">
        <f>+SUM(T1213:U1213)</f>
        <v/>
      </c>
      <c r="W1213" s="191" t="n"/>
      <c r="X1213" s="170" t="n"/>
      <c r="Y1213" s="76">
        <f>ROUND(IF(offer_incoterms="DDP",X1213*(S1213*(1+AW1213)+T1213),0),2)</f>
        <v/>
      </c>
      <c r="Z1213" s="188" t="n"/>
      <c r="AA1213" s="192">
        <f>IFERROR(AB1213/E1213,0)</f>
        <v/>
      </c>
      <c r="AB1213" s="76">
        <f>ROUND(SUM(S1213,V1213,Y1213:Z1213,BA1213:BB1213),2)</f>
        <v/>
      </c>
      <c r="AC1213" s="797" t="n"/>
      <c r="AD1213" s="192">
        <f t="array" ref="AD1213">IFERROR(ROUND((_xlfn.IFS(offer_sale_type="поставка",AB1213,offer_sale_type="транзит",S1213)*(1+AC1213))/E1213,2),0)</f>
        <v/>
      </c>
      <c r="AE1213" s="76">
        <f>AD1213*E1213</f>
        <v/>
      </c>
      <c r="AF1213" s="193">
        <f t="array" ref="AF1213">IFERROR(ROUND(_xlfn.IFS(offer_sale_type="поставка",AB1213,offer_sale_type="транзит",S1213)*AC1213,2),0)</f>
        <v/>
      </c>
      <c r="AG1213" s="192">
        <f>$BD1213*VLOOKUP($AG$3,$AF$4:$AG$7,2,FALSE)</f>
        <v/>
      </c>
      <c r="AH1213" s="76">
        <f>SUM(AE1213,AG1213,AI1213)*rate_forex_risk</f>
        <v/>
      </c>
      <c r="AI1213" s="193">
        <f>IF(OR(seller_region="TR",offer_sale_type="экспорт"),0,rate_fin_comm)*SUM(AZ1213,AZ1213*AW1213,T1213)</f>
        <v/>
      </c>
      <c r="AJ1213" s="118">
        <f>IFERROR(ROUND(SUM(AB1213,AF1213:AI1213)/E1213,2),0)</f>
        <v/>
      </c>
      <c r="AK1213" s="76">
        <f>AJ1213*E1213</f>
        <v/>
      </c>
      <c r="AL1213" s="174">
        <f>ROUND(IFERROR(AM1213*E1213,0),2)</f>
        <v/>
      </c>
      <c r="AM1213" s="175">
        <f>ROUND(AJ1213*(1+IF(offer_incoterms="DDP",IF((TODAY()+offer_turnaround_time)&gt;=helpsheet!$L$17,rate_vatRU_from_26,rate_vatRu_till_25),0)),2)</f>
        <v/>
      </c>
      <c r="AN1213" s="192">
        <f>AL1213-AK1213</f>
        <v/>
      </c>
      <c r="AO1213" s="76">
        <f>SUM(AY1213,Y1213:Z1213,T1213)*IF(AND(offer_incoterms="DDP",offer_sale_type&lt;&gt;"экспорт"),IF((TODAY()+offer_turnaround_time)&gt;=helpsheet!$L$17,rate_vatRU_from_26,rate_vatRu_till_25),0)</f>
        <v/>
      </c>
      <c r="AP1213" s="193">
        <f>AN1213-AO1213</f>
        <v/>
      </c>
      <c r="AQ1213" s="118">
        <f>IF(offer_sale_type="транзит",SUM(AF1213:AI1213,BA1213,BB1213),0)</f>
        <v/>
      </c>
      <c r="AR1213" s="82">
        <f>HYPERLINK("https://www.alta.ru/tnved/code/")&amp;W1213&amp;"/"</f>
        <v/>
      </c>
      <c r="AS1213" s="157" t="n"/>
      <c r="AT1213" s="162" t="n"/>
      <c r="AU1213" s="76">
        <f>IF(ISBLANK(AT1213),0,AJ1213-AT1213)</f>
        <v/>
      </c>
      <c r="AV1213" s="157" t="n"/>
      <c r="AW1213" s="75">
        <f>_xlfn.IFNA(VLOOKUP(L1213,list_vat[],3,FALSE),0)</f>
        <v/>
      </c>
      <c r="AX1213" s="76">
        <f>IFERROR(ROUND(S1213*(1+AW1213)/E1213,2),0)</f>
        <v/>
      </c>
      <c r="AY1213" s="76">
        <f>E1213*AX1213</f>
        <v/>
      </c>
      <c r="AZ1213" s="192">
        <f>S1213*(1+M1213)</f>
        <v/>
      </c>
      <c r="BA1213" s="76">
        <f>cost_fin_total*$BD1213</f>
        <v/>
      </c>
      <c r="BB1213" s="193">
        <f>credit_sales_interest*BD1213</f>
        <v/>
      </c>
      <c r="BC1213" s="102">
        <f>IFERROR(IF($I$13&gt;0,$I1213/$I$13,$S1213/$S$13),0)</f>
        <v/>
      </c>
      <c r="BD1213" s="102">
        <f>IFERROR($S1213/$S$13,0)</f>
        <v/>
      </c>
      <c r="BE1213" s="413" t="inlineStr">
        <is>
          <t>$</t>
        </is>
      </c>
    </row>
    <row r="1214" ht="12" customFormat="1" customHeight="1" s="65">
      <c r="A1214" s="43" t="n">
        <v>1199</v>
      </c>
      <c r="B1214" s="166" t="n"/>
      <c r="C1214" s="166" t="n"/>
      <c r="D1214" s="166" t="n"/>
      <c r="E1214" s="162" t="n"/>
      <c r="F1214" s="166" t="n"/>
      <c r="G1214" s="162" t="n"/>
      <c r="H1214" s="162" t="n"/>
      <c r="I1214" s="189">
        <f>E1214*G1214</f>
        <v/>
      </c>
      <c r="J1214" s="195" t="n"/>
      <c r="K1214" s="162" t="n"/>
      <c r="L1214" s="168" t="n"/>
      <c r="M1214" s="75">
        <f>_xlfn.XLOOKUP(L1214,list_vat[Страна],list_vat[Ставка НДС %],0,0)</f>
        <v/>
      </c>
      <c r="N1214" s="162">
        <f>IFERROR(IF(L1214="Китай",K1214,K1214/(1+M1214)),0)</f>
        <v/>
      </c>
      <c r="O1214" s="169" t="n"/>
      <c r="P1214" s="76">
        <f>N1214*(1-O1214)</f>
        <v/>
      </c>
      <c r="Q1214" s="162" t="n"/>
      <c r="R1214" s="162">
        <f>IF(ISBLANK(Q1214),"введи курс",P1214/Q1214)</f>
        <v/>
      </c>
      <c r="S1214" s="196">
        <f>IF(AND(ISNUMBER(E1214),ISNUMBER(Q1214)),E1214*R1214,0)</f>
        <v/>
      </c>
      <c r="T1214" s="192">
        <f>$BC1214*V$11</f>
        <v/>
      </c>
      <c r="U1214" s="76">
        <f>$BC1214*W$11</f>
        <v/>
      </c>
      <c r="V1214" s="193">
        <f>+SUM(T1214:U1214)</f>
        <v/>
      </c>
      <c r="W1214" s="191" t="n"/>
      <c r="X1214" s="170" t="n"/>
      <c r="Y1214" s="76">
        <f>ROUND(IF(offer_incoterms="DDP",X1214*(S1214*(1+AW1214)+T1214),0),2)</f>
        <v/>
      </c>
      <c r="Z1214" s="188" t="n"/>
      <c r="AA1214" s="192">
        <f>IFERROR(AB1214/E1214,0)</f>
        <v/>
      </c>
      <c r="AB1214" s="76">
        <f>ROUND(SUM(S1214,V1214,Y1214:Z1214,BA1214:BB1214),2)</f>
        <v/>
      </c>
      <c r="AC1214" s="797" t="n"/>
      <c r="AD1214" s="192">
        <f t="array" ref="AD1214">IFERROR(ROUND((_xlfn.IFS(offer_sale_type="поставка",AB1214,offer_sale_type="транзит",S1214)*(1+AC1214))/E1214,2),0)</f>
        <v/>
      </c>
      <c r="AE1214" s="76">
        <f>AD1214*E1214</f>
        <v/>
      </c>
      <c r="AF1214" s="193">
        <f t="array" ref="AF1214">IFERROR(ROUND(_xlfn.IFS(offer_sale_type="поставка",AB1214,offer_sale_type="транзит",S1214)*AC1214,2),0)</f>
        <v/>
      </c>
      <c r="AG1214" s="192">
        <f>$BD1214*VLOOKUP($AG$3,$AF$4:$AG$7,2,FALSE)</f>
        <v/>
      </c>
      <c r="AH1214" s="76">
        <f>SUM(AE1214,AG1214,AI1214)*rate_forex_risk</f>
        <v/>
      </c>
      <c r="AI1214" s="193">
        <f>IF(OR(seller_region="TR",offer_sale_type="экспорт"),0,rate_fin_comm)*SUM(AZ1214,AZ1214*AW1214,T1214)</f>
        <v/>
      </c>
      <c r="AJ1214" s="118">
        <f>IFERROR(ROUND(SUM(AB1214,AF1214:AI1214)/E1214,2),0)</f>
        <v/>
      </c>
      <c r="AK1214" s="76">
        <f>AJ1214*E1214</f>
        <v/>
      </c>
      <c r="AL1214" s="174">
        <f>ROUND(IFERROR(AM1214*E1214,0),2)</f>
        <v/>
      </c>
      <c r="AM1214" s="175">
        <f>ROUND(AJ1214*(1+IF(offer_incoterms="DDP",IF((TODAY()+offer_turnaround_time)&gt;=helpsheet!$L$17,rate_vatRU_from_26,rate_vatRu_till_25),0)),2)</f>
        <v/>
      </c>
      <c r="AN1214" s="192">
        <f>AL1214-AK1214</f>
        <v/>
      </c>
      <c r="AO1214" s="76">
        <f>SUM(AY1214,Y1214:Z1214,T1214)*IF(AND(offer_incoterms="DDP",offer_sale_type&lt;&gt;"экспорт"),IF((TODAY()+offer_turnaround_time)&gt;=helpsheet!$L$17,rate_vatRU_from_26,rate_vatRu_till_25),0)</f>
        <v/>
      </c>
      <c r="AP1214" s="193">
        <f>AN1214-AO1214</f>
        <v/>
      </c>
      <c r="AQ1214" s="118">
        <f>IF(offer_sale_type="транзит",SUM(AF1214:AI1214,BA1214,BB1214),0)</f>
        <v/>
      </c>
      <c r="AR1214" s="82">
        <f>HYPERLINK("https://www.alta.ru/tnved/code/")&amp;W1214&amp;"/"</f>
        <v/>
      </c>
      <c r="AS1214" s="157" t="n"/>
      <c r="AT1214" s="162" t="n"/>
      <c r="AU1214" s="76">
        <f>IF(ISBLANK(AT1214),0,AJ1214-AT1214)</f>
        <v/>
      </c>
      <c r="AV1214" s="157" t="n"/>
      <c r="AW1214" s="75">
        <f>_xlfn.IFNA(VLOOKUP(L1214,list_vat[],3,FALSE),0)</f>
        <v/>
      </c>
      <c r="AX1214" s="76">
        <f>IFERROR(ROUND(S1214*(1+AW1214)/E1214,2),0)</f>
        <v/>
      </c>
      <c r="AY1214" s="76">
        <f>E1214*AX1214</f>
        <v/>
      </c>
      <c r="AZ1214" s="192">
        <f>S1214*(1+M1214)</f>
        <v/>
      </c>
      <c r="BA1214" s="76">
        <f>cost_fin_total*$BD1214</f>
        <v/>
      </c>
      <c r="BB1214" s="193">
        <f>credit_sales_interest*BD1214</f>
        <v/>
      </c>
      <c r="BC1214" s="102">
        <f>IFERROR(IF($I$13&gt;0,$I1214/$I$13,$S1214/$S$13),0)</f>
        <v/>
      </c>
      <c r="BD1214" s="102">
        <f>IFERROR($S1214/$S$13,0)</f>
        <v/>
      </c>
      <c r="BE1214" s="413" t="inlineStr">
        <is>
          <t>$</t>
        </is>
      </c>
    </row>
    <row r="1215" ht="12" customFormat="1" customHeight="1" s="65">
      <c r="A1215" s="43" t="n">
        <v>1200</v>
      </c>
      <c r="B1215" s="166" t="n"/>
      <c r="C1215" s="166" t="n"/>
      <c r="D1215" s="166" t="n"/>
      <c r="E1215" s="162" t="n"/>
      <c r="F1215" s="166" t="n"/>
      <c r="G1215" s="162" t="n"/>
      <c r="H1215" s="162" t="n"/>
      <c r="I1215" s="189">
        <f>E1215*G1215</f>
        <v/>
      </c>
      <c r="J1215" s="195" t="n"/>
      <c r="K1215" s="162" t="n"/>
      <c r="L1215" s="168" t="n"/>
      <c r="M1215" s="75">
        <f>_xlfn.XLOOKUP(L1215,list_vat[Страна],list_vat[Ставка НДС %],0,0)</f>
        <v/>
      </c>
      <c r="N1215" s="162">
        <f>IFERROR(IF(L1215="Китай",K1215,K1215/(1+M1215)),0)</f>
        <v/>
      </c>
      <c r="O1215" s="169" t="n"/>
      <c r="P1215" s="76">
        <f>N1215*(1-O1215)</f>
        <v/>
      </c>
      <c r="Q1215" s="162" t="n"/>
      <c r="R1215" s="162">
        <f>IF(ISBLANK(Q1215),"введи курс",P1215/Q1215)</f>
        <v/>
      </c>
      <c r="S1215" s="196">
        <f>IF(AND(ISNUMBER(E1215),ISNUMBER(Q1215)),E1215*R1215,0)</f>
        <v/>
      </c>
      <c r="T1215" s="192">
        <f>$BC1215*V$11</f>
        <v/>
      </c>
      <c r="U1215" s="76">
        <f>$BC1215*W$11</f>
        <v/>
      </c>
      <c r="V1215" s="193">
        <f>+SUM(T1215:U1215)</f>
        <v/>
      </c>
      <c r="W1215" s="191" t="n"/>
      <c r="X1215" s="170" t="n"/>
      <c r="Y1215" s="76">
        <f>ROUND(IF(offer_incoterms="DDP",X1215*(S1215*(1+AW1215)+T1215),0),2)</f>
        <v/>
      </c>
      <c r="Z1215" s="188" t="n"/>
      <c r="AA1215" s="192">
        <f>IFERROR(AB1215/E1215,0)</f>
        <v/>
      </c>
      <c r="AB1215" s="76">
        <f>ROUND(SUM(S1215,V1215,Y1215:Z1215,BA1215:BB1215),2)</f>
        <v/>
      </c>
      <c r="AC1215" s="797" t="n"/>
      <c r="AD1215" s="192">
        <f t="array" ref="AD1215">IFERROR(ROUND((_xlfn.IFS(offer_sale_type="поставка",AB1215,offer_sale_type="транзит",S1215)*(1+AC1215))/E1215,2),0)</f>
        <v/>
      </c>
      <c r="AE1215" s="76">
        <f>AD1215*E1215</f>
        <v/>
      </c>
      <c r="AF1215" s="193">
        <f t="array" ref="AF1215">IFERROR(ROUND(_xlfn.IFS(offer_sale_type="поставка",AB1215,offer_sale_type="транзит",S1215)*AC1215,2),0)</f>
        <v/>
      </c>
      <c r="AG1215" s="192">
        <f>$BD1215*VLOOKUP($AG$3,$AF$4:$AG$7,2,FALSE)</f>
        <v/>
      </c>
      <c r="AH1215" s="76">
        <f>SUM(AE1215,AG1215,AI1215)*rate_forex_risk</f>
        <v/>
      </c>
      <c r="AI1215" s="193">
        <f>IF(OR(seller_region="TR",offer_sale_type="экспорт"),0,rate_fin_comm)*SUM(AZ1215,AZ1215*AW1215,T1215)</f>
        <v/>
      </c>
      <c r="AJ1215" s="118">
        <f>IFERROR(ROUND(SUM(AB1215,AF1215:AI1215)/E1215,2),0)</f>
        <v/>
      </c>
      <c r="AK1215" s="76">
        <f>AJ1215*E1215</f>
        <v/>
      </c>
      <c r="AL1215" s="174">
        <f>ROUND(IFERROR(AM1215*E1215,0),2)</f>
        <v/>
      </c>
      <c r="AM1215" s="175">
        <f>ROUND(AJ1215*(1+IF(offer_incoterms="DDP",IF((TODAY()+offer_turnaround_time)&gt;=helpsheet!$L$17,rate_vatRU_from_26,rate_vatRu_till_25),0)),2)</f>
        <v/>
      </c>
      <c r="AN1215" s="192">
        <f>AL1215-AK1215</f>
        <v/>
      </c>
      <c r="AO1215" s="76">
        <f>SUM(AY1215,Y1215:Z1215,T1215)*IF(AND(offer_incoterms="DDP",offer_sale_type&lt;&gt;"экспорт"),IF((TODAY()+offer_turnaround_time)&gt;=helpsheet!$L$17,rate_vatRU_from_26,rate_vatRu_till_25),0)</f>
        <v/>
      </c>
      <c r="AP1215" s="193">
        <f>AN1215-AO1215</f>
        <v/>
      </c>
      <c r="AQ1215" s="118">
        <f>IF(offer_sale_type="транзит",SUM(AF1215:AI1215,BA1215,BB1215),0)</f>
        <v/>
      </c>
      <c r="AR1215" s="82">
        <f>HYPERLINK("https://www.alta.ru/tnved/code/")&amp;W1215&amp;"/"</f>
        <v/>
      </c>
      <c r="AS1215" s="157" t="n"/>
      <c r="AT1215" s="162" t="n"/>
      <c r="AU1215" s="76">
        <f>IF(ISBLANK(AT1215),0,AJ1215-AT1215)</f>
        <v/>
      </c>
      <c r="AV1215" s="157" t="n"/>
      <c r="AW1215" s="75">
        <f>_xlfn.IFNA(VLOOKUP(L1215,list_vat[],3,FALSE),0)</f>
        <v/>
      </c>
      <c r="AX1215" s="76">
        <f>IFERROR(ROUND(S1215*(1+AW1215)/E1215,2),0)</f>
        <v/>
      </c>
      <c r="AY1215" s="76">
        <f>E1215*AX1215</f>
        <v/>
      </c>
      <c r="AZ1215" s="192">
        <f>S1215*(1+M1215)</f>
        <v/>
      </c>
      <c r="BA1215" s="76">
        <f>cost_fin_total*$BD1215</f>
        <v/>
      </c>
      <c r="BB1215" s="193">
        <f>credit_sales_interest*BD1215</f>
        <v/>
      </c>
      <c r="BC1215" s="102">
        <f>IFERROR(IF($I$13&gt;0,$I1215/$I$13,$S1215/$S$13),0)</f>
        <v/>
      </c>
      <c r="BD1215" s="102">
        <f>IFERROR($S1215/$S$13,0)</f>
        <v/>
      </c>
      <c r="BE1215" s="413" t="inlineStr">
        <is>
          <t>$</t>
        </is>
      </c>
    </row>
    <row r="1216" ht="12" customFormat="1" customHeight="1" s="65">
      <c r="A1216" s="43" t="n">
        <v>1201</v>
      </c>
      <c r="B1216" s="166" t="n"/>
      <c r="C1216" s="166" t="n"/>
      <c r="D1216" s="166" t="n"/>
      <c r="E1216" s="162" t="n"/>
      <c r="F1216" s="166" t="n"/>
      <c r="G1216" s="162" t="n"/>
      <c r="H1216" s="162" t="n"/>
      <c r="I1216" s="189">
        <f>E1216*G1216</f>
        <v/>
      </c>
      <c r="J1216" s="195" t="n"/>
      <c r="K1216" s="162" t="n"/>
      <c r="L1216" s="168" t="n"/>
      <c r="M1216" s="75">
        <f>_xlfn.XLOOKUP(L1216,list_vat[Страна],list_vat[Ставка НДС %],0,0)</f>
        <v/>
      </c>
      <c r="N1216" s="162">
        <f>IFERROR(IF(L1216="Китай",K1216,K1216/(1+M1216)),0)</f>
        <v/>
      </c>
      <c r="O1216" s="169" t="n"/>
      <c r="P1216" s="76">
        <f>N1216*(1-O1216)</f>
        <v/>
      </c>
      <c r="Q1216" s="162" t="n"/>
      <c r="R1216" s="162">
        <f>IF(ISBLANK(Q1216),"введи курс",P1216/Q1216)</f>
        <v/>
      </c>
      <c r="S1216" s="196">
        <f>IF(AND(ISNUMBER(E1216),ISNUMBER(Q1216)),E1216*R1216,0)</f>
        <v/>
      </c>
      <c r="T1216" s="192">
        <f>$BC1216*V$11</f>
        <v/>
      </c>
      <c r="U1216" s="76">
        <f>$BC1216*W$11</f>
        <v/>
      </c>
      <c r="V1216" s="193">
        <f>+SUM(T1216:U1216)</f>
        <v/>
      </c>
      <c r="W1216" s="191" t="n"/>
      <c r="X1216" s="170" t="n"/>
      <c r="Y1216" s="76">
        <f>ROUND(IF(offer_incoterms="DDP",X1216*(S1216*(1+AW1216)+T1216),0),2)</f>
        <v/>
      </c>
      <c r="Z1216" s="188" t="n"/>
      <c r="AA1216" s="192">
        <f>IFERROR(AB1216/E1216,0)</f>
        <v/>
      </c>
      <c r="AB1216" s="76">
        <f>ROUND(SUM(S1216,V1216,Y1216:Z1216,BA1216:BB1216),2)</f>
        <v/>
      </c>
      <c r="AC1216" s="797" t="n"/>
      <c r="AD1216" s="192">
        <f t="array" ref="AD1216">IFERROR(ROUND((_xlfn.IFS(offer_sale_type="поставка",AB1216,offer_sale_type="транзит",S1216)*(1+AC1216))/E1216,2),0)</f>
        <v/>
      </c>
      <c r="AE1216" s="76">
        <f>AD1216*E1216</f>
        <v/>
      </c>
      <c r="AF1216" s="193">
        <f t="array" ref="AF1216">IFERROR(ROUND(_xlfn.IFS(offer_sale_type="поставка",AB1216,offer_sale_type="транзит",S1216)*AC1216,2),0)</f>
        <v/>
      </c>
      <c r="AG1216" s="192">
        <f>$BD1216*VLOOKUP($AG$3,$AF$4:$AG$7,2,FALSE)</f>
        <v/>
      </c>
      <c r="AH1216" s="76">
        <f>SUM(AE1216,AG1216,AI1216)*rate_forex_risk</f>
        <v/>
      </c>
      <c r="AI1216" s="193">
        <f>IF(OR(seller_region="TR",offer_sale_type="экспорт"),0,rate_fin_comm)*SUM(AZ1216,AZ1216*AW1216,T1216)</f>
        <v/>
      </c>
      <c r="AJ1216" s="118">
        <f>IFERROR(ROUND(SUM(AB1216,AF1216:AI1216)/E1216,2),0)</f>
        <v/>
      </c>
      <c r="AK1216" s="76">
        <f>AJ1216*E1216</f>
        <v/>
      </c>
      <c r="AL1216" s="174">
        <f>ROUND(IFERROR(AM1216*E1216,0),2)</f>
        <v/>
      </c>
      <c r="AM1216" s="175">
        <f>ROUND(AJ1216*(1+IF(offer_incoterms="DDP",IF((TODAY()+offer_turnaround_time)&gt;=helpsheet!$L$17,rate_vatRU_from_26,rate_vatRu_till_25),0)),2)</f>
        <v/>
      </c>
      <c r="AN1216" s="192">
        <f>AL1216-AK1216</f>
        <v/>
      </c>
      <c r="AO1216" s="76">
        <f>SUM(AY1216,Y1216:Z1216,T1216)*IF(AND(offer_incoterms="DDP",offer_sale_type&lt;&gt;"экспорт"),IF((TODAY()+offer_turnaround_time)&gt;=helpsheet!$L$17,rate_vatRU_from_26,rate_vatRu_till_25),0)</f>
        <v/>
      </c>
      <c r="AP1216" s="193">
        <f>AN1216-AO1216</f>
        <v/>
      </c>
      <c r="AQ1216" s="118">
        <f>IF(offer_sale_type="транзит",SUM(AF1216:AI1216,BA1216,BB1216),0)</f>
        <v/>
      </c>
      <c r="AR1216" s="82">
        <f>HYPERLINK("https://www.alta.ru/tnved/code/")&amp;W1216&amp;"/"</f>
        <v/>
      </c>
      <c r="AS1216" s="157" t="n"/>
      <c r="AT1216" s="162" t="n"/>
      <c r="AU1216" s="76">
        <f>IF(ISBLANK(AT1216),0,AJ1216-AT1216)</f>
        <v/>
      </c>
      <c r="AV1216" s="157" t="n"/>
      <c r="AW1216" s="75">
        <f>_xlfn.IFNA(VLOOKUP(L1216,list_vat[],3,FALSE),0)</f>
        <v/>
      </c>
      <c r="AX1216" s="76">
        <f>IFERROR(ROUND(S1216*(1+AW1216)/E1216,2),0)</f>
        <v/>
      </c>
      <c r="AY1216" s="76">
        <f>E1216*AX1216</f>
        <v/>
      </c>
      <c r="AZ1216" s="192">
        <f>S1216*(1+M1216)</f>
        <v/>
      </c>
      <c r="BA1216" s="76">
        <f>cost_fin_total*$BD1216</f>
        <v/>
      </c>
      <c r="BB1216" s="193">
        <f>credit_sales_interest*BD1216</f>
        <v/>
      </c>
      <c r="BC1216" s="102">
        <f>IFERROR(IF($I$13&gt;0,$I1216/$I$13,$S1216/$S$13),0)</f>
        <v/>
      </c>
      <c r="BD1216" s="102">
        <f>IFERROR($S1216/$S$13,0)</f>
        <v/>
      </c>
      <c r="BE1216" s="413" t="inlineStr">
        <is>
          <t>$</t>
        </is>
      </c>
    </row>
    <row r="1217" ht="12" customFormat="1" customHeight="1" s="65">
      <c r="A1217" s="43" t="n">
        <v>1202</v>
      </c>
      <c r="B1217" s="166" t="n"/>
      <c r="C1217" s="166" t="n"/>
      <c r="D1217" s="166" t="n"/>
      <c r="E1217" s="162" t="n"/>
      <c r="F1217" s="166" t="n"/>
      <c r="G1217" s="162" t="n"/>
      <c r="H1217" s="162" t="n"/>
      <c r="I1217" s="189">
        <f>E1217*G1217</f>
        <v/>
      </c>
      <c r="J1217" s="195" t="n"/>
      <c r="K1217" s="162" t="n"/>
      <c r="L1217" s="168" t="n"/>
      <c r="M1217" s="75">
        <f>_xlfn.XLOOKUP(L1217,list_vat[Страна],list_vat[Ставка НДС %],0,0)</f>
        <v/>
      </c>
      <c r="N1217" s="162">
        <f>IFERROR(IF(L1217="Китай",K1217,K1217/(1+M1217)),0)</f>
        <v/>
      </c>
      <c r="O1217" s="169" t="n"/>
      <c r="P1217" s="76">
        <f>N1217*(1-O1217)</f>
        <v/>
      </c>
      <c r="Q1217" s="162" t="n"/>
      <c r="R1217" s="162">
        <f>IF(ISBLANK(Q1217),"введи курс",P1217/Q1217)</f>
        <v/>
      </c>
      <c r="S1217" s="196">
        <f>IF(AND(ISNUMBER(E1217),ISNUMBER(Q1217)),E1217*R1217,0)</f>
        <v/>
      </c>
      <c r="T1217" s="192">
        <f>$BC1217*V$11</f>
        <v/>
      </c>
      <c r="U1217" s="76">
        <f>$BC1217*W$11</f>
        <v/>
      </c>
      <c r="V1217" s="193">
        <f>+SUM(T1217:U1217)</f>
        <v/>
      </c>
      <c r="W1217" s="191" t="n"/>
      <c r="X1217" s="170" t="n"/>
      <c r="Y1217" s="76">
        <f>ROUND(IF(offer_incoterms="DDP",X1217*(S1217*(1+AW1217)+T1217),0),2)</f>
        <v/>
      </c>
      <c r="Z1217" s="188" t="n"/>
      <c r="AA1217" s="192">
        <f>IFERROR(AB1217/E1217,0)</f>
        <v/>
      </c>
      <c r="AB1217" s="76">
        <f>ROUND(SUM(S1217,V1217,Y1217:Z1217,BA1217:BB1217),2)</f>
        <v/>
      </c>
      <c r="AC1217" s="797" t="n"/>
      <c r="AD1217" s="192">
        <f t="array" ref="AD1217">IFERROR(ROUND((_xlfn.IFS(offer_sale_type="поставка",AB1217,offer_sale_type="транзит",S1217)*(1+AC1217))/E1217,2),0)</f>
        <v/>
      </c>
      <c r="AE1217" s="76">
        <f>AD1217*E1217</f>
        <v/>
      </c>
      <c r="AF1217" s="193">
        <f t="array" ref="AF1217">IFERROR(ROUND(_xlfn.IFS(offer_sale_type="поставка",AB1217,offer_sale_type="транзит",S1217)*AC1217,2),0)</f>
        <v/>
      </c>
      <c r="AG1217" s="192">
        <f>$BD1217*VLOOKUP($AG$3,$AF$4:$AG$7,2,FALSE)</f>
        <v/>
      </c>
      <c r="AH1217" s="76">
        <f>SUM(AE1217,AG1217,AI1217)*rate_forex_risk</f>
        <v/>
      </c>
      <c r="AI1217" s="193">
        <f>IF(OR(seller_region="TR",offer_sale_type="экспорт"),0,rate_fin_comm)*SUM(AZ1217,AZ1217*AW1217,T1217)</f>
        <v/>
      </c>
      <c r="AJ1217" s="118">
        <f>IFERROR(ROUND(SUM(AB1217,AF1217:AI1217)/E1217,2),0)</f>
        <v/>
      </c>
      <c r="AK1217" s="76">
        <f>AJ1217*E1217</f>
        <v/>
      </c>
      <c r="AL1217" s="174">
        <f>ROUND(IFERROR(AM1217*E1217,0),2)</f>
        <v/>
      </c>
      <c r="AM1217" s="175">
        <f>ROUND(AJ1217*(1+IF(offer_incoterms="DDP",IF((TODAY()+offer_turnaround_time)&gt;=helpsheet!$L$17,rate_vatRU_from_26,rate_vatRu_till_25),0)),2)</f>
        <v/>
      </c>
      <c r="AN1217" s="192">
        <f>AL1217-AK1217</f>
        <v/>
      </c>
      <c r="AO1217" s="76">
        <f>SUM(AY1217,Y1217:Z1217,T1217)*IF(AND(offer_incoterms="DDP",offer_sale_type&lt;&gt;"экспорт"),IF((TODAY()+offer_turnaround_time)&gt;=helpsheet!$L$17,rate_vatRU_from_26,rate_vatRu_till_25),0)</f>
        <v/>
      </c>
      <c r="AP1217" s="193">
        <f>AN1217-AO1217</f>
        <v/>
      </c>
      <c r="AQ1217" s="118">
        <f>IF(offer_sale_type="транзит",SUM(AF1217:AI1217,BA1217,BB1217),0)</f>
        <v/>
      </c>
      <c r="AR1217" s="82">
        <f>HYPERLINK("https://www.alta.ru/tnved/code/")&amp;W1217&amp;"/"</f>
        <v/>
      </c>
      <c r="AS1217" s="157" t="n"/>
      <c r="AT1217" s="162" t="n"/>
      <c r="AU1217" s="76">
        <f>IF(ISBLANK(AT1217),0,AJ1217-AT1217)</f>
        <v/>
      </c>
      <c r="AV1217" s="157" t="n"/>
      <c r="AW1217" s="75">
        <f>_xlfn.IFNA(VLOOKUP(L1217,list_vat[],3,FALSE),0)</f>
        <v/>
      </c>
      <c r="AX1217" s="76">
        <f>IFERROR(ROUND(S1217*(1+AW1217)/E1217,2),0)</f>
        <v/>
      </c>
      <c r="AY1217" s="76">
        <f>E1217*AX1217</f>
        <v/>
      </c>
      <c r="AZ1217" s="192">
        <f>S1217*(1+M1217)</f>
        <v/>
      </c>
      <c r="BA1217" s="76">
        <f>cost_fin_total*$BD1217</f>
        <v/>
      </c>
      <c r="BB1217" s="193">
        <f>credit_sales_interest*BD1217</f>
        <v/>
      </c>
      <c r="BC1217" s="102">
        <f>IFERROR(IF($I$13&gt;0,$I1217/$I$13,$S1217/$S$13),0)</f>
        <v/>
      </c>
      <c r="BD1217" s="102">
        <f>IFERROR($S1217/$S$13,0)</f>
        <v/>
      </c>
      <c r="BE1217" s="413" t="inlineStr">
        <is>
          <t>$</t>
        </is>
      </c>
    </row>
    <row r="1218" ht="12" customFormat="1" customHeight="1" s="65">
      <c r="A1218" s="43" t="n">
        <v>1203</v>
      </c>
      <c r="B1218" s="166" t="n"/>
      <c r="C1218" s="166" t="n"/>
      <c r="D1218" s="166" t="n"/>
      <c r="E1218" s="162" t="n"/>
      <c r="F1218" s="166" t="n"/>
      <c r="G1218" s="162" t="n"/>
      <c r="H1218" s="162" t="n"/>
      <c r="I1218" s="189">
        <f>E1218*G1218</f>
        <v/>
      </c>
      <c r="J1218" s="195" t="n"/>
      <c r="K1218" s="162" t="n"/>
      <c r="L1218" s="168" t="n"/>
      <c r="M1218" s="75">
        <f>_xlfn.XLOOKUP(L1218,list_vat[Страна],list_vat[Ставка НДС %],0,0)</f>
        <v/>
      </c>
      <c r="N1218" s="162">
        <f>IFERROR(IF(L1218="Китай",K1218,K1218/(1+M1218)),0)</f>
        <v/>
      </c>
      <c r="O1218" s="169" t="n"/>
      <c r="P1218" s="76">
        <f>N1218*(1-O1218)</f>
        <v/>
      </c>
      <c r="Q1218" s="162" t="n"/>
      <c r="R1218" s="162">
        <f>IF(ISBLANK(Q1218),"введи курс",P1218/Q1218)</f>
        <v/>
      </c>
      <c r="S1218" s="196">
        <f>IF(AND(ISNUMBER(E1218),ISNUMBER(Q1218)),E1218*R1218,0)</f>
        <v/>
      </c>
      <c r="T1218" s="192">
        <f>$BC1218*V$11</f>
        <v/>
      </c>
      <c r="U1218" s="76">
        <f>$BC1218*W$11</f>
        <v/>
      </c>
      <c r="V1218" s="193">
        <f>+SUM(T1218:U1218)</f>
        <v/>
      </c>
      <c r="W1218" s="191" t="n"/>
      <c r="X1218" s="170" t="n"/>
      <c r="Y1218" s="76">
        <f>ROUND(IF(offer_incoterms="DDP",X1218*(S1218*(1+AW1218)+T1218),0),2)</f>
        <v/>
      </c>
      <c r="Z1218" s="188" t="n"/>
      <c r="AA1218" s="192">
        <f>IFERROR(AB1218/E1218,0)</f>
        <v/>
      </c>
      <c r="AB1218" s="76">
        <f>ROUND(SUM(S1218,V1218,Y1218:Z1218,BA1218:BB1218),2)</f>
        <v/>
      </c>
      <c r="AC1218" s="797" t="n"/>
      <c r="AD1218" s="192">
        <f t="array" ref="AD1218">IFERROR(ROUND((_xlfn.IFS(offer_sale_type="поставка",AB1218,offer_sale_type="транзит",S1218)*(1+AC1218))/E1218,2),0)</f>
        <v/>
      </c>
      <c r="AE1218" s="76">
        <f>AD1218*E1218</f>
        <v/>
      </c>
      <c r="AF1218" s="193">
        <f t="array" ref="AF1218">IFERROR(ROUND(_xlfn.IFS(offer_sale_type="поставка",AB1218,offer_sale_type="транзит",S1218)*AC1218,2),0)</f>
        <v/>
      </c>
      <c r="AG1218" s="192">
        <f>$BD1218*VLOOKUP($AG$3,$AF$4:$AG$7,2,FALSE)</f>
        <v/>
      </c>
      <c r="AH1218" s="76">
        <f>SUM(AE1218,AG1218,AI1218)*rate_forex_risk</f>
        <v/>
      </c>
      <c r="AI1218" s="193">
        <f>IF(OR(seller_region="TR",offer_sale_type="экспорт"),0,rate_fin_comm)*SUM(AZ1218,AZ1218*AW1218,T1218)</f>
        <v/>
      </c>
      <c r="AJ1218" s="118">
        <f>IFERROR(ROUND(SUM(AB1218,AF1218:AI1218)/E1218,2),0)</f>
        <v/>
      </c>
      <c r="AK1218" s="76">
        <f>AJ1218*E1218</f>
        <v/>
      </c>
      <c r="AL1218" s="174">
        <f>ROUND(IFERROR(AM1218*E1218,0),2)</f>
        <v/>
      </c>
      <c r="AM1218" s="175">
        <f>ROUND(AJ1218*(1+IF(offer_incoterms="DDP",IF((TODAY()+offer_turnaround_time)&gt;=helpsheet!$L$17,rate_vatRU_from_26,rate_vatRu_till_25),0)),2)</f>
        <v/>
      </c>
      <c r="AN1218" s="192">
        <f>AL1218-AK1218</f>
        <v/>
      </c>
      <c r="AO1218" s="76">
        <f>SUM(AY1218,Y1218:Z1218,T1218)*IF(AND(offer_incoterms="DDP",offer_sale_type&lt;&gt;"экспорт"),IF((TODAY()+offer_turnaround_time)&gt;=helpsheet!$L$17,rate_vatRU_from_26,rate_vatRu_till_25),0)</f>
        <v/>
      </c>
      <c r="AP1218" s="193">
        <f>AN1218-AO1218</f>
        <v/>
      </c>
      <c r="AQ1218" s="118">
        <f>IF(offer_sale_type="транзит",SUM(AF1218:AI1218,BA1218,BB1218),0)</f>
        <v/>
      </c>
      <c r="AR1218" s="82">
        <f>HYPERLINK("https://www.alta.ru/tnved/code/")&amp;W1218&amp;"/"</f>
        <v/>
      </c>
      <c r="AS1218" s="157" t="n"/>
      <c r="AT1218" s="162" t="n"/>
      <c r="AU1218" s="76">
        <f>IF(ISBLANK(AT1218),0,AJ1218-AT1218)</f>
        <v/>
      </c>
      <c r="AV1218" s="157" t="n"/>
      <c r="AW1218" s="75">
        <f>_xlfn.IFNA(VLOOKUP(L1218,list_vat[],3,FALSE),0)</f>
        <v/>
      </c>
      <c r="AX1218" s="76">
        <f>IFERROR(ROUND(S1218*(1+AW1218)/E1218,2),0)</f>
        <v/>
      </c>
      <c r="AY1218" s="76">
        <f>E1218*AX1218</f>
        <v/>
      </c>
      <c r="AZ1218" s="192">
        <f>S1218*(1+M1218)</f>
        <v/>
      </c>
      <c r="BA1218" s="76">
        <f>cost_fin_total*$BD1218</f>
        <v/>
      </c>
      <c r="BB1218" s="193">
        <f>credit_sales_interest*BD1218</f>
        <v/>
      </c>
      <c r="BC1218" s="102">
        <f>IFERROR(IF($I$13&gt;0,$I1218/$I$13,$S1218/$S$13),0)</f>
        <v/>
      </c>
      <c r="BD1218" s="102">
        <f>IFERROR($S1218/$S$13,0)</f>
        <v/>
      </c>
      <c r="BE1218" s="413" t="inlineStr">
        <is>
          <t>$</t>
        </is>
      </c>
    </row>
    <row r="1219" ht="12" customFormat="1" customHeight="1" s="65">
      <c r="A1219" s="43" t="n">
        <v>1204</v>
      </c>
      <c r="B1219" s="166" t="n"/>
      <c r="C1219" s="166" t="n"/>
      <c r="D1219" s="166" t="n"/>
      <c r="E1219" s="162" t="n"/>
      <c r="F1219" s="166" t="n"/>
      <c r="G1219" s="162" t="n"/>
      <c r="H1219" s="162" t="n"/>
      <c r="I1219" s="189">
        <f>E1219*G1219</f>
        <v/>
      </c>
      <c r="J1219" s="195" t="n"/>
      <c r="K1219" s="162" t="n"/>
      <c r="L1219" s="168" t="n"/>
      <c r="M1219" s="75">
        <f>_xlfn.XLOOKUP(L1219,list_vat[Страна],list_vat[Ставка НДС %],0,0)</f>
        <v/>
      </c>
      <c r="N1219" s="162">
        <f>IFERROR(IF(L1219="Китай",K1219,K1219/(1+M1219)),0)</f>
        <v/>
      </c>
      <c r="O1219" s="169" t="n"/>
      <c r="P1219" s="76">
        <f>N1219*(1-O1219)</f>
        <v/>
      </c>
      <c r="Q1219" s="162" t="n"/>
      <c r="R1219" s="162">
        <f>IF(ISBLANK(Q1219),"введи курс",P1219/Q1219)</f>
        <v/>
      </c>
      <c r="S1219" s="196">
        <f>IF(AND(ISNUMBER(E1219),ISNUMBER(Q1219)),E1219*R1219,0)</f>
        <v/>
      </c>
      <c r="T1219" s="192">
        <f>$BC1219*V$11</f>
        <v/>
      </c>
      <c r="U1219" s="76">
        <f>$BC1219*W$11</f>
        <v/>
      </c>
      <c r="V1219" s="193">
        <f>+SUM(T1219:U1219)</f>
        <v/>
      </c>
      <c r="W1219" s="191" t="n"/>
      <c r="X1219" s="170" t="n"/>
      <c r="Y1219" s="76">
        <f>ROUND(IF(offer_incoterms="DDP",X1219*(S1219*(1+AW1219)+T1219),0),2)</f>
        <v/>
      </c>
      <c r="Z1219" s="188" t="n"/>
      <c r="AA1219" s="192">
        <f>IFERROR(AB1219/E1219,0)</f>
        <v/>
      </c>
      <c r="AB1219" s="76">
        <f>ROUND(SUM(S1219,V1219,Y1219:Z1219,BA1219:BB1219),2)</f>
        <v/>
      </c>
      <c r="AC1219" s="797" t="n"/>
      <c r="AD1219" s="192">
        <f t="array" ref="AD1219">IFERROR(ROUND((_xlfn.IFS(offer_sale_type="поставка",AB1219,offer_sale_type="транзит",S1219)*(1+AC1219))/E1219,2),0)</f>
        <v/>
      </c>
      <c r="AE1219" s="76">
        <f>AD1219*E1219</f>
        <v/>
      </c>
      <c r="AF1219" s="193">
        <f t="array" ref="AF1219">IFERROR(ROUND(_xlfn.IFS(offer_sale_type="поставка",AB1219,offer_sale_type="транзит",S1219)*AC1219,2),0)</f>
        <v/>
      </c>
      <c r="AG1219" s="192">
        <f>$BD1219*VLOOKUP($AG$3,$AF$4:$AG$7,2,FALSE)</f>
        <v/>
      </c>
      <c r="AH1219" s="76">
        <f>SUM(AE1219,AG1219,AI1219)*rate_forex_risk</f>
        <v/>
      </c>
      <c r="AI1219" s="193">
        <f>IF(OR(seller_region="TR",offer_sale_type="экспорт"),0,rate_fin_comm)*SUM(AZ1219,AZ1219*AW1219,T1219)</f>
        <v/>
      </c>
      <c r="AJ1219" s="118">
        <f>IFERROR(ROUND(SUM(AB1219,AF1219:AI1219)/E1219,2),0)</f>
        <v/>
      </c>
      <c r="AK1219" s="76">
        <f>AJ1219*E1219</f>
        <v/>
      </c>
      <c r="AL1219" s="174">
        <f>ROUND(IFERROR(AM1219*E1219,0),2)</f>
        <v/>
      </c>
      <c r="AM1219" s="175">
        <f>ROUND(AJ1219*(1+IF(offer_incoterms="DDP",IF((TODAY()+offer_turnaround_time)&gt;=helpsheet!$L$17,rate_vatRU_from_26,rate_vatRu_till_25),0)),2)</f>
        <v/>
      </c>
      <c r="AN1219" s="192">
        <f>AL1219-AK1219</f>
        <v/>
      </c>
      <c r="AO1219" s="76">
        <f>SUM(AY1219,Y1219:Z1219,T1219)*IF(AND(offer_incoterms="DDP",offer_sale_type&lt;&gt;"экспорт"),IF((TODAY()+offer_turnaround_time)&gt;=helpsheet!$L$17,rate_vatRU_from_26,rate_vatRu_till_25),0)</f>
        <v/>
      </c>
      <c r="AP1219" s="193">
        <f>AN1219-AO1219</f>
        <v/>
      </c>
      <c r="AQ1219" s="118">
        <f>IF(offer_sale_type="транзит",SUM(AF1219:AI1219,BA1219,BB1219),0)</f>
        <v/>
      </c>
      <c r="AR1219" s="82">
        <f>HYPERLINK("https://www.alta.ru/tnved/code/")&amp;W1219&amp;"/"</f>
        <v/>
      </c>
      <c r="AS1219" s="157" t="n"/>
      <c r="AT1219" s="162" t="n"/>
      <c r="AU1219" s="76">
        <f>IF(ISBLANK(AT1219),0,AJ1219-AT1219)</f>
        <v/>
      </c>
      <c r="AV1219" s="157" t="n"/>
      <c r="AW1219" s="75">
        <f>_xlfn.IFNA(VLOOKUP(L1219,list_vat[],3,FALSE),0)</f>
        <v/>
      </c>
      <c r="AX1219" s="76">
        <f>IFERROR(ROUND(S1219*(1+AW1219)/E1219,2),0)</f>
        <v/>
      </c>
      <c r="AY1219" s="76">
        <f>E1219*AX1219</f>
        <v/>
      </c>
      <c r="AZ1219" s="192">
        <f>S1219*(1+M1219)</f>
        <v/>
      </c>
      <c r="BA1219" s="76">
        <f>cost_fin_total*$BD1219</f>
        <v/>
      </c>
      <c r="BB1219" s="193">
        <f>credit_sales_interest*BD1219</f>
        <v/>
      </c>
      <c r="BC1219" s="102">
        <f>IFERROR(IF($I$13&gt;0,$I1219/$I$13,$S1219/$S$13),0)</f>
        <v/>
      </c>
      <c r="BD1219" s="102">
        <f>IFERROR($S1219/$S$13,0)</f>
        <v/>
      </c>
      <c r="BE1219" s="413" t="inlineStr">
        <is>
          <t>$</t>
        </is>
      </c>
    </row>
    <row r="1220" ht="12" customFormat="1" customHeight="1" s="65">
      <c r="A1220" s="43" t="n">
        <v>1205</v>
      </c>
      <c r="B1220" s="166" t="n"/>
      <c r="C1220" s="166" t="n"/>
      <c r="D1220" s="166" t="n"/>
      <c r="E1220" s="162" t="n"/>
      <c r="F1220" s="166" t="n"/>
      <c r="G1220" s="162" t="n"/>
      <c r="H1220" s="162" t="n"/>
      <c r="I1220" s="189">
        <f>E1220*G1220</f>
        <v/>
      </c>
      <c r="J1220" s="195" t="n"/>
      <c r="K1220" s="162" t="n"/>
      <c r="L1220" s="168" t="n"/>
      <c r="M1220" s="75">
        <f>_xlfn.XLOOKUP(L1220,list_vat[Страна],list_vat[Ставка НДС %],0,0)</f>
        <v/>
      </c>
      <c r="N1220" s="162">
        <f>IFERROR(IF(L1220="Китай",K1220,K1220/(1+M1220)),0)</f>
        <v/>
      </c>
      <c r="O1220" s="169" t="n"/>
      <c r="P1220" s="76">
        <f>N1220*(1-O1220)</f>
        <v/>
      </c>
      <c r="Q1220" s="162" t="n"/>
      <c r="R1220" s="162">
        <f>IF(ISBLANK(Q1220),"введи курс",P1220/Q1220)</f>
        <v/>
      </c>
      <c r="S1220" s="196">
        <f>IF(AND(ISNUMBER(E1220),ISNUMBER(Q1220)),E1220*R1220,0)</f>
        <v/>
      </c>
      <c r="T1220" s="192">
        <f>$BC1220*V$11</f>
        <v/>
      </c>
      <c r="U1220" s="76">
        <f>$BC1220*W$11</f>
        <v/>
      </c>
      <c r="V1220" s="193">
        <f>+SUM(T1220:U1220)</f>
        <v/>
      </c>
      <c r="W1220" s="191" t="n"/>
      <c r="X1220" s="170" t="n"/>
      <c r="Y1220" s="76">
        <f>ROUND(IF(offer_incoterms="DDP",X1220*(S1220*(1+AW1220)+T1220),0),2)</f>
        <v/>
      </c>
      <c r="Z1220" s="188" t="n"/>
      <c r="AA1220" s="192">
        <f>IFERROR(AB1220/E1220,0)</f>
        <v/>
      </c>
      <c r="AB1220" s="76">
        <f>ROUND(SUM(S1220,V1220,Y1220:Z1220,BA1220:BB1220),2)</f>
        <v/>
      </c>
      <c r="AC1220" s="797" t="n"/>
      <c r="AD1220" s="192">
        <f t="array" ref="AD1220">IFERROR(ROUND((_xlfn.IFS(offer_sale_type="поставка",AB1220,offer_sale_type="транзит",S1220)*(1+AC1220))/E1220,2),0)</f>
        <v/>
      </c>
      <c r="AE1220" s="76">
        <f>AD1220*E1220</f>
        <v/>
      </c>
      <c r="AF1220" s="193">
        <f t="array" ref="AF1220">IFERROR(ROUND(_xlfn.IFS(offer_sale_type="поставка",AB1220,offer_sale_type="транзит",S1220)*AC1220,2),0)</f>
        <v/>
      </c>
      <c r="AG1220" s="192">
        <f>$BD1220*VLOOKUP($AG$3,$AF$4:$AG$7,2,FALSE)</f>
        <v/>
      </c>
      <c r="AH1220" s="76">
        <f>SUM(AE1220,AG1220,AI1220)*rate_forex_risk</f>
        <v/>
      </c>
      <c r="AI1220" s="193">
        <f>IF(OR(seller_region="TR",offer_sale_type="экспорт"),0,rate_fin_comm)*SUM(AZ1220,AZ1220*AW1220,T1220)</f>
        <v/>
      </c>
      <c r="AJ1220" s="118">
        <f>IFERROR(ROUND(SUM(AB1220,AF1220:AI1220)/E1220,2),0)</f>
        <v/>
      </c>
      <c r="AK1220" s="76">
        <f>AJ1220*E1220</f>
        <v/>
      </c>
      <c r="AL1220" s="174">
        <f>ROUND(IFERROR(AM1220*E1220,0),2)</f>
        <v/>
      </c>
      <c r="AM1220" s="175">
        <f>ROUND(AJ1220*(1+IF(offer_incoterms="DDP",IF((TODAY()+offer_turnaround_time)&gt;=helpsheet!$L$17,rate_vatRU_from_26,rate_vatRu_till_25),0)),2)</f>
        <v/>
      </c>
      <c r="AN1220" s="192">
        <f>AL1220-AK1220</f>
        <v/>
      </c>
      <c r="AO1220" s="76">
        <f>SUM(AY1220,Y1220:Z1220,T1220)*IF(AND(offer_incoterms="DDP",offer_sale_type&lt;&gt;"экспорт"),IF((TODAY()+offer_turnaround_time)&gt;=helpsheet!$L$17,rate_vatRU_from_26,rate_vatRu_till_25),0)</f>
        <v/>
      </c>
      <c r="AP1220" s="193">
        <f>AN1220-AO1220</f>
        <v/>
      </c>
      <c r="AQ1220" s="118">
        <f>IF(offer_sale_type="транзит",SUM(AF1220:AI1220,BA1220,BB1220),0)</f>
        <v/>
      </c>
      <c r="AR1220" s="82">
        <f>HYPERLINK("https://www.alta.ru/tnved/code/")&amp;W1220&amp;"/"</f>
        <v/>
      </c>
      <c r="AS1220" s="157" t="n"/>
      <c r="AT1220" s="162" t="n"/>
      <c r="AU1220" s="76">
        <f>IF(ISBLANK(AT1220),0,AJ1220-AT1220)</f>
        <v/>
      </c>
      <c r="AV1220" s="157" t="n"/>
      <c r="AW1220" s="75">
        <f>_xlfn.IFNA(VLOOKUP(L1220,list_vat[],3,FALSE),0)</f>
        <v/>
      </c>
      <c r="AX1220" s="76">
        <f>IFERROR(ROUND(S1220*(1+AW1220)/E1220,2),0)</f>
        <v/>
      </c>
      <c r="AY1220" s="76">
        <f>E1220*AX1220</f>
        <v/>
      </c>
      <c r="AZ1220" s="192">
        <f>S1220*(1+M1220)</f>
        <v/>
      </c>
      <c r="BA1220" s="76">
        <f>cost_fin_total*$BD1220</f>
        <v/>
      </c>
      <c r="BB1220" s="193">
        <f>credit_sales_interest*BD1220</f>
        <v/>
      </c>
      <c r="BC1220" s="102">
        <f>IFERROR(IF($I$13&gt;0,$I1220/$I$13,$S1220/$S$13),0)</f>
        <v/>
      </c>
      <c r="BD1220" s="102">
        <f>IFERROR($S1220/$S$13,0)</f>
        <v/>
      </c>
      <c r="BE1220" s="413" t="inlineStr">
        <is>
          <t>$</t>
        </is>
      </c>
    </row>
    <row r="1221" ht="12" customFormat="1" customHeight="1" s="65">
      <c r="A1221" s="43" t="n">
        <v>1206</v>
      </c>
      <c r="B1221" s="166" t="n"/>
      <c r="C1221" s="166" t="n"/>
      <c r="D1221" s="166" t="n"/>
      <c r="E1221" s="162" t="n"/>
      <c r="F1221" s="166" t="n"/>
      <c r="G1221" s="162" t="n"/>
      <c r="H1221" s="162" t="n"/>
      <c r="I1221" s="189">
        <f>E1221*G1221</f>
        <v/>
      </c>
      <c r="J1221" s="195" t="n"/>
      <c r="K1221" s="162" t="n"/>
      <c r="L1221" s="168" t="n"/>
      <c r="M1221" s="75">
        <f>_xlfn.XLOOKUP(L1221,list_vat[Страна],list_vat[Ставка НДС %],0,0)</f>
        <v/>
      </c>
      <c r="N1221" s="162">
        <f>IFERROR(IF(L1221="Китай",K1221,K1221/(1+M1221)),0)</f>
        <v/>
      </c>
      <c r="O1221" s="169" t="n"/>
      <c r="P1221" s="76">
        <f>N1221*(1-O1221)</f>
        <v/>
      </c>
      <c r="Q1221" s="162" t="n"/>
      <c r="R1221" s="162">
        <f>IF(ISBLANK(Q1221),"введи курс",P1221/Q1221)</f>
        <v/>
      </c>
      <c r="S1221" s="196">
        <f>IF(AND(ISNUMBER(E1221),ISNUMBER(Q1221)),E1221*R1221,0)</f>
        <v/>
      </c>
      <c r="T1221" s="192">
        <f>$BC1221*V$11</f>
        <v/>
      </c>
      <c r="U1221" s="76">
        <f>$BC1221*W$11</f>
        <v/>
      </c>
      <c r="V1221" s="193">
        <f>+SUM(T1221:U1221)</f>
        <v/>
      </c>
      <c r="W1221" s="191" t="n"/>
      <c r="X1221" s="170" t="n"/>
      <c r="Y1221" s="76">
        <f>ROUND(IF(offer_incoterms="DDP",X1221*(S1221*(1+AW1221)+T1221),0),2)</f>
        <v/>
      </c>
      <c r="Z1221" s="188" t="n"/>
      <c r="AA1221" s="192">
        <f>IFERROR(AB1221/E1221,0)</f>
        <v/>
      </c>
      <c r="AB1221" s="76">
        <f>ROUND(SUM(S1221,V1221,Y1221:Z1221,BA1221:BB1221),2)</f>
        <v/>
      </c>
      <c r="AC1221" s="797" t="n"/>
      <c r="AD1221" s="192">
        <f t="array" ref="AD1221">IFERROR(ROUND((_xlfn.IFS(offer_sale_type="поставка",AB1221,offer_sale_type="транзит",S1221)*(1+AC1221))/E1221,2),0)</f>
        <v/>
      </c>
      <c r="AE1221" s="76">
        <f>AD1221*E1221</f>
        <v/>
      </c>
      <c r="AF1221" s="193">
        <f t="array" ref="AF1221">IFERROR(ROUND(_xlfn.IFS(offer_sale_type="поставка",AB1221,offer_sale_type="транзит",S1221)*AC1221,2),0)</f>
        <v/>
      </c>
      <c r="AG1221" s="192">
        <f>$BD1221*VLOOKUP($AG$3,$AF$4:$AG$7,2,FALSE)</f>
        <v/>
      </c>
      <c r="AH1221" s="76">
        <f>SUM(AE1221,AG1221,AI1221)*rate_forex_risk</f>
        <v/>
      </c>
      <c r="AI1221" s="193">
        <f>IF(OR(seller_region="TR",offer_sale_type="экспорт"),0,rate_fin_comm)*SUM(AZ1221,AZ1221*AW1221,T1221)</f>
        <v/>
      </c>
      <c r="AJ1221" s="118">
        <f>IFERROR(ROUND(SUM(AB1221,AF1221:AI1221)/E1221,2),0)</f>
        <v/>
      </c>
      <c r="AK1221" s="76">
        <f>AJ1221*E1221</f>
        <v/>
      </c>
      <c r="AL1221" s="174">
        <f>ROUND(IFERROR(AM1221*E1221,0),2)</f>
        <v/>
      </c>
      <c r="AM1221" s="175">
        <f>ROUND(AJ1221*(1+IF(offer_incoterms="DDP",IF((TODAY()+offer_turnaround_time)&gt;=helpsheet!$L$17,rate_vatRU_from_26,rate_vatRu_till_25),0)),2)</f>
        <v/>
      </c>
      <c r="AN1221" s="192">
        <f>AL1221-AK1221</f>
        <v/>
      </c>
      <c r="AO1221" s="76">
        <f>SUM(AY1221,Y1221:Z1221,T1221)*IF(AND(offer_incoterms="DDP",offer_sale_type&lt;&gt;"экспорт"),IF((TODAY()+offer_turnaround_time)&gt;=helpsheet!$L$17,rate_vatRU_from_26,rate_vatRu_till_25),0)</f>
        <v/>
      </c>
      <c r="AP1221" s="193">
        <f>AN1221-AO1221</f>
        <v/>
      </c>
      <c r="AQ1221" s="118">
        <f>IF(offer_sale_type="транзит",SUM(AF1221:AI1221,BA1221,BB1221),0)</f>
        <v/>
      </c>
      <c r="AR1221" s="82">
        <f>HYPERLINK("https://www.alta.ru/tnved/code/")&amp;W1221&amp;"/"</f>
        <v/>
      </c>
      <c r="AS1221" s="157" t="n"/>
      <c r="AT1221" s="162" t="n"/>
      <c r="AU1221" s="76">
        <f>IF(ISBLANK(AT1221),0,AJ1221-AT1221)</f>
        <v/>
      </c>
      <c r="AV1221" s="157" t="n"/>
      <c r="AW1221" s="75">
        <f>_xlfn.IFNA(VLOOKUP(L1221,list_vat[],3,FALSE),0)</f>
        <v/>
      </c>
      <c r="AX1221" s="76">
        <f>IFERROR(ROUND(S1221*(1+AW1221)/E1221,2),0)</f>
        <v/>
      </c>
      <c r="AY1221" s="76">
        <f>E1221*AX1221</f>
        <v/>
      </c>
      <c r="AZ1221" s="192">
        <f>S1221*(1+M1221)</f>
        <v/>
      </c>
      <c r="BA1221" s="76">
        <f>cost_fin_total*$BD1221</f>
        <v/>
      </c>
      <c r="BB1221" s="193">
        <f>credit_sales_interest*BD1221</f>
        <v/>
      </c>
      <c r="BC1221" s="102">
        <f>IFERROR(IF($I$13&gt;0,$I1221/$I$13,$S1221/$S$13),0)</f>
        <v/>
      </c>
      <c r="BD1221" s="102">
        <f>IFERROR($S1221/$S$13,0)</f>
        <v/>
      </c>
      <c r="BE1221" s="413" t="inlineStr">
        <is>
          <t>$</t>
        </is>
      </c>
    </row>
    <row r="1222" ht="12" customFormat="1" customHeight="1" s="65">
      <c r="A1222" s="43" t="n">
        <v>1207</v>
      </c>
      <c r="B1222" s="166" t="n"/>
      <c r="C1222" s="166" t="n"/>
      <c r="D1222" s="166" t="n"/>
      <c r="E1222" s="162" t="n"/>
      <c r="F1222" s="166" t="n"/>
      <c r="G1222" s="162" t="n"/>
      <c r="H1222" s="162" t="n"/>
      <c r="I1222" s="189">
        <f>E1222*G1222</f>
        <v/>
      </c>
      <c r="J1222" s="195" t="n"/>
      <c r="K1222" s="162" t="n"/>
      <c r="L1222" s="168" t="n"/>
      <c r="M1222" s="75">
        <f>_xlfn.XLOOKUP(L1222,list_vat[Страна],list_vat[Ставка НДС %],0,0)</f>
        <v/>
      </c>
      <c r="N1222" s="162">
        <f>IFERROR(IF(L1222="Китай",K1222,K1222/(1+M1222)),0)</f>
        <v/>
      </c>
      <c r="O1222" s="169" t="n"/>
      <c r="P1222" s="76">
        <f>N1222*(1-O1222)</f>
        <v/>
      </c>
      <c r="Q1222" s="162" t="n"/>
      <c r="R1222" s="162">
        <f>IF(ISBLANK(Q1222),"введи курс",P1222/Q1222)</f>
        <v/>
      </c>
      <c r="S1222" s="196">
        <f>IF(AND(ISNUMBER(E1222),ISNUMBER(Q1222)),E1222*R1222,0)</f>
        <v/>
      </c>
      <c r="T1222" s="192">
        <f>$BC1222*V$11</f>
        <v/>
      </c>
      <c r="U1222" s="76">
        <f>$BC1222*W$11</f>
        <v/>
      </c>
      <c r="V1222" s="193">
        <f>+SUM(T1222:U1222)</f>
        <v/>
      </c>
      <c r="W1222" s="191" t="n"/>
      <c r="X1222" s="170" t="n"/>
      <c r="Y1222" s="76">
        <f>ROUND(IF(offer_incoterms="DDP",X1222*(S1222*(1+AW1222)+T1222),0),2)</f>
        <v/>
      </c>
      <c r="Z1222" s="188" t="n"/>
      <c r="AA1222" s="192">
        <f>IFERROR(AB1222/E1222,0)</f>
        <v/>
      </c>
      <c r="AB1222" s="76">
        <f>ROUND(SUM(S1222,V1222,Y1222:Z1222,BA1222:BB1222),2)</f>
        <v/>
      </c>
      <c r="AC1222" s="797" t="n"/>
      <c r="AD1222" s="192">
        <f t="array" ref="AD1222">IFERROR(ROUND((_xlfn.IFS(offer_sale_type="поставка",AB1222,offer_sale_type="транзит",S1222)*(1+AC1222))/E1222,2),0)</f>
        <v/>
      </c>
      <c r="AE1222" s="76">
        <f>AD1222*E1222</f>
        <v/>
      </c>
      <c r="AF1222" s="193">
        <f t="array" ref="AF1222">IFERROR(ROUND(_xlfn.IFS(offer_sale_type="поставка",AB1222,offer_sale_type="транзит",S1222)*AC1222,2),0)</f>
        <v/>
      </c>
      <c r="AG1222" s="192">
        <f>$BD1222*VLOOKUP($AG$3,$AF$4:$AG$7,2,FALSE)</f>
        <v/>
      </c>
      <c r="AH1222" s="76">
        <f>SUM(AE1222,AG1222,AI1222)*rate_forex_risk</f>
        <v/>
      </c>
      <c r="AI1222" s="193">
        <f>IF(OR(seller_region="TR",offer_sale_type="экспорт"),0,rate_fin_comm)*SUM(AZ1222,AZ1222*AW1222,T1222)</f>
        <v/>
      </c>
      <c r="AJ1222" s="118">
        <f>IFERROR(ROUND(SUM(AB1222,AF1222:AI1222)/E1222,2),0)</f>
        <v/>
      </c>
      <c r="AK1222" s="76">
        <f>AJ1222*E1222</f>
        <v/>
      </c>
      <c r="AL1222" s="174">
        <f>ROUND(IFERROR(AM1222*E1222,0),2)</f>
        <v/>
      </c>
      <c r="AM1222" s="175">
        <f>ROUND(AJ1222*(1+IF(offer_incoterms="DDP",IF((TODAY()+offer_turnaround_time)&gt;=helpsheet!$L$17,rate_vatRU_from_26,rate_vatRu_till_25),0)),2)</f>
        <v/>
      </c>
      <c r="AN1222" s="192">
        <f>AL1222-AK1222</f>
        <v/>
      </c>
      <c r="AO1222" s="76">
        <f>SUM(AY1222,Y1222:Z1222,T1222)*IF(AND(offer_incoterms="DDP",offer_sale_type&lt;&gt;"экспорт"),IF((TODAY()+offer_turnaround_time)&gt;=helpsheet!$L$17,rate_vatRU_from_26,rate_vatRu_till_25),0)</f>
        <v/>
      </c>
      <c r="AP1222" s="193">
        <f>AN1222-AO1222</f>
        <v/>
      </c>
      <c r="AQ1222" s="118">
        <f>IF(offer_sale_type="транзит",SUM(AF1222:AI1222,BA1222,BB1222),0)</f>
        <v/>
      </c>
      <c r="AR1222" s="82">
        <f>HYPERLINK("https://www.alta.ru/tnved/code/")&amp;W1222&amp;"/"</f>
        <v/>
      </c>
      <c r="AS1222" s="157" t="n"/>
      <c r="AT1222" s="162" t="n"/>
      <c r="AU1222" s="76">
        <f>IF(ISBLANK(AT1222),0,AJ1222-AT1222)</f>
        <v/>
      </c>
      <c r="AV1222" s="157" t="n"/>
      <c r="AW1222" s="75">
        <f>_xlfn.IFNA(VLOOKUP(L1222,list_vat[],3,FALSE),0)</f>
        <v/>
      </c>
      <c r="AX1222" s="76">
        <f>IFERROR(ROUND(S1222*(1+AW1222)/E1222,2),0)</f>
        <v/>
      </c>
      <c r="AY1222" s="76">
        <f>E1222*AX1222</f>
        <v/>
      </c>
      <c r="AZ1222" s="192">
        <f>S1222*(1+M1222)</f>
        <v/>
      </c>
      <c r="BA1222" s="76">
        <f>cost_fin_total*$BD1222</f>
        <v/>
      </c>
      <c r="BB1222" s="193">
        <f>credit_sales_interest*BD1222</f>
        <v/>
      </c>
      <c r="BC1222" s="102">
        <f>IFERROR(IF($I$13&gt;0,$I1222/$I$13,$S1222/$S$13),0)</f>
        <v/>
      </c>
      <c r="BD1222" s="102">
        <f>IFERROR($S1222/$S$13,0)</f>
        <v/>
      </c>
      <c r="BE1222" s="413" t="inlineStr">
        <is>
          <t>$</t>
        </is>
      </c>
    </row>
    <row r="1223" ht="12" customFormat="1" customHeight="1" s="65">
      <c r="A1223" s="43" t="n">
        <v>1208</v>
      </c>
      <c r="B1223" s="166" t="n"/>
      <c r="C1223" s="166" t="n"/>
      <c r="D1223" s="166" t="n"/>
      <c r="E1223" s="162" t="n"/>
      <c r="F1223" s="166" t="n"/>
      <c r="G1223" s="162" t="n"/>
      <c r="H1223" s="162" t="n"/>
      <c r="I1223" s="189">
        <f>E1223*G1223</f>
        <v/>
      </c>
      <c r="J1223" s="195" t="n"/>
      <c r="K1223" s="162" t="n"/>
      <c r="L1223" s="168" t="n"/>
      <c r="M1223" s="75">
        <f>_xlfn.XLOOKUP(L1223,list_vat[Страна],list_vat[Ставка НДС %],0,0)</f>
        <v/>
      </c>
      <c r="N1223" s="162">
        <f>IFERROR(IF(L1223="Китай",K1223,K1223/(1+M1223)),0)</f>
        <v/>
      </c>
      <c r="O1223" s="169" t="n"/>
      <c r="P1223" s="76">
        <f>N1223*(1-O1223)</f>
        <v/>
      </c>
      <c r="Q1223" s="162" t="n"/>
      <c r="R1223" s="162">
        <f>IF(ISBLANK(Q1223),"введи курс",P1223/Q1223)</f>
        <v/>
      </c>
      <c r="S1223" s="196">
        <f>IF(AND(ISNUMBER(E1223),ISNUMBER(Q1223)),E1223*R1223,0)</f>
        <v/>
      </c>
      <c r="T1223" s="192">
        <f>$BC1223*V$11</f>
        <v/>
      </c>
      <c r="U1223" s="76">
        <f>$BC1223*W$11</f>
        <v/>
      </c>
      <c r="V1223" s="193">
        <f>+SUM(T1223:U1223)</f>
        <v/>
      </c>
      <c r="W1223" s="191" t="n"/>
      <c r="X1223" s="170" t="n"/>
      <c r="Y1223" s="76">
        <f>ROUND(IF(offer_incoterms="DDP",X1223*(S1223*(1+AW1223)+T1223),0),2)</f>
        <v/>
      </c>
      <c r="Z1223" s="188" t="n"/>
      <c r="AA1223" s="192">
        <f>IFERROR(AB1223/E1223,0)</f>
        <v/>
      </c>
      <c r="AB1223" s="76">
        <f>ROUND(SUM(S1223,V1223,Y1223:Z1223,BA1223:BB1223),2)</f>
        <v/>
      </c>
      <c r="AC1223" s="797" t="n"/>
      <c r="AD1223" s="192">
        <f t="array" ref="AD1223">IFERROR(ROUND((_xlfn.IFS(offer_sale_type="поставка",AB1223,offer_sale_type="транзит",S1223)*(1+AC1223))/E1223,2),0)</f>
        <v/>
      </c>
      <c r="AE1223" s="76">
        <f>AD1223*E1223</f>
        <v/>
      </c>
      <c r="AF1223" s="193">
        <f t="array" ref="AF1223">IFERROR(ROUND(_xlfn.IFS(offer_sale_type="поставка",AB1223,offer_sale_type="транзит",S1223)*AC1223,2),0)</f>
        <v/>
      </c>
      <c r="AG1223" s="192">
        <f>$BD1223*VLOOKUP($AG$3,$AF$4:$AG$7,2,FALSE)</f>
        <v/>
      </c>
      <c r="AH1223" s="76">
        <f>SUM(AE1223,AG1223,AI1223)*rate_forex_risk</f>
        <v/>
      </c>
      <c r="AI1223" s="193">
        <f>IF(OR(seller_region="TR",offer_sale_type="экспорт"),0,rate_fin_comm)*SUM(AZ1223,AZ1223*AW1223,T1223)</f>
        <v/>
      </c>
      <c r="AJ1223" s="118">
        <f>IFERROR(ROUND(SUM(AB1223,AF1223:AI1223)/E1223,2),0)</f>
        <v/>
      </c>
      <c r="AK1223" s="76">
        <f>AJ1223*E1223</f>
        <v/>
      </c>
      <c r="AL1223" s="174">
        <f>ROUND(IFERROR(AM1223*E1223,0),2)</f>
        <v/>
      </c>
      <c r="AM1223" s="175">
        <f>ROUND(AJ1223*(1+IF(offer_incoterms="DDP",IF((TODAY()+offer_turnaround_time)&gt;=helpsheet!$L$17,rate_vatRU_from_26,rate_vatRu_till_25),0)),2)</f>
        <v/>
      </c>
      <c r="AN1223" s="192">
        <f>AL1223-AK1223</f>
        <v/>
      </c>
      <c r="AO1223" s="76">
        <f>SUM(AY1223,Y1223:Z1223,T1223)*IF(AND(offer_incoterms="DDP",offer_sale_type&lt;&gt;"экспорт"),IF((TODAY()+offer_turnaround_time)&gt;=helpsheet!$L$17,rate_vatRU_from_26,rate_vatRu_till_25),0)</f>
        <v/>
      </c>
      <c r="AP1223" s="193">
        <f>AN1223-AO1223</f>
        <v/>
      </c>
      <c r="AQ1223" s="118">
        <f>IF(offer_sale_type="транзит",SUM(AF1223:AI1223,BA1223,BB1223),0)</f>
        <v/>
      </c>
      <c r="AR1223" s="82">
        <f>HYPERLINK("https://www.alta.ru/tnved/code/")&amp;W1223&amp;"/"</f>
        <v/>
      </c>
      <c r="AS1223" s="157" t="n"/>
      <c r="AT1223" s="162" t="n"/>
      <c r="AU1223" s="76">
        <f>IF(ISBLANK(AT1223),0,AJ1223-AT1223)</f>
        <v/>
      </c>
      <c r="AV1223" s="157" t="n"/>
      <c r="AW1223" s="75">
        <f>_xlfn.IFNA(VLOOKUP(L1223,list_vat[],3,FALSE),0)</f>
        <v/>
      </c>
      <c r="AX1223" s="76">
        <f>IFERROR(ROUND(S1223*(1+AW1223)/E1223,2),0)</f>
        <v/>
      </c>
      <c r="AY1223" s="76">
        <f>E1223*AX1223</f>
        <v/>
      </c>
      <c r="AZ1223" s="192">
        <f>S1223*(1+M1223)</f>
        <v/>
      </c>
      <c r="BA1223" s="76">
        <f>cost_fin_total*$BD1223</f>
        <v/>
      </c>
      <c r="BB1223" s="193">
        <f>credit_sales_interest*BD1223</f>
        <v/>
      </c>
      <c r="BC1223" s="102">
        <f>IFERROR(IF($I$13&gt;0,$I1223/$I$13,$S1223/$S$13),0)</f>
        <v/>
      </c>
      <c r="BD1223" s="102">
        <f>IFERROR($S1223/$S$13,0)</f>
        <v/>
      </c>
      <c r="BE1223" s="413" t="inlineStr">
        <is>
          <t>$</t>
        </is>
      </c>
    </row>
    <row r="1224" ht="12" customFormat="1" customHeight="1" s="65">
      <c r="A1224" s="43" t="n">
        <v>1209</v>
      </c>
      <c r="B1224" s="166" t="n"/>
      <c r="C1224" s="166" t="n"/>
      <c r="D1224" s="166" t="n"/>
      <c r="E1224" s="162" t="n"/>
      <c r="F1224" s="166" t="n"/>
      <c r="G1224" s="162" t="n"/>
      <c r="H1224" s="162" t="n"/>
      <c r="I1224" s="189">
        <f>E1224*G1224</f>
        <v/>
      </c>
      <c r="J1224" s="195" t="n"/>
      <c r="K1224" s="162" t="n"/>
      <c r="L1224" s="168" t="n"/>
      <c r="M1224" s="75">
        <f>_xlfn.XLOOKUP(L1224,list_vat[Страна],list_vat[Ставка НДС %],0,0)</f>
        <v/>
      </c>
      <c r="N1224" s="162">
        <f>IFERROR(IF(L1224="Китай",K1224,K1224/(1+M1224)),0)</f>
        <v/>
      </c>
      <c r="O1224" s="169" t="n"/>
      <c r="P1224" s="76">
        <f>N1224*(1-O1224)</f>
        <v/>
      </c>
      <c r="Q1224" s="162" t="n"/>
      <c r="R1224" s="162">
        <f>IF(ISBLANK(Q1224),"введи курс",P1224/Q1224)</f>
        <v/>
      </c>
      <c r="S1224" s="196">
        <f>IF(AND(ISNUMBER(E1224),ISNUMBER(Q1224)),E1224*R1224,0)</f>
        <v/>
      </c>
      <c r="T1224" s="192">
        <f>$BC1224*V$11</f>
        <v/>
      </c>
      <c r="U1224" s="76">
        <f>$BC1224*W$11</f>
        <v/>
      </c>
      <c r="V1224" s="193">
        <f>+SUM(T1224:U1224)</f>
        <v/>
      </c>
      <c r="W1224" s="191" t="n"/>
      <c r="X1224" s="170" t="n"/>
      <c r="Y1224" s="76">
        <f>ROUND(IF(offer_incoterms="DDP",X1224*(S1224*(1+AW1224)+T1224),0),2)</f>
        <v/>
      </c>
      <c r="Z1224" s="188" t="n"/>
      <c r="AA1224" s="192">
        <f>IFERROR(AB1224/E1224,0)</f>
        <v/>
      </c>
      <c r="AB1224" s="76">
        <f>ROUND(SUM(S1224,V1224,Y1224:Z1224,BA1224:BB1224),2)</f>
        <v/>
      </c>
      <c r="AC1224" s="797" t="n"/>
      <c r="AD1224" s="192">
        <f t="array" ref="AD1224">IFERROR(ROUND((_xlfn.IFS(offer_sale_type="поставка",AB1224,offer_sale_type="транзит",S1224)*(1+AC1224))/E1224,2),0)</f>
        <v/>
      </c>
      <c r="AE1224" s="76">
        <f>AD1224*E1224</f>
        <v/>
      </c>
      <c r="AF1224" s="193">
        <f t="array" ref="AF1224">IFERROR(ROUND(_xlfn.IFS(offer_sale_type="поставка",AB1224,offer_sale_type="транзит",S1224)*AC1224,2),0)</f>
        <v/>
      </c>
      <c r="AG1224" s="192">
        <f>$BD1224*VLOOKUP($AG$3,$AF$4:$AG$7,2,FALSE)</f>
        <v/>
      </c>
      <c r="AH1224" s="76">
        <f>SUM(AE1224,AG1224,AI1224)*rate_forex_risk</f>
        <v/>
      </c>
      <c r="AI1224" s="193">
        <f>IF(OR(seller_region="TR",offer_sale_type="экспорт"),0,rate_fin_comm)*SUM(AZ1224,AZ1224*AW1224,T1224)</f>
        <v/>
      </c>
      <c r="AJ1224" s="118">
        <f>IFERROR(ROUND(SUM(AB1224,AF1224:AI1224)/E1224,2),0)</f>
        <v/>
      </c>
      <c r="AK1224" s="76">
        <f>AJ1224*E1224</f>
        <v/>
      </c>
      <c r="AL1224" s="174">
        <f>ROUND(IFERROR(AM1224*E1224,0),2)</f>
        <v/>
      </c>
      <c r="AM1224" s="175">
        <f>ROUND(AJ1224*(1+IF(offer_incoterms="DDP",IF((TODAY()+offer_turnaround_time)&gt;=helpsheet!$L$17,rate_vatRU_from_26,rate_vatRu_till_25),0)),2)</f>
        <v/>
      </c>
      <c r="AN1224" s="192">
        <f>AL1224-AK1224</f>
        <v/>
      </c>
      <c r="AO1224" s="76">
        <f>SUM(AY1224,Y1224:Z1224,T1224)*IF(AND(offer_incoterms="DDP",offer_sale_type&lt;&gt;"экспорт"),IF((TODAY()+offer_turnaround_time)&gt;=helpsheet!$L$17,rate_vatRU_from_26,rate_vatRu_till_25),0)</f>
        <v/>
      </c>
      <c r="AP1224" s="193">
        <f>AN1224-AO1224</f>
        <v/>
      </c>
      <c r="AQ1224" s="118">
        <f>IF(offer_sale_type="транзит",SUM(AF1224:AI1224,BA1224,BB1224),0)</f>
        <v/>
      </c>
      <c r="AR1224" s="82">
        <f>HYPERLINK("https://www.alta.ru/tnved/code/")&amp;W1224&amp;"/"</f>
        <v/>
      </c>
      <c r="AS1224" s="157" t="n"/>
      <c r="AT1224" s="162" t="n"/>
      <c r="AU1224" s="76">
        <f>IF(ISBLANK(AT1224),0,AJ1224-AT1224)</f>
        <v/>
      </c>
      <c r="AV1224" s="157" t="n"/>
      <c r="AW1224" s="75">
        <f>_xlfn.IFNA(VLOOKUP(L1224,list_vat[],3,FALSE),0)</f>
        <v/>
      </c>
      <c r="AX1224" s="76">
        <f>IFERROR(ROUND(S1224*(1+AW1224)/E1224,2),0)</f>
        <v/>
      </c>
      <c r="AY1224" s="76">
        <f>E1224*AX1224</f>
        <v/>
      </c>
      <c r="AZ1224" s="192">
        <f>S1224*(1+M1224)</f>
        <v/>
      </c>
      <c r="BA1224" s="76">
        <f>cost_fin_total*$BD1224</f>
        <v/>
      </c>
      <c r="BB1224" s="193">
        <f>credit_sales_interest*BD1224</f>
        <v/>
      </c>
      <c r="BC1224" s="102">
        <f>IFERROR(IF($I$13&gt;0,$I1224/$I$13,$S1224/$S$13),0)</f>
        <v/>
      </c>
      <c r="BD1224" s="102">
        <f>IFERROR($S1224/$S$13,0)</f>
        <v/>
      </c>
      <c r="BE1224" s="413" t="inlineStr">
        <is>
          <t>$</t>
        </is>
      </c>
    </row>
    <row r="1225" ht="12" customFormat="1" customHeight="1" s="65">
      <c r="A1225" s="43" t="n">
        <v>1210</v>
      </c>
      <c r="B1225" s="166" t="n"/>
      <c r="C1225" s="166" t="n"/>
      <c r="D1225" s="166" t="n"/>
      <c r="E1225" s="162" t="n"/>
      <c r="F1225" s="166" t="n"/>
      <c r="G1225" s="162" t="n"/>
      <c r="H1225" s="162" t="n"/>
      <c r="I1225" s="189">
        <f>E1225*G1225</f>
        <v/>
      </c>
      <c r="J1225" s="195" t="n"/>
      <c r="K1225" s="162" t="n"/>
      <c r="L1225" s="168" t="n"/>
      <c r="M1225" s="75">
        <f>_xlfn.XLOOKUP(L1225,list_vat[Страна],list_vat[Ставка НДС %],0,0)</f>
        <v/>
      </c>
      <c r="N1225" s="162">
        <f>IFERROR(IF(L1225="Китай",K1225,K1225/(1+M1225)),0)</f>
        <v/>
      </c>
      <c r="O1225" s="169" t="n"/>
      <c r="P1225" s="76">
        <f>N1225*(1-O1225)</f>
        <v/>
      </c>
      <c r="Q1225" s="162" t="n"/>
      <c r="R1225" s="162">
        <f>IF(ISBLANK(Q1225),"введи курс",P1225/Q1225)</f>
        <v/>
      </c>
      <c r="S1225" s="196">
        <f>IF(AND(ISNUMBER(E1225),ISNUMBER(Q1225)),E1225*R1225,0)</f>
        <v/>
      </c>
      <c r="T1225" s="192">
        <f>$BC1225*V$11</f>
        <v/>
      </c>
      <c r="U1225" s="76">
        <f>$BC1225*W$11</f>
        <v/>
      </c>
      <c r="V1225" s="193">
        <f>+SUM(T1225:U1225)</f>
        <v/>
      </c>
      <c r="W1225" s="191" t="n"/>
      <c r="X1225" s="170" t="n"/>
      <c r="Y1225" s="76">
        <f>ROUND(IF(offer_incoterms="DDP",X1225*(S1225*(1+AW1225)+T1225),0),2)</f>
        <v/>
      </c>
      <c r="Z1225" s="188" t="n"/>
      <c r="AA1225" s="192">
        <f>IFERROR(AB1225/E1225,0)</f>
        <v/>
      </c>
      <c r="AB1225" s="76">
        <f>ROUND(SUM(S1225,V1225,Y1225:Z1225,BA1225:BB1225),2)</f>
        <v/>
      </c>
      <c r="AC1225" s="797" t="n"/>
      <c r="AD1225" s="192">
        <f t="array" ref="AD1225">IFERROR(ROUND((_xlfn.IFS(offer_sale_type="поставка",AB1225,offer_sale_type="транзит",S1225)*(1+AC1225))/E1225,2),0)</f>
        <v/>
      </c>
      <c r="AE1225" s="76">
        <f>AD1225*E1225</f>
        <v/>
      </c>
      <c r="AF1225" s="193">
        <f t="array" ref="AF1225">IFERROR(ROUND(_xlfn.IFS(offer_sale_type="поставка",AB1225,offer_sale_type="транзит",S1225)*AC1225,2),0)</f>
        <v/>
      </c>
      <c r="AG1225" s="192">
        <f>$BD1225*VLOOKUP($AG$3,$AF$4:$AG$7,2,FALSE)</f>
        <v/>
      </c>
      <c r="AH1225" s="76">
        <f>SUM(AE1225,AG1225,AI1225)*rate_forex_risk</f>
        <v/>
      </c>
      <c r="AI1225" s="193">
        <f>IF(OR(seller_region="TR",offer_sale_type="экспорт"),0,rate_fin_comm)*SUM(AZ1225,AZ1225*AW1225,T1225)</f>
        <v/>
      </c>
      <c r="AJ1225" s="118">
        <f>IFERROR(ROUND(SUM(AB1225,AF1225:AI1225)/E1225,2),0)</f>
        <v/>
      </c>
      <c r="AK1225" s="76">
        <f>AJ1225*E1225</f>
        <v/>
      </c>
      <c r="AL1225" s="174">
        <f>ROUND(IFERROR(AM1225*E1225,0),2)</f>
        <v/>
      </c>
      <c r="AM1225" s="175">
        <f>ROUND(AJ1225*(1+IF(offer_incoterms="DDP",IF((TODAY()+offer_turnaround_time)&gt;=helpsheet!$L$17,rate_vatRU_from_26,rate_vatRu_till_25),0)),2)</f>
        <v/>
      </c>
      <c r="AN1225" s="192">
        <f>AL1225-AK1225</f>
        <v/>
      </c>
      <c r="AO1225" s="76">
        <f>SUM(AY1225,Y1225:Z1225,T1225)*IF(AND(offer_incoterms="DDP",offer_sale_type&lt;&gt;"экспорт"),IF((TODAY()+offer_turnaround_time)&gt;=helpsheet!$L$17,rate_vatRU_from_26,rate_vatRu_till_25),0)</f>
        <v/>
      </c>
      <c r="AP1225" s="193">
        <f>AN1225-AO1225</f>
        <v/>
      </c>
      <c r="AQ1225" s="118">
        <f>IF(offer_sale_type="транзит",SUM(AF1225:AI1225,BA1225,BB1225),0)</f>
        <v/>
      </c>
      <c r="AR1225" s="82">
        <f>HYPERLINK("https://www.alta.ru/tnved/code/")&amp;W1225&amp;"/"</f>
        <v/>
      </c>
      <c r="AS1225" s="157" t="n"/>
      <c r="AT1225" s="162" t="n"/>
      <c r="AU1225" s="76">
        <f>IF(ISBLANK(AT1225),0,AJ1225-AT1225)</f>
        <v/>
      </c>
      <c r="AV1225" s="157" t="n"/>
      <c r="AW1225" s="75">
        <f>_xlfn.IFNA(VLOOKUP(L1225,list_vat[],3,FALSE),0)</f>
        <v/>
      </c>
      <c r="AX1225" s="76">
        <f>IFERROR(ROUND(S1225*(1+AW1225)/E1225,2),0)</f>
        <v/>
      </c>
      <c r="AY1225" s="76">
        <f>E1225*AX1225</f>
        <v/>
      </c>
      <c r="AZ1225" s="192">
        <f>S1225*(1+M1225)</f>
        <v/>
      </c>
      <c r="BA1225" s="76">
        <f>cost_fin_total*$BD1225</f>
        <v/>
      </c>
      <c r="BB1225" s="193">
        <f>credit_sales_interest*BD1225</f>
        <v/>
      </c>
      <c r="BC1225" s="102">
        <f>IFERROR(IF($I$13&gt;0,$I1225/$I$13,$S1225/$S$13),0)</f>
        <v/>
      </c>
      <c r="BD1225" s="102">
        <f>IFERROR($S1225/$S$13,0)</f>
        <v/>
      </c>
      <c r="BE1225" s="413" t="inlineStr">
        <is>
          <t>$</t>
        </is>
      </c>
    </row>
    <row r="1226" ht="12" customFormat="1" customHeight="1" s="65">
      <c r="A1226" s="43" t="n">
        <v>1211</v>
      </c>
      <c r="B1226" s="166" t="n"/>
      <c r="C1226" s="166" t="n"/>
      <c r="D1226" s="166" t="n"/>
      <c r="E1226" s="162" t="n"/>
      <c r="F1226" s="166" t="n"/>
      <c r="G1226" s="162" t="n"/>
      <c r="H1226" s="162" t="n"/>
      <c r="I1226" s="189">
        <f>E1226*G1226</f>
        <v/>
      </c>
      <c r="J1226" s="195" t="n"/>
      <c r="K1226" s="162" t="n"/>
      <c r="L1226" s="168" t="n"/>
      <c r="M1226" s="75">
        <f>_xlfn.XLOOKUP(L1226,list_vat[Страна],list_vat[Ставка НДС %],0,0)</f>
        <v/>
      </c>
      <c r="N1226" s="162">
        <f>IFERROR(IF(L1226="Китай",K1226,K1226/(1+M1226)),0)</f>
        <v/>
      </c>
      <c r="O1226" s="169" t="n"/>
      <c r="P1226" s="76">
        <f>N1226*(1-O1226)</f>
        <v/>
      </c>
      <c r="Q1226" s="162" t="n"/>
      <c r="R1226" s="162">
        <f>IF(ISBLANK(Q1226),"введи курс",P1226/Q1226)</f>
        <v/>
      </c>
      <c r="S1226" s="196">
        <f>IF(AND(ISNUMBER(E1226),ISNUMBER(Q1226)),E1226*R1226,0)</f>
        <v/>
      </c>
      <c r="T1226" s="192">
        <f>$BC1226*V$11</f>
        <v/>
      </c>
      <c r="U1226" s="76">
        <f>$BC1226*W$11</f>
        <v/>
      </c>
      <c r="V1226" s="193">
        <f>+SUM(T1226:U1226)</f>
        <v/>
      </c>
      <c r="W1226" s="191" t="n"/>
      <c r="X1226" s="170" t="n"/>
      <c r="Y1226" s="76">
        <f>ROUND(IF(offer_incoterms="DDP",X1226*(S1226*(1+AW1226)+T1226),0),2)</f>
        <v/>
      </c>
      <c r="Z1226" s="188" t="n"/>
      <c r="AA1226" s="192">
        <f>IFERROR(AB1226/E1226,0)</f>
        <v/>
      </c>
      <c r="AB1226" s="76">
        <f>ROUND(SUM(S1226,V1226,Y1226:Z1226,BA1226:BB1226),2)</f>
        <v/>
      </c>
      <c r="AC1226" s="797" t="n"/>
      <c r="AD1226" s="192">
        <f t="array" ref="AD1226">IFERROR(ROUND((_xlfn.IFS(offer_sale_type="поставка",AB1226,offer_sale_type="транзит",S1226)*(1+AC1226))/E1226,2),0)</f>
        <v/>
      </c>
      <c r="AE1226" s="76">
        <f>AD1226*E1226</f>
        <v/>
      </c>
      <c r="AF1226" s="193">
        <f t="array" ref="AF1226">IFERROR(ROUND(_xlfn.IFS(offer_sale_type="поставка",AB1226,offer_sale_type="транзит",S1226)*AC1226,2),0)</f>
        <v/>
      </c>
      <c r="AG1226" s="192">
        <f>$BD1226*VLOOKUP($AG$3,$AF$4:$AG$7,2,FALSE)</f>
        <v/>
      </c>
      <c r="AH1226" s="76">
        <f>SUM(AE1226,AG1226,AI1226)*rate_forex_risk</f>
        <v/>
      </c>
      <c r="AI1226" s="193">
        <f>IF(OR(seller_region="TR",offer_sale_type="экспорт"),0,rate_fin_comm)*SUM(AZ1226,AZ1226*AW1226,T1226)</f>
        <v/>
      </c>
      <c r="AJ1226" s="118">
        <f>IFERROR(ROUND(SUM(AB1226,AF1226:AI1226)/E1226,2),0)</f>
        <v/>
      </c>
      <c r="AK1226" s="76">
        <f>AJ1226*E1226</f>
        <v/>
      </c>
      <c r="AL1226" s="174">
        <f>ROUND(IFERROR(AM1226*E1226,0),2)</f>
        <v/>
      </c>
      <c r="AM1226" s="175">
        <f>ROUND(AJ1226*(1+IF(offer_incoterms="DDP",IF((TODAY()+offer_turnaround_time)&gt;=helpsheet!$L$17,rate_vatRU_from_26,rate_vatRu_till_25),0)),2)</f>
        <v/>
      </c>
      <c r="AN1226" s="192">
        <f>AL1226-AK1226</f>
        <v/>
      </c>
      <c r="AO1226" s="76">
        <f>SUM(AY1226,Y1226:Z1226,T1226)*IF(AND(offer_incoterms="DDP",offer_sale_type&lt;&gt;"экспорт"),IF((TODAY()+offer_turnaround_time)&gt;=helpsheet!$L$17,rate_vatRU_from_26,rate_vatRu_till_25),0)</f>
        <v/>
      </c>
      <c r="AP1226" s="193">
        <f>AN1226-AO1226</f>
        <v/>
      </c>
      <c r="AQ1226" s="118">
        <f>IF(offer_sale_type="транзит",SUM(AF1226:AI1226,BA1226,BB1226),0)</f>
        <v/>
      </c>
      <c r="AR1226" s="82">
        <f>HYPERLINK("https://www.alta.ru/tnved/code/")&amp;W1226&amp;"/"</f>
        <v/>
      </c>
      <c r="AS1226" s="157" t="n"/>
      <c r="AT1226" s="162" t="n"/>
      <c r="AU1226" s="76">
        <f>IF(ISBLANK(AT1226),0,AJ1226-AT1226)</f>
        <v/>
      </c>
      <c r="AV1226" s="157" t="n"/>
      <c r="AW1226" s="75">
        <f>_xlfn.IFNA(VLOOKUP(L1226,list_vat[],3,FALSE),0)</f>
        <v/>
      </c>
      <c r="AX1226" s="76">
        <f>IFERROR(ROUND(S1226*(1+AW1226)/E1226,2),0)</f>
        <v/>
      </c>
      <c r="AY1226" s="76">
        <f>E1226*AX1226</f>
        <v/>
      </c>
      <c r="AZ1226" s="192">
        <f>S1226*(1+M1226)</f>
        <v/>
      </c>
      <c r="BA1226" s="76">
        <f>cost_fin_total*$BD1226</f>
        <v/>
      </c>
      <c r="BB1226" s="193">
        <f>credit_sales_interest*BD1226</f>
        <v/>
      </c>
      <c r="BC1226" s="102">
        <f>IFERROR(IF($I$13&gt;0,$I1226/$I$13,$S1226/$S$13),0)</f>
        <v/>
      </c>
      <c r="BD1226" s="102">
        <f>IFERROR($S1226/$S$13,0)</f>
        <v/>
      </c>
      <c r="BE1226" s="413" t="inlineStr">
        <is>
          <t>$</t>
        </is>
      </c>
    </row>
    <row r="1227" ht="12" customFormat="1" customHeight="1" s="65">
      <c r="A1227" s="43" t="n">
        <v>1212</v>
      </c>
      <c r="B1227" s="166" t="n"/>
      <c r="C1227" s="166" t="n"/>
      <c r="D1227" s="166" t="n"/>
      <c r="E1227" s="162" t="n"/>
      <c r="F1227" s="166" t="n"/>
      <c r="G1227" s="162" t="n"/>
      <c r="H1227" s="162" t="n"/>
      <c r="I1227" s="189">
        <f>E1227*G1227</f>
        <v/>
      </c>
      <c r="J1227" s="195" t="n"/>
      <c r="K1227" s="162" t="n"/>
      <c r="L1227" s="168" t="n"/>
      <c r="M1227" s="75">
        <f>_xlfn.XLOOKUP(L1227,list_vat[Страна],list_vat[Ставка НДС %],0,0)</f>
        <v/>
      </c>
      <c r="N1227" s="162">
        <f>IFERROR(IF(L1227="Китай",K1227,K1227/(1+M1227)),0)</f>
        <v/>
      </c>
      <c r="O1227" s="169" t="n"/>
      <c r="P1227" s="76">
        <f>N1227*(1-O1227)</f>
        <v/>
      </c>
      <c r="Q1227" s="162" t="n"/>
      <c r="R1227" s="162">
        <f>IF(ISBLANK(Q1227),"введи курс",P1227/Q1227)</f>
        <v/>
      </c>
      <c r="S1227" s="196">
        <f>IF(AND(ISNUMBER(E1227),ISNUMBER(Q1227)),E1227*R1227,0)</f>
        <v/>
      </c>
      <c r="T1227" s="192">
        <f>$BC1227*V$11</f>
        <v/>
      </c>
      <c r="U1227" s="76">
        <f>$BC1227*W$11</f>
        <v/>
      </c>
      <c r="V1227" s="193">
        <f>+SUM(T1227:U1227)</f>
        <v/>
      </c>
      <c r="W1227" s="191" t="n"/>
      <c r="X1227" s="170" t="n"/>
      <c r="Y1227" s="76">
        <f>ROUND(IF(offer_incoterms="DDP",X1227*(S1227*(1+AW1227)+T1227),0),2)</f>
        <v/>
      </c>
      <c r="Z1227" s="188" t="n"/>
      <c r="AA1227" s="192">
        <f>IFERROR(AB1227/E1227,0)</f>
        <v/>
      </c>
      <c r="AB1227" s="76">
        <f>ROUND(SUM(S1227,V1227,Y1227:Z1227,BA1227:BB1227),2)</f>
        <v/>
      </c>
      <c r="AC1227" s="797" t="n"/>
      <c r="AD1227" s="192">
        <f t="array" ref="AD1227">IFERROR(ROUND((_xlfn.IFS(offer_sale_type="поставка",AB1227,offer_sale_type="транзит",S1227)*(1+AC1227))/E1227,2),0)</f>
        <v/>
      </c>
      <c r="AE1227" s="76">
        <f>AD1227*E1227</f>
        <v/>
      </c>
      <c r="AF1227" s="193">
        <f t="array" ref="AF1227">IFERROR(ROUND(_xlfn.IFS(offer_sale_type="поставка",AB1227,offer_sale_type="транзит",S1227)*AC1227,2),0)</f>
        <v/>
      </c>
      <c r="AG1227" s="192">
        <f>$BD1227*VLOOKUP($AG$3,$AF$4:$AG$7,2,FALSE)</f>
        <v/>
      </c>
      <c r="AH1227" s="76">
        <f>SUM(AE1227,AG1227,AI1227)*rate_forex_risk</f>
        <v/>
      </c>
      <c r="AI1227" s="193">
        <f>IF(OR(seller_region="TR",offer_sale_type="экспорт"),0,rate_fin_comm)*SUM(AZ1227,AZ1227*AW1227,T1227)</f>
        <v/>
      </c>
      <c r="AJ1227" s="118">
        <f>IFERROR(ROUND(SUM(AB1227,AF1227:AI1227)/E1227,2),0)</f>
        <v/>
      </c>
      <c r="AK1227" s="76">
        <f>AJ1227*E1227</f>
        <v/>
      </c>
      <c r="AL1227" s="174">
        <f>ROUND(IFERROR(AM1227*E1227,0),2)</f>
        <v/>
      </c>
      <c r="AM1227" s="175">
        <f>ROUND(AJ1227*(1+IF(offer_incoterms="DDP",IF((TODAY()+offer_turnaround_time)&gt;=helpsheet!$L$17,rate_vatRU_from_26,rate_vatRu_till_25),0)),2)</f>
        <v/>
      </c>
      <c r="AN1227" s="192">
        <f>AL1227-AK1227</f>
        <v/>
      </c>
      <c r="AO1227" s="76">
        <f>SUM(AY1227,Y1227:Z1227,T1227)*IF(AND(offer_incoterms="DDP",offer_sale_type&lt;&gt;"экспорт"),IF((TODAY()+offer_turnaround_time)&gt;=helpsheet!$L$17,rate_vatRU_from_26,rate_vatRu_till_25),0)</f>
        <v/>
      </c>
      <c r="AP1227" s="193">
        <f>AN1227-AO1227</f>
        <v/>
      </c>
      <c r="AQ1227" s="118">
        <f>IF(offer_sale_type="транзит",SUM(AF1227:AI1227,BA1227,BB1227),0)</f>
        <v/>
      </c>
      <c r="AR1227" s="82">
        <f>HYPERLINK("https://www.alta.ru/tnved/code/")&amp;W1227&amp;"/"</f>
        <v/>
      </c>
      <c r="AS1227" s="157" t="n"/>
      <c r="AT1227" s="162" t="n"/>
      <c r="AU1227" s="76">
        <f>IF(ISBLANK(AT1227),0,AJ1227-AT1227)</f>
        <v/>
      </c>
      <c r="AV1227" s="157" t="n"/>
      <c r="AW1227" s="75">
        <f>_xlfn.IFNA(VLOOKUP(L1227,list_vat[],3,FALSE),0)</f>
        <v/>
      </c>
      <c r="AX1227" s="76">
        <f>IFERROR(ROUND(S1227*(1+AW1227)/E1227,2),0)</f>
        <v/>
      </c>
      <c r="AY1227" s="76">
        <f>E1227*AX1227</f>
        <v/>
      </c>
      <c r="AZ1227" s="192">
        <f>S1227*(1+M1227)</f>
        <v/>
      </c>
      <c r="BA1227" s="76">
        <f>cost_fin_total*$BD1227</f>
        <v/>
      </c>
      <c r="BB1227" s="193">
        <f>credit_sales_interest*BD1227</f>
        <v/>
      </c>
      <c r="BC1227" s="102">
        <f>IFERROR(IF($I$13&gt;0,$I1227/$I$13,$S1227/$S$13),0)</f>
        <v/>
      </c>
      <c r="BD1227" s="102">
        <f>IFERROR($S1227/$S$13,0)</f>
        <v/>
      </c>
      <c r="BE1227" s="413" t="inlineStr">
        <is>
          <t>$</t>
        </is>
      </c>
    </row>
    <row r="1228" ht="12" customFormat="1" customHeight="1" s="65">
      <c r="A1228" s="43" t="n">
        <v>1213</v>
      </c>
      <c r="B1228" s="166" t="n"/>
      <c r="C1228" s="166" t="n"/>
      <c r="D1228" s="166" t="n"/>
      <c r="E1228" s="162" t="n"/>
      <c r="F1228" s="166" t="n"/>
      <c r="G1228" s="162" t="n"/>
      <c r="H1228" s="162" t="n"/>
      <c r="I1228" s="189">
        <f>E1228*G1228</f>
        <v/>
      </c>
      <c r="J1228" s="195" t="n"/>
      <c r="K1228" s="162" t="n"/>
      <c r="L1228" s="168" t="n"/>
      <c r="M1228" s="75">
        <f>_xlfn.XLOOKUP(L1228,list_vat[Страна],list_vat[Ставка НДС %],0,0)</f>
        <v/>
      </c>
      <c r="N1228" s="162">
        <f>IFERROR(IF(L1228="Китай",K1228,K1228/(1+M1228)),0)</f>
        <v/>
      </c>
      <c r="O1228" s="169" t="n"/>
      <c r="P1228" s="76">
        <f>N1228*(1-O1228)</f>
        <v/>
      </c>
      <c r="Q1228" s="162" t="n"/>
      <c r="R1228" s="162">
        <f>IF(ISBLANK(Q1228),"введи курс",P1228/Q1228)</f>
        <v/>
      </c>
      <c r="S1228" s="196">
        <f>IF(AND(ISNUMBER(E1228),ISNUMBER(Q1228)),E1228*R1228,0)</f>
        <v/>
      </c>
      <c r="T1228" s="192">
        <f>$BC1228*V$11</f>
        <v/>
      </c>
      <c r="U1228" s="76">
        <f>$BC1228*W$11</f>
        <v/>
      </c>
      <c r="V1228" s="193">
        <f>+SUM(T1228:U1228)</f>
        <v/>
      </c>
      <c r="W1228" s="191" t="n"/>
      <c r="X1228" s="170" t="n"/>
      <c r="Y1228" s="76">
        <f>ROUND(IF(offer_incoterms="DDP",X1228*(S1228*(1+AW1228)+T1228),0),2)</f>
        <v/>
      </c>
      <c r="Z1228" s="188" t="n"/>
      <c r="AA1228" s="192">
        <f>IFERROR(AB1228/E1228,0)</f>
        <v/>
      </c>
      <c r="AB1228" s="76">
        <f>ROUND(SUM(S1228,V1228,Y1228:Z1228,BA1228:BB1228),2)</f>
        <v/>
      </c>
      <c r="AC1228" s="797" t="n"/>
      <c r="AD1228" s="192">
        <f t="array" ref="AD1228">IFERROR(ROUND((_xlfn.IFS(offer_sale_type="поставка",AB1228,offer_sale_type="транзит",S1228)*(1+AC1228))/E1228,2),0)</f>
        <v/>
      </c>
      <c r="AE1228" s="76">
        <f>AD1228*E1228</f>
        <v/>
      </c>
      <c r="AF1228" s="193">
        <f t="array" ref="AF1228">IFERROR(ROUND(_xlfn.IFS(offer_sale_type="поставка",AB1228,offer_sale_type="транзит",S1228)*AC1228,2),0)</f>
        <v/>
      </c>
      <c r="AG1228" s="192">
        <f>$BD1228*VLOOKUP($AG$3,$AF$4:$AG$7,2,FALSE)</f>
        <v/>
      </c>
      <c r="AH1228" s="76">
        <f>SUM(AE1228,AG1228,AI1228)*rate_forex_risk</f>
        <v/>
      </c>
      <c r="AI1228" s="193">
        <f>IF(OR(seller_region="TR",offer_sale_type="экспорт"),0,rate_fin_comm)*SUM(AZ1228,AZ1228*AW1228,T1228)</f>
        <v/>
      </c>
      <c r="AJ1228" s="118">
        <f>IFERROR(ROUND(SUM(AB1228,AF1228:AI1228)/E1228,2),0)</f>
        <v/>
      </c>
      <c r="AK1228" s="76">
        <f>AJ1228*E1228</f>
        <v/>
      </c>
      <c r="AL1228" s="174">
        <f>ROUND(IFERROR(AM1228*E1228,0),2)</f>
        <v/>
      </c>
      <c r="AM1228" s="175">
        <f>ROUND(AJ1228*(1+IF(offer_incoterms="DDP",IF((TODAY()+offer_turnaround_time)&gt;=helpsheet!$L$17,rate_vatRU_from_26,rate_vatRu_till_25),0)),2)</f>
        <v/>
      </c>
      <c r="AN1228" s="192">
        <f>AL1228-AK1228</f>
        <v/>
      </c>
      <c r="AO1228" s="76">
        <f>SUM(AY1228,Y1228:Z1228,T1228)*IF(AND(offer_incoterms="DDP",offer_sale_type&lt;&gt;"экспорт"),IF((TODAY()+offer_turnaround_time)&gt;=helpsheet!$L$17,rate_vatRU_from_26,rate_vatRu_till_25),0)</f>
        <v/>
      </c>
      <c r="AP1228" s="193">
        <f>AN1228-AO1228</f>
        <v/>
      </c>
      <c r="AQ1228" s="118">
        <f>IF(offer_sale_type="транзит",SUM(AF1228:AI1228,BA1228,BB1228),0)</f>
        <v/>
      </c>
      <c r="AR1228" s="82">
        <f>HYPERLINK("https://www.alta.ru/tnved/code/")&amp;W1228&amp;"/"</f>
        <v/>
      </c>
      <c r="AS1228" s="157" t="n"/>
      <c r="AT1228" s="162" t="n"/>
      <c r="AU1228" s="76">
        <f>IF(ISBLANK(AT1228),0,AJ1228-AT1228)</f>
        <v/>
      </c>
      <c r="AV1228" s="157" t="n"/>
      <c r="AW1228" s="75">
        <f>_xlfn.IFNA(VLOOKUP(L1228,list_vat[],3,FALSE),0)</f>
        <v/>
      </c>
      <c r="AX1228" s="76">
        <f>IFERROR(ROUND(S1228*(1+AW1228)/E1228,2),0)</f>
        <v/>
      </c>
      <c r="AY1228" s="76">
        <f>E1228*AX1228</f>
        <v/>
      </c>
      <c r="AZ1228" s="192">
        <f>S1228*(1+M1228)</f>
        <v/>
      </c>
      <c r="BA1228" s="76">
        <f>cost_fin_total*$BD1228</f>
        <v/>
      </c>
      <c r="BB1228" s="193">
        <f>credit_sales_interest*BD1228</f>
        <v/>
      </c>
      <c r="BC1228" s="102">
        <f>IFERROR(IF($I$13&gt;0,$I1228/$I$13,$S1228/$S$13),0)</f>
        <v/>
      </c>
      <c r="BD1228" s="102">
        <f>IFERROR($S1228/$S$13,0)</f>
        <v/>
      </c>
      <c r="BE1228" s="413" t="inlineStr">
        <is>
          <t>$</t>
        </is>
      </c>
    </row>
    <row r="1229" ht="12" customFormat="1" customHeight="1" s="65">
      <c r="A1229" s="43" t="n">
        <v>1214</v>
      </c>
      <c r="B1229" s="166" t="n"/>
      <c r="C1229" s="166" t="n"/>
      <c r="D1229" s="166" t="n"/>
      <c r="E1229" s="162" t="n"/>
      <c r="F1229" s="166" t="n"/>
      <c r="G1229" s="162" t="n"/>
      <c r="H1229" s="162" t="n"/>
      <c r="I1229" s="189">
        <f>E1229*G1229</f>
        <v/>
      </c>
      <c r="J1229" s="195" t="n"/>
      <c r="K1229" s="162" t="n"/>
      <c r="L1229" s="168" t="n"/>
      <c r="M1229" s="75">
        <f>_xlfn.XLOOKUP(L1229,list_vat[Страна],list_vat[Ставка НДС %],0,0)</f>
        <v/>
      </c>
      <c r="N1229" s="162">
        <f>IFERROR(IF(L1229="Китай",K1229,K1229/(1+M1229)),0)</f>
        <v/>
      </c>
      <c r="O1229" s="169" t="n"/>
      <c r="P1229" s="76">
        <f>N1229*(1-O1229)</f>
        <v/>
      </c>
      <c r="Q1229" s="162" t="n"/>
      <c r="R1229" s="162">
        <f>IF(ISBLANK(Q1229),"введи курс",P1229/Q1229)</f>
        <v/>
      </c>
      <c r="S1229" s="196">
        <f>IF(AND(ISNUMBER(E1229),ISNUMBER(Q1229)),E1229*R1229,0)</f>
        <v/>
      </c>
      <c r="T1229" s="192">
        <f>$BC1229*V$11</f>
        <v/>
      </c>
      <c r="U1229" s="76">
        <f>$BC1229*W$11</f>
        <v/>
      </c>
      <c r="V1229" s="193">
        <f>+SUM(T1229:U1229)</f>
        <v/>
      </c>
      <c r="W1229" s="191" t="n"/>
      <c r="X1229" s="170" t="n"/>
      <c r="Y1229" s="76">
        <f>ROUND(IF(offer_incoterms="DDP",X1229*(S1229*(1+AW1229)+T1229),0),2)</f>
        <v/>
      </c>
      <c r="Z1229" s="188" t="n"/>
      <c r="AA1229" s="192">
        <f>IFERROR(AB1229/E1229,0)</f>
        <v/>
      </c>
      <c r="AB1229" s="76">
        <f>ROUND(SUM(S1229,V1229,Y1229:Z1229,BA1229:BB1229),2)</f>
        <v/>
      </c>
      <c r="AC1229" s="797" t="n"/>
      <c r="AD1229" s="192">
        <f t="array" ref="AD1229">IFERROR(ROUND((_xlfn.IFS(offer_sale_type="поставка",AB1229,offer_sale_type="транзит",S1229)*(1+AC1229))/E1229,2),0)</f>
        <v/>
      </c>
      <c r="AE1229" s="76">
        <f>AD1229*E1229</f>
        <v/>
      </c>
      <c r="AF1229" s="193">
        <f t="array" ref="AF1229">IFERROR(ROUND(_xlfn.IFS(offer_sale_type="поставка",AB1229,offer_sale_type="транзит",S1229)*AC1229,2),0)</f>
        <v/>
      </c>
      <c r="AG1229" s="192">
        <f>$BD1229*VLOOKUP($AG$3,$AF$4:$AG$7,2,FALSE)</f>
        <v/>
      </c>
      <c r="AH1229" s="76">
        <f>SUM(AE1229,AG1229,AI1229)*rate_forex_risk</f>
        <v/>
      </c>
      <c r="AI1229" s="193">
        <f>IF(OR(seller_region="TR",offer_sale_type="экспорт"),0,rate_fin_comm)*SUM(AZ1229,AZ1229*AW1229,T1229)</f>
        <v/>
      </c>
      <c r="AJ1229" s="118">
        <f>IFERROR(ROUND(SUM(AB1229,AF1229:AI1229)/E1229,2),0)</f>
        <v/>
      </c>
      <c r="AK1229" s="76">
        <f>AJ1229*E1229</f>
        <v/>
      </c>
      <c r="AL1229" s="174">
        <f>ROUND(IFERROR(AM1229*E1229,0),2)</f>
        <v/>
      </c>
      <c r="AM1229" s="175">
        <f>ROUND(AJ1229*(1+IF(offer_incoterms="DDP",IF((TODAY()+offer_turnaround_time)&gt;=helpsheet!$L$17,rate_vatRU_from_26,rate_vatRu_till_25),0)),2)</f>
        <v/>
      </c>
      <c r="AN1229" s="192">
        <f>AL1229-AK1229</f>
        <v/>
      </c>
      <c r="AO1229" s="76">
        <f>SUM(AY1229,Y1229:Z1229,T1229)*IF(AND(offer_incoterms="DDP",offer_sale_type&lt;&gt;"экспорт"),IF((TODAY()+offer_turnaround_time)&gt;=helpsheet!$L$17,rate_vatRU_from_26,rate_vatRu_till_25),0)</f>
        <v/>
      </c>
      <c r="AP1229" s="193">
        <f>AN1229-AO1229</f>
        <v/>
      </c>
      <c r="AQ1229" s="118">
        <f>IF(offer_sale_type="транзит",SUM(AF1229:AI1229,BA1229,BB1229),0)</f>
        <v/>
      </c>
      <c r="AR1229" s="82">
        <f>HYPERLINK("https://www.alta.ru/tnved/code/")&amp;W1229&amp;"/"</f>
        <v/>
      </c>
      <c r="AS1229" s="157" t="n"/>
      <c r="AT1229" s="162" t="n"/>
      <c r="AU1229" s="76">
        <f>IF(ISBLANK(AT1229),0,AJ1229-AT1229)</f>
        <v/>
      </c>
      <c r="AV1229" s="157" t="n"/>
      <c r="AW1229" s="75">
        <f>_xlfn.IFNA(VLOOKUP(L1229,list_vat[],3,FALSE),0)</f>
        <v/>
      </c>
      <c r="AX1229" s="76">
        <f>IFERROR(ROUND(S1229*(1+AW1229)/E1229,2),0)</f>
        <v/>
      </c>
      <c r="AY1229" s="76">
        <f>E1229*AX1229</f>
        <v/>
      </c>
      <c r="AZ1229" s="192">
        <f>S1229*(1+M1229)</f>
        <v/>
      </c>
      <c r="BA1229" s="76">
        <f>cost_fin_total*$BD1229</f>
        <v/>
      </c>
      <c r="BB1229" s="193">
        <f>credit_sales_interest*BD1229</f>
        <v/>
      </c>
      <c r="BC1229" s="102">
        <f>IFERROR(IF($I$13&gt;0,$I1229/$I$13,$S1229/$S$13),0)</f>
        <v/>
      </c>
      <c r="BD1229" s="102">
        <f>IFERROR($S1229/$S$13,0)</f>
        <v/>
      </c>
      <c r="BE1229" s="413" t="inlineStr">
        <is>
          <t>$</t>
        </is>
      </c>
    </row>
    <row r="1230" ht="12" customFormat="1" customHeight="1" s="65">
      <c r="A1230" s="43" t="n">
        <v>1215</v>
      </c>
      <c r="B1230" s="166" t="n"/>
      <c r="C1230" s="166" t="n"/>
      <c r="D1230" s="166" t="n"/>
      <c r="E1230" s="162" t="n"/>
      <c r="F1230" s="166" t="n"/>
      <c r="G1230" s="162" t="n"/>
      <c r="H1230" s="162" t="n"/>
      <c r="I1230" s="189">
        <f>E1230*G1230</f>
        <v/>
      </c>
      <c r="J1230" s="195" t="n"/>
      <c r="K1230" s="162" t="n"/>
      <c r="L1230" s="168" t="n"/>
      <c r="M1230" s="75">
        <f>_xlfn.XLOOKUP(L1230,list_vat[Страна],list_vat[Ставка НДС %],0,0)</f>
        <v/>
      </c>
      <c r="N1230" s="162">
        <f>IFERROR(IF(L1230="Китай",K1230,K1230/(1+M1230)),0)</f>
        <v/>
      </c>
      <c r="O1230" s="169" t="n"/>
      <c r="P1230" s="76">
        <f>N1230*(1-O1230)</f>
        <v/>
      </c>
      <c r="Q1230" s="162" t="n"/>
      <c r="R1230" s="162">
        <f>IF(ISBLANK(Q1230),"введи курс",P1230/Q1230)</f>
        <v/>
      </c>
      <c r="S1230" s="196">
        <f>IF(AND(ISNUMBER(E1230),ISNUMBER(Q1230)),E1230*R1230,0)</f>
        <v/>
      </c>
      <c r="T1230" s="192">
        <f>$BC1230*V$11</f>
        <v/>
      </c>
      <c r="U1230" s="76">
        <f>$BC1230*W$11</f>
        <v/>
      </c>
      <c r="V1230" s="193">
        <f>+SUM(T1230:U1230)</f>
        <v/>
      </c>
      <c r="W1230" s="191" t="n"/>
      <c r="X1230" s="170" t="n"/>
      <c r="Y1230" s="76">
        <f>ROUND(IF(offer_incoterms="DDP",X1230*(S1230*(1+AW1230)+T1230),0),2)</f>
        <v/>
      </c>
      <c r="Z1230" s="188" t="n"/>
      <c r="AA1230" s="192">
        <f>IFERROR(AB1230/E1230,0)</f>
        <v/>
      </c>
      <c r="AB1230" s="76">
        <f>ROUND(SUM(S1230,V1230,Y1230:Z1230,BA1230:BB1230),2)</f>
        <v/>
      </c>
      <c r="AC1230" s="797" t="n"/>
      <c r="AD1230" s="192">
        <f t="array" ref="AD1230">IFERROR(ROUND((_xlfn.IFS(offer_sale_type="поставка",AB1230,offer_sale_type="транзит",S1230)*(1+AC1230))/E1230,2),0)</f>
        <v/>
      </c>
      <c r="AE1230" s="76">
        <f>AD1230*E1230</f>
        <v/>
      </c>
      <c r="AF1230" s="193">
        <f t="array" ref="AF1230">IFERROR(ROUND(_xlfn.IFS(offer_sale_type="поставка",AB1230,offer_sale_type="транзит",S1230)*AC1230,2),0)</f>
        <v/>
      </c>
      <c r="AG1230" s="192">
        <f>$BD1230*VLOOKUP($AG$3,$AF$4:$AG$7,2,FALSE)</f>
        <v/>
      </c>
      <c r="AH1230" s="76">
        <f>SUM(AE1230,AG1230,AI1230)*rate_forex_risk</f>
        <v/>
      </c>
      <c r="AI1230" s="193">
        <f>IF(OR(seller_region="TR",offer_sale_type="экспорт"),0,rate_fin_comm)*SUM(AZ1230,AZ1230*AW1230,T1230)</f>
        <v/>
      </c>
      <c r="AJ1230" s="118">
        <f>IFERROR(ROUND(SUM(AB1230,AF1230:AI1230)/E1230,2),0)</f>
        <v/>
      </c>
      <c r="AK1230" s="76">
        <f>AJ1230*E1230</f>
        <v/>
      </c>
      <c r="AL1230" s="174">
        <f>ROUND(IFERROR(AM1230*E1230,0),2)</f>
        <v/>
      </c>
      <c r="AM1230" s="175">
        <f>ROUND(AJ1230*(1+IF(offer_incoterms="DDP",IF((TODAY()+offer_turnaround_time)&gt;=helpsheet!$L$17,rate_vatRU_from_26,rate_vatRu_till_25),0)),2)</f>
        <v/>
      </c>
      <c r="AN1230" s="192">
        <f>AL1230-AK1230</f>
        <v/>
      </c>
      <c r="AO1230" s="76">
        <f>SUM(AY1230,Y1230:Z1230,T1230)*IF(AND(offer_incoterms="DDP",offer_sale_type&lt;&gt;"экспорт"),IF((TODAY()+offer_turnaround_time)&gt;=helpsheet!$L$17,rate_vatRU_from_26,rate_vatRu_till_25),0)</f>
        <v/>
      </c>
      <c r="AP1230" s="193">
        <f>AN1230-AO1230</f>
        <v/>
      </c>
      <c r="AQ1230" s="118">
        <f>IF(offer_sale_type="транзит",SUM(AF1230:AI1230,BA1230,BB1230),0)</f>
        <v/>
      </c>
      <c r="AR1230" s="82">
        <f>HYPERLINK("https://www.alta.ru/tnved/code/")&amp;W1230&amp;"/"</f>
        <v/>
      </c>
      <c r="AS1230" s="157" t="n"/>
      <c r="AT1230" s="162" t="n"/>
      <c r="AU1230" s="76">
        <f>IF(ISBLANK(AT1230),0,AJ1230-AT1230)</f>
        <v/>
      </c>
      <c r="AV1230" s="157" t="n"/>
      <c r="AW1230" s="75">
        <f>_xlfn.IFNA(VLOOKUP(L1230,list_vat[],3,FALSE),0)</f>
        <v/>
      </c>
      <c r="AX1230" s="76">
        <f>IFERROR(ROUND(S1230*(1+AW1230)/E1230,2),0)</f>
        <v/>
      </c>
      <c r="AY1230" s="76">
        <f>E1230*AX1230</f>
        <v/>
      </c>
      <c r="AZ1230" s="192">
        <f>S1230*(1+M1230)</f>
        <v/>
      </c>
      <c r="BA1230" s="76">
        <f>cost_fin_total*$BD1230</f>
        <v/>
      </c>
      <c r="BB1230" s="193">
        <f>credit_sales_interest*BD1230</f>
        <v/>
      </c>
      <c r="BC1230" s="102">
        <f>IFERROR(IF($I$13&gt;0,$I1230/$I$13,$S1230/$S$13),0)</f>
        <v/>
      </c>
      <c r="BD1230" s="102">
        <f>IFERROR($S1230/$S$13,0)</f>
        <v/>
      </c>
      <c r="BE1230" s="413" t="inlineStr">
        <is>
          <t>$</t>
        </is>
      </c>
    </row>
    <row r="1231" ht="12" customFormat="1" customHeight="1" s="65">
      <c r="A1231" s="43" t="n">
        <v>1216</v>
      </c>
      <c r="B1231" s="166" t="n"/>
      <c r="C1231" s="166" t="n"/>
      <c r="D1231" s="166" t="n"/>
      <c r="E1231" s="162" t="n"/>
      <c r="F1231" s="166" t="n"/>
      <c r="G1231" s="162" t="n"/>
      <c r="H1231" s="162" t="n"/>
      <c r="I1231" s="189">
        <f>E1231*G1231</f>
        <v/>
      </c>
      <c r="J1231" s="195" t="n"/>
      <c r="K1231" s="162" t="n"/>
      <c r="L1231" s="168" t="n"/>
      <c r="M1231" s="75">
        <f>_xlfn.XLOOKUP(L1231,list_vat[Страна],list_vat[Ставка НДС %],0,0)</f>
        <v/>
      </c>
      <c r="N1231" s="162">
        <f>IFERROR(IF(L1231="Китай",K1231,K1231/(1+M1231)),0)</f>
        <v/>
      </c>
      <c r="O1231" s="169" t="n"/>
      <c r="P1231" s="76">
        <f>N1231*(1-O1231)</f>
        <v/>
      </c>
      <c r="Q1231" s="162" t="n"/>
      <c r="R1231" s="162">
        <f>IF(ISBLANK(Q1231),"введи курс",P1231/Q1231)</f>
        <v/>
      </c>
      <c r="S1231" s="196">
        <f>IF(AND(ISNUMBER(E1231),ISNUMBER(Q1231)),E1231*R1231,0)</f>
        <v/>
      </c>
      <c r="T1231" s="192">
        <f>$BC1231*V$11</f>
        <v/>
      </c>
      <c r="U1231" s="76">
        <f>$BC1231*W$11</f>
        <v/>
      </c>
      <c r="V1231" s="193">
        <f>+SUM(T1231:U1231)</f>
        <v/>
      </c>
      <c r="W1231" s="191" t="n"/>
      <c r="X1231" s="170" t="n"/>
      <c r="Y1231" s="76">
        <f>ROUND(IF(offer_incoterms="DDP",X1231*(S1231*(1+AW1231)+T1231),0),2)</f>
        <v/>
      </c>
      <c r="Z1231" s="188" t="n"/>
      <c r="AA1231" s="192">
        <f>IFERROR(AB1231/E1231,0)</f>
        <v/>
      </c>
      <c r="AB1231" s="76">
        <f>ROUND(SUM(S1231,V1231,Y1231:Z1231,BA1231:BB1231),2)</f>
        <v/>
      </c>
      <c r="AC1231" s="797" t="n"/>
      <c r="AD1231" s="192">
        <f t="array" ref="AD1231">IFERROR(ROUND((_xlfn.IFS(offer_sale_type="поставка",AB1231,offer_sale_type="транзит",S1231)*(1+AC1231))/E1231,2),0)</f>
        <v/>
      </c>
      <c r="AE1231" s="76">
        <f>AD1231*E1231</f>
        <v/>
      </c>
      <c r="AF1231" s="193">
        <f t="array" ref="AF1231">IFERROR(ROUND(_xlfn.IFS(offer_sale_type="поставка",AB1231,offer_sale_type="транзит",S1231)*AC1231,2),0)</f>
        <v/>
      </c>
      <c r="AG1231" s="192">
        <f>$BD1231*VLOOKUP($AG$3,$AF$4:$AG$7,2,FALSE)</f>
        <v/>
      </c>
      <c r="AH1231" s="76">
        <f>SUM(AE1231,AG1231,AI1231)*rate_forex_risk</f>
        <v/>
      </c>
      <c r="AI1231" s="193">
        <f>IF(OR(seller_region="TR",offer_sale_type="экспорт"),0,rate_fin_comm)*SUM(AZ1231,AZ1231*AW1231,T1231)</f>
        <v/>
      </c>
      <c r="AJ1231" s="118">
        <f>IFERROR(ROUND(SUM(AB1231,AF1231:AI1231)/E1231,2),0)</f>
        <v/>
      </c>
      <c r="AK1231" s="76">
        <f>AJ1231*E1231</f>
        <v/>
      </c>
      <c r="AL1231" s="174">
        <f>ROUND(IFERROR(AM1231*E1231,0),2)</f>
        <v/>
      </c>
      <c r="AM1231" s="175">
        <f>ROUND(AJ1231*(1+IF(offer_incoterms="DDP",IF((TODAY()+offer_turnaround_time)&gt;=helpsheet!$L$17,rate_vatRU_from_26,rate_vatRu_till_25),0)),2)</f>
        <v/>
      </c>
      <c r="AN1231" s="192">
        <f>AL1231-AK1231</f>
        <v/>
      </c>
      <c r="AO1231" s="76">
        <f>SUM(AY1231,Y1231:Z1231,T1231)*IF(AND(offer_incoterms="DDP",offer_sale_type&lt;&gt;"экспорт"),IF((TODAY()+offer_turnaround_time)&gt;=helpsheet!$L$17,rate_vatRU_from_26,rate_vatRu_till_25),0)</f>
        <v/>
      </c>
      <c r="AP1231" s="193">
        <f>AN1231-AO1231</f>
        <v/>
      </c>
      <c r="AQ1231" s="118">
        <f>IF(offer_sale_type="транзит",SUM(AF1231:AI1231,BA1231,BB1231),0)</f>
        <v/>
      </c>
      <c r="AR1231" s="82">
        <f>HYPERLINK("https://www.alta.ru/tnved/code/")&amp;W1231&amp;"/"</f>
        <v/>
      </c>
      <c r="AS1231" s="157" t="n"/>
      <c r="AT1231" s="162" t="n"/>
      <c r="AU1231" s="76">
        <f>IF(ISBLANK(AT1231),0,AJ1231-AT1231)</f>
        <v/>
      </c>
      <c r="AV1231" s="157" t="n"/>
      <c r="AW1231" s="75">
        <f>_xlfn.IFNA(VLOOKUP(L1231,list_vat[],3,FALSE),0)</f>
        <v/>
      </c>
      <c r="AX1231" s="76">
        <f>IFERROR(ROUND(S1231*(1+AW1231)/E1231,2),0)</f>
        <v/>
      </c>
      <c r="AY1231" s="76">
        <f>E1231*AX1231</f>
        <v/>
      </c>
      <c r="AZ1231" s="192">
        <f>S1231*(1+M1231)</f>
        <v/>
      </c>
      <c r="BA1231" s="76">
        <f>cost_fin_total*$BD1231</f>
        <v/>
      </c>
      <c r="BB1231" s="193">
        <f>credit_sales_interest*BD1231</f>
        <v/>
      </c>
      <c r="BC1231" s="102">
        <f>IFERROR(IF($I$13&gt;0,$I1231/$I$13,$S1231/$S$13),0)</f>
        <v/>
      </c>
      <c r="BD1231" s="102">
        <f>IFERROR($S1231/$S$13,0)</f>
        <v/>
      </c>
      <c r="BE1231" s="413" t="inlineStr">
        <is>
          <t>$</t>
        </is>
      </c>
    </row>
    <row r="1232" ht="12" customFormat="1" customHeight="1" s="65">
      <c r="A1232" s="43" t="n">
        <v>1217</v>
      </c>
      <c r="B1232" s="166" t="n"/>
      <c r="C1232" s="166" t="n"/>
      <c r="D1232" s="166" t="n"/>
      <c r="E1232" s="162" t="n"/>
      <c r="F1232" s="166" t="n"/>
      <c r="G1232" s="162" t="n"/>
      <c r="H1232" s="162" t="n"/>
      <c r="I1232" s="189">
        <f>E1232*G1232</f>
        <v/>
      </c>
      <c r="J1232" s="195" t="n"/>
      <c r="K1232" s="162" t="n"/>
      <c r="L1232" s="168" t="n"/>
      <c r="M1232" s="75">
        <f>_xlfn.XLOOKUP(L1232,list_vat[Страна],list_vat[Ставка НДС %],0,0)</f>
        <v/>
      </c>
      <c r="N1232" s="162">
        <f>IFERROR(IF(L1232="Китай",K1232,K1232/(1+M1232)),0)</f>
        <v/>
      </c>
      <c r="O1232" s="169" t="n"/>
      <c r="P1232" s="76">
        <f>N1232*(1-O1232)</f>
        <v/>
      </c>
      <c r="Q1232" s="162" t="n"/>
      <c r="R1232" s="162">
        <f>IF(ISBLANK(Q1232),"введи курс",P1232/Q1232)</f>
        <v/>
      </c>
      <c r="S1232" s="196">
        <f>IF(AND(ISNUMBER(E1232),ISNUMBER(Q1232)),E1232*R1232,0)</f>
        <v/>
      </c>
      <c r="T1232" s="192">
        <f>$BC1232*V$11</f>
        <v/>
      </c>
      <c r="U1232" s="76">
        <f>$BC1232*W$11</f>
        <v/>
      </c>
      <c r="V1232" s="193">
        <f>+SUM(T1232:U1232)</f>
        <v/>
      </c>
      <c r="W1232" s="191" t="n"/>
      <c r="X1232" s="170" t="n"/>
      <c r="Y1232" s="76">
        <f>ROUND(IF(offer_incoterms="DDP",X1232*(S1232*(1+AW1232)+T1232),0),2)</f>
        <v/>
      </c>
      <c r="Z1232" s="188" t="n"/>
      <c r="AA1232" s="192">
        <f>IFERROR(AB1232/E1232,0)</f>
        <v/>
      </c>
      <c r="AB1232" s="76">
        <f>ROUND(SUM(S1232,V1232,Y1232:Z1232,BA1232:BB1232),2)</f>
        <v/>
      </c>
      <c r="AC1232" s="797" t="n"/>
      <c r="AD1232" s="192">
        <f t="array" ref="AD1232">IFERROR(ROUND((_xlfn.IFS(offer_sale_type="поставка",AB1232,offer_sale_type="транзит",S1232)*(1+AC1232))/E1232,2),0)</f>
        <v/>
      </c>
      <c r="AE1232" s="76">
        <f>AD1232*E1232</f>
        <v/>
      </c>
      <c r="AF1232" s="193">
        <f t="array" ref="AF1232">IFERROR(ROUND(_xlfn.IFS(offer_sale_type="поставка",AB1232,offer_sale_type="транзит",S1232)*AC1232,2),0)</f>
        <v/>
      </c>
      <c r="AG1232" s="192">
        <f>$BD1232*VLOOKUP($AG$3,$AF$4:$AG$7,2,FALSE)</f>
        <v/>
      </c>
      <c r="AH1232" s="76">
        <f>SUM(AE1232,AG1232,AI1232)*rate_forex_risk</f>
        <v/>
      </c>
      <c r="AI1232" s="193">
        <f>IF(OR(seller_region="TR",offer_sale_type="экспорт"),0,rate_fin_comm)*SUM(AZ1232,AZ1232*AW1232,T1232)</f>
        <v/>
      </c>
      <c r="AJ1232" s="118">
        <f>IFERROR(ROUND(SUM(AB1232,AF1232:AI1232)/E1232,2),0)</f>
        <v/>
      </c>
      <c r="AK1232" s="76">
        <f>AJ1232*E1232</f>
        <v/>
      </c>
      <c r="AL1232" s="174">
        <f>ROUND(IFERROR(AM1232*E1232,0),2)</f>
        <v/>
      </c>
      <c r="AM1232" s="175">
        <f>ROUND(AJ1232*(1+IF(offer_incoterms="DDP",IF((TODAY()+offer_turnaround_time)&gt;=helpsheet!$L$17,rate_vatRU_from_26,rate_vatRu_till_25),0)),2)</f>
        <v/>
      </c>
      <c r="AN1232" s="192">
        <f>AL1232-AK1232</f>
        <v/>
      </c>
      <c r="AO1232" s="76">
        <f>SUM(AY1232,Y1232:Z1232,T1232)*IF(AND(offer_incoterms="DDP",offer_sale_type&lt;&gt;"экспорт"),IF((TODAY()+offer_turnaround_time)&gt;=helpsheet!$L$17,rate_vatRU_from_26,rate_vatRu_till_25),0)</f>
        <v/>
      </c>
      <c r="AP1232" s="193">
        <f>AN1232-AO1232</f>
        <v/>
      </c>
      <c r="AQ1232" s="118">
        <f>IF(offer_sale_type="транзит",SUM(AF1232:AI1232,BA1232,BB1232),0)</f>
        <v/>
      </c>
      <c r="AR1232" s="82">
        <f>HYPERLINK("https://www.alta.ru/tnved/code/")&amp;W1232&amp;"/"</f>
        <v/>
      </c>
      <c r="AS1232" s="157" t="n"/>
      <c r="AT1232" s="162" t="n"/>
      <c r="AU1232" s="76">
        <f>IF(ISBLANK(AT1232),0,AJ1232-AT1232)</f>
        <v/>
      </c>
      <c r="AV1232" s="157" t="n"/>
      <c r="AW1232" s="75">
        <f>_xlfn.IFNA(VLOOKUP(L1232,list_vat[],3,FALSE),0)</f>
        <v/>
      </c>
      <c r="AX1232" s="76">
        <f>IFERROR(ROUND(S1232*(1+AW1232)/E1232,2),0)</f>
        <v/>
      </c>
      <c r="AY1232" s="76">
        <f>E1232*AX1232</f>
        <v/>
      </c>
      <c r="AZ1232" s="192">
        <f>S1232*(1+M1232)</f>
        <v/>
      </c>
      <c r="BA1232" s="76">
        <f>cost_fin_total*$BD1232</f>
        <v/>
      </c>
      <c r="BB1232" s="193">
        <f>credit_sales_interest*BD1232</f>
        <v/>
      </c>
      <c r="BC1232" s="102">
        <f>IFERROR(IF($I$13&gt;0,$I1232/$I$13,$S1232/$S$13),0)</f>
        <v/>
      </c>
      <c r="BD1232" s="102">
        <f>IFERROR($S1232/$S$13,0)</f>
        <v/>
      </c>
      <c r="BE1232" s="413" t="inlineStr">
        <is>
          <t>$</t>
        </is>
      </c>
    </row>
    <row r="1233" ht="12" customFormat="1" customHeight="1" s="65">
      <c r="A1233" s="43" t="n">
        <v>1218</v>
      </c>
      <c r="B1233" s="166" t="n"/>
      <c r="C1233" s="166" t="n"/>
      <c r="D1233" s="166" t="n"/>
      <c r="E1233" s="162" t="n"/>
      <c r="F1233" s="166" t="n"/>
      <c r="G1233" s="162" t="n"/>
      <c r="H1233" s="162" t="n"/>
      <c r="I1233" s="189">
        <f>E1233*G1233</f>
        <v/>
      </c>
      <c r="J1233" s="195" t="n"/>
      <c r="K1233" s="162" t="n"/>
      <c r="L1233" s="168" t="n"/>
      <c r="M1233" s="75">
        <f>_xlfn.XLOOKUP(L1233,list_vat[Страна],list_vat[Ставка НДС %],0,0)</f>
        <v/>
      </c>
      <c r="N1233" s="162">
        <f>IFERROR(IF(L1233="Китай",K1233,K1233/(1+M1233)),0)</f>
        <v/>
      </c>
      <c r="O1233" s="169" t="n"/>
      <c r="P1233" s="76">
        <f>N1233*(1-O1233)</f>
        <v/>
      </c>
      <c r="Q1233" s="162" t="n"/>
      <c r="R1233" s="162">
        <f>IF(ISBLANK(Q1233),"введи курс",P1233/Q1233)</f>
        <v/>
      </c>
      <c r="S1233" s="196">
        <f>IF(AND(ISNUMBER(E1233),ISNUMBER(Q1233)),E1233*R1233,0)</f>
        <v/>
      </c>
      <c r="T1233" s="192">
        <f>$BC1233*V$11</f>
        <v/>
      </c>
      <c r="U1233" s="76">
        <f>$BC1233*W$11</f>
        <v/>
      </c>
      <c r="V1233" s="193">
        <f>+SUM(T1233:U1233)</f>
        <v/>
      </c>
      <c r="W1233" s="191" t="n"/>
      <c r="X1233" s="170" t="n"/>
      <c r="Y1233" s="76">
        <f>ROUND(IF(offer_incoterms="DDP",X1233*(S1233*(1+AW1233)+T1233),0),2)</f>
        <v/>
      </c>
      <c r="Z1233" s="188" t="n"/>
      <c r="AA1233" s="192">
        <f>IFERROR(AB1233/E1233,0)</f>
        <v/>
      </c>
      <c r="AB1233" s="76">
        <f>ROUND(SUM(S1233,V1233,Y1233:Z1233,BA1233:BB1233),2)</f>
        <v/>
      </c>
      <c r="AC1233" s="797" t="n"/>
      <c r="AD1233" s="192">
        <f t="array" ref="AD1233">IFERROR(ROUND((_xlfn.IFS(offer_sale_type="поставка",AB1233,offer_sale_type="транзит",S1233)*(1+AC1233))/E1233,2),0)</f>
        <v/>
      </c>
      <c r="AE1233" s="76">
        <f>AD1233*E1233</f>
        <v/>
      </c>
      <c r="AF1233" s="193">
        <f t="array" ref="AF1233">IFERROR(ROUND(_xlfn.IFS(offer_sale_type="поставка",AB1233,offer_sale_type="транзит",S1233)*AC1233,2),0)</f>
        <v/>
      </c>
      <c r="AG1233" s="192">
        <f>$BD1233*VLOOKUP($AG$3,$AF$4:$AG$7,2,FALSE)</f>
        <v/>
      </c>
      <c r="AH1233" s="76">
        <f>SUM(AE1233,AG1233,AI1233)*rate_forex_risk</f>
        <v/>
      </c>
      <c r="AI1233" s="193">
        <f>IF(OR(seller_region="TR",offer_sale_type="экспорт"),0,rate_fin_comm)*SUM(AZ1233,AZ1233*AW1233,T1233)</f>
        <v/>
      </c>
      <c r="AJ1233" s="118">
        <f>IFERROR(ROUND(SUM(AB1233,AF1233:AI1233)/E1233,2),0)</f>
        <v/>
      </c>
      <c r="AK1233" s="76">
        <f>AJ1233*E1233</f>
        <v/>
      </c>
      <c r="AL1233" s="174">
        <f>ROUND(IFERROR(AM1233*E1233,0),2)</f>
        <v/>
      </c>
      <c r="AM1233" s="175">
        <f>ROUND(AJ1233*(1+IF(offer_incoterms="DDP",IF((TODAY()+offer_turnaround_time)&gt;=helpsheet!$L$17,rate_vatRU_from_26,rate_vatRu_till_25),0)),2)</f>
        <v/>
      </c>
      <c r="AN1233" s="192">
        <f>AL1233-AK1233</f>
        <v/>
      </c>
      <c r="AO1233" s="76">
        <f>SUM(AY1233,Y1233:Z1233,T1233)*IF(AND(offer_incoterms="DDP",offer_sale_type&lt;&gt;"экспорт"),IF((TODAY()+offer_turnaround_time)&gt;=helpsheet!$L$17,rate_vatRU_from_26,rate_vatRu_till_25),0)</f>
        <v/>
      </c>
      <c r="AP1233" s="193">
        <f>AN1233-AO1233</f>
        <v/>
      </c>
      <c r="AQ1233" s="118">
        <f>IF(offer_sale_type="транзит",SUM(AF1233:AI1233,BA1233,BB1233),0)</f>
        <v/>
      </c>
      <c r="AR1233" s="82">
        <f>HYPERLINK("https://www.alta.ru/tnved/code/")&amp;W1233&amp;"/"</f>
        <v/>
      </c>
      <c r="AS1233" s="157" t="n"/>
      <c r="AT1233" s="162" t="n"/>
      <c r="AU1233" s="76">
        <f>IF(ISBLANK(AT1233),0,AJ1233-AT1233)</f>
        <v/>
      </c>
      <c r="AV1233" s="157" t="n"/>
      <c r="AW1233" s="75">
        <f>_xlfn.IFNA(VLOOKUP(L1233,list_vat[],3,FALSE),0)</f>
        <v/>
      </c>
      <c r="AX1233" s="76">
        <f>IFERROR(ROUND(S1233*(1+AW1233)/E1233,2),0)</f>
        <v/>
      </c>
      <c r="AY1233" s="76">
        <f>E1233*AX1233</f>
        <v/>
      </c>
      <c r="AZ1233" s="192">
        <f>S1233*(1+M1233)</f>
        <v/>
      </c>
      <c r="BA1233" s="76">
        <f>cost_fin_total*$BD1233</f>
        <v/>
      </c>
      <c r="BB1233" s="193">
        <f>credit_sales_interest*BD1233</f>
        <v/>
      </c>
      <c r="BC1233" s="102">
        <f>IFERROR(IF($I$13&gt;0,$I1233/$I$13,$S1233/$S$13),0)</f>
        <v/>
      </c>
      <c r="BD1233" s="102">
        <f>IFERROR($S1233/$S$13,0)</f>
        <v/>
      </c>
      <c r="BE1233" s="413" t="inlineStr">
        <is>
          <t>$</t>
        </is>
      </c>
    </row>
    <row r="1234" ht="12" customFormat="1" customHeight="1" s="65">
      <c r="A1234" s="43" t="n">
        <v>1219</v>
      </c>
      <c r="B1234" s="166" t="n"/>
      <c r="C1234" s="166" t="n"/>
      <c r="D1234" s="166" t="n"/>
      <c r="E1234" s="162" t="n"/>
      <c r="F1234" s="166" t="n"/>
      <c r="G1234" s="162" t="n"/>
      <c r="H1234" s="162" t="n"/>
      <c r="I1234" s="189">
        <f>E1234*G1234</f>
        <v/>
      </c>
      <c r="J1234" s="195" t="n"/>
      <c r="K1234" s="162" t="n"/>
      <c r="L1234" s="168" t="n"/>
      <c r="M1234" s="75">
        <f>_xlfn.XLOOKUP(L1234,list_vat[Страна],list_vat[Ставка НДС %],0,0)</f>
        <v/>
      </c>
      <c r="N1234" s="162">
        <f>IFERROR(IF(L1234="Китай",K1234,K1234/(1+M1234)),0)</f>
        <v/>
      </c>
      <c r="O1234" s="169" t="n"/>
      <c r="P1234" s="76">
        <f>N1234*(1-O1234)</f>
        <v/>
      </c>
      <c r="Q1234" s="162" t="n"/>
      <c r="R1234" s="162">
        <f>IF(ISBLANK(Q1234),"введи курс",P1234/Q1234)</f>
        <v/>
      </c>
      <c r="S1234" s="196">
        <f>IF(AND(ISNUMBER(E1234),ISNUMBER(Q1234)),E1234*R1234,0)</f>
        <v/>
      </c>
      <c r="T1234" s="192">
        <f>$BC1234*V$11</f>
        <v/>
      </c>
      <c r="U1234" s="76">
        <f>$BC1234*W$11</f>
        <v/>
      </c>
      <c r="V1234" s="193">
        <f>+SUM(T1234:U1234)</f>
        <v/>
      </c>
      <c r="W1234" s="191" t="n"/>
      <c r="X1234" s="170" t="n"/>
      <c r="Y1234" s="76">
        <f>ROUND(IF(offer_incoterms="DDP",X1234*(S1234*(1+AW1234)+T1234),0),2)</f>
        <v/>
      </c>
      <c r="Z1234" s="188" t="n"/>
      <c r="AA1234" s="192">
        <f>IFERROR(AB1234/E1234,0)</f>
        <v/>
      </c>
      <c r="AB1234" s="76">
        <f>ROUND(SUM(S1234,V1234,Y1234:Z1234,BA1234:BB1234),2)</f>
        <v/>
      </c>
      <c r="AC1234" s="797" t="n"/>
      <c r="AD1234" s="192">
        <f t="array" ref="AD1234">IFERROR(ROUND((_xlfn.IFS(offer_sale_type="поставка",AB1234,offer_sale_type="транзит",S1234)*(1+AC1234))/E1234,2),0)</f>
        <v/>
      </c>
      <c r="AE1234" s="76">
        <f>AD1234*E1234</f>
        <v/>
      </c>
      <c r="AF1234" s="193">
        <f t="array" ref="AF1234">IFERROR(ROUND(_xlfn.IFS(offer_sale_type="поставка",AB1234,offer_sale_type="транзит",S1234)*AC1234,2),0)</f>
        <v/>
      </c>
      <c r="AG1234" s="192">
        <f>$BD1234*VLOOKUP($AG$3,$AF$4:$AG$7,2,FALSE)</f>
        <v/>
      </c>
      <c r="AH1234" s="76">
        <f>SUM(AE1234,AG1234,AI1234)*rate_forex_risk</f>
        <v/>
      </c>
      <c r="AI1234" s="193">
        <f>IF(OR(seller_region="TR",offer_sale_type="экспорт"),0,rate_fin_comm)*SUM(AZ1234,AZ1234*AW1234,T1234)</f>
        <v/>
      </c>
      <c r="AJ1234" s="118">
        <f>IFERROR(ROUND(SUM(AB1234,AF1234:AI1234)/E1234,2),0)</f>
        <v/>
      </c>
      <c r="AK1234" s="76">
        <f>AJ1234*E1234</f>
        <v/>
      </c>
      <c r="AL1234" s="174">
        <f>ROUND(IFERROR(AM1234*E1234,0),2)</f>
        <v/>
      </c>
      <c r="AM1234" s="175">
        <f>ROUND(AJ1234*(1+IF(offer_incoterms="DDP",IF((TODAY()+offer_turnaround_time)&gt;=helpsheet!$L$17,rate_vatRU_from_26,rate_vatRu_till_25),0)),2)</f>
        <v/>
      </c>
      <c r="AN1234" s="192">
        <f>AL1234-AK1234</f>
        <v/>
      </c>
      <c r="AO1234" s="76">
        <f>SUM(AY1234,Y1234:Z1234,T1234)*IF(AND(offer_incoterms="DDP",offer_sale_type&lt;&gt;"экспорт"),IF((TODAY()+offer_turnaround_time)&gt;=helpsheet!$L$17,rate_vatRU_from_26,rate_vatRu_till_25),0)</f>
        <v/>
      </c>
      <c r="AP1234" s="193">
        <f>AN1234-AO1234</f>
        <v/>
      </c>
      <c r="AQ1234" s="118">
        <f>IF(offer_sale_type="транзит",SUM(AF1234:AI1234,BA1234,BB1234),0)</f>
        <v/>
      </c>
      <c r="AR1234" s="82">
        <f>HYPERLINK("https://www.alta.ru/tnved/code/")&amp;W1234&amp;"/"</f>
        <v/>
      </c>
      <c r="AS1234" s="157" t="n"/>
      <c r="AT1234" s="162" t="n"/>
      <c r="AU1234" s="76">
        <f>IF(ISBLANK(AT1234),0,AJ1234-AT1234)</f>
        <v/>
      </c>
      <c r="AV1234" s="157" t="n"/>
      <c r="AW1234" s="75">
        <f>_xlfn.IFNA(VLOOKUP(L1234,list_vat[],3,FALSE),0)</f>
        <v/>
      </c>
      <c r="AX1234" s="76">
        <f>IFERROR(ROUND(S1234*(1+AW1234)/E1234,2),0)</f>
        <v/>
      </c>
      <c r="AY1234" s="76">
        <f>E1234*AX1234</f>
        <v/>
      </c>
      <c r="AZ1234" s="192">
        <f>S1234*(1+M1234)</f>
        <v/>
      </c>
      <c r="BA1234" s="76">
        <f>cost_fin_total*$BD1234</f>
        <v/>
      </c>
      <c r="BB1234" s="193">
        <f>credit_sales_interest*BD1234</f>
        <v/>
      </c>
      <c r="BC1234" s="102">
        <f>IFERROR(IF($I$13&gt;0,$I1234/$I$13,$S1234/$S$13),0)</f>
        <v/>
      </c>
      <c r="BD1234" s="102">
        <f>IFERROR($S1234/$S$13,0)</f>
        <v/>
      </c>
      <c r="BE1234" s="413" t="inlineStr">
        <is>
          <t>$</t>
        </is>
      </c>
    </row>
    <row r="1235" ht="12" customFormat="1" customHeight="1" s="65">
      <c r="A1235" s="43" t="n">
        <v>1220</v>
      </c>
      <c r="B1235" s="166" t="n"/>
      <c r="C1235" s="166" t="n"/>
      <c r="D1235" s="166" t="n"/>
      <c r="E1235" s="162" t="n"/>
      <c r="F1235" s="166" t="n"/>
      <c r="G1235" s="162" t="n"/>
      <c r="H1235" s="162" t="n"/>
      <c r="I1235" s="189">
        <f>E1235*G1235</f>
        <v/>
      </c>
      <c r="J1235" s="195" t="n"/>
      <c r="K1235" s="162" t="n"/>
      <c r="L1235" s="168" t="n"/>
      <c r="M1235" s="75">
        <f>_xlfn.XLOOKUP(L1235,list_vat[Страна],list_vat[Ставка НДС %],0,0)</f>
        <v/>
      </c>
      <c r="N1235" s="162">
        <f>IFERROR(IF(L1235="Китай",K1235,K1235/(1+M1235)),0)</f>
        <v/>
      </c>
      <c r="O1235" s="169" t="n"/>
      <c r="P1235" s="76">
        <f>N1235*(1-O1235)</f>
        <v/>
      </c>
      <c r="Q1235" s="162" t="n"/>
      <c r="R1235" s="162">
        <f>IF(ISBLANK(Q1235),"введи курс",P1235/Q1235)</f>
        <v/>
      </c>
      <c r="S1235" s="196">
        <f>IF(AND(ISNUMBER(E1235),ISNUMBER(Q1235)),E1235*R1235,0)</f>
        <v/>
      </c>
      <c r="T1235" s="192">
        <f>$BC1235*V$11</f>
        <v/>
      </c>
      <c r="U1235" s="76">
        <f>$BC1235*W$11</f>
        <v/>
      </c>
      <c r="V1235" s="193">
        <f>+SUM(T1235:U1235)</f>
        <v/>
      </c>
      <c r="W1235" s="191" t="n"/>
      <c r="X1235" s="170" t="n"/>
      <c r="Y1235" s="76">
        <f>ROUND(IF(offer_incoterms="DDP",X1235*(S1235*(1+AW1235)+T1235),0),2)</f>
        <v/>
      </c>
      <c r="Z1235" s="188" t="n"/>
      <c r="AA1235" s="192">
        <f>IFERROR(AB1235/E1235,0)</f>
        <v/>
      </c>
      <c r="AB1235" s="76">
        <f>ROUND(SUM(S1235,V1235,Y1235:Z1235,BA1235:BB1235),2)</f>
        <v/>
      </c>
      <c r="AC1235" s="797" t="n"/>
      <c r="AD1235" s="192">
        <f t="array" ref="AD1235">IFERROR(ROUND((_xlfn.IFS(offer_sale_type="поставка",AB1235,offer_sale_type="транзит",S1235)*(1+AC1235))/E1235,2),0)</f>
        <v/>
      </c>
      <c r="AE1235" s="76">
        <f>AD1235*E1235</f>
        <v/>
      </c>
      <c r="AF1235" s="193">
        <f t="array" ref="AF1235">IFERROR(ROUND(_xlfn.IFS(offer_sale_type="поставка",AB1235,offer_sale_type="транзит",S1235)*AC1235,2),0)</f>
        <v/>
      </c>
      <c r="AG1235" s="192">
        <f>$BD1235*VLOOKUP($AG$3,$AF$4:$AG$7,2,FALSE)</f>
        <v/>
      </c>
      <c r="AH1235" s="76">
        <f>SUM(AE1235,AG1235,AI1235)*rate_forex_risk</f>
        <v/>
      </c>
      <c r="AI1235" s="193">
        <f>IF(OR(seller_region="TR",offer_sale_type="экспорт"),0,rate_fin_comm)*SUM(AZ1235,AZ1235*AW1235,T1235)</f>
        <v/>
      </c>
      <c r="AJ1235" s="118">
        <f>IFERROR(ROUND(SUM(AB1235,AF1235:AI1235)/E1235,2),0)</f>
        <v/>
      </c>
      <c r="AK1235" s="76">
        <f>AJ1235*E1235</f>
        <v/>
      </c>
      <c r="AL1235" s="174">
        <f>ROUND(IFERROR(AM1235*E1235,0),2)</f>
        <v/>
      </c>
      <c r="AM1235" s="175">
        <f>ROUND(AJ1235*(1+IF(offer_incoterms="DDP",IF((TODAY()+offer_turnaround_time)&gt;=helpsheet!$L$17,rate_vatRU_from_26,rate_vatRu_till_25),0)),2)</f>
        <v/>
      </c>
      <c r="AN1235" s="192">
        <f>AL1235-AK1235</f>
        <v/>
      </c>
      <c r="AO1235" s="76">
        <f>SUM(AY1235,Y1235:Z1235,T1235)*IF(AND(offer_incoterms="DDP",offer_sale_type&lt;&gt;"экспорт"),IF((TODAY()+offer_turnaround_time)&gt;=helpsheet!$L$17,rate_vatRU_from_26,rate_vatRu_till_25),0)</f>
        <v/>
      </c>
      <c r="AP1235" s="193">
        <f>AN1235-AO1235</f>
        <v/>
      </c>
      <c r="AQ1235" s="118">
        <f>IF(offer_sale_type="транзит",SUM(AF1235:AI1235,BA1235,BB1235),0)</f>
        <v/>
      </c>
      <c r="AR1235" s="82">
        <f>HYPERLINK("https://www.alta.ru/tnved/code/")&amp;W1235&amp;"/"</f>
        <v/>
      </c>
      <c r="AS1235" s="157" t="n"/>
      <c r="AT1235" s="162" t="n"/>
      <c r="AU1235" s="76">
        <f>IF(ISBLANK(AT1235),0,AJ1235-AT1235)</f>
        <v/>
      </c>
      <c r="AV1235" s="157" t="n"/>
      <c r="AW1235" s="75">
        <f>_xlfn.IFNA(VLOOKUP(L1235,list_vat[],3,FALSE),0)</f>
        <v/>
      </c>
      <c r="AX1235" s="76">
        <f>IFERROR(ROUND(S1235*(1+AW1235)/E1235,2),0)</f>
        <v/>
      </c>
      <c r="AY1235" s="76">
        <f>E1235*AX1235</f>
        <v/>
      </c>
      <c r="AZ1235" s="192">
        <f>S1235*(1+M1235)</f>
        <v/>
      </c>
      <c r="BA1235" s="76">
        <f>cost_fin_total*$BD1235</f>
        <v/>
      </c>
      <c r="BB1235" s="193">
        <f>credit_sales_interest*BD1235</f>
        <v/>
      </c>
      <c r="BC1235" s="102">
        <f>IFERROR(IF($I$13&gt;0,$I1235/$I$13,$S1235/$S$13),0)</f>
        <v/>
      </c>
      <c r="BD1235" s="102">
        <f>IFERROR($S1235/$S$13,0)</f>
        <v/>
      </c>
      <c r="BE1235" s="413" t="inlineStr">
        <is>
          <t>$</t>
        </is>
      </c>
    </row>
    <row r="1236" ht="12" customFormat="1" customHeight="1" s="65">
      <c r="A1236" s="43" t="n">
        <v>1221</v>
      </c>
      <c r="B1236" s="166" t="n"/>
      <c r="C1236" s="166" t="n"/>
      <c r="D1236" s="166" t="n"/>
      <c r="E1236" s="162" t="n"/>
      <c r="F1236" s="166" t="n"/>
      <c r="G1236" s="162" t="n"/>
      <c r="H1236" s="162" t="n"/>
      <c r="I1236" s="189">
        <f>E1236*G1236</f>
        <v/>
      </c>
      <c r="J1236" s="195" t="n"/>
      <c r="K1236" s="162" t="n"/>
      <c r="L1236" s="168" t="n"/>
      <c r="M1236" s="75">
        <f>_xlfn.XLOOKUP(L1236,list_vat[Страна],list_vat[Ставка НДС %],0,0)</f>
        <v/>
      </c>
      <c r="N1236" s="162">
        <f>IFERROR(IF(L1236="Китай",K1236,K1236/(1+M1236)),0)</f>
        <v/>
      </c>
      <c r="O1236" s="169" t="n"/>
      <c r="P1236" s="76">
        <f>N1236*(1-O1236)</f>
        <v/>
      </c>
      <c r="Q1236" s="162" t="n"/>
      <c r="R1236" s="162">
        <f>IF(ISBLANK(Q1236),"введи курс",P1236/Q1236)</f>
        <v/>
      </c>
      <c r="S1236" s="196">
        <f>IF(AND(ISNUMBER(E1236),ISNUMBER(Q1236)),E1236*R1236,0)</f>
        <v/>
      </c>
      <c r="T1236" s="192">
        <f>$BC1236*V$11</f>
        <v/>
      </c>
      <c r="U1236" s="76">
        <f>$BC1236*W$11</f>
        <v/>
      </c>
      <c r="V1236" s="193">
        <f>+SUM(T1236:U1236)</f>
        <v/>
      </c>
      <c r="W1236" s="191" t="n"/>
      <c r="X1236" s="170" t="n"/>
      <c r="Y1236" s="76">
        <f>ROUND(IF(offer_incoterms="DDP",X1236*(S1236*(1+AW1236)+T1236),0),2)</f>
        <v/>
      </c>
      <c r="Z1236" s="188" t="n"/>
      <c r="AA1236" s="192">
        <f>IFERROR(AB1236/E1236,0)</f>
        <v/>
      </c>
      <c r="AB1236" s="76">
        <f>ROUND(SUM(S1236,V1236,Y1236:Z1236,BA1236:BB1236),2)</f>
        <v/>
      </c>
      <c r="AC1236" s="797" t="n"/>
      <c r="AD1236" s="192">
        <f t="array" ref="AD1236">IFERROR(ROUND((_xlfn.IFS(offer_sale_type="поставка",AB1236,offer_sale_type="транзит",S1236)*(1+AC1236))/E1236,2),0)</f>
        <v/>
      </c>
      <c r="AE1236" s="76">
        <f>AD1236*E1236</f>
        <v/>
      </c>
      <c r="AF1236" s="193">
        <f t="array" ref="AF1236">IFERROR(ROUND(_xlfn.IFS(offer_sale_type="поставка",AB1236,offer_sale_type="транзит",S1236)*AC1236,2),0)</f>
        <v/>
      </c>
      <c r="AG1236" s="192">
        <f>$BD1236*VLOOKUP($AG$3,$AF$4:$AG$7,2,FALSE)</f>
        <v/>
      </c>
      <c r="AH1236" s="76">
        <f>SUM(AE1236,AG1236,AI1236)*rate_forex_risk</f>
        <v/>
      </c>
      <c r="AI1236" s="193">
        <f>IF(OR(seller_region="TR",offer_sale_type="экспорт"),0,rate_fin_comm)*SUM(AZ1236,AZ1236*AW1236,T1236)</f>
        <v/>
      </c>
      <c r="AJ1236" s="118">
        <f>IFERROR(ROUND(SUM(AB1236,AF1236:AI1236)/E1236,2),0)</f>
        <v/>
      </c>
      <c r="AK1236" s="76">
        <f>AJ1236*E1236</f>
        <v/>
      </c>
      <c r="AL1236" s="174">
        <f>ROUND(IFERROR(AM1236*E1236,0),2)</f>
        <v/>
      </c>
      <c r="AM1236" s="175">
        <f>ROUND(AJ1236*(1+IF(offer_incoterms="DDP",IF((TODAY()+offer_turnaround_time)&gt;=helpsheet!$L$17,rate_vatRU_from_26,rate_vatRu_till_25),0)),2)</f>
        <v/>
      </c>
      <c r="AN1236" s="192">
        <f>AL1236-AK1236</f>
        <v/>
      </c>
      <c r="AO1236" s="76">
        <f>SUM(AY1236,Y1236:Z1236,T1236)*IF(AND(offer_incoterms="DDP",offer_sale_type&lt;&gt;"экспорт"),IF((TODAY()+offer_turnaround_time)&gt;=helpsheet!$L$17,rate_vatRU_from_26,rate_vatRu_till_25),0)</f>
        <v/>
      </c>
      <c r="AP1236" s="193">
        <f>AN1236-AO1236</f>
        <v/>
      </c>
      <c r="AQ1236" s="118">
        <f>IF(offer_sale_type="транзит",SUM(AF1236:AI1236,BA1236,BB1236),0)</f>
        <v/>
      </c>
      <c r="AR1236" s="82">
        <f>HYPERLINK("https://www.alta.ru/tnved/code/")&amp;W1236&amp;"/"</f>
        <v/>
      </c>
      <c r="AS1236" s="157" t="n"/>
      <c r="AT1236" s="162" t="n"/>
      <c r="AU1236" s="76">
        <f>IF(ISBLANK(AT1236),0,AJ1236-AT1236)</f>
        <v/>
      </c>
      <c r="AV1236" s="157" t="n"/>
      <c r="AW1236" s="75">
        <f>_xlfn.IFNA(VLOOKUP(L1236,list_vat[],3,FALSE),0)</f>
        <v/>
      </c>
      <c r="AX1236" s="76">
        <f>IFERROR(ROUND(S1236*(1+AW1236)/E1236,2),0)</f>
        <v/>
      </c>
      <c r="AY1236" s="76">
        <f>E1236*AX1236</f>
        <v/>
      </c>
      <c r="AZ1236" s="192">
        <f>S1236*(1+M1236)</f>
        <v/>
      </c>
      <c r="BA1236" s="76">
        <f>cost_fin_total*$BD1236</f>
        <v/>
      </c>
      <c r="BB1236" s="193">
        <f>credit_sales_interest*BD1236</f>
        <v/>
      </c>
      <c r="BC1236" s="102">
        <f>IFERROR(IF($I$13&gt;0,$I1236/$I$13,$S1236/$S$13),0)</f>
        <v/>
      </c>
      <c r="BD1236" s="102">
        <f>IFERROR($S1236/$S$13,0)</f>
        <v/>
      </c>
      <c r="BE1236" s="413" t="inlineStr">
        <is>
          <t>$</t>
        </is>
      </c>
    </row>
    <row r="1237" ht="12" customFormat="1" customHeight="1" s="65">
      <c r="A1237" s="43" t="n">
        <v>1222</v>
      </c>
      <c r="B1237" s="166" t="n"/>
      <c r="C1237" s="166" t="n"/>
      <c r="D1237" s="166" t="n"/>
      <c r="E1237" s="162" t="n"/>
      <c r="F1237" s="166" t="n"/>
      <c r="G1237" s="162" t="n"/>
      <c r="H1237" s="162" t="n"/>
      <c r="I1237" s="189">
        <f>E1237*G1237</f>
        <v/>
      </c>
      <c r="J1237" s="195" t="n"/>
      <c r="K1237" s="162" t="n"/>
      <c r="L1237" s="168" t="n"/>
      <c r="M1237" s="75">
        <f>_xlfn.XLOOKUP(L1237,list_vat[Страна],list_vat[Ставка НДС %],0,0)</f>
        <v/>
      </c>
      <c r="N1237" s="162">
        <f>IFERROR(IF(L1237="Китай",K1237,K1237/(1+M1237)),0)</f>
        <v/>
      </c>
      <c r="O1237" s="169" t="n"/>
      <c r="P1237" s="76">
        <f>N1237*(1-O1237)</f>
        <v/>
      </c>
      <c r="Q1237" s="162" t="n"/>
      <c r="R1237" s="162">
        <f>IF(ISBLANK(Q1237),"введи курс",P1237/Q1237)</f>
        <v/>
      </c>
      <c r="S1237" s="196">
        <f>IF(AND(ISNUMBER(E1237),ISNUMBER(Q1237)),E1237*R1237,0)</f>
        <v/>
      </c>
      <c r="T1237" s="192">
        <f>$BC1237*V$11</f>
        <v/>
      </c>
      <c r="U1237" s="76">
        <f>$BC1237*W$11</f>
        <v/>
      </c>
      <c r="V1237" s="193">
        <f>+SUM(T1237:U1237)</f>
        <v/>
      </c>
      <c r="W1237" s="191" t="n"/>
      <c r="X1237" s="170" t="n"/>
      <c r="Y1237" s="76">
        <f>ROUND(IF(offer_incoterms="DDP",X1237*(S1237*(1+AW1237)+T1237),0),2)</f>
        <v/>
      </c>
      <c r="Z1237" s="188" t="n"/>
      <c r="AA1237" s="192">
        <f>IFERROR(AB1237/E1237,0)</f>
        <v/>
      </c>
      <c r="AB1237" s="76">
        <f>ROUND(SUM(S1237,V1237,Y1237:Z1237,BA1237:BB1237),2)</f>
        <v/>
      </c>
      <c r="AC1237" s="797" t="n"/>
      <c r="AD1237" s="192">
        <f t="array" ref="AD1237">IFERROR(ROUND((_xlfn.IFS(offer_sale_type="поставка",AB1237,offer_sale_type="транзит",S1237)*(1+AC1237))/E1237,2),0)</f>
        <v/>
      </c>
      <c r="AE1237" s="76">
        <f>AD1237*E1237</f>
        <v/>
      </c>
      <c r="AF1237" s="193">
        <f t="array" ref="AF1237">IFERROR(ROUND(_xlfn.IFS(offer_sale_type="поставка",AB1237,offer_sale_type="транзит",S1237)*AC1237,2),0)</f>
        <v/>
      </c>
      <c r="AG1237" s="192">
        <f>$BD1237*VLOOKUP($AG$3,$AF$4:$AG$7,2,FALSE)</f>
        <v/>
      </c>
      <c r="AH1237" s="76">
        <f>SUM(AE1237,AG1237,AI1237)*rate_forex_risk</f>
        <v/>
      </c>
      <c r="AI1237" s="193">
        <f>IF(OR(seller_region="TR",offer_sale_type="экспорт"),0,rate_fin_comm)*SUM(AZ1237,AZ1237*AW1237,T1237)</f>
        <v/>
      </c>
      <c r="AJ1237" s="118">
        <f>IFERROR(ROUND(SUM(AB1237,AF1237:AI1237)/E1237,2),0)</f>
        <v/>
      </c>
      <c r="AK1237" s="76">
        <f>AJ1237*E1237</f>
        <v/>
      </c>
      <c r="AL1237" s="174">
        <f>ROUND(IFERROR(AM1237*E1237,0),2)</f>
        <v/>
      </c>
      <c r="AM1237" s="175">
        <f>ROUND(AJ1237*(1+IF(offer_incoterms="DDP",IF((TODAY()+offer_turnaround_time)&gt;=helpsheet!$L$17,rate_vatRU_from_26,rate_vatRu_till_25),0)),2)</f>
        <v/>
      </c>
      <c r="AN1237" s="192">
        <f>AL1237-AK1237</f>
        <v/>
      </c>
      <c r="AO1237" s="76">
        <f>SUM(AY1237,Y1237:Z1237,T1237)*IF(AND(offer_incoterms="DDP",offer_sale_type&lt;&gt;"экспорт"),IF((TODAY()+offer_turnaround_time)&gt;=helpsheet!$L$17,rate_vatRU_from_26,rate_vatRu_till_25),0)</f>
        <v/>
      </c>
      <c r="AP1237" s="193">
        <f>AN1237-AO1237</f>
        <v/>
      </c>
      <c r="AQ1237" s="118">
        <f>IF(offer_sale_type="транзит",SUM(AF1237:AI1237,BA1237,BB1237),0)</f>
        <v/>
      </c>
      <c r="AR1237" s="82">
        <f>HYPERLINK("https://www.alta.ru/tnved/code/")&amp;W1237&amp;"/"</f>
        <v/>
      </c>
      <c r="AS1237" s="157" t="n"/>
      <c r="AT1237" s="162" t="n"/>
      <c r="AU1237" s="76">
        <f>IF(ISBLANK(AT1237),0,AJ1237-AT1237)</f>
        <v/>
      </c>
      <c r="AV1237" s="157" t="n"/>
      <c r="AW1237" s="75">
        <f>_xlfn.IFNA(VLOOKUP(L1237,list_vat[],3,FALSE),0)</f>
        <v/>
      </c>
      <c r="AX1237" s="76">
        <f>IFERROR(ROUND(S1237*(1+AW1237)/E1237,2),0)</f>
        <v/>
      </c>
      <c r="AY1237" s="76">
        <f>E1237*AX1237</f>
        <v/>
      </c>
      <c r="AZ1237" s="192">
        <f>S1237*(1+M1237)</f>
        <v/>
      </c>
      <c r="BA1237" s="76">
        <f>cost_fin_total*$BD1237</f>
        <v/>
      </c>
      <c r="BB1237" s="193">
        <f>credit_sales_interest*BD1237</f>
        <v/>
      </c>
      <c r="BC1237" s="102">
        <f>IFERROR(IF($I$13&gt;0,$I1237/$I$13,$S1237/$S$13),0)</f>
        <v/>
      </c>
      <c r="BD1237" s="102">
        <f>IFERROR($S1237/$S$13,0)</f>
        <v/>
      </c>
      <c r="BE1237" s="413" t="inlineStr">
        <is>
          <t>$</t>
        </is>
      </c>
    </row>
    <row r="1238" ht="12" customFormat="1" customHeight="1" s="65">
      <c r="A1238" s="43" t="n">
        <v>1223</v>
      </c>
      <c r="B1238" s="166" t="n"/>
      <c r="C1238" s="166" t="n"/>
      <c r="D1238" s="166" t="n"/>
      <c r="E1238" s="162" t="n"/>
      <c r="F1238" s="166" t="n"/>
      <c r="G1238" s="162" t="n"/>
      <c r="H1238" s="162" t="n"/>
      <c r="I1238" s="189">
        <f>E1238*G1238</f>
        <v/>
      </c>
      <c r="J1238" s="195" t="n"/>
      <c r="K1238" s="162" t="n"/>
      <c r="L1238" s="168" t="n"/>
      <c r="M1238" s="75">
        <f>_xlfn.XLOOKUP(L1238,list_vat[Страна],list_vat[Ставка НДС %],0,0)</f>
        <v/>
      </c>
      <c r="N1238" s="162">
        <f>IFERROR(IF(L1238="Китай",K1238,K1238/(1+M1238)),0)</f>
        <v/>
      </c>
      <c r="O1238" s="169" t="n"/>
      <c r="P1238" s="76">
        <f>N1238*(1-O1238)</f>
        <v/>
      </c>
      <c r="Q1238" s="162" t="n"/>
      <c r="R1238" s="162">
        <f>IF(ISBLANK(Q1238),"введи курс",P1238/Q1238)</f>
        <v/>
      </c>
      <c r="S1238" s="196">
        <f>IF(AND(ISNUMBER(E1238),ISNUMBER(Q1238)),E1238*R1238,0)</f>
        <v/>
      </c>
      <c r="T1238" s="192">
        <f>$BC1238*V$11</f>
        <v/>
      </c>
      <c r="U1238" s="76">
        <f>$BC1238*W$11</f>
        <v/>
      </c>
      <c r="V1238" s="193">
        <f>+SUM(T1238:U1238)</f>
        <v/>
      </c>
      <c r="W1238" s="191" t="n"/>
      <c r="X1238" s="170" t="n"/>
      <c r="Y1238" s="76">
        <f>ROUND(IF(offer_incoterms="DDP",X1238*(S1238*(1+AW1238)+T1238),0),2)</f>
        <v/>
      </c>
      <c r="Z1238" s="188" t="n"/>
      <c r="AA1238" s="192">
        <f>IFERROR(AB1238/E1238,0)</f>
        <v/>
      </c>
      <c r="AB1238" s="76">
        <f>ROUND(SUM(S1238,V1238,Y1238:Z1238,BA1238:BB1238),2)</f>
        <v/>
      </c>
      <c r="AC1238" s="797" t="n"/>
      <c r="AD1238" s="192">
        <f t="array" ref="AD1238">IFERROR(ROUND((_xlfn.IFS(offer_sale_type="поставка",AB1238,offer_sale_type="транзит",S1238)*(1+AC1238))/E1238,2),0)</f>
        <v/>
      </c>
      <c r="AE1238" s="76">
        <f>AD1238*E1238</f>
        <v/>
      </c>
      <c r="AF1238" s="193">
        <f t="array" ref="AF1238">IFERROR(ROUND(_xlfn.IFS(offer_sale_type="поставка",AB1238,offer_sale_type="транзит",S1238)*AC1238,2),0)</f>
        <v/>
      </c>
      <c r="AG1238" s="192">
        <f>$BD1238*VLOOKUP($AG$3,$AF$4:$AG$7,2,FALSE)</f>
        <v/>
      </c>
      <c r="AH1238" s="76">
        <f>SUM(AE1238,AG1238,AI1238)*rate_forex_risk</f>
        <v/>
      </c>
      <c r="AI1238" s="193">
        <f>IF(OR(seller_region="TR",offer_sale_type="экспорт"),0,rate_fin_comm)*SUM(AZ1238,AZ1238*AW1238,T1238)</f>
        <v/>
      </c>
      <c r="AJ1238" s="118">
        <f>IFERROR(ROUND(SUM(AB1238,AF1238:AI1238)/E1238,2),0)</f>
        <v/>
      </c>
      <c r="AK1238" s="76">
        <f>AJ1238*E1238</f>
        <v/>
      </c>
      <c r="AL1238" s="174">
        <f>ROUND(IFERROR(AM1238*E1238,0),2)</f>
        <v/>
      </c>
      <c r="AM1238" s="175">
        <f>ROUND(AJ1238*(1+IF(offer_incoterms="DDP",IF((TODAY()+offer_turnaround_time)&gt;=helpsheet!$L$17,rate_vatRU_from_26,rate_vatRu_till_25),0)),2)</f>
        <v/>
      </c>
      <c r="AN1238" s="192">
        <f>AL1238-AK1238</f>
        <v/>
      </c>
      <c r="AO1238" s="76">
        <f>SUM(AY1238,Y1238:Z1238,T1238)*IF(AND(offer_incoterms="DDP",offer_sale_type&lt;&gt;"экспорт"),IF((TODAY()+offer_turnaround_time)&gt;=helpsheet!$L$17,rate_vatRU_from_26,rate_vatRu_till_25),0)</f>
        <v/>
      </c>
      <c r="AP1238" s="193">
        <f>AN1238-AO1238</f>
        <v/>
      </c>
      <c r="AQ1238" s="118">
        <f>IF(offer_sale_type="транзит",SUM(AF1238:AI1238,BA1238,BB1238),0)</f>
        <v/>
      </c>
      <c r="AR1238" s="82">
        <f>HYPERLINK("https://www.alta.ru/tnved/code/")&amp;W1238&amp;"/"</f>
        <v/>
      </c>
      <c r="AS1238" s="157" t="n"/>
      <c r="AT1238" s="162" t="n"/>
      <c r="AU1238" s="76">
        <f>IF(ISBLANK(AT1238),0,AJ1238-AT1238)</f>
        <v/>
      </c>
      <c r="AV1238" s="157" t="n"/>
      <c r="AW1238" s="75">
        <f>_xlfn.IFNA(VLOOKUP(L1238,list_vat[],3,FALSE),0)</f>
        <v/>
      </c>
      <c r="AX1238" s="76">
        <f>IFERROR(ROUND(S1238*(1+AW1238)/E1238,2),0)</f>
        <v/>
      </c>
      <c r="AY1238" s="76">
        <f>E1238*AX1238</f>
        <v/>
      </c>
      <c r="AZ1238" s="192">
        <f>S1238*(1+M1238)</f>
        <v/>
      </c>
      <c r="BA1238" s="76">
        <f>cost_fin_total*$BD1238</f>
        <v/>
      </c>
      <c r="BB1238" s="193">
        <f>credit_sales_interest*BD1238</f>
        <v/>
      </c>
      <c r="BC1238" s="102">
        <f>IFERROR(IF($I$13&gt;0,$I1238/$I$13,$S1238/$S$13),0)</f>
        <v/>
      </c>
      <c r="BD1238" s="102">
        <f>IFERROR($S1238/$S$13,0)</f>
        <v/>
      </c>
      <c r="BE1238" s="413" t="inlineStr">
        <is>
          <t>$</t>
        </is>
      </c>
    </row>
    <row r="1239" ht="12" customFormat="1" customHeight="1" s="65">
      <c r="A1239" s="43" t="n">
        <v>1224</v>
      </c>
      <c r="B1239" s="166" t="n"/>
      <c r="C1239" s="166" t="n"/>
      <c r="D1239" s="166" t="n"/>
      <c r="E1239" s="162" t="n"/>
      <c r="F1239" s="166" t="n"/>
      <c r="G1239" s="162" t="n"/>
      <c r="H1239" s="162" t="n"/>
      <c r="I1239" s="189">
        <f>E1239*G1239</f>
        <v/>
      </c>
      <c r="J1239" s="195" t="n"/>
      <c r="K1239" s="162" t="n"/>
      <c r="L1239" s="168" t="n"/>
      <c r="M1239" s="75">
        <f>_xlfn.XLOOKUP(L1239,list_vat[Страна],list_vat[Ставка НДС %],0,0)</f>
        <v/>
      </c>
      <c r="N1239" s="162">
        <f>IFERROR(IF(L1239="Китай",K1239,K1239/(1+M1239)),0)</f>
        <v/>
      </c>
      <c r="O1239" s="169" t="n"/>
      <c r="P1239" s="76">
        <f>N1239*(1-O1239)</f>
        <v/>
      </c>
      <c r="Q1239" s="162" t="n"/>
      <c r="R1239" s="162">
        <f>IF(ISBLANK(Q1239),"введи курс",P1239/Q1239)</f>
        <v/>
      </c>
      <c r="S1239" s="196">
        <f>IF(AND(ISNUMBER(E1239),ISNUMBER(Q1239)),E1239*R1239,0)</f>
        <v/>
      </c>
      <c r="T1239" s="192">
        <f>$BC1239*V$11</f>
        <v/>
      </c>
      <c r="U1239" s="76">
        <f>$BC1239*W$11</f>
        <v/>
      </c>
      <c r="V1239" s="193">
        <f>+SUM(T1239:U1239)</f>
        <v/>
      </c>
      <c r="W1239" s="191" t="n"/>
      <c r="X1239" s="170" t="n"/>
      <c r="Y1239" s="76">
        <f>ROUND(IF(offer_incoterms="DDP",X1239*(S1239*(1+AW1239)+T1239),0),2)</f>
        <v/>
      </c>
      <c r="Z1239" s="188" t="n"/>
      <c r="AA1239" s="192">
        <f>IFERROR(AB1239/E1239,0)</f>
        <v/>
      </c>
      <c r="AB1239" s="76">
        <f>ROUND(SUM(S1239,V1239,Y1239:Z1239,BA1239:BB1239),2)</f>
        <v/>
      </c>
      <c r="AC1239" s="797" t="n"/>
      <c r="AD1239" s="192">
        <f t="array" ref="AD1239">IFERROR(ROUND((_xlfn.IFS(offer_sale_type="поставка",AB1239,offer_sale_type="транзит",S1239)*(1+AC1239))/E1239,2),0)</f>
        <v/>
      </c>
      <c r="AE1239" s="76">
        <f>AD1239*E1239</f>
        <v/>
      </c>
      <c r="AF1239" s="193">
        <f t="array" ref="AF1239">IFERROR(ROUND(_xlfn.IFS(offer_sale_type="поставка",AB1239,offer_sale_type="транзит",S1239)*AC1239,2),0)</f>
        <v/>
      </c>
      <c r="AG1239" s="192">
        <f>$BD1239*VLOOKUP($AG$3,$AF$4:$AG$7,2,FALSE)</f>
        <v/>
      </c>
      <c r="AH1239" s="76">
        <f>SUM(AE1239,AG1239,AI1239)*rate_forex_risk</f>
        <v/>
      </c>
      <c r="AI1239" s="193">
        <f>IF(OR(seller_region="TR",offer_sale_type="экспорт"),0,rate_fin_comm)*SUM(AZ1239,AZ1239*AW1239,T1239)</f>
        <v/>
      </c>
      <c r="AJ1239" s="118">
        <f>IFERROR(ROUND(SUM(AB1239,AF1239:AI1239)/E1239,2),0)</f>
        <v/>
      </c>
      <c r="AK1239" s="76">
        <f>AJ1239*E1239</f>
        <v/>
      </c>
      <c r="AL1239" s="174">
        <f>ROUND(IFERROR(AM1239*E1239,0),2)</f>
        <v/>
      </c>
      <c r="AM1239" s="175">
        <f>ROUND(AJ1239*(1+IF(offer_incoterms="DDP",IF((TODAY()+offer_turnaround_time)&gt;=helpsheet!$L$17,rate_vatRU_from_26,rate_vatRu_till_25),0)),2)</f>
        <v/>
      </c>
      <c r="AN1239" s="192">
        <f>AL1239-AK1239</f>
        <v/>
      </c>
      <c r="AO1239" s="76">
        <f>SUM(AY1239,Y1239:Z1239,T1239)*IF(AND(offer_incoterms="DDP",offer_sale_type&lt;&gt;"экспорт"),IF((TODAY()+offer_turnaround_time)&gt;=helpsheet!$L$17,rate_vatRU_from_26,rate_vatRu_till_25),0)</f>
        <v/>
      </c>
      <c r="AP1239" s="193">
        <f>AN1239-AO1239</f>
        <v/>
      </c>
      <c r="AQ1239" s="118">
        <f>IF(offer_sale_type="транзит",SUM(AF1239:AI1239,BA1239,BB1239),0)</f>
        <v/>
      </c>
      <c r="AR1239" s="82">
        <f>HYPERLINK("https://www.alta.ru/tnved/code/")&amp;W1239&amp;"/"</f>
        <v/>
      </c>
      <c r="AS1239" s="157" t="n"/>
      <c r="AT1239" s="162" t="n"/>
      <c r="AU1239" s="76">
        <f>IF(ISBLANK(AT1239),0,AJ1239-AT1239)</f>
        <v/>
      </c>
      <c r="AV1239" s="157" t="n"/>
      <c r="AW1239" s="75">
        <f>_xlfn.IFNA(VLOOKUP(L1239,list_vat[],3,FALSE),0)</f>
        <v/>
      </c>
      <c r="AX1239" s="76">
        <f>IFERROR(ROUND(S1239*(1+AW1239)/E1239,2),0)</f>
        <v/>
      </c>
      <c r="AY1239" s="76">
        <f>E1239*AX1239</f>
        <v/>
      </c>
      <c r="AZ1239" s="192">
        <f>S1239*(1+M1239)</f>
        <v/>
      </c>
      <c r="BA1239" s="76">
        <f>cost_fin_total*$BD1239</f>
        <v/>
      </c>
      <c r="BB1239" s="193">
        <f>credit_sales_interest*BD1239</f>
        <v/>
      </c>
      <c r="BC1239" s="102">
        <f>IFERROR(IF($I$13&gt;0,$I1239/$I$13,$S1239/$S$13),0)</f>
        <v/>
      </c>
      <c r="BD1239" s="102">
        <f>IFERROR($S1239/$S$13,0)</f>
        <v/>
      </c>
      <c r="BE1239" s="413" t="inlineStr">
        <is>
          <t>$</t>
        </is>
      </c>
    </row>
    <row r="1240" ht="12" customFormat="1" customHeight="1" s="65">
      <c r="A1240" s="43" t="n">
        <v>1225</v>
      </c>
      <c r="B1240" s="166" t="n"/>
      <c r="C1240" s="166" t="n"/>
      <c r="D1240" s="166" t="n"/>
      <c r="E1240" s="162" t="n"/>
      <c r="F1240" s="166" t="n"/>
      <c r="G1240" s="162" t="n"/>
      <c r="H1240" s="162" t="n"/>
      <c r="I1240" s="189">
        <f>E1240*G1240</f>
        <v/>
      </c>
      <c r="J1240" s="195" t="n"/>
      <c r="K1240" s="162" t="n"/>
      <c r="L1240" s="168" t="n"/>
      <c r="M1240" s="75">
        <f>_xlfn.XLOOKUP(L1240,list_vat[Страна],list_vat[Ставка НДС %],0,0)</f>
        <v/>
      </c>
      <c r="N1240" s="162">
        <f>IFERROR(IF(L1240="Китай",K1240,K1240/(1+M1240)),0)</f>
        <v/>
      </c>
      <c r="O1240" s="169" t="n"/>
      <c r="P1240" s="76">
        <f>N1240*(1-O1240)</f>
        <v/>
      </c>
      <c r="Q1240" s="162" t="n"/>
      <c r="R1240" s="162">
        <f>IF(ISBLANK(Q1240),"введи курс",P1240/Q1240)</f>
        <v/>
      </c>
      <c r="S1240" s="196">
        <f>IF(AND(ISNUMBER(E1240),ISNUMBER(Q1240)),E1240*R1240,0)</f>
        <v/>
      </c>
      <c r="T1240" s="192">
        <f>$BC1240*V$11</f>
        <v/>
      </c>
      <c r="U1240" s="76">
        <f>$BC1240*W$11</f>
        <v/>
      </c>
      <c r="V1240" s="193">
        <f>+SUM(T1240:U1240)</f>
        <v/>
      </c>
      <c r="W1240" s="191" t="n"/>
      <c r="X1240" s="170" t="n"/>
      <c r="Y1240" s="76">
        <f>ROUND(IF(offer_incoterms="DDP",X1240*(S1240*(1+AW1240)+T1240),0),2)</f>
        <v/>
      </c>
      <c r="Z1240" s="188" t="n"/>
      <c r="AA1240" s="192">
        <f>IFERROR(AB1240/E1240,0)</f>
        <v/>
      </c>
      <c r="AB1240" s="76">
        <f>ROUND(SUM(S1240,V1240,Y1240:Z1240,BA1240:BB1240),2)</f>
        <v/>
      </c>
      <c r="AC1240" s="797" t="n"/>
      <c r="AD1240" s="192">
        <f t="array" ref="AD1240">IFERROR(ROUND((_xlfn.IFS(offer_sale_type="поставка",AB1240,offer_sale_type="транзит",S1240)*(1+AC1240))/E1240,2),0)</f>
        <v/>
      </c>
      <c r="AE1240" s="76">
        <f>AD1240*E1240</f>
        <v/>
      </c>
      <c r="AF1240" s="193">
        <f t="array" ref="AF1240">IFERROR(ROUND(_xlfn.IFS(offer_sale_type="поставка",AB1240,offer_sale_type="транзит",S1240)*AC1240,2),0)</f>
        <v/>
      </c>
      <c r="AG1240" s="192">
        <f>$BD1240*VLOOKUP($AG$3,$AF$4:$AG$7,2,FALSE)</f>
        <v/>
      </c>
      <c r="AH1240" s="76">
        <f>SUM(AE1240,AG1240,AI1240)*rate_forex_risk</f>
        <v/>
      </c>
      <c r="AI1240" s="193">
        <f>IF(OR(seller_region="TR",offer_sale_type="экспорт"),0,rate_fin_comm)*SUM(AZ1240,AZ1240*AW1240,T1240)</f>
        <v/>
      </c>
      <c r="AJ1240" s="118">
        <f>IFERROR(ROUND(SUM(AB1240,AF1240:AI1240)/E1240,2),0)</f>
        <v/>
      </c>
      <c r="AK1240" s="76">
        <f>AJ1240*E1240</f>
        <v/>
      </c>
      <c r="AL1240" s="174">
        <f>ROUND(IFERROR(AM1240*E1240,0),2)</f>
        <v/>
      </c>
      <c r="AM1240" s="175">
        <f>ROUND(AJ1240*(1+IF(offer_incoterms="DDP",IF((TODAY()+offer_turnaround_time)&gt;=helpsheet!$L$17,rate_vatRU_from_26,rate_vatRu_till_25),0)),2)</f>
        <v/>
      </c>
      <c r="AN1240" s="192">
        <f>AL1240-AK1240</f>
        <v/>
      </c>
      <c r="AO1240" s="76">
        <f>SUM(AY1240,Y1240:Z1240,T1240)*IF(AND(offer_incoterms="DDP",offer_sale_type&lt;&gt;"экспорт"),IF((TODAY()+offer_turnaround_time)&gt;=helpsheet!$L$17,rate_vatRU_from_26,rate_vatRu_till_25),0)</f>
        <v/>
      </c>
      <c r="AP1240" s="193">
        <f>AN1240-AO1240</f>
        <v/>
      </c>
      <c r="AQ1240" s="118">
        <f>IF(offer_sale_type="транзит",SUM(AF1240:AI1240,BA1240,BB1240),0)</f>
        <v/>
      </c>
      <c r="AR1240" s="82">
        <f>HYPERLINK("https://www.alta.ru/tnved/code/")&amp;W1240&amp;"/"</f>
        <v/>
      </c>
      <c r="AS1240" s="157" t="n"/>
      <c r="AT1240" s="162" t="n"/>
      <c r="AU1240" s="76">
        <f>IF(ISBLANK(AT1240),0,AJ1240-AT1240)</f>
        <v/>
      </c>
      <c r="AV1240" s="157" t="n"/>
      <c r="AW1240" s="75">
        <f>_xlfn.IFNA(VLOOKUP(L1240,list_vat[],3,FALSE),0)</f>
        <v/>
      </c>
      <c r="AX1240" s="76">
        <f>IFERROR(ROUND(S1240*(1+AW1240)/E1240,2),0)</f>
        <v/>
      </c>
      <c r="AY1240" s="76">
        <f>E1240*AX1240</f>
        <v/>
      </c>
      <c r="AZ1240" s="192">
        <f>S1240*(1+M1240)</f>
        <v/>
      </c>
      <c r="BA1240" s="76">
        <f>cost_fin_total*$BD1240</f>
        <v/>
      </c>
      <c r="BB1240" s="193">
        <f>credit_sales_interest*BD1240</f>
        <v/>
      </c>
      <c r="BC1240" s="102">
        <f>IFERROR(IF($I$13&gt;0,$I1240/$I$13,$S1240/$S$13),0)</f>
        <v/>
      </c>
      <c r="BD1240" s="102">
        <f>IFERROR($S1240/$S$13,0)</f>
        <v/>
      </c>
      <c r="BE1240" s="413" t="inlineStr">
        <is>
          <t>$</t>
        </is>
      </c>
    </row>
    <row r="1241" ht="12" customFormat="1" customHeight="1" s="65">
      <c r="A1241" s="43" t="n">
        <v>1226</v>
      </c>
      <c r="B1241" s="166" t="n"/>
      <c r="C1241" s="166" t="n"/>
      <c r="D1241" s="166" t="n"/>
      <c r="E1241" s="162" t="n"/>
      <c r="F1241" s="166" t="n"/>
      <c r="G1241" s="162" t="n"/>
      <c r="H1241" s="162" t="n"/>
      <c r="I1241" s="189">
        <f>E1241*G1241</f>
        <v/>
      </c>
      <c r="J1241" s="195" t="n"/>
      <c r="K1241" s="162" t="n"/>
      <c r="L1241" s="168" t="n"/>
      <c r="M1241" s="75">
        <f>_xlfn.XLOOKUP(L1241,list_vat[Страна],list_vat[Ставка НДС %],0,0)</f>
        <v/>
      </c>
      <c r="N1241" s="162">
        <f>IFERROR(IF(L1241="Китай",K1241,K1241/(1+M1241)),0)</f>
        <v/>
      </c>
      <c r="O1241" s="169" t="n"/>
      <c r="P1241" s="76">
        <f>N1241*(1-O1241)</f>
        <v/>
      </c>
      <c r="Q1241" s="162" t="n"/>
      <c r="R1241" s="162">
        <f>IF(ISBLANK(Q1241),"введи курс",P1241/Q1241)</f>
        <v/>
      </c>
      <c r="S1241" s="196">
        <f>IF(AND(ISNUMBER(E1241),ISNUMBER(Q1241)),E1241*R1241,0)</f>
        <v/>
      </c>
      <c r="T1241" s="192">
        <f>$BC1241*V$11</f>
        <v/>
      </c>
      <c r="U1241" s="76">
        <f>$BC1241*W$11</f>
        <v/>
      </c>
      <c r="V1241" s="193">
        <f>+SUM(T1241:U1241)</f>
        <v/>
      </c>
      <c r="W1241" s="191" t="n"/>
      <c r="X1241" s="170" t="n"/>
      <c r="Y1241" s="76">
        <f>ROUND(IF(offer_incoterms="DDP",X1241*(S1241*(1+AW1241)+T1241),0),2)</f>
        <v/>
      </c>
      <c r="Z1241" s="188" t="n"/>
      <c r="AA1241" s="192">
        <f>IFERROR(AB1241/E1241,0)</f>
        <v/>
      </c>
      <c r="AB1241" s="76">
        <f>ROUND(SUM(S1241,V1241,Y1241:Z1241,BA1241:BB1241),2)</f>
        <v/>
      </c>
      <c r="AC1241" s="797" t="n"/>
      <c r="AD1241" s="192">
        <f t="array" ref="AD1241">IFERROR(ROUND((_xlfn.IFS(offer_sale_type="поставка",AB1241,offer_sale_type="транзит",S1241)*(1+AC1241))/E1241,2),0)</f>
        <v/>
      </c>
      <c r="AE1241" s="76">
        <f>AD1241*E1241</f>
        <v/>
      </c>
      <c r="AF1241" s="193">
        <f t="array" ref="AF1241">IFERROR(ROUND(_xlfn.IFS(offer_sale_type="поставка",AB1241,offer_sale_type="транзит",S1241)*AC1241,2),0)</f>
        <v/>
      </c>
      <c r="AG1241" s="192">
        <f>$BD1241*VLOOKUP($AG$3,$AF$4:$AG$7,2,FALSE)</f>
        <v/>
      </c>
      <c r="AH1241" s="76">
        <f>SUM(AE1241,AG1241,AI1241)*rate_forex_risk</f>
        <v/>
      </c>
      <c r="AI1241" s="193">
        <f>IF(OR(seller_region="TR",offer_sale_type="экспорт"),0,rate_fin_comm)*SUM(AZ1241,AZ1241*AW1241,T1241)</f>
        <v/>
      </c>
      <c r="AJ1241" s="118">
        <f>IFERROR(ROUND(SUM(AB1241,AF1241:AI1241)/E1241,2),0)</f>
        <v/>
      </c>
      <c r="AK1241" s="76">
        <f>AJ1241*E1241</f>
        <v/>
      </c>
      <c r="AL1241" s="174">
        <f>ROUND(IFERROR(AM1241*E1241,0),2)</f>
        <v/>
      </c>
      <c r="AM1241" s="175">
        <f>ROUND(AJ1241*(1+IF(offer_incoterms="DDP",IF((TODAY()+offer_turnaround_time)&gt;=helpsheet!$L$17,rate_vatRU_from_26,rate_vatRu_till_25),0)),2)</f>
        <v/>
      </c>
      <c r="AN1241" s="192">
        <f>AL1241-AK1241</f>
        <v/>
      </c>
      <c r="AO1241" s="76">
        <f>SUM(AY1241,Y1241:Z1241,T1241)*IF(AND(offer_incoterms="DDP",offer_sale_type&lt;&gt;"экспорт"),IF((TODAY()+offer_turnaround_time)&gt;=helpsheet!$L$17,rate_vatRU_from_26,rate_vatRu_till_25),0)</f>
        <v/>
      </c>
      <c r="AP1241" s="193">
        <f>AN1241-AO1241</f>
        <v/>
      </c>
      <c r="AQ1241" s="118">
        <f>IF(offer_sale_type="транзит",SUM(AF1241:AI1241,BA1241,BB1241),0)</f>
        <v/>
      </c>
      <c r="AR1241" s="82">
        <f>HYPERLINK("https://www.alta.ru/tnved/code/")&amp;W1241&amp;"/"</f>
        <v/>
      </c>
      <c r="AS1241" s="157" t="n"/>
      <c r="AT1241" s="162" t="n"/>
      <c r="AU1241" s="76">
        <f>IF(ISBLANK(AT1241),0,AJ1241-AT1241)</f>
        <v/>
      </c>
      <c r="AV1241" s="157" t="n"/>
      <c r="AW1241" s="75">
        <f>_xlfn.IFNA(VLOOKUP(L1241,list_vat[],3,FALSE),0)</f>
        <v/>
      </c>
      <c r="AX1241" s="76">
        <f>IFERROR(ROUND(S1241*(1+AW1241)/E1241,2),0)</f>
        <v/>
      </c>
      <c r="AY1241" s="76">
        <f>E1241*AX1241</f>
        <v/>
      </c>
      <c r="AZ1241" s="192">
        <f>S1241*(1+M1241)</f>
        <v/>
      </c>
      <c r="BA1241" s="76">
        <f>cost_fin_total*$BD1241</f>
        <v/>
      </c>
      <c r="BB1241" s="193">
        <f>credit_sales_interest*BD1241</f>
        <v/>
      </c>
      <c r="BC1241" s="102">
        <f>IFERROR(IF($I$13&gt;0,$I1241/$I$13,$S1241/$S$13),0)</f>
        <v/>
      </c>
      <c r="BD1241" s="102">
        <f>IFERROR($S1241/$S$13,0)</f>
        <v/>
      </c>
      <c r="BE1241" s="413" t="inlineStr">
        <is>
          <t>$</t>
        </is>
      </c>
    </row>
    <row r="1242" ht="12" customFormat="1" customHeight="1" s="65">
      <c r="A1242" s="43" t="n">
        <v>1227</v>
      </c>
      <c r="B1242" s="166" t="n"/>
      <c r="C1242" s="166" t="n"/>
      <c r="D1242" s="166" t="n"/>
      <c r="E1242" s="162" t="n"/>
      <c r="F1242" s="166" t="n"/>
      <c r="G1242" s="162" t="n"/>
      <c r="H1242" s="162" t="n"/>
      <c r="I1242" s="189">
        <f>E1242*G1242</f>
        <v/>
      </c>
      <c r="J1242" s="195" t="n"/>
      <c r="K1242" s="162" t="n"/>
      <c r="L1242" s="168" t="n"/>
      <c r="M1242" s="75">
        <f>_xlfn.XLOOKUP(L1242,list_vat[Страна],list_vat[Ставка НДС %],0,0)</f>
        <v/>
      </c>
      <c r="N1242" s="162">
        <f>IFERROR(IF(L1242="Китай",K1242,K1242/(1+M1242)),0)</f>
        <v/>
      </c>
      <c r="O1242" s="169" t="n"/>
      <c r="P1242" s="76">
        <f>N1242*(1-O1242)</f>
        <v/>
      </c>
      <c r="Q1242" s="162" t="n"/>
      <c r="R1242" s="162">
        <f>IF(ISBLANK(Q1242),"введи курс",P1242/Q1242)</f>
        <v/>
      </c>
      <c r="S1242" s="196">
        <f>IF(AND(ISNUMBER(E1242),ISNUMBER(Q1242)),E1242*R1242,0)</f>
        <v/>
      </c>
      <c r="T1242" s="192">
        <f>$BC1242*V$11</f>
        <v/>
      </c>
      <c r="U1242" s="76">
        <f>$BC1242*W$11</f>
        <v/>
      </c>
      <c r="V1242" s="193">
        <f>+SUM(T1242:U1242)</f>
        <v/>
      </c>
      <c r="W1242" s="191" t="n"/>
      <c r="X1242" s="170" t="n"/>
      <c r="Y1242" s="76">
        <f>ROUND(IF(offer_incoterms="DDP",X1242*(S1242*(1+AW1242)+T1242),0),2)</f>
        <v/>
      </c>
      <c r="Z1242" s="188" t="n"/>
      <c r="AA1242" s="192">
        <f>IFERROR(AB1242/E1242,0)</f>
        <v/>
      </c>
      <c r="AB1242" s="76">
        <f>ROUND(SUM(S1242,V1242,Y1242:Z1242,BA1242:BB1242),2)</f>
        <v/>
      </c>
      <c r="AC1242" s="797" t="n"/>
      <c r="AD1242" s="192">
        <f t="array" ref="AD1242">IFERROR(ROUND((_xlfn.IFS(offer_sale_type="поставка",AB1242,offer_sale_type="транзит",S1242)*(1+AC1242))/E1242,2),0)</f>
        <v/>
      </c>
      <c r="AE1242" s="76">
        <f>AD1242*E1242</f>
        <v/>
      </c>
      <c r="AF1242" s="193">
        <f t="array" ref="AF1242">IFERROR(ROUND(_xlfn.IFS(offer_sale_type="поставка",AB1242,offer_sale_type="транзит",S1242)*AC1242,2),0)</f>
        <v/>
      </c>
      <c r="AG1242" s="192">
        <f>$BD1242*VLOOKUP($AG$3,$AF$4:$AG$7,2,FALSE)</f>
        <v/>
      </c>
      <c r="AH1242" s="76">
        <f>SUM(AE1242,AG1242,AI1242)*rate_forex_risk</f>
        <v/>
      </c>
      <c r="AI1242" s="193">
        <f>IF(OR(seller_region="TR",offer_sale_type="экспорт"),0,rate_fin_comm)*SUM(AZ1242,AZ1242*AW1242,T1242)</f>
        <v/>
      </c>
      <c r="AJ1242" s="118">
        <f>IFERROR(ROUND(SUM(AB1242,AF1242:AI1242)/E1242,2),0)</f>
        <v/>
      </c>
      <c r="AK1242" s="76">
        <f>AJ1242*E1242</f>
        <v/>
      </c>
      <c r="AL1242" s="174">
        <f>ROUND(IFERROR(AM1242*E1242,0),2)</f>
        <v/>
      </c>
      <c r="AM1242" s="175">
        <f>ROUND(AJ1242*(1+IF(offer_incoterms="DDP",IF((TODAY()+offer_turnaround_time)&gt;=helpsheet!$L$17,rate_vatRU_from_26,rate_vatRu_till_25),0)),2)</f>
        <v/>
      </c>
      <c r="AN1242" s="192">
        <f>AL1242-AK1242</f>
        <v/>
      </c>
      <c r="AO1242" s="76">
        <f>SUM(AY1242,Y1242:Z1242,T1242)*IF(AND(offer_incoterms="DDP",offer_sale_type&lt;&gt;"экспорт"),IF((TODAY()+offer_turnaround_time)&gt;=helpsheet!$L$17,rate_vatRU_from_26,rate_vatRu_till_25),0)</f>
        <v/>
      </c>
      <c r="AP1242" s="193">
        <f>AN1242-AO1242</f>
        <v/>
      </c>
      <c r="AQ1242" s="118">
        <f>IF(offer_sale_type="транзит",SUM(AF1242:AI1242,BA1242,BB1242),0)</f>
        <v/>
      </c>
      <c r="AR1242" s="82">
        <f>HYPERLINK("https://www.alta.ru/tnved/code/")&amp;W1242&amp;"/"</f>
        <v/>
      </c>
      <c r="AS1242" s="157" t="n"/>
      <c r="AT1242" s="162" t="n"/>
      <c r="AU1242" s="76">
        <f>IF(ISBLANK(AT1242),0,AJ1242-AT1242)</f>
        <v/>
      </c>
      <c r="AV1242" s="157" t="n"/>
      <c r="AW1242" s="75">
        <f>_xlfn.IFNA(VLOOKUP(L1242,list_vat[],3,FALSE),0)</f>
        <v/>
      </c>
      <c r="AX1242" s="76">
        <f>IFERROR(ROUND(S1242*(1+AW1242)/E1242,2),0)</f>
        <v/>
      </c>
      <c r="AY1242" s="76">
        <f>E1242*AX1242</f>
        <v/>
      </c>
      <c r="AZ1242" s="192">
        <f>S1242*(1+M1242)</f>
        <v/>
      </c>
      <c r="BA1242" s="76">
        <f>cost_fin_total*$BD1242</f>
        <v/>
      </c>
      <c r="BB1242" s="193">
        <f>credit_sales_interest*BD1242</f>
        <v/>
      </c>
      <c r="BC1242" s="102">
        <f>IFERROR(IF($I$13&gt;0,$I1242/$I$13,$S1242/$S$13),0)</f>
        <v/>
      </c>
      <c r="BD1242" s="102">
        <f>IFERROR($S1242/$S$13,0)</f>
        <v/>
      </c>
      <c r="BE1242" s="413" t="inlineStr">
        <is>
          <t>$</t>
        </is>
      </c>
    </row>
    <row r="1243" ht="12" customFormat="1" customHeight="1" s="65">
      <c r="A1243" s="43" t="n">
        <v>1228</v>
      </c>
      <c r="B1243" s="166" t="n"/>
      <c r="C1243" s="166" t="n"/>
      <c r="D1243" s="166" t="n"/>
      <c r="E1243" s="162" t="n"/>
      <c r="F1243" s="166" t="n"/>
      <c r="G1243" s="162" t="n"/>
      <c r="H1243" s="162" t="n"/>
      <c r="I1243" s="189">
        <f>E1243*G1243</f>
        <v/>
      </c>
      <c r="J1243" s="195" t="n"/>
      <c r="K1243" s="162" t="n"/>
      <c r="L1243" s="168" t="n"/>
      <c r="M1243" s="75">
        <f>_xlfn.XLOOKUP(L1243,list_vat[Страна],list_vat[Ставка НДС %],0,0)</f>
        <v/>
      </c>
      <c r="N1243" s="162">
        <f>IFERROR(IF(L1243="Китай",K1243,K1243/(1+M1243)),0)</f>
        <v/>
      </c>
      <c r="O1243" s="169" t="n"/>
      <c r="P1243" s="76">
        <f>N1243*(1-O1243)</f>
        <v/>
      </c>
      <c r="Q1243" s="162" t="n"/>
      <c r="R1243" s="162">
        <f>IF(ISBLANK(Q1243),"введи курс",P1243/Q1243)</f>
        <v/>
      </c>
      <c r="S1243" s="196">
        <f>IF(AND(ISNUMBER(E1243),ISNUMBER(Q1243)),E1243*R1243,0)</f>
        <v/>
      </c>
      <c r="T1243" s="192">
        <f>$BC1243*V$11</f>
        <v/>
      </c>
      <c r="U1243" s="76">
        <f>$BC1243*W$11</f>
        <v/>
      </c>
      <c r="V1243" s="193">
        <f>+SUM(T1243:U1243)</f>
        <v/>
      </c>
      <c r="W1243" s="191" t="n"/>
      <c r="X1243" s="170" t="n"/>
      <c r="Y1243" s="76">
        <f>ROUND(IF(offer_incoterms="DDP",X1243*(S1243*(1+AW1243)+T1243),0),2)</f>
        <v/>
      </c>
      <c r="Z1243" s="188" t="n"/>
      <c r="AA1243" s="192">
        <f>IFERROR(AB1243/E1243,0)</f>
        <v/>
      </c>
      <c r="AB1243" s="76">
        <f>ROUND(SUM(S1243,V1243,Y1243:Z1243,BA1243:BB1243),2)</f>
        <v/>
      </c>
      <c r="AC1243" s="797" t="n"/>
      <c r="AD1243" s="192">
        <f t="array" ref="AD1243">IFERROR(ROUND((_xlfn.IFS(offer_sale_type="поставка",AB1243,offer_sale_type="транзит",S1243)*(1+AC1243))/E1243,2),0)</f>
        <v/>
      </c>
      <c r="AE1243" s="76">
        <f>AD1243*E1243</f>
        <v/>
      </c>
      <c r="AF1243" s="193">
        <f t="array" ref="AF1243">IFERROR(ROUND(_xlfn.IFS(offer_sale_type="поставка",AB1243,offer_sale_type="транзит",S1243)*AC1243,2),0)</f>
        <v/>
      </c>
      <c r="AG1243" s="192">
        <f>$BD1243*VLOOKUP($AG$3,$AF$4:$AG$7,2,FALSE)</f>
        <v/>
      </c>
      <c r="AH1243" s="76">
        <f>SUM(AE1243,AG1243,AI1243)*rate_forex_risk</f>
        <v/>
      </c>
      <c r="AI1243" s="193">
        <f>IF(OR(seller_region="TR",offer_sale_type="экспорт"),0,rate_fin_comm)*SUM(AZ1243,AZ1243*AW1243,T1243)</f>
        <v/>
      </c>
      <c r="AJ1243" s="118">
        <f>IFERROR(ROUND(SUM(AB1243,AF1243:AI1243)/E1243,2),0)</f>
        <v/>
      </c>
      <c r="AK1243" s="76">
        <f>AJ1243*E1243</f>
        <v/>
      </c>
      <c r="AL1243" s="174">
        <f>ROUND(IFERROR(AM1243*E1243,0),2)</f>
        <v/>
      </c>
      <c r="AM1243" s="175">
        <f>ROUND(AJ1243*(1+IF(offer_incoterms="DDP",IF((TODAY()+offer_turnaround_time)&gt;=helpsheet!$L$17,rate_vatRU_from_26,rate_vatRu_till_25),0)),2)</f>
        <v/>
      </c>
      <c r="AN1243" s="192">
        <f>AL1243-AK1243</f>
        <v/>
      </c>
      <c r="AO1243" s="76">
        <f>SUM(AY1243,Y1243:Z1243,T1243)*IF(AND(offer_incoterms="DDP",offer_sale_type&lt;&gt;"экспорт"),IF((TODAY()+offer_turnaround_time)&gt;=helpsheet!$L$17,rate_vatRU_from_26,rate_vatRu_till_25),0)</f>
        <v/>
      </c>
      <c r="AP1243" s="193">
        <f>AN1243-AO1243</f>
        <v/>
      </c>
      <c r="AQ1243" s="118">
        <f>IF(offer_sale_type="транзит",SUM(AF1243:AI1243,BA1243,BB1243),0)</f>
        <v/>
      </c>
      <c r="AR1243" s="82">
        <f>HYPERLINK("https://www.alta.ru/tnved/code/")&amp;W1243&amp;"/"</f>
        <v/>
      </c>
      <c r="AS1243" s="157" t="n"/>
      <c r="AT1243" s="162" t="n"/>
      <c r="AU1243" s="76">
        <f>IF(ISBLANK(AT1243),0,AJ1243-AT1243)</f>
        <v/>
      </c>
      <c r="AV1243" s="157" t="n"/>
      <c r="AW1243" s="75">
        <f>_xlfn.IFNA(VLOOKUP(L1243,list_vat[],3,FALSE),0)</f>
        <v/>
      </c>
      <c r="AX1243" s="76">
        <f>IFERROR(ROUND(S1243*(1+AW1243)/E1243,2),0)</f>
        <v/>
      </c>
      <c r="AY1243" s="76">
        <f>E1243*AX1243</f>
        <v/>
      </c>
      <c r="AZ1243" s="192">
        <f>S1243*(1+M1243)</f>
        <v/>
      </c>
      <c r="BA1243" s="76">
        <f>cost_fin_total*$BD1243</f>
        <v/>
      </c>
      <c r="BB1243" s="193">
        <f>credit_sales_interest*BD1243</f>
        <v/>
      </c>
      <c r="BC1243" s="102">
        <f>IFERROR(IF($I$13&gt;0,$I1243/$I$13,$S1243/$S$13),0)</f>
        <v/>
      </c>
      <c r="BD1243" s="102">
        <f>IFERROR($S1243/$S$13,0)</f>
        <v/>
      </c>
      <c r="BE1243" s="413" t="inlineStr">
        <is>
          <t>$</t>
        </is>
      </c>
    </row>
    <row r="1244" ht="12" customFormat="1" customHeight="1" s="65">
      <c r="A1244" s="43" t="n">
        <v>1229</v>
      </c>
      <c r="B1244" s="166" t="n"/>
      <c r="C1244" s="166" t="n"/>
      <c r="D1244" s="166" t="n"/>
      <c r="E1244" s="162" t="n"/>
      <c r="F1244" s="166" t="n"/>
      <c r="G1244" s="162" t="n"/>
      <c r="H1244" s="162" t="n"/>
      <c r="I1244" s="189">
        <f>E1244*G1244</f>
        <v/>
      </c>
      <c r="J1244" s="195" t="n"/>
      <c r="K1244" s="162" t="n"/>
      <c r="L1244" s="168" t="n"/>
      <c r="M1244" s="75">
        <f>_xlfn.XLOOKUP(L1244,list_vat[Страна],list_vat[Ставка НДС %],0,0)</f>
        <v/>
      </c>
      <c r="N1244" s="162">
        <f>IFERROR(IF(L1244="Китай",K1244,K1244/(1+M1244)),0)</f>
        <v/>
      </c>
      <c r="O1244" s="169" t="n"/>
      <c r="P1244" s="76">
        <f>N1244*(1-O1244)</f>
        <v/>
      </c>
      <c r="Q1244" s="162" t="n"/>
      <c r="R1244" s="162">
        <f>IF(ISBLANK(Q1244),"введи курс",P1244/Q1244)</f>
        <v/>
      </c>
      <c r="S1244" s="196">
        <f>IF(AND(ISNUMBER(E1244),ISNUMBER(Q1244)),E1244*R1244,0)</f>
        <v/>
      </c>
      <c r="T1244" s="192">
        <f>$BC1244*V$11</f>
        <v/>
      </c>
      <c r="U1244" s="76">
        <f>$BC1244*W$11</f>
        <v/>
      </c>
      <c r="V1244" s="193">
        <f>+SUM(T1244:U1244)</f>
        <v/>
      </c>
      <c r="W1244" s="191" t="n"/>
      <c r="X1244" s="170" t="n"/>
      <c r="Y1244" s="76">
        <f>ROUND(IF(offer_incoterms="DDP",X1244*(S1244*(1+AW1244)+T1244),0),2)</f>
        <v/>
      </c>
      <c r="Z1244" s="188" t="n"/>
      <c r="AA1244" s="192">
        <f>IFERROR(AB1244/E1244,0)</f>
        <v/>
      </c>
      <c r="AB1244" s="76">
        <f>ROUND(SUM(S1244,V1244,Y1244:Z1244,BA1244:BB1244),2)</f>
        <v/>
      </c>
      <c r="AC1244" s="797" t="n"/>
      <c r="AD1244" s="192">
        <f t="array" ref="AD1244">IFERROR(ROUND((_xlfn.IFS(offer_sale_type="поставка",AB1244,offer_sale_type="транзит",S1244)*(1+AC1244))/E1244,2),0)</f>
        <v/>
      </c>
      <c r="AE1244" s="76">
        <f>AD1244*E1244</f>
        <v/>
      </c>
      <c r="AF1244" s="193">
        <f t="array" ref="AF1244">IFERROR(ROUND(_xlfn.IFS(offer_sale_type="поставка",AB1244,offer_sale_type="транзит",S1244)*AC1244,2),0)</f>
        <v/>
      </c>
      <c r="AG1244" s="192">
        <f>$BD1244*VLOOKUP($AG$3,$AF$4:$AG$7,2,FALSE)</f>
        <v/>
      </c>
      <c r="AH1244" s="76">
        <f>SUM(AE1244,AG1244,AI1244)*rate_forex_risk</f>
        <v/>
      </c>
      <c r="AI1244" s="193">
        <f>IF(OR(seller_region="TR",offer_sale_type="экспорт"),0,rate_fin_comm)*SUM(AZ1244,AZ1244*AW1244,T1244)</f>
        <v/>
      </c>
      <c r="AJ1244" s="118">
        <f>IFERROR(ROUND(SUM(AB1244,AF1244:AI1244)/E1244,2),0)</f>
        <v/>
      </c>
      <c r="AK1244" s="76">
        <f>AJ1244*E1244</f>
        <v/>
      </c>
      <c r="AL1244" s="174">
        <f>ROUND(IFERROR(AM1244*E1244,0),2)</f>
        <v/>
      </c>
      <c r="AM1244" s="175">
        <f>ROUND(AJ1244*(1+IF(offer_incoterms="DDP",IF((TODAY()+offer_turnaround_time)&gt;=helpsheet!$L$17,rate_vatRU_from_26,rate_vatRu_till_25),0)),2)</f>
        <v/>
      </c>
      <c r="AN1244" s="192">
        <f>AL1244-AK1244</f>
        <v/>
      </c>
      <c r="AO1244" s="76">
        <f>SUM(AY1244,Y1244:Z1244,T1244)*IF(AND(offer_incoterms="DDP",offer_sale_type&lt;&gt;"экспорт"),IF((TODAY()+offer_turnaround_time)&gt;=helpsheet!$L$17,rate_vatRU_from_26,rate_vatRu_till_25),0)</f>
        <v/>
      </c>
      <c r="AP1244" s="193">
        <f>AN1244-AO1244</f>
        <v/>
      </c>
      <c r="AQ1244" s="118">
        <f>IF(offer_sale_type="транзит",SUM(AF1244:AI1244,BA1244,BB1244),0)</f>
        <v/>
      </c>
      <c r="AR1244" s="82">
        <f>HYPERLINK("https://www.alta.ru/tnved/code/")&amp;W1244&amp;"/"</f>
        <v/>
      </c>
      <c r="AS1244" s="157" t="n"/>
      <c r="AT1244" s="162" t="n"/>
      <c r="AU1244" s="76">
        <f>IF(ISBLANK(AT1244),0,AJ1244-AT1244)</f>
        <v/>
      </c>
      <c r="AV1244" s="157" t="n"/>
      <c r="AW1244" s="75">
        <f>_xlfn.IFNA(VLOOKUP(L1244,list_vat[],3,FALSE),0)</f>
        <v/>
      </c>
      <c r="AX1244" s="76">
        <f>IFERROR(ROUND(S1244*(1+AW1244)/E1244,2),0)</f>
        <v/>
      </c>
      <c r="AY1244" s="76">
        <f>E1244*AX1244</f>
        <v/>
      </c>
      <c r="AZ1244" s="192">
        <f>S1244*(1+M1244)</f>
        <v/>
      </c>
      <c r="BA1244" s="76">
        <f>cost_fin_total*$BD1244</f>
        <v/>
      </c>
      <c r="BB1244" s="193">
        <f>credit_sales_interest*BD1244</f>
        <v/>
      </c>
      <c r="BC1244" s="102">
        <f>IFERROR(IF($I$13&gt;0,$I1244/$I$13,$S1244/$S$13),0)</f>
        <v/>
      </c>
      <c r="BD1244" s="102">
        <f>IFERROR($S1244/$S$13,0)</f>
        <v/>
      </c>
      <c r="BE1244" s="413" t="inlineStr">
        <is>
          <t>$</t>
        </is>
      </c>
    </row>
    <row r="1245" ht="12" customFormat="1" customHeight="1" s="65">
      <c r="A1245" s="43" t="n">
        <v>1230</v>
      </c>
      <c r="B1245" s="166" t="n"/>
      <c r="C1245" s="166" t="n"/>
      <c r="D1245" s="166" t="n"/>
      <c r="E1245" s="162" t="n"/>
      <c r="F1245" s="166" t="n"/>
      <c r="G1245" s="162" t="n"/>
      <c r="H1245" s="162" t="n"/>
      <c r="I1245" s="189">
        <f>E1245*G1245</f>
        <v/>
      </c>
      <c r="J1245" s="195" t="n"/>
      <c r="K1245" s="162" t="n"/>
      <c r="L1245" s="168" t="n"/>
      <c r="M1245" s="75">
        <f>_xlfn.XLOOKUP(L1245,list_vat[Страна],list_vat[Ставка НДС %],0,0)</f>
        <v/>
      </c>
      <c r="N1245" s="162">
        <f>IFERROR(IF(L1245="Китай",K1245,K1245/(1+M1245)),0)</f>
        <v/>
      </c>
      <c r="O1245" s="169" t="n"/>
      <c r="P1245" s="76">
        <f>N1245*(1-O1245)</f>
        <v/>
      </c>
      <c r="Q1245" s="162" t="n"/>
      <c r="R1245" s="162">
        <f>IF(ISBLANK(Q1245),"введи курс",P1245/Q1245)</f>
        <v/>
      </c>
      <c r="S1245" s="196">
        <f>IF(AND(ISNUMBER(E1245),ISNUMBER(Q1245)),E1245*R1245,0)</f>
        <v/>
      </c>
      <c r="T1245" s="192">
        <f>$BC1245*V$11</f>
        <v/>
      </c>
      <c r="U1245" s="76">
        <f>$BC1245*W$11</f>
        <v/>
      </c>
      <c r="V1245" s="193">
        <f>+SUM(T1245:U1245)</f>
        <v/>
      </c>
      <c r="W1245" s="191" t="n"/>
      <c r="X1245" s="170" t="n"/>
      <c r="Y1245" s="76">
        <f>ROUND(IF(offer_incoterms="DDP",X1245*(S1245*(1+AW1245)+T1245),0),2)</f>
        <v/>
      </c>
      <c r="Z1245" s="188" t="n"/>
      <c r="AA1245" s="192">
        <f>IFERROR(AB1245/E1245,0)</f>
        <v/>
      </c>
      <c r="AB1245" s="76">
        <f>ROUND(SUM(S1245,V1245,Y1245:Z1245,BA1245:BB1245),2)</f>
        <v/>
      </c>
      <c r="AC1245" s="797" t="n"/>
      <c r="AD1245" s="192">
        <f t="array" ref="AD1245">IFERROR(ROUND((_xlfn.IFS(offer_sale_type="поставка",AB1245,offer_sale_type="транзит",S1245)*(1+AC1245))/E1245,2),0)</f>
        <v/>
      </c>
      <c r="AE1245" s="76">
        <f>AD1245*E1245</f>
        <v/>
      </c>
      <c r="AF1245" s="193">
        <f t="array" ref="AF1245">IFERROR(ROUND(_xlfn.IFS(offer_sale_type="поставка",AB1245,offer_sale_type="транзит",S1245)*AC1245,2),0)</f>
        <v/>
      </c>
      <c r="AG1245" s="192">
        <f>$BD1245*VLOOKUP($AG$3,$AF$4:$AG$7,2,FALSE)</f>
        <v/>
      </c>
      <c r="AH1245" s="76">
        <f>SUM(AE1245,AG1245,AI1245)*rate_forex_risk</f>
        <v/>
      </c>
      <c r="AI1245" s="193">
        <f>IF(OR(seller_region="TR",offer_sale_type="экспорт"),0,rate_fin_comm)*SUM(AZ1245,AZ1245*AW1245,T1245)</f>
        <v/>
      </c>
      <c r="AJ1245" s="118">
        <f>IFERROR(ROUND(SUM(AB1245,AF1245:AI1245)/E1245,2),0)</f>
        <v/>
      </c>
      <c r="AK1245" s="76">
        <f>AJ1245*E1245</f>
        <v/>
      </c>
      <c r="AL1245" s="174">
        <f>ROUND(IFERROR(AM1245*E1245,0),2)</f>
        <v/>
      </c>
      <c r="AM1245" s="175">
        <f>ROUND(AJ1245*(1+IF(offer_incoterms="DDP",IF((TODAY()+offer_turnaround_time)&gt;=helpsheet!$L$17,rate_vatRU_from_26,rate_vatRu_till_25),0)),2)</f>
        <v/>
      </c>
      <c r="AN1245" s="192">
        <f>AL1245-AK1245</f>
        <v/>
      </c>
      <c r="AO1245" s="76">
        <f>SUM(AY1245,Y1245:Z1245,T1245)*IF(AND(offer_incoterms="DDP",offer_sale_type&lt;&gt;"экспорт"),IF((TODAY()+offer_turnaround_time)&gt;=helpsheet!$L$17,rate_vatRU_from_26,rate_vatRu_till_25),0)</f>
        <v/>
      </c>
      <c r="AP1245" s="193">
        <f>AN1245-AO1245</f>
        <v/>
      </c>
      <c r="AQ1245" s="118">
        <f>IF(offer_sale_type="транзит",SUM(AF1245:AI1245,BA1245,BB1245),0)</f>
        <v/>
      </c>
      <c r="AR1245" s="82">
        <f>HYPERLINK("https://www.alta.ru/tnved/code/")&amp;W1245&amp;"/"</f>
        <v/>
      </c>
      <c r="AS1245" s="157" t="n"/>
      <c r="AT1245" s="162" t="n"/>
      <c r="AU1245" s="76">
        <f>IF(ISBLANK(AT1245),0,AJ1245-AT1245)</f>
        <v/>
      </c>
      <c r="AV1245" s="157" t="n"/>
      <c r="AW1245" s="75">
        <f>_xlfn.IFNA(VLOOKUP(L1245,list_vat[],3,FALSE),0)</f>
        <v/>
      </c>
      <c r="AX1245" s="76">
        <f>IFERROR(ROUND(S1245*(1+AW1245)/E1245,2),0)</f>
        <v/>
      </c>
      <c r="AY1245" s="76">
        <f>E1245*AX1245</f>
        <v/>
      </c>
      <c r="AZ1245" s="192">
        <f>S1245*(1+M1245)</f>
        <v/>
      </c>
      <c r="BA1245" s="76">
        <f>cost_fin_total*$BD1245</f>
        <v/>
      </c>
      <c r="BB1245" s="193">
        <f>credit_sales_interest*BD1245</f>
        <v/>
      </c>
      <c r="BC1245" s="102">
        <f>IFERROR(IF($I$13&gt;0,$I1245/$I$13,$S1245/$S$13),0)</f>
        <v/>
      </c>
      <c r="BD1245" s="102">
        <f>IFERROR($S1245/$S$13,0)</f>
        <v/>
      </c>
      <c r="BE1245" s="413" t="inlineStr">
        <is>
          <t>$</t>
        </is>
      </c>
    </row>
    <row r="1246" ht="12" customFormat="1" customHeight="1" s="65">
      <c r="A1246" s="43" t="n">
        <v>1231</v>
      </c>
      <c r="B1246" s="166" t="n"/>
      <c r="C1246" s="166" t="n"/>
      <c r="D1246" s="166" t="n"/>
      <c r="E1246" s="162" t="n"/>
      <c r="F1246" s="166" t="n"/>
      <c r="G1246" s="162" t="n"/>
      <c r="H1246" s="162" t="n"/>
      <c r="I1246" s="189">
        <f>E1246*G1246</f>
        <v/>
      </c>
      <c r="J1246" s="195" t="n"/>
      <c r="K1246" s="162" t="n"/>
      <c r="L1246" s="168" t="n"/>
      <c r="M1246" s="75">
        <f>_xlfn.XLOOKUP(L1246,list_vat[Страна],list_vat[Ставка НДС %],0,0)</f>
        <v/>
      </c>
      <c r="N1246" s="162">
        <f>IFERROR(IF(L1246="Китай",K1246,K1246/(1+M1246)),0)</f>
        <v/>
      </c>
      <c r="O1246" s="169" t="n"/>
      <c r="P1246" s="76">
        <f>N1246*(1-O1246)</f>
        <v/>
      </c>
      <c r="Q1246" s="162" t="n"/>
      <c r="R1246" s="162">
        <f>IF(ISBLANK(Q1246),"введи курс",P1246/Q1246)</f>
        <v/>
      </c>
      <c r="S1246" s="196">
        <f>IF(AND(ISNUMBER(E1246),ISNUMBER(Q1246)),E1246*R1246,0)</f>
        <v/>
      </c>
      <c r="T1246" s="192">
        <f>$BC1246*V$11</f>
        <v/>
      </c>
      <c r="U1246" s="76">
        <f>$BC1246*W$11</f>
        <v/>
      </c>
      <c r="V1246" s="193">
        <f>+SUM(T1246:U1246)</f>
        <v/>
      </c>
      <c r="W1246" s="191" t="n"/>
      <c r="X1246" s="170" t="n"/>
      <c r="Y1246" s="76">
        <f>ROUND(IF(offer_incoterms="DDP",X1246*(S1246*(1+AW1246)+T1246),0),2)</f>
        <v/>
      </c>
      <c r="Z1246" s="188" t="n"/>
      <c r="AA1246" s="192">
        <f>IFERROR(AB1246/E1246,0)</f>
        <v/>
      </c>
      <c r="AB1246" s="76">
        <f>ROUND(SUM(S1246,V1246,Y1246:Z1246,BA1246:BB1246),2)</f>
        <v/>
      </c>
      <c r="AC1246" s="797" t="n"/>
      <c r="AD1246" s="192">
        <f t="array" ref="AD1246">IFERROR(ROUND((_xlfn.IFS(offer_sale_type="поставка",AB1246,offer_sale_type="транзит",S1246)*(1+AC1246))/E1246,2),0)</f>
        <v/>
      </c>
      <c r="AE1246" s="76">
        <f>AD1246*E1246</f>
        <v/>
      </c>
      <c r="AF1246" s="193">
        <f t="array" ref="AF1246">IFERROR(ROUND(_xlfn.IFS(offer_sale_type="поставка",AB1246,offer_sale_type="транзит",S1246)*AC1246,2),0)</f>
        <v/>
      </c>
      <c r="AG1246" s="192">
        <f>$BD1246*VLOOKUP($AG$3,$AF$4:$AG$7,2,FALSE)</f>
        <v/>
      </c>
      <c r="AH1246" s="76">
        <f>SUM(AE1246,AG1246,AI1246)*rate_forex_risk</f>
        <v/>
      </c>
      <c r="AI1246" s="193">
        <f>IF(OR(seller_region="TR",offer_sale_type="экспорт"),0,rate_fin_comm)*SUM(AZ1246,AZ1246*AW1246,T1246)</f>
        <v/>
      </c>
      <c r="AJ1246" s="118">
        <f>IFERROR(ROUND(SUM(AB1246,AF1246:AI1246)/E1246,2),0)</f>
        <v/>
      </c>
      <c r="AK1246" s="76">
        <f>AJ1246*E1246</f>
        <v/>
      </c>
      <c r="AL1246" s="174">
        <f>ROUND(IFERROR(AM1246*E1246,0),2)</f>
        <v/>
      </c>
      <c r="AM1246" s="175">
        <f>ROUND(AJ1246*(1+IF(offer_incoterms="DDP",IF((TODAY()+offer_turnaround_time)&gt;=helpsheet!$L$17,rate_vatRU_from_26,rate_vatRu_till_25),0)),2)</f>
        <v/>
      </c>
      <c r="AN1246" s="192">
        <f>AL1246-AK1246</f>
        <v/>
      </c>
      <c r="AO1246" s="76">
        <f>SUM(AY1246,Y1246:Z1246,T1246)*IF(AND(offer_incoterms="DDP",offer_sale_type&lt;&gt;"экспорт"),IF((TODAY()+offer_turnaround_time)&gt;=helpsheet!$L$17,rate_vatRU_from_26,rate_vatRu_till_25),0)</f>
        <v/>
      </c>
      <c r="AP1246" s="193">
        <f>AN1246-AO1246</f>
        <v/>
      </c>
      <c r="AQ1246" s="118">
        <f>IF(offer_sale_type="транзит",SUM(AF1246:AI1246,BA1246,BB1246),0)</f>
        <v/>
      </c>
      <c r="AR1246" s="82">
        <f>HYPERLINK("https://www.alta.ru/tnved/code/")&amp;W1246&amp;"/"</f>
        <v/>
      </c>
      <c r="AS1246" s="157" t="n"/>
      <c r="AT1246" s="162" t="n"/>
      <c r="AU1246" s="76">
        <f>IF(ISBLANK(AT1246),0,AJ1246-AT1246)</f>
        <v/>
      </c>
      <c r="AV1246" s="157" t="n"/>
      <c r="AW1246" s="75">
        <f>_xlfn.IFNA(VLOOKUP(L1246,list_vat[],3,FALSE),0)</f>
        <v/>
      </c>
      <c r="AX1246" s="76">
        <f>IFERROR(ROUND(S1246*(1+AW1246)/E1246,2),0)</f>
        <v/>
      </c>
      <c r="AY1246" s="76">
        <f>E1246*AX1246</f>
        <v/>
      </c>
      <c r="AZ1246" s="192">
        <f>S1246*(1+M1246)</f>
        <v/>
      </c>
      <c r="BA1246" s="76">
        <f>cost_fin_total*$BD1246</f>
        <v/>
      </c>
      <c r="BB1246" s="193">
        <f>credit_sales_interest*BD1246</f>
        <v/>
      </c>
      <c r="BC1246" s="102">
        <f>IFERROR(IF($I$13&gt;0,$I1246/$I$13,$S1246/$S$13),0)</f>
        <v/>
      </c>
      <c r="BD1246" s="102">
        <f>IFERROR($S1246/$S$13,0)</f>
        <v/>
      </c>
      <c r="BE1246" s="413" t="inlineStr">
        <is>
          <t>$</t>
        </is>
      </c>
    </row>
    <row r="1247" ht="12" customFormat="1" customHeight="1" s="65">
      <c r="A1247" s="43" t="n">
        <v>1232</v>
      </c>
      <c r="B1247" s="166" t="n"/>
      <c r="C1247" s="166" t="n"/>
      <c r="D1247" s="166" t="n"/>
      <c r="E1247" s="162" t="n"/>
      <c r="F1247" s="166" t="n"/>
      <c r="G1247" s="162" t="n"/>
      <c r="H1247" s="162" t="n"/>
      <c r="I1247" s="189">
        <f>E1247*G1247</f>
        <v/>
      </c>
      <c r="J1247" s="195" t="n"/>
      <c r="K1247" s="162" t="n"/>
      <c r="L1247" s="168" t="n"/>
      <c r="M1247" s="75">
        <f>_xlfn.XLOOKUP(L1247,list_vat[Страна],list_vat[Ставка НДС %],0,0)</f>
        <v/>
      </c>
      <c r="N1247" s="162">
        <f>IFERROR(IF(L1247="Китай",K1247,K1247/(1+M1247)),0)</f>
        <v/>
      </c>
      <c r="O1247" s="169" t="n"/>
      <c r="P1247" s="76">
        <f>N1247*(1-O1247)</f>
        <v/>
      </c>
      <c r="Q1247" s="162" t="n"/>
      <c r="R1247" s="162">
        <f>IF(ISBLANK(Q1247),"введи курс",P1247/Q1247)</f>
        <v/>
      </c>
      <c r="S1247" s="196">
        <f>IF(AND(ISNUMBER(E1247),ISNUMBER(Q1247)),E1247*R1247,0)</f>
        <v/>
      </c>
      <c r="T1247" s="192">
        <f>$BC1247*V$11</f>
        <v/>
      </c>
      <c r="U1247" s="76">
        <f>$BC1247*W$11</f>
        <v/>
      </c>
      <c r="V1247" s="193">
        <f>+SUM(T1247:U1247)</f>
        <v/>
      </c>
      <c r="W1247" s="191" t="n"/>
      <c r="X1247" s="170" t="n"/>
      <c r="Y1247" s="76">
        <f>ROUND(IF(offer_incoterms="DDP",X1247*(S1247*(1+AW1247)+T1247),0),2)</f>
        <v/>
      </c>
      <c r="Z1247" s="188" t="n"/>
      <c r="AA1247" s="192">
        <f>IFERROR(AB1247/E1247,0)</f>
        <v/>
      </c>
      <c r="AB1247" s="76">
        <f>ROUND(SUM(S1247,V1247,Y1247:Z1247,BA1247:BB1247),2)</f>
        <v/>
      </c>
      <c r="AC1247" s="797" t="n"/>
      <c r="AD1247" s="192">
        <f t="array" ref="AD1247">IFERROR(ROUND((_xlfn.IFS(offer_sale_type="поставка",AB1247,offer_sale_type="транзит",S1247)*(1+AC1247))/E1247,2),0)</f>
        <v/>
      </c>
      <c r="AE1247" s="76">
        <f>AD1247*E1247</f>
        <v/>
      </c>
      <c r="AF1247" s="193">
        <f t="array" ref="AF1247">IFERROR(ROUND(_xlfn.IFS(offer_sale_type="поставка",AB1247,offer_sale_type="транзит",S1247)*AC1247,2),0)</f>
        <v/>
      </c>
      <c r="AG1247" s="192">
        <f>$BD1247*VLOOKUP($AG$3,$AF$4:$AG$7,2,FALSE)</f>
        <v/>
      </c>
      <c r="AH1247" s="76">
        <f>SUM(AE1247,AG1247,AI1247)*rate_forex_risk</f>
        <v/>
      </c>
      <c r="AI1247" s="193">
        <f>IF(OR(seller_region="TR",offer_sale_type="экспорт"),0,rate_fin_comm)*SUM(AZ1247,AZ1247*AW1247,T1247)</f>
        <v/>
      </c>
      <c r="AJ1247" s="118">
        <f>IFERROR(ROUND(SUM(AB1247,AF1247:AI1247)/E1247,2),0)</f>
        <v/>
      </c>
      <c r="AK1247" s="76">
        <f>AJ1247*E1247</f>
        <v/>
      </c>
      <c r="AL1247" s="174">
        <f>ROUND(IFERROR(AM1247*E1247,0),2)</f>
        <v/>
      </c>
      <c r="AM1247" s="175">
        <f>ROUND(AJ1247*(1+IF(offer_incoterms="DDP",IF((TODAY()+offer_turnaround_time)&gt;=helpsheet!$L$17,rate_vatRU_from_26,rate_vatRu_till_25),0)),2)</f>
        <v/>
      </c>
      <c r="AN1247" s="192">
        <f>AL1247-AK1247</f>
        <v/>
      </c>
      <c r="AO1247" s="76">
        <f>SUM(AY1247,Y1247:Z1247,T1247)*IF(AND(offer_incoterms="DDP",offer_sale_type&lt;&gt;"экспорт"),IF((TODAY()+offer_turnaround_time)&gt;=helpsheet!$L$17,rate_vatRU_from_26,rate_vatRu_till_25),0)</f>
        <v/>
      </c>
      <c r="AP1247" s="193">
        <f>AN1247-AO1247</f>
        <v/>
      </c>
      <c r="AQ1247" s="118">
        <f>IF(offer_sale_type="транзит",SUM(AF1247:AI1247,BA1247,BB1247),0)</f>
        <v/>
      </c>
      <c r="AR1247" s="82">
        <f>HYPERLINK("https://www.alta.ru/tnved/code/")&amp;W1247&amp;"/"</f>
        <v/>
      </c>
      <c r="AS1247" s="157" t="n"/>
      <c r="AT1247" s="162" t="n"/>
      <c r="AU1247" s="76">
        <f>IF(ISBLANK(AT1247),0,AJ1247-AT1247)</f>
        <v/>
      </c>
      <c r="AV1247" s="157" t="n"/>
      <c r="AW1247" s="75">
        <f>_xlfn.IFNA(VLOOKUP(L1247,list_vat[],3,FALSE),0)</f>
        <v/>
      </c>
      <c r="AX1247" s="76">
        <f>IFERROR(ROUND(S1247*(1+AW1247)/E1247,2),0)</f>
        <v/>
      </c>
      <c r="AY1247" s="76">
        <f>E1247*AX1247</f>
        <v/>
      </c>
      <c r="AZ1247" s="192">
        <f>S1247*(1+M1247)</f>
        <v/>
      </c>
      <c r="BA1247" s="76">
        <f>cost_fin_total*$BD1247</f>
        <v/>
      </c>
      <c r="BB1247" s="193">
        <f>credit_sales_interest*BD1247</f>
        <v/>
      </c>
      <c r="BC1247" s="102">
        <f>IFERROR(IF($I$13&gt;0,$I1247/$I$13,$S1247/$S$13),0)</f>
        <v/>
      </c>
      <c r="BD1247" s="102">
        <f>IFERROR($S1247/$S$13,0)</f>
        <v/>
      </c>
      <c r="BE1247" s="413" t="inlineStr">
        <is>
          <t>$</t>
        </is>
      </c>
    </row>
    <row r="1248" ht="12" customFormat="1" customHeight="1" s="65">
      <c r="A1248" s="43" t="n">
        <v>1233</v>
      </c>
      <c r="B1248" s="166" t="n"/>
      <c r="C1248" s="166" t="n"/>
      <c r="D1248" s="166" t="n"/>
      <c r="E1248" s="162" t="n"/>
      <c r="F1248" s="166" t="n"/>
      <c r="G1248" s="162" t="n"/>
      <c r="H1248" s="162" t="n"/>
      <c r="I1248" s="189">
        <f>E1248*G1248</f>
        <v/>
      </c>
      <c r="J1248" s="195" t="n"/>
      <c r="K1248" s="162" t="n"/>
      <c r="L1248" s="168" t="n"/>
      <c r="M1248" s="75">
        <f>_xlfn.XLOOKUP(L1248,list_vat[Страна],list_vat[Ставка НДС %],0,0)</f>
        <v/>
      </c>
      <c r="N1248" s="162">
        <f>IFERROR(IF(L1248="Китай",K1248,K1248/(1+M1248)),0)</f>
        <v/>
      </c>
      <c r="O1248" s="169" t="n"/>
      <c r="P1248" s="76">
        <f>N1248*(1-O1248)</f>
        <v/>
      </c>
      <c r="Q1248" s="162" t="n"/>
      <c r="R1248" s="162">
        <f>IF(ISBLANK(Q1248),"введи курс",P1248/Q1248)</f>
        <v/>
      </c>
      <c r="S1248" s="196">
        <f>IF(AND(ISNUMBER(E1248),ISNUMBER(Q1248)),E1248*R1248,0)</f>
        <v/>
      </c>
      <c r="T1248" s="192">
        <f>$BC1248*V$11</f>
        <v/>
      </c>
      <c r="U1248" s="76">
        <f>$BC1248*W$11</f>
        <v/>
      </c>
      <c r="V1248" s="193">
        <f>+SUM(T1248:U1248)</f>
        <v/>
      </c>
      <c r="W1248" s="191" t="n"/>
      <c r="X1248" s="170" t="n"/>
      <c r="Y1248" s="76">
        <f>ROUND(IF(offer_incoterms="DDP",X1248*(S1248*(1+AW1248)+T1248),0),2)</f>
        <v/>
      </c>
      <c r="Z1248" s="188" t="n"/>
      <c r="AA1248" s="192">
        <f>IFERROR(AB1248/E1248,0)</f>
        <v/>
      </c>
      <c r="AB1248" s="76">
        <f>ROUND(SUM(S1248,V1248,Y1248:Z1248,BA1248:BB1248),2)</f>
        <v/>
      </c>
      <c r="AC1248" s="797" t="n"/>
      <c r="AD1248" s="192">
        <f t="array" ref="AD1248">IFERROR(ROUND((_xlfn.IFS(offer_sale_type="поставка",AB1248,offer_sale_type="транзит",S1248)*(1+AC1248))/E1248,2),0)</f>
        <v/>
      </c>
      <c r="AE1248" s="76">
        <f>AD1248*E1248</f>
        <v/>
      </c>
      <c r="AF1248" s="193">
        <f t="array" ref="AF1248">IFERROR(ROUND(_xlfn.IFS(offer_sale_type="поставка",AB1248,offer_sale_type="транзит",S1248)*AC1248,2),0)</f>
        <v/>
      </c>
      <c r="AG1248" s="192">
        <f>$BD1248*VLOOKUP($AG$3,$AF$4:$AG$7,2,FALSE)</f>
        <v/>
      </c>
      <c r="AH1248" s="76">
        <f>SUM(AE1248,AG1248,AI1248)*rate_forex_risk</f>
        <v/>
      </c>
      <c r="AI1248" s="193">
        <f>IF(OR(seller_region="TR",offer_sale_type="экспорт"),0,rate_fin_comm)*SUM(AZ1248,AZ1248*AW1248,T1248)</f>
        <v/>
      </c>
      <c r="AJ1248" s="118">
        <f>IFERROR(ROUND(SUM(AB1248,AF1248:AI1248)/E1248,2),0)</f>
        <v/>
      </c>
      <c r="AK1248" s="76">
        <f>AJ1248*E1248</f>
        <v/>
      </c>
      <c r="AL1248" s="174">
        <f>ROUND(IFERROR(AM1248*E1248,0),2)</f>
        <v/>
      </c>
      <c r="AM1248" s="175">
        <f>ROUND(AJ1248*(1+IF(offer_incoterms="DDP",IF((TODAY()+offer_turnaround_time)&gt;=helpsheet!$L$17,rate_vatRU_from_26,rate_vatRu_till_25),0)),2)</f>
        <v/>
      </c>
      <c r="AN1248" s="192">
        <f>AL1248-AK1248</f>
        <v/>
      </c>
      <c r="AO1248" s="76">
        <f>SUM(AY1248,Y1248:Z1248,T1248)*IF(AND(offer_incoterms="DDP",offer_sale_type&lt;&gt;"экспорт"),IF((TODAY()+offer_turnaround_time)&gt;=helpsheet!$L$17,rate_vatRU_from_26,rate_vatRu_till_25),0)</f>
        <v/>
      </c>
      <c r="AP1248" s="193">
        <f>AN1248-AO1248</f>
        <v/>
      </c>
      <c r="AQ1248" s="118">
        <f>IF(offer_sale_type="транзит",SUM(AF1248:AI1248,BA1248,BB1248),0)</f>
        <v/>
      </c>
      <c r="AR1248" s="82">
        <f>HYPERLINK("https://www.alta.ru/tnved/code/")&amp;W1248&amp;"/"</f>
        <v/>
      </c>
      <c r="AS1248" s="157" t="n"/>
      <c r="AT1248" s="162" t="n"/>
      <c r="AU1248" s="76">
        <f>IF(ISBLANK(AT1248),0,AJ1248-AT1248)</f>
        <v/>
      </c>
      <c r="AV1248" s="157" t="n"/>
      <c r="AW1248" s="75">
        <f>_xlfn.IFNA(VLOOKUP(L1248,list_vat[],3,FALSE),0)</f>
        <v/>
      </c>
      <c r="AX1248" s="76">
        <f>IFERROR(ROUND(S1248*(1+AW1248)/E1248,2),0)</f>
        <v/>
      </c>
      <c r="AY1248" s="76">
        <f>E1248*AX1248</f>
        <v/>
      </c>
      <c r="AZ1248" s="192">
        <f>S1248*(1+M1248)</f>
        <v/>
      </c>
      <c r="BA1248" s="76">
        <f>cost_fin_total*$BD1248</f>
        <v/>
      </c>
      <c r="BB1248" s="193">
        <f>credit_sales_interest*BD1248</f>
        <v/>
      </c>
      <c r="BC1248" s="102">
        <f>IFERROR(IF($I$13&gt;0,$I1248/$I$13,$S1248/$S$13),0)</f>
        <v/>
      </c>
      <c r="BD1248" s="102">
        <f>IFERROR($S1248/$S$13,0)</f>
        <v/>
      </c>
      <c r="BE1248" s="413" t="inlineStr">
        <is>
          <t>$</t>
        </is>
      </c>
    </row>
    <row r="1249" ht="12" customFormat="1" customHeight="1" s="65">
      <c r="A1249" s="43" t="n">
        <v>1234</v>
      </c>
      <c r="B1249" s="166" t="n"/>
      <c r="C1249" s="166" t="n"/>
      <c r="D1249" s="166" t="n"/>
      <c r="E1249" s="162" t="n"/>
      <c r="F1249" s="166" t="n"/>
      <c r="G1249" s="162" t="n"/>
      <c r="H1249" s="162" t="n"/>
      <c r="I1249" s="189">
        <f>E1249*G1249</f>
        <v/>
      </c>
      <c r="J1249" s="195" t="n"/>
      <c r="K1249" s="162" t="n"/>
      <c r="L1249" s="168" t="n"/>
      <c r="M1249" s="75">
        <f>_xlfn.XLOOKUP(L1249,list_vat[Страна],list_vat[Ставка НДС %],0,0)</f>
        <v/>
      </c>
      <c r="N1249" s="162">
        <f>IFERROR(IF(L1249="Китай",K1249,K1249/(1+M1249)),0)</f>
        <v/>
      </c>
      <c r="O1249" s="169" t="n"/>
      <c r="P1249" s="76">
        <f>N1249*(1-O1249)</f>
        <v/>
      </c>
      <c r="Q1249" s="162" t="n"/>
      <c r="R1249" s="162">
        <f>IF(ISBLANK(Q1249),"введи курс",P1249/Q1249)</f>
        <v/>
      </c>
      <c r="S1249" s="196">
        <f>IF(AND(ISNUMBER(E1249),ISNUMBER(Q1249)),E1249*R1249,0)</f>
        <v/>
      </c>
      <c r="T1249" s="192">
        <f>$BC1249*V$11</f>
        <v/>
      </c>
      <c r="U1249" s="76">
        <f>$BC1249*W$11</f>
        <v/>
      </c>
      <c r="V1249" s="193">
        <f>+SUM(T1249:U1249)</f>
        <v/>
      </c>
      <c r="W1249" s="191" t="n"/>
      <c r="X1249" s="170" t="n"/>
      <c r="Y1249" s="76">
        <f>ROUND(IF(offer_incoterms="DDP",X1249*(S1249*(1+AW1249)+T1249),0),2)</f>
        <v/>
      </c>
      <c r="Z1249" s="188" t="n"/>
      <c r="AA1249" s="192">
        <f>IFERROR(AB1249/E1249,0)</f>
        <v/>
      </c>
      <c r="AB1249" s="76">
        <f>ROUND(SUM(S1249,V1249,Y1249:Z1249,BA1249:BB1249),2)</f>
        <v/>
      </c>
      <c r="AC1249" s="797" t="n"/>
      <c r="AD1249" s="192">
        <f t="array" ref="AD1249">IFERROR(ROUND((_xlfn.IFS(offer_sale_type="поставка",AB1249,offer_sale_type="транзит",S1249)*(1+AC1249))/E1249,2),0)</f>
        <v/>
      </c>
      <c r="AE1249" s="76">
        <f>AD1249*E1249</f>
        <v/>
      </c>
      <c r="AF1249" s="193">
        <f t="array" ref="AF1249">IFERROR(ROUND(_xlfn.IFS(offer_sale_type="поставка",AB1249,offer_sale_type="транзит",S1249)*AC1249,2),0)</f>
        <v/>
      </c>
      <c r="AG1249" s="192">
        <f>$BD1249*VLOOKUP($AG$3,$AF$4:$AG$7,2,FALSE)</f>
        <v/>
      </c>
      <c r="AH1249" s="76">
        <f>SUM(AE1249,AG1249,AI1249)*rate_forex_risk</f>
        <v/>
      </c>
      <c r="AI1249" s="193">
        <f>IF(OR(seller_region="TR",offer_sale_type="экспорт"),0,rate_fin_comm)*SUM(AZ1249,AZ1249*AW1249,T1249)</f>
        <v/>
      </c>
      <c r="AJ1249" s="118">
        <f>IFERROR(ROUND(SUM(AB1249,AF1249:AI1249)/E1249,2),0)</f>
        <v/>
      </c>
      <c r="AK1249" s="76">
        <f>AJ1249*E1249</f>
        <v/>
      </c>
      <c r="AL1249" s="174">
        <f>ROUND(IFERROR(AM1249*E1249,0),2)</f>
        <v/>
      </c>
      <c r="AM1249" s="175">
        <f>ROUND(AJ1249*(1+IF(offer_incoterms="DDP",IF((TODAY()+offer_turnaround_time)&gt;=helpsheet!$L$17,rate_vatRU_from_26,rate_vatRu_till_25),0)),2)</f>
        <v/>
      </c>
      <c r="AN1249" s="192">
        <f>AL1249-AK1249</f>
        <v/>
      </c>
      <c r="AO1249" s="76">
        <f>SUM(AY1249,Y1249:Z1249,T1249)*IF(AND(offer_incoterms="DDP",offer_sale_type&lt;&gt;"экспорт"),IF((TODAY()+offer_turnaround_time)&gt;=helpsheet!$L$17,rate_vatRU_from_26,rate_vatRu_till_25),0)</f>
        <v/>
      </c>
      <c r="AP1249" s="193">
        <f>AN1249-AO1249</f>
        <v/>
      </c>
      <c r="AQ1249" s="118">
        <f>IF(offer_sale_type="транзит",SUM(AF1249:AI1249,BA1249,BB1249),0)</f>
        <v/>
      </c>
      <c r="AR1249" s="82">
        <f>HYPERLINK("https://www.alta.ru/tnved/code/")&amp;W1249&amp;"/"</f>
        <v/>
      </c>
      <c r="AS1249" s="157" t="n"/>
      <c r="AT1249" s="162" t="n"/>
      <c r="AU1249" s="76">
        <f>IF(ISBLANK(AT1249),0,AJ1249-AT1249)</f>
        <v/>
      </c>
      <c r="AV1249" s="157" t="n"/>
      <c r="AW1249" s="75">
        <f>_xlfn.IFNA(VLOOKUP(L1249,list_vat[],3,FALSE),0)</f>
        <v/>
      </c>
      <c r="AX1249" s="76">
        <f>IFERROR(ROUND(S1249*(1+AW1249)/E1249,2),0)</f>
        <v/>
      </c>
      <c r="AY1249" s="76">
        <f>E1249*AX1249</f>
        <v/>
      </c>
      <c r="AZ1249" s="192">
        <f>S1249*(1+M1249)</f>
        <v/>
      </c>
      <c r="BA1249" s="76">
        <f>cost_fin_total*$BD1249</f>
        <v/>
      </c>
      <c r="BB1249" s="193">
        <f>credit_sales_interest*BD1249</f>
        <v/>
      </c>
      <c r="BC1249" s="102">
        <f>IFERROR(IF($I$13&gt;0,$I1249/$I$13,$S1249/$S$13),0)</f>
        <v/>
      </c>
      <c r="BD1249" s="102">
        <f>IFERROR($S1249/$S$13,0)</f>
        <v/>
      </c>
      <c r="BE1249" s="413" t="inlineStr">
        <is>
          <t>$</t>
        </is>
      </c>
    </row>
    <row r="1250" ht="12" customFormat="1" customHeight="1" s="65">
      <c r="A1250" s="43" t="n">
        <v>1235</v>
      </c>
      <c r="B1250" s="166" t="n"/>
      <c r="C1250" s="166" t="n"/>
      <c r="D1250" s="166" t="n"/>
      <c r="E1250" s="162" t="n"/>
      <c r="F1250" s="166" t="n"/>
      <c r="G1250" s="162" t="n"/>
      <c r="H1250" s="162" t="n"/>
      <c r="I1250" s="189">
        <f>E1250*G1250</f>
        <v/>
      </c>
      <c r="J1250" s="195" t="n"/>
      <c r="K1250" s="162" t="n"/>
      <c r="L1250" s="168" t="n"/>
      <c r="M1250" s="75">
        <f>_xlfn.XLOOKUP(L1250,list_vat[Страна],list_vat[Ставка НДС %],0,0)</f>
        <v/>
      </c>
      <c r="N1250" s="162">
        <f>IFERROR(IF(L1250="Китай",K1250,K1250/(1+M1250)),0)</f>
        <v/>
      </c>
      <c r="O1250" s="169" t="n"/>
      <c r="P1250" s="76">
        <f>N1250*(1-O1250)</f>
        <v/>
      </c>
      <c r="Q1250" s="162" t="n"/>
      <c r="R1250" s="162">
        <f>IF(ISBLANK(Q1250),"введи курс",P1250/Q1250)</f>
        <v/>
      </c>
      <c r="S1250" s="196">
        <f>IF(AND(ISNUMBER(E1250),ISNUMBER(Q1250)),E1250*R1250,0)</f>
        <v/>
      </c>
      <c r="T1250" s="192">
        <f>$BC1250*V$11</f>
        <v/>
      </c>
      <c r="U1250" s="76">
        <f>$BC1250*W$11</f>
        <v/>
      </c>
      <c r="V1250" s="193">
        <f>+SUM(T1250:U1250)</f>
        <v/>
      </c>
      <c r="W1250" s="191" t="n"/>
      <c r="X1250" s="170" t="n"/>
      <c r="Y1250" s="76">
        <f>ROUND(IF(offer_incoterms="DDP",X1250*(S1250*(1+AW1250)+T1250),0),2)</f>
        <v/>
      </c>
      <c r="Z1250" s="188" t="n"/>
      <c r="AA1250" s="192">
        <f>IFERROR(AB1250/E1250,0)</f>
        <v/>
      </c>
      <c r="AB1250" s="76">
        <f>ROUND(SUM(S1250,V1250,Y1250:Z1250,BA1250:BB1250),2)</f>
        <v/>
      </c>
      <c r="AC1250" s="797" t="n"/>
      <c r="AD1250" s="192">
        <f t="array" ref="AD1250">IFERROR(ROUND((_xlfn.IFS(offer_sale_type="поставка",AB1250,offer_sale_type="транзит",S1250)*(1+AC1250))/E1250,2),0)</f>
        <v/>
      </c>
      <c r="AE1250" s="76">
        <f>AD1250*E1250</f>
        <v/>
      </c>
      <c r="AF1250" s="193">
        <f t="array" ref="AF1250">IFERROR(ROUND(_xlfn.IFS(offer_sale_type="поставка",AB1250,offer_sale_type="транзит",S1250)*AC1250,2),0)</f>
        <v/>
      </c>
      <c r="AG1250" s="192">
        <f>$BD1250*VLOOKUP($AG$3,$AF$4:$AG$7,2,FALSE)</f>
        <v/>
      </c>
      <c r="AH1250" s="76">
        <f>SUM(AE1250,AG1250,AI1250)*rate_forex_risk</f>
        <v/>
      </c>
      <c r="AI1250" s="193">
        <f>IF(OR(seller_region="TR",offer_sale_type="экспорт"),0,rate_fin_comm)*SUM(AZ1250,AZ1250*AW1250,T1250)</f>
        <v/>
      </c>
      <c r="AJ1250" s="118">
        <f>IFERROR(ROUND(SUM(AB1250,AF1250:AI1250)/E1250,2),0)</f>
        <v/>
      </c>
      <c r="AK1250" s="76">
        <f>AJ1250*E1250</f>
        <v/>
      </c>
      <c r="AL1250" s="174">
        <f>ROUND(IFERROR(AM1250*E1250,0),2)</f>
        <v/>
      </c>
      <c r="AM1250" s="175">
        <f>ROUND(AJ1250*(1+IF(offer_incoterms="DDP",IF((TODAY()+offer_turnaround_time)&gt;=helpsheet!$L$17,rate_vatRU_from_26,rate_vatRu_till_25),0)),2)</f>
        <v/>
      </c>
      <c r="AN1250" s="192">
        <f>AL1250-AK1250</f>
        <v/>
      </c>
      <c r="AO1250" s="76">
        <f>SUM(AY1250,Y1250:Z1250,T1250)*IF(AND(offer_incoterms="DDP",offer_sale_type&lt;&gt;"экспорт"),IF((TODAY()+offer_turnaround_time)&gt;=helpsheet!$L$17,rate_vatRU_from_26,rate_vatRu_till_25),0)</f>
        <v/>
      </c>
      <c r="AP1250" s="193">
        <f>AN1250-AO1250</f>
        <v/>
      </c>
      <c r="AQ1250" s="118">
        <f>IF(offer_sale_type="транзит",SUM(AF1250:AI1250,BA1250,BB1250),0)</f>
        <v/>
      </c>
      <c r="AR1250" s="82">
        <f>HYPERLINK("https://www.alta.ru/tnved/code/")&amp;W1250&amp;"/"</f>
        <v/>
      </c>
      <c r="AS1250" s="157" t="n"/>
      <c r="AT1250" s="162" t="n"/>
      <c r="AU1250" s="76">
        <f>IF(ISBLANK(AT1250),0,AJ1250-AT1250)</f>
        <v/>
      </c>
      <c r="AV1250" s="157" t="n"/>
      <c r="AW1250" s="75">
        <f>_xlfn.IFNA(VLOOKUP(L1250,list_vat[],3,FALSE),0)</f>
        <v/>
      </c>
      <c r="AX1250" s="76">
        <f>IFERROR(ROUND(S1250*(1+AW1250)/E1250,2),0)</f>
        <v/>
      </c>
      <c r="AY1250" s="76">
        <f>E1250*AX1250</f>
        <v/>
      </c>
      <c r="AZ1250" s="192">
        <f>S1250*(1+M1250)</f>
        <v/>
      </c>
      <c r="BA1250" s="76">
        <f>cost_fin_total*$BD1250</f>
        <v/>
      </c>
      <c r="BB1250" s="193">
        <f>credit_sales_interest*BD1250</f>
        <v/>
      </c>
      <c r="BC1250" s="102">
        <f>IFERROR(IF($I$13&gt;0,$I1250/$I$13,$S1250/$S$13),0)</f>
        <v/>
      </c>
      <c r="BD1250" s="102">
        <f>IFERROR($S1250/$S$13,0)</f>
        <v/>
      </c>
      <c r="BE1250" s="413" t="inlineStr">
        <is>
          <t>$</t>
        </is>
      </c>
    </row>
    <row r="1251" ht="12" customFormat="1" customHeight="1" s="65">
      <c r="A1251" s="43" t="n">
        <v>1236</v>
      </c>
      <c r="B1251" s="166" t="n"/>
      <c r="C1251" s="166" t="n"/>
      <c r="D1251" s="166" t="n"/>
      <c r="E1251" s="162" t="n"/>
      <c r="F1251" s="166" t="n"/>
      <c r="G1251" s="162" t="n"/>
      <c r="H1251" s="162" t="n"/>
      <c r="I1251" s="189">
        <f>E1251*G1251</f>
        <v/>
      </c>
      <c r="J1251" s="195" t="n"/>
      <c r="K1251" s="162" t="n"/>
      <c r="L1251" s="168" t="n"/>
      <c r="M1251" s="75">
        <f>_xlfn.XLOOKUP(L1251,list_vat[Страна],list_vat[Ставка НДС %],0,0)</f>
        <v/>
      </c>
      <c r="N1251" s="162">
        <f>IFERROR(IF(L1251="Китай",K1251,K1251/(1+M1251)),0)</f>
        <v/>
      </c>
      <c r="O1251" s="169" t="n"/>
      <c r="P1251" s="76">
        <f>N1251*(1-O1251)</f>
        <v/>
      </c>
      <c r="Q1251" s="162" t="n"/>
      <c r="R1251" s="162">
        <f>IF(ISBLANK(Q1251),"введи курс",P1251/Q1251)</f>
        <v/>
      </c>
      <c r="S1251" s="196">
        <f>IF(AND(ISNUMBER(E1251),ISNUMBER(Q1251)),E1251*R1251,0)</f>
        <v/>
      </c>
      <c r="T1251" s="192">
        <f>$BC1251*V$11</f>
        <v/>
      </c>
      <c r="U1251" s="76">
        <f>$BC1251*W$11</f>
        <v/>
      </c>
      <c r="V1251" s="193">
        <f>+SUM(T1251:U1251)</f>
        <v/>
      </c>
      <c r="W1251" s="191" t="n"/>
      <c r="X1251" s="170" t="n"/>
      <c r="Y1251" s="76">
        <f>ROUND(IF(offer_incoterms="DDP",X1251*(S1251*(1+AW1251)+T1251),0),2)</f>
        <v/>
      </c>
      <c r="Z1251" s="188" t="n"/>
      <c r="AA1251" s="192">
        <f>IFERROR(AB1251/E1251,0)</f>
        <v/>
      </c>
      <c r="AB1251" s="76">
        <f>ROUND(SUM(S1251,V1251,Y1251:Z1251,BA1251:BB1251),2)</f>
        <v/>
      </c>
      <c r="AC1251" s="797" t="n"/>
      <c r="AD1251" s="192">
        <f t="array" ref="AD1251">IFERROR(ROUND((_xlfn.IFS(offer_sale_type="поставка",AB1251,offer_sale_type="транзит",S1251)*(1+AC1251))/E1251,2),0)</f>
        <v/>
      </c>
      <c r="AE1251" s="76">
        <f>AD1251*E1251</f>
        <v/>
      </c>
      <c r="AF1251" s="193">
        <f t="array" ref="AF1251">IFERROR(ROUND(_xlfn.IFS(offer_sale_type="поставка",AB1251,offer_sale_type="транзит",S1251)*AC1251,2),0)</f>
        <v/>
      </c>
      <c r="AG1251" s="192">
        <f>$BD1251*VLOOKUP($AG$3,$AF$4:$AG$7,2,FALSE)</f>
        <v/>
      </c>
      <c r="AH1251" s="76">
        <f>SUM(AE1251,AG1251,AI1251)*rate_forex_risk</f>
        <v/>
      </c>
      <c r="AI1251" s="193">
        <f>IF(OR(seller_region="TR",offer_sale_type="экспорт"),0,rate_fin_comm)*SUM(AZ1251,AZ1251*AW1251,T1251)</f>
        <v/>
      </c>
      <c r="AJ1251" s="118">
        <f>IFERROR(ROUND(SUM(AB1251,AF1251:AI1251)/E1251,2),0)</f>
        <v/>
      </c>
      <c r="AK1251" s="76">
        <f>AJ1251*E1251</f>
        <v/>
      </c>
      <c r="AL1251" s="174">
        <f>ROUND(IFERROR(AM1251*E1251,0),2)</f>
        <v/>
      </c>
      <c r="AM1251" s="175">
        <f>ROUND(AJ1251*(1+IF(offer_incoterms="DDP",IF((TODAY()+offer_turnaround_time)&gt;=helpsheet!$L$17,rate_vatRU_from_26,rate_vatRu_till_25),0)),2)</f>
        <v/>
      </c>
      <c r="AN1251" s="192">
        <f>AL1251-AK1251</f>
        <v/>
      </c>
      <c r="AO1251" s="76">
        <f>SUM(AY1251,Y1251:Z1251,T1251)*IF(AND(offer_incoterms="DDP",offer_sale_type&lt;&gt;"экспорт"),IF((TODAY()+offer_turnaround_time)&gt;=helpsheet!$L$17,rate_vatRU_from_26,rate_vatRu_till_25),0)</f>
        <v/>
      </c>
      <c r="AP1251" s="193">
        <f>AN1251-AO1251</f>
        <v/>
      </c>
      <c r="AQ1251" s="118">
        <f>IF(offer_sale_type="транзит",SUM(AF1251:AI1251,BA1251,BB1251),0)</f>
        <v/>
      </c>
      <c r="AR1251" s="82">
        <f>HYPERLINK("https://www.alta.ru/tnved/code/")&amp;W1251&amp;"/"</f>
        <v/>
      </c>
      <c r="AS1251" s="157" t="n"/>
      <c r="AT1251" s="162" t="n"/>
      <c r="AU1251" s="76">
        <f>IF(ISBLANK(AT1251),0,AJ1251-AT1251)</f>
        <v/>
      </c>
      <c r="AV1251" s="157" t="n"/>
      <c r="AW1251" s="75">
        <f>_xlfn.IFNA(VLOOKUP(L1251,list_vat[],3,FALSE),0)</f>
        <v/>
      </c>
      <c r="AX1251" s="76">
        <f>IFERROR(ROUND(S1251*(1+AW1251)/E1251,2),0)</f>
        <v/>
      </c>
      <c r="AY1251" s="76">
        <f>E1251*AX1251</f>
        <v/>
      </c>
      <c r="AZ1251" s="192">
        <f>S1251*(1+M1251)</f>
        <v/>
      </c>
      <c r="BA1251" s="76">
        <f>cost_fin_total*$BD1251</f>
        <v/>
      </c>
      <c r="BB1251" s="193">
        <f>credit_sales_interest*BD1251</f>
        <v/>
      </c>
      <c r="BC1251" s="102">
        <f>IFERROR(IF($I$13&gt;0,$I1251/$I$13,$S1251/$S$13),0)</f>
        <v/>
      </c>
      <c r="BD1251" s="102">
        <f>IFERROR($S1251/$S$13,0)</f>
        <v/>
      </c>
      <c r="BE1251" s="413" t="inlineStr">
        <is>
          <t>$</t>
        </is>
      </c>
    </row>
    <row r="1252" ht="12" customFormat="1" customHeight="1" s="65">
      <c r="A1252" s="43" t="n">
        <v>1237</v>
      </c>
      <c r="B1252" s="166" t="n"/>
      <c r="C1252" s="166" t="n"/>
      <c r="D1252" s="166" t="n"/>
      <c r="E1252" s="162" t="n"/>
      <c r="F1252" s="166" t="n"/>
      <c r="G1252" s="162" t="n"/>
      <c r="H1252" s="162" t="n"/>
      <c r="I1252" s="189">
        <f>E1252*G1252</f>
        <v/>
      </c>
      <c r="J1252" s="195" t="n"/>
      <c r="K1252" s="162" t="n"/>
      <c r="L1252" s="168" t="n"/>
      <c r="M1252" s="75">
        <f>_xlfn.XLOOKUP(L1252,list_vat[Страна],list_vat[Ставка НДС %],0,0)</f>
        <v/>
      </c>
      <c r="N1252" s="162">
        <f>IFERROR(IF(L1252="Китай",K1252,K1252/(1+M1252)),0)</f>
        <v/>
      </c>
      <c r="O1252" s="169" t="n"/>
      <c r="P1252" s="76">
        <f>N1252*(1-O1252)</f>
        <v/>
      </c>
      <c r="Q1252" s="162" t="n"/>
      <c r="R1252" s="162">
        <f>IF(ISBLANK(Q1252),"введи курс",P1252/Q1252)</f>
        <v/>
      </c>
      <c r="S1252" s="196">
        <f>IF(AND(ISNUMBER(E1252),ISNUMBER(Q1252)),E1252*R1252,0)</f>
        <v/>
      </c>
      <c r="T1252" s="192">
        <f>$BC1252*V$11</f>
        <v/>
      </c>
      <c r="U1252" s="76">
        <f>$BC1252*W$11</f>
        <v/>
      </c>
      <c r="V1252" s="193">
        <f>+SUM(T1252:U1252)</f>
        <v/>
      </c>
      <c r="W1252" s="191" t="n"/>
      <c r="X1252" s="170" t="n"/>
      <c r="Y1252" s="76">
        <f>ROUND(IF(offer_incoterms="DDP",X1252*(S1252*(1+AW1252)+T1252),0),2)</f>
        <v/>
      </c>
      <c r="Z1252" s="188" t="n"/>
      <c r="AA1252" s="192">
        <f>IFERROR(AB1252/E1252,0)</f>
        <v/>
      </c>
      <c r="AB1252" s="76">
        <f>ROUND(SUM(S1252,V1252,Y1252:Z1252,BA1252:BB1252),2)</f>
        <v/>
      </c>
      <c r="AC1252" s="797" t="n"/>
      <c r="AD1252" s="192">
        <f t="array" ref="AD1252">IFERROR(ROUND((_xlfn.IFS(offer_sale_type="поставка",AB1252,offer_sale_type="транзит",S1252)*(1+AC1252))/E1252,2),0)</f>
        <v/>
      </c>
      <c r="AE1252" s="76">
        <f>AD1252*E1252</f>
        <v/>
      </c>
      <c r="AF1252" s="193">
        <f t="array" ref="AF1252">IFERROR(ROUND(_xlfn.IFS(offer_sale_type="поставка",AB1252,offer_sale_type="транзит",S1252)*AC1252,2),0)</f>
        <v/>
      </c>
      <c r="AG1252" s="192">
        <f>$BD1252*VLOOKUP($AG$3,$AF$4:$AG$7,2,FALSE)</f>
        <v/>
      </c>
      <c r="AH1252" s="76">
        <f>SUM(AE1252,AG1252,AI1252)*rate_forex_risk</f>
        <v/>
      </c>
      <c r="AI1252" s="193">
        <f>IF(OR(seller_region="TR",offer_sale_type="экспорт"),0,rate_fin_comm)*SUM(AZ1252,AZ1252*AW1252,T1252)</f>
        <v/>
      </c>
      <c r="AJ1252" s="118">
        <f>IFERROR(ROUND(SUM(AB1252,AF1252:AI1252)/E1252,2),0)</f>
        <v/>
      </c>
      <c r="AK1252" s="76">
        <f>AJ1252*E1252</f>
        <v/>
      </c>
      <c r="AL1252" s="174">
        <f>ROUND(IFERROR(AM1252*E1252,0),2)</f>
        <v/>
      </c>
      <c r="AM1252" s="175">
        <f>ROUND(AJ1252*(1+IF(offer_incoterms="DDP",IF((TODAY()+offer_turnaround_time)&gt;=helpsheet!$L$17,rate_vatRU_from_26,rate_vatRu_till_25),0)),2)</f>
        <v/>
      </c>
      <c r="AN1252" s="192">
        <f>AL1252-AK1252</f>
        <v/>
      </c>
      <c r="AO1252" s="76">
        <f>SUM(AY1252,Y1252:Z1252,T1252)*IF(AND(offer_incoterms="DDP",offer_sale_type&lt;&gt;"экспорт"),IF((TODAY()+offer_turnaround_time)&gt;=helpsheet!$L$17,rate_vatRU_from_26,rate_vatRu_till_25),0)</f>
        <v/>
      </c>
      <c r="AP1252" s="193">
        <f>AN1252-AO1252</f>
        <v/>
      </c>
      <c r="AQ1252" s="118">
        <f>IF(offer_sale_type="транзит",SUM(AF1252:AI1252,BA1252,BB1252),0)</f>
        <v/>
      </c>
      <c r="AR1252" s="82">
        <f>HYPERLINK("https://www.alta.ru/tnved/code/")&amp;W1252&amp;"/"</f>
        <v/>
      </c>
      <c r="AS1252" s="157" t="n"/>
      <c r="AT1252" s="162" t="n"/>
      <c r="AU1252" s="76">
        <f>IF(ISBLANK(AT1252),0,AJ1252-AT1252)</f>
        <v/>
      </c>
      <c r="AV1252" s="157" t="n"/>
      <c r="AW1252" s="75">
        <f>_xlfn.IFNA(VLOOKUP(L1252,list_vat[],3,FALSE),0)</f>
        <v/>
      </c>
      <c r="AX1252" s="76">
        <f>IFERROR(ROUND(S1252*(1+AW1252)/E1252,2),0)</f>
        <v/>
      </c>
      <c r="AY1252" s="76">
        <f>E1252*AX1252</f>
        <v/>
      </c>
      <c r="AZ1252" s="192">
        <f>S1252*(1+M1252)</f>
        <v/>
      </c>
      <c r="BA1252" s="76">
        <f>cost_fin_total*$BD1252</f>
        <v/>
      </c>
      <c r="BB1252" s="193">
        <f>credit_sales_interest*BD1252</f>
        <v/>
      </c>
      <c r="BC1252" s="102">
        <f>IFERROR(IF($I$13&gt;0,$I1252/$I$13,$S1252/$S$13),0)</f>
        <v/>
      </c>
      <c r="BD1252" s="102">
        <f>IFERROR($S1252/$S$13,0)</f>
        <v/>
      </c>
      <c r="BE1252" s="413" t="inlineStr">
        <is>
          <t>$</t>
        </is>
      </c>
    </row>
    <row r="1253" ht="12" customFormat="1" customHeight="1" s="65">
      <c r="A1253" s="43" t="n">
        <v>1238</v>
      </c>
      <c r="B1253" s="166" t="n"/>
      <c r="C1253" s="166" t="n"/>
      <c r="D1253" s="166" t="n"/>
      <c r="E1253" s="162" t="n"/>
      <c r="F1253" s="166" t="n"/>
      <c r="G1253" s="162" t="n"/>
      <c r="H1253" s="162" t="n"/>
      <c r="I1253" s="189">
        <f>E1253*G1253</f>
        <v/>
      </c>
      <c r="J1253" s="195" t="n"/>
      <c r="K1253" s="162" t="n"/>
      <c r="L1253" s="168" t="n"/>
      <c r="M1253" s="75">
        <f>_xlfn.XLOOKUP(L1253,list_vat[Страна],list_vat[Ставка НДС %],0,0)</f>
        <v/>
      </c>
      <c r="N1253" s="162">
        <f>IFERROR(IF(L1253="Китай",K1253,K1253/(1+M1253)),0)</f>
        <v/>
      </c>
      <c r="O1253" s="169" t="n"/>
      <c r="P1253" s="76">
        <f>N1253*(1-O1253)</f>
        <v/>
      </c>
      <c r="Q1253" s="162" t="n"/>
      <c r="R1253" s="162">
        <f>IF(ISBLANK(Q1253),"введи курс",P1253/Q1253)</f>
        <v/>
      </c>
      <c r="S1253" s="196">
        <f>IF(AND(ISNUMBER(E1253),ISNUMBER(Q1253)),E1253*R1253,0)</f>
        <v/>
      </c>
      <c r="T1253" s="192">
        <f>$BC1253*V$11</f>
        <v/>
      </c>
      <c r="U1253" s="76">
        <f>$BC1253*W$11</f>
        <v/>
      </c>
      <c r="V1253" s="193">
        <f>+SUM(T1253:U1253)</f>
        <v/>
      </c>
      <c r="W1253" s="191" t="n"/>
      <c r="X1253" s="170" t="n"/>
      <c r="Y1253" s="76">
        <f>ROUND(IF(offer_incoterms="DDP",X1253*(S1253*(1+AW1253)+T1253),0),2)</f>
        <v/>
      </c>
      <c r="Z1253" s="188" t="n"/>
      <c r="AA1253" s="192">
        <f>IFERROR(AB1253/E1253,0)</f>
        <v/>
      </c>
      <c r="AB1253" s="76">
        <f>ROUND(SUM(S1253,V1253,Y1253:Z1253,BA1253:BB1253),2)</f>
        <v/>
      </c>
      <c r="AC1253" s="797" t="n"/>
      <c r="AD1253" s="192">
        <f t="array" ref="AD1253">IFERROR(ROUND((_xlfn.IFS(offer_sale_type="поставка",AB1253,offer_sale_type="транзит",S1253)*(1+AC1253))/E1253,2),0)</f>
        <v/>
      </c>
      <c r="AE1253" s="76">
        <f>AD1253*E1253</f>
        <v/>
      </c>
      <c r="AF1253" s="193">
        <f t="array" ref="AF1253">IFERROR(ROUND(_xlfn.IFS(offer_sale_type="поставка",AB1253,offer_sale_type="транзит",S1253)*AC1253,2),0)</f>
        <v/>
      </c>
      <c r="AG1253" s="192">
        <f>$BD1253*VLOOKUP($AG$3,$AF$4:$AG$7,2,FALSE)</f>
        <v/>
      </c>
      <c r="AH1253" s="76">
        <f>SUM(AE1253,AG1253,AI1253)*rate_forex_risk</f>
        <v/>
      </c>
      <c r="AI1253" s="193">
        <f>IF(OR(seller_region="TR",offer_sale_type="экспорт"),0,rate_fin_comm)*SUM(AZ1253,AZ1253*AW1253,T1253)</f>
        <v/>
      </c>
      <c r="AJ1253" s="118">
        <f>IFERROR(ROUND(SUM(AB1253,AF1253:AI1253)/E1253,2),0)</f>
        <v/>
      </c>
      <c r="AK1253" s="76">
        <f>AJ1253*E1253</f>
        <v/>
      </c>
      <c r="AL1253" s="174">
        <f>ROUND(IFERROR(AM1253*E1253,0),2)</f>
        <v/>
      </c>
      <c r="AM1253" s="175">
        <f>ROUND(AJ1253*(1+IF(offer_incoterms="DDP",IF((TODAY()+offer_turnaround_time)&gt;=helpsheet!$L$17,rate_vatRU_from_26,rate_vatRu_till_25),0)),2)</f>
        <v/>
      </c>
      <c r="AN1253" s="192">
        <f>AL1253-AK1253</f>
        <v/>
      </c>
      <c r="AO1253" s="76">
        <f>SUM(AY1253,Y1253:Z1253,T1253)*IF(AND(offer_incoterms="DDP",offer_sale_type&lt;&gt;"экспорт"),IF((TODAY()+offer_turnaround_time)&gt;=helpsheet!$L$17,rate_vatRU_from_26,rate_vatRu_till_25),0)</f>
        <v/>
      </c>
      <c r="AP1253" s="193">
        <f>AN1253-AO1253</f>
        <v/>
      </c>
      <c r="AQ1253" s="118">
        <f>IF(offer_sale_type="транзит",SUM(AF1253:AI1253,BA1253,BB1253),0)</f>
        <v/>
      </c>
      <c r="AR1253" s="82">
        <f>HYPERLINK("https://www.alta.ru/tnved/code/")&amp;W1253&amp;"/"</f>
        <v/>
      </c>
      <c r="AS1253" s="157" t="n"/>
      <c r="AT1253" s="162" t="n"/>
      <c r="AU1253" s="76">
        <f>IF(ISBLANK(AT1253),0,AJ1253-AT1253)</f>
        <v/>
      </c>
      <c r="AV1253" s="157" t="n"/>
      <c r="AW1253" s="75">
        <f>_xlfn.IFNA(VLOOKUP(L1253,list_vat[],3,FALSE),0)</f>
        <v/>
      </c>
      <c r="AX1253" s="76">
        <f>IFERROR(ROUND(S1253*(1+AW1253)/E1253,2),0)</f>
        <v/>
      </c>
      <c r="AY1253" s="76">
        <f>E1253*AX1253</f>
        <v/>
      </c>
      <c r="AZ1253" s="192">
        <f>S1253*(1+M1253)</f>
        <v/>
      </c>
      <c r="BA1253" s="76">
        <f>cost_fin_total*$BD1253</f>
        <v/>
      </c>
      <c r="BB1253" s="193">
        <f>credit_sales_interest*BD1253</f>
        <v/>
      </c>
      <c r="BC1253" s="102">
        <f>IFERROR(IF($I$13&gt;0,$I1253/$I$13,$S1253/$S$13),0)</f>
        <v/>
      </c>
      <c r="BD1253" s="102">
        <f>IFERROR($S1253/$S$13,0)</f>
        <v/>
      </c>
      <c r="BE1253" s="413" t="inlineStr">
        <is>
          <t>$</t>
        </is>
      </c>
    </row>
    <row r="1254" ht="12" customFormat="1" customHeight="1" s="65">
      <c r="A1254" s="43" t="n">
        <v>1239</v>
      </c>
      <c r="B1254" s="166" t="n"/>
      <c r="C1254" s="166" t="n"/>
      <c r="D1254" s="166" t="n"/>
      <c r="E1254" s="162" t="n"/>
      <c r="F1254" s="166" t="n"/>
      <c r="G1254" s="162" t="n"/>
      <c r="H1254" s="162" t="n"/>
      <c r="I1254" s="189">
        <f>E1254*G1254</f>
        <v/>
      </c>
      <c r="J1254" s="195" t="n"/>
      <c r="K1254" s="162" t="n"/>
      <c r="L1254" s="168" t="n"/>
      <c r="M1254" s="75">
        <f>_xlfn.XLOOKUP(L1254,list_vat[Страна],list_vat[Ставка НДС %],0,0)</f>
        <v/>
      </c>
      <c r="N1254" s="162">
        <f>IFERROR(IF(L1254="Китай",K1254,K1254/(1+M1254)),0)</f>
        <v/>
      </c>
      <c r="O1254" s="169" t="n"/>
      <c r="P1254" s="76">
        <f>N1254*(1-O1254)</f>
        <v/>
      </c>
      <c r="Q1254" s="162" t="n"/>
      <c r="R1254" s="162">
        <f>IF(ISBLANK(Q1254),"введи курс",P1254/Q1254)</f>
        <v/>
      </c>
      <c r="S1254" s="196">
        <f>IF(AND(ISNUMBER(E1254),ISNUMBER(Q1254)),E1254*R1254,0)</f>
        <v/>
      </c>
      <c r="T1254" s="192">
        <f>$BC1254*V$11</f>
        <v/>
      </c>
      <c r="U1254" s="76">
        <f>$BC1254*W$11</f>
        <v/>
      </c>
      <c r="V1254" s="193">
        <f>+SUM(T1254:U1254)</f>
        <v/>
      </c>
      <c r="W1254" s="191" t="n"/>
      <c r="X1254" s="170" t="n"/>
      <c r="Y1254" s="76">
        <f>ROUND(IF(offer_incoterms="DDP",X1254*(S1254*(1+AW1254)+T1254),0),2)</f>
        <v/>
      </c>
      <c r="Z1254" s="188" t="n"/>
      <c r="AA1254" s="192">
        <f>IFERROR(AB1254/E1254,0)</f>
        <v/>
      </c>
      <c r="AB1254" s="76">
        <f>ROUND(SUM(S1254,V1254,Y1254:Z1254,BA1254:BB1254),2)</f>
        <v/>
      </c>
      <c r="AC1254" s="797" t="n"/>
      <c r="AD1254" s="192">
        <f t="array" ref="AD1254">IFERROR(ROUND((_xlfn.IFS(offer_sale_type="поставка",AB1254,offer_sale_type="транзит",S1254)*(1+AC1254))/E1254,2),0)</f>
        <v/>
      </c>
      <c r="AE1254" s="76">
        <f>AD1254*E1254</f>
        <v/>
      </c>
      <c r="AF1254" s="193">
        <f t="array" ref="AF1254">IFERROR(ROUND(_xlfn.IFS(offer_sale_type="поставка",AB1254,offer_sale_type="транзит",S1254)*AC1254,2),0)</f>
        <v/>
      </c>
      <c r="AG1254" s="192">
        <f>$BD1254*VLOOKUP($AG$3,$AF$4:$AG$7,2,FALSE)</f>
        <v/>
      </c>
      <c r="AH1254" s="76">
        <f>SUM(AE1254,AG1254,AI1254)*rate_forex_risk</f>
        <v/>
      </c>
      <c r="AI1254" s="193">
        <f>IF(OR(seller_region="TR",offer_sale_type="экспорт"),0,rate_fin_comm)*SUM(AZ1254,AZ1254*AW1254,T1254)</f>
        <v/>
      </c>
      <c r="AJ1254" s="118">
        <f>IFERROR(ROUND(SUM(AB1254,AF1254:AI1254)/E1254,2),0)</f>
        <v/>
      </c>
      <c r="AK1254" s="76">
        <f>AJ1254*E1254</f>
        <v/>
      </c>
      <c r="AL1254" s="174">
        <f>ROUND(IFERROR(AM1254*E1254,0),2)</f>
        <v/>
      </c>
      <c r="AM1254" s="175">
        <f>ROUND(AJ1254*(1+IF(offer_incoterms="DDP",IF((TODAY()+offer_turnaround_time)&gt;=helpsheet!$L$17,rate_vatRU_from_26,rate_vatRu_till_25),0)),2)</f>
        <v/>
      </c>
      <c r="AN1254" s="192">
        <f>AL1254-AK1254</f>
        <v/>
      </c>
      <c r="AO1254" s="76">
        <f>SUM(AY1254,Y1254:Z1254,T1254)*IF(AND(offer_incoterms="DDP",offer_sale_type&lt;&gt;"экспорт"),IF((TODAY()+offer_turnaround_time)&gt;=helpsheet!$L$17,rate_vatRU_from_26,rate_vatRu_till_25),0)</f>
        <v/>
      </c>
      <c r="AP1254" s="193">
        <f>AN1254-AO1254</f>
        <v/>
      </c>
      <c r="AQ1254" s="118">
        <f>IF(offer_sale_type="транзит",SUM(AF1254:AI1254,BA1254,BB1254),0)</f>
        <v/>
      </c>
      <c r="AR1254" s="82">
        <f>HYPERLINK("https://www.alta.ru/tnved/code/")&amp;W1254&amp;"/"</f>
        <v/>
      </c>
      <c r="AS1254" s="157" t="n"/>
      <c r="AT1254" s="162" t="n"/>
      <c r="AU1254" s="76">
        <f>IF(ISBLANK(AT1254),0,AJ1254-AT1254)</f>
        <v/>
      </c>
      <c r="AV1254" s="157" t="n"/>
      <c r="AW1254" s="75">
        <f>_xlfn.IFNA(VLOOKUP(L1254,list_vat[],3,FALSE),0)</f>
        <v/>
      </c>
      <c r="AX1254" s="76">
        <f>IFERROR(ROUND(S1254*(1+AW1254)/E1254,2),0)</f>
        <v/>
      </c>
      <c r="AY1254" s="76">
        <f>E1254*AX1254</f>
        <v/>
      </c>
      <c r="AZ1254" s="192">
        <f>S1254*(1+M1254)</f>
        <v/>
      </c>
      <c r="BA1254" s="76">
        <f>cost_fin_total*$BD1254</f>
        <v/>
      </c>
      <c r="BB1254" s="193">
        <f>credit_sales_interest*BD1254</f>
        <v/>
      </c>
      <c r="BC1254" s="102">
        <f>IFERROR(IF($I$13&gt;0,$I1254/$I$13,$S1254/$S$13),0)</f>
        <v/>
      </c>
      <c r="BD1254" s="102">
        <f>IFERROR($S1254/$S$13,0)</f>
        <v/>
      </c>
      <c r="BE1254" s="413" t="inlineStr">
        <is>
          <t>$</t>
        </is>
      </c>
    </row>
    <row r="1255" ht="12" customFormat="1" customHeight="1" s="65">
      <c r="A1255" s="43" t="n">
        <v>1240</v>
      </c>
      <c r="B1255" s="166" t="n"/>
      <c r="C1255" s="166" t="n"/>
      <c r="D1255" s="166" t="n"/>
      <c r="E1255" s="162" t="n"/>
      <c r="F1255" s="166" t="n"/>
      <c r="G1255" s="162" t="n"/>
      <c r="H1255" s="162" t="n"/>
      <c r="I1255" s="189">
        <f>E1255*G1255</f>
        <v/>
      </c>
      <c r="J1255" s="195" t="n"/>
      <c r="K1255" s="162" t="n"/>
      <c r="L1255" s="168" t="n"/>
      <c r="M1255" s="75">
        <f>_xlfn.XLOOKUP(L1255,list_vat[Страна],list_vat[Ставка НДС %],0,0)</f>
        <v/>
      </c>
      <c r="N1255" s="162">
        <f>IFERROR(IF(L1255="Китай",K1255,K1255/(1+M1255)),0)</f>
        <v/>
      </c>
      <c r="O1255" s="169" t="n"/>
      <c r="P1255" s="76">
        <f>N1255*(1-O1255)</f>
        <v/>
      </c>
      <c r="Q1255" s="162" t="n"/>
      <c r="R1255" s="162">
        <f>IF(ISBLANK(Q1255),"введи курс",P1255/Q1255)</f>
        <v/>
      </c>
      <c r="S1255" s="196">
        <f>IF(AND(ISNUMBER(E1255),ISNUMBER(Q1255)),E1255*R1255,0)</f>
        <v/>
      </c>
      <c r="T1255" s="192">
        <f>$BC1255*V$11</f>
        <v/>
      </c>
      <c r="U1255" s="76">
        <f>$BC1255*W$11</f>
        <v/>
      </c>
      <c r="V1255" s="193">
        <f>+SUM(T1255:U1255)</f>
        <v/>
      </c>
      <c r="W1255" s="191" t="n"/>
      <c r="X1255" s="170" t="n"/>
      <c r="Y1255" s="76">
        <f>ROUND(IF(offer_incoterms="DDP",X1255*(S1255*(1+AW1255)+T1255),0),2)</f>
        <v/>
      </c>
      <c r="Z1255" s="188" t="n"/>
      <c r="AA1255" s="192">
        <f>IFERROR(AB1255/E1255,0)</f>
        <v/>
      </c>
      <c r="AB1255" s="76">
        <f>ROUND(SUM(S1255,V1255,Y1255:Z1255,BA1255:BB1255),2)</f>
        <v/>
      </c>
      <c r="AC1255" s="797" t="n"/>
      <c r="AD1255" s="192">
        <f t="array" ref="AD1255">IFERROR(ROUND((_xlfn.IFS(offer_sale_type="поставка",AB1255,offer_sale_type="транзит",S1255)*(1+AC1255))/E1255,2),0)</f>
        <v/>
      </c>
      <c r="AE1255" s="76">
        <f>AD1255*E1255</f>
        <v/>
      </c>
      <c r="AF1255" s="193">
        <f t="array" ref="AF1255">IFERROR(ROUND(_xlfn.IFS(offer_sale_type="поставка",AB1255,offer_sale_type="транзит",S1255)*AC1255,2),0)</f>
        <v/>
      </c>
      <c r="AG1255" s="192">
        <f>$BD1255*VLOOKUP($AG$3,$AF$4:$AG$7,2,FALSE)</f>
        <v/>
      </c>
      <c r="AH1255" s="76">
        <f>SUM(AE1255,AG1255,AI1255)*rate_forex_risk</f>
        <v/>
      </c>
      <c r="AI1255" s="193">
        <f>IF(OR(seller_region="TR",offer_sale_type="экспорт"),0,rate_fin_comm)*SUM(AZ1255,AZ1255*AW1255,T1255)</f>
        <v/>
      </c>
      <c r="AJ1255" s="118">
        <f>IFERROR(ROUND(SUM(AB1255,AF1255:AI1255)/E1255,2),0)</f>
        <v/>
      </c>
      <c r="AK1255" s="76">
        <f>AJ1255*E1255</f>
        <v/>
      </c>
      <c r="AL1255" s="174">
        <f>ROUND(IFERROR(AM1255*E1255,0),2)</f>
        <v/>
      </c>
      <c r="AM1255" s="175">
        <f>ROUND(AJ1255*(1+IF(offer_incoterms="DDP",IF((TODAY()+offer_turnaround_time)&gt;=helpsheet!$L$17,rate_vatRU_from_26,rate_vatRu_till_25),0)),2)</f>
        <v/>
      </c>
      <c r="AN1255" s="192">
        <f>AL1255-AK1255</f>
        <v/>
      </c>
      <c r="AO1255" s="76">
        <f>SUM(AY1255,Y1255:Z1255,T1255)*IF(AND(offer_incoterms="DDP",offer_sale_type&lt;&gt;"экспорт"),IF((TODAY()+offer_turnaround_time)&gt;=helpsheet!$L$17,rate_vatRU_from_26,rate_vatRu_till_25),0)</f>
        <v/>
      </c>
      <c r="AP1255" s="193">
        <f>AN1255-AO1255</f>
        <v/>
      </c>
      <c r="AQ1255" s="118">
        <f>IF(offer_sale_type="транзит",SUM(AF1255:AI1255,BA1255,BB1255),0)</f>
        <v/>
      </c>
      <c r="AR1255" s="82">
        <f>HYPERLINK("https://www.alta.ru/tnved/code/")&amp;W1255&amp;"/"</f>
        <v/>
      </c>
      <c r="AS1255" s="157" t="n"/>
      <c r="AT1255" s="162" t="n"/>
      <c r="AU1255" s="76">
        <f>IF(ISBLANK(AT1255),0,AJ1255-AT1255)</f>
        <v/>
      </c>
      <c r="AV1255" s="157" t="n"/>
      <c r="AW1255" s="75">
        <f>_xlfn.IFNA(VLOOKUP(L1255,list_vat[],3,FALSE),0)</f>
        <v/>
      </c>
      <c r="AX1255" s="76">
        <f>IFERROR(ROUND(S1255*(1+AW1255)/E1255,2),0)</f>
        <v/>
      </c>
      <c r="AY1255" s="76">
        <f>E1255*AX1255</f>
        <v/>
      </c>
      <c r="AZ1255" s="192">
        <f>S1255*(1+M1255)</f>
        <v/>
      </c>
      <c r="BA1255" s="76">
        <f>cost_fin_total*$BD1255</f>
        <v/>
      </c>
      <c r="BB1255" s="193">
        <f>credit_sales_interest*BD1255</f>
        <v/>
      </c>
      <c r="BC1255" s="102">
        <f>IFERROR(IF($I$13&gt;0,$I1255/$I$13,$S1255/$S$13),0)</f>
        <v/>
      </c>
      <c r="BD1255" s="102">
        <f>IFERROR($S1255/$S$13,0)</f>
        <v/>
      </c>
      <c r="BE1255" s="413" t="inlineStr">
        <is>
          <t>$</t>
        </is>
      </c>
    </row>
    <row r="1256" ht="12" customFormat="1" customHeight="1" s="65">
      <c r="A1256" s="43" t="n">
        <v>1241</v>
      </c>
      <c r="B1256" s="166" t="n"/>
      <c r="C1256" s="166" t="n"/>
      <c r="D1256" s="166" t="n"/>
      <c r="E1256" s="162" t="n"/>
      <c r="F1256" s="166" t="n"/>
      <c r="G1256" s="162" t="n"/>
      <c r="H1256" s="162" t="n"/>
      <c r="I1256" s="189">
        <f>E1256*G1256</f>
        <v/>
      </c>
      <c r="J1256" s="195" t="n"/>
      <c r="K1256" s="162" t="n"/>
      <c r="L1256" s="168" t="n"/>
      <c r="M1256" s="75">
        <f>_xlfn.XLOOKUP(L1256,list_vat[Страна],list_vat[Ставка НДС %],0,0)</f>
        <v/>
      </c>
      <c r="N1256" s="162">
        <f>IFERROR(IF(L1256="Китай",K1256,K1256/(1+M1256)),0)</f>
        <v/>
      </c>
      <c r="O1256" s="169" t="n"/>
      <c r="P1256" s="76">
        <f>N1256*(1-O1256)</f>
        <v/>
      </c>
      <c r="Q1256" s="162" t="n"/>
      <c r="R1256" s="162">
        <f>IF(ISBLANK(Q1256),"введи курс",P1256/Q1256)</f>
        <v/>
      </c>
      <c r="S1256" s="196">
        <f>IF(AND(ISNUMBER(E1256),ISNUMBER(Q1256)),E1256*R1256,0)</f>
        <v/>
      </c>
      <c r="T1256" s="192">
        <f>$BC1256*V$11</f>
        <v/>
      </c>
      <c r="U1256" s="76">
        <f>$BC1256*W$11</f>
        <v/>
      </c>
      <c r="V1256" s="193">
        <f>+SUM(T1256:U1256)</f>
        <v/>
      </c>
      <c r="W1256" s="191" t="n"/>
      <c r="X1256" s="170" t="n"/>
      <c r="Y1256" s="76">
        <f>ROUND(IF(offer_incoterms="DDP",X1256*(S1256*(1+AW1256)+T1256),0),2)</f>
        <v/>
      </c>
      <c r="Z1256" s="188" t="n"/>
      <c r="AA1256" s="192">
        <f>IFERROR(AB1256/E1256,0)</f>
        <v/>
      </c>
      <c r="AB1256" s="76">
        <f>ROUND(SUM(S1256,V1256,Y1256:Z1256,BA1256:BB1256),2)</f>
        <v/>
      </c>
      <c r="AC1256" s="797" t="n"/>
      <c r="AD1256" s="192">
        <f t="array" ref="AD1256">IFERROR(ROUND((_xlfn.IFS(offer_sale_type="поставка",AB1256,offer_sale_type="транзит",S1256)*(1+AC1256))/E1256,2),0)</f>
        <v/>
      </c>
      <c r="AE1256" s="76">
        <f>AD1256*E1256</f>
        <v/>
      </c>
      <c r="AF1256" s="193">
        <f t="array" ref="AF1256">IFERROR(ROUND(_xlfn.IFS(offer_sale_type="поставка",AB1256,offer_sale_type="транзит",S1256)*AC1256,2),0)</f>
        <v/>
      </c>
      <c r="AG1256" s="192">
        <f>$BD1256*VLOOKUP($AG$3,$AF$4:$AG$7,2,FALSE)</f>
        <v/>
      </c>
      <c r="AH1256" s="76">
        <f>SUM(AE1256,AG1256,AI1256)*rate_forex_risk</f>
        <v/>
      </c>
      <c r="AI1256" s="193">
        <f>IF(OR(seller_region="TR",offer_sale_type="экспорт"),0,rate_fin_comm)*SUM(AZ1256,AZ1256*AW1256,T1256)</f>
        <v/>
      </c>
      <c r="AJ1256" s="118">
        <f>IFERROR(ROUND(SUM(AB1256,AF1256:AI1256)/E1256,2),0)</f>
        <v/>
      </c>
      <c r="AK1256" s="76">
        <f>AJ1256*E1256</f>
        <v/>
      </c>
      <c r="AL1256" s="174">
        <f>ROUND(IFERROR(AM1256*E1256,0),2)</f>
        <v/>
      </c>
      <c r="AM1256" s="175">
        <f>ROUND(AJ1256*(1+IF(offer_incoterms="DDP",IF((TODAY()+offer_turnaround_time)&gt;=helpsheet!$L$17,rate_vatRU_from_26,rate_vatRu_till_25),0)),2)</f>
        <v/>
      </c>
      <c r="AN1256" s="192">
        <f>AL1256-AK1256</f>
        <v/>
      </c>
      <c r="AO1256" s="76">
        <f>SUM(AY1256,Y1256:Z1256,T1256)*IF(AND(offer_incoterms="DDP",offer_sale_type&lt;&gt;"экспорт"),IF((TODAY()+offer_turnaround_time)&gt;=helpsheet!$L$17,rate_vatRU_from_26,rate_vatRu_till_25),0)</f>
        <v/>
      </c>
      <c r="AP1256" s="193">
        <f>AN1256-AO1256</f>
        <v/>
      </c>
      <c r="AQ1256" s="118">
        <f>IF(offer_sale_type="транзит",SUM(AF1256:AI1256,BA1256,BB1256),0)</f>
        <v/>
      </c>
      <c r="AR1256" s="82">
        <f>HYPERLINK("https://www.alta.ru/tnved/code/")&amp;W1256&amp;"/"</f>
        <v/>
      </c>
      <c r="AS1256" s="157" t="n"/>
      <c r="AT1256" s="162" t="n"/>
      <c r="AU1256" s="76">
        <f>IF(ISBLANK(AT1256),0,AJ1256-AT1256)</f>
        <v/>
      </c>
      <c r="AV1256" s="157" t="n"/>
      <c r="AW1256" s="75">
        <f>_xlfn.IFNA(VLOOKUP(L1256,list_vat[],3,FALSE),0)</f>
        <v/>
      </c>
      <c r="AX1256" s="76">
        <f>IFERROR(ROUND(S1256*(1+AW1256)/E1256,2),0)</f>
        <v/>
      </c>
      <c r="AY1256" s="76">
        <f>E1256*AX1256</f>
        <v/>
      </c>
      <c r="AZ1256" s="192">
        <f>S1256*(1+M1256)</f>
        <v/>
      </c>
      <c r="BA1256" s="76">
        <f>cost_fin_total*$BD1256</f>
        <v/>
      </c>
      <c r="BB1256" s="193">
        <f>credit_sales_interest*BD1256</f>
        <v/>
      </c>
      <c r="BC1256" s="102">
        <f>IFERROR(IF($I$13&gt;0,$I1256/$I$13,$S1256/$S$13),0)</f>
        <v/>
      </c>
      <c r="BD1256" s="102">
        <f>IFERROR($S1256/$S$13,0)</f>
        <v/>
      </c>
      <c r="BE1256" s="413" t="inlineStr">
        <is>
          <t>$</t>
        </is>
      </c>
    </row>
    <row r="1257" ht="12" customFormat="1" customHeight="1" s="65">
      <c r="A1257" s="43" t="n">
        <v>1242</v>
      </c>
      <c r="B1257" s="166" t="n"/>
      <c r="C1257" s="166" t="n"/>
      <c r="D1257" s="166" t="n"/>
      <c r="E1257" s="162" t="n"/>
      <c r="F1257" s="166" t="n"/>
      <c r="G1257" s="162" t="n"/>
      <c r="H1257" s="162" t="n"/>
      <c r="I1257" s="189">
        <f>E1257*G1257</f>
        <v/>
      </c>
      <c r="J1257" s="195" t="n"/>
      <c r="K1257" s="162" t="n"/>
      <c r="L1257" s="168" t="n"/>
      <c r="M1257" s="75">
        <f>_xlfn.XLOOKUP(L1257,list_vat[Страна],list_vat[Ставка НДС %],0,0)</f>
        <v/>
      </c>
      <c r="N1257" s="162">
        <f>IFERROR(IF(L1257="Китай",K1257,K1257/(1+M1257)),0)</f>
        <v/>
      </c>
      <c r="O1257" s="169" t="n"/>
      <c r="P1257" s="76">
        <f>N1257*(1-O1257)</f>
        <v/>
      </c>
      <c r="Q1257" s="162" t="n"/>
      <c r="R1257" s="162">
        <f>IF(ISBLANK(Q1257),"введи курс",P1257/Q1257)</f>
        <v/>
      </c>
      <c r="S1257" s="196">
        <f>IF(AND(ISNUMBER(E1257),ISNUMBER(Q1257)),E1257*R1257,0)</f>
        <v/>
      </c>
      <c r="T1257" s="192">
        <f>$BC1257*V$11</f>
        <v/>
      </c>
      <c r="U1257" s="76">
        <f>$BC1257*W$11</f>
        <v/>
      </c>
      <c r="V1257" s="193">
        <f>+SUM(T1257:U1257)</f>
        <v/>
      </c>
      <c r="W1257" s="191" t="n"/>
      <c r="X1257" s="170" t="n"/>
      <c r="Y1257" s="76">
        <f>ROUND(IF(offer_incoterms="DDP",X1257*(S1257*(1+AW1257)+T1257),0),2)</f>
        <v/>
      </c>
      <c r="Z1257" s="188" t="n"/>
      <c r="AA1257" s="192">
        <f>IFERROR(AB1257/E1257,0)</f>
        <v/>
      </c>
      <c r="AB1257" s="76">
        <f>ROUND(SUM(S1257,V1257,Y1257:Z1257,BA1257:BB1257),2)</f>
        <v/>
      </c>
      <c r="AC1257" s="797" t="n"/>
      <c r="AD1257" s="192">
        <f t="array" ref="AD1257">IFERROR(ROUND((_xlfn.IFS(offer_sale_type="поставка",AB1257,offer_sale_type="транзит",S1257)*(1+AC1257))/E1257,2),0)</f>
        <v/>
      </c>
      <c r="AE1257" s="76">
        <f>AD1257*E1257</f>
        <v/>
      </c>
      <c r="AF1257" s="193">
        <f t="array" ref="AF1257">IFERROR(ROUND(_xlfn.IFS(offer_sale_type="поставка",AB1257,offer_sale_type="транзит",S1257)*AC1257,2),0)</f>
        <v/>
      </c>
      <c r="AG1257" s="192">
        <f>$BD1257*VLOOKUP($AG$3,$AF$4:$AG$7,2,FALSE)</f>
        <v/>
      </c>
      <c r="AH1257" s="76">
        <f>SUM(AE1257,AG1257,AI1257)*rate_forex_risk</f>
        <v/>
      </c>
      <c r="AI1257" s="193">
        <f>IF(OR(seller_region="TR",offer_sale_type="экспорт"),0,rate_fin_comm)*SUM(AZ1257,AZ1257*AW1257,T1257)</f>
        <v/>
      </c>
      <c r="AJ1257" s="118">
        <f>IFERROR(ROUND(SUM(AB1257,AF1257:AI1257)/E1257,2),0)</f>
        <v/>
      </c>
      <c r="AK1257" s="76">
        <f>AJ1257*E1257</f>
        <v/>
      </c>
      <c r="AL1257" s="174">
        <f>ROUND(IFERROR(AM1257*E1257,0),2)</f>
        <v/>
      </c>
      <c r="AM1257" s="175">
        <f>ROUND(AJ1257*(1+IF(offer_incoterms="DDP",IF((TODAY()+offer_turnaround_time)&gt;=helpsheet!$L$17,rate_vatRU_from_26,rate_vatRu_till_25),0)),2)</f>
        <v/>
      </c>
      <c r="AN1257" s="192">
        <f>AL1257-AK1257</f>
        <v/>
      </c>
      <c r="AO1257" s="76">
        <f>SUM(AY1257,Y1257:Z1257,T1257)*IF(AND(offer_incoterms="DDP",offer_sale_type&lt;&gt;"экспорт"),IF((TODAY()+offer_turnaround_time)&gt;=helpsheet!$L$17,rate_vatRU_from_26,rate_vatRu_till_25),0)</f>
        <v/>
      </c>
      <c r="AP1257" s="193">
        <f>AN1257-AO1257</f>
        <v/>
      </c>
      <c r="AQ1257" s="118">
        <f>IF(offer_sale_type="транзит",SUM(AF1257:AI1257,BA1257,BB1257),0)</f>
        <v/>
      </c>
      <c r="AR1257" s="82">
        <f>HYPERLINK("https://www.alta.ru/tnved/code/")&amp;W1257&amp;"/"</f>
        <v/>
      </c>
      <c r="AS1257" s="157" t="n"/>
      <c r="AT1257" s="162" t="n"/>
      <c r="AU1257" s="76">
        <f>IF(ISBLANK(AT1257),0,AJ1257-AT1257)</f>
        <v/>
      </c>
      <c r="AV1257" s="157" t="n"/>
      <c r="AW1257" s="75">
        <f>_xlfn.IFNA(VLOOKUP(L1257,list_vat[],3,FALSE),0)</f>
        <v/>
      </c>
      <c r="AX1257" s="76">
        <f>IFERROR(ROUND(S1257*(1+AW1257)/E1257,2),0)</f>
        <v/>
      </c>
      <c r="AY1257" s="76">
        <f>E1257*AX1257</f>
        <v/>
      </c>
      <c r="AZ1257" s="192">
        <f>S1257*(1+M1257)</f>
        <v/>
      </c>
      <c r="BA1257" s="76">
        <f>cost_fin_total*$BD1257</f>
        <v/>
      </c>
      <c r="BB1257" s="193">
        <f>credit_sales_interest*BD1257</f>
        <v/>
      </c>
      <c r="BC1257" s="102">
        <f>IFERROR(IF($I$13&gt;0,$I1257/$I$13,$S1257/$S$13),0)</f>
        <v/>
      </c>
      <c r="BD1257" s="102">
        <f>IFERROR($S1257/$S$13,0)</f>
        <v/>
      </c>
      <c r="BE1257" s="413" t="inlineStr">
        <is>
          <t>$</t>
        </is>
      </c>
    </row>
    <row r="1258" ht="12" customFormat="1" customHeight="1" s="65">
      <c r="A1258" s="43" t="n">
        <v>1243</v>
      </c>
      <c r="B1258" s="166" t="n"/>
      <c r="C1258" s="166" t="n"/>
      <c r="D1258" s="166" t="n"/>
      <c r="E1258" s="162" t="n"/>
      <c r="F1258" s="166" t="n"/>
      <c r="G1258" s="162" t="n"/>
      <c r="H1258" s="162" t="n"/>
      <c r="I1258" s="189">
        <f>E1258*G1258</f>
        <v/>
      </c>
      <c r="J1258" s="195" t="n"/>
      <c r="K1258" s="162" t="n"/>
      <c r="L1258" s="168" t="n"/>
      <c r="M1258" s="75">
        <f>_xlfn.XLOOKUP(L1258,list_vat[Страна],list_vat[Ставка НДС %],0,0)</f>
        <v/>
      </c>
      <c r="N1258" s="162">
        <f>IFERROR(IF(L1258="Китай",K1258,K1258/(1+M1258)),0)</f>
        <v/>
      </c>
      <c r="O1258" s="169" t="n"/>
      <c r="P1258" s="76">
        <f>N1258*(1-O1258)</f>
        <v/>
      </c>
      <c r="Q1258" s="162" t="n"/>
      <c r="R1258" s="162">
        <f>IF(ISBLANK(Q1258),"введи курс",P1258/Q1258)</f>
        <v/>
      </c>
      <c r="S1258" s="196">
        <f>IF(AND(ISNUMBER(E1258),ISNUMBER(Q1258)),E1258*R1258,0)</f>
        <v/>
      </c>
      <c r="T1258" s="192">
        <f>$BC1258*V$11</f>
        <v/>
      </c>
      <c r="U1258" s="76">
        <f>$BC1258*W$11</f>
        <v/>
      </c>
      <c r="V1258" s="193">
        <f>+SUM(T1258:U1258)</f>
        <v/>
      </c>
      <c r="W1258" s="191" t="n"/>
      <c r="X1258" s="170" t="n"/>
      <c r="Y1258" s="76">
        <f>ROUND(IF(offer_incoterms="DDP",X1258*(S1258*(1+AW1258)+T1258),0),2)</f>
        <v/>
      </c>
      <c r="Z1258" s="188" t="n"/>
      <c r="AA1258" s="192">
        <f>IFERROR(AB1258/E1258,0)</f>
        <v/>
      </c>
      <c r="AB1258" s="76">
        <f>ROUND(SUM(S1258,V1258,Y1258:Z1258,BA1258:BB1258),2)</f>
        <v/>
      </c>
      <c r="AC1258" s="797" t="n"/>
      <c r="AD1258" s="192">
        <f t="array" ref="AD1258">IFERROR(ROUND((_xlfn.IFS(offer_sale_type="поставка",AB1258,offer_sale_type="транзит",S1258)*(1+AC1258))/E1258,2),0)</f>
        <v/>
      </c>
      <c r="AE1258" s="76">
        <f>AD1258*E1258</f>
        <v/>
      </c>
      <c r="AF1258" s="193">
        <f t="array" ref="AF1258">IFERROR(ROUND(_xlfn.IFS(offer_sale_type="поставка",AB1258,offer_sale_type="транзит",S1258)*AC1258,2),0)</f>
        <v/>
      </c>
      <c r="AG1258" s="192">
        <f>$BD1258*VLOOKUP($AG$3,$AF$4:$AG$7,2,FALSE)</f>
        <v/>
      </c>
      <c r="AH1258" s="76">
        <f>SUM(AE1258,AG1258,AI1258)*rate_forex_risk</f>
        <v/>
      </c>
      <c r="AI1258" s="193">
        <f>IF(OR(seller_region="TR",offer_sale_type="экспорт"),0,rate_fin_comm)*SUM(AZ1258,AZ1258*AW1258,T1258)</f>
        <v/>
      </c>
      <c r="AJ1258" s="118">
        <f>IFERROR(ROUND(SUM(AB1258,AF1258:AI1258)/E1258,2),0)</f>
        <v/>
      </c>
      <c r="AK1258" s="76">
        <f>AJ1258*E1258</f>
        <v/>
      </c>
      <c r="AL1258" s="174">
        <f>ROUND(IFERROR(AM1258*E1258,0),2)</f>
        <v/>
      </c>
      <c r="AM1258" s="175">
        <f>ROUND(AJ1258*(1+IF(offer_incoterms="DDP",IF((TODAY()+offer_turnaround_time)&gt;=helpsheet!$L$17,rate_vatRU_from_26,rate_vatRu_till_25),0)),2)</f>
        <v/>
      </c>
      <c r="AN1258" s="192">
        <f>AL1258-AK1258</f>
        <v/>
      </c>
      <c r="AO1258" s="76">
        <f>SUM(AY1258,Y1258:Z1258,T1258)*IF(AND(offer_incoterms="DDP",offer_sale_type&lt;&gt;"экспорт"),IF((TODAY()+offer_turnaround_time)&gt;=helpsheet!$L$17,rate_vatRU_from_26,rate_vatRu_till_25),0)</f>
        <v/>
      </c>
      <c r="AP1258" s="193">
        <f>AN1258-AO1258</f>
        <v/>
      </c>
      <c r="AQ1258" s="118">
        <f>IF(offer_sale_type="транзит",SUM(AF1258:AI1258,BA1258,BB1258),0)</f>
        <v/>
      </c>
      <c r="AR1258" s="82">
        <f>HYPERLINK("https://www.alta.ru/tnved/code/")&amp;W1258&amp;"/"</f>
        <v/>
      </c>
      <c r="AS1258" s="157" t="n"/>
      <c r="AT1258" s="162" t="n"/>
      <c r="AU1258" s="76">
        <f>IF(ISBLANK(AT1258),0,AJ1258-AT1258)</f>
        <v/>
      </c>
      <c r="AV1258" s="157" t="n"/>
      <c r="AW1258" s="75">
        <f>_xlfn.IFNA(VLOOKUP(L1258,list_vat[],3,FALSE),0)</f>
        <v/>
      </c>
      <c r="AX1258" s="76">
        <f>IFERROR(ROUND(S1258*(1+AW1258)/E1258,2),0)</f>
        <v/>
      </c>
      <c r="AY1258" s="76">
        <f>E1258*AX1258</f>
        <v/>
      </c>
      <c r="AZ1258" s="192">
        <f>S1258*(1+M1258)</f>
        <v/>
      </c>
      <c r="BA1258" s="76">
        <f>cost_fin_total*$BD1258</f>
        <v/>
      </c>
      <c r="BB1258" s="193">
        <f>credit_sales_interest*BD1258</f>
        <v/>
      </c>
      <c r="BC1258" s="102">
        <f>IFERROR(IF($I$13&gt;0,$I1258/$I$13,$S1258/$S$13),0)</f>
        <v/>
      </c>
      <c r="BD1258" s="102">
        <f>IFERROR($S1258/$S$13,0)</f>
        <v/>
      </c>
      <c r="BE1258" s="413" t="inlineStr">
        <is>
          <t>$</t>
        </is>
      </c>
    </row>
    <row r="1259" ht="12" customFormat="1" customHeight="1" s="65">
      <c r="A1259" s="43" t="n">
        <v>1244</v>
      </c>
      <c r="B1259" s="166" t="n"/>
      <c r="C1259" s="166" t="n"/>
      <c r="D1259" s="166" t="n"/>
      <c r="E1259" s="162" t="n"/>
      <c r="F1259" s="166" t="n"/>
      <c r="G1259" s="162" t="n"/>
      <c r="H1259" s="162" t="n"/>
      <c r="I1259" s="189">
        <f>E1259*G1259</f>
        <v/>
      </c>
      <c r="J1259" s="195" t="n"/>
      <c r="K1259" s="162" t="n"/>
      <c r="L1259" s="168" t="n"/>
      <c r="M1259" s="75">
        <f>_xlfn.XLOOKUP(L1259,list_vat[Страна],list_vat[Ставка НДС %],0,0)</f>
        <v/>
      </c>
      <c r="N1259" s="162">
        <f>IFERROR(IF(L1259="Китай",K1259,K1259/(1+M1259)),0)</f>
        <v/>
      </c>
      <c r="O1259" s="169" t="n"/>
      <c r="P1259" s="76">
        <f>N1259*(1-O1259)</f>
        <v/>
      </c>
      <c r="Q1259" s="162" t="n"/>
      <c r="R1259" s="162">
        <f>IF(ISBLANK(Q1259),"введи курс",P1259/Q1259)</f>
        <v/>
      </c>
      <c r="S1259" s="196">
        <f>IF(AND(ISNUMBER(E1259),ISNUMBER(Q1259)),E1259*R1259,0)</f>
        <v/>
      </c>
      <c r="T1259" s="192">
        <f>$BC1259*V$11</f>
        <v/>
      </c>
      <c r="U1259" s="76">
        <f>$BC1259*W$11</f>
        <v/>
      </c>
      <c r="V1259" s="193">
        <f>+SUM(T1259:U1259)</f>
        <v/>
      </c>
      <c r="W1259" s="191" t="n"/>
      <c r="X1259" s="170" t="n"/>
      <c r="Y1259" s="76">
        <f>ROUND(IF(offer_incoterms="DDP",X1259*(S1259*(1+AW1259)+T1259),0),2)</f>
        <v/>
      </c>
      <c r="Z1259" s="188" t="n"/>
      <c r="AA1259" s="192">
        <f>IFERROR(AB1259/E1259,0)</f>
        <v/>
      </c>
      <c r="AB1259" s="76">
        <f>ROUND(SUM(S1259,V1259,Y1259:Z1259,BA1259:BB1259),2)</f>
        <v/>
      </c>
      <c r="AC1259" s="797" t="n"/>
      <c r="AD1259" s="192">
        <f t="array" ref="AD1259">IFERROR(ROUND((_xlfn.IFS(offer_sale_type="поставка",AB1259,offer_sale_type="транзит",S1259)*(1+AC1259))/E1259,2),0)</f>
        <v/>
      </c>
      <c r="AE1259" s="76">
        <f>AD1259*E1259</f>
        <v/>
      </c>
      <c r="AF1259" s="193">
        <f t="array" ref="AF1259">IFERROR(ROUND(_xlfn.IFS(offer_sale_type="поставка",AB1259,offer_sale_type="транзит",S1259)*AC1259,2),0)</f>
        <v/>
      </c>
      <c r="AG1259" s="192">
        <f>$BD1259*VLOOKUP($AG$3,$AF$4:$AG$7,2,FALSE)</f>
        <v/>
      </c>
      <c r="AH1259" s="76">
        <f>SUM(AE1259,AG1259,AI1259)*rate_forex_risk</f>
        <v/>
      </c>
      <c r="AI1259" s="193">
        <f>IF(OR(seller_region="TR",offer_sale_type="экспорт"),0,rate_fin_comm)*SUM(AZ1259,AZ1259*AW1259,T1259)</f>
        <v/>
      </c>
      <c r="AJ1259" s="118">
        <f>IFERROR(ROUND(SUM(AB1259,AF1259:AI1259)/E1259,2),0)</f>
        <v/>
      </c>
      <c r="AK1259" s="76">
        <f>AJ1259*E1259</f>
        <v/>
      </c>
      <c r="AL1259" s="174">
        <f>ROUND(IFERROR(AM1259*E1259,0),2)</f>
        <v/>
      </c>
      <c r="AM1259" s="175">
        <f>ROUND(AJ1259*(1+IF(offer_incoterms="DDP",IF((TODAY()+offer_turnaround_time)&gt;=helpsheet!$L$17,rate_vatRU_from_26,rate_vatRu_till_25),0)),2)</f>
        <v/>
      </c>
      <c r="AN1259" s="192">
        <f>AL1259-AK1259</f>
        <v/>
      </c>
      <c r="AO1259" s="76">
        <f>SUM(AY1259,Y1259:Z1259,T1259)*IF(AND(offer_incoterms="DDP",offer_sale_type&lt;&gt;"экспорт"),IF((TODAY()+offer_turnaround_time)&gt;=helpsheet!$L$17,rate_vatRU_from_26,rate_vatRu_till_25),0)</f>
        <v/>
      </c>
      <c r="AP1259" s="193">
        <f>AN1259-AO1259</f>
        <v/>
      </c>
      <c r="AQ1259" s="118">
        <f>IF(offer_sale_type="транзит",SUM(AF1259:AI1259,BA1259,BB1259),0)</f>
        <v/>
      </c>
      <c r="AR1259" s="82">
        <f>HYPERLINK("https://www.alta.ru/tnved/code/")&amp;W1259&amp;"/"</f>
        <v/>
      </c>
      <c r="AS1259" s="157" t="n"/>
      <c r="AT1259" s="162" t="n"/>
      <c r="AU1259" s="76">
        <f>IF(ISBLANK(AT1259),0,AJ1259-AT1259)</f>
        <v/>
      </c>
      <c r="AV1259" s="157" t="n"/>
      <c r="AW1259" s="75">
        <f>_xlfn.IFNA(VLOOKUP(L1259,list_vat[],3,FALSE),0)</f>
        <v/>
      </c>
      <c r="AX1259" s="76">
        <f>IFERROR(ROUND(S1259*(1+AW1259)/E1259,2),0)</f>
        <v/>
      </c>
      <c r="AY1259" s="76">
        <f>E1259*AX1259</f>
        <v/>
      </c>
      <c r="AZ1259" s="192">
        <f>S1259*(1+M1259)</f>
        <v/>
      </c>
      <c r="BA1259" s="76">
        <f>cost_fin_total*$BD1259</f>
        <v/>
      </c>
      <c r="BB1259" s="193">
        <f>credit_sales_interest*BD1259</f>
        <v/>
      </c>
      <c r="BC1259" s="102">
        <f>IFERROR(IF($I$13&gt;0,$I1259/$I$13,$S1259/$S$13),0)</f>
        <v/>
      </c>
      <c r="BD1259" s="102">
        <f>IFERROR($S1259/$S$13,0)</f>
        <v/>
      </c>
      <c r="BE1259" s="413" t="inlineStr">
        <is>
          <t>$</t>
        </is>
      </c>
    </row>
    <row r="1260" ht="12" customFormat="1" customHeight="1" s="65">
      <c r="A1260" s="43" t="n">
        <v>1245</v>
      </c>
      <c r="B1260" s="166" t="n"/>
      <c r="C1260" s="166" t="n"/>
      <c r="D1260" s="166" t="n"/>
      <c r="E1260" s="162" t="n"/>
      <c r="F1260" s="166" t="n"/>
      <c r="G1260" s="162" t="n"/>
      <c r="H1260" s="162" t="n"/>
      <c r="I1260" s="189">
        <f>E1260*G1260</f>
        <v/>
      </c>
      <c r="J1260" s="195" t="n"/>
      <c r="K1260" s="162" t="n"/>
      <c r="L1260" s="168" t="n"/>
      <c r="M1260" s="75">
        <f>_xlfn.XLOOKUP(L1260,list_vat[Страна],list_vat[Ставка НДС %],0,0)</f>
        <v/>
      </c>
      <c r="N1260" s="162">
        <f>IFERROR(IF(L1260="Китай",K1260,K1260/(1+M1260)),0)</f>
        <v/>
      </c>
      <c r="O1260" s="169" t="n"/>
      <c r="P1260" s="76">
        <f>N1260*(1-O1260)</f>
        <v/>
      </c>
      <c r="Q1260" s="162" t="n"/>
      <c r="R1260" s="162">
        <f>IF(ISBLANK(Q1260),"введи курс",P1260/Q1260)</f>
        <v/>
      </c>
      <c r="S1260" s="196">
        <f>IF(AND(ISNUMBER(E1260),ISNUMBER(Q1260)),E1260*R1260,0)</f>
        <v/>
      </c>
      <c r="T1260" s="192">
        <f>$BC1260*V$11</f>
        <v/>
      </c>
      <c r="U1260" s="76">
        <f>$BC1260*W$11</f>
        <v/>
      </c>
      <c r="V1260" s="193">
        <f>+SUM(T1260:U1260)</f>
        <v/>
      </c>
      <c r="W1260" s="191" t="n"/>
      <c r="X1260" s="170" t="n"/>
      <c r="Y1260" s="76">
        <f>ROUND(IF(offer_incoterms="DDP",X1260*(S1260*(1+AW1260)+T1260),0),2)</f>
        <v/>
      </c>
      <c r="Z1260" s="188" t="n"/>
      <c r="AA1260" s="192">
        <f>IFERROR(AB1260/E1260,0)</f>
        <v/>
      </c>
      <c r="AB1260" s="76">
        <f>ROUND(SUM(S1260,V1260,Y1260:Z1260,BA1260:BB1260),2)</f>
        <v/>
      </c>
      <c r="AC1260" s="797" t="n"/>
      <c r="AD1260" s="192">
        <f t="array" ref="AD1260">IFERROR(ROUND((_xlfn.IFS(offer_sale_type="поставка",AB1260,offer_sale_type="транзит",S1260)*(1+AC1260))/E1260,2),0)</f>
        <v/>
      </c>
      <c r="AE1260" s="76">
        <f>AD1260*E1260</f>
        <v/>
      </c>
      <c r="AF1260" s="193">
        <f t="array" ref="AF1260">IFERROR(ROUND(_xlfn.IFS(offer_sale_type="поставка",AB1260,offer_sale_type="транзит",S1260)*AC1260,2),0)</f>
        <v/>
      </c>
      <c r="AG1260" s="192">
        <f>$BD1260*VLOOKUP($AG$3,$AF$4:$AG$7,2,FALSE)</f>
        <v/>
      </c>
      <c r="AH1260" s="76">
        <f>SUM(AE1260,AG1260,AI1260)*rate_forex_risk</f>
        <v/>
      </c>
      <c r="AI1260" s="193">
        <f>IF(OR(seller_region="TR",offer_sale_type="экспорт"),0,rate_fin_comm)*SUM(AZ1260,AZ1260*AW1260,T1260)</f>
        <v/>
      </c>
      <c r="AJ1260" s="118">
        <f>IFERROR(ROUND(SUM(AB1260,AF1260:AI1260)/E1260,2),0)</f>
        <v/>
      </c>
      <c r="AK1260" s="76">
        <f>AJ1260*E1260</f>
        <v/>
      </c>
      <c r="AL1260" s="174">
        <f>ROUND(IFERROR(AM1260*E1260,0),2)</f>
        <v/>
      </c>
      <c r="AM1260" s="175">
        <f>ROUND(AJ1260*(1+IF(offer_incoterms="DDP",IF((TODAY()+offer_turnaround_time)&gt;=helpsheet!$L$17,rate_vatRU_from_26,rate_vatRu_till_25),0)),2)</f>
        <v/>
      </c>
      <c r="AN1260" s="192">
        <f>AL1260-AK1260</f>
        <v/>
      </c>
      <c r="AO1260" s="76">
        <f>SUM(AY1260,Y1260:Z1260,T1260)*IF(AND(offer_incoterms="DDP",offer_sale_type&lt;&gt;"экспорт"),IF((TODAY()+offer_turnaround_time)&gt;=helpsheet!$L$17,rate_vatRU_from_26,rate_vatRu_till_25),0)</f>
        <v/>
      </c>
      <c r="AP1260" s="193">
        <f>AN1260-AO1260</f>
        <v/>
      </c>
      <c r="AQ1260" s="118">
        <f>IF(offer_sale_type="транзит",SUM(AF1260:AI1260,BA1260,BB1260),0)</f>
        <v/>
      </c>
      <c r="AR1260" s="82">
        <f>HYPERLINK("https://www.alta.ru/tnved/code/")&amp;W1260&amp;"/"</f>
        <v/>
      </c>
      <c r="AS1260" s="157" t="n"/>
      <c r="AT1260" s="162" t="n"/>
      <c r="AU1260" s="76">
        <f>IF(ISBLANK(AT1260),0,AJ1260-AT1260)</f>
        <v/>
      </c>
      <c r="AV1260" s="157" t="n"/>
      <c r="AW1260" s="75">
        <f>_xlfn.IFNA(VLOOKUP(L1260,list_vat[],3,FALSE),0)</f>
        <v/>
      </c>
      <c r="AX1260" s="76">
        <f>IFERROR(ROUND(S1260*(1+AW1260)/E1260,2),0)</f>
        <v/>
      </c>
      <c r="AY1260" s="76">
        <f>E1260*AX1260</f>
        <v/>
      </c>
      <c r="AZ1260" s="192">
        <f>S1260*(1+M1260)</f>
        <v/>
      </c>
      <c r="BA1260" s="76">
        <f>cost_fin_total*$BD1260</f>
        <v/>
      </c>
      <c r="BB1260" s="193">
        <f>credit_sales_interest*BD1260</f>
        <v/>
      </c>
      <c r="BC1260" s="102">
        <f>IFERROR(IF($I$13&gt;0,$I1260/$I$13,$S1260/$S$13),0)</f>
        <v/>
      </c>
      <c r="BD1260" s="102">
        <f>IFERROR($S1260/$S$13,0)</f>
        <v/>
      </c>
      <c r="BE1260" s="413" t="inlineStr">
        <is>
          <t>$</t>
        </is>
      </c>
    </row>
    <row r="1261" ht="12" customFormat="1" customHeight="1" s="65">
      <c r="A1261" s="43" t="n">
        <v>1246</v>
      </c>
      <c r="B1261" s="166" t="n"/>
      <c r="C1261" s="166" t="n"/>
      <c r="D1261" s="166" t="n"/>
      <c r="E1261" s="162" t="n"/>
      <c r="F1261" s="166" t="n"/>
      <c r="G1261" s="162" t="n"/>
      <c r="H1261" s="162" t="n"/>
      <c r="I1261" s="189">
        <f>E1261*G1261</f>
        <v/>
      </c>
      <c r="J1261" s="195" t="n"/>
      <c r="K1261" s="162" t="n"/>
      <c r="L1261" s="168" t="n"/>
      <c r="M1261" s="75">
        <f>_xlfn.XLOOKUP(L1261,list_vat[Страна],list_vat[Ставка НДС %],0,0)</f>
        <v/>
      </c>
      <c r="N1261" s="162">
        <f>IFERROR(IF(L1261="Китай",K1261,K1261/(1+M1261)),0)</f>
        <v/>
      </c>
      <c r="O1261" s="169" t="n"/>
      <c r="P1261" s="76">
        <f>N1261*(1-O1261)</f>
        <v/>
      </c>
      <c r="Q1261" s="162" t="n"/>
      <c r="R1261" s="162">
        <f>IF(ISBLANK(Q1261),"введи курс",P1261/Q1261)</f>
        <v/>
      </c>
      <c r="S1261" s="196">
        <f>IF(AND(ISNUMBER(E1261),ISNUMBER(Q1261)),E1261*R1261,0)</f>
        <v/>
      </c>
      <c r="T1261" s="192">
        <f>$BC1261*V$11</f>
        <v/>
      </c>
      <c r="U1261" s="76">
        <f>$BC1261*W$11</f>
        <v/>
      </c>
      <c r="V1261" s="193">
        <f>+SUM(T1261:U1261)</f>
        <v/>
      </c>
      <c r="W1261" s="191" t="n"/>
      <c r="X1261" s="170" t="n"/>
      <c r="Y1261" s="76">
        <f>ROUND(IF(offer_incoterms="DDP",X1261*(S1261*(1+AW1261)+T1261),0),2)</f>
        <v/>
      </c>
      <c r="Z1261" s="188" t="n"/>
      <c r="AA1261" s="192">
        <f>IFERROR(AB1261/E1261,0)</f>
        <v/>
      </c>
      <c r="AB1261" s="76">
        <f>ROUND(SUM(S1261,V1261,Y1261:Z1261,BA1261:BB1261),2)</f>
        <v/>
      </c>
      <c r="AC1261" s="797" t="n"/>
      <c r="AD1261" s="192">
        <f t="array" ref="AD1261">IFERROR(ROUND((_xlfn.IFS(offer_sale_type="поставка",AB1261,offer_sale_type="транзит",S1261)*(1+AC1261))/E1261,2),0)</f>
        <v/>
      </c>
      <c r="AE1261" s="76">
        <f>AD1261*E1261</f>
        <v/>
      </c>
      <c r="AF1261" s="193">
        <f t="array" ref="AF1261">IFERROR(ROUND(_xlfn.IFS(offer_sale_type="поставка",AB1261,offer_sale_type="транзит",S1261)*AC1261,2),0)</f>
        <v/>
      </c>
      <c r="AG1261" s="192">
        <f>$BD1261*VLOOKUP($AG$3,$AF$4:$AG$7,2,FALSE)</f>
        <v/>
      </c>
      <c r="AH1261" s="76">
        <f>SUM(AE1261,AG1261,AI1261)*rate_forex_risk</f>
        <v/>
      </c>
      <c r="AI1261" s="193">
        <f>IF(OR(seller_region="TR",offer_sale_type="экспорт"),0,rate_fin_comm)*SUM(AZ1261,AZ1261*AW1261,T1261)</f>
        <v/>
      </c>
      <c r="AJ1261" s="118">
        <f>IFERROR(ROUND(SUM(AB1261,AF1261:AI1261)/E1261,2),0)</f>
        <v/>
      </c>
      <c r="AK1261" s="76">
        <f>AJ1261*E1261</f>
        <v/>
      </c>
      <c r="AL1261" s="174">
        <f>ROUND(IFERROR(AM1261*E1261,0),2)</f>
        <v/>
      </c>
      <c r="AM1261" s="175">
        <f>ROUND(AJ1261*(1+IF(offer_incoterms="DDP",IF((TODAY()+offer_turnaround_time)&gt;=helpsheet!$L$17,rate_vatRU_from_26,rate_vatRu_till_25),0)),2)</f>
        <v/>
      </c>
      <c r="AN1261" s="192">
        <f>AL1261-AK1261</f>
        <v/>
      </c>
      <c r="AO1261" s="76">
        <f>SUM(AY1261,Y1261:Z1261,T1261)*IF(AND(offer_incoterms="DDP",offer_sale_type&lt;&gt;"экспорт"),IF((TODAY()+offer_turnaround_time)&gt;=helpsheet!$L$17,rate_vatRU_from_26,rate_vatRu_till_25),0)</f>
        <v/>
      </c>
      <c r="AP1261" s="193">
        <f>AN1261-AO1261</f>
        <v/>
      </c>
      <c r="AQ1261" s="118">
        <f>IF(offer_sale_type="транзит",SUM(AF1261:AI1261,BA1261,BB1261),0)</f>
        <v/>
      </c>
      <c r="AR1261" s="82">
        <f>HYPERLINK("https://www.alta.ru/tnved/code/")&amp;W1261&amp;"/"</f>
        <v/>
      </c>
      <c r="AS1261" s="157" t="n"/>
      <c r="AT1261" s="162" t="n"/>
      <c r="AU1261" s="76">
        <f>IF(ISBLANK(AT1261),0,AJ1261-AT1261)</f>
        <v/>
      </c>
      <c r="AV1261" s="157" t="n"/>
      <c r="AW1261" s="75">
        <f>_xlfn.IFNA(VLOOKUP(L1261,list_vat[],3,FALSE),0)</f>
        <v/>
      </c>
      <c r="AX1261" s="76">
        <f>IFERROR(ROUND(S1261*(1+AW1261)/E1261,2),0)</f>
        <v/>
      </c>
      <c r="AY1261" s="76">
        <f>E1261*AX1261</f>
        <v/>
      </c>
      <c r="AZ1261" s="192">
        <f>S1261*(1+M1261)</f>
        <v/>
      </c>
      <c r="BA1261" s="76">
        <f>cost_fin_total*$BD1261</f>
        <v/>
      </c>
      <c r="BB1261" s="193">
        <f>credit_sales_interest*BD1261</f>
        <v/>
      </c>
      <c r="BC1261" s="102">
        <f>IFERROR(IF($I$13&gt;0,$I1261/$I$13,$S1261/$S$13),0)</f>
        <v/>
      </c>
      <c r="BD1261" s="102">
        <f>IFERROR($S1261/$S$13,0)</f>
        <v/>
      </c>
      <c r="BE1261" s="413" t="inlineStr">
        <is>
          <t>$</t>
        </is>
      </c>
    </row>
    <row r="1262" ht="12" customFormat="1" customHeight="1" s="65">
      <c r="A1262" s="43" t="n">
        <v>1247</v>
      </c>
      <c r="B1262" s="166" t="n"/>
      <c r="C1262" s="166" t="n"/>
      <c r="D1262" s="166" t="n"/>
      <c r="E1262" s="162" t="n"/>
      <c r="F1262" s="166" t="n"/>
      <c r="G1262" s="162" t="n"/>
      <c r="H1262" s="162" t="n"/>
      <c r="I1262" s="189">
        <f>E1262*G1262</f>
        <v/>
      </c>
      <c r="J1262" s="195" t="n"/>
      <c r="K1262" s="162" t="n"/>
      <c r="L1262" s="168" t="n"/>
      <c r="M1262" s="75">
        <f>_xlfn.XLOOKUP(L1262,list_vat[Страна],list_vat[Ставка НДС %],0,0)</f>
        <v/>
      </c>
      <c r="N1262" s="162">
        <f>IFERROR(IF(L1262="Китай",K1262,K1262/(1+M1262)),0)</f>
        <v/>
      </c>
      <c r="O1262" s="169" t="n"/>
      <c r="P1262" s="76">
        <f>N1262*(1-O1262)</f>
        <v/>
      </c>
      <c r="Q1262" s="162" t="n"/>
      <c r="R1262" s="162">
        <f>IF(ISBLANK(Q1262),"введи курс",P1262/Q1262)</f>
        <v/>
      </c>
      <c r="S1262" s="196">
        <f>IF(AND(ISNUMBER(E1262),ISNUMBER(Q1262)),E1262*R1262,0)</f>
        <v/>
      </c>
      <c r="T1262" s="192">
        <f>$BC1262*V$11</f>
        <v/>
      </c>
      <c r="U1262" s="76">
        <f>$BC1262*W$11</f>
        <v/>
      </c>
      <c r="V1262" s="193">
        <f>+SUM(T1262:U1262)</f>
        <v/>
      </c>
      <c r="W1262" s="191" t="n"/>
      <c r="X1262" s="170" t="n"/>
      <c r="Y1262" s="76">
        <f>ROUND(IF(offer_incoterms="DDP",X1262*(S1262*(1+AW1262)+T1262),0),2)</f>
        <v/>
      </c>
      <c r="Z1262" s="188" t="n"/>
      <c r="AA1262" s="192">
        <f>IFERROR(AB1262/E1262,0)</f>
        <v/>
      </c>
      <c r="AB1262" s="76">
        <f>ROUND(SUM(S1262,V1262,Y1262:Z1262,BA1262:BB1262),2)</f>
        <v/>
      </c>
      <c r="AC1262" s="797" t="n"/>
      <c r="AD1262" s="192">
        <f t="array" ref="AD1262">IFERROR(ROUND((_xlfn.IFS(offer_sale_type="поставка",AB1262,offer_sale_type="транзит",S1262)*(1+AC1262))/E1262,2),0)</f>
        <v/>
      </c>
      <c r="AE1262" s="76">
        <f>AD1262*E1262</f>
        <v/>
      </c>
      <c r="AF1262" s="193">
        <f t="array" ref="AF1262">IFERROR(ROUND(_xlfn.IFS(offer_sale_type="поставка",AB1262,offer_sale_type="транзит",S1262)*AC1262,2),0)</f>
        <v/>
      </c>
      <c r="AG1262" s="192">
        <f>$BD1262*VLOOKUP($AG$3,$AF$4:$AG$7,2,FALSE)</f>
        <v/>
      </c>
      <c r="AH1262" s="76">
        <f>SUM(AE1262,AG1262,AI1262)*rate_forex_risk</f>
        <v/>
      </c>
      <c r="AI1262" s="193">
        <f>IF(OR(seller_region="TR",offer_sale_type="экспорт"),0,rate_fin_comm)*SUM(AZ1262,AZ1262*AW1262,T1262)</f>
        <v/>
      </c>
      <c r="AJ1262" s="118">
        <f>IFERROR(ROUND(SUM(AB1262,AF1262:AI1262)/E1262,2),0)</f>
        <v/>
      </c>
      <c r="AK1262" s="76">
        <f>AJ1262*E1262</f>
        <v/>
      </c>
      <c r="AL1262" s="174">
        <f>ROUND(IFERROR(AM1262*E1262,0),2)</f>
        <v/>
      </c>
      <c r="AM1262" s="175">
        <f>ROUND(AJ1262*(1+IF(offer_incoterms="DDP",IF((TODAY()+offer_turnaround_time)&gt;=helpsheet!$L$17,rate_vatRU_from_26,rate_vatRu_till_25),0)),2)</f>
        <v/>
      </c>
      <c r="AN1262" s="192">
        <f>AL1262-AK1262</f>
        <v/>
      </c>
      <c r="AO1262" s="76">
        <f>SUM(AY1262,Y1262:Z1262,T1262)*IF(AND(offer_incoterms="DDP",offer_sale_type&lt;&gt;"экспорт"),IF((TODAY()+offer_turnaround_time)&gt;=helpsheet!$L$17,rate_vatRU_from_26,rate_vatRu_till_25),0)</f>
        <v/>
      </c>
      <c r="AP1262" s="193">
        <f>AN1262-AO1262</f>
        <v/>
      </c>
      <c r="AQ1262" s="118">
        <f>IF(offer_sale_type="транзит",SUM(AF1262:AI1262,BA1262,BB1262),0)</f>
        <v/>
      </c>
      <c r="AR1262" s="82">
        <f>HYPERLINK("https://www.alta.ru/tnved/code/")&amp;W1262&amp;"/"</f>
        <v/>
      </c>
      <c r="AS1262" s="157" t="n"/>
      <c r="AT1262" s="162" t="n"/>
      <c r="AU1262" s="76">
        <f>IF(ISBLANK(AT1262),0,AJ1262-AT1262)</f>
        <v/>
      </c>
      <c r="AV1262" s="157" t="n"/>
      <c r="AW1262" s="75">
        <f>_xlfn.IFNA(VLOOKUP(L1262,list_vat[],3,FALSE),0)</f>
        <v/>
      </c>
      <c r="AX1262" s="76">
        <f>IFERROR(ROUND(S1262*(1+AW1262)/E1262,2),0)</f>
        <v/>
      </c>
      <c r="AY1262" s="76">
        <f>E1262*AX1262</f>
        <v/>
      </c>
      <c r="AZ1262" s="192">
        <f>S1262*(1+M1262)</f>
        <v/>
      </c>
      <c r="BA1262" s="76">
        <f>cost_fin_total*$BD1262</f>
        <v/>
      </c>
      <c r="BB1262" s="193">
        <f>credit_sales_interest*BD1262</f>
        <v/>
      </c>
      <c r="BC1262" s="102">
        <f>IFERROR(IF($I$13&gt;0,$I1262/$I$13,$S1262/$S$13),0)</f>
        <v/>
      </c>
      <c r="BD1262" s="102">
        <f>IFERROR($S1262/$S$13,0)</f>
        <v/>
      </c>
      <c r="BE1262" s="413" t="inlineStr">
        <is>
          <t>$</t>
        </is>
      </c>
    </row>
    <row r="1263" ht="12" customFormat="1" customHeight="1" s="65">
      <c r="A1263" s="43" t="n">
        <v>1248</v>
      </c>
      <c r="B1263" s="166" t="n"/>
      <c r="C1263" s="166" t="n"/>
      <c r="D1263" s="166" t="n"/>
      <c r="E1263" s="162" t="n"/>
      <c r="F1263" s="166" t="n"/>
      <c r="G1263" s="162" t="n"/>
      <c r="H1263" s="162" t="n"/>
      <c r="I1263" s="189">
        <f>E1263*G1263</f>
        <v/>
      </c>
      <c r="J1263" s="195" t="n"/>
      <c r="K1263" s="162" t="n"/>
      <c r="L1263" s="168" t="n"/>
      <c r="M1263" s="75">
        <f>_xlfn.XLOOKUP(L1263,list_vat[Страна],list_vat[Ставка НДС %],0,0)</f>
        <v/>
      </c>
      <c r="N1263" s="162">
        <f>IFERROR(IF(L1263="Китай",K1263,K1263/(1+M1263)),0)</f>
        <v/>
      </c>
      <c r="O1263" s="169" t="n"/>
      <c r="P1263" s="76">
        <f>N1263*(1-O1263)</f>
        <v/>
      </c>
      <c r="Q1263" s="162" t="n"/>
      <c r="R1263" s="162">
        <f>IF(ISBLANK(Q1263),"введи курс",P1263/Q1263)</f>
        <v/>
      </c>
      <c r="S1263" s="196">
        <f>IF(AND(ISNUMBER(E1263),ISNUMBER(Q1263)),E1263*R1263,0)</f>
        <v/>
      </c>
      <c r="T1263" s="192">
        <f>$BC1263*V$11</f>
        <v/>
      </c>
      <c r="U1263" s="76">
        <f>$BC1263*W$11</f>
        <v/>
      </c>
      <c r="V1263" s="193">
        <f>+SUM(T1263:U1263)</f>
        <v/>
      </c>
      <c r="W1263" s="191" t="n"/>
      <c r="X1263" s="170" t="n"/>
      <c r="Y1263" s="76">
        <f>ROUND(IF(offer_incoterms="DDP",X1263*(S1263*(1+AW1263)+T1263),0),2)</f>
        <v/>
      </c>
      <c r="Z1263" s="188" t="n"/>
      <c r="AA1263" s="192">
        <f>IFERROR(AB1263/E1263,0)</f>
        <v/>
      </c>
      <c r="AB1263" s="76">
        <f>ROUND(SUM(S1263,V1263,Y1263:Z1263,BA1263:BB1263),2)</f>
        <v/>
      </c>
      <c r="AC1263" s="797" t="n"/>
      <c r="AD1263" s="192">
        <f t="array" ref="AD1263">IFERROR(ROUND((_xlfn.IFS(offer_sale_type="поставка",AB1263,offer_sale_type="транзит",S1263)*(1+AC1263))/E1263,2),0)</f>
        <v/>
      </c>
      <c r="AE1263" s="76">
        <f>AD1263*E1263</f>
        <v/>
      </c>
      <c r="AF1263" s="193">
        <f t="array" ref="AF1263">IFERROR(ROUND(_xlfn.IFS(offer_sale_type="поставка",AB1263,offer_sale_type="транзит",S1263)*AC1263,2),0)</f>
        <v/>
      </c>
      <c r="AG1263" s="192">
        <f>$BD1263*VLOOKUP($AG$3,$AF$4:$AG$7,2,FALSE)</f>
        <v/>
      </c>
      <c r="AH1263" s="76">
        <f>SUM(AE1263,AG1263,AI1263)*rate_forex_risk</f>
        <v/>
      </c>
      <c r="AI1263" s="193">
        <f>IF(OR(seller_region="TR",offer_sale_type="экспорт"),0,rate_fin_comm)*SUM(AZ1263,AZ1263*AW1263,T1263)</f>
        <v/>
      </c>
      <c r="AJ1263" s="118">
        <f>IFERROR(ROUND(SUM(AB1263,AF1263:AI1263)/E1263,2),0)</f>
        <v/>
      </c>
      <c r="AK1263" s="76">
        <f>AJ1263*E1263</f>
        <v/>
      </c>
      <c r="AL1263" s="174">
        <f>ROUND(IFERROR(AM1263*E1263,0),2)</f>
        <v/>
      </c>
      <c r="AM1263" s="175">
        <f>ROUND(AJ1263*(1+IF(offer_incoterms="DDP",IF((TODAY()+offer_turnaround_time)&gt;=helpsheet!$L$17,rate_vatRU_from_26,rate_vatRu_till_25),0)),2)</f>
        <v/>
      </c>
      <c r="AN1263" s="192">
        <f>AL1263-AK1263</f>
        <v/>
      </c>
      <c r="AO1263" s="76">
        <f>SUM(AY1263,Y1263:Z1263,T1263)*IF(AND(offer_incoterms="DDP",offer_sale_type&lt;&gt;"экспорт"),IF((TODAY()+offer_turnaround_time)&gt;=helpsheet!$L$17,rate_vatRU_from_26,rate_vatRu_till_25),0)</f>
        <v/>
      </c>
      <c r="AP1263" s="193">
        <f>AN1263-AO1263</f>
        <v/>
      </c>
      <c r="AQ1263" s="118">
        <f>IF(offer_sale_type="транзит",SUM(AF1263:AI1263,BA1263,BB1263),0)</f>
        <v/>
      </c>
      <c r="AR1263" s="82">
        <f>HYPERLINK("https://www.alta.ru/tnved/code/")&amp;W1263&amp;"/"</f>
        <v/>
      </c>
      <c r="AS1263" s="157" t="n"/>
      <c r="AT1263" s="162" t="n"/>
      <c r="AU1263" s="76">
        <f>IF(ISBLANK(AT1263),0,AJ1263-AT1263)</f>
        <v/>
      </c>
      <c r="AV1263" s="157" t="n"/>
      <c r="AW1263" s="75">
        <f>_xlfn.IFNA(VLOOKUP(L1263,list_vat[],3,FALSE),0)</f>
        <v/>
      </c>
      <c r="AX1263" s="76">
        <f>IFERROR(ROUND(S1263*(1+AW1263)/E1263,2),0)</f>
        <v/>
      </c>
      <c r="AY1263" s="76">
        <f>E1263*AX1263</f>
        <v/>
      </c>
      <c r="AZ1263" s="192">
        <f>S1263*(1+M1263)</f>
        <v/>
      </c>
      <c r="BA1263" s="76">
        <f>cost_fin_total*$BD1263</f>
        <v/>
      </c>
      <c r="BB1263" s="193">
        <f>credit_sales_interest*BD1263</f>
        <v/>
      </c>
      <c r="BC1263" s="102">
        <f>IFERROR(IF($I$13&gt;0,$I1263/$I$13,$S1263/$S$13),0)</f>
        <v/>
      </c>
      <c r="BD1263" s="102">
        <f>IFERROR($S1263/$S$13,0)</f>
        <v/>
      </c>
      <c r="BE1263" s="413" t="inlineStr">
        <is>
          <t>$</t>
        </is>
      </c>
    </row>
    <row r="1264" ht="12" customFormat="1" customHeight="1" s="65">
      <c r="A1264" s="43" t="n">
        <v>1249</v>
      </c>
      <c r="B1264" s="166" t="n"/>
      <c r="C1264" s="166" t="n"/>
      <c r="D1264" s="166" t="n"/>
      <c r="E1264" s="162" t="n"/>
      <c r="F1264" s="166" t="n"/>
      <c r="G1264" s="162" t="n"/>
      <c r="H1264" s="162" t="n"/>
      <c r="I1264" s="189">
        <f>E1264*G1264</f>
        <v/>
      </c>
      <c r="J1264" s="195" t="n"/>
      <c r="K1264" s="162" t="n"/>
      <c r="L1264" s="168" t="n"/>
      <c r="M1264" s="75">
        <f>_xlfn.XLOOKUP(L1264,list_vat[Страна],list_vat[Ставка НДС %],0,0)</f>
        <v/>
      </c>
      <c r="N1264" s="162">
        <f>IFERROR(IF(L1264="Китай",K1264,K1264/(1+M1264)),0)</f>
        <v/>
      </c>
      <c r="O1264" s="169" t="n"/>
      <c r="P1264" s="76">
        <f>N1264*(1-O1264)</f>
        <v/>
      </c>
      <c r="Q1264" s="162" t="n"/>
      <c r="R1264" s="162">
        <f>IF(ISBLANK(Q1264),"введи курс",P1264/Q1264)</f>
        <v/>
      </c>
      <c r="S1264" s="196">
        <f>IF(AND(ISNUMBER(E1264),ISNUMBER(Q1264)),E1264*R1264,0)</f>
        <v/>
      </c>
      <c r="T1264" s="192">
        <f>$BC1264*V$11</f>
        <v/>
      </c>
      <c r="U1264" s="76">
        <f>$BC1264*W$11</f>
        <v/>
      </c>
      <c r="V1264" s="193">
        <f>+SUM(T1264:U1264)</f>
        <v/>
      </c>
      <c r="W1264" s="191" t="n"/>
      <c r="X1264" s="170" t="n"/>
      <c r="Y1264" s="76">
        <f>ROUND(IF(offer_incoterms="DDP",X1264*(S1264*(1+AW1264)+T1264),0),2)</f>
        <v/>
      </c>
      <c r="Z1264" s="188" t="n"/>
      <c r="AA1264" s="192">
        <f>IFERROR(AB1264/E1264,0)</f>
        <v/>
      </c>
      <c r="AB1264" s="76">
        <f>ROUND(SUM(S1264,V1264,Y1264:Z1264,BA1264:BB1264),2)</f>
        <v/>
      </c>
      <c r="AC1264" s="797" t="n"/>
      <c r="AD1264" s="192">
        <f t="array" ref="AD1264">IFERROR(ROUND((_xlfn.IFS(offer_sale_type="поставка",AB1264,offer_sale_type="транзит",S1264)*(1+AC1264))/E1264,2),0)</f>
        <v/>
      </c>
      <c r="AE1264" s="76">
        <f>AD1264*E1264</f>
        <v/>
      </c>
      <c r="AF1264" s="193">
        <f t="array" ref="AF1264">IFERROR(ROUND(_xlfn.IFS(offer_sale_type="поставка",AB1264,offer_sale_type="транзит",S1264)*AC1264,2),0)</f>
        <v/>
      </c>
      <c r="AG1264" s="192">
        <f>$BD1264*VLOOKUP($AG$3,$AF$4:$AG$7,2,FALSE)</f>
        <v/>
      </c>
      <c r="AH1264" s="76">
        <f>SUM(AE1264,AG1264,AI1264)*rate_forex_risk</f>
        <v/>
      </c>
      <c r="AI1264" s="193">
        <f>IF(OR(seller_region="TR",offer_sale_type="экспорт"),0,rate_fin_comm)*SUM(AZ1264,AZ1264*AW1264,T1264)</f>
        <v/>
      </c>
      <c r="AJ1264" s="118">
        <f>IFERROR(ROUND(SUM(AB1264,AF1264:AI1264)/E1264,2),0)</f>
        <v/>
      </c>
      <c r="AK1264" s="76">
        <f>AJ1264*E1264</f>
        <v/>
      </c>
      <c r="AL1264" s="174">
        <f>ROUND(IFERROR(AM1264*E1264,0),2)</f>
        <v/>
      </c>
      <c r="AM1264" s="175">
        <f>ROUND(AJ1264*(1+IF(offer_incoterms="DDP",IF((TODAY()+offer_turnaround_time)&gt;=helpsheet!$L$17,rate_vatRU_from_26,rate_vatRu_till_25),0)),2)</f>
        <v/>
      </c>
      <c r="AN1264" s="192">
        <f>AL1264-AK1264</f>
        <v/>
      </c>
      <c r="AO1264" s="76">
        <f>SUM(AY1264,Y1264:Z1264,T1264)*IF(AND(offer_incoterms="DDP",offer_sale_type&lt;&gt;"экспорт"),IF((TODAY()+offer_turnaround_time)&gt;=helpsheet!$L$17,rate_vatRU_from_26,rate_vatRu_till_25),0)</f>
        <v/>
      </c>
      <c r="AP1264" s="193">
        <f>AN1264-AO1264</f>
        <v/>
      </c>
      <c r="AQ1264" s="118">
        <f>IF(offer_sale_type="транзит",SUM(AF1264:AI1264,BA1264,BB1264),0)</f>
        <v/>
      </c>
      <c r="AR1264" s="82">
        <f>HYPERLINK("https://www.alta.ru/tnved/code/")&amp;W1264&amp;"/"</f>
        <v/>
      </c>
      <c r="AS1264" s="157" t="n"/>
      <c r="AT1264" s="162" t="n"/>
      <c r="AU1264" s="76">
        <f>IF(ISBLANK(AT1264),0,AJ1264-AT1264)</f>
        <v/>
      </c>
      <c r="AV1264" s="157" t="n"/>
      <c r="AW1264" s="75">
        <f>_xlfn.IFNA(VLOOKUP(L1264,list_vat[],3,FALSE),0)</f>
        <v/>
      </c>
      <c r="AX1264" s="76">
        <f>IFERROR(ROUND(S1264*(1+AW1264)/E1264,2),0)</f>
        <v/>
      </c>
      <c r="AY1264" s="76">
        <f>E1264*AX1264</f>
        <v/>
      </c>
      <c r="AZ1264" s="192">
        <f>S1264*(1+M1264)</f>
        <v/>
      </c>
      <c r="BA1264" s="76">
        <f>cost_fin_total*$BD1264</f>
        <v/>
      </c>
      <c r="BB1264" s="193">
        <f>credit_sales_interest*BD1264</f>
        <v/>
      </c>
      <c r="BC1264" s="102">
        <f>IFERROR(IF($I$13&gt;0,$I1264/$I$13,$S1264/$S$13),0)</f>
        <v/>
      </c>
      <c r="BD1264" s="102">
        <f>IFERROR($S1264/$S$13,0)</f>
        <v/>
      </c>
      <c r="BE1264" s="413" t="inlineStr">
        <is>
          <t>$</t>
        </is>
      </c>
    </row>
    <row r="1265" ht="12" customFormat="1" customHeight="1" s="65">
      <c r="A1265" s="43" t="n">
        <v>1250</v>
      </c>
      <c r="B1265" s="166" t="n"/>
      <c r="C1265" s="166" t="n"/>
      <c r="D1265" s="166" t="n"/>
      <c r="E1265" s="162" t="n"/>
      <c r="F1265" s="166" t="n"/>
      <c r="G1265" s="162" t="n"/>
      <c r="H1265" s="162" t="n"/>
      <c r="I1265" s="189">
        <f>E1265*G1265</f>
        <v/>
      </c>
      <c r="J1265" s="195" t="n"/>
      <c r="K1265" s="162" t="n"/>
      <c r="L1265" s="168" t="n"/>
      <c r="M1265" s="75">
        <f>_xlfn.XLOOKUP(L1265,list_vat[Страна],list_vat[Ставка НДС %],0,0)</f>
        <v/>
      </c>
      <c r="N1265" s="162">
        <f>IFERROR(IF(L1265="Китай",K1265,K1265/(1+M1265)),0)</f>
        <v/>
      </c>
      <c r="O1265" s="169" t="n"/>
      <c r="P1265" s="76">
        <f>N1265*(1-O1265)</f>
        <v/>
      </c>
      <c r="Q1265" s="162" t="n"/>
      <c r="R1265" s="162">
        <f>IF(ISBLANK(Q1265),"введи курс",P1265/Q1265)</f>
        <v/>
      </c>
      <c r="S1265" s="196">
        <f>IF(AND(ISNUMBER(E1265),ISNUMBER(Q1265)),E1265*R1265,0)</f>
        <v/>
      </c>
      <c r="T1265" s="192">
        <f>$BC1265*V$11</f>
        <v/>
      </c>
      <c r="U1265" s="76">
        <f>$BC1265*W$11</f>
        <v/>
      </c>
      <c r="V1265" s="193">
        <f>+SUM(T1265:U1265)</f>
        <v/>
      </c>
      <c r="W1265" s="191" t="n"/>
      <c r="X1265" s="170" t="n"/>
      <c r="Y1265" s="76">
        <f>ROUND(IF(offer_incoterms="DDP",X1265*(S1265*(1+AW1265)+T1265),0),2)</f>
        <v/>
      </c>
      <c r="Z1265" s="188" t="n"/>
      <c r="AA1265" s="192">
        <f>IFERROR(AB1265/E1265,0)</f>
        <v/>
      </c>
      <c r="AB1265" s="76">
        <f>ROUND(SUM(S1265,V1265,Y1265:Z1265,BA1265:BB1265),2)</f>
        <v/>
      </c>
      <c r="AC1265" s="797" t="n"/>
      <c r="AD1265" s="192">
        <f t="array" ref="AD1265">IFERROR(ROUND((_xlfn.IFS(offer_sale_type="поставка",AB1265,offer_sale_type="транзит",S1265)*(1+AC1265))/E1265,2),0)</f>
        <v/>
      </c>
      <c r="AE1265" s="76">
        <f>AD1265*E1265</f>
        <v/>
      </c>
      <c r="AF1265" s="193">
        <f t="array" ref="AF1265">IFERROR(ROUND(_xlfn.IFS(offer_sale_type="поставка",AB1265,offer_sale_type="транзит",S1265)*AC1265,2),0)</f>
        <v/>
      </c>
      <c r="AG1265" s="192">
        <f>$BD1265*VLOOKUP($AG$3,$AF$4:$AG$7,2,FALSE)</f>
        <v/>
      </c>
      <c r="AH1265" s="76">
        <f>SUM(AE1265,AG1265,AI1265)*rate_forex_risk</f>
        <v/>
      </c>
      <c r="AI1265" s="193">
        <f>IF(OR(seller_region="TR",offer_sale_type="экспорт"),0,rate_fin_comm)*SUM(AZ1265,AZ1265*AW1265,T1265)</f>
        <v/>
      </c>
      <c r="AJ1265" s="118">
        <f>IFERROR(ROUND(SUM(AB1265,AF1265:AI1265)/E1265,2),0)</f>
        <v/>
      </c>
      <c r="AK1265" s="76">
        <f>AJ1265*E1265</f>
        <v/>
      </c>
      <c r="AL1265" s="174">
        <f>ROUND(IFERROR(AM1265*E1265,0),2)</f>
        <v/>
      </c>
      <c r="AM1265" s="175">
        <f>ROUND(AJ1265*(1+IF(offer_incoterms="DDP",IF((TODAY()+offer_turnaround_time)&gt;=helpsheet!$L$17,rate_vatRU_from_26,rate_vatRu_till_25),0)),2)</f>
        <v/>
      </c>
      <c r="AN1265" s="192">
        <f>AL1265-AK1265</f>
        <v/>
      </c>
      <c r="AO1265" s="76">
        <f>SUM(AY1265,Y1265:Z1265,T1265)*IF(AND(offer_incoterms="DDP",offer_sale_type&lt;&gt;"экспорт"),IF((TODAY()+offer_turnaround_time)&gt;=helpsheet!$L$17,rate_vatRU_from_26,rate_vatRu_till_25),0)</f>
        <v/>
      </c>
      <c r="AP1265" s="193">
        <f>AN1265-AO1265</f>
        <v/>
      </c>
      <c r="AQ1265" s="118">
        <f>IF(offer_sale_type="транзит",SUM(AF1265:AI1265,BA1265,BB1265),0)</f>
        <v/>
      </c>
      <c r="AR1265" s="82">
        <f>HYPERLINK("https://www.alta.ru/tnved/code/")&amp;W1265&amp;"/"</f>
        <v/>
      </c>
      <c r="AS1265" s="157" t="n"/>
      <c r="AT1265" s="162" t="n"/>
      <c r="AU1265" s="76">
        <f>IF(ISBLANK(AT1265),0,AJ1265-AT1265)</f>
        <v/>
      </c>
      <c r="AV1265" s="157" t="n"/>
      <c r="AW1265" s="75">
        <f>_xlfn.IFNA(VLOOKUP(L1265,list_vat[],3,FALSE),0)</f>
        <v/>
      </c>
      <c r="AX1265" s="76">
        <f>IFERROR(ROUND(S1265*(1+AW1265)/E1265,2),0)</f>
        <v/>
      </c>
      <c r="AY1265" s="76">
        <f>E1265*AX1265</f>
        <v/>
      </c>
      <c r="AZ1265" s="192">
        <f>S1265*(1+M1265)</f>
        <v/>
      </c>
      <c r="BA1265" s="76">
        <f>cost_fin_total*$BD1265</f>
        <v/>
      </c>
      <c r="BB1265" s="193">
        <f>credit_sales_interest*BD1265</f>
        <v/>
      </c>
      <c r="BC1265" s="102">
        <f>IFERROR(IF($I$13&gt;0,$I1265/$I$13,$S1265/$S$13),0)</f>
        <v/>
      </c>
      <c r="BD1265" s="102">
        <f>IFERROR($S1265/$S$13,0)</f>
        <v/>
      </c>
      <c r="BE1265" s="413" t="inlineStr">
        <is>
          <t>$</t>
        </is>
      </c>
    </row>
    <row r="1266" ht="12" customFormat="1" customHeight="1" s="65">
      <c r="A1266" s="43" t="n">
        <v>1251</v>
      </c>
      <c r="B1266" s="166" t="n"/>
      <c r="C1266" s="166" t="n"/>
      <c r="D1266" s="166" t="n"/>
      <c r="E1266" s="162" t="n"/>
      <c r="F1266" s="166" t="n"/>
      <c r="G1266" s="162" t="n"/>
      <c r="H1266" s="162" t="n"/>
      <c r="I1266" s="189">
        <f>E1266*G1266</f>
        <v/>
      </c>
      <c r="J1266" s="195" t="n"/>
      <c r="K1266" s="162" t="n"/>
      <c r="L1266" s="168" t="n"/>
      <c r="M1266" s="75">
        <f>_xlfn.XLOOKUP(L1266,list_vat[Страна],list_vat[Ставка НДС %],0,0)</f>
        <v/>
      </c>
      <c r="N1266" s="162">
        <f>IFERROR(IF(L1266="Китай",K1266,K1266/(1+M1266)),0)</f>
        <v/>
      </c>
      <c r="O1266" s="169" t="n"/>
      <c r="P1266" s="76">
        <f>N1266*(1-O1266)</f>
        <v/>
      </c>
      <c r="Q1266" s="162" t="n"/>
      <c r="R1266" s="162">
        <f>IF(ISBLANK(Q1266),"введи курс",P1266/Q1266)</f>
        <v/>
      </c>
      <c r="S1266" s="196">
        <f>IF(AND(ISNUMBER(E1266),ISNUMBER(Q1266)),E1266*R1266,0)</f>
        <v/>
      </c>
      <c r="T1266" s="192">
        <f>$BC1266*V$11</f>
        <v/>
      </c>
      <c r="U1266" s="76">
        <f>$BC1266*W$11</f>
        <v/>
      </c>
      <c r="V1266" s="193">
        <f>+SUM(T1266:U1266)</f>
        <v/>
      </c>
      <c r="W1266" s="191" t="n"/>
      <c r="X1266" s="170" t="n"/>
      <c r="Y1266" s="76">
        <f>ROUND(IF(offer_incoterms="DDP",X1266*(S1266*(1+AW1266)+T1266),0),2)</f>
        <v/>
      </c>
      <c r="Z1266" s="188" t="n"/>
      <c r="AA1266" s="192">
        <f>IFERROR(AB1266/E1266,0)</f>
        <v/>
      </c>
      <c r="AB1266" s="76">
        <f>ROUND(SUM(S1266,V1266,Y1266:Z1266,BA1266:BB1266),2)</f>
        <v/>
      </c>
      <c r="AC1266" s="797" t="n"/>
      <c r="AD1266" s="192">
        <f t="array" ref="AD1266">IFERROR(ROUND((_xlfn.IFS(offer_sale_type="поставка",AB1266,offer_sale_type="транзит",S1266)*(1+AC1266))/E1266,2),0)</f>
        <v/>
      </c>
      <c r="AE1266" s="76">
        <f>AD1266*E1266</f>
        <v/>
      </c>
      <c r="AF1266" s="193">
        <f t="array" ref="AF1266">IFERROR(ROUND(_xlfn.IFS(offer_sale_type="поставка",AB1266,offer_sale_type="транзит",S1266)*AC1266,2),0)</f>
        <v/>
      </c>
      <c r="AG1266" s="192">
        <f>$BD1266*VLOOKUP($AG$3,$AF$4:$AG$7,2,FALSE)</f>
        <v/>
      </c>
      <c r="AH1266" s="76">
        <f>SUM(AE1266,AG1266,AI1266)*rate_forex_risk</f>
        <v/>
      </c>
      <c r="AI1266" s="193">
        <f>IF(OR(seller_region="TR",offer_sale_type="экспорт"),0,rate_fin_comm)*SUM(AZ1266,AZ1266*AW1266,T1266)</f>
        <v/>
      </c>
      <c r="AJ1266" s="118">
        <f>IFERROR(ROUND(SUM(AB1266,AF1266:AI1266)/E1266,2),0)</f>
        <v/>
      </c>
      <c r="AK1266" s="76">
        <f>AJ1266*E1266</f>
        <v/>
      </c>
      <c r="AL1266" s="174">
        <f>ROUND(IFERROR(AM1266*E1266,0),2)</f>
        <v/>
      </c>
      <c r="AM1266" s="175">
        <f>ROUND(AJ1266*(1+IF(offer_incoterms="DDP",IF((TODAY()+offer_turnaround_time)&gt;=helpsheet!$L$17,rate_vatRU_from_26,rate_vatRu_till_25),0)),2)</f>
        <v/>
      </c>
      <c r="AN1266" s="192">
        <f>AL1266-AK1266</f>
        <v/>
      </c>
      <c r="AO1266" s="76">
        <f>SUM(AY1266,Y1266:Z1266,T1266)*IF(AND(offer_incoterms="DDP",offer_sale_type&lt;&gt;"экспорт"),IF((TODAY()+offer_turnaround_time)&gt;=helpsheet!$L$17,rate_vatRU_from_26,rate_vatRu_till_25),0)</f>
        <v/>
      </c>
      <c r="AP1266" s="193">
        <f>AN1266-AO1266</f>
        <v/>
      </c>
      <c r="AQ1266" s="118">
        <f>IF(offer_sale_type="транзит",SUM(AF1266:AI1266,BA1266,BB1266),0)</f>
        <v/>
      </c>
      <c r="AR1266" s="82">
        <f>HYPERLINK("https://www.alta.ru/tnved/code/")&amp;W1266&amp;"/"</f>
        <v/>
      </c>
      <c r="AS1266" s="157" t="n"/>
      <c r="AT1266" s="162" t="n"/>
      <c r="AU1266" s="76">
        <f>IF(ISBLANK(AT1266),0,AJ1266-AT1266)</f>
        <v/>
      </c>
      <c r="AV1266" s="157" t="n"/>
      <c r="AW1266" s="75">
        <f>_xlfn.IFNA(VLOOKUP(L1266,list_vat[],3,FALSE),0)</f>
        <v/>
      </c>
      <c r="AX1266" s="76">
        <f>IFERROR(ROUND(S1266*(1+AW1266)/E1266,2),0)</f>
        <v/>
      </c>
      <c r="AY1266" s="76">
        <f>E1266*AX1266</f>
        <v/>
      </c>
      <c r="AZ1266" s="192">
        <f>S1266*(1+M1266)</f>
        <v/>
      </c>
      <c r="BA1266" s="76">
        <f>cost_fin_total*$BD1266</f>
        <v/>
      </c>
      <c r="BB1266" s="193">
        <f>credit_sales_interest*BD1266</f>
        <v/>
      </c>
      <c r="BC1266" s="102">
        <f>IFERROR(IF($I$13&gt;0,$I1266/$I$13,$S1266/$S$13),0)</f>
        <v/>
      </c>
      <c r="BD1266" s="102">
        <f>IFERROR($S1266/$S$13,0)</f>
        <v/>
      </c>
      <c r="BE1266" s="413" t="inlineStr">
        <is>
          <t>$</t>
        </is>
      </c>
    </row>
    <row r="1267" ht="12" customFormat="1" customHeight="1" s="65">
      <c r="A1267" s="43" t="n">
        <v>1252</v>
      </c>
      <c r="B1267" s="166" t="n"/>
      <c r="C1267" s="166" t="n"/>
      <c r="D1267" s="166" t="n"/>
      <c r="E1267" s="162" t="n"/>
      <c r="F1267" s="166" t="n"/>
      <c r="G1267" s="162" t="n"/>
      <c r="H1267" s="162" t="n"/>
      <c r="I1267" s="189">
        <f>E1267*G1267</f>
        <v/>
      </c>
      <c r="J1267" s="195" t="n"/>
      <c r="K1267" s="162" t="n"/>
      <c r="L1267" s="168" t="n"/>
      <c r="M1267" s="75">
        <f>_xlfn.XLOOKUP(L1267,list_vat[Страна],list_vat[Ставка НДС %],0,0)</f>
        <v/>
      </c>
      <c r="N1267" s="162">
        <f>IFERROR(IF(L1267="Китай",K1267,K1267/(1+M1267)),0)</f>
        <v/>
      </c>
      <c r="O1267" s="169" t="n"/>
      <c r="P1267" s="76">
        <f>N1267*(1-O1267)</f>
        <v/>
      </c>
      <c r="Q1267" s="162" t="n"/>
      <c r="R1267" s="162">
        <f>IF(ISBLANK(Q1267),"введи курс",P1267/Q1267)</f>
        <v/>
      </c>
      <c r="S1267" s="196">
        <f>IF(AND(ISNUMBER(E1267),ISNUMBER(Q1267)),E1267*R1267,0)</f>
        <v/>
      </c>
      <c r="T1267" s="192">
        <f>$BC1267*V$11</f>
        <v/>
      </c>
      <c r="U1267" s="76">
        <f>$BC1267*W$11</f>
        <v/>
      </c>
      <c r="V1267" s="193">
        <f>+SUM(T1267:U1267)</f>
        <v/>
      </c>
      <c r="W1267" s="191" t="n"/>
      <c r="X1267" s="170" t="n"/>
      <c r="Y1267" s="76">
        <f>ROUND(IF(offer_incoterms="DDP",X1267*(S1267*(1+AW1267)+T1267),0),2)</f>
        <v/>
      </c>
      <c r="Z1267" s="188" t="n"/>
      <c r="AA1267" s="192">
        <f>IFERROR(AB1267/E1267,0)</f>
        <v/>
      </c>
      <c r="AB1267" s="76">
        <f>ROUND(SUM(S1267,V1267,Y1267:Z1267,BA1267:BB1267),2)</f>
        <v/>
      </c>
      <c r="AC1267" s="797" t="n"/>
      <c r="AD1267" s="192">
        <f t="array" ref="AD1267">IFERROR(ROUND((_xlfn.IFS(offer_sale_type="поставка",AB1267,offer_sale_type="транзит",S1267)*(1+AC1267))/E1267,2),0)</f>
        <v/>
      </c>
      <c r="AE1267" s="76">
        <f>AD1267*E1267</f>
        <v/>
      </c>
      <c r="AF1267" s="193">
        <f t="array" ref="AF1267">IFERROR(ROUND(_xlfn.IFS(offer_sale_type="поставка",AB1267,offer_sale_type="транзит",S1267)*AC1267,2),0)</f>
        <v/>
      </c>
      <c r="AG1267" s="192">
        <f>$BD1267*VLOOKUP($AG$3,$AF$4:$AG$7,2,FALSE)</f>
        <v/>
      </c>
      <c r="AH1267" s="76">
        <f>SUM(AE1267,AG1267,AI1267)*rate_forex_risk</f>
        <v/>
      </c>
      <c r="AI1267" s="193">
        <f>IF(OR(seller_region="TR",offer_sale_type="экспорт"),0,rate_fin_comm)*SUM(AZ1267,AZ1267*AW1267,T1267)</f>
        <v/>
      </c>
      <c r="AJ1267" s="118">
        <f>IFERROR(ROUND(SUM(AB1267,AF1267:AI1267)/E1267,2),0)</f>
        <v/>
      </c>
      <c r="AK1267" s="76">
        <f>AJ1267*E1267</f>
        <v/>
      </c>
      <c r="AL1267" s="174">
        <f>ROUND(IFERROR(AM1267*E1267,0),2)</f>
        <v/>
      </c>
      <c r="AM1267" s="175">
        <f>ROUND(AJ1267*(1+IF(offer_incoterms="DDP",IF((TODAY()+offer_turnaround_time)&gt;=helpsheet!$L$17,rate_vatRU_from_26,rate_vatRu_till_25),0)),2)</f>
        <v/>
      </c>
      <c r="AN1267" s="192">
        <f>AL1267-AK1267</f>
        <v/>
      </c>
      <c r="AO1267" s="76">
        <f>SUM(AY1267,Y1267:Z1267,T1267)*IF(AND(offer_incoterms="DDP",offer_sale_type&lt;&gt;"экспорт"),IF((TODAY()+offer_turnaround_time)&gt;=helpsheet!$L$17,rate_vatRU_from_26,rate_vatRu_till_25),0)</f>
        <v/>
      </c>
      <c r="AP1267" s="193">
        <f>AN1267-AO1267</f>
        <v/>
      </c>
      <c r="AQ1267" s="118">
        <f>IF(offer_sale_type="транзит",SUM(AF1267:AI1267,BA1267,BB1267),0)</f>
        <v/>
      </c>
      <c r="AR1267" s="82">
        <f>HYPERLINK("https://www.alta.ru/tnved/code/")&amp;W1267&amp;"/"</f>
        <v/>
      </c>
      <c r="AS1267" s="157" t="n"/>
      <c r="AT1267" s="162" t="n"/>
      <c r="AU1267" s="76">
        <f>IF(ISBLANK(AT1267),0,AJ1267-AT1267)</f>
        <v/>
      </c>
      <c r="AV1267" s="157" t="n"/>
      <c r="AW1267" s="75">
        <f>_xlfn.IFNA(VLOOKUP(L1267,list_vat[],3,FALSE),0)</f>
        <v/>
      </c>
      <c r="AX1267" s="76">
        <f>IFERROR(ROUND(S1267*(1+AW1267)/E1267,2),0)</f>
        <v/>
      </c>
      <c r="AY1267" s="76">
        <f>E1267*AX1267</f>
        <v/>
      </c>
      <c r="AZ1267" s="192">
        <f>S1267*(1+M1267)</f>
        <v/>
      </c>
      <c r="BA1267" s="76">
        <f>cost_fin_total*$BD1267</f>
        <v/>
      </c>
      <c r="BB1267" s="193">
        <f>credit_sales_interest*BD1267</f>
        <v/>
      </c>
      <c r="BC1267" s="102">
        <f>IFERROR(IF($I$13&gt;0,$I1267/$I$13,$S1267/$S$13),0)</f>
        <v/>
      </c>
      <c r="BD1267" s="102">
        <f>IFERROR($S1267/$S$13,0)</f>
        <v/>
      </c>
      <c r="BE1267" s="413" t="inlineStr">
        <is>
          <t>$</t>
        </is>
      </c>
    </row>
    <row r="1268" ht="12" customFormat="1" customHeight="1" s="65">
      <c r="A1268" s="43" t="n">
        <v>1253</v>
      </c>
      <c r="B1268" s="166" t="n"/>
      <c r="C1268" s="166" t="n"/>
      <c r="D1268" s="166" t="n"/>
      <c r="E1268" s="162" t="n"/>
      <c r="F1268" s="166" t="n"/>
      <c r="G1268" s="162" t="n"/>
      <c r="H1268" s="162" t="n"/>
      <c r="I1268" s="189">
        <f>E1268*G1268</f>
        <v/>
      </c>
      <c r="J1268" s="195" t="n"/>
      <c r="K1268" s="162" t="n"/>
      <c r="L1268" s="168" t="n"/>
      <c r="M1268" s="75">
        <f>_xlfn.XLOOKUP(L1268,list_vat[Страна],list_vat[Ставка НДС %],0,0)</f>
        <v/>
      </c>
      <c r="N1268" s="162">
        <f>IFERROR(IF(L1268="Китай",K1268,K1268/(1+M1268)),0)</f>
        <v/>
      </c>
      <c r="O1268" s="169" t="n"/>
      <c r="P1268" s="76">
        <f>N1268*(1-O1268)</f>
        <v/>
      </c>
      <c r="Q1268" s="162" t="n"/>
      <c r="R1268" s="162">
        <f>IF(ISBLANK(Q1268),"введи курс",P1268/Q1268)</f>
        <v/>
      </c>
      <c r="S1268" s="196">
        <f>IF(AND(ISNUMBER(E1268),ISNUMBER(Q1268)),E1268*R1268,0)</f>
        <v/>
      </c>
      <c r="T1268" s="192">
        <f>$BC1268*V$11</f>
        <v/>
      </c>
      <c r="U1268" s="76">
        <f>$BC1268*W$11</f>
        <v/>
      </c>
      <c r="V1268" s="193">
        <f>+SUM(T1268:U1268)</f>
        <v/>
      </c>
      <c r="W1268" s="191" t="n"/>
      <c r="X1268" s="170" t="n"/>
      <c r="Y1268" s="76">
        <f>ROUND(IF(offer_incoterms="DDP",X1268*(S1268*(1+AW1268)+T1268),0),2)</f>
        <v/>
      </c>
      <c r="Z1268" s="188" t="n"/>
      <c r="AA1268" s="192">
        <f>IFERROR(AB1268/E1268,0)</f>
        <v/>
      </c>
      <c r="AB1268" s="76">
        <f>ROUND(SUM(S1268,V1268,Y1268:Z1268,BA1268:BB1268),2)</f>
        <v/>
      </c>
      <c r="AC1268" s="797" t="n"/>
      <c r="AD1268" s="192">
        <f t="array" ref="AD1268">IFERROR(ROUND((_xlfn.IFS(offer_sale_type="поставка",AB1268,offer_sale_type="транзит",S1268)*(1+AC1268))/E1268,2),0)</f>
        <v/>
      </c>
      <c r="AE1268" s="76">
        <f>AD1268*E1268</f>
        <v/>
      </c>
      <c r="AF1268" s="193">
        <f t="array" ref="AF1268">IFERROR(ROUND(_xlfn.IFS(offer_sale_type="поставка",AB1268,offer_sale_type="транзит",S1268)*AC1268,2),0)</f>
        <v/>
      </c>
      <c r="AG1268" s="192">
        <f>$BD1268*VLOOKUP($AG$3,$AF$4:$AG$7,2,FALSE)</f>
        <v/>
      </c>
      <c r="AH1268" s="76">
        <f>SUM(AE1268,AG1268,AI1268)*rate_forex_risk</f>
        <v/>
      </c>
      <c r="AI1268" s="193">
        <f>IF(OR(seller_region="TR",offer_sale_type="экспорт"),0,rate_fin_comm)*SUM(AZ1268,AZ1268*AW1268,T1268)</f>
        <v/>
      </c>
      <c r="AJ1268" s="118">
        <f>IFERROR(ROUND(SUM(AB1268,AF1268:AI1268)/E1268,2),0)</f>
        <v/>
      </c>
      <c r="AK1268" s="76">
        <f>AJ1268*E1268</f>
        <v/>
      </c>
      <c r="AL1268" s="174">
        <f>ROUND(IFERROR(AM1268*E1268,0),2)</f>
        <v/>
      </c>
      <c r="AM1268" s="175">
        <f>ROUND(AJ1268*(1+IF(offer_incoterms="DDP",IF((TODAY()+offer_turnaround_time)&gt;=helpsheet!$L$17,rate_vatRU_from_26,rate_vatRu_till_25),0)),2)</f>
        <v/>
      </c>
      <c r="AN1268" s="192">
        <f>AL1268-AK1268</f>
        <v/>
      </c>
      <c r="AO1268" s="76">
        <f>SUM(AY1268,Y1268:Z1268,T1268)*IF(AND(offer_incoterms="DDP",offer_sale_type&lt;&gt;"экспорт"),IF((TODAY()+offer_turnaround_time)&gt;=helpsheet!$L$17,rate_vatRU_from_26,rate_vatRu_till_25),0)</f>
        <v/>
      </c>
      <c r="AP1268" s="193">
        <f>AN1268-AO1268</f>
        <v/>
      </c>
      <c r="AQ1268" s="118">
        <f>IF(offer_sale_type="транзит",SUM(AF1268:AI1268,BA1268,BB1268),0)</f>
        <v/>
      </c>
      <c r="AR1268" s="82">
        <f>HYPERLINK("https://www.alta.ru/tnved/code/")&amp;W1268&amp;"/"</f>
        <v/>
      </c>
      <c r="AS1268" s="157" t="n"/>
      <c r="AT1268" s="162" t="n"/>
      <c r="AU1268" s="76">
        <f>IF(ISBLANK(AT1268),0,AJ1268-AT1268)</f>
        <v/>
      </c>
      <c r="AV1268" s="157" t="n"/>
      <c r="AW1268" s="75">
        <f>_xlfn.IFNA(VLOOKUP(L1268,list_vat[],3,FALSE),0)</f>
        <v/>
      </c>
      <c r="AX1268" s="76">
        <f>IFERROR(ROUND(S1268*(1+AW1268)/E1268,2),0)</f>
        <v/>
      </c>
      <c r="AY1268" s="76">
        <f>E1268*AX1268</f>
        <v/>
      </c>
      <c r="AZ1268" s="192">
        <f>S1268*(1+M1268)</f>
        <v/>
      </c>
      <c r="BA1268" s="76">
        <f>cost_fin_total*$BD1268</f>
        <v/>
      </c>
      <c r="BB1268" s="193">
        <f>credit_sales_interest*BD1268</f>
        <v/>
      </c>
      <c r="BC1268" s="102">
        <f>IFERROR(IF($I$13&gt;0,$I1268/$I$13,$S1268/$S$13),0)</f>
        <v/>
      </c>
      <c r="BD1268" s="102">
        <f>IFERROR($S1268/$S$13,0)</f>
        <v/>
      </c>
      <c r="BE1268" s="413" t="inlineStr">
        <is>
          <t>$</t>
        </is>
      </c>
    </row>
    <row r="1269" ht="12" customFormat="1" customHeight="1" s="65">
      <c r="A1269" s="43" t="n">
        <v>1254</v>
      </c>
      <c r="B1269" s="166" t="n"/>
      <c r="C1269" s="166" t="n"/>
      <c r="D1269" s="166" t="n"/>
      <c r="E1269" s="162" t="n"/>
      <c r="F1269" s="166" t="n"/>
      <c r="G1269" s="162" t="n"/>
      <c r="H1269" s="162" t="n"/>
      <c r="I1269" s="189">
        <f>E1269*G1269</f>
        <v/>
      </c>
      <c r="J1269" s="195" t="n"/>
      <c r="K1269" s="162" t="n"/>
      <c r="L1269" s="168" t="n"/>
      <c r="M1269" s="75">
        <f>_xlfn.XLOOKUP(L1269,list_vat[Страна],list_vat[Ставка НДС %],0,0)</f>
        <v/>
      </c>
      <c r="N1269" s="162">
        <f>IFERROR(IF(L1269="Китай",K1269,K1269/(1+M1269)),0)</f>
        <v/>
      </c>
      <c r="O1269" s="169" t="n"/>
      <c r="P1269" s="76">
        <f>N1269*(1-O1269)</f>
        <v/>
      </c>
      <c r="Q1269" s="162" t="n"/>
      <c r="R1269" s="162">
        <f>IF(ISBLANK(Q1269),"введи курс",P1269/Q1269)</f>
        <v/>
      </c>
      <c r="S1269" s="196">
        <f>IF(AND(ISNUMBER(E1269),ISNUMBER(Q1269)),E1269*R1269,0)</f>
        <v/>
      </c>
      <c r="T1269" s="192">
        <f>$BC1269*V$11</f>
        <v/>
      </c>
      <c r="U1269" s="76">
        <f>$BC1269*W$11</f>
        <v/>
      </c>
      <c r="V1269" s="193">
        <f>+SUM(T1269:U1269)</f>
        <v/>
      </c>
      <c r="W1269" s="191" t="n"/>
      <c r="X1269" s="170" t="n"/>
      <c r="Y1269" s="76">
        <f>ROUND(IF(offer_incoterms="DDP",X1269*(S1269*(1+AW1269)+T1269),0),2)</f>
        <v/>
      </c>
      <c r="Z1269" s="188" t="n"/>
      <c r="AA1269" s="192">
        <f>IFERROR(AB1269/E1269,0)</f>
        <v/>
      </c>
      <c r="AB1269" s="76">
        <f>ROUND(SUM(S1269,V1269,Y1269:Z1269,BA1269:BB1269),2)</f>
        <v/>
      </c>
      <c r="AC1269" s="797" t="n"/>
      <c r="AD1269" s="192">
        <f t="array" ref="AD1269">IFERROR(ROUND((_xlfn.IFS(offer_sale_type="поставка",AB1269,offer_sale_type="транзит",S1269)*(1+AC1269))/E1269,2),0)</f>
        <v/>
      </c>
      <c r="AE1269" s="76">
        <f>AD1269*E1269</f>
        <v/>
      </c>
      <c r="AF1269" s="193">
        <f t="array" ref="AF1269">IFERROR(ROUND(_xlfn.IFS(offer_sale_type="поставка",AB1269,offer_sale_type="транзит",S1269)*AC1269,2),0)</f>
        <v/>
      </c>
      <c r="AG1269" s="192">
        <f>$BD1269*VLOOKUP($AG$3,$AF$4:$AG$7,2,FALSE)</f>
        <v/>
      </c>
      <c r="AH1269" s="76">
        <f>SUM(AE1269,AG1269,AI1269)*rate_forex_risk</f>
        <v/>
      </c>
      <c r="AI1269" s="193">
        <f>IF(OR(seller_region="TR",offer_sale_type="экспорт"),0,rate_fin_comm)*SUM(AZ1269,AZ1269*AW1269,T1269)</f>
        <v/>
      </c>
      <c r="AJ1269" s="118">
        <f>IFERROR(ROUND(SUM(AB1269,AF1269:AI1269)/E1269,2),0)</f>
        <v/>
      </c>
      <c r="AK1269" s="76">
        <f>AJ1269*E1269</f>
        <v/>
      </c>
      <c r="AL1269" s="174">
        <f>ROUND(IFERROR(AM1269*E1269,0),2)</f>
        <v/>
      </c>
      <c r="AM1269" s="175">
        <f>ROUND(AJ1269*(1+IF(offer_incoterms="DDP",IF((TODAY()+offer_turnaround_time)&gt;=helpsheet!$L$17,rate_vatRU_from_26,rate_vatRu_till_25),0)),2)</f>
        <v/>
      </c>
      <c r="AN1269" s="192">
        <f>AL1269-AK1269</f>
        <v/>
      </c>
      <c r="AO1269" s="76">
        <f>SUM(AY1269,Y1269:Z1269,T1269)*IF(AND(offer_incoterms="DDP",offer_sale_type&lt;&gt;"экспорт"),IF((TODAY()+offer_turnaround_time)&gt;=helpsheet!$L$17,rate_vatRU_from_26,rate_vatRu_till_25),0)</f>
        <v/>
      </c>
      <c r="AP1269" s="193">
        <f>AN1269-AO1269</f>
        <v/>
      </c>
      <c r="AQ1269" s="118">
        <f>IF(offer_sale_type="транзит",SUM(AF1269:AI1269,BA1269,BB1269),0)</f>
        <v/>
      </c>
      <c r="AR1269" s="82">
        <f>HYPERLINK("https://www.alta.ru/tnved/code/")&amp;W1269&amp;"/"</f>
        <v/>
      </c>
      <c r="AS1269" s="157" t="n"/>
      <c r="AT1269" s="162" t="n"/>
      <c r="AU1269" s="76">
        <f>IF(ISBLANK(AT1269),0,AJ1269-AT1269)</f>
        <v/>
      </c>
      <c r="AV1269" s="157" t="n"/>
      <c r="AW1269" s="75">
        <f>_xlfn.IFNA(VLOOKUP(L1269,list_vat[],3,FALSE),0)</f>
        <v/>
      </c>
      <c r="AX1269" s="76">
        <f>IFERROR(ROUND(S1269*(1+AW1269)/E1269,2),0)</f>
        <v/>
      </c>
      <c r="AY1269" s="76">
        <f>E1269*AX1269</f>
        <v/>
      </c>
      <c r="AZ1269" s="192">
        <f>S1269*(1+M1269)</f>
        <v/>
      </c>
      <c r="BA1269" s="76">
        <f>cost_fin_total*$BD1269</f>
        <v/>
      </c>
      <c r="BB1269" s="193">
        <f>credit_sales_interest*BD1269</f>
        <v/>
      </c>
      <c r="BC1269" s="102">
        <f>IFERROR(IF($I$13&gt;0,$I1269/$I$13,$S1269/$S$13),0)</f>
        <v/>
      </c>
      <c r="BD1269" s="102">
        <f>IFERROR($S1269/$S$13,0)</f>
        <v/>
      </c>
      <c r="BE1269" s="413" t="inlineStr">
        <is>
          <t>$</t>
        </is>
      </c>
    </row>
    <row r="1270" ht="12" customFormat="1" customHeight="1" s="65">
      <c r="A1270" s="43" t="n">
        <v>1255</v>
      </c>
      <c r="B1270" s="166" t="n"/>
      <c r="C1270" s="166" t="n"/>
      <c r="D1270" s="166" t="n"/>
      <c r="E1270" s="162" t="n"/>
      <c r="F1270" s="166" t="n"/>
      <c r="G1270" s="162" t="n"/>
      <c r="H1270" s="162" t="n"/>
      <c r="I1270" s="189">
        <f>E1270*G1270</f>
        <v/>
      </c>
      <c r="J1270" s="195" t="n"/>
      <c r="K1270" s="162" t="n"/>
      <c r="L1270" s="168" t="n"/>
      <c r="M1270" s="75">
        <f>_xlfn.XLOOKUP(L1270,list_vat[Страна],list_vat[Ставка НДС %],0,0)</f>
        <v/>
      </c>
      <c r="N1270" s="162">
        <f>IFERROR(IF(L1270="Китай",K1270,K1270/(1+M1270)),0)</f>
        <v/>
      </c>
      <c r="O1270" s="169" t="n"/>
      <c r="P1270" s="76">
        <f>N1270*(1-O1270)</f>
        <v/>
      </c>
      <c r="Q1270" s="162" t="n"/>
      <c r="R1270" s="162">
        <f>IF(ISBLANK(Q1270),"введи курс",P1270/Q1270)</f>
        <v/>
      </c>
      <c r="S1270" s="196">
        <f>IF(AND(ISNUMBER(E1270),ISNUMBER(Q1270)),E1270*R1270,0)</f>
        <v/>
      </c>
      <c r="T1270" s="192">
        <f>$BC1270*V$11</f>
        <v/>
      </c>
      <c r="U1270" s="76">
        <f>$BC1270*W$11</f>
        <v/>
      </c>
      <c r="V1270" s="193">
        <f>+SUM(T1270:U1270)</f>
        <v/>
      </c>
      <c r="W1270" s="191" t="n"/>
      <c r="X1270" s="170" t="n"/>
      <c r="Y1270" s="76">
        <f>ROUND(IF(offer_incoterms="DDP",X1270*(S1270*(1+AW1270)+T1270),0),2)</f>
        <v/>
      </c>
      <c r="Z1270" s="188" t="n"/>
      <c r="AA1270" s="192">
        <f>IFERROR(AB1270/E1270,0)</f>
        <v/>
      </c>
      <c r="AB1270" s="76">
        <f>ROUND(SUM(S1270,V1270,Y1270:Z1270,BA1270:BB1270),2)</f>
        <v/>
      </c>
      <c r="AC1270" s="797" t="n"/>
      <c r="AD1270" s="192">
        <f t="array" ref="AD1270">IFERROR(ROUND((_xlfn.IFS(offer_sale_type="поставка",AB1270,offer_sale_type="транзит",S1270)*(1+AC1270))/E1270,2),0)</f>
        <v/>
      </c>
      <c r="AE1270" s="76">
        <f>AD1270*E1270</f>
        <v/>
      </c>
      <c r="AF1270" s="193">
        <f t="array" ref="AF1270">IFERROR(ROUND(_xlfn.IFS(offer_sale_type="поставка",AB1270,offer_sale_type="транзит",S1270)*AC1270,2),0)</f>
        <v/>
      </c>
      <c r="AG1270" s="192">
        <f>$BD1270*VLOOKUP($AG$3,$AF$4:$AG$7,2,FALSE)</f>
        <v/>
      </c>
      <c r="AH1270" s="76">
        <f>SUM(AE1270,AG1270,AI1270)*rate_forex_risk</f>
        <v/>
      </c>
      <c r="AI1270" s="193">
        <f>IF(OR(seller_region="TR",offer_sale_type="экспорт"),0,rate_fin_comm)*SUM(AZ1270,AZ1270*AW1270,T1270)</f>
        <v/>
      </c>
      <c r="AJ1270" s="118">
        <f>IFERROR(ROUND(SUM(AB1270,AF1270:AI1270)/E1270,2),0)</f>
        <v/>
      </c>
      <c r="AK1270" s="76">
        <f>AJ1270*E1270</f>
        <v/>
      </c>
      <c r="AL1270" s="174">
        <f>ROUND(IFERROR(AM1270*E1270,0),2)</f>
        <v/>
      </c>
      <c r="AM1270" s="175">
        <f>ROUND(AJ1270*(1+IF(offer_incoterms="DDP",IF((TODAY()+offer_turnaround_time)&gt;=helpsheet!$L$17,rate_vatRU_from_26,rate_vatRu_till_25),0)),2)</f>
        <v/>
      </c>
      <c r="AN1270" s="192">
        <f>AL1270-AK1270</f>
        <v/>
      </c>
      <c r="AO1270" s="76">
        <f>SUM(AY1270,Y1270:Z1270,T1270)*IF(AND(offer_incoterms="DDP",offer_sale_type&lt;&gt;"экспорт"),IF((TODAY()+offer_turnaround_time)&gt;=helpsheet!$L$17,rate_vatRU_from_26,rate_vatRu_till_25),0)</f>
        <v/>
      </c>
      <c r="AP1270" s="193">
        <f>AN1270-AO1270</f>
        <v/>
      </c>
      <c r="AQ1270" s="118">
        <f>IF(offer_sale_type="транзит",SUM(AF1270:AI1270,BA1270,BB1270),0)</f>
        <v/>
      </c>
      <c r="AR1270" s="82">
        <f>HYPERLINK("https://www.alta.ru/tnved/code/")&amp;W1270&amp;"/"</f>
        <v/>
      </c>
      <c r="AS1270" s="157" t="n"/>
      <c r="AT1270" s="162" t="n"/>
      <c r="AU1270" s="76">
        <f>IF(ISBLANK(AT1270),0,AJ1270-AT1270)</f>
        <v/>
      </c>
      <c r="AV1270" s="157" t="n"/>
      <c r="AW1270" s="75">
        <f>_xlfn.IFNA(VLOOKUP(L1270,list_vat[],3,FALSE),0)</f>
        <v/>
      </c>
      <c r="AX1270" s="76">
        <f>IFERROR(ROUND(S1270*(1+AW1270)/E1270,2),0)</f>
        <v/>
      </c>
      <c r="AY1270" s="76">
        <f>E1270*AX1270</f>
        <v/>
      </c>
      <c r="AZ1270" s="192">
        <f>S1270*(1+M1270)</f>
        <v/>
      </c>
      <c r="BA1270" s="76">
        <f>cost_fin_total*$BD1270</f>
        <v/>
      </c>
      <c r="BB1270" s="193">
        <f>credit_sales_interest*BD1270</f>
        <v/>
      </c>
      <c r="BC1270" s="102">
        <f>IFERROR(IF($I$13&gt;0,$I1270/$I$13,$S1270/$S$13),0)</f>
        <v/>
      </c>
      <c r="BD1270" s="102">
        <f>IFERROR($S1270/$S$13,0)</f>
        <v/>
      </c>
      <c r="BE1270" s="413" t="inlineStr">
        <is>
          <t>$</t>
        </is>
      </c>
    </row>
    <row r="1271" ht="12" customFormat="1" customHeight="1" s="65">
      <c r="A1271" s="43" t="n">
        <v>1256</v>
      </c>
      <c r="B1271" s="166" t="n"/>
      <c r="C1271" s="166" t="n"/>
      <c r="D1271" s="166" t="n"/>
      <c r="E1271" s="162" t="n"/>
      <c r="F1271" s="166" t="n"/>
      <c r="G1271" s="162" t="n"/>
      <c r="H1271" s="162" t="n"/>
      <c r="I1271" s="189">
        <f>E1271*G1271</f>
        <v/>
      </c>
      <c r="J1271" s="195" t="n"/>
      <c r="K1271" s="162" t="n"/>
      <c r="L1271" s="168" t="n"/>
      <c r="M1271" s="75">
        <f>_xlfn.XLOOKUP(L1271,list_vat[Страна],list_vat[Ставка НДС %],0,0)</f>
        <v/>
      </c>
      <c r="N1271" s="162">
        <f>IFERROR(IF(L1271="Китай",K1271,K1271/(1+M1271)),0)</f>
        <v/>
      </c>
      <c r="O1271" s="169" t="n"/>
      <c r="P1271" s="76">
        <f>N1271*(1-O1271)</f>
        <v/>
      </c>
      <c r="Q1271" s="162" t="n"/>
      <c r="R1271" s="162">
        <f>IF(ISBLANK(Q1271),"введи курс",P1271/Q1271)</f>
        <v/>
      </c>
      <c r="S1271" s="196">
        <f>IF(AND(ISNUMBER(E1271),ISNUMBER(Q1271)),E1271*R1271,0)</f>
        <v/>
      </c>
      <c r="T1271" s="192">
        <f>$BC1271*V$11</f>
        <v/>
      </c>
      <c r="U1271" s="76">
        <f>$BC1271*W$11</f>
        <v/>
      </c>
      <c r="V1271" s="193">
        <f>+SUM(T1271:U1271)</f>
        <v/>
      </c>
      <c r="W1271" s="191" t="n"/>
      <c r="X1271" s="170" t="n"/>
      <c r="Y1271" s="76">
        <f>ROUND(IF(offer_incoterms="DDP",X1271*(S1271*(1+AW1271)+T1271),0),2)</f>
        <v/>
      </c>
      <c r="Z1271" s="188" t="n"/>
      <c r="AA1271" s="192">
        <f>IFERROR(AB1271/E1271,0)</f>
        <v/>
      </c>
      <c r="AB1271" s="76">
        <f>ROUND(SUM(S1271,V1271,Y1271:Z1271,BA1271:BB1271),2)</f>
        <v/>
      </c>
      <c r="AC1271" s="797" t="n"/>
      <c r="AD1271" s="192">
        <f t="array" ref="AD1271">IFERROR(ROUND((_xlfn.IFS(offer_sale_type="поставка",AB1271,offer_sale_type="транзит",S1271)*(1+AC1271))/E1271,2),0)</f>
        <v/>
      </c>
      <c r="AE1271" s="76">
        <f>AD1271*E1271</f>
        <v/>
      </c>
      <c r="AF1271" s="193">
        <f t="array" ref="AF1271">IFERROR(ROUND(_xlfn.IFS(offer_sale_type="поставка",AB1271,offer_sale_type="транзит",S1271)*AC1271,2),0)</f>
        <v/>
      </c>
      <c r="AG1271" s="192">
        <f>$BD1271*VLOOKUP($AG$3,$AF$4:$AG$7,2,FALSE)</f>
        <v/>
      </c>
      <c r="AH1271" s="76">
        <f>SUM(AE1271,AG1271,AI1271)*rate_forex_risk</f>
        <v/>
      </c>
      <c r="AI1271" s="193">
        <f>IF(OR(seller_region="TR",offer_sale_type="экспорт"),0,rate_fin_comm)*SUM(AZ1271,AZ1271*AW1271,T1271)</f>
        <v/>
      </c>
      <c r="AJ1271" s="118">
        <f>IFERROR(ROUND(SUM(AB1271,AF1271:AI1271)/E1271,2),0)</f>
        <v/>
      </c>
      <c r="AK1271" s="76">
        <f>AJ1271*E1271</f>
        <v/>
      </c>
      <c r="AL1271" s="174">
        <f>ROUND(IFERROR(AM1271*E1271,0),2)</f>
        <v/>
      </c>
      <c r="AM1271" s="175">
        <f>ROUND(AJ1271*(1+IF(offer_incoterms="DDP",IF((TODAY()+offer_turnaround_time)&gt;=helpsheet!$L$17,rate_vatRU_from_26,rate_vatRu_till_25),0)),2)</f>
        <v/>
      </c>
      <c r="AN1271" s="192">
        <f>AL1271-AK1271</f>
        <v/>
      </c>
      <c r="AO1271" s="76">
        <f>SUM(AY1271,Y1271:Z1271,T1271)*IF(AND(offer_incoterms="DDP",offer_sale_type&lt;&gt;"экспорт"),IF((TODAY()+offer_turnaround_time)&gt;=helpsheet!$L$17,rate_vatRU_from_26,rate_vatRu_till_25),0)</f>
        <v/>
      </c>
      <c r="AP1271" s="193">
        <f>AN1271-AO1271</f>
        <v/>
      </c>
      <c r="AQ1271" s="118">
        <f>IF(offer_sale_type="транзит",SUM(AF1271:AI1271,BA1271,BB1271),0)</f>
        <v/>
      </c>
      <c r="AR1271" s="82">
        <f>HYPERLINK("https://www.alta.ru/tnved/code/")&amp;W1271&amp;"/"</f>
        <v/>
      </c>
      <c r="AS1271" s="157" t="n"/>
      <c r="AT1271" s="162" t="n"/>
      <c r="AU1271" s="76">
        <f>IF(ISBLANK(AT1271),0,AJ1271-AT1271)</f>
        <v/>
      </c>
      <c r="AV1271" s="157" t="n"/>
      <c r="AW1271" s="75">
        <f>_xlfn.IFNA(VLOOKUP(L1271,list_vat[],3,FALSE),0)</f>
        <v/>
      </c>
      <c r="AX1271" s="76">
        <f>IFERROR(ROUND(S1271*(1+AW1271)/E1271,2),0)</f>
        <v/>
      </c>
      <c r="AY1271" s="76">
        <f>E1271*AX1271</f>
        <v/>
      </c>
      <c r="AZ1271" s="192">
        <f>S1271*(1+M1271)</f>
        <v/>
      </c>
      <c r="BA1271" s="76">
        <f>cost_fin_total*$BD1271</f>
        <v/>
      </c>
      <c r="BB1271" s="193">
        <f>credit_sales_interest*BD1271</f>
        <v/>
      </c>
      <c r="BC1271" s="102">
        <f>IFERROR(IF($I$13&gt;0,$I1271/$I$13,$S1271/$S$13),0)</f>
        <v/>
      </c>
      <c r="BD1271" s="102">
        <f>IFERROR($S1271/$S$13,0)</f>
        <v/>
      </c>
      <c r="BE1271" s="413" t="inlineStr">
        <is>
          <t>$</t>
        </is>
      </c>
    </row>
    <row r="1272" ht="12" customFormat="1" customHeight="1" s="65">
      <c r="A1272" s="43" t="n">
        <v>1257</v>
      </c>
      <c r="B1272" s="166" t="n"/>
      <c r="C1272" s="166" t="n"/>
      <c r="D1272" s="166" t="n"/>
      <c r="E1272" s="162" t="n"/>
      <c r="F1272" s="166" t="n"/>
      <c r="G1272" s="162" t="n"/>
      <c r="H1272" s="162" t="n"/>
      <c r="I1272" s="189">
        <f>E1272*G1272</f>
        <v/>
      </c>
      <c r="J1272" s="195" t="n"/>
      <c r="K1272" s="162" t="n"/>
      <c r="L1272" s="168" t="n"/>
      <c r="M1272" s="75">
        <f>_xlfn.XLOOKUP(L1272,list_vat[Страна],list_vat[Ставка НДС %],0,0)</f>
        <v/>
      </c>
      <c r="N1272" s="162">
        <f>IFERROR(IF(L1272="Китай",K1272,K1272/(1+M1272)),0)</f>
        <v/>
      </c>
      <c r="O1272" s="169" t="n"/>
      <c r="P1272" s="76">
        <f>N1272*(1-O1272)</f>
        <v/>
      </c>
      <c r="Q1272" s="162" t="n"/>
      <c r="R1272" s="162">
        <f>IF(ISBLANK(Q1272),"введи курс",P1272/Q1272)</f>
        <v/>
      </c>
      <c r="S1272" s="196">
        <f>IF(AND(ISNUMBER(E1272),ISNUMBER(Q1272)),E1272*R1272,0)</f>
        <v/>
      </c>
      <c r="T1272" s="192">
        <f>$BC1272*V$11</f>
        <v/>
      </c>
      <c r="U1272" s="76">
        <f>$BC1272*W$11</f>
        <v/>
      </c>
      <c r="V1272" s="193">
        <f>+SUM(T1272:U1272)</f>
        <v/>
      </c>
      <c r="W1272" s="191" t="n"/>
      <c r="X1272" s="170" t="n"/>
      <c r="Y1272" s="76">
        <f>ROUND(IF(offer_incoterms="DDP",X1272*(S1272*(1+AW1272)+T1272),0),2)</f>
        <v/>
      </c>
      <c r="Z1272" s="188" t="n"/>
      <c r="AA1272" s="192">
        <f>IFERROR(AB1272/E1272,0)</f>
        <v/>
      </c>
      <c r="AB1272" s="76">
        <f>ROUND(SUM(S1272,V1272,Y1272:Z1272,BA1272:BB1272),2)</f>
        <v/>
      </c>
      <c r="AC1272" s="797" t="n"/>
      <c r="AD1272" s="192">
        <f t="array" ref="AD1272">IFERROR(ROUND((_xlfn.IFS(offer_sale_type="поставка",AB1272,offer_sale_type="транзит",S1272)*(1+AC1272))/E1272,2),0)</f>
        <v/>
      </c>
      <c r="AE1272" s="76">
        <f>AD1272*E1272</f>
        <v/>
      </c>
      <c r="AF1272" s="193">
        <f t="array" ref="AF1272">IFERROR(ROUND(_xlfn.IFS(offer_sale_type="поставка",AB1272,offer_sale_type="транзит",S1272)*AC1272,2),0)</f>
        <v/>
      </c>
      <c r="AG1272" s="192">
        <f>$BD1272*VLOOKUP($AG$3,$AF$4:$AG$7,2,FALSE)</f>
        <v/>
      </c>
      <c r="AH1272" s="76">
        <f>SUM(AE1272,AG1272,AI1272)*rate_forex_risk</f>
        <v/>
      </c>
      <c r="AI1272" s="193">
        <f>IF(OR(seller_region="TR",offer_sale_type="экспорт"),0,rate_fin_comm)*SUM(AZ1272,AZ1272*AW1272,T1272)</f>
        <v/>
      </c>
      <c r="AJ1272" s="118">
        <f>IFERROR(ROUND(SUM(AB1272,AF1272:AI1272)/E1272,2),0)</f>
        <v/>
      </c>
      <c r="AK1272" s="76">
        <f>AJ1272*E1272</f>
        <v/>
      </c>
      <c r="AL1272" s="174">
        <f>ROUND(IFERROR(AM1272*E1272,0),2)</f>
        <v/>
      </c>
      <c r="AM1272" s="175">
        <f>ROUND(AJ1272*(1+IF(offer_incoterms="DDP",IF((TODAY()+offer_turnaround_time)&gt;=helpsheet!$L$17,rate_vatRU_from_26,rate_vatRu_till_25),0)),2)</f>
        <v/>
      </c>
      <c r="AN1272" s="192">
        <f>AL1272-AK1272</f>
        <v/>
      </c>
      <c r="AO1272" s="76">
        <f>SUM(AY1272,Y1272:Z1272,T1272)*IF(AND(offer_incoterms="DDP",offer_sale_type&lt;&gt;"экспорт"),IF((TODAY()+offer_turnaround_time)&gt;=helpsheet!$L$17,rate_vatRU_from_26,rate_vatRu_till_25),0)</f>
        <v/>
      </c>
      <c r="AP1272" s="193">
        <f>AN1272-AO1272</f>
        <v/>
      </c>
      <c r="AQ1272" s="118">
        <f>IF(offer_sale_type="транзит",SUM(AF1272:AI1272,BA1272,BB1272),0)</f>
        <v/>
      </c>
      <c r="AR1272" s="82">
        <f>HYPERLINK("https://www.alta.ru/tnved/code/")&amp;W1272&amp;"/"</f>
        <v/>
      </c>
      <c r="AS1272" s="157" t="n"/>
      <c r="AT1272" s="162" t="n"/>
      <c r="AU1272" s="76">
        <f>IF(ISBLANK(AT1272),0,AJ1272-AT1272)</f>
        <v/>
      </c>
      <c r="AV1272" s="157" t="n"/>
      <c r="AW1272" s="75">
        <f>_xlfn.IFNA(VLOOKUP(L1272,list_vat[],3,FALSE),0)</f>
        <v/>
      </c>
      <c r="AX1272" s="76">
        <f>IFERROR(ROUND(S1272*(1+AW1272)/E1272,2),0)</f>
        <v/>
      </c>
      <c r="AY1272" s="76">
        <f>E1272*AX1272</f>
        <v/>
      </c>
      <c r="AZ1272" s="192">
        <f>S1272*(1+M1272)</f>
        <v/>
      </c>
      <c r="BA1272" s="76">
        <f>cost_fin_total*$BD1272</f>
        <v/>
      </c>
      <c r="BB1272" s="193">
        <f>credit_sales_interest*BD1272</f>
        <v/>
      </c>
      <c r="BC1272" s="102">
        <f>IFERROR(IF($I$13&gt;0,$I1272/$I$13,$S1272/$S$13),0)</f>
        <v/>
      </c>
      <c r="BD1272" s="102">
        <f>IFERROR($S1272/$S$13,0)</f>
        <v/>
      </c>
      <c r="BE1272" s="413" t="inlineStr">
        <is>
          <t>$</t>
        </is>
      </c>
    </row>
    <row r="1273" ht="12" customFormat="1" customHeight="1" s="65">
      <c r="A1273" s="43" t="n">
        <v>1258</v>
      </c>
      <c r="B1273" s="166" t="n"/>
      <c r="C1273" s="166" t="n"/>
      <c r="D1273" s="166" t="n"/>
      <c r="E1273" s="162" t="n"/>
      <c r="F1273" s="166" t="n"/>
      <c r="G1273" s="162" t="n"/>
      <c r="H1273" s="162" t="n"/>
      <c r="I1273" s="189">
        <f>E1273*G1273</f>
        <v/>
      </c>
      <c r="J1273" s="195" t="n"/>
      <c r="K1273" s="162" t="n"/>
      <c r="L1273" s="168" t="n"/>
      <c r="M1273" s="75">
        <f>_xlfn.XLOOKUP(L1273,list_vat[Страна],list_vat[Ставка НДС %],0,0)</f>
        <v/>
      </c>
      <c r="N1273" s="162">
        <f>IFERROR(IF(L1273="Китай",K1273,K1273/(1+M1273)),0)</f>
        <v/>
      </c>
      <c r="O1273" s="169" t="n"/>
      <c r="P1273" s="76">
        <f>N1273*(1-O1273)</f>
        <v/>
      </c>
      <c r="Q1273" s="162" t="n"/>
      <c r="R1273" s="162">
        <f>IF(ISBLANK(Q1273),"введи курс",P1273/Q1273)</f>
        <v/>
      </c>
      <c r="S1273" s="196">
        <f>IF(AND(ISNUMBER(E1273),ISNUMBER(Q1273)),E1273*R1273,0)</f>
        <v/>
      </c>
      <c r="T1273" s="192">
        <f>$BC1273*V$11</f>
        <v/>
      </c>
      <c r="U1273" s="76">
        <f>$BC1273*W$11</f>
        <v/>
      </c>
      <c r="V1273" s="193">
        <f>+SUM(T1273:U1273)</f>
        <v/>
      </c>
      <c r="W1273" s="191" t="n"/>
      <c r="X1273" s="170" t="n"/>
      <c r="Y1273" s="76">
        <f>ROUND(IF(offer_incoterms="DDP",X1273*(S1273*(1+AW1273)+T1273),0),2)</f>
        <v/>
      </c>
      <c r="Z1273" s="188" t="n"/>
      <c r="AA1273" s="192">
        <f>IFERROR(AB1273/E1273,0)</f>
        <v/>
      </c>
      <c r="AB1273" s="76">
        <f>ROUND(SUM(S1273,V1273,Y1273:Z1273,BA1273:BB1273),2)</f>
        <v/>
      </c>
      <c r="AC1273" s="797" t="n"/>
      <c r="AD1273" s="192">
        <f t="array" ref="AD1273">IFERROR(ROUND((_xlfn.IFS(offer_sale_type="поставка",AB1273,offer_sale_type="транзит",S1273)*(1+AC1273))/E1273,2),0)</f>
        <v/>
      </c>
      <c r="AE1273" s="76">
        <f>AD1273*E1273</f>
        <v/>
      </c>
      <c r="AF1273" s="193">
        <f t="array" ref="AF1273">IFERROR(ROUND(_xlfn.IFS(offer_sale_type="поставка",AB1273,offer_sale_type="транзит",S1273)*AC1273,2),0)</f>
        <v/>
      </c>
      <c r="AG1273" s="192">
        <f>$BD1273*VLOOKUP($AG$3,$AF$4:$AG$7,2,FALSE)</f>
        <v/>
      </c>
      <c r="AH1273" s="76">
        <f>SUM(AE1273,AG1273,AI1273)*rate_forex_risk</f>
        <v/>
      </c>
      <c r="AI1273" s="193">
        <f>IF(OR(seller_region="TR",offer_sale_type="экспорт"),0,rate_fin_comm)*SUM(AZ1273,AZ1273*AW1273,T1273)</f>
        <v/>
      </c>
      <c r="AJ1273" s="118">
        <f>IFERROR(ROUND(SUM(AB1273,AF1273:AI1273)/E1273,2),0)</f>
        <v/>
      </c>
      <c r="AK1273" s="76">
        <f>AJ1273*E1273</f>
        <v/>
      </c>
      <c r="AL1273" s="174">
        <f>ROUND(IFERROR(AM1273*E1273,0),2)</f>
        <v/>
      </c>
      <c r="AM1273" s="175">
        <f>ROUND(AJ1273*(1+IF(offer_incoterms="DDP",IF((TODAY()+offer_turnaround_time)&gt;=helpsheet!$L$17,rate_vatRU_from_26,rate_vatRu_till_25),0)),2)</f>
        <v/>
      </c>
      <c r="AN1273" s="192">
        <f>AL1273-AK1273</f>
        <v/>
      </c>
      <c r="AO1273" s="76">
        <f>SUM(AY1273,Y1273:Z1273,T1273)*IF(AND(offer_incoterms="DDP",offer_sale_type&lt;&gt;"экспорт"),IF((TODAY()+offer_turnaround_time)&gt;=helpsheet!$L$17,rate_vatRU_from_26,rate_vatRu_till_25),0)</f>
        <v/>
      </c>
      <c r="AP1273" s="193">
        <f>AN1273-AO1273</f>
        <v/>
      </c>
      <c r="AQ1273" s="118">
        <f>IF(offer_sale_type="транзит",SUM(AF1273:AI1273,BA1273,BB1273),0)</f>
        <v/>
      </c>
      <c r="AR1273" s="82">
        <f>HYPERLINK("https://www.alta.ru/tnved/code/")&amp;W1273&amp;"/"</f>
        <v/>
      </c>
      <c r="AS1273" s="157" t="n"/>
      <c r="AT1273" s="162" t="n"/>
      <c r="AU1273" s="76">
        <f>IF(ISBLANK(AT1273),0,AJ1273-AT1273)</f>
        <v/>
      </c>
      <c r="AV1273" s="157" t="n"/>
      <c r="AW1273" s="75">
        <f>_xlfn.IFNA(VLOOKUP(L1273,list_vat[],3,FALSE),0)</f>
        <v/>
      </c>
      <c r="AX1273" s="76">
        <f>IFERROR(ROUND(S1273*(1+AW1273)/E1273,2),0)</f>
        <v/>
      </c>
      <c r="AY1273" s="76">
        <f>E1273*AX1273</f>
        <v/>
      </c>
      <c r="AZ1273" s="192">
        <f>S1273*(1+M1273)</f>
        <v/>
      </c>
      <c r="BA1273" s="76">
        <f>cost_fin_total*$BD1273</f>
        <v/>
      </c>
      <c r="BB1273" s="193">
        <f>credit_sales_interest*BD1273</f>
        <v/>
      </c>
      <c r="BC1273" s="102">
        <f>IFERROR(IF($I$13&gt;0,$I1273/$I$13,$S1273/$S$13),0)</f>
        <v/>
      </c>
      <c r="BD1273" s="102">
        <f>IFERROR($S1273/$S$13,0)</f>
        <v/>
      </c>
      <c r="BE1273" s="413" t="inlineStr">
        <is>
          <t>$</t>
        </is>
      </c>
    </row>
    <row r="1274" ht="12" customFormat="1" customHeight="1" s="65">
      <c r="A1274" s="43" t="n">
        <v>1259</v>
      </c>
      <c r="B1274" s="166" t="n"/>
      <c r="C1274" s="166" t="n"/>
      <c r="D1274" s="166" t="n"/>
      <c r="E1274" s="162" t="n"/>
      <c r="F1274" s="166" t="n"/>
      <c r="G1274" s="162" t="n"/>
      <c r="H1274" s="162" t="n"/>
      <c r="I1274" s="189">
        <f>E1274*G1274</f>
        <v/>
      </c>
      <c r="J1274" s="195" t="n"/>
      <c r="K1274" s="162" t="n"/>
      <c r="L1274" s="168" t="n"/>
      <c r="M1274" s="75">
        <f>_xlfn.XLOOKUP(L1274,list_vat[Страна],list_vat[Ставка НДС %],0,0)</f>
        <v/>
      </c>
      <c r="N1274" s="162">
        <f>IFERROR(IF(L1274="Китай",K1274,K1274/(1+M1274)),0)</f>
        <v/>
      </c>
      <c r="O1274" s="169" t="n"/>
      <c r="P1274" s="76">
        <f>N1274*(1-O1274)</f>
        <v/>
      </c>
      <c r="Q1274" s="162" t="n"/>
      <c r="R1274" s="162">
        <f>IF(ISBLANK(Q1274),"введи курс",P1274/Q1274)</f>
        <v/>
      </c>
      <c r="S1274" s="196">
        <f>IF(AND(ISNUMBER(E1274),ISNUMBER(Q1274)),E1274*R1274,0)</f>
        <v/>
      </c>
      <c r="T1274" s="192">
        <f>$BC1274*V$11</f>
        <v/>
      </c>
      <c r="U1274" s="76">
        <f>$BC1274*W$11</f>
        <v/>
      </c>
      <c r="V1274" s="193">
        <f>+SUM(T1274:U1274)</f>
        <v/>
      </c>
      <c r="W1274" s="191" t="n"/>
      <c r="X1274" s="170" t="n"/>
      <c r="Y1274" s="76">
        <f>ROUND(IF(offer_incoterms="DDP",X1274*(S1274*(1+AW1274)+T1274),0),2)</f>
        <v/>
      </c>
      <c r="Z1274" s="188" t="n"/>
      <c r="AA1274" s="192">
        <f>IFERROR(AB1274/E1274,0)</f>
        <v/>
      </c>
      <c r="AB1274" s="76">
        <f>ROUND(SUM(S1274,V1274,Y1274:Z1274,BA1274:BB1274),2)</f>
        <v/>
      </c>
      <c r="AC1274" s="797" t="n"/>
      <c r="AD1274" s="192">
        <f t="array" ref="AD1274">IFERROR(ROUND((_xlfn.IFS(offer_sale_type="поставка",AB1274,offer_sale_type="транзит",S1274)*(1+AC1274))/E1274,2),0)</f>
        <v/>
      </c>
      <c r="AE1274" s="76">
        <f>AD1274*E1274</f>
        <v/>
      </c>
      <c r="AF1274" s="193">
        <f t="array" ref="AF1274">IFERROR(ROUND(_xlfn.IFS(offer_sale_type="поставка",AB1274,offer_sale_type="транзит",S1274)*AC1274,2),0)</f>
        <v/>
      </c>
      <c r="AG1274" s="192">
        <f>$BD1274*VLOOKUP($AG$3,$AF$4:$AG$7,2,FALSE)</f>
        <v/>
      </c>
      <c r="AH1274" s="76">
        <f>SUM(AE1274,AG1274,AI1274)*rate_forex_risk</f>
        <v/>
      </c>
      <c r="AI1274" s="193">
        <f>IF(OR(seller_region="TR",offer_sale_type="экспорт"),0,rate_fin_comm)*SUM(AZ1274,AZ1274*AW1274,T1274)</f>
        <v/>
      </c>
      <c r="AJ1274" s="118">
        <f>IFERROR(ROUND(SUM(AB1274,AF1274:AI1274)/E1274,2),0)</f>
        <v/>
      </c>
      <c r="AK1274" s="76">
        <f>AJ1274*E1274</f>
        <v/>
      </c>
      <c r="AL1274" s="174">
        <f>ROUND(IFERROR(AM1274*E1274,0),2)</f>
        <v/>
      </c>
      <c r="AM1274" s="175">
        <f>ROUND(AJ1274*(1+IF(offer_incoterms="DDP",IF((TODAY()+offer_turnaround_time)&gt;=helpsheet!$L$17,rate_vatRU_from_26,rate_vatRu_till_25),0)),2)</f>
        <v/>
      </c>
      <c r="AN1274" s="192">
        <f>AL1274-AK1274</f>
        <v/>
      </c>
      <c r="AO1274" s="76">
        <f>SUM(AY1274,Y1274:Z1274,T1274)*IF(AND(offer_incoterms="DDP",offer_sale_type&lt;&gt;"экспорт"),IF((TODAY()+offer_turnaround_time)&gt;=helpsheet!$L$17,rate_vatRU_from_26,rate_vatRu_till_25),0)</f>
        <v/>
      </c>
      <c r="AP1274" s="193">
        <f>AN1274-AO1274</f>
        <v/>
      </c>
      <c r="AQ1274" s="118">
        <f>IF(offer_sale_type="транзит",SUM(AF1274:AI1274,BA1274,BB1274),0)</f>
        <v/>
      </c>
      <c r="AR1274" s="82">
        <f>HYPERLINK("https://www.alta.ru/tnved/code/")&amp;W1274&amp;"/"</f>
        <v/>
      </c>
      <c r="AS1274" s="157" t="n"/>
      <c r="AT1274" s="162" t="n"/>
      <c r="AU1274" s="76">
        <f>IF(ISBLANK(AT1274),0,AJ1274-AT1274)</f>
        <v/>
      </c>
      <c r="AV1274" s="157" t="n"/>
      <c r="AW1274" s="75">
        <f>_xlfn.IFNA(VLOOKUP(L1274,list_vat[],3,FALSE),0)</f>
        <v/>
      </c>
      <c r="AX1274" s="76">
        <f>IFERROR(ROUND(S1274*(1+AW1274)/E1274,2),0)</f>
        <v/>
      </c>
      <c r="AY1274" s="76">
        <f>E1274*AX1274</f>
        <v/>
      </c>
      <c r="AZ1274" s="192">
        <f>S1274*(1+M1274)</f>
        <v/>
      </c>
      <c r="BA1274" s="76">
        <f>cost_fin_total*$BD1274</f>
        <v/>
      </c>
      <c r="BB1274" s="193">
        <f>credit_sales_interest*BD1274</f>
        <v/>
      </c>
      <c r="BC1274" s="102">
        <f>IFERROR(IF($I$13&gt;0,$I1274/$I$13,$S1274/$S$13),0)</f>
        <v/>
      </c>
      <c r="BD1274" s="102">
        <f>IFERROR($S1274/$S$13,0)</f>
        <v/>
      </c>
      <c r="BE1274" s="413" t="inlineStr">
        <is>
          <t>$</t>
        </is>
      </c>
    </row>
    <row r="1275" ht="12" customFormat="1" customHeight="1" s="65">
      <c r="A1275" s="43" t="n">
        <v>1260</v>
      </c>
      <c r="B1275" s="166" t="n"/>
      <c r="C1275" s="166" t="n"/>
      <c r="D1275" s="166" t="n"/>
      <c r="E1275" s="162" t="n"/>
      <c r="F1275" s="166" t="n"/>
      <c r="G1275" s="162" t="n"/>
      <c r="H1275" s="162" t="n"/>
      <c r="I1275" s="189">
        <f>E1275*G1275</f>
        <v/>
      </c>
      <c r="J1275" s="195" t="n"/>
      <c r="K1275" s="162" t="n"/>
      <c r="L1275" s="168" t="n"/>
      <c r="M1275" s="75">
        <f>_xlfn.XLOOKUP(L1275,list_vat[Страна],list_vat[Ставка НДС %],0,0)</f>
        <v/>
      </c>
      <c r="N1275" s="162">
        <f>IFERROR(IF(L1275="Китай",K1275,K1275/(1+M1275)),0)</f>
        <v/>
      </c>
      <c r="O1275" s="169" t="n"/>
      <c r="P1275" s="76">
        <f>N1275*(1-O1275)</f>
        <v/>
      </c>
      <c r="Q1275" s="162" t="n"/>
      <c r="R1275" s="162">
        <f>IF(ISBLANK(Q1275),"введи курс",P1275/Q1275)</f>
        <v/>
      </c>
      <c r="S1275" s="196">
        <f>IF(AND(ISNUMBER(E1275),ISNUMBER(Q1275)),E1275*R1275,0)</f>
        <v/>
      </c>
      <c r="T1275" s="192">
        <f>$BC1275*V$11</f>
        <v/>
      </c>
      <c r="U1275" s="76">
        <f>$BC1275*W$11</f>
        <v/>
      </c>
      <c r="V1275" s="193">
        <f>+SUM(T1275:U1275)</f>
        <v/>
      </c>
      <c r="W1275" s="191" t="n"/>
      <c r="X1275" s="170" t="n"/>
      <c r="Y1275" s="76">
        <f>ROUND(IF(offer_incoterms="DDP",X1275*(S1275*(1+AW1275)+T1275),0),2)</f>
        <v/>
      </c>
      <c r="Z1275" s="188" t="n"/>
      <c r="AA1275" s="192">
        <f>IFERROR(AB1275/E1275,0)</f>
        <v/>
      </c>
      <c r="AB1275" s="76">
        <f>ROUND(SUM(S1275,V1275,Y1275:Z1275,BA1275:BB1275),2)</f>
        <v/>
      </c>
      <c r="AC1275" s="797" t="n"/>
      <c r="AD1275" s="192">
        <f t="array" ref="AD1275">IFERROR(ROUND((_xlfn.IFS(offer_sale_type="поставка",AB1275,offer_sale_type="транзит",S1275)*(1+AC1275))/E1275,2),0)</f>
        <v/>
      </c>
      <c r="AE1275" s="76">
        <f>AD1275*E1275</f>
        <v/>
      </c>
      <c r="AF1275" s="193">
        <f t="array" ref="AF1275">IFERROR(ROUND(_xlfn.IFS(offer_sale_type="поставка",AB1275,offer_sale_type="транзит",S1275)*AC1275,2),0)</f>
        <v/>
      </c>
      <c r="AG1275" s="192">
        <f>$BD1275*VLOOKUP($AG$3,$AF$4:$AG$7,2,FALSE)</f>
        <v/>
      </c>
      <c r="AH1275" s="76">
        <f>SUM(AE1275,AG1275,AI1275)*rate_forex_risk</f>
        <v/>
      </c>
      <c r="AI1275" s="193">
        <f>IF(OR(seller_region="TR",offer_sale_type="экспорт"),0,rate_fin_comm)*SUM(AZ1275,AZ1275*AW1275,T1275)</f>
        <v/>
      </c>
      <c r="AJ1275" s="118">
        <f>IFERROR(ROUND(SUM(AB1275,AF1275:AI1275)/E1275,2),0)</f>
        <v/>
      </c>
      <c r="AK1275" s="76">
        <f>AJ1275*E1275</f>
        <v/>
      </c>
      <c r="AL1275" s="174">
        <f>ROUND(IFERROR(AM1275*E1275,0),2)</f>
        <v/>
      </c>
      <c r="AM1275" s="175">
        <f>ROUND(AJ1275*(1+IF(offer_incoterms="DDP",IF((TODAY()+offer_turnaround_time)&gt;=helpsheet!$L$17,rate_vatRU_from_26,rate_vatRu_till_25),0)),2)</f>
        <v/>
      </c>
      <c r="AN1275" s="192">
        <f>AL1275-AK1275</f>
        <v/>
      </c>
      <c r="AO1275" s="76">
        <f>SUM(AY1275,Y1275:Z1275,T1275)*IF(AND(offer_incoterms="DDP",offer_sale_type&lt;&gt;"экспорт"),IF((TODAY()+offer_turnaround_time)&gt;=helpsheet!$L$17,rate_vatRU_from_26,rate_vatRu_till_25),0)</f>
        <v/>
      </c>
      <c r="AP1275" s="193">
        <f>AN1275-AO1275</f>
        <v/>
      </c>
      <c r="AQ1275" s="118">
        <f>IF(offer_sale_type="транзит",SUM(AF1275:AI1275,BA1275,BB1275),0)</f>
        <v/>
      </c>
      <c r="AR1275" s="82">
        <f>HYPERLINK("https://www.alta.ru/tnved/code/")&amp;W1275&amp;"/"</f>
        <v/>
      </c>
      <c r="AS1275" s="157" t="n"/>
      <c r="AT1275" s="162" t="n"/>
      <c r="AU1275" s="76">
        <f>IF(ISBLANK(AT1275),0,AJ1275-AT1275)</f>
        <v/>
      </c>
      <c r="AV1275" s="157" t="n"/>
      <c r="AW1275" s="75">
        <f>_xlfn.IFNA(VLOOKUP(L1275,list_vat[],3,FALSE),0)</f>
        <v/>
      </c>
      <c r="AX1275" s="76">
        <f>IFERROR(ROUND(S1275*(1+AW1275)/E1275,2),0)</f>
        <v/>
      </c>
      <c r="AY1275" s="76">
        <f>E1275*AX1275</f>
        <v/>
      </c>
      <c r="AZ1275" s="192">
        <f>S1275*(1+M1275)</f>
        <v/>
      </c>
      <c r="BA1275" s="76">
        <f>cost_fin_total*$BD1275</f>
        <v/>
      </c>
      <c r="BB1275" s="193">
        <f>credit_sales_interest*BD1275</f>
        <v/>
      </c>
      <c r="BC1275" s="102">
        <f>IFERROR(IF($I$13&gt;0,$I1275/$I$13,$S1275/$S$13),0)</f>
        <v/>
      </c>
      <c r="BD1275" s="102">
        <f>IFERROR($S1275/$S$13,0)</f>
        <v/>
      </c>
      <c r="BE1275" s="413" t="inlineStr">
        <is>
          <t>$</t>
        </is>
      </c>
    </row>
    <row r="1276" ht="12" customFormat="1" customHeight="1" s="65">
      <c r="A1276" s="43" t="n">
        <v>1261</v>
      </c>
      <c r="B1276" s="166" t="n"/>
      <c r="C1276" s="166" t="n"/>
      <c r="D1276" s="166" t="n"/>
      <c r="E1276" s="162" t="n"/>
      <c r="F1276" s="166" t="n"/>
      <c r="G1276" s="162" t="n"/>
      <c r="H1276" s="162" t="n"/>
      <c r="I1276" s="189">
        <f>E1276*G1276</f>
        <v/>
      </c>
      <c r="J1276" s="195" t="n"/>
      <c r="K1276" s="162" t="n"/>
      <c r="L1276" s="168" t="n"/>
      <c r="M1276" s="75">
        <f>_xlfn.XLOOKUP(L1276,list_vat[Страна],list_vat[Ставка НДС %],0,0)</f>
        <v/>
      </c>
      <c r="N1276" s="162">
        <f>IFERROR(IF(L1276="Китай",K1276,K1276/(1+M1276)),0)</f>
        <v/>
      </c>
      <c r="O1276" s="169" t="n"/>
      <c r="P1276" s="76">
        <f>N1276*(1-O1276)</f>
        <v/>
      </c>
      <c r="Q1276" s="162" t="n"/>
      <c r="R1276" s="162">
        <f>IF(ISBLANK(Q1276),"введи курс",P1276/Q1276)</f>
        <v/>
      </c>
      <c r="S1276" s="196">
        <f>IF(AND(ISNUMBER(E1276),ISNUMBER(Q1276)),E1276*R1276,0)</f>
        <v/>
      </c>
      <c r="T1276" s="192">
        <f>$BC1276*V$11</f>
        <v/>
      </c>
      <c r="U1276" s="76">
        <f>$BC1276*W$11</f>
        <v/>
      </c>
      <c r="V1276" s="193">
        <f>+SUM(T1276:U1276)</f>
        <v/>
      </c>
      <c r="W1276" s="191" t="n"/>
      <c r="X1276" s="170" t="n"/>
      <c r="Y1276" s="76">
        <f>ROUND(IF(offer_incoterms="DDP",X1276*(S1276*(1+AW1276)+T1276),0),2)</f>
        <v/>
      </c>
      <c r="Z1276" s="188" t="n"/>
      <c r="AA1276" s="192">
        <f>IFERROR(AB1276/E1276,0)</f>
        <v/>
      </c>
      <c r="AB1276" s="76">
        <f>ROUND(SUM(S1276,V1276,Y1276:Z1276,BA1276:BB1276),2)</f>
        <v/>
      </c>
      <c r="AC1276" s="797" t="n"/>
      <c r="AD1276" s="192">
        <f t="array" ref="AD1276">IFERROR(ROUND((_xlfn.IFS(offer_sale_type="поставка",AB1276,offer_sale_type="транзит",S1276)*(1+AC1276))/E1276,2),0)</f>
        <v/>
      </c>
      <c r="AE1276" s="76">
        <f>AD1276*E1276</f>
        <v/>
      </c>
      <c r="AF1276" s="193">
        <f t="array" ref="AF1276">IFERROR(ROUND(_xlfn.IFS(offer_sale_type="поставка",AB1276,offer_sale_type="транзит",S1276)*AC1276,2),0)</f>
        <v/>
      </c>
      <c r="AG1276" s="192">
        <f>$BD1276*VLOOKUP($AG$3,$AF$4:$AG$7,2,FALSE)</f>
        <v/>
      </c>
      <c r="AH1276" s="76">
        <f>SUM(AE1276,AG1276,AI1276)*rate_forex_risk</f>
        <v/>
      </c>
      <c r="AI1276" s="193">
        <f>IF(OR(seller_region="TR",offer_sale_type="экспорт"),0,rate_fin_comm)*SUM(AZ1276,AZ1276*AW1276,T1276)</f>
        <v/>
      </c>
      <c r="AJ1276" s="118">
        <f>IFERROR(ROUND(SUM(AB1276,AF1276:AI1276)/E1276,2),0)</f>
        <v/>
      </c>
      <c r="AK1276" s="76">
        <f>AJ1276*E1276</f>
        <v/>
      </c>
      <c r="AL1276" s="174">
        <f>ROUND(IFERROR(AM1276*E1276,0),2)</f>
        <v/>
      </c>
      <c r="AM1276" s="175">
        <f>ROUND(AJ1276*(1+IF(offer_incoterms="DDP",IF((TODAY()+offer_turnaround_time)&gt;=helpsheet!$L$17,rate_vatRU_from_26,rate_vatRu_till_25),0)),2)</f>
        <v/>
      </c>
      <c r="AN1276" s="192">
        <f>AL1276-AK1276</f>
        <v/>
      </c>
      <c r="AO1276" s="76">
        <f>SUM(AY1276,Y1276:Z1276,T1276)*IF(AND(offer_incoterms="DDP",offer_sale_type&lt;&gt;"экспорт"),IF((TODAY()+offer_turnaround_time)&gt;=helpsheet!$L$17,rate_vatRU_from_26,rate_vatRu_till_25),0)</f>
        <v/>
      </c>
      <c r="AP1276" s="193">
        <f>AN1276-AO1276</f>
        <v/>
      </c>
      <c r="AQ1276" s="118">
        <f>IF(offer_sale_type="транзит",SUM(AF1276:AI1276,BA1276,BB1276),0)</f>
        <v/>
      </c>
      <c r="AR1276" s="82">
        <f>HYPERLINK("https://www.alta.ru/tnved/code/")&amp;W1276&amp;"/"</f>
        <v/>
      </c>
      <c r="AS1276" s="157" t="n"/>
      <c r="AT1276" s="162" t="n"/>
      <c r="AU1276" s="76">
        <f>IF(ISBLANK(AT1276),0,AJ1276-AT1276)</f>
        <v/>
      </c>
      <c r="AV1276" s="157" t="n"/>
      <c r="AW1276" s="75">
        <f>_xlfn.IFNA(VLOOKUP(L1276,list_vat[],3,FALSE),0)</f>
        <v/>
      </c>
      <c r="AX1276" s="76">
        <f>IFERROR(ROUND(S1276*(1+AW1276)/E1276,2),0)</f>
        <v/>
      </c>
      <c r="AY1276" s="76">
        <f>E1276*AX1276</f>
        <v/>
      </c>
      <c r="AZ1276" s="192">
        <f>S1276*(1+M1276)</f>
        <v/>
      </c>
      <c r="BA1276" s="76">
        <f>cost_fin_total*$BD1276</f>
        <v/>
      </c>
      <c r="BB1276" s="193">
        <f>credit_sales_interest*BD1276</f>
        <v/>
      </c>
      <c r="BC1276" s="102">
        <f>IFERROR(IF($I$13&gt;0,$I1276/$I$13,$S1276/$S$13),0)</f>
        <v/>
      </c>
      <c r="BD1276" s="102">
        <f>IFERROR($S1276/$S$13,0)</f>
        <v/>
      </c>
      <c r="BE1276" s="413" t="inlineStr">
        <is>
          <t>$</t>
        </is>
      </c>
    </row>
    <row r="1277" ht="12" customFormat="1" customHeight="1" s="65">
      <c r="A1277" s="43" t="n">
        <v>1262</v>
      </c>
      <c r="B1277" s="166" t="n"/>
      <c r="C1277" s="166" t="n"/>
      <c r="D1277" s="166" t="n"/>
      <c r="E1277" s="162" t="n"/>
      <c r="F1277" s="166" t="n"/>
      <c r="G1277" s="162" t="n"/>
      <c r="H1277" s="162" t="n"/>
      <c r="I1277" s="189">
        <f>E1277*G1277</f>
        <v/>
      </c>
      <c r="J1277" s="195" t="n"/>
      <c r="K1277" s="162" t="n"/>
      <c r="L1277" s="168" t="n"/>
      <c r="M1277" s="75">
        <f>_xlfn.XLOOKUP(L1277,list_vat[Страна],list_vat[Ставка НДС %],0,0)</f>
        <v/>
      </c>
      <c r="N1277" s="162">
        <f>IFERROR(IF(L1277="Китай",K1277,K1277/(1+M1277)),0)</f>
        <v/>
      </c>
      <c r="O1277" s="169" t="n"/>
      <c r="P1277" s="76">
        <f>N1277*(1-O1277)</f>
        <v/>
      </c>
      <c r="Q1277" s="162" t="n"/>
      <c r="R1277" s="162">
        <f>IF(ISBLANK(Q1277),"введи курс",P1277/Q1277)</f>
        <v/>
      </c>
      <c r="S1277" s="196">
        <f>IF(AND(ISNUMBER(E1277),ISNUMBER(Q1277)),E1277*R1277,0)</f>
        <v/>
      </c>
      <c r="T1277" s="192">
        <f>$BC1277*V$11</f>
        <v/>
      </c>
      <c r="U1277" s="76">
        <f>$BC1277*W$11</f>
        <v/>
      </c>
      <c r="V1277" s="193">
        <f>+SUM(T1277:U1277)</f>
        <v/>
      </c>
      <c r="W1277" s="191" t="n"/>
      <c r="X1277" s="170" t="n"/>
      <c r="Y1277" s="76">
        <f>ROUND(IF(offer_incoterms="DDP",X1277*(S1277*(1+AW1277)+T1277),0),2)</f>
        <v/>
      </c>
      <c r="Z1277" s="188" t="n"/>
      <c r="AA1277" s="192">
        <f>IFERROR(AB1277/E1277,0)</f>
        <v/>
      </c>
      <c r="AB1277" s="76">
        <f>ROUND(SUM(S1277,V1277,Y1277:Z1277,BA1277:BB1277),2)</f>
        <v/>
      </c>
      <c r="AC1277" s="797" t="n"/>
      <c r="AD1277" s="192">
        <f t="array" ref="AD1277">IFERROR(ROUND((_xlfn.IFS(offer_sale_type="поставка",AB1277,offer_sale_type="транзит",S1277)*(1+AC1277))/E1277,2),0)</f>
        <v/>
      </c>
      <c r="AE1277" s="76">
        <f>AD1277*E1277</f>
        <v/>
      </c>
      <c r="AF1277" s="193">
        <f t="array" ref="AF1277">IFERROR(ROUND(_xlfn.IFS(offer_sale_type="поставка",AB1277,offer_sale_type="транзит",S1277)*AC1277,2),0)</f>
        <v/>
      </c>
      <c r="AG1277" s="192">
        <f>$BD1277*VLOOKUP($AG$3,$AF$4:$AG$7,2,FALSE)</f>
        <v/>
      </c>
      <c r="AH1277" s="76">
        <f>SUM(AE1277,AG1277,AI1277)*rate_forex_risk</f>
        <v/>
      </c>
      <c r="AI1277" s="193">
        <f>IF(OR(seller_region="TR",offer_sale_type="экспорт"),0,rate_fin_comm)*SUM(AZ1277,AZ1277*AW1277,T1277)</f>
        <v/>
      </c>
      <c r="AJ1277" s="118">
        <f>IFERROR(ROUND(SUM(AB1277,AF1277:AI1277)/E1277,2),0)</f>
        <v/>
      </c>
      <c r="AK1277" s="76">
        <f>AJ1277*E1277</f>
        <v/>
      </c>
      <c r="AL1277" s="174">
        <f>ROUND(IFERROR(AM1277*E1277,0),2)</f>
        <v/>
      </c>
      <c r="AM1277" s="175">
        <f>ROUND(AJ1277*(1+IF(offer_incoterms="DDP",IF((TODAY()+offer_turnaround_time)&gt;=helpsheet!$L$17,rate_vatRU_from_26,rate_vatRu_till_25),0)),2)</f>
        <v/>
      </c>
      <c r="AN1277" s="192">
        <f>AL1277-AK1277</f>
        <v/>
      </c>
      <c r="AO1277" s="76">
        <f>SUM(AY1277,Y1277:Z1277,T1277)*IF(AND(offer_incoterms="DDP",offer_sale_type&lt;&gt;"экспорт"),IF((TODAY()+offer_turnaround_time)&gt;=helpsheet!$L$17,rate_vatRU_from_26,rate_vatRu_till_25),0)</f>
        <v/>
      </c>
      <c r="AP1277" s="193">
        <f>AN1277-AO1277</f>
        <v/>
      </c>
      <c r="AQ1277" s="118">
        <f>IF(offer_sale_type="транзит",SUM(AF1277:AI1277,BA1277,BB1277),0)</f>
        <v/>
      </c>
      <c r="AR1277" s="82">
        <f>HYPERLINK("https://www.alta.ru/tnved/code/")&amp;W1277&amp;"/"</f>
        <v/>
      </c>
      <c r="AS1277" s="157" t="n"/>
      <c r="AT1277" s="162" t="n"/>
      <c r="AU1277" s="76">
        <f>IF(ISBLANK(AT1277),0,AJ1277-AT1277)</f>
        <v/>
      </c>
      <c r="AV1277" s="157" t="n"/>
      <c r="AW1277" s="75">
        <f>_xlfn.IFNA(VLOOKUP(L1277,list_vat[],3,FALSE),0)</f>
        <v/>
      </c>
      <c r="AX1277" s="76">
        <f>IFERROR(ROUND(S1277*(1+AW1277)/E1277,2),0)</f>
        <v/>
      </c>
      <c r="AY1277" s="76">
        <f>E1277*AX1277</f>
        <v/>
      </c>
      <c r="AZ1277" s="192">
        <f>S1277*(1+M1277)</f>
        <v/>
      </c>
      <c r="BA1277" s="76">
        <f>cost_fin_total*$BD1277</f>
        <v/>
      </c>
      <c r="BB1277" s="193">
        <f>credit_sales_interest*BD1277</f>
        <v/>
      </c>
      <c r="BC1277" s="102">
        <f>IFERROR(IF($I$13&gt;0,$I1277/$I$13,$S1277/$S$13),0)</f>
        <v/>
      </c>
      <c r="BD1277" s="102">
        <f>IFERROR($S1277/$S$13,0)</f>
        <v/>
      </c>
      <c r="BE1277" s="413" t="inlineStr">
        <is>
          <t>$</t>
        </is>
      </c>
    </row>
    <row r="1278" ht="12" customFormat="1" customHeight="1" s="65">
      <c r="A1278" s="43" t="n">
        <v>1263</v>
      </c>
      <c r="B1278" s="166" t="n"/>
      <c r="C1278" s="166" t="n"/>
      <c r="D1278" s="166" t="n"/>
      <c r="E1278" s="162" t="n"/>
      <c r="F1278" s="166" t="n"/>
      <c r="G1278" s="162" t="n"/>
      <c r="H1278" s="162" t="n"/>
      <c r="I1278" s="189">
        <f>E1278*G1278</f>
        <v/>
      </c>
      <c r="J1278" s="195" t="n"/>
      <c r="K1278" s="162" t="n"/>
      <c r="L1278" s="168" t="n"/>
      <c r="M1278" s="75">
        <f>_xlfn.XLOOKUP(L1278,list_vat[Страна],list_vat[Ставка НДС %],0,0)</f>
        <v/>
      </c>
      <c r="N1278" s="162">
        <f>IFERROR(IF(L1278="Китай",K1278,K1278/(1+M1278)),0)</f>
        <v/>
      </c>
      <c r="O1278" s="169" t="n"/>
      <c r="P1278" s="76">
        <f>N1278*(1-O1278)</f>
        <v/>
      </c>
      <c r="Q1278" s="162" t="n"/>
      <c r="R1278" s="162">
        <f>IF(ISBLANK(Q1278),"введи курс",P1278/Q1278)</f>
        <v/>
      </c>
      <c r="S1278" s="196">
        <f>IF(AND(ISNUMBER(E1278),ISNUMBER(Q1278)),E1278*R1278,0)</f>
        <v/>
      </c>
      <c r="T1278" s="192">
        <f>$BC1278*V$11</f>
        <v/>
      </c>
      <c r="U1278" s="76">
        <f>$BC1278*W$11</f>
        <v/>
      </c>
      <c r="V1278" s="193">
        <f>+SUM(T1278:U1278)</f>
        <v/>
      </c>
      <c r="W1278" s="191" t="n"/>
      <c r="X1278" s="170" t="n"/>
      <c r="Y1278" s="76">
        <f>ROUND(IF(offer_incoterms="DDP",X1278*(S1278*(1+AW1278)+T1278),0),2)</f>
        <v/>
      </c>
      <c r="Z1278" s="188" t="n"/>
      <c r="AA1278" s="192">
        <f>IFERROR(AB1278/E1278,0)</f>
        <v/>
      </c>
      <c r="AB1278" s="76">
        <f>ROUND(SUM(S1278,V1278,Y1278:Z1278,BA1278:BB1278),2)</f>
        <v/>
      </c>
      <c r="AC1278" s="797" t="n"/>
      <c r="AD1278" s="192">
        <f t="array" ref="AD1278">IFERROR(ROUND((_xlfn.IFS(offer_sale_type="поставка",AB1278,offer_sale_type="транзит",S1278)*(1+AC1278))/E1278,2),0)</f>
        <v/>
      </c>
      <c r="AE1278" s="76">
        <f>AD1278*E1278</f>
        <v/>
      </c>
      <c r="AF1278" s="193">
        <f t="array" ref="AF1278">IFERROR(ROUND(_xlfn.IFS(offer_sale_type="поставка",AB1278,offer_sale_type="транзит",S1278)*AC1278,2),0)</f>
        <v/>
      </c>
      <c r="AG1278" s="192">
        <f>$BD1278*VLOOKUP($AG$3,$AF$4:$AG$7,2,FALSE)</f>
        <v/>
      </c>
      <c r="AH1278" s="76">
        <f>SUM(AE1278,AG1278,AI1278)*rate_forex_risk</f>
        <v/>
      </c>
      <c r="AI1278" s="193">
        <f>IF(OR(seller_region="TR",offer_sale_type="экспорт"),0,rate_fin_comm)*SUM(AZ1278,AZ1278*AW1278,T1278)</f>
        <v/>
      </c>
      <c r="AJ1278" s="118">
        <f>IFERROR(ROUND(SUM(AB1278,AF1278:AI1278)/E1278,2),0)</f>
        <v/>
      </c>
      <c r="AK1278" s="76">
        <f>AJ1278*E1278</f>
        <v/>
      </c>
      <c r="AL1278" s="174">
        <f>ROUND(IFERROR(AM1278*E1278,0),2)</f>
        <v/>
      </c>
      <c r="AM1278" s="175">
        <f>ROUND(AJ1278*(1+IF(offer_incoterms="DDP",IF((TODAY()+offer_turnaround_time)&gt;=helpsheet!$L$17,rate_vatRU_from_26,rate_vatRu_till_25),0)),2)</f>
        <v/>
      </c>
      <c r="AN1278" s="192">
        <f>AL1278-AK1278</f>
        <v/>
      </c>
      <c r="AO1278" s="76">
        <f>SUM(AY1278,Y1278:Z1278,T1278)*IF(AND(offer_incoterms="DDP",offer_sale_type&lt;&gt;"экспорт"),IF((TODAY()+offer_turnaround_time)&gt;=helpsheet!$L$17,rate_vatRU_from_26,rate_vatRu_till_25),0)</f>
        <v/>
      </c>
      <c r="AP1278" s="193">
        <f>AN1278-AO1278</f>
        <v/>
      </c>
      <c r="AQ1278" s="118">
        <f>IF(offer_sale_type="транзит",SUM(AF1278:AI1278,BA1278,BB1278),0)</f>
        <v/>
      </c>
      <c r="AR1278" s="82">
        <f>HYPERLINK("https://www.alta.ru/tnved/code/")&amp;W1278&amp;"/"</f>
        <v/>
      </c>
      <c r="AS1278" s="157" t="n"/>
      <c r="AT1278" s="162" t="n"/>
      <c r="AU1278" s="76">
        <f>IF(ISBLANK(AT1278),0,AJ1278-AT1278)</f>
        <v/>
      </c>
      <c r="AV1278" s="157" t="n"/>
      <c r="AW1278" s="75">
        <f>_xlfn.IFNA(VLOOKUP(L1278,list_vat[],3,FALSE),0)</f>
        <v/>
      </c>
      <c r="AX1278" s="76">
        <f>IFERROR(ROUND(S1278*(1+AW1278)/E1278,2),0)</f>
        <v/>
      </c>
      <c r="AY1278" s="76">
        <f>E1278*AX1278</f>
        <v/>
      </c>
      <c r="AZ1278" s="192">
        <f>S1278*(1+M1278)</f>
        <v/>
      </c>
      <c r="BA1278" s="76">
        <f>cost_fin_total*$BD1278</f>
        <v/>
      </c>
      <c r="BB1278" s="193">
        <f>credit_sales_interest*BD1278</f>
        <v/>
      </c>
      <c r="BC1278" s="102">
        <f>IFERROR(IF($I$13&gt;0,$I1278/$I$13,$S1278/$S$13),0)</f>
        <v/>
      </c>
      <c r="BD1278" s="102">
        <f>IFERROR($S1278/$S$13,0)</f>
        <v/>
      </c>
      <c r="BE1278" s="413" t="inlineStr">
        <is>
          <t>$</t>
        </is>
      </c>
    </row>
    <row r="1279" ht="12" customFormat="1" customHeight="1" s="65">
      <c r="A1279" s="43" t="n">
        <v>1264</v>
      </c>
      <c r="B1279" s="166" t="n"/>
      <c r="C1279" s="166" t="n"/>
      <c r="D1279" s="166" t="n"/>
      <c r="E1279" s="162" t="n"/>
      <c r="F1279" s="166" t="n"/>
      <c r="G1279" s="162" t="n"/>
      <c r="H1279" s="162" t="n"/>
      <c r="I1279" s="189">
        <f>E1279*G1279</f>
        <v/>
      </c>
      <c r="J1279" s="195" t="n"/>
      <c r="K1279" s="162" t="n"/>
      <c r="L1279" s="168" t="n"/>
      <c r="M1279" s="75">
        <f>_xlfn.XLOOKUP(L1279,list_vat[Страна],list_vat[Ставка НДС %],0,0)</f>
        <v/>
      </c>
      <c r="N1279" s="162">
        <f>IFERROR(IF(L1279="Китай",K1279,K1279/(1+M1279)),0)</f>
        <v/>
      </c>
      <c r="O1279" s="169" t="n"/>
      <c r="P1279" s="76">
        <f>N1279*(1-O1279)</f>
        <v/>
      </c>
      <c r="Q1279" s="162" t="n"/>
      <c r="R1279" s="162">
        <f>IF(ISBLANK(Q1279),"введи курс",P1279/Q1279)</f>
        <v/>
      </c>
      <c r="S1279" s="196">
        <f>IF(AND(ISNUMBER(E1279),ISNUMBER(Q1279)),E1279*R1279,0)</f>
        <v/>
      </c>
      <c r="T1279" s="192">
        <f>$BC1279*V$11</f>
        <v/>
      </c>
      <c r="U1279" s="76">
        <f>$BC1279*W$11</f>
        <v/>
      </c>
      <c r="V1279" s="193">
        <f>+SUM(T1279:U1279)</f>
        <v/>
      </c>
      <c r="W1279" s="191" t="n"/>
      <c r="X1279" s="170" t="n"/>
      <c r="Y1279" s="76">
        <f>ROUND(IF(offer_incoterms="DDP",X1279*(S1279*(1+AW1279)+T1279),0),2)</f>
        <v/>
      </c>
      <c r="Z1279" s="188" t="n"/>
      <c r="AA1279" s="192">
        <f>IFERROR(AB1279/E1279,0)</f>
        <v/>
      </c>
      <c r="AB1279" s="76">
        <f>ROUND(SUM(S1279,V1279,Y1279:Z1279,BA1279:BB1279),2)</f>
        <v/>
      </c>
      <c r="AC1279" s="797" t="n"/>
      <c r="AD1279" s="192">
        <f t="array" ref="AD1279">IFERROR(ROUND((_xlfn.IFS(offer_sale_type="поставка",AB1279,offer_sale_type="транзит",S1279)*(1+AC1279))/E1279,2),0)</f>
        <v/>
      </c>
      <c r="AE1279" s="76">
        <f>AD1279*E1279</f>
        <v/>
      </c>
      <c r="AF1279" s="193">
        <f t="array" ref="AF1279">IFERROR(ROUND(_xlfn.IFS(offer_sale_type="поставка",AB1279,offer_sale_type="транзит",S1279)*AC1279,2),0)</f>
        <v/>
      </c>
      <c r="AG1279" s="192">
        <f>$BD1279*VLOOKUP($AG$3,$AF$4:$AG$7,2,FALSE)</f>
        <v/>
      </c>
      <c r="AH1279" s="76">
        <f>SUM(AE1279,AG1279,AI1279)*rate_forex_risk</f>
        <v/>
      </c>
      <c r="AI1279" s="193">
        <f>IF(OR(seller_region="TR",offer_sale_type="экспорт"),0,rate_fin_comm)*SUM(AZ1279,AZ1279*AW1279,T1279)</f>
        <v/>
      </c>
      <c r="AJ1279" s="118">
        <f>IFERROR(ROUND(SUM(AB1279,AF1279:AI1279)/E1279,2),0)</f>
        <v/>
      </c>
      <c r="AK1279" s="76">
        <f>AJ1279*E1279</f>
        <v/>
      </c>
      <c r="AL1279" s="174">
        <f>ROUND(IFERROR(AM1279*E1279,0),2)</f>
        <v/>
      </c>
      <c r="AM1279" s="175">
        <f>ROUND(AJ1279*(1+IF(offer_incoterms="DDP",IF((TODAY()+offer_turnaround_time)&gt;=helpsheet!$L$17,rate_vatRU_from_26,rate_vatRu_till_25),0)),2)</f>
        <v/>
      </c>
      <c r="AN1279" s="192">
        <f>AL1279-AK1279</f>
        <v/>
      </c>
      <c r="AO1279" s="76">
        <f>SUM(AY1279,Y1279:Z1279,T1279)*IF(AND(offer_incoterms="DDP",offer_sale_type&lt;&gt;"экспорт"),IF((TODAY()+offer_turnaround_time)&gt;=helpsheet!$L$17,rate_vatRU_from_26,rate_vatRu_till_25),0)</f>
        <v/>
      </c>
      <c r="AP1279" s="193">
        <f>AN1279-AO1279</f>
        <v/>
      </c>
      <c r="AQ1279" s="118">
        <f>IF(offer_sale_type="транзит",SUM(AF1279:AI1279,BA1279,BB1279),0)</f>
        <v/>
      </c>
      <c r="AR1279" s="82">
        <f>HYPERLINK("https://www.alta.ru/tnved/code/")&amp;W1279&amp;"/"</f>
        <v/>
      </c>
      <c r="AS1279" s="157" t="n"/>
      <c r="AT1279" s="162" t="n"/>
      <c r="AU1279" s="76">
        <f>IF(ISBLANK(AT1279),0,AJ1279-AT1279)</f>
        <v/>
      </c>
      <c r="AV1279" s="157" t="n"/>
      <c r="AW1279" s="75">
        <f>_xlfn.IFNA(VLOOKUP(L1279,list_vat[],3,FALSE),0)</f>
        <v/>
      </c>
      <c r="AX1279" s="76">
        <f>IFERROR(ROUND(S1279*(1+AW1279)/E1279,2),0)</f>
        <v/>
      </c>
      <c r="AY1279" s="76">
        <f>E1279*AX1279</f>
        <v/>
      </c>
      <c r="AZ1279" s="192">
        <f>S1279*(1+M1279)</f>
        <v/>
      </c>
      <c r="BA1279" s="76">
        <f>cost_fin_total*$BD1279</f>
        <v/>
      </c>
      <c r="BB1279" s="193">
        <f>credit_sales_interest*BD1279</f>
        <v/>
      </c>
      <c r="BC1279" s="102">
        <f>IFERROR(IF($I$13&gt;0,$I1279/$I$13,$S1279/$S$13),0)</f>
        <v/>
      </c>
      <c r="BD1279" s="102">
        <f>IFERROR($S1279/$S$13,0)</f>
        <v/>
      </c>
      <c r="BE1279" s="413" t="inlineStr">
        <is>
          <t>$</t>
        </is>
      </c>
    </row>
    <row r="1280" ht="12" customFormat="1" customHeight="1" s="65">
      <c r="A1280" s="43" t="n">
        <v>1265</v>
      </c>
      <c r="B1280" s="166" t="n"/>
      <c r="C1280" s="166" t="n"/>
      <c r="D1280" s="166" t="n"/>
      <c r="E1280" s="162" t="n"/>
      <c r="F1280" s="166" t="n"/>
      <c r="G1280" s="162" t="n"/>
      <c r="H1280" s="162" t="n"/>
      <c r="I1280" s="189">
        <f>E1280*G1280</f>
        <v/>
      </c>
      <c r="J1280" s="195" t="n"/>
      <c r="K1280" s="162" t="n"/>
      <c r="L1280" s="168" t="n"/>
      <c r="M1280" s="75">
        <f>_xlfn.XLOOKUP(L1280,list_vat[Страна],list_vat[Ставка НДС %],0,0)</f>
        <v/>
      </c>
      <c r="N1280" s="162">
        <f>IFERROR(IF(L1280="Китай",K1280,K1280/(1+M1280)),0)</f>
        <v/>
      </c>
      <c r="O1280" s="169" t="n"/>
      <c r="P1280" s="76">
        <f>N1280*(1-O1280)</f>
        <v/>
      </c>
      <c r="Q1280" s="162" t="n"/>
      <c r="R1280" s="162">
        <f>IF(ISBLANK(Q1280),"введи курс",P1280/Q1280)</f>
        <v/>
      </c>
      <c r="S1280" s="196">
        <f>IF(AND(ISNUMBER(E1280),ISNUMBER(Q1280)),E1280*R1280,0)</f>
        <v/>
      </c>
      <c r="T1280" s="192">
        <f>$BC1280*V$11</f>
        <v/>
      </c>
      <c r="U1280" s="76">
        <f>$BC1280*W$11</f>
        <v/>
      </c>
      <c r="V1280" s="193">
        <f>+SUM(T1280:U1280)</f>
        <v/>
      </c>
      <c r="W1280" s="191" t="n"/>
      <c r="X1280" s="170" t="n"/>
      <c r="Y1280" s="76">
        <f>ROUND(IF(offer_incoterms="DDP",X1280*(S1280*(1+AW1280)+T1280),0),2)</f>
        <v/>
      </c>
      <c r="Z1280" s="188" t="n"/>
      <c r="AA1280" s="192">
        <f>IFERROR(AB1280/E1280,0)</f>
        <v/>
      </c>
      <c r="AB1280" s="76">
        <f>ROUND(SUM(S1280,V1280,Y1280:Z1280,BA1280:BB1280),2)</f>
        <v/>
      </c>
      <c r="AC1280" s="797" t="n"/>
      <c r="AD1280" s="192">
        <f t="array" ref="AD1280">IFERROR(ROUND((_xlfn.IFS(offer_sale_type="поставка",AB1280,offer_sale_type="транзит",S1280)*(1+AC1280))/E1280,2),0)</f>
        <v/>
      </c>
      <c r="AE1280" s="76">
        <f>AD1280*E1280</f>
        <v/>
      </c>
      <c r="AF1280" s="193">
        <f t="array" ref="AF1280">IFERROR(ROUND(_xlfn.IFS(offer_sale_type="поставка",AB1280,offer_sale_type="транзит",S1280)*AC1280,2),0)</f>
        <v/>
      </c>
      <c r="AG1280" s="192">
        <f>$BD1280*VLOOKUP($AG$3,$AF$4:$AG$7,2,FALSE)</f>
        <v/>
      </c>
      <c r="AH1280" s="76">
        <f>SUM(AE1280,AG1280,AI1280)*rate_forex_risk</f>
        <v/>
      </c>
      <c r="AI1280" s="193">
        <f>IF(OR(seller_region="TR",offer_sale_type="экспорт"),0,rate_fin_comm)*SUM(AZ1280,AZ1280*AW1280,T1280)</f>
        <v/>
      </c>
      <c r="AJ1280" s="118">
        <f>IFERROR(ROUND(SUM(AB1280,AF1280:AI1280)/E1280,2),0)</f>
        <v/>
      </c>
      <c r="AK1280" s="76">
        <f>AJ1280*E1280</f>
        <v/>
      </c>
      <c r="AL1280" s="174">
        <f>ROUND(IFERROR(AM1280*E1280,0),2)</f>
        <v/>
      </c>
      <c r="AM1280" s="175">
        <f>ROUND(AJ1280*(1+IF(offer_incoterms="DDP",IF((TODAY()+offer_turnaround_time)&gt;=helpsheet!$L$17,rate_vatRU_from_26,rate_vatRu_till_25),0)),2)</f>
        <v/>
      </c>
      <c r="AN1280" s="192">
        <f>AL1280-AK1280</f>
        <v/>
      </c>
      <c r="AO1280" s="76">
        <f>SUM(AY1280,Y1280:Z1280,T1280)*IF(AND(offer_incoterms="DDP",offer_sale_type&lt;&gt;"экспорт"),IF((TODAY()+offer_turnaround_time)&gt;=helpsheet!$L$17,rate_vatRU_from_26,rate_vatRu_till_25),0)</f>
        <v/>
      </c>
      <c r="AP1280" s="193">
        <f>AN1280-AO1280</f>
        <v/>
      </c>
      <c r="AQ1280" s="118">
        <f>IF(offer_sale_type="транзит",SUM(AF1280:AI1280,BA1280,BB1280),0)</f>
        <v/>
      </c>
      <c r="AR1280" s="82">
        <f>HYPERLINK("https://www.alta.ru/tnved/code/")&amp;W1280&amp;"/"</f>
        <v/>
      </c>
      <c r="AS1280" s="157" t="n"/>
      <c r="AT1280" s="162" t="n"/>
      <c r="AU1280" s="76">
        <f>IF(ISBLANK(AT1280),0,AJ1280-AT1280)</f>
        <v/>
      </c>
      <c r="AV1280" s="157" t="n"/>
      <c r="AW1280" s="75">
        <f>_xlfn.IFNA(VLOOKUP(L1280,list_vat[],3,FALSE),0)</f>
        <v/>
      </c>
      <c r="AX1280" s="76">
        <f>IFERROR(ROUND(S1280*(1+AW1280)/E1280,2),0)</f>
        <v/>
      </c>
      <c r="AY1280" s="76">
        <f>E1280*AX1280</f>
        <v/>
      </c>
      <c r="AZ1280" s="192">
        <f>S1280*(1+M1280)</f>
        <v/>
      </c>
      <c r="BA1280" s="76">
        <f>cost_fin_total*$BD1280</f>
        <v/>
      </c>
      <c r="BB1280" s="193">
        <f>credit_sales_interest*BD1280</f>
        <v/>
      </c>
      <c r="BC1280" s="102">
        <f>IFERROR(IF($I$13&gt;0,$I1280/$I$13,$S1280/$S$13),0)</f>
        <v/>
      </c>
      <c r="BD1280" s="102">
        <f>IFERROR($S1280/$S$13,0)</f>
        <v/>
      </c>
      <c r="BE1280" s="413" t="inlineStr">
        <is>
          <t>$</t>
        </is>
      </c>
    </row>
    <row r="1281" ht="12" customFormat="1" customHeight="1" s="65">
      <c r="A1281" s="43" t="n">
        <v>1266</v>
      </c>
      <c r="B1281" s="166" t="n"/>
      <c r="C1281" s="166" t="n"/>
      <c r="D1281" s="166" t="n"/>
      <c r="E1281" s="162" t="n"/>
      <c r="F1281" s="166" t="n"/>
      <c r="G1281" s="162" t="n"/>
      <c r="H1281" s="162" t="n"/>
      <c r="I1281" s="189">
        <f>E1281*G1281</f>
        <v/>
      </c>
      <c r="J1281" s="195" t="n"/>
      <c r="K1281" s="162" t="n"/>
      <c r="L1281" s="168" t="n"/>
      <c r="M1281" s="75">
        <f>_xlfn.XLOOKUP(L1281,list_vat[Страна],list_vat[Ставка НДС %],0,0)</f>
        <v/>
      </c>
      <c r="N1281" s="162">
        <f>IFERROR(IF(L1281="Китай",K1281,K1281/(1+M1281)),0)</f>
        <v/>
      </c>
      <c r="O1281" s="169" t="n"/>
      <c r="P1281" s="76">
        <f>N1281*(1-O1281)</f>
        <v/>
      </c>
      <c r="Q1281" s="162" t="n"/>
      <c r="R1281" s="162">
        <f>IF(ISBLANK(Q1281),"введи курс",P1281/Q1281)</f>
        <v/>
      </c>
      <c r="S1281" s="196">
        <f>IF(AND(ISNUMBER(E1281),ISNUMBER(Q1281)),E1281*R1281,0)</f>
        <v/>
      </c>
      <c r="T1281" s="192">
        <f>$BC1281*V$11</f>
        <v/>
      </c>
      <c r="U1281" s="76">
        <f>$BC1281*W$11</f>
        <v/>
      </c>
      <c r="V1281" s="193">
        <f>+SUM(T1281:U1281)</f>
        <v/>
      </c>
      <c r="W1281" s="191" t="n"/>
      <c r="X1281" s="170" t="n"/>
      <c r="Y1281" s="76">
        <f>ROUND(IF(offer_incoterms="DDP",X1281*(S1281*(1+AW1281)+T1281),0),2)</f>
        <v/>
      </c>
      <c r="Z1281" s="188" t="n"/>
      <c r="AA1281" s="192">
        <f>IFERROR(AB1281/E1281,0)</f>
        <v/>
      </c>
      <c r="AB1281" s="76">
        <f>ROUND(SUM(S1281,V1281,Y1281:Z1281,BA1281:BB1281),2)</f>
        <v/>
      </c>
      <c r="AC1281" s="797" t="n"/>
      <c r="AD1281" s="192">
        <f t="array" ref="AD1281">IFERROR(ROUND((_xlfn.IFS(offer_sale_type="поставка",AB1281,offer_sale_type="транзит",S1281)*(1+AC1281))/E1281,2),0)</f>
        <v/>
      </c>
      <c r="AE1281" s="76">
        <f>AD1281*E1281</f>
        <v/>
      </c>
      <c r="AF1281" s="193">
        <f t="array" ref="AF1281">IFERROR(ROUND(_xlfn.IFS(offer_sale_type="поставка",AB1281,offer_sale_type="транзит",S1281)*AC1281,2),0)</f>
        <v/>
      </c>
      <c r="AG1281" s="192">
        <f>$BD1281*VLOOKUP($AG$3,$AF$4:$AG$7,2,FALSE)</f>
        <v/>
      </c>
      <c r="AH1281" s="76">
        <f>SUM(AE1281,AG1281,AI1281)*rate_forex_risk</f>
        <v/>
      </c>
      <c r="AI1281" s="193">
        <f>IF(OR(seller_region="TR",offer_sale_type="экспорт"),0,rate_fin_comm)*SUM(AZ1281,AZ1281*AW1281,T1281)</f>
        <v/>
      </c>
      <c r="AJ1281" s="118">
        <f>IFERROR(ROUND(SUM(AB1281,AF1281:AI1281)/E1281,2),0)</f>
        <v/>
      </c>
      <c r="AK1281" s="76">
        <f>AJ1281*E1281</f>
        <v/>
      </c>
      <c r="AL1281" s="174">
        <f>ROUND(IFERROR(AM1281*E1281,0),2)</f>
        <v/>
      </c>
      <c r="AM1281" s="175">
        <f>ROUND(AJ1281*(1+IF(offer_incoterms="DDP",IF((TODAY()+offer_turnaround_time)&gt;=helpsheet!$L$17,rate_vatRU_from_26,rate_vatRu_till_25),0)),2)</f>
        <v/>
      </c>
      <c r="AN1281" s="192">
        <f>AL1281-AK1281</f>
        <v/>
      </c>
      <c r="AO1281" s="76">
        <f>SUM(AY1281,Y1281:Z1281,T1281)*IF(AND(offer_incoterms="DDP",offer_sale_type&lt;&gt;"экспорт"),IF((TODAY()+offer_turnaround_time)&gt;=helpsheet!$L$17,rate_vatRU_from_26,rate_vatRu_till_25),0)</f>
        <v/>
      </c>
      <c r="AP1281" s="193">
        <f>AN1281-AO1281</f>
        <v/>
      </c>
      <c r="AQ1281" s="118">
        <f>IF(offer_sale_type="транзит",SUM(AF1281:AI1281,BA1281,BB1281),0)</f>
        <v/>
      </c>
      <c r="AR1281" s="82">
        <f>HYPERLINK("https://www.alta.ru/tnved/code/")&amp;W1281&amp;"/"</f>
        <v/>
      </c>
      <c r="AS1281" s="157" t="n"/>
      <c r="AT1281" s="162" t="n"/>
      <c r="AU1281" s="76">
        <f>IF(ISBLANK(AT1281),0,AJ1281-AT1281)</f>
        <v/>
      </c>
      <c r="AV1281" s="157" t="n"/>
      <c r="AW1281" s="75">
        <f>_xlfn.IFNA(VLOOKUP(L1281,list_vat[],3,FALSE),0)</f>
        <v/>
      </c>
      <c r="AX1281" s="76">
        <f>IFERROR(ROUND(S1281*(1+AW1281)/E1281,2),0)</f>
        <v/>
      </c>
      <c r="AY1281" s="76">
        <f>E1281*AX1281</f>
        <v/>
      </c>
      <c r="AZ1281" s="192">
        <f>S1281*(1+M1281)</f>
        <v/>
      </c>
      <c r="BA1281" s="76">
        <f>cost_fin_total*$BD1281</f>
        <v/>
      </c>
      <c r="BB1281" s="193">
        <f>credit_sales_interest*BD1281</f>
        <v/>
      </c>
      <c r="BC1281" s="102">
        <f>IFERROR(IF($I$13&gt;0,$I1281/$I$13,$S1281/$S$13),0)</f>
        <v/>
      </c>
      <c r="BD1281" s="102">
        <f>IFERROR($S1281/$S$13,0)</f>
        <v/>
      </c>
      <c r="BE1281" s="413" t="inlineStr">
        <is>
          <t>$</t>
        </is>
      </c>
    </row>
    <row r="1282" ht="12" customFormat="1" customHeight="1" s="65">
      <c r="A1282" s="43" t="n">
        <v>1267</v>
      </c>
      <c r="B1282" s="166" t="n"/>
      <c r="C1282" s="166" t="n"/>
      <c r="D1282" s="166" t="n"/>
      <c r="E1282" s="162" t="n"/>
      <c r="F1282" s="166" t="n"/>
      <c r="G1282" s="162" t="n"/>
      <c r="H1282" s="162" t="n"/>
      <c r="I1282" s="189">
        <f>E1282*G1282</f>
        <v/>
      </c>
      <c r="J1282" s="195" t="n"/>
      <c r="K1282" s="162" t="n"/>
      <c r="L1282" s="168" t="n"/>
      <c r="M1282" s="75">
        <f>_xlfn.XLOOKUP(L1282,list_vat[Страна],list_vat[Ставка НДС %],0,0)</f>
        <v/>
      </c>
      <c r="N1282" s="162">
        <f>IFERROR(IF(L1282="Китай",K1282,K1282/(1+M1282)),0)</f>
        <v/>
      </c>
      <c r="O1282" s="169" t="n"/>
      <c r="P1282" s="76">
        <f>N1282*(1-O1282)</f>
        <v/>
      </c>
      <c r="Q1282" s="162" t="n"/>
      <c r="R1282" s="162">
        <f>IF(ISBLANK(Q1282),"введи курс",P1282/Q1282)</f>
        <v/>
      </c>
      <c r="S1282" s="196">
        <f>IF(AND(ISNUMBER(E1282),ISNUMBER(Q1282)),E1282*R1282,0)</f>
        <v/>
      </c>
      <c r="T1282" s="192">
        <f>$BC1282*V$11</f>
        <v/>
      </c>
      <c r="U1282" s="76">
        <f>$BC1282*W$11</f>
        <v/>
      </c>
      <c r="V1282" s="193">
        <f>+SUM(T1282:U1282)</f>
        <v/>
      </c>
      <c r="W1282" s="191" t="n"/>
      <c r="X1282" s="170" t="n"/>
      <c r="Y1282" s="76">
        <f>ROUND(IF(offer_incoterms="DDP",X1282*(S1282*(1+AW1282)+T1282),0),2)</f>
        <v/>
      </c>
      <c r="Z1282" s="188" t="n"/>
      <c r="AA1282" s="192">
        <f>IFERROR(AB1282/E1282,0)</f>
        <v/>
      </c>
      <c r="AB1282" s="76">
        <f>ROUND(SUM(S1282,V1282,Y1282:Z1282,BA1282:BB1282),2)</f>
        <v/>
      </c>
      <c r="AC1282" s="797" t="n"/>
      <c r="AD1282" s="192">
        <f t="array" ref="AD1282">IFERROR(ROUND((_xlfn.IFS(offer_sale_type="поставка",AB1282,offer_sale_type="транзит",S1282)*(1+AC1282))/E1282,2),0)</f>
        <v/>
      </c>
      <c r="AE1282" s="76">
        <f>AD1282*E1282</f>
        <v/>
      </c>
      <c r="AF1282" s="193">
        <f t="array" ref="AF1282">IFERROR(ROUND(_xlfn.IFS(offer_sale_type="поставка",AB1282,offer_sale_type="транзит",S1282)*AC1282,2),0)</f>
        <v/>
      </c>
      <c r="AG1282" s="192">
        <f>$BD1282*VLOOKUP($AG$3,$AF$4:$AG$7,2,FALSE)</f>
        <v/>
      </c>
      <c r="AH1282" s="76">
        <f>SUM(AE1282,AG1282,AI1282)*rate_forex_risk</f>
        <v/>
      </c>
      <c r="AI1282" s="193">
        <f>IF(OR(seller_region="TR",offer_sale_type="экспорт"),0,rate_fin_comm)*SUM(AZ1282,AZ1282*AW1282,T1282)</f>
        <v/>
      </c>
      <c r="AJ1282" s="118">
        <f>IFERROR(ROUND(SUM(AB1282,AF1282:AI1282)/E1282,2),0)</f>
        <v/>
      </c>
      <c r="AK1282" s="76">
        <f>AJ1282*E1282</f>
        <v/>
      </c>
      <c r="AL1282" s="174">
        <f>ROUND(IFERROR(AM1282*E1282,0),2)</f>
        <v/>
      </c>
      <c r="AM1282" s="175">
        <f>ROUND(AJ1282*(1+IF(offer_incoterms="DDP",IF((TODAY()+offer_turnaround_time)&gt;=helpsheet!$L$17,rate_vatRU_from_26,rate_vatRu_till_25),0)),2)</f>
        <v/>
      </c>
      <c r="AN1282" s="192">
        <f>AL1282-AK1282</f>
        <v/>
      </c>
      <c r="AO1282" s="76">
        <f>SUM(AY1282,Y1282:Z1282,T1282)*IF(AND(offer_incoterms="DDP",offer_sale_type&lt;&gt;"экспорт"),IF((TODAY()+offer_turnaround_time)&gt;=helpsheet!$L$17,rate_vatRU_from_26,rate_vatRu_till_25),0)</f>
        <v/>
      </c>
      <c r="AP1282" s="193">
        <f>AN1282-AO1282</f>
        <v/>
      </c>
      <c r="AQ1282" s="118">
        <f>IF(offer_sale_type="транзит",SUM(AF1282:AI1282,BA1282,BB1282),0)</f>
        <v/>
      </c>
      <c r="AR1282" s="82">
        <f>HYPERLINK("https://www.alta.ru/tnved/code/")&amp;W1282&amp;"/"</f>
        <v/>
      </c>
      <c r="AS1282" s="157" t="n"/>
      <c r="AT1282" s="162" t="n"/>
      <c r="AU1282" s="76">
        <f>IF(ISBLANK(AT1282),0,AJ1282-AT1282)</f>
        <v/>
      </c>
      <c r="AV1282" s="157" t="n"/>
      <c r="AW1282" s="75">
        <f>_xlfn.IFNA(VLOOKUP(L1282,list_vat[],3,FALSE),0)</f>
        <v/>
      </c>
      <c r="AX1282" s="76">
        <f>IFERROR(ROUND(S1282*(1+AW1282)/E1282,2),0)</f>
        <v/>
      </c>
      <c r="AY1282" s="76">
        <f>E1282*AX1282</f>
        <v/>
      </c>
      <c r="AZ1282" s="192">
        <f>S1282*(1+M1282)</f>
        <v/>
      </c>
      <c r="BA1282" s="76">
        <f>cost_fin_total*$BD1282</f>
        <v/>
      </c>
      <c r="BB1282" s="193">
        <f>credit_sales_interest*BD1282</f>
        <v/>
      </c>
      <c r="BC1282" s="102">
        <f>IFERROR(IF($I$13&gt;0,$I1282/$I$13,$S1282/$S$13),0)</f>
        <v/>
      </c>
      <c r="BD1282" s="102">
        <f>IFERROR($S1282/$S$13,0)</f>
        <v/>
      </c>
      <c r="BE1282" s="413" t="inlineStr">
        <is>
          <t>$</t>
        </is>
      </c>
    </row>
    <row r="1283" ht="12" customFormat="1" customHeight="1" s="65">
      <c r="A1283" s="43" t="n">
        <v>1268</v>
      </c>
      <c r="B1283" s="166" t="n"/>
      <c r="C1283" s="166" t="n"/>
      <c r="D1283" s="166" t="n"/>
      <c r="E1283" s="162" t="n"/>
      <c r="F1283" s="166" t="n"/>
      <c r="G1283" s="162" t="n"/>
      <c r="H1283" s="162" t="n"/>
      <c r="I1283" s="189">
        <f>E1283*G1283</f>
        <v/>
      </c>
      <c r="J1283" s="195" t="n"/>
      <c r="K1283" s="162" t="n"/>
      <c r="L1283" s="168" t="n"/>
      <c r="M1283" s="75">
        <f>_xlfn.XLOOKUP(L1283,list_vat[Страна],list_vat[Ставка НДС %],0,0)</f>
        <v/>
      </c>
      <c r="N1283" s="162">
        <f>IFERROR(IF(L1283="Китай",K1283,K1283/(1+M1283)),0)</f>
        <v/>
      </c>
      <c r="O1283" s="169" t="n"/>
      <c r="P1283" s="76">
        <f>N1283*(1-O1283)</f>
        <v/>
      </c>
      <c r="Q1283" s="162" t="n"/>
      <c r="R1283" s="162">
        <f>IF(ISBLANK(Q1283),"введи курс",P1283/Q1283)</f>
        <v/>
      </c>
      <c r="S1283" s="196">
        <f>IF(AND(ISNUMBER(E1283),ISNUMBER(Q1283)),E1283*R1283,0)</f>
        <v/>
      </c>
      <c r="T1283" s="192">
        <f>$BC1283*V$11</f>
        <v/>
      </c>
      <c r="U1283" s="76">
        <f>$BC1283*W$11</f>
        <v/>
      </c>
      <c r="V1283" s="193">
        <f>+SUM(T1283:U1283)</f>
        <v/>
      </c>
      <c r="W1283" s="191" t="n"/>
      <c r="X1283" s="170" t="n"/>
      <c r="Y1283" s="76">
        <f>ROUND(IF(offer_incoterms="DDP",X1283*(S1283*(1+AW1283)+T1283),0),2)</f>
        <v/>
      </c>
      <c r="Z1283" s="188" t="n"/>
      <c r="AA1283" s="192">
        <f>IFERROR(AB1283/E1283,0)</f>
        <v/>
      </c>
      <c r="AB1283" s="76">
        <f>ROUND(SUM(S1283,V1283,Y1283:Z1283,BA1283:BB1283),2)</f>
        <v/>
      </c>
      <c r="AC1283" s="797" t="n"/>
      <c r="AD1283" s="192">
        <f t="array" ref="AD1283">IFERROR(ROUND((_xlfn.IFS(offer_sale_type="поставка",AB1283,offer_sale_type="транзит",S1283)*(1+AC1283))/E1283,2),0)</f>
        <v/>
      </c>
      <c r="AE1283" s="76">
        <f>AD1283*E1283</f>
        <v/>
      </c>
      <c r="AF1283" s="193">
        <f t="array" ref="AF1283">IFERROR(ROUND(_xlfn.IFS(offer_sale_type="поставка",AB1283,offer_sale_type="транзит",S1283)*AC1283,2),0)</f>
        <v/>
      </c>
      <c r="AG1283" s="192">
        <f>$BD1283*VLOOKUP($AG$3,$AF$4:$AG$7,2,FALSE)</f>
        <v/>
      </c>
      <c r="AH1283" s="76">
        <f>SUM(AE1283,AG1283,AI1283)*rate_forex_risk</f>
        <v/>
      </c>
      <c r="AI1283" s="193">
        <f>IF(OR(seller_region="TR",offer_sale_type="экспорт"),0,rate_fin_comm)*SUM(AZ1283,AZ1283*AW1283,T1283)</f>
        <v/>
      </c>
      <c r="AJ1283" s="118">
        <f>IFERROR(ROUND(SUM(AB1283,AF1283:AI1283)/E1283,2),0)</f>
        <v/>
      </c>
      <c r="AK1283" s="76">
        <f>AJ1283*E1283</f>
        <v/>
      </c>
      <c r="AL1283" s="174">
        <f>ROUND(IFERROR(AM1283*E1283,0),2)</f>
        <v/>
      </c>
      <c r="AM1283" s="175">
        <f>ROUND(AJ1283*(1+IF(offer_incoterms="DDP",IF((TODAY()+offer_turnaround_time)&gt;=helpsheet!$L$17,rate_vatRU_from_26,rate_vatRu_till_25),0)),2)</f>
        <v/>
      </c>
      <c r="AN1283" s="192">
        <f>AL1283-AK1283</f>
        <v/>
      </c>
      <c r="AO1283" s="76">
        <f>SUM(AY1283,Y1283:Z1283,T1283)*IF(AND(offer_incoterms="DDP",offer_sale_type&lt;&gt;"экспорт"),IF((TODAY()+offer_turnaround_time)&gt;=helpsheet!$L$17,rate_vatRU_from_26,rate_vatRu_till_25),0)</f>
        <v/>
      </c>
      <c r="AP1283" s="193">
        <f>AN1283-AO1283</f>
        <v/>
      </c>
      <c r="AQ1283" s="118">
        <f>IF(offer_sale_type="транзит",SUM(AF1283:AI1283,BA1283,BB1283),0)</f>
        <v/>
      </c>
      <c r="AR1283" s="82">
        <f>HYPERLINK("https://www.alta.ru/tnved/code/")&amp;W1283&amp;"/"</f>
        <v/>
      </c>
      <c r="AS1283" s="157" t="n"/>
      <c r="AT1283" s="162" t="n"/>
      <c r="AU1283" s="76">
        <f>IF(ISBLANK(AT1283),0,AJ1283-AT1283)</f>
        <v/>
      </c>
      <c r="AV1283" s="157" t="n"/>
      <c r="AW1283" s="75">
        <f>_xlfn.IFNA(VLOOKUP(L1283,list_vat[],3,FALSE),0)</f>
        <v/>
      </c>
      <c r="AX1283" s="76">
        <f>IFERROR(ROUND(S1283*(1+AW1283)/E1283,2),0)</f>
        <v/>
      </c>
      <c r="AY1283" s="76">
        <f>E1283*AX1283</f>
        <v/>
      </c>
      <c r="AZ1283" s="192">
        <f>S1283*(1+M1283)</f>
        <v/>
      </c>
      <c r="BA1283" s="76">
        <f>cost_fin_total*$BD1283</f>
        <v/>
      </c>
      <c r="BB1283" s="193">
        <f>credit_sales_interest*BD1283</f>
        <v/>
      </c>
      <c r="BC1283" s="102">
        <f>IFERROR(IF($I$13&gt;0,$I1283/$I$13,$S1283/$S$13),0)</f>
        <v/>
      </c>
      <c r="BD1283" s="102">
        <f>IFERROR($S1283/$S$13,0)</f>
        <v/>
      </c>
      <c r="BE1283" s="413" t="inlineStr">
        <is>
          <t>$</t>
        </is>
      </c>
    </row>
    <row r="1284" ht="12" customFormat="1" customHeight="1" s="65">
      <c r="A1284" s="43" t="n">
        <v>1269</v>
      </c>
      <c r="B1284" s="166" t="n"/>
      <c r="C1284" s="166" t="n"/>
      <c r="D1284" s="166" t="n"/>
      <c r="E1284" s="162" t="n"/>
      <c r="F1284" s="166" t="n"/>
      <c r="G1284" s="162" t="n"/>
      <c r="H1284" s="162" t="n"/>
      <c r="I1284" s="189">
        <f>E1284*G1284</f>
        <v/>
      </c>
      <c r="J1284" s="195" t="n"/>
      <c r="K1284" s="162" t="n"/>
      <c r="L1284" s="168" t="n"/>
      <c r="M1284" s="75">
        <f>_xlfn.XLOOKUP(L1284,list_vat[Страна],list_vat[Ставка НДС %],0,0)</f>
        <v/>
      </c>
      <c r="N1284" s="162">
        <f>IFERROR(IF(L1284="Китай",K1284,K1284/(1+M1284)),0)</f>
        <v/>
      </c>
      <c r="O1284" s="169" t="n"/>
      <c r="P1284" s="76">
        <f>N1284*(1-O1284)</f>
        <v/>
      </c>
      <c r="Q1284" s="162" t="n"/>
      <c r="R1284" s="162">
        <f>IF(ISBLANK(Q1284),"введи курс",P1284/Q1284)</f>
        <v/>
      </c>
      <c r="S1284" s="196">
        <f>IF(AND(ISNUMBER(E1284),ISNUMBER(Q1284)),E1284*R1284,0)</f>
        <v/>
      </c>
      <c r="T1284" s="192">
        <f>$BC1284*V$11</f>
        <v/>
      </c>
      <c r="U1284" s="76">
        <f>$BC1284*W$11</f>
        <v/>
      </c>
      <c r="V1284" s="193">
        <f>+SUM(T1284:U1284)</f>
        <v/>
      </c>
      <c r="W1284" s="191" t="n"/>
      <c r="X1284" s="170" t="n"/>
      <c r="Y1284" s="76">
        <f>ROUND(IF(offer_incoterms="DDP",X1284*(S1284*(1+AW1284)+T1284),0),2)</f>
        <v/>
      </c>
      <c r="Z1284" s="188" t="n"/>
      <c r="AA1284" s="192">
        <f>IFERROR(AB1284/E1284,0)</f>
        <v/>
      </c>
      <c r="AB1284" s="76">
        <f>ROUND(SUM(S1284,V1284,Y1284:Z1284,BA1284:BB1284),2)</f>
        <v/>
      </c>
      <c r="AC1284" s="797" t="n"/>
      <c r="AD1284" s="192">
        <f t="array" ref="AD1284">IFERROR(ROUND((_xlfn.IFS(offer_sale_type="поставка",AB1284,offer_sale_type="транзит",S1284)*(1+AC1284))/E1284,2),0)</f>
        <v/>
      </c>
      <c r="AE1284" s="76">
        <f>AD1284*E1284</f>
        <v/>
      </c>
      <c r="AF1284" s="193">
        <f t="array" ref="AF1284">IFERROR(ROUND(_xlfn.IFS(offer_sale_type="поставка",AB1284,offer_sale_type="транзит",S1284)*AC1284,2),0)</f>
        <v/>
      </c>
      <c r="AG1284" s="192">
        <f>$BD1284*VLOOKUP($AG$3,$AF$4:$AG$7,2,FALSE)</f>
        <v/>
      </c>
      <c r="AH1284" s="76">
        <f>SUM(AE1284,AG1284,AI1284)*rate_forex_risk</f>
        <v/>
      </c>
      <c r="AI1284" s="193">
        <f>IF(OR(seller_region="TR",offer_sale_type="экспорт"),0,rate_fin_comm)*SUM(AZ1284,AZ1284*AW1284,T1284)</f>
        <v/>
      </c>
      <c r="AJ1284" s="118">
        <f>IFERROR(ROUND(SUM(AB1284,AF1284:AI1284)/E1284,2),0)</f>
        <v/>
      </c>
      <c r="AK1284" s="76">
        <f>AJ1284*E1284</f>
        <v/>
      </c>
      <c r="AL1284" s="174">
        <f>ROUND(IFERROR(AM1284*E1284,0),2)</f>
        <v/>
      </c>
      <c r="AM1284" s="175">
        <f>ROUND(AJ1284*(1+IF(offer_incoterms="DDP",IF((TODAY()+offer_turnaround_time)&gt;=helpsheet!$L$17,rate_vatRU_from_26,rate_vatRu_till_25),0)),2)</f>
        <v/>
      </c>
      <c r="AN1284" s="192">
        <f>AL1284-AK1284</f>
        <v/>
      </c>
      <c r="AO1284" s="76">
        <f>SUM(AY1284,Y1284:Z1284,T1284)*IF(AND(offer_incoterms="DDP",offer_sale_type&lt;&gt;"экспорт"),IF((TODAY()+offer_turnaround_time)&gt;=helpsheet!$L$17,rate_vatRU_from_26,rate_vatRu_till_25),0)</f>
        <v/>
      </c>
      <c r="AP1284" s="193">
        <f>AN1284-AO1284</f>
        <v/>
      </c>
      <c r="AQ1284" s="118">
        <f>IF(offer_sale_type="транзит",SUM(AF1284:AI1284,BA1284,BB1284),0)</f>
        <v/>
      </c>
      <c r="AR1284" s="82">
        <f>HYPERLINK("https://www.alta.ru/tnved/code/")&amp;W1284&amp;"/"</f>
        <v/>
      </c>
      <c r="AS1284" s="157" t="n"/>
      <c r="AT1284" s="162" t="n"/>
      <c r="AU1284" s="76">
        <f>IF(ISBLANK(AT1284),0,AJ1284-AT1284)</f>
        <v/>
      </c>
      <c r="AV1284" s="157" t="n"/>
      <c r="AW1284" s="75">
        <f>_xlfn.IFNA(VLOOKUP(L1284,list_vat[],3,FALSE),0)</f>
        <v/>
      </c>
      <c r="AX1284" s="76">
        <f>IFERROR(ROUND(S1284*(1+AW1284)/E1284,2),0)</f>
        <v/>
      </c>
      <c r="AY1284" s="76">
        <f>E1284*AX1284</f>
        <v/>
      </c>
      <c r="AZ1284" s="192">
        <f>S1284*(1+M1284)</f>
        <v/>
      </c>
      <c r="BA1284" s="76">
        <f>cost_fin_total*$BD1284</f>
        <v/>
      </c>
      <c r="BB1284" s="193">
        <f>credit_sales_interest*BD1284</f>
        <v/>
      </c>
      <c r="BC1284" s="102">
        <f>IFERROR(IF($I$13&gt;0,$I1284/$I$13,$S1284/$S$13),0)</f>
        <v/>
      </c>
      <c r="BD1284" s="102">
        <f>IFERROR($S1284/$S$13,0)</f>
        <v/>
      </c>
      <c r="BE1284" s="413" t="inlineStr">
        <is>
          <t>$</t>
        </is>
      </c>
    </row>
    <row r="1285" ht="12" customFormat="1" customHeight="1" s="65">
      <c r="A1285" s="43" t="n">
        <v>1270</v>
      </c>
      <c r="B1285" s="166" t="n"/>
      <c r="C1285" s="166" t="n"/>
      <c r="D1285" s="166" t="n"/>
      <c r="E1285" s="162" t="n"/>
      <c r="F1285" s="166" t="n"/>
      <c r="G1285" s="162" t="n"/>
      <c r="H1285" s="162" t="n"/>
      <c r="I1285" s="189">
        <f>E1285*G1285</f>
        <v/>
      </c>
      <c r="J1285" s="195" t="n"/>
      <c r="K1285" s="162" t="n"/>
      <c r="L1285" s="168" t="n"/>
      <c r="M1285" s="75">
        <f>_xlfn.XLOOKUP(L1285,list_vat[Страна],list_vat[Ставка НДС %],0,0)</f>
        <v/>
      </c>
      <c r="N1285" s="162">
        <f>IFERROR(IF(L1285="Китай",K1285,K1285/(1+M1285)),0)</f>
        <v/>
      </c>
      <c r="O1285" s="169" t="n"/>
      <c r="P1285" s="76">
        <f>N1285*(1-O1285)</f>
        <v/>
      </c>
      <c r="Q1285" s="162" t="n"/>
      <c r="R1285" s="162">
        <f>IF(ISBLANK(Q1285),"введи курс",P1285/Q1285)</f>
        <v/>
      </c>
      <c r="S1285" s="196">
        <f>IF(AND(ISNUMBER(E1285),ISNUMBER(Q1285)),E1285*R1285,0)</f>
        <v/>
      </c>
      <c r="T1285" s="192">
        <f>$BC1285*V$11</f>
        <v/>
      </c>
      <c r="U1285" s="76">
        <f>$BC1285*W$11</f>
        <v/>
      </c>
      <c r="V1285" s="193">
        <f>+SUM(T1285:U1285)</f>
        <v/>
      </c>
      <c r="W1285" s="191" t="n"/>
      <c r="X1285" s="170" t="n"/>
      <c r="Y1285" s="76">
        <f>ROUND(IF(offer_incoterms="DDP",X1285*(S1285*(1+AW1285)+T1285),0),2)</f>
        <v/>
      </c>
      <c r="Z1285" s="188" t="n"/>
      <c r="AA1285" s="192">
        <f>IFERROR(AB1285/E1285,0)</f>
        <v/>
      </c>
      <c r="AB1285" s="76">
        <f>ROUND(SUM(S1285,V1285,Y1285:Z1285,BA1285:BB1285),2)</f>
        <v/>
      </c>
      <c r="AC1285" s="797" t="n"/>
      <c r="AD1285" s="192">
        <f t="array" ref="AD1285">IFERROR(ROUND((_xlfn.IFS(offer_sale_type="поставка",AB1285,offer_sale_type="транзит",S1285)*(1+AC1285))/E1285,2),0)</f>
        <v/>
      </c>
      <c r="AE1285" s="76">
        <f>AD1285*E1285</f>
        <v/>
      </c>
      <c r="AF1285" s="193">
        <f t="array" ref="AF1285">IFERROR(ROUND(_xlfn.IFS(offer_sale_type="поставка",AB1285,offer_sale_type="транзит",S1285)*AC1285,2),0)</f>
        <v/>
      </c>
      <c r="AG1285" s="192">
        <f>$BD1285*VLOOKUP($AG$3,$AF$4:$AG$7,2,FALSE)</f>
        <v/>
      </c>
      <c r="AH1285" s="76">
        <f>SUM(AE1285,AG1285,AI1285)*rate_forex_risk</f>
        <v/>
      </c>
      <c r="AI1285" s="193">
        <f>IF(OR(seller_region="TR",offer_sale_type="экспорт"),0,rate_fin_comm)*SUM(AZ1285,AZ1285*AW1285,T1285)</f>
        <v/>
      </c>
      <c r="AJ1285" s="118">
        <f>IFERROR(ROUND(SUM(AB1285,AF1285:AI1285)/E1285,2),0)</f>
        <v/>
      </c>
      <c r="AK1285" s="76">
        <f>AJ1285*E1285</f>
        <v/>
      </c>
      <c r="AL1285" s="174">
        <f>ROUND(IFERROR(AM1285*E1285,0),2)</f>
        <v/>
      </c>
      <c r="AM1285" s="175">
        <f>ROUND(AJ1285*(1+IF(offer_incoterms="DDP",IF((TODAY()+offer_turnaround_time)&gt;=helpsheet!$L$17,rate_vatRU_from_26,rate_vatRu_till_25),0)),2)</f>
        <v/>
      </c>
      <c r="AN1285" s="192">
        <f>AL1285-AK1285</f>
        <v/>
      </c>
      <c r="AO1285" s="76">
        <f>SUM(AY1285,Y1285:Z1285,T1285)*IF(AND(offer_incoterms="DDP",offer_sale_type&lt;&gt;"экспорт"),IF((TODAY()+offer_turnaround_time)&gt;=helpsheet!$L$17,rate_vatRU_from_26,rate_vatRu_till_25),0)</f>
        <v/>
      </c>
      <c r="AP1285" s="193">
        <f>AN1285-AO1285</f>
        <v/>
      </c>
      <c r="AQ1285" s="118">
        <f>IF(offer_sale_type="транзит",SUM(AF1285:AI1285,BA1285,BB1285),0)</f>
        <v/>
      </c>
      <c r="AR1285" s="82">
        <f>HYPERLINK("https://www.alta.ru/tnved/code/")&amp;W1285&amp;"/"</f>
        <v/>
      </c>
      <c r="AS1285" s="157" t="n"/>
      <c r="AT1285" s="162" t="n"/>
      <c r="AU1285" s="76">
        <f>IF(ISBLANK(AT1285),0,AJ1285-AT1285)</f>
        <v/>
      </c>
      <c r="AV1285" s="157" t="n"/>
      <c r="AW1285" s="75">
        <f>_xlfn.IFNA(VLOOKUP(L1285,list_vat[],3,FALSE),0)</f>
        <v/>
      </c>
      <c r="AX1285" s="76">
        <f>IFERROR(ROUND(S1285*(1+AW1285)/E1285,2),0)</f>
        <v/>
      </c>
      <c r="AY1285" s="76">
        <f>E1285*AX1285</f>
        <v/>
      </c>
      <c r="AZ1285" s="192">
        <f>S1285*(1+M1285)</f>
        <v/>
      </c>
      <c r="BA1285" s="76">
        <f>cost_fin_total*$BD1285</f>
        <v/>
      </c>
      <c r="BB1285" s="193">
        <f>credit_sales_interest*BD1285</f>
        <v/>
      </c>
      <c r="BC1285" s="102">
        <f>IFERROR(IF($I$13&gt;0,$I1285/$I$13,$S1285/$S$13),0)</f>
        <v/>
      </c>
      <c r="BD1285" s="102">
        <f>IFERROR($S1285/$S$13,0)</f>
        <v/>
      </c>
      <c r="BE1285" s="413" t="inlineStr">
        <is>
          <t>$</t>
        </is>
      </c>
    </row>
    <row r="1286" ht="12" customFormat="1" customHeight="1" s="65">
      <c r="A1286" s="43" t="n">
        <v>1271</v>
      </c>
      <c r="B1286" s="166" t="n"/>
      <c r="C1286" s="166" t="n"/>
      <c r="D1286" s="166" t="n"/>
      <c r="E1286" s="162" t="n"/>
      <c r="F1286" s="166" t="n"/>
      <c r="G1286" s="162" t="n"/>
      <c r="H1286" s="162" t="n"/>
      <c r="I1286" s="189">
        <f>E1286*G1286</f>
        <v/>
      </c>
      <c r="J1286" s="195" t="n"/>
      <c r="K1286" s="162" t="n"/>
      <c r="L1286" s="168" t="n"/>
      <c r="M1286" s="75">
        <f>_xlfn.XLOOKUP(L1286,list_vat[Страна],list_vat[Ставка НДС %],0,0)</f>
        <v/>
      </c>
      <c r="N1286" s="162">
        <f>IFERROR(IF(L1286="Китай",K1286,K1286/(1+M1286)),0)</f>
        <v/>
      </c>
      <c r="O1286" s="169" t="n"/>
      <c r="P1286" s="76">
        <f>N1286*(1-O1286)</f>
        <v/>
      </c>
      <c r="Q1286" s="162" t="n"/>
      <c r="R1286" s="162">
        <f>IF(ISBLANK(Q1286),"введи курс",P1286/Q1286)</f>
        <v/>
      </c>
      <c r="S1286" s="196">
        <f>IF(AND(ISNUMBER(E1286),ISNUMBER(Q1286)),E1286*R1286,0)</f>
        <v/>
      </c>
      <c r="T1286" s="192">
        <f>$BC1286*V$11</f>
        <v/>
      </c>
      <c r="U1286" s="76">
        <f>$BC1286*W$11</f>
        <v/>
      </c>
      <c r="V1286" s="193">
        <f>+SUM(T1286:U1286)</f>
        <v/>
      </c>
      <c r="W1286" s="191" t="n"/>
      <c r="X1286" s="170" t="n"/>
      <c r="Y1286" s="76">
        <f>ROUND(IF(offer_incoterms="DDP",X1286*(S1286*(1+AW1286)+T1286),0),2)</f>
        <v/>
      </c>
      <c r="Z1286" s="188" t="n"/>
      <c r="AA1286" s="192">
        <f>IFERROR(AB1286/E1286,0)</f>
        <v/>
      </c>
      <c r="AB1286" s="76">
        <f>ROUND(SUM(S1286,V1286,Y1286:Z1286,BA1286:BB1286),2)</f>
        <v/>
      </c>
      <c r="AC1286" s="797" t="n"/>
      <c r="AD1286" s="192">
        <f t="array" ref="AD1286">IFERROR(ROUND((_xlfn.IFS(offer_sale_type="поставка",AB1286,offer_sale_type="транзит",S1286)*(1+AC1286))/E1286,2),0)</f>
        <v/>
      </c>
      <c r="AE1286" s="76">
        <f>AD1286*E1286</f>
        <v/>
      </c>
      <c r="AF1286" s="193">
        <f t="array" ref="AF1286">IFERROR(ROUND(_xlfn.IFS(offer_sale_type="поставка",AB1286,offer_sale_type="транзит",S1286)*AC1286,2),0)</f>
        <v/>
      </c>
      <c r="AG1286" s="192">
        <f>$BD1286*VLOOKUP($AG$3,$AF$4:$AG$7,2,FALSE)</f>
        <v/>
      </c>
      <c r="AH1286" s="76">
        <f>SUM(AE1286,AG1286,AI1286)*rate_forex_risk</f>
        <v/>
      </c>
      <c r="AI1286" s="193">
        <f>IF(OR(seller_region="TR",offer_sale_type="экспорт"),0,rate_fin_comm)*SUM(AZ1286,AZ1286*AW1286,T1286)</f>
        <v/>
      </c>
      <c r="AJ1286" s="118">
        <f>IFERROR(ROUND(SUM(AB1286,AF1286:AI1286)/E1286,2),0)</f>
        <v/>
      </c>
      <c r="AK1286" s="76">
        <f>AJ1286*E1286</f>
        <v/>
      </c>
      <c r="AL1286" s="174">
        <f>ROUND(IFERROR(AM1286*E1286,0),2)</f>
        <v/>
      </c>
      <c r="AM1286" s="175">
        <f>ROUND(AJ1286*(1+IF(offer_incoterms="DDP",IF((TODAY()+offer_turnaround_time)&gt;=helpsheet!$L$17,rate_vatRU_from_26,rate_vatRu_till_25),0)),2)</f>
        <v/>
      </c>
      <c r="AN1286" s="192">
        <f>AL1286-AK1286</f>
        <v/>
      </c>
      <c r="AO1286" s="76">
        <f>SUM(AY1286,Y1286:Z1286,T1286)*IF(AND(offer_incoterms="DDP",offer_sale_type&lt;&gt;"экспорт"),IF((TODAY()+offer_turnaround_time)&gt;=helpsheet!$L$17,rate_vatRU_from_26,rate_vatRu_till_25),0)</f>
        <v/>
      </c>
      <c r="AP1286" s="193">
        <f>AN1286-AO1286</f>
        <v/>
      </c>
      <c r="AQ1286" s="118">
        <f>IF(offer_sale_type="транзит",SUM(AF1286:AI1286,BA1286,BB1286),0)</f>
        <v/>
      </c>
      <c r="AR1286" s="82">
        <f>HYPERLINK("https://www.alta.ru/tnved/code/")&amp;W1286&amp;"/"</f>
        <v/>
      </c>
      <c r="AS1286" s="157" t="n"/>
      <c r="AT1286" s="162" t="n"/>
      <c r="AU1286" s="76">
        <f>IF(ISBLANK(AT1286),0,AJ1286-AT1286)</f>
        <v/>
      </c>
      <c r="AV1286" s="157" t="n"/>
      <c r="AW1286" s="75">
        <f>_xlfn.IFNA(VLOOKUP(L1286,list_vat[],3,FALSE),0)</f>
        <v/>
      </c>
      <c r="AX1286" s="76">
        <f>IFERROR(ROUND(S1286*(1+AW1286)/E1286,2),0)</f>
        <v/>
      </c>
      <c r="AY1286" s="76">
        <f>E1286*AX1286</f>
        <v/>
      </c>
      <c r="AZ1286" s="192">
        <f>S1286*(1+M1286)</f>
        <v/>
      </c>
      <c r="BA1286" s="76">
        <f>cost_fin_total*$BD1286</f>
        <v/>
      </c>
      <c r="BB1286" s="193">
        <f>credit_sales_interest*BD1286</f>
        <v/>
      </c>
      <c r="BC1286" s="102">
        <f>IFERROR(IF($I$13&gt;0,$I1286/$I$13,$S1286/$S$13),0)</f>
        <v/>
      </c>
      <c r="BD1286" s="102">
        <f>IFERROR($S1286/$S$13,0)</f>
        <v/>
      </c>
      <c r="BE1286" s="413" t="inlineStr">
        <is>
          <t>$</t>
        </is>
      </c>
    </row>
    <row r="1287" ht="12" customFormat="1" customHeight="1" s="65">
      <c r="A1287" s="43" t="n">
        <v>1272</v>
      </c>
      <c r="B1287" s="166" t="n"/>
      <c r="C1287" s="166" t="n"/>
      <c r="D1287" s="166" t="n"/>
      <c r="E1287" s="162" t="n"/>
      <c r="F1287" s="166" t="n"/>
      <c r="G1287" s="162" t="n"/>
      <c r="H1287" s="162" t="n"/>
      <c r="I1287" s="189">
        <f>E1287*G1287</f>
        <v/>
      </c>
      <c r="J1287" s="195" t="n"/>
      <c r="K1287" s="162" t="n"/>
      <c r="L1287" s="168" t="n"/>
      <c r="M1287" s="75">
        <f>_xlfn.XLOOKUP(L1287,list_vat[Страна],list_vat[Ставка НДС %],0,0)</f>
        <v/>
      </c>
      <c r="N1287" s="162">
        <f>IFERROR(IF(L1287="Китай",K1287,K1287/(1+M1287)),0)</f>
        <v/>
      </c>
      <c r="O1287" s="169" t="n"/>
      <c r="P1287" s="76">
        <f>N1287*(1-O1287)</f>
        <v/>
      </c>
      <c r="Q1287" s="162" t="n"/>
      <c r="R1287" s="162">
        <f>IF(ISBLANK(Q1287),"введи курс",P1287/Q1287)</f>
        <v/>
      </c>
      <c r="S1287" s="196">
        <f>IF(AND(ISNUMBER(E1287),ISNUMBER(Q1287)),E1287*R1287,0)</f>
        <v/>
      </c>
      <c r="T1287" s="192">
        <f>$BC1287*V$11</f>
        <v/>
      </c>
      <c r="U1287" s="76">
        <f>$BC1287*W$11</f>
        <v/>
      </c>
      <c r="V1287" s="193">
        <f>+SUM(T1287:U1287)</f>
        <v/>
      </c>
      <c r="W1287" s="191" t="n"/>
      <c r="X1287" s="170" t="n"/>
      <c r="Y1287" s="76">
        <f>ROUND(IF(offer_incoterms="DDP",X1287*(S1287*(1+AW1287)+T1287),0),2)</f>
        <v/>
      </c>
      <c r="Z1287" s="188" t="n"/>
      <c r="AA1287" s="192">
        <f>IFERROR(AB1287/E1287,0)</f>
        <v/>
      </c>
      <c r="AB1287" s="76">
        <f>ROUND(SUM(S1287,V1287,Y1287:Z1287,BA1287:BB1287),2)</f>
        <v/>
      </c>
      <c r="AC1287" s="797" t="n"/>
      <c r="AD1287" s="192">
        <f t="array" ref="AD1287">IFERROR(ROUND((_xlfn.IFS(offer_sale_type="поставка",AB1287,offer_sale_type="транзит",S1287)*(1+AC1287))/E1287,2),0)</f>
        <v/>
      </c>
      <c r="AE1287" s="76">
        <f>AD1287*E1287</f>
        <v/>
      </c>
      <c r="AF1287" s="193">
        <f t="array" ref="AF1287">IFERROR(ROUND(_xlfn.IFS(offer_sale_type="поставка",AB1287,offer_sale_type="транзит",S1287)*AC1287,2),0)</f>
        <v/>
      </c>
      <c r="AG1287" s="192">
        <f>$BD1287*VLOOKUP($AG$3,$AF$4:$AG$7,2,FALSE)</f>
        <v/>
      </c>
      <c r="AH1287" s="76">
        <f>SUM(AE1287,AG1287,AI1287)*rate_forex_risk</f>
        <v/>
      </c>
      <c r="AI1287" s="193">
        <f>IF(OR(seller_region="TR",offer_sale_type="экспорт"),0,rate_fin_comm)*SUM(AZ1287,AZ1287*AW1287,T1287)</f>
        <v/>
      </c>
      <c r="AJ1287" s="118">
        <f>IFERROR(ROUND(SUM(AB1287,AF1287:AI1287)/E1287,2),0)</f>
        <v/>
      </c>
      <c r="AK1287" s="76">
        <f>AJ1287*E1287</f>
        <v/>
      </c>
      <c r="AL1287" s="174">
        <f>ROUND(IFERROR(AM1287*E1287,0),2)</f>
        <v/>
      </c>
      <c r="AM1287" s="175">
        <f>ROUND(AJ1287*(1+IF(offer_incoterms="DDP",IF((TODAY()+offer_turnaround_time)&gt;=helpsheet!$L$17,rate_vatRU_from_26,rate_vatRu_till_25),0)),2)</f>
        <v/>
      </c>
      <c r="AN1287" s="192">
        <f>AL1287-AK1287</f>
        <v/>
      </c>
      <c r="AO1287" s="76">
        <f>SUM(AY1287,Y1287:Z1287,T1287)*IF(AND(offer_incoterms="DDP",offer_sale_type&lt;&gt;"экспорт"),IF((TODAY()+offer_turnaround_time)&gt;=helpsheet!$L$17,rate_vatRU_from_26,rate_vatRu_till_25),0)</f>
        <v/>
      </c>
      <c r="AP1287" s="193">
        <f>AN1287-AO1287</f>
        <v/>
      </c>
      <c r="AQ1287" s="118">
        <f>IF(offer_sale_type="транзит",SUM(AF1287:AI1287,BA1287,BB1287),0)</f>
        <v/>
      </c>
      <c r="AR1287" s="82">
        <f>HYPERLINK("https://www.alta.ru/tnved/code/")&amp;W1287&amp;"/"</f>
        <v/>
      </c>
      <c r="AS1287" s="157" t="n"/>
      <c r="AT1287" s="162" t="n"/>
      <c r="AU1287" s="76">
        <f>IF(ISBLANK(AT1287),0,AJ1287-AT1287)</f>
        <v/>
      </c>
      <c r="AV1287" s="157" t="n"/>
      <c r="AW1287" s="75">
        <f>_xlfn.IFNA(VLOOKUP(L1287,list_vat[],3,FALSE),0)</f>
        <v/>
      </c>
      <c r="AX1287" s="76">
        <f>IFERROR(ROUND(S1287*(1+AW1287)/E1287,2),0)</f>
        <v/>
      </c>
      <c r="AY1287" s="76">
        <f>E1287*AX1287</f>
        <v/>
      </c>
      <c r="AZ1287" s="192">
        <f>S1287*(1+M1287)</f>
        <v/>
      </c>
      <c r="BA1287" s="76">
        <f>cost_fin_total*$BD1287</f>
        <v/>
      </c>
      <c r="BB1287" s="193">
        <f>credit_sales_interest*BD1287</f>
        <v/>
      </c>
      <c r="BC1287" s="102">
        <f>IFERROR(IF($I$13&gt;0,$I1287/$I$13,$S1287/$S$13),0)</f>
        <v/>
      </c>
      <c r="BD1287" s="102">
        <f>IFERROR($S1287/$S$13,0)</f>
        <v/>
      </c>
      <c r="BE1287" s="413" t="inlineStr">
        <is>
          <t>$</t>
        </is>
      </c>
    </row>
    <row r="1288" ht="12" customFormat="1" customHeight="1" s="65">
      <c r="A1288" s="43" t="n">
        <v>1273</v>
      </c>
      <c r="B1288" s="166" t="n"/>
      <c r="C1288" s="166" t="n"/>
      <c r="D1288" s="166" t="n"/>
      <c r="E1288" s="162" t="n"/>
      <c r="F1288" s="166" t="n"/>
      <c r="G1288" s="162" t="n"/>
      <c r="H1288" s="162" t="n"/>
      <c r="I1288" s="189">
        <f>E1288*G1288</f>
        <v/>
      </c>
      <c r="J1288" s="195" t="n"/>
      <c r="K1288" s="162" t="n"/>
      <c r="L1288" s="168" t="n"/>
      <c r="M1288" s="75">
        <f>_xlfn.XLOOKUP(L1288,list_vat[Страна],list_vat[Ставка НДС %],0,0)</f>
        <v/>
      </c>
      <c r="N1288" s="162">
        <f>IFERROR(IF(L1288="Китай",K1288,K1288/(1+M1288)),0)</f>
        <v/>
      </c>
      <c r="O1288" s="169" t="n"/>
      <c r="P1288" s="76">
        <f>N1288*(1-O1288)</f>
        <v/>
      </c>
      <c r="Q1288" s="162" t="n"/>
      <c r="R1288" s="162">
        <f>IF(ISBLANK(Q1288),"введи курс",P1288/Q1288)</f>
        <v/>
      </c>
      <c r="S1288" s="196">
        <f>IF(AND(ISNUMBER(E1288),ISNUMBER(Q1288)),E1288*R1288,0)</f>
        <v/>
      </c>
      <c r="T1288" s="192">
        <f>$BC1288*V$11</f>
        <v/>
      </c>
      <c r="U1288" s="76">
        <f>$BC1288*W$11</f>
        <v/>
      </c>
      <c r="V1288" s="193">
        <f>+SUM(T1288:U1288)</f>
        <v/>
      </c>
      <c r="W1288" s="191" t="n"/>
      <c r="X1288" s="170" t="n"/>
      <c r="Y1288" s="76">
        <f>ROUND(IF(offer_incoterms="DDP",X1288*(S1288*(1+AW1288)+T1288),0),2)</f>
        <v/>
      </c>
      <c r="Z1288" s="188" t="n"/>
      <c r="AA1288" s="192">
        <f>IFERROR(AB1288/E1288,0)</f>
        <v/>
      </c>
      <c r="AB1288" s="76">
        <f>ROUND(SUM(S1288,V1288,Y1288:Z1288,BA1288:BB1288),2)</f>
        <v/>
      </c>
      <c r="AC1288" s="797" t="n"/>
      <c r="AD1288" s="192">
        <f t="array" ref="AD1288">IFERROR(ROUND((_xlfn.IFS(offer_sale_type="поставка",AB1288,offer_sale_type="транзит",S1288)*(1+AC1288))/E1288,2),0)</f>
        <v/>
      </c>
      <c r="AE1288" s="76">
        <f>AD1288*E1288</f>
        <v/>
      </c>
      <c r="AF1288" s="193">
        <f t="array" ref="AF1288">IFERROR(ROUND(_xlfn.IFS(offer_sale_type="поставка",AB1288,offer_sale_type="транзит",S1288)*AC1288,2),0)</f>
        <v/>
      </c>
      <c r="AG1288" s="192">
        <f>$BD1288*VLOOKUP($AG$3,$AF$4:$AG$7,2,FALSE)</f>
        <v/>
      </c>
      <c r="AH1288" s="76">
        <f>SUM(AE1288,AG1288,AI1288)*rate_forex_risk</f>
        <v/>
      </c>
      <c r="AI1288" s="193">
        <f>IF(OR(seller_region="TR",offer_sale_type="экспорт"),0,rate_fin_comm)*SUM(AZ1288,AZ1288*AW1288,T1288)</f>
        <v/>
      </c>
      <c r="AJ1288" s="118">
        <f>IFERROR(ROUND(SUM(AB1288,AF1288:AI1288)/E1288,2),0)</f>
        <v/>
      </c>
      <c r="AK1288" s="76">
        <f>AJ1288*E1288</f>
        <v/>
      </c>
      <c r="AL1288" s="174">
        <f>ROUND(IFERROR(AM1288*E1288,0),2)</f>
        <v/>
      </c>
      <c r="AM1288" s="175">
        <f>ROUND(AJ1288*(1+IF(offer_incoterms="DDP",IF((TODAY()+offer_turnaround_time)&gt;=helpsheet!$L$17,rate_vatRU_from_26,rate_vatRu_till_25),0)),2)</f>
        <v/>
      </c>
      <c r="AN1288" s="192">
        <f>AL1288-AK1288</f>
        <v/>
      </c>
      <c r="AO1288" s="76">
        <f>SUM(AY1288,Y1288:Z1288,T1288)*IF(AND(offer_incoterms="DDP",offer_sale_type&lt;&gt;"экспорт"),IF((TODAY()+offer_turnaround_time)&gt;=helpsheet!$L$17,rate_vatRU_from_26,rate_vatRu_till_25),0)</f>
        <v/>
      </c>
      <c r="AP1288" s="193">
        <f>AN1288-AO1288</f>
        <v/>
      </c>
      <c r="AQ1288" s="118">
        <f>IF(offer_sale_type="транзит",SUM(AF1288:AI1288,BA1288,BB1288),0)</f>
        <v/>
      </c>
      <c r="AR1288" s="82">
        <f>HYPERLINK("https://www.alta.ru/tnved/code/")&amp;W1288&amp;"/"</f>
        <v/>
      </c>
      <c r="AS1288" s="157" t="n"/>
      <c r="AT1288" s="162" t="n"/>
      <c r="AU1288" s="76">
        <f>IF(ISBLANK(AT1288),0,AJ1288-AT1288)</f>
        <v/>
      </c>
      <c r="AV1288" s="157" t="n"/>
      <c r="AW1288" s="75">
        <f>_xlfn.IFNA(VLOOKUP(L1288,list_vat[],3,FALSE),0)</f>
        <v/>
      </c>
      <c r="AX1288" s="76">
        <f>IFERROR(ROUND(S1288*(1+AW1288)/E1288,2),0)</f>
        <v/>
      </c>
      <c r="AY1288" s="76">
        <f>E1288*AX1288</f>
        <v/>
      </c>
      <c r="AZ1288" s="192">
        <f>S1288*(1+M1288)</f>
        <v/>
      </c>
      <c r="BA1288" s="76">
        <f>cost_fin_total*$BD1288</f>
        <v/>
      </c>
      <c r="BB1288" s="193">
        <f>credit_sales_interest*BD1288</f>
        <v/>
      </c>
      <c r="BC1288" s="102">
        <f>IFERROR(IF($I$13&gt;0,$I1288/$I$13,$S1288/$S$13),0)</f>
        <v/>
      </c>
      <c r="BD1288" s="102">
        <f>IFERROR($S1288/$S$13,0)</f>
        <v/>
      </c>
      <c r="BE1288" s="413" t="inlineStr">
        <is>
          <t>$</t>
        </is>
      </c>
    </row>
    <row r="1289" ht="12" customFormat="1" customHeight="1" s="65">
      <c r="A1289" s="43" t="n">
        <v>1274</v>
      </c>
      <c r="B1289" s="166" t="n"/>
      <c r="C1289" s="166" t="n"/>
      <c r="D1289" s="166" t="n"/>
      <c r="E1289" s="162" t="n"/>
      <c r="F1289" s="166" t="n"/>
      <c r="G1289" s="162" t="n"/>
      <c r="H1289" s="162" t="n"/>
      <c r="I1289" s="189">
        <f>E1289*G1289</f>
        <v/>
      </c>
      <c r="J1289" s="195" t="n"/>
      <c r="K1289" s="162" t="n"/>
      <c r="L1289" s="168" t="n"/>
      <c r="M1289" s="75">
        <f>_xlfn.XLOOKUP(L1289,list_vat[Страна],list_vat[Ставка НДС %],0,0)</f>
        <v/>
      </c>
      <c r="N1289" s="162">
        <f>IFERROR(IF(L1289="Китай",K1289,K1289/(1+M1289)),0)</f>
        <v/>
      </c>
      <c r="O1289" s="169" t="n"/>
      <c r="P1289" s="76">
        <f>N1289*(1-O1289)</f>
        <v/>
      </c>
      <c r="Q1289" s="162" t="n"/>
      <c r="R1289" s="162">
        <f>IF(ISBLANK(Q1289),"введи курс",P1289/Q1289)</f>
        <v/>
      </c>
      <c r="S1289" s="196">
        <f>IF(AND(ISNUMBER(E1289),ISNUMBER(Q1289)),E1289*R1289,0)</f>
        <v/>
      </c>
      <c r="T1289" s="192">
        <f>$BC1289*V$11</f>
        <v/>
      </c>
      <c r="U1289" s="76">
        <f>$BC1289*W$11</f>
        <v/>
      </c>
      <c r="V1289" s="193">
        <f>+SUM(T1289:U1289)</f>
        <v/>
      </c>
      <c r="W1289" s="191" t="n"/>
      <c r="X1289" s="170" t="n"/>
      <c r="Y1289" s="76">
        <f>ROUND(IF(offer_incoterms="DDP",X1289*(S1289*(1+AW1289)+T1289),0),2)</f>
        <v/>
      </c>
      <c r="Z1289" s="188" t="n"/>
      <c r="AA1289" s="192">
        <f>IFERROR(AB1289/E1289,0)</f>
        <v/>
      </c>
      <c r="AB1289" s="76">
        <f>ROUND(SUM(S1289,V1289,Y1289:Z1289,BA1289:BB1289),2)</f>
        <v/>
      </c>
      <c r="AC1289" s="797" t="n"/>
      <c r="AD1289" s="192">
        <f t="array" ref="AD1289">IFERROR(ROUND((_xlfn.IFS(offer_sale_type="поставка",AB1289,offer_sale_type="транзит",S1289)*(1+AC1289))/E1289,2),0)</f>
        <v/>
      </c>
      <c r="AE1289" s="76">
        <f>AD1289*E1289</f>
        <v/>
      </c>
      <c r="AF1289" s="193">
        <f t="array" ref="AF1289">IFERROR(ROUND(_xlfn.IFS(offer_sale_type="поставка",AB1289,offer_sale_type="транзит",S1289)*AC1289,2),0)</f>
        <v/>
      </c>
      <c r="AG1289" s="192">
        <f>$BD1289*VLOOKUP($AG$3,$AF$4:$AG$7,2,FALSE)</f>
        <v/>
      </c>
      <c r="AH1289" s="76">
        <f>SUM(AE1289,AG1289,AI1289)*rate_forex_risk</f>
        <v/>
      </c>
      <c r="AI1289" s="193">
        <f>IF(OR(seller_region="TR",offer_sale_type="экспорт"),0,rate_fin_comm)*SUM(AZ1289,AZ1289*AW1289,T1289)</f>
        <v/>
      </c>
      <c r="AJ1289" s="118">
        <f>IFERROR(ROUND(SUM(AB1289,AF1289:AI1289)/E1289,2),0)</f>
        <v/>
      </c>
      <c r="AK1289" s="76">
        <f>AJ1289*E1289</f>
        <v/>
      </c>
      <c r="AL1289" s="174">
        <f>ROUND(IFERROR(AM1289*E1289,0),2)</f>
        <v/>
      </c>
      <c r="AM1289" s="175">
        <f>ROUND(AJ1289*(1+IF(offer_incoterms="DDP",IF((TODAY()+offer_turnaround_time)&gt;=helpsheet!$L$17,rate_vatRU_from_26,rate_vatRu_till_25),0)),2)</f>
        <v/>
      </c>
      <c r="AN1289" s="192">
        <f>AL1289-AK1289</f>
        <v/>
      </c>
      <c r="AO1289" s="76">
        <f>SUM(AY1289,Y1289:Z1289,T1289)*IF(AND(offer_incoterms="DDP",offer_sale_type&lt;&gt;"экспорт"),IF((TODAY()+offer_turnaround_time)&gt;=helpsheet!$L$17,rate_vatRU_from_26,rate_vatRu_till_25),0)</f>
        <v/>
      </c>
      <c r="AP1289" s="193">
        <f>AN1289-AO1289</f>
        <v/>
      </c>
      <c r="AQ1289" s="118">
        <f>IF(offer_sale_type="транзит",SUM(AF1289:AI1289,BA1289,BB1289),0)</f>
        <v/>
      </c>
      <c r="AR1289" s="82">
        <f>HYPERLINK("https://www.alta.ru/tnved/code/")&amp;W1289&amp;"/"</f>
        <v/>
      </c>
      <c r="AS1289" s="157" t="n"/>
      <c r="AT1289" s="162" t="n"/>
      <c r="AU1289" s="76">
        <f>IF(ISBLANK(AT1289),0,AJ1289-AT1289)</f>
        <v/>
      </c>
      <c r="AV1289" s="157" t="n"/>
      <c r="AW1289" s="75">
        <f>_xlfn.IFNA(VLOOKUP(L1289,list_vat[],3,FALSE),0)</f>
        <v/>
      </c>
      <c r="AX1289" s="76">
        <f>IFERROR(ROUND(S1289*(1+AW1289)/E1289,2),0)</f>
        <v/>
      </c>
      <c r="AY1289" s="76">
        <f>E1289*AX1289</f>
        <v/>
      </c>
      <c r="AZ1289" s="192">
        <f>S1289*(1+M1289)</f>
        <v/>
      </c>
      <c r="BA1289" s="76">
        <f>cost_fin_total*$BD1289</f>
        <v/>
      </c>
      <c r="BB1289" s="193">
        <f>credit_sales_interest*BD1289</f>
        <v/>
      </c>
      <c r="BC1289" s="102">
        <f>IFERROR(IF($I$13&gt;0,$I1289/$I$13,$S1289/$S$13),0)</f>
        <v/>
      </c>
      <c r="BD1289" s="102">
        <f>IFERROR($S1289/$S$13,0)</f>
        <v/>
      </c>
      <c r="BE1289" s="413" t="inlineStr">
        <is>
          <t>$</t>
        </is>
      </c>
    </row>
    <row r="1290" ht="12" customFormat="1" customHeight="1" s="65">
      <c r="A1290" s="43" t="n">
        <v>1275</v>
      </c>
      <c r="B1290" s="166" t="n"/>
      <c r="C1290" s="166" t="n"/>
      <c r="D1290" s="166" t="n"/>
      <c r="E1290" s="162" t="n"/>
      <c r="F1290" s="166" t="n"/>
      <c r="G1290" s="162" t="n"/>
      <c r="H1290" s="162" t="n"/>
      <c r="I1290" s="189">
        <f>E1290*G1290</f>
        <v/>
      </c>
      <c r="J1290" s="195" t="n"/>
      <c r="K1290" s="162" t="n"/>
      <c r="L1290" s="168" t="n"/>
      <c r="M1290" s="75">
        <f>_xlfn.XLOOKUP(L1290,list_vat[Страна],list_vat[Ставка НДС %],0,0)</f>
        <v/>
      </c>
      <c r="N1290" s="162">
        <f>IFERROR(IF(L1290="Китай",K1290,K1290/(1+M1290)),0)</f>
        <v/>
      </c>
      <c r="O1290" s="169" t="n"/>
      <c r="P1290" s="76">
        <f>N1290*(1-O1290)</f>
        <v/>
      </c>
      <c r="Q1290" s="162" t="n"/>
      <c r="R1290" s="162">
        <f>IF(ISBLANK(Q1290),"введи курс",P1290/Q1290)</f>
        <v/>
      </c>
      <c r="S1290" s="196">
        <f>IF(AND(ISNUMBER(E1290),ISNUMBER(Q1290)),E1290*R1290,0)</f>
        <v/>
      </c>
      <c r="T1290" s="192">
        <f>$BC1290*V$11</f>
        <v/>
      </c>
      <c r="U1290" s="76">
        <f>$BC1290*W$11</f>
        <v/>
      </c>
      <c r="V1290" s="193">
        <f>+SUM(T1290:U1290)</f>
        <v/>
      </c>
      <c r="W1290" s="191" t="n"/>
      <c r="X1290" s="170" t="n"/>
      <c r="Y1290" s="76">
        <f>ROUND(IF(offer_incoterms="DDP",X1290*(S1290*(1+AW1290)+T1290),0),2)</f>
        <v/>
      </c>
      <c r="Z1290" s="188" t="n"/>
      <c r="AA1290" s="192">
        <f>IFERROR(AB1290/E1290,0)</f>
        <v/>
      </c>
      <c r="AB1290" s="76">
        <f>ROUND(SUM(S1290,V1290,Y1290:Z1290,BA1290:BB1290),2)</f>
        <v/>
      </c>
      <c r="AC1290" s="797" t="n"/>
      <c r="AD1290" s="192">
        <f t="array" ref="AD1290">IFERROR(ROUND((_xlfn.IFS(offer_sale_type="поставка",AB1290,offer_sale_type="транзит",S1290)*(1+AC1290))/E1290,2),0)</f>
        <v/>
      </c>
      <c r="AE1290" s="76">
        <f>AD1290*E1290</f>
        <v/>
      </c>
      <c r="AF1290" s="193">
        <f t="array" ref="AF1290">IFERROR(ROUND(_xlfn.IFS(offer_sale_type="поставка",AB1290,offer_sale_type="транзит",S1290)*AC1290,2),0)</f>
        <v/>
      </c>
      <c r="AG1290" s="192">
        <f>$BD1290*VLOOKUP($AG$3,$AF$4:$AG$7,2,FALSE)</f>
        <v/>
      </c>
      <c r="AH1290" s="76">
        <f>SUM(AE1290,AG1290,AI1290)*rate_forex_risk</f>
        <v/>
      </c>
      <c r="AI1290" s="193">
        <f>IF(OR(seller_region="TR",offer_sale_type="экспорт"),0,rate_fin_comm)*SUM(AZ1290,AZ1290*AW1290,T1290)</f>
        <v/>
      </c>
      <c r="AJ1290" s="118">
        <f>IFERROR(ROUND(SUM(AB1290,AF1290:AI1290)/E1290,2),0)</f>
        <v/>
      </c>
      <c r="AK1290" s="76">
        <f>AJ1290*E1290</f>
        <v/>
      </c>
      <c r="AL1290" s="174">
        <f>ROUND(IFERROR(AM1290*E1290,0),2)</f>
        <v/>
      </c>
      <c r="AM1290" s="175">
        <f>ROUND(AJ1290*(1+IF(offer_incoterms="DDP",IF((TODAY()+offer_turnaround_time)&gt;=helpsheet!$L$17,rate_vatRU_from_26,rate_vatRu_till_25),0)),2)</f>
        <v/>
      </c>
      <c r="AN1290" s="192">
        <f>AL1290-AK1290</f>
        <v/>
      </c>
      <c r="AO1290" s="76">
        <f>SUM(AY1290,Y1290:Z1290,T1290)*IF(AND(offer_incoterms="DDP",offer_sale_type&lt;&gt;"экспорт"),IF((TODAY()+offer_turnaround_time)&gt;=helpsheet!$L$17,rate_vatRU_from_26,rate_vatRu_till_25),0)</f>
        <v/>
      </c>
      <c r="AP1290" s="193">
        <f>AN1290-AO1290</f>
        <v/>
      </c>
      <c r="AQ1290" s="118">
        <f>IF(offer_sale_type="транзит",SUM(AF1290:AI1290,BA1290,BB1290),0)</f>
        <v/>
      </c>
      <c r="AR1290" s="82">
        <f>HYPERLINK("https://www.alta.ru/tnved/code/")&amp;W1290&amp;"/"</f>
        <v/>
      </c>
      <c r="AS1290" s="157" t="n"/>
      <c r="AT1290" s="162" t="n"/>
      <c r="AU1290" s="76">
        <f>IF(ISBLANK(AT1290),0,AJ1290-AT1290)</f>
        <v/>
      </c>
      <c r="AV1290" s="157" t="n"/>
      <c r="AW1290" s="75">
        <f>_xlfn.IFNA(VLOOKUP(L1290,list_vat[],3,FALSE),0)</f>
        <v/>
      </c>
      <c r="AX1290" s="76">
        <f>IFERROR(ROUND(S1290*(1+AW1290)/E1290,2),0)</f>
        <v/>
      </c>
      <c r="AY1290" s="76">
        <f>E1290*AX1290</f>
        <v/>
      </c>
      <c r="AZ1290" s="192">
        <f>S1290*(1+M1290)</f>
        <v/>
      </c>
      <c r="BA1290" s="76">
        <f>cost_fin_total*$BD1290</f>
        <v/>
      </c>
      <c r="BB1290" s="193">
        <f>credit_sales_interest*BD1290</f>
        <v/>
      </c>
      <c r="BC1290" s="102">
        <f>IFERROR(IF($I$13&gt;0,$I1290/$I$13,$S1290/$S$13),0)</f>
        <v/>
      </c>
      <c r="BD1290" s="102">
        <f>IFERROR($S1290/$S$13,0)</f>
        <v/>
      </c>
      <c r="BE1290" s="413" t="inlineStr">
        <is>
          <t>$</t>
        </is>
      </c>
    </row>
    <row r="1291" ht="12" customFormat="1" customHeight="1" s="65">
      <c r="A1291" s="43" t="n">
        <v>1276</v>
      </c>
      <c r="B1291" s="166" t="n"/>
      <c r="C1291" s="166" t="n"/>
      <c r="D1291" s="166" t="n"/>
      <c r="E1291" s="162" t="n"/>
      <c r="F1291" s="166" t="n"/>
      <c r="G1291" s="162" t="n"/>
      <c r="H1291" s="162" t="n"/>
      <c r="I1291" s="189">
        <f>E1291*G1291</f>
        <v/>
      </c>
      <c r="J1291" s="195" t="n"/>
      <c r="K1291" s="162" t="n"/>
      <c r="L1291" s="168" t="n"/>
      <c r="M1291" s="75">
        <f>_xlfn.XLOOKUP(L1291,list_vat[Страна],list_vat[Ставка НДС %],0,0)</f>
        <v/>
      </c>
      <c r="N1291" s="162">
        <f>IFERROR(IF(L1291="Китай",K1291,K1291/(1+M1291)),0)</f>
        <v/>
      </c>
      <c r="O1291" s="169" t="n"/>
      <c r="P1291" s="76">
        <f>N1291*(1-O1291)</f>
        <v/>
      </c>
      <c r="Q1291" s="162" t="n"/>
      <c r="R1291" s="162">
        <f>IF(ISBLANK(Q1291),"введи курс",P1291/Q1291)</f>
        <v/>
      </c>
      <c r="S1291" s="196">
        <f>IF(AND(ISNUMBER(E1291),ISNUMBER(Q1291)),E1291*R1291,0)</f>
        <v/>
      </c>
      <c r="T1291" s="192">
        <f>$BC1291*V$11</f>
        <v/>
      </c>
      <c r="U1291" s="76">
        <f>$BC1291*W$11</f>
        <v/>
      </c>
      <c r="V1291" s="193">
        <f>+SUM(T1291:U1291)</f>
        <v/>
      </c>
      <c r="W1291" s="191" t="n"/>
      <c r="X1291" s="170" t="n"/>
      <c r="Y1291" s="76">
        <f>ROUND(IF(offer_incoterms="DDP",X1291*(S1291*(1+AW1291)+T1291),0),2)</f>
        <v/>
      </c>
      <c r="Z1291" s="188" t="n"/>
      <c r="AA1291" s="192">
        <f>IFERROR(AB1291/E1291,0)</f>
        <v/>
      </c>
      <c r="AB1291" s="76">
        <f>ROUND(SUM(S1291,V1291,Y1291:Z1291,BA1291:BB1291),2)</f>
        <v/>
      </c>
      <c r="AC1291" s="797" t="n"/>
      <c r="AD1291" s="192">
        <f t="array" ref="AD1291">IFERROR(ROUND((_xlfn.IFS(offer_sale_type="поставка",AB1291,offer_sale_type="транзит",S1291)*(1+AC1291))/E1291,2),0)</f>
        <v/>
      </c>
      <c r="AE1291" s="76">
        <f>AD1291*E1291</f>
        <v/>
      </c>
      <c r="AF1291" s="193">
        <f t="array" ref="AF1291">IFERROR(ROUND(_xlfn.IFS(offer_sale_type="поставка",AB1291,offer_sale_type="транзит",S1291)*AC1291,2),0)</f>
        <v/>
      </c>
      <c r="AG1291" s="192">
        <f>$BD1291*VLOOKUP($AG$3,$AF$4:$AG$7,2,FALSE)</f>
        <v/>
      </c>
      <c r="AH1291" s="76">
        <f>SUM(AE1291,AG1291,AI1291)*rate_forex_risk</f>
        <v/>
      </c>
      <c r="AI1291" s="193">
        <f>IF(OR(seller_region="TR",offer_sale_type="экспорт"),0,rate_fin_comm)*SUM(AZ1291,AZ1291*AW1291,T1291)</f>
        <v/>
      </c>
      <c r="AJ1291" s="118">
        <f>IFERROR(ROUND(SUM(AB1291,AF1291:AI1291)/E1291,2),0)</f>
        <v/>
      </c>
      <c r="AK1291" s="76">
        <f>AJ1291*E1291</f>
        <v/>
      </c>
      <c r="AL1291" s="174">
        <f>ROUND(IFERROR(AM1291*E1291,0),2)</f>
        <v/>
      </c>
      <c r="AM1291" s="175">
        <f>ROUND(AJ1291*(1+IF(offer_incoterms="DDP",IF((TODAY()+offer_turnaround_time)&gt;=helpsheet!$L$17,rate_vatRU_from_26,rate_vatRu_till_25),0)),2)</f>
        <v/>
      </c>
      <c r="AN1291" s="192">
        <f>AL1291-AK1291</f>
        <v/>
      </c>
      <c r="AO1291" s="76">
        <f>SUM(AY1291,Y1291:Z1291,T1291)*IF(AND(offer_incoterms="DDP",offer_sale_type&lt;&gt;"экспорт"),IF((TODAY()+offer_turnaround_time)&gt;=helpsheet!$L$17,rate_vatRU_from_26,rate_vatRu_till_25),0)</f>
        <v/>
      </c>
      <c r="AP1291" s="193">
        <f>AN1291-AO1291</f>
        <v/>
      </c>
      <c r="AQ1291" s="118">
        <f>IF(offer_sale_type="транзит",SUM(AF1291:AI1291,BA1291,BB1291),0)</f>
        <v/>
      </c>
      <c r="AR1291" s="82">
        <f>HYPERLINK("https://www.alta.ru/tnved/code/")&amp;W1291&amp;"/"</f>
        <v/>
      </c>
      <c r="AS1291" s="157" t="n"/>
      <c r="AT1291" s="162" t="n"/>
      <c r="AU1291" s="76">
        <f>IF(ISBLANK(AT1291),0,AJ1291-AT1291)</f>
        <v/>
      </c>
      <c r="AV1291" s="157" t="n"/>
      <c r="AW1291" s="75">
        <f>_xlfn.IFNA(VLOOKUP(L1291,list_vat[],3,FALSE),0)</f>
        <v/>
      </c>
      <c r="AX1291" s="76">
        <f>IFERROR(ROUND(S1291*(1+AW1291)/E1291,2),0)</f>
        <v/>
      </c>
      <c r="AY1291" s="76">
        <f>E1291*AX1291</f>
        <v/>
      </c>
      <c r="AZ1291" s="192">
        <f>S1291*(1+M1291)</f>
        <v/>
      </c>
      <c r="BA1291" s="76">
        <f>cost_fin_total*$BD1291</f>
        <v/>
      </c>
      <c r="BB1291" s="193">
        <f>credit_sales_interest*BD1291</f>
        <v/>
      </c>
      <c r="BC1291" s="102">
        <f>IFERROR(IF($I$13&gt;0,$I1291/$I$13,$S1291/$S$13),0)</f>
        <v/>
      </c>
      <c r="BD1291" s="102">
        <f>IFERROR($S1291/$S$13,0)</f>
        <v/>
      </c>
      <c r="BE1291" s="413" t="inlineStr">
        <is>
          <t>$</t>
        </is>
      </c>
    </row>
    <row r="1292" ht="12" customFormat="1" customHeight="1" s="65">
      <c r="A1292" s="43" t="n">
        <v>1277</v>
      </c>
      <c r="B1292" s="166" t="n"/>
      <c r="C1292" s="166" t="n"/>
      <c r="D1292" s="166" t="n"/>
      <c r="E1292" s="162" t="n"/>
      <c r="F1292" s="166" t="n"/>
      <c r="G1292" s="162" t="n"/>
      <c r="H1292" s="162" t="n"/>
      <c r="I1292" s="189">
        <f>E1292*G1292</f>
        <v/>
      </c>
      <c r="J1292" s="195" t="n"/>
      <c r="K1292" s="162" t="n"/>
      <c r="L1292" s="168" t="n"/>
      <c r="M1292" s="75">
        <f>_xlfn.XLOOKUP(L1292,list_vat[Страна],list_vat[Ставка НДС %],0,0)</f>
        <v/>
      </c>
      <c r="N1292" s="162">
        <f>IFERROR(IF(L1292="Китай",K1292,K1292/(1+M1292)),0)</f>
        <v/>
      </c>
      <c r="O1292" s="169" t="n"/>
      <c r="P1292" s="76">
        <f>N1292*(1-O1292)</f>
        <v/>
      </c>
      <c r="Q1292" s="162" t="n"/>
      <c r="R1292" s="162">
        <f>IF(ISBLANK(Q1292),"введи курс",P1292/Q1292)</f>
        <v/>
      </c>
      <c r="S1292" s="196">
        <f>IF(AND(ISNUMBER(E1292),ISNUMBER(Q1292)),E1292*R1292,0)</f>
        <v/>
      </c>
      <c r="T1292" s="192">
        <f>$BC1292*V$11</f>
        <v/>
      </c>
      <c r="U1292" s="76">
        <f>$BC1292*W$11</f>
        <v/>
      </c>
      <c r="V1292" s="193">
        <f>+SUM(T1292:U1292)</f>
        <v/>
      </c>
      <c r="W1292" s="191" t="n"/>
      <c r="X1292" s="170" t="n"/>
      <c r="Y1292" s="76">
        <f>ROUND(IF(offer_incoterms="DDP",X1292*(S1292*(1+AW1292)+T1292),0),2)</f>
        <v/>
      </c>
      <c r="Z1292" s="188" t="n"/>
      <c r="AA1292" s="192">
        <f>IFERROR(AB1292/E1292,0)</f>
        <v/>
      </c>
      <c r="AB1292" s="76">
        <f>ROUND(SUM(S1292,V1292,Y1292:Z1292,BA1292:BB1292),2)</f>
        <v/>
      </c>
      <c r="AC1292" s="797" t="n"/>
      <c r="AD1292" s="192">
        <f t="array" ref="AD1292">IFERROR(ROUND((_xlfn.IFS(offer_sale_type="поставка",AB1292,offer_sale_type="транзит",S1292)*(1+AC1292))/E1292,2),0)</f>
        <v/>
      </c>
      <c r="AE1292" s="76">
        <f>AD1292*E1292</f>
        <v/>
      </c>
      <c r="AF1292" s="193">
        <f t="array" ref="AF1292">IFERROR(ROUND(_xlfn.IFS(offer_sale_type="поставка",AB1292,offer_sale_type="транзит",S1292)*AC1292,2),0)</f>
        <v/>
      </c>
      <c r="AG1292" s="192">
        <f>$BD1292*VLOOKUP($AG$3,$AF$4:$AG$7,2,FALSE)</f>
        <v/>
      </c>
      <c r="AH1292" s="76">
        <f>SUM(AE1292,AG1292,AI1292)*rate_forex_risk</f>
        <v/>
      </c>
      <c r="AI1292" s="193">
        <f>IF(OR(seller_region="TR",offer_sale_type="экспорт"),0,rate_fin_comm)*SUM(AZ1292,AZ1292*AW1292,T1292)</f>
        <v/>
      </c>
      <c r="AJ1292" s="118">
        <f>IFERROR(ROUND(SUM(AB1292,AF1292:AI1292)/E1292,2),0)</f>
        <v/>
      </c>
      <c r="AK1292" s="76">
        <f>AJ1292*E1292</f>
        <v/>
      </c>
      <c r="AL1292" s="174">
        <f>ROUND(IFERROR(AM1292*E1292,0),2)</f>
        <v/>
      </c>
      <c r="AM1292" s="175">
        <f>ROUND(AJ1292*(1+IF(offer_incoterms="DDP",IF((TODAY()+offer_turnaround_time)&gt;=helpsheet!$L$17,rate_vatRU_from_26,rate_vatRu_till_25),0)),2)</f>
        <v/>
      </c>
      <c r="AN1292" s="192">
        <f>AL1292-AK1292</f>
        <v/>
      </c>
      <c r="AO1292" s="76">
        <f>SUM(AY1292,Y1292:Z1292,T1292)*IF(AND(offer_incoterms="DDP",offer_sale_type&lt;&gt;"экспорт"),IF((TODAY()+offer_turnaround_time)&gt;=helpsheet!$L$17,rate_vatRU_from_26,rate_vatRu_till_25),0)</f>
        <v/>
      </c>
      <c r="AP1292" s="193">
        <f>AN1292-AO1292</f>
        <v/>
      </c>
      <c r="AQ1292" s="118">
        <f>IF(offer_sale_type="транзит",SUM(AF1292:AI1292,BA1292,BB1292),0)</f>
        <v/>
      </c>
      <c r="AR1292" s="82">
        <f>HYPERLINK("https://www.alta.ru/tnved/code/")&amp;W1292&amp;"/"</f>
        <v/>
      </c>
      <c r="AS1292" s="157" t="n"/>
      <c r="AT1292" s="162" t="n"/>
      <c r="AU1292" s="76">
        <f>IF(ISBLANK(AT1292),0,AJ1292-AT1292)</f>
        <v/>
      </c>
      <c r="AV1292" s="157" t="n"/>
      <c r="AW1292" s="75">
        <f>_xlfn.IFNA(VLOOKUP(L1292,list_vat[],3,FALSE),0)</f>
        <v/>
      </c>
      <c r="AX1292" s="76">
        <f>IFERROR(ROUND(S1292*(1+AW1292)/E1292,2),0)</f>
        <v/>
      </c>
      <c r="AY1292" s="76">
        <f>E1292*AX1292</f>
        <v/>
      </c>
      <c r="AZ1292" s="192">
        <f>S1292*(1+M1292)</f>
        <v/>
      </c>
      <c r="BA1292" s="76">
        <f>cost_fin_total*$BD1292</f>
        <v/>
      </c>
      <c r="BB1292" s="193">
        <f>credit_sales_interest*BD1292</f>
        <v/>
      </c>
      <c r="BC1292" s="102">
        <f>IFERROR(IF($I$13&gt;0,$I1292/$I$13,$S1292/$S$13),0)</f>
        <v/>
      </c>
      <c r="BD1292" s="102">
        <f>IFERROR($S1292/$S$13,0)</f>
        <v/>
      </c>
      <c r="BE1292" s="413" t="inlineStr">
        <is>
          <t>$</t>
        </is>
      </c>
    </row>
    <row r="1293" ht="12" customFormat="1" customHeight="1" s="65">
      <c r="A1293" s="43" t="n">
        <v>1278</v>
      </c>
      <c r="B1293" s="166" t="n"/>
      <c r="C1293" s="166" t="n"/>
      <c r="D1293" s="166" t="n"/>
      <c r="E1293" s="162" t="n"/>
      <c r="F1293" s="166" t="n"/>
      <c r="G1293" s="162" t="n"/>
      <c r="H1293" s="162" t="n"/>
      <c r="I1293" s="189">
        <f>E1293*G1293</f>
        <v/>
      </c>
      <c r="J1293" s="195" t="n"/>
      <c r="K1293" s="162" t="n"/>
      <c r="L1293" s="168" t="n"/>
      <c r="M1293" s="75">
        <f>_xlfn.XLOOKUP(L1293,list_vat[Страна],list_vat[Ставка НДС %],0,0)</f>
        <v/>
      </c>
      <c r="N1293" s="162">
        <f>IFERROR(IF(L1293="Китай",K1293,K1293/(1+M1293)),0)</f>
        <v/>
      </c>
      <c r="O1293" s="169" t="n"/>
      <c r="P1293" s="76">
        <f>N1293*(1-O1293)</f>
        <v/>
      </c>
      <c r="Q1293" s="162" t="n"/>
      <c r="R1293" s="162">
        <f>IF(ISBLANK(Q1293),"введи курс",P1293/Q1293)</f>
        <v/>
      </c>
      <c r="S1293" s="196">
        <f>IF(AND(ISNUMBER(E1293),ISNUMBER(Q1293)),E1293*R1293,0)</f>
        <v/>
      </c>
      <c r="T1293" s="192">
        <f>$BC1293*V$11</f>
        <v/>
      </c>
      <c r="U1293" s="76">
        <f>$BC1293*W$11</f>
        <v/>
      </c>
      <c r="V1293" s="193">
        <f>+SUM(T1293:U1293)</f>
        <v/>
      </c>
      <c r="W1293" s="191" t="n"/>
      <c r="X1293" s="170" t="n"/>
      <c r="Y1293" s="76">
        <f>ROUND(IF(offer_incoterms="DDP",X1293*(S1293*(1+AW1293)+T1293),0),2)</f>
        <v/>
      </c>
      <c r="Z1293" s="188" t="n"/>
      <c r="AA1293" s="192">
        <f>IFERROR(AB1293/E1293,0)</f>
        <v/>
      </c>
      <c r="AB1293" s="76">
        <f>ROUND(SUM(S1293,V1293,Y1293:Z1293,BA1293:BB1293),2)</f>
        <v/>
      </c>
      <c r="AC1293" s="797" t="n"/>
      <c r="AD1293" s="192">
        <f t="array" ref="AD1293">IFERROR(ROUND((_xlfn.IFS(offer_sale_type="поставка",AB1293,offer_sale_type="транзит",S1293)*(1+AC1293))/E1293,2),0)</f>
        <v/>
      </c>
      <c r="AE1293" s="76">
        <f>AD1293*E1293</f>
        <v/>
      </c>
      <c r="AF1293" s="193">
        <f t="array" ref="AF1293">IFERROR(ROUND(_xlfn.IFS(offer_sale_type="поставка",AB1293,offer_sale_type="транзит",S1293)*AC1293,2),0)</f>
        <v/>
      </c>
      <c r="AG1293" s="192">
        <f>$BD1293*VLOOKUP($AG$3,$AF$4:$AG$7,2,FALSE)</f>
        <v/>
      </c>
      <c r="AH1293" s="76">
        <f>SUM(AE1293,AG1293,AI1293)*rate_forex_risk</f>
        <v/>
      </c>
      <c r="AI1293" s="193">
        <f>IF(OR(seller_region="TR",offer_sale_type="экспорт"),0,rate_fin_comm)*SUM(AZ1293,AZ1293*AW1293,T1293)</f>
        <v/>
      </c>
      <c r="AJ1293" s="118">
        <f>IFERROR(ROUND(SUM(AB1293,AF1293:AI1293)/E1293,2),0)</f>
        <v/>
      </c>
      <c r="AK1293" s="76">
        <f>AJ1293*E1293</f>
        <v/>
      </c>
      <c r="AL1293" s="174">
        <f>ROUND(IFERROR(AM1293*E1293,0),2)</f>
        <v/>
      </c>
      <c r="AM1293" s="175">
        <f>ROUND(AJ1293*(1+IF(offer_incoterms="DDP",IF((TODAY()+offer_turnaround_time)&gt;=helpsheet!$L$17,rate_vatRU_from_26,rate_vatRu_till_25),0)),2)</f>
        <v/>
      </c>
      <c r="AN1293" s="192">
        <f>AL1293-AK1293</f>
        <v/>
      </c>
      <c r="AO1293" s="76">
        <f>SUM(AY1293,Y1293:Z1293,T1293)*IF(AND(offer_incoterms="DDP",offer_sale_type&lt;&gt;"экспорт"),IF((TODAY()+offer_turnaround_time)&gt;=helpsheet!$L$17,rate_vatRU_from_26,rate_vatRu_till_25),0)</f>
        <v/>
      </c>
      <c r="AP1293" s="193">
        <f>AN1293-AO1293</f>
        <v/>
      </c>
      <c r="AQ1293" s="118">
        <f>IF(offer_sale_type="транзит",SUM(AF1293:AI1293,BA1293,BB1293),0)</f>
        <v/>
      </c>
      <c r="AR1293" s="82">
        <f>HYPERLINK("https://www.alta.ru/tnved/code/")&amp;W1293&amp;"/"</f>
        <v/>
      </c>
      <c r="AS1293" s="157" t="n"/>
      <c r="AT1293" s="162" t="n"/>
      <c r="AU1293" s="76">
        <f>IF(ISBLANK(AT1293),0,AJ1293-AT1293)</f>
        <v/>
      </c>
      <c r="AV1293" s="157" t="n"/>
      <c r="AW1293" s="75">
        <f>_xlfn.IFNA(VLOOKUP(L1293,list_vat[],3,FALSE),0)</f>
        <v/>
      </c>
      <c r="AX1293" s="76">
        <f>IFERROR(ROUND(S1293*(1+AW1293)/E1293,2),0)</f>
        <v/>
      </c>
      <c r="AY1293" s="76">
        <f>E1293*AX1293</f>
        <v/>
      </c>
      <c r="AZ1293" s="192">
        <f>S1293*(1+M1293)</f>
        <v/>
      </c>
      <c r="BA1293" s="76">
        <f>cost_fin_total*$BD1293</f>
        <v/>
      </c>
      <c r="BB1293" s="193">
        <f>credit_sales_interest*BD1293</f>
        <v/>
      </c>
      <c r="BC1293" s="102">
        <f>IFERROR(IF($I$13&gt;0,$I1293/$I$13,$S1293/$S$13),0)</f>
        <v/>
      </c>
      <c r="BD1293" s="102">
        <f>IFERROR($S1293/$S$13,0)</f>
        <v/>
      </c>
      <c r="BE1293" s="413" t="inlineStr">
        <is>
          <t>$</t>
        </is>
      </c>
    </row>
    <row r="1294" ht="12" customFormat="1" customHeight="1" s="65">
      <c r="A1294" s="43" t="n">
        <v>1279</v>
      </c>
      <c r="B1294" s="166" t="n"/>
      <c r="C1294" s="166" t="n"/>
      <c r="D1294" s="166" t="n"/>
      <c r="E1294" s="162" t="n"/>
      <c r="F1294" s="166" t="n"/>
      <c r="G1294" s="162" t="n"/>
      <c r="H1294" s="162" t="n"/>
      <c r="I1294" s="189">
        <f>E1294*G1294</f>
        <v/>
      </c>
      <c r="J1294" s="195" t="n"/>
      <c r="K1294" s="162" t="n"/>
      <c r="L1294" s="168" t="n"/>
      <c r="M1294" s="75">
        <f>_xlfn.XLOOKUP(L1294,list_vat[Страна],list_vat[Ставка НДС %],0,0)</f>
        <v/>
      </c>
      <c r="N1294" s="162">
        <f>IFERROR(IF(L1294="Китай",K1294,K1294/(1+M1294)),0)</f>
        <v/>
      </c>
      <c r="O1294" s="169" t="n"/>
      <c r="P1294" s="76">
        <f>N1294*(1-O1294)</f>
        <v/>
      </c>
      <c r="Q1294" s="162" t="n"/>
      <c r="R1294" s="162">
        <f>IF(ISBLANK(Q1294),"введи курс",P1294/Q1294)</f>
        <v/>
      </c>
      <c r="S1294" s="196">
        <f>IF(AND(ISNUMBER(E1294),ISNUMBER(Q1294)),E1294*R1294,0)</f>
        <v/>
      </c>
      <c r="T1294" s="192">
        <f>$BC1294*V$11</f>
        <v/>
      </c>
      <c r="U1294" s="76">
        <f>$BC1294*W$11</f>
        <v/>
      </c>
      <c r="V1294" s="193">
        <f>+SUM(T1294:U1294)</f>
        <v/>
      </c>
      <c r="W1294" s="191" t="n"/>
      <c r="X1294" s="170" t="n"/>
      <c r="Y1294" s="76">
        <f>ROUND(IF(offer_incoterms="DDP",X1294*(S1294*(1+AW1294)+T1294),0),2)</f>
        <v/>
      </c>
      <c r="Z1294" s="188" t="n"/>
      <c r="AA1294" s="192">
        <f>IFERROR(AB1294/E1294,0)</f>
        <v/>
      </c>
      <c r="AB1294" s="76">
        <f>ROUND(SUM(S1294,V1294,Y1294:Z1294,BA1294:BB1294),2)</f>
        <v/>
      </c>
      <c r="AC1294" s="797" t="n"/>
      <c r="AD1294" s="192">
        <f t="array" ref="AD1294">IFERROR(ROUND((_xlfn.IFS(offer_sale_type="поставка",AB1294,offer_sale_type="транзит",S1294)*(1+AC1294))/E1294,2),0)</f>
        <v/>
      </c>
      <c r="AE1294" s="76">
        <f>AD1294*E1294</f>
        <v/>
      </c>
      <c r="AF1294" s="193">
        <f t="array" ref="AF1294">IFERROR(ROUND(_xlfn.IFS(offer_sale_type="поставка",AB1294,offer_sale_type="транзит",S1294)*AC1294,2),0)</f>
        <v/>
      </c>
      <c r="AG1294" s="192">
        <f>$BD1294*VLOOKUP($AG$3,$AF$4:$AG$7,2,FALSE)</f>
        <v/>
      </c>
      <c r="AH1294" s="76">
        <f>SUM(AE1294,AG1294,AI1294)*rate_forex_risk</f>
        <v/>
      </c>
      <c r="AI1294" s="193">
        <f>IF(OR(seller_region="TR",offer_sale_type="экспорт"),0,rate_fin_comm)*SUM(AZ1294,AZ1294*AW1294,T1294)</f>
        <v/>
      </c>
      <c r="AJ1294" s="118">
        <f>IFERROR(ROUND(SUM(AB1294,AF1294:AI1294)/E1294,2),0)</f>
        <v/>
      </c>
      <c r="AK1294" s="76">
        <f>AJ1294*E1294</f>
        <v/>
      </c>
      <c r="AL1294" s="174">
        <f>ROUND(IFERROR(AM1294*E1294,0),2)</f>
        <v/>
      </c>
      <c r="AM1294" s="175">
        <f>ROUND(AJ1294*(1+IF(offer_incoterms="DDP",IF((TODAY()+offer_turnaround_time)&gt;=helpsheet!$L$17,rate_vatRU_from_26,rate_vatRu_till_25),0)),2)</f>
        <v/>
      </c>
      <c r="AN1294" s="192">
        <f>AL1294-AK1294</f>
        <v/>
      </c>
      <c r="AO1294" s="76">
        <f>SUM(AY1294,Y1294:Z1294,T1294)*IF(AND(offer_incoterms="DDP",offer_sale_type&lt;&gt;"экспорт"),IF((TODAY()+offer_turnaround_time)&gt;=helpsheet!$L$17,rate_vatRU_from_26,rate_vatRu_till_25),0)</f>
        <v/>
      </c>
      <c r="AP1294" s="193">
        <f>AN1294-AO1294</f>
        <v/>
      </c>
      <c r="AQ1294" s="118">
        <f>IF(offer_sale_type="транзит",SUM(AF1294:AI1294,BA1294,BB1294),0)</f>
        <v/>
      </c>
      <c r="AR1294" s="82">
        <f>HYPERLINK("https://www.alta.ru/tnved/code/")&amp;W1294&amp;"/"</f>
        <v/>
      </c>
      <c r="AS1294" s="157" t="n"/>
      <c r="AT1294" s="162" t="n"/>
      <c r="AU1294" s="76">
        <f>IF(ISBLANK(AT1294),0,AJ1294-AT1294)</f>
        <v/>
      </c>
      <c r="AV1294" s="157" t="n"/>
      <c r="AW1294" s="75">
        <f>_xlfn.IFNA(VLOOKUP(L1294,list_vat[],3,FALSE),0)</f>
        <v/>
      </c>
      <c r="AX1294" s="76">
        <f>IFERROR(ROUND(S1294*(1+AW1294)/E1294,2),0)</f>
        <v/>
      </c>
      <c r="AY1294" s="76">
        <f>E1294*AX1294</f>
        <v/>
      </c>
      <c r="AZ1294" s="192">
        <f>S1294*(1+M1294)</f>
        <v/>
      </c>
      <c r="BA1294" s="76">
        <f>cost_fin_total*$BD1294</f>
        <v/>
      </c>
      <c r="BB1294" s="193">
        <f>credit_sales_interest*BD1294</f>
        <v/>
      </c>
      <c r="BC1294" s="102">
        <f>IFERROR(IF($I$13&gt;0,$I1294/$I$13,$S1294/$S$13),0)</f>
        <v/>
      </c>
      <c r="BD1294" s="102">
        <f>IFERROR($S1294/$S$13,0)</f>
        <v/>
      </c>
      <c r="BE1294" s="413" t="inlineStr">
        <is>
          <t>$</t>
        </is>
      </c>
    </row>
    <row r="1295" ht="12" customFormat="1" customHeight="1" s="65">
      <c r="A1295" s="43" t="n">
        <v>1280</v>
      </c>
      <c r="B1295" s="166" t="n"/>
      <c r="C1295" s="166" t="n"/>
      <c r="D1295" s="166" t="n"/>
      <c r="E1295" s="162" t="n"/>
      <c r="F1295" s="166" t="n"/>
      <c r="G1295" s="162" t="n"/>
      <c r="H1295" s="162" t="n"/>
      <c r="I1295" s="189">
        <f>E1295*G1295</f>
        <v/>
      </c>
      <c r="J1295" s="195" t="n"/>
      <c r="K1295" s="162" t="n"/>
      <c r="L1295" s="168" t="n"/>
      <c r="M1295" s="75">
        <f>_xlfn.XLOOKUP(L1295,list_vat[Страна],list_vat[Ставка НДС %],0,0)</f>
        <v/>
      </c>
      <c r="N1295" s="162">
        <f>IFERROR(IF(L1295="Китай",K1295,K1295/(1+M1295)),0)</f>
        <v/>
      </c>
      <c r="O1295" s="169" t="n"/>
      <c r="P1295" s="76">
        <f>N1295*(1-O1295)</f>
        <v/>
      </c>
      <c r="Q1295" s="162" t="n"/>
      <c r="R1295" s="162">
        <f>IF(ISBLANK(Q1295),"введи курс",P1295/Q1295)</f>
        <v/>
      </c>
      <c r="S1295" s="196">
        <f>IF(AND(ISNUMBER(E1295),ISNUMBER(Q1295)),E1295*R1295,0)</f>
        <v/>
      </c>
      <c r="T1295" s="192">
        <f>$BC1295*V$11</f>
        <v/>
      </c>
      <c r="U1295" s="76">
        <f>$BC1295*W$11</f>
        <v/>
      </c>
      <c r="V1295" s="193">
        <f>+SUM(T1295:U1295)</f>
        <v/>
      </c>
      <c r="W1295" s="191" t="n"/>
      <c r="X1295" s="170" t="n"/>
      <c r="Y1295" s="76">
        <f>ROUND(IF(offer_incoterms="DDP",X1295*(S1295*(1+AW1295)+T1295),0),2)</f>
        <v/>
      </c>
      <c r="Z1295" s="188" t="n"/>
      <c r="AA1295" s="192">
        <f>IFERROR(AB1295/E1295,0)</f>
        <v/>
      </c>
      <c r="AB1295" s="76">
        <f>ROUND(SUM(S1295,V1295,Y1295:Z1295,BA1295:BB1295),2)</f>
        <v/>
      </c>
      <c r="AC1295" s="797" t="n"/>
      <c r="AD1295" s="192">
        <f t="array" ref="AD1295">IFERROR(ROUND((_xlfn.IFS(offer_sale_type="поставка",AB1295,offer_sale_type="транзит",S1295)*(1+AC1295))/E1295,2),0)</f>
        <v/>
      </c>
      <c r="AE1295" s="76">
        <f>AD1295*E1295</f>
        <v/>
      </c>
      <c r="AF1295" s="193">
        <f t="array" ref="AF1295">IFERROR(ROUND(_xlfn.IFS(offer_sale_type="поставка",AB1295,offer_sale_type="транзит",S1295)*AC1295,2),0)</f>
        <v/>
      </c>
      <c r="AG1295" s="192">
        <f>$BD1295*VLOOKUP($AG$3,$AF$4:$AG$7,2,FALSE)</f>
        <v/>
      </c>
      <c r="AH1295" s="76">
        <f>SUM(AE1295,AG1295,AI1295)*rate_forex_risk</f>
        <v/>
      </c>
      <c r="AI1295" s="193">
        <f>IF(OR(seller_region="TR",offer_sale_type="экспорт"),0,rate_fin_comm)*SUM(AZ1295,AZ1295*AW1295,T1295)</f>
        <v/>
      </c>
      <c r="AJ1295" s="118">
        <f>IFERROR(ROUND(SUM(AB1295,AF1295:AI1295)/E1295,2),0)</f>
        <v/>
      </c>
      <c r="AK1295" s="76">
        <f>AJ1295*E1295</f>
        <v/>
      </c>
      <c r="AL1295" s="174">
        <f>ROUND(IFERROR(AM1295*E1295,0),2)</f>
        <v/>
      </c>
      <c r="AM1295" s="175">
        <f>ROUND(AJ1295*(1+IF(offer_incoterms="DDP",IF((TODAY()+offer_turnaround_time)&gt;=helpsheet!$L$17,rate_vatRU_from_26,rate_vatRu_till_25),0)),2)</f>
        <v/>
      </c>
      <c r="AN1295" s="192">
        <f>AL1295-AK1295</f>
        <v/>
      </c>
      <c r="AO1295" s="76">
        <f>SUM(AY1295,Y1295:Z1295,T1295)*IF(AND(offer_incoterms="DDP",offer_sale_type&lt;&gt;"экспорт"),IF((TODAY()+offer_turnaround_time)&gt;=helpsheet!$L$17,rate_vatRU_from_26,rate_vatRu_till_25),0)</f>
        <v/>
      </c>
      <c r="AP1295" s="193">
        <f>AN1295-AO1295</f>
        <v/>
      </c>
      <c r="AQ1295" s="118">
        <f>IF(offer_sale_type="транзит",SUM(AF1295:AI1295,BA1295,BB1295),0)</f>
        <v/>
      </c>
      <c r="AR1295" s="82">
        <f>HYPERLINK("https://www.alta.ru/tnved/code/")&amp;W1295&amp;"/"</f>
        <v/>
      </c>
      <c r="AS1295" s="157" t="n"/>
      <c r="AT1295" s="162" t="n"/>
      <c r="AU1295" s="76">
        <f>IF(ISBLANK(AT1295),0,AJ1295-AT1295)</f>
        <v/>
      </c>
      <c r="AV1295" s="157" t="n"/>
      <c r="AW1295" s="75">
        <f>_xlfn.IFNA(VLOOKUP(L1295,list_vat[],3,FALSE),0)</f>
        <v/>
      </c>
      <c r="AX1295" s="76">
        <f>IFERROR(ROUND(S1295*(1+AW1295)/E1295,2),0)</f>
        <v/>
      </c>
      <c r="AY1295" s="76">
        <f>E1295*AX1295</f>
        <v/>
      </c>
      <c r="AZ1295" s="192">
        <f>S1295*(1+M1295)</f>
        <v/>
      </c>
      <c r="BA1295" s="76">
        <f>cost_fin_total*$BD1295</f>
        <v/>
      </c>
      <c r="BB1295" s="193">
        <f>credit_sales_interest*BD1295</f>
        <v/>
      </c>
      <c r="BC1295" s="102">
        <f>IFERROR(IF($I$13&gt;0,$I1295/$I$13,$S1295/$S$13),0)</f>
        <v/>
      </c>
      <c r="BD1295" s="102">
        <f>IFERROR($S1295/$S$13,0)</f>
        <v/>
      </c>
      <c r="BE1295" s="413" t="inlineStr">
        <is>
          <t>$</t>
        </is>
      </c>
    </row>
    <row r="1296" ht="12" customFormat="1" customHeight="1" s="65">
      <c r="A1296" s="43" t="n">
        <v>1281</v>
      </c>
      <c r="B1296" s="166" t="n"/>
      <c r="C1296" s="166" t="n"/>
      <c r="D1296" s="166" t="n"/>
      <c r="E1296" s="162" t="n"/>
      <c r="F1296" s="166" t="n"/>
      <c r="G1296" s="162" t="n"/>
      <c r="H1296" s="162" t="n"/>
      <c r="I1296" s="189">
        <f>E1296*G1296</f>
        <v/>
      </c>
      <c r="J1296" s="195" t="n"/>
      <c r="K1296" s="162" t="n"/>
      <c r="L1296" s="168" t="n"/>
      <c r="M1296" s="75">
        <f>_xlfn.XLOOKUP(L1296,list_vat[Страна],list_vat[Ставка НДС %],0,0)</f>
        <v/>
      </c>
      <c r="N1296" s="162">
        <f>IFERROR(IF(L1296="Китай",K1296,K1296/(1+M1296)),0)</f>
        <v/>
      </c>
      <c r="O1296" s="169" t="n"/>
      <c r="P1296" s="76">
        <f>N1296*(1-O1296)</f>
        <v/>
      </c>
      <c r="Q1296" s="162" t="n"/>
      <c r="R1296" s="162">
        <f>IF(ISBLANK(Q1296),"введи курс",P1296/Q1296)</f>
        <v/>
      </c>
      <c r="S1296" s="196">
        <f>IF(AND(ISNUMBER(E1296),ISNUMBER(Q1296)),E1296*R1296,0)</f>
        <v/>
      </c>
      <c r="T1296" s="192">
        <f>$BC1296*V$11</f>
        <v/>
      </c>
      <c r="U1296" s="76">
        <f>$BC1296*W$11</f>
        <v/>
      </c>
      <c r="V1296" s="193">
        <f>+SUM(T1296:U1296)</f>
        <v/>
      </c>
      <c r="W1296" s="191" t="n"/>
      <c r="X1296" s="170" t="n"/>
      <c r="Y1296" s="76">
        <f>ROUND(IF(offer_incoterms="DDP",X1296*(S1296*(1+AW1296)+T1296),0),2)</f>
        <v/>
      </c>
      <c r="Z1296" s="188" t="n"/>
      <c r="AA1296" s="192">
        <f>IFERROR(AB1296/E1296,0)</f>
        <v/>
      </c>
      <c r="AB1296" s="76">
        <f>ROUND(SUM(S1296,V1296,Y1296:Z1296,BA1296:BB1296),2)</f>
        <v/>
      </c>
      <c r="AC1296" s="797" t="n"/>
      <c r="AD1296" s="192">
        <f t="array" ref="AD1296">IFERROR(ROUND((_xlfn.IFS(offer_sale_type="поставка",AB1296,offer_sale_type="транзит",S1296)*(1+AC1296))/E1296,2),0)</f>
        <v/>
      </c>
      <c r="AE1296" s="76">
        <f>AD1296*E1296</f>
        <v/>
      </c>
      <c r="AF1296" s="193">
        <f t="array" ref="AF1296">IFERROR(ROUND(_xlfn.IFS(offer_sale_type="поставка",AB1296,offer_sale_type="транзит",S1296)*AC1296,2),0)</f>
        <v/>
      </c>
      <c r="AG1296" s="192">
        <f>$BD1296*VLOOKUP($AG$3,$AF$4:$AG$7,2,FALSE)</f>
        <v/>
      </c>
      <c r="AH1296" s="76">
        <f>SUM(AE1296,AG1296,AI1296)*rate_forex_risk</f>
        <v/>
      </c>
      <c r="AI1296" s="193">
        <f>IF(OR(seller_region="TR",offer_sale_type="экспорт"),0,rate_fin_comm)*SUM(AZ1296,AZ1296*AW1296,T1296)</f>
        <v/>
      </c>
      <c r="AJ1296" s="118">
        <f>IFERROR(ROUND(SUM(AB1296,AF1296:AI1296)/E1296,2),0)</f>
        <v/>
      </c>
      <c r="AK1296" s="76">
        <f>AJ1296*E1296</f>
        <v/>
      </c>
      <c r="AL1296" s="174">
        <f>ROUND(IFERROR(AM1296*E1296,0),2)</f>
        <v/>
      </c>
      <c r="AM1296" s="175">
        <f>ROUND(AJ1296*(1+IF(offer_incoterms="DDP",IF((TODAY()+offer_turnaround_time)&gt;=helpsheet!$L$17,rate_vatRU_from_26,rate_vatRu_till_25),0)),2)</f>
        <v/>
      </c>
      <c r="AN1296" s="192">
        <f>AL1296-AK1296</f>
        <v/>
      </c>
      <c r="AO1296" s="76">
        <f>SUM(AY1296,Y1296:Z1296,T1296)*IF(AND(offer_incoterms="DDP",offer_sale_type&lt;&gt;"экспорт"),IF((TODAY()+offer_turnaround_time)&gt;=helpsheet!$L$17,rate_vatRU_from_26,rate_vatRu_till_25),0)</f>
        <v/>
      </c>
      <c r="AP1296" s="193">
        <f>AN1296-AO1296</f>
        <v/>
      </c>
      <c r="AQ1296" s="118">
        <f>IF(offer_sale_type="транзит",SUM(AF1296:AI1296,BA1296,BB1296),0)</f>
        <v/>
      </c>
      <c r="AR1296" s="82">
        <f>HYPERLINK("https://www.alta.ru/tnved/code/")&amp;W1296&amp;"/"</f>
        <v/>
      </c>
      <c r="AS1296" s="157" t="n"/>
      <c r="AT1296" s="162" t="n"/>
      <c r="AU1296" s="76">
        <f>IF(ISBLANK(AT1296),0,AJ1296-AT1296)</f>
        <v/>
      </c>
      <c r="AV1296" s="157" t="n"/>
      <c r="AW1296" s="75">
        <f>_xlfn.IFNA(VLOOKUP(L1296,list_vat[],3,FALSE),0)</f>
        <v/>
      </c>
      <c r="AX1296" s="76">
        <f>IFERROR(ROUND(S1296*(1+AW1296)/E1296,2),0)</f>
        <v/>
      </c>
      <c r="AY1296" s="76">
        <f>E1296*AX1296</f>
        <v/>
      </c>
      <c r="AZ1296" s="192">
        <f>S1296*(1+M1296)</f>
        <v/>
      </c>
      <c r="BA1296" s="76">
        <f>cost_fin_total*$BD1296</f>
        <v/>
      </c>
      <c r="BB1296" s="193">
        <f>credit_sales_interest*BD1296</f>
        <v/>
      </c>
      <c r="BC1296" s="102">
        <f>IFERROR(IF($I$13&gt;0,$I1296/$I$13,$S1296/$S$13),0)</f>
        <v/>
      </c>
      <c r="BD1296" s="102">
        <f>IFERROR($S1296/$S$13,0)</f>
        <v/>
      </c>
      <c r="BE1296" s="413" t="inlineStr">
        <is>
          <t>$</t>
        </is>
      </c>
    </row>
    <row r="1297" ht="12" customFormat="1" customHeight="1" s="65">
      <c r="A1297" s="43" t="n">
        <v>1282</v>
      </c>
      <c r="B1297" s="166" t="n"/>
      <c r="C1297" s="166" t="n"/>
      <c r="D1297" s="166" t="n"/>
      <c r="E1297" s="162" t="n"/>
      <c r="F1297" s="166" t="n"/>
      <c r="G1297" s="162" t="n"/>
      <c r="H1297" s="162" t="n"/>
      <c r="I1297" s="189">
        <f>E1297*G1297</f>
        <v/>
      </c>
      <c r="J1297" s="195" t="n"/>
      <c r="K1297" s="162" t="n"/>
      <c r="L1297" s="168" t="n"/>
      <c r="M1297" s="75">
        <f>_xlfn.XLOOKUP(L1297,list_vat[Страна],list_vat[Ставка НДС %],0,0)</f>
        <v/>
      </c>
      <c r="N1297" s="162">
        <f>IFERROR(IF(L1297="Китай",K1297,K1297/(1+M1297)),0)</f>
        <v/>
      </c>
      <c r="O1297" s="169" t="n"/>
      <c r="P1297" s="76">
        <f>N1297*(1-O1297)</f>
        <v/>
      </c>
      <c r="Q1297" s="162" t="n"/>
      <c r="R1297" s="162">
        <f>IF(ISBLANK(Q1297),"введи курс",P1297/Q1297)</f>
        <v/>
      </c>
      <c r="S1297" s="196">
        <f>IF(AND(ISNUMBER(E1297),ISNUMBER(Q1297)),E1297*R1297,0)</f>
        <v/>
      </c>
      <c r="T1297" s="192">
        <f>$BC1297*V$11</f>
        <v/>
      </c>
      <c r="U1297" s="76">
        <f>$BC1297*W$11</f>
        <v/>
      </c>
      <c r="V1297" s="193">
        <f>+SUM(T1297:U1297)</f>
        <v/>
      </c>
      <c r="W1297" s="191" t="n"/>
      <c r="X1297" s="170" t="n"/>
      <c r="Y1297" s="76">
        <f>ROUND(IF(offer_incoterms="DDP",X1297*(S1297*(1+AW1297)+T1297),0),2)</f>
        <v/>
      </c>
      <c r="Z1297" s="188" t="n"/>
      <c r="AA1297" s="192">
        <f>IFERROR(AB1297/E1297,0)</f>
        <v/>
      </c>
      <c r="AB1297" s="76">
        <f>ROUND(SUM(S1297,V1297,Y1297:Z1297,BA1297:BB1297),2)</f>
        <v/>
      </c>
      <c r="AC1297" s="797" t="n"/>
      <c r="AD1297" s="192">
        <f t="array" ref="AD1297">IFERROR(ROUND((_xlfn.IFS(offer_sale_type="поставка",AB1297,offer_sale_type="транзит",S1297)*(1+AC1297))/E1297,2),0)</f>
        <v/>
      </c>
      <c r="AE1297" s="76">
        <f>AD1297*E1297</f>
        <v/>
      </c>
      <c r="AF1297" s="193">
        <f t="array" ref="AF1297">IFERROR(ROUND(_xlfn.IFS(offer_sale_type="поставка",AB1297,offer_sale_type="транзит",S1297)*AC1297,2),0)</f>
        <v/>
      </c>
      <c r="AG1297" s="192">
        <f>$BD1297*VLOOKUP($AG$3,$AF$4:$AG$7,2,FALSE)</f>
        <v/>
      </c>
      <c r="AH1297" s="76">
        <f>SUM(AE1297,AG1297,AI1297)*rate_forex_risk</f>
        <v/>
      </c>
      <c r="AI1297" s="193">
        <f>IF(OR(seller_region="TR",offer_sale_type="экспорт"),0,rate_fin_comm)*SUM(AZ1297,AZ1297*AW1297,T1297)</f>
        <v/>
      </c>
      <c r="AJ1297" s="118">
        <f>IFERROR(ROUND(SUM(AB1297,AF1297:AI1297)/E1297,2),0)</f>
        <v/>
      </c>
      <c r="AK1297" s="76">
        <f>AJ1297*E1297</f>
        <v/>
      </c>
      <c r="AL1297" s="174">
        <f>ROUND(IFERROR(AM1297*E1297,0),2)</f>
        <v/>
      </c>
      <c r="AM1297" s="175">
        <f>ROUND(AJ1297*(1+IF(offer_incoterms="DDP",IF((TODAY()+offer_turnaround_time)&gt;=helpsheet!$L$17,rate_vatRU_from_26,rate_vatRu_till_25),0)),2)</f>
        <v/>
      </c>
      <c r="AN1297" s="192">
        <f>AL1297-AK1297</f>
        <v/>
      </c>
      <c r="AO1297" s="76">
        <f>SUM(AY1297,Y1297:Z1297,T1297)*IF(AND(offer_incoterms="DDP",offer_sale_type&lt;&gt;"экспорт"),IF((TODAY()+offer_turnaround_time)&gt;=helpsheet!$L$17,rate_vatRU_from_26,rate_vatRu_till_25),0)</f>
        <v/>
      </c>
      <c r="AP1297" s="193">
        <f>AN1297-AO1297</f>
        <v/>
      </c>
      <c r="AQ1297" s="118">
        <f>IF(offer_sale_type="транзит",SUM(AF1297:AI1297,BA1297,BB1297),0)</f>
        <v/>
      </c>
      <c r="AR1297" s="82">
        <f>HYPERLINK("https://www.alta.ru/tnved/code/")&amp;W1297&amp;"/"</f>
        <v/>
      </c>
      <c r="AS1297" s="157" t="n"/>
      <c r="AT1297" s="162" t="n"/>
      <c r="AU1297" s="76">
        <f>IF(ISBLANK(AT1297),0,AJ1297-AT1297)</f>
        <v/>
      </c>
      <c r="AV1297" s="157" t="n"/>
      <c r="AW1297" s="75">
        <f>_xlfn.IFNA(VLOOKUP(L1297,list_vat[],3,FALSE),0)</f>
        <v/>
      </c>
      <c r="AX1297" s="76">
        <f>IFERROR(ROUND(S1297*(1+AW1297)/E1297,2),0)</f>
        <v/>
      </c>
      <c r="AY1297" s="76">
        <f>E1297*AX1297</f>
        <v/>
      </c>
      <c r="AZ1297" s="192">
        <f>S1297*(1+M1297)</f>
        <v/>
      </c>
      <c r="BA1297" s="76">
        <f>cost_fin_total*$BD1297</f>
        <v/>
      </c>
      <c r="BB1297" s="193">
        <f>credit_sales_interest*BD1297</f>
        <v/>
      </c>
      <c r="BC1297" s="102">
        <f>IFERROR(IF($I$13&gt;0,$I1297/$I$13,$S1297/$S$13),0)</f>
        <v/>
      </c>
      <c r="BD1297" s="102">
        <f>IFERROR($S1297/$S$13,0)</f>
        <v/>
      </c>
      <c r="BE1297" s="413" t="inlineStr">
        <is>
          <t>$</t>
        </is>
      </c>
    </row>
    <row r="1298" ht="12" customFormat="1" customHeight="1" s="65">
      <c r="A1298" s="43" t="n">
        <v>1283</v>
      </c>
      <c r="B1298" s="166" t="n"/>
      <c r="C1298" s="166" t="n"/>
      <c r="D1298" s="166" t="n"/>
      <c r="E1298" s="162" t="n"/>
      <c r="F1298" s="166" t="n"/>
      <c r="G1298" s="162" t="n"/>
      <c r="H1298" s="162" t="n"/>
      <c r="I1298" s="189">
        <f>E1298*G1298</f>
        <v/>
      </c>
      <c r="J1298" s="195" t="n"/>
      <c r="K1298" s="162" t="n"/>
      <c r="L1298" s="168" t="n"/>
      <c r="M1298" s="75">
        <f>_xlfn.XLOOKUP(L1298,list_vat[Страна],list_vat[Ставка НДС %],0,0)</f>
        <v/>
      </c>
      <c r="N1298" s="162">
        <f>IFERROR(IF(L1298="Китай",K1298,K1298/(1+M1298)),0)</f>
        <v/>
      </c>
      <c r="O1298" s="169" t="n"/>
      <c r="P1298" s="76">
        <f>N1298*(1-O1298)</f>
        <v/>
      </c>
      <c r="Q1298" s="162" t="n"/>
      <c r="R1298" s="162">
        <f>IF(ISBLANK(Q1298),"введи курс",P1298/Q1298)</f>
        <v/>
      </c>
      <c r="S1298" s="196">
        <f>IF(AND(ISNUMBER(E1298),ISNUMBER(Q1298)),E1298*R1298,0)</f>
        <v/>
      </c>
      <c r="T1298" s="192">
        <f>$BC1298*V$11</f>
        <v/>
      </c>
      <c r="U1298" s="76">
        <f>$BC1298*W$11</f>
        <v/>
      </c>
      <c r="V1298" s="193">
        <f>+SUM(T1298:U1298)</f>
        <v/>
      </c>
      <c r="W1298" s="191" t="n"/>
      <c r="X1298" s="170" t="n"/>
      <c r="Y1298" s="76">
        <f>ROUND(IF(offer_incoterms="DDP",X1298*(S1298*(1+AW1298)+T1298),0),2)</f>
        <v/>
      </c>
      <c r="Z1298" s="188" t="n"/>
      <c r="AA1298" s="192">
        <f>IFERROR(AB1298/E1298,0)</f>
        <v/>
      </c>
      <c r="AB1298" s="76">
        <f>ROUND(SUM(S1298,V1298,Y1298:Z1298,BA1298:BB1298),2)</f>
        <v/>
      </c>
      <c r="AC1298" s="797" t="n"/>
      <c r="AD1298" s="192">
        <f t="array" ref="AD1298">IFERROR(ROUND((_xlfn.IFS(offer_sale_type="поставка",AB1298,offer_sale_type="транзит",S1298)*(1+AC1298))/E1298,2),0)</f>
        <v/>
      </c>
      <c r="AE1298" s="76">
        <f>AD1298*E1298</f>
        <v/>
      </c>
      <c r="AF1298" s="193">
        <f t="array" ref="AF1298">IFERROR(ROUND(_xlfn.IFS(offer_sale_type="поставка",AB1298,offer_sale_type="транзит",S1298)*AC1298,2),0)</f>
        <v/>
      </c>
      <c r="AG1298" s="192">
        <f>$BD1298*VLOOKUP($AG$3,$AF$4:$AG$7,2,FALSE)</f>
        <v/>
      </c>
      <c r="AH1298" s="76">
        <f>SUM(AE1298,AG1298,AI1298)*rate_forex_risk</f>
        <v/>
      </c>
      <c r="AI1298" s="193">
        <f>IF(OR(seller_region="TR",offer_sale_type="экспорт"),0,rate_fin_comm)*SUM(AZ1298,AZ1298*AW1298,T1298)</f>
        <v/>
      </c>
      <c r="AJ1298" s="118">
        <f>IFERROR(ROUND(SUM(AB1298,AF1298:AI1298)/E1298,2),0)</f>
        <v/>
      </c>
      <c r="AK1298" s="76">
        <f>AJ1298*E1298</f>
        <v/>
      </c>
      <c r="AL1298" s="174">
        <f>ROUND(IFERROR(AM1298*E1298,0),2)</f>
        <v/>
      </c>
      <c r="AM1298" s="175">
        <f>ROUND(AJ1298*(1+IF(offer_incoterms="DDP",IF((TODAY()+offer_turnaround_time)&gt;=helpsheet!$L$17,rate_vatRU_from_26,rate_vatRu_till_25),0)),2)</f>
        <v/>
      </c>
      <c r="AN1298" s="192">
        <f>AL1298-AK1298</f>
        <v/>
      </c>
      <c r="AO1298" s="76">
        <f>SUM(AY1298,Y1298:Z1298,T1298)*IF(AND(offer_incoterms="DDP",offer_sale_type&lt;&gt;"экспорт"),IF((TODAY()+offer_turnaround_time)&gt;=helpsheet!$L$17,rate_vatRU_from_26,rate_vatRu_till_25),0)</f>
        <v/>
      </c>
      <c r="AP1298" s="193">
        <f>AN1298-AO1298</f>
        <v/>
      </c>
      <c r="AQ1298" s="118">
        <f>IF(offer_sale_type="транзит",SUM(AF1298:AI1298,BA1298,BB1298),0)</f>
        <v/>
      </c>
      <c r="AR1298" s="82">
        <f>HYPERLINK("https://www.alta.ru/tnved/code/")&amp;W1298&amp;"/"</f>
        <v/>
      </c>
      <c r="AS1298" s="157" t="n"/>
      <c r="AT1298" s="162" t="n"/>
      <c r="AU1298" s="76">
        <f>IF(ISBLANK(AT1298),0,AJ1298-AT1298)</f>
        <v/>
      </c>
      <c r="AV1298" s="157" t="n"/>
      <c r="AW1298" s="75">
        <f>_xlfn.IFNA(VLOOKUP(L1298,list_vat[],3,FALSE),0)</f>
        <v/>
      </c>
      <c r="AX1298" s="76">
        <f>IFERROR(ROUND(S1298*(1+AW1298)/E1298,2),0)</f>
        <v/>
      </c>
      <c r="AY1298" s="76">
        <f>E1298*AX1298</f>
        <v/>
      </c>
      <c r="AZ1298" s="192">
        <f>S1298*(1+M1298)</f>
        <v/>
      </c>
      <c r="BA1298" s="76">
        <f>cost_fin_total*$BD1298</f>
        <v/>
      </c>
      <c r="BB1298" s="193">
        <f>credit_sales_interest*BD1298</f>
        <v/>
      </c>
      <c r="BC1298" s="102">
        <f>IFERROR(IF($I$13&gt;0,$I1298/$I$13,$S1298/$S$13),0)</f>
        <v/>
      </c>
      <c r="BD1298" s="102">
        <f>IFERROR($S1298/$S$13,0)</f>
        <v/>
      </c>
      <c r="BE1298" s="413" t="inlineStr">
        <is>
          <t>$</t>
        </is>
      </c>
    </row>
    <row r="1299" ht="12" customFormat="1" customHeight="1" s="65">
      <c r="A1299" s="43" t="n">
        <v>1284</v>
      </c>
      <c r="B1299" s="166" t="n"/>
      <c r="C1299" s="166" t="n"/>
      <c r="D1299" s="166" t="n"/>
      <c r="E1299" s="162" t="n"/>
      <c r="F1299" s="166" t="n"/>
      <c r="G1299" s="162" t="n"/>
      <c r="H1299" s="162" t="n"/>
      <c r="I1299" s="189">
        <f>E1299*G1299</f>
        <v/>
      </c>
      <c r="J1299" s="195" t="n"/>
      <c r="K1299" s="162" t="n"/>
      <c r="L1299" s="168" t="n"/>
      <c r="M1299" s="75">
        <f>_xlfn.XLOOKUP(L1299,list_vat[Страна],list_vat[Ставка НДС %],0,0)</f>
        <v/>
      </c>
      <c r="N1299" s="162">
        <f>IFERROR(IF(L1299="Китай",K1299,K1299/(1+M1299)),0)</f>
        <v/>
      </c>
      <c r="O1299" s="169" t="n"/>
      <c r="P1299" s="76">
        <f>N1299*(1-O1299)</f>
        <v/>
      </c>
      <c r="Q1299" s="162" t="n"/>
      <c r="R1299" s="162">
        <f>IF(ISBLANK(Q1299),"введи курс",P1299/Q1299)</f>
        <v/>
      </c>
      <c r="S1299" s="196">
        <f>IF(AND(ISNUMBER(E1299),ISNUMBER(Q1299)),E1299*R1299,0)</f>
        <v/>
      </c>
      <c r="T1299" s="192">
        <f>$BC1299*V$11</f>
        <v/>
      </c>
      <c r="U1299" s="76">
        <f>$BC1299*W$11</f>
        <v/>
      </c>
      <c r="V1299" s="193">
        <f>+SUM(T1299:U1299)</f>
        <v/>
      </c>
      <c r="W1299" s="191" t="n"/>
      <c r="X1299" s="170" t="n"/>
      <c r="Y1299" s="76">
        <f>ROUND(IF(offer_incoterms="DDP",X1299*(S1299*(1+AW1299)+T1299),0),2)</f>
        <v/>
      </c>
      <c r="Z1299" s="188" t="n"/>
      <c r="AA1299" s="192">
        <f>IFERROR(AB1299/E1299,0)</f>
        <v/>
      </c>
      <c r="AB1299" s="76">
        <f>ROUND(SUM(S1299,V1299,Y1299:Z1299,BA1299:BB1299),2)</f>
        <v/>
      </c>
      <c r="AC1299" s="797" t="n"/>
      <c r="AD1299" s="192">
        <f t="array" ref="AD1299">IFERROR(ROUND((_xlfn.IFS(offer_sale_type="поставка",AB1299,offer_sale_type="транзит",S1299)*(1+AC1299))/E1299,2),0)</f>
        <v/>
      </c>
      <c r="AE1299" s="76">
        <f>AD1299*E1299</f>
        <v/>
      </c>
      <c r="AF1299" s="193">
        <f t="array" ref="AF1299">IFERROR(ROUND(_xlfn.IFS(offer_sale_type="поставка",AB1299,offer_sale_type="транзит",S1299)*AC1299,2),0)</f>
        <v/>
      </c>
      <c r="AG1299" s="192">
        <f>$BD1299*VLOOKUP($AG$3,$AF$4:$AG$7,2,FALSE)</f>
        <v/>
      </c>
      <c r="AH1299" s="76">
        <f>SUM(AE1299,AG1299,AI1299)*rate_forex_risk</f>
        <v/>
      </c>
      <c r="AI1299" s="193">
        <f>IF(OR(seller_region="TR",offer_sale_type="экспорт"),0,rate_fin_comm)*SUM(AZ1299,AZ1299*AW1299,T1299)</f>
        <v/>
      </c>
      <c r="AJ1299" s="118">
        <f>IFERROR(ROUND(SUM(AB1299,AF1299:AI1299)/E1299,2),0)</f>
        <v/>
      </c>
      <c r="AK1299" s="76">
        <f>AJ1299*E1299</f>
        <v/>
      </c>
      <c r="AL1299" s="174">
        <f>ROUND(IFERROR(AM1299*E1299,0),2)</f>
        <v/>
      </c>
      <c r="AM1299" s="175">
        <f>ROUND(AJ1299*(1+IF(offer_incoterms="DDP",IF((TODAY()+offer_turnaround_time)&gt;=helpsheet!$L$17,rate_vatRU_from_26,rate_vatRu_till_25),0)),2)</f>
        <v/>
      </c>
      <c r="AN1299" s="192">
        <f>AL1299-AK1299</f>
        <v/>
      </c>
      <c r="AO1299" s="76">
        <f>SUM(AY1299,Y1299:Z1299,T1299)*IF(AND(offer_incoterms="DDP",offer_sale_type&lt;&gt;"экспорт"),IF((TODAY()+offer_turnaround_time)&gt;=helpsheet!$L$17,rate_vatRU_from_26,rate_vatRu_till_25),0)</f>
        <v/>
      </c>
      <c r="AP1299" s="193">
        <f>AN1299-AO1299</f>
        <v/>
      </c>
      <c r="AQ1299" s="118">
        <f>IF(offer_sale_type="транзит",SUM(AF1299:AI1299,BA1299,BB1299),0)</f>
        <v/>
      </c>
      <c r="AR1299" s="82">
        <f>HYPERLINK("https://www.alta.ru/tnved/code/")&amp;W1299&amp;"/"</f>
        <v/>
      </c>
      <c r="AS1299" s="157" t="n"/>
      <c r="AT1299" s="162" t="n"/>
      <c r="AU1299" s="76">
        <f>IF(ISBLANK(AT1299),0,AJ1299-AT1299)</f>
        <v/>
      </c>
      <c r="AV1299" s="157" t="n"/>
      <c r="AW1299" s="75">
        <f>_xlfn.IFNA(VLOOKUP(L1299,list_vat[],3,FALSE),0)</f>
        <v/>
      </c>
      <c r="AX1299" s="76">
        <f>IFERROR(ROUND(S1299*(1+AW1299)/E1299,2),0)</f>
        <v/>
      </c>
      <c r="AY1299" s="76">
        <f>E1299*AX1299</f>
        <v/>
      </c>
      <c r="AZ1299" s="192">
        <f>S1299*(1+M1299)</f>
        <v/>
      </c>
      <c r="BA1299" s="76">
        <f>cost_fin_total*$BD1299</f>
        <v/>
      </c>
      <c r="BB1299" s="193">
        <f>credit_sales_interest*BD1299</f>
        <v/>
      </c>
      <c r="BC1299" s="102">
        <f>IFERROR(IF($I$13&gt;0,$I1299/$I$13,$S1299/$S$13),0)</f>
        <v/>
      </c>
      <c r="BD1299" s="102">
        <f>IFERROR($S1299/$S$13,0)</f>
        <v/>
      </c>
      <c r="BE1299" s="413" t="inlineStr">
        <is>
          <t>$</t>
        </is>
      </c>
    </row>
    <row r="1300" ht="12" customFormat="1" customHeight="1" s="65">
      <c r="A1300" s="43" t="n">
        <v>1285</v>
      </c>
      <c r="B1300" s="166" t="n"/>
      <c r="C1300" s="166" t="n"/>
      <c r="D1300" s="166" t="n"/>
      <c r="E1300" s="162" t="n"/>
      <c r="F1300" s="166" t="n"/>
      <c r="G1300" s="162" t="n"/>
      <c r="H1300" s="162" t="n"/>
      <c r="I1300" s="189">
        <f>E1300*G1300</f>
        <v/>
      </c>
      <c r="J1300" s="195" t="n"/>
      <c r="K1300" s="162" t="n"/>
      <c r="L1300" s="168" t="n"/>
      <c r="M1300" s="75">
        <f>_xlfn.XLOOKUP(L1300,list_vat[Страна],list_vat[Ставка НДС %],0,0)</f>
        <v/>
      </c>
      <c r="N1300" s="162">
        <f>IFERROR(IF(L1300="Китай",K1300,K1300/(1+M1300)),0)</f>
        <v/>
      </c>
      <c r="O1300" s="169" t="n"/>
      <c r="P1300" s="76">
        <f>N1300*(1-O1300)</f>
        <v/>
      </c>
      <c r="Q1300" s="162" t="n"/>
      <c r="R1300" s="162">
        <f>IF(ISBLANK(Q1300),"введи курс",P1300/Q1300)</f>
        <v/>
      </c>
      <c r="S1300" s="196">
        <f>IF(AND(ISNUMBER(E1300),ISNUMBER(Q1300)),E1300*R1300,0)</f>
        <v/>
      </c>
      <c r="T1300" s="192">
        <f>$BC1300*V$11</f>
        <v/>
      </c>
      <c r="U1300" s="76">
        <f>$BC1300*W$11</f>
        <v/>
      </c>
      <c r="V1300" s="193">
        <f>+SUM(T1300:U1300)</f>
        <v/>
      </c>
      <c r="W1300" s="191" t="n"/>
      <c r="X1300" s="170" t="n"/>
      <c r="Y1300" s="76">
        <f>ROUND(IF(offer_incoterms="DDP",X1300*(S1300*(1+AW1300)+T1300),0),2)</f>
        <v/>
      </c>
      <c r="Z1300" s="188" t="n"/>
      <c r="AA1300" s="192">
        <f>IFERROR(AB1300/E1300,0)</f>
        <v/>
      </c>
      <c r="AB1300" s="76">
        <f>ROUND(SUM(S1300,V1300,Y1300:Z1300,BA1300:BB1300),2)</f>
        <v/>
      </c>
      <c r="AC1300" s="797" t="n"/>
      <c r="AD1300" s="192">
        <f t="array" ref="AD1300">IFERROR(ROUND((_xlfn.IFS(offer_sale_type="поставка",AB1300,offer_sale_type="транзит",S1300)*(1+AC1300))/E1300,2),0)</f>
        <v/>
      </c>
      <c r="AE1300" s="76">
        <f>AD1300*E1300</f>
        <v/>
      </c>
      <c r="AF1300" s="193">
        <f t="array" ref="AF1300">IFERROR(ROUND(_xlfn.IFS(offer_sale_type="поставка",AB1300,offer_sale_type="транзит",S1300)*AC1300,2),0)</f>
        <v/>
      </c>
      <c r="AG1300" s="192">
        <f>$BD1300*VLOOKUP($AG$3,$AF$4:$AG$7,2,FALSE)</f>
        <v/>
      </c>
      <c r="AH1300" s="76">
        <f>SUM(AE1300,AG1300,AI1300)*rate_forex_risk</f>
        <v/>
      </c>
      <c r="AI1300" s="193">
        <f>IF(OR(seller_region="TR",offer_sale_type="экспорт"),0,rate_fin_comm)*SUM(AZ1300,AZ1300*AW1300,T1300)</f>
        <v/>
      </c>
      <c r="AJ1300" s="118">
        <f>IFERROR(ROUND(SUM(AB1300,AF1300:AI1300)/E1300,2),0)</f>
        <v/>
      </c>
      <c r="AK1300" s="76">
        <f>AJ1300*E1300</f>
        <v/>
      </c>
      <c r="AL1300" s="174">
        <f>ROUND(IFERROR(AM1300*E1300,0),2)</f>
        <v/>
      </c>
      <c r="AM1300" s="175">
        <f>ROUND(AJ1300*(1+IF(offer_incoterms="DDP",IF((TODAY()+offer_turnaround_time)&gt;=helpsheet!$L$17,rate_vatRU_from_26,rate_vatRu_till_25),0)),2)</f>
        <v/>
      </c>
      <c r="AN1300" s="192">
        <f>AL1300-AK1300</f>
        <v/>
      </c>
      <c r="AO1300" s="76">
        <f>SUM(AY1300,Y1300:Z1300,T1300)*IF(AND(offer_incoterms="DDP",offer_sale_type&lt;&gt;"экспорт"),IF((TODAY()+offer_turnaround_time)&gt;=helpsheet!$L$17,rate_vatRU_from_26,rate_vatRu_till_25),0)</f>
        <v/>
      </c>
      <c r="AP1300" s="193">
        <f>AN1300-AO1300</f>
        <v/>
      </c>
      <c r="AQ1300" s="118">
        <f>IF(offer_sale_type="транзит",SUM(AF1300:AI1300,BA1300,BB1300),0)</f>
        <v/>
      </c>
      <c r="AR1300" s="82">
        <f>HYPERLINK("https://www.alta.ru/tnved/code/")&amp;W1300&amp;"/"</f>
        <v/>
      </c>
      <c r="AS1300" s="157" t="n"/>
      <c r="AT1300" s="162" t="n"/>
      <c r="AU1300" s="76">
        <f>IF(ISBLANK(AT1300),0,AJ1300-AT1300)</f>
        <v/>
      </c>
      <c r="AV1300" s="157" t="n"/>
      <c r="AW1300" s="75">
        <f>_xlfn.IFNA(VLOOKUP(L1300,list_vat[],3,FALSE),0)</f>
        <v/>
      </c>
      <c r="AX1300" s="76">
        <f>IFERROR(ROUND(S1300*(1+AW1300)/E1300,2),0)</f>
        <v/>
      </c>
      <c r="AY1300" s="76">
        <f>E1300*AX1300</f>
        <v/>
      </c>
      <c r="AZ1300" s="192">
        <f>S1300*(1+M1300)</f>
        <v/>
      </c>
      <c r="BA1300" s="76">
        <f>cost_fin_total*$BD1300</f>
        <v/>
      </c>
      <c r="BB1300" s="193">
        <f>credit_sales_interest*BD1300</f>
        <v/>
      </c>
      <c r="BC1300" s="102">
        <f>IFERROR(IF($I$13&gt;0,$I1300/$I$13,$S1300/$S$13),0)</f>
        <v/>
      </c>
      <c r="BD1300" s="102">
        <f>IFERROR($S1300/$S$13,0)</f>
        <v/>
      </c>
      <c r="BE1300" s="413" t="inlineStr">
        <is>
          <t>$</t>
        </is>
      </c>
    </row>
    <row r="1301" ht="12" customFormat="1" customHeight="1" s="65">
      <c r="A1301" s="43" t="n">
        <v>1286</v>
      </c>
      <c r="B1301" s="166" t="n"/>
      <c r="C1301" s="166" t="n"/>
      <c r="D1301" s="166" t="n"/>
      <c r="E1301" s="162" t="n"/>
      <c r="F1301" s="166" t="n"/>
      <c r="G1301" s="162" t="n"/>
      <c r="H1301" s="162" t="n"/>
      <c r="I1301" s="189">
        <f>E1301*G1301</f>
        <v/>
      </c>
      <c r="J1301" s="195" t="n"/>
      <c r="K1301" s="162" t="n"/>
      <c r="L1301" s="168" t="n"/>
      <c r="M1301" s="75">
        <f>_xlfn.XLOOKUP(L1301,list_vat[Страна],list_vat[Ставка НДС %],0,0)</f>
        <v/>
      </c>
      <c r="N1301" s="162">
        <f>IFERROR(IF(L1301="Китай",K1301,K1301/(1+M1301)),0)</f>
        <v/>
      </c>
      <c r="O1301" s="169" t="n"/>
      <c r="P1301" s="76">
        <f>N1301*(1-O1301)</f>
        <v/>
      </c>
      <c r="Q1301" s="162" t="n"/>
      <c r="R1301" s="162">
        <f>IF(ISBLANK(Q1301),"введи курс",P1301/Q1301)</f>
        <v/>
      </c>
      <c r="S1301" s="196">
        <f>IF(AND(ISNUMBER(E1301),ISNUMBER(Q1301)),E1301*R1301,0)</f>
        <v/>
      </c>
      <c r="T1301" s="192">
        <f>$BC1301*V$11</f>
        <v/>
      </c>
      <c r="U1301" s="76">
        <f>$BC1301*W$11</f>
        <v/>
      </c>
      <c r="V1301" s="193">
        <f>+SUM(T1301:U1301)</f>
        <v/>
      </c>
      <c r="W1301" s="191" t="n"/>
      <c r="X1301" s="170" t="n"/>
      <c r="Y1301" s="76">
        <f>ROUND(IF(offer_incoterms="DDP",X1301*(S1301*(1+AW1301)+T1301),0),2)</f>
        <v/>
      </c>
      <c r="Z1301" s="188" t="n"/>
      <c r="AA1301" s="192">
        <f>IFERROR(AB1301/E1301,0)</f>
        <v/>
      </c>
      <c r="AB1301" s="76">
        <f>ROUND(SUM(S1301,V1301,Y1301:Z1301,BA1301:BB1301),2)</f>
        <v/>
      </c>
      <c r="AC1301" s="797" t="n"/>
      <c r="AD1301" s="192">
        <f t="array" ref="AD1301">IFERROR(ROUND((_xlfn.IFS(offer_sale_type="поставка",AB1301,offer_sale_type="транзит",S1301)*(1+AC1301))/E1301,2),0)</f>
        <v/>
      </c>
      <c r="AE1301" s="76">
        <f>AD1301*E1301</f>
        <v/>
      </c>
      <c r="AF1301" s="193">
        <f t="array" ref="AF1301">IFERROR(ROUND(_xlfn.IFS(offer_sale_type="поставка",AB1301,offer_sale_type="транзит",S1301)*AC1301,2),0)</f>
        <v/>
      </c>
      <c r="AG1301" s="192">
        <f>$BD1301*VLOOKUP($AG$3,$AF$4:$AG$7,2,FALSE)</f>
        <v/>
      </c>
      <c r="AH1301" s="76">
        <f>SUM(AE1301,AG1301,AI1301)*rate_forex_risk</f>
        <v/>
      </c>
      <c r="AI1301" s="193">
        <f>IF(OR(seller_region="TR",offer_sale_type="экспорт"),0,rate_fin_comm)*SUM(AZ1301,AZ1301*AW1301,T1301)</f>
        <v/>
      </c>
      <c r="AJ1301" s="118">
        <f>IFERROR(ROUND(SUM(AB1301,AF1301:AI1301)/E1301,2),0)</f>
        <v/>
      </c>
      <c r="AK1301" s="76">
        <f>AJ1301*E1301</f>
        <v/>
      </c>
      <c r="AL1301" s="174">
        <f>ROUND(IFERROR(AM1301*E1301,0),2)</f>
        <v/>
      </c>
      <c r="AM1301" s="175">
        <f>ROUND(AJ1301*(1+IF(offer_incoterms="DDP",IF((TODAY()+offer_turnaround_time)&gt;=helpsheet!$L$17,rate_vatRU_from_26,rate_vatRu_till_25),0)),2)</f>
        <v/>
      </c>
      <c r="AN1301" s="192">
        <f>AL1301-AK1301</f>
        <v/>
      </c>
      <c r="AO1301" s="76">
        <f>SUM(AY1301,Y1301:Z1301,T1301)*IF(AND(offer_incoterms="DDP",offer_sale_type&lt;&gt;"экспорт"),IF((TODAY()+offer_turnaround_time)&gt;=helpsheet!$L$17,rate_vatRU_from_26,rate_vatRu_till_25),0)</f>
        <v/>
      </c>
      <c r="AP1301" s="193">
        <f>AN1301-AO1301</f>
        <v/>
      </c>
      <c r="AQ1301" s="118">
        <f>IF(offer_sale_type="транзит",SUM(AF1301:AI1301,BA1301,BB1301),0)</f>
        <v/>
      </c>
      <c r="AR1301" s="82">
        <f>HYPERLINK("https://www.alta.ru/tnved/code/")&amp;W1301&amp;"/"</f>
        <v/>
      </c>
      <c r="AS1301" s="157" t="n"/>
      <c r="AT1301" s="162" t="n"/>
      <c r="AU1301" s="76">
        <f>IF(ISBLANK(AT1301),0,AJ1301-AT1301)</f>
        <v/>
      </c>
      <c r="AV1301" s="157" t="n"/>
      <c r="AW1301" s="75">
        <f>_xlfn.IFNA(VLOOKUP(L1301,list_vat[],3,FALSE),0)</f>
        <v/>
      </c>
      <c r="AX1301" s="76">
        <f>IFERROR(ROUND(S1301*(1+AW1301)/E1301,2),0)</f>
        <v/>
      </c>
      <c r="AY1301" s="76">
        <f>E1301*AX1301</f>
        <v/>
      </c>
      <c r="AZ1301" s="192">
        <f>S1301*(1+M1301)</f>
        <v/>
      </c>
      <c r="BA1301" s="76">
        <f>cost_fin_total*$BD1301</f>
        <v/>
      </c>
      <c r="BB1301" s="193">
        <f>credit_sales_interest*BD1301</f>
        <v/>
      </c>
      <c r="BC1301" s="102">
        <f>IFERROR(IF($I$13&gt;0,$I1301/$I$13,$S1301/$S$13),0)</f>
        <v/>
      </c>
      <c r="BD1301" s="102">
        <f>IFERROR($S1301/$S$13,0)</f>
        <v/>
      </c>
      <c r="BE1301" s="413" t="inlineStr">
        <is>
          <t>$</t>
        </is>
      </c>
    </row>
    <row r="1302" ht="12" customFormat="1" customHeight="1" s="65">
      <c r="A1302" s="43" t="n">
        <v>1287</v>
      </c>
      <c r="B1302" s="166" t="n"/>
      <c r="C1302" s="166" t="n"/>
      <c r="D1302" s="166" t="n"/>
      <c r="E1302" s="162" t="n"/>
      <c r="F1302" s="166" t="n"/>
      <c r="G1302" s="162" t="n"/>
      <c r="H1302" s="162" t="n"/>
      <c r="I1302" s="189">
        <f>E1302*G1302</f>
        <v/>
      </c>
      <c r="J1302" s="195" t="n"/>
      <c r="K1302" s="162" t="n"/>
      <c r="L1302" s="168" t="n"/>
      <c r="M1302" s="75">
        <f>_xlfn.XLOOKUP(L1302,list_vat[Страна],list_vat[Ставка НДС %],0,0)</f>
        <v/>
      </c>
      <c r="N1302" s="162">
        <f>IFERROR(IF(L1302="Китай",K1302,K1302/(1+M1302)),0)</f>
        <v/>
      </c>
      <c r="O1302" s="169" t="n"/>
      <c r="P1302" s="76">
        <f>N1302*(1-O1302)</f>
        <v/>
      </c>
      <c r="Q1302" s="162" t="n"/>
      <c r="R1302" s="162">
        <f>IF(ISBLANK(Q1302),"введи курс",P1302/Q1302)</f>
        <v/>
      </c>
      <c r="S1302" s="196">
        <f>IF(AND(ISNUMBER(E1302),ISNUMBER(Q1302)),E1302*R1302,0)</f>
        <v/>
      </c>
      <c r="T1302" s="192">
        <f>$BC1302*V$11</f>
        <v/>
      </c>
      <c r="U1302" s="76">
        <f>$BC1302*W$11</f>
        <v/>
      </c>
      <c r="V1302" s="193">
        <f>+SUM(T1302:U1302)</f>
        <v/>
      </c>
      <c r="W1302" s="191" t="n"/>
      <c r="X1302" s="170" t="n"/>
      <c r="Y1302" s="76">
        <f>ROUND(IF(offer_incoterms="DDP",X1302*(S1302*(1+AW1302)+T1302),0),2)</f>
        <v/>
      </c>
      <c r="Z1302" s="188" t="n"/>
      <c r="AA1302" s="192">
        <f>IFERROR(AB1302/E1302,0)</f>
        <v/>
      </c>
      <c r="AB1302" s="76">
        <f>ROUND(SUM(S1302,V1302,Y1302:Z1302,BA1302:BB1302),2)</f>
        <v/>
      </c>
      <c r="AC1302" s="797" t="n"/>
      <c r="AD1302" s="192">
        <f t="array" ref="AD1302">IFERROR(ROUND((_xlfn.IFS(offer_sale_type="поставка",AB1302,offer_sale_type="транзит",S1302)*(1+AC1302))/E1302,2),0)</f>
        <v/>
      </c>
      <c r="AE1302" s="76">
        <f>AD1302*E1302</f>
        <v/>
      </c>
      <c r="AF1302" s="193">
        <f t="array" ref="AF1302">IFERROR(ROUND(_xlfn.IFS(offer_sale_type="поставка",AB1302,offer_sale_type="транзит",S1302)*AC1302,2),0)</f>
        <v/>
      </c>
      <c r="AG1302" s="192">
        <f>$BD1302*VLOOKUP($AG$3,$AF$4:$AG$7,2,FALSE)</f>
        <v/>
      </c>
      <c r="AH1302" s="76">
        <f>SUM(AE1302,AG1302,AI1302)*rate_forex_risk</f>
        <v/>
      </c>
      <c r="AI1302" s="193">
        <f>IF(OR(seller_region="TR",offer_sale_type="экспорт"),0,rate_fin_comm)*SUM(AZ1302,AZ1302*AW1302,T1302)</f>
        <v/>
      </c>
      <c r="AJ1302" s="118">
        <f>IFERROR(ROUND(SUM(AB1302,AF1302:AI1302)/E1302,2),0)</f>
        <v/>
      </c>
      <c r="AK1302" s="76">
        <f>AJ1302*E1302</f>
        <v/>
      </c>
      <c r="AL1302" s="174">
        <f>ROUND(IFERROR(AM1302*E1302,0),2)</f>
        <v/>
      </c>
      <c r="AM1302" s="175">
        <f>ROUND(AJ1302*(1+IF(offer_incoterms="DDP",IF((TODAY()+offer_turnaround_time)&gt;=helpsheet!$L$17,rate_vatRU_from_26,rate_vatRu_till_25),0)),2)</f>
        <v/>
      </c>
      <c r="AN1302" s="192">
        <f>AL1302-AK1302</f>
        <v/>
      </c>
      <c r="AO1302" s="76">
        <f>SUM(AY1302,Y1302:Z1302,T1302)*IF(AND(offer_incoterms="DDP",offer_sale_type&lt;&gt;"экспорт"),IF((TODAY()+offer_turnaround_time)&gt;=helpsheet!$L$17,rate_vatRU_from_26,rate_vatRu_till_25),0)</f>
        <v/>
      </c>
      <c r="AP1302" s="193">
        <f>AN1302-AO1302</f>
        <v/>
      </c>
      <c r="AQ1302" s="118">
        <f>IF(offer_sale_type="транзит",SUM(AF1302:AI1302,BA1302,BB1302),0)</f>
        <v/>
      </c>
      <c r="AR1302" s="82">
        <f>HYPERLINK("https://www.alta.ru/tnved/code/")&amp;W1302&amp;"/"</f>
        <v/>
      </c>
      <c r="AS1302" s="157" t="n"/>
      <c r="AT1302" s="162" t="n"/>
      <c r="AU1302" s="76">
        <f>IF(ISBLANK(AT1302),0,AJ1302-AT1302)</f>
        <v/>
      </c>
      <c r="AV1302" s="157" t="n"/>
      <c r="AW1302" s="75">
        <f>_xlfn.IFNA(VLOOKUP(L1302,list_vat[],3,FALSE),0)</f>
        <v/>
      </c>
      <c r="AX1302" s="76">
        <f>IFERROR(ROUND(S1302*(1+AW1302)/E1302,2),0)</f>
        <v/>
      </c>
      <c r="AY1302" s="76">
        <f>E1302*AX1302</f>
        <v/>
      </c>
      <c r="AZ1302" s="192">
        <f>S1302*(1+M1302)</f>
        <v/>
      </c>
      <c r="BA1302" s="76">
        <f>cost_fin_total*$BD1302</f>
        <v/>
      </c>
      <c r="BB1302" s="193">
        <f>credit_sales_interest*BD1302</f>
        <v/>
      </c>
      <c r="BC1302" s="102">
        <f>IFERROR(IF($I$13&gt;0,$I1302/$I$13,$S1302/$S$13),0)</f>
        <v/>
      </c>
      <c r="BD1302" s="102">
        <f>IFERROR($S1302/$S$13,0)</f>
        <v/>
      </c>
      <c r="BE1302" s="413" t="inlineStr">
        <is>
          <t>$</t>
        </is>
      </c>
    </row>
    <row r="1303" ht="12" customFormat="1" customHeight="1" s="65">
      <c r="A1303" s="43" t="n">
        <v>1288</v>
      </c>
      <c r="B1303" s="166" t="n"/>
      <c r="C1303" s="166" t="n"/>
      <c r="D1303" s="166" t="n"/>
      <c r="E1303" s="162" t="n"/>
      <c r="F1303" s="166" t="n"/>
      <c r="G1303" s="162" t="n"/>
      <c r="H1303" s="162" t="n"/>
      <c r="I1303" s="189">
        <f>E1303*G1303</f>
        <v/>
      </c>
      <c r="J1303" s="195" t="n"/>
      <c r="K1303" s="162" t="n"/>
      <c r="L1303" s="168" t="n"/>
      <c r="M1303" s="75">
        <f>_xlfn.XLOOKUP(L1303,list_vat[Страна],list_vat[Ставка НДС %],0,0)</f>
        <v/>
      </c>
      <c r="N1303" s="162">
        <f>IFERROR(IF(L1303="Китай",K1303,K1303/(1+M1303)),0)</f>
        <v/>
      </c>
      <c r="O1303" s="169" t="n"/>
      <c r="P1303" s="76">
        <f>N1303*(1-O1303)</f>
        <v/>
      </c>
      <c r="Q1303" s="162" t="n"/>
      <c r="R1303" s="162">
        <f>IF(ISBLANK(Q1303),"введи курс",P1303/Q1303)</f>
        <v/>
      </c>
      <c r="S1303" s="196">
        <f>IF(AND(ISNUMBER(E1303),ISNUMBER(Q1303)),E1303*R1303,0)</f>
        <v/>
      </c>
      <c r="T1303" s="192">
        <f>$BC1303*V$11</f>
        <v/>
      </c>
      <c r="U1303" s="76">
        <f>$BC1303*W$11</f>
        <v/>
      </c>
      <c r="V1303" s="193">
        <f>+SUM(T1303:U1303)</f>
        <v/>
      </c>
      <c r="W1303" s="191" t="n"/>
      <c r="X1303" s="170" t="n"/>
      <c r="Y1303" s="76">
        <f>ROUND(IF(offer_incoterms="DDP",X1303*(S1303*(1+AW1303)+T1303),0),2)</f>
        <v/>
      </c>
      <c r="Z1303" s="188" t="n"/>
      <c r="AA1303" s="192">
        <f>IFERROR(AB1303/E1303,0)</f>
        <v/>
      </c>
      <c r="AB1303" s="76">
        <f>ROUND(SUM(S1303,V1303,Y1303:Z1303,BA1303:BB1303),2)</f>
        <v/>
      </c>
      <c r="AC1303" s="797" t="n"/>
      <c r="AD1303" s="192">
        <f t="array" ref="AD1303">IFERROR(ROUND((_xlfn.IFS(offer_sale_type="поставка",AB1303,offer_sale_type="транзит",S1303)*(1+AC1303))/E1303,2),0)</f>
        <v/>
      </c>
      <c r="AE1303" s="76">
        <f>AD1303*E1303</f>
        <v/>
      </c>
      <c r="AF1303" s="193">
        <f t="array" ref="AF1303">IFERROR(ROUND(_xlfn.IFS(offer_sale_type="поставка",AB1303,offer_sale_type="транзит",S1303)*AC1303,2),0)</f>
        <v/>
      </c>
      <c r="AG1303" s="192">
        <f>$BD1303*VLOOKUP($AG$3,$AF$4:$AG$7,2,FALSE)</f>
        <v/>
      </c>
      <c r="AH1303" s="76">
        <f>SUM(AE1303,AG1303,AI1303)*rate_forex_risk</f>
        <v/>
      </c>
      <c r="AI1303" s="193">
        <f>IF(OR(seller_region="TR",offer_sale_type="экспорт"),0,rate_fin_comm)*SUM(AZ1303,AZ1303*AW1303,T1303)</f>
        <v/>
      </c>
      <c r="AJ1303" s="118">
        <f>IFERROR(ROUND(SUM(AB1303,AF1303:AI1303)/E1303,2),0)</f>
        <v/>
      </c>
      <c r="AK1303" s="76">
        <f>AJ1303*E1303</f>
        <v/>
      </c>
      <c r="AL1303" s="174">
        <f>ROUND(IFERROR(AM1303*E1303,0),2)</f>
        <v/>
      </c>
      <c r="AM1303" s="175">
        <f>ROUND(AJ1303*(1+IF(offer_incoterms="DDP",IF((TODAY()+offer_turnaround_time)&gt;=helpsheet!$L$17,rate_vatRU_from_26,rate_vatRu_till_25),0)),2)</f>
        <v/>
      </c>
      <c r="AN1303" s="192">
        <f>AL1303-AK1303</f>
        <v/>
      </c>
      <c r="AO1303" s="76">
        <f>SUM(AY1303,Y1303:Z1303,T1303)*IF(AND(offer_incoterms="DDP",offer_sale_type&lt;&gt;"экспорт"),IF((TODAY()+offer_turnaround_time)&gt;=helpsheet!$L$17,rate_vatRU_from_26,rate_vatRu_till_25),0)</f>
        <v/>
      </c>
      <c r="AP1303" s="193">
        <f>AN1303-AO1303</f>
        <v/>
      </c>
      <c r="AQ1303" s="118">
        <f>IF(offer_sale_type="транзит",SUM(AF1303:AI1303,BA1303,BB1303),0)</f>
        <v/>
      </c>
      <c r="AR1303" s="82">
        <f>HYPERLINK("https://www.alta.ru/tnved/code/")&amp;W1303&amp;"/"</f>
        <v/>
      </c>
      <c r="AS1303" s="157" t="n"/>
      <c r="AT1303" s="162" t="n"/>
      <c r="AU1303" s="76">
        <f>IF(ISBLANK(AT1303),0,AJ1303-AT1303)</f>
        <v/>
      </c>
      <c r="AV1303" s="157" t="n"/>
      <c r="AW1303" s="75">
        <f>_xlfn.IFNA(VLOOKUP(L1303,list_vat[],3,FALSE),0)</f>
        <v/>
      </c>
      <c r="AX1303" s="76">
        <f>IFERROR(ROUND(S1303*(1+AW1303)/E1303,2),0)</f>
        <v/>
      </c>
      <c r="AY1303" s="76">
        <f>E1303*AX1303</f>
        <v/>
      </c>
      <c r="AZ1303" s="192">
        <f>S1303*(1+M1303)</f>
        <v/>
      </c>
      <c r="BA1303" s="76">
        <f>cost_fin_total*$BD1303</f>
        <v/>
      </c>
      <c r="BB1303" s="193">
        <f>credit_sales_interest*BD1303</f>
        <v/>
      </c>
      <c r="BC1303" s="102">
        <f>IFERROR(IF($I$13&gt;0,$I1303/$I$13,$S1303/$S$13),0)</f>
        <v/>
      </c>
      <c r="BD1303" s="102">
        <f>IFERROR($S1303/$S$13,0)</f>
        <v/>
      </c>
      <c r="BE1303" s="413" t="inlineStr">
        <is>
          <t>$</t>
        </is>
      </c>
    </row>
    <row r="1304" ht="12" customFormat="1" customHeight="1" s="65">
      <c r="A1304" s="43" t="n">
        <v>1289</v>
      </c>
      <c r="B1304" s="166" t="n"/>
      <c r="C1304" s="166" t="n"/>
      <c r="D1304" s="166" t="n"/>
      <c r="E1304" s="162" t="n"/>
      <c r="F1304" s="166" t="n"/>
      <c r="G1304" s="162" t="n"/>
      <c r="H1304" s="162" t="n"/>
      <c r="I1304" s="189">
        <f>E1304*G1304</f>
        <v/>
      </c>
      <c r="J1304" s="195" t="n"/>
      <c r="K1304" s="162" t="n"/>
      <c r="L1304" s="168" t="n"/>
      <c r="M1304" s="75">
        <f>_xlfn.XLOOKUP(L1304,list_vat[Страна],list_vat[Ставка НДС %],0,0)</f>
        <v/>
      </c>
      <c r="N1304" s="162">
        <f>IFERROR(IF(L1304="Китай",K1304,K1304/(1+M1304)),0)</f>
        <v/>
      </c>
      <c r="O1304" s="169" t="n"/>
      <c r="P1304" s="76">
        <f>N1304*(1-O1304)</f>
        <v/>
      </c>
      <c r="Q1304" s="162" t="n"/>
      <c r="R1304" s="162">
        <f>IF(ISBLANK(Q1304),"введи курс",P1304/Q1304)</f>
        <v/>
      </c>
      <c r="S1304" s="196">
        <f>IF(AND(ISNUMBER(E1304),ISNUMBER(Q1304)),E1304*R1304,0)</f>
        <v/>
      </c>
      <c r="T1304" s="192">
        <f>$BC1304*V$11</f>
        <v/>
      </c>
      <c r="U1304" s="76">
        <f>$BC1304*W$11</f>
        <v/>
      </c>
      <c r="V1304" s="193">
        <f>+SUM(T1304:U1304)</f>
        <v/>
      </c>
      <c r="W1304" s="191" t="n"/>
      <c r="X1304" s="170" t="n"/>
      <c r="Y1304" s="76">
        <f>ROUND(IF(offer_incoterms="DDP",X1304*(S1304*(1+AW1304)+T1304),0),2)</f>
        <v/>
      </c>
      <c r="Z1304" s="188" t="n"/>
      <c r="AA1304" s="192">
        <f>IFERROR(AB1304/E1304,0)</f>
        <v/>
      </c>
      <c r="AB1304" s="76">
        <f>ROUND(SUM(S1304,V1304,Y1304:Z1304,BA1304:BB1304),2)</f>
        <v/>
      </c>
      <c r="AC1304" s="797" t="n"/>
      <c r="AD1304" s="192">
        <f t="array" ref="AD1304">IFERROR(ROUND((_xlfn.IFS(offer_sale_type="поставка",AB1304,offer_sale_type="транзит",S1304)*(1+AC1304))/E1304,2),0)</f>
        <v/>
      </c>
      <c r="AE1304" s="76">
        <f>AD1304*E1304</f>
        <v/>
      </c>
      <c r="AF1304" s="193">
        <f t="array" ref="AF1304">IFERROR(ROUND(_xlfn.IFS(offer_sale_type="поставка",AB1304,offer_sale_type="транзит",S1304)*AC1304,2),0)</f>
        <v/>
      </c>
      <c r="AG1304" s="192">
        <f>$BD1304*VLOOKUP($AG$3,$AF$4:$AG$7,2,FALSE)</f>
        <v/>
      </c>
      <c r="AH1304" s="76">
        <f>SUM(AE1304,AG1304,AI1304)*rate_forex_risk</f>
        <v/>
      </c>
      <c r="AI1304" s="193">
        <f>IF(OR(seller_region="TR",offer_sale_type="экспорт"),0,rate_fin_comm)*SUM(AZ1304,AZ1304*AW1304,T1304)</f>
        <v/>
      </c>
      <c r="AJ1304" s="118">
        <f>IFERROR(ROUND(SUM(AB1304,AF1304:AI1304)/E1304,2),0)</f>
        <v/>
      </c>
      <c r="AK1304" s="76">
        <f>AJ1304*E1304</f>
        <v/>
      </c>
      <c r="AL1304" s="174">
        <f>ROUND(IFERROR(AM1304*E1304,0),2)</f>
        <v/>
      </c>
      <c r="AM1304" s="175">
        <f>ROUND(AJ1304*(1+IF(offer_incoterms="DDP",IF((TODAY()+offer_turnaround_time)&gt;=helpsheet!$L$17,rate_vatRU_from_26,rate_vatRu_till_25),0)),2)</f>
        <v/>
      </c>
      <c r="AN1304" s="192">
        <f>AL1304-AK1304</f>
        <v/>
      </c>
      <c r="AO1304" s="76">
        <f>SUM(AY1304,Y1304:Z1304,T1304)*IF(AND(offer_incoterms="DDP",offer_sale_type&lt;&gt;"экспорт"),IF((TODAY()+offer_turnaround_time)&gt;=helpsheet!$L$17,rate_vatRU_from_26,rate_vatRu_till_25),0)</f>
        <v/>
      </c>
      <c r="AP1304" s="193">
        <f>AN1304-AO1304</f>
        <v/>
      </c>
      <c r="AQ1304" s="118">
        <f>IF(offer_sale_type="транзит",SUM(AF1304:AI1304,BA1304,BB1304),0)</f>
        <v/>
      </c>
      <c r="AR1304" s="82">
        <f>HYPERLINK("https://www.alta.ru/tnved/code/")&amp;W1304&amp;"/"</f>
        <v/>
      </c>
      <c r="AS1304" s="157" t="n"/>
      <c r="AT1304" s="162" t="n"/>
      <c r="AU1304" s="76">
        <f>IF(ISBLANK(AT1304),0,AJ1304-AT1304)</f>
        <v/>
      </c>
      <c r="AV1304" s="157" t="n"/>
      <c r="AW1304" s="75">
        <f>_xlfn.IFNA(VLOOKUP(L1304,list_vat[],3,FALSE),0)</f>
        <v/>
      </c>
      <c r="AX1304" s="76">
        <f>IFERROR(ROUND(S1304*(1+AW1304)/E1304,2),0)</f>
        <v/>
      </c>
      <c r="AY1304" s="76">
        <f>E1304*AX1304</f>
        <v/>
      </c>
      <c r="AZ1304" s="192">
        <f>S1304*(1+M1304)</f>
        <v/>
      </c>
      <c r="BA1304" s="76">
        <f>cost_fin_total*$BD1304</f>
        <v/>
      </c>
      <c r="BB1304" s="193">
        <f>credit_sales_interest*BD1304</f>
        <v/>
      </c>
      <c r="BC1304" s="102">
        <f>IFERROR(IF($I$13&gt;0,$I1304/$I$13,$S1304/$S$13),0)</f>
        <v/>
      </c>
      <c r="BD1304" s="102">
        <f>IFERROR($S1304/$S$13,0)</f>
        <v/>
      </c>
      <c r="BE1304" s="413" t="inlineStr">
        <is>
          <t>$</t>
        </is>
      </c>
    </row>
    <row r="1305" ht="12" customFormat="1" customHeight="1" s="65">
      <c r="A1305" s="43" t="n">
        <v>1290</v>
      </c>
      <c r="B1305" s="166" t="n"/>
      <c r="C1305" s="166" t="n"/>
      <c r="D1305" s="166" t="n"/>
      <c r="E1305" s="162" t="n"/>
      <c r="F1305" s="166" t="n"/>
      <c r="G1305" s="162" t="n"/>
      <c r="H1305" s="162" t="n"/>
      <c r="I1305" s="189">
        <f>E1305*G1305</f>
        <v/>
      </c>
      <c r="J1305" s="195" t="n"/>
      <c r="K1305" s="162" t="n"/>
      <c r="L1305" s="168" t="n"/>
      <c r="M1305" s="75">
        <f>_xlfn.XLOOKUP(L1305,list_vat[Страна],list_vat[Ставка НДС %],0,0)</f>
        <v/>
      </c>
      <c r="N1305" s="162">
        <f>IFERROR(IF(L1305="Китай",K1305,K1305/(1+M1305)),0)</f>
        <v/>
      </c>
      <c r="O1305" s="169" t="n"/>
      <c r="P1305" s="76">
        <f>N1305*(1-O1305)</f>
        <v/>
      </c>
      <c r="Q1305" s="162" t="n"/>
      <c r="R1305" s="162">
        <f>IF(ISBLANK(Q1305),"введи курс",P1305/Q1305)</f>
        <v/>
      </c>
      <c r="S1305" s="196">
        <f>IF(AND(ISNUMBER(E1305),ISNUMBER(Q1305)),E1305*R1305,0)</f>
        <v/>
      </c>
      <c r="T1305" s="192">
        <f>$BC1305*V$11</f>
        <v/>
      </c>
      <c r="U1305" s="76">
        <f>$BC1305*W$11</f>
        <v/>
      </c>
      <c r="V1305" s="193">
        <f>+SUM(T1305:U1305)</f>
        <v/>
      </c>
      <c r="W1305" s="191" t="n"/>
      <c r="X1305" s="170" t="n"/>
      <c r="Y1305" s="76">
        <f>ROUND(IF(offer_incoterms="DDP",X1305*(S1305*(1+AW1305)+T1305),0),2)</f>
        <v/>
      </c>
      <c r="Z1305" s="188" t="n"/>
      <c r="AA1305" s="192">
        <f>IFERROR(AB1305/E1305,0)</f>
        <v/>
      </c>
      <c r="AB1305" s="76">
        <f>ROUND(SUM(S1305,V1305,Y1305:Z1305,BA1305:BB1305),2)</f>
        <v/>
      </c>
      <c r="AC1305" s="797" t="n"/>
      <c r="AD1305" s="192">
        <f t="array" ref="AD1305">IFERROR(ROUND((_xlfn.IFS(offer_sale_type="поставка",AB1305,offer_sale_type="транзит",S1305)*(1+AC1305))/E1305,2),0)</f>
        <v/>
      </c>
      <c r="AE1305" s="76">
        <f>AD1305*E1305</f>
        <v/>
      </c>
      <c r="AF1305" s="193">
        <f t="array" ref="AF1305">IFERROR(ROUND(_xlfn.IFS(offer_sale_type="поставка",AB1305,offer_sale_type="транзит",S1305)*AC1305,2),0)</f>
        <v/>
      </c>
      <c r="AG1305" s="192">
        <f>$BD1305*VLOOKUP($AG$3,$AF$4:$AG$7,2,FALSE)</f>
        <v/>
      </c>
      <c r="AH1305" s="76">
        <f>SUM(AE1305,AG1305,AI1305)*rate_forex_risk</f>
        <v/>
      </c>
      <c r="AI1305" s="193">
        <f>IF(OR(seller_region="TR",offer_sale_type="экспорт"),0,rate_fin_comm)*SUM(AZ1305,AZ1305*AW1305,T1305)</f>
        <v/>
      </c>
      <c r="AJ1305" s="118">
        <f>IFERROR(ROUND(SUM(AB1305,AF1305:AI1305)/E1305,2),0)</f>
        <v/>
      </c>
      <c r="AK1305" s="76">
        <f>AJ1305*E1305</f>
        <v/>
      </c>
      <c r="AL1305" s="174">
        <f>ROUND(IFERROR(AM1305*E1305,0),2)</f>
        <v/>
      </c>
      <c r="AM1305" s="175">
        <f>ROUND(AJ1305*(1+IF(offer_incoterms="DDP",IF((TODAY()+offer_turnaround_time)&gt;=helpsheet!$L$17,rate_vatRU_from_26,rate_vatRu_till_25),0)),2)</f>
        <v/>
      </c>
      <c r="AN1305" s="192">
        <f>AL1305-AK1305</f>
        <v/>
      </c>
      <c r="AO1305" s="76">
        <f>SUM(AY1305,Y1305:Z1305,T1305)*IF(AND(offer_incoterms="DDP",offer_sale_type&lt;&gt;"экспорт"),IF((TODAY()+offer_turnaround_time)&gt;=helpsheet!$L$17,rate_vatRU_from_26,rate_vatRu_till_25),0)</f>
        <v/>
      </c>
      <c r="AP1305" s="193">
        <f>AN1305-AO1305</f>
        <v/>
      </c>
      <c r="AQ1305" s="118">
        <f>IF(offer_sale_type="транзит",SUM(AF1305:AI1305,BA1305,BB1305),0)</f>
        <v/>
      </c>
      <c r="AR1305" s="82">
        <f>HYPERLINK("https://www.alta.ru/tnved/code/")&amp;W1305&amp;"/"</f>
        <v/>
      </c>
      <c r="AS1305" s="157" t="n"/>
      <c r="AT1305" s="162" t="n"/>
      <c r="AU1305" s="76">
        <f>IF(ISBLANK(AT1305),0,AJ1305-AT1305)</f>
        <v/>
      </c>
      <c r="AV1305" s="157" t="n"/>
      <c r="AW1305" s="75">
        <f>_xlfn.IFNA(VLOOKUP(L1305,list_vat[],3,FALSE),0)</f>
        <v/>
      </c>
      <c r="AX1305" s="76">
        <f>IFERROR(ROUND(S1305*(1+AW1305)/E1305,2),0)</f>
        <v/>
      </c>
      <c r="AY1305" s="76">
        <f>E1305*AX1305</f>
        <v/>
      </c>
      <c r="AZ1305" s="192">
        <f>S1305*(1+M1305)</f>
        <v/>
      </c>
      <c r="BA1305" s="76">
        <f>cost_fin_total*$BD1305</f>
        <v/>
      </c>
      <c r="BB1305" s="193">
        <f>credit_sales_interest*BD1305</f>
        <v/>
      </c>
      <c r="BC1305" s="102">
        <f>IFERROR(IF($I$13&gt;0,$I1305/$I$13,$S1305/$S$13),0)</f>
        <v/>
      </c>
      <c r="BD1305" s="102">
        <f>IFERROR($S1305/$S$13,0)</f>
        <v/>
      </c>
      <c r="BE1305" s="413" t="inlineStr">
        <is>
          <t>$</t>
        </is>
      </c>
    </row>
    <row r="1306" ht="12" customFormat="1" customHeight="1" s="65">
      <c r="A1306" s="43" t="n">
        <v>1291</v>
      </c>
      <c r="B1306" s="166" t="n"/>
      <c r="C1306" s="166" t="n"/>
      <c r="D1306" s="166" t="n"/>
      <c r="E1306" s="162" t="n"/>
      <c r="F1306" s="166" t="n"/>
      <c r="G1306" s="162" t="n"/>
      <c r="H1306" s="162" t="n"/>
      <c r="I1306" s="189">
        <f>E1306*G1306</f>
        <v/>
      </c>
      <c r="J1306" s="195" t="n"/>
      <c r="K1306" s="162" t="n"/>
      <c r="L1306" s="168" t="n"/>
      <c r="M1306" s="75">
        <f>_xlfn.XLOOKUP(L1306,list_vat[Страна],list_vat[Ставка НДС %],0,0)</f>
        <v/>
      </c>
      <c r="N1306" s="162">
        <f>IFERROR(IF(L1306="Китай",K1306,K1306/(1+M1306)),0)</f>
        <v/>
      </c>
      <c r="O1306" s="169" t="n"/>
      <c r="P1306" s="76">
        <f>N1306*(1-O1306)</f>
        <v/>
      </c>
      <c r="Q1306" s="162" t="n"/>
      <c r="R1306" s="162">
        <f>IF(ISBLANK(Q1306),"введи курс",P1306/Q1306)</f>
        <v/>
      </c>
      <c r="S1306" s="196">
        <f>IF(AND(ISNUMBER(E1306),ISNUMBER(Q1306)),E1306*R1306,0)</f>
        <v/>
      </c>
      <c r="T1306" s="192">
        <f>$BC1306*V$11</f>
        <v/>
      </c>
      <c r="U1306" s="76">
        <f>$BC1306*W$11</f>
        <v/>
      </c>
      <c r="V1306" s="193">
        <f>+SUM(T1306:U1306)</f>
        <v/>
      </c>
      <c r="W1306" s="191" t="n"/>
      <c r="X1306" s="170" t="n"/>
      <c r="Y1306" s="76">
        <f>ROUND(IF(offer_incoterms="DDP",X1306*(S1306*(1+AW1306)+T1306),0),2)</f>
        <v/>
      </c>
      <c r="Z1306" s="188" t="n"/>
      <c r="AA1306" s="192">
        <f>IFERROR(AB1306/E1306,0)</f>
        <v/>
      </c>
      <c r="AB1306" s="76">
        <f>ROUND(SUM(S1306,V1306,Y1306:Z1306,BA1306:BB1306),2)</f>
        <v/>
      </c>
      <c r="AC1306" s="797" t="n"/>
      <c r="AD1306" s="192">
        <f t="array" ref="AD1306">IFERROR(ROUND((_xlfn.IFS(offer_sale_type="поставка",AB1306,offer_sale_type="транзит",S1306)*(1+AC1306))/E1306,2),0)</f>
        <v/>
      </c>
      <c r="AE1306" s="76">
        <f>AD1306*E1306</f>
        <v/>
      </c>
      <c r="AF1306" s="193">
        <f t="array" ref="AF1306">IFERROR(ROUND(_xlfn.IFS(offer_sale_type="поставка",AB1306,offer_sale_type="транзит",S1306)*AC1306,2),0)</f>
        <v/>
      </c>
      <c r="AG1306" s="192">
        <f>$BD1306*VLOOKUP($AG$3,$AF$4:$AG$7,2,FALSE)</f>
        <v/>
      </c>
      <c r="AH1306" s="76">
        <f>SUM(AE1306,AG1306,AI1306)*rate_forex_risk</f>
        <v/>
      </c>
      <c r="AI1306" s="193">
        <f>IF(OR(seller_region="TR",offer_sale_type="экспорт"),0,rate_fin_comm)*SUM(AZ1306,AZ1306*AW1306,T1306)</f>
        <v/>
      </c>
      <c r="AJ1306" s="118">
        <f>IFERROR(ROUND(SUM(AB1306,AF1306:AI1306)/E1306,2),0)</f>
        <v/>
      </c>
      <c r="AK1306" s="76">
        <f>AJ1306*E1306</f>
        <v/>
      </c>
      <c r="AL1306" s="174">
        <f>ROUND(IFERROR(AM1306*E1306,0),2)</f>
        <v/>
      </c>
      <c r="AM1306" s="175">
        <f>ROUND(AJ1306*(1+IF(offer_incoterms="DDP",IF((TODAY()+offer_turnaround_time)&gt;=helpsheet!$L$17,rate_vatRU_from_26,rate_vatRu_till_25),0)),2)</f>
        <v/>
      </c>
      <c r="AN1306" s="192">
        <f>AL1306-AK1306</f>
        <v/>
      </c>
      <c r="AO1306" s="76">
        <f>SUM(AY1306,Y1306:Z1306,T1306)*IF(AND(offer_incoterms="DDP",offer_sale_type&lt;&gt;"экспорт"),IF((TODAY()+offer_turnaround_time)&gt;=helpsheet!$L$17,rate_vatRU_from_26,rate_vatRu_till_25),0)</f>
        <v/>
      </c>
      <c r="AP1306" s="193">
        <f>AN1306-AO1306</f>
        <v/>
      </c>
      <c r="AQ1306" s="118">
        <f>IF(offer_sale_type="транзит",SUM(AF1306:AI1306,BA1306,BB1306),0)</f>
        <v/>
      </c>
      <c r="AR1306" s="82">
        <f>HYPERLINK("https://www.alta.ru/tnved/code/")&amp;W1306&amp;"/"</f>
        <v/>
      </c>
      <c r="AS1306" s="157" t="n"/>
      <c r="AT1306" s="162" t="n"/>
      <c r="AU1306" s="76">
        <f>IF(ISBLANK(AT1306),0,AJ1306-AT1306)</f>
        <v/>
      </c>
      <c r="AV1306" s="157" t="n"/>
      <c r="AW1306" s="75">
        <f>_xlfn.IFNA(VLOOKUP(L1306,list_vat[],3,FALSE),0)</f>
        <v/>
      </c>
      <c r="AX1306" s="76">
        <f>IFERROR(ROUND(S1306*(1+AW1306)/E1306,2),0)</f>
        <v/>
      </c>
      <c r="AY1306" s="76">
        <f>E1306*AX1306</f>
        <v/>
      </c>
      <c r="AZ1306" s="192">
        <f>S1306*(1+M1306)</f>
        <v/>
      </c>
      <c r="BA1306" s="76">
        <f>cost_fin_total*$BD1306</f>
        <v/>
      </c>
      <c r="BB1306" s="193">
        <f>credit_sales_interest*BD1306</f>
        <v/>
      </c>
      <c r="BC1306" s="102">
        <f>IFERROR(IF($I$13&gt;0,$I1306/$I$13,$S1306/$S$13),0)</f>
        <v/>
      </c>
      <c r="BD1306" s="102">
        <f>IFERROR($S1306/$S$13,0)</f>
        <v/>
      </c>
      <c r="BE1306" s="413" t="inlineStr">
        <is>
          <t>$</t>
        </is>
      </c>
    </row>
    <row r="1307" ht="12" customFormat="1" customHeight="1" s="65">
      <c r="A1307" s="43" t="n">
        <v>1292</v>
      </c>
      <c r="B1307" s="166" t="n"/>
      <c r="C1307" s="166" t="n"/>
      <c r="D1307" s="166" t="n"/>
      <c r="E1307" s="162" t="n"/>
      <c r="F1307" s="166" t="n"/>
      <c r="G1307" s="162" t="n"/>
      <c r="H1307" s="162" t="n"/>
      <c r="I1307" s="189">
        <f>E1307*G1307</f>
        <v/>
      </c>
      <c r="J1307" s="195" t="n"/>
      <c r="K1307" s="162" t="n"/>
      <c r="L1307" s="168" t="n"/>
      <c r="M1307" s="75">
        <f>_xlfn.XLOOKUP(L1307,list_vat[Страна],list_vat[Ставка НДС %],0,0)</f>
        <v/>
      </c>
      <c r="N1307" s="162">
        <f>IFERROR(IF(L1307="Китай",K1307,K1307/(1+M1307)),0)</f>
        <v/>
      </c>
      <c r="O1307" s="169" t="n"/>
      <c r="P1307" s="76">
        <f>N1307*(1-O1307)</f>
        <v/>
      </c>
      <c r="Q1307" s="162" t="n"/>
      <c r="R1307" s="162">
        <f>IF(ISBLANK(Q1307),"введи курс",P1307/Q1307)</f>
        <v/>
      </c>
      <c r="S1307" s="196">
        <f>IF(AND(ISNUMBER(E1307),ISNUMBER(Q1307)),E1307*R1307,0)</f>
        <v/>
      </c>
      <c r="T1307" s="192">
        <f>$BC1307*V$11</f>
        <v/>
      </c>
      <c r="U1307" s="76">
        <f>$BC1307*W$11</f>
        <v/>
      </c>
      <c r="V1307" s="193">
        <f>+SUM(T1307:U1307)</f>
        <v/>
      </c>
      <c r="W1307" s="191" t="n"/>
      <c r="X1307" s="170" t="n"/>
      <c r="Y1307" s="76">
        <f>ROUND(IF(offer_incoterms="DDP",X1307*(S1307*(1+AW1307)+T1307),0),2)</f>
        <v/>
      </c>
      <c r="Z1307" s="188" t="n"/>
      <c r="AA1307" s="192">
        <f>IFERROR(AB1307/E1307,0)</f>
        <v/>
      </c>
      <c r="AB1307" s="76">
        <f>ROUND(SUM(S1307,V1307,Y1307:Z1307,BA1307:BB1307),2)</f>
        <v/>
      </c>
      <c r="AC1307" s="797" t="n"/>
      <c r="AD1307" s="192">
        <f t="array" ref="AD1307">IFERROR(ROUND((_xlfn.IFS(offer_sale_type="поставка",AB1307,offer_sale_type="транзит",S1307)*(1+AC1307))/E1307,2),0)</f>
        <v/>
      </c>
      <c r="AE1307" s="76">
        <f>AD1307*E1307</f>
        <v/>
      </c>
      <c r="AF1307" s="193">
        <f t="array" ref="AF1307">IFERROR(ROUND(_xlfn.IFS(offer_sale_type="поставка",AB1307,offer_sale_type="транзит",S1307)*AC1307,2),0)</f>
        <v/>
      </c>
      <c r="AG1307" s="192">
        <f>$BD1307*VLOOKUP($AG$3,$AF$4:$AG$7,2,FALSE)</f>
        <v/>
      </c>
      <c r="AH1307" s="76">
        <f>SUM(AE1307,AG1307,AI1307)*rate_forex_risk</f>
        <v/>
      </c>
      <c r="AI1307" s="193">
        <f>IF(OR(seller_region="TR",offer_sale_type="экспорт"),0,rate_fin_comm)*SUM(AZ1307,AZ1307*AW1307,T1307)</f>
        <v/>
      </c>
      <c r="AJ1307" s="118">
        <f>IFERROR(ROUND(SUM(AB1307,AF1307:AI1307)/E1307,2),0)</f>
        <v/>
      </c>
      <c r="AK1307" s="76">
        <f>AJ1307*E1307</f>
        <v/>
      </c>
      <c r="AL1307" s="174">
        <f>ROUND(IFERROR(AM1307*E1307,0),2)</f>
        <v/>
      </c>
      <c r="AM1307" s="175">
        <f>ROUND(AJ1307*(1+IF(offer_incoterms="DDP",IF((TODAY()+offer_turnaround_time)&gt;=helpsheet!$L$17,rate_vatRU_from_26,rate_vatRu_till_25),0)),2)</f>
        <v/>
      </c>
      <c r="AN1307" s="192">
        <f>AL1307-AK1307</f>
        <v/>
      </c>
      <c r="AO1307" s="76">
        <f>SUM(AY1307,Y1307:Z1307,T1307)*IF(AND(offer_incoterms="DDP",offer_sale_type&lt;&gt;"экспорт"),IF((TODAY()+offer_turnaround_time)&gt;=helpsheet!$L$17,rate_vatRU_from_26,rate_vatRu_till_25),0)</f>
        <v/>
      </c>
      <c r="AP1307" s="193">
        <f>AN1307-AO1307</f>
        <v/>
      </c>
      <c r="AQ1307" s="118">
        <f>IF(offer_sale_type="транзит",SUM(AF1307:AI1307,BA1307,BB1307),0)</f>
        <v/>
      </c>
      <c r="AR1307" s="82">
        <f>HYPERLINK("https://www.alta.ru/tnved/code/")&amp;W1307&amp;"/"</f>
        <v/>
      </c>
      <c r="AS1307" s="157" t="n"/>
      <c r="AT1307" s="162" t="n"/>
      <c r="AU1307" s="76">
        <f>IF(ISBLANK(AT1307),0,AJ1307-AT1307)</f>
        <v/>
      </c>
      <c r="AV1307" s="157" t="n"/>
      <c r="AW1307" s="75">
        <f>_xlfn.IFNA(VLOOKUP(L1307,list_vat[],3,FALSE),0)</f>
        <v/>
      </c>
      <c r="AX1307" s="76">
        <f>IFERROR(ROUND(S1307*(1+AW1307)/E1307,2),0)</f>
        <v/>
      </c>
      <c r="AY1307" s="76">
        <f>E1307*AX1307</f>
        <v/>
      </c>
      <c r="AZ1307" s="192">
        <f>S1307*(1+M1307)</f>
        <v/>
      </c>
      <c r="BA1307" s="76">
        <f>cost_fin_total*$BD1307</f>
        <v/>
      </c>
      <c r="BB1307" s="193">
        <f>credit_sales_interest*BD1307</f>
        <v/>
      </c>
      <c r="BC1307" s="102">
        <f>IFERROR(IF($I$13&gt;0,$I1307/$I$13,$S1307/$S$13),0)</f>
        <v/>
      </c>
      <c r="BD1307" s="102">
        <f>IFERROR($S1307/$S$13,0)</f>
        <v/>
      </c>
      <c r="BE1307" s="413" t="inlineStr">
        <is>
          <t>$</t>
        </is>
      </c>
    </row>
    <row r="1308" ht="12" customFormat="1" customHeight="1" s="65">
      <c r="A1308" s="43" t="n">
        <v>1293</v>
      </c>
      <c r="B1308" s="166" t="n"/>
      <c r="C1308" s="166" t="n"/>
      <c r="D1308" s="166" t="n"/>
      <c r="E1308" s="162" t="n"/>
      <c r="F1308" s="166" t="n"/>
      <c r="G1308" s="162" t="n"/>
      <c r="H1308" s="162" t="n"/>
      <c r="I1308" s="189">
        <f>E1308*G1308</f>
        <v/>
      </c>
      <c r="J1308" s="195" t="n"/>
      <c r="K1308" s="162" t="n"/>
      <c r="L1308" s="168" t="n"/>
      <c r="M1308" s="75">
        <f>_xlfn.XLOOKUP(L1308,list_vat[Страна],list_vat[Ставка НДС %],0,0)</f>
        <v/>
      </c>
      <c r="N1308" s="162">
        <f>IFERROR(IF(L1308="Китай",K1308,K1308/(1+M1308)),0)</f>
        <v/>
      </c>
      <c r="O1308" s="169" t="n"/>
      <c r="P1308" s="76">
        <f>N1308*(1-O1308)</f>
        <v/>
      </c>
      <c r="Q1308" s="162" t="n"/>
      <c r="R1308" s="162">
        <f>IF(ISBLANK(Q1308),"введи курс",P1308/Q1308)</f>
        <v/>
      </c>
      <c r="S1308" s="196">
        <f>IF(AND(ISNUMBER(E1308),ISNUMBER(Q1308)),E1308*R1308,0)</f>
        <v/>
      </c>
      <c r="T1308" s="192">
        <f>$BC1308*V$11</f>
        <v/>
      </c>
      <c r="U1308" s="76">
        <f>$BC1308*W$11</f>
        <v/>
      </c>
      <c r="V1308" s="193">
        <f>+SUM(T1308:U1308)</f>
        <v/>
      </c>
      <c r="W1308" s="191" t="n"/>
      <c r="X1308" s="170" t="n"/>
      <c r="Y1308" s="76">
        <f>ROUND(IF(offer_incoterms="DDP",X1308*(S1308*(1+AW1308)+T1308),0),2)</f>
        <v/>
      </c>
      <c r="Z1308" s="188" t="n"/>
      <c r="AA1308" s="192">
        <f>IFERROR(AB1308/E1308,0)</f>
        <v/>
      </c>
      <c r="AB1308" s="76">
        <f>ROUND(SUM(S1308,V1308,Y1308:Z1308,BA1308:BB1308),2)</f>
        <v/>
      </c>
      <c r="AC1308" s="797" t="n"/>
      <c r="AD1308" s="192">
        <f t="array" ref="AD1308">IFERROR(ROUND((_xlfn.IFS(offer_sale_type="поставка",AB1308,offer_sale_type="транзит",S1308)*(1+AC1308))/E1308,2),0)</f>
        <v/>
      </c>
      <c r="AE1308" s="76">
        <f>AD1308*E1308</f>
        <v/>
      </c>
      <c r="AF1308" s="193">
        <f t="array" ref="AF1308">IFERROR(ROUND(_xlfn.IFS(offer_sale_type="поставка",AB1308,offer_sale_type="транзит",S1308)*AC1308,2),0)</f>
        <v/>
      </c>
      <c r="AG1308" s="192">
        <f>$BD1308*VLOOKUP($AG$3,$AF$4:$AG$7,2,FALSE)</f>
        <v/>
      </c>
      <c r="AH1308" s="76">
        <f>SUM(AE1308,AG1308,AI1308)*rate_forex_risk</f>
        <v/>
      </c>
      <c r="AI1308" s="193">
        <f>IF(OR(seller_region="TR",offer_sale_type="экспорт"),0,rate_fin_comm)*SUM(AZ1308,AZ1308*AW1308,T1308)</f>
        <v/>
      </c>
      <c r="AJ1308" s="118">
        <f>IFERROR(ROUND(SUM(AB1308,AF1308:AI1308)/E1308,2),0)</f>
        <v/>
      </c>
      <c r="AK1308" s="76">
        <f>AJ1308*E1308</f>
        <v/>
      </c>
      <c r="AL1308" s="174">
        <f>ROUND(IFERROR(AM1308*E1308,0),2)</f>
        <v/>
      </c>
      <c r="AM1308" s="175">
        <f>ROUND(AJ1308*(1+IF(offer_incoterms="DDP",IF((TODAY()+offer_turnaround_time)&gt;=helpsheet!$L$17,rate_vatRU_from_26,rate_vatRu_till_25),0)),2)</f>
        <v/>
      </c>
      <c r="AN1308" s="192">
        <f>AL1308-AK1308</f>
        <v/>
      </c>
      <c r="AO1308" s="76">
        <f>SUM(AY1308,Y1308:Z1308,T1308)*IF(AND(offer_incoterms="DDP",offer_sale_type&lt;&gt;"экспорт"),IF((TODAY()+offer_turnaround_time)&gt;=helpsheet!$L$17,rate_vatRU_from_26,rate_vatRu_till_25),0)</f>
        <v/>
      </c>
      <c r="AP1308" s="193">
        <f>AN1308-AO1308</f>
        <v/>
      </c>
      <c r="AQ1308" s="118">
        <f>IF(offer_sale_type="транзит",SUM(AF1308:AI1308,BA1308,BB1308),0)</f>
        <v/>
      </c>
      <c r="AR1308" s="82">
        <f>HYPERLINK("https://www.alta.ru/tnved/code/")&amp;W1308&amp;"/"</f>
        <v/>
      </c>
      <c r="AS1308" s="157" t="n"/>
      <c r="AT1308" s="162" t="n"/>
      <c r="AU1308" s="76">
        <f>IF(ISBLANK(AT1308),0,AJ1308-AT1308)</f>
        <v/>
      </c>
      <c r="AV1308" s="157" t="n"/>
      <c r="AW1308" s="75">
        <f>_xlfn.IFNA(VLOOKUP(L1308,list_vat[],3,FALSE),0)</f>
        <v/>
      </c>
      <c r="AX1308" s="76">
        <f>IFERROR(ROUND(S1308*(1+AW1308)/E1308,2),0)</f>
        <v/>
      </c>
      <c r="AY1308" s="76">
        <f>E1308*AX1308</f>
        <v/>
      </c>
      <c r="AZ1308" s="192">
        <f>S1308*(1+M1308)</f>
        <v/>
      </c>
      <c r="BA1308" s="76">
        <f>cost_fin_total*$BD1308</f>
        <v/>
      </c>
      <c r="BB1308" s="193">
        <f>credit_sales_interest*BD1308</f>
        <v/>
      </c>
      <c r="BC1308" s="102">
        <f>IFERROR(IF($I$13&gt;0,$I1308/$I$13,$S1308/$S$13),0)</f>
        <v/>
      </c>
      <c r="BD1308" s="102">
        <f>IFERROR($S1308/$S$13,0)</f>
        <v/>
      </c>
      <c r="BE1308" s="413" t="inlineStr">
        <is>
          <t>$</t>
        </is>
      </c>
    </row>
    <row r="1309" ht="12" customFormat="1" customHeight="1" s="65">
      <c r="A1309" s="43" t="n">
        <v>1294</v>
      </c>
      <c r="B1309" s="166" t="n"/>
      <c r="C1309" s="166" t="n"/>
      <c r="D1309" s="166" t="n"/>
      <c r="E1309" s="162" t="n"/>
      <c r="F1309" s="166" t="n"/>
      <c r="G1309" s="162" t="n"/>
      <c r="H1309" s="162" t="n"/>
      <c r="I1309" s="189">
        <f>E1309*G1309</f>
        <v/>
      </c>
      <c r="J1309" s="195" t="n"/>
      <c r="K1309" s="162" t="n"/>
      <c r="L1309" s="168" t="n"/>
      <c r="M1309" s="75">
        <f>_xlfn.XLOOKUP(L1309,list_vat[Страна],list_vat[Ставка НДС %],0,0)</f>
        <v/>
      </c>
      <c r="N1309" s="162">
        <f>IFERROR(IF(L1309="Китай",K1309,K1309/(1+M1309)),0)</f>
        <v/>
      </c>
      <c r="O1309" s="169" t="n"/>
      <c r="P1309" s="76">
        <f>N1309*(1-O1309)</f>
        <v/>
      </c>
      <c r="Q1309" s="162" t="n"/>
      <c r="R1309" s="162">
        <f>IF(ISBLANK(Q1309),"введи курс",P1309/Q1309)</f>
        <v/>
      </c>
      <c r="S1309" s="196">
        <f>IF(AND(ISNUMBER(E1309),ISNUMBER(Q1309)),E1309*R1309,0)</f>
        <v/>
      </c>
      <c r="T1309" s="192">
        <f>$BC1309*V$11</f>
        <v/>
      </c>
      <c r="U1309" s="76">
        <f>$BC1309*W$11</f>
        <v/>
      </c>
      <c r="V1309" s="193">
        <f>+SUM(T1309:U1309)</f>
        <v/>
      </c>
      <c r="W1309" s="191" t="n"/>
      <c r="X1309" s="170" t="n"/>
      <c r="Y1309" s="76">
        <f>ROUND(IF(offer_incoterms="DDP",X1309*(S1309*(1+AW1309)+T1309),0),2)</f>
        <v/>
      </c>
      <c r="Z1309" s="188" t="n"/>
      <c r="AA1309" s="192">
        <f>IFERROR(AB1309/E1309,0)</f>
        <v/>
      </c>
      <c r="AB1309" s="76">
        <f>ROUND(SUM(S1309,V1309,Y1309:Z1309,BA1309:BB1309),2)</f>
        <v/>
      </c>
      <c r="AC1309" s="797" t="n"/>
      <c r="AD1309" s="192">
        <f t="array" ref="AD1309">IFERROR(ROUND((_xlfn.IFS(offer_sale_type="поставка",AB1309,offer_sale_type="транзит",S1309)*(1+AC1309))/E1309,2),0)</f>
        <v/>
      </c>
      <c r="AE1309" s="76">
        <f>AD1309*E1309</f>
        <v/>
      </c>
      <c r="AF1309" s="193">
        <f t="array" ref="AF1309">IFERROR(ROUND(_xlfn.IFS(offer_sale_type="поставка",AB1309,offer_sale_type="транзит",S1309)*AC1309,2),0)</f>
        <v/>
      </c>
      <c r="AG1309" s="192">
        <f>$BD1309*VLOOKUP($AG$3,$AF$4:$AG$7,2,FALSE)</f>
        <v/>
      </c>
      <c r="AH1309" s="76">
        <f>SUM(AE1309,AG1309,AI1309)*rate_forex_risk</f>
        <v/>
      </c>
      <c r="AI1309" s="193">
        <f>IF(OR(seller_region="TR",offer_sale_type="экспорт"),0,rate_fin_comm)*SUM(AZ1309,AZ1309*AW1309,T1309)</f>
        <v/>
      </c>
      <c r="AJ1309" s="118">
        <f>IFERROR(ROUND(SUM(AB1309,AF1309:AI1309)/E1309,2),0)</f>
        <v/>
      </c>
      <c r="AK1309" s="76">
        <f>AJ1309*E1309</f>
        <v/>
      </c>
      <c r="AL1309" s="174">
        <f>ROUND(IFERROR(AM1309*E1309,0),2)</f>
        <v/>
      </c>
      <c r="AM1309" s="175">
        <f>ROUND(AJ1309*(1+IF(offer_incoterms="DDP",IF((TODAY()+offer_turnaround_time)&gt;=helpsheet!$L$17,rate_vatRU_from_26,rate_vatRu_till_25),0)),2)</f>
        <v/>
      </c>
      <c r="AN1309" s="192">
        <f>AL1309-AK1309</f>
        <v/>
      </c>
      <c r="AO1309" s="76">
        <f>SUM(AY1309,Y1309:Z1309,T1309)*IF(AND(offer_incoterms="DDP",offer_sale_type&lt;&gt;"экспорт"),IF((TODAY()+offer_turnaround_time)&gt;=helpsheet!$L$17,rate_vatRU_from_26,rate_vatRu_till_25),0)</f>
        <v/>
      </c>
      <c r="AP1309" s="193">
        <f>AN1309-AO1309</f>
        <v/>
      </c>
      <c r="AQ1309" s="118">
        <f>IF(offer_sale_type="транзит",SUM(AF1309:AI1309,BA1309,BB1309),0)</f>
        <v/>
      </c>
      <c r="AR1309" s="82">
        <f>HYPERLINK("https://www.alta.ru/tnved/code/")&amp;W1309&amp;"/"</f>
        <v/>
      </c>
      <c r="AS1309" s="157" t="n"/>
      <c r="AT1309" s="162" t="n"/>
      <c r="AU1309" s="76">
        <f>IF(ISBLANK(AT1309),0,AJ1309-AT1309)</f>
        <v/>
      </c>
      <c r="AV1309" s="157" t="n"/>
      <c r="AW1309" s="75">
        <f>_xlfn.IFNA(VLOOKUP(L1309,list_vat[],3,FALSE),0)</f>
        <v/>
      </c>
      <c r="AX1309" s="76">
        <f>IFERROR(ROUND(S1309*(1+AW1309)/E1309,2),0)</f>
        <v/>
      </c>
      <c r="AY1309" s="76">
        <f>E1309*AX1309</f>
        <v/>
      </c>
      <c r="AZ1309" s="192">
        <f>S1309*(1+M1309)</f>
        <v/>
      </c>
      <c r="BA1309" s="76">
        <f>cost_fin_total*$BD1309</f>
        <v/>
      </c>
      <c r="BB1309" s="193">
        <f>credit_sales_interest*BD1309</f>
        <v/>
      </c>
      <c r="BC1309" s="102">
        <f>IFERROR(IF($I$13&gt;0,$I1309/$I$13,$S1309/$S$13),0)</f>
        <v/>
      </c>
      <c r="BD1309" s="102">
        <f>IFERROR($S1309/$S$13,0)</f>
        <v/>
      </c>
      <c r="BE1309" s="413" t="inlineStr">
        <is>
          <t>$</t>
        </is>
      </c>
    </row>
    <row r="1310" ht="12" customFormat="1" customHeight="1" s="65">
      <c r="A1310" s="43" t="n">
        <v>1295</v>
      </c>
      <c r="B1310" s="166" t="n"/>
      <c r="C1310" s="166" t="n"/>
      <c r="D1310" s="166" t="n"/>
      <c r="E1310" s="162" t="n"/>
      <c r="F1310" s="166" t="n"/>
      <c r="G1310" s="162" t="n"/>
      <c r="H1310" s="162" t="n"/>
      <c r="I1310" s="189">
        <f>E1310*G1310</f>
        <v/>
      </c>
      <c r="J1310" s="195" t="n"/>
      <c r="K1310" s="162" t="n"/>
      <c r="L1310" s="168" t="n"/>
      <c r="M1310" s="75">
        <f>_xlfn.XLOOKUP(L1310,list_vat[Страна],list_vat[Ставка НДС %],0,0)</f>
        <v/>
      </c>
      <c r="N1310" s="162">
        <f>IFERROR(IF(L1310="Китай",K1310,K1310/(1+M1310)),0)</f>
        <v/>
      </c>
      <c r="O1310" s="169" t="n"/>
      <c r="P1310" s="76">
        <f>N1310*(1-O1310)</f>
        <v/>
      </c>
      <c r="Q1310" s="162" t="n"/>
      <c r="R1310" s="162">
        <f>IF(ISBLANK(Q1310),"введи курс",P1310/Q1310)</f>
        <v/>
      </c>
      <c r="S1310" s="196">
        <f>IF(AND(ISNUMBER(E1310),ISNUMBER(Q1310)),E1310*R1310,0)</f>
        <v/>
      </c>
      <c r="T1310" s="192">
        <f>$BC1310*V$11</f>
        <v/>
      </c>
      <c r="U1310" s="76">
        <f>$BC1310*W$11</f>
        <v/>
      </c>
      <c r="V1310" s="193">
        <f>+SUM(T1310:U1310)</f>
        <v/>
      </c>
      <c r="W1310" s="191" t="n"/>
      <c r="X1310" s="170" t="n"/>
      <c r="Y1310" s="76">
        <f>ROUND(IF(offer_incoterms="DDP",X1310*(S1310*(1+AW1310)+T1310),0),2)</f>
        <v/>
      </c>
      <c r="Z1310" s="188" t="n"/>
      <c r="AA1310" s="192">
        <f>IFERROR(AB1310/E1310,0)</f>
        <v/>
      </c>
      <c r="AB1310" s="76">
        <f>ROUND(SUM(S1310,V1310,Y1310:Z1310,BA1310:BB1310),2)</f>
        <v/>
      </c>
      <c r="AC1310" s="797" t="n"/>
      <c r="AD1310" s="192">
        <f t="array" ref="AD1310">IFERROR(ROUND((_xlfn.IFS(offer_sale_type="поставка",AB1310,offer_sale_type="транзит",S1310)*(1+AC1310))/E1310,2),0)</f>
        <v/>
      </c>
      <c r="AE1310" s="76">
        <f>AD1310*E1310</f>
        <v/>
      </c>
      <c r="AF1310" s="193">
        <f t="array" ref="AF1310">IFERROR(ROUND(_xlfn.IFS(offer_sale_type="поставка",AB1310,offer_sale_type="транзит",S1310)*AC1310,2),0)</f>
        <v/>
      </c>
      <c r="AG1310" s="192">
        <f>$BD1310*VLOOKUP($AG$3,$AF$4:$AG$7,2,FALSE)</f>
        <v/>
      </c>
      <c r="AH1310" s="76">
        <f>SUM(AE1310,AG1310,AI1310)*rate_forex_risk</f>
        <v/>
      </c>
      <c r="AI1310" s="193">
        <f>IF(OR(seller_region="TR",offer_sale_type="экспорт"),0,rate_fin_comm)*SUM(AZ1310,AZ1310*AW1310,T1310)</f>
        <v/>
      </c>
      <c r="AJ1310" s="118">
        <f>IFERROR(ROUND(SUM(AB1310,AF1310:AI1310)/E1310,2),0)</f>
        <v/>
      </c>
      <c r="AK1310" s="76">
        <f>AJ1310*E1310</f>
        <v/>
      </c>
      <c r="AL1310" s="174">
        <f>ROUND(IFERROR(AM1310*E1310,0),2)</f>
        <v/>
      </c>
      <c r="AM1310" s="175">
        <f>ROUND(AJ1310*(1+IF(offer_incoterms="DDP",IF((TODAY()+offer_turnaround_time)&gt;=helpsheet!$L$17,rate_vatRU_from_26,rate_vatRu_till_25),0)),2)</f>
        <v/>
      </c>
      <c r="AN1310" s="192">
        <f>AL1310-AK1310</f>
        <v/>
      </c>
      <c r="AO1310" s="76">
        <f>SUM(AY1310,Y1310:Z1310,T1310)*IF(AND(offer_incoterms="DDP",offer_sale_type&lt;&gt;"экспорт"),IF((TODAY()+offer_turnaround_time)&gt;=helpsheet!$L$17,rate_vatRU_from_26,rate_vatRu_till_25),0)</f>
        <v/>
      </c>
      <c r="AP1310" s="193">
        <f>AN1310-AO1310</f>
        <v/>
      </c>
      <c r="AQ1310" s="118">
        <f>IF(offer_sale_type="транзит",SUM(AF1310:AI1310,BA1310,BB1310),0)</f>
        <v/>
      </c>
      <c r="AR1310" s="82">
        <f>HYPERLINK("https://www.alta.ru/tnved/code/")&amp;W1310&amp;"/"</f>
        <v/>
      </c>
      <c r="AS1310" s="157" t="n"/>
      <c r="AT1310" s="162" t="n"/>
      <c r="AU1310" s="76">
        <f>IF(ISBLANK(AT1310),0,AJ1310-AT1310)</f>
        <v/>
      </c>
      <c r="AV1310" s="157" t="n"/>
      <c r="AW1310" s="75">
        <f>_xlfn.IFNA(VLOOKUP(L1310,list_vat[],3,FALSE),0)</f>
        <v/>
      </c>
      <c r="AX1310" s="76">
        <f>IFERROR(ROUND(S1310*(1+AW1310)/E1310,2),0)</f>
        <v/>
      </c>
      <c r="AY1310" s="76">
        <f>E1310*AX1310</f>
        <v/>
      </c>
      <c r="AZ1310" s="192">
        <f>S1310*(1+M1310)</f>
        <v/>
      </c>
      <c r="BA1310" s="76">
        <f>cost_fin_total*$BD1310</f>
        <v/>
      </c>
      <c r="BB1310" s="193">
        <f>credit_sales_interest*BD1310</f>
        <v/>
      </c>
      <c r="BC1310" s="102">
        <f>IFERROR(IF($I$13&gt;0,$I1310/$I$13,$S1310/$S$13),0)</f>
        <v/>
      </c>
      <c r="BD1310" s="102">
        <f>IFERROR($S1310/$S$13,0)</f>
        <v/>
      </c>
      <c r="BE1310" s="413" t="inlineStr">
        <is>
          <t>$</t>
        </is>
      </c>
    </row>
    <row r="1311" ht="12" customFormat="1" customHeight="1" s="65">
      <c r="A1311" s="43" t="n">
        <v>1296</v>
      </c>
      <c r="B1311" s="166" t="n"/>
      <c r="C1311" s="166" t="n"/>
      <c r="D1311" s="166" t="n"/>
      <c r="E1311" s="162" t="n"/>
      <c r="F1311" s="166" t="n"/>
      <c r="G1311" s="162" t="n"/>
      <c r="H1311" s="162" t="n"/>
      <c r="I1311" s="189">
        <f>E1311*G1311</f>
        <v/>
      </c>
      <c r="J1311" s="195" t="n"/>
      <c r="K1311" s="162" t="n"/>
      <c r="L1311" s="168" t="n"/>
      <c r="M1311" s="75">
        <f>_xlfn.XLOOKUP(L1311,list_vat[Страна],list_vat[Ставка НДС %],0,0)</f>
        <v/>
      </c>
      <c r="N1311" s="162">
        <f>IFERROR(IF(L1311="Китай",K1311,K1311/(1+M1311)),0)</f>
        <v/>
      </c>
      <c r="O1311" s="169" t="n"/>
      <c r="P1311" s="76">
        <f>N1311*(1-O1311)</f>
        <v/>
      </c>
      <c r="Q1311" s="162" t="n"/>
      <c r="R1311" s="162">
        <f>IF(ISBLANK(Q1311),"введи курс",P1311/Q1311)</f>
        <v/>
      </c>
      <c r="S1311" s="196">
        <f>IF(AND(ISNUMBER(E1311),ISNUMBER(Q1311)),E1311*R1311,0)</f>
        <v/>
      </c>
      <c r="T1311" s="192">
        <f>$BC1311*V$11</f>
        <v/>
      </c>
      <c r="U1311" s="76">
        <f>$BC1311*W$11</f>
        <v/>
      </c>
      <c r="V1311" s="193">
        <f>+SUM(T1311:U1311)</f>
        <v/>
      </c>
      <c r="W1311" s="191" t="n"/>
      <c r="X1311" s="170" t="n"/>
      <c r="Y1311" s="76">
        <f>ROUND(IF(offer_incoterms="DDP",X1311*(S1311*(1+AW1311)+T1311),0),2)</f>
        <v/>
      </c>
      <c r="Z1311" s="188" t="n"/>
      <c r="AA1311" s="192">
        <f>IFERROR(AB1311/E1311,0)</f>
        <v/>
      </c>
      <c r="AB1311" s="76">
        <f>ROUND(SUM(S1311,V1311,Y1311:Z1311,BA1311:BB1311),2)</f>
        <v/>
      </c>
      <c r="AC1311" s="797" t="n"/>
      <c r="AD1311" s="192">
        <f t="array" ref="AD1311">IFERROR(ROUND((_xlfn.IFS(offer_sale_type="поставка",AB1311,offer_sale_type="транзит",S1311)*(1+AC1311))/E1311,2),0)</f>
        <v/>
      </c>
      <c r="AE1311" s="76">
        <f>AD1311*E1311</f>
        <v/>
      </c>
      <c r="AF1311" s="193">
        <f t="array" ref="AF1311">IFERROR(ROUND(_xlfn.IFS(offer_sale_type="поставка",AB1311,offer_sale_type="транзит",S1311)*AC1311,2),0)</f>
        <v/>
      </c>
      <c r="AG1311" s="192">
        <f>$BD1311*VLOOKUP($AG$3,$AF$4:$AG$7,2,FALSE)</f>
        <v/>
      </c>
      <c r="AH1311" s="76">
        <f>SUM(AE1311,AG1311,AI1311)*rate_forex_risk</f>
        <v/>
      </c>
      <c r="AI1311" s="193">
        <f>IF(OR(seller_region="TR",offer_sale_type="экспорт"),0,rate_fin_comm)*SUM(AZ1311,AZ1311*AW1311,T1311)</f>
        <v/>
      </c>
      <c r="AJ1311" s="118">
        <f>IFERROR(ROUND(SUM(AB1311,AF1311:AI1311)/E1311,2),0)</f>
        <v/>
      </c>
      <c r="AK1311" s="76">
        <f>AJ1311*E1311</f>
        <v/>
      </c>
      <c r="AL1311" s="174">
        <f>ROUND(IFERROR(AM1311*E1311,0),2)</f>
        <v/>
      </c>
      <c r="AM1311" s="175">
        <f>ROUND(AJ1311*(1+IF(offer_incoterms="DDP",IF((TODAY()+offer_turnaround_time)&gt;=helpsheet!$L$17,rate_vatRU_from_26,rate_vatRu_till_25),0)),2)</f>
        <v/>
      </c>
      <c r="AN1311" s="192">
        <f>AL1311-AK1311</f>
        <v/>
      </c>
      <c r="AO1311" s="76">
        <f>SUM(AY1311,Y1311:Z1311,T1311)*IF(AND(offer_incoterms="DDP",offer_sale_type&lt;&gt;"экспорт"),IF((TODAY()+offer_turnaround_time)&gt;=helpsheet!$L$17,rate_vatRU_from_26,rate_vatRu_till_25),0)</f>
        <v/>
      </c>
      <c r="AP1311" s="193">
        <f>AN1311-AO1311</f>
        <v/>
      </c>
      <c r="AQ1311" s="118">
        <f>IF(offer_sale_type="транзит",SUM(AF1311:AI1311,BA1311,BB1311),0)</f>
        <v/>
      </c>
      <c r="AR1311" s="82">
        <f>HYPERLINK("https://www.alta.ru/tnved/code/")&amp;W1311&amp;"/"</f>
        <v/>
      </c>
      <c r="AS1311" s="157" t="n"/>
      <c r="AT1311" s="162" t="n"/>
      <c r="AU1311" s="76">
        <f>IF(ISBLANK(AT1311),0,AJ1311-AT1311)</f>
        <v/>
      </c>
      <c r="AV1311" s="157" t="n"/>
      <c r="AW1311" s="75">
        <f>_xlfn.IFNA(VLOOKUP(L1311,list_vat[],3,FALSE),0)</f>
        <v/>
      </c>
      <c r="AX1311" s="76">
        <f>IFERROR(ROUND(S1311*(1+AW1311)/E1311,2),0)</f>
        <v/>
      </c>
      <c r="AY1311" s="76">
        <f>E1311*AX1311</f>
        <v/>
      </c>
      <c r="AZ1311" s="192">
        <f>S1311*(1+M1311)</f>
        <v/>
      </c>
      <c r="BA1311" s="76">
        <f>cost_fin_total*$BD1311</f>
        <v/>
      </c>
      <c r="BB1311" s="193">
        <f>credit_sales_interest*BD1311</f>
        <v/>
      </c>
      <c r="BC1311" s="102">
        <f>IFERROR(IF($I$13&gt;0,$I1311/$I$13,$S1311/$S$13),0)</f>
        <v/>
      </c>
      <c r="BD1311" s="102">
        <f>IFERROR($S1311/$S$13,0)</f>
        <v/>
      </c>
      <c r="BE1311" s="413" t="inlineStr">
        <is>
          <t>$</t>
        </is>
      </c>
    </row>
    <row r="1312" ht="12" customFormat="1" customHeight="1" s="65">
      <c r="A1312" s="43" t="n">
        <v>1297</v>
      </c>
      <c r="B1312" s="166" t="n"/>
      <c r="C1312" s="166" t="n"/>
      <c r="D1312" s="166" t="n"/>
      <c r="E1312" s="162" t="n"/>
      <c r="F1312" s="166" t="n"/>
      <c r="G1312" s="162" t="n"/>
      <c r="H1312" s="162" t="n"/>
      <c r="I1312" s="189">
        <f>E1312*G1312</f>
        <v/>
      </c>
      <c r="J1312" s="195" t="n"/>
      <c r="K1312" s="162" t="n"/>
      <c r="L1312" s="168" t="n"/>
      <c r="M1312" s="75">
        <f>_xlfn.XLOOKUP(L1312,list_vat[Страна],list_vat[Ставка НДС %],0,0)</f>
        <v/>
      </c>
      <c r="N1312" s="162">
        <f>IFERROR(IF(L1312="Китай",K1312,K1312/(1+M1312)),0)</f>
        <v/>
      </c>
      <c r="O1312" s="169" t="n"/>
      <c r="P1312" s="76">
        <f>N1312*(1-O1312)</f>
        <v/>
      </c>
      <c r="Q1312" s="162" t="n"/>
      <c r="R1312" s="162">
        <f>IF(ISBLANK(Q1312),"введи курс",P1312/Q1312)</f>
        <v/>
      </c>
      <c r="S1312" s="196">
        <f>IF(AND(ISNUMBER(E1312),ISNUMBER(Q1312)),E1312*R1312,0)</f>
        <v/>
      </c>
      <c r="T1312" s="192">
        <f>$BC1312*V$11</f>
        <v/>
      </c>
      <c r="U1312" s="76">
        <f>$BC1312*W$11</f>
        <v/>
      </c>
      <c r="V1312" s="193">
        <f>+SUM(T1312:U1312)</f>
        <v/>
      </c>
      <c r="W1312" s="191" t="n"/>
      <c r="X1312" s="170" t="n"/>
      <c r="Y1312" s="76">
        <f>ROUND(IF(offer_incoterms="DDP",X1312*(S1312*(1+AW1312)+T1312),0),2)</f>
        <v/>
      </c>
      <c r="Z1312" s="188" t="n"/>
      <c r="AA1312" s="192">
        <f>IFERROR(AB1312/E1312,0)</f>
        <v/>
      </c>
      <c r="AB1312" s="76">
        <f>ROUND(SUM(S1312,V1312,Y1312:Z1312,BA1312:BB1312),2)</f>
        <v/>
      </c>
      <c r="AC1312" s="797" t="n"/>
      <c r="AD1312" s="192">
        <f t="array" ref="AD1312">IFERROR(ROUND((_xlfn.IFS(offer_sale_type="поставка",AB1312,offer_sale_type="транзит",S1312)*(1+AC1312))/E1312,2),0)</f>
        <v/>
      </c>
      <c r="AE1312" s="76">
        <f>AD1312*E1312</f>
        <v/>
      </c>
      <c r="AF1312" s="193">
        <f t="array" ref="AF1312">IFERROR(ROUND(_xlfn.IFS(offer_sale_type="поставка",AB1312,offer_sale_type="транзит",S1312)*AC1312,2),0)</f>
        <v/>
      </c>
      <c r="AG1312" s="192">
        <f>$BD1312*VLOOKUP($AG$3,$AF$4:$AG$7,2,FALSE)</f>
        <v/>
      </c>
      <c r="AH1312" s="76">
        <f>SUM(AE1312,AG1312,AI1312)*rate_forex_risk</f>
        <v/>
      </c>
      <c r="AI1312" s="193">
        <f>IF(OR(seller_region="TR",offer_sale_type="экспорт"),0,rate_fin_comm)*SUM(AZ1312,AZ1312*AW1312,T1312)</f>
        <v/>
      </c>
      <c r="AJ1312" s="118">
        <f>IFERROR(ROUND(SUM(AB1312,AF1312:AI1312)/E1312,2),0)</f>
        <v/>
      </c>
      <c r="AK1312" s="76">
        <f>AJ1312*E1312</f>
        <v/>
      </c>
      <c r="AL1312" s="174">
        <f>ROUND(IFERROR(AM1312*E1312,0),2)</f>
        <v/>
      </c>
      <c r="AM1312" s="175">
        <f>ROUND(AJ1312*(1+IF(offer_incoterms="DDP",IF((TODAY()+offer_turnaround_time)&gt;=helpsheet!$L$17,rate_vatRU_from_26,rate_vatRu_till_25),0)),2)</f>
        <v/>
      </c>
      <c r="AN1312" s="192">
        <f>AL1312-AK1312</f>
        <v/>
      </c>
      <c r="AO1312" s="76">
        <f>SUM(AY1312,Y1312:Z1312,T1312)*IF(AND(offer_incoterms="DDP",offer_sale_type&lt;&gt;"экспорт"),IF((TODAY()+offer_turnaround_time)&gt;=helpsheet!$L$17,rate_vatRU_from_26,rate_vatRu_till_25),0)</f>
        <v/>
      </c>
      <c r="AP1312" s="193">
        <f>AN1312-AO1312</f>
        <v/>
      </c>
      <c r="AQ1312" s="118">
        <f>IF(offer_sale_type="транзит",SUM(AF1312:AI1312,BA1312,BB1312),0)</f>
        <v/>
      </c>
      <c r="AR1312" s="82">
        <f>HYPERLINK("https://www.alta.ru/tnved/code/")&amp;W1312&amp;"/"</f>
        <v/>
      </c>
      <c r="AS1312" s="157" t="n"/>
      <c r="AT1312" s="162" t="n"/>
      <c r="AU1312" s="76">
        <f>IF(ISBLANK(AT1312),0,AJ1312-AT1312)</f>
        <v/>
      </c>
      <c r="AV1312" s="157" t="n"/>
      <c r="AW1312" s="75">
        <f>_xlfn.IFNA(VLOOKUP(L1312,list_vat[],3,FALSE),0)</f>
        <v/>
      </c>
      <c r="AX1312" s="76">
        <f>IFERROR(ROUND(S1312*(1+AW1312)/E1312,2),0)</f>
        <v/>
      </c>
      <c r="AY1312" s="76">
        <f>E1312*AX1312</f>
        <v/>
      </c>
      <c r="AZ1312" s="192">
        <f>S1312*(1+M1312)</f>
        <v/>
      </c>
      <c r="BA1312" s="76">
        <f>cost_fin_total*$BD1312</f>
        <v/>
      </c>
      <c r="BB1312" s="193">
        <f>credit_sales_interest*BD1312</f>
        <v/>
      </c>
      <c r="BC1312" s="102">
        <f>IFERROR(IF($I$13&gt;0,$I1312/$I$13,$S1312/$S$13),0)</f>
        <v/>
      </c>
      <c r="BD1312" s="102">
        <f>IFERROR($S1312/$S$13,0)</f>
        <v/>
      </c>
      <c r="BE1312" s="413" t="inlineStr">
        <is>
          <t>$</t>
        </is>
      </c>
    </row>
    <row r="1313" ht="12" customFormat="1" customHeight="1" s="65">
      <c r="A1313" s="43" t="n">
        <v>1298</v>
      </c>
      <c r="B1313" s="166" t="n"/>
      <c r="C1313" s="166" t="n"/>
      <c r="D1313" s="166" t="n"/>
      <c r="E1313" s="162" t="n"/>
      <c r="F1313" s="166" t="n"/>
      <c r="G1313" s="162" t="n"/>
      <c r="H1313" s="162" t="n"/>
      <c r="I1313" s="189">
        <f>E1313*G1313</f>
        <v/>
      </c>
      <c r="J1313" s="195" t="n"/>
      <c r="K1313" s="162" t="n"/>
      <c r="L1313" s="168" t="n"/>
      <c r="M1313" s="75">
        <f>_xlfn.XLOOKUP(L1313,list_vat[Страна],list_vat[Ставка НДС %],0,0)</f>
        <v/>
      </c>
      <c r="N1313" s="162">
        <f>IFERROR(IF(L1313="Китай",K1313,K1313/(1+M1313)),0)</f>
        <v/>
      </c>
      <c r="O1313" s="169" t="n"/>
      <c r="P1313" s="76">
        <f>N1313*(1-O1313)</f>
        <v/>
      </c>
      <c r="Q1313" s="162" t="n"/>
      <c r="R1313" s="162">
        <f>IF(ISBLANK(Q1313),"введи курс",P1313/Q1313)</f>
        <v/>
      </c>
      <c r="S1313" s="196">
        <f>IF(AND(ISNUMBER(E1313),ISNUMBER(Q1313)),E1313*R1313,0)</f>
        <v/>
      </c>
      <c r="T1313" s="192">
        <f>$BC1313*V$11</f>
        <v/>
      </c>
      <c r="U1313" s="76">
        <f>$BC1313*W$11</f>
        <v/>
      </c>
      <c r="V1313" s="193">
        <f>+SUM(T1313:U1313)</f>
        <v/>
      </c>
      <c r="W1313" s="191" t="n"/>
      <c r="X1313" s="170" t="n"/>
      <c r="Y1313" s="76">
        <f>ROUND(IF(offer_incoterms="DDP",X1313*(S1313*(1+AW1313)+T1313),0),2)</f>
        <v/>
      </c>
      <c r="Z1313" s="188" t="n"/>
      <c r="AA1313" s="192">
        <f>IFERROR(AB1313/E1313,0)</f>
        <v/>
      </c>
      <c r="AB1313" s="76">
        <f>ROUND(SUM(S1313,V1313,Y1313:Z1313,BA1313:BB1313),2)</f>
        <v/>
      </c>
      <c r="AC1313" s="797" t="n"/>
      <c r="AD1313" s="192">
        <f t="array" ref="AD1313">IFERROR(ROUND((_xlfn.IFS(offer_sale_type="поставка",AB1313,offer_sale_type="транзит",S1313)*(1+AC1313))/E1313,2),0)</f>
        <v/>
      </c>
      <c r="AE1313" s="76">
        <f>AD1313*E1313</f>
        <v/>
      </c>
      <c r="AF1313" s="193">
        <f t="array" ref="AF1313">IFERROR(ROUND(_xlfn.IFS(offer_sale_type="поставка",AB1313,offer_sale_type="транзит",S1313)*AC1313,2),0)</f>
        <v/>
      </c>
      <c r="AG1313" s="192">
        <f>$BD1313*VLOOKUP($AG$3,$AF$4:$AG$7,2,FALSE)</f>
        <v/>
      </c>
      <c r="AH1313" s="76">
        <f>SUM(AE1313,AG1313,AI1313)*rate_forex_risk</f>
        <v/>
      </c>
      <c r="AI1313" s="193">
        <f>IF(OR(seller_region="TR",offer_sale_type="экспорт"),0,rate_fin_comm)*SUM(AZ1313,AZ1313*AW1313,T1313)</f>
        <v/>
      </c>
      <c r="AJ1313" s="118">
        <f>IFERROR(ROUND(SUM(AB1313,AF1313:AI1313)/E1313,2),0)</f>
        <v/>
      </c>
      <c r="AK1313" s="76">
        <f>AJ1313*E1313</f>
        <v/>
      </c>
      <c r="AL1313" s="174">
        <f>ROUND(IFERROR(AM1313*E1313,0),2)</f>
        <v/>
      </c>
      <c r="AM1313" s="175">
        <f>ROUND(AJ1313*(1+IF(offer_incoterms="DDP",IF((TODAY()+offer_turnaround_time)&gt;=helpsheet!$L$17,rate_vatRU_from_26,rate_vatRu_till_25),0)),2)</f>
        <v/>
      </c>
      <c r="AN1313" s="192">
        <f>AL1313-AK1313</f>
        <v/>
      </c>
      <c r="AO1313" s="76">
        <f>SUM(AY1313,Y1313:Z1313,T1313)*IF(AND(offer_incoterms="DDP",offer_sale_type&lt;&gt;"экспорт"),IF((TODAY()+offer_turnaround_time)&gt;=helpsheet!$L$17,rate_vatRU_from_26,rate_vatRu_till_25),0)</f>
        <v/>
      </c>
      <c r="AP1313" s="193">
        <f>AN1313-AO1313</f>
        <v/>
      </c>
      <c r="AQ1313" s="118">
        <f>IF(offer_sale_type="транзит",SUM(AF1313:AI1313,BA1313,BB1313),0)</f>
        <v/>
      </c>
      <c r="AR1313" s="82">
        <f>HYPERLINK("https://www.alta.ru/tnved/code/")&amp;W1313&amp;"/"</f>
        <v/>
      </c>
      <c r="AS1313" s="157" t="n"/>
      <c r="AT1313" s="162" t="n"/>
      <c r="AU1313" s="76">
        <f>IF(ISBLANK(AT1313),0,AJ1313-AT1313)</f>
        <v/>
      </c>
      <c r="AV1313" s="157" t="n"/>
      <c r="AW1313" s="75">
        <f>_xlfn.IFNA(VLOOKUP(L1313,list_vat[],3,FALSE),0)</f>
        <v/>
      </c>
      <c r="AX1313" s="76">
        <f>IFERROR(ROUND(S1313*(1+AW1313)/E1313,2),0)</f>
        <v/>
      </c>
      <c r="AY1313" s="76">
        <f>E1313*AX1313</f>
        <v/>
      </c>
      <c r="AZ1313" s="192">
        <f>S1313*(1+M1313)</f>
        <v/>
      </c>
      <c r="BA1313" s="76">
        <f>cost_fin_total*$BD1313</f>
        <v/>
      </c>
      <c r="BB1313" s="193">
        <f>credit_sales_interest*BD1313</f>
        <v/>
      </c>
      <c r="BC1313" s="102">
        <f>IFERROR(IF($I$13&gt;0,$I1313/$I$13,$S1313/$S$13),0)</f>
        <v/>
      </c>
      <c r="BD1313" s="102">
        <f>IFERROR($S1313/$S$13,0)</f>
        <v/>
      </c>
      <c r="BE1313" s="413" t="inlineStr">
        <is>
          <t>$</t>
        </is>
      </c>
    </row>
    <row r="1314" ht="12" customFormat="1" customHeight="1" s="65">
      <c r="A1314" s="43" t="n">
        <v>1299</v>
      </c>
      <c r="B1314" s="166" t="n"/>
      <c r="C1314" s="166" t="n"/>
      <c r="D1314" s="166" t="n"/>
      <c r="E1314" s="162" t="n"/>
      <c r="F1314" s="166" t="n"/>
      <c r="G1314" s="162" t="n"/>
      <c r="H1314" s="162" t="n"/>
      <c r="I1314" s="189">
        <f>E1314*G1314</f>
        <v/>
      </c>
      <c r="J1314" s="195" t="n"/>
      <c r="K1314" s="162" t="n"/>
      <c r="L1314" s="168" t="n"/>
      <c r="M1314" s="75">
        <f>_xlfn.XLOOKUP(L1314,list_vat[Страна],list_vat[Ставка НДС %],0,0)</f>
        <v/>
      </c>
      <c r="N1314" s="162">
        <f>IFERROR(IF(L1314="Китай",K1314,K1314/(1+M1314)),0)</f>
        <v/>
      </c>
      <c r="O1314" s="169" t="n"/>
      <c r="P1314" s="76">
        <f>N1314*(1-O1314)</f>
        <v/>
      </c>
      <c r="Q1314" s="162" t="n"/>
      <c r="R1314" s="162">
        <f>IF(ISBLANK(Q1314),"введи курс",P1314/Q1314)</f>
        <v/>
      </c>
      <c r="S1314" s="196">
        <f>IF(AND(ISNUMBER(E1314),ISNUMBER(Q1314)),E1314*R1314,0)</f>
        <v/>
      </c>
      <c r="T1314" s="192">
        <f>$BC1314*V$11</f>
        <v/>
      </c>
      <c r="U1314" s="76">
        <f>$BC1314*W$11</f>
        <v/>
      </c>
      <c r="V1314" s="193">
        <f>+SUM(T1314:U1314)</f>
        <v/>
      </c>
      <c r="W1314" s="191" t="n"/>
      <c r="X1314" s="170" t="n"/>
      <c r="Y1314" s="76">
        <f>ROUND(IF(offer_incoterms="DDP",X1314*(S1314*(1+AW1314)+T1314),0),2)</f>
        <v/>
      </c>
      <c r="Z1314" s="188" t="n"/>
      <c r="AA1314" s="192">
        <f>IFERROR(AB1314/E1314,0)</f>
        <v/>
      </c>
      <c r="AB1314" s="76">
        <f>ROUND(SUM(S1314,V1314,Y1314:Z1314,BA1314:BB1314),2)</f>
        <v/>
      </c>
      <c r="AC1314" s="797" t="n"/>
      <c r="AD1314" s="192">
        <f t="array" ref="AD1314">IFERROR(ROUND((_xlfn.IFS(offer_sale_type="поставка",AB1314,offer_sale_type="транзит",S1314)*(1+AC1314))/E1314,2),0)</f>
        <v/>
      </c>
      <c r="AE1314" s="76">
        <f>AD1314*E1314</f>
        <v/>
      </c>
      <c r="AF1314" s="193">
        <f t="array" ref="AF1314">IFERROR(ROUND(_xlfn.IFS(offer_sale_type="поставка",AB1314,offer_sale_type="транзит",S1314)*AC1314,2),0)</f>
        <v/>
      </c>
      <c r="AG1314" s="192">
        <f>$BD1314*VLOOKUP($AG$3,$AF$4:$AG$7,2,FALSE)</f>
        <v/>
      </c>
      <c r="AH1314" s="76">
        <f>SUM(AE1314,AG1314,AI1314)*rate_forex_risk</f>
        <v/>
      </c>
      <c r="AI1314" s="193">
        <f>IF(OR(seller_region="TR",offer_sale_type="экспорт"),0,rate_fin_comm)*SUM(AZ1314,AZ1314*AW1314,T1314)</f>
        <v/>
      </c>
      <c r="AJ1314" s="118">
        <f>IFERROR(ROUND(SUM(AB1314,AF1314:AI1314)/E1314,2),0)</f>
        <v/>
      </c>
      <c r="AK1314" s="76">
        <f>AJ1314*E1314</f>
        <v/>
      </c>
      <c r="AL1314" s="174">
        <f>ROUND(IFERROR(AM1314*E1314,0),2)</f>
        <v/>
      </c>
      <c r="AM1314" s="175">
        <f>ROUND(AJ1314*(1+IF(offer_incoterms="DDP",IF((TODAY()+offer_turnaround_time)&gt;=helpsheet!$L$17,rate_vatRU_from_26,rate_vatRu_till_25),0)),2)</f>
        <v/>
      </c>
      <c r="AN1314" s="192">
        <f>AL1314-AK1314</f>
        <v/>
      </c>
      <c r="AO1314" s="76">
        <f>SUM(AY1314,Y1314:Z1314,T1314)*IF(AND(offer_incoterms="DDP",offer_sale_type&lt;&gt;"экспорт"),IF((TODAY()+offer_turnaround_time)&gt;=helpsheet!$L$17,rate_vatRU_from_26,rate_vatRu_till_25),0)</f>
        <v/>
      </c>
      <c r="AP1314" s="193">
        <f>AN1314-AO1314</f>
        <v/>
      </c>
      <c r="AQ1314" s="118">
        <f>IF(offer_sale_type="транзит",SUM(AF1314:AI1314,BA1314,BB1314),0)</f>
        <v/>
      </c>
      <c r="AR1314" s="82">
        <f>HYPERLINK("https://www.alta.ru/tnved/code/")&amp;W1314&amp;"/"</f>
        <v/>
      </c>
      <c r="AS1314" s="157" t="n"/>
      <c r="AT1314" s="162" t="n"/>
      <c r="AU1314" s="76">
        <f>IF(ISBLANK(AT1314),0,AJ1314-AT1314)</f>
        <v/>
      </c>
      <c r="AV1314" s="157" t="n"/>
      <c r="AW1314" s="75">
        <f>_xlfn.IFNA(VLOOKUP(L1314,list_vat[],3,FALSE),0)</f>
        <v/>
      </c>
      <c r="AX1314" s="76">
        <f>IFERROR(ROUND(S1314*(1+AW1314)/E1314,2),0)</f>
        <v/>
      </c>
      <c r="AY1314" s="76">
        <f>E1314*AX1314</f>
        <v/>
      </c>
      <c r="AZ1314" s="192">
        <f>S1314*(1+M1314)</f>
        <v/>
      </c>
      <c r="BA1314" s="76">
        <f>cost_fin_total*$BD1314</f>
        <v/>
      </c>
      <c r="BB1314" s="193">
        <f>credit_sales_interest*BD1314</f>
        <v/>
      </c>
      <c r="BC1314" s="102">
        <f>IFERROR(IF($I$13&gt;0,$I1314/$I$13,$S1314/$S$13),0)</f>
        <v/>
      </c>
      <c r="BD1314" s="102">
        <f>IFERROR($S1314/$S$13,0)</f>
        <v/>
      </c>
      <c r="BE1314" s="413" t="inlineStr">
        <is>
          <t>$</t>
        </is>
      </c>
    </row>
    <row r="1315" ht="12" customFormat="1" customHeight="1" s="65">
      <c r="A1315" s="43" t="n">
        <v>1300</v>
      </c>
      <c r="B1315" s="166" t="n"/>
      <c r="C1315" s="166" t="n"/>
      <c r="D1315" s="166" t="n"/>
      <c r="E1315" s="162" t="n"/>
      <c r="F1315" s="166" t="n"/>
      <c r="G1315" s="162" t="n"/>
      <c r="H1315" s="162" t="n"/>
      <c r="I1315" s="189">
        <f>E1315*G1315</f>
        <v/>
      </c>
      <c r="J1315" s="195" t="n"/>
      <c r="K1315" s="162" t="n"/>
      <c r="L1315" s="168" t="n"/>
      <c r="M1315" s="75">
        <f>_xlfn.XLOOKUP(L1315,list_vat[Страна],list_vat[Ставка НДС %],0,0)</f>
        <v/>
      </c>
      <c r="N1315" s="162">
        <f>IFERROR(IF(L1315="Китай",K1315,K1315/(1+M1315)),0)</f>
        <v/>
      </c>
      <c r="O1315" s="169" t="n"/>
      <c r="P1315" s="76">
        <f>N1315*(1-O1315)</f>
        <v/>
      </c>
      <c r="Q1315" s="162" t="n"/>
      <c r="R1315" s="162">
        <f>IF(ISBLANK(Q1315),"введи курс",P1315/Q1315)</f>
        <v/>
      </c>
      <c r="S1315" s="196">
        <f>IF(AND(ISNUMBER(E1315),ISNUMBER(Q1315)),E1315*R1315,0)</f>
        <v/>
      </c>
      <c r="T1315" s="192">
        <f>$BC1315*V$11</f>
        <v/>
      </c>
      <c r="U1315" s="76">
        <f>$BC1315*W$11</f>
        <v/>
      </c>
      <c r="V1315" s="193">
        <f>+SUM(T1315:U1315)</f>
        <v/>
      </c>
      <c r="W1315" s="191" t="n"/>
      <c r="X1315" s="170" t="n"/>
      <c r="Y1315" s="76">
        <f>ROUND(IF(offer_incoterms="DDP",X1315*(S1315*(1+AW1315)+T1315),0),2)</f>
        <v/>
      </c>
      <c r="Z1315" s="188" t="n"/>
      <c r="AA1315" s="192">
        <f>IFERROR(AB1315/E1315,0)</f>
        <v/>
      </c>
      <c r="AB1315" s="76">
        <f>ROUND(SUM(S1315,V1315,Y1315:Z1315,BA1315:BB1315),2)</f>
        <v/>
      </c>
      <c r="AC1315" s="797" t="n"/>
      <c r="AD1315" s="192">
        <f t="array" ref="AD1315">IFERROR(ROUND((_xlfn.IFS(offer_sale_type="поставка",AB1315,offer_sale_type="транзит",S1315)*(1+AC1315))/E1315,2),0)</f>
        <v/>
      </c>
      <c r="AE1315" s="76">
        <f>AD1315*E1315</f>
        <v/>
      </c>
      <c r="AF1315" s="193">
        <f t="array" ref="AF1315">IFERROR(ROUND(_xlfn.IFS(offer_sale_type="поставка",AB1315,offer_sale_type="транзит",S1315)*AC1315,2),0)</f>
        <v/>
      </c>
      <c r="AG1315" s="192">
        <f>$BD1315*VLOOKUP($AG$3,$AF$4:$AG$7,2,FALSE)</f>
        <v/>
      </c>
      <c r="AH1315" s="76">
        <f>SUM(AE1315,AG1315,AI1315)*rate_forex_risk</f>
        <v/>
      </c>
      <c r="AI1315" s="193">
        <f>IF(OR(seller_region="TR",offer_sale_type="экспорт"),0,rate_fin_comm)*SUM(AZ1315,AZ1315*AW1315,T1315)</f>
        <v/>
      </c>
      <c r="AJ1315" s="118">
        <f>IFERROR(ROUND(SUM(AB1315,AF1315:AI1315)/E1315,2),0)</f>
        <v/>
      </c>
      <c r="AK1315" s="76">
        <f>AJ1315*E1315</f>
        <v/>
      </c>
      <c r="AL1315" s="174">
        <f>ROUND(IFERROR(AM1315*E1315,0),2)</f>
        <v/>
      </c>
      <c r="AM1315" s="175">
        <f>ROUND(AJ1315*(1+IF(offer_incoterms="DDP",IF((TODAY()+offer_turnaround_time)&gt;=helpsheet!$L$17,rate_vatRU_from_26,rate_vatRu_till_25),0)),2)</f>
        <v/>
      </c>
      <c r="AN1315" s="192">
        <f>AL1315-AK1315</f>
        <v/>
      </c>
      <c r="AO1315" s="76">
        <f>SUM(AY1315,Y1315:Z1315,T1315)*IF(AND(offer_incoterms="DDP",offer_sale_type&lt;&gt;"экспорт"),IF((TODAY()+offer_turnaround_time)&gt;=helpsheet!$L$17,rate_vatRU_from_26,rate_vatRu_till_25),0)</f>
        <v/>
      </c>
      <c r="AP1315" s="193">
        <f>AN1315-AO1315</f>
        <v/>
      </c>
      <c r="AQ1315" s="118">
        <f>IF(offer_sale_type="транзит",SUM(AF1315:AI1315,BA1315,BB1315),0)</f>
        <v/>
      </c>
      <c r="AR1315" s="82">
        <f>HYPERLINK("https://www.alta.ru/tnved/code/")&amp;W1315&amp;"/"</f>
        <v/>
      </c>
      <c r="AS1315" s="157" t="n"/>
      <c r="AT1315" s="162" t="n"/>
      <c r="AU1315" s="76">
        <f>IF(ISBLANK(AT1315),0,AJ1315-AT1315)</f>
        <v/>
      </c>
      <c r="AV1315" s="157" t="n"/>
      <c r="AW1315" s="75">
        <f>_xlfn.IFNA(VLOOKUP(L1315,list_vat[],3,FALSE),0)</f>
        <v/>
      </c>
      <c r="AX1315" s="76">
        <f>IFERROR(ROUND(S1315*(1+AW1315)/E1315,2),0)</f>
        <v/>
      </c>
      <c r="AY1315" s="76">
        <f>E1315*AX1315</f>
        <v/>
      </c>
      <c r="AZ1315" s="192">
        <f>S1315*(1+M1315)</f>
        <v/>
      </c>
      <c r="BA1315" s="76">
        <f>cost_fin_total*$BD1315</f>
        <v/>
      </c>
      <c r="BB1315" s="193">
        <f>credit_sales_interest*BD1315</f>
        <v/>
      </c>
      <c r="BC1315" s="102">
        <f>IFERROR(IF($I$13&gt;0,$I1315/$I$13,$S1315/$S$13),0)</f>
        <v/>
      </c>
      <c r="BD1315" s="102">
        <f>IFERROR($S1315/$S$13,0)</f>
        <v/>
      </c>
      <c r="BE1315" s="413" t="inlineStr">
        <is>
          <t>$</t>
        </is>
      </c>
    </row>
    <row r="1316" ht="12" customFormat="1" customHeight="1" s="65">
      <c r="A1316" s="43" t="n">
        <v>1301</v>
      </c>
      <c r="B1316" s="166" t="n"/>
      <c r="C1316" s="166" t="n"/>
      <c r="D1316" s="166" t="n"/>
      <c r="E1316" s="162" t="n"/>
      <c r="F1316" s="166" t="n"/>
      <c r="G1316" s="162" t="n"/>
      <c r="H1316" s="162" t="n"/>
      <c r="I1316" s="189">
        <f>E1316*G1316</f>
        <v/>
      </c>
      <c r="J1316" s="195" t="n"/>
      <c r="K1316" s="162" t="n"/>
      <c r="L1316" s="168" t="n"/>
      <c r="M1316" s="75">
        <f>_xlfn.XLOOKUP(L1316,list_vat[Страна],list_vat[Ставка НДС %],0,0)</f>
        <v/>
      </c>
      <c r="N1316" s="162">
        <f>IFERROR(IF(L1316="Китай",K1316,K1316/(1+M1316)),0)</f>
        <v/>
      </c>
      <c r="O1316" s="169" t="n"/>
      <c r="P1316" s="76">
        <f>N1316*(1-O1316)</f>
        <v/>
      </c>
      <c r="Q1316" s="162" t="n"/>
      <c r="R1316" s="162">
        <f>IF(ISBLANK(Q1316),"введи курс",P1316/Q1316)</f>
        <v/>
      </c>
      <c r="S1316" s="196">
        <f>IF(AND(ISNUMBER(E1316),ISNUMBER(Q1316)),E1316*R1316,0)</f>
        <v/>
      </c>
      <c r="T1316" s="192">
        <f>$BC1316*V$11</f>
        <v/>
      </c>
      <c r="U1316" s="76">
        <f>$BC1316*W$11</f>
        <v/>
      </c>
      <c r="V1316" s="193">
        <f>+SUM(T1316:U1316)</f>
        <v/>
      </c>
      <c r="W1316" s="191" t="n"/>
      <c r="X1316" s="170" t="n"/>
      <c r="Y1316" s="76">
        <f>ROUND(IF(offer_incoterms="DDP",X1316*(S1316*(1+AW1316)+T1316),0),2)</f>
        <v/>
      </c>
      <c r="Z1316" s="188" t="n"/>
      <c r="AA1316" s="192">
        <f>IFERROR(AB1316/E1316,0)</f>
        <v/>
      </c>
      <c r="AB1316" s="76">
        <f>ROUND(SUM(S1316,V1316,Y1316:Z1316,BA1316:BB1316),2)</f>
        <v/>
      </c>
      <c r="AC1316" s="797" t="n"/>
      <c r="AD1316" s="192">
        <f t="array" ref="AD1316">IFERROR(ROUND((_xlfn.IFS(offer_sale_type="поставка",AB1316,offer_sale_type="транзит",S1316)*(1+AC1316))/E1316,2),0)</f>
        <v/>
      </c>
      <c r="AE1316" s="76">
        <f>AD1316*E1316</f>
        <v/>
      </c>
      <c r="AF1316" s="193">
        <f t="array" ref="AF1316">IFERROR(ROUND(_xlfn.IFS(offer_sale_type="поставка",AB1316,offer_sale_type="транзит",S1316)*AC1316,2),0)</f>
        <v/>
      </c>
      <c r="AG1316" s="192">
        <f>$BD1316*VLOOKUP($AG$3,$AF$4:$AG$7,2,FALSE)</f>
        <v/>
      </c>
      <c r="AH1316" s="76">
        <f>SUM(AE1316,AG1316,AI1316)*rate_forex_risk</f>
        <v/>
      </c>
      <c r="AI1316" s="193">
        <f>IF(OR(seller_region="TR",offer_sale_type="экспорт"),0,rate_fin_comm)*SUM(AZ1316,AZ1316*AW1316,T1316)</f>
        <v/>
      </c>
      <c r="AJ1316" s="118">
        <f>IFERROR(ROUND(SUM(AB1316,AF1316:AI1316)/E1316,2),0)</f>
        <v/>
      </c>
      <c r="AK1316" s="76">
        <f>AJ1316*E1316</f>
        <v/>
      </c>
      <c r="AL1316" s="174">
        <f>ROUND(IFERROR(AM1316*E1316,0),2)</f>
        <v/>
      </c>
      <c r="AM1316" s="175">
        <f>ROUND(AJ1316*(1+IF(offer_incoterms="DDP",IF((TODAY()+offer_turnaround_time)&gt;=helpsheet!$L$17,rate_vatRU_from_26,rate_vatRu_till_25),0)),2)</f>
        <v/>
      </c>
      <c r="AN1316" s="192">
        <f>AL1316-AK1316</f>
        <v/>
      </c>
      <c r="AO1316" s="76">
        <f>SUM(AY1316,Y1316:Z1316,T1316)*IF(AND(offer_incoterms="DDP",offer_sale_type&lt;&gt;"экспорт"),IF((TODAY()+offer_turnaround_time)&gt;=helpsheet!$L$17,rate_vatRU_from_26,rate_vatRu_till_25),0)</f>
        <v/>
      </c>
      <c r="AP1316" s="193">
        <f>AN1316-AO1316</f>
        <v/>
      </c>
      <c r="AQ1316" s="118">
        <f>IF(offer_sale_type="транзит",SUM(AF1316:AI1316,BA1316,BB1316),0)</f>
        <v/>
      </c>
      <c r="AR1316" s="82">
        <f>HYPERLINK("https://www.alta.ru/tnved/code/")&amp;W1316&amp;"/"</f>
        <v/>
      </c>
      <c r="AS1316" s="157" t="n"/>
      <c r="AT1316" s="162" t="n"/>
      <c r="AU1316" s="76">
        <f>IF(ISBLANK(AT1316),0,AJ1316-AT1316)</f>
        <v/>
      </c>
      <c r="AV1316" s="157" t="n"/>
      <c r="AW1316" s="75">
        <f>_xlfn.IFNA(VLOOKUP(L1316,list_vat[],3,FALSE),0)</f>
        <v/>
      </c>
      <c r="AX1316" s="76">
        <f>IFERROR(ROUND(S1316*(1+AW1316)/E1316,2),0)</f>
        <v/>
      </c>
      <c r="AY1316" s="76">
        <f>E1316*AX1316</f>
        <v/>
      </c>
      <c r="AZ1316" s="192">
        <f>S1316*(1+M1316)</f>
        <v/>
      </c>
      <c r="BA1316" s="76">
        <f>cost_fin_total*$BD1316</f>
        <v/>
      </c>
      <c r="BB1316" s="193">
        <f>credit_sales_interest*BD1316</f>
        <v/>
      </c>
      <c r="BC1316" s="102">
        <f>IFERROR(IF($I$13&gt;0,$I1316/$I$13,$S1316/$S$13),0)</f>
        <v/>
      </c>
      <c r="BD1316" s="102">
        <f>IFERROR($S1316/$S$13,0)</f>
        <v/>
      </c>
      <c r="BE1316" s="413" t="inlineStr">
        <is>
          <t>$</t>
        </is>
      </c>
    </row>
    <row r="1317" ht="12" customFormat="1" customHeight="1" s="65">
      <c r="A1317" s="43" t="n">
        <v>1302</v>
      </c>
      <c r="B1317" s="166" t="n"/>
      <c r="C1317" s="166" t="n"/>
      <c r="D1317" s="166" t="n"/>
      <c r="E1317" s="162" t="n"/>
      <c r="F1317" s="166" t="n"/>
      <c r="G1317" s="162" t="n"/>
      <c r="H1317" s="162" t="n"/>
      <c r="I1317" s="189">
        <f>E1317*G1317</f>
        <v/>
      </c>
      <c r="J1317" s="195" t="n"/>
      <c r="K1317" s="162" t="n"/>
      <c r="L1317" s="168" t="n"/>
      <c r="M1317" s="75">
        <f>_xlfn.XLOOKUP(L1317,list_vat[Страна],list_vat[Ставка НДС %],0,0)</f>
        <v/>
      </c>
      <c r="N1317" s="162">
        <f>IFERROR(IF(L1317="Китай",K1317,K1317/(1+M1317)),0)</f>
        <v/>
      </c>
      <c r="O1317" s="169" t="n"/>
      <c r="P1317" s="76">
        <f>N1317*(1-O1317)</f>
        <v/>
      </c>
      <c r="Q1317" s="162" t="n"/>
      <c r="R1317" s="162">
        <f>IF(ISBLANK(Q1317),"введи курс",P1317/Q1317)</f>
        <v/>
      </c>
      <c r="S1317" s="196">
        <f>IF(AND(ISNUMBER(E1317),ISNUMBER(Q1317)),E1317*R1317,0)</f>
        <v/>
      </c>
      <c r="T1317" s="192">
        <f>$BC1317*V$11</f>
        <v/>
      </c>
      <c r="U1317" s="76">
        <f>$BC1317*W$11</f>
        <v/>
      </c>
      <c r="V1317" s="193">
        <f>+SUM(T1317:U1317)</f>
        <v/>
      </c>
      <c r="W1317" s="191" t="n"/>
      <c r="X1317" s="170" t="n"/>
      <c r="Y1317" s="76">
        <f>ROUND(IF(offer_incoterms="DDP",X1317*(S1317*(1+AW1317)+T1317),0),2)</f>
        <v/>
      </c>
      <c r="Z1317" s="188" t="n"/>
      <c r="AA1317" s="192">
        <f>IFERROR(AB1317/E1317,0)</f>
        <v/>
      </c>
      <c r="AB1317" s="76">
        <f>ROUND(SUM(S1317,V1317,Y1317:Z1317,BA1317:BB1317),2)</f>
        <v/>
      </c>
      <c r="AC1317" s="797" t="n"/>
      <c r="AD1317" s="192">
        <f t="array" ref="AD1317">IFERROR(ROUND((_xlfn.IFS(offer_sale_type="поставка",AB1317,offer_sale_type="транзит",S1317)*(1+AC1317))/E1317,2),0)</f>
        <v/>
      </c>
      <c r="AE1317" s="76">
        <f>AD1317*E1317</f>
        <v/>
      </c>
      <c r="AF1317" s="193">
        <f t="array" ref="AF1317">IFERROR(ROUND(_xlfn.IFS(offer_sale_type="поставка",AB1317,offer_sale_type="транзит",S1317)*AC1317,2),0)</f>
        <v/>
      </c>
      <c r="AG1317" s="192">
        <f>$BD1317*VLOOKUP($AG$3,$AF$4:$AG$7,2,FALSE)</f>
        <v/>
      </c>
      <c r="AH1317" s="76">
        <f>SUM(AE1317,AG1317,AI1317)*rate_forex_risk</f>
        <v/>
      </c>
      <c r="AI1317" s="193">
        <f>IF(OR(seller_region="TR",offer_sale_type="экспорт"),0,rate_fin_comm)*SUM(AZ1317,AZ1317*AW1317,T1317)</f>
        <v/>
      </c>
      <c r="AJ1317" s="118">
        <f>IFERROR(ROUND(SUM(AB1317,AF1317:AI1317)/E1317,2),0)</f>
        <v/>
      </c>
      <c r="AK1317" s="76">
        <f>AJ1317*E1317</f>
        <v/>
      </c>
      <c r="AL1317" s="174">
        <f>ROUND(IFERROR(AM1317*E1317,0),2)</f>
        <v/>
      </c>
      <c r="AM1317" s="175">
        <f>ROUND(AJ1317*(1+IF(offer_incoterms="DDP",IF((TODAY()+offer_turnaround_time)&gt;=helpsheet!$L$17,rate_vatRU_from_26,rate_vatRu_till_25),0)),2)</f>
        <v/>
      </c>
      <c r="AN1317" s="192">
        <f>AL1317-AK1317</f>
        <v/>
      </c>
      <c r="AO1317" s="76">
        <f>SUM(AY1317,Y1317:Z1317,T1317)*IF(AND(offer_incoterms="DDP",offer_sale_type&lt;&gt;"экспорт"),IF((TODAY()+offer_turnaround_time)&gt;=helpsheet!$L$17,rate_vatRU_from_26,rate_vatRu_till_25),0)</f>
        <v/>
      </c>
      <c r="AP1317" s="193">
        <f>AN1317-AO1317</f>
        <v/>
      </c>
      <c r="AQ1317" s="118">
        <f>IF(offer_sale_type="транзит",SUM(AF1317:AI1317,BA1317,BB1317),0)</f>
        <v/>
      </c>
      <c r="AR1317" s="82">
        <f>HYPERLINK("https://www.alta.ru/tnved/code/")&amp;W1317&amp;"/"</f>
        <v/>
      </c>
      <c r="AS1317" s="157" t="n"/>
      <c r="AT1317" s="162" t="n"/>
      <c r="AU1317" s="76">
        <f>IF(ISBLANK(AT1317),0,AJ1317-AT1317)</f>
        <v/>
      </c>
      <c r="AV1317" s="157" t="n"/>
      <c r="AW1317" s="75">
        <f>_xlfn.IFNA(VLOOKUP(L1317,list_vat[],3,FALSE),0)</f>
        <v/>
      </c>
      <c r="AX1317" s="76">
        <f>IFERROR(ROUND(S1317*(1+AW1317)/E1317,2),0)</f>
        <v/>
      </c>
      <c r="AY1317" s="76">
        <f>E1317*AX1317</f>
        <v/>
      </c>
      <c r="AZ1317" s="192">
        <f>S1317*(1+M1317)</f>
        <v/>
      </c>
      <c r="BA1317" s="76">
        <f>cost_fin_total*$BD1317</f>
        <v/>
      </c>
      <c r="BB1317" s="193">
        <f>credit_sales_interest*BD1317</f>
        <v/>
      </c>
      <c r="BC1317" s="102">
        <f>IFERROR(IF($I$13&gt;0,$I1317/$I$13,$S1317/$S$13),0)</f>
        <v/>
      </c>
      <c r="BD1317" s="102">
        <f>IFERROR($S1317/$S$13,0)</f>
        <v/>
      </c>
      <c r="BE1317" s="413" t="inlineStr">
        <is>
          <t>$</t>
        </is>
      </c>
    </row>
    <row r="1318" ht="12" customFormat="1" customHeight="1" s="65">
      <c r="A1318" s="43" t="n">
        <v>1303</v>
      </c>
      <c r="B1318" s="166" t="n"/>
      <c r="C1318" s="166" t="n"/>
      <c r="D1318" s="166" t="n"/>
      <c r="E1318" s="162" t="n"/>
      <c r="F1318" s="166" t="n"/>
      <c r="G1318" s="162" t="n"/>
      <c r="H1318" s="162" t="n"/>
      <c r="I1318" s="189">
        <f>E1318*G1318</f>
        <v/>
      </c>
      <c r="J1318" s="195" t="n"/>
      <c r="K1318" s="162" t="n"/>
      <c r="L1318" s="168" t="n"/>
      <c r="M1318" s="75">
        <f>_xlfn.XLOOKUP(L1318,list_vat[Страна],list_vat[Ставка НДС %],0,0)</f>
        <v/>
      </c>
      <c r="N1318" s="162">
        <f>IFERROR(IF(L1318="Китай",K1318,K1318/(1+M1318)),0)</f>
        <v/>
      </c>
      <c r="O1318" s="169" t="n"/>
      <c r="P1318" s="76">
        <f>N1318*(1-O1318)</f>
        <v/>
      </c>
      <c r="Q1318" s="162" t="n"/>
      <c r="R1318" s="162">
        <f>IF(ISBLANK(Q1318),"введи курс",P1318/Q1318)</f>
        <v/>
      </c>
      <c r="S1318" s="196">
        <f>IF(AND(ISNUMBER(E1318),ISNUMBER(Q1318)),E1318*R1318,0)</f>
        <v/>
      </c>
      <c r="T1318" s="192">
        <f>$BC1318*V$11</f>
        <v/>
      </c>
      <c r="U1318" s="76">
        <f>$BC1318*W$11</f>
        <v/>
      </c>
      <c r="V1318" s="193">
        <f>+SUM(T1318:U1318)</f>
        <v/>
      </c>
      <c r="W1318" s="191" t="n"/>
      <c r="X1318" s="170" t="n"/>
      <c r="Y1318" s="76">
        <f>ROUND(IF(offer_incoterms="DDP",X1318*(S1318*(1+AW1318)+T1318),0),2)</f>
        <v/>
      </c>
      <c r="Z1318" s="188" t="n"/>
      <c r="AA1318" s="192">
        <f>IFERROR(AB1318/E1318,0)</f>
        <v/>
      </c>
      <c r="AB1318" s="76">
        <f>ROUND(SUM(S1318,V1318,Y1318:Z1318,BA1318:BB1318),2)</f>
        <v/>
      </c>
      <c r="AC1318" s="797" t="n"/>
      <c r="AD1318" s="192">
        <f t="array" ref="AD1318">IFERROR(ROUND((_xlfn.IFS(offer_sale_type="поставка",AB1318,offer_sale_type="транзит",S1318)*(1+AC1318))/E1318,2),0)</f>
        <v/>
      </c>
      <c r="AE1318" s="76">
        <f>AD1318*E1318</f>
        <v/>
      </c>
      <c r="AF1318" s="193">
        <f t="array" ref="AF1318">IFERROR(ROUND(_xlfn.IFS(offer_sale_type="поставка",AB1318,offer_sale_type="транзит",S1318)*AC1318,2),0)</f>
        <v/>
      </c>
      <c r="AG1318" s="192">
        <f>$BD1318*VLOOKUP($AG$3,$AF$4:$AG$7,2,FALSE)</f>
        <v/>
      </c>
      <c r="AH1318" s="76">
        <f>SUM(AE1318,AG1318,AI1318)*rate_forex_risk</f>
        <v/>
      </c>
      <c r="AI1318" s="193">
        <f>IF(OR(seller_region="TR",offer_sale_type="экспорт"),0,rate_fin_comm)*SUM(AZ1318,AZ1318*AW1318,T1318)</f>
        <v/>
      </c>
      <c r="AJ1318" s="118">
        <f>IFERROR(ROUND(SUM(AB1318,AF1318:AI1318)/E1318,2),0)</f>
        <v/>
      </c>
      <c r="AK1318" s="76">
        <f>AJ1318*E1318</f>
        <v/>
      </c>
      <c r="AL1318" s="174">
        <f>ROUND(IFERROR(AM1318*E1318,0),2)</f>
        <v/>
      </c>
      <c r="AM1318" s="175">
        <f>ROUND(AJ1318*(1+IF(offer_incoterms="DDP",IF((TODAY()+offer_turnaround_time)&gt;=helpsheet!$L$17,rate_vatRU_from_26,rate_vatRu_till_25),0)),2)</f>
        <v/>
      </c>
      <c r="AN1318" s="192">
        <f>AL1318-AK1318</f>
        <v/>
      </c>
      <c r="AO1318" s="76">
        <f>SUM(AY1318,Y1318:Z1318,T1318)*IF(AND(offer_incoterms="DDP",offer_sale_type&lt;&gt;"экспорт"),IF((TODAY()+offer_turnaround_time)&gt;=helpsheet!$L$17,rate_vatRU_from_26,rate_vatRu_till_25),0)</f>
        <v/>
      </c>
      <c r="AP1318" s="193">
        <f>AN1318-AO1318</f>
        <v/>
      </c>
      <c r="AQ1318" s="118">
        <f>IF(offer_sale_type="транзит",SUM(AF1318:AI1318,BA1318,BB1318),0)</f>
        <v/>
      </c>
      <c r="AR1318" s="82">
        <f>HYPERLINK("https://www.alta.ru/tnved/code/")&amp;W1318&amp;"/"</f>
        <v/>
      </c>
      <c r="AS1318" s="157" t="n"/>
      <c r="AT1318" s="162" t="n"/>
      <c r="AU1318" s="76">
        <f>IF(ISBLANK(AT1318),0,AJ1318-AT1318)</f>
        <v/>
      </c>
      <c r="AV1318" s="157" t="n"/>
      <c r="AW1318" s="75">
        <f>_xlfn.IFNA(VLOOKUP(L1318,list_vat[],3,FALSE),0)</f>
        <v/>
      </c>
      <c r="AX1318" s="76">
        <f>IFERROR(ROUND(S1318*(1+AW1318)/E1318,2),0)</f>
        <v/>
      </c>
      <c r="AY1318" s="76">
        <f>E1318*AX1318</f>
        <v/>
      </c>
      <c r="AZ1318" s="192">
        <f>S1318*(1+M1318)</f>
        <v/>
      </c>
      <c r="BA1318" s="76">
        <f>cost_fin_total*$BD1318</f>
        <v/>
      </c>
      <c r="BB1318" s="193">
        <f>credit_sales_interest*BD1318</f>
        <v/>
      </c>
      <c r="BC1318" s="102">
        <f>IFERROR(IF($I$13&gt;0,$I1318/$I$13,$S1318/$S$13),0)</f>
        <v/>
      </c>
      <c r="BD1318" s="102">
        <f>IFERROR($S1318/$S$13,0)</f>
        <v/>
      </c>
      <c r="BE1318" s="413" t="inlineStr">
        <is>
          <t>$</t>
        </is>
      </c>
    </row>
    <row r="1319" ht="12" customFormat="1" customHeight="1" s="65">
      <c r="A1319" s="43" t="n">
        <v>1304</v>
      </c>
      <c r="B1319" s="166" t="n"/>
      <c r="C1319" s="166" t="n"/>
      <c r="D1319" s="166" t="n"/>
      <c r="E1319" s="162" t="n"/>
      <c r="F1319" s="166" t="n"/>
      <c r="G1319" s="162" t="n"/>
      <c r="H1319" s="162" t="n"/>
      <c r="I1319" s="189">
        <f>E1319*G1319</f>
        <v/>
      </c>
      <c r="J1319" s="195" t="n"/>
      <c r="K1319" s="162" t="n"/>
      <c r="L1319" s="168" t="n"/>
      <c r="M1319" s="75">
        <f>_xlfn.XLOOKUP(L1319,list_vat[Страна],list_vat[Ставка НДС %],0,0)</f>
        <v/>
      </c>
      <c r="N1319" s="162">
        <f>IFERROR(IF(L1319="Китай",K1319,K1319/(1+M1319)),0)</f>
        <v/>
      </c>
      <c r="O1319" s="169" t="n"/>
      <c r="P1319" s="76">
        <f>N1319*(1-O1319)</f>
        <v/>
      </c>
      <c r="Q1319" s="162" t="n"/>
      <c r="R1319" s="162">
        <f>IF(ISBLANK(Q1319),"введи курс",P1319/Q1319)</f>
        <v/>
      </c>
      <c r="S1319" s="196">
        <f>IF(AND(ISNUMBER(E1319),ISNUMBER(Q1319)),E1319*R1319,0)</f>
        <v/>
      </c>
      <c r="T1319" s="192">
        <f>$BC1319*V$11</f>
        <v/>
      </c>
      <c r="U1319" s="76">
        <f>$BC1319*W$11</f>
        <v/>
      </c>
      <c r="V1319" s="193">
        <f>+SUM(T1319:U1319)</f>
        <v/>
      </c>
      <c r="W1319" s="191" t="n"/>
      <c r="X1319" s="170" t="n"/>
      <c r="Y1319" s="76">
        <f>ROUND(IF(offer_incoterms="DDP",X1319*(S1319*(1+AW1319)+T1319),0),2)</f>
        <v/>
      </c>
      <c r="Z1319" s="188" t="n"/>
      <c r="AA1319" s="192">
        <f>IFERROR(AB1319/E1319,0)</f>
        <v/>
      </c>
      <c r="AB1319" s="76">
        <f>ROUND(SUM(S1319,V1319,Y1319:Z1319,BA1319:BB1319),2)</f>
        <v/>
      </c>
      <c r="AC1319" s="797" t="n"/>
      <c r="AD1319" s="192">
        <f t="array" ref="AD1319">IFERROR(ROUND((_xlfn.IFS(offer_sale_type="поставка",AB1319,offer_sale_type="транзит",S1319)*(1+AC1319))/E1319,2),0)</f>
        <v/>
      </c>
      <c r="AE1319" s="76">
        <f>AD1319*E1319</f>
        <v/>
      </c>
      <c r="AF1319" s="193">
        <f t="array" ref="AF1319">IFERROR(ROUND(_xlfn.IFS(offer_sale_type="поставка",AB1319,offer_sale_type="транзит",S1319)*AC1319,2),0)</f>
        <v/>
      </c>
      <c r="AG1319" s="192">
        <f>$BD1319*VLOOKUP($AG$3,$AF$4:$AG$7,2,FALSE)</f>
        <v/>
      </c>
      <c r="AH1319" s="76">
        <f>SUM(AE1319,AG1319,AI1319)*rate_forex_risk</f>
        <v/>
      </c>
      <c r="AI1319" s="193">
        <f>IF(OR(seller_region="TR",offer_sale_type="экспорт"),0,rate_fin_comm)*SUM(AZ1319,AZ1319*AW1319,T1319)</f>
        <v/>
      </c>
      <c r="AJ1319" s="118">
        <f>IFERROR(ROUND(SUM(AB1319,AF1319:AI1319)/E1319,2),0)</f>
        <v/>
      </c>
      <c r="AK1319" s="76">
        <f>AJ1319*E1319</f>
        <v/>
      </c>
      <c r="AL1319" s="174">
        <f>ROUND(IFERROR(AM1319*E1319,0),2)</f>
        <v/>
      </c>
      <c r="AM1319" s="175">
        <f>ROUND(AJ1319*(1+IF(offer_incoterms="DDP",IF((TODAY()+offer_turnaround_time)&gt;=helpsheet!$L$17,rate_vatRU_from_26,rate_vatRu_till_25),0)),2)</f>
        <v/>
      </c>
      <c r="AN1319" s="192">
        <f>AL1319-AK1319</f>
        <v/>
      </c>
      <c r="AO1319" s="76">
        <f>SUM(AY1319,Y1319:Z1319,T1319)*IF(AND(offer_incoterms="DDP",offer_sale_type&lt;&gt;"экспорт"),IF((TODAY()+offer_turnaround_time)&gt;=helpsheet!$L$17,rate_vatRU_from_26,rate_vatRu_till_25),0)</f>
        <v/>
      </c>
      <c r="AP1319" s="193">
        <f>AN1319-AO1319</f>
        <v/>
      </c>
      <c r="AQ1319" s="118">
        <f>IF(offer_sale_type="транзит",SUM(AF1319:AI1319,BA1319,BB1319),0)</f>
        <v/>
      </c>
      <c r="AR1319" s="82">
        <f>HYPERLINK("https://www.alta.ru/tnved/code/")&amp;W1319&amp;"/"</f>
        <v/>
      </c>
      <c r="AS1319" s="157" t="n"/>
      <c r="AT1319" s="162" t="n"/>
      <c r="AU1319" s="76">
        <f>IF(ISBLANK(AT1319),0,AJ1319-AT1319)</f>
        <v/>
      </c>
      <c r="AV1319" s="157" t="n"/>
      <c r="AW1319" s="75">
        <f>_xlfn.IFNA(VLOOKUP(L1319,list_vat[],3,FALSE),0)</f>
        <v/>
      </c>
      <c r="AX1319" s="76">
        <f>IFERROR(ROUND(S1319*(1+AW1319)/E1319,2),0)</f>
        <v/>
      </c>
      <c r="AY1319" s="76">
        <f>E1319*AX1319</f>
        <v/>
      </c>
      <c r="AZ1319" s="192">
        <f>S1319*(1+M1319)</f>
        <v/>
      </c>
      <c r="BA1319" s="76">
        <f>cost_fin_total*$BD1319</f>
        <v/>
      </c>
      <c r="BB1319" s="193">
        <f>credit_sales_interest*BD1319</f>
        <v/>
      </c>
      <c r="BC1319" s="102">
        <f>IFERROR(IF($I$13&gt;0,$I1319/$I$13,$S1319/$S$13),0)</f>
        <v/>
      </c>
      <c r="BD1319" s="102">
        <f>IFERROR($S1319/$S$13,0)</f>
        <v/>
      </c>
      <c r="BE1319" s="413" t="inlineStr">
        <is>
          <t>$</t>
        </is>
      </c>
    </row>
    <row r="1320" ht="12" customFormat="1" customHeight="1" s="65">
      <c r="A1320" s="43" t="n">
        <v>1305</v>
      </c>
      <c r="B1320" s="166" t="n"/>
      <c r="C1320" s="166" t="n"/>
      <c r="D1320" s="166" t="n"/>
      <c r="E1320" s="162" t="n"/>
      <c r="F1320" s="166" t="n"/>
      <c r="G1320" s="162" t="n"/>
      <c r="H1320" s="162" t="n"/>
      <c r="I1320" s="189">
        <f>E1320*G1320</f>
        <v/>
      </c>
      <c r="J1320" s="195" t="n"/>
      <c r="K1320" s="162" t="n"/>
      <c r="L1320" s="168" t="n"/>
      <c r="M1320" s="75">
        <f>_xlfn.XLOOKUP(L1320,list_vat[Страна],list_vat[Ставка НДС %],0,0)</f>
        <v/>
      </c>
      <c r="N1320" s="162">
        <f>IFERROR(IF(L1320="Китай",K1320,K1320/(1+M1320)),0)</f>
        <v/>
      </c>
      <c r="O1320" s="169" t="n"/>
      <c r="P1320" s="76">
        <f>N1320*(1-O1320)</f>
        <v/>
      </c>
      <c r="Q1320" s="162" t="n"/>
      <c r="R1320" s="162">
        <f>IF(ISBLANK(Q1320),"введи курс",P1320/Q1320)</f>
        <v/>
      </c>
      <c r="S1320" s="196">
        <f>IF(AND(ISNUMBER(E1320),ISNUMBER(Q1320)),E1320*R1320,0)</f>
        <v/>
      </c>
      <c r="T1320" s="192">
        <f>$BC1320*V$11</f>
        <v/>
      </c>
      <c r="U1320" s="76">
        <f>$BC1320*W$11</f>
        <v/>
      </c>
      <c r="V1320" s="193">
        <f>+SUM(T1320:U1320)</f>
        <v/>
      </c>
      <c r="W1320" s="191" t="n"/>
      <c r="X1320" s="170" t="n"/>
      <c r="Y1320" s="76">
        <f>ROUND(IF(offer_incoterms="DDP",X1320*(S1320*(1+AW1320)+T1320),0),2)</f>
        <v/>
      </c>
      <c r="Z1320" s="188" t="n"/>
      <c r="AA1320" s="192">
        <f>IFERROR(AB1320/E1320,0)</f>
        <v/>
      </c>
      <c r="AB1320" s="76">
        <f>ROUND(SUM(S1320,V1320,Y1320:Z1320,BA1320:BB1320),2)</f>
        <v/>
      </c>
      <c r="AC1320" s="797" t="n"/>
      <c r="AD1320" s="192">
        <f t="array" ref="AD1320">IFERROR(ROUND((_xlfn.IFS(offer_sale_type="поставка",AB1320,offer_sale_type="транзит",S1320)*(1+AC1320))/E1320,2),0)</f>
        <v/>
      </c>
      <c r="AE1320" s="76">
        <f>AD1320*E1320</f>
        <v/>
      </c>
      <c r="AF1320" s="193">
        <f t="array" ref="AF1320">IFERROR(ROUND(_xlfn.IFS(offer_sale_type="поставка",AB1320,offer_sale_type="транзит",S1320)*AC1320,2),0)</f>
        <v/>
      </c>
      <c r="AG1320" s="192">
        <f>$BD1320*VLOOKUP($AG$3,$AF$4:$AG$7,2,FALSE)</f>
        <v/>
      </c>
      <c r="AH1320" s="76">
        <f>SUM(AE1320,AG1320,AI1320)*rate_forex_risk</f>
        <v/>
      </c>
      <c r="AI1320" s="193">
        <f>IF(OR(seller_region="TR",offer_sale_type="экспорт"),0,rate_fin_comm)*SUM(AZ1320,AZ1320*AW1320,T1320)</f>
        <v/>
      </c>
      <c r="AJ1320" s="118">
        <f>IFERROR(ROUND(SUM(AB1320,AF1320:AI1320)/E1320,2),0)</f>
        <v/>
      </c>
      <c r="AK1320" s="76">
        <f>AJ1320*E1320</f>
        <v/>
      </c>
      <c r="AL1320" s="174">
        <f>ROUND(IFERROR(AM1320*E1320,0),2)</f>
        <v/>
      </c>
      <c r="AM1320" s="175">
        <f>ROUND(AJ1320*(1+IF(offer_incoterms="DDP",IF((TODAY()+offer_turnaround_time)&gt;=helpsheet!$L$17,rate_vatRU_from_26,rate_vatRu_till_25),0)),2)</f>
        <v/>
      </c>
      <c r="AN1320" s="192">
        <f>AL1320-AK1320</f>
        <v/>
      </c>
      <c r="AO1320" s="76">
        <f>SUM(AY1320,Y1320:Z1320,T1320)*IF(AND(offer_incoterms="DDP",offer_sale_type&lt;&gt;"экспорт"),IF((TODAY()+offer_turnaround_time)&gt;=helpsheet!$L$17,rate_vatRU_from_26,rate_vatRu_till_25),0)</f>
        <v/>
      </c>
      <c r="AP1320" s="193">
        <f>AN1320-AO1320</f>
        <v/>
      </c>
      <c r="AQ1320" s="118">
        <f>IF(offer_sale_type="транзит",SUM(AF1320:AI1320,BA1320,BB1320),0)</f>
        <v/>
      </c>
      <c r="AR1320" s="82">
        <f>HYPERLINK("https://www.alta.ru/tnved/code/")&amp;W1320&amp;"/"</f>
        <v/>
      </c>
      <c r="AS1320" s="157" t="n"/>
      <c r="AT1320" s="162" t="n"/>
      <c r="AU1320" s="76">
        <f>IF(ISBLANK(AT1320),0,AJ1320-AT1320)</f>
        <v/>
      </c>
      <c r="AV1320" s="157" t="n"/>
      <c r="AW1320" s="75">
        <f>_xlfn.IFNA(VLOOKUP(L1320,list_vat[],3,FALSE),0)</f>
        <v/>
      </c>
      <c r="AX1320" s="76">
        <f>IFERROR(ROUND(S1320*(1+AW1320)/E1320,2),0)</f>
        <v/>
      </c>
      <c r="AY1320" s="76">
        <f>E1320*AX1320</f>
        <v/>
      </c>
      <c r="AZ1320" s="192">
        <f>S1320*(1+M1320)</f>
        <v/>
      </c>
      <c r="BA1320" s="76">
        <f>cost_fin_total*$BD1320</f>
        <v/>
      </c>
      <c r="BB1320" s="193">
        <f>credit_sales_interest*BD1320</f>
        <v/>
      </c>
      <c r="BC1320" s="102">
        <f>IFERROR(IF($I$13&gt;0,$I1320/$I$13,$S1320/$S$13),0)</f>
        <v/>
      </c>
      <c r="BD1320" s="102">
        <f>IFERROR($S1320/$S$13,0)</f>
        <v/>
      </c>
      <c r="BE1320" s="413" t="inlineStr">
        <is>
          <t>$</t>
        </is>
      </c>
    </row>
    <row r="1321" ht="12" customFormat="1" customHeight="1" s="65">
      <c r="A1321" s="43" t="n">
        <v>1306</v>
      </c>
      <c r="B1321" s="166" t="n"/>
      <c r="C1321" s="166" t="n"/>
      <c r="D1321" s="166" t="n"/>
      <c r="E1321" s="162" t="n"/>
      <c r="F1321" s="166" t="n"/>
      <c r="G1321" s="162" t="n"/>
      <c r="H1321" s="162" t="n"/>
      <c r="I1321" s="189">
        <f>E1321*G1321</f>
        <v/>
      </c>
      <c r="J1321" s="195" t="n"/>
      <c r="K1321" s="162" t="n"/>
      <c r="L1321" s="168" t="n"/>
      <c r="M1321" s="75">
        <f>_xlfn.XLOOKUP(L1321,list_vat[Страна],list_vat[Ставка НДС %],0,0)</f>
        <v/>
      </c>
      <c r="N1321" s="162">
        <f>IFERROR(IF(L1321="Китай",K1321,K1321/(1+M1321)),0)</f>
        <v/>
      </c>
      <c r="O1321" s="169" t="n"/>
      <c r="P1321" s="76">
        <f>N1321*(1-O1321)</f>
        <v/>
      </c>
      <c r="Q1321" s="162" t="n"/>
      <c r="R1321" s="162">
        <f>IF(ISBLANK(Q1321),"введи курс",P1321/Q1321)</f>
        <v/>
      </c>
      <c r="S1321" s="196">
        <f>IF(AND(ISNUMBER(E1321),ISNUMBER(Q1321)),E1321*R1321,0)</f>
        <v/>
      </c>
      <c r="T1321" s="192">
        <f>$BC1321*V$11</f>
        <v/>
      </c>
      <c r="U1321" s="76">
        <f>$BC1321*W$11</f>
        <v/>
      </c>
      <c r="V1321" s="193">
        <f>+SUM(T1321:U1321)</f>
        <v/>
      </c>
      <c r="W1321" s="191" t="n"/>
      <c r="X1321" s="170" t="n"/>
      <c r="Y1321" s="76">
        <f>ROUND(IF(offer_incoterms="DDP",X1321*(S1321*(1+AW1321)+T1321),0),2)</f>
        <v/>
      </c>
      <c r="Z1321" s="188" t="n"/>
      <c r="AA1321" s="192">
        <f>IFERROR(AB1321/E1321,0)</f>
        <v/>
      </c>
      <c r="AB1321" s="76">
        <f>ROUND(SUM(S1321,V1321,Y1321:Z1321,BA1321:BB1321),2)</f>
        <v/>
      </c>
      <c r="AC1321" s="797" t="n"/>
      <c r="AD1321" s="192">
        <f t="array" ref="AD1321">IFERROR(ROUND((_xlfn.IFS(offer_sale_type="поставка",AB1321,offer_sale_type="транзит",S1321)*(1+AC1321))/E1321,2),0)</f>
        <v/>
      </c>
      <c r="AE1321" s="76">
        <f>AD1321*E1321</f>
        <v/>
      </c>
      <c r="AF1321" s="193">
        <f t="array" ref="AF1321">IFERROR(ROUND(_xlfn.IFS(offer_sale_type="поставка",AB1321,offer_sale_type="транзит",S1321)*AC1321,2),0)</f>
        <v/>
      </c>
      <c r="AG1321" s="192">
        <f>$BD1321*VLOOKUP($AG$3,$AF$4:$AG$7,2,FALSE)</f>
        <v/>
      </c>
      <c r="AH1321" s="76">
        <f>SUM(AE1321,AG1321,AI1321)*rate_forex_risk</f>
        <v/>
      </c>
      <c r="AI1321" s="193">
        <f>IF(OR(seller_region="TR",offer_sale_type="экспорт"),0,rate_fin_comm)*SUM(AZ1321,AZ1321*AW1321,T1321)</f>
        <v/>
      </c>
      <c r="AJ1321" s="118">
        <f>IFERROR(ROUND(SUM(AB1321,AF1321:AI1321)/E1321,2),0)</f>
        <v/>
      </c>
      <c r="AK1321" s="76">
        <f>AJ1321*E1321</f>
        <v/>
      </c>
      <c r="AL1321" s="174">
        <f>ROUND(IFERROR(AM1321*E1321,0),2)</f>
        <v/>
      </c>
      <c r="AM1321" s="175">
        <f>ROUND(AJ1321*(1+IF(offer_incoterms="DDP",IF((TODAY()+offer_turnaround_time)&gt;=helpsheet!$L$17,rate_vatRU_from_26,rate_vatRu_till_25),0)),2)</f>
        <v/>
      </c>
      <c r="AN1321" s="192">
        <f>AL1321-AK1321</f>
        <v/>
      </c>
      <c r="AO1321" s="76">
        <f>SUM(AY1321,Y1321:Z1321,T1321)*IF(AND(offer_incoterms="DDP",offer_sale_type&lt;&gt;"экспорт"),IF((TODAY()+offer_turnaround_time)&gt;=helpsheet!$L$17,rate_vatRU_from_26,rate_vatRu_till_25),0)</f>
        <v/>
      </c>
      <c r="AP1321" s="193">
        <f>AN1321-AO1321</f>
        <v/>
      </c>
      <c r="AQ1321" s="118">
        <f>IF(offer_sale_type="транзит",SUM(AF1321:AI1321,BA1321,BB1321),0)</f>
        <v/>
      </c>
      <c r="AR1321" s="82">
        <f>HYPERLINK("https://www.alta.ru/tnved/code/")&amp;W1321&amp;"/"</f>
        <v/>
      </c>
      <c r="AS1321" s="157" t="n"/>
      <c r="AT1321" s="162" t="n"/>
      <c r="AU1321" s="76">
        <f>IF(ISBLANK(AT1321),0,AJ1321-AT1321)</f>
        <v/>
      </c>
      <c r="AV1321" s="157" t="n"/>
      <c r="AW1321" s="75">
        <f>_xlfn.IFNA(VLOOKUP(L1321,list_vat[],3,FALSE),0)</f>
        <v/>
      </c>
      <c r="AX1321" s="76">
        <f>IFERROR(ROUND(S1321*(1+AW1321)/E1321,2),0)</f>
        <v/>
      </c>
      <c r="AY1321" s="76">
        <f>E1321*AX1321</f>
        <v/>
      </c>
      <c r="AZ1321" s="192">
        <f>S1321*(1+M1321)</f>
        <v/>
      </c>
      <c r="BA1321" s="76">
        <f>cost_fin_total*$BD1321</f>
        <v/>
      </c>
      <c r="BB1321" s="193">
        <f>credit_sales_interest*BD1321</f>
        <v/>
      </c>
      <c r="BC1321" s="102">
        <f>IFERROR(IF($I$13&gt;0,$I1321/$I$13,$S1321/$S$13),0)</f>
        <v/>
      </c>
      <c r="BD1321" s="102">
        <f>IFERROR($S1321/$S$13,0)</f>
        <v/>
      </c>
      <c r="BE1321" s="413" t="inlineStr">
        <is>
          <t>$</t>
        </is>
      </c>
    </row>
    <row r="1322" ht="12" customFormat="1" customHeight="1" s="65">
      <c r="A1322" s="43" t="n">
        <v>1307</v>
      </c>
      <c r="B1322" s="166" t="n"/>
      <c r="C1322" s="166" t="n"/>
      <c r="D1322" s="166" t="n"/>
      <c r="E1322" s="162" t="n"/>
      <c r="F1322" s="166" t="n"/>
      <c r="G1322" s="162" t="n"/>
      <c r="H1322" s="162" t="n"/>
      <c r="I1322" s="189">
        <f>E1322*G1322</f>
        <v/>
      </c>
      <c r="J1322" s="195" t="n"/>
      <c r="K1322" s="162" t="n"/>
      <c r="L1322" s="168" t="n"/>
      <c r="M1322" s="75">
        <f>_xlfn.XLOOKUP(L1322,list_vat[Страна],list_vat[Ставка НДС %],0,0)</f>
        <v/>
      </c>
      <c r="N1322" s="162">
        <f>IFERROR(IF(L1322="Китай",K1322,K1322/(1+M1322)),0)</f>
        <v/>
      </c>
      <c r="O1322" s="169" t="n"/>
      <c r="P1322" s="76">
        <f>N1322*(1-O1322)</f>
        <v/>
      </c>
      <c r="Q1322" s="162" t="n"/>
      <c r="R1322" s="162">
        <f>IF(ISBLANK(Q1322),"введи курс",P1322/Q1322)</f>
        <v/>
      </c>
      <c r="S1322" s="196">
        <f>IF(AND(ISNUMBER(E1322),ISNUMBER(Q1322)),E1322*R1322,0)</f>
        <v/>
      </c>
      <c r="T1322" s="192">
        <f>$BC1322*V$11</f>
        <v/>
      </c>
      <c r="U1322" s="76">
        <f>$BC1322*W$11</f>
        <v/>
      </c>
      <c r="V1322" s="193">
        <f>+SUM(T1322:U1322)</f>
        <v/>
      </c>
      <c r="W1322" s="191" t="n"/>
      <c r="X1322" s="170" t="n"/>
      <c r="Y1322" s="76">
        <f>ROUND(IF(offer_incoterms="DDP",X1322*(S1322*(1+AW1322)+T1322),0),2)</f>
        <v/>
      </c>
      <c r="Z1322" s="188" t="n"/>
      <c r="AA1322" s="192">
        <f>IFERROR(AB1322/E1322,0)</f>
        <v/>
      </c>
      <c r="AB1322" s="76">
        <f>ROUND(SUM(S1322,V1322,Y1322:Z1322,BA1322:BB1322),2)</f>
        <v/>
      </c>
      <c r="AC1322" s="797" t="n"/>
      <c r="AD1322" s="192">
        <f t="array" ref="AD1322">IFERROR(ROUND((_xlfn.IFS(offer_sale_type="поставка",AB1322,offer_sale_type="транзит",S1322)*(1+AC1322))/E1322,2),0)</f>
        <v/>
      </c>
      <c r="AE1322" s="76">
        <f>AD1322*E1322</f>
        <v/>
      </c>
      <c r="AF1322" s="193">
        <f t="array" ref="AF1322">IFERROR(ROUND(_xlfn.IFS(offer_sale_type="поставка",AB1322,offer_sale_type="транзит",S1322)*AC1322,2),0)</f>
        <v/>
      </c>
      <c r="AG1322" s="192">
        <f>$BD1322*VLOOKUP($AG$3,$AF$4:$AG$7,2,FALSE)</f>
        <v/>
      </c>
      <c r="AH1322" s="76">
        <f>SUM(AE1322,AG1322,AI1322)*rate_forex_risk</f>
        <v/>
      </c>
      <c r="AI1322" s="193">
        <f>IF(OR(seller_region="TR",offer_sale_type="экспорт"),0,rate_fin_comm)*SUM(AZ1322,AZ1322*AW1322,T1322)</f>
        <v/>
      </c>
      <c r="AJ1322" s="118">
        <f>IFERROR(ROUND(SUM(AB1322,AF1322:AI1322)/E1322,2),0)</f>
        <v/>
      </c>
      <c r="AK1322" s="76">
        <f>AJ1322*E1322</f>
        <v/>
      </c>
      <c r="AL1322" s="174">
        <f>ROUND(IFERROR(AM1322*E1322,0),2)</f>
        <v/>
      </c>
      <c r="AM1322" s="175">
        <f>ROUND(AJ1322*(1+IF(offer_incoterms="DDP",IF((TODAY()+offer_turnaround_time)&gt;=helpsheet!$L$17,rate_vatRU_from_26,rate_vatRu_till_25),0)),2)</f>
        <v/>
      </c>
      <c r="AN1322" s="192">
        <f>AL1322-AK1322</f>
        <v/>
      </c>
      <c r="AO1322" s="76">
        <f>SUM(AY1322,Y1322:Z1322,T1322)*IF(AND(offer_incoterms="DDP",offer_sale_type&lt;&gt;"экспорт"),IF((TODAY()+offer_turnaround_time)&gt;=helpsheet!$L$17,rate_vatRU_from_26,rate_vatRu_till_25),0)</f>
        <v/>
      </c>
      <c r="AP1322" s="193">
        <f>AN1322-AO1322</f>
        <v/>
      </c>
      <c r="AQ1322" s="118">
        <f>IF(offer_sale_type="транзит",SUM(AF1322:AI1322,BA1322,BB1322),0)</f>
        <v/>
      </c>
      <c r="AR1322" s="82">
        <f>HYPERLINK("https://www.alta.ru/tnved/code/")&amp;W1322&amp;"/"</f>
        <v/>
      </c>
      <c r="AS1322" s="157" t="n"/>
      <c r="AT1322" s="162" t="n"/>
      <c r="AU1322" s="76">
        <f>IF(ISBLANK(AT1322),0,AJ1322-AT1322)</f>
        <v/>
      </c>
      <c r="AV1322" s="157" t="n"/>
      <c r="AW1322" s="75">
        <f>_xlfn.IFNA(VLOOKUP(L1322,list_vat[],3,FALSE),0)</f>
        <v/>
      </c>
      <c r="AX1322" s="76">
        <f>IFERROR(ROUND(S1322*(1+AW1322)/E1322,2),0)</f>
        <v/>
      </c>
      <c r="AY1322" s="76">
        <f>E1322*AX1322</f>
        <v/>
      </c>
      <c r="AZ1322" s="192">
        <f>S1322*(1+M1322)</f>
        <v/>
      </c>
      <c r="BA1322" s="76">
        <f>cost_fin_total*$BD1322</f>
        <v/>
      </c>
      <c r="BB1322" s="193">
        <f>credit_sales_interest*BD1322</f>
        <v/>
      </c>
      <c r="BC1322" s="102">
        <f>IFERROR(IF($I$13&gt;0,$I1322/$I$13,$S1322/$S$13),0)</f>
        <v/>
      </c>
      <c r="BD1322" s="102">
        <f>IFERROR($S1322/$S$13,0)</f>
        <v/>
      </c>
      <c r="BE1322" s="413" t="inlineStr">
        <is>
          <t>$</t>
        </is>
      </c>
    </row>
    <row r="1323" ht="12" customFormat="1" customHeight="1" s="65">
      <c r="A1323" s="43" t="n">
        <v>1308</v>
      </c>
      <c r="B1323" s="166" t="n"/>
      <c r="C1323" s="166" t="n"/>
      <c r="D1323" s="166" t="n"/>
      <c r="E1323" s="162" t="n"/>
      <c r="F1323" s="166" t="n"/>
      <c r="G1323" s="162" t="n"/>
      <c r="H1323" s="162" t="n"/>
      <c r="I1323" s="189">
        <f>E1323*G1323</f>
        <v/>
      </c>
      <c r="J1323" s="195" t="n"/>
      <c r="K1323" s="162" t="n"/>
      <c r="L1323" s="168" t="n"/>
      <c r="M1323" s="75">
        <f>_xlfn.XLOOKUP(L1323,list_vat[Страна],list_vat[Ставка НДС %],0,0)</f>
        <v/>
      </c>
      <c r="N1323" s="162">
        <f>IFERROR(IF(L1323="Китай",K1323,K1323/(1+M1323)),0)</f>
        <v/>
      </c>
      <c r="O1323" s="169" t="n"/>
      <c r="P1323" s="76">
        <f>N1323*(1-O1323)</f>
        <v/>
      </c>
      <c r="Q1323" s="162" t="n"/>
      <c r="R1323" s="162">
        <f>IF(ISBLANK(Q1323),"введи курс",P1323/Q1323)</f>
        <v/>
      </c>
      <c r="S1323" s="196">
        <f>IF(AND(ISNUMBER(E1323),ISNUMBER(Q1323)),E1323*R1323,0)</f>
        <v/>
      </c>
      <c r="T1323" s="192">
        <f>$BC1323*V$11</f>
        <v/>
      </c>
      <c r="U1323" s="76">
        <f>$BC1323*W$11</f>
        <v/>
      </c>
      <c r="V1323" s="193">
        <f>+SUM(T1323:U1323)</f>
        <v/>
      </c>
      <c r="W1323" s="191" t="n"/>
      <c r="X1323" s="170" t="n"/>
      <c r="Y1323" s="76">
        <f>ROUND(IF(offer_incoterms="DDP",X1323*(S1323*(1+AW1323)+T1323),0),2)</f>
        <v/>
      </c>
      <c r="Z1323" s="188" t="n"/>
      <c r="AA1323" s="192">
        <f>IFERROR(AB1323/E1323,0)</f>
        <v/>
      </c>
      <c r="AB1323" s="76">
        <f>ROUND(SUM(S1323,V1323,Y1323:Z1323,BA1323:BB1323),2)</f>
        <v/>
      </c>
      <c r="AC1323" s="797" t="n"/>
      <c r="AD1323" s="192">
        <f t="array" ref="AD1323">IFERROR(ROUND((_xlfn.IFS(offer_sale_type="поставка",AB1323,offer_sale_type="транзит",S1323)*(1+AC1323))/E1323,2),0)</f>
        <v/>
      </c>
      <c r="AE1323" s="76">
        <f>AD1323*E1323</f>
        <v/>
      </c>
      <c r="AF1323" s="193">
        <f t="array" ref="AF1323">IFERROR(ROUND(_xlfn.IFS(offer_sale_type="поставка",AB1323,offer_sale_type="транзит",S1323)*AC1323,2),0)</f>
        <v/>
      </c>
      <c r="AG1323" s="192">
        <f>$BD1323*VLOOKUP($AG$3,$AF$4:$AG$7,2,FALSE)</f>
        <v/>
      </c>
      <c r="AH1323" s="76">
        <f>SUM(AE1323,AG1323,AI1323)*rate_forex_risk</f>
        <v/>
      </c>
      <c r="AI1323" s="193">
        <f>IF(OR(seller_region="TR",offer_sale_type="экспорт"),0,rate_fin_comm)*SUM(AZ1323,AZ1323*AW1323,T1323)</f>
        <v/>
      </c>
      <c r="AJ1323" s="118">
        <f>IFERROR(ROUND(SUM(AB1323,AF1323:AI1323)/E1323,2),0)</f>
        <v/>
      </c>
      <c r="AK1323" s="76">
        <f>AJ1323*E1323</f>
        <v/>
      </c>
      <c r="AL1323" s="174">
        <f>ROUND(IFERROR(AM1323*E1323,0),2)</f>
        <v/>
      </c>
      <c r="AM1323" s="175">
        <f>ROUND(AJ1323*(1+IF(offer_incoterms="DDP",IF((TODAY()+offer_turnaround_time)&gt;=helpsheet!$L$17,rate_vatRU_from_26,rate_vatRu_till_25),0)),2)</f>
        <v/>
      </c>
      <c r="AN1323" s="192">
        <f>AL1323-AK1323</f>
        <v/>
      </c>
      <c r="AO1323" s="76">
        <f>SUM(AY1323,Y1323:Z1323,T1323)*IF(AND(offer_incoterms="DDP",offer_sale_type&lt;&gt;"экспорт"),IF((TODAY()+offer_turnaround_time)&gt;=helpsheet!$L$17,rate_vatRU_from_26,rate_vatRu_till_25),0)</f>
        <v/>
      </c>
      <c r="AP1323" s="193">
        <f>AN1323-AO1323</f>
        <v/>
      </c>
      <c r="AQ1323" s="118">
        <f>IF(offer_sale_type="транзит",SUM(AF1323:AI1323,BA1323,BB1323),0)</f>
        <v/>
      </c>
      <c r="AR1323" s="82">
        <f>HYPERLINK("https://www.alta.ru/tnved/code/")&amp;W1323&amp;"/"</f>
        <v/>
      </c>
      <c r="AS1323" s="157" t="n"/>
      <c r="AT1323" s="162" t="n"/>
      <c r="AU1323" s="76">
        <f>IF(ISBLANK(AT1323),0,AJ1323-AT1323)</f>
        <v/>
      </c>
      <c r="AV1323" s="157" t="n"/>
      <c r="AW1323" s="75">
        <f>_xlfn.IFNA(VLOOKUP(L1323,list_vat[],3,FALSE),0)</f>
        <v/>
      </c>
      <c r="AX1323" s="76">
        <f>IFERROR(ROUND(S1323*(1+AW1323)/E1323,2),0)</f>
        <v/>
      </c>
      <c r="AY1323" s="76">
        <f>E1323*AX1323</f>
        <v/>
      </c>
      <c r="AZ1323" s="192">
        <f>S1323*(1+M1323)</f>
        <v/>
      </c>
      <c r="BA1323" s="76">
        <f>cost_fin_total*$BD1323</f>
        <v/>
      </c>
      <c r="BB1323" s="193">
        <f>credit_sales_interest*BD1323</f>
        <v/>
      </c>
      <c r="BC1323" s="102">
        <f>IFERROR(IF($I$13&gt;0,$I1323/$I$13,$S1323/$S$13),0)</f>
        <v/>
      </c>
      <c r="BD1323" s="102">
        <f>IFERROR($S1323/$S$13,0)</f>
        <v/>
      </c>
      <c r="BE1323" s="413" t="inlineStr">
        <is>
          <t>$</t>
        </is>
      </c>
    </row>
    <row r="1324" ht="12" customFormat="1" customHeight="1" s="65">
      <c r="A1324" s="43" t="n">
        <v>1309</v>
      </c>
      <c r="B1324" s="166" t="n"/>
      <c r="C1324" s="166" t="n"/>
      <c r="D1324" s="166" t="n"/>
      <c r="E1324" s="162" t="n"/>
      <c r="F1324" s="166" t="n"/>
      <c r="G1324" s="162" t="n"/>
      <c r="H1324" s="162" t="n"/>
      <c r="I1324" s="189">
        <f>E1324*G1324</f>
        <v/>
      </c>
      <c r="J1324" s="195" t="n"/>
      <c r="K1324" s="162" t="n"/>
      <c r="L1324" s="168" t="n"/>
      <c r="M1324" s="75">
        <f>_xlfn.XLOOKUP(L1324,list_vat[Страна],list_vat[Ставка НДС %],0,0)</f>
        <v/>
      </c>
      <c r="N1324" s="162">
        <f>IFERROR(IF(L1324="Китай",K1324,K1324/(1+M1324)),0)</f>
        <v/>
      </c>
      <c r="O1324" s="169" t="n"/>
      <c r="P1324" s="76">
        <f>N1324*(1-O1324)</f>
        <v/>
      </c>
      <c r="Q1324" s="162" t="n"/>
      <c r="R1324" s="162">
        <f>IF(ISBLANK(Q1324),"введи курс",P1324/Q1324)</f>
        <v/>
      </c>
      <c r="S1324" s="196">
        <f>IF(AND(ISNUMBER(E1324),ISNUMBER(Q1324)),E1324*R1324,0)</f>
        <v/>
      </c>
      <c r="T1324" s="192">
        <f>$BC1324*V$11</f>
        <v/>
      </c>
      <c r="U1324" s="76">
        <f>$BC1324*W$11</f>
        <v/>
      </c>
      <c r="V1324" s="193">
        <f>+SUM(T1324:U1324)</f>
        <v/>
      </c>
      <c r="W1324" s="191" t="n"/>
      <c r="X1324" s="170" t="n"/>
      <c r="Y1324" s="76">
        <f>ROUND(IF(offer_incoterms="DDP",X1324*(S1324*(1+AW1324)+T1324),0),2)</f>
        <v/>
      </c>
      <c r="Z1324" s="188" t="n"/>
      <c r="AA1324" s="192">
        <f>IFERROR(AB1324/E1324,0)</f>
        <v/>
      </c>
      <c r="AB1324" s="76">
        <f>ROUND(SUM(S1324,V1324,Y1324:Z1324,BA1324:BB1324),2)</f>
        <v/>
      </c>
      <c r="AC1324" s="797" t="n"/>
      <c r="AD1324" s="192">
        <f t="array" ref="AD1324">IFERROR(ROUND((_xlfn.IFS(offer_sale_type="поставка",AB1324,offer_sale_type="транзит",S1324)*(1+AC1324))/E1324,2),0)</f>
        <v/>
      </c>
      <c r="AE1324" s="76">
        <f>AD1324*E1324</f>
        <v/>
      </c>
      <c r="AF1324" s="193">
        <f t="array" ref="AF1324">IFERROR(ROUND(_xlfn.IFS(offer_sale_type="поставка",AB1324,offer_sale_type="транзит",S1324)*AC1324,2),0)</f>
        <v/>
      </c>
      <c r="AG1324" s="192">
        <f>$BD1324*VLOOKUP($AG$3,$AF$4:$AG$7,2,FALSE)</f>
        <v/>
      </c>
      <c r="AH1324" s="76">
        <f>SUM(AE1324,AG1324,AI1324)*rate_forex_risk</f>
        <v/>
      </c>
      <c r="AI1324" s="193">
        <f>IF(OR(seller_region="TR",offer_sale_type="экспорт"),0,rate_fin_comm)*SUM(AZ1324,AZ1324*AW1324,T1324)</f>
        <v/>
      </c>
      <c r="AJ1324" s="118">
        <f>IFERROR(ROUND(SUM(AB1324,AF1324:AI1324)/E1324,2),0)</f>
        <v/>
      </c>
      <c r="AK1324" s="76">
        <f>AJ1324*E1324</f>
        <v/>
      </c>
      <c r="AL1324" s="174">
        <f>ROUND(IFERROR(AM1324*E1324,0),2)</f>
        <v/>
      </c>
      <c r="AM1324" s="175">
        <f>ROUND(AJ1324*(1+IF(offer_incoterms="DDP",IF((TODAY()+offer_turnaround_time)&gt;=helpsheet!$L$17,rate_vatRU_from_26,rate_vatRu_till_25),0)),2)</f>
        <v/>
      </c>
      <c r="AN1324" s="192">
        <f>AL1324-AK1324</f>
        <v/>
      </c>
      <c r="AO1324" s="76">
        <f>SUM(AY1324,Y1324:Z1324,T1324)*IF(AND(offer_incoterms="DDP",offer_sale_type&lt;&gt;"экспорт"),IF((TODAY()+offer_turnaround_time)&gt;=helpsheet!$L$17,rate_vatRU_from_26,rate_vatRu_till_25),0)</f>
        <v/>
      </c>
      <c r="AP1324" s="193">
        <f>AN1324-AO1324</f>
        <v/>
      </c>
      <c r="AQ1324" s="118">
        <f>IF(offer_sale_type="транзит",SUM(AF1324:AI1324,BA1324,BB1324),0)</f>
        <v/>
      </c>
      <c r="AR1324" s="82">
        <f>HYPERLINK("https://www.alta.ru/tnved/code/")&amp;W1324&amp;"/"</f>
        <v/>
      </c>
      <c r="AS1324" s="157" t="n"/>
      <c r="AT1324" s="162" t="n"/>
      <c r="AU1324" s="76">
        <f>IF(ISBLANK(AT1324),0,AJ1324-AT1324)</f>
        <v/>
      </c>
      <c r="AV1324" s="157" t="n"/>
      <c r="AW1324" s="75">
        <f>_xlfn.IFNA(VLOOKUP(L1324,list_vat[],3,FALSE),0)</f>
        <v/>
      </c>
      <c r="AX1324" s="76">
        <f>IFERROR(ROUND(S1324*(1+AW1324)/E1324,2),0)</f>
        <v/>
      </c>
      <c r="AY1324" s="76">
        <f>E1324*AX1324</f>
        <v/>
      </c>
      <c r="AZ1324" s="192">
        <f>S1324*(1+M1324)</f>
        <v/>
      </c>
      <c r="BA1324" s="76">
        <f>cost_fin_total*$BD1324</f>
        <v/>
      </c>
      <c r="BB1324" s="193">
        <f>credit_sales_interest*BD1324</f>
        <v/>
      </c>
      <c r="BC1324" s="102">
        <f>IFERROR(IF($I$13&gt;0,$I1324/$I$13,$S1324/$S$13),0)</f>
        <v/>
      </c>
      <c r="BD1324" s="102">
        <f>IFERROR($S1324/$S$13,0)</f>
        <v/>
      </c>
      <c r="BE1324" s="413" t="inlineStr">
        <is>
          <t>$</t>
        </is>
      </c>
    </row>
    <row r="1325" ht="12" customFormat="1" customHeight="1" s="65">
      <c r="A1325" s="43" t="n">
        <v>1310</v>
      </c>
      <c r="B1325" s="166" t="n"/>
      <c r="C1325" s="166" t="n"/>
      <c r="D1325" s="166" t="n"/>
      <c r="E1325" s="162" t="n"/>
      <c r="F1325" s="166" t="n"/>
      <c r="G1325" s="162" t="n"/>
      <c r="H1325" s="162" t="n"/>
      <c r="I1325" s="189">
        <f>E1325*G1325</f>
        <v/>
      </c>
      <c r="J1325" s="195" t="n"/>
      <c r="K1325" s="162" t="n"/>
      <c r="L1325" s="168" t="n"/>
      <c r="M1325" s="75">
        <f>_xlfn.XLOOKUP(L1325,list_vat[Страна],list_vat[Ставка НДС %],0,0)</f>
        <v/>
      </c>
      <c r="N1325" s="162">
        <f>IFERROR(IF(L1325="Китай",K1325,K1325/(1+M1325)),0)</f>
        <v/>
      </c>
      <c r="O1325" s="169" t="n"/>
      <c r="P1325" s="76">
        <f>N1325*(1-O1325)</f>
        <v/>
      </c>
      <c r="Q1325" s="162" t="n"/>
      <c r="R1325" s="162">
        <f>IF(ISBLANK(Q1325),"введи курс",P1325/Q1325)</f>
        <v/>
      </c>
      <c r="S1325" s="196">
        <f>IF(AND(ISNUMBER(E1325),ISNUMBER(Q1325)),E1325*R1325,0)</f>
        <v/>
      </c>
      <c r="T1325" s="192">
        <f>$BC1325*V$11</f>
        <v/>
      </c>
      <c r="U1325" s="76">
        <f>$BC1325*W$11</f>
        <v/>
      </c>
      <c r="V1325" s="193">
        <f>+SUM(T1325:U1325)</f>
        <v/>
      </c>
      <c r="W1325" s="191" t="n"/>
      <c r="X1325" s="170" t="n"/>
      <c r="Y1325" s="76">
        <f>ROUND(IF(offer_incoterms="DDP",X1325*(S1325*(1+AW1325)+T1325),0),2)</f>
        <v/>
      </c>
      <c r="Z1325" s="188" t="n"/>
      <c r="AA1325" s="192">
        <f>IFERROR(AB1325/E1325,0)</f>
        <v/>
      </c>
      <c r="AB1325" s="76">
        <f>ROUND(SUM(S1325,V1325,Y1325:Z1325,BA1325:BB1325),2)</f>
        <v/>
      </c>
      <c r="AC1325" s="797" t="n"/>
      <c r="AD1325" s="192">
        <f t="array" ref="AD1325">IFERROR(ROUND((_xlfn.IFS(offer_sale_type="поставка",AB1325,offer_sale_type="транзит",S1325)*(1+AC1325))/E1325,2),0)</f>
        <v/>
      </c>
      <c r="AE1325" s="76">
        <f>AD1325*E1325</f>
        <v/>
      </c>
      <c r="AF1325" s="193">
        <f t="array" ref="AF1325">IFERROR(ROUND(_xlfn.IFS(offer_sale_type="поставка",AB1325,offer_sale_type="транзит",S1325)*AC1325,2),0)</f>
        <v/>
      </c>
      <c r="AG1325" s="192">
        <f>$BD1325*VLOOKUP($AG$3,$AF$4:$AG$7,2,FALSE)</f>
        <v/>
      </c>
      <c r="AH1325" s="76">
        <f>SUM(AE1325,AG1325,AI1325)*rate_forex_risk</f>
        <v/>
      </c>
      <c r="AI1325" s="193">
        <f>IF(OR(seller_region="TR",offer_sale_type="экспорт"),0,rate_fin_comm)*SUM(AZ1325,AZ1325*AW1325,T1325)</f>
        <v/>
      </c>
      <c r="AJ1325" s="118">
        <f>IFERROR(ROUND(SUM(AB1325,AF1325:AI1325)/E1325,2),0)</f>
        <v/>
      </c>
      <c r="AK1325" s="76">
        <f>AJ1325*E1325</f>
        <v/>
      </c>
      <c r="AL1325" s="174">
        <f>ROUND(IFERROR(AM1325*E1325,0),2)</f>
        <v/>
      </c>
      <c r="AM1325" s="175">
        <f>ROUND(AJ1325*(1+IF(offer_incoterms="DDP",IF((TODAY()+offer_turnaround_time)&gt;=helpsheet!$L$17,rate_vatRU_from_26,rate_vatRu_till_25),0)),2)</f>
        <v/>
      </c>
      <c r="AN1325" s="192">
        <f>AL1325-AK1325</f>
        <v/>
      </c>
      <c r="AO1325" s="76">
        <f>SUM(AY1325,Y1325:Z1325,T1325)*IF(AND(offer_incoterms="DDP",offer_sale_type&lt;&gt;"экспорт"),IF((TODAY()+offer_turnaround_time)&gt;=helpsheet!$L$17,rate_vatRU_from_26,rate_vatRu_till_25),0)</f>
        <v/>
      </c>
      <c r="AP1325" s="193">
        <f>AN1325-AO1325</f>
        <v/>
      </c>
      <c r="AQ1325" s="118">
        <f>IF(offer_sale_type="транзит",SUM(AF1325:AI1325,BA1325,BB1325),0)</f>
        <v/>
      </c>
      <c r="AR1325" s="82">
        <f>HYPERLINK("https://www.alta.ru/tnved/code/")&amp;W1325&amp;"/"</f>
        <v/>
      </c>
      <c r="AS1325" s="157" t="n"/>
      <c r="AT1325" s="162" t="n"/>
      <c r="AU1325" s="76">
        <f>IF(ISBLANK(AT1325),0,AJ1325-AT1325)</f>
        <v/>
      </c>
      <c r="AV1325" s="157" t="n"/>
      <c r="AW1325" s="75">
        <f>_xlfn.IFNA(VLOOKUP(L1325,list_vat[],3,FALSE),0)</f>
        <v/>
      </c>
      <c r="AX1325" s="76">
        <f>IFERROR(ROUND(S1325*(1+AW1325)/E1325,2),0)</f>
        <v/>
      </c>
      <c r="AY1325" s="76">
        <f>E1325*AX1325</f>
        <v/>
      </c>
      <c r="AZ1325" s="192">
        <f>S1325*(1+M1325)</f>
        <v/>
      </c>
      <c r="BA1325" s="76">
        <f>cost_fin_total*$BD1325</f>
        <v/>
      </c>
      <c r="BB1325" s="193">
        <f>credit_sales_interest*BD1325</f>
        <v/>
      </c>
      <c r="BC1325" s="102">
        <f>IFERROR(IF($I$13&gt;0,$I1325/$I$13,$S1325/$S$13),0)</f>
        <v/>
      </c>
      <c r="BD1325" s="102">
        <f>IFERROR($S1325/$S$13,0)</f>
        <v/>
      </c>
      <c r="BE1325" s="413" t="inlineStr">
        <is>
          <t>$</t>
        </is>
      </c>
    </row>
    <row r="1326" ht="12" customFormat="1" customHeight="1" s="65">
      <c r="A1326" s="43" t="n">
        <v>1311</v>
      </c>
      <c r="B1326" s="166" t="n"/>
      <c r="C1326" s="166" t="n"/>
      <c r="D1326" s="166" t="n"/>
      <c r="E1326" s="162" t="n"/>
      <c r="F1326" s="166" t="n"/>
      <c r="G1326" s="162" t="n"/>
      <c r="H1326" s="162" t="n"/>
      <c r="I1326" s="189">
        <f>E1326*G1326</f>
        <v/>
      </c>
      <c r="J1326" s="195" t="n"/>
      <c r="K1326" s="162" t="n"/>
      <c r="L1326" s="168" t="n"/>
      <c r="M1326" s="75">
        <f>_xlfn.XLOOKUP(L1326,list_vat[Страна],list_vat[Ставка НДС %],0,0)</f>
        <v/>
      </c>
      <c r="N1326" s="162">
        <f>IFERROR(IF(L1326="Китай",K1326,K1326/(1+M1326)),0)</f>
        <v/>
      </c>
      <c r="O1326" s="169" t="n"/>
      <c r="P1326" s="76">
        <f>N1326*(1-O1326)</f>
        <v/>
      </c>
      <c r="Q1326" s="162" t="n"/>
      <c r="R1326" s="162">
        <f>IF(ISBLANK(Q1326),"введи курс",P1326/Q1326)</f>
        <v/>
      </c>
      <c r="S1326" s="196">
        <f>IF(AND(ISNUMBER(E1326),ISNUMBER(Q1326)),E1326*R1326,0)</f>
        <v/>
      </c>
      <c r="T1326" s="192">
        <f>$BC1326*V$11</f>
        <v/>
      </c>
      <c r="U1326" s="76">
        <f>$BC1326*W$11</f>
        <v/>
      </c>
      <c r="V1326" s="193">
        <f>+SUM(T1326:U1326)</f>
        <v/>
      </c>
      <c r="W1326" s="191" t="n"/>
      <c r="X1326" s="170" t="n"/>
      <c r="Y1326" s="76">
        <f>ROUND(IF(offer_incoterms="DDP",X1326*(S1326*(1+AW1326)+T1326),0),2)</f>
        <v/>
      </c>
      <c r="Z1326" s="188" t="n"/>
      <c r="AA1326" s="192">
        <f>IFERROR(AB1326/E1326,0)</f>
        <v/>
      </c>
      <c r="AB1326" s="76">
        <f>ROUND(SUM(S1326,V1326,Y1326:Z1326,BA1326:BB1326),2)</f>
        <v/>
      </c>
      <c r="AC1326" s="797" t="n"/>
      <c r="AD1326" s="192">
        <f t="array" ref="AD1326">IFERROR(ROUND((_xlfn.IFS(offer_sale_type="поставка",AB1326,offer_sale_type="транзит",S1326)*(1+AC1326))/E1326,2),0)</f>
        <v/>
      </c>
      <c r="AE1326" s="76">
        <f>AD1326*E1326</f>
        <v/>
      </c>
      <c r="AF1326" s="193">
        <f t="array" ref="AF1326">IFERROR(ROUND(_xlfn.IFS(offer_sale_type="поставка",AB1326,offer_sale_type="транзит",S1326)*AC1326,2),0)</f>
        <v/>
      </c>
      <c r="AG1326" s="192">
        <f>$BD1326*VLOOKUP($AG$3,$AF$4:$AG$7,2,FALSE)</f>
        <v/>
      </c>
      <c r="AH1326" s="76">
        <f>SUM(AE1326,AG1326,AI1326)*rate_forex_risk</f>
        <v/>
      </c>
      <c r="AI1326" s="193">
        <f>IF(OR(seller_region="TR",offer_sale_type="экспорт"),0,rate_fin_comm)*SUM(AZ1326,AZ1326*AW1326,T1326)</f>
        <v/>
      </c>
      <c r="AJ1326" s="118">
        <f>IFERROR(ROUND(SUM(AB1326,AF1326:AI1326)/E1326,2),0)</f>
        <v/>
      </c>
      <c r="AK1326" s="76">
        <f>AJ1326*E1326</f>
        <v/>
      </c>
      <c r="AL1326" s="174">
        <f>ROUND(IFERROR(AM1326*E1326,0),2)</f>
        <v/>
      </c>
      <c r="AM1326" s="175">
        <f>ROUND(AJ1326*(1+IF(offer_incoterms="DDP",IF((TODAY()+offer_turnaround_time)&gt;=helpsheet!$L$17,rate_vatRU_from_26,rate_vatRu_till_25),0)),2)</f>
        <v/>
      </c>
      <c r="AN1326" s="192">
        <f>AL1326-AK1326</f>
        <v/>
      </c>
      <c r="AO1326" s="76">
        <f>SUM(AY1326,Y1326:Z1326,T1326)*IF(AND(offer_incoterms="DDP",offer_sale_type&lt;&gt;"экспорт"),IF((TODAY()+offer_turnaround_time)&gt;=helpsheet!$L$17,rate_vatRU_from_26,rate_vatRu_till_25),0)</f>
        <v/>
      </c>
      <c r="AP1326" s="193">
        <f>AN1326-AO1326</f>
        <v/>
      </c>
      <c r="AQ1326" s="118">
        <f>IF(offer_sale_type="транзит",SUM(AF1326:AI1326,BA1326,BB1326),0)</f>
        <v/>
      </c>
      <c r="AR1326" s="82">
        <f>HYPERLINK("https://www.alta.ru/tnved/code/")&amp;W1326&amp;"/"</f>
        <v/>
      </c>
      <c r="AS1326" s="157" t="n"/>
      <c r="AT1326" s="162" t="n"/>
      <c r="AU1326" s="76">
        <f>IF(ISBLANK(AT1326),0,AJ1326-AT1326)</f>
        <v/>
      </c>
      <c r="AV1326" s="157" t="n"/>
      <c r="AW1326" s="75">
        <f>_xlfn.IFNA(VLOOKUP(L1326,list_vat[],3,FALSE),0)</f>
        <v/>
      </c>
      <c r="AX1326" s="76">
        <f>IFERROR(ROUND(S1326*(1+AW1326)/E1326,2),0)</f>
        <v/>
      </c>
      <c r="AY1326" s="76">
        <f>E1326*AX1326</f>
        <v/>
      </c>
      <c r="AZ1326" s="192">
        <f>S1326*(1+M1326)</f>
        <v/>
      </c>
      <c r="BA1326" s="76">
        <f>cost_fin_total*$BD1326</f>
        <v/>
      </c>
      <c r="BB1326" s="193">
        <f>credit_sales_interest*BD1326</f>
        <v/>
      </c>
      <c r="BC1326" s="102">
        <f>IFERROR(IF($I$13&gt;0,$I1326/$I$13,$S1326/$S$13),0)</f>
        <v/>
      </c>
      <c r="BD1326" s="102">
        <f>IFERROR($S1326/$S$13,0)</f>
        <v/>
      </c>
      <c r="BE1326" s="413" t="inlineStr">
        <is>
          <t>$</t>
        </is>
      </c>
    </row>
    <row r="1327" ht="12" customFormat="1" customHeight="1" s="65">
      <c r="A1327" s="43" t="n">
        <v>1312</v>
      </c>
      <c r="B1327" s="166" t="n"/>
      <c r="C1327" s="166" t="n"/>
      <c r="D1327" s="166" t="n"/>
      <c r="E1327" s="162" t="n"/>
      <c r="F1327" s="166" t="n"/>
      <c r="G1327" s="162" t="n"/>
      <c r="H1327" s="162" t="n"/>
      <c r="I1327" s="189">
        <f>E1327*G1327</f>
        <v/>
      </c>
      <c r="J1327" s="195" t="n"/>
      <c r="K1327" s="162" t="n"/>
      <c r="L1327" s="168" t="n"/>
      <c r="M1327" s="75">
        <f>_xlfn.XLOOKUP(L1327,list_vat[Страна],list_vat[Ставка НДС %],0,0)</f>
        <v/>
      </c>
      <c r="N1327" s="162">
        <f>IFERROR(IF(L1327="Китай",K1327,K1327/(1+M1327)),0)</f>
        <v/>
      </c>
      <c r="O1327" s="169" t="n"/>
      <c r="P1327" s="76">
        <f>N1327*(1-O1327)</f>
        <v/>
      </c>
      <c r="Q1327" s="162" t="n"/>
      <c r="R1327" s="162">
        <f>IF(ISBLANK(Q1327),"введи курс",P1327/Q1327)</f>
        <v/>
      </c>
      <c r="S1327" s="196">
        <f>IF(AND(ISNUMBER(E1327),ISNUMBER(Q1327)),E1327*R1327,0)</f>
        <v/>
      </c>
      <c r="T1327" s="192">
        <f>$BC1327*V$11</f>
        <v/>
      </c>
      <c r="U1327" s="76">
        <f>$BC1327*W$11</f>
        <v/>
      </c>
      <c r="V1327" s="193">
        <f>+SUM(T1327:U1327)</f>
        <v/>
      </c>
      <c r="W1327" s="191" t="n"/>
      <c r="X1327" s="170" t="n"/>
      <c r="Y1327" s="76">
        <f>ROUND(IF(offer_incoterms="DDP",X1327*(S1327*(1+AW1327)+T1327),0),2)</f>
        <v/>
      </c>
      <c r="Z1327" s="188" t="n"/>
      <c r="AA1327" s="192">
        <f>IFERROR(AB1327/E1327,0)</f>
        <v/>
      </c>
      <c r="AB1327" s="76">
        <f>ROUND(SUM(S1327,V1327,Y1327:Z1327,BA1327:BB1327),2)</f>
        <v/>
      </c>
      <c r="AC1327" s="797" t="n"/>
      <c r="AD1327" s="192">
        <f t="array" ref="AD1327">IFERROR(ROUND((_xlfn.IFS(offer_sale_type="поставка",AB1327,offer_sale_type="транзит",S1327)*(1+AC1327))/E1327,2),0)</f>
        <v/>
      </c>
      <c r="AE1327" s="76">
        <f>AD1327*E1327</f>
        <v/>
      </c>
      <c r="AF1327" s="193">
        <f t="array" ref="AF1327">IFERROR(ROUND(_xlfn.IFS(offer_sale_type="поставка",AB1327,offer_sale_type="транзит",S1327)*AC1327,2),0)</f>
        <v/>
      </c>
      <c r="AG1327" s="192">
        <f>$BD1327*VLOOKUP($AG$3,$AF$4:$AG$7,2,FALSE)</f>
        <v/>
      </c>
      <c r="AH1327" s="76">
        <f>SUM(AE1327,AG1327,AI1327)*rate_forex_risk</f>
        <v/>
      </c>
      <c r="AI1327" s="193">
        <f>IF(OR(seller_region="TR",offer_sale_type="экспорт"),0,rate_fin_comm)*SUM(AZ1327,AZ1327*AW1327,T1327)</f>
        <v/>
      </c>
      <c r="AJ1327" s="118">
        <f>IFERROR(ROUND(SUM(AB1327,AF1327:AI1327)/E1327,2),0)</f>
        <v/>
      </c>
      <c r="AK1327" s="76">
        <f>AJ1327*E1327</f>
        <v/>
      </c>
      <c r="AL1327" s="174">
        <f>ROUND(IFERROR(AM1327*E1327,0),2)</f>
        <v/>
      </c>
      <c r="AM1327" s="175">
        <f>ROUND(AJ1327*(1+IF(offer_incoterms="DDP",IF((TODAY()+offer_turnaround_time)&gt;=helpsheet!$L$17,rate_vatRU_from_26,rate_vatRu_till_25),0)),2)</f>
        <v/>
      </c>
      <c r="AN1327" s="192">
        <f>AL1327-AK1327</f>
        <v/>
      </c>
      <c r="AO1327" s="76">
        <f>SUM(AY1327,Y1327:Z1327,T1327)*IF(AND(offer_incoterms="DDP",offer_sale_type&lt;&gt;"экспорт"),IF((TODAY()+offer_turnaround_time)&gt;=helpsheet!$L$17,rate_vatRU_from_26,rate_vatRu_till_25),0)</f>
        <v/>
      </c>
      <c r="AP1327" s="193">
        <f>AN1327-AO1327</f>
        <v/>
      </c>
      <c r="AQ1327" s="118">
        <f>IF(offer_sale_type="транзит",SUM(AF1327:AI1327,BA1327,BB1327),0)</f>
        <v/>
      </c>
      <c r="AR1327" s="82">
        <f>HYPERLINK("https://www.alta.ru/tnved/code/")&amp;W1327&amp;"/"</f>
        <v/>
      </c>
      <c r="AS1327" s="157" t="n"/>
      <c r="AT1327" s="162" t="n"/>
      <c r="AU1327" s="76">
        <f>IF(ISBLANK(AT1327),0,AJ1327-AT1327)</f>
        <v/>
      </c>
      <c r="AV1327" s="157" t="n"/>
      <c r="AW1327" s="75">
        <f>_xlfn.IFNA(VLOOKUP(L1327,list_vat[],3,FALSE),0)</f>
        <v/>
      </c>
      <c r="AX1327" s="76">
        <f>IFERROR(ROUND(S1327*(1+AW1327)/E1327,2),0)</f>
        <v/>
      </c>
      <c r="AY1327" s="76">
        <f>E1327*AX1327</f>
        <v/>
      </c>
      <c r="AZ1327" s="192">
        <f>S1327*(1+M1327)</f>
        <v/>
      </c>
      <c r="BA1327" s="76">
        <f>cost_fin_total*$BD1327</f>
        <v/>
      </c>
      <c r="BB1327" s="193">
        <f>credit_sales_interest*BD1327</f>
        <v/>
      </c>
      <c r="BC1327" s="102">
        <f>IFERROR(IF($I$13&gt;0,$I1327/$I$13,$S1327/$S$13),0)</f>
        <v/>
      </c>
      <c r="BD1327" s="102">
        <f>IFERROR($S1327/$S$13,0)</f>
        <v/>
      </c>
      <c r="BE1327" s="413" t="inlineStr">
        <is>
          <t>$</t>
        </is>
      </c>
    </row>
    <row r="1328" ht="12" customFormat="1" customHeight="1" s="65">
      <c r="A1328" s="43" t="n">
        <v>1313</v>
      </c>
      <c r="B1328" s="166" t="n"/>
      <c r="C1328" s="166" t="n"/>
      <c r="D1328" s="166" t="n"/>
      <c r="E1328" s="162" t="n"/>
      <c r="F1328" s="166" t="n"/>
      <c r="G1328" s="162" t="n"/>
      <c r="H1328" s="162" t="n"/>
      <c r="I1328" s="189">
        <f>E1328*G1328</f>
        <v/>
      </c>
      <c r="J1328" s="195" t="n"/>
      <c r="K1328" s="162" t="n"/>
      <c r="L1328" s="168" t="n"/>
      <c r="M1328" s="75">
        <f>_xlfn.XLOOKUP(L1328,list_vat[Страна],list_vat[Ставка НДС %],0,0)</f>
        <v/>
      </c>
      <c r="N1328" s="162">
        <f>IFERROR(IF(L1328="Китай",K1328,K1328/(1+M1328)),0)</f>
        <v/>
      </c>
      <c r="O1328" s="169" t="n"/>
      <c r="P1328" s="76">
        <f>N1328*(1-O1328)</f>
        <v/>
      </c>
      <c r="Q1328" s="162" t="n"/>
      <c r="R1328" s="162">
        <f>IF(ISBLANK(Q1328),"введи курс",P1328/Q1328)</f>
        <v/>
      </c>
      <c r="S1328" s="196">
        <f>IF(AND(ISNUMBER(E1328),ISNUMBER(Q1328)),E1328*R1328,0)</f>
        <v/>
      </c>
      <c r="T1328" s="192">
        <f>$BC1328*V$11</f>
        <v/>
      </c>
      <c r="U1328" s="76">
        <f>$BC1328*W$11</f>
        <v/>
      </c>
      <c r="V1328" s="193">
        <f>+SUM(T1328:U1328)</f>
        <v/>
      </c>
      <c r="W1328" s="191" t="n"/>
      <c r="X1328" s="170" t="n"/>
      <c r="Y1328" s="76">
        <f>ROUND(IF(offer_incoterms="DDP",X1328*(S1328*(1+AW1328)+T1328),0),2)</f>
        <v/>
      </c>
      <c r="Z1328" s="188" t="n"/>
      <c r="AA1328" s="192">
        <f>IFERROR(AB1328/E1328,0)</f>
        <v/>
      </c>
      <c r="AB1328" s="76">
        <f>ROUND(SUM(S1328,V1328,Y1328:Z1328,BA1328:BB1328),2)</f>
        <v/>
      </c>
      <c r="AC1328" s="797" t="n"/>
      <c r="AD1328" s="192">
        <f t="array" ref="AD1328">IFERROR(ROUND((_xlfn.IFS(offer_sale_type="поставка",AB1328,offer_sale_type="транзит",S1328)*(1+AC1328))/E1328,2),0)</f>
        <v/>
      </c>
      <c r="AE1328" s="76">
        <f>AD1328*E1328</f>
        <v/>
      </c>
      <c r="AF1328" s="193">
        <f t="array" ref="AF1328">IFERROR(ROUND(_xlfn.IFS(offer_sale_type="поставка",AB1328,offer_sale_type="транзит",S1328)*AC1328,2),0)</f>
        <v/>
      </c>
      <c r="AG1328" s="192">
        <f>$BD1328*VLOOKUP($AG$3,$AF$4:$AG$7,2,FALSE)</f>
        <v/>
      </c>
      <c r="AH1328" s="76">
        <f>SUM(AE1328,AG1328,AI1328)*rate_forex_risk</f>
        <v/>
      </c>
      <c r="AI1328" s="193">
        <f>IF(OR(seller_region="TR",offer_sale_type="экспорт"),0,rate_fin_comm)*SUM(AZ1328,AZ1328*AW1328,T1328)</f>
        <v/>
      </c>
      <c r="AJ1328" s="118">
        <f>IFERROR(ROUND(SUM(AB1328,AF1328:AI1328)/E1328,2),0)</f>
        <v/>
      </c>
      <c r="AK1328" s="76">
        <f>AJ1328*E1328</f>
        <v/>
      </c>
      <c r="AL1328" s="174">
        <f>ROUND(IFERROR(AM1328*E1328,0),2)</f>
        <v/>
      </c>
      <c r="AM1328" s="175">
        <f>ROUND(AJ1328*(1+IF(offer_incoterms="DDP",IF((TODAY()+offer_turnaround_time)&gt;=helpsheet!$L$17,rate_vatRU_from_26,rate_vatRu_till_25),0)),2)</f>
        <v/>
      </c>
      <c r="AN1328" s="192">
        <f>AL1328-AK1328</f>
        <v/>
      </c>
      <c r="AO1328" s="76">
        <f>SUM(AY1328,Y1328:Z1328,T1328)*IF(AND(offer_incoterms="DDP",offer_sale_type&lt;&gt;"экспорт"),IF((TODAY()+offer_turnaround_time)&gt;=helpsheet!$L$17,rate_vatRU_from_26,rate_vatRu_till_25),0)</f>
        <v/>
      </c>
      <c r="AP1328" s="193">
        <f>AN1328-AO1328</f>
        <v/>
      </c>
      <c r="AQ1328" s="118">
        <f>IF(offer_sale_type="транзит",SUM(AF1328:AI1328,BA1328,BB1328),0)</f>
        <v/>
      </c>
      <c r="AR1328" s="82">
        <f>HYPERLINK("https://www.alta.ru/tnved/code/")&amp;W1328&amp;"/"</f>
        <v/>
      </c>
      <c r="AS1328" s="157" t="n"/>
      <c r="AT1328" s="162" t="n"/>
      <c r="AU1328" s="76">
        <f>IF(ISBLANK(AT1328),0,AJ1328-AT1328)</f>
        <v/>
      </c>
      <c r="AV1328" s="157" t="n"/>
      <c r="AW1328" s="75">
        <f>_xlfn.IFNA(VLOOKUP(L1328,list_vat[],3,FALSE),0)</f>
        <v/>
      </c>
      <c r="AX1328" s="76">
        <f>IFERROR(ROUND(S1328*(1+AW1328)/E1328,2),0)</f>
        <v/>
      </c>
      <c r="AY1328" s="76">
        <f>E1328*AX1328</f>
        <v/>
      </c>
      <c r="AZ1328" s="192">
        <f>S1328*(1+M1328)</f>
        <v/>
      </c>
      <c r="BA1328" s="76">
        <f>cost_fin_total*$BD1328</f>
        <v/>
      </c>
      <c r="BB1328" s="193">
        <f>credit_sales_interest*BD1328</f>
        <v/>
      </c>
      <c r="BC1328" s="102">
        <f>IFERROR(IF($I$13&gt;0,$I1328/$I$13,$S1328/$S$13),0)</f>
        <v/>
      </c>
      <c r="BD1328" s="102">
        <f>IFERROR($S1328/$S$13,0)</f>
        <v/>
      </c>
      <c r="BE1328" s="413" t="inlineStr">
        <is>
          <t>$</t>
        </is>
      </c>
    </row>
    <row r="1329" ht="12" customFormat="1" customHeight="1" s="65">
      <c r="A1329" s="43" t="n">
        <v>1314</v>
      </c>
      <c r="B1329" s="166" t="n"/>
      <c r="C1329" s="166" t="n"/>
      <c r="D1329" s="166" t="n"/>
      <c r="E1329" s="162" t="n"/>
      <c r="F1329" s="166" t="n"/>
      <c r="G1329" s="162" t="n"/>
      <c r="H1329" s="162" t="n"/>
      <c r="I1329" s="189">
        <f>E1329*G1329</f>
        <v/>
      </c>
      <c r="J1329" s="195" t="n"/>
      <c r="K1329" s="162" t="n"/>
      <c r="L1329" s="168" t="n"/>
      <c r="M1329" s="75">
        <f>_xlfn.XLOOKUP(L1329,list_vat[Страна],list_vat[Ставка НДС %],0,0)</f>
        <v/>
      </c>
      <c r="N1329" s="162">
        <f>IFERROR(IF(L1329="Китай",K1329,K1329/(1+M1329)),0)</f>
        <v/>
      </c>
      <c r="O1329" s="169" t="n"/>
      <c r="P1329" s="76">
        <f>N1329*(1-O1329)</f>
        <v/>
      </c>
      <c r="Q1329" s="162" t="n"/>
      <c r="R1329" s="162">
        <f>IF(ISBLANK(Q1329),"введи курс",P1329/Q1329)</f>
        <v/>
      </c>
      <c r="S1329" s="196">
        <f>IF(AND(ISNUMBER(E1329),ISNUMBER(Q1329)),E1329*R1329,0)</f>
        <v/>
      </c>
      <c r="T1329" s="192">
        <f>$BC1329*V$11</f>
        <v/>
      </c>
      <c r="U1329" s="76">
        <f>$BC1329*W$11</f>
        <v/>
      </c>
      <c r="V1329" s="193">
        <f>+SUM(T1329:U1329)</f>
        <v/>
      </c>
      <c r="W1329" s="191" t="n"/>
      <c r="X1329" s="170" t="n"/>
      <c r="Y1329" s="76">
        <f>ROUND(IF(offer_incoterms="DDP",X1329*(S1329*(1+AW1329)+T1329),0),2)</f>
        <v/>
      </c>
      <c r="Z1329" s="188" t="n"/>
      <c r="AA1329" s="192">
        <f>IFERROR(AB1329/E1329,0)</f>
        <v/>
      </c>
      <c r="AB1329" s="76">
        <f>ROUND(SUM(S1329,V1329,Y1329:Z1329,BA1329:BB1329),2)</f>
        <v/>
      </c>
      <c r="AC1329" s="797" t="n"/>
      <c r="AD1329" s="192">
        <f t="array" ref="AD1329">IFERROR(ROUND((_xlfn.IFS(offer_sale_type="поставка",AB1329,offer_sale_type="транзит",S1329)*(1+AC1329))/E1329,2),0)</f>
        <v/>
      </c>
      <c r="AE1329" s="76">
        <f>AD1329*E1329</f>
        <v/>
      </c>
      <c r="AF1329" s="193">
        <f t="array" ref="AF1329">IFERROR(ROUND(_xlfn.IFS(offer_sale_type="поставка",AB1329,offer_sale_type="транзит",S1329)*AC1329,2),0)</f>
        <v/>
      </c>
      <c r="AG1329" s="192">
        <f>$BD1329*VLOOKUP($AG$3,$AF$4:$AG$7,2,FALSE)</f>
        <v/>
      </c>
      <c r="AH1329" s="76">
        <f>SUM(AE1329,AG1329,AI1329)*rate_forex_risk</f>
        <v/>
      </c>
      <c r="AI1329" s="193">
        <f>IF(OR(seller_region="TR",offer_sale_type="экспорт"),0,rate_fin_comm)*SUM(AZ1329,AZ1329*AW1329,T1329)</f>
        <v/>
      </c>
      <c r="AJ1329" s="118">
        <f>IFERROR(ROUND(SUM(AB1329,AF1329:AI1329)/E1329,2),0)</f>
        <v/>
      </c>
      <c r="AK1329" s="76">
        <f>AJ1329*E1329</f>
        <v/>
      </c>
      <c r="AL1329" s="174">
        <f>ROUND(IFERROR(AM1329*E1329,0),2)</f>
        <v/>
      </c>
      <c r="AM1329" s="175">
        <f>ROUND(AJ1329*(1+IF(offer_incoterms="DDP",IF((TODAY()+offer_turnaround_time)&gt;=helpsheet!$L$17,rate_vatRU_from_26,rate_vatRu_till_25),0)),2)</f>
        <v/>
      </c>
      <c r="AN1329" s="192">
        <f>AL1329-AK1329</f>
        <v/>
      </c>
      <c r="AO1329" s="76">
        <f>SUM(AY1329,Y1329:Z1329,T1329)*IF(AND(offer_incoterms="DDP",offer_sale_type&lt;&gt;"экспорт"),IF((TODAY()+offer_turnaround_time)&gt;=helpsheet!$L$17,rate_vatRU_from_26,rate_vatRu_till_25),0)</f>
        <v/>
      </c>
      <c r="AP1329" s="193">
        <f>AN1329-AO1329</f>
        <v/>
      </c>
      <c r="AQ1329" s="118">
        <f>IF(offer_sale_type="транзит",SUM(AF1329:AI1329,BA1329,BB1329),0)</f>
        <v/>
      </c>
      <c r="AR1329" s="82">
        <f>HYPERLINK("https://www.alta.ru/tnved/code/")&amp;W1329&amp;"/"</f>
        <v/>
      </c>
      <c r="AS1329" s="157" t="n"/>
      <c r="AT1329" s="162" t="n"/>
      <c r="AU1329" s="76">
        <f>IF(ISBLANK(AT1329),0,AJ1329-AT1329)</f>
        <v/>
      </c>
      <c r="AV1329" s="157" t="n"/>
      <c r="AW1329" s="75">
        <f>_xlfn.IFNA(VLOOKUP(L1329,list_vat[],3,FALSE),0)</f>
        <v/>
      </c>
      <c r="AX1329" s="76">
        <f>IFERROR(ROUND(S1329*(1+AW1329)/E1329,2),0)</f>
        <v/>
      </c>
      <c r="AY1329" s="76">
        <f>E1329*AX1329</f>
        <v/>
      </c>
      <c r="AZ1329" s="192">
        <f>S1329*(1+M1329)</f>
        <v/>
      </c>
      <c r="BA1329" s="76">
        <f>cost_fin_total*$BD1329</f>
        <v/>
      </c>
      <c r="BB1329" s="193">
        <f>credit_sales_interest*BD1329</f>
        <v/>
      </c>
      <c r="BC1329" s="102">
        <f>IFERROR(IF($I$13&gt;0,$I1329/$I$13,$S1329/$S$13),0)</f>
        <v/>
      </c>
      <c r="BD1329" s="102">
        <f>IFERROR($S1329/$S$13,0)</f>
        <v/>
      </c>
      <c r="BE1329" s="413" t="inlineStr">
        <is>
          <t>$</t>
        </is>
      </c>
    </row>
    <row r="1330" ht="12" customFormat="1" customHeight="1" s="65">
      <c r="A1330" s="43" t="n">
        <v>1315</v>
      </c>
      <c r="B1330" s="166" t="n"/>
      <c r="C1330" s="166" t="n"/>
      <c r="D1330" s="166" t="n"/>
      <c r="E1330" s="162" t="n"/>
      <c r="F1330" s="166" t="n"/>
      <c r="G1330" s="162" t="n"/>
      <c r="H1330" s="162" t="n"/>
      <c r="I1330" s="189">
        <f>E1330*G1330</f>
        <v/>
      </c>
      <c r="J1330" s="195" t="n"/>
      <c r="K1330" s="162" t="n"/>
      <c r="L1330" s="168" t="n"/>
      <c r="M1330" s="75">
        <f>_xlfn.XLOOKUP(L1330,list_vat[Страна],list_vat[Ставка НДС %],0,0)</f>
        <v/>
      </c>
      <c r="N1330" s="162">
        <f>IFERROR(IF(L1330="Китай",K1330,K1330/(1+M1330)),0)</f>
        <v/>
      </c>
      <c r="O1330" s="169" t="n"/>
      <c r="P1330" s="76">
        <f>N1330*(1-O1330)</f>
        <v/>
      </c>
      <c r="Q1330" s="162" t="n"/>
      <c r="R1330" s="162">
        <f>IF(ISBLANK(Q1330),"введи курс",P1330/Q1330)</f>
        <v/>
      </c>
      <c r="S1330" s="196">
        <f>IF(AND(ISNUMBER(E1330),ISNUMBER(Q1330)),E1330*R1330,0)</f>
        <v/>
      </c>
      <c r="T1330" s="192">
        <f>$BC1330*V$11</f>
        <v/>
      </c>
      <c r="U1330" s="76">
        <f>$BC1330*W$11</f>
        <v/>
      </c>
      <c r="V1330" s="193">
        <f>+SUM(T1330:U1330)</f>
        <v/>
      </c>
      <c r="W1330" s="191" t="n"/>
      <c r="X1330" s="170" t="n"/>
      <c r="Y1330" s="76">
        <f>ROUND(IF(offer_incoterms="DDP",X1330*(S1330*(1+AW1330)+T1330),0),2)</f>
        <v/>
      </c>
      <c r="Z1330" s="188" t="n"/>
      <c r="AA1330" s="192">
        <f>IFERROR(AB1330/E1330,0)</f>
        <v/>
      </c>
      <c r="AB1330" s="76">
        <f>ROUND(SUM(S1330,V1330,Y1330:Z1330,BA1330:BB1330),2)</f>
        <v/>
      </c>
      <c r="AC1330" s="797" t="n"/>
      <c r="AD1330" s="192">
        <f t="array" ref="AD1330">IFERROR(ROUND((_xlfn.IFS(offer_sale_type="поставка",AB1330,offer_sale_type="транзит",S1330)*(1+AC1330))/E1330,2),0)</f>
        <v/>
      </c>
      <c r="AE1330" s="76">
        <f>AD1330*E1330</f>
        <v/>
      </c>
      <c r="AF1330" s="193">
        <f t="array" ref="AF1330">IFERROR(ROUND(_xlfn.IFS(offer_sale_type="поставка",AB1330,offer_sale_type="транзит",S1330)*AC1330,2),0)</f>
        <v/>
      </c>
      <c r="AG1330" s="192">
        <f>$BD1330*VLOOKUP($AG$3,$AF$4:$AG$7,2,FALSE)</f>
        <v/>
      </c>
      <c r="AH1330" s="76">
        <f>SUM(AE1330,AG1330,AI1330)*rate_forex_risk</f>
        <v/>
      </c>
      <c r="AI1330" s="193">
        <f>IF(OR(seller_region="TR",offer_sale_type="экспорт"),0,rate_fin_comm)*SUM(AZ1330,AZ1330*AW1330,T1330)</f>
        <v/>
      </c>
      <c r="AJ1330" s="118">
        <f>IFERROR(ROUND(SUM(AB1330,AF1330:AI1330)/E1330,2),0)</f>
        <v/>
      </c>
      <c r="AK1330" s="76">
        <f>AJ1330*E1330</f>
        <v/>
      </c>
      <c r="AL1330" s="174">
        <f>ROUND(IFERROR(AM1330*E1330,0),2)</f>
        <v/>
      </c>
      <c r="AM1330" s="175">
        <f>ROUND(AJ1330*(1+IF(offer_incoterms="DDP",IF((TODAY()+offer_turnaround_time)&gt;=helpsheet!$L$17,rate_vatRU_from_26,rate_vatRu_till_25),0)),2)</f>
        <v/>
      </c>
      <c r="AN1330" s="192">
        <f>AL1330-AK1330</f>
        <v/>
      </c>
      <c r="AO1330" s="76">
        <f>SUM(AY1330,Y1330:Z1330,T1330)*IF(AND(offer_incoterms="DDP",offer_sale_type&lt;&gt;"экспорт"),IF((TODAY()+offer_turnaround_time)&gt;=helpsheet!$L$17,rate_vatRU_from_26,rate_vatRu_till_25),0)</f>
        <v/>
      </c>
      <c r="AP1330" s="193">
        <f>AN1330-AO1330</f>
        <v/>
      </c>
      <c r="AQ1330" s="118">
        <f>IF(offer_sale_type="транзит",SUM(AF1330:AI1330,BA1330,BB1330),0)</f>
        <v/>
      </c>
      <c r="AR1330" s="82">
        <f>HYPERLINK("https://www.alta.ru/tnved/code/")&amp;W1330&amp;"/"</f>
        <v/>
      </c>
      <c r="AS1330" s="157" t="n"/>
      <c r="AT1330" s="162" t="n"/>
      <c r="AU1330" s="76">
        <f>IF(ISBLANK(AT1330),0,AJ1330-AT1330)</f>
        <v/>
      </c>
      <c r="AV1330" s="157" t="n"/>
      <c r="AW1330" s="75">
        <f>_xlfn.IFNA(VLOOKUP(L1330,list_vat[],3,FALSE),0)</f>
        <v/>
      </c>
      <c r="AX1330" s="76">
        <f>IFERROR(ROUND(S1330*(1+AW1330)/E1330,2),0)</f>
        <v/>
      </c>
      <c r="AY1330" s="76">
        <f>E1330*AX1330</f>
        <v/>
      </c>
      <c r="AZ1330" s="192">
        <f>S1330*(1+M1330)</f>
        <v/>
      </c>
      <c r="BA1330" s="76">
        <f>cost_fin_total*$BD1330</f>
        <v/>
      </c>
      <c r="BB1330" s="193">
        <f>credit_sales_interest*BD1330</f>
        <v/>
      </c>
      <c r="BC1330" s="102">
        <f>IFERROR(IF($I$13&gt;0,$I1330/$I$13,$S1330/$S$13),0)</f>
        <v/>
      </c>
      <c r="BD1330" s="102">
        <f>IFERROR($S1330/$S$13,0)</f>
        <v/>
      </c>
      <c r="BE1330" s="413" t="inlineStr">
        <is>
          <t>$</t>
        </is>
      </c>
    </row>
    <row r="1331" ht="12" customFormat="1" customHeight="1" s="65">
      <c r="A1331" s="43" t="n">
        <v>1316</v>
      </c>
      <c r="B1331" s="166" t="n"/>
      <c r="C1331" s="166" t="n"/>
      <c r="D1331" s="166" t="n"/>
      <c r="E1331" s="162" t="n"/>
      <c r="F1331" s="166" t="n"/>
      <c r="G1331" s="162" t="n"/>
      <c r="H1331" s="162" t="n"/>
      <c r="I1331" s="189">
        <f>E1331*G1331</f>
        <v/>
      </c>
      <c r="J1331" s="195" t="n"/>
      <c r="K1331" s="162" t="n"/>
      <c r="L1331" s="168" t="n"/>
      <c r="M1331" s="75">
        <f>_xlfn.XLOOKUP(L1331,list_vat[Страна],list_vat[Ставка НДС %],0,0)</f>
        <v/>
      </c>
      <c r="N1331" s="162">
        <f>IFERROR(IF(L1331="Китай",K1331,K1331/(1+M1331)),0)</f>
        <v/>
      </c>
      <c r="O1331" s="169" t="n"/>
      <c r="P1331" s="76">
        <f>N1331*(1-O1331)</f>
        <v/>
      </c>
      <c r="Q1331" s="162" t="n"/>
      <c r="R1331" s="162">
        <f>IF(ISBLANK(Q1331),"введи курс",P1331/Q1331)</f>
        <v/>
      </c>
      <c r="S1331" s="196">
        <f>IF(AND(ISNUMBER(E1331),ISNUMBER(Q1331)),E1331*R1331,0)</f>
        <v/>
      </c>
      <c r="T1331" s="192">
        <f>$BC1331*V$11</f>
        <v/>
      </c>
      <c r="U1331" s="76">
        <f>$BC1331*W$11</f>
        <v/>
      </c>
      <c r="V1331" s="193">
        <f>+SUM(T1331:U1331)</f>
        <v/>
      </c>
      <c r="W1331" s="191" t="n"/>
      <c r="X1331" s="170" t="n"/>
      <c r="Y1331" s="76">
        <f>ROUND(IF(offer_incoterms="DDP",X1331*(S1331*(1+AW1331)+T1331),0),2)</f>
        <v/>
      </c>
      <c r="Z1331" s="188" t="n"/>
      <c r="AA1331" s="192">
        <f>IFERROR(AB1331/E1331,0)</f>
        <v/>
      </c>
      <c r="AB1331" s="76">
        <f>ROUND(SUM(S1331,V1331,Y1331:Z1331,BA1331:BB1331),2)</f>
        <v/>
      </c>
      <c r="AC1331" s="797" t="n"/>
      <c r="AD1331" s="192">
        <f t="array" ref="AD1331">IFERROR(ROUND((_xlfn.IFS(offer_sale_type="поставка",AB1331,offer_sale_type="транзит",S1331)*(1+AC1331))/E1331,2),0)</f>
        <v/>
      </c>
      <c r="AE1331" s="76">
        <f>AD1331*E1331</f>
        <v/>
      </c>
      <c r="AF1331" s="193">
        <f t="array" ref="AF1331">IFERROR(ROUND(_xlfn.IFS(offer_sale_type="поставка",AB1331,offer_sale_type="транзит",S1331)*AC1331,2),0)</f>
        <v/>
      </c>
      <c r="AG1331" s="192">
        <f>$BD1331*VLOOKUP($AG$3,$AF$4:$AG$7,2,FALSE)</f>
        <v/>
      </c>
      <c r="AH1331" s="76">
        <f>SUM(AE1331,AG1331,AI1331)*rate_forex_risk</f>
        <v/>
      </c>
      <c r="AI1331" s="193">
        <f>IF(OR(seller_region="TR",offer_sale_type="экспорт"),0,rate_fin_comm)*SUM(AZ1331,AZ1331*AW1331,T1331)</f>
        <v/>
      </c>
      <c r="AJ1331" s="118">
        <f>IFERROR(ROUND(SUM(AB1331,AF1331:AI1331)/E1331,2),0)</f>
        <v/>
      </c>
      <c r="AK1331" s="76">
        <f>AJ1331*E1331</f>
        <v/>
      </c>
      <c r="AL1331" s="174">
        <f>ROUND(IFERROR(AM1331*E1331,0),2)</f>
        <v/>
      </c>
      <c r="AM1331" s="175">
        <f>ROUND(AJ1331*(1+IF(offer_incoterms="DDP",IF((TODAY()+offer_turnaround_time)&gt;=helpsheet!$L$17,rate_vatRU_from_26,rate_vatRu_till_25),0)),2)</f>
        <v/>
      </c>
      <c r="AN1331" s="192">
        <f>AL1331-AK1331</f>
        <v/>
      </c>
      <c r="AO1331" s="76">
        <f>SUM(AY1331,Y1331:Z1331,T1331)*IF(AND(offer_incoterms="DDP",offer_sale_type&lt;&gt;"экспорт"),IF((TODAY()+offer_turnaround_time)&gt;=helpsheet!$L$17,rate_vatRU_from_26,rate_vatRu_till_25),0)</f>
        <v/>
      </c>
      <c r="AP1331" s="193">
        <f>AN1331-AO1331</f>
        <v/>
      </c>
      <c r="AQ1331" s="118">
        <f>IF(offer_sale_type="транзит",SUM(AF1331:AI1331,BA1331,BB1331),0)</f>
        <v/>
      </c>
      <c r="AR1331" s="82">
        <f>HYPERLINK("https://www.alta.ru/tnved/code/")&amp;W1331&amp;"/"</f>
        <v/>
      </c>
      <c r="AS1331" s="157" t="n"/>
      <c r="AT1331" s="162" t="n"/>
      <c r="AU1331" s="76">
        <f>IF(ISBLANK(AT1331),0,AJ1331-AT1331)</f>
        <v/>
      </c>
      <c r="AV1331" s="157" t="n"/>
      <c r="AW1331" s="75">
        <f>_xlfn.IFNA(VLOOKUP(L1331,list_vat[],3,FALSE),0)</f>
        <v/>
      </c>
      <c r="AX1331" s="76">
        <f>IFERROR(ROUND(S1331*(1+AW1331)/E1331,2),0)</f>
        <v/>
      </c>
      <c r="AY1331" s="76">
        <f>E1331*AX1331</f>
        <v/>
      </c>
      <c r="AZ1331" s="192">
        <f>S1331*(1+M1331)</f>
        <v/>
      </c>
      <c r="BA1331" s="76">
        <f>cost_fin_total*$BD1331</f>
        <v/>
      </c>
      <c r="BB1331" s="193">
        <f>credit_sales_interest*BD1331</f>
        <v/>
      </c>
      <c r="BC1331" s="102">
        <f>IFERROR(IF($I$13&gt;0,$I1331/$I$13,$S1331/$S$13),0)</f>
        <v/>
      </c>
      <c r="BD1331" s="102">
        <f>IFERROR($S1331/$S$13,0)</f>
        <v/>
      </c>
      <c r="BE1331" s="413" t="inlineStr">
        <is>
          <t>$</t>
        </is>
      </c>
    </row>
    <row r="1332" ht="12" customFormat="1" customHeight="1" s="65">
      <c r="A1332" s="43" t="n">
        <v>1317</v>
      </c>
      <c r="B1332" s="166" t="n"/>
      <c r="C1332" s="166" t="n"/>
      <c r="D1332" s="166" t="n"/>
      <c r="E1332" s="162" t="n"/>
      <c r="F1332" s="166" t="n"/>
      <c r="G1332" s="162" t="n"/>
      <c r="H1332" s="162" t="n"/>
      <c r="I1332" s="189">
        <f>E1332*G1332</f>
        <v/>
      </c>
      <c r="J1332" s="195" t="n"/>
      <c r="K1332" s="162" t="n"/>
      <c r="L1332" s="168" t="n"/>
      <c r="M1332" s="75">
        <f>_xlfn.XLOOKUP(L1332,list_vat[Страна],list_vat[Ставка НДС %],0,0)</f>
        <v/>
      </c>
      <c r="N1332" s="162">
        <f>IFERROR(IF(L1332="Китай",K1332,K1332/(1+M1332)),0)</f>
        <v/>
      </c>
      <c r="O1332" s="169" t="n"/>
      <c r="P1332" s="76">
        <f>N1332*(1-O1332)</f>
        <v/>
      </c>
      <c r="Q1332" s="162" t="n"/>
      <c r="R1332" s="162">
        <f>IF(ISBLANK(Q1332),"введи курс",P1332/Q1332)</f>
        <v/>
      </c>
      <c r="S1332" s="196">
        <f>IF(AND(ISNUMBER(E1332),ISNUMBER(Q1332)),E1332*R1332,0)</f>
        <v/>
      </c>
      <c r="T1332" s="192">
        <f>$BC1332*V$11</f>
        <v/>
      </c>
      <c r="U1332" s="76">
        <f>$BC1332*W$11</f>
        <v/>
      </c>
      <c r="V1332" s="193">
        <f>+SUM(T1332:U1332)</f>
        <v/>
      </c>
      <c r="W1332" s="191" t="n"/>
      <c r="X1332" s="170" t="n"/>
      <c r="Y1332" s="76">
        <f>ROUND(IF(offer_incoterms="DDP",X1332*(S1332*(1+AW1332)+T1332),0),2)</f>
        <v/>
      </c>
      <c r="Z1332" s="188" t="n"/>
      <c r="AA1332" s="192">
        <f>IFERROR(AB1332/E1332,0)</f>
        <v/>
      </c>
      <c r="AB1332" s="76">
        <f>ROUND(SUM(S1332,V1332,Y1332:Z1332,BA1332:BB1332),2)</f>
        <v/>
      </c>
      <c r="AC1332" s="797" t="n"/>
      <c r="AD1332" s="192">
        <f t="array" ref="AD1332">IFERROR(ROUND((_xlfn.IFS(offer_sale_type="поставка",AB1332,offer_sale_type="транзит",S1332)*(1+AC1332))/E1332,2),0)</f>
        <v/>
      </c>
      <c r="AE1332" s="76">
        <f>AD1332*E1332</f>
        <v/>
      </c>
      <c r="AF1332" s="193">
        <f t="array" ref="AF1332">IFERROR(ROUND(_xlfn.IFS(offer_sale_type="поставка",AB1332,offer_sale_type="транзит",S1332)*AC1332,2),0)</f>
        <v/>
      </c>
      <c r="AG1332" s="192">
        <f>$BD1332*VLOOKUP($AG$3,$AF$4:$AG$7,2,FALSE)</f>
        <v/>
      </c>
      <c r="AH1332" s="76">
        <f>SUM(AE1332,AG1332,AI1332)*rate_forex_risk</f>
        <v/>
      </c>
      <c r="AI1332" s="193">
        <f>IF(OR(seller_region="TR",offer_sale_type="экспорт"),0,rate_fin_comm)*SUM(AZ1332,AZ1332*AW1332,T1332)</f>
        <v/>
      </c>
      <c r="AJ1332" s="118">
        <f>IFERROR(ROUND(SUM(AB1332,AF1332:AI1332)/E1332,2),0)</f>
        <v/>
      </c>
      <c r="AK1332" s="76">
        <f>AJ1332*E1332</f>
        <v/>
      </c>
      <c r="AL1332" s="174">
        <f>ROUND(IFERROR(AM1332*E1332,0),2)</f>
        <v/>
      </c>
      <c r="AM1332" s="175">
        <f>ROUND(AJ1332*(1+IF(offer_incoterms="DDP",IF((TODAY()+offer_turnaround_time)&gt;=helpsheet!$L$17,rate_vatRU_from_26,rate_vatRu_till_25),0)),2)</f>
        <v/>
      </c>
      <c r="AN1332" s="192">
        <f>AL1332-AK1332</f>
        <v/>
      </c>
      <c r="AO1332" s="76">
        <f>SUM(AY1332,Y1332:Z1332,T1332)*IF(AND(offer_incoterms="DDP",offer_sale_type&lt;&gt;"экспорт"),IF((TODAY()+offer_turnaround_time)&gt;=helpsheet!$L$17,rate_vatRU_from_26,rate_vatRu_till_25),0)</f>
        <v/>
      </c>
      <c r="AP1332" s="193">
        <f>AN1332-AO1332</f>
        <v/>
      </c>
      <c r="AQ1332" s="118">
        <f>IF(offer_sale_type="транзит",SUM(AF1332:AI1332,BA1332,BB1332),0)</f>
        <v/>
      </c>
      <c r="AR1332" s="82">
        <f>HYPERLINK("https://www.alta.ru/tnved/code/")&amp;W1332&amp;"/"</f>
        <v/>
      </c>
      <c r="AS1332" s="157" t="n"/>
      <c r="AT1332" s="162" t="n"/>
      <c r="AU1332" s="76">
        <f>IF(ISBLANK(AT1332),0,AJ1332-AT1332)</f>
        <v/>
      </c>
      <c r="AV1332" s="157" t="n"/>
      <c r="AW1332" s="75">
        <f>_xlfn.IFNA(VLOOKUP(L1332,list_vat[],3,FALSE),0)</f>
        <v/>
      </c>
      <c r="AX1332" s="76">
        <f>IFERROR(ROUND(S1332*(1+AW1332)/E1332,2),0)</f>
        <v/>
      </c>
      <c r="AY1332" s="76">
        <f>E1332*AX1332</f>
        <v/>
      </c>
      <c r="AZ1332" s="192">
        <f>S1332*(1+M1332)</f>
        <v/>
      </c>
      <c r="BA1332" s="76">
        <f>cost_fin_total*$BD1332</f>
        <v/>
      </c>
      <c r="BB1332" s="193">
        <f>credit_sales_interest*BD1332</f>
        <v/>
      </c>
      <c r="BC1332" s="102">
        <f>IFERROR(IF($I$13&gt;0,$I1332/$I$13,$S1332/$S$13),0)</f>
        <v/>
      </c>
      <c r="BD1332" s="102">
        <f>IFERROR($S1332/$S$13,0)</f>
        <v/>
      </c>
      <c r="BE1332" s="413" t="inlineStr">
        <is>
          <t>$</t>
        </is>
      </c>
    </row>
    <row r="1333" ht="12" customFormat="1" customHeight="1" s="65">
      <c r="A1333" s="43" t="n">
        <v>1318</v>
      </c>
      <c r="B1333" s="166" t="n"/>
      <c r="C1333" s="166" t="n"/>
      <c r="D1333" s="166" t="n"/>
      <c r="E1333" s="162" t="n"/>
      <c r="F1333" s="166" t="n"/>
      <c r="G1333" s="162" t="n"/>
      <c r="H1333" s="162" t="n"/>
      <c r="I1333" s="189">
        <f>E1333*G1333</f>
        <v/>
      </c>
      <c r="J1333" s="195" t="n"/>
      <c r="K1333" s="162" t="n"/>
      <c r="L1333" s="168" t="n"/>
      <c r="M1333" s="75">
        <f>_xlfn.XLOOKUP(L1333,list_vat[Страна],list_vat[Ставка НДС %],0,0)</f>
        <v/>
      </c>
      <c r="N1333" s="162">
        <f>IFERROR(IF(L1333="Китай",K1333,K1333/(1+M1333)),0)</f>
        <v/>
      </c>
      <c r="O1333" s="169" t="n"/>
      <c r="P1333" s="76">
        <f>N1333*(1-O1333)</f>
        <v/>
      </c>
      <c r="Q1333" s="162" t="n"/>
      <c r="R1333" s="162">
        <f>IF(ISBLANK(Q1333),"введи курс",P1333/Q1333)</f>
        <v/>
      </c>
      <c r="S1333" s="196">
        <f>IF(AND(ISNUMBER(E1333),ISNUMBER(Q1333)),E1333*R1333,0)</f>
        <v/>
      </c>
      <c r="T1333" s="192">
        <f>$BC1333*V$11</f>
        <v/>
      </c>
      <c r="U1333" s="76">
        <f>$BC1333*W$11</f>
        <v/>
      </c>
      <c r="V1333" s="193">
        <f>+SUM(T1333:U1333)</f>
        <v/>
      </c>
      <c r="W1333" s="191" t="n"/>
      <c r="X1333" s="170" t="n"/>
      <c r="Y1333" s="76">
        <f>ROUND(IF(offer_incoterms="DDP",X1333*(S1333*(1+AW1333)+T1333),0),2)</f>
        <v/>
      </c>
      <c r="Z1333" s="188" t="n"/>
      <c r="AA1333" s="192">
        <f>IFERROR(AB1333/E1333,0)</f>
        <v/>
      </c>
      <c r="AB1333" s="76">
        <f>ROUND(SUM(S1333,V1333,Y1333:Z1333,BA1333:BB1333),2)</f>
        <v/>
      </c>
      <c r="AC1333" s="797" t="n"/>
      <c r="AD1333" s="192">
        <f t="array" ref="AD1333">IFERROR(ROUND((_xlfn.IFS(offer_sale_type="поставка",AB1333,offer_sale_type="транзит",S1333)*(1+AC1333))/E1333,2),0)</f>
        <v/>
      </c>
      <c r="AE1333" s="76">
        <f>AD1333*E1333</f>
        <v/>
      </c>
      <c r="AF1333" s="193">
        <f t="array" ref="AF1333">IFERROR(ROUND(_xlfn.IFS(offer_sale_type="поставка",AB1333,offer_sale_type="транзит",S1333)*AC1333,2),0)</f>
        <v/>
      </c>
      <c r="AG1333" s="192">
        <f>$BD1333*VLOOKUP($AG$3,$AF$4:$AG$7,2,FALSE)</f>
        <v/>
      </c>
      <c r="AH1333" s="76">
        <f>SUM(AE1333,AG1333,AI1333)*rate_forex_risk</f>
        <v/>
      </c>
      <c r="AI1333" s="193">
        <f>IF(OR(seller_region="TR",offer_sale_type="экспорт"),0,rate_fin_comm)*SUM(AZ1333,AZ1333*AW1333,T1333)</f>
        <v/>
      </c>
      <c r="AJ1333" s="118">
        <f>IFERROR(ROUND(SUM(AB1333,AF1333:AI1333)/E1333,2),0)</f>
        <v/>
      </c>
      <c r="AK1333" s="76">
        <f>AJ1333*E1333</f>
        <v/>
      </c>
      <c r="AL1333" s="174">
        <f>ROUND(IFERROR(AM1333*E1333,0),2)</f>
        <v/>
      </c>
      <c r="AM1333" s="175">
        <f>ROUND(AJ1333*(1+IF(offer_incoterms="DDP",IF((TODAY()+offer_turnaround_time)&gt;=helpsheet!$L$17,rate_vatRU_from_26,rate_vatRu_till_25),0)),2)</f>
        <v/>
      </c>
      <c r="AN1333" s="192">
        <f>AL1333-AK1333</f>
        <v/>
      </c>
      <c r="AO1333" s="76">
        <f>SUM(AY1333,Y1333:Z1333,T1333)*IF(AND(offer_incoterms="DDP",offer_sale_type&lt;&gt;"экспорт"),IF((TODAY()+offer_turnaround_time)&gt;=helpsheet!$L$17,rate_vatRU_from_26,rate_vatRu_till_25),0)</f>
        <v/>
      </c>
      <c r="AP1333" s="193">
        <f>AN1333-AO1333</f>
        <v/>
      </c>
      <c r="AQ1333" s="118">
        <f>IF(offer_sale_type="транзит",SUM(AF1333:AI1333,BA1333,BB1333),0)</f>
        <v/>
      </c>
      <c r="AR1333" s="82">
        <f>HYPERLINK("https://www.alta.ru/tnved/code/")&amp;W1333&amp;"/"</f>
        <v/>
      </c>
      <c r="AS1333" s="157" t="n"/>
      <c r="AT1333" s="162" t="n"/>
      <c r="AU1333" s="76">
        <f>IF(ISBLANK(AT1333),0,AJ1333-AT1333)</f>
        <v/>
      </c>
      <c r="AV1333" s="157" t="n"/>
      <c r="AW1333" s="75">
        <f>_xlfn.IFNA(VLOOKUP(L1333,list_vat[],3,FALSE),0)</f>
        <v/>
      </c>
      <c r="AX1333" s="76">
        <f>IFERROR(ROUND(S1333*(1+AW1333)/E1333,2),0)</f>
        <v/>
      </c>
      <c r="AY1333" s="76">
        <f>E1333*AX1333</f>
        <v/>
      </c>
      <c r="AZ1333" s="192">
        <f>S1333*(1+M1333)</f>
        <v/>
      </c>
      <c r="BA1333" s="76">
        <f>cost_fin_total*$BD1333</f>
        <v/>
      </c>
      <c r="BB1333" s="193">
        <f>credit_sales_interest*BD1333</f>
        <v/>
      </c>
      <c r="BC1333" s="102">
        <f>IFERROR(IF($I$13&gt;0,$I1333/$I$13,$S1333/$S$13),0)</f>
        <v/>
      </c>
      <c r="BD1333" s="102">
        <f>IFERROR($S1333/$S$13,0)</f>
        <v/>
      </c>
      <c r="BE1333" s="413" t="inlineStr">
        <is>
          <t>$</t>
        </is>
      </c>
    </row>
    <row r="1334" ht="12" customFormat="1" customHeight="1" s="65">
      <c r="A1334" s="43" t="n">
        <v>1319</v>
      </c>
      <c r="B1334" s="166" t="n"/>
      <c r="C1334" s="166" t="n"/>
      <c r="D1334" s="166" t="n"/>
      <c r="E1334" s="162" t="n"/>
      <c r="F1334" s="166" t="n"/>
      <c r="G1334" s="162" t="n"/>
      <c r="H1334" s="162" t="n"/>
      <c r="I1334" s="189">
        <f>E1334*G1334</f>
        <v/>
      </c>
      <c r="J1334" s="195" t="n"/>
      <c r="K1334" s="162" t="n"/>
      <c r="L1334" s="168" t="n"/>
      <c r="M1334" s="75">
        <f>_xlfn.XLOOKUP(L1334,list_vat[Страна],list_vat[Ставка НДС %],0,0)</f>
        <v/>
      </c>
      <c r="N1334" s="162">
        <f>IFERROR(IF(L1334="Китай",K1334,K1334/(1+M1334)),0)</f>
        <v/>
      </c>
      <c r="O1334" s="169" t="n"/>
      <c r="P1334" s="76">
        <f>N1334*(1-O1334)</f>
        <v/>
      </c>
      <c r="Q1334" s="162" t="n"/>
      <c r="R1334" s="162">
        <f>IF(ISBLANK(Q1334),"введи курс",P1334/Q1334)</f>
        <v/>
      </c>
      <c r="S1334" s="196">
        <f>IF(AND(ISNUMBER(E1334),ISNUMBER(Q1334)),E1334*R1334,0)</f>
        <v/>
      </c>
      <c r="T1334" s="192">
        <f>$BC1334*V$11</f>
        <v/>
      </c>
      <c r="U1334" s="76">
        <f>$BC1334*W$11</f>
        <v/>
      </c>
      <c r="V1334" s="193">
        <f>+SUM(T1334:U1334)</f>
        <v/>
      </c>
      <c r="W1334" s="191" t="n"/>
      <c r="X1334" s="170" t="n"/>
      <c r="Y1334" s="76">
        <f>ROUND(IF(offer_incoterms="DDP",X1334*(S1334*(1+AW1334)+T1334),0),2)</f>
        <v/>
      </c>
      <c r="Z1334" s="188" t="n"/>
      <c r="AA1334" s="192">
        <f>IFERROR(AB1334/E1334,0)</f>
        <v/>
      </c>
      <c r="AB1334" s="76">
        <f>ROUND(SUM(S1334,V1334,Y1334:Z1334,BA1334:BB1334),2)</f>
        <v/>
      </c>
      <c r="AC1334" s="797" t="n"/>
      <c r="AD1334" s="192">
        <f t="array" ref="AD1334">IFERROR(ROUND((_xlfn.IFS(offer_sale_type="поставка",AB1334,offer_sale_type="транзит",S1334)*(1+AC1334))/E1334,2),0)</f>
        <v/>
      </c>
      <c r="AE1334" s="76">
        <f>AD1334*E1334</f>
        <v/>
      </c>
      <c r="AF1334" s="193">
        <f t="array" ref="AF1334">IFERROR(ROUND(_xlfn.IFS(offer_sale_type="поставка",AB1334,offer_sale_type="транзит",S1334)*AC1334,2),0)</f>
        <v/>
      </c>
      <c r="AG1334" s="192">
        <f>$BD1334*VLOOKUP($AG$3,$AF$4:$AG$7,2,FALSE)</f>
        <v/>
      </c>
      <c r="AH1334" s="76">
        <f>SUM(AE1334,AG1334,AI1334)*rate_forex_risk</f>
        <v/>
      </c>
      <c r="AI1334" s="193">
        <f>IF(OR(seller_region="TR",offer_sale_type="экспорт"),0,rate_fin_comm)*SUM(AZ1334,AZ1334*AW1334,T1334)</f>
        <v/>
      </c>
      <c r="AJ1334" s="118">
        <f>IFERROR(ROUND(SUM(AB1334,AF1334:AI1334)/E1334,2),0)</f>
        <v/>
      </c>
      <c r="AK1334" s="76">
        <f>AJ1334*E1334</f>
        <v/>
      </c>
      <c r="AL1334" s="174">
        <f>ROUND(IFERROR(AM1334*E1334,0),2)</f>
        <v/>
      </c>
      <c r="AM1334" s="175">
        <f>ROUND(AJ1334*(1+IF(offer_incoterms="DDP",IF((TODAY()+offer_turnaround_time)&gt;=helpsheet!$L$17,rate_vatRU_from_26,rate_vatRu_till_25),0)),2)</f>
        <v/>
      </c>
      <c r="AN1334" s="192">
        <f>AL1334-AK1334</f>
        <v/>
      </c>
      <c r="AO1334" s="76">
        <f>SUM(AY1334,Y1334:Z1334,T1334)*IF(AND(offer_incoterms="DDP",offer_sale_type&lt;&gt;"экспорт"),IF((TODAY()+offer_turnaround_time)&gt;=helpsheet!$L$17,rate_vatRU_from_26,rate_vatRu_till_25),0)</f>
        <v/>
      </c>
      <c r="AP1334" s="193">
        <f>AN1334-AO1334</f>
        <v/>
      </c>
      <c r="AQ1334" s="118">
        <f>IF(offer_sale_type="транзит",SUM(AF1334:AI1334,BA1334,BB1334),0)</f>
        <v/>
      </c>
      <c r="AR1334" s="82">
        <f>HYPERLINK("https://www.alta.ru/tnved/code/")&amp;W1334&amp;"/"</f>
        <v/>
      </c>
      <c r="AS1334" s="157" t="n"/>
      <c r="AT1334" s="162" t="n"/>
      <c r="AU1334" s="76">
        <f>IF(ISBLANK(AT1334),0,AJ1334-AT1334)</f>
        <v/>
      </c>
      <c r="AV1334" s="157" t="n"/>
      <c r="AW1334" s="75">
        <f>_xlfn.IFNA(VLOOKUP(L1334,list_vat[],3,FALSE),0)</f>
        <v/>
      </c>
      <c r="AX1334" s="76">
        <f>IFERROR(ROUND(S1334*(1+AW1334)/E1334,2),0)</f>
        <v/>
      </c>
      <c r="AY1334" s="76">
        <f>E1334*AX1334</f>
        <v/>
      </c>
      <c r="AZ1334" s="192">
        <f>S1334*(1+M1334)</f>
        <v/>
      </c>
      <c r="BA1334" s="76">
        <f>cost_fin_total*$BD1334</f>
        <v/>
      </c>
      <c r="BB1334" s="193">
        <f>credit_sales_interest*BD1334</f>
        <v/>
      </c>
      <c r="BC1334" s="102">
        <f>IFERROR(IF($I$13&gt;0,$I1334/$I$13,$S1334/$S$13),0)</f>
        <v/>
      </c>
      <c r="BD1334" s="102">
        <f>IFERROR($S1334/$S$13,0)</f>
        <v/>
      </c>
      <c r="BE1334" s="413" t="inlineStr">
        <is>
          <t>$</t>
        </is>
      </c>
    </row>
    <row r="1335" ht="12" customFormat="1" customHeight="1" s="65">
      <c r="A1335" s="43" t="n">
        <v>1320</v>
      </c>
      <c r="B1335" s="166" t="n"/>
      <c r="C1335" s="166" t="n"/>
      <c r="D1335" s="166" t="n"/>
      <c r="E1335" s="162" t="n"/>
      <c r="F1335" s="166" t="n"/>
      <c r="G1335" s="162" t="n"/>
      <c r="H1335" s="162" t="n"/>
      <c r="I1335" s="189">
        <f>E1335*G1335</f>
        <v/>
      </c>
      <c r="J1335" s="195" t="n"/>
      <c r="K1335" s="162" t="n"/>
      <c r="L1335" s="168" t="n"/>
      <c r="M1335" s="75">
        <f>_xlfn.XLOOKUP(L1335,list_vat[Страна],list_vat[Ставка НДС %],0,0)</f>
        <v/>
      </c>
      <c r="N1335" s="162">
        <f>IFERROR(IF(L1335="Китай",K1335,K1335/(1+M1335)),0)</f>
        <v/>
      </c>
      <c r="O1335" s="169" t="n"/>
      <c r="P1335" s="76">
        <f>N1335*(1-O1335)</f>
        <v/>
      </c>
      <c r="Q1335" s="162" t="n"/>
      <c r="R1335" s="162">
        <f>IF(ISBLANK(Q1335),"введи курс",P1335/Q1335)</f>
        <v/>
      </c>
      <c r="S1335" s="196">
        <f>IF(AND(ISNUMBER(E1335),ISNUMBER(Q1335)),E1335*R1335,0)</f>
        <v/>
      </c>
      <c r="T1335" s="192">
        <f>$BC1335*V$11</f>
        <v/>
      </c>
      <c r="U1335" s="76">
        <f>$BC1335*W$11</f>
        <v/>
      </c>
      <c r="V1335" s="193">
        <f>+SUM(T1335:U1335)</f>
        <v/>
      </c>
      <c r="W1335" s="191" t="n"/>
      <c r="X1335" s="170" t="n"/>
      <c r="Y1335" s="76">
        <f>ROUND(IF(offer_incoterms="DDP",X1335*(S1335*(1+AW1335)+T1335),0),2)</f>
        <v/>
      </c>
      <c r="Z1335" s="188" t="n"/>
      <c r="AA1335" s="192">
        <f>IFERROR(AB1335/E1335,0)</f>
        <v/>
      </c>
      <c r="AB1335" s="76">
        <f>ROUND(SUM(S1335,V1335,Y1335:Z1335,BA1335:BB1335),2)</f>
        <v/>
      </c>
      <c r="AC1335" s="797" t="n"/>
      <c r="AD1335" s="192">
        <f t="array" ref="AD1335">IFERROR(ROUND((_xlfn.IFS(offer_sale_type="поставка",AB1335,offer_sale_type="транзит",S1335)*(1+AC1335))/E1335,2),0)</f>
        <v/>
      </c>
      <c r="AE1335" s="76">
        <f>AD1335*E1335</f>
        <v/>
      </c>
      <c r="AF1335" s="193">
        <f t="array" ref="AF1335">IFERROR(ROUND(_xlfn.IFS(offer_sale_type="поставка",AB1335,offer_sale_type="транзит",S1335)*AC1335,2),0)</f>
        <v/>
      </c>
      <c r="AG1335" s="192">
        <f>$BD1335*VLOOKUP($AG$3,$AF$4:$AG$7,2,FALSE)</f>
        <v/>
      </c>
      <c r="AH1335" s="76">
        <f>SUM(AE1335,AG1335,AI1335)*rate_forex_risk</f>
        <v/>
      </c>
      <c r="AI1335" s="193">
        <f>IF(OR(seller_region="TR",offer_sale_type="экспорт"),0,rate_fin_comm)*SUM(AZ1335,AZ1335*AW1335,T1335)</f>
        <v/>
      </c>
      <c r="AJ1335" s="118">
        <f>IFERROR(ROUND(SUM(AB1335,AF1335:AI1335)/E1335,2),0)</f>
        <v/>
      </c>
      <c r="AK1335" s="76">
        <f>AJ1335*E1335</f>
        <v/>
      </c>
      <c r="AL1335" s="174">
        <f>ROUND(IFERROR(AM1335*E1335,0),2)</f>
        <v/>
      </c>
      <c r="AM1335" s="175">
        <f>ROUND(AJ1335*(1+IF(offer_incoterms="DDP",IF((TODAY()+offer_turnaround_time)&gt;=helpsheet!$L$17,rate_vatRU_from_26,rate_vatRu_till_25),0)),2)</f>
        <v/>
      </c>
      <c r="AN1335" s="192">
        <f>AL1335-AK1335</f>
        <v/>
      </c>
      <c r="AO1335" s="76">
        <f>SUM(AY1335,Y1335:Z1335,T1335)*IF(AND(offer_incoterms="DDP",offer_sale_type&lt;&gt;"экспорт"),IF((TODAY()+offer_turnaround_time)&gt;=helpsheet!$L$17,rate_vatRU_from_26,rate_vatRu_till_25),0)</f>
        <v/>
      </c>
      <c r="AP1335" s="193">
        <f>AN1335-AO1335</f>
        <v/>
      </c>
      <c r="AQ1335" s="118">
        <f>IF(offer_sale_type="транзит",SUM(AF1335:AI1335,BA1335,BB1335),0)</f>
        <v/>
      </c>
      <c r="AR1335" s="82">
        <f>HYPERLINK("https://www.alta.ru/tnved/code/")&amp;W1335&amp;"/"</f>
        <v/>
      </c>
      <c r="AS1335" s="157" t="n"/>
      <c r="AT1335" s="162" t="n"/>
      <c r="AU1335" s="76">
        <f>IF(ISBLANK(AT1335),0,AJ1335-AT1335)</f>
        <v/>
      </c>
      <c r="AV1335" s="157" t="n"/>
      <c r="AW1335" s="75">
        <f>_xlfn.IFNA(VLOOKUP(L1335,list_vat[],3,FALSE),0)</f>
        <v/>
      </c>
      <c r="AX1335" s="76">
        <f>IFERROR(ROUND(S1335*(1+AW1335)/E1335,2),0)</f>
        <v/>
      </c>
      <c r="AY1335" s="76">
        <f>E1335*AX1335</f>
        <v/>
      </c>
      <c r="AZ1335" s="192">
        <f>S1335*(1+M1335)</f>
        <v/>
      </c>
      <c r="BA1335" s="76">
        <f>cost_fin_total*$BD1335</f>
        <v/>
      </c>
      <c r="BB1335" s="193">
        <f>credit_sales_interest*BD1335</f>
        <v/>
      </c>
      <c r="BC1335" s="102">
        <f>IFERROR(IF($I$13&gt;0,$I1335/$I$13,$S1335/$S$13),0)</f>
        <v/>
      </c>
      <c r="BD1335" s="102">
        <f>IFERROR($S1335/$S$13,0)</f>
        <v/>
      </c>
      <c r="BE1335" s="413" t="inlineStr">
        <is>
          <t>$</t>
        </is>
      </c>
    </row>
    <row r="1336" ht="12" customFormat="1" customHeight="1" s="65">
      <c r="A1336" s="43" t="n">
        <v>1321</v>
      </c>
      <c r="B1336" s="166" t="n"/>
      <c r="C1336" s="166" t="n"/>
      <c r="D1336" s="166" t="n"/>
      <c r="E1336" s="162" t="n"/>
      <c r="F1336" s="166" t="n"/>
      <c r="G1336" s="162" t="n"/>
      <c r="H1336" s="162" t="n"/>
      <c r="I1336" s="189">
        <f>E1336*G1336</f>
        <v/>
      </c>
      <c r="J1336" s="195" t="n"/>
      <c r="K1336" s="162" t="n"/>
      <c r="L1336" s="168" t="n"/>
      <c r="M1336" s="75">
        <f>_xlfn.XLOOKUP(L1336,list_vat[Страна],list_vat[Ставка НДС %],0,0)</f>
        <v/>
      </c>
      <c r="N1336" s="162">
        <f>IFERROR(IF(L1336="Китай",K1336,K1336/(1+M1336)),0)</f>
        <v/>
      </c>
      <c r="O1336" s="169" t="n"/>
      <c r="P1336" s="76">
        <f>N1336*(1-O1336)</f>
        <v/>
      </c>
      <c r="Q1336" s="162" t="n"/>
      <c r="R1336" s="162">
        <f>IF(ISBLANK(Q1336),"введи курс",P1336/Q1336)</f>
        <v/>
      </c>
      <c r="S1336" s="196">
        <f>IF(AND(ISNUMBER(E1336),ISNUMBER(Q1336)),E1336*R1336,0)</f>
        <v/>
      </c>
      <c r="T1336" s="192">
        <f>$BC1336*V$11</f>
        <v/>
      </c>
      <c r="U1336" s="76">
        <f>$BC1336*W$11</f>
        <v/>
      </c>
      <c r="V1336" s="193">
        <f>+SUM(T1336:U1336)</f>
        <v/>
      </c>
      <c r="W1336" s="191" t="n"/>
      <c r="X1336" s="170" t="n"/>
      <c r="Y1336" s="76">
        <f>ROUND(IF(offer_incoterms="DDP",X1336*(S1336*(1+AW1336)+T1336),0),2)</f>
        <v/>
      </c>
      <c r="Z1336" s="188" t="n"/>
      <c r="AA1336" s="192">
        <f>IFERROR(AB1336/E1336,0)</f>
        <v/>
      </c>
      <c r="AB1336" s="76">
        <f>ROUND(SUM(S1336,V1336,Y1336:Z1336,BA1336:BB1336),2)</f>
        <v/>
      </c>
      <c r="AC1336" s="797" t="n"/>
      <c r="AD1336" s="192">
        <f t="array" ref="AD1336">IFERROR(ROUND((_xlfn.IFS(offer_sale_type="поставка",AB1336,offer_sale_type="транзит",S1336)*(1+AC1336))/E1336,2),0)</f>
        <v/>
      </c>
      <c r="AE1336" s="76">
        <f>AD1336*E1336</f>
        <v/>
      </c>
      <c r="AF1336" s="193">
        <f t="array" ref="AF1336">IFERROR(ROUND(_xlfn.IFS(offer_sale_type="поставка",AB1336,offer_sale_type="транзит",S1336)*AC1336,2),0)</f>
        <v/>
      </c>
      <c r="AG1336" s="192">
        <f>$BD1336*VLOOKUP($AG$3,$AF$4:$AG$7,2,FALSE)</f>
        <v/>
      </c>
      <c r="AH1336" s="76">
        <f>SUM(AE1336,AG1336,AI1336)*rate_forex_risk</f>
        <v/>
      </c>
      <c r="AI1336" s="193">
        <f>IF(OR(seller_region="TR",offer_sale_type="экспорт"),0,rate_fin_comm)*SUM(AZ1336,AZ1336*AW1336,T1336)</f>
        <v/>
      </c>
      <c r="AJ1336" s="118">
        <f>IFERROR(ROUND(SUM(AB1336,AF1336:AI1336)/E1336,2),0)</f>
        <v/>
      </c>
      <c r="AK1336" s="76">
        <f>AJ1336*E1336</f>
        <v/>
      </c>
      <c r="AL1336" s="174">
        <f>ROUND(IFERROR(AM1336*E1336,0),2)</f>
        <v/>
      </c>
      <c r="AM1336" s="175">
        <f>ROUND(AJ1336*(1+IF(offer_incoterms="DDP",IF((TODAY()+offer_turnaround_time)&gt;=helpsheet!$L$17,rate_vatRU_from_26,rate_vatRu_till_25),0)),2)</f>
        <v/>
      </c>
      <c r="AN1336" s="192">
        <f>AL1336-AK1336</f>
        <v/>
      </c>
      <c r="AO1336" s="76">
        <f>SUM(AY1336,Y1336:Z1336,T1336)*IF(AND(offer_incoterms="DDP",offer_sale_type&lt;&gt;"экспорт"),IF((TODAY()+offer_turnaround_time)&gt;=helpsheet!$L$17,rate_vatRU_from_26,rate_vatRu_till_25),0)</f>
        <v/>
      </c>
      <c r="AP1336" s="193">
        <f>AN1336-AO1336</f>
        <v/>
      </c>
      <c r="AQ1336" s="118">
        <f>IF(offer_sale_type="транзит",SUM(AF1336:AI1336,BA1336,BB1336),0)</f>
        <v/>
      </c>
      <c r="AR1336" s="82">
        <f>HYPERLINK("https://www.alta.ru/tnved/code/")&amp;W1336&amp;"/"</f>
        <v/>
      </c>
      <c r="AS1336" s="157" t="n"/>
      <c r="AT1336" s="162" t="n"/>
      <c r="AU1336" s="76">
        <f>IF(ISBLANK(AT1336),0,AJ1336-AT1336)</f>
        <v/>
      </c>
      <c r="AV1336" s="157" t="n"/>
      <c r="AW1336" s="75">
        <f>_xlfn.IFNA(VLOOKUP(L1336,list_vat[],3,FALSE),0)</f>
        <v/>
      </c>
      <c r="AX1336" s="76">
        <f>IFERROR(ROUND(S1336*(1+AW1336)/E1336,2),0)</f>
        <v/>
      </c>
      <c r="AY1336" s="76">
        <f>E1336*AX1336</f>
        <v/>
      </c>
      <c r="AZ1336" s="192">
        <f>S1336*(1+M1336)</f>
        <v/>
      </c>
      <c r="BA1336" s="76">
        <f>cost_fin_total*$BD1336</f>
        <v/>
      </c>
      <c r="BB1336" s="193">
        <f>credit_sales_interest*BD1336</f>
        <v/>
      </c>
      <c r="BC1336" s="102">
        <f>IFERROR(IF($I$13&gt;0,$I1336/$I$13,$S1336/$S$13),0)</f>
        <v/>
      </c>
      <c r="BD1336" s="102">
        <f>IFERROR($S1336/$S$13,0)</f>
        <v/>
      </c>
      <c r="BE1336" s="413" t="inlineStr">
        <is>
          <t>$</t>
        </is>
      </c>
    </row>
    <row r="1337" ht="12" customFormat="1" customHeight="1" s="65">
      <c r="A1337" s="43" t="n">
        <v>1322</v>
      </c>
      <c r="B1337" s="166" t="n"/>
      <c r="C1337" s="166" t="n"/>
      <c r="D1337" s="166" t="n"/>
      <c r="E1337" s="162" t="n"/>
      <c r="F1337" s="166" t="n"/>
      <c r="G1337" s="162" t="n"/>
      <c r="H1337" s="162" t="n"/>
      <c r="I1337" s="189">
        <f>E1337*G1337</f>
        <v/>
      </c>
      <c r="J1337" s="195" t="n"/>
      <c r="K1337" s="162" t="n"/>
      <c r="L1337" s="168" t="n"/>
      <c r="M1337" s="75">
        <f>_xlfn.XLOOKUP(L1337,list_vat[Страна],list_vat[Ставка НДС %],0,0)</f>
        <v/>
      </c>
      <c r="N1337" s="162">
        <f>IFERROR(IF(L1337="Китай",K1337,K1337/(1+M1337)),0)</f>
        <v/>
      </c>
      <c r="O1337" s="169" t="n"/>
      <c r="P1337" s="76">
        <f>N1337*(1-O1337)</f>
        <v/>
      </c>
      <c r="Q1337" s="162" t="n"/>
      <c r="R1337" s="162">
        <f>IF(ISBLANK(Q1337),"введи курс",P1337/Q1337)</f>
        <v/>
      </c>
      <c r="S1337" s="196">
        <f>IF(AND(ISNUMBER(E1337),ISNUMBER(Q1337)),E1337*R1337,0)</f>
        <v/>
      </c>
      <c r="T1337" s="192">
        <f>$BC1337*V$11</f>
        <v/>
      </c>
      <c r="U1337" s="76">
        <f>$BC1337*W$11</f>
        <v/>
      </c>
      <c r="V1337" s="193">
        <f>+SUM(T1337:U1337)</f>
        <v/>
      </c>
      <c r="W1337" s="191" t="n"/>
      <c r="X1337" s="170" t="n"/>
      <c r="Y1337" s="76">
        <f>ROUND(IF(offer_incoterms="DDP",X1337*(S1337*(1+AW1337)+T1337),0),2)</f>
        <v/>
      </c>
      <c r="Z1337" s="188" t="n"/>
      <c r="AA1337" s="192">
        <f>IFERROR(AB1337/E1337,0)</f>
        <v/>
      </c>
      <c r="AB1337" s="76">
        <f>ROUND(SUM(S1337,V1337,Y1337:Z1337,BA1337:BB1337),2)</f>
        <v/>
      </c>
      <c r="AC1337" s="797" t="n"/>
      <c r="AD1337" s="192">
        <f t="array" ref="AD1337">IFERROR(ROUND((_xlfn.IFS(offer_sale_type="поставка",AB1337,offer_sale_type="транзит",S1337)*(1+AC1337))/E1337,2),0)</f>
        <v/>
      </c>
      <c r="AE1337" s="76">
        <f>AD1337*E1337</f>
        <v/>
      </c>
      <c r="AF1337" s="193">
        <f t="array" ref="AF1337">IFERROR(ROUND(_xlfn.IFS(offer_sale_type="поставка",AB1337,offer_sale_type="транзит",S1337)*AC1337,2),0)</f>
        <v/>
      </c>
      <c r="AG1337" s="192">
        <f>$BD1337*VLOOKUP($AG$3,$AF$4:$AG$7,2,FALSE)</f>
        <v/>
      </c>
      <c r="AH1337" s="76">
        <f>SUM(AE1337,AG1337,AI1337)*rate_forex_risk</f>
        <v/>
      </c>
      <c r="AI1337" s="193">
        <f>IF(OR(seller_region="TR",offer_sale_type="экспорт"),0,rate_fin_comm)*SUM(AZ1337,AZ1337*AW1337,T1337)</f>
        <v/>
      </c>
      <c r="AJ1337" s="118">
        <f>IFERROR(ROUND(SUM(AB1337,AF1337:AI1337)/E1337,2),0)</f>
        <v/>
      </c>
      <c r="AK1337" s="76">
        <f>AJ1337*E1337</f>
        <v/>
      </c>
      <c r="AL1337" s="174">
        <f>ROUND(IFERROR(AM1337*E1337,0),2)</f>
        <v/>
      </c>
      <c r="AM1337" s="175">
        <f>ROUND(AJ1337*(1+IF(offer_incoterms="DDP",IF((TODAY()+offer_turnaround_time)&gt;=helpsheet!$L$17,rate_vatRU_from_26,rate_vatRu_till_25),0)),2)</f>
        <v/>
      </c>
      <c r="AN1337" s="192">
        <f>AL1337-AK1337</f>
        <v/>
      </c>
      <c r="AO1337" s="76">
        <f>SUM(AY1337,Y1337:Z1337,T1337)*IF(AND(offer_incoterms="DDP",offer_sale_type&lt;&gt;"экспорт"),IF((TODAY()+offer_turnaround_time)&gt;=helpsheet!$L$17,rate_vatRU_from_26,rate_vatRu_till_25),0)</f>
        <v/>
      </c>
      <c r="AP1337" s="193">
        <f>AN1337-AO1337</f>
        <v/>
      </c>
      <c r="AQ1337" s="118">
        <f>IF(offer_sale_type="транзит",SUM(AF1337:AI1337,BA1337,BB1337),0)</f>
        <v/>
      </c>
      <c r="AR1337" s="82">
        <f>HYPERLINK("https://www.alta.ru/tnved/code/")&amp;W1337&amp;"/"</f>
        <v/>
      </c>
      <c r="AS1337" s="157" t="n"/>
      <c r="AT1337" s="162" t="n"/>
      <c r="AU1337" s="76">
        <f>IF(ISBLANK(AT1337),0,AJ1337-AT1337)</f>
        <v/>
      </c>
      <c r="AV1337" s="157" t="n"/>
      <c r="AW1337" s="75">
        <f>_xlfn.IFNA(VLOOKUP(L1337,list_vat[],3,FALSE),0)</f>
        <v/>
      </c>
      <c r="AX1337" s="76">
        <f>IFERROR(ROUND(S1337*(1+AW1337)/E1337,2),0)</f>
        <v/>
      </c>
      <c r="AY1337" s="76">
        <f>E1337*AX1337</f>
        <v/>
      </c>
      <c r="AZ1337" s="192">
        <f>S1337*(1+M1337)</f>
        <v/>
      </c>
      <c r="BA1337" s="76">
        <f>cost_fin_total*$BD1337</f>
        <v/>
      </c>
      <c r="BB1337" s="193">
        <f>credit_sales_interest*BD1337</f>
        <v/>
      </c>
      <c r="BC1337" s="102">
        <f>IFERROR(IF($I$13&gt;0,$I1337/$I$13,$S1337/$S$13),0)</f>
        <v/>
      </c>
      <c r="BD1337" s="102">
        <f>IFERROR($S1337/$S$13,0)</f>
        <v/>
      </c>
      <c r="BE1337" s="413" t="inlineStr">
        <is>
          <t>$</t>
        </is>
      </c>
    </row>
    <row r="1338" ht="12" customFormat="1" customHeight="1" s="65">
      <c r="A1338" s="43" t="n">
        <v>1323</v>
      </c>
      <c r="B1338" s="166" t="n"/>
      <c r="C1338" s="166" t="n"/>
      <c r="D1338" s="166" t="n"/>
      <c r="E1338" s="162" t="n"/>
      <c r="F1338" s="166" t="n"/>
      <c r="G1338" s="162" t="n"/>
      <c r="H1338" s="162" t="n"/>
      <c r="I1338" s="189">
        <f>E1338*G1338</f>
        <v/>
      </c>
      <c r="J1338" s="195" t="n"/>
      <c r="K1338" s="162" t="n"/>
      <c r="L1338" s="168" t="n"/>
      <c r="M1338" s="75">
        <f>_xlfn.XLOOKUP(L1338,list_vat[Страна],list_vat[Ставка НДС %],0,0)</f>
        <v/>
      </c>
      <c r="N1338" s="162">
        <f>IFERROR(IF(L1338="Китай",K1338,K1338/(1+M1338)),0)</f>
        <v/>
      </c>
      <c r="O1338" s="169" t="n"/>
      <c r="P1338" s="76">
        <f>N1338*(1-O1338)</f>
        <v/>
      </c>
      <c r="Q1338" s="162" t="n"/>
      <c r="R1338" s="162">
        <f>IF(ISBLANK(Q1338),"введи курс",P1338/Q1338)</f>
        <v/>
      </c>
      <c r="S1338" s="196">
        <f>IF(AND(ISNUMBER(E1338),ISNUMBER(Q1338)),E1338*R1338,0)</f>
        <v/>
      </c>
      <c r="T1338" s="192">
        <f>$BC1338*V$11</f>
        <v/>
      </c>
      <c r="U1338" s="76">
        <f>$BC1338*W$11</f>
        <v/>
      </c>
      <c r="V1338" s="193">
        <f>+SUM(T1338:U1338)</f>
        <v/>
      </c>
      <c r="W1338" s="191" t="n"/>
      <c r="X1338" s="170" t="n"/>
      <c r="Y1338" s="76">
        <f>ROUND(IF(offer_incoterms="DDP",X1338*(S1338*(1+AW1338)+T1338),0),2)</f>
        <v/>
      </c>
      <c r="Z1338" s="188" t="n"/>
      <c r="AA1338" s="192">
        <f>IFERROR(AB1338/E1338,0)</f>
        <v/>
      </c>
      <c r="AB1338" s="76">
        <f>ROUND(SUM(S1338,V1338,Y1338:Z1338,BA1338:BB1338),2)</f>
        <v/>
      </c>
      <c r="AC1338" s="797" t="n"/>
      <c r="AD1338" s="192">
        <f t="array" ref="AD1338">IFERROR(ROUND((_xlfn.IFS(offer_sale_type="поставка",AB1338,offer_sale_type="транзит",S1338)*(1+AC1338))/E1338,2),0)</f>
        <v/>
      </c>
      <c r="AE1338" s="76">
        <f>AD1338*E1338</f>
        <v/>
      </c>
      <c r="AF1338" s="193">
        <f t="array" ref="AF1338">IFERROR(ROUND(_xlfn.IFS(offer_sale_type="поставка",AB1338,offer_sale_type="транзит",S1338)*AC1338,2),0)</f>
        <v/>
      </c>
      <c r="AG1338" s="192">
        <f>$BD1338*VLOOKUP($AG$3,$AF$4:$AG$7,2,FALSE)</f>
        <v/>
      </c>
      <c r="AH1338" s="76">
        <f>SUM(AE1338,AG1338,AI1338)*rate_forex_risk</f>
        <v/>
      </c>
      <c r="AI1338" s="193">
        <f>IF(OR(seller_region="TR",offer_sale_type="экспорт"),0,rate_fin_comm)*SUM(AZ1338,AZ1338*AW1338,T1338)</f>
        <v/>
      </c>
      <c r="AJ1338" s="118">
        <f>IFERROR(ROUND(SUM(AB1338,AF1338:AI1338)/E1338,2),0)</f>
        <v/>
      </c>
      <c r="AK1338" s="76">
        <f>AJ1338*E1338</f>
        <v/>
      </c>
      <c r="AL1338" s="174">
        <f>ROUND(IFERROR(AM1338*E1338,0),2)</f>
        <v/>
      </c>
      <c r="AM1338" s="175">
        <f>ROUND(AJ1338*(1+IF(offer_incoterms="DDP",IF((TODAY()+offer_turnaround_time)&gt;=helpsheet!$L$17,rate_vatRU_from_26,rate_vatRu_till_25),0)),2)</f>
        <v/>
      </c>
      <c r="AN1338" s="192">
        <f>AL1338-AK1338</f>
        <v/>
      </c>
      <c r="AO1338" s="76">
        <f>SUM(AY1338,Y1338:Z1338,T1338)*IF(AND(offer_incoterms="DDP",offer_sale_type&lt;&gt;"экспорт"),IF((TODAY()+offer_turnaround_time)&gt;=helpsheet!$L$17,rate_vatRU_from_26,rate_vatRu_till_25),0)</f>
        <v/>
      </c>
      <c r="AP1338" s="193">
        <f>AN1338-AO1338</f>
        <v/>
      </c>
      <c r="AQ1338" s="118">
        <f>IF(offer_sale_type="транзит",SUM(AF1338:AI1338,BA1338,BB1338),0)</f>
        <v/>
      </c>
      <c r="AR1338" s="82">
        <f>HYPERLINK("https://www.alta.ru/tnved/code/")&amp;W1338&amp;"/"</f>
        <v/>
      </c>
      <c r="AS1338" s="157" t="n"/>
      <c r="AT1338" s="162" t="n"/>
      <c r="AU1338" s="76">
        <f>IF(ISBLANK(AT1338),0,AJ1338-AT1338)</f>
        <v/>
      </c>
      <c r="AV1338" s="157" t="n"/>
      <c r="AW1338" s="75">
        <f>_xlfn.IFNA(VLOOKUP(L1338,list_vat[],3,FALSE),0)</f>
        <v/>
      </c>
      <c r="AX1338" s="76">
        <f>IFERROR(ROUND(S1338*(1+AW1338)/E1338,2),0)</f>
        <v/>
      </c>
      <c r="AY1338" s="76">
        <f>E1338*AX1338</f>
        <v/>
      </c>
      <c r="AZ1338" s="192">
        <f>S1338*(1+M1338)</f>
        <v/>
      </c>
      <c r="BA1338" s="76">
        <f>cost_fin_total*$BD1338</f>
        <v/>
      </c>
      <c r="BB1338" s="193">
        <f>credit_sales_interest*BD1338</f>
        <v/>
      </c>
      <c r="BC1338" s="102">
        <f>IFERROR(IF($I$13&gt;0,$I1338/$I$13,$S1338/$S$13),0)</f>
        <v/>
      </c>
      <c r="BD1338" s="102">
        <f>IFERROR($S1338/$S$13,0)</f>
        <v/>
      </c>
      <c r="BE1338" s="413" t="inlineStr">
        <is>
          <t>$</t>
        </is>
      </c>
    </row>
    <row r="1339" ht="12" customFormat="1" customHeight="1" s="65">
      <c r="A1339" s="43" t="n">
        <v>1324</v>
      </c>
      <c r="B1339" s="166" t="n"/>
      <c r="C1339" s="166" t="n"/>
      <c r="D1339" s="166" t="n"/>
      <c r="E1339" s="162" t="n"/>
      <c r="F1339" s="166" t="n"/>
      <c r="G1339" s="162" t="n"/>
      <c r="H1339" s="162" t="n"/>
      <c r="I1339" s="189">
        <f>E1339*G1339</f>
        <v/>
      </c>
      <c r="J1339" s="195" t="n"/>
      <c r="K1339" s="162" t="n"/>
      <c r="L1339" s="168" t="n"/>
      <c r="M1339" s="75">
        <f>_xlfn.XLOOKUP(L1339,list_vat[Страна],list_vat[Ставка НДС %],0,0)</f>
        <v/>
      </c>
      <c r="N1339" s="162">
        <f>IFERROR(IF(L1339="Китай",K1339,K1339/(1+M1339)),0)</f>
        <v/>
      </c>
      <c r="O1339" s="169" t="n"/>
      <c r="P1339" s="76">
        <f>N1339*(1-O1339)</f>
        <v/>
      </c>
      <c r="Q1339" s="162" t="n"/>
      <c r="R1339" s="162">
        <f>IF(ISBLANK(Q1339),"введи курс",P1339/Q1339)</f>
        <v/>
      </c>
      <c r="S1339" s="196">
        <f>IF(AND(ISNUMBER(E1339),ISNUMBER(Q1339)),E1339*R1339,0)</f>
        <v/>
      </c>
      <c r="T1339" s="192">
        <f>$BC1339*V$11</f>
        <v/>
      </c>
      <c r="U1339" s="76">
        <f>$BC1339*W$11</f>
        <v/>
      </c>
      <c r="V1339" s="193">
        <f>+SUM(T1339:U1339)</f>
        <v/>
      </c>
      <c r="W1339" s="191" t="n"/>
      <c r="X1339" s="170" t="n"/>
      <c r="Y1339" s="76">
        <f>ROUND(IF(offer_incoterms="DDP",X1339*(S1339*(1+AW1339)+T1339),0),2)</f>
        <v/>
      </c>
      <c r="Z1339" s="188" t="n"/>
      <c r="AA1339" s="192">
        <f>IFERROR(AB1339/E1339,0)</f>
        <v/>
      </c>
      <c r="AB1339" s="76">
        <f>ROUND(SUM(S1339,V1339,Y1339:Z1339,BA1339:BB1339),2)</f>
        <v/>
      </c>
      <c r="AC1339" s="797" t="n"/>
      <c r="AD1339" s="192">
        <f t="array" ref="AD1339">IFERROR(ROUND((_xlfn.IFS(offer_sale_type="поставка",AB1339,offer_sale_type="транзит",S1339)*(1+AC1339))/E1339,2),0)</f>
        <v/>
      </c>
      <c r="AE1339" s="76">
        <f>AD1339*E1339</f>
        <v/>
      </c>
      <c r="AF1339" s="193">
        <f t="array" ref="AF1339">IFERROR(ROUND(_xlfn.IFS(offer_sale_type="поставка",AB1339,offer_sale_type="транзит",S1339)*AC1339,2),0)</f>
        <v/>
      </c>
      <c r="AG1339" s="192">
        <f>$BD1339*VLOOKUP($AG$3,$AF$4:$AG$7,2,FALSE)</f>
        <v/>
      </c>
      <c r="AH1339" s="76">
        <f>SUM(AE1339,AG1339,AI1339)*rate_forex_risk</f>
        <v/>
      </c>
      <c r="AI1339" s="193">
        <f>IF(OR(seller_region="TR",offer_sale_type="экспорт"),0,rate_fin_comm)*SUM(AZ1339,AZ1339*AW1339,T1339)</f>
        <v/>
      </c>
      <c r="AJ1339" s="118">
        <f>IFERROR(ROUND(SUM(AB1339,AF1339:AI1339)/E1339,2),0)</f>
        <v/>
      </c>
      <c r="AK1339" s="76">
        <f>AJ1339*E1339</f>
        <v/>
      </c>
      <c r="AL1339" s="174">
        <f>ROUND(IFERROR(AM1339*E1339,0),2)</f>
        <v/>
      </c>
      <c r="AM1339" s="175">
        <f>ROUND(AJ1339*(1+IF(offer_incoterms="DDP",IF((TODAY()+offer_turnaround_time)&gt;=helpsheet!$L$17,rate_vatRU_from_26,rate_vatRu_till_25),0)),2)</f>
        <v/>
      </c>
      <c r="AN1339" s="192">
        <f>AL1339-AK1339</f>
        <v/>
      </c>
      <c r="AO1339" s="76">
        <f>SUM(AY1339,Y1339:Z1339,T1339)*IF(AND(offer_incoterms="DDP",offer_sale_type&lt;&gt;"экспорт"),IF((TODAY()+offer_turnaround_time)&gt;=helpsheet!$L$17,rate_vatRU_from_26,rate_vatRu_till_25),0)</f>
        <v/>
      </c>
      <c r="AP1339" s="193">
        <f>AN1339-AO1339</f>
        <v/>
      </c>
      <c r="AQ1339" s="118">
        <f>IF(offer_sale_type="транзит",SUM(AF1339:AI1339,BA1339,BB1339),0)</f>
        <v/>
      </c>
      <c r="AR1339" s="82">
        <f>HYPERLINK("https://www.alta.ru/tnved/code/")&amp;W1339&amp;"/"</f>
        <v/>
      </c>
      <c r="AS1339" s="157" t="n"/>
      <c r="AT1339" s="162" t="n"/>
      <c r="AU1339" s="76">
        <f>IF(ISBLANK(AT1339),0,AJ1339-AT1339)</f>
        <v/>
      </c>
      <c r="AV1339" s="157" t="n"/>
      <c r="AW1339" s="75">
        <f>_xlfn.IFNA(VLOOKUP(L1339,list_vat[],3,FALSE),0)</f>
        <v/>
      </c>
      <c r="AX1339" s="76">
        <f>IFERROR(ROUND(S1339*(1+AW1339)/E1339,2),0)</f>
        <v/>
      </c>
      <c r="AY1339" s="76">
        <f>E1339*AX1339</f>
        <v/>
      </c>
      <c r="AZ1339" s="192">
        <f>S1339*(1+M1339)</f>
        <v/>
      </c>
      <c r="BA1339" s="76">
        <f>cost_fin_total*$BD1339</f>
        <v/>
      </c>
      <c r="BB1339" s="193">
        <f>credit_sales_interest*BD1339</f>
        <v/>
      </c>
      <c r="BC1339" s="102">
        <f>IFERROR(IF($I$13&gt;0,$I1339/$I$13,$S1339/$S$13),0)</f>
        <v/>
      </c>
      <c r="BD1339" s="102">
        <f>IFERROR($S1339/$S$13,0)</f>
        <v/>
      </c>
      <c r="BE1339" s="413" t="inlineStr">
        <is>
          <t>$</t>
        </is>
      </c>
    </row>
    <row r="1340" ht="12" customFormat="1" customHeight="1" s="65">
      <c r="A1340" s="43" t="n">
        <v>1325</v>
      </c>
      <c r="B1340" s="166" t="n"/>
      <c r="C1340" s="166" t="n"/>
      <c r="D1340" s="166" t="n"/>
      <c r="E1340" s="162" t="n"/>
      <c r="F1340" s="166" t="n"/>
      <c r="G1340" s="162" t="n"/>
      <c r="H1340" s="162" t="n"/>
      <c r="I1340" s="189">
        <f>E1340*G1340</f>
        <v/>
      </c>
      <c r="J1340" s="195" t="n"/>
      <c r="K1340" s="162" t="n"/>
      <c r="L1340" s="168" t="n"/>
      <c r="M1340" s="75">
        <f>_xlfn.XLOOKUP(L1340,list_vat[Страна],list_vat[Ставка НДС %],0,0)</f>
        <v/>
      </c>
      <c r="N1340" s="162">
        <f>IFERROR(IF(L1340="Китай",K1340,K1340/(1+M1340)),0)</f>
        <v/>
      </c>
      <c r="O1340" s="169" t="n"/>
      <c r="P1340" s="76">
        <f>N1340*(1-O1340)</f>
        <v/>
      </c>
      <c r="Q1340" s="162" t="n"/>
      <c r="R1340" s="162">
        <f>IF(ISBLANK(Q1340),"введи курс",P1340/Q1340)</f>
        <v/>
      </c>
      <c r="S1340" s="196">
        <f>IF(AND(ISNUMBER(E1340),ISNUMBER(Q1340)),E1340*R1340,0)</f>
        <v/>
      </c>
      <c r="T1340" s="192">
        <f>$BC1340*V$11</f>
        <v/>
      </c>
      <c r="U1340" s="76">
        <f>$BC1340*W$11</f>
        <v/>
      </c>
      <c r="V1340" s="193">
        <f>+SUM(T1340:U1340)</f>
        <v/>
      </c>
      <c r="W1340" s="191" t="n"/>
      <c r="X1340" s="170" t="n"/>
      <c r="Y1340" s="76">
        <f>ROUND(IF(offer_incoterms="DDP",X1340*(S1340*(1+AW1340)+T1340),0),2)</f>
        <v/>
      </c>
      <c r="Z1340" s="188" t="n"/>
      <c r="AA1340" s="192">
        <f>IFERROR(AB1340/E1340,0)</f>
        <v/>
      </c>
      <c r="AB1340" s="76">
        <f>ROUND(SUM(S1340,V1340,Y1340:Z1340,BA1340:BB1340),2)</f>
        <v/>
      </c>
      <c r="AC1340" s="797" t="n"/>
      <c r="AD1340" s="192">
        <f t="array" ref="AD1340">IFERROR(ROUND((_xlfn.IFS(offer_sale_type="поставка",AB1340,offer_sale_type="транзит",S1340)*(1+AC1340))/E1340,2),0)</f>
        <v/>
      </c>
      <c r="AE1340" s="76">
        <f>AD1340*E1340</f>
        <v/>
      </c>
      <c r="AF1340" s="193">
        <f t="array" ref="AF1340">IFERROR(ROUND(_xlfn.IFS(offer_sale_type="поставка",AB1340,offer_sale_type="транзит",S1340)*AC1340,2),0)</f>
        <v/>
      </c>
      <c r="AG1340" s="192">
        <f>$BD1340*VLOOKUP($AG$3,$AF$4:$AG$7,2,FALSE)</f>
        <v/>
      </c>
      <c r="AH1340" s="76">
        <f>SUM(AE1340,AG1340,AI1340)*rate_forex_risk</f>
        <v/>
      </c>
      <c r="AI1340" s="193">
        <f>IF(OR(seller_region="TR",offer_sale_type="экспорт"),0,rate_fin_comm)*SUM(AZ1340,AZ1340*AW1340,T1340)</f>
        <v/>
      </c>
      <c r="AJ1340" s="118">
        <f>IFERROR(ROUND(SUM(AB1340,AF1340:AI1340)/E1340,2),0)</f>
        <v/>
      </c>
      <c r="AK1340" s="76">
        <f>AJ1340*E1340</f>
        <v/>
      </c>
      <c r="AL1340" s="174">
        <f>ROUND(IFERROR(AM1340*E1340,0),2)</f>
        <v/>
      </c>
      <c r="AM1340" s="175">
        <f>ROUND(AJ1340*(1+IF(offer_incoterms="DDP",IF((TODAY()+offer_turnaround_time)&gt;=helpsheet!$L$17,rate_vatRU_from_26,rate_vatRu_till_25),0)),2)</f>
        <v/>
      </c>
      <c r="AN1340" s="192">
        <f>AL1340-AK1340</f>
        <v/>
      </c>
      <c r="AO1340" s="76">
        <f>SUM(AY1340,Y1340:Z1340,T1340)*IF(AND(offer_incoterms="DDP",offer_sale_type&lt;&gt;"экспорт"),IF((TODAY()+offer_turnaround_time)&gt;=helpsheet!$L$17,rate_vatRU_from_26,rate_vatRu_till_25),0)</f>
        <v/>
      </c>
      <c r="AP1340" s="193">
        <f>AN1340-AO1340</f>
        <v/>
      </c>
      <c r="AQ1340" s="118">
        <f>IF(offer_sale_type="транзит",SUM(AF1340:AI1340,BA1340,BB1340),0)</f>
        <v/>
      </c>
      <c r="AR1340" s="82">
        <f>HYPERLINK("https://www.alta.ru/tnved/code/")&amp;W1340&amp;"/"</f>
        <v/>
      </c>
      <c r="AS1340" s="157" t="n"/>
      <c r="AT1340" s="162" t="n"/>
      <c r="AU1340" s="76">
        <f>IF(ISBLANK(AT1340),0,AJ1340-AT1340)</f>
        <v/>
      </c>
      <c r="AV1340" s="157" t="n"/>
      <c r="AW1340" s="75">
        <f>_xlfn.IFNA(VLOOKUP(L1340,list_vat[],3,FALSE),0)</f>
        <v/>
      </c>
      <c r="AX1340" s="76">
        <f>IFERROR(ROUND(S1340*(1+AW1340)/E1340,2),0)</f>
        <v/>
      </c>
      <c r="AY1340" s="76">
        <f>E1340*AX1340</f>
        <v/>
      </c>
      <c r="AZ1340" s="192">
        <f>S1340*(1+M1340)</f>
        <v/>
      </c>
      <c r="BA1340" s="76">
        <f>cost_fin_total*$BD1340</f>
        <v/>
      </c>
      <c r="BB1340" s="193">
        <f>credit_sales_interest*BD1340</f>
        <v/>
      </c>
      <c r="BC1340" s="102">
        <f>IFERROR(IF($I$13&gt;0,$I1340/$I$13,$S1340/$S$13),0)</f>
        <v/>
      </c>
      <c r="BD1340" s="102">
        <f>IFERROR($S1340/$S$13,0)</f>
        <v/>
      </c>
      <c r="BE1340" s="413" t="inlineStr">
        <is>
          <t>$</t>
        </is>
      </c>
    </row>
    <row r="1341" ht="12" customFormat="1" customHeight="1" s="65">
      <c r="A1341" s="43" t="n">
        <v>1326</v>
      </c>
      <c r="B1341" s="166" t="n"/>
      <c r="C1341" s="166" t="n"/>
      <c r="D1341" s="166" t="n"/>
      <c r="E1341" s="162" t="n"/>
      <c r="F1341" s="166" t="n"/>
      <c r="G1341" s="162" t="n"/>
      <c r="H1341" s="162" t="n"/>
      <c r="I1341" s="189">
        <f>E1341*G1341</f>
        <v/>
      </c>
      <c r="J1341" s="195" t="n"/>
      <c r="K1341" s="162" t="n"/>
      <c r="L1341" s="168" t="n"/>
      <c r="M1341" s="75">
        <f>_xlfn.XLOOKUP(L1341,list_vat[Страна],list_vat[Ставка НДС %],0,0)</f>
        <v/>
      </c>
      <c r="N1341" s="162">
        <f>IFERROR(IF(L1341="Китай",K1341,K1341/(1+M1341)),0)</f>
        <v/>
      </c>
      <c r="O1341" s="169" t="n"/>
      <c r="P1341" s="76">
        <f>N1341*(1-O1341)</f>
        <v/>
      </c>
      <c r="Q1341" s="162" t="n"/>
      <c r="R1341" s="162">
        <f>IF(ISBLANK(Q1341),"введи курс",P1341/Q1341)</f>
        <v/>
      </c>
      <c r="S1341" s="196">
        <f>IF(AND(ISNUMBER(E1341),ISNUMBER(Q1341)),E1341*R1341,0)</f>
        <v/>
      </c>
      <c r="T1341" s="192">
        <f>$BC1341*V$11</f>
        <v/>
      </c>
      <c r="U1341" s="76">
        <f>$BC1341*W$11</f>
        <v/>
      </c>
      <c r="V1341" s="193">
        <f>+SUM(T1341:U1341)</f>
        <v/>
      </c>
      <c r="W1341" s="191" t="n"/>
      <c r="X1341" s="170" t="n"/>
      <c r="Y1341" s="76">
        <f>ROUND(IF(offer_incoterms="DDP",X1341*(S1341*(1+AW1341)+T1341),0),2)</f>
        <v/>
      </c>
      <c r="Z1341" s="188" t="n"/>
      <c r="AA1341" s="192">
        <f>IFERROR(AB1341/E1341,0)</f>
        <v/>
      </c>
      <c r="AB1341" s="76">
        <f>ROUND(SUM(S1341,V1341,Y1341:Z1341,BA1341:BB1341),2)</f>
        <v/>
      </c>
      <c r="AC1341" s="797" t="n"/>
      <c r="AD1341" s="192">
        <f t="array" ref="AD1341">IFERROR(ROUND((_xlfn.IFS(offer_sale_type="поставка",AB1341,offer_sale_type="транзит",S1341)*(1+AC1341))/E1341,2),0)</f>
        <v/>
      </c>
      <c r="AE1341" s="76">
        <f>AD1341*E1341</f>
        <v/>
      </c>
      <c r="AF1341" s="193">
        <f t="array" ref="AF1341">IFERROR(ROUND(_xlfn.IFS(offer_sale_type="поставка",AB1341,offer_sale_type="транзит",S1341)*AC1341,2),0)</f>
        <v/>
      </c>
      <c r="AG1341" s="192">
        <f>$BD1341*VLOOKUP($AG$3,$AF$4:$AG$7,2,FALSE)</f>
        <v/>
      </c>
      <c r="AH1341" s="76">
        <f>SUM(AE1341,AG1341,AI1341)*rate_forex_risk</f>
        <v/>
      </c>
      <c r="AI1341" s="193">
        <f>IF(OR(seller_region="TR",offer_sale_type="экспорт"),0,rate_fin_comm)*SUM(AZ1341,AZ1341*AW1341,T1341)</f>
        <v/>
      </c>
      <c r="AJ1341" s="118">
        <f>IFERROR(ROUND(SUM(AB1341,AF1341:AI1341)/E1341,2),0)</f>
        <v/>
      </c>
      <c r="AK1341" s="76">
        <f>AJ1341*E1341</f>
        <v/>
      </c>
      <c r="AL1341" s="174">
        <f>ROUND(IFERROR(AM1341*E1341,0),2)</f>
        <v/>
      </c>
      <c r="AM1341" s="175">
        <f>ROUND(AJ1341*(1+IF(offer_incoterms="DDP",IF((TODAY()+offer_turnaround_time)&gt;=helpsheet!$L$17,rate_vatRU_from_26,rate_vatRu_till_25),0)),2)</f>
        <v/>
      </c>
      <c r="AN1341" s="192">
        <f>AL1341-AK1341</f>
        <v/>
      </c>
      <c r="AO1341" s="76">
        <f>SUM(AY1341,Y1341:Z1341,T1341)*IF(AND(offer_incoterms="DDP",offer_sale_type&lt;&gt;"экспорт"),IF((TODAY()+offer_turnaround_time)&gt;=helpsheet!$L$17,rate_vatRU_from_26,rate_vatRu_till_25),0)</f>
        <v/>
      </c>
      <c r="AP1341" s="193">
        <f>AN1341-AO1341</f>
        <v/>
      </c>
      <c r="AQ1341" s="118">
        <f>IF(offer_sale_type="транзит",SUM(AF1341:AI1341,BA1341,BB1341),0)</f>
        <v/>
      </c>
      <c r="AR1341" s="82">
        <f>HYPERLINK("https://www.alta.ru/tnved/code/")&amp;W1341&amp;"/"</f>
        <v/>
      </c>
      <c r="AS1341" s="157" t="n"/>
      <c r="AT1341" s="162" t="n"/>
      <c r="AU1341" s="76">
        <f>IF(ISBLANK(AT1341),0,AJ1341-AT1341)</f>
        <v/>
      </c>
      <c r="AV1341" s="157" t="n"/>
      <c r="AW1341" s="75">
        <f>_xlfn.IFNA(VLOOKUP(L1341,list_vat[],3,FALSE),0)</f>
        <v/>
      </c>
      <c r="AX1341" s="76">
        <f>IFERROR(ROUND(S1341*(1+AW1341)/E1341,2),0)</f>
        <v/>
      </c>
      <c r="AY1341" s="76">
        <f>E1341*AX1341</f>
        <v/>
      </c>
      <c r="AZ1341" s="192">
        <f>S1341*(1+M1341)</f>
        <v/>
      </c>
      <c r="BA1341" s="76">
        <f>cost_fin_total*$BD1341</f>
        <v/>
      </c>
      <c r="BB1341" s="193">
        <f>credit_sales_interest*BD1341</f>
        <v/>
      </c>
      <c r="BC1341" s="102">
        <f>IFERROR(IF($I$13&gt;0,$I1341/$I$13,$S1341/$S$13),0)</f>
        <v/>
      </c>
      <c r="BD1341" s="102">
        <f>IFERROR($S1341/$S$13,0)</f>
        <v/>
      </c>
      <c r="BE1341" s="413" t="inlineStr">
        <is>
          <t>$</t>
        </is>
      </c>
    </row>
    <row r="1342" ht="12" customFormat="1" customHeight="1" s="65">
      <c r="A1342" s="43" t="n">
        <v>1327</v>
      </c>
      <c r="B1342" s="166" t="n"/>
      <c r="C1342" s="166" t="n"/>
      <c r="D1342" s="166" t="n"/>
      <c r="E1342" s="162" t="n"/>
      <c r="F1342" s="166" t="n"/>
      <c r="G1342" s="162" t="n"/>
      <c r="H1342" s="162" t="n"/>
      <c r="I1342" s="189">
        <f>E1342*G1342</f>
        <v/>
      </c>
      <c r="J1342" s="195" t="n"/>
      <c r="K1342" s="162" t="n"/>
      <c r="L1342" s="168" t="n"/>
      <c r="M1342" s="75">
        <f>_xlfn.XLOOKUP(L1342,list_vat[Страна],list_vat[Ставка НДС %],0,0)</f>
        <v/>
      </c>
      <c r="N1342" s="162">
        <f>IFERROR(IF(L1342="Китай",K1342,K1342/(1+M1342)),0)</f>
        <v/>
      </c>
      <c r="O1342" s="169" t="n"/>
      <c r="P1342" s="76">
        <f>N1342*(1-O1342)</f>
        <v/>
      </c>
      <c r="Q1342" s="162" t="n"/>
      <c r="R1342" s="162">
        <f>IF(ISBLANK(Q1342),"введи курс",P1342/Q1342)</f>
        <v/>
      </c>
      <c r="S1342" s="196">
        <f>IF(AND(ISNUMBER(E1342),ISNUMBER(Q1342)),E1342*R1342,0)</f>
        <v/>
      </c>
      <c r="T1342" s="192">
        <f>$BC1342*V$11</f>
        <v/>
      </c>
      <c r="U1342" s="76">
        <f>$BC1342*W$11</f>
        <v/>
      </c>
      <c r="V1342" s="193">
        <f>+SUM(T1342:U1342)</f>
        <v/>
      </c>
      <c r="W1342" s="191" t="n"/>
      <c r="X1342" s="170" t="n"/>
      <c r="Y1342" s="76">
        <f>ROUND(IF(offer_incoterms="DDP",X1342*(S1342*(1+AW1342)+T1342),0),2)</f>
        <v/>
      </c>
      <c r="Z1342" s="188" t="n"/>
      <c r="AA1342" s="192">
        <f>IFERROR(AB1342/E1342,0)</f>
        <v/>
      </c>
      <c r="AB1342" s="76">
        <f>ROUND(SUM(S1342,V1342,Y1342:Z1342,BA1342:BB1342),2)</f>
        <v/>
      </c>
      <c r="AC1342" s="797" t="n"/>
      <c r="AD1342" s="192">
        <f t="array" ref="AD1342">IFERROR(ROUND((_xlfn.IFS(offer_sale_type="поставка",AB1342,offer_sale_type="транзит",S1342)*(1+AC1342))/E1342,2),0)</f>
        <v/>
      </c>
      <c r="AE1342" s="76">
        <f>AD1342*E1342</f>
        <v/>
      </c>
      <c r="AF1342" s="193">
        <f t="array" ref="AF1342">IFERROR(ROUND(_xlfn.IFS(offer_sale_type="поставка",AB1342,offer_sale_type="транзит",S1342)*AC1342,2),0)</f>
        <v/>
      </c>
      <c r="AG1342" s="192">
        <f>$BD1342*VLOOKUP($AG$3,$AF$4:$AG$7,2,FALSE)</f>
        <v/>
      </c>
      <c r="AH1342" s="76">
        <f>SUM(AE1342,AG1342,AI1342)*rate_forex_risk</f>
        <v/>
      </c>
      <c r="AI1342" s="193">
        <f>IF(OR(seller_region="TR",offer_sale_type="экспорт"),0,rate_fin_comm)*SUM(AZ1342,AZ1342*AW1342,T1342)</f>
        <v/>
      </c>
      <c r="AJ1342" s="118">
        <f>IFERROR(ROUND(SUM(AB1342,AF1342:AI1342)/E1342,2),0)</f>
        <v/>
      </c>
      <c r="AK1342" s="76">
        <f>AJ1342*E1342</f>
        <v/>
      </c>
      <c r="AL1342" s="174">
        <f>ROUND(IFERROR(AM1342*E1342,0),2)</f>
        <v/>
      </c>
      <c r="AM1342" s="175">
        <f>ROUND(AJ1342*(1+IF(offer_incoterms="DDP",IF((TODAY()+offer_turnaround_time)&gt;=helpsheet!$L$17,rate_vatRU_from_26,rate_vatRu_till_25),0)),2)</f>
        <v/>
      </c>
      <c r="AN1342" s="192">
        <f>AL1342-AK1342</f>
        <v/>
      </c>
      <c r="AO1342" s="76">
        <f>SUM(AY1342,Y1342:Z1342,T1342)*IF(AND(offer_incoterms="DDP",offer_sale_type&lt;&gt;"экспорт"),IF((TODAY()+offer_turnaround_time)&gt;=helpsheet!$L$17,rate_vatRU_from_26,rate_vatRu_till_25),0)</f>
        <v/>
      </c>
      <c r="AP1342" s="193">
        <f>AN1342-AO1342</f>
        <v/>
      </c>
      <c r="AQ1342" s="118">
        <f>IF(offer_sale_type="транзит",SUM(AF1342:AI1342,BA1342,BB1342),0)</f>
        <v/>
      </c>
      <c r="AR1342" s="82">
        <f>HYPERLINK("https://www.alta.ru/tnved/code/")&amp;W1342&amp;"/"</f>
        <v/>
      </c>
      <c r="AS1342" s="157" t="n"/>
      <c r="AT1342" s="162" t="n"/>
      <c r="AU1342" s="76">
        <f>IF(ISBLANK(AT1342),0,AJ1342-AT1342)</f>
        <v/>
      </c>
      <c r="AV1342" s="157" t="n"/>
      <c r="AW1342" s="75">
        <f>_xlfn.IFNA(VLOOKUP(L1342,list_vat[],3,FALSE),0)</f>
        <v/>
      </c>
      <c r="AX1342" s="76">
        <f>IFERROR(ROUND(S1342*(1+AW1342)/E1342,2),0)</f>
        <v/>
      </c>
      <c r="AY1342" s="76">
        <f>E1342*AX1342</f>
        <v/>
      </c>
      <c r="AZ1342" s="192">
        <f>S1342*(1+M1342)</f>
        <v/>
      </c>
      <c r="BA1342" s="76">
        <f>cost_fin_total*$BD1342</f>
        <v/>
      </c>
      <c r="BB1342" s="193">
        <f>credit_sales_interest*BD1342</f>
        <v/>
      </c>
      <c r="BC1342" s="102">
        <f>IFERROR(IF($I$13&gt;0,$I1342/$I$13,$S1342/$S$13),0)</f>
        <v/>
      </c>
      <c r="BD1342" s="102">
        <f>IFERROR($S1342/$S$13,0)</f>
        <v/>
      </c>
      <c r="BE1342" s="413" t="inlineStr">
        <is>
          <t>$</t>
        </is>
      </c>
    </row>
    <row r="1343" ht="12" customFormat="1" customHeight="1" s="65">
      <c r="A1343" s="43" t="n">
        <v>1328</v>
      </c>
      <c r="B1343" s="166" t="n"/>
      <c r="C1343" s="166" t="n"/>
      <c r="D1343" s="166" t="n"/>
      <c r="E1343" s="162" t="n"/>
      <c r="F1343" s="166" t="n"/>
      <c r="G1343" s="162" t="n"/>
      <c r="H1343" s="162" t="n"/>
      <c r="I1343" s="189">
        <f>E1343*G1343</f>
        <v/>
      </c>
      <c r="J1343" s="195" t="n"/>
      <c r="K1343" s="162" t="n"/>
      <c r="L1343" s="168" t="n"/>
      <c r="M1343" s="75">
        <f>_xlfn.XLOOKUP(L1343,list_vat[Страна],list_vat[Ставка НДС %],0,0)</f>
        <v/>
      </c>
      <c r="N1343" s="162">
        <f>IFERROR(IF(L1343="Китай",K1343,K1343/(1+M1343)),0)</f>
        <v/>
      </c>
      <c r="O1343" s="169" t="n"/>
      <c r="P1343" s="76">
        <f>N1343*(1-O1343)</f>
        <v/>
      </c>
      <c r="Q1343" s="162" t="n"/>
      <c r="R1343" s="162">
        <f>IF(ISBLANK(Q1343),"введи курс",P1343/Q1343)</f>
        <v/>
      </c>
      <c r="S1343" s="196">
        <f>IF(AND(ISNUMBER(E1343),ISNUMBER(Q1343)),E1343*R1343,0)</f>
        <v/>
      </c>
      <c r="T1343" s="192">
        <f>$BC1343*V$11</f>
        <v/>
      </c>
      <c r="U1343" s="76">
        <f>$BC1343*W$11</f>
        <v/>
      </c>
      <c r="V1343" s="193">
        <f>+SUM(T1343:U1343)</f>
        <v/>
      </c>
      <c r="W1343" s="191" t="n"/>
      <c r="X1343" s="170" t="n"/>
      <c r="Y1343" s="76">
        <f>ROUND(IF(offer_incoterms="DDP",X1343*(S1343*(1+AW1343)+T1343),0),2)</f>
        <v/>
      </c>
      <c r="Z1343" s="188" t="n"/>
      <c r="AA1343" s="192">
        <f>IFERROR(AB1343/E1343,0)</f>
        <v/>
      </c>
      <c r="AB1343" s="76">
        <f>ROUND(SUM(S1343,V1343,Y1343:Z1343,BA1343:BB1343),2)</f>
        <v/>
      </c>
      <c r="AC1343" s="797" t="n"/>
      <c r="AD1343" s="192">
        <f t="array" ref="AD1343">IFERROR(ROUND((_xlfn.IFS(offer_sale_type="поставка",AB1343,offer_sale_type="транзит",S1343)*(1+AC1343))/E1343,2),0)</f>
        <v/>
      </c>
      <c r="AE1343" s="76">
        <f>AD1343*E1343</f>
        <v/>
      </c>
      <c r="AF1343" s="193">
        <f t="array" ref="AF1343">IFERROR(ROUND(_xlfn.IFS(offer_sale_type="поставка",AB1343,offer_sale_type="транзит",S1343)*AC1343,2),0)</f>
        <v/>
      </c>
      <c r="AG1343" s="192">
        <f>$BD1343*VLOOKUP($AG$3,$AF$4:$AG$7,2,FALSE)</f>
        <v/>
      </c>
      <c r="AH1343" s="76">
        <f>SUM(AE1343,AG1343,AI1343)*rate_forex_risk</f>
        <v/>
      </c>
      <c r="AI1343" s="193">
        <f>IF(OR(seller_region="TR",offer_sale_type="экспорт"),0,rate_fin_comm)*SUM(AZ1343,AZ1343*AW1343,T1343)</f>
        <v/>
      </c>
      <c r="AJ1343" s="118">
        <f>IFERROR(ROUND(SUM(AB1343,AF1343:AI1343)/E1343,2),0)</f>
        <v/>
      </c>
      <c r="AK1343" s="76">
        <f>AJ1343*E1343</f>
        <v/>
      </c>
      <c r="AL1343" s="174">
        <f>ROUND(IFERROR(AM1343*E1343,0),2)</f>
        <v/>
      </c>
      <c r="AM1343" s="175">
        <f>ROUND(AJ1343*(1+IF(offer_incoterms="DDP",IF((TODAY()+offer_turnaround_time)&gt;=helpsheet!$L$17,rate_vatRU_from_26,rate_vatRu_till_25),0)),2)</f>
        <v/>
      </c>
      <c r="AN1343" s="192">
        <f>AL1343-AK1343</f>
        <v/>
      </c>
      <c r="AO1343" s="76">
        <f>SUM(AY1343,Y1343:Z1343,T1343)*IF(AND(offer_incoterms="DDP",offer_sale_type&lt;&gt;"экспорт"),IF((TODAY()+offer_turnaround_time)&gt;=helpsheet!$L$17,rate_vatRU_from_26,rate_vatRu_till_25),0)</f>
        <v/>
      </c>
      <c r="AP1343" s="193">
        <f>AN1343-AO1343</f>
        <v/>
      </c>
      <c r="AQ1343" s="118">
        <f>IF(offer_sale_type="транзит",SUM(AF1343:AI1343,BA1343,BB1343),0)</f>
        <v/>
      </c>
      <c r="AR1343" s="82">
        <f>HYPERLINK("https://www.alta.ru/tnved/code/")&amp;W1343&amp;"/"</f>
        <v/>
      </c>
      <c r="AS1343" s="157" t="n"/>
      <c r="AT1343" s="162" t="n"/>
      <c r="AU1343" s="76">
        <f>IF(ISBLANK(AT1343),0,AJ1343-AT1343)</f>
        <v/>
      </c>
      <c r="AV1343" s="157" t="n"/>
      <c r="AW1343" s="75">
        <f>_xlfn.IFNA(VLOOKUP(L1343,list_vat[],3,FALSE),0)</f>
        <v/>
      </c>
      <c r="AX1343" s="76">
        <f>IFERROR(ROUND(S1343*(1+AW1343)/E1343,2),0)</f>
        <v/>
      </c>
      <c r="AY1343" s="76">
        <f>E1343*AX1343</f>
        <v/>
      </c>
      <c r="AZ1343" s="192">
        <f>S1343*(1+M1343)</f>
        <v/>
      </c>
      <c r="BA1343" s="76">
        <f>cost_fin_total*$BD1343</f>
        <v/>
      </c>
      <c r="BB1343" s="193">
        <f>credit_sales_interest*BD1343</f>
        <v/>
      </c>
      <c r="BC1343" s="102">
        <f>IFERROR(IF($I$13&gt;0,$I1343/$I$13,$S1343/$S$13),0)</f>
        <v/>
      </c>
      <c r="BD1343" s="102">
        <f>IFERROR($S1343/$S$13,0)</f>
        <v/>
      </c>
      <c r="BE1343" s="413" t="inlineStr">
        <is>
          <t>$</t>
        </is>
      </c>
    </row>
    <row r="1344" ht="12" customFormat="1" customHeight="1" s="65">
      <c r="A1344" s="43" t="n">
        <v>1329</v>
      </c>
      <c r="B1344" s="166" t="n"/>
      <c r="C1344" s="166" t="n"/>
      <c r="D1344" s="166" t="n"/>
      <c r="E1344" s="162" t="n"/>
      <c r="F1344" s="166" t="n"/>
      <c r="G1344" s="162" t="n"/>
      <c r="H1344" s="162" t="n"/>
      <c r="I1344" s="189">
        <f>E1344*G1344</f>
        <v/>
      </c>
      <c r="J1344" s="195" t="n"/>
      <c r="K1344" s="162" t="n"/>
      <c r="L1344" s="168" t="n"/>
      <c r="M1344" s="75">
        <f>_xlfn.XLOOKUP(L1344,list_vat[Страна],list_vat[Ставка НДС %],0,0)</f>
        <v/>
      </c>
      <c r="N1344" s="162">
        <f>IFERROR(IF(L1344="Китай",K1344,K1344/(1+M1344)),0)</f>
        <v/>
      </c>
      <c r="O1344" s="169" t="n"/>
      <c r="P1344" s="76">
        <f>N1344*(1-O1344)</f>
        <v/>
      </c>
      <c r="Q1344" s="162" t="n"/>
      <c r="R1344" s="162">
        <f>IF(ISBLANK(Q1344),"введи курс",P1344/Q1344)</f>
        <v/>
      </c>
      <c r="S1344" s="196">
        <f>IF(AND(ISNUMBER(E1344),ISNUMBER(Q1344)),E1344*R1344,0)</f>
        <v/>
      </c>
      <c r="T1344" s="192">
        <f>$BC1344*V$11</f>
        <v/>
      </c>
      <c r="U1344" s="76">
        <f>$BC1344*W$11</f>
        <v/>
      </c>
      <c r="V1344" s="193">
        <f>+SUM(T1344:U1344)</f>
        <v/>
      </c>
      <c r="W1344" s="191" t="n"/>
      <c r="X1344" s="170" t="n"/>
      <c r="Y1344" s="76">
        <f>ROUND(IF(offer_incoterms="DDP",X1344*(S1344*(1+AW1344)+T1344),0),2)</f>
        <v/>
      </c>
      <c r="Z1344" s="188" t="n"/>
      <c r="AA1344" s="192">
        <f>IFERROR(AB1344/E1344,0)</f>
        <v/>
      </c>
      <c r="AB1344" s="76">
        <f>ROUND(SUM(S1344,V1344,Y1344:Z1344,BA1344:BB1344),2)</f>
        <v/>
      </c>
      <c r="AC1344" s="797" t="n"/>
      <c r="AD1344" s="192">
        <f t="array" ref="AD1344">IFERROR(ROUND((_xlfn.IFS(offer_sale_type="поставка",AB1344,offer_sale_type="транзит",S1344)*(1+AC1344))/E1344,2),0)</f>
        <v/>
      </c>
      <c r="AE1344" s="76">
        <f>AD1344*E1344</f>
        <v/>
      </c>
      <c r="AF1344" s="193">
        <f t="array" ref="AF1344">IFERROR(ROUND(_xlfn.IFS(offer_sale_type="поставка",AB1344,offer_sale_type="транзит",S1344)*AC1344,2),0)</f>
        <v/>
      </c>
      <c r="AG1344" s="192">
        <f>$BD1344*VLOOKUP($AG$3,$AF$4:$AG$7,2,FALSE)</f>
        <v/>
      </c>
      <c r="AH1344" s="76">
        <f>SUM(AE1344,AG1344,AI1344)*rate_forex_risk</f>
        <v/>
      </c>
      <c r="AI1344" s="193">
        <f>IF(OR(seller_region="TR",offer_sale_type="экспорт"),0,rate_fin_comm)*SUM(AZ1344,AZ1344*AW1344,T1344)</f>
        <v/>
      </c>
      <c r="AJ1344" s="118">
        <f>IFERROR(ROUND(SUM(AB1344,AF1344:AI1344)/E1344,2),0)</f>
        <v/>
      </c>
      <c r="AK1344" s="76">
        <f>AJ1344*E1344</f>
        <v/>
      </c>
      <c r="AL1344" s="174">
        <f>ROUND(IFERROR(AM1344*E1344,0),2)</f>
        <v/>
      </c>
      <c r="AM1344" s="175">
        <f>ROUND(AJ1344*(1+IF(offer_incoterms="DDP",IF((TODAY()+offer_turnaround_time)&gt;=helpsheet!$L$17,rate_vatRU_from_26,rate_vatRu_till_25),0)),2)</f>
        <v/>
      </c>
      <c r="AN1344" s="192">
        <f>AL1344-AK1344</f>
        <v/>
      </c>
      <c r="AO1344" s="76">
        <f>SUM(AY1344,Y1344:Z1344,T1344)*IF(AND(offer_incoterms="DDP",offer_sale_type&lt;&gt;"экспорт"),IF((TODAY()+offer_turnaround_time)&gt;=helpsheet!$L$17,rate_vatRU_from_26,rate_vatRu_till_25),0)</f>
        <v/>
      </c>
      <c r="AP1344" s="193">
        <f>AN1344-AO1344</f>
        <v/>
      </c>
      <c r="AQ1344" s="118">
        <f>IF(offer_sale_type="транзит",SUM(AF1344:AI1344,BA1344,BB1344),0)</f>
        <v/>
      </c>
      <c r="AR1344" s="82">
        <f>HYPERLINK("https://www.alta.ru/tnved/code/")&amp;W1344&amp;"/"</f>
        <v/>
      </c>
      <c r="AS1344" s="157" t="n"/>
      <c r="AT1344" s="162" t="n"/>
      <c r="AU1344" s="76">
        <f>IF(ISBLANK(AT1344),0,AJ1344-AT1344)</f>
        <v/>
      </c>
      <c r="AV1344" s="157" t="n"/>
      <c r="AW1344" s="75">
        <f>_xlfn.IFNA(VLOOKUP(L1344,list_vat[],3,FALSE),0)</f>
        <v/>
      </c>
      <c r="AX1344" s="76">
        <f>IFERROR(ROUND(S1344*(1+AW1344)/E1344,2),0)</f>
        <v/>
      </c>
      <c r="AY1344" s="76">
        <f>E1344*AX1344</f>
        <v/>
      </c>
      <c r="AZ1344" s="192">
        <f>S1344*(1+M1344)</f>
        <v/>
      </c>
      <c r="BA1344" s="76">
        <f>cost_fin_total*$BD1344</f>
        <v/>
      </c>
      <c r="BB1344" s="193">
        <f>credit_sales_interest*BD1344</f>
        <v/>
      </c>
      <c r="BC1344" s="102">
        <f>IFERROR(IF($I$13&gt;0,$I1344/$I$13,$S1344/$S$13),0)</f>
        <v/>
      </c>
      <c r="BD1344" s="102">
        <f>IFERROR($S1344/$S$13,0)</f>
        <v/>
      </c>
      <c r="BE1344" s="413" t="inlineStr">
        <is>
          <t>$</t>
        </is>
      </c>
    </row>
    <row r="1345" ht="12" customFormat="1" customHeight="1" s="65">
      <c r="A1345" s="43" t="n">
        <v>1330</v>
      </c>
      <c r="B1345" s="166" t="n"/>
      <c r="C1345" s="166" t="n"/>
      <c r="D1345" s="166" t="n"/>
      <c r="E1345" s="162" t="n"/>
      <c r="F1345" s="166" t="n"/>
      <c r="G1345" s="162" t="n"/>
      <c r="H1345" s="162" t="n"/>
      <c r="I1345" s="189">
        <f>E1345*G1345</f>
        <v/>
      </c>
      <c r="J1345" s="195" t="n"/>
      <c r="K1345" s="162" t="n"/>
      <c r="L1345" s="168" t="n"/>
      <c r="M1345" s="75">
        <f>_xlfn.XLOOKUP(L1345,list_vat[Страна],list_vat[Ставка НДС %],0,0)</f>
        <v/>
      </c>
      <c r="N1345" s="162">
        <f>IFERROR(IF(L1345="Китай",K1345,K1345/(1+M1345)),0)</f>
        <v/>
      </c>
      <c r="O1345" s="169" t="n"/>
      <c r="P1345" s="76">
        <f>N1345*(1-O1345)</f>
        <v/>
      </c>
      <c r="Q1345" s="162" t="n"/>
      <c r="R1345" s="162">
        <f>IF(ISBLANK(Q1345),"введи курс",P1345/Q1345)</f>
        <v/>
      </c>
      <c r="S1345" s="196">
        <f>IF(AND(ISNUMBER(E1345),ISNUMBER(Q1345)),E1345*R1345,0)</f>
        <v/>
      </c>
      <c r="T1345" s="192">
        <f>$BC1345*V$11</f>
        <v/>
      </c>
      <c r="U1345" s="76">
        <f>$BC1345*W$11</f>
        <v/>
      </c>
      <c r="V1345" s="193">
        <f>+SUM(T1345:U1345)</f>
        <v/>
      </c>
      <c r="W1345" s="191" t="n"/>
      <c r="X1345" s="170" t="n"/>
      <c r="Y1345" s="76">
        <f>ROUND(IF(offer_incoterms="DDP",X1345*(S1345*(1+AW1345)+T1345),0),2)</f>
        <v/>
      </c>
      <c r="Z1345" s="188" t="n"/>
      <c r="AA1345" s="192">
        <f>IFERROR(AB1345/E1345,0)</f>
        <v/>
      </c>
      <c r="AB1345" s="76">
        <f>ROUND(SUM(S1345,V1345,Y1345:Z1345,BA1345:BB1345),2)</f>
        <v/>
      </c>
      <c r="AC1345" s="797" t="n"/>
      <c r="AD1345" s="192">
        <f t="array" ref="AD1345">IFERROR(ROUND((_xlfn.IFS(offer_sale_type="поставка",AB1345,offer_sale_type="транзит",S1345)*(1+AC1345))/E1345,2),0)</f>
        <v/>
      </c>
      <c r="AE1345" s="76">
        <f>AD1345*E1345</f>
        <v/>
      </c>
      <c r="AF1345" s="193">
        <f t="array" ref="AF1345">IFERROR(ROUND(_xlfn.IFS(offer_sale_type="поставка",AB1345,offer_sale_type="транзит",S1345)*AC1345,2),0)</f>
        <v/>
      </c>
      <c r="AG1345" s="192">
        <f>$BD1345*VLOOKUP($AG$3,$AF$4:$AG$7,2,FALSE)</f>
        <v/>
      </c>
      <c r="AH1345" s="76">
        <f>SUM(AE1345,AG1345,AI1345)*rate_forex_risk</f>
        <v/>
      </c>
      <c r="AI1345" s="193">
        <f>IF(OR(seller_region="TR",offer_sale_type="экспорт"),0,rate_fin_comm)*SUM(AZ1345,AZ1345*AW1345,T1345)</f>
        <v/>
      </c>
      <c r="AJ1345" s="118">
        <f>IFERROR(ROUND(SUM(AB1345,AF1345:AI1345)/E1345,2),0)</f>
        <v/>
      </c>
      <c r="AK1345" s="76">
        <f>AJ1345*E1345</f>
        <v/>
      </c>
      <c r="AL1345" s="174">
        <f>ROUND(IFERROR(AM1345*E1345,0),2)</f>
        <v/>
      </c>
      <c r="AM1345" s="175">
        <f>ROUND(AJ1345*(1+IF(offer_incoterms="DDP",IF((TODAY()+offer_turnaround_time)&gt;=helpsheet!$L$17,rate_vatRU_from_26,rate_vatRu_till_25),0)),2)</f>
        <v/>
      </c>
      <c r="AN1345" s="192">
        <f>AL1345-AK1345</f>
        <v/>
      </c>
      <c r="AO1345" s="76">
        <f>SUM(AY1345,Y1345:Z1345,T1345)*IF(AND(offer_incoterms="DDP",offer_sale_type&lt;&gt;"экспорт"),IF((TODAY()+offer_turnaround_time)&gt;=helpsheet!$L$17,rate_vatRU_from_26,rate_vatRu_till_25),0)</f>
        <v/>
      </c>
      <c r="AP1345" s="193">
        <f>AN1345-AO1345</f>
        <v/>
      </c>
      <c r="AQ1345" s="118">
        <f>IF(offer_sale_type="транзит",SUM(AF1345:AI1345,BA1345,BB1345),0)</f>
        <v/>
      </c>
      <c r="AR1345" s="82">
        <f>HYPERLINK("https://www.alta.ru/tnved/code/")&amp;W1345&amp;"/"</f>
        <v/>
      </c>
      <c r="AS1345" s="157" t="n"/>
      <c r="AT1345" s="162" t="n"/>
      <c r="AU1345" s="76">
        <f>IF(ISBLANK(AT1345),0,AJ1345-AT1345)</f>
        <v/>
      </c>
      <c r="AV1345" s="157" t="n"/>
      <c r="AW1345" s="75">
        <f>_xlfn.IFNA(VLOOKUP(L1345,list_vat[],3,FALSE),0)</f>
        <v/>
      </c>
      <c r="AX1345" s="76">
        <f>IFERROR(ROUND(S1345*(1+AW1345)/E1345,2),0)</f>
        <v/>
      </c>
      <c r="AY1345" s="76">
        <f>E1345*AX1345</f>
        <v/>
      </c>
      <c r="AZ1345" s="192">
        <f>S1345*(1+M1345)</f>
        <v/>
      </c>
      <c r="BA1345" s="76">
        <f>cost_fin_total*$BD1345</f>
        <v/>
      </c>
      <c r="BB1345" s="193">
        <f>credit_sales_interest*BD1345</f>
        <v/>
      </c>
      <c r="BC1345" s="102">
        <f>IFERROR(IF($I$13&gt;0,$I1345/$I$13,$S1345/$S$13),0)</f>
        <v/>
      </c>
      <c r="BD1345" s="102">
        <f>IFERROR($S1345/$S$13,0)</f>
        <v/>
      </c>
      <c r="BE1345" s="413" t="inlineStr">
        <is>
          <t>$</t>
        </is>
      </c>
    </row>
    <row r="1346" ht="12" customFormat="1" customHeight="1" s="65">
      <c r="A1346" s="43" t="n">
        <v>1331</v>
      </c>
      <c r="B1346" s="166" t="n"/>
      <c r="C1346" s="166" t="n"/>
      <c r="D1346" s="166" t="n"/>
      <c r="E1346" s="162" t="n"/>
      <c r="F1346" s="166" t="n"/>
      <c r="G1346" s="162" t="n"/>
      <c r="H1346" s="162" t="n"/>
      <c r="I1346" s="189">
        <f>E1346*G1346</f>
        <v/>
      </c>
      <c r="J1346" s="195" t="n"/>
      <c r="K1346" s="162" t="n"/>
      <c r="L1346" s="168" t="n"/>
      <c r="M1346" s="75">
        <f>_xlfn.XLOOKUP(L1346,list_vat[Страна],list_vat[Ставка НДС %],0,0)</f>
        <v/>
      </c>
      <c r="N1346" s="162">
        <f>IFERROR(IF(L1346="Китай",K1346,K1346/(1+M1346)),0)</f>
        <v/>
      </c>
      <c r="O1346" s="169" t="n"/>
      <c r="P1346" s="76">
        <f>N1346*(1-O1346)</f>
        <v/>
      </c>
      <c r="Q1346" s="162" t="n"/>
      <c r="R1346" s="162">
        <f>IF(ISBLANK(Q1346),"введи курс",P1346/Q1346)</f>
        <v/>
      </c>
      <c r="S1346" s="196">
        <f>IF(AND(ISNUMBER(E1346),ISNUMBER(Q1346)),E1346*R1346,0)</f>
        <v/>
      </c>
      <c r="T1346" s="192">
        <f>$BC1346*V$11</f>
        <v/>
      </c>
      <c r="U1346" s="76">
        <f>$BC1346*W$11</f>
        <v/>
      </c>
      <c r="V1346" s="193">
        <f>+SUM(T1346:U1346)</f>
        <v/>
      </c>
      <c r="W1346" s="191" t="n"/>
      <c r="X1346" s="170" t="n"/>
      <c r="Y1346" s="76">
        <f>ROUND(IF(offer_incoterms="DDP",X1346*(S1346*(1+AW1346)+T1346),0),2)</f>
        <v/>
      </c>
      <c r="Z1346" s="188" t="n"/>
      <c r="AA1346" s="192">
        <f>IFERROR(AB1346/E1346,0)</f>
        <v/>
      </c>
      <c r="AB1346" s="76">
        <f>ROUND(SUM(S1346,V1346,Y1346:Z1346,BA1346:BB1346),2)</f>
        <v/>
      </c>
      <c r="AC1346" s="797" t="n"/>
      <c r="AD1346" s="192">
        <f t="array" ref="AD1346">IFERROR(ROUND((_xlfn.IFS(offer_sale_type="поставка",AB1346,offer_sale_type="транзит",S1346)*(1+AC1346))/E1346,2),0)</f>
        <v/>
      </c>
      <c r="AE1346" s="76">
        <f>AD1346*E1346</f>
        <v/>
      </c>
      <c r="AF1346" s="193">
        <f t="array" ref="AF1346">IFERROR(ROUND(_xlfn.IFS(offer_sale_type="поставка",AB1346,offer_sale_type="транзит",S1346)*AC1346,2),0)</f>
        <v/>
      </c>
      <c r="AG1346" s="192">
        <f>$BD1346*VLOOKUP($AG$3,$AF$4:$AG$7,2,FALSE)</f>
        <v/>
      </c>
      <c r="AH1346" s="76">
        <f>SUM(AE1346,AG1346,AI1346)*rate_forex_risk</f>
        <v/>
      </c>
      <c r="AI1346" s="193">
        <f>IF(OR(seller_region="TR",offer_sale_type="экспорт"),0,rate_fin_comm)*SUM(AZ1346,AZ1346*AW1346,T1346)</f>
        <v/>
      </c>
      <c r="AJ1346" s="118">
        <f>IFERROR(ROUND(SUM(AB1346,AF1346:AI1346)/E1346,2),0)</f>
        <v/>
      </c>
      <c r="AK1346" s="76">
        <f>AJ1346*E1346</f>
        <v/>
      </c>
      <c r="AL1346" s="174">
        <f>ROUND(IFERROR(AM1346*E1346,0),2)</f>
        <v/>
      </c>
      <c r="AM1346" s="175">
        <f>ROUND(AJ1346*(1+IF(offer_incoterms="DDP",IF((TODAY()+offer_turnaround_time)&gt;=helpsheet!$L$17,rate_vatRU_from_26,rate_vatRu_till_25),0)),2)</f>
        <v/>
      </c>
      <c r="AN1346" s="192">
        <f>AL1346-AK1346</f>
        <v/>
      </c>
      <c r="AO1346" s="76">
        <f>SUM(AY1346,Y1346:Z1346,T1346)*IF(AND(offer_incoterms="DDP",offer_sale_type&lt;&gt;"экспорт"),IF((TODAY()+offer_turnaround_time)&gt;=helpsheet!$L$17,rate_vatRU_from_26,rate_vatRu_till_25),0)</f>
        <v/>
      </c>
      <c r="AP1346" s="193">
        <f>AN1346-AO1346</f>
        <v/>
      </c>
      <c r="AQ1346" s="118">
        <f>IF(offer_sale_type="транзит",SUM(AF1346:AI1346,BA1346,BB1346),0)</f>
        <v/>
      </c>
      <c r="AR1346" s="82">
        <f>HYPERLINK("https://www.alta.ru/tnved/code/")&amp;W1346&amp;"/"</f>
        <v/>
      </c>
      <c r="AS1346" s="157" t="n"/>
      <c r="AT1346" s="162" t="n"/>
      <c r="AU1346" s="76">
        <f>IF(ISBLANK(AT1346),0,AJ1346-AT1346)</f>
        <v/>
      </c>
      <c r="AV1346" s="157" t="n"/>
      <c r="AW1346" s="75">
        <f>_xlfn.IFNA(VLOOKUP(L1346,list_vat[],3,FALSE),0)</f>
        <v/>
      </c>
      <c r="AX1346" s="76">
        <f>IFERROR(ROUND(S1346*(1+AW1346)/E1346,2),0)</f>
        <v/>
      </c>
      <c r="AY1346" s="76">
        <f>E1346*AX1346</f>
        <v/>
      </c>
      <c r="AZ1346" s="192">
        <f>S1346*(1+M1346)</f>
        <v/>
      </c>
      <c r="BA1346" s="76">
        <f>cost_fin_total*$BD1346</f>
        <v/>
      </c>
      <c r="BB1346" s="193">
        <f>credit_sales_interest*BD1346</f>
        <v/>
      </c>
      <c r="BC1346" s="102">
        <f>IFERROR(IF($I$13&gt;0,$I1346/$I$13,$S1346/$S$13),0)</f>
        <v/>
      </c>
      <c r="BD1346" s="102">
        <f>IFERROR($S1346/$S$13,0)</f>
        <v/>
      </c>
      <c r="BE1346" s="413" t="inlineStr">
        <is>
          <t>$</t>
        </is>
      </c>
    </row>
    <row r="1347" ht="12" customFormat="1" customHeight="1" s="65">
      <c r="A1347" s="43" t="n">
        <v>1332</v>
      </c>
      <c r="B1347" s="166" t="n"/>
      <c r="C1347" s="166" t="n"/>
      <c r="D1347" s="166" t="n"/>
      <c r="E1347" s="162" t="n"/>
      <c r="F1347" s="166" t="n"/>
      <c r="G1347" s="162" t="n"/>
      <c r="H1347" s="162" t="n"/>
      <c r="I1347" s="189">
        <f>E1347*G1347</f>
        <v/>
      </c>
      <c r="J1347" s="195" t="n"/>
      <c r="K1347" s="162" t="n"/>
      <c r="L1347" s="168" t="n"/>
      <c r="M1347" s="75">
        <f>_xlfn.XLOOKUP(L1347,list_vat[Страна],list_vat[Ставка НДС %],0,0)</f>
        <v/>
      </c>
      <c r="N1347" s="162">
        <f>IFERROR(IF(L1347="Китай",K1347,K1347/(1+M1347)),0)</f>
        <v/>
      </c>
      <c r="O1347" s="169" t="n"/>
      <c r="P1347" s="76">
        <f>N1347*(1-O1347)</f>
        <v/>
      </c>
      <c r="Q1347" s="162" t="n"/>
      <c r="R1347" s="162">
        <f>IF(ISBLANK(Q1347),"введи курс",P1347/Q1347)</f>
        <v/>
      </c>
      <c r="S1347" s="196">
        <f>IF(AND(ISNUMBER(E1347),ISNUMBER(Q1347)),E1347*R1347,0)</f>
        <v/>
      </c>
      <c r="T1347" s="192">
        <f>$BC1347*V$11</f>
        <v/>
      </c>
      <c r="U1347" s="76">
        <f>$BC1347*W$11</f>
        <v/>
      </c>
      <c r="V1347" s="193">
        <f>+SUM(T1347:U1347)</f>
        <v/>
      </c>
      <c r="W1347" s="191" t="n"/>
      <c r="X1347" s="170" t="n"/>
      <c r="Y1347" s="76">
        <f>ROUND(IF(offer_incoterms="DDP",X1347*(S1347*(1+AW1347)+T1347),0),2)</f>
        <v/>
      </c>
      <c r="Z1347" s="188" t="n"/>
      <c r="AA1347" s="192">
        <f>IFERROR(AB1347/E1347,0)</f>
        <v/>
      </c>
      <c r="AB1347" s="76">
        <f>ROUND(SUM(S1347,V1347,Y1347:Z1347,BA1347:BB1347),2)</f>
        <v/>
      </c>
      <c r="AC1347" s="797" t="n"/>
      <c r="AD1347" s="192">
        <f t="array" ref="AD1347">IFERROR(ROUND((_xlfn.IFS(offer_sale_type="поставка",AB1347,offer_sale_type="транзит",S1347)*(1+AC1347))/E1347,2),0)</f>
        <v/>
      </c>
      <c r="AE1347" s="76">
        <f>AD1347*E1347</f>
        <v/>
      </c>
      <c r="AF1347" s="193">
        <f t="array" ref="AF1347">IFERROR(ROUND(_xlfn.IFS(offer_sale_type="поставка",AB1347,offer_sale_type="транзит",S1347)*AC1347,2),0)</f>
        <v/>
      </c>
      <c r="AG1347" s="192">
        <f>$BD1347*VLOOKUP($AG$3,$AF$4:$AG$7,2,FALSE)</f>
        <v/>
      </c>
      <c r="AH1347" s="76">
        <f>SUM(AE1347,AG1347,AI1347)*rate_forex_risk</f>
        <v/>
      </c>
      <c r="AI1347" s="193">
        <f>IF(OR(seller_region="TR",offer_sale_type="экспорт"),0,rate_fin_comm)*SUM(AZ1347,AZ1347*AW1347,T1347)</f>
        <v/>
      </c>
      <c r="AJ1347" s="118">
        <f>IFERROR(ROUND(SUM(AB1347,AF1347:AI1347)/E1347,2),0)</f>
        <v/>
      </c>
      <c r="AK1347" s="76">
        <f>AJ1347*E1347</f>
        <v/>
      </c>
      <c r="AL1347" s="174">
        <f>ROUND(IFERROR(AM1347*E1347,0),2)</f>
        <v/>
      </c>
      <c r="AM1347" s="175">
        <f>ROUND(AJ1347*(1+IF(offer_incoterms="DDP",IF((TODAY()+offer_turnaround_time)&gt;=helpsheet!$L$17,rate_vatRU_from_26,rate_vatRu_till_25),0)),2)</f>
        <v/>
      </c>
      <c r="AN1347" s="192">
        <f>AL1347-AK1347</f>
        <v/>
      </c>
      <c r="AO1347" s="76">
        <f>SUM(AY1347,Y1347:Z1347,T1347)*IF(AND(offer_incoterms="DDP",offer_sale_type&lt;&gt;"экспорт"),IF((TODAY()+offer_turnaround_time)&gt;=helpsheet!$L$17,rate_vatRU_from_26,rate_vatRu_till_25),0)</f>
        <v/>
      </c>
      <c r="AP1347" s="193">
        <f>AN1347-AO1347</f>
        <v/>
      </c>
      <c r="AQ1347" s="118">
        <f>IF(offer_sale_type="транзит",SUM(AF1347:AI1347,BA1347,BB1347),0)</f>
        <v/>
      </c>
      <c r="AR1347" s="82">
        <f>HYPERLINK("https://www.alta.ru/tnved/code/")&amp;W1347&amp;"/"</f>
        <v/>
      </c>
      <c r="AS1347" s="157" t="n"/>
      <c r="AT1347" s="162" t="n"/>
      <c r="AU1347" s="76">
        <f>IF(ISBLANK(AT1347),0,AJ1347-AT1347)</f>
        <v/>
      </c>
      <c r="AV1347" s="157" t="n"/>
      <c r="AW1347" s="75">
        <f>_xlfn.IFNA(VLOOKUP(L1347,list_vat[],3,FALSE),0)</f>
        <v/>
      </c>
      <c r="AX1347" s="76">
        <f>IFERROR(ROUND(S1347*(1+AW1347)/E1347,2),0)</f>
        <v/>
      </c>
      <c r="AY1347" s="76">
        <f>E1347*AX1347</f>
        <v/>
      </c>
      <c r="AZ1347" s="192">
        <f>S1347*(1+M1347)</f>
        <v/>
      </c>
      <c r="BA1347" s="76">
        <f>cost_fin_total*$BD1347</f>
        <v/>
      </c>
      <c r="BB1347" s="193">
        <f>credit_sales_interest*BD1347</f>
        <v/>
      </c>
      <c r="BC1347" s="102">
        <f>IFERROR(IF($I$13&gt;0,$I1347/$I$13,$S1347/$S$13),0)</f>
        <v/>
      </c>
      <c r="BD1347" s="102">
        <f>IFERROR($S1347/$S$13,0)</f>
        <v/>
      </c>
      <c r="BE1347" s="413" t="inlineStr">
        <is>
          <t>$</t>
        </is>
      </c>
    </row>
    <row r="1348" ht="12" customFormat="1" customHeight="1" s="65">
      <c r="A1348" s="43" t="n">
        <v>1333</v>
      </c>
      <c r="B1348" s="166" t="n"/>
      <c r="C1348" s="166" t="n"/>
      <c r="D1348" s="166" t="n"/>
      <c r="E1348" s="162" t="n"/>
      <c r="F1348" s="166" t="n"/>
      <c r="G1348" s="162" t="n"/>
      <c r="H1348" s="162" t="n"/>
      <c r="I1348" s="189">
        <f>E1348*G1348</f>
        <v/>
      </c>
      <c r="J1348" s="195" t="n"/>
      <c r="K1348" s="162" t="n"/>
      <c r="L1348" s="168" t="n"/>
      <c r="M1348" s="75">
        <f>_xlfn.XLOOKUP(L1348,list_vat[Страна],list_vat[Ставка НДС %],0,0)</f>
        <v/>
      </c>
      <c r="N1348" s="162">
        <f>IFERROR(IF(L1348="Китай",K1348,K1348/(1+M1348)),0)</f>
        <v/>
      </c>
      <c r="O1348" s="169" t="n"/>
      <c r="P1348" s="76">
        <f>N1348*(1-O1348)</f>
        <v/>
      </c>
      <c r="Q1348" s="162" t="n"/>
      <c r="R1348" s="162">
        <f>IF(ISBLANK(Q1348),"введи курс",P1348/Q1348)</f>
        <v/>
      </c>
      <c r="S1348" s="196">
        <f>IF(AND(ISNUMBER(E1348),ISNUMBER(Q1348)),E1348*R1348,0)</f>
        <v/>
      </c>
      <c r="T1348" s="192">
        <f>$BC1348*V$11</f>
        <v/>
      </c>
      <c r="U1348" s="76">
        <f>$BC1348*W$11</f>
        <v/>
      </c>
      <c r="V1348" s="193">
        <f>+SUM(T1348:U1348)</f>
        <v/>
      </c>
      <c r="W1348" s="191" t="n"/>
      <c r="X1348" s="170" t="n"/>
      <c r="Y1348" s="76">
        <f>ROUND(IF(offer_incoterms="DDP",X1348*(S1348*(1+AW1348)+T1348),0),2)</f>
        <v/>
      </c>
      <c r="Z1348" s="188" t="n"/>
      <c r="AA1348" s="192">
        <f>IFERROR(AB1348/E1348,0)</f>
        <v/>
      </c>
      <c r="AB1348" s="76">
        <f>ROUND(SUM(S1348,V1348,Y1348:Z1348,BA1348:BB1348),2)</f>
        <v/>
      </c>
      <c r="AC1348" s="797" t="n"/>
      <c r="AD1348" s="192">
        <f t="array" ref="AD1348">IFERROR(ROUND((_xlfn.IFS(offer_sale_type="поставка",AB1348,offer_sale_type="транзит",S1348)*(1+AC1348))/E1348,2),0)</f>
        <v/>
      </c>
      <c r="AE1348" s="76">
        <f>AD1348*E1348</f>
        <v/>
      </c>
      <c r="AF1348" s="193">
        <f t="array" ref="AF1348">IFERROR(ROUND(_xlfn.IFS(offer_sale_type="поставка",AB1348,offer_sale_type="транзит",S1348)*AC1348,2),0)</f>
        <v/>
      </c>
      <c r="AG1348" s="192">
        <f>$BD1348*VLOOKUP($AG$3,$AF$4:$AG$7,2,FALSE)</f>
        <v/>
      </c>
      <c r="AH1348" s="76">
        <f>SUM(AE1348,AG1348,AI1348)*rate_forex_risk</f>
        <v/>
      </c>
      <c r="AI1348" s="193">
        <f>IF(OR(seller_region="TR",offer_sale_type="экспорт"),0,rate_fin_comm)*SUM(AZ1348,AZ1348*AW1348,T1348)</f>
        <v/>
      </c>
      <c r="AJ1348" s="118">
        <f>IFERROR(ROUND(SUM(AB1348,AF1348:AI1348)/E1348,2),0)</f>
        <v/>
      </c>
      <c r="AK1348" s="76">
        <f>AJ1348*E1348</f>
        <v/>
      </c>
      <c r="AL1348" s="174">
        <f>ROUND(IFERROR(AM1348*E1348,0),2)</f>
        <v/>
      </c>
      <c r="AM1348" s="175">
        <f>ROUND(AJ1348*(1+IF(offer_incoterms="DDP",IF((TODAY()+offer_turnaround_time)&gt;=helpsheet!$L$17,rate_vatRU_from_26,rate_vatRu_till_25),0)),2)</f>
        <v/>
      </c>
      <c r="AN1348" s="192">
        <f>AL1348-AK1348</f>
        <v/>
      </c>
      <c r="AO1348" s="76">
        <f>SUM(AY1348,Y1348:Z1348,T1348)*IF(AND(offer_incoterms="DDP",offer_sale_type&lt;&gt;"экспорт"),IF((TODAY()+offer_turnaround_time)&gt;=helpsheet!$L$17,rate_vatRU_from_26,rate_vatRu_till_25),0)</f>
        <v/>
      </c>
      <c r="AP1348" s="193">
        <f>AN1348-AO1348</f>
        <v/>
      </c>
      <c r="AQ1348" s="118">
        <f>IF(offer_sale_type="транзит",SUM(AF1348:AI1348,BA1348,BB1348),0)</f>
        <v/>
      </c>
      <c r="AR1348" s="82">
        <f>HYPERLINK("https://www.alta.ru/tnved/code/")&amp;W1348&amp;"/"</f>
        <v/>
      </c>
      <c r="AS1348" s="157" t="n"/>
      <c r="AT1348" s="162" t="n"/>
      <c r="AU1348" s="76">
        <f>IF(ISBLANK(AT1348),0,AJ1348-AT1348)</f>
        <v/>
      </c>
      <c r="AV1348" s="157" t="n"/>
      <c r="AW1348" s="75">
        <f>_xlfn.IFNA(VLOOKUP(L1348,list_vat[],3,FALSE),0)</f>
        <v/>
      </c>
      <c r="AX1348" s="76">
        <f>IFERROR(ROUND(S1348*(1+AW1348)/E1348,2),0)</f>
        <v/>
      </c>
      <c r="AY1348" s="76">
        <f>E1348*AX1348</f>
        <v/>
      </c>
      <c r="AZ1348" s="192">
        <f>S1348*(1+M1348)</f>
        <v/>
      </c>
      <c r="BA1348" s="76">
        <f>cost_fin_total*$BD1348</f>
        <v/>
      </c>
      <c r="BB1348" s="193">
        <f>credit_sales_interest*BD1348</f>
        <v/>
      </c>
      <c r="BC1348" s="102">
        <f>IFERROR(IF($I$13&gt;0,$I1348/$I$13,$S1348/$S$13),0)</f>
        <v/>
      </c>
      <c r="BD1348" s="102">
        <f>IFERROR($S1348/$S$13,0)</f>
        <v/>
      </c>
      <c r="BE1348" s="413" t="inlineStr">
        <is>
          <t>$</t>
        </is>
      </c>
    </row>
    <row r="1349" ht="12" customFormat="1" customHeight="1" s="65">
      <c r="A1349" s="43" t="n">
        <v>1334</v>
      </c>
      <c r="B1349" s="166" t="n"/>
      <c r="C1349" s="166" t="n"/>
      <c r="D1349" s="166" t="n"/>
      <c r="E1349" s="162" t="n"/>
      <c r="F1349" s="166" t="n"/>
      <c r="G1349" s="162" t="n"/>
      <c r="H1349" s="162" t="n"/>
      <c r="I1349" s="189">
        <f>E1349*G1349</f>
        <v/>
      </c>
      <c r="J1349" s="195" t="n"/>
      <c r="K1349" s="162" t="n"/>
      <c r="L1349" s="168" t="n"/>
      <c r="M1349" s="75">
        <f>_xlfn.XLOOKUP(L1349,list_vat[Страна],list_vat[Ставка НДС %],0,0)</f>
        <v/>
      </c>
      <c r="N1349" s="162">
        <f>IFERROR(IF(L1349="Китай",K1349,K1349/(1+M1349)),0)</f>
        <v/>
      </c>
      <c r="O1349" s="169" t="n"/>
      <c r="P1349" s="76">
        <f>N1349*(1-O1349)</f>
        <v/>
      </c>
      <c r="Q1349" s="162" t="n"/>
      <c r="R1349" s="162">
        <f>IF(ISBLANK(Q1349),"введи курс",P1349/Q1349)</f>
        <v/>
      </c>
      <c r="S1349" s="196">
        <f>IF(AND(ISNUMBER(E1349),ISNUMBER(Q1349)),E1349*R1349,0)</f>
        <v/>
      </c>
      <c r="T1349" s="192">
        <f>$BC1349*V$11</f>
        <v/>
      </c>
      <c r="U1349" s="76">
        <f>$BC1349*W$11</f>
        <v/>
      </c>
      <c r="V1349" s="193">
        <f>+SUM(T1349:U1349)</f>
        <v/>
      </c>
      <c r="W1349" s="191" t="n"/>
      <c r="X1349" s="170" t="n"/>
      <c r="Y1349" s="76">
        <f>ROUND(IF(offer_incoterms="DDP",X1349*(S1349*(1+AW1349)+T1349),0),2)</f>
        <v/>
      </c>
      <c r="Z1349" s="188" t="n"/>
      <c r="AA1349" s="192">
        <f>IFERROR(AB1349/E1349,0)</f>
        <v/>
      </c>
      <c r="AB1349" s="76">
        <f>ROUND(SUM(S1349,V1349,Y1349:Z1349,BA1349:BB1349),2)</f>
        <v/>
      </c>
      <c r="AC1349" s="797" t="n"/>
      <c r="AD1349" s="192">
        <f t="array" ref="AD1349">IFERROR(ROUND((_xlfn.IFS(offer_sale_type="поставка",AB1349,offer_sale_type="транзит",S1349)*(1+AC1349))/E1349,2),0)</f>
        <v/>
      </c>
      <c r="AE1349" s="76">
        <f>AD1349*E1349</f>
        <v/>
      </c>
      <c r="AF1349" s="193">
        <f t="array" ref="AF1349">IFERROR(ROUND(_xlfn.IFS(offer_sale_type="поставка",AB1349,offer_sale_type="транзит",S1349)*AC1349,2),0)</f>
        <v/>
      </c>
      <c r="AG1349" s="192">
        <f>$BD1349*VLOOKUP($AG$3,$AF$4:$AG$7,2,FALSE)</f>
        <v/>
      </c>
      <c r="AH1349" s="76">
        <f>SUM(AE1349,AG1349,AI1349)*rate_forex_risk</f>
        <v/>
      </c>
      <c r="AI1349" s="193">
        <f>IF(OR(seller_region="TR",offer_sale_type="экспорт"),0,rate_fin_comm)*SUM(AZ1349,AZ1349*AW1349,T1349)</f>
        <v/>
      </c>
      <c r="AJ1349" s="118">
        <f>IFERROR(ROUND(SUM(AB1349,AF1349:AI1349)/E1349,2),0)</f>
        <v/>
      </c>
      <c r="AK1349" s="76">
        <f>AJ1349*E1349</f>
        <v/>
      </c>
      <c r="AL1349" s="174">
        <f>ROUND(IFERROR(AM1349*E1349,0),2)</f>
        <v/>
      </c>
      <c r="AM1349" s="175">
        <f>ROUND(AJ1349*(1+IF(offer_incoterms="DDP",IF((TODAY()+offer_turnaround_time)&gt;=helpsheet!$L$17,rate_vatRU_from_26,rate_vatRu_till_25),0)),2)</f>
        <v/>
      </c>
      <c r="AN1349" s="192">
        <f>AL1349-AK1349</f>
        <v/>
      </c>
      <c r="AO1349" s="76">
        <f>SUM(AY1349,Y1349:Z1349,T1349)*IF(AND(offer_incoterms="DDP",offer_sale_type&lt;&gt;"экспорт"),IF((TODAY()+offer_turnaround_time)&gt;=helpsheet!$L$17,rate_vatRU_from_26,rate_vatRu_till_25),0)</f>
        <v/>
      </c>
      <c r="AP1349" s="193">
        <f>AN1349-AO1349</f>
        <v/>
      </c>
      <c r="AQ1349" s="118">
        <f>IF(offer_sale_type="транзит",SUM(AF1349:AI1349,BA1349,BB1349),0)</f>
        <v/>
      </c>
      <c r="AR1349" s="82">
        <f>HYPERLINK("https://www.alta.ru/tnved/code/")&amp;W1349&amp;"/"</f>
        <v/>
      </c>
      <c r="AS1349" s="157" t="n"/>
      <c r="AT1349" s="162" t="n"/>
      <c r="AU1349" s="76">
        <f>IF(ISBLANK(AT1349),0,AJ1349-AT1349)</f>
        <v/>
      </c>
      <c r="AV1349" s="157" t="n"/>
      <c r="AW1349" s="75">
        <f>_xlfn.IFNA(VLOOKUP(L1349,list_vat[],3,FALSE),0)</f>
        <v/>
      </c>
      <c r="AX1349" s="76">
        <f>IFERROR(ROUND(S1349*(1+AW1349)/E1349,2),0)</f>
        <v/>
      </c>
      <c r="AY1349" s="76">
        <f>E1349*AX1349</f>
        <v/>
      </c>
      <c r="AZ1349" s="192">
        <f>S1349*(1+M1349)</f>
        <v/>
      </c>
      <c r="BA1349" s="76">
        <f>cost_fin_total*$BD1349</f>
        <v/>
      </c>
      <c r="BB1349" s="193">
        <f>credit_sales_interest*BD1349</f>
        <v/>
      </c>
      <c r="BC1349" s="102">
        <f>IFERROR(IF($I$13&gt;0,$I1349/$I$13,$S1349/$S$13),0)</f>
        <v/>
      </c>
      <c r="BD1349" s="102">
        <f>IFERROR($S1349/$S$13,0)</f>
        <v/>
      </c>
      <c r="BE1349" s="413" t="inlineStr">
        <is>
          <t>$</t>
        </is>
      </c>
    </row>
    <row r="1350" ht="12" customFormat="1" customHeight="1" s="65">
      <c r="A1350" s="43" t="n">
        <v>1335</v>
      </c>
      <c r="B1350" s="166" t="n"/>
      <c r="C1350" s="166" t="n"/>
      <c r="D1350" s="166" t="n"/>
      <c r="E1350" s="162" t="n"/>
      <c r="F1350" s="166" t="n"/>
      <c r="G1350" s="162" t="n"/>
      <c r="H1350" s="162" t="n"/>
      <c r="I1350" s="189">
        <f>E1350*G1350</f>
        <v/>
      </c>
      <c r="J1350" s="195" t="n"/>
      <c r="K1350" s="162" t="n"/>
      <c r="L1350" s="168" t="n"/>
      <c r="M1350" s="75">
        <f>_xlfn.XLOOKUP(L1350,list_vat[Страна],list_vat[Ставка НДС %],0,0)</f>
        <v/>
      </c>
      <c r="N1350" s="162">
        <f>IFERROR(IF(L1350="Китай",K1350,K1350/(1+M1350)),0)</f>
        <v/>
      </c>
      <c r="O1350" s="169" t="n"/>
      <c r="P1350" s="76">
        <f>N1350*(1-O1350)</f>
        <v/>
      </c>
      <c r="Q1350" s="162" t="n"/>
      <c r="R1350" s="162">
        <f>IF(ISBLANK(Q1350),"введи курс",P1350/Q1350)</f>
        <v/>
      </c>
      <c r="S1350" s="196">
        <f>IF(AND(ISNUMBER(E1350),ISNUMBER(Q1350)),E1350*R1350,0)</f>
        <v/>
      </c>
      <c r="T1350" s="192">
        <f>$BC1350*V$11</f>
        <v/>
      </c>
      <c r="U1350" s="76">
        <f>$BC1350*W$11</f>
        <v/>
      </c>
      <c r="V1350" s="193">
        <f>+SUM(T1350:U1350)</f>
        <v/>
      </c>
      <c r="W1350" s="191" t="n"/>
      <c r="X1350" s="170" t="n"/>
      <c r="Y1350" s="76">
        <f>ROUND(IF(offer_incoterms="DDP",X1350*(S1350*(1+AW1350)+T1350),0),2)</f>
        <v/>
      </c>
      <c r="Z1350" s="188" t="n"/>
      <c r="AA1350" s="192">
        <f>IFERROR(AB1350/E1350,0)</f>
        <v/>
      </c>
      <c r="AB1350" s="76">
        <f>ROUND(SUM(S1350,V1350,Y1350:Z1350,BA1350:BB1350),2)</f>
        <v/>
      </c>
      <c r="AC1350" s="797" t="n"/>
      <c r="AD1350" s="192">
        <f t="array" ref="AD1350">IFERROR(ROUND((_xlfn.IFS(offer_sale_type="поставка",AB1350,offer_sale_type="транзит",S1350)*(1+AC1350))/E1350,2),0)</f>
        <v/>
      </c>
      <c r="AE1350" s="76">
        <f>AD1350*E1350</f>
        <v/>
      </c>
      <c r="AF1350" s="193">
        <f t="array" ref="AF1350">IFERROR(ROUND(_xlfn.IFS(offer_sale_type="поставка",AB1350,offer_sale_type="транзит",S1350)*AC1350,2),0)</f>
        <v/>
      </c>
      <c r="AG1350" s="192">
        <f>$BD1350*VLOOKUP($AG$3,$AF$4:$AG$7,2,FALSE)</f>
        <v/>
      </c>
      <c r="AH1350" s="76">
        <f>SUM(AE1350,AG1350,AI1350)*rate_forex_risk</f>
        <v/>
      </c>
      <c r="AI1350" s="193">
        <f>IF(OR(seller_region="TR",offer_sale_type="экспорт"),0,rate_fin_comm)*SUM(AZ1350,AZ1350*AW1350,T1350)</f>
        <v/>
      </c>
      <c r="AJ1350" s="118">
        <f>IFERROR(ROUND(SUM(AB1350,AF1350:AI1350)/E1350,2),0)</f>
        <v/>
      </c>
      <c r="AK1350" s="76">
        <f>AJ1350*E1350</f>
        <v/>
      </c>
      <c r="AL1350" s="174">
        <f>ROUND(IFERROR(AM1350*E1350,0),2)</f>
        <v/>
      </c>
      <c r="AM1350" s="175">
        <f>ROUND(AJ1350*(1+IF(offer_incoterms="DDP",IF((TODAY()+offer_turnaround_time)&gt;=helpsheet!$L$17,rate_vatRU_from_26,rate_vatRu_till_25),0)),2)</f>
        <v/>
      </c>
      <c r="AN1350" s="192">
        <f>AL1350-AK1350</f>
        <v/>
      </c>
      <c r="AO1350" s="76">
        <f>SUM(AY1350,Y1350:Z1350,T1350)*IF(AND(offer_incoterms="DDP",offer_sale_type&lt;&gt;"экспорт"),IF((TODAY()+offer_turnaround_time)&gt;=helpsheet!$L$17,rate_vatRU_from_26,rate_vatRu_till_25),0)</f>
        <v/>
      </c>
      <c r="AP1350" s="193">
        <f>AN1350-AO1350</f>
        <v/>
      </c>
      <c r="AQ1350" s="118">
        <f>IF(offer_sale_type="транзит",SUM(AF1350:AI1350,BA1350,BB1350),0)</f>
        <v/>
      </c>
      <c r="AR1350" s="82">
        <f>HYPERLINK("https://www.alta.ru/tnved/code/")&amp;W1350&amp;"/"</f>
        <v/>
      </c>
      <c r="AS1350" s="157" t="n"/>
      <c r="AT1350" s="162" t="n"/>
      <c r="AU1350" s="76">
        <f>IF(ISBLANK(AT1350),0,AJ1350-AT1350)</f>
        <v/>
      </c>
      <c r="AV1350" s="157" t="n"/>
      <c r="AW1350" s="75">
        <f>_xlfn.IFNA(VLOOKUP(L1350,list_vat[],3,FALSE),0)</f>
        <v/>
      </c>
      <c r="AX1350" s="76">
        <f>IFERROR(ROUND(S1350*(1+AW1350)/E1350,2),0)</f>
        <v/>
      </c>
      <c r="AY1350" s="76">
        <f>E1350*AX1350</f>
        <v/>
      </c>
      <c r="AZ1350" s="192">
        <f>S1350*(1+M1350)</f>
        <v/>
      </c>
      <c r="BA1350" s="76">
        <f>cost_fin_total*$BD1350</f>
        <v/>
      </c>
      <c r="BB1350" s="193">
        <f>credit_sales_interest*BD1350</f>
        <v/>
      </c>
      <c r="BC1350" s="102">
        <f>IFERROR(IF($I$13&gt;0,$I1350/$I$13,$S1350/$S$13),0)</f>
        <v/>
      </c>
      <c r="BD1350" s="102">
        <f>IFERROR($S1350/$S$13,0)</f>
        <v/>
      </c>
      <c r="BE1350" s="413" t="inlineStr">
        <is>
          <t>$</t>
        </is>
      </c>
    </row>
    <row r="1351" ht="12" customFormat="1" customHeight="1" s="65">
      <c r="A1351" s="43" t="n">
        <v>1336</v>
      </c>
      <c r="B1351" s="166" t="n"/>
      <c r="C1351" s="166" t="n"/>
      <c r="D1351" s="166" t="n"/>
      <c r="E1351" s="162" t="n"/>
      <c r="F1351" s="166" t="n"/>
      <c r="G1351" s="162" t="n"/>
      <c r="H1351" s="162" t="n"/>
      <c r="I1351" s="189">
        <f>E1351*G1351</f>
        <v/>
      </c>
      <c r="J1351" s="195" t="n"/>
      <c r="K1351" s="162" t="n"/>
      <c r="L1351" s="168" t="n"/>
      <c r="M1351" s="75">
        <f>_xlfn.XLOOKUP(L1351,list_vat[Страна],list_vat[Ставка НДС %],0,0)</f>
        <v/>
      </c>
      <c r="N1351" s="162">
        <f>IFERROR(IF(L1351="Китай",K1351,K1351/(1+M1351)),0)</f>
        <v/>
      </c>
      <c r="O1351" s="169" t="n"/>
      <c r="P1351" s="76">
        <f>N1351*(1-O1351)</f>
        <v/>
      </c>
      <c r="Q1351" s="162" t="n"/>
      <c r="R1351" s="162">
        <f>IF(ISBLANK(Q1351),"введи курс",P1351/Q1351)</f>
        <v/>
      </c>
      <c r="S1351" s="196">
        <f>IF(AND(ISNUMBER(E1351),ISNUMBER(Q1351)),E1351*R1351,0)</f>
        <v/>
      </c>
      <c r="T1351" s="192">
        <f>$BC1351*V$11</f>
        <v/>
      </c>
      <c r="U1351" s="76">
        <f>$BC1351*W$11</f>
        <v/>
      </c>
      <c r="V1351" s="193">
        <f>+SUM(T1351:U1351)</f>
        <v/>
      </c>
      <c r="W1351" s="191" t="n"/>
      <c r="X1351" s="170" t="n"/>
      <c r="Y1351" s="76">
        <f>ROUND(IF(offer_incoterms="DDP",X1351*(S1351*(1+AW1351)+T1351),0),2)</f>
        <v/>
      </c>
      <c r="Z1351" s="188" t="n"/>
      <c r="AA1351" s="192">
        <f>IFERROR(AB1351/E1351,0)</f>
        <v/>
      </c>
      <c r="AB1351" s="76">
        <f>ROUND(SUM(S1351,V1351,Y1351:Z1351,BA1351:BB1351),2)</f>
        <v/>
      </c>
      <c r="AC1351" s="797" t="n"/>
      <c r="AD1351" s="192">
        <f t="array" ref="AD1351">IFERROR(ROUND((_xlfn.IFS(offer_sale_type="поставка",AB1351,offer_sale_type="транзит",S1351)*(1+AC1351))/E1351,2),0)</f>
        <v/>
      </c>
      <c r="AE1351" s="76">
        <f>AD1351*E1351</f>
        <v/>
      </c>
      <c r="AF1351" s="193">
        <f t="array" ref="AF1351">IFERROR(ROUND(_xlfn.IFS(offer_sale_type="поставка",AB1351,offer_sale_type="транзит",S1351)*AC1351,2),0)</f>
        <v/>
      </c>
      <c r="AG1351" s="192">
        <f>$BD1351*VLOOKUP($AG$3,$AF$4:$AG$7,2,FALSE)</f>
        <v/>
      </c>
      <c r="AH1351" s="76">
        <f>SUM(AE1351,AG1351,AI1351)*rate_forex_risk</f>
        <v/>
      </c>
      <c r="AI1351" s="193">
        <f>IF(OR(seller_region="TR",offer_sale_type="экспорт"),0,rate_fin_comm)*SUM(AZ1351,AZ1351*AW1351,T1351)</f>
        <v/>
      </c>
      <c r="AJ1351" s="118">
        <f>IFERROR(ROUND(SUM(AB1351,AF1351:AI1351)/E1351,2),0)</f>
        <v/>
      </c>
      <c r="AK1351" s="76">
        <f>AJ1351*E1351</f>
        <v/>
      </c>
      <c r="AL1351" s="174">
        <f>ROUND(IFERROR(AM1351*E1351,0),2)</f>
        <v/>
      </c>
      <c r="AM1351" s="175">
        <f>ROUND(AJ1351*(1+IF(offer_incoterms="DDP",IF((TODAY()+offer_turnaround_time)&gt;=helpsheet!$L$17,rate_vatRU_from_26,rate_vatRu_till_25),0)),2)</f>
        <v/>
      </c>
      <c r="AN1351" s="192">
        <f>AL1351-AK1351</f>
        <v/>
      </c>
      <c r="AO1351" s="76">
        <f>SUM(AY1351,Y1351:Z1351,T1351)*IF(AND(offer_incoterms="DDP",offer_sale_type&lt;&gt;"экспорт"),IF((TODAY()+offer_turnaround_time)&gt;=helpsheet!$L$17,rate_vatRU_from_26,rate_vatRu_till_25),0)</f>
        <v/>
      </c>
      <c r="AP1351" s="193">
        <f>AN1351-AO1351</f>
        <v/>
      </c>
      <c r="AQ1351" s="118">
        <f>IF(offer_sale_type="транзит",SUM(AF1351:AI1351,BA1351,BB1351),0)</f>
        <v/>
      </c>
      <c r="AR1351" s="82">
        <f>HYPERLINK("https://www.alta.ru/tnved/code/")&amp;W1351&amp;"/"</f>
        <v/>
      </c>
      <c r="AS1351" s="157" t="n"/>
      <c r="AT1351" s="162" t="n"/>
      <c r="AU1351" s="76">
        <f>IF(ISBLANK(AT1351),0,AJ1351-AT1351)</f>
        <v/>
      </c>
      <c r="AV1351" s="157" t="n"/>
      <c r="AW1351" s="75">
        <f>_xlfn.IFNA(VLOOKUP(L1351,list_vat[],3,FALSE),0)</f>
        <v/>
      </c>
      <c r="AX1351" s="76">
        <f>IFERROR(ROUND(S1351*(1+AW1351)/E1351,2),0)</f>
        <v/>
      </c>
      <c r="AY1351" s="76">
        <f>E1351*AX1351</f>
        <v/>
      </c>
      <c r="AZ1351" s="192">
        <f>S1351*(1+M1351)</f>
        <v/>
      </c>
      <c r="BA1351" s="76">
        <f>cost_fin_total*$BD1351</f>
        <v/>
      </c>
      <c r="BB1351" s="193">
        <f>credit_sales_interest*BD1351</f>
        <v/>
      </c>
      <c r="BC1351" s="102">
        <f>IFERROR(IF($I$13&gt;0,$I1351/$I$13,$S1351/$S$13),0)</f>
        <v/>
      </c>
      <c r="BD1351" s="102">
        <f>IFERROR($S1351/$S$13,0)</f>
        <v/>
      </c>
      <c r="BE1351" s="413" t="inlineStr">
        <is>
          <t>$</t>
        </is>
      </c>
    </row>
    <row r="1352" ht="12" customFormat="1" customHeight="1" s="65">
      <c r="A1352" s="43" t="n">
        <v>1337</v>
      </c>
      <c r="B1352" s="166" t="n"/>
      <c r="C1352" s="166" t="n"/>
      <c r="D1352" s="166" t="n"/>
      <c r="E1352" s="162" t="n"/>
      <c r="F1352" s="166" t="n"/>
      <c r="G1352" s="162" t="n"/>
      <c r="H1352" s="162" t="n"/>
      <c r="I1352" s="189">
        <f>E1352*G1352</f>
        <v/>
      </c>
      <c r="J1352" s="195" t="n"/>
      <c r="K1352" s="162" t="n"/>
      <c r="L1352" s="168" t="n"/>
      <c r="M1352" s="75">
        <f>_xlfn.XLOOKUP(L1352,list_vat[Страна],list_vat[Ставка НДС %],0,0)</f>
        <v/>
      </c>
      <c r="N1352" s="162">
        <f>IFERROR(IF(L1352="Китай",K1352,K1352/(1+M1352)),0)</f>
        <v/>
      </c>
      <c r="O1352" s="169" t="n"/>
      <c r="P1352" s="76">
        <f>N1352*(1-O1352)</f>
        <v/>
      </c>
      <c r="Q1352" s="162" t="n"/>
      <c r="R1352" s="162">
        <f>IF(ISBLANK(Q1352),"введи курс",P1352/Q1352)</f>
        <v/>
      </c>
      <c r="S1352" s="196">
        <f>IF(AND(ISNUMBER(E1352),ISNUMBER(Q1352)),E1352*R1352,0)</f>
        <v/>
      </c>
      <c r="T1352" s="192">
        <f>$BC1352*V$11</f>
        <v/>
      </c>
      <c r="U1352" s="76">
        <f>$BC1352*W$11</f>
        <v/>
      </c>
      <c r="V1352" s="193">
        <f>+SUM(T1352:U1352)</f>
        <v/>
      </c>
      <c r="W1352" s="191" t="n"/>
      <c r="X1352" s="170" t="n"/>
      <c r="Y1352" s="76">
        <f>ROUND(IF(offer_incoterms="DDP",X1352*(S1352*(1+AW1352)+T1352),0),2)</f>
        <v/>
      </c>
      <c r="Z1352" s="188" t="n"/>
      <c r="AA1352" s="192">
        <f>IFERROR(AB1352/E1352,0)</f>
        <v/>
      </c>
      <c r="AB1352" s="76">
        <f>ROUND(SUM(S1352,V1352,Y1352:Z1352,BA1352:BB1352),2)</f>
        <v/>
      </c>
      <c r="AC1352" s="797" t="n"/>
      <c r="AD1352" s="192">
        <f t="array" ref="AD1352">IFERROR(ROUND((_xlfn.IFS(offer_sale_type="поставка",AB1352,offer_sale_type="транзит",S1352)*(1+AC1352))/E1352,2),0)</f>
        <v/>
      </c>
      <c r="AE1352" s="76">
        <f>AD1352*E1352</f>
        <v/>
      </c>
      <c r="AF1352" s="193">
        <f t="array" ref="AF1352">IFERROR(ROUND(_xlfn.IFS(offer_sale_type="поставка",AB1352,offer_sale_type="транзит",S1352)*AC1352,2),0)</f>
        <v/>
      </c>
      <c r="AG1352" s="192">
        <f>$BD1352*VLOOKUP($AG$3,$AF$4:$AG$7,2,FALSE)</f>
        <v/>
      </c>
      <c r="AH1352" s="76">
        <f>SUM(AE1352,AG1352,AI1352)*rate_forex_risk</f>
        <v/>
      </c>
      <c r="AI1352" s="193">
        <f>IF(OR(seller_region="TR",offer_sale_type="экспорт"),0,rate_fin_comm)*SUM(AZ1352,AZ1352*AW1352,T1352)</f>
        <v/>
      </c>
      <c r="AJ1352" s="118">
        <f>IFERROR(ROUND(SUM(AB1352,AF1352:AI1352)/E1352,2),0)</f>
        <v/>
      </c>
      <c r="AK1352" s="76">
        <f>AJ1352*E1352</f>
        <v/>
      </c>
      <c r="AL1352" s="174">
        <f>ROUND(IFERROR(AM1352*E1352,0),2)</f>
        <v/>
      </c>
      <c r="AM1352" s="175">
        <f>ROUND(AJ1352*(1+IF(offer_incoterms="DDP",IF((TODAY()+offer_turnaround_time)&gt;=helpsheet!$L$17,rate_vatRU_from_26,rate_vatRu_till_25),0)),2)</f>
        <v/>
      </c>
      <c r="AN1352" s="192">
        <f>AL1352-AK1352</f>
        <v/>
      </c>
      <c r="AO1352" s="76">
        <f>SUM(AY1352,Y1352:Z1352,T1352)*IF(AND(offer_incoterms="DDP",offer_sale_type&lt;&gt;"экспорт"),IF((TODAY()+offer_turnaround_time)&gt;=helpsheet!$L$17,rate_vatRU_from_26,rate_vatRu_till_25),0)</f>
        <v/>
      </c>
      <c r="AP1352" s="193">
        <f>AN1352-AO1352</f>
        <v/>
      </c>
      <c r="AQ1352" s="118">
        <f>IF(offer_sale_type="транзит",SUM(AF1352:AI1352,BA1352,BB1352),0)</f>
        <v/>
      </c>
      <c r="AR1352" s="82">
        <f>HYPERLINK("https://www.alta.ru/tnved/code/")&amp;W1352&amp;"/"</f>
        <v/>
      </c>
      <c r="AS1352" s="157" t="n"/>
      <c r="AT1352" s="162" t="n"/>
      <c r="AU1352" s="76">
        <f>IF(ISBLANK(AT1352),0,AJ1352-AT1352)</f>
        <v/>
      </c>
      <c r="AV1352" s="157" t="n"/>
      <c r="AW1352" s="75">
        <f>_xlfn.IFNA(VLOOKUP(L1352,list_vat[],3,FALSE),0)</f>
        <v/>
      </c>
      <c r="AX1352" s="76">
        <f>IFERROR(ROUND(S1352*(1+AW1352)/E1352,2),0)</f>
        <v/>
      </c>
      <c r="AY1352" s="76">
        <f>E1352*AX1352</f>
        <v/>
      </c>
      <c r="AZ1352" s="192">
        <f>S1352*(1+M1352)</f>
        <v/>
      </c>
      <c r="BA1352" s="76">
        <f>cost_fin_total*$BD1352</f>
        <v/>
      </c>
      <c r="BB1352" s="193">
        <f>credit_sales_interest*BD1352</f>
        <v/>
      </c>
      <c r="BC1352" s="102">
        <f>IFERROR(IF($I$13&gt;0,$I1352/$I$13,$S1352/$S$13),0)</f>
        <v/>
      </c>
      <c r="BD1352" s="102">
        <f>IFERROR($S1352/$S$13,0)</f>
        <v/>
      </c>
      <c r="BE1352" s="413" t="inlineStr">
        <is>
          <t>$</t>
        </is>
      </c>
    </row>
    <row r="1353" ht="12" customFormat="1" customHeight="1" s="65">
      <c r="A1353" s="43" t="n">
        <v>1338</v>
      </c>
      <c r="B1353" s="166" t="n"/>
      <c r="C1353" s="166" t="n"/>
      <c r="D1353" s="166" t="n"/>
      <c r="E1353" s="162" t="n"/>
      <c r="F1353" s="166" t="n"/>
      <c r="G1353" s="162" t="n"/>
      <c r="H1353" s="162" t="n"/>
      <c r="I1353" s="189">
        <f>E1353*G1353</f>
        <v/>
      </c>
      <c r="J1353" s="195" t="n"/>
      <c r="K1353" s="162" t="n"/>
      <c r="L1353" s="168" t="n"/>
      <c r="M1353" s="75">
        <f>_xlfn.XLOOKUP(L1353,list_vat[Страна],list_vat[Ставка НДС %],0,0)</f>
        <v/>
      </c>
      <c r="N1353" s="162">
        <f>IFERROR(IF(L1353="Китай",K1353,K1353/(1+M1353)),0)</f>
        <v/>
      </c>
      <c r="O1353" s="169" t="n"/>
      <c r="P1353" s="76">
        <f>N1353*(1-O1353)</f>
        <v/>
      </c>
      <c r="Q1353" s="162" t="n"/>
      <c r="R1353" s="162">
        <f>IF(ISBLANK(Q1353),"введи курс",P1353/Q1353)</f>
        <v/>
      </c>
      <c r="S1353" s="196">
        <f>IF(AND(ISNUMBER(E1353),ISNUMBER(Q1353)),E1353*R1353,0)</f>
        <v/>
      </c>
      <c r="T1353" s="192">
        <f>$BC1353*V$11</f>
        <v/>
      </c>
      <c r="U1353" s="76">
        <f>$BC1353*W$11</f>
        <v/>
      </c>
      <c r="V1353" s="193">
        <f>+SUM(T1353:U1353)</f>
        <v/>
      </c>
      <c r="W1353" s="191" t="n"/>
      <c r="X1353" s="170" t="n"/>
      <c r="Y1353" s="76">
        <f>ROUND(IF(offer_incoterms="DDP",X1353*(S1353*(1+AW1353)+T1353),0),2)</f>
        <v/>
      </c>
      <c r="Z1353" s="188" t="n"/>
      <c r="AA1353" s="192">
        <f>IFERROR(AB1353/E1353,0)</f>
        <v/>
      </c>
      <c r="AB1353" s="76">
        <f>ROUND(SUM(S1353,V1353,Y1353:Z1353,BA1353:BB1353),2)</f>
        <v/>
      </c>
      <c r="AC1353" s="797" t="n"/>
      <c r="AD1353" s="192">
        <f t="array" ref="AD1353">IFERROR(ROUND((_xlfn.IFS(offer_sale_type="поставка",AB1353,offer_sale_type="транзит",S1353)*(1+AC1353))/E1353,2),0)</f>
        <v/>
      </c>
      <c r="AE1353" s="76">
        <f>AD1353*E1353</f>
        <v/>
      </c>
      <c r="AF1353" s="193">
        <f t="array" ref="AF1353">IFERROR(ROUND(_xlfn.IFS(offer_sale_type="поставка",AB1353,offer_sale_type="транзит",S1353)*AC1353,2),0)</f>
        <v/>
      </c>
      <c r="AG1353" s="192">
        <f>$BD1353*VLOOKUP($AG$3,$AF$4:$AG$7,2,FALSE)</f>
        <v/>
      </c>
      <c r="AH1353" s="76">
        <f>SUM(AE1353,AG1353,AI1353)*rate_forex_risk</f>
        <v/>
      </c>
      <c r="AI1353" s="193">
        <f>IF(OR(seller_region="TR",offer_sale_type="экспорт"),0,rate_fin_comm)*SUM(AZ1353,AZ1353*AW1353,T1353)</f>
        <v/>
      </c>
      <c r="AJ1353" s="118">
        <f>IFERROR(ROUND(SUM(AB1353,AF1353:AI1353)/E1353,2),0)</f>
        <v/>
      </c>
      <c r="AK1353" s="76">
        <f>AJ1353*E1353</f>
        <v/>
      </c>
      <c r="AL1353" s="174">
        <f>ROUND(IFERROR(AM1353*E1353,0),2)</f>
        <v/>
      </c>
      <c r="AM1353" s="175">
        <f>ROUND(AJ1353*(1+IF(offer_incoterms="DDP",IF((TODAY()+offer_turnaround_time)&gt;=helpsheet!$L$17,rate_vatRU_from_26,rate_vatRu_till_25),0)),2)</f>
        <v/>
      </c>
      <c r="AN1353" s="192">
        <f>AL1353-AK1353</f>
        <v/>
      </c>
      <c r="AO1353" s="76">
        <f>SUM(AY1353,Y1353:Z1353,T1353)*IF(AND(offer_incoterms="DDP",offer_sale_type&lt;&gt;"экспорт"),IF((TODAY()+offer_turnaround_time)&gt;=helpsheet!$L$17,rate_vatRU_from_26,rate_vatRu_till_25),0)</f>
        <v/>
      </c>
      <c r="AP1353" s="193">
        <f>AN1353-AO1353</f>
        <v/>
      </c>
      <c r="AQ1353" s="118">
        <f>IF(offer_sale_type="транзит",SUM(AF1353:AI1353,BA1353,BB1353),0)</f>
        <v/>
      </c>
      <c r="AR1353" s="82">
        <f>HYPERLINK("https://www.alta.ru/tnved/code/")&amp;W1353&amp;"/"</f>
        <v/>
      </c>
      <c r="AS1353" s="157" t="n"/>
      <c r="AT1353" s="162" t="n"/>
      <c r="AU1353" s="76">
        <f>IF(ISBLANK(AT1353),0,AJ1353-AT1353)</f>
        <v/>
      </c>
      <c r="AV1353" s="157" t="n"/>
      <c r="AW1353" s="75">
        <f>_xlfn.IFNA(VLOOKUP(L1353,list_vat[],3,FALSE),0)</f>
        <v/>
      </c>
      <c r="AX1353" s="76">
        <f>IFERROR(ROUND(S1353*(1+AW1353)/E1353,2),0)</f>
        <v/>
      </c>
      <c r="AY1353" s="76">
        <f>E1353*AX1353</f>
        <v/>
      </c>
      <c r="AZ1353" s="192">
        <f>S1353*(1+M1353)</f>
        <v/>
      </c>
      <c r="BA1353" s="76">
        <f>cost_fin_total*$BD1353</f>
        <v/>
      </c>
      <c r="BB1353" s="193">
        <f>credit_sales_interest*BD1353</f>
        <v/>
      </c>
      <c r="BC1353" s="102">
        <f>IFERROR(IF($I$13&gt;0,$I1353/$I$13,$S1353/$S$13),0)</f>
        <v/>
      </c>
      <c r="BD1353" s="102">
        <f>IFERROR($S1353/$S$13,0)</f>
        <v/>
      </c>
      <c r="BE1353" s="413" t="inlineStr">
        <is>
          <t>$</t>
        </is>
      </c>
    </row>
    <row r="1354" ht="12" customFormat="1" customHeight="1" s="65">
      <c r="A1354" s="43" t="n">
        <v>1339</v>
      </c>
      <c r="B1354" s="166" t="n"/>
      <c r="C1354" s="166" t="n"/>
      <c r="D1354" s="166" t="n"/>
      <c r="E1354" s="162" t="n"/>
      <c r="F1354" s="166" t="n"/>
      <c r="G1354" s="162" t="n"/>
      <c r="H1354" s="162" t="n"/>
      <c r="I1354" s="189">
        <f>E1354*G1354</f>
        <v/>
      </c>
      <c r="J1354" s="195" t="n"/>
      <c r="K1354" s="162" t="n"/>
      <c r="L1354" s="168" t="n"/>
      <c r="M1354" s="75">
        <f>_xlfn.XLOOKUP(L1354,list_vat[Страна],list_vat[Ставка НДС %],0,0)</f>
        <v/>
      </c>
      <c r="N1354" s="162">
        <f>IFERROR(IF(L1354="Китай",K1354,K1354/(1+M1354)),0)</f>
        <v/>
      </c>
      <c r="O1354" s="169" t="n"/>
      <c r="P1354" s="76">
        <f>N1354*(1-O1354)</f>
        <v/>
      </c>
      <c r="Q1354" s="162" t="n"/>
      <c r="R1354" s="162">
        <f>IF(ISBLANK(Q1354),"введи курс",P1354/Q1354)</f>
        <v/>
      </c>
      <c r="S1354" s="196">
        <f>IF(AND(ISNUMBER(E1354),ISNUMBER(Q1354)),E1354*R1354,0)</f>
        <v/>
      </c>
      <c r="T1354" s="192">
        <f>$BC1354*V$11</f>
        <v/>
      </c>
      <c r="U1354" s="76">
        <f>$BC1354*W$11</f>
        <v/>
      </c>
      <c r="V1354" s="193">
        <f>+SUM(T1354:U1354)</f>
        <v/>
      </c>
      <c r="W1354" s="191" t="n"/>
      <c r="X1354" s="170" t="n"/>
      <c r="Y1354" s="76">
        <f>ROUND(IF(offer_incoterms="DDP",X1354*(S1354*(1+AW1354)+T1354),0),2)</f>
        <v/>
      </c>
      <c r="Z1354" s="188" t="n"/>
      <c r="AA1354" s="192">
        <f>IFERROR(AB1354/E1354,0)</f>
        <v/>
      </c>
      <c r="AB1354" s="76">
        <f>ROUND(SUM(S1354,V1354,Y1354:Z1354,BA1354:BB1354),2)</f>
        <v/>
      </c>
      <c r="AC1354" s="797" t="n"/>
      <c r="AD1354" s="192">
        <f t="array" ref="AD1354">IFERROR(ROUND((_xlfn.IFS(offer_sale_type="поставка",AB1354,offer_sale_type="транзит",S1354)*(1+AC1354))/E1354,2),0)</f>
        <v/>
      </c>
      <c r="AE1354" s="76">
        <f>AD1354*E1354</f>
        <v/>
      </c>
      <c r="AF1354" s="193">
        <f t="array" ref="AF1354">IFERROR(ROUND(_xlfn.IFS(offer_sale_type="поставка",AB1354,offer_sale_type="транзит",S1354)*AC1354,2),0)</f>
        <v/>
      </c>
      <c r="AG1354" s="192">
        <f>$BD1354*VLOOKUP($AG$3,$AF$4:$AG$7,2,FALSE)</f>
        <v/>
      </c>
      <c r="AH1354" s="76">
        <f>SUM(AE1354,AG1354,AI1354)*rate_forex_risk</f>
        <v/>
      </c>
      <c r="AI1354" s="193">
        <f>IF(OR(seller_region="TR",offer_sale_type="экспорт"),0,rate_fin_comm)*SUM(AZ1354,AZ1354*AW1354,T1354)</f>
        <v/>
      </c>
      <c r="AJ1354" s="118">
        <f>IFERROR(ROUND(SUM(AB1354,AF1354:AI1354)/E1354,2),0)</f>
        <v/>
      </c>
      <c r="AK1354" s="76">
        <f>AJ1354*E1354</f>
        <v/>
      </c>
      <c r="AL1354" s="174">
        <f>ROUND(IFERROR(AM1354*E1354,0),2)</f>
        <v/>
      </c>
      <c r="AM1354" s="175">
        <f>ROUND(AJ1354*(1+IF(offer_incoterms="DDP",IF((TODAY()+offer_turnaround_time)&gt;=helpsheet!$L$17,rate_vatRU_from_26,rate_vatRu_till_25),0)),2)</f>
        <v/>
      </c>
      <c r="AN1354" s="192">
        <f>AL1354-AK1354</f>
        <v/>
      </c>
      <c r="AO1354" s="76">
        <f>SUM(AY1354,Y1354:Z1354,T1354)*IF(AND(offer_incoterms="DDP",offer_sale_type&lt;&gt;"экспорт"),IF((TODAY()+offer_turnaround_time)&gt;=helpsheet!$L$17,rate_vatRU_from_26,rate_vatRu_till_25),0)</f>
        <v/>
      </c>
      <c r="AP1354" s="193">
        <f>AN1354-AO1354</f>
        <v/>
      </c>
      <c r="AQ1354" s="118">
        <f>IF(offer_sale_type="транзит",SUM(AF1354:AI1354,BA1354,BB1354),0)</f>
        <v/>
      </c>
      <c r="AR1354" s="82">
        <f>HYPERLINK("https://www.alta.ru/tnved/code/")&amp;W1354&amp;"/"</f>
        <v/>
      </c>
      <c r="AS1354" s="157" t="n"/>
      <c r="AT1354" s="162" t="n"/>
      <c r="AU1354" s="76">
        <f>IF(ISBLANK(AT1354),0,AJ1354-AT1354)</f>
        <v/>
      </c>
      <c r="AV1354" s="157" t="n"/>
      <c r="AW1354" s="75">
        <f>_xlfn.IFNA(VLOOKUP(L1354,list_vat[],3,FALSE),0)</f>
        <v/>
      </c>
      <c r="AX1354" s="76">
        <f>IFERROR(ROUND(S1354*(1+AW1354)/E1354,2),0)</f>
        <v/>
      </c>
      <c r="AY1354" s="76">
        <f>E1354*AX1354</f>
        <v/>
      </c>
      <c r="AZ1354" s="192">
        <f>S1354*(1+M1354)</f>
        <v/>
      </c>
      <c r="BA1354" s="76">
        <f>cost_fin_total*$BD1354</f>
        <v/>
      </c>
      <c r="BB1354" s="193">
        <f>credit_sales_interest*BD1354</f>
        <v/>
      </c>
      <c r="BC1354" s="102">
        <f>IFERROR(IF($I$13&gt;0,$I1354/$I$13,$S1354/$S$13),0)</f>
        <v/>
      </c>
      <c r="BD1354" s="102">
        <f>IFERROR($S1354/$S$13,0)</f>
        <v/>
      </c>
      <c r="BE1354" s="413" t="inlineStr">
        <is>
          <t>$</t>
        </is>
      </c>
    </row>
    <row r="1355" ht="12" customFormat="1" customHeight="1" s="65">
      <c r="A1355" s="43" t="n">
        <v>1340</v>
      </c>
      <c r="B1355" s="166" t="n"/>
      <c r="C1355" s="166" t="n"/>
      <c r="D1355" s="166" t="n"/>
      <c r="E1355" s="162" t="n"/>
      <c r="F1355" s="166" t="n"/>
      <c r="G1355" s="162" t="n"/>
      <c r="H1355" s="162" t="n"/>
      <c r="I1355" s="189">
        <f>E1355*G1355</f>
        <v/>
      </c>
      <c r="J1355" s="195" t="n"/>
      <c r="K1355" s="162" t="n"/>
      <c r="L1355" s="168" t="n"/>
      <c r="M1355" s="75">
        <f>_xlfn.XLOOKUP(L1355,list_vat[Страна],list_vat[Ставка НДС %],0,0)</f>
        <v/>
      </c>
      <c r="N1355" s="162">
        <f>IFERROR(IF(L1355="Китай",K1355,K1355/(1+M1355)),0)</f>
        <v/>
      </c>
      <c r="O1355" s="169" t="n"/>
      <c r="P1355" s="76">
        <f>N1355*(1-O1355)</f>
        <v/>
      </c>
      <c r="Q1355" s="162" t="n"/>
      <c r="R1355" s="162">
        <f>IF(ISBLANK(Q1355),"введи курс",P1355/Q1355)</f>
        <v/>
      </c>
      <c r="S1355" s="196">
        <f>IF(AND(ISNUMBER(E1355),ISNUMBER(Q1355)),E1355*R1355,0)</f>
        <v/>
      </c>
      <c r="T1355" s="192">
        <f>$BC1355*V$11</f>
        <v/>
      </c>
      <c r="U1355" s="76">
        <f>$BC1355*W$11</f>
        <v/>
      </c>
      <c r="V1355" s="193">
        <f>+SUM(T1355:U1355)</f>
        <v/>
      </c>
      <c r="W1355" s="191" t="n"/>
      <c r="X1355" s="170" t="n"/>
      <c r="Y1355" s="76">
        <f>ROUND(IF(offer_incoterms="DDP",X1355*(S1355*(1+AW1355)+T1355),0),2)</f>
        <v/>
      </c>
      <c r="Z1355" s="188" t="n"/>
      <c r="AA1355" s="192">
        <f>IFERROR(AB1355/E1355,0)</f>
        <v/>
      </c>
      <c r="AB1355" s="76">
        <f>ROUND(SUM(S1355,V1355,Y1355:Z1355,BA1355:BB1355),2)</f>
        <v/>
      </c>
      <c r="AC1355" s="797" t="n"/>
      <c r="AD1355" s="192">
        <f t="array" ref="AD1355">IFERROR(ROUND((_xlfn.IFS(offer_sale_type="поставка",AB1355,offer_sale_type="транзит",S1355)*(1+AC1355))/E1355,2),0)</f>
        <v/>
      </c>
      <c r="AE1355" s="76">
        <f>AD1355*E1355</f>
        <v/>
      </c>
      <c r="AF1355" s="193">
        <f t="array" ref="AF1355">IFERROR(ROUND(_xlfn.IFS(offer_sale_type="поставка",AB1355,offer_sale_type="транзит",S1355)*AC1355,2),0)</f>
        <v/>
      </c>
      <c r="AG1355" s="192">
        <f>$BD1355*VLOOKUP($AG$3,$AF$4:$AG$7,2,FALSE)</f>
        <v/>
      </c>
      <c r="AH1355" s="76">
        <f>SUM(AE1355,AG1355,AI1355)*rate_forex_risk</f>
        <v/>
      </c>
      <c r="AI1355" s="193">
        <f>IF(OR(seller_region="TR",offer_sale_type="экспорт"),0,rate_fin_comm)*SUM(AZ1355,AZ1355*AW1355,T1355)</f>
        <v/>
      </c>
      <c r="AJ1355" s="118">
        <f>IFERROR(ROUND(SUM(AB1355,AF1355:AI1355)/E1355,2),0)</f>
        <v/>
      </c>
      <c r="AK1355" s="76">
        <f>AJ1355*E1355</f>
        <v/>
      </c>
      <c r="AL1355" s="174">
        <f>ROUND(IFERROR(AM1355*E1355,0),2)</f>
        <v/>
      </c>
      <c r="AM1355" s="175">
        <f>ROUND(AJ1355*(1+IF(offer_incoterms="DDP",IF((TODAY()+offer_turnaround_time)&gt;=helpsheet!$L$17,rate_vatRU_from_26,rate_vatRu_till_25),0)),2)</f>
        <v/>
      </c>
      <c r="AN1355" s="192">
        <f>AL1355-AK1355</f>
        <v/>
      </c>
      <c r="AO1355" s="76">
        <f>SUM(AY1355,Y1355:Z1355,T1355)*IF(AND(offer_incoterms="DDP",offer_sale_type&lt;&gt;"экспорт"),IF((TODAY()+offer_turnaround_time)&gt;=helpsheet!$L$17,rate_vatRU_from_26,rate_vatRu_till_25),0)</f>
        <v/>
      </c>
      <c r="AP1355" s="193">
        <f>AN1355-AO1355</f>
        <v/>
      </c>
      <c r="AQ1355" s="118">
        <f>IF(offer_sale_type="транзит",SUM(AF1355:AI1355,BA1355,BB1355),0)</f>
        <v/>
      </c>
      <c r="AR1355" s="82">
        <f>HYPERLINK("https://www.alta.ru/tnved/code/")&amp;W1355&amp;"/"</f>
        <v/>
      </c>
      <c r="AS1355" s="157" t="n"/>
      <c r="AT1355" s="162" t="n"/>
      <c r="AU1355" s="76">
        <f>IF(ISBLANK(AT1355),0,AJ1355-AT1355)</f>
        <v/>
      </c>
      <c r="AV1355" s="157" t="n"/>
      <c r="AW1355" s="75">
        <f>_xlfn.IFNA(VLOOKUP(L1355,list_vat[],3,FALSE),0)</f>
        <v/>
      </c>
      <c r="AX1355" s="76">
        <f>IFERROR(ROUND(S1355*(1+AW1355)/E1355,2),0)</f>
        <v/>
      </c>
      <c r="AY1355" s="76">
        <f>E1355*AX1355</f>
        <v/>
      </c>
      <c r="AZ1355" s="192">
        <f>S1355*(1+M1355)</f>
        <v/>
      </c>
      <c r="BA1355" s="76">
        <f>cost_fin_total*$BD1355</f>
        <v/>
      </c>
      <c r="BB1355" s="193">
        <f>credit_sales_interest*BD1355</f>
        <v/>
      </c>
      <c r="BC1355" s="102">
        <f>IFERROR(IF($I$13&gt;0,$I1355/$I$13,$S1355/$S$13),0)</f>
        <v/>
      </c>
      <c r="BD1355" s="102">
        <f>IFERROR($S1355/$S$13,0)</f>
        <v/>
      </c>
      <c r="BE1355" s="413" t="inlineStr">
        <is>
          <t>$</t>
        </is>
      </c>
    </row>
    <row r="1356" ht="12" customFormat="1" customHeight="1" s="65">
      <c r="A1356" s="43" t="n">
        <v>1341</v>
      </c>
      <c r="B1356" s="166" t="n"/>
      <c r="C1356" s="166" t="n"/>
      <c r="D1356" s="166" t="n"/>
      <c r="E1356" s="162" t="n"/>
      <c r="F1356" s="166" t="n"/>
      <c r="G1356" s="162" t="n"/>
      <c r="H1356" s="162" t="n"/>
      <c r="I1356" s="189">
        <f>E1356*G1356</f>
        <v/>
      </c>
      <c r="J1356" s="195" t="n"/>
      <c r="K1356" s="162" t="n"/>
      <c r="L1356" s="168" t="n"/>
      <c r="M1356" s="75">
        <f>_xlfn.XLOOKUP(L1356,list_vat[Страна],list_vat[Ставка НДС %],0,0)</f>
        <v/>
      </c>
      <c r="N1356" s="162">
        <f>IFERROR(IF(L1356="Китай",K1356,K1356/(1+M1356)),0)</f>
        <v/>
      </c>
      <c r="O1356" s="169" t="n"/>
      <c r="P1356" s="76">
        <f>N1356*(1-O1356)</f>
        <v/>
      </c>
      <c r="Q1356" s="162" t="n"/>
      <c r="R1356" s="162">
        <f>IF(ISBLANK(Q1356),"введи курс",P1356/Q1356)</f>
        <v/>
      </c>
      <c r="S1356" s="196">
        <f>IF(AND(ISNUMBER(E1356),ISNUMBER(Q1356)),E1356*R1356,0)</f>
        <v/>
      </c>
      <c r="T1356" s="192">
        <f>$BC1356*V$11</f>
        <v/>
      </c>
      <c r="U1356" s="76">
        <f>$BC1356*W$11</f>
        <v/>
      </c>
      <c r="V1356" s="193">
        <f>+SUM(T1356:U1356)</f>
        <v/>
      </c>
      <c r="W1356" s="191" t="n"/>
      <c r="X1356" s="170" t="n"/>
      <c r="Y1356" s="76">
        <f>ROUND(IF(offer_incoterms="DDP",X1356*(S1356*(1+AW1356)+T1356),0),2)</f>
        <v/>
      </c>
      <c r="Z1356" s="188" t="n"/>
      <c r="AA1356" s="192">
        <f>IFERROR(AB1356/E1356,0)</f>
        <v/>
      </c>
      <c r="AB1356" s="76">
        <f>ROUND(SUM(S1356,V1356,Y1356:Z1356,BA1356:BB1356),2)</f>
        <v/>
      </c>
      <c r="AC1356" s="797" t="n"/>
      <c r="AD1356" s="192">
        <f t="array" ref="AD1356">IFERROR(ROUND((_xlfn.IFS(offer_sale_type="поставка",AB1356,offer_sale_type="транзит",S1356)*(1+AC1356))/E1356,2),0)</f>
        <v/>
      </c>
      <c r="AE1356" s="76">
        <f>AD1356*E1356</f>
        <v/>
      </c>
      <c r="AF1356" s="193">
        <f t="array" ref="AF1356">IFERROR(ROUND(_xlfn.IFS(offer_sale_type="поставка",AB1356,offer_sale_type="транзит",S1356)*AC1356,2),0)</f>
        <v/>
      </c>
      <c r="AG1356" s="192">
        <f>$BD1356*VLOOKUP($AG$3,$AF$4:$AG$7,2,FALSE)</f>
        <v/>
      </c>
      <c r="AH1356" s="76">
        <f>SUM(AE1356,AG1356,AI1356)*rate_forex_risk</f>
        <v/>
      </c>
      <c r="AI1356" s="193">
        <f>IF(OR(seller_region="TR",offer_sale_type="экспорт"),0,rate_fin_comm)*SUM(AZ1356,AZ1356*AW1356,T1356)</f>
        <v/>
      </c>
      <c r="AJ1356" s="118">
        <f>IFERROR(ROUND(SUM(AB1356,AF1356:AI1356)/E1356,2),0)</f>
        <v/>
      </c>
      <c r="AK1356" s="76">
        <f>AJ1356*E1356</f>
        <v/>
      </c>
      <c r="AL1356" s="174">
        <f>ROUND(IFERROR(AM1356*E1356,0),2)</f>
        <v/>
      </c>
      <c r="AM1356" s="175">
        <f>ROUND(AJ1356*(1+IF(offer_incoterms="DDP",IF((TODAY()+offer_turnaround_time)&gt;=helpsheet!$L$17,rate_vatRU_from_26,rate_vatRu_till_25),0)),2)</f>
        <v/>
      </c>
      <c r="AN1356" s="192">
        <f>AL1356-AK1356</f>
        <v/>
      </c>
      <c r="AO1356" s="76">
        <f>SUM(AY1356,Y1356:Z1356,T1356)*IF(AND(offer_incoterms="DDP",offer_sale_type&lt;&gt;"экспорт"),IF((TODAY()+offer_turnaround_time)&gt;=helpsheet!$L$17,rate_vatRU_from_26,rate_vatRu_till_25),0)</f>
        <v/>
      </c>
      <c r="AP1356" s="193">
        <f>AN1356-AO1356</f>
        <v/>
      </c>
      <c r="AQ1356" s="118">
        <f>IF(offer_sale_type="транзит",SUM(AF1356:AI1356,BA1356,BB1356),0)</f>
        <v/>
      </c>
      <c r="AR1356" s="82">
        <f>HYPERLINK("https://www.alta.ru/tnved/code/")&amp;W1356&amp;"/"</f>
        <v/>
      </c>
      <c r="AS1356" s="157" t="n"/>
      <c r="AT1356" s="162" t="n"/>
      <c r="AU1356" s="76">
        <f>IF(ISBLANK(AT1356),0,AJ1356-AT1356)</f>
        <v/>
      </c>
      <c r="AV1356" s="157" t="n"/>
      <c r="AW1356" s="75">
        <f>_xlfn.IFNA(VLOOKUP(L1356,list_vat[],3,FALSE),0)</f>
        <v/>
      </c>
      <c r="AX1356" s="76">
        <f>IFERROR(ROUND(S1356*(1+AW1356)/E1356,2),0)</f>
        <v/>
      </c>
      <c r="AY1356" s="76">
        <f>E1356*AX1356</f>
        <v/>
      </c>
      <c r="AZ1356" s="192">
        <f>S1356*(1+M1356)</f>
        <v/>
      </c>
      <c r="BA1356" s="76">
        <f>cost_fin_total*$BD1356</f>
        <v/>
      </c>
      <c r="BB1356" s="193">
        <f>credit_sales_interest*BD1356</f>
        <v/>
      </c>
      <c r="BC1356" s="102">
        <f>IFERROR(IF($I$13&gt;0,$I1356/$I$13,$S1356/$S$13),0)</f>
        <v/>
      </c>
      <c r="BD1356" s="102">
        <f>IFERROR($S1356/$S$13,0)</f>
        <v/>
      </c>
      <c r="BE1356" s="413" t="inlineStr">
        <is>
          <t>$</t>
        </is>
      </c>
    </row>
    <row r="1357" ht="12" customFormat="1" customHeight="1" s="65">
      <c r="A1357" s="43" t="n">
        <v>1342</v>
      </c>
      <c r="B1357" s="166" t="n"/>
      <c r="C1357" s="166" t="n"/>
      <c r="D1357" s="166" t="n"/>
      <c r="E1357" s="162" t="n"/>
      <c r="F1357" s="166" t="n"/>
      <c r="G1357" s="162" t="n"/>
      <c r="H1357" s="162" t="n"/>
      <c r="I1357" s="189">
        <f>E1357*G1357</f>
        <v/>
      </c>
      <c r="J1357" s="195" t="n"/>
      <c r="K1357" s="162" t="n"/>
      <c r="L1357" s="168" t="n"/>
      <c r="M1357" s="75">
        <f>_xlfn.XLOOKUP(L1357,list_vat[Страна],list_vat[Ставка НДС %],0,0)</f>
        <v/>
      </c>
      <c r="N1357" s="162">
        <f>IFERROR(IF(L1357="Китай",K1357,K1357/(1+M1357)),0)</f>
        <v/>
      </c>
      <c r="O1357" s="169" t="n"/>
      <c r="P1357" s="76">
        <f>N1357*(1-O1357)</f>
        <v/>
      </c>
      <c r="Q1357" s="162" t="n"/>
      <c r="R1357" s="162">
        <f>IF(ISBLANK(Q1357),"введи курс",P1357/Q1357)</f>
        <v/>
      </c>
      <c r="S1357" s="196">
        <f>IF(AND(ISNUMBER(E1357),ISNUMBER(Q1357)),E1357*R1357,0)</f>
        <v/>
      </c>
      <c r="T1357" s="192">
        <f>$BC1357*V$11</f>
        <v/>
      </c>
      <c r="U1357" s="76">
        <f>$BC1357*W$11</f>
        <v/>
      </c>
      <c r="V1357" s="193">
        <f>+SUM(T1357:U1357)</f>
        <v/>
      </c>
      <c r="W1357" s="191" t="n"/>
      <c r="X1357" s="170" t="n"/>
      <c r="Y1357" s="76">
        <f>ROUND(IF(offer_incoterms="DDP",X1357*(S1357*(1+AW1357)+T1357),0),2)</f>
        <v/>
      </c>
      <c r="Z1357" s="188" t="n"/>
      <c r="AA1357" s="192">
        <f>IFERROR(AB1357/E1357,0)</f>
        <v/>
      </c>
      <c r="AB1357" s="76">
        <f>ROUND(SUM(S1357,V1357,Y1357:Z1357,BA1357:BB1357),2)</f>
        <v/>
      </c>
      <c r="AC1357" s="797" t="n"/>
      <c r="AD1357" s="192">
        <f t="array" ref="AD1357">IFERROR(ROUND((_xlfn.IFS(offer_sale_type="поставка",AB1357,offer_sale_type="транзит",S1357)*(1+AC1357))/E1357,2),0)</f>
        <v/>
      </c>
      <c r="AE1357" s="76">
        <f>AD1357*E1357</f>
        <v/>
      </c>
      <c r="AF1357" s="193">
        <f t="array" ref="AF1357">IFERROR(ROUND(_xlfn.IFS(offer_sale_type="поставка",AB1357,offer_sale_type="транзит",S1357)*AC1357,2),0)</f>
        <v/>
      </c>
      <c r="AG1357" s="192">
        <f>$BD1357*VLOOKUP($AG$3,$AF$4:$AG$7,2,FALSE)</f>
        <v/>
      </c>
      <c r="AH1357" s="76">
        <f>SUM(AE1357,AG1357,AI1357)*rate_forex_risk</f>
        <v/>
      </c>
      <c r="AI1357" s="193">
        <f>IF(OR(seller_region="TR",offer_sale_type="экспорт"),0,rate_fin_comm)*SUM(AZ1357,AZ1357*AW1357,T1357)</f>
        <v/>
      </c>
      <c r="AJ1357" s="118">
        <f>IFERROR(ROUND(SUM(AB1357,AF1357:AI1357)/E1357,2),0)</f>
        <v/>
      </c>
      <c r="AK1357" s="76">
        <f>AJ1357*E1357</f>
        <v/>
      </c>
      <c r="AL1357" s="174">
        <f>ROUND(IFERROR(AM1357*E1357,0),2)</f>
        <v/>
      </c>
      <c r="AM1357" s="175">
        <f>ROUND(AJ1357*(1+IF(offer_incoterms="DDP",IF((TODAY()+offer_turnaround_time)&gt;=helpsheet!$L$17,rate_vatRU_from_26,rate_vatRu_till_25),0)),2)</f>
        <v/>
      </c>
      <c r="AN1357" s="192">
        <f>AL1357-AK1357</f>
        <v/>
      </c>
      <c r="AO1357" s="76">
        <f>SUM(AY1357,Y1357:Z1357,T1357)*IF(AND(offer_incoterms="DDP",offer_sale_type&lt;&gt;"экспорт"),IF((TODAY()+offer_turnaround_time)&gt;=helpsheet!$L$17,rate_vatRU_from_26,rate_vatRu_till_25),0)</f>
        <v/>
      </c>
      <c r="AP1357" s="193">
        <f>AN1357-AO1357</f>
        <v/>
      </c>
      <c r="AQ1357" s="118">
        <f>IF(offer_sale_type="транзит",SUM(AF1357:AI1357,BA1357,BB1357),0)</f>
        <v/>
      </c>
      <c r="AR1357" s="82">
        <f>HYPERLINK("https://www.alta.ru/tnved/code/")&amp;W1357&amp;"/"</f>
        <v/>
      </c>
      <c r="AS1357" s="157" t="n"/>
      <c r="AT1357" s="162" t="n"/>
      <c r="AU1357" s="76">
        <f>IF(ISBLANK(AT1357),0,AJ1357-AT1357)</f>
        <v/>
      </c>
      <c r="AV1357" s="157" t="n"/>
      <c r="AW1357" s="75">
        <f>_xlfn.IFNA(VLOOKUP(L1357,list_vat[],3,FALSE),0)</f>
        <v/>
      </c>
      <c r="AX1357" s="76">
        <f>IFERROR(ROUND(S1357*(1+AW1357)/E1357,2),0)</f>
        <v/>
      </c>
      <c r="AY1357" s="76">
        <f>E1357*AX1357</f>
        <v/>
      </c>
      <c r="AZ1357" s="192">
        <f>S1357*(1+M1357)</f>
        <v/>
      </c>
      <c r="BA1357" s="76">
        <f>cost_fin_total*$BD1357</f>
        <v/>
      </c>
      <c r="BB1357" s="193">
        <f>credit_sales_interest*BD1357</f>
        <v/>
      </c>
      <c r="BC1357" s="102">
        <f>IFERROR(IF($I$13&gt;0,$I1357/$I$13,$S1357/$S$13),0)</f>
        <v/>
      </c>
      <c r="BD1357" s="102">
        <f>IFERROR($S1357/$S$13,0)</f>
        <v/>
      </c>
      <c r="BE1357" s="413" t="inlineStr">
        <is>
          <t>$</t>
        </is>
      </c>
    </row>
    <row r="1358" ht="12" customFormat="1" customHeight="1" s="65">
      <c r="A1358" s="43" t="n">
        <v>1343</v>
      </c>
      <c r="B1358" s="166" t="n"/>
      <c r="C1358" s="166" t="n"/>
      <c r="D1358" s="166" t="n"/>
      <c r="E1358" s="162" t="n"/>
      <c r="F1358" s="166" t="n"/>
      <c r="G1358" s="162" t="n"/>
      <c r="H1358" s="162" t="n"/>
      <c r="I1358" s="189">
        <f>E1358*G1358</f>
        <v/>
      </c>
      <c r="J1358" s="195" t="n"/>
      <c r="K1358" s="162" t="n"/>
      <c r="L1358" s="168" t="n"/>
      <c r="M1358" s="75">
        <f>_xlfn.XLOOKUP(L1358,list_vat[Страна],list_vat[Ставка НДС %],0,0)</f>
        <v/>
      </c>
      <c r="N1358" s="162">
        <f>IFERROR(IF(L1358="Китай",K1358,K1358/(1+M1358)),0)</f>
        <v/>
      </c>
      <c r="O1358" s="169" t="n"/>
      <c r="P1358" s="76">
        <f>N1358*(1-O1358)</f>
        <v/>
      </c>
      <c r="Q1358" s="162" t="n"/>
      <c r="R1358" s="162">
        <f>IF(ISBLANK(Q1358),"введи курс",P1358/Q1358)</f>
        <v/>
      </c>
      <c r="S1358" s="196">
        <f>IF(AND(ISNUMBER(E1358),ISNUMBER(Q1358)),E1358*R1358,0)</f>
        <v/>
      </c>
      <c r="T1358" s="192">
        <f>$BC1358*V$11</f>
        <v/>
      </c>
      <c r="U1358" s="76">
        <f>$BC1358*W$11</f>
        <v/>
      </c>
      <c r="V1358" s="193">
        <f>+SUM(T1358:U1358)</f>
        <v/>
      </c>
      <c r="W1358" s="191" t="n"/>
      <c r="X1358" s="170" t="n"/>
      <c r="Y1358" s="76">
        <f>ROUND(IF(offer_incoterms="DDP",X1358*(S1358*(1+AW1358)+T1358),0),2)</f>
        <v/>
      </c>
      <c r="Z1358" s="188" t="n"/>
      <c r="AA1358" s="192">
        <f>IFERROR(AB1358/E1358,0)</f>
        <v/>
      </c>
      <c r="AB1358" s="76">
        <f>ROUND(SUM(S1358,V1358,Y1358:Z1358,BA1358:BB1358),2)</f>
        <v/>
      </c>
      <c r="AC1358" s="797" t="n"/>
      <c r="AD1358" s="192">
        <f t="array" ref="AD1358">IFERROR(ROUND((_xlfn.IFS(offer_sale_type="поставка",AB1358,offer_sale_type="транзит",S1358)*(1+AC1358))/E1358,2),0)</f>
        <v/>
      </c>
      <c r="AE1358" s="76">
        <f>AD1358*E1358</f>
        <v/>
      </c>
      <c r="AF1358" s="193">
        <f t="array" ref="AF1358">IFERROR(ROUND(_xlfn.IFS(offer_sale_type="поставка",AB1358,offer_sale_type="транзит",S1358)*AC1358,2),0)</f>
        <v/>
      </c>
      <c r="AG1358" s="192">
        <f>$BD1358*VLOOKUP($AG$3,$AF$4:$AG$7,2,FALSE)</f>
        <v/>
      </c>
      <c r="AH1358" s="76">
        <f>SUM(AE1358,AG1358,AI1358)*rate_forex_risk</f>
        <v/>
      </c>
      <c r="AI1358" s="193">
        <f>IF(OR(seller_region="TR",offer_sale_type="экспорт"),0,rate_fin_comm)*SUM(AZ1358,AZ1358*AW1358,T1358)</f>
        <v/>
      </c>
      <c r="AJ1358" s="118">
        <f>IFERROR(ROUND(SUM(AB1358,AF1358:AI1358)/E1358,2),0)</f>
        <v/>
      </c>
      <c r="AK1358" s="76">
        <f>AJ1358*E1358</f>
        <v/>
      </c>
      <c r="AL1358" s="174">
        <f>ROUND(IFERROR(AM1358*E1358,0),2)</f>
        <v/>
      </c>
      <c r="AM1358" s="175">
        <f>ROUND(AJ1358*(1+IF(offer_incoterms="DDP",IF((TODAY()+offer_turnaround_time)&gt;=helpsheet!$L$17,rate_vatRU_from_26,rate_vatRu_till_25),0)),2)</f>
        <v/>
      </c>
      <c r="AN1358" s="192">
        <f>AL1358-AK1358</f>
        <v/>
      </c>
      <c r="AO1358" s="76">
        <f>SUM(AY1358,Y1358:Z1358,T1358)*IF(AND(offer_incoterms="DDP",offer_sale_type&lt;&gt;"экспорт"),IF((TODAY()+offer_turnaround_time)&gt;=helpsheet!$L$17,rate_vatRU_from_26,rate_vatRu_till_25),0)</f>
        <v/>
      </c>
      <c r="AP1358" s="193">
        <f>AN1358-AO1358</f>
        <v/>
      </c>
      <c r="AQ1358" s="118">
        <f>IF(offer_sale_type="транзит",SUM(AF1358:AI1358,BA1358,BB1358),0)</f>
        <v/>
      </c>
      <c r="AR1358" s="82">
        <f>HYPERLINK("https://www.alta.ru/tnved/code/")&amp;W1358&amp;"/"</f>
        <v/>
      </c>
      <c r="AS1358" s="157" t="n"/>
      <c r="AT1358" s="162" t="n"/>
      <c r="AU1358" s="76">
        <f>IF(ISBLANK(AT1358),0,AJ1358-AT1358)</f>
        <v/>
      </c>
      <c r="AV1358" s="157" t="n"/>
      <c r="AW1358" s="75">
        <f>_xlfn.IFNA(VLOOKUP(L1358,list_vat[],3,FALSE),0)</f>
        <v/>
      </c>
      <c r="AX1358" s="76">
        <f>IFERROR(ROUND(S1358*(1+AW1358)/E1358,2),0)</f>
        <v/>
      </c>
      <c r="AY1358" s="76">
        <f>E1358*AX1358</f>
        <v/>
      </c>
      <c r="AZ1358" s="192">
        <f>S1358*(1+M1358)</f>
        <v/>
      </c>
      <c r="BA1358" s="76">
        <f>cost_fin_total*$BD1358</f>
        <v/>
      </c>
      <c r="BB1358" s="193">
        <f>credit_sales_interest*BD1358</f>
        <v/>
      </c>
      <c r="BC1358" s="102">
        <f>IFERROR(IF($I$13&gt;0,$I1358/$I$13,$S1358/$S$13),0)</f>
        <v/>
      </c>
      <c r="BD1358" s="102">
        <f>IFERROR($S1358/$S$13,0)</f>
        <v/>
      </c>
      <c r="BE1358" s="413" t="inlineStr">
        <is>
          <t>$</t>
        </is>
      </c>
    </row>
    <row r="1359" ht="12" customFormat="1" customHeight="1" s="65">
      <c r="A1359" s="43" t="n">
        <v>1344</v>
      </c>
      <c r="B1359" s="166" t="n"/>
      <c r="C1359" s="166" t="n"/>
      <c r="D1359" s="166" t="n"/>
      <c r="E1359" s="162" t="n"/>
      <c r="F1359" s="166" t="n"/>
      <c r="G1359" s="162" t="n"/>
      <c r="H1359" s="162" t="n"/>
      <c r="I1359" s="189">
        <f>E1359*G1359</f>
        <v/>
      </c>
      <c r="J1359" s="195" t="n"/>
      <c r="K1359" s="162" t="n"/>
      <c r="L1359" s="168" t="n"/>
      <c r="M1359" s="75">
        <f>_xlfn.XLOOKUP(L1359,list_vat[Страна],list_vat[Ставка НДС %],0,0)</f>
        <v/>
      </c>
      <c r="N1359" s="162">
        <f>IFERROR(IF(L1359="Китай",K1359,K1359/(1+M1359)),0)</f>
        <v/>
      </c>
      <c r="O1359" s="169" t="n"/>
      <c r="P1359" s="76">
        <f>N1359*(1-O1359)</f>
        <v/>
      </c>
      <c r="Q1359" s="162" t="n"/>
      <c r="R1359" s="162">
        <f>IF(ISBLANK(Q1359),"введи курс",P1359/Q1359)</f>
        <v/>
      </c>
      <c r="S1359" s="196">
        <f>IF(AND(ISNUMBER(E1359),ISNUMBER(Q1359)),E1359*R1359,0)</f>
        <v/>
      </c>
      <c r="T1359" s="192">
        <f>$BC1359*V$11</f>
        <v/>
      </c>
      <c r="U1359" s="76">
        <f>$BC1359*W$11</f>
        <v/>
      </c>
      <c r="V1359" s="193">
        <f>+SUM(T1359:U1359)</f>
        <v/>
      </c>
      <c r="W1359" s="191" t="n"/>
      <c r="X1359" s="170" t="n"/>
      <c r="Y1359" s="76">
        <f>ROUND(IF(offer_incoterms="DDP",X1359*(S1359*(1+AW1359)+T1359),0),2)</f>
        <v/>
      </c>
      <c r="Z1359" s="188" t="n"/>
      <c r="AA1359" s="192">
        <f>IFERROR(AB1359/E1359,0)</f>
        <v/>
      </c>
      <c r="AB1359" s="76">
        <f>ROUND(SUM(S1359,V1359,Y1359:Z1359,BA1359:BB1359),2)</f>
        <v/>
      </c>
      <c r="AC1359" s="797" t="n"/>
      <c r="AD1359" s="192">
        <f t="array" ref="AD1359">IFERROR(ROUND((_xlfn.IFS(offer_sale_type="поставка",AB1359,offer_sale_type="транзит",S1359)*(1+AC1359))/E1359,2),0)</f>
        <v/>
      </c>
      <c r="AE1359" s="76">
        <f>AD1359*E1359</f>
        <v/>
      </c>
      <c r="AF1359" s="193">
        <f t="array" ref="AF1359">IFERROR(ROUND(_xlfn.IFS(offer_sale_type="поставка",AB1359,offer_sale_type="транзит",S1359)*AC1359,2),0)</f>
        <v/>
      </c>
      <c r="AG1359" s="192">
        <f>$BD1359*VLOOKUP($AG$3,$AF$4:$AG$7,2,FALSE)</f>
        <v/>
      </c>
      <c r="AH1359" s="76">
        <f>SUM(AE1359,AG1359,AI1359)*rate_forex_risk</f>
        <v/>
      </c>
      <c r="AI1359" s="193">
        <f>IF(OR(seller_region="TR",offer_sale_type="экспорт"),0,rate_fin_comm)*SUM(AZ1359,AZ1359*AW1359,T1359)</f>
        <v/>
      </c>
      <c r="AJ1359" s="118">
        <f>IFERROR(ROUND(SUM(AB1359,AF1359:AI1359)/E1359,2),0)</f>
        <v/>
      </c>
      <c r="AK1359" s="76">
        <f>AJ1359*E1359</f>
        <v/>
      </c>
      <c r="AL1359" s="174">
        <f>ROUND(IFERROR(AM1359*E1359,0),2)</f>
        <v/>
      </c>
      <c r="AM1359" s="175">
        <f>ROUND(AJ1359*(1+IF(offer_incoterms="DDP",IF((TODAY()+offer_turnaround_time)&gt;=helpsheet!$L$17,rate_vatRU_from_26,rate_vatRu_till_25),0)),2)</f>
        <v/>
      </c>
      <c r="AN1359" s="192">
        <f>AL1359-AK1359</f>
        <v/>
      </c>
      <c r="AO1359" s="76">
        <f>SUM(AY1359,Y1359:Z1359,T1359)*IF(AND(offer_incoterms="DDP",offer_sale_type&lt;&gt;"экспорт"),IF((TODAY()+offer_turnaround_time)&gt;=helpsheet!$L$17,rate_vatRU_from_26,rate_vatRu_till_25),0)</f>
        <v/>
      </c>
      <c r="AP1359" s="193">
        <f>AN1359-AO1359</f>
        <v/>
      </c>
      <c r="AQ1359" s="118">
        <f>IF(offer_sale_type="транзит",SUM(AF1359:AI1359,BA1359,BB1359),0)</f>
        <v/>
      </c>
      <c r="AR1359" s="82">
        <f>HYPERLINK("https://www.alta.ru/tnved/code/")&amp;W1359&amp;"/"</f>
        <v/>
      </c>
      <c r="AS1359" s="157" t="n"/>
      <c r="AT1359" s="162" t="n"/>
      <c r="AU1359" s="76">
        <f>IF(ISBLANK(AT1359),0,AJ1359-AT1359)</f>
        <v/>
      </c>
      <c r="AV1359" s="157" t="n"/>
      <c r="AW1359" s="75">
        <f>_xlfn.IFNA(VLOOKUP(L1359,list_vat[],3,FALSE),0)</f>
        <v/>
      </c>
      <c r="AX1359" s="76">
        <f>IFERROR(ROUND(S1359*(1+AW1359)/E1359,2),0)</f>
        <v/>
      </c>
      <c r="AY1359" s="76">
        <f>E1359*AX1359</f>
        <v/>
      </c>
      <c r="AZ1359" s="192">
        <f>S1359*(1+M1359)</f>
        <v/>
      </c>
      <c r="BA1359" s="76">
        <f>cost_fin_total*$BD1359</f>
        <v/>
      </c>
      <c r="BB1359" s="193">
        <f>credit_sales_interest*BD1359</f>
        <v/>
      </c>
      <c r="BC1359" s="102">
        <f>IFERROR(IF($I$13&gt;0,$I1359/$I$13,$S1359/$S$13),0)</f>
        <v/>
      </c>
      <c r="BD1359" s="102">
        <f>IFERROR($S1359/$S$13,0)</f>
        <v/>
      </c>
      <c r="BE1359" s="413" t="inlineStr">
        <is>
          <t>$</t>
        </is>
      </c>
    </row>
    <row r="1360" ht="12" customFormat="1" customHeight="1" s="65">
      <c r="A1360" s="43" t="n">
        <v>1345</v>
      </c>
      <c r="B1360" s="166" t="n"/>
      <c r="C1360" s="166" t="n"/>
      <c r="D1360" s="166" t="n"/>
      <c r="E1360" s="162" t="n"/>
      <c r="F1360" s="166" t="n"/>
      <c r="G1360" s="162" t="n"/>
      <c r="H1360" s="162" t="n"/>
      <c r="I1360" s="189">
        <f>E1360*G1360</f>
        <v/>
      </c>
      <c r="J1360" s="195" t="n"/>
      <c r="K1360" s="162" t="n"/>
      <c r="L1360" s="168" t="n"/>
      <c r="M1360" s="75">
        <f>_xlfn.XLOOKUP(L1360,list_vat[Страна],list_vat[Ставка НДС %],0,0)</f>
        <v/>
      </c>
      <c r="N1360" s="162">
        <f>IFERROR(IF(L1360="Китай",K1360,K1360/(1+M1360)),0)</f>
        <v/>
      </c>
      <c r="O1360" s="169" t="n"/>
      <c r="P1360" s="76">
        <f>N1360*(1-O1360)</f>
        <v/>
      </c>
      <c r="Q1360" s="162" t="n"/>
      <c r="R1360" s="162">
        <f>IF(ISBLANK(Q1360),"введи курс",P1360/Q1360)</f>
        <v/>
      </c>
      <c r="S1360" s="196">
        <f>IF(AND(ISNUMBER(E1360),ISNUMBER(Q1360)),E1360*R1360,0)</f>
        <v/>
      </c>
      <c r="T1360" s="192">
        <f>$BC1360*V$11</f>
        <v/>
      </c>
      <c r="U1360" s="76">
        <f>$BC1360*W$11</f>
        <v/>
      </c>
      <c r="V1360" s="193">
        <f>+SUM(T1360:U1360)</f>
        <v/>
      </c>
      <c r="W1360" s="191" t="n"/>
      <c r="X1360" s="170" t="n"/>
      <c r="Y1360" s="76">
        <f>ROUND(IF(offer_incoterms="DDP",X1360*(S1360*(1+AW1360)+T1360),0),2)</f>
        <v/>
      </c>
      <c r="Z1360" s="188" t="n"/>
      <c r="AA1360" s="192">
        <f>IFERROR(AB1360/E1360,0)</f>
        <v/>
      </c>
      <c r="AB1360" s="76">
        <f>ROUND(SUM(S1360,V1360,Y1360:Z1360,BA1360:BB1360),2)</f>
        <v/>
      </c>
      <c r="AC1360" s="797" t="n"/>
      <c r="AD1360" s="192">
        <f t="array" ref="AD1360">IFERROR(ROUND((_xlfn.IFS(offer_sale_type="поставка",AB1360,offer_sale_type="транзит",S1360)*(1+AC1360))/E1360,2),0)</f>
        <v/>
      </c>
      <c r="AE1360" s="76">
        <f>AD1360*E1360</f>
        <v/>
      </c>
      <c r="AF1360" s="193">
        <f t="array" ref="AF1360">IFERROR(ROUND(_xlfn.IFS(offer_sale_type="поставка",AB1360,offer_sale_type="транзит",S1360)*AC1360,2),0)</f>
        <v/>
      </c>
      <c r="AG1360" s="192">
        <f>$BD1360*VLOOKUP($AG$3,$AF$4:$AG$7,2,FALSE)</f>
        <v/>
      </c>
      <c r="AH1360" s="76">
        <f>SUM(AE1360,AG1360,AI1360)*rate_forex_risk</f>
        <v/>
      </c>
      <c r="AI1360" s="193">
        <f>IF(OR(seller_region="TR",offer_sale_type="экспорт"),0,rate_fin_comm)*SUM(AZ1360,AZ1360*AW1360,T1360)</f>
        <v/>
      </c>
      <c r="AJ1360" s="118">
        <f>IFERROR(ROUND(SUM(AB1360,AF1360:AI1360)/E1360,2),0)</f>
        <v/>
      </c>
      <c r="AK1360" s="76">
        <f>AJ1360*E1360</f>
        <v/>
      </c>
      <c r="AL1360" s="174">
        <f>ROUND(IFERROR(AM1360*E1360,0),2)</f>
        <v/>
      </c>
      <c r="AM1360" s="175">
        <f>ROUND(AJ1360*(1+IF(offer_incoterms="DDP",IF((TODAY()+offer_turnaround_time)&gt;=helpsheet!$L$17,rate_vatRU_from_26,rate_vatRu_till_25),0)),2)</f>
        <v/>
      </c>
      <c r="AN1360" s="192">
        <f>AL1360-AK1360</f>
        <v/>
      </c>
      <c r="AO1360" s="76">
        <f>SUM(AY1360,Y1360:Z1360,T1360)*IF(AND(offer_incoterms="DDP",offer_sale_type&lt;&gt;"экспорт"),IF((TODAY()+offer_turnaround_time)&gt;=helpsheet!$L$17,rate_vatRU_from_26,rate_vatRu_till_25),0)</f>
        <v/>
      </c>
      <c r="AP1360" s="193">
        <f>AN1360-AO1360</f>
        <v/>
      </c>
      <c r="AQ1360" s="118">
        <f>IF(offer_sale_type="транзит",SUM(AF1360:AI1360,BA1360,BB1360),0)</f>
        <v/>
      </c>
      <c r="AR1360" s="82">
        <f>HYPERLINK("https://www.alta.ru/tnved/code/")&amp;W1360&amp;"/"</f>
        <v/>
      </c>
      <c r="AS1360" s="157" t="n"/>
      <c r="AT1360" s="162" t="n"/>
      <c r="AU1360" s="76">
        <f>IF(ISBLANK(AT1360),0,AJ1360-AT1360)</f>
        <v/>
      </c>
      <c r="AV1360" s="157" t="n"/>
      <c r="AW1360" s="75">
        <f>_xlfn.IFNA(VLOOKUP(L1360,list_vat[],3,FALSE),0)</f>
        <v/>
      </c>
      <c r="AX1360" s="76">
        <f>IFERROR(ROUND(S1360*(1+AW1360)/E1360,2),0)</f>
        <v/>
      </c>
      <c r="AY1360" s="76">
        <f>E1360*AX1360</f>
        <v/>
      </c>
      <c r="AZ1360" s="192">
        <f>S1360*(1+M1360)</f>
        <v/>
      </c>
      <c r="BA1360" s="76">
        <f>cost_fin_total*$BD1360</f>
        <v/>
      </c>
      <c r="BB1360" s="193">
        <f>credit_sales_interest*BD1360</f>
        <v/>
      </c>
      <c r="BC1360" s="102">
        <f>IFERROR(IF($I$13&gt;0,$I1360/$I$13,$S1360/$S$13),0)</f>
        <v/>
      </c>
      <c r="BD1360" s="102">
        <f>IFERROR($S1360/$S$13,0)</f>
        <v/>
      </c>
      <c r="BE1360" s="413" t="inlineStr">
        <is>
          <t>$</t>
        </is>
      </c>
    </row>
    <row r="1361" ht="12" customFormat="1" customHeight="1" s="65">
      <c r="A1361" s="43" t="n">
        <v>1346</v>
      </c>
      <c r="B1361" s="166" t="n"/>
      <c r="C1361" s="166" t="n"/>
      <c r="D1361" s="166" t="n"/>
      <c r="E1361" s="162" t="n"/>
      <c r="F1361" s="166" t="n"/>
      <c r="G1361" s="162" t="n"/>
      <c r="H1361" s="162" t="n"/>
      <c r="I1361" s="189">
        <f>E1361*G1361</f>
        <v/>
      </c>
      <c r="J1361" s="195" t="n"/>
      <c r="K1361" s="162" t="n"/>
      <c r="L1361" s="168" t="n"/>
      <c r="M1361" s="75">
        <f>_xlfn.XLOOKUP(L1361,list_vat[Страна],list_vat[Ставка НДС %],0,0)</f>
        <v/>
      </c>
      <c r="N1361" s="162">
        <f>IFERROR(IF(L1361="Китай",K1361,K1361/(1+M1361)),0)</f>
        <v/>
      </c>
      <c r="O1361" s="169" t="n"/>
      <c r="P1361" s="76">
        <f>N1361*(1-O1361)</f>
        <v/>
      </c>
      <c r="Q1361" s="162" t="n"/>
      <c r="R1361" s="162">
        <f>IF(ISBLANK(Q1361),"введи курс",P1361/Q1361)</f>
        <v/>
      </c>
      <c r="S1361" s="196">
        <f>IF(AND(ISNUMBER(E1361),ISNUMBER(Q1361)),E1361*R1361,0)</f>
        <v/>
      </c>
      <c r="T1361" s="192">
        <f>$BC1361*V$11</f>
        <v/>
      </c>
      <c r="U1361" s="76">
        <f>$BC1361*W$11</f>
        <v/>
      </c>
      <c r="V1361" s="193">
        <f>+SUM(T1361:U1361)</f>
        <v/>
      </c>
      <c r="W1361" s="191" t="n"/>
      <c r="X1361" s="170" t="n"/>
      <c r="Y1361" s="76">
        <f>ROUND(IF(offer_incoterms="DDP",X1361*(S1361*(1+AW1361)+T1361),0),2)</f>
        <v/>
      </c>
      <c r="Z1361" s="188" t="n"/>
      <c r="AA1361" s="192">
        <f>IFERROR(AB1361/E1361,0)</f>
        <v/>
      </c>
      <c r="AB1361" s="76">
        <f>ROUND(SUM(S1361,V1361,Y1361:Z1361,BA1361:BB1361),2)</f>
        <v/>
      </c>
      <c r="AC1361" s="797" t="n"/>
      <c r="AD1361" s="192">
        <f t="array" ref="AD1361">IFERROR(ROUND((_xlfn.IFS(offer_sale_type="поставка",AB1361,offer_sale_type="транзит",S1361)*(1+AC1361))/E1361,2),0)</f>
        <v/>
      </c>
      <c r="AE1361" s="76">
        <f>AD1361*E1361</f>
        <v/>
      </c>
      <c r="AF1361" s="193">
        <f t="array" ref="AF1361">IFERROR(ROUND(_xlfn.IFS(offer_sale_type="поставка",AB1361,offer_sale_type="транзит",S1361)*AC1361,2),0)</f>
        <v/>
      </c>
      <c r="AG1361" s="192">
        <f>$BD1361*VLOOKUP($AG$3,$AF$4:$AG$7,2,FALSE)</f>
        <v/>
      </c>
      <c r="AH1361" s="76">
        <f>SUM(AE1361,AG1361,AI1361)*rate_forex_risk</f>
        <v/>
      </c>
      <c r="AI1361" s="193">
        <f>IF(OR(seller_region="TR",offer_sale_type="экспорт"),0,rate_fin_comm)*SUM(AZ1361,AZ1361*AW1361,T1361)</f>
        <v/>
      </c>
      <c r="AJ1361" s="118">
        <f>IFERROR(ROUND(SUM(AB1361,AF1361:AI1361)/E1361,2),0)</f>
        <v/>
      </c>
      <c r="AK1361" s="76">
        <f>AJ1361*E1361</f>
        <v/>
      </c>
      <c r="AL1361" s="174">
        <f>ROUND(IFERROR(AM1361*E1361,0),2)</f>
        <v/>
      </c>
      <c r="AM1361" s="175">
        <f>ROUND(AJ1361*(1+IF(offer_incoterms="DDP",IF((TODAY()+offer_turnaround_time)&gt;=helpsheet!$L$17,rate_vatRU_from_26,rate_vatRu_till_25),0)),2)</f>
        <v/>
      </c>
      <c r="AN1361" s="192">
        <f>AL1361-AK1361</f>
        <v/>
      </c>
      <c r="AO1361" s="76">
        <f>SUM(AY1361,Y1361:Z1361,T1361)*IF(AND(offer_incoterms="DDP",offer_sale_type&lt;&gt;"экспорт"),IF((TODAY()+offer_turnaround_time)&gt;=helpsheet!$L$17,rate_vatRU_from_26,rate_vatRu_till_25),0)</f>
        <v/>
      </c>
      <c r="AP1361" s="193">
        <f>AN1361-AO1361</f>
        <v/>
      </c>
      <c r="AQ1361" s="118">
        <f>IF(offer_sale_type="транзит",SUM(AF1361:AI1361,BA1361,BB1361),0)</f>
        <v/>
      </c>
      <c r="AR1361" s="82">
        <f>HYPERLINK("https://www.alta.ru/tnved/code/")&amp;W1361&amp;"/"</f>
        <v/>
      </c>
      <c r="AS1361" s="157" t="n"/>
      <c r="AT1361" s="162" t="n"/>
      <c r="AU1361" s="76">
        <f>IF(ISBLANK(AT1361),0,AJ1361-AT1361)</f>
        <v/>
      </c>
      <c r="AV1361" s="157" t="n"/>
      <c r="AW1361" s="75">
        <f>_xlfn.IFNA(VLOOKUP(L1361,list_vat[],3,FALSE),0)</f>
        <v/>
      </c>
      <c r="AX1361" s="76">
        <f>IFERROR(ROUND(S1361*(1+AW1361)/E1361,2),0)</f>
        <v/>
      </c>
      <c r="AY1361" s="76">
        <f>E1361*AX1361</f>
        <v/>
      </c>
      <c r="AZ1361" s="192">
        <f>S1361*(1+M1361)</f>
        <v/>
      </c>
      <c r="BA1361" s="76">
        <f>cost_fin_total*$BD1361</f>
        <v/>
      </c>
      <c r="BB1361" s="193">
        <f>credit_sales_interest*BD1361</f>
        <v/>
      </c>
      <c r="BC1361" s="102">
        <f>IFERROR(IF($I$13&gt;0,$I1361/$I$13,$S1361/$S$13),0)</f>
        <v/>
      </c>
      <c r="BD1361" s="102">
        <f>IFERROR($S1361/$S$13,0)</f>
        <v/>
      </c>
      <c r="BE1361" s="413" t="inlineStr">
        <is>
          <t>$</t>
        </is>
      </c>
    </row>
    <row r="1362" ht="12" customFormat="1" customHeight="1" s="65">
      <c r="A1362" s="43" t="n">
        <v>1347</v>
      </c>
      <c r="B1362" s="166" t="n"/>
      <c r="C1362" s="166" t="n"/>
      <c r="D1362" s="166" t="n"/>
      <c r="E1362" s="162" t="n"/>
      <c r="F1362" s="166" t="n"/>
      <c r="G1362" s="162" t="n"/>
      <c r="H1362" s="162" t="n"/>
      <c r="I1362" s="189">
        <f>E1362*G1362</f>
        <v/>
      </c>
      <c r="J1362" s="195" t="n"/>
      <c r="K1362" s="162" t="n"/>
      <c r="L1362" s="168" t="n"/>
      <c r="M1362" s="75">
        <f>_xlfn.XLOOKUP(L1362,list_vat[Страна],list_vat[Ставка НДС %],0,0)</f>
        <v/>
      </c>
      <c r="N1362" s="162">
        <f>IFERROR(IF(L1362="Китай",K1362,K1362/(1+M1362)),0)</f>
        <v/>
      </c>
      <c r="O1362" s="169" t="n"/>
      <c r="P1362" s="76">
        <f>N1362*(1-O1362)</f>
        <v/>
      </c>
      <c r="Q1362" s="162" t="n"/>
      <c r="R1362" s="162">
        <f>IF(ISBLANK(Q1362),"введи курс",P1362/Q1362)</f>
        <v/>
      </c>
      <c r="S1362" s="196">
        <f>IF(AND(ISNUMBER(E1362),ISNUMBER(Q1362)),E1362*R1362,0)</f>
        <v/>
      </c>
      <c r="T1362" s="192">
        <f>$BC1362*V$11</f>
        <v/>
      </c>
      <c r="U1362" s="76">
        <f>$BC1362*W$11</f>
        <v/>
      </c>
      <c r="V1362" s="193">
        <f>+SUM(T1362:U1362)</f>
        <v/>
      </c>
      <c r="W1362" s="191" t="n"/>
      <c r="X1362" s="170" t="n"/>
      <c r="Y1362" s="76">
        <f>ROUND(IF(offer_incoterms="DDP",X1362*(S1362*(1+AW1362)+T1362),0),2)</f>
        <v/>
      </c>
      <c r="Z1362" s="188" t="n"/>
      <c r="AA1362" s="192">
        <f>IFERROR(AB1362/E1362,0)</f>
        <v/>
      </c>
      <c r="AB1362" s="76">
        <f>ROUND(SUM(S1362,V1362,Y1362:Z1362,BA1362:BB1362),2)</f>
        <v/>
      </c>
      <c r="AC1362" s="797" t="n"/>
      <c r="AD1362" s="192">
        <f t="array" ref="AD1362">IFERROR(ROUND((_xlfn.IFS(offer_sale_type="поставка",AB1362,offer_sale_type="транзит",S1362)*(1+AC1362))/E1362,2),0)</f>
        <v/>
      </c>
      <c r="AE1362" s="76">
        <f>AD1362*E1362</f>
        <v/>
      </c>
      <c r="AF1362" s="193">
        <f t="array" ref="AF1362">IFERROR(ROUND(_xlfn.IFS(offer_sale_type="поставка",AB1362,offer_sale_type="транзит",S1362)*AC1362,2),0)</f>
        <v/>
      </c>
      <c r="AG1362" s="192">
        <f>$BD1362*VLOOKUP($AG$3,$AF$4:$AG$7,2,FALSE)</f>
        <v/>
      </c>
      <c r="AH1362" s="76">
        <f>SUM(AE1362,AG1362,AI1362)*rate_forex_risk</f>
        <v/>
      </c>
      <c r="AI1362" s="193">
        <f>IF(OR(seller_region="TR",offer_sale_type="экспорт"),0,rate_fin_comm)*SUM(AZ1362,AZ1362*AW1362,T1362)</f>
        <v/>
      </c>
      <c r="AJ1362" s="118">
        <f>IFERROR(ROUND(SUM(AB1362,AF1362:AI1362)/E1362,2),0)</f>
        <v/>
      </c>
      <c r="AK1362" s="76">
        <f>AJ1362*E1362</f>
        <v/>
      </c>
      <c r="AL1362" s="174">
        <f>ROUND(IFERROR(AM1362*E1362,0),2)</f>
        <v/>
      </c>
      <c r="AM1362" s="175">
        <f>ROUND(AJ1362*(1+IF(offer_incoterms="DDP",IF((TODAY()+offer_turnaround_time)&gt;=helpsheet!$L$17,rate_vatRU_from_26,rate_vatRu_till_25),0)),2)</f>
        <v/>
      </c>
      <c r="AN1362" s="192">
        <f>AL1362-AK1362</f>
        <v/>
      </c>
      <c r="AO1362" s="76">
        <f>SUM(AY1362,Y1362:Z1362,T1362)*IF(AND(offer_incoterms="DDP",offer_sale_type&lt;&gt;"экспорт"),IF((TODAY()+offer_turnaround_time)&gt;=helpsheet!$L$17,rate_vatRU_from_26,rate_vatRu_till_25),0)</f>
        <v/>
      </c>
      <c r="AP1362" s="193">
        <f>AN1362-AO1362</f>
        <v/>
      </c>
      <c r="AQ1362" s="118">
        <f>IF(offer_sale_type="транзит",SUM(AF1362:AI1362,BA1362,BB1362),0)</f>
        <v/>
      </c>
      <c r="AR1362" s="82">
        <f>HYPERLINK("https://www.alta.ru/tnved/code/")&amp;W1362&amp;"/"</f>
        <v/>
      </c>
      <c r="AS1362" s="157" t="n"/>
      <c r="AT1362" s="162" t="n"/>
      <c r="AU1362" s="76">
        <f>IF(ISBLANK(AT1362),0,AJ1362-AT1362)</f>
        <v/>
      </c>
      <c r="AV1362" s="157" t="n"/>
      <c r="AW1362" s="75">
        <f>_xlfn.IFNA(VLOOKUP(L1362,list_vat[],3,FALSE),0)</f>
        <v/>
      </c>
      <c r="AX1362" s="76">
        <f>IFERROR(ROUND(S1362*(1+AW1362)/E1362,2),0)</f>
        <v/>
      </c>
      <c r="AY1362" s="76">
        <f>E1362*AX1362</f>
        <v/>
      </c>
      <c r="AZ1362" s="192">
        <f>S1362*(1+M1362)</f>
        <v/>
      </c>
      <c r="BA1362" s="76">
        <f>cost_fin_total*$BD1362</f>
        <v/>
      </c>
      <c r="BB1362" s="193">
        <f>credit_sales_interest*BD1362</f>
        <v/>
      </c>
      <c r="BC1362" s="102">
        <f>IFERROR(IF($I$13&gt;0,$I1362/$I$13,$S1362/$S$13),0)</f>
        <v/>
      </c>
      <c r="BD1362" s="102">
        <f>IFERROR($S1362/$S$13,0)</f>
        <v/>
      </c>
      <c r="BE1362" s="413" t="inlineStr">
        <is>
          <t>$</t>
        </is>
      </c>
    </row>
    <row r="1363" ht="12" customFormat="1" customHeight="1" s="65">
      <c r="A1363" s="43" t="n">
        <v>1348</v>
      </c>
      <c r="B1363" s="166" t="n"/>
      <c r="C1363" s="166" t="n"/>
      <c r="D1363" s="166" t="n"/>
      <c r="E1363" s="162" t="n"/>
      <c r="F1363" s="166" t="n"/>
      <c r="G1363" s="162" t="n"/>
      <c r="H1363" s="162" t="n"/>
      <c r="I1363" s="189">
        <f>E1363*G1363</f>
        <v/>
      </c>
      <c r="J1363" s="195" t="n"/>
      <c r="K1363" s="162" t="n"/>
      <c r="L1363" s="168" t="n"/>
      <c r="M1363" s="75">
        <f>_xlfn.XLOOKUP(L1363,list_vat[Страна],list_vat[Ставка НДС %],0,0)</f>
        <v/>
      </c>
      <c r="N1363" s="162">
        <f>IFERROR(IF(L1363="Китай",K1363,K1363/(1+M1363)),0)</f>
        <v/>
      </c>
      <c r="O1363" s="169" t="n"/>
      <c r="P1363" s="76">
        <f>N1363*(1-O1363)</f>
        <v/>
      </c>
      <c r="Q1363" s="162" t="n"/>
      <c r="R1363" s="162">
        <f>IF(ISBLANK(Q1363),"введи курс",P1363/Q1363)</f>
        <v/>
      </c>
      <c r="S1363" s="196">
        <f>IF(AND(ISNUMBER(E1363),ISNUMBER(Q1363)),E1363*R1363,0)</f>
        <v/>
      </c>
      <c r="T1363" s="192">
        <f>$BC1363*V$11</f>
        <v/>
      </c>
      <c r="U1363" s="76">
        <f>$BC1363*W$11</f>
        <v/>
      </c>
      <c r="V1363" s="193">
        <f>+SUM(T1363:U1363)</f>
        <v/>
      </c>
      <c r="W1363" s="191" t="n"/>
      <c r="X1363" s="170" t="n"/>
      <c r="Y1363" s="76">
        <f>ROUND(IF(offer_incoterms="DDP",X1363*(S1363*(1+AW1363)+T1363),0),2)</f>
        <v/>
      </c>
      <c r="Z1363" s="188" t="n"/>
      <c r="AA1363" s="192">
        <f>IFERROR(AB1363/E1363,0)</f>
        <v/>
      </c>
      <c r="AB1363" s="76">
        <f>ROUND(SUM(S1363,V1363,Y1363:Z1363,BA1363:BB1363),2)</f>
        <v/>
      </c>
      <c r="AC1363" s="797" t="n"/>
      <c r="AD1363" s="192">
        <f t="array" ref="AD1363">IFERROR(ROUND((_xlfn.IFS(offer_sale_type="поставка",AB1363,offer_sale_type="транзит",S1363)*(1+AC1363))/E1363,2),0)</f>
        <v/>
      </c>
      <c r="AE1363" s="76">
        <f>AD1363*E1363</f>
        <v/>
      </c>
      <c r="AF1363" s="193">
        <f t="array" ref="AF1363">IFERROR(ROUND(_xlfn.IFS(offer_sale_type="поставка",AB1363,offer_sale_type="транзит",S1363)*AC1363,2),0)</f>
        <v/>
      </c>
      <c r="AG1363" s="192">
        <f>$BD1363*VLOOKUP($AG$3,$AF$4:$AG$7,2,FALSE)</f>
        <v/>
      </c>
      <c r="AH1363" s="76">
        <f>SUM(AE1363,AG1363,AI1363)*rate_forex_risk</f>
        <v/>
      </c>
      <c r="AI1363" s="193">
        <f>IF(OR(seller_region="TR",offer_sale_type="экспорт"),0,rate_fin_comm)*SUM(AZ1363,AZ1363*AW1363,T1363)</f>
        <v/>
      </c>
      <c r="AJ1363" s="118">
        <f>IFERROR(ROUND(SUM(AB1363,AF1363:AI1363)/E1363,2),0)</f>
        <v/>
      </c>
      <c r="AK1363" s="76">
        <f>AJ1363*E1363</f>
        <v/>
      </c>
      <c r="AL1363" s="174">
        <f>ROUND(IFERROR(AM1363*E1363,0),2)</f>
        <v/>
      </c>
      <c r="AM1363" s="175">
        <f>ROUND(AJ1363*(1+IF(offer_incoterms="DDP",IF((TODAY()+offer_turnaround_time)&gt;=helpsheet!$L$17,rate_vatRU_from_26,rate_vatRu_till_25),0)),2)</f>
        <v/>
      </c>
      <c r="AN1363" s="192">
        <f>AL1363-AK1363</f>
        <v/>
      </c>
      <c r="AO1363" s="76">
        <f>SUM(AY1363,Y1363:Z1363,T1363)*IF(AND(offer_incoterms="DDP",offer_sale_type&lt;&gt;"экспорт"),IF((TODAY()+offer_turnaround_time)&gt;=helpsheet!$L$17,rate_vatRU_from_26,rate_vatRu_till_25),0)</f>
        <v/>
      </c>
      <c r="AP1363" s="193">
        <f>AN1363-AO1363</f>
        <v/>
      </c>
      <c r="AQ1363" s="118">
        <f>IF(offer_sale_type="транзит",SUM(AF1363:AI1363,BA1363,BB1363),0)</f>
        <v/>
      </c>
      <c r="AR1363" s="82">
        <f>HYPERLINK("https://www.alta.ru/tnved/code/")&amp;W1363&amp;"/"</f>
        <v/>
      </c>
      <c r="AS1363" s="157" t="n"/>
      <c r="AT1363" s="162" t="n"/>
      <c r="AU1363" s="76">
        <f>IF(ISBLANK(AT1363),0,AJ1363-AT1363)</f>
        <v/>
      </c>
      <c r="AV1363" s="157" t="n"/>
      <c r="AW1363" s="75">
        <f>_xlfn.IFNA(VLOOKUP(L1363,list_vat[],3,FALSE),0)</f>
        <v/>
      </c>
      <c r="AX1363" s="76">
        <f>IFERROR(ROUND(S1363*(1+AW1363)/E1363,2),0)</f>
        <v/>
      </c>
      <c r="AY1363" s="76">
        <f>E1363*AX1363</f>
        <v/>
      </c>
      <c r="AZ1363" s="192">
        <f>S1363*(1+M1363)</f>
        <v/>
      </c>
      <c r="BA1363" s="76">
        <f>cost_fin_total*$BD1363</f>
        <v/>
      </c>
      <c r="BB1363" s="193">
        <f>credit_sales_interest*BD1363</f>
        <v/>
      </c>
      <c r="BC1363" s="102">
        <f>IFERROR(IF($I$13&gt;0,$I1363/$I$13,$S1363/$S$13),0)</f>
        <v/>
      </c>
      <c r="BD1363" s="102">
        <f>IFERROR($S1363/$S$13,0)</f>
        <v/>
      </c>
      <c r="BE1363" s="413" t="inlineStr">
        <is>
          <t>$</t>
        </is>
      </c>
    </row>
    <row r="1364" ht="12" customFormat="1" customHeight="1" s="65">
      <c r="A1364" s="43" t="n">
        <v>1349</v>
      </c>
      <c r="B1364" s="166" t="n"/>
      <c r="C1364" s="166" t="n"/>
      <c r="D1364" s="166" t="n"/>
      <c r="E1364" s="162" t="n"/>
      <c r="F1364" s="166" t="n"/>
      <c r="G1364" s="162" t="n"/>
      <c r="H1364" s="162" t="n"/>
      <c r="I1364" s="189">
        <f>E1364*G1364</f>
        <v/>
      </c>
      <c r="J1364" s="195" t="n"/>
      <c r="K1364" s="162" t="n"/>
      <c r="L1364" s="168" t="n"/>
      <c r="M1364" s="75">
        <f>_xlfn.XLOOKUP(L1364,list_vat[Страна],list_vat[Ставка НДС %],0,0)</f>
        <v/>
      </c>
      <c r="N1364" s="162">
        <f>IFERROR(IF(L1364="Китай",K1364,K1364/(1+M1364)),0)</f>
        <v/>
      </c>
      <c r="O1364" s="169" t="n"/>
      <c r="P1364" s="76">
        <f>N1364*(1-O1364)</f>
        <v/>
      </c>
      <c r="Q1364" s="162" t="n"/>
      <c r="R1364" s="162">
        <f>IF(ISBLANK(Q1364),"введи курс",P1364/Q1364)</f>
        <v/>
      </c>
      <c r="S1364" s="196">
        <f>IF(AND(ISNUMBER(E1364),ISNUMBER(Q1364)),E1364*R1364,0)</f>
        <v/>
      </c>
      <c r="T1364" s="192">
        <f>$BC1364*V$11</f>
        <v/>
      </c>
      <c r="U1364" s="76">
        <f>$BC1364*W$11</f>
        <v/>
      </c>
      <c r="V1364" s="193">
        <f>+SUM(T1364:U1364)</f>
        <v/>
      </c>
      <c r="W1364" s="191" t="n"/>
      <c r="X1364" s="170" t="n"/>
      <c r="Y1364" s="76">
        <f>ROUND(IF(offer_incoterms="DDP",X1364*(S1364*(1+AW1364)+T1364),0),2)</f>
        <v/>
      </c>
      <c r="Z1364" s="188" t="n"/>
      <c r="AA1364" s="192">
        <f>IFERROR(AB1364/E1364,0)</f>
        <v/>
      </c>
      <c r="AB1364" s="76">
        <f>ROUND(SUM(S1364,V1364,Y1364:Z1364,BA1364:BB1364),2)</f>
        <v/>
      </c>
      <c r="AC1364" s="797" t="n"/>
      <c r="AD1364" s="192">
        <f t="array" ref="AD1364">IFERROR(ROUND((_xlfn.IFS(offer_sale_type="поставка",AB1364,offer_sale_type="транзит",S1364)*(1+AC1364))/E1364,2),0)</f>
        <v/>
      </c>
      <c r="AE1364" s="76">
        <f>AD1364*E1364</f>
        <v/>
      </c>
      <c r="AF1364" s="193">
        <f t="array" ref="AF1364">IFERROR(ROUND(_xlfn.IFS(offer_sale_type="поставка",AB1364,offer_sale_type="транзит",S1364)*AC1364,2),0)</f>
        <v/>
      </c>
      <c r="AG1364" s="192">
        <f>$BD1364*VLOOKUP($AG$3,$AF$4:$AG$7,2,FALSE)</f>
        <v/>
      </c>
      <c r="AH1364" s="76">
        <f>SUM(AE1364,AG1364,AI1364)*rate_forex_risk</f>
        <v/>
      </c>
      <c r="AI1364" s="193">
        <f>IF(OR(seller_region="TR",offer_sale_type="экспорт"),0,rate_fin_comm)*SUM(AZ1364,AZ1364*AW1364,T1364)</f>
        <v/>
      </c>
      <c r="AJ1364" s="118">
        <f>IFERROR(ROUND(SUM(AB1364,AF1364:AI1364)/E1364,2),0)</f>
        <v/>
      </c>
      <c r="AK1364" s="76">
        <f>AJ1364*E1364</f>
        <v/>
      </c>
      <c r="AL1364" s="174">
        <f>ROUND(IFERROR(AM1364*E1364,0),2)</f>
        <v/>
      </c>
      <c r="AM1364" s="175">
        <f>ROUND(AJ1364*(1+IF(offer_incoterms="DDP",IF((TODAY()+offer_turnaround_time)&gt;=helpsheet!$L$17,rate_vatRU_from_26,rate_vatRu_till_25),0)),2)</f>
        <v/>
      </c>
      <c r="AN1364" s="192">
        <f>AL1364-AK1364</f>
        <v/>
      </c>
      <c r="AO1364" s="76">
        <f>SUM(AY1364,Y1364:Z1364,T1364)*IF(AND(offer_incoterms="DDP",offer_sale_type&lt;&gt;"экспорт"),IF((TODAY()+offer_turnaround_time)&gt;=helpsheet!$L$17,rate_vatRU_from_26,rate_vatRu_till_25),0)</f>
        <v/>
      </c>
      <c r="AP1364" s="193">
        <f>AN1364-AO1364</f>
        <v/>
      </c>
      <c r="AQ1364" s="118">
        <f>IF(offer_sale_type="транзит",SUM(AF1364:AI1364,BA1364,BB1364),0)</f>
        <v/>
      </c>
      <c r="AR1364" s="82">
        <f>HYPERLINK("https://www.alta.ru/tnved/code/")&amp;W1364&amp;"/"</f>
        <v/>
      </c>
      <c r="AS1364" s="157" t="n"/>
      <c r="AT1364" s="162" t="n"/>
      <c r="AU1364" s="76">
        <f>IF(ISBLANK(AT1364),0,AJ1364-AT1364)</f>
        <v/>
      </c>
      <c r="AV1364" s="157" t="n"/>
      <c r="AW1364" s="75">
        <f>_xlfn.IFNA(VLOOKUP(L1364,list_vat[],3,FALSE),0)</f>
        <v/>
      </c>
      <c r="AX1364" s="76">
        <f>IFERROR(ROUND(S1364*(1+AW1364)/E1364,2),0)</f>
        <v/>
      </c>
      <c r="AY1364" s="76">
        <f>E1364*AX1364</f>
        <v/>
      </c>
      <c r="AZ1364" s="192">
        <f>S1364*(1+M1364)</f>
        <v/>
      </c>
      <c r="BA1364" s="76">
        <f>cost_fin_total*$BD1364</f>
        <v/>
      </c>
      <c r="BB1364" s="193">
        <f>credit_sales_interest*BD1364</f>
        <v/>
      </c>
      <c r="BC1364" s="102">
        <f>IFERROR(IF($I$13&gt;0,$I1364/$I$13,$S1364/$S$13),0)</f>
        <v/>
      </c>
      <c r="BD1364" s="102">
        <f>IFERROR($S1364/$S$13,0)</f>
        <v/>
      </c>
      <c r="BE1364" s="413" t="inlineStr">
        <is>
          <t>$</t>
        </is>
      </c>
    </row>
    <row r="1365" ht="12" customFormat="1" customHeight="1" s="65">
      <c r="A1365" s="43" t="n">
        <v>1350</v>
      </c>
      <c r="B1365" s="166" t="n"/>
      <c r="C1365" s="166" t="n"/>
      <c r="D1365" s="166" t="n"/>
      <c r="E1365" s="162" t="n"/>
      <c r="F1365" s="166" t="n"/>
      <c r="G1365" s="162" t="n"/>
      <c r="H1365" s="162" t="n"/>
      <c r="I1365" s="189">
        <f>E1365*G1365</f>
        <v/>
      </c>
      <c r="J1365" s="195" t="n"/>
      <c r="K1365" s="162" t="n"/>
      <c r="L1365" s="168" t="n"/>
      <c r="M1365" s="75">
        <f>_xlfn.XLOOKUP(L1365,list_vat[Страна],list_vat[Ставка НДС %],0,0)</f>
        <v/>
      </c>
      <c r="N1365" s="162">
        <f>IFERROR(IF(L1365="Китай",K1365,K1365/(1+M1365)),0)</f>
        <v/>
      </c>
      <c r="O1365" s="169" t="n"/>
      <c r="P1365" s="76">
        <f>N1365*(1-O1365)</f>
        <v/>
      </c>
      <c r="Q1365" s="162" t="n"/>
      <c r="R1365" s="162">
        <f>IF(ISBLANK(Q1365),"введи курс",P1365/Q1365)</f>
        <v/>
      </c>
      <c r="S1365" s="196">
        <f>IF(AND(ISNUMBER(E1365),ISNUMBER(Q1365)),E1365*R1365,0)</f>
        <v/>
      </c>
      <c r="T1365" s="192">
        <f>$BC1365*V$11</f>
        <v/>
      </c>
      <c r="U1365" s="76">
        <f>$BC1365*W$11</f>
        <v/>
      </c>
      <c r="V1365" s="193">
        <f>+SUM(T1365:U1365)</f>
        <v/>
      </c>
      <c r="W1365" s="191" t="n"/>
      <c r="X1365" s="170" t="n"/>
      <c r="Y1365" s="76">
        <f>ROUND(IF(offer_incoterms="DDP",X1365*(S1365*(1+AW1365)+T1365),0),2)</f>
        <v/>
      </c>
      <c r="Z1365" s="188" t="n"/>
      <c r="AA1365" s="192">
        <f>IFERROR(AB1365/E1365,0)</f>
        <v/>
      </c>
      <c r="AB1365" s="76">
        <f>ROUND(SUM(S1365,V1365,Y1365:Z1365,BA1365:BB1365),2)</f>
        <v/>
      </c>
      <c r="AC1365" s="797" t="n"/>
      <c r="AD1365" s="192">
        <f t="array" ref="AD1365">IFERROR(ROUND((_xlfn.IFS(offer_sale_type="поставка",AB1365,offer_sale_type="транзит",S1365)*(1+AC1365))/E1365,2),0)</f>
        <v/>
      </c>
      <c r="AE1365" s="76">
        <f>AD1365*E1365</f>
        <v/>
      </c>
      <c r="AF1365" s="193">
        <f t="array" ref="AF1365">IFERROR(ROUND(_xlfn.IFS(offer_sale_type="поставка",AB1365,offer_sale_type="транзит",S1365)*AC1365,2),0)</f>
        <v/>
      </c>
      <c r="AG1365" s="192">
        <f>$BD1365*VLOOKUP($AG$3,$AF$4:$AG$7,2,FALSE)</f>
        <v/>
      </c>
      <c r="AH1365" s="76">
        <f>SUM(AE1365,AG1365,AI1365)*rate_forex_risk</f>
        <v/>
      </c>
      <c r="AI1365" s="193">
        <f>IF(OR(seller_region="TR",offer_sale_type="экспорт"),0,rate_fin_comm)*SUM(AZ1365,AZ1365*AW1365,T1365)</f>
        <v/>
      </c>
      <c r="AJ1365" s="118">
        <f>IFERROR(ROUND(SUM(AB1365,AF1365:AI1365)/E1365,2),0)</f>
        <v/>
      </c>
      <c r="AK1365" s="76">
        <f>AJ1365*E1365</f>
        <v/>
      </c>
      <c r="AL1365" s="174">
        <f>ROUND(IFERROR(AM1365*E1365,0),2)</f>
        <v/>
      </c>
      <c r="AM1365" s="175">
        <f>ROUND(AJ1365*(1+IF(offer_incoterms="DDP",IF((TODAY()+offer_turnaround_time)&gt;=helpsheet!$L$17,rate_vatRU_from_26,rate_vatRu_till_25),0)),2)</f>
        <v/>
      </c>
      <c r="AN1365" s="192">
        <f>AL1365-AK1365</f>
        <v/>
      </c>
      <c r="AO1365" s="76">
        <f>SUM(AY1365,Y1365:Z1365,T1365)*IF(AND(offer_incoterms="DDP",offer_sale_type&lt;&gt;"экспорт"),IF((TODAY()+offer_turnaround_time)&gt;=helpsheet!$L$17,rate_vatRU_from_26,rate_vatRu_till_25),0)</f>
        <v/>
      </c>
      <c r="AP1365" s="193">
        <f>AN1365-AO1365</f>
        <v/>
      </c>
      <c r="AQ1365" s="118">
        <f>IF(offer_sale_type="транзит",SUM(AF1365:AI1365,BA1365,BB1365),0)</f>
        <v/>
      </c>
      <c r="AR1365" s="82">
        <f>HYPERLINK("https://www.alta.ru/tnved/code/")&amp;W1365&amp;"/"</f>
        <v/>
      </c>
      <c r="AS1365" s="157" t="n"/>
      <c r="AT1365" s="162" t="n"/>
      <c r="AU1365" s="76">
        <f>IF(ISBLANK(AT1365),0,AJ1365-AT1365)</f>
        <v/>
      </c>
      <c r="AV1365" s="157" t="n"/>
      <c r="AW1365" s="75">
        <f>_xlfn.IFNA(VLOOKUP(L1365,list_vat[],3,FALSE),0)</f>
        <v/>
      </c>
      <c r="AX1365" s="76">
        <f>IFERROR(ROUND(S1365*(1+AW1365)/E1365,2),0)</f>
        <v/>
      </c>
      <c r="AY1365" s="76">
        <f>E1365*AX1365</f>
        <v/>
      </c>
      <c r="AZ1365" s="192">
        <f>S1365*(1+M1365)</f>
        <v/>
      </c>
      <c r="BA1365" s="76">
        <f>cost_fin_total*$BD1365</f>
        <v/>
      </c>
      <c r="BB1365" s="193">
        <f>credit_sales_interest*BD1365</f>
        <v/>
      </c>
      <c r="BC1365" s="102">
        <f>IFERROR(IF($I$13&gt;0,$I1365/$I$13,$S1365/$S$13),0)</f>
        <v/>
      </c>
      <c r="BD1365" s="102">
        <f>IFERROR($S1365/$S$13,0)</f>
        <v/>
      </c>
      <c r="BE1365" s="413" t="inlineStr">
        <is>
          <t>$</t>
        </is>
      </c>
    </row>
    <row r="1366" ht="12" customFormat="1" customHeight="1" s="65">
      <c r="A1366" s="43" t="n">
        <v>1351</v>
      </c>
      <c r="B1366" s="166" t="n"/>
      <c r="C1366" s="166" t="n"/>
      <c r="D1366" s="166" t="n"/>
      <c r="E1366" s="162" t="n"/>
      <c r="F1366" s="166" t="n"/>
      <c r="G1366" s="162" t="n"/>
      <c r="H1366" s="162" t="n"/>
      <c r="I1366" s="189">
        <f>E1366*G1366</f>
        <v/>
      </c>
      <c r="J1366" s="195" t="n"/>
      <c r="K1366" s="162" t="n"/>
      <c r="L1366" s="168" t="n"/>
      <c r="M1366" s="75">
        <f>_xlfn.XLOOKUP(L1366,list_vat[Страна],list_vat[Ставка НДС %],0,0)</f>
        <v/>
      </c>
      <c r="N1366" s="162">
        <f>IFERROR(IF(L1366="Китай",K1366,K1366/(1+M1366)),0)</f>
        <v/>
      </c>
      <c r="O1366" s="169" t="n"/>
      <c r="P1366" s="76">
        <f>N1366*(1-O1366)</f>
        <v/>
      </c>
      <c r="Q1366" s="162" t="n"/>
      <c r="R1366" s="162">
        <f>IF(ISBLANK(Q1366),"введи курс",P1366/Q1366)</f>
        <v/>
      </c>
      <c r="S1366" s="196">
        <f>IF(AND(ISNUMBER(E1366),ISNUMBER(Q1366)),E1366*R1366,0)</f>
        <v/>
      </c>
      <c r="T1366" s="192">
        <f>$BC1366*V$11</f>
        <v/>
      </c>
      <c r="U1366" s="76">
        <f>$BC1366*W$11</f>
        <v/>
      </c>
      <c r="V1366" s="193">
        <f>+SUM(T1366:U1366)</f>
        <v/>
      </c>
      <c r="W1366" s="191" t="n"/>
      <c r="X1366" s="170" t="n"/>
      <c r="Y1366" s="76">
        <f>ROUND(IF(offer_incoterms="DDP",X1366*(S1366*(1+AW1366)+T1366),0),2)</f>
        <v/>
      </c>
      <c r="Z1366" s="188" t="n"/>
      <c r="AA1366" s="192">
        <f>IFERROR(AB1366/E1366,0)</f>
        <v/>
      </c>
      <c r="AB1366" s="76">
        <f>ROUND(SUM(S1366,V1366,Y1366:Z1366,BA1366:BB1366),2)</f>
        <v/>
      </c>
      <c r="AC1366" s="797" t="n"/>
      <c r="AD1366" s="192">
        <f t="array" ref="AD1366">IFERROR(ROUND((_xlfn.IFS(offer_sale_type="поставка",AB1366,offer_sale_type="транзит",S1366)*(1+AC1366))/E1366,2),0)</f>
        <v/>
      </c>
      <c r="AE1366" s="76">
        <f>AD1366*E1366</f>
        <v/>
      </c>
      <c r="AF1366" s="193">
        <f t="array" ref="AF1366">IFERROR(ROUND(_xlfn.IFS(offer_sale_type="поставка",AB1366,offer_sale_type="транзит",S1366)*AC1366,2),0)</f>
        <v/>
      </c>
      <c r="AG1366" s="192">
        <f>$BD1366*VLOOKUP($AG$3,$AF$4:$AG$7,2,FALSE)</f>
        <v/>
      </c>
      <c r="AH1366" s="76">
        <f>SUM(AE1366,AG1366,AI1366)*rate_forex_risk</f>
        <v/>
      </c>
      <c r="AI1366" s="193">
        <f>IF(OR(seller_region="TR",offer_sale_type="экспорт"),0,rate_fin_comm)*SUM(AZ1366,AZ1366*AW1366,T1366)</f>
        <v/>
      </c>
      <c r="AJ1366" s="118">
        <f>IFERROR(ROUND(SUM(AB1366,AF1366:AI1366)/E1366,2),0)</f>
        <v/>
      </c>
      <c r="AK1366" s="76">
        <f>AJ1366*E1366</f>
        <v/>
      </c>
      <c r="AL1366" s="174">
        <f>ROUND(IFERROR(AM1366*E1366,0),2)</f>
        <v/>
      </c>
      <c r="AM1366" s="175">
        <f>ROUND(AJ1366*(1+IF(offer_incoterms="DDP",IF((TODAY()+offer_turnaround_time)&gt;=helpsheet!$L$17,rate_vatRU_from_26,rate_vatRu_till_25),0)),2)</f>
        <v/>
      </c>
      <c r="AN1366" s="192">
        <f>AL1366-AK1366</f>
        <v/>
      </c>
      <c r="AO1366" s="76">
        <f>SUM(AY1366,Y1366:Z1366,T1366)*IF(AND(offer_incoterms="DDP",offer_sale_type&lt;&gt;"экспорт"),IF((TODAY()+offer_turnaround_time)&gt;=helpsheet!$L$17,rate_vatRU_from_26,rate_vatRu_till_25),0)</f>
        <v/>
      </c>
      <c r="AP1366" s="193">
        <f>AN1366-AO1366</f>
        <v/>
      </c>
      <c r="AQ1366" s="118">
        <f>IF(offer_sale_type="транзит",SUM(AF1366:AI1366,BA1366,BB1366),0)</f>
        <v/>
      </c>
      <c r="AR1366" s="82">
        <f>HYPERLINK("https://www.alta.ru/tnved/code/")&amp;W1366&amp;"/"</f>
        <v/>
      </c>
      <c r="AS1366" s="157" t="n"/>
      <c r="AT1366" s="162" t="n"/>
      <c r="AU1366" s="76">
        <f>IF(ISBLANK(AT1366),0,AJ1366-AT1366)</f>
        <v/>
      </c>
      <c r="AV1366" s="157" t="n"/>
      <c r="AW1366" s="75">
        <f>_xlfn.IFNA(VLOOKUP(L1366,list_vat[],3,FALSE),0)</f>
        <v/>
      </c>
      <c r="AX1366" s="76">
        <f>IFERROR(ROUND(S1366*(1+AW1366)/E1366,2),0)</f>
        <v/>
      </c>
      <c r="AY1366" s="76">
        <f>E1366*AX1366</f>
        <v/>
      </c>
      <c r="AZ1366" s="192">
        <f>S1366*(1+M1366)</f>
        <v/>
      </c>
      <c r="BA1366" s="76">
        <f>cost_fin_total*$BD1366</f>
        <v/>
      </c>
      <c r="BB1366" s="193">
        <f>credit_sales_interest*BD1366</f>
        <v/>
      </c>
      <c r="BC1366" s="102">
        <f>IFERROR(IF($I$13&gt;0,$I1366/$I$13,$S1366/$S$13),0)</f>
        <v/>
      </c>
      <c r="BD1366" s="102">
        <f>IFERROR($S1366/$S$13,0)</f>
        <v/>
      </c>
      <c r="BE1366" s="413" t="inlineStr">
        <is>
          <t>$</t>
        </is>
      </c>
    </row>
    <row r="1367" ht="12" customFormat="1" customHeight="1" s="65">
      <c r="A1367" s="43" t="n">
        <v>1352</v>
      </c>
      <c r="B1367" s="166" t="n"/>
      <c r="C1367" s="166" t="n"/>
      <c r="D1367" s="166" t="n"/>
      <c r="E1367" s="162" t="n"/>
      <c r="F1367" s="166" t="n"/>
      <c r="G1367" s="162" t="n"/>
      <c r="H1367" s="162" t="n"/>
      <c r="I1367" s="189">
        <f>E1367*G1367</f>
        <v/>
      </c>
      <c r="J1367" s="195" t="n"/>
      <c r="K1367" s="162" t="n"/>
      <c r="L1367" s="168" t="n"/>
      <c r="M1367" s="75">
        <f>_xlfn.XLOOKUP(L1367,list_vat[Страна],list_vat[Ставка НДС %],0,0)</f>
        <v/>
      </c>
      <c r="N1367" s="162">
        <f>IFERROR(IF(L1367="Китай",K1367,K1367/(1+M1367)),0)</f>
        <v/>
      </c>
      <c r="O1367" s="169" t="n"/>
      <c r="P1367" s="76">
        <f>N1367*(1-O1367)</f>
        <v/>
      </c>
      <c r="Q1367" s="162" t="n"/>
      <c r="R1367" s="162">
        <f>IF(ISBLANK(Q1367),"введи курс",P1367/Q1367)</f>
        <v/>
      </c>
      <c r="S1367" s="196">
        <f>IF(AND(ISNUMBER(E1367),ISNUMBER(Q1367)),E1367*R1367,0)</f>
        <v/>
      </c>
      <c r="T1367" s="192">
        <f>$BC1367*V$11</f>
        <v/>
      </c>
      <c r="U1367" s="76">
        <f>$BC1367*W$11</f>
        <v/>
      </c>
      <c r="V1367" s="193">
        <f>+SUM(T1367:U1367)</f>
        <v/>
      </c>
      <c r="W1367" s="191" t="n"/>
      <c r="X1367" s="170" t="n"/>
      <c r="Y1367" s="76">
        <f>ROUND(IF(offer_incoterms="DDP",X1367*(S1367*(1+AW1367)+T1367),0),2)</f>
        <v/>
      </c>
      <c r="Z1367" s="188" t="n"/>
      <c r="AA1367" s="192">
        <f>IFERROR(AB1367/E1367,0)</f>
        <v/>
      </c>
      <c r="AB1367" s="76">
        <f>ROUND(SUM(S1367,V1367,Y1367:Z1367,BA1367:BB1367),2)</f>
        <v/>
      </c>
      <c r="AC1367" s="797" t="n"/>
      <c r="AD1367" s="192">
        <f t="array" ref="AD1367">IFERROR(ROUND((_xlfn.IFS(offer_sale_type="поставка",AB1367,offer_sale_type="транзит",S1367)*(1+AC1367))/E1367,2),0)</f>
        <v/>
      </c>
      <c r="AE1367" s="76">
        <f>AD1367*E1367</f>
        <v/>
      </c>
      <c r="AF1367" s="193">
        <f t="array" ref="AF1367">IFERROR(ROUND(_xlfn.IFS(offer_sale_type="поставка",AB1367,offer_sale_type="транзит",S1367)*AC1367,2),0)</f>
        <v/>
      </c>
      <c r="AG1367" s="192">
        <f>$BD1367*VLOOKUP($AG$3,$AF$4:$AG$7,2,FALSE)</f>
        <v/>
      </c>
      <c r="AH1367" s="76">
        <f>SUM(AE1367,AG1367,AI1367)*rate_forex_risk</f>
        <v/>
      </c>
      <c r="AI1367" s="193">
        <f>IF(OR(seller_region="TR",offer_sale_type="экспорт"),0,rate_fin_comm)*SUM(AZ1367,AZ1367*AW1367,T1367)</f>
        <v/>
      </c>
      <c r="AJ1367" s="118">
        <f>IFERROR(ROUND(SUM(AB1367,AF1367:AI1367)/E1367,2),0)</f>
        <v/>
      </c>
      <c r="AK1367" s="76">
        <f>AJ1367*E1367</f>
        <v/>
      </c>
      <c r="AL1367" s="174">
        <f>ROUND(IFERROR(AM1367*E1367,0),2)</f>
        <v/>
      </c>
      <c r="AM1367" s="175">
        <f>ROUND(AJ1367*(1+IF(offer_incoterms="DDP",IF((TODAY()+offer_turnaround_time)&gt;=helpsheet!$L$17,rate_vatRU_from_26,rate_vatRu_till_25),0)),2)</f>
        <v/>
      </c>
      <c r="AN1367" s="192">
        <f>AL1367-AK1367</f>
        <v/>
      </c>
      <c r="AO1367" s="76">
        <f>SUM(AY1367,Y1367:Z1367,T1367)*IF(AND(offer_incoterms="DDP",offer_sale_type&lt;&gt;"экспорт"),IF((TODAY()+offer_turnaround_time)&gt;=helpsheet!$L$17,rate_vatRU_from_26,rate_vatRu_till_25),0)</f>
        <v/>
      </c>
      <c r="AP1367" s="193">
        <f>AN1367-AO1367</f>
        <v/>
      </c>
      <c r="AQ1367" s="118">
        <f>IF(offer_sale_type="транзит",SUM(AF1367:AI1367,BA1367,BB1367),0)</f>
        <v/>
      </c>
      <c r="AR1367" s="82">
        <f>HYPERLINK("https://www.alta.ru/tnved/code/")&amp;W1367&amp;"/"</f>
        <v/>
      </c>
      <c r="AS1367" s="157" t="n"/>
      <c r="AT1367" s="162" t="n"/>
      <c r="AU1367" s="76">
        <f>IF(ISBLANK(AT1367),0,AJ1367-AT1367)</f>
        <v/>
      </c>
      <c r="AV1367" s="157" t="n"/>
      <c r="AW1367" s="75">
        <f>_xlfn.IFNA(VLOOKUP(L1367,list_vat[],3,FALSE),0)</f>
        <v/>
      </c>
      <c r="AX1367" s="76">
        <f>IFERROR(ROUND(S1367*(1+AW1367)/E1367,2),0)</f>
        <v/>
      </c>
      <c r="AY1367" s="76">
        <f>E1367*AX1367</f>
        <v/>
      </c>
      <c r="AZ1367" s="192">
        <f>S1367*(1+M1367)</f>
        <v/>
      </c>
      <c r="BA1367" s="76">
        <f>cost_fin_total*$BD1367</f>
        <v/>
      </c>
      <c r="BB1367" s="193">
        <f>credit_sales_interest*BD1367</f>
        <v/>
      </c>
      <c r="BC1367" s="102">
        <f>IFERROR(IF($I$13&gt;0,$I1367/$I$13,$S1367/$S$13),0)</f>
        <v/>
      </c>
      <c r="BD1367" s="102">
        <f>IFERROR($S1367/$S$13,0)</f>
        <v/>
      </c>
      <c r="BE1367" s="413" t="inlineStr">
        <is>
          <t>$</t>
        </is>
      </c>
    </row>
    <row r="1368" ht="12" customFormat="1" customHeight="1" s="65">
      <c r="A1368" s="43" t="n">
        <v>1353</v>
      </c>
      <c r="B1368" s="166" t="n"/>
      <c r="C1368" s="166" t="n"/>
      <c r="D1368" s="166" t="n"/>
      <c r="E1368" s="162" t="n"/>
      <c r="F1368" s="166" t="n"/>
      <c r="G1368" s="162" t="n"/>
      <c r="H1368" s="162" t="n"/>
      <c r="I1368" s="189">
        <f>E1368*G1368</f>
        <v/>
      </c>
      <c r="J1368" s="195" t="n"/>
      <c r="K1368" s="162" t="n"/>
      <c r="L1368" s="168" t="n"/>
      <c r="M1368" s="75">
        <f>_xlfn.XLOOKUP(L1368,list_vat[Страна],list_vat[Ставка НДС %],0,0)</f>
        <v/>
      </c>
      <c r="N1368" s="162">
        <f>IFERROR(IF(L1368="Китай",K1368,K1368/(1+M1368)),0)</f>
        <v/>
      </c>
      <c r="O1368" s="169" t="n"/>
      <c r="P1368" s="76">
        <f>N1368*(1-O1368)</f>
        <v/>
      </c>
      <c r="Q1368" s="162" t="n"/>
      <c r="R1368" s="162">
        <f>IF(ISBLANK(Q1368),"введи курс",P1368/Q1368)</f>
        <v/>
      </c>
      <c r="S1368" s="196">
        <f>IF(AND(ISNUMBER(E1368),ISNUMBER(Q1368)),E1368*R1368,0)</f>
        <v/>
      </c>
      <c r="T1368" s="192">
        <f>$BC1368*V$11</f>
        <v/>
      </c>
      <c r="U1368" s="76">
        <f>$BC1368*W$11</f>
        <v/>
      </c>
      <c r="V1368" s="193">
        <f>+SUM(T1368:U1368)</f>
        <v/>
      </c>
      <c r="W1368" s="191" t="n"/>
      <c r="X1368" s="170" t="n"/>
      <c r="Y1368" s="76">
        <f>ROUND(IF(offer_incoterms="DDP",X1368*(S1368*(1+AW1368)+T1368),0),2)</f>
        <v/>
      </c>
      <c r="Z1368" s="188" t="n"/>
      <c r="AA1368" s="192">
        <f>IFERROR(AB1368/E1368,0)</f>
        <v/>
      </c>
      <c r="AB1368" s="76">
        <f>ROUND(SUM(S1368,V1368,Y1368:Z1368,BA1368:BB1368),2)</f>
        <v/>
      </c>
      <c r="AC1368" s="797" t="n"/>
      <c r="AD1368" s="192">
        <f t="array" ref="AD1368">IFERROR(ROUND((_xlfn.IFS(offer_sale_type="поставка",AB1368,offer_sale_type="транзит",S1368)*(1+AC1368))/E1368,2),0)</f>
        <v/>
      </c>
      <c r="AE1368" s="76">
        <f>AD1368*E1368</f>
        <v/>
      </c>
      <c r="AF1368" s="193">
        <f t="array" ref="AF1368">IFERROR(ROUND(_xlfn.IFS(offer_sale_type="поставка",AB1368,offer_sale_type="транзит",S1368)*AC1368,2),0)</f>
        <v/>
      </c>
      <c r="AG1368" s="192">
        <f>$BD1368*VLOOKUP($AG$3,$AF$4:$AG$7,2,FALSE)</f>
        <v/>
      </c>
      <c r="AH1368" s="76">
        <f>SUM(AE1368,AG1368,AI1368)*rate_forex_risk</f>
        <v/>
      </c>
      <c r="AI1368" s="193">
        <f>IF(OR(seller_region="TR",offer_sale_type="экспорт"),0,rate_fin_comm)*SUM(AZ1368,AZ1368*AW1368,T1368)</f>
        <v/>
      </c>
      <c r="AJ1368" s="118">
        <f>IFERROR(ROUND(SUM(AB1368,AF1368:AI1368)/E1368,2),0)</f>
        <v/>
      </c>
      <c r="AK1368" s="76">
        <f>AJ1368*E1368</f>
        <v/>
      </c>
      <c r="AL1368" s="174">
        <f>ROUND(IFERROR(AM1368*E1368,0),2)</f>
        <v/>
      </c>
      <c r="AM1368" s="175">
        <f>ROUND(AJ1368*(1+IF(offer_incoterms="DDP",IF((TODAY()+offer_turnaround_time)&gt;=helpsheet!$L$17,rate_vatRU_from_26,rate_vatRu_till_25),0)),2)</f>
        <v/>
      </c>
      <c r="AN1368" s="192">
        <f>AL1368-AK1368</f>
        <v/>
      </c>
      <c r="AO1368" s="76">
        <f>SUM(AY1368,Y1368:Z1368,T1368)*IF(AND(offer_incoterms="DDP",offer_sale_type&lt;&gt;"экспорт"),IF((TODAY()+offer_turnaround_time)&gt;=helpsheet!$L$17,rate_vatRU_from_26,rate_vatRu_till_25),0)</f>
        <v/>
      </c>
      <c r="AP1368" s="193">
        <f>AN1368-AO1368</f>
        <v/>
      </c>
      <c r="AQ1368" s="118">
        <f>IF(offer_sale_type="транзит",SUM(AF1368:AI1368,BA1368,BB1368),0)</f>
        <v/>
      </c>
      <c r="AR1368" s="82">
        <f>HYPERLINK("https://www.alta.ru/tnved/code/")&amp;W1368&amp;"/"</f>
        <v/>
      </c>
      <c r="AS1368" s="157" t="n"/>
      <c r="AT1368" s="162" t="n"/>
      <c r="AU1368" s="76">
        <f>IF(ISBLANK(AT1368),0,AJ1368-AT1368)</f>
        <v/>
      </c>
      <c r="AV1368" s="157" t="n"/>
      <c r="AW1368" s="75">
        <f>_xlfn.IFNA(VLOOKUP(L1368,list_vat[],3,FALSE),0)</f>
        <v/>
      </c>
      <c r="AX1368" s="76">
        <f>IFERROR(ROUND(S1368*(1+AW1368)/E1368,2),0)</f>
        <v/>
      </c>
      <c r="AY1368" s="76">
        <f>E1368*AX1368</f>
        <v/>
      </c>
      <c r="AZ1368" s="192">
        <f>S1368*(1+M1368)</f>
        <v/>
      </c>
      <c r="BA1368" s="76">
        <f>cost_fin_total*$BD1368</f>
        <v/>
      </c>
      <c r="BB1368" s="193">
        <f>credit_sales_interest*BD1368</f>
        <v/>
      </c>
      <c r="BC1368" s="102">
        <f>IFERROR(IF($I$13&gt;0,$I1368/$I$13,$S1368/$S$13),0)</f>
        <v/>
      </c>
      <c r="BD1368" s="102">
        <f>IFERROR($S1368/$S$13,0)</f>
        <v/>
      </c>
      <c r="BE1368" s="413" t="inlineStr">
        <is>
          <t>$</t>
        </is>
      </c>
    </row>
    <row r="1369" ht="12" customFormat="1" customHeight="1" s="65">
      <c r="A1369" s="43" t="n">
        <v>1354</v>
      </c>
      <c r="B1369" s="166" t="n"/>
      <c r="C1369" s="166" t="n"/>
      <c r="D1369" s="166" t="n"/>
      <c r="E1369" s="162" t="n"/>
      <c r="F1369" s="166" t="n"/>
      <c r="G1369" s="162" t="n"/>
      <c r="H1369" s="162" t="n"/>
      <c r="I1369" s="189">
        <f>E1369*G1369</f>
        <v/>
      </c>
      <c r="J1369" s="195" t="n"/>
      <c r="K1369" s="162" t="n"/>
      <c r="L1369" s="168" t="n"/>
      <c r="M1369" s="75">
        <f>_xlfn.XLOOKUP(L1369,list_vat[Страна],list_vat[Ставка НДС %],0,0)</f>
        <v/>
      </c>
      <c r="N1369" s="162">
        <f>IFERROR(IF(L1369="Китай",K1369,K1369/(1+M1369)),0)</f>
        <v/>
      </c>
      <c r="O1369" s="169" t="n"/>
      <c r="P1369" s="76">
        <f>N1369*(1-O1369)</f>
        <v/>
      </c>
      <c r="Q1369" s="162" t="n"/>
      <c r="R1369" s="162">
        <f>IF(ISBLANK(Q1369),"введи курс",P1369/Q1369)</f>
        <v/>
      </c>
      <c r="S1369" s="196">
        <f>IF(AND(ISNUMBER(E1369),ISNUMBER(Q1369)),E1369*R1369,0)</f>
        <v/>
      </c>
      <c r="T1369" s="192">
        <f>$BC1369*V$11</f>
        <v/>
      </c>
      <c r="U1369" s="76">
        <f>$BC1369*W$11</f>
        <v/>
      </c>
      <c r="V1369" s="193">
        <f>+SUM(T1369:U1369)</f>
        <v/>
      </c>
      <c r="W1369" s="191" t="n"/>
      <c r="X1369" s="170" t="n"/>
      <c r="Y1369" s="76">
        <f>ROUND(IF(offer_incoterms="DDP",X1369*(S1369*(1+AW1369)+T1369),0),2)</f>
        <v/>
      </c>
      <c r="Z1369" s="188" t="n"/>
      <c r="AA1369" s="192">
        <f>IFERROR(AB1369/E1369,0)</f>
        <v/>
      </c>
      <c r="AB1369" s="76">
        <f>ROUND(SUM(S1369,V1369,Y1369:Z1369,BA1369:BB1369),2)</f>
        <v/>
      </c>
      <c r="AC1369" s="797" t="n"/>
      <c r="AD1369" s="192">
        <f t="array" ref="AD1369">IFERROR(ROUND((_xlfn.IFS(offer_sale_type="поставка",AB1369,offer_sale_type="транзит",S1369)*(1+AC1369))/E1369,2),0)</f>
        <v/>
      </c>
      <c r="AE1369" s="76">
        <f>AD1369*E1369</f>
        <v/>
      </c>
      <c r="AF1369" s="193">
        <f t="array" ref="AF1369">IFERROR(ROUND(_xlfn.IFS(offer_sale_type="поставка",AB1369,offer_sale_type="транзит",S1369)*AC1369,2),0)</f>
        <v/>
      </c>
      <c r="AG1369" s="192">
        <f>$BD1369*VLOOKUP($AG$3,$AF$4:$AG$7,2,FALSE)</f>
        <v/>
      </c>
      <c r="AH1369" s="76">
        <f>SUM(AE1369,AG1369,AI1369)*rate_forex_risk</f>
        <v/>
      </c>
      <c r="AI1369" s="193">
        <f>IF(OR(seller_region="TR",offer_sale_type="экспорт"),0,rate_fin_comm)*SUM(AZ1369,AZ1369*AW1369,T1369)</f>
        <v/>
      </c>
      <c r="AJ1369" s="118">
        <f>IFERROR(ROUND(SUM(AB1369,AF1369:AI1369)/E1369,2),0)</f>
        <v/>
      </c>
      <c r="AK1369" s="76">
        <f>AJ1369*E1369</f>
        <v/>
      </c>
      <c r="AL1369" s="174">
        <f>ROUND(IFERROR(AM1369*E1369,0),2)</f>
        <v/>
      </c>
      <c r="AM1369" s="175">
        <f>ROUND(AJ1369*(1+IF(offer_incoterms="DDP",IF((TODAY()+offer_turnaround_time)&gt;=helpsheet!$L$17,rate_vatRU_from_26,rate_vatRu_till_25),0)),2)</f>
        <v/>
      </c>
      <c r="AN1369" s="192">
        <f>AL1369-AK1369</f>
        <v/>
      </c>
      <c r="AO1369" s="76">
        <f>SUM(AY1369,Y1369:Z1369,T1369)*IF(AND(offer_incoterms="DDP",offer_sale_type&lt;&gt;"экспорт"),IF((TODAY()+offer_turnaround_time)&gt;=helpsheet!$L$17,rate_vatRU_from_26,rate_vatRu_till_25),0)</f>
        <v/>
      </c>
      <c r="AP1369" s="193">
        <f>AN1369-AO1369</f>
        <v/>
      </c>
      <c r="AQ1369" s="118">
        <f>IF(offer_sale_type="транзит",SUM(AF1369:AI1369,BA1369,BB1369),0)</f>
        <v/>
      </c>
      <c r="AR1369" s="82">
        <f>HYPERLINK("https://www.alta.ru/tnved/code/")&amp;W1369&amp;"/"</f>
        <v/>
      </c>
      <c r="AS1369" s="157" t="n"/>
      <c r="AT1369" s="162" t="n"/>
      <c r="AU1369" s="76">
        <f>IF(ISBLANK(AT1369),0,AJ1369-AT1369)</f>
        <v/>
      </c>
      <c r="AV1369" s="157" t="n"/>
      <c r="AW1369" s="75">
        <f>_xlfn.IFNA(VLOOKUP(L1369,list_vat[],3,FALSE),0)</f>
        <v/>
      </c>
      <c r="AX1369" s="76">
        <f>IFERROR(ROUND(S1369*(1+AW1369)/E1369,2),0)</f>
        <v/>
      </c>
      <c r="AY1369" s="76">
        <f>E1369*AX1369</f>
        <v/>
      </c>
      <c r="AZ1369" s="192">
        <f>S1369*(1+M1369)</f>
        <v/>
      </c>
      <c r="BA1369" s="76">
        <f>cost_fin_total*$BD1369</f>
        <v/>
      </c>
      <c r="BB1369" s="193">
        <f>credit_sales_interest*BD1369</f>
        <v/>
      </c>
      <c r="BC1369" s="102">
        <f>IFERROR(IF($I$13&gt;0,$I1369/$I$13,$S1369/$S$13),0)</f>
        <v/>
      </c>
      <c r="BD1369" s="102">
        <f>IFERROR($S1369/$S$13,0)</f>
        <v/>
      </c>
      <c r="BE1369" s="413" t="inlineStr">
        <is>
          <t>$</t>
        </is>
      </c>
    </row>
    <row r="1370" ht="12" customFormat="1" customHeight="1" s="65">
      <c r="A1370" s="43" t="n">
        <v>1355</v>
      </c>
      <c r="B1370" s="166" t="n"/>
      <c r="C1370" s="166" t="n"/>
      <c r="D1370" s="166" t="n"/>
      <c r="E1370" s="162" t="n"/>
      <c r="F1370" s="166" t="n"/>
      <c r="G1370" s="162" t="n"/>
      <c r="H1370" s="162" t="n"/>
      <c r="I1370" s="189">
        <f>E1370*G1370</f>
        <v/>
      </c>
      <c r="J1370" s="195" t="n"/>
      <c r="K1370" s="162" t="n"/>
      <c r="L1370" s="168" t="n"/>
      <c r="M1370" s="75">
        <f>_xlfn.XLOOKUP(L1370,list_vat[Страна],list_vat[Ставка НДС %],0,0)</f>
        <v/>
      </c>
      <c r="N1370" s="162">
        <f>IFERROR(IF(L1370="Китай",K1370,K1370/(1+M1370)),0)</f>
        <v/>
      </c>
      <c r="O1370" s="169" t="n"/>
      <c r="P1370" s="76">
        <f>N1370*(1-O1370)</f>
        <v/>
      </c>
      <c r="Q1370" s="162" t="n"/>
      <c r="R1370" s="162">
        <f>IF(ISBLANK(Q1370),"введи курс",P1370/Q1370)</f>
        <v/>
      </c>
      <c r="S1370" s="196">
        <f>IF(AND(ISNUMBER(E1370),ISNUMBER(Q1370)),E1370*R1370,0)</f>
        <v/>
      </c>
      <c r="T1370" s="192">
        <f>$BC1370*V$11</f>
        <v/>
      </c>
      <c r="U1370" s="76">
        <f>$BC1370*W$11</f>
        <v/>
      </c>
      <c r="V1370" s="193">
        <f>+SUM(T1370:U1370)</f>
        <v/>
      </c>
      <c r="W1370" s="191" t="n"/>
      <c r="X1370" s="170" t="n"/>
      <c r="Y1370" s="76">
        <f>ROUND(IF(offer_incoterms="DDP",X1370*(S1370*(1+AW1370)+T1370),0),2)</f>
        <v/>
      </c>
      <c r="Z1370" s="188" t="n"/>
      <c r="AA1370" s="192">
        <f>IFERROR(AB1370/E1370,0)</f>
        <v/>
      </c>
      <c r="AB1370" s="76">
        <f>ROUND(SUM(S1370,V1370,Y1370:Z1370,BA1370:BB1370),2)</f>
        <v/>
      </c>
      <c r="AC1370" s="797" t="n"/>
      <c r="AD1370" s="192">
        <f t="array" ref="AD1370">IFERROR(ROUND((_xlfn.IFS(offer_sale_type="поставка",AB1370,offer_sale_type="транзит",S1370)*(1+AC1370))/E1370,2),0)</f>
        <v/>
      </c>
      <c r="AE1370" s="76">
        <f>AD1370*E1370</f>
        <v/>
      </c>
      <c r="AF1370" s="193">
        <f t="array" ref="AF1370">IFERROR(ROUND(_xlfn.IFS(offer_sale_type="поставка",AB1370,offer_sale_type="транзит",S1370)*AC1370,2),0)</f>
        <v/>
      </c>
      <c r="AG1370" s="192">
        <f>$BD1370*VLOOKUP($AG$3,$AF$4:$AG$7,2,FALSE)</f>
        <v/>
      </c>
      <c r="AH1370" s="76">
        <f>SUM(AE1370,AG1370,AI1370)*rate_forex_risk</f>
        <v/>
      </c>
      <c r="AI1370" s="193">
        <f>IF(OR(seller_region="TR",offer_sale_type="экспорт"),0,rate_fin_comm)*SUM(AZ1370,AZ1370*AW1370,T1370)</f>
        <v/>
      </c>
      <c r="AJ1370" s="118">
        <f>IFERROR(ROUND(SUM(AB1370,AF1370:AI1370)/E1370,2),0)</f>
        <v/>
      </c>
      <c r="AK1370" s="76">
        <f>AJ1370*E1370</f>
        <v/>
      </c>
      <c r="AL1370" s="174">
        <f>ROUND(IFERROR(AM1370*E1370,0),2)</f>
        <v/>
      </c>
      <c r="AM1370" s="175">
        <f>ROUND(AJ1370*(1+IF(offer_incoterms="DDP",IF((TODAY()+offer_turnaround_time)&gt;=helpsheet!$L$17,rate_vatRU_from_26,rate_vatRu_till_25),0)),2)</f>
        <v/>
      </c>
      <c r="AN1370" s="192">
        <f>AL1370-AK1370</f>
        <v/>
      </c>
      <c r="AO1370" s="76">
        <f>SUM(AY1370,Y1370:Z1370,T1370)*IF(AND(offer_incoterms="DDP",offer_sale_type&lt;&gt;"экспорт"),IF((TODAY()+offer_turnaround_time)&gt;=helpsheet!$L$17,rate_vatRU_from_26,rate_vatRu_till_25),0)</f>
        <v/>
      </c>
      <c r="AP1370" s="193">
        <f>AN1370-AO1370</f>
        <v/>
      </c>
      <c r="AQ1370" s="118">
        <f>IF(offer_sale_type="транзит",SUM(AF1370:AI1370,BA1370,BB1370),0)</f>
        <v/>
      </c>
      <c r="AR1370" s="82">
        <f>HYPERLINK("https://www.alta.ru/tnved/code/")&amp;W1370&amp;"/"</f>
        <v/>
      </c>
      <c r="AS1370" s="157" t="n"/>
      <c r="AT1370" s="162" t="n"/>
      <c r="AU1370" s="76">
        <f>IF(ISBLANK(AT1370),0,AJ1370-AT1370)</f>
        <v/>
      </c>
      <c r="AV1370" s="157" t="n"/>
      <c r="AW1370" s="75">
        <f>_xlfn.IFNA(VLOOKUP(L1370,list_vat[],3,FALSE),0)</f>
        <v/>
      </c>
      <c r="AX1370" s="76">
        <f>IFERROR(ROUND(S1370*(1+AW1370)/E1370,2),0)</f>
        <v/>
      </c>
      <c r="AY1370" s="76">
        <f>E1370*AX1370</f>
        <v/>
      </c>
      <c r="AZ1370" s="192">
        <f>S1370*(1+M1370)</f>
        <v/>
      </c>
      <c r="BA1370" s="76">
        <f>cost_fin_total*$BD1370</f>
        <v/>
      </c>
      <c r="BB1370" s="193">
        <f>credit_sales_interest*BD1370</f>
        <v/>
      </c>
      <c r="BC1370" s="102">
        <f>IFERROR(IF($I$13&gt;0,$I1370/$I$13,$S1370/$S$13),0)</f>
        <v/>
      </c>
      <c r="BD1370" s="102">
        <f>IFERROR($S1370/$S$13,0)</f>
        <v/>
      </c>
      <c r="BE1370" s="413" t="inlineStr">
        <is>
          <t>$</t>
        </is>
      </c>
    </row>
    <row r="1371" ht="12" customFormat="1" customHeight="1" s="65">
      <c r="A1371" s="43" t="n">
        <v>1356</v>
      </c>
      <c r="B1371" s="166" t="n"/>
      <c r="C1371" s="166" t="n"/>
      <c r="D1371" s="166" t="n"/>
      <c r="E1371" s="162" t="n"/>
      <c r="F1371" s="166" t="n"/>
      <c r="G1371" s="162" t="n"/>
      <c r="H1371" s="162" t="n"/>
      <c r="I1371" s="189">
        <f>E1371*G1371</f>
        <v/>
      </c>
      <c r="J1371" s="195" t="n"/>
      <c r="K1371" s="162" t="n"/>
      <c r="L1371" s="168" t="n"/>
      <c r="M1371" s="75">
        <f>_xlfn.XLOOKUP(L1371,list_vat[Страна],list_vat[Ставка НДС %],0,0)</f>
        <v/>
      </c>
      <c r="N1371" s="162">
        <f>IFERROR(IF(L1371="Китай",K1371,K1371/(1+M1371)),0)</f>
        <v/>
      </c>
      <c r="O1371" s="169" t="n"/>
      <c r="P1371" s="76">
        <f>N1371*(1-O1371)</f>
        <v/>
      </c>
      <c r="Q1371" s="162" t="n"/>
      <c r="R1371" s="162">
        <f>IF(ISBLANK(Q1371),"введи курс",P1371/Q1371)</f>
        <v/>
      </c>
      <c r="S1371" s="196">
        <f>IF(AND(ISNUMBER(E1371),ISNUMBER(Q1371)),E1371*R1371,0)</f>
        <v/>
      </c>
      <c r="T1371" s="192">
        <f>$BC1371*V$11</f>
        <v/>
      </c>
      <c r="U1371" s="76">
        <f>$BC1371*W$11</f>
        <v/>
      </c>
      <c r="V1371" s="193">
        <f>+SUM(T1371:U1371)</f>
        <v/>
      </c>
      <c r="W1371" s="191" t="n"/>
      <c r="X1371" s="170" t="n"/>
      <c r="Y1371" s="76">
        <f>ROUND(IF(offer_incoterms="DDP",X1371*(S1371*(1+AW1371)+T1371),0),2)</f>
        <v/>
      </c>
      <c r="Z1371" s="188" t="n"/>
      <c r="AA1371" s="192">
        <f>IFERROR(AB1371/E1371,0)</f>
        <v/>
      </c>
      <c r="AB1371" s="76">
        <f>ROUND(SUM(S1371,V1371,Y1371:Z1371,BA1371:BB1371),2)</f>
        <v/>
      </c>
      <c r="AC1371" s="797" t="n"/>
      <c r="AD1371" s="192">
        <f t="array" ref="AD1371">IFERROR(ROUND((_xlfn.IFS(offer_sale_type="поставка",AB1371,offer_sale_type="транзит",S1371)*(1+AC1371))/E1371,2),0)</f>
        <v/>
      </c>
      <c r="AE1371" s="76">
        <f>AD1371*E1371</f>
        <v/>
      </c>
      <c r="AF1371" s="193">
        <f t="array" ref="AF1371">IFERROR(ROUND(_xlfn.IFS(offer_sale_type="поставка",AB1371,offer_sale_type="транзит",S1371)*AC1371,2),0)</f>
        <v/>
      </c>
      <c r="AG1371" s="192">
        <f>$BD1371*VLOOKUP($AG$3,$AF$4:$AG$7,2,FALSE)</f>
        <v/>
      </c>
      <c r="AH1371" s="76">
        <f>SUM(AE1371,AG1371,AI1371)*rate_forex_risk</f>
        <v/>
      </c>
      <c r="AI1371" s="193">
        <f>IF(OR(seller_region="TR",offer_sale_type="экспорт"),0,rate_fin_comm)*SUM(AZ1371,AZ1371*AW1371,T1371)</f>
        <v/>
      </c>
      <c r="AJ1371" s="118">
        <f>IFERROR(ROUND(SUM(AB1371,AF1371:AI1371)/E1371,2),0)</f>
        <v/>
      </c>
      <c r="AK1371" s="76">
        <f>AJ1371*E1371</f>
        <v/>
      </c>
      <c r="AL1371" s="174">
        <f>ROUND(IFERROR(AM1371*E1371,0),2)</f>
        <v/>
      </c>
      <c r="AM1371" s="175">
        <f>ROUND(AJ1371*(1+IF(offer_incoterms="DDP",IF((TODAY()+offer_turnaround_time)&gt;=helpsheet!$L$17,rate_vatRU_from_26,rate_vatRu_till_25),0)),2)</f>
        <v/>
      </c>
      <c r="AN1371" s="192">
        <f>AL1371-AK1371</f>
        <v/>
      </c>
      <c r="AO1371" s="76">
        <f>SUM(AY1371,Y1371:Z1371,T1371)*IF(AND(offer_incoterms="DDP",offer_sale_type&lt;&gt;"экспорт"),IF((TODAY()+offer_turnaround_time)&gt;=helpsheet!$L$17,rate_vatRU_from_26,rate_vatRu_till_25),0)</f>
        <v/>
      </c>
      <c r="AP1371" s="193">
        <f>AN1371-AO1371</f>
        <v/>
      </c>
      <c r="AQ1371" s="118">
        <f>IF(offer_sale_type="транзит",SUM(AF1371:AI1371,BA1371,BB1371),0)</f>
        <v/>
      </c>
      <c r="AR1371" s="82">
        <f>HYPERLINK("https://www.alta.ru/tnved/code/")&amp;W1371&amp;"/"</f>
        <v/>
      </c>
      <c r="AS1371" s="157" t="n"/>
      <c r="AT1371" s="162" t="n"/>
      <c r="AU1371" s="76">
        <f>IF(ISBLANK(AT1371),0,AJ1371-AT1371)</f>
        <v/>
      </c>
      <c r="AV1371" s="157" t="n"/>
      <c r="AW1371" s="75">
        <f>_xlfn.IFNA(VLOOKUP(L1371,list_vat[],3,FALSE),0)</f>
        <v/>
      </c>
      <c r="AX1371" s="76">
        <f>IFERROR(ROUND(S1371*(1+AW1371)/E1371,2),0)</f>
        <v/>
      </c>
      <c r="AY1371" s="76">
        <f>E1371*AX1371</f>
        <v/>
      </c>
      <c r="AZ1371" s="192">
        <f>S1371*(1+M1371)</f>
        <v/>
      </c>
      <c r="BA1371" s="76">
        <f>cost_fin_total*$BD1371</f>
        <v/>
      </c>
      <c r="BB1371" s="193">
        <f>credit_sales_interest*BD1371</f>
        <v/>
      </c>
      <c r="BC1371" s="102">
        <f>IFERROR(IF($I$13&gt;0,$I1371/$I$13,$S1371/$S$13),0)</f>
        <v/>
      </c>
      <c r="BD1371" s="102">
        <f>IFERROR($S1371/$S$13,0)</f>
        <v/>
      </c>
      <c r="BE1371" s="413" t="inlineStr">
        <is>
          <t>$</t>
        </is>
      </c>
    </row>
    <row r="1372" ht="12" customFormat="1" customHeight="1" s="65">
      <c r="A1372" s="43" t="n">
        <v>1357</v>
      </c>
      <c r="B1372" s="166" t="n"/>
      <c r="C1372" s="166" t="n"/>
      <c r="D1372" s="166" t="n"/>
      <c r="E1372" s="162" t="n"/>
      <c r="F1372" s="166" t="n"/>
      <c r="G1372" s="162" t="n"/>
      <c r="H1372" s="162" t="n"/>
      <c r="I1372" s="189">
        <f>E1372*G1372</f>
        <v/>
      </c>
      <c r="J1372" s="195" t="n"/>
      <c r="K1372" s="162" t="n"/>
      <c r="L1372" s="168" t="n"/>
      <c r="M1372" s="75">
        <f>_xlfn.XLOOKUP(L1372,list_vat[Страна],list_vat[Ставка НДС %],0,0)</f>
        <v/>
      </c>
      <c r="N1372" s="162">
        <f>IFERROR(IF(L1372="Китай",K1372,K1372/(1+M1372)),0)</f>
        <v/>
      </c>
      <c r="O1372" s="169" t="n"/>
      <c r="P1372" s="76">
        <f>N1372*(1-O1372)</f>
        <v/>
      </c>
      <c r="Q1372" s="162" t="n"/>
      <c r="R1372" s="162">
        <f>IF(ISBLANK(Q1372),"введи курс",P1372/Q1372)</f>
        <v/>
      </c>
      <c r="S1372" s="196">
        <f>IF(AND(ISNUMBER(E1372),ISNUMBER(Q1372)),E1372*R1372,0)</f>
        <v/>
      </c>
      <c r="T1372" s="192">
        <f>$BC1372*V$11</f>
        <v/>
      </c>
      <c r="U1372" s="76">
        <f>$BC1372*W$11</f>
        <v/>
      </c>
      <c r="V1372" s="193">
        <f>+SUM(T1372:U1372)</f>
        <v/>
      </c>
      <c r="W1372" s="191" t="n"/>
      <c r="X1372" s="170" t="n"/>
      <c r="Y1372" s="76">
        <f>ROUND(IF(offer_incoterms="DDP",X1372*(S1372*(1+AW1372)+T1372),0),2)</f>
        <v/>
      </c>
      <c r="Z1372" s="188" t="n"/>
      <c r="AA1372" s="192">
        <f>IFERROR(AB1372/E1372,0)</f>
        <v/>
      </c>
      <c r="AB1372" s="76">
        <f>ROUND(SUM(S1372,V1372,Y1372:Z1372,BA1372:BB1372),2)</f>
        <v/>
      </c>
      <c r="AC1372" s="797" t="n"/>
      <c r="AD1372" s="192">
        <f t="array" ref="AD1372">IFERROR(ROUND((_xlfn.IFS(offer_sale_type="поставка",AB1372,offer_sale_type="транзит",S1372)*(1+AC1372))/E1372,2),0)</f>
        <v/>
      </c>
      <c r="AE1372" s="76">
        <f>AD1372*E1372</f>
        <v/>
      </c>
      <c r="AF1372" s="193">
        <f t="array" ref="AF1372">IFERROR(ROUND(_xlfn.IFS(offer_sale_type="поставка",AB1372,offer_sale_type="транзит",S1372)*AC1372,2),0)</f>
        <v/>
      </c>
      <c r="AG1372" s="192">
        <f>$BD1372*VLOOKUP($AG$3,$AF$4:$AG$7,2,FALSE)</f>
        <v/>
      </c>
      <c r="AH1372" s="76">
        <f>SUM(AE1372,AG1372,AI1372)*rate_forex_risk</f>
        <v/>
      </c>
      <c r="AI1372" s="193">
        <f>IF(OR(seller_region="TR",offer_sale_type="экспорт"),0,rate_fin_comm)*SUM(AZ1372,AZ1372*AW1372,T1372)</f>
        <v/>
      </c>
      <c r="AJ1372" s="118">
        <f>IFERROR(ROUND(SUM(AB1372,AF1372:AI1372)/E1372,2),0)</f>
        <v/>
      </c>
      <c r="AK1372" s="76">
        <f>AJ1372*E1372</f>
        <v/>
      </c>
      <c r="AL1372" s="174">
        <f>ROUND(IFERROR(AM1372*E1372,0),2)</f>
        <v/>
      </c>
      <c r="AM1372" s="175">
        <f>ROUND(AJ1372*(1+IF(offer_incoterms="DDP",IF((TODAY()+offer_turnaround_time)&gt;=helpsheet!$L$17,rate_vatRU_from_26,rate_vatRu_till_25),0)),2)</f>
        <v/>
      </c>
      <c r="AN1372" s="192">
        <f>AL1372-AK1372</f>
        <v/>
      </c>
      <c r="AO1372" s="76">
        <f>SUM(AY1372,Y1372:Z1372,T1372)*IF(AND(offer_incoterms="DDP",offer_sale_type&lt;&gt;"экспорт"),IF((TODAY()+offer_turnaround_time)&gt;=helpsheet!$L$17,rate_vatRU_from_26,rate_vatRu_till_25),0)</f>
        <v/>
      </c>
      <c r="AP1372" s="193">
        <f>AN1372-AO1372</f>
        <v/>
      </c>
      <c r="AQ1372" s="118">
        <f>IF(offer_sale_type="транзит",SUM(AF1372:AI1372,BA1372,BB1372),0)</f>
        <v/>
      </c>
      <c r="AR1372" s="82">
        <f>HYPERLINK("https://www.alta.ru/tnved/code/")&amp;W1372&amp;"/"</f>
        <v/>
      </c>
      <c r="AS1372" s="157" t="n"/>
      <c r="AT1372" s="162" t="n"/>
      <c r="AU1372" s="76">
        <f>IF(ISBLANK(AT1372),0,AJ1372-AT1372)</f>
        <v/>
      </c>
      <c r="AV1372" s="157" t="n"/>
      <c r="AW1372" s="75">
        <f>_xlfn.IFNA(VLOOKUP(L1372,list_vat[],3,FALSE),0)</f>
        <v/>
      </c>
      <c r="AX1372" s="76">
        <f>IFERROR(ROUND(S1372*(1+AW1372)/E1372,2),0)</f>
        <v/>
      </c>
      <c r="AY1372" s="76">
        <f>E1372*AX1372</f>
        <v/>
      </c>
      <c r="AZ1372" s="192">
        <f>S1372*(1+M1372)</f>
        <v/>
      </c>
      <c r="BA1372" s="76">
        <f>cost_fin_total*$BD1372</f>
        <v/>
      </c>
      <c r="BB1372" s="193">
        <f>credit_sales_interest*BD1372</f>
        <v/>
      </c>
      <c r="BC1372" s="102">
        <f>IFERROR(IF($I$13&gt;0,$I1372/$I$13,$S1372/$S$13),0)</f>
        <v/>
      </c>
      <c r="BD1372" s="102">
        <f>IFERROR($S1372/$S$13,0)</f>
        <v/>
      </c>
      <c r="BE1372" s="413" t="inlineStr">
        <is>
          <t>$</t>
        </is>
      </c>
    </row>
    <row r="1373" ht="12" customFormat="1" customHeight="1" s="65">
      <c r="A1373" s="43" t="n">
        <v>1358</v>
      </c>
      <c r="B1373" s="166" t="n"/>
      <c r="C1373" s="166" t="n"/>
      <c r="D1373" s="166" t="n"/>
      <c r="E1373" s="162" t="n"/>
      <c r="F1373" s="166" t="n"/>
      <c r="G1373" s="162" t="n"/>
      <c r="H1373" s="162" t="n"/>
      <c r="I1373" s="189">
        <f>E1373*G1373</f>
        <v/>
      </c>
      <c r="J1373" s="195" t="n"/>
      <c r="K1373" s="162" t="n"/>
      <c r="L1373" s="168" t="n"/>
      <c r="M1373" s="75">
        <f>_xlfn.XLOOKUP(L1373,list_vat[Страна],list_vat[Ставка НДС %],0,0)</f>
        <v/>
      </c>
      <c r="N1373" s="162">
        <f>IFERROR(IF(L1373="Китай",K1373,K1373/(1+M1373)),0)</f>
        <v/>
      </c>
      <c r="O1373" s="169" t="n"/>
      <c r="P1373" s="76">
        <f>N1373*(1-O1373)</f>
        <v/>
      </c>
      <c r="Q1373" s="162" t="n"/>
      <c r="R1373" s="162">
        <f>IF(ISBLANK(Q1373),"введи курс",P1373/Q1373)</f>
        <v/>
      </c>
      <c r="S1373" s="196">
        <f>IF(AND(ISNUMBER(E1373),ISNUMBER(Q1373)),E1373*R1373,0)</f>
        <v/>
      </c>
      <c r="T1373" s="192">
        <f>$BC1373*V$11</f>
        <v/>
      </c>
      <c r="U1373" s="76">
        <f>$BC1373*W$11</f>
        <v/>
      </c>
      <c r="V1373" s="193">
        <f>+SUM(T1373:U1373)</f>
        <v/>
      </c>
      <c r="W1373" s="191" t="n"/>
      <c r="X1373" s="170" t="n"/>
      <c r="Y1373" s="76">
        <f>ROUND(IF(offer_incoterms="DDP",X1373*(S1373*(1+AW1373)+T1373),0),2)</f>
        <v/>
      </c>
      <c r="Z1373" s="188" t="n"/>
      <c r="AA1373" s="192">
        <f>IFERROR(AB1373/E1373,0)</f>
        <v/>
      </c>
      <c r="AB1373" s="76">
        <f>ROUND(SUM(S1373,V1373,Y1373:Z1373,BA1373:BB1373),2)</f>
        <v/>
      </c>
      <c r="AC1373" s="797" t="n"/>
      <c r="AD1373" s="192">
        <f t="array" ref="AD1373">IFERROR(ROUND((_xlfn.IFS(offer_sale_type="поставка",AB1373,offer_sale_type="транзит",S1373)*(1+AC1373))/E1373,2),0)</f>
        <v/>
      </c>
      <c r="AE1373" s="76">
        <f>AD1373*E1373</f>
        <v/>
      </c>
      <c r="AF1373" s="193">
        <f t="array" ref="AF1373">IFERROR(ROUND(_xlfn.IFS(offer_sale_type="поставка",AB1373,offer_sale_type="транзит",S1373)*AC1373,2),0)</f>
        <v/>
      </c>
      <c r="AG1373" s="192">
        <f>$BD1373*VLOOKUP($AG$3,$AF$4:$AG$7,2,FALSE)</f>
        <v/>
      </c>
      <c r="AH1373" s="76">
        <f>SUM(AE1373,AG1373,AI1373)*rate_forex_risk</f>
        <v/>
      </c>
      <c r="AI1373" s="193">
        <f>IF(OR(seller_region="TR",offer_sale_type="экспорт"),0,rate_fin_comm)*SUM(AZ1373,AZ1373*AW1373,T1373)</f>
        <v/>
      </c>
      <c r="AJ1373" s="118">
        <f>IFERROR(ROUND(SUM(AB1373,AF1373:AI1373)/E1373,2),0)</f>
        <v/>
      </c>
      <c r="AK1373" s="76">
        <f>AJ1373*E1373</f>
        <v/>
      </c>
      <c r="AL1373" s="174">
        <f>ROUND(IFERROR(AM1373*E1373,0),2)</f>
        <v/>
      </c>
      <c r="AM1373" s="175">
        <f>ROUND(AJ1373*(1+IF(offer_incoterms="DDP",IF((TODAY()+offer_turnaround_time)&gt;=helpsheet!$L$17,rate_vatRU_from_26,rate_vatRu_till_25),0)),2)</f>
        <v/>
      </c>
      <c r="AN1373" s="192">
        <f>AL1373-AK1373</f>
        <v/>
      </c>
      <c r="AO1373" s="76">
        <f>SUM(AY1373,Y1373:Z1373,T1373)*IF(AND(offer_incoterms="DDP",offer_sale_type&lt;&gt;"экспорт"),IF((TODAY()+offer_turnaround_time)&gt;=helpsheet!$L$17,rate_vatRU_from_26,rate_vatRu_till_25),0)</f>
        <v/>
      </c>
      <c r="AP1373" s="193">
        <f>AN1373-AO1373</f>
        <v/>
      </c>
      <c r="AQ1373" s="118">
        <f>IF(offer_sale_type="транзит",SUM(AF1373:AI1373,BA1373,BB1373),0)</f>
        <v/>
      </c>
      <c r="AR1373" s="82">
        <f>HYPERLINK("https://www.alta.ru/tnved/code/")&amp;W1373&amp;"/"</f>
        <v/>
      </c>
      <c r="AS1373" s="157" t="n"/>
      <c r="AT1373" s="162" t="n"/>
      <c r="AU1373" s="76">
        <f>IF(ISBLANK(AT1373),0,AJ1373-AT1373)</f>
        <v/>
      </c>
      <c r="AV1373" s="157" t="n"/>
      <c r="AW1373" s="75">
        <f>_xlfn.IFNA(VLOOKUP(L1373,list_vat[],3,FALSE),0)</f>
        <v/>
      </c>
      <c r="AX1373" s="76">
        <f>IFERROR(ROUND(S1373*(1+AW1373)/E1373,2),0)</f>
        <v/>
      </c>
      <c r="AY1373" s="76">
        <f>E1373*AX1373</f>
        <v/>
      </c>
      <c r="AZ1373" s="192">
        <f>S1373*(1+M1373)</f>
        <v/>
      </c>
      <c r="BA1373" s="76">
        <f>cost_fin_total*$BD1373</f>
        <v/>
      </c>
      <c r="BB1373" s="193">
        <f>credit_sales_interest*BD1373</f>
        <v/>
      </c>
      <c r="BC1373" s="102">
        <f>IFERROR(IF($I$13&gt;0,$I1373/$I$13,$S1373/$S$13),0)</f>
        <v/>
      </c>
      <c r="BD1373" s="102">
        <f>IFERROR($S1373/$S$13,0)</f>
        <v/>
      </c>
      <c r="BE1373" s="413" t="inlineStr">
        <is>
          <t>$</t>
        </is>
      </c>
    </row>
    <row r="1374" ht="12" customFormat="1" customHeight="1" s="65">
      <c r="A1374" s="43" t="n">
        <v>1359</v>
      </c>
      <c r="B1374" s="166" t="n"/>
      <c r="C1374" s="166" t="n"/>
      <c r="D1374" s="166" t="n"/>
      <c r="E1374" s="162" t="n"/>
      <c r="F1374" s="166" t="n"/>
      <c r="G1374" s="162" t="n"/>
      <c r="H1374" s="162" t="n"/>
      <c r="I1374" s="189">
        <f>E1374*G1374</f>
        <v/>
      </c>
      <c r="J1374" s="195" t="n"/>
      <c r="K1374" s="162" t="n"/>
      <c r="L1374" s="168" t="n"/>
      <c r="M1374" s="75">
        <f>_xlfn.XLOOKUP(L1374,list_vat[Страна],list_vat[Ставка НДС %],0,0)</f>
        <v/>
      </c>
      <c r="N1374" s="162">
        <f>IFERROR(IF(L1374="Китай",K1374,K1374/(1+M1374)),0)</f>
        <v/>
      </c>
      <c r="O1374" s="169" t="n"/>
      <c r="P1374" s="76">
        <f>N1374*(1-O1374)</f>
        <v/>
      </c>
      <c r="Q1374" s="162" t="n"/>
      <c r="R1374" s="162">
        <f>IF(ISBLANK(Q1374),"введи курс",P1374/Q1374)</f>
        <v/>
      </c>
      <c r="S1374" s="196">
        <f>IF(AND(ISNUMBER(E1374),ISNUMBER(Q1374)),E1374*R1374,0)</f>
        <v/>
      </c>
      <c r="T1374" s="192">
        <f>$BC1374*V$11</f>
        <v/>
      </c>
      <c r="U1374" s="76">
        <f>$BC1374*W$11</f>
        <v/>
      </c>
      <c r="V1374" s="193">
        <f>+SUM(T1374:U1374)</f>
        <v/>
      </c>
      <c r="W1374" s="191" t="n"/>
      <c r="X1374" s="170" t="n"/>
      <c r="Y1374" s="76">
        <f>ROUND(IF(offer_incoterms="DDP",X1374*(S1374*(1+AW1374)+T1374),0),2)</f>
        <v/>
      </c>
      <c r="Z1374" s="188" t="n"/>
      <c r="AA1374" s="192">
        <f>IFERROR(AB1374/E1374,0)</f>
        <v/>
      </c>
      <c r="AB1374" s="76">
        <f>ROUND(SUM(S1374,V1374,Y1374:Z1374,BA1374:BB1374),2)</f>
        <v/>
      </c>
      <c r="AC1374" s="797" t="n"/>
      <c r="AD1374" s="192">
        <f t="array" ref="AD1374">IFERROR(ROUND((_xlfn.IFS(offer_sale_type="поставка",AB1374,offer_sale_type="транзит",S1374)*(1+AC1374))/E1374,2),0)</f>
        <v/>
      </c>
      <c r="AE1374" s="76">
        <f>AD1374*E1374</f>
        <v/>
      </c>
      <c r="AF1374" s="193">
        <f t="array" ref="AF1374">IFERROR(ROUND(_xlfn.IFS(offer_sale_type="поставка",AB1374,offer_sale_type="транзит",S1374)*AC1374,2),0)</f>
        <v/>
      </c>
      <c r="AG1374" s="192">
        <f>$BD1374*VLOOKUP($AG$3,$AF$4:$AG$7,2,FALSE)</f>
        <v/>
      </c>
      <c r="AH1374" s="76">
        <f>SUM(AE1374,AG1374,AI1374)*rate_forex_risk</f>
        <v/>
      </c>
      <c r="AI1374" s="193">
        <f>IF(OR(seller_region="TR",offer_sale_type="экспорт"),0,rate_fin_comm)*SUM(AZ1374,AZ1374*AW1374,T1374)</f>
        <v/>
      </c>
      <c r="AJ1374" s="118">
        <f>IFERROR(ROUND(SUM(AB1374,AF1374:AI1374)/E1374,2),0)</f>
        <v/>
      </c>
      <c r="AK1374" s="76">
        <f>AJ1374*E1374</f>
        <v/>
      </c>
      <c r="AL1374" s="174">
        <f>ROUND(IFERROR(AM1374*E1374,0),2)</f>
        <v/>
      </c>
      <c r="AM1374" s="175">
        <f>ROUND(AJ1374*(1+IF(offer_incoterms="DDP",IF((TODAY()+offer_turnaround_time)&gt;=helpsheet!$L$17,rate_vatRU_from_26,rate_vatRu_till_25),0)),2)</f>
        <v/>
      </c>
      <c r="AN1374" s="192">
        <f>AL1374-AK1374</f>
        <v/>
      </c>
      <c r="AO1374" s="76">
        <f>SUM(AY1374,Y1374:Z1374,T1374)*IF(AND(offer_incoterms="DDP",offer_sale_type&lt;&gt;"экспорт"),IF((TODAY()+offer_turnaround_time)&gt;=helpsheet!$L$17,rate_vatRU_from_26,rate_vatRu_till_25),0)</f>
        <v/>
      </c>
      <c r="AP1374" s="193">
        <f>AN1374-AO1374</f>
        <v/>
      </c>
      <c r="AQ1374" s="118">
        <f>IF(offer_sale_type="транзит",SUM(AF1374:AI1374,BA1374,BB1374),0)</f>
        <v/>
      </c>
      <c r="AR1374" s="82">
        <f>HYPERLINK("https://www.alta.ru/tnved/code/")&amp;W1374&amp;"/"</f>
        <v/>
      </c>
      <c r="AS1374" s="157" t="n"/>
      <c r="AT1374" s="162" t="n"/>
      <c r="AU1374" s="76">
        <f>IF(ISBLANK(AT1374),0,AJ1374-AT1374)</f>
        <v/>
      </c>
      <c r="AV1374" s="157" t="n"/>
      <c r="AW1374" s="75">
        <f>_xlfn.IFNA(VLOOKUP(L1374,list_vat[],3,FALSE),0)</f>
        <v/>
      </c>
      <c r="AX1374" s="76">
        <f>IFERROR(ROUND(S1374*(1+AW1374)/E1374,2),0)</f>
        <v/>
      </c>
      <c r="AY1374" s="76">
        <f>E1374*AX1374</f>
        <v/>
      </c>
      <c r="AZ1374" s="192">
        <f>S1374*(1+M1374)</f>
        <v/>
      </c>
      <c r="BA1374" s="76">
        <f>cost_fin_total*$BD1374</f>
        <v/>
      </c>
      <c r="BB1374" s="193">
        <f>credit_sales_interest*BD1374</f>
        <v/>
      </c>
      <c r="BC1374" s="102">
        <f>IFERROR(IF($I$13&gt;0,$I1374/$I$13,$S1374/$S$13),0)</f>
        <v/>
      </c>
      <c r="BD1374" s="102">
        <f>IFERROR($S1374/$S$13,0)</f>
        <v/>
      </c>
      <c r="BE1374" s="413" t="inlineStr">
        <is>
          <t>$</t>
        </is>
      </c>
    </row>
    <row r="1375" ht="12" customFormat="1" customHeight="1" s="65">
      <c r="A1375" s="43" t="n">
        <v>1360</v>
      </c>
      <c r="B1375" s="166" t="n"/>
      <c r="C1375" s="166" t="n"/>
      <c r="D1375" s="166" t="n"/>
      <c r="E1375" s="162" t="n"/>
      <c r="F1375" s="166" t="n"/>
      <c r="G1375" s="162" t="n"/>
      <c r="H1375" s="162" t="n"/>
      <c r="I1375" s="189">
        <f>E1375*G1375</f>
        <v/>
      </c>
      <c r="J1375" s="195" t="n"/>
      <c r="K1375" s="162" t="n"/>
      <c r="L1375" s="168" t="n"/>
      <c r="M1375" s="75">
        <f>_xlfn.XLOOKUP(L1375,list_vat[Страна],list_vat[Ставка НДС %],0,0)</f>
        <v/>
      </c>
      <c r="N1375" s="162">
        <f>IFERROR(IF(L1375="Китай",K1375,K1375/(1+M1375)),0)</f>
        <v/>
      </c>
      <c r="O1375" s="169" t="n"/>
      <c r="P1375" s="76">
        <f>N1375*(1-O1375)</f>
        <v/>
      </c>
      <c r="Q1375" s="162" t="n"/>
      <c r="R1375" s="162">
        <f>IF(ISBLANK(Q1375),"введи курс",P1375/Q1375)</f>
        <v/>
      </c>
      <c r="S1375" s="196">
        <f>IF(AND(ISNUMBER(E1375),ISNUMBER(Q1375)),E1375*R1375,0)</f>
        <v/>
      </c>
      <c r="T1375" s="192">
        <f>$BC1375*V$11</f>
        <v/>
      </c>
      <c r="U1375" s="76">
        <f>$BC1375*W$11</f>
        <v/>
      </c>
      <c r="V1375" s="193">
        <f>+SUM(T1375:U1375)</f>
        <v/>
      </c>
      <c r="W1375" s="191" t="n"/>
      <c r="X1375" s="170" t="n"/>
      <c r="Y1375" s="76">
        <f>ROUND(IF(offer_incoterms="DDP",X1375*(S1375*(1+AW1375)+T1375),0),2)</f>
        <v/>
      </c>
      <c r="Z1375" s="188" t="n"/>
      <c r="AA1375" s="192">
        <f>IFERROR(AB1375/E1375,0)</f>
        <v/>
      </c>
      <c r="AB1375" s="76">
        <f>ROUND(SUM(S1375,V1375,Y1375:Z1375,BA1375:BB1375),2)</f>
        <v/>
      </c>
      <c r="AC1375" s="797" t="n"/>
      <c r="AD1375" s="192">
        <f t="array" ref="AD1375">IFERROR(ROUND((_xlfn.IFS(offer_sale_type="поставка",AB1375,offer_sale_type="транзит",S1375)*(1+AC1375))/E1375,2),0)</f>
        <v/>
      </c>
      <c r="AE1375" s="76">
        <f>AD1375*E1375</f>
        <v/>
      </c>
      <c r="AF1375" s="193">
        <f t="array" ref="AF1375">IFERROR(ROUND(_xlfn.IFS(offer_sale_type="поставка",AB1375,offer_sale_type="транзит",S1375)*AC1375,2),0)</f>
        <v/>
      </c>
      <c r="AG1375" s="192">
        <f>$BD1375*VLOOKUP($AG$3,$AF$4:$AG$7,2,FALSE)</f>
        <v/>
      </c>
      <c r="AH1375" s="76">
        <f>SUM(AE1375,AG1375,AI1375)*rate_forex_risk</f>
        <v/>
      </c>
      <c r="AI1375" s="193">
        <f>IF(OR(seller_region="TR",offer_sale_type="экспорт"),0,rate_fin_comm)*SUM(AZ1375,AZ1375*AW1375,T1375)</f>
        <v/>
      </c>
      <c r="AJ1375" s="118">
        <f>IFERROR(ROUND(SUM(AB1375,AF1375:AI1375)/E1375,2),0)</f>
        <v/>
      </c>
      <c r="AK1375" s="76">
        <f>AJ1375*E1375</f>
        <v/>
      </c>
      <c r="AL1375" s="174">
        <f>ROUND(IFERROR(AM1375*E1375,0),2)</f>
        <v/>
      </c>
      <c r="AM1375" s="175">
        <f>ROUND(AJ1375*(1+IF(offer_incoterms="DDP",IF((TODAY()+offer_turnaround_time)&gt;=helpsheet!$L$17,rate_vatRU_from_26,rate_vatRu_till_25),0)),2)</f>
        <v/>
      </c>
      <c r="AN1375" s="192">
        <f>AL1375-AK1375</f>
        <v/>
      </c>
      <c r="AO1375" s="76">
        <f>SUM(AY1375,Y1375:Z1375,T1375)*IF(AND(offer_incoterms="DDP",offer_sale_type&lt;&gt;"экспорт"),IF((TODAY()+offer_turnaround_time)&gt;=helpsheet!$L$17,rate_vatRU_from_26,rate_vatRu_till_25),0)</f>
        <v/>
      </c>
      <c r="AP1375" s="193">
        <f>AN1375-AO1375</f>
        <v/>
      </c>
      <c r="AQ1375" s="118">
        <f>IF(offer_sale_type="транзит",SUM(AF1375:AI1375,BA1375,BB1375),0)</f>
        <v/>
      </c>
      <c r="AR1375" s="82">
        <f>HYPERLINK("https://www.alta.ru/tnved/code/")&amp;W1375&amp;"/"</f>
        <v/>
      </c>
      <c r="AS1375" s="157" t="n"/>
      <c r="AT1375" s="162" t="n"/>
      <c r="AU1375" s="76">
        <f>IF(ISBLANK(AT1375),0,AJ1375-AT1375)</f>
        <v/>
      </c>
      <c r="AV1375" s="157" t="n"/>
      <c r="AW1375" s="75">
        <f>_xlfn.IFNA(VLOOKUP(L1375,list_vat[],3,FALSE),0)</f>
        <v/>
      </c>
      <c r="AX1375" s="76">
        <f>IFERROR(ROUND(S1375*(1+AW1375)/E1375,2),0)</f>
        <v/>
      </c>
      <c r="AY1375" s="76">
        <f>E1375*AX1375</f>
        <v/>
      </c>
      <c r="AZ1375" s="192">
        <f>S1375*(1+M1375)</f>
        <v/>
      </c>
      <c r="BA1375" s="76">
        <f>cost_fin_total*$BD1375</f>
        <v/>
      </c>
      <c r="BB1375" s="193">
        <f>credit_sales_interest*BD1375</f>
        <v/>
      </c>
      <c r="BC1375" s="102">
        <f>IFERROR(IF($I$13&gt;0,$I1375/$I$13,$S1375/$S$13),0)</f>
        <v/>
      </c>
      <c r="BD1375" s="102">
        <f>IFERROR($S1375/$S$13,0)</f>
        <v/>
      </c>
      <c r="BE1375" s="413" t="inlineStr">
        <is>
          <t>$</t>
        </is>
      </c>
    </row>
    <row r="1376" ht="12" customFormat="1" customHeight="1" s="65">
      <c r="A1376" s="43" t="n">
        <v>1361</v>
      </c>
      <c r="B1376" s="166" t="n"/>
      <c r="C1376" s="166" t="n"/>
      <c r="D1376" s="166" t="n"/>
      <c r="E1376" s="162" t="n"/>
      <c r="F1376" s="166" t="n"/>
      <c r="G1376" s="162" t="n"/>
      <c r="H1376" s="162" t="n"/>
      <c r="I1376" s="189">
        <f>E1376*G1376</f>
        <v/>
      </c>
      <c r="J1376" s="195" t="n"/>
      <c r="K1376" s="162" t="n"/>
      <c r="L1376" s="168" t="n"/>
      <c r="M1376" s="75">
        <f>_xlfn.XLOOKUP(L1376,list_vat[Страна],list_vat[Ставка НДС %],0,0)</f>
        <v/>
      </c>
      <c r="N1376" s="162">
        <f>IFERROR(IF(L1376="Китай",K1376,K1376/(1+M1376)),0)</f>
        <v/>
      </c>
      <c r="O1376" s="169" t="n"/>
      <c r="P1376" s="76">
        <f>N1376*(1-O1376)</f>
        <v/>
      </c>
      <c r="Q1376" s="162" t="n"/>
      <c r="R1376" s="162">
        <f>IF(ISBLANK(Q1376),"введи курс",P1376/Q1376)</f>
        <v/>
      </c>
      <c r="S1376" s="196">
        <f>IF(AND(ISNUMBER(E1376),ISNUMBER(Q1376)),E1376*R1376,0)</f>
        <v/>
      </c>
      <c r="T1376" s="192">
        <f>$BC1376*V$11</f>
        <v/>
      </c>
      <c r="U1376" s="76">
        <f>$BC1376*W$11</f>
        <v/>
      </c>
      <c r="V1376" s="193">
        <f>+SUM(T1376:U1376)</f>
        <v/>
      </c>
      <c r="W1376" s="191" t="n"/>
      <c r="X1376" s="170" t="n"/>
      <c r="Y1376" s="76">
        <f>ROUND(IF(offer_incoterms="DDP",X1376*(S1376*(1+AW1376)+T1376),0),2)</f>
        <v/>
      </c>
      <c r="Z1376" s="188" t="n"/>
      <c r="AA1376" s="192">
        <f>IFERROR(AB1376/E1376,0)</f>
        <v/>
      </c>
      <c r="AB1376" s="76">
        <f>ROUND(SUM(S1376,V1376,Y1376:Z1376,BA1376:BB1376),2)</f>
        <v/>
      </c>
      <c r="AC1376" s="797" t="n"/>
      <c r="AD1376" s="192">
        <f t="array" ref="AD1376">IFERROR(ROUND((_xlfn.IFS(offer_sale_type="поставка",AB1376,offer_sale_type="транзит",S1376)*(1+AC1376))/E1376,2),0)</f>
        <v/>
      </c>
      <c r="AE1376" s="76">
        <f>AD1376*E1376</f>
        <v/>
      </c>
      <c r="AF1376" s="193">
        <f t="array" ref="AF1376">IFERROR(ROUND(_xlfn.IFS(offer_sale_type="поставка",AB1376,offer_sale_type="транзит",S1376)*AC1376,2),0)</f>
        <v/>
      </c>
      <c r="AG1376" s="192">
        <f>$BD1376*VLOOKUP($AG$3,$AF$4:$AG$7,2,FALSE)</f>
        <v/>
      </c>
      <c r="AH1376" s="76">
        <f>SUM(AE1376,AG1376,AI1376)*rate_forex_risk</f>
        <v/>
      </c>
      <c r="AI1376" s="193">
        <f>IF(OR(seller_region="TR",offer_sale_type="экспорт"),0,rate_fin_comm)*SUM(AZ1376,AZ1376*AW1376,T1376)</f>
        <v/>
      </c>
      <c r="AJ1376" s="118">
        <f>IFERROR(ROUND(SUM(AB1376,AF1376:AI1376)/E1376,2),0)</f>
        <v/>
      </c>
      <c r="AK1376" s="76">
        <f>AJ1376*E1376</f>
        <v/>
      </c>
      <c r="AL1376" s="174">
        <f>ROUND(IFERROR(AM1376*E1376,0),2)</f>
        <v/>
      </c>
      <c r="AM1376" s="175">
        <f>ROUND(AJ1376*(1+IF(offer_incoterms="DDP",IF((TODAY()+offer_turnaround_time)&gt;=helpsheet!$L$17,rate_vatRU_from_26,rate_vatRu_till_25),0)),2)</f>
        <v/>
      </c>
      <c r="AN1376" s="192">
        <f>AL1376-AK1376</f>
        <v/>
      </c>
      <c r="AO1376" s="76">
        <f>SUM(AY1376,Y1376:Z1376,T1376)*IF(AND(offer_incoterms="DDP",offer_sale_type&lt;&gt;"экспорт"),IF((TODAY()+offer_turnaround_time)&gt;=helpsheet!$L$17,rate_vatRU_from_26,rate_vatRu_till_25),0)</f>
        <v/>
      </c>
      <c r="AP1376" s="193">
        <f>AN1376-AO1376</f>
        <v/>
      </c>
      <c r="AQ1376" s="118">
        <f>IF(offer_sale_type="транзит",SUM(AF1376:AI1376,BA1376,BB1376),0)</f>
        <v/>
      </c>
      <c r="AR1376" s="82">
        <f>HYPERLINK("https://www.alta.ru/tnved/code/")&amp;W1376&amp;"/"</f>
        <v/>
      </c>
      <c r="AS1376" s="157" t="n"/>
      <c r="AT1376" s="162" t="n"/>
      <c r="AU1376" s="76">
        <f>IF(ISBLANK(AT1376),0,AJ1376-AT1376)</f>
        <v/>
      </c>
      <c r="AV1376" s="157" t="n"/>
      <c r="AW1376" s="75">
        <f>_xlfn.IFNA(VLOOKUP(L1376,list_vat[],3,FALSE),0)</f>
        <v/>
      </c>
      <c r="AX1376" s="76">
        <f>IFERROR(ROUND(S1376*(1+AW1376)/E1376,2),0)</f>
        <v/>
      </c>
      <c r="AY1376" s="76">
        <f>E1376*AX1376</f>
        <v/>
      </c>
      <c r="AZ1376" s="192">
        <f>S1376*(1+M1376)</f>
        <v/>
      </c>
      <c r="BA1376" s="76">
        <f>cost_fin_total*$BD1376</f>
        <v/>
      </c>
      <c r="BB1376" s="193">
        <f>credit_sales_interest*BD1376</f>
        <v/>
      </c>
      <c r="BC1376" s="102">
        <f>IFERROR(IF($I$13&gt;0,$I1376/$I$13,$S1376/$S$13),0)</f>
        <v/>
      </c>
      <c r="BD1376" s="102">
        <f>IFERROR($S1376/$S$13,0)</f>
        <v/>
      </c>
      <c r="BE1376" s="413" t="inlineStr">
        <is>
          <t>$</t>
        </is>
      </c>
    </row>
    <row r="1377" ht="12" customFormat="1" customHeight="1" s="65">
      <c r="A1377" s="43" t="n">
        <v>1362</v>
      </c>
      <c r="B1377" s="166" t="n"/>
      <c r="C1377" s="166" t="n"/>
      <c r="D1377" s="166" t="n"/>
      <c r="E1377" s="162" t="n"/>
      <c r="F1377" s="166" t="n"/>
      <c r="G1377" s="162" t="n"/>
      <c r="H1377" s="162" t="n"/>
      <c r="I1377" s="189">
        <f>E1377*G1377</f>
        <v/>
      </c>
      <c r="J1377" s="195" t="n"/>
      <c r="K1377" s="162" t="n"/>
      <c r="L1377" s="168" t="n"/>
      <c r="M1377" s="75">
        <f>_xlfn.XLOOKUP(L1377,list_vat[Страна],list_vat[Ставка НДС %],0,0)</f>
        <v/>
      </c>
      <c r="N1377" s="162">
        <f>IFERROR(IF(L1377="Китай",K1377,K1377/(1+M1377)),0)</f>
        <v/>
      </c>
      <c r="O1377" s="169" t="n"/>
      <c r="P1377" s="76">
        <f>N1377*(1-O1377)</f>
        <v/>
      </c>
      <c r="Q1377" s="162" t="n"/>
      <c r="R1377" s="162">
        <f>IF(ISBLANK(Q1377),"введи курс",P1377/Q1377)</f>
        <v/>
      </c>
      <c r="S1377" s="196">
        <f>IF(AND(ISNUMBER(E1377),ISNUMBER(Q1377)),E1377*R1377,0)</f>
        <v/>
      </c>
      <c r="T1377" s="192">
        <f>$BC1377*V$11</f>
        <v/>
      </c>
      <c r="U1377" s="76">
        <f>$BC1377*W$11</f>
        <v/>
      </c>
      <c r="V1377" s="193">
        <f>+SUM(T1377:U1377)</f>
        <v/>
      </c>
      <c r="W1377" s="191" t="n"/>
      <c r="X1377" s="170" t="n"/>
      <c r="Y1377" s="76">
        <f>ROUND(IF(offer_incoterms="DDP",X1377*(S1377*(1+AW1377)+T1377),0),2)</f>
        <v/>
      </c>
      <c r="Z1377" s="188" t="n"/>
      <c r="AA1377" s="192">
        <f>IFERROR(AB1377/E1377,0)</f>
        <v/>
      </c>
      <c r="AB1377" s="76">
        <f>ROUND(SUM(S1377,V1377,Y1377:Z1377,BA1377:BB1377),2)</f>
        <v/>
      </c>
      <c r="AC1377" s="797" t="n"/>
      <c r="AD1377" s="192">
        <f t="array" ref="AD1377">IFERROR(ROUND((_xlfn.IFS(offer_sale_type="поставка",AB1377,offer_sale_type="транзит",S1377)*(1+AC1377))/E1377,2),0)</f>
        <v/>
      </c>
      <c r="AE1377" s="76">
        <f>AD1377*E1377</f>
        <v/>
      </c>
      <c r="AF1377" s="193">
        <f t="array" ref="AF1377">IFERROR(ROUND(_xlfn.IFS(offer_sale_type="поставка",AB1377,offer_sale_type="транзит",S1377)*AC1377,2),0)</f>
        <v/>
      </c>
      <c r="AG1377" s="192">
        <f>$BD1377*VLOOKUP($AG$3,$AF$4:$AG$7,2,FALSE)</f>
        <v/>
      </c>
      <c r="AH1377" s="76">
        <f>SUM(AE1377,AG1377,AI1377)*rate_forex_risk</f>
        <v/>
      </c>
      <c r="AI1377" s="193">
        <f>IF(OR(seller_region="TR",offer_sale_type="экспорт"),0,rate_fin_comm)*SUM(AZ1377,AZ1377*AW1377,T1377)</f>
        <v/>
      </c>
      <c r="AJ1377" s="118">
        <f>IFERROR(ROUND(SUM(AB1377,AF1377:AI1377)/E1377,2),0)</f>
        <v/>
      </c>
      <c r="AK1377" s="76">
        <f>AJ1377*E1377</f>
        <v/>
      </c>
      <c r="AL1377" s="174">
        <f>ROUND(IFERROR(AM1377*E1377,0),2)</f>
        <v/>
      </c>
      <c r="AM1377" s="175">
        <f>ROUND(AJ1377*(1+IF(offer_incoterms="DDP",IF((TODAY()+offer_turnaround_time)&gt;=helpsheet!$L$17,rate_vatRU_from_26,rate_vatRu_till_25),0)),2)</f>
        <v/>
      </c>
      <c r="AN1377" s="192">
        <f>AL1377-AK1377</f>
        <v/>
      </c>
      <c r="AO1377" s="76">
        <f>SUM(AY1377,Y1377:Z1377,T1377)*IF(AND(offer_incoterms="DDP",offer_sale_type&lt;&gt;"экспорт"),IF((TODAY()+offer_turnaround_time)&gt;=helpsheet!$L$17,rate_vatRU_from_26,rate_vatRu_till_25),0)</f>
        <v/>
      </c>
      <c r="AP1377" s="193">
        <f>AN1377-AO1377</f>
        <v/>
      </c>
      <c r="AQ1377" s="118">
        <f>IF(offer_sale_type="транзит",SUM(AF1377:AI1377,BA1377,BB1377),0)</f>
        <v/>
      </c>
      <c r="AR1377" s="82">
        <f>HYPERLINK("https://www.alta.ru/tnved/code/")&amp;W1377&amp;"/"</f>
        <v/>
      </c>
      <c r="AS1377" s="157" t="n"/>
      <c r="AT1377" s="162" t="n"/>
      <c r="AU1377" s="76">
        <f>IF(ISBLANK(AT1377),0,AJ1377-AT1377)</f>
        <v/>
      </c>
      <c r="AV1377" s="157" t="n"/>
      <c r="AW1377" s="75">
        <f>_xlfn.IFNA(VLOOKUP(L1377,list_vat[],3,FALSE),0)</f>
        <v/>
      </c>
      <c r="AX1377" s="76">
        <f>IFERROR(ROUND(S1377*(1+AW1377)/E1377,2),0)</f>
        <v/>
      </c>
      <c r="AY1377" s="76">
        <f>E1377*AX1377</f>
        <v/>
      </c>
      <c r="AZ1377" s="192">
        <f>S1377*(1+M1377)</f>
        <v/>
      </c>
      <c r="BA1377" s="76">
        <f>cost_fin_total*$BD1377</f>
        <v/>
      </c>
      <c r="BB1377" s="193">
        <f>credit_sales_interest*BD1377</f>
        <v/>
      </c>
      <c r="BC1377" s="102">
        <f>IFERROR(IF($I$13&gt;0,$I1377/$I$13,$S1377/$S$13),0)</f>
        <v/>
      </c>
      <c r="BD1377" s="102">
        <f>IFERROR($S1377/$S$13,0)</f>
        <v/>
      </c>
      <c r="BE1377" s="413" t="inlineStr">
        <is>
          <t>$</t>
        </is>
      </c>
    </row>
    <row r="1378" ht="12" customFormat="1" customHeight="1" s="65">
      <c r="A1378" s="43" t="n">
        <v>1363</v>
      </c>
      <c r="B1378" s="166" t="n"/>
      <c r="C1378" s="166" t="n"/>
      <c r="D1378" s="166" t="n"/>
      <c r="E1378" s="162" t="n"/>
      <c r="F1378" s="166" t="n"/>
      <c r="G1378" s="162" t="n"/>
      <c r="H1378" s="162" t="n"/>
      <c r="I1378" s="189">
        <f>E1378*G1378</f>
        <v/>
      </c>
      <c r="J1378" s="195" t="n"/>
      <c r="K1378" s="162" t="n"/>
      <c r="L1378" s="168" t="n"/>
      <c r="M1378" s="75">
        <f>_xlfn.XLOOKUP(L1378,list_vat[Страна],list_vat[Ставка НДС %],0,0)</f>
        <v/>
      </c>
      <c r="N1378" s="162">
        <f>IFERROR(IF(L1378="Китай",K1378,K1378/(1+M1378)),0)</f>
        <v/>
      </c>
      <c r="O1378" s="169" t="n"/>
      <c r="P1378" s="76">
        <f>N1378*(1-O1378)</f>
        <v/>
      </c>
      <c r="Q1378" s="162" t="n"/>
      <c r="R1378" s="162">
        <f>IF(ISBLANK(Q1378),"введи курс",P1378/Q1378)</f>
        <v/>
      </c>
      <c r="S1378" s="196">
        <f>IF(AND(ISNUMBER(E1378),ISNUMBER(Q1378)),E1378*R1378,0)</f>
        <v/>
      </c>
      <c r="T1378" s="192">
        <f>$BC1378*V$11</f>
        <v/>
      </c>
      <c r="U1378" s="76">
        <f>$BC1378*W$11</f>
        <v/>
      </c>
      <c r="V1378" s="193">
        <f>+SUM(T1378:U1378)</f>
        <v/>
      </c>
      <c r="W1378" s="191" t="n"/>
      <c r="X1378" s="170" t="n"/>
      <c r="Y1378" s="76">
        <f>ROUND(IF(offer_incoterms="DDP",X1378*(S1378*(1+AW1378)+T1378),0),2)</f>
        <v/>
      </c>
      <c r="Z1378" s="188" t="n"/>
      <c r="AA1378" s="192">
        <f>IFERROR(AB1378/E1378,0)</f>
        <v/>
      </c>
      <c r="AB1378" s="76">
        <f>ROUND(SUM(S1378,V1378,Y1378:Z1378,BA1378:BB1378),2)</f>
        <v/>
      </c>
      <c r="AC1378" s="797" t="n"/>
      <c r="AD1378" s="192">
        <f t="array" ref="AD1378">IFERROR(ROUND((_xlfn.IFS(offer_sale_type="поставка",AB1378,offer_sale_type="транзит",S1378)*(1+AC1378))/E1378,2),0)</f>
        <v/>
      </c>
      <c r="AE1378" s="76">
        <f>AD1378*E1378</f>
        <v/>
      </c>
      <c r="AF1378" s="193">
        <f t="array" ref="AF1378">IFERROR(ROUND(_xlfn.IFS(offer_sale_type="поставка",AB1378,offer_sale_type="транзит",S1378)*AC1378,2),0)</f>
        <v/>
      </c>
      <c r="AG1378" s="192">
        <f>$BD1378*VLOOKUP($AG$3,$AF$4:$AG$7,2,FALSE)</f>
        <v/>
      </c>
      <c r="AH1378" s="76">
        <f>SUM(AE1378,AG1378,AI1378)*rate_forex_risk</f>
        <v/>
      </c>
      <c r="AI1378" s="193">
        <f>IF(OR(seller_region="TR",offer_sale_type="экспорт"),0,rate_fin_comm)*SUM(AZ1378,AZ1378*AW1378,T1378)</f>
        <v/>
      </c>
      <c r="AJ1378" s="118">
        <f>IFERROR(ROUND(SUM(AB1378,AF1378:AI1378)/E1378,2),0)</f>
        <v/>
      </c>
      <c r="AK1378" s="76">
        <f>AJ1378*E1378</f>
        <v/>
      </c>
      <c r="AL1378" s="174">
        <f>ROUND(IFERROR(AM1378*E1378,0),2)</f>
        <v/>
      </c>
      <c r="AM1378" s="175">
        <f>ROUND(AJ1378*(1+IF(offer_incoterms="DDP",IF((TODAY()+offer_turnaround_time)&gt;=helpsheet!$L$17,rate_vatRU_from_26,rate_vatRu_till_25),0)),2)</f>
        <v/>
      </c>
      <c r="AN1378" s="192">
        <f>AL1378-AK1378</f>
        <v/>
      </c>
      <c r="AO1378" s="76">
        <f>SUM(AY1378,Y1378:Z1378,T1378)*IF(AND(offer_incoterms="DDP",offer_sale_type&lt;&gt;"экспорт"),IF((TODAY()+offer_turnaround_time)&gt;=helpsheet!$L$17,rate_vatRU_from_26,rate_vatRu_till_25),0)</f>
        <v/>
      </c>
      <c r="AP1378" s="193">
        <f>AN1378-AO1378</f>
        <v/>
      </c>
      <c r="AQ1378" s="118">
        <f>IF(offer_sale_type="транзит",SUM(AF1378:AI1378,BA1378,BB1378),0)</f>
        <v/>
      </c>
      <c r="AR1378" s="82">
        <f>HYPERLINK("https://www.alta.ru/tnved/code/")&amp;W1378&amp;"/"</f>
        <v/>
      </c>
      <c r="AS1378" s="157" t="n"/>
      <c r="AT1378" s="162" t="n"/>
      <c r="AU1378" s="76">
        <f>IF(ISBLANK(AT1378),0,AJ1378-AT1378)</f>
        <v/>
      </c>
      <c r="AV1378" s="157" t="n"/>
      <c r="AW1378" s="75">
        <f>_xlfn.IFNA(VLOOKUP(L1378,list_vat[],3,FALSE),0)</f>
        <v/>
      </c>
      <c r="AX1378" s="76">
        <f>IFERROR(ROUND(S1378*(1+AW1378)/E1378,2),0)</f>
        <v/>
      </c>
      <c r="AY1378" s="76">
        <f>E1378*AX1378</f>
        <v/>
      </c>
      <c r="AZ1378" s="192">
        <f>S1378*(1+M1378)</f>
        <v/>
      </c>
      <c r="BA1378" s="76">
        <f>cost_fin_total*$BD1378</f>
        <v/>
      </c>
      <c r="BB1378" s="193">
        <f>credit_sales_interest*BD1378</f>
        <v/>
      </c>
      <c r="BC1378" s="102">
        <f>IFERROR(IF($I$13&gt;0,$I1378/$I$13,$S1378/$S$13),0)</f>
        <v/>
      </c>
      <c r="BD1378" s="102">
        <f>IFERROR($S1378/$S$13,0)</f>
        <v/>
      </c>
      <c r="BE1378" s="413" t="inlineStr">
        <is>
          <t>$</t>
        </is>
      </c>
    </row>
    <row r="1379" ht="12" customFormat="1" customHeight="1" s="65">
      <c r="A1379" s="43" t="n">
        <v>1364</v>
      </c>
      <c r="B1379" s="166" t="n"/>
      <c r="C1379" s="166" t="n"/>
      <c r="D1379" s="166" t="n"/>
      <c r="E1379" s="162" t="n"/>
      <c r="F1379" s="166" t="n"/>
      <c r="G1379" s="162" t="n"/>
      <c r="H1379" s="162" t="n"/>
      <c r="I1379" s="189">
        <f>E1379*G1379</f>
        <v/>
      </c>
      <c r="J1379" s="195" t="n"/>
      <c r="K1379" s="162" t="n"/>
      <c r="L1379" s="168" t="n"/>
      <c r="M1379" s="75">
        <f>_xlfn.XLOOKUP(L1379,list_vat[Страна],list_vat[Ставка НДС %],0,0)</f>
        <v/>
      </c>
      <c r="N1379" s="162">
        <f>IFERROR(IF(L1379="Китай",K1379,K1379/(1+M1379)),0)</f>
        <v/>
      </c>
      <c r="O1379" s="169" t="n"/>
      <c r="P1379" s="76">
        <f>N1379*(1-O1379)</f>
        <v/>
      </c>
      <c r="Q1379" s="162" t="n"/>
      <c r="R1379" s="162">
        <f>IF(ISBLANK(Q1379),"введи курс",P1379/Q1379)</f>
        <v/>
      </c>
      <c r="S1379" s="196">
        <f>IF(AND(ISNUMBER(E1379),ISNUMBER(Q1379)),E1379*R1379,0)</f>
        <v/>
      </c>
      <c r="T1379" s="192">
        <f>$BC1379*V$11</f>
        <v/>
      </c>
      <c r="U1379" s="76">
        <f>$BC1379*W$11</f>
        <v/>
      </c>
      <c r="V1379" s="193">
        <f>+SUM(T1379:U1379)</f>
        <v/>
      </c>
      <c r="W1379" s="191" t="n"/>
      <c r="X1379" s="170" t="n"/>
      <c r="Y1379" s="76">
        <f>ROUND(IF(offer_incoterms="DDP",X1379*(S1379*(1+AW1379)+T1379),0),2)</f>
        <v/>
      </c>
      <c r="Z1379" s="188" t="n"/>
      <c r="AA1379" s="192">
        <f>IFERROR(AB1379/E1379,0)</f>
        <v/>
      </c>
      <c r="AB1379" s="76">
        <f>ROUND(SUM(S1379,V1379,Y1379:Z1379,BA1379:BB1379),2)</f>
        <v/>
      </c>
      <c r="AC1379" s="797" t="n"/>
      <c r="AD1379" s="192">
        <f t="array" ref="AD1379">IFERROR(ROUND((_xlfn.IFS(offer_sale_type="поставка",AB1379,offer_sale_type="транзит",S1379)*(1+AC1379))/E1379,2),0)</f>
        <v/>
      </c>
      <c r="AE1379" s="76">
        <f>AD1379*E1379</f>
        <v/>
      </c>
      <c r="AF1379" s="193">
        <f t="array" ref="AF1379">IFERROR(ROUND(_xlfn.IFS(offer_sale_type="поставка",AB1379,offer_sale_type="транзит",S1379)*AC1379,2),0)</f>
        <v/>
      </c>
      <c r="AG1379" s="192">
        <f>$BD1379*VLOOKUP($AG$3,$AF$4:$AG$7,2,FALSE)</f>
        <v/>
      </c>
      <c r="AH1379" s="76">
        <f>SUM(AE1379,AG1379,AI1379)*rate_forex_risk</f>
        <v/>
      </c>
      <c r="AI1379" s="193">
        <f>IF(OR(seller_region="TR",offer_sale_type="экспорт"),0,rate_fin_comm)*SUM(AZ1379,AZ1379*AW1379,T1379)</f>
        <v/>
      </c>
      <c r="AJ1379" s="118">
        <f>IFERROR(ROUND(SUM(AB1379,AF1379:AI1379)/E1379,2),0)</f>
        <v/>
      </c>
      <c r="AK1379" s="76">
        <f>AJ1379*E1379</f>
        <v/>
      </c>
      <c r="AL1379" s="174">
        <f>ROUND(IFERROR(AM1379*E1379,0),2)</f>
        <v/>
      </c>
      <c r="AM1379" s="175">
        <f>ROUND(AJ1379*(1+IF(offer_incoterms="DDP",IF((TODAY()+offer_turnaround_time)&gt;=helpsheet!$L$17,rate_vatRU_from_26,rate_vatRu_till_25),0)),2)</f>
        <v/>
      </c>
      <c r="AN1379" s="192">
        <f>AL1379-AK1379</f>
        <v/>
      </c>
      <c r="AO1379" s="76">
        <f>SUM(AY1379,Y1379:Z1379,T1379)*IF(AND(offer_incoterms="DDP",offer_sale_type&lt;&gt;"экспорт"),IF((TODAY()+offer_turnaround_time)&gt;=helpsheet!$L$17,rate_vatRU_from_26,rate_vatRu_till_25),0)</f>
        <v/>
      </c>
      <c r="AP1379" s="193">
        <f>AN1379-AO1379</f>
        <v/>
      </c>
      <c r="AQ1379" s="118">
        <f>IF(offer_sale_type="транзит",SUM(AF1379:AI1379,BA1379,BB1379),0)</f>
        <v/>
      </c>
      <c r="AR1379" s="82">
        <f>HYPERLINK("https://www.alta.ru/tnved/code/")&amp;W1379&amp;"/"</f>
        <v/>
      </c>
      <c r="AS1379" s="157" t="n"/>
      <c r="AT1379" s="162" t="n"/>
      <c r="AU1379" s="76">
        <f>IF(ISBLANK(AT1379),0,AJ1379-AT1379)</f>
        <v/>
      </c>
      <c r="AV1379" s="157" t="n"/>
      <c r="AW1379" s="75">
        <f>_xlfn.IFNA(VLOOKUP(L1379,list_vat[],3,FALSE),0)</f>
        <v/>
      </c>
      <c r="AX1379" s="76">
        <f>IFERROR(ROUND(S1379*(1+AW1379)/E1379,2),0)</f>
        <v/>
      </c>
      <c r="AY1379" s="76">
        <f>E1379*AX1379</f>
        <v/>
      </c>
      <c r="AZ1379" s="192">
        <f>S1379*(1+M1379)</f>
        <v/>
      </c>
      <c r="BA1379" s="76">
        <f>cost_fin_total*$BD1379</f>
        <v/>
      </c>
      <c r="BB1379" s="193">
        <f>credit_sales_interest*BD1379</f>
        <v/>
      </c>
      <c r="BC1379" s="102">
        <f>IFERROR(IF($I$13&gt;0,$I1379/$I$13,$S1379/$S$13),0)</f>
        <v/>
      </c>
      <c r="BD1379" s="102">
        <f>IFERROR($S1379/$S$13,0)</f>
        <v/>
      </c>
      <c r="BE1379" s="413" t="inlineStr">
        <is>
          <t>$</t>
        </is>
      </c>
    </row>
    <row r="1380" ht="12" customFormat="1" customHeight="1" s="65">
      <c r="A1380" s="43" t="n">
        <v>1365</v>
      </c>
      <c r="B1380" s="166" t="n"/>
      <c r="C1380" s="166" t="n"/>
      <c r="D1380" s="166" t="n"/>
      <c r="E1380" s="162" t="n"/>
      <c r="F1380" s="166" t="n"/>
      <c r="G1380" s="162" t="n"/>
      <c r="H1380" s="162" t="n"/>
      <c r="I1380" s="189">
        <f>E1380*G1380</f>
        <v/>
      </c>
      <c r="J1380" s="195" t="n"/>
      <c r="K1380" s="162" t="n"/>
      <c r="L1380" s="168" t="n"/>
      <c r="M1380" s="75">
        <f>_xlfn.XLOOKUP(L1380,list_vat[Страна],list_vat[Ставка НДС %],0,0)</f>
        <v/>
      </c>
      <c r="N1380" s="162">
        <f>IFERROR(IF(L1380="Китай",K1380,K1380/(1+M1380)),0)</f>
        <v/>
      </c>
      <c r="O1380" s="169" t="n"/>
      <c r="P1380" s="76">
        <f>N1380*(1-O1380)</f>
        <v/>
      </c>
      <c r="Q1380" s="162" t="n"/>
      <c r="R1380" s="162">
        <f>IF(ISBLANK(Q1380),"введи курс",P1380/Q1380)</f>
        <v/>
      </c>
      <c r="S1380" s="196">
        <f>IF(AND(ISNUMBER(E1380),ISNUMBER(Q1380)),E1380*R1380,0)</f>
        <v/>
      </c>
      <c r="T1380" s="192">
        <f>$BC1380*V$11</f>
        <v/>
      </c>
      <c r="U1380" s="76">
        <f>$BC1380*W$11</f>
        <v/>
      </c>
      <c r="V1380" s="193">
        <f>+SUM(T1380:U1380)</f>
        <v/>
      </c>
      <c r="W1380" s="191" t="n"/>
      <c r="X1380" s="170" t="n"/>
      <c r="Y1380" s="76">
        <f>ROUND(IF(offer_incoterms="DDP",X1380*(S1380*(1+AW1380)+T1380),0),2)</f>
        <v/>
      </c>
      <c r="Z1380" s="188" t="n"/>
      <c r="AA1380" s="192">
        <f>IFERROR(AB1380/E1380,0)</f>
        <v/>
      </c>
      <c r="AB1380" s="76">
        <f>ROUND(SUM(S1380,V1380,Y1380:Z1380,BA1380:BB1380),2)</f>
        <v/>
      </c>
      <c r="AC1380" s="797" t="n"/>
      <c r="AD1380" s="192">
        <f t="array" ref="AD1380">IFERROR(ROUND((_xlfn.IFS(offer_sale_type="поставка",AB1380,offer_sale_type="транзит",S1380)*(1+AC1380))/E1380,2),0)</f>
        <v/>
      </c>
      <c r="AE1380" s="76">
        <f>AD1380*E1380</f>
        <v/>
      </c>
      <c r="AF1380" s="193">
        <f t="array" ref="AF1380">IFERROR(ROUND(_xlfn.IFS(offer_sale_type="поставка",AB1380,offer_sale_type="транзит",S1380)*AC1380,2),0)</f>
        <v/>
      </c>
      <c r="AG1380" s="192">
        <f>$BD1380*VLOOKUP($AG$3,$AF$4:$AG$7,2,FALSE)</f>
        <v/>
      </c>
      <c r="AH1380" s="76">
        <f>SUM(AE1380,AG1380,AI1380)*rate_forex_risk</f>
        <v/>
      </c>
      <c r="AI1380" s="193">
        <f>IF(OR(seller_region="TR",offer_sale_type="экспорт"),0,rate_fin_comm)*SUM(AZ1380,AZ1380*AW1380,T1380)</f>
        <v/>
      </c>
      <c r="AJ1380" s="118">
        <f>IFERROR(ROUND(SUM(AB1380,AF1380:AI1380)/E1380,2),0)</f>
        <v/>
      </c>
      <c r="AK1380" s="76">
        <f>AJ1380*E1380</f>
        <v/>
      </c>
      <c r="AL1380" s="174">
        <f>ROUND(IFERROR(AM1380*E1380,0),2)</f>
        <v/>
      </c>
      <c r="AM1380" s="175">
        <f>ROUND(AJ1380*(1+IF(offer_incoterms="DDP",IF((TODAY()+offer_turnaround_time)&gt;=helpsheet!$L$17,rate_vatRU_from_26,rate_vatRu_till_25),0)),2)</f>
        <v/>
      </c>
      <c r="AN1380" s="192">
        <f>AL1380-AK1380</f>
        <v/>
      </c>
      <c r="AO1380" s="76">
        <f>SUM(AY1380,Y1380:Z1380,T1380)*IF(AND(offer_incoterms="DDP",offer_sale_type&lt;&gt;"экспорт"),IF((TODAY()+offer_turnaround_time)&gt;=helpsheet!$L$17,rate_vatRU_from_26,rate_vatRu_till_25),0)</f>
        <v/>
      </c>
      <c r="AP1380" s="193">
        <f>AN1380-AO1380</f>
        <v/>
      </c>
      <c r="AQ1380" s="118">
        <f>IF(offer_sale_type="транзит",SUM(AF1380:AI1380,BA1380,BB1380),0)</f>
        <v/>
      </c>
      <c r="AR1380" s="82">
        <f>HYPERLINK("https://www.alta.ru/tnved/code/")&amp;W1380&amp;"/"</f>
        <v/>
      </c>
      <c r="AS1380" s="157" t="n"/>
      <c r="AT1380" s="162" t="n"/>
      <c r="AU1380" s="76">
        <f>IF(ISBLANK(AT1380),0,AJ1380-AT1380)</f>
        <v/>
      </c>
      <c r="AV1380" s="157" t="n"/>
      <c r="AW1380" s="75">
        <f>_xlfn.IFNA(VLOOKUP(L1380,list_vat[],3,FALSE),0)</f>
        <v/>
      </c>
      <c r="AX1380" s="76">
        <f>IFERROR(ROUND(S1380*(1+AW1380)/E1380,2),0)</f>
        <v/>
      </c>
      <c r="AY1380" s="76">
        <f>E1380*AX1380</f>
        <v/>
      </c>
      <c r="AZ1380" s="192">
        <f>S1380*(1+M1380)</f>
        <v/>
      </c>
      <c r="BA1380" s="76">
        <f>cost_fin_total*$BD1380</f>
        <v/>
      </c>
      <c r="BB1380" s="193">
        <f>credit_sales_interest*BD1380</f>
        <v/>
      </c>
      <c r="BC1380" s="102">
        <f>IFERROR(IF($I$13&gt;0,$I1380/$I$13,$S1380/$S$13),0)</f>
        <v/>
      </c>
      <c r="BD1380" s="102">
        <f>IFERROR($S1380/$S$13,0)</f>
        <v/>
      </c>
      <c r="BE1380" s="413" t="inlineStr">
        <is>
          <t>$</t>
        </is>
      </c>
    </row>
    <row r="1381" ht="12" customFormat="1" customHeight="1" s="65">
      <c r="A1381" s="43" t="n">
        <v>1366</v>
      </c>
      <c r="B1381" s="166" t="n"/>
      <c r="C1381" s="166" t="n"/>
      <c r="D1381" s="166" t="n"/>
      <c r="E1381" s="162" t="n"/>
      <c r="F1381" s="166" t="n"/>
      <c r="G1381" s="162" t="n"/>
      <c r="H1381" s="162" t="n"/>
      <c r="I1381" s="189">
        <f>E1381*G1381</f>
        <v/>
      </c>
      <c r="J1381" s="195" t="n"/>
      <c r="K1381" s="162" t="n"/>
      <c r="L1381" s="168" t="n"/>
      <c r="M1381" s="75">
        <f>_xlfn.XLOOKUP(L1381,list_vat[Страна],list_vat[Ставка НДС %],0,0)</f>
        <v/>
      </c>
      <c r="N1381" s="162">
        <f>IFERROR(IF(L1381="Китай",K1381,K1381/(1+M1381)),0)</f>
        <v/>
      </c>
      <c r="O1381" s="169" t="n"/>
      <c r="P1381" s="76">
        <f>N1381*(1-O1381)</f>
        <v/>
      </c>
      <c r="Q1381" s="162" t="n"/>
      <c r="R1381" s="162">
        <f>IF(ISBLANK(Q1381),"введи курс",P1381/Q1381)</f>
        <v/>
      </c>
      <c r="S1381" s="196">
        <f>IF(AND(ISNUMBER(E1381),ISNUMBER(Q1381)),E1381*R1381,0)</f>
        <v/>
      </c>
      <c r="T1381" s="192">
        <f>$BC1381*V$11</f>
        <v/>
      </c>
      <c r="U1381" s="76">
        <f>$BC1381*W$11</f>
        <v/>
      </c>
      <c r="V1381" s="193">
        <f>+SUM(T1381:U1381)</f>
        <v/>
      </c>
      <c r="W1381" s="191" t="n"/>
      <c r="X1381" s="170" t="n"/>
      <c r="Y1381" s="76">
        <f>ROUND(IF(offer_incoterms="DDP",X1381*(S1381*(1+AW1381)+T1381),0),2)</f>
        <v/>
      </c>
      <c r="Z1381" s="188" t="n"/>
      <c r="AA1381" s="192">
        <f>IFERROR(AB1381/E1381,0)</f>
        <v/>
      </c>
      <c r="AB1381" s="76">
        <f>ROUND(SUM(S1381,V1381,Y1381:Z1381,BA1381:BB1381),2)</f>
        <v/>
      </c>
      <c r="AC1381" s="797" t="n"/>
      <c r="AD1381" s="192">
        <f t="array" ref="AD1381">IFERROR(ROUND((_xlfn.IFS(offer_sale_type="поставка",AB1381,offer_sale_type="транзит",S1381)*(1+AC1381))/E1381,2),0)</f>
        <v/>
      </c>
      <c r="AE1381" s="76">
        <f>AD1381*E1381</f>
        <v/>
      </c>
      <c r="AF1381" s="193">
        <f t="array" ref="AF1381">IFERROR(ROUND(_xlfn.IFS(offer_sale_type="поставка",AB1381,offer_sale_type="транзит",S1381)*AC1381,2),0)</f>
        <v/>
      </c>
      <c r="AG1381" s="192">
        <f>$BD1381*VLOOKUP($AG$3,$AF$4:$AG$7,2,FALSE)</f>
        <v/>
      </c>
      <c r="AH1381" s="76">
        <f>SUM(AE1381,AG1381,AI1381)*rate_forex_risk</f>
        <v/>
      </c>
      <c r="AI1381" s="193">
        <f>IF(OR(seller_region="TR",offer_sale_type="экспорт"),0,rate_fin_comm)*SUM(AZ1381,AZ1381*AW1381,T1381)</f>
        <v/>
      </c>
      <c r="AJ1381" s="118">
        <f>IFERROR(ROUND(SUM(AB1381,AF1381:AI1381)/E1381,2),0)</f>
        <v/>
      </c>
      <c r="AK1381" s="76">
        <f>AJ1381*E1381</f>
        <v/>
      </c>
      <c r="AL1381" s="174">
        <f>ROUND(IFERROR(AM1381*E1381,0),2)</f>
        <v/>
      </c>
      <c r="AM1381" s="175">
        <f>ROUND(AJ1381*(1+IF(offer_incoterms="DDP",IF((TODAY()+offer_turnaround_time)&gt;=helpsheet!$L$17,rate_vatRU_from_26,rate_vatRu_till_25),0)),2)</f>
        <v/>
      </c>
      <c r="AN1381" s="192">
        <f>AL1381-AK1381</f>
        <v/>
      </c>
      <c r="AO1381" s="76">
        <f>SUM(AY1381,Y1381:Z1381,T1381)*IF(AND(offer_incoterms="DDP",offer_sale_type&lt;&gt;"экспорт"),IF((TODAY()+offer_turnaround_time)&gt;=helpsheet!$L$17,rate_vatRU_from_26,rate_vatRu_till_25),0)</f>
        <v/>
      </c>
      <c r="AP1381" s="193">
        <f>AN1381-AO1381</f>
        <v/>
      </c>
      <c r="AQ1381" s="118">
        <f>IF(offer_sale_type="транзит",SUM(AF1381:AI1381,BA1381,BB1381),0)</f>
        <v/>
      </c>
      <c r="AR1381" s="82">
        <f>HYPERLINK("https://www.alta.ru/tnved/code/")&amp;W1381&amp;"/"</f>
        <v/>
      </c>
      <c r="AS1381" s="157" t="n"/>
      <c r="AT1381" s="162" t="n"/>
      <c r="AU1381" s="76">
        <f>IF(ISBLANK(AT1381),0,AJ1381-AT1381)</f>
        <v/>
      </c>
      <c r="AV1381" s="157" t="n"/>
      <c r="AW1381" s="75">
        <f>_xlfn.IFNA(VLOOKUP(L1381,list_vat[],3,FALSE),0)</f>
        <v/>
      </c>
      <c r="AX1381" s="76">
        <f>IFERROR(ROUND(S1381*(1+AW1381)/E1381,2),0)</f>
        <v/>
      </c>
      <c r="AY1381" s="76">
        <f>E1381*AX1381</f>
        <v/>
      </c>
      <c r="AZ1381" s="192">
        <f>S1381*(1+M1381)</f>
        <v/>
      </c>
      <c r="BA1381" s="76">
        <f>cost_fin_total*$BD1381</f>
        <v/>
      </c>
      <c r="BB1381" s="193">
        <f>credit_sales_interest*BD1381</f>
        <v/>
      </c>
      <c r="BC1381" s="102">
        <f>IFERROR(IF($I$13&gt;0,$I1381/$I$13,$S1381/$S$13),0)</f>
        <v/>
      </c>
      <c r="BD1381" s="102">
        <f>IFERROR($S1381/$S$13,0)</f>
        <v/>
      </c>
      <c r="BE1381" s="413" t="inlineStr">
        <is>
          <t>$</t>
        </is>
      </c>
    </row>
    <row r="1382" ht="12" customFormat="1" customHeight="1" s="65">
      <c r="A1382" s="43" t="n">
        <v>1367</v>
      </c>
      <c r="B1382" s="166" t="n"/>
      <c r="C1382" s="166" t="n"/>
      <c r="D1382" s="166" t="n"/>
      <c r="E1382" s="162" t="n"/>
      <c r="F1382" s="166" t="n"/>
      <c r="G1382" s="162" t="n"/>
      <c r="H1382" s="162" t="n"/>
      <c r="I1382" s="189">
        <f>E1382*G1382</f>
        <v/>
      </c>
      <c r="J1382" s="195" t="n"/>
      <c r="K1382" s="162" t="n"/>
      <c r="L1382" s="168" t="n"/>
      <c r="M1382" s="75">
        <f>_xlfn.XLOOKUP(L1382,list_vat[Страна],list_vat[Ставка НДС %],0,0)</f>
        <v/>
      </c>
      <c r="N1382" s="162">
        <f>IFERROR(IF(L1382="Китай",K1382,K1382/(1+M1382)),0)</f>
        <v/>
      </c>
      <c r="O1382" s="169" t="n"/>
      <c r="P1382" s="76">
        <f>N1382*(1-O1382)</f>
        <v/>
      </c>
      <c r="Q1382" s="162" t="n"/>
      <c r="R1382" s="162">
        <f>IF(ISBLANK(Q1382),"введи курс",P1382/Q1382)</f>
        <v/>
      </c>
      <c r="S1382" s="196">
        <f>IF(AND(ISNUMBER(E1382),ISNUMBER(Q1382)),E1382*R1382,0)</f>
        <v/>
      </c>
      <c r="T1382" s="192">
        <f>$BC1382*V$11</f>
        <v/>
      </c>
      <c r="U1382" s="76">
        <f>$BC1382*W$11</f>
        <v/>
      </c>
      <c r="V1382" s="193">
        <f>+SUM(T1382:U1382)</f>
        <v/>
      </c>
      <c r="W1382" s="191" t="n"/>
      <c r="X1382" s="170" t="n"/>
      <c r="Y1382" s="76">
        <f>ROUND(IF(offer_incoterms="DDP",X1382*(S1382*(1+AW1382)+T1382),0),2)</f>
        <v/>
      </c>
      <c r="Z1382" s="188" t="n"/>
      <c r="AA1382" s="192">
        <f>IFERROR(AB1382/E1382,0)</f>
        <v/>
      </c>
      <c r="AB1382" s="76">
        <f>ROUND(SUM(S1382,V1382,Y1382:Z1382,BA1382:BB1382),2)</f>
        <v/>
      </c>
      <c r="AC1382" s="797" t="n"/>
      <c r="AD1382" s="192">
        <f t="array" ref="AD1382">IFERROR(ROUND((_xlfn.IFS(offer_sale_type="поставка",AB1382,offer_sale_type="транзит",S1382)*(1+AC1382))/E1382,2),0)</f>
        <v/>
      </c>
      <c r="AE1382" s="76">
        <f>AD1382*E1382</f>
        <v/>
      </c>
      <c r="AF1382" s="193">
        <f t="array" ref="AF1382">IFERROR(ROUND(_xlfn.IFS(offer_sale_type="поставка",AB1382,offer_sale_type="транзит",S1382)*AC1382,2),0)</f>
        <v/>
      </c>
      <c r="AG1382" s="192">
        <f>$BD1382*VLOOKUP($AG$3,$AF$4:$AG$7,2,FALSE)</f>
        <v/>
      </c>
      <c r="AH1382" s="76">
        <f>SUM(AE1382,AG1382,AI1382)*rate_forex_risk</f>
        <v/>
      </c>
      <c r="AI1382" s="193">
        <f>IF(OR(seller_region="TR",offer_sale_type="экспорт"),0,rate_fin_comm)*SUM(AZ1382,AZ1382*AW1382,T1382)</f>
        <v/>
      </c>
      <c r="AJ1382" s="118">
        <f>IFERROR(ROUND(SUM(AB1382,AF1382:AI1382)/E1382,2),0)</f>
        <v/>
      </c>
      <c r="AK1382" s="76">
        <f>AJ1382*E1382</f>
        <v/>
      </c>
      <c r="AL1382" s="174">
        <f>ROUND(IFERROR(AM1382*E1382,0),2)</f>
        <v/>
      </c>
      <c r="AM1382" s="175">
        <f>ROUND(AJ1382*(1+IF(offer_incoterms="DDP",IF((TODAY()+offer_turnaround_time)&gt;=helpsheet!$L$17,rate_vatRU_from_26,rate_vatRu_till_25),0)),2)</f>
        <v/>
      </c>
      <c r="AN1382" s="192">
        <f>AL1382-AK1382</f>
        <v/>
      </c>
      <c r="AO1382" s="76">
        <f>SUM(AY1382,Y1382:Z1382,T1382)*IF(AND(offer_incoterms="DDP",offer_sale_type&lt;&gt;"экспорт"),IF((TODAY()+offer_turnaround_time)&gt;=helpsheet!$L$17,rate_vatRU_from_26,rate_vatRu_till_25),0)</f>
        <v/>
      </c>
      <c r="AP1382" s="193">
        <f>AN1382-AO1382</f>
        <v/>
      </c>
      <c r="AQ1382" s="118">
        <f>IF(offer_sale_type="транзит",SUM(AF1382:AI1382,BA1382,BB1382),0)</f>
        <v/>
      </c>
      <c r="AR1382" s="82">
        <f>HYPERLINK("https://www.alta.ru/tnved/code/")&amp;W1382&amp;"/"</f>
        <v/>
      </c>
      <c r="AS1382" s="157" t="n"/>
      <c r="AT1382" s="162" t="n"/>
      <c r="AU1382" s="76">
        <f>IF(ISBLANK(AT1382),0,AJ1382-AT1382)</f>
        <v/>
      </c>
      <c r="AV1382" s="157" t="n"/>
      <c r="AW1382" s="75">
        <f>_xlfn.IFNA(VLOOKUP(L1382,list_vat[],3,FALSE),0)</f>
        <v/>
      </c>
      <c r="AX1382" s="76">
        <f>IFERROR(ROUND(S1382*(1+AW1382)/E1382,2),0)</f>
        <v/>
      </c>
      <c r="AY1382" s="76">
        <f>E1382*AX1382</f>
        <v/>
      </c>
      <c r="AZ1382" s="192">
        <f>S1382*(1+M1382)</f>
        <v/>
      </c>
      <c r="BA1382" s="76">
        <f>cost_fin_total*$BD1382</f>
        <v/>
      </c>
      <c r="BB1382" s="193">
        <f>credit_sales_interest*BD1382</f>
        <v/>
      </c>
      <c r="BC1382" s="102">
        <f>IFERROR(IF($I$13&gt;0,$I1382/$I$13,$S1382/$S$13),0)</f>
        <v/>
      </c>
      <c r="BD1382" s="102">
        <f>IFERROR($S1382/$S$13,0)</f>
        <v/>
      </c>
      <c r="BE1382" s="413" t="inlineStr">
        <is>
          <t>$</t>
        </is>
      </c>
    </row>
    <row r="1383" ht="12" customFormat="1" customHeight="1" s="65">
      <c r="A1383" s="43" t="n">
        <v>1368</v>
      </c>
      <c r="B1383" s="166" t="n"/>
      <c r="C1383" s="166" t="n"/>
      <c r="D1383" s="166" t="n"/>
      <c r="E1383" s="162" t="n"/>
      <c r="F1383" s="166" t="n"/>
      <c r="G1383" s="162" t="n"/>
      <c r="H1383" s="162" t="n"/>
      <c r="I1383" s="189">
        <f>E1383*G1383</f>
        <v/>
      </c>
      <c r="J1383" s="195" t="n"/>
      <c r="K1383" s="162" t="n"/>
      <c r="L1383" s="168" t="n"/>
      <c r="M1383" s="75">
        <f>_xlfn.XLOOKUP(L1383,list_vat[Страна],list_vat[Ставка НДС %],0,0)</f>
        <v/>
      </c>
      <c r="N1383" s="162">
        <f>IFERROR(IF(L1383="Китай",K1383,K1383/(1+M1383)),0)</f>
        <v/>
      </c>
      <c r="O1383" s="169" t="n"/>
      <c r="P1383" s="76">
        <f>N1383*(1-O1383)</f>
        <v/>
      </c>
      <c r="Q1383" s="162" t="n"/>
      <c r="R1383" s="162">
        <f>IF(ISBLANK(Q1383),"введи курс",P1383/Q1383)</f>
        <v/>
      </c>
      <c r="S1383" s="196">
        <f>IF(AND(ISNUMBER(E1383),ISNUMBER(Q1383)),E1383*R1383,0)</f>
        <v/>
      </c>
      <c r="T1383" s="192">
        <f>$BC1383*V$11</f>
        <v/>
      </c>
      <c r="U1383" s="76">
        <f>$BC1383*W$11</f>
        <v/>
      </c>
      <c r="V1383" s="193">
        <f>+SUM(T1383:U1383)</f>
        <v/>
      </c>
      <c r="W1383" s="191" t="n"/>
      <c r="X1383" s="170" t="n"/>
      <c r="Y1383" s="76">
        <f>ROUND(IF(offer_incoterms="DDP",X1383*(S1383*(1+AW1383)+T1383),0),2)</f>
        <v/>
      </c>
      <c r="Z1383" s="188" t="n"/>
      <c r="AA1383" s="192">
        <f>IFERROR(AB1383/E1383,0)</f>
        <v/>
      </c>
      <c r="AB1383" s="76">
        <f>ROUND(SUM(S1383,V1383,Y1383:Z1383,BA1383:BB1383),2)</f>
        <v/>
      </c>
      <c r="AC1383" s="797" t="n"/>
      <c r="AD1383" s="192">
        <f t="array" ref="AD1383">IFERROR(ROUND((_xlfn.IFS(offer_sale_type="поставка",AB1383,offer_sale_type="транзит",S1383)*(1+AC1383))/E1383,2),0)</f>
        <v/>
      </c>
      <c r="AE1383" s="76">
        <f>AD1383*E1383</f>
        <v/>
      </c>
      <c r="AF1383" s="193">
        <f t="array" ref="AF1383">IFERROR(ROUND(_xlfn.IFS(offer_sale_type="поставка",AB1383,offer_sale_type="транзит",S1383)*AC1383,2),0)</f>
        <v/>
      </c>
      <c r="AG1383" s="192">
        <f>$BD1383*VLOOKUP($AG$3,$AF$4:$AG$7,2,FALSE)</f>
        <v/>
      </c>
      <c r="AH1383" s="76">
        <f>SUM(AE1383,AG1383,AI1383)*rate_forex_risk</f>
        <v/>
      </c>
      <c r="AI1383" s="193">
        <f>IF(OR(seller_region="TR",offer_sale_type="экспорт"),0,rate_fin_comm)*SUM(AZ1383,AZ1383*AW1383,T1383)</f>
        <v/>
      </c>
      <c r="AJ1383" s="118">
        <f>IFERROR(ROUND(SUM(AB1383,AF1383:AI1383)/E1383,2),0)</f>
        <v/>
      </c>
      <c r="AK1383" s="76">
        <f>AJ1383*E1383</f>
        <v/>
      </c>
      <c r="AL1383" s="174">
        <f>ROUND(IFERROR(AM1383*E1383,0),2)</f>
        <v/>
      </c>
      <c r="AM1383" s="175">
        <f>ROUND(AJ1383*(1+IF(offer_incoterms="DDP",IF((TODAY()+offer_turnaround_time)&gt;=helpsheet!$L$17,rate_vatRU_from_26,rate_vatRu_till_25),0)),2)</f>
        <v/>
      </c>
      <c r="AN1383" s="192">
        <f>AL1383-AK1383</f>
        <v/>
      </c>
      <c r="AO1383" s="76">
        <f>SUM(AY1383,Y1383:Z1383,T1383)*IF(AND(offer_incoterms="DDP",offer_sale_type&lt;&gt;"экспорт"),IF((TODAY()+offer_turnaround_time)&gt;=helpsheet!$L$17,rate_vatRU_from_26,rate_vatRu_till_25),0)</f>
        <v/>
      </c>
      <c r="AP1383" s="193">
        <f>AN1383-AO1383</f>
        <v/>
      </c>
      <c r="AQ1383" s="118">
        <f>IF(offer_sale_type="транзит",SUM(AF1383:AI1383,BA1383,BB1383),0)</f>
        <v/>
      </c>
      <c r="AR1383" s="82">
        <f>HYPERLINK("https://www.alta.ru/tnved/code/")&amp;W1383&amp;"/"</f>
        <v/>
      </c>
      <c r="AS1383" s="157" t="n"/>
      <c r="AT1383" s="162" t="n"/>
      <c r="AU1383" s="76">
        <f>IF(ISBLANK(AT1383),0,AJ1383-AT1383)</f>
        <v/>
      </c>
      <c r="AV1383" s="157" t="n"/>
      <c r="AW1383" s="75">
        <f>_xlfn.IFNA(VLOOKUP(L1383,list_vat[],3,FALSE),0)</f>
        <v/>
      </c>
      <c r="AX1383" s="76">
        <f>IFERROR(ROUND(S1383*(1+AW1383)/E1383,2),0)</f>
        <v/>
      </c>
      <c r="AY1383" s="76">
        <f>E1383*AX1383</f>
        <v/>
      </c>
      <c r="AZ1383" s="192">
        <f>S1383*(1+M1383)</f>
        <v/>
      </c>
      <c r="BA1383" s="76">
        <f>cost_fin_total*$BD1383</f>
        <v/>
      </c>
      <c r="BB1383" s="193">
        <f>credit_sales_interest*BD1383</f>
        <v/>
      </c>
      <c r="BC1383" s="102">
        <f>IFERROR(IF($I$13&gt;0,$I1383/$I$13,$S1383/$S$13),0)</f>
        <v/>
      </c>
      <c r="BD1383" s="102">
        <f>IFERROR($S1383/$S$13,0)</f>
        <v/>
      </c>
      <c r="BE1383" s="413" t="inlineStr">
        <is>
          <t>$</t>
        </is>
      </c>
    </row>
    <row r="1384" ht="12" customFormat="1" customHeight="1" s="65">
      <c r="A1384" s="43" t="n">
        <v>1369</v>
      </c>
      <c r="B1384" s="166" t="n"/>
      <c r="C1384" s="166" t="n"/>
      <c r="D1384" s="166" t="n"/>
      <c r="E1384" s="162" t="n"/>
      <c r="F1384" s="166" t="n"/>
      <c r="G1384" s="162" t="n"/>
      <c r="H1384" s="162" t="n"/>
      <c r="I1384" s="189">
        <f>E1384*G1384</f>
        <v/>
      </c>
      <c r="J1384" s="195" t="n"/>
      <c r="K1384" s="162" t="n"/>
      <c r="L1384" s="168" t="n"/>
      <c r="M1384" s="75">
        <f>_xlfn.XLOOKUP(L1384,list_vat[Страна],list_vat[Ставка НДС %],0,0)</f>
        <v/>
      </c>
      <c r="N1384" s="162">
        <f>IFERROR(IF(L1384="Китай",K1384,K1384/(1+M1384)),0)</f>
        <v/>
      </c>
      <c r="O1384" s="169" t="n"/>
      <c r="P1384" s="76">
        <f>N1384*(1-O1384)</f>
        <v/>
      </c>
      <c r="Q1384" s="162" t="n"/>
      <c r="R1384" s="162">
        <f>IF(ISBLANK(Q1384),"введи курс",P1384/Q1384)</f>
        <v/>
      </c>
      <c r="S1384" s="196">
        <f>IF(AND(ISNUMBER(E1384),ISNUMBER(Q1384)),E1384*R1384,0)</f>
        <v/>
      </c>
      <c r="T1384" s="192">
        <f>$BC1384*V$11</f>
        <v/>
      </c>
      <c r="U1384" s="76">
        <f>$BC1384*W$11</f>
        <v/>
      </c>
      <c r="V1384" s="193">
        <f>+SUM(T1384:U1384)</f>
        <v/>
      </c>
      <c r="W1384" s="191" t="n"/>
      <c r="X1384" s="170" t="n"/>
      <c r="Y1384" s="76">
        <f>ROUND(IF(offer_incoterms="DDP",X1384*(S1384*(1+AW1384)+T1384),0),2)</f>
        <v/>
      </c>
      <c r="Z1384" s="188" t="n"/>
      <c r="AA1384" s="192">
        <f>IFERROR(AB1384/E1384,0)</f>
        <v/>
      </c>
      <c r="AB1384" s="76">
        <f>ROUND(SUM(S1384,V1384,Y1384:Z1384,BA1384:BB1384),2)</f>
        <v/>
      </c>
      <c r="AC1384" s="797" t="n"/>
      <c r="AD1384" s="192">
        <f t="array" ref="AD1384">IFERROR(ROUND((_xlfn.IFS(offer_sale_type="поставка",AB1384,offer_sale_type="транзит",S1384)*(1+AC1384))/E1384,2),0)</f>
        <v/>
      </c>
      <c r="AE1384" s="76">
        <f>AD1384*E1384</f>
        <v/>
      </c>
      <c r="AF1384" s="193">
        <f t="array" ref="AF1384">IFERROR(ROUND(_xlfn.IFS(offer_sale_type="поставка",AB1384,offer_sale_type="транзит",S1384)*AC1384,2),0)</f>
        <v/>
      </c>
      <c r="AG1384" s="192">
        <f>$BD1384*VLOOKUP($AG$3,$AF$4:$AG$7,2,FALSE)</f>
        <v/>
      </c>
      <c r="AH1384" s="76">
        <f>SUM(AE1384,AG1384,AI1384)*rate_forex_risk</f>
        <v/>
      </c>
      <c r="AI1384" s="193">
        <f>IF(OR(seller_region="TR",offer_sale_type="экспорт"),0,rate_fin_comm)*SUM(AZ1384,AZ1384*AW1384,T1384)</f>
        <v/>
      </c>
      <c r="AJ1384" s="118">
        <f>IFERROR(ROUND(SUM(AB1384,AF1384:AI1384)/E1384,2),0)</f>
        <v/>
      </c>
      <c r="AK1384" s="76">
        <f>AJ1384*E1384</f>
        <v/>
      </c>
      <c r="AL1384" s="174">
        <f>ROUND(IFERROR(AM1384*E1384,0),2)</f>
        <v/>
      </c>
      <c r="AM1384" s="175">
        <f>ROUND(AJ1384*(1+IF(offer_incoterms="DDP",IF((TODAY()+offer_turnaround_time)&gt;=helpsheet!$L$17,rate_vatRU_from_26,rate_vatRu_till_25),0)),2)</f>
        <v/>
      </c>
      <c r="AN1384" s="192">
        <f>AL1384-AK1384</f>
        <v/>
      </c>
      <c r="AO1384" s="76">
        <f>SUM(AY1384,Y1384:Z1384,T1384)*IF(AND(offer_incoterms="DDP",offer_sale_type&lt;&gt;"экспорт"),IF((TODAY()+offer_turnaround_time)&gt;=helpsheet!$L$17,rate_vatRU_from_26,rate_vatRu_till_25),0)</f>
        <v/>
      </c>
      <c r="AP1384" s="193">
        <f>AN1384-AO1384</f>
        <v/>
      </c>
      <c r="AQ1384" s="118">
        <f>IF(offer_sale_type="транзит",SUM(AF1384:AI1384,BA1384,BB1384),0)</f>
        <v/>
      </c>
      <c r="AR1384" s="82">
        <f>HYPERLINK("https://www.alta.ru/tnved/code/")&amp;W1384&amp;"/"</f>
        <v/>
      </c>
      <c r="AS1384" s="157" t="n"/>
      <c r="AT1384" s="162" t="n"/>
      <c r="AU1384" s="76">
        <f>IF(ISBLANK(AT1384),0,AJ1384-AT1384)</f>
        <v/>
      </c>
      <c r="AV1384" s="157" t="n"/>
      <c r="AW1384" s="75">
        <f>_xlfn.IFNA(VLOOKUP(L1384,list_vat[],3,FALSE),0)</f>
        <v/>
      </c>
      <c r="AX1384" s="76">
        <f>IFERROR(ROUND(S1384*(1+AW1384)/E1384,2),0)</f>
        <v/>
      </c>
      <c r="AY1384" s="76">
        <f>E1384*AX1384</f>
        <v/>
      </c>
      <c r="AZ1384" s="192">
        <f>S1384*(1+M1384)</f>
        <v/>
      </c>
      <c r="BA1384" s="76">
        <f>cost_fin_total*$BD1384</f>
        <v/>
      </c>
      <c r="BB1384" s="193">
        <f>credit_sales_interest*BD1384</f>
        <v/>
      </c>
      <c r="BC1384" s="102">
        <f>IFERROR(IF($I$13&gt;0,$I1384/$I$13,$S1384/$S$13),0)</f>
        <v/>
      </c>
      <c r="BD1384" s="102">
        <f>IFERROR($S1384/$S$13,0)</f>
        <v/>
      </c>
      <c r="BE1384" s="413" t="inlineStr">
        <is>
          <t>$</t>
        </is>
      </c>
    </row>
    <row r="1385" ht="12" customFormat="1" customHeight="1" s="65">
      <c r="A1385" s="43" t="n">
        <v>1370</v>
      </c>
      <c r="B1385" s="166" t="n"/>
      <c r="C1385" s="166" t="n"/>
      <c r="D1385" s="166" t="n"/>
      <c r="E1385" s="162" t="n"/>
      <c r="F1385" s="166" t="n"/>
      <c r="G1385" s="162" t="n"/>
      <c r="H1385" s="162" t="n"/>
      <c r="I1385" s="189">
        <f>E1385*G1385</f>
        <v/>
      </c>
      <c r="J1385" s="195" t="n"/>
      <c r="K1385" s="162" t="n"/>
      <c r="L1385" s="168" t="n"/>
      <c r="M1385" s="75">
        <f>_xlfn.XLOOKUP(L1385,list_vat[Страна],list_vat[Ставка НДС %],0,0)</f>
        <v/>
      </c>
      <c r="N1385" s="162">
        <f>IFERROR(IF(L1385="Китай",K1385,K1385/(1+M1385)),0)</f>
        <v/>
      </c>
      <c r="O1385" s="169" t="n"/>
      <c r="P1385" s="76">
        <f>N1385*(1-O1385)</f>
        <v/>
      </c>
      <c r="Q1385" s="162" t="n"/>
      <c r="R1385" s="162">
        <f>IF(ISBLANK(Q1385),"введи курс",P1385/Q1385)</f>
        <v/>
      </c>
      <c r="S1385" s="196">
        <f>IF(AND(ISNUMBER(E1385),ISNUMBER(Q1385)),E1385*R1385,0)</f>
        <v/>
      </c>
      <c r="T1385" s="192">
        <f>$BC1385*V$11</f>
        <v/>
      </c>
      <c r="U1385" s="76">
        <f>$BC1385*W$11</f>
        <v/>
      </c>
      <c r="V1385" s="193">
        <f>+SUM(T1385:U1385)</f>
        <v/>
      </c>
      <c r="W1385" s="191" t="n"/>
      <c r="X1385" s="170" t="n"/>
      <c r="Y1385" s="76">
        <f>ROUND(IF(offer_incoterms="DDP",X1385*(S1385*(1+AW1385)+T1385),0),2)</f>
        <v/>
      </c>
      <c r="Z1385" s="188" t="n"/>
      <c r="AA1385" s="192">
        <f>IFERROR(AB1385/E1385,0)</f>
        <v/>
      </c>
      <c r="AB1385" s="76">
        <f>ROUND(SUM(S1385,V1385,Y1385:Z1385,BA1385:BB1385),2)</f>
        <v/>
      </c>
      <c r="AC1385" s="797" t="n"/>
      <c r="AD1385" s="192">
        <f t="array" ref="AD1385">IFERROR(ROUND((_xlfn.IFS(offer_sale_type="поставка",AB1385,offer_sale_type="транзит",S1385)*(1+AC1385))/E1385,2),0)</f>
        <v/>
      </c>
      <c r="AE1385" s="76">
        <f>AD1385*E1385</f>
        <v/>
      </c>
      <c r="AF1385" s="193">
        <f t="array" ref="AF1385">IFERROR(ROUND(_xlfn.IFS(offer_sale_type="поставка",AB1385,offer_sale_type="транзит",S1385)*AC1385,2),0)</f>
        <v/>
      </c>
      <c r="AG1385" s="192">
        <f>$BD1385*VLOOKUP($AG$3,$AF$4:$AG$7,2,FALSE)</f>
        <v/>
      </c>
      <c r="AH1385" s="76">
        <f>SUM(AE1385,AG1385,AI1385)*rate_forex_risk</f>
        <v/>
      </c>
      <c r="AI1385" s="193">
        <f>IF(OR(seller_region="TR",offer_sale_type="экспорт"),0,rate_fin_comm)*SUM(AZ1385,AZ1385*AW1385,T1385)</f>
        <v/>
      </c>
      <c r="AJ1385" s="118">
        <f>IFERROR(ROUND(SUM(AB1385,AF1385:AI1385)/E1385,2),0)</f>
        <v/>
      </c>
      <c r="AK1385" s="76">
        <f>AJ1385*E1385</f>
        <v/>
      </c>
      <c r="AL1385" s="174">
        <f>ROUND(IFERROR(AM1385*E1385,0),2)</f>
        <v/>
      </c>
      <c r="AM1385" s="175">
        <f>ROUND(AJ1385*(1+IF(offer_incoterms="DDP",IF((TODAY()+offer_turnaround_time)&gt;=helpsheet!$L$17,rate_vatRU_from_26,rate_vatRu_till_25),0)),2)</f>
        <v/>
      </c>
      <c r="AN1385" s="192">
        <f>AL1385-AK1385</f>
        <v/>
      </c>
      <c r="AO1385" s="76">
        <f>SUM(AY1385,Y1385:Z1385,T1385)*IF(AND(offer_incoterms="DDP",offer_sale_type&lt;&gt;"экспорт"),IF((TODAY()+offer_turnaround_time)&gt;=helpsheet!$L$17,rate_vatRU_from_26,rate_vatRu_till_25),0)</f>
        <v/>
      </c>
      <c r="AP1385" s="193">
        <f>AN1385-AO1385</f>
        <v/>
      </c>
      <c r="AQ1385" s="118">
        <f>IF(offer_sale_type="транзит",SUM(AF1385:AI1385,BA1385,BB1385),0)</f>
        <v/>
      </c>
      <c r="AR1385" s="82">
        <f>HYPERLINK("https://www.alta.ru/tnved/code/")&amp;W1385&amp;"/"</f>
        <v/>
      </c>
      <c r="AS1385" s="157" t="n"/>
      <c r="AT1385" s="162" t="n"/>
      <c r="AU1385" s="76">
        <f>IF(ISBLANK(AT1385),0,AJ1385-AT1385)</f>
        <v/>
      </c>
      <c r="AV1385" s="157" t="n"/>
      <c r="AW1385" s="75">
        <f>_xlfn.IFNA(VLOOKUP(L1385,list_vat[],3,FALSE),0)</f>
        <v/>
      </c>
      <c r="AX1385" s="76">
        <f>IFERROR(ROUND(S1385*(1+AW1385)/E1385,2),0)</f>
        <v/>
      </c>
      <c r="AY1385" s="76">
        <f>E1385*AX1385</f>
        <v/>
      </c>
      <c r="AZ1385" s="192">
        <f>S1385*(1+M1385)</f>
        <v/>
      </c>
      <c r="BA1385" s="76">
        <f>cost_fin_total*$BD1385</f>
        <v/>
      </c>
      <c r="BB1385" s="193">
        <f>credit_sales_interest*BD1385</f>
        <v/>
      </c>
      <c r="BC1385" s="102">
        <f>IFERROR(IF($I$13&gt;0,$I1385/$I$13,$S1385/$S$13),0)</f>
        <v/>
      </c>
      <c r="BD1385" s="102">
        <f>IFERROR($S1385/$S$13,0)</f>
        <v/>
      </c>
      <c r="BE1385" s="413" t="inlineStr">
        <is>
          <t>$</t>
        </is>
      </c>
    </row>
    <row r="1386" ht="12" customFormat="1" customHeight="1" s="65">
      <c r="A1386" s="43" t="n">
        <v>1371</v>
      </c>
      <c r="B1386" s="166" t="n"/>
      <c r="C1386" s="166" t="n"/>
      <c r="D1386" s="166" t="n"/>
      <c r="E1386" s="162" t="n"/>
      <c r="F1386" s="166" t="n"/>
      <c r="G1386" s="162" t="n"/>
      <c r="H1386" s="162" t="n"/>
      <c r="I1386" s="189">
        <f>E1386*G1386</f>
        <v/>
      </c>
      <c r="J1386" s="195" t="n"/>
      <c r="K1386" s="162" t="n"/>
      <c r="L1386" s="168" t="n"/>
      <c r="M1386" s="75">
        <f>_xlfn.XLOOKUP(L1386,list_vat[Страна],list_vat[Ставка НДС %],0,0)</f>
        <v/>
      </c>
      <c r="N1386" s="162">
        <f>IFERROR(IF(L1386="Китай",K1386,K1386/(1+M1386)),0)</f>
        <v/>
      </c>
      <c r="O1386" s="169" t="n"/>
      <c r="P1386" s="76">
        <f>N1386*(1-O1386)</f>
        <v/>
      </c>
      <c r="Q1386" s="162" t="n"/>
      <c r="R1386" s="162">
        <f>IF(ISBLANK(Q1386),"введи курс",P1386/Q1386)</f>
        <v/>
      </c>
      <c r="S1386" s="196">
        <f>IF(AND(ISNUMBER(E1386),ISNUMBER(Q1386)),E1386*R1386,0)</f>
        <v/>
      </c>
      <c r="T1386" s="192">
        <f>$BC1386*V$11</f>
        <v/>
      </c>
      <c r="U1386" s="76">
        <f>$BC1386*W$11</f>
        <v/>
      </c>
      <c r="V1386" s="193">
        <f>+SUM(T1386:U1386)</f>
        <v/>
      </c>
      <c r="W1386" s="191" t="n"/>
      <c r="X1386" s="170" t="n"/>
      <c r="Y1386" s="76">
        <f>ROUND(IF(offer_incoterms="DDP",X1386*(S1386*(1+AW1386)+T1386),0),2)</f>
        <v/>
      </c>
      <c r="Z1386" s="188" t="n"/>
      <c r="AA1386" s="192">
        <f>IFERROR(AB1386/E1386,0)</f>
        <v/>
      </c>
      <c r="AB1386" s="76">
        <f>ROUND(SUM(S1386,V1386,Y1386:Z1386,BA1386:BB1386),2)</f>
        <v/>
      </c>
      <c r="AC1386" s="797" t="n"/>
      <c r="AD1386" s="192">
        <f t="array" ref="AD1386">IFERROR(ROUND((_xlfn.IFS(offer_sale_type="поставка",AB1386,offer_sale_type="транзит",S1386)*(1+AC1386))/E1386,2),0)</f>
        <v/>
      </c>
      <c r="AE1386" s="76">
        <f>AD1386*E1386</f>
        <v/>
      </c>
      <c r="AF1386" s="193">
        <f t="array" ref="AF1386">IFERROR(ROUND(_xlfn.IFS(offer_sale_type="поставка",AB1386,offer_sale_type="транзит",S1386)*AC1386,2),0)</f>
        <v/>
      </c>
      <c r="AG1386" s="192">
        <f>$BD1386*VLOOKUP($AG$3,$AF$4:$AG$7,2,FALSE)</f>
        <v/>
      </c>
      <c r="AH1386" s="76">
        <f>SUM(AE1386,AG1386,AI1386)*rate_forex_risk</f>
        <v/>
      </c>
      <c r="AI1386" s="193">
        <f>IF(OR(seller_region="TR",offer_sale_type="экспорт"),0,rate_fin_comm)*SUM(AZ1386,AZ1386*AW1386,T1386)</f>
        <v/>
      </c>
      <c r="AJ1386" s="118">
        <f>IFERROR(ROUND(SUM(AB1386,AF1386:AI1386)/E1386,2),0)</f>
        <v/>
      </c>
      <c r="AK1386" s="76">
        <f>AJ1386*E1386</f>
        <v/>
      </c>
      <c r="AL1386" s="174">
        <f>ROUND(IFERROR(AM1386*E1386,0),2)</f>
        <v/>
      </c>
      <c r="AM1386" s="175">
        <f>ROUND(AJ1386*(1+IF(offer_incoterms="DDP",IF((TODAY()+offer_turnaround_time)&gt;=helpsheet!$L$17,rate_vatRU_from_26,rate_vatRu_till_25),0)),2)</f>
        <v/>
      </c>
      <c r="AN1386" s="192">
        <f>AL1386-AK1386</f>
        <v/>
      </c>
      <c r="AO1386" s="76">
        <f>SUM(AY1386,Y1386:Z1386,T1386)*IF(AND(offer_incoterms="DDP",offer_sale_type&lt;&gt;"экспорт"),IF((TODAY()+offer_turnaround_time)&gt;=helpsheet!$L$17,rate_vatRU_from_26,rate_vatRu_till_25),0)</f>
        <v/>
      </c>
      <c r="AP1386" s="193">
        <f>AN1386-AO1386</f>
        <v/>
      </c>
      <c r="AQ1386" s="118">
        <f>IF(offer_sale_type="транзит",SUM(AF1386:AI1386,BA1386,BB1386),0)</f>
        <v/>
      </c>
      <c r="AR1386" s="82">
        <f>HYPERLINK("https://www.alta.ru/tnved/code/")&amp;W1386&amp;"/"</f>
        <v/>
      </c>
      <c r="AS1386" s="157" t="n"/>
      <c r="AT1386" s="162" t="n"/>
      <c r="AU1386" s="76">
        <f>IF(ISBLANK(AT1386),0,AJ1386-AT1386)</f>
        <v/>
      </c>
      <c r="AV1386" s="157" t="n"/>
      <c r="AW1386" s="75">
        <f>_xlfn.IFNA(VLOOKUP(L1386,list_vat[],3,FALSE),0)</f>
        <v/>
      </c>
      <c r="AX1386" s="76">
        <f>IFERROR(ROUND(S1386*(1+AW1386)/E1386,2),0)</f>
        <v/>
      </c>
      <c r="AY1386" s="76">
        <f>E1386*AX1386</f>
        <v/>
      </c>
      <c r="AZ1386" s="192">
        <f>S1386*(1+M1386)</f>
        <v/>
      </c>
      <c r="BA1386" s="76">
        <f>cost_fin_total*$BD1386</f>
        <v/>
      </c>
      <c r="BB1386" s="193">
        <f>credit_sales_interest*BD1386</f>
        <v/>
      </c>
      <c r="BC1386" s="102">
        <f>IFERROR(IF($I$13&gt;0,$I1386/$I$13,$S1386/$S$13),0)</f>
        <v/>
      </c>
      <c r="BD1386" s="102">
        <f>IFERROR($S1386/$S$13,0)</f>
        <v/>
      </c>
      <c r="BE1386" s="413" t="inlineStr">
        <is>
          <t>$</t>
        </is>
      </c>
    </row>
    <row r="1387" ht="12" customFormat="1" customHeight="1" s="65">
      <c r="A1387" s="43" t="n">
        <v>1372</v>
      </c>
      <c r="B1387" s="166" t="n"/>
      <c r="C1387" s="166" t="n"/>
      <c r="D1387" s="166" t="n"/>
      <c r="E1387" s="162" t="n"/>
      <c r="F1387" s="166" t="n"/>
      <c r="G1387" s="162" t="n"/>
      <c r="H1387" s="162" t="n"/>
      <c r="I1387" s="189">
        <f>E1387*G1387</f>
        <v/>
      </c>
      <c r="J1387" s="195" t="n"/>
      <c r="K1387" s="162" t="n"/>
      <c r="L1387" s="168" t="n"/>
      <c r="M1387" s="75">
        <f>_xlfn.XLOOKUP(L1387,list_vat[Страна],list_vat[Ставка НДС %],0,0)</f>
        <v/>
      </c>
      <c r="N1387" s="162">
        <f>IFERROR(IF(L1387="Китай",K1387,K1387/(1+M1387)),0)</f>
        <v/>
      </c>
      <c r="O1387" s="169" t="n"/>
      <c r="P1387" s="76">
        <f>N1387*(1-O1387)</f>
        <v/>
      </c>
      <c r="Q1387" s="162" t="n"/>
      <c r="R1387" s="162">
        <f>IF(ISBLANK(Q1387),"введи курс",P1387/Q1387)</f>
        <v/>
      </c>
      <c r="S1387" s="196">
        <f>IF(AND(ISNUMBER(E1387),ISNUMBER(Q1387)),E1387*R1387,0)</f>
        <v/>
      </c>
      <c r="T1387" s="192">
        <f>$BC1387*V$11</f>
        <v/>
      </c>
      <c r="U1387" s="76">
        <f>$BC1387*W$11</f>
        <v/>
      </c>
      <c r="V1387" s="193">
        <f>+SUM(T1387:U1387)</f>
        <v/>
      </c>
      <c r="W1387" s="191" t="n"/>
      <c r="X1387" s="170" t="n"/>
      <c r="Y1387" s="76">
        <f>ROUND(IF(offer_incoterms="DDP",X1387*(S1387*(1+AW1387)+T1387),0),2)</f>
        <v/>
      </c>
      <c r="Z1387" s="188" t="n"/>
      <c r="AA1387" s="192">
        <f>IFERROR(AB1387/E1387,0)</f>
        <v/>
      </c>
      <c r="AB1387" s="76">
        <f>ROUND(SUM(S1387,V1387,Y1387:Z1387,BA1387:BB1387),2)</f>
        <v/>
      </c>
      <c r="AC1387" s="797" t="n"/>
      <c r="AD1387" s="192">
        <f t="array" ref="AD1387">IFERROR(ROUND((_xlfn.IFS(offer_sale_type="поставка",AB1387,offer_sale_type="транзит",S1387)*(1+AC1387))/E1387,2),0)</f>
        <v/>
      </c>
      <c r="AE1387" s="76">
        <f>AD1387*E1387</f>
        <v/>
      </c>
      <c r="AF1387" s="193">
        <f t="array" ref="AF1387">IFERROR(ROUND(_xlfn.IFS(offer_sale_type="поставка",AB1387,offer_sale_type="транзит",S1387)*AC1387,2),0)</f>
        <v/>
      </c>
      <c r="AG1387" s="192">
        <f>$BD1387*VLOOKUP($AG$3,$AF$4:$AG$7,2,FALSE)</f>
        <v/>
      </c>
      <c r="AH1387" s="76">
        <f>SUM(AE1387,AG1387,AI1387)*rate_forex_risk</f>
        <v/>
      </c>
      <c r="AI1387" s="193">
        <f>IF(OR(seller_region="TR",offer_sale_type="экспорт"),0,rate_fin_comm)*SUM(AZ1387,AZ1387*AW1387,T1387)</f>
        <v/>
      </c>
      <c r="AJ1387" s="118">
        <f>IFERROR(ROUND(SUM(AB1387,AF1387:AI1387)/E1387,2),0)</f>
        <v/>
      </c>
      <c r="AK1387" s="76">
        <f>AJ1387*E1387</f>
        <v/>
      </c>
      <c r="AL1387" s="174">
        <f>ROUND(IFERROR(AM1387*E1387,0),2)</f>
        <v/>
      </c>
      <c r="AM1387" s="175">
        <f>ROUND(AJ1387*(1+IF(offer_incoterms="DDP",IF((TODAY()+offer_turnaround_time)&gt;=helpsheet!$L$17,rate_vatRU_from_26,rate_vatRu_till_25),0)),2)</f>
        <v/>
      </c>
      <c r="AN1387" s="192">
        <f>AL1387-AK1387</f>
        <v/>
      </c>
      <c r="AO1387" s="76">
        <f>SUM(AY1387,Y1387:Z1387,T1387)*IF(AND(offer_incoterms="DDP",offer_sale_type&lt;&gt;"экспорт"),IF((TODAY()+offer_turnaround_time)&gt;=helpsheet!$L$17,rate_vatRU_from_26,rate_vatRu_till_25),0)</f>
        <v/>
      </c>
      <c r="AP1387" s="193">
        <f>AN1387-AO1387</f>
        <v/>
      </c>
      <c r="AQ1387" s="118">
        <f>IF(offer_sale_type="транзит",SUM(AF1387:AI1387,BA1387,BB1387),0)</f>
        <v/>
      </c>
      <c r="AR1387" s="82">
        <f>HYPERLINK("https://www.alta.ru/tnved/code/")&amp;W1387&amp;"/"</f>
        <v/>
      </c>
      <c r="AS1387" s="157" t="n"/>
      <c r="AT1387" s="162" t="n"/>
      <c r="AU1387" s="76">
        <f>IF(ISBLANK(AT1387),0,AJ1387-AT1387)</f>
        <v/>
      </c>
      <c r="AV1387" s="157" t="n"/>
      <c r="AW1387" s="75">
        <f>_xlfn.IFNA(VLOOKUP(L1387,list_vat[],3,FALSE),0)</f>
        <v/>
      </c>
      <c r="AX1387" s="76">
        <f>IFERROR(ROUND(S1387*(1+AW1387)/E1387,2),0)</f>
        <v/>
      </c>
      <c r="AY1387" s="76">
        <f>E1387*AX1387</f>
        <v/>
      </c>
      <c r="AZ1387" s="192">
        <f>S1387*(1+M1387)</f>
        <v/>
      </c>
      <c r="BA1387" s="76">
        <f>cost_fin_total*$BD1387</f>
        <v/>
      </c>
      <c r="BB1387" s="193">
        <f>credit_sales_interest*BD1387</f>
        <v/>
      </c>
      <c r="BC1387" s="102">
        <f>IFERROR(IF($I$13&gt;0,$I1387/$I$13,$S1387/$S$13),0)</f>
        <v/>
      </c>
      <c r="BD1387" s="102">
        <f>IFERROR($S1387/$S$13,0)</f>
        <v/>
      </c>
      <c r="BE1387" s="413" t="inlineStr">
        <is>
          <t>$</t>
        </is>
      </c>
    </row>
    <row r="1388" ht="12" customFormat="1" customHeight="1" s="65">
      <c r="A1388" s="43" t="n">
        <v>1373</v>
      </c>
      <c r="B1388" s="166" t="n"/>
      <c r="C1388" s="166" t="n"/>
      <c r="D1388" s="166" t="n"/>
      <c r="E1388" s="162" t="n"/>
      <c r="F1388" s="166" t="n"/>
      <c r="G1388" s="162" t="n"/>
      <c r="H1388" s="162" t="n"/>
      <c r="I1388" s="189">
        <f>E1388*G1388</f>
        <v/>
      </c>
      <c r="J1388" s="195" t="n"/>
      <c r="K1388" s="162" t="n"/>
      <c r="L1388" s="168" t="n"/>
      <c r="M1388" s="75">
        <f>_xlfn.XLOOKUP(L1388,list_vat[Страна],list_vat[Ставка НДС %],0,0)</f>
        <v/>
      </c>
      <c r="N1388" s="162">
        <f>IFERROR(IF(L1388="Китай",K1388,K1388/(1+M1388)),0)</f>
        <v/>
      </c>
      <c r="O1388" s="169" t="n"/>
      <c r="P1388" s="76">
        <f>N1388*(1-O1388)</f>
        <v/>
      </c>
      <c r="Q1388" s="162" t="n"/>
      <c r="R1388" s="162">
        <f>IF(ISBLANK(Q1388),"введи курс",P1388/Q1388)</f>
        <v/>
      </c>
      <c r="S1388" s="196">
        <f>IF(AND(ISNUMBER(E1388),ISNUMBER(Q1388)),E1388*R1388,0)</f>
        <v/>
      </c>
      <c r="T1388" s="192">
        <f>$BC1388*V$11</f>
        <v/>
      </c>
      <c r="U1388" s="76">
        <f>$BC1388*W$11</f>
        <v/>
      </c>
      <c r="V1388" s="193">
        <f>+SUM(T1388:U1388)</f>
        <v/>
      </c>
      <c r="W1388" s="191" t="n"/>
      <c r="X1388" s="170" t="n"/>
      <c r="Y1388" s="76">
        <f>ROUND(IF(offer_incoterms="DDP",X1388*(S1388*(1+AW1388)+T1388),0),2)</f>
        <v/>
      </c>
      <c r="Z1388" s="188" t="n"/>
      <c r="AA1388" s="192">
        <f>IFERROR(AB1388/E1388,0)</f>
        <v/>
      </c>
      <c r="AB1388" s="76">
        <f>ROUND(SUM(S1388,V1388,Y1388:Z1388,BA1388:BB1388),2)</f>
        <v/>
      </c>
      <c r="AC1388" s="797" t="n"/>
      <c r="AD1388" s="192">
        <f t="array" ref="AD1388">IFERROR(ROUND((_xlfn.IFS(offer_sale_type="поставка",AB1388,offer_sale_type="транзит",S1388)*(1+AC1388))/E1388,2),0)</f>
        <v/>
      </c>
      <c r="AE1388" s="76">
        <f>AD1388*E1388</f>
        <v/>
      </c>
      <c r="AF1388" s="193">
        <f t="array" ref="AF1388">IFERROR(ROUND(_xlfn.IFS(offer_sale_type="поставка",AB1388,offer_sale_type="транзит",S1388)*AC1388,2),0)</f>
        <v/>
      </c>
      <c r="AG1388" s="192">
        <f>$BD1388*VLOOKUP($AG$3,$AF$4:$AG$7,2,FALSE)</f>
        <v/>
      </c>
      <c r="AH1388" s="76">
        <f>SUM(AE1388,AG1388,AI1388)*rate_forex_risk</f>
        <v/>
      </c>
      <c r="AI1388" s="193">
        <f>IF(OR(seller_region="TR",offer_sale_type="экспорт"),0,rate_fin_comm)*SUM(AZ1388,AZ1388*AW1388,T1388)</f>
        <v/>
      </c>
      <c r="AJ1388" s="118">
        <f>IFERROR(ROUND(SUM(AB1388,AF1388:AI1388)/E1388,2),0)</f>
        <v/>
      </c>
      <c r="AK1388" s="76">
        <f>AJ1388*E1388</f>
        <v/>
      </c>
      <c r="AL1388" s="174">
        <f>ROUND(IFERROR(AM1388*E1388,0),2)</f>
        <v/>
      </c>
      <c r="AM1388" s="175">
        <f>ROUND(AJ1388*(1+IF(offer_incoterms="DDP",IF((TODAY()+offer_turnaround_time)&gt;=helpsheet!$L$17,rate_vatRU_from_26,rate_vatRu_till_25),0)),2)</f>
        <v/>
      </c>
      <c r="AN1388" s="192">
        <f>AL1388-AK1388</f>
        <v/>
      </c>
      <c r="AO1388" s="76">
        <f>SUM(AY1388,Y1388:Z1388,T1388)*IF(AND(offer_incoterms="DDP",offer_sale_type&lt;&gt;"экспорт"),IF((TODAY()+offer_turnaround_time)&gt;=helpsheet!$L$17,rate_vatRU_from_26,rate_vatRu_till_25),0)</f>
        <v/>
      </c>
      <c r="AP1388" s="193">
        <f>AN1388-AO1388</f>
        <v/>
      </c>
      <c r="AQ1388" s="118">
        <f>IF(offer_sale_type="транзит",SUM(AF1388:AI1388,BA1388,BB1388),0)</f>
        <v/>
      </c>
      <c r="AR1388" s="82">
        <f>HYPERLINK("https://www.alta.ru/tnved/code/")&amp;W1388&amp;"/"</f>
        <v/>
      </c>
      <c r="AS1388" s="157" t="n"/>
      <c r="AT1388" s="162" t="n"/>
      <c r="AU1388" s="76">
        <f>IF(ISBLANK(AT1388),0,AJ1388-AT1388)</f>
        <v/>
      </c>
      <c r="AV1388" s="157" t="n"/>
      <c r="AW1388" s="75">
        <f>_xlfn.IFNA(VLOOKUP(L1388,list_vat[],3,FALSE),0)</f>
        <v/>
      </c>
      <c r="AX1388" s="76">
        <f>IFERROR(ROUND(S1388*(1+AW1388)/E1388,2),0)</f>
        <v/>
      </c>
      <c r="AY1388" s="76">
        <f>E1388*AX1388</f>
        <v/>
      </c>
      <c r="AZ1388" s="192">
        <f>S1388*(1+M1388)</f>
        <v/>
      </c>
      <c r="BA1388" s="76">
        <f>cost_fin_total*$BD1388</f>
        <v/>
      </c>
      <c r="BB1388" s="193">
        <f>credit_sales_interest*BD1388</f>
        <v/>
      </c>
      <c r="BC1388" s="102">
        <f>IFERROR(IF($I$13&gt;0,$I1388/$I$13,$S1388/$S$13),0)</f>
        <v/>
      </c>
      <c r="BD1388" s="102">
        <f>IFERROR($S1388/$S$13,0)</f>
        <v/>
      </c>
      <c r="BE1388" s="413" t="inlineStr">
        <is>
          <t>$</t>
        </is>
      </c>
    </row>
    <row r="1389" ht="12" customFormat="1" customHeight="1" s="65">
      <c r="A1389" s="43" t="n">
        <v>1374</v>
      </c>
      <c r="B1389" s="166" t="n"/>
      <c r="C1389" s="166" t="n"/>
      <c r="D1389" s="166" t="n"/>
      <c r="E1389" s="162" t="n"/>
      <c r="F1389" s="166" t="n"/>
      <c r="G1389" s="162" t="n"/>
      <c r="H1389" s="162" t="n"/>
      <c r="I1389" s="189">
        <f>E1389*G1389</f>
        <v/>
      </c>
      <c r="J1389" s="195" t="n"/>
      <c r="K1389" s="162" t="n"/>
      <c r="L1389" s="168" t="n"/>
      <c r="M1389" s="75">
        <f>_xlfn.XLOOKUP(L1389,list_vat[Страна],list_vat[Ставка НДС %],0,0)</f>
        <v/>
      </c>
      <c r="N1389" s="162">
        <f>IFERROR(IF(L1389="Китай",K1389,K1389/(1+M1389)),0)</f>
        <v/>
      </c>
      <c r="O1389" s="169" t="n"/>
      <c r="P1389" s="76">
        <f>N1389*(1-O1389)</f>
        <v/>
      </c>
      <c r="Q1389" s="162" t="n"/>
      <c r="R1389" s="162">
        <f>IF(ISBLANK(Q1389),"введи курс",P1389/Q1389)</f>
        <v/>
      </c>
      <c r="S1389" s="196">
        <f>IF(AND(ISNUMBER(E1389),ISNUMBER(Q1389)),E1389*R1389,0)</f>
        <v/>
      </c>
      <c r="T1389" s="192">
        <f>$BC1389*V$11</f>
        <v/>
      </c>
      <c r="U1389" s="76">
        <f>$BC1389*W$11</f>
        <v/>
      </c>
      <c r="V1389" s="193">
        <f>+SUM(T1389:U1389)</f>
        <v/>
      </c>
      <c r="W1389" s="191" t="n"/>
      <c r="X1389" s="170" t="n"/>
      <c r="Y1389" s="76">
        <f>ROUND(IF(offer_incoterms="DDP",X1389*(S1389*(1+AW1389)+T1389),0),2)</f>
        <v/>
      </c>
      <c r="Z1389" s="188" t="n"/>
      <c r="AA1389" s="192">
        <f>IFERROR(AB1389/E1389,0)</f>
        <v/>
      </c>
      <c r="AB1389" s="76">
        <f>ROUND(SUM(S1389,V1389,Y1389:Z1389,BA1389:BB1389),2)</f>
        <v/>
      </c>
      <c r="AC1389" s="797" t="n"/>
      <c r="AD1389" s="192">
        <f t="array" ref="AD1389">IFERROR(ROUND((_xlfn.IFS(offer_sale_type="поставка",AB1389,offer_sale_type="транзит",S1389)*(1+AC1389))/E1389,2),0)</f>
        <v/>
      </c>
      <c r="AE1389" s="76">
        <f>AD1389*E1389</f>
        <v/>
      </c>
      <c r="AF1389" s="193">
        <f t="array" ref="AF1389">IFERROR(ROUND(_xlfn.IFS(offer_sale_type="поставка",AB1389,offer_sale_type="транзит",S1389)*AC1389,2),0)</f>
        <v/>
      </c>
      <c r="AG1389" s="192">
        <f>$BD1389*VLOOKUP($AG$3,$AF$4:$AG$7,2,FALSE)</f>
        <v/>
      </c>
      <c r="AH1389" s="76">
        <f>SUM(AE1389,AG1389,AI1389)*rate_forex_risk</f>
        <v/>
      </c>
      <c r="AI1389" s="193">
        <f>IF(OR(seller_region="TR",offer_sale_type="экспорт"),0,rate_fin_comm)*SUM(AZ1389,AZ1389*AW1389,T1389)</f>
        <v/>
      </c>
      <c r="AJ1389" s="118">
        <f>IFERROR(ROUND(SUM(AB1389,AF1389:AI1389)/E1389,2),0)</f>
        <v/>
      </c>
      <c r="AK1389" s="76">
        <f>AJ1389*E1389</f>
        <v/>
      </c>
      <c r="AL1389" s="174">
        <f>ROUND(IFERROR(AM1389*E1389,0),2)</f>
        <v/>
      </c>
      <c r="AM1389" s="175">
        <f>ROUND(AJ1389*(1+IF(offer_incoterms="DDP",IF((TODAY()+offer_turnaround_time)&gt;=helpsheet!$L$17,rate_vatRU_from_26,rate_vatRu_till_25),0)),2)</f>
        <v/>
      </c>
      <c r="AN1389" s="192">
        <f>AL1389-AK1389</f>
        <v/>
      </c>
      <c r="AO1389" s="76">
        <f>SUM(AY1389,Y1389:Z1389,T1389)*IF(AND(offer_incoterms="DDP",offer_sale_type&lt;&gt;"экспорт"),IF((TODAY()+offer_turnaround_time)&gt;=helpsheet!$L$17,rate_vatRU_from_26,rate_vatRu_till_25),0)</f>
        <v/>
      </c>
      <c r="AP1389" s="193">
        <f>AN1389-AO1389</f>
        <v/>
      </c>
      <c r="AQ1389" s="118">
        <f>IF(offer_sale_type="транзит",SUM(AF1389:AI1389,BA1389,BB1389),0)</f>
        <v/>
      </c>
      <c r="AR1389" s="82">
        <f>HYPERLINK("https://www.alta.ru/tnved/code/")&amp;W1389&amp;"/"</f>
        <v/>
      </c>
      <c r="AS1389" s="157" t="n"/>
      <c r="AT1389" s="162" t="n"/>
      <c r="AU1389" s="76">
        <f>IF(ISBLANK(AT1389),0,AJ1389-AT1389)</f>
        <v/>
      </c>
      <c r="AV1389" s="157" t="n"/>
      <c r="AW1389" s="75">
        <f>_xlfn.IFNA(VLOOKUP(L1389,list_vat[],3,FALSE),0)</f>
        <v/>
      </c>
      <c r="AX1389" s="76">
        <f>IFERROR(ROUND(S1389*(1+AW1389)/E1389,2),0)</f>
        <v/>
      </c>
      <c r="AY1389" s="76">
        <f>E1389*AX1389</f>
        <v/>
      </c>
      <c r="AZ1389" s="192">
        <f>S1389*(1+M1389)</f>
        <v/>
      </c>
      <c r="BA1389" s="76">
        <f>cost_fin_total*$BD1389</f>
        <v/>
      </c>
      <c r="BB1389" s="193">
        <f>credit_sales_interest*BD1389</f>
        <v/>
      </c>
      <c r="BC1389" s="102">
        <f>IFERROR(IF($I$13&gt;0,$I1389/$I$13,$S1389/$S$13),0)</f>
        <v/>
      </c>
      <c r="BD1389" s="102">
        <f>IFERROR($S1389/$S$13,0)</f>
        <v/>
      </c>
      <c r="BE1389" s="413" t="inlineStr">
        <is>
          <t>$</t>
        </is>
      </c>
    </row>
    <row r="1390" ht="12" customFormat="1" customHeight="1" s="65">
      <c r="A1390" s="43" t="n">
        <v>1375</v>
      </c>
      <c r="B1390" s="166" t="n"/>
      <c r="C1390" s="166" t="n"/>
      <c r="D1390" s="166" t="n"/>
      <c r="E1390" s="162" t="n"/>
      <c r="F1390" s="166" t="n"/>
      <c r="G1390" s="162" t="n"/>
      <c r="H1390" s="162" t="n"/>
      <c r="I1390" s="189">
        <f>E1390*G1390</f>
        <v/>
      </c>
      <c r="J1390" s="195" t="n"/>
      <c r="K1390" s="162" t="n"/>
      <c r="L1390" s="168" t="n"/>
      <c r="M1390" s="75">
        <f>_xlfn.XLOOKUP(L1390,list_vat[Страна],list_vat[Ставка НДС %],0,0)</f>
        <v/>
      </c>
      <c r="N1390" s="162">
        <f>IFERROR(IF(L1390="Китай",K1390,K1390/(1+M1390)),0)</f>
        <v/>
      </c>
      <c r="O1390" s="169" t="n"/>
      <c r="P1390" s="76">
        <f>N1390*(1-O1390)</f>
        <v/>
      </c>
      <c r="Q1390" s="162" t="n"/>
      <c r="R1390" s="162">
        <f>IF(ISBLANK(Q1390),"введи курс",P1390/Q1390)</f>
        <v/>
      </c>
      <c r="S1390" s="196">
        <f>IF(AND(ISNUMBER(E1390),ISNUMBER(Q1390)),E1390*R1390,0)</f>
        <v/>
      </c>
      <c r="T1390" s="192">
        <f>$BC1390*V$11</f>
        <v/>
      </c>
      <c r="U1390" s="76">
        <f>$BC1390*W$11</f>
        <v/>
      </c>
      <c r="V1390" s="193">
        <f>+SUM(T1390:U1390)</f>
        <v/>
      </c>
      <c r="W1390" s="191" t="n"/>
      <c r="X1390" s="170" t="n"/>
      <c r="Y1390" s="76">
        <f>ROUND(IF(offer_incoterms="DDP",X1390*(S1390*(1+AW1390)+T1390),0),2)</f>
        <v/>
      </c>
      <c r="Z1390" s="188" t="n"/>
      <c r="AA1390" s="192">
        <f>IFERROR(AB1390/E1390,0)</f>
        <v/>
      </c>
      <c r="AB1390" s="76">
        <f>ROUND(SUM(S1390,V1390,Y1390:Z1390,BA1390:BB1390),2)</f>
        <v/>
      </c>
      <c r="AC1390" s="797" t="n"/>
      <c r="AD1390" s="192">
        <f t="array" ref="AD1390">IFERROR(ROUND((_xlfn.IFS(offer_sale_type="поставка",AB1390,offer_sale_type="транзит",S1390)*(1+AC1390))/E1390,2),0)</f>
        <v/>
      </c>
      <c r="AE1390" s="76">
        <f>AD1390*E1390</f>
        <v/>
      </c>
      <c r="AF1390" s="193">
        <f t="array" ref="AF1390">IFERROR(ROUND(_xlfn.IFS(offer_sale_type="поставка",AB1390,offer_sale_type="транзит",S1390)*AC1390,2),0)</f>
        <v/>
      </c>
      <c r="AG1390" s="192">
        <f>$BD1390*VLOOKUP($AG$3,$AF$4:$AG$7,2,FALSE)</f>
        <v/>
      </c>
      <c r="AH1390" s="76">
        <f>SUM(AE1390,AG1390,AI1390)*rate_forex_risk</f>
        <v/>
      </c>
      <c r="AI1390" s="193">
        <f>IF(OR(seller_region="TR",offer_sale_type="экспорт"),0,rate_fin_comm)*SUM(AZ1390,AZ1390*AW1390,T1390)</f>
        <v/>
      </c>
      <c r="AJ1390" s="118">
        <f>IFERROR(ROUND(SUM(AB1390,AF1390:AI1390)/E1390,2),0)</f>
        <v/>
      </c>
      <c r="AK1390" s="76">
        <f>AJ1390*E1390</f>
        <v/>
      </c>
      <c r="AL1390" s="174">
        <f>ROUND(IFERROR(AM1390*E1390,0),2)</f>
        <v/>
      </c>
      <c r="AM1390" s="175">
        <f>ROUND(AJ1390*(1+IF(offer_incoterms="DDP",IF((TODAY()+offer_turnaround_time)&gt;=helpsheet!$L$17,rate_vatRU_from_26,rate_vatRu_till_25),0)),2)</f>
        <v/>
      </c>
      <c r="AN1390" s="192">
        <f>AL1390-AK1390</f>
        <v/>
      </c>
      <c r="AO1390" s="76">
        <f>SUM(AY1390,Y1390:Z1390,T1390)*IF(AND(offer_incoterms="DDP",offer_sale_type&lt;&gt;"экспорт"),IF((TODAY()+offer_turnaround_time)&gt;=helpsheet!$L$17,rate_vatRU_from_26,rate_vatRu_till_25),0)</f>
        <v/>
      </c>
      <c r="AP1390" s="193">
        <f>AN1390-AO1390</f>
        <v/>
      </c>
      <c r="AQ1390" s="118">
        <f>IF(offer_sale_type="транзит",SUM(AF1390:AI1390,BA1390,BB1390),0)</f>
        <v/>
      </c>
      <c r="AR1390" s="82">
        <f>HYPERLINK("https://www.alta.ru/tnved/code/")&amp;W1390&amp;"/"</f>
        <v/>
      </c>
      <c r="AS1390" s="157" t="n"/>
      <c r="AT1390" s="162" t="n"/>
      <c r="AU1390" s="76">
        <f>IF(ISBLANK(AT1390),0,AJ1390-AT1390)</f>
        <v/>
      </c>
      <c r="AV1390" s="157" t="n"/>
      <c r="AW1390" s="75">
        <f>_xlfn.IFNA(VLOOKUP(L1390,list_vat[],3,FALSE),0)</f>
        <v/>
      </c>
      <c r="AX1390" s="76">
        <f>IFERROR(ROUND(S1390*(1+AW1390)/E1390,2),0)</f>
        <v/>
      </c>
      <c r="AY1390" s="76">
        <f>E1390*AX1390</f>
        <v/>
      </c>
      <c r="AZ1390" s="192">
        <f>S1390*(1+M1390)</f>
        <v/>
      </c>
      <c r="BA1390" s="76">
        <f>cost_fin_total*$BD1390</f>
        <v/>
      </c>
      <c r="BB1390" s="193">
        <f>credit_sales_interest*BD1390</f>
        <v/>
      </c>
      <c r="BC1390" s="102">
        <f>IFERROR(IF($I$13&gt;0,$I1390/$I$13,$S1390/$S$13),0)</f>
        <v/>
      </c>
      <c r="BD1390" s="102">
        <f>IFERROR($S1390/$S$13,0)</f>
        <v/>
      </c>
      <c r="BE1390" s="413" t="inlineStr">
        <is>
          <t>$</t>
        </is>
      </c>
    </row>
    <row r="1391" ht="12" customFormat="1" customHeight="1" s="65">
      <c r="A1391" s="43" t="n">
        <v>1376</v>
      </c>
      <c r="B1391" s="166" t="n"/>
      <c r="C1391" s="166" t="n"/>
      <c r="D1391" s="166" t="n"/>
      <c r="E1391" s="162" t="n"/>
      <c r="F1391" s="166" t="n"/>
      <c r="G1391" s="162" t="n"/>
      <c r="H1391" s="162" t="n"/>
      <c r="I1391" s="189">
        <f>E1391*G1391</f>
        <v/>
      </c>
      <c r="J1391" s="195" t="n"/>
      <c r="K1391" s="162" t="n"/>
      <c r="L1391" s="168" t="n"/>
      <c r="M1391" s="75">
        <f>_xlfn.XLOOKUP(L1391,list_vat[Страна],list_vat[Ставка НДС %],0,0)</f>
        <v/>
      </c>
      <c r="N1391" s="162">
        <f>IFERROR(IF(L1391="Китай",K1391,K1391/(1+M1391)),0)</f>
        <v/>
      </c>
      <c r="O1391" s="169" t="n"/>
      <c r="P1391" s="76">
        <f>N1391*(1-O1391)</f>
        <v/>
      </c>
      <c r="Q1391" s="162" t="n"/>
      <c r="R1391" s="162">
        <f>IF(ISBLANK(Q1391),"введи курс",P1391/Q1391)</f>
        <v/>
      </c>
      <c r="S1391" s="196">
        <f>IF(AND(ISNUMBER(E1391),ISNUMBER(Q1391)),E1391*R1391,0)</f>
        <v/>
      </c>
      <c r="T1391" s="192">
        <f>$BC1391*V$11</f>
        <v/>
      </c>
      <c r="U1391" s="76">
        <f>$BC1391*W$11</f>
        <v/>
      </c>
      <c r="V1391" s="193">
        <f>+SUM(T1391:U1391)</f>
        <v/>
      </c>
      <c r="W1391" s="191" t="n"/>
      <c r="X1391" s="170" t="n"/>
      <c r="Y1391" s="76">
        <f>ROUND(IF(offer_incoterms="DDP",X1391*(S1391*(1+AW1391)+T1391),0),2)</f>
        <v/>
      </c>
      <c r="Z1391" s="188" t="n"/>
      <c r="AA1391" s="192">
        <f>IFERROR(AB1391/E1391,0)</f>
        <v/>
      </c>
      <c r="AB1391" s="76">
        <f>ROUND(SUM(S1391,V1391,Y1391:Z1391,BA1391:BB1391),2)</f>
        <v/>
      </c>
      <c r="AC1391" s="797" t="n"/>
      <c r="AD1391" s="192">
        <f t="array" ref="AD1391">IFERROR(ROUND((_xlfn.IFS(offer_sale_type="поставка",AB1391,offer_sale_type="транзит",S1391)*(1+AC1391))/E1391,2),0)</f>
        <v/>
      </c>
      <c r="AE1391" s="76">
        <f>AD1391*E1391</f>
        <v/>
      </c>
      <c r="AF1391" s="193">
        <f t="array" ref="AF1391">IFERROR(ROUND(_xlfn.IFS(offer_sale_type="поставка",AB1391,offer_sale_type="транзит",S1391)*AC1391,2),0)</f>
        <v/>
      </c>
      <c r="AG1391" s="192">
        <f>$BD1391*VLOOKUP($AG$3,$AF$4:$AG$7,2,FALSE)</f>
        <v/>
      </c>
      <c r="AH1391" s="76">
        <f>SUM(AE1391,AG1391,AI1391)*rate_forex_risk</f>
        <v/>
      </c>
      <c r="AI1391" s="193">
        <f>IF(OR(seller_region="TR",offer_sale_type="экспорт"),0,rate_fin_comm)*SUM(AZ1391,AZ1391*AW1391,T1391)</f>
        <v/>
      </c>
      <c r="AJ1391" s="118">
        <f>IFERROR(ROUND(SUM(AB1391,AF1391:AI1391)/E1391,2),0)</f>
        <v/>
      </c>
      <c r="AK1391" s="76">
        <f>AJ1391*E1391</f>
        <v/>
      </c>
      <c r="AL1391" s="174">
        <f>ROUND(IFERROR(AM1391*E1391,0),2)</f>
        <v/>
      </c>
      <c r="AM1391" s="175">
        <f>ROUND(AJ1391*(1+IF(offer_incoterms="DDP",IF((TODAY()+offer_turnaround_time)&gt;=helpsheet!$L$17,rate_vatRU_from_26,rate_vatRu_till_25),0)),2)</f>
        <v/>
      </c>
      <c r="AN1391" s="192">
        <f>AL1391-AK1391</f>
        <v/>
      </c>
      <c r="AO1391" s="76">
        <f>SUM(AY1391,Y1391:Z1391,T1391)*IF(AND(offer_incoterms="DDP",offer_sale_type&lt;&gt;"экспорт"),IF((TODAY()+offer_turnaround_time)&gt;=helpsheet!$L$17,rate_vatRU_from_26,rate_vatRu_till_25),0)</f>
        <v/>
      </c>
      <c r="AP1391" s="193">
        <f>AN1391-AO1391</f>
        <v/>
      </c>
      <c r="AQ1391" s="118">
        <f>IF(offer_sale_type="транзит",SUM(AF1391:AI1391,BA1391,BB1391),0)</f>
        <v/>
      </c>
      <c r="AR1391" s="82">
        <f>HYPERLINK("https://www.alta.ru/tnved/code/")&amp;W1391&amp;"/"</f>
        <v/>
      </c>
      <c r="AS1391" s="157" t="n"/>
      <c r="AT1391" s="162" t="n"/>
      <c r="AU1391" s="76">
        <f>IF(ISBLANK(AT1391),0,AJ1391-AT1391)</f>
        <v/>
      </c>
      <c r="AV1391" s="157" t="n"/>
      <c r="AW1391" s="75">
        <f>_xlfn.IFNA(VLOOKUP(L1391,list_vat[],3,FALSE),0)</f>
        <v/>
      </c>
      <c r="AX1391" s="76">
        <f>IFERROR(ROUND(S1391*(1+AW1391)/E1391,2),0)</f>
        <v/>
      </c>
      <c r="AY1391" s="76">
        <f>E1391*AX1391</f>
        <v/>
      </c>
      <c r="AZ1391" s="192">
        <f>S1391*(1+M1391)</f>
        <v/>
      </c>
      <c r="BA1391" s="76">
        <f>cost_fin_total*$BD1391</f>
        <v/>
      </c>
      <c r="BB1391" s="193">
        <f>credit_sales_interest*BD1391</f>
        <v/>
      </c>
      <c r="BC1391" s="102">
        <f>IFERROR(IF($I$13&gt;0,$I1391/$I$13,$S1391/$S$13),0)</f>
        <v/>
      </c>
      <c r="BD1391" s="102">
        <f>IFERROR($S1391/$S$13,0)</f>
        <v/>
      </c>
      <c r="BE1391" s="413" t="inlineStr">
        <is>
          <t>$</t>
        </is>
      </c>
    </row>
    <row r="1392" ht="12" customFormat="1" customHeight="1" s="65">
      <c r="A1392" s="43" t="n">
        <v>1377</v>
      </c>
      <c r="B1392" s="166" t="n"/>
      <c r="C1392" s="166" t="n"/>
      <c r="D1392" s="166" t="n"/>
      <c r="E1392" s="162" t="n"/>
      <c r="F1392" s="166" t="n"/>
      <c r="G1392" s="162" t="n"/>
      <c r="H1392" s="162" t="n"/>
      <c r="I1392" s="189">
        <f>E1392*G1392</f>
        <v/>
      </c>
      <c r="J1392" s="195" t="n"/>
      <c r="K1392" s="162" t="n"/>
      <c r="L1392" s="168" t="n"/>
      <c r="M1392" s="75">
        <f>_xlfn.XLOOKUP(L1392,list_vat[Страна],list_vat[Ставка НДС %],0,0)</f>
        <v/>
      </c>
      <c r="N1392" s="162">
        <f>IFERROR(IF(L1392="Китай",K1392,K1392/(1+M1392)),0)</f>
        <v/>
      </c>
      <c r="O1392" s="169" t="n"/>
      <c r="P1392" s="76">
        <f>N1392*(1-O1392)</f>
        <v/>
      </c>
      <c r="Q1392" s="162" t="n"/>
      <c r="R1392" s="162">
        <f>IF(ISBLANK(Q1392),"введи курс",P1392/Q1392)</f>
        <v/>
      </c>
      <c r="S1392" s="196">
        <f>IF(AND(ISNUMBER(E1392),ISNUMBER(Q1392)),E1392*R1392,0)</f>
        <v/>
      </c>
      <c r="T1392" s="192">
        <f>$BC1392*V$11</f>
        <v/>
      </c>
      <c r="U1392" s="76">
        <f>$BC1392*W$11</f>
        <v/>
      </c>
      <c r="V1392" s="193">
        <f>+SUM(T1392:U1392)</f>
        <v/>
      </c>
      <c r="W1392" s="191" t="n"/>
      <c r="X1392" s="170" t="n"/>
      <c r="Y1392" s="76">
        <f>ROUND(IF(offer_incoterms="DDP",X1392*(S1392*(1+AW1392)+T1392),0),2)</f>
        <v/>
      </c>
      <c r="Z1392" s="188" t="n"/>
      <c r="AA1392" s="192">
        <f>IFERROR(AB1392/E1392,0)</f>
        <v/>
      </c>
      <c r="AB1392" s="76">
        <f>ROUND(SUM(S1392,V1392,Y1392:Z1392,BA1392:BB1392),2)</f>
        <v/>
      </c>
      <c r="AC1392" s="797" t="n"/>
      <c r="AD1392" s="192">
        <f t="array" ref="AD1392">IFERROR(ROUND((_xlfn.IFS(offer_sale_type="поставка",AB1392,offer_sale_type="транзит",S1392)*(1+AC1392))/E1392,2),0)</f>
        <v/>
      </c>
      <c r="AE1392" s="76">
        <f>AD1392*E1392</f>
        <v/>
      </c>
      <c r="AF1392" s="193">
        <f t="array" ref="AF1392">IFERROR(ROUND(_xlfn.IFS(offer_sale_type="поставка",AB1392,offer_sale_type="транзит",S1392)*AC1392,2),0)</f>
        <v/>
      </c>
      <c r="AG1392" s="192">
        <f>$BD1392*VLOOKUP($AG$3,$AF$4:$AG$7,2,FALSE)</f>
        <v/>
      </c>
      <c r="AH1392" s="76">
        <f>SUM(AE1392,AG1392,AI1392)*rate_forex_risk</f>
        <v/>
      </c>
      <c r="AI1392" s="193">
        <f>IF(OR(seller_region="TR",offer_sale_type="экспорт"),0,rate_fin_comm)*SUM(AZ1392,AZ1392*AW1392,T1392)</f>
        <v/>
      </c>
      <c r="AJ1392" s="118">
        <f>IFERROR(ROUND(SUM(AB1392,AF1392:AI1392)/E1392,2),0)</f>
        <v/>
      </c>
      <c r="AK1392" s="76">
        <f>AJ1392*E1392</f>
        <v/>
      </c>
      <c r="AL1392" s="174">
        <f>ROUND(IFERROR(AM1392*E1392,0),2)</f>
        <v/>
      </c>
      <c r="AM1392" s="175">
        <f>ROUND(AJ1392*(1+IF(offer_incoterms="DDP",IF((TODAY()+offer_turnaround_time)&gt;=helpsheet!$L$17,rate_vatRU_from_26,rate_vatRu_till_25),0)),2)</f>
        <v/>
      </c>
      <c r="AN1392" s="192">
        <f>AL1392-AK1392</f>
        <v/>
      </c>
      <c r="AO1392" s="76">
        <f>SUM(AY1392,Y1392:Z1392,T1392)*IF(AND(offer_incoterms="DDP",offer_sale_type&lt;&gt;"экспорт"),IF((TODAY()+offer_turnaround_time)&gt;=helpsheet!$L$17,rate_vatRU_from_26,rate_vatRu_till_25),0)</f>
        <v/>
      </c>
      <c r="AP1392" s="193">
        <f>AN1392-AO1392</f>
        <v/>
      </c>
      <c r="AQ1392" s="118">
        <f>IF(offer_sale_type="транзит",SUM(AF1392:AI1392,BA1392,BB1392),0)</f>
        <v/>
      </c>
      <c r="AR1392" s="82">
        <f>HYPERLINK("https://www.alta.ru/tnved/code/")&amp;W1392&amp;"/"</f>
        <v/>
      </c>
      <c r="AS1392" s="157" t="n"/>
      <c r="AT1392" s="162" t="n"/>
      <c r="AU1392" s="76">
        <f>IF(ISBLANK(AT1392),0,AJ1392-AT1392)</f>
        <v/>
      </c>
      <c r="AV1392" s="157" t="n"/>
      <c r="AW1392" s="75">
        <f>_xlfn.IFNA(VLOOKUP(L1392,list_vat[],3,FALSE),0)</f>
        <v/>
      </c>
      <c r="AX1392" s="76">
        <f>IFERROR(ROUND(S1392*(1+AW1392)/E1392,2),0)</f>
        <v/>
      </c>
      <c r="AY1392" s="76">
        <f>E1392*AX1392</f>
        <v/>
      </c>
      <c r="AZ1392" s="192">
        <f>S1392*(1+M1392)</f>
        <v/>
      </c>
      <c r="BA1392" s="76">
        <f>cost_fin_total*$BD1392</f>
        <v/>
      </c>
      <c r="BB1392" s="193">
        <f>credit_sales_interest*BD1392</f>
        <v/>
      </c>
      <c r="BC1392" s="102">
        <f>IFERROR(IF($I$13&gt;0,$I1392/$I$13,$S1392/$S$13),0)</f>
        <v/>
      </c>
      <c r="BD1392" s="102">
        <f>IFERROR($S1392/$S$13,0)</f>
        <v/>
      </c>
      <c r="BE1392" s="413" t="inlineStr">
        <is>
          <t>$</t>
        </is>
      </c>
    </row>
    <row r="1393" ht="12" customFormat="1" customHeight="1" s="65">
      <c r="A1393" s="43" t="n">
        <v>1378</v>
      </c>
      <c r="B1393" s="166" t="n"/>
      <c r="C1393" s="166" t="n"/>
      <c r="D1393" s="166" t="n"/>
      <c r="E1393" s="162" t="n"/>
      <c r="F1393" s="166" t="n"/>
      <c r="G1393" s="162" t="n"/>
      <c r="H1393" s="162" t="n"/>
      <c r="I1393" s="189">
        <f>E1393*G1393</f>
        <v/>
      </c>
      <c r="J1393" s="195" t="n"/>
      <c r="K1393" s="162" t="n"/>
      <c r="L1393" s="168" t="n"/>
      <c r="M1393" s="75">
        <f>_xlfn.XLOOKUP(L1393,list_vat[Страна],list_vat[Ставка НДС %],0,0)</f>
        <v/>
      </c>
      <c r="N1393" s="162">
        <f>IFERROR(IF(L1393="Китай",K1393,K1393/(1+M1393)),0)</f>
        <v/>
      </c>
      <c r="O1393" s="169" t="n"/>
      <c r="P1393" s="76">
        <f>N1393*(1-O1393)</f>
        <v/>
      </c>
      <c r="Q1393" s="162" t="n"/>
      <c r="R1393" s="162">
        <f>IF(ISBLANK(Q1393),"введи курс",P1393/Q1393)</f>
        <v/>
      </c>
      <c r="S1393" s="196">
        <f>IF(AND(ISNUMBER(E1393),ISNUMBER(Q1393)),E1393*R1393,0)</f>
        <v/>
      </c>
      <c r="T1393" s="192">
        <f>$BC1393*V$11</f>
        <v/>
      </c>
      <c r="U1393" s="76">
        <f>$BC1393*W$11</f>
        <v/>
      </c>
      <c r="V1393" s="193">
        <f>+SUM(T1393:U1393)</f>
        <v/>
      </c>
      <c r="W1393" s="191" t="n"/>
      <c r="X1393" s="170" t="n"/>
      <c r="Y1393" s="76">
        <f>ROUND(IF(offer_incoterms="DDP",X1393*(S1393*(1+AW1393)+T1393),0),2)</f>
        <v/>
      </c>
      <c r="Z1393" s="188" t="n"/>
      <c r="AA1393" s="192">
        <f>IFERROR(AB1393/E1393,0)</f>
        <v/>
      </c>
      <c r="AB1393" s="76">
        <f>ROUND(SUM(S1393,V1393,Y1393:Z1393,BA1393:BB1393),2)</f>
        <v/>
      </c>
      <c r="AC1393" s="797" t="n"/>
      <c r="AD1393" s="192">
        <f t="array" ref="AD1393">IFERROR(ROUND((_xlfn.IFS(offer_sale_type="поставка",AB1393,offer_sale_type="транзит",S1393)*(1+AC1393))/E1393,2),0)</f>
        <v/>
      </c>
      <c r="AE1393" s="76">
        <f>AD1393*E1393</f>
        <v/>
      </c>
      <c r="AF1393" s="193">
        <f t="array" ref="AF1393">IFERROR(ROUND(_xlfn.IFS(offer_sale_type="поставка",AB1393,offer_sale_type="транзит",S1393)*AC1393,2),0)</f>
        <v/>
      </c>
      <c r="AG1393" s="192">
        <f>$BD1393*VLOOKUP($AG$3,$AF$4:$AG$7,2,FALSE)</f>
        <v/>
      </c>
      <c r="AH1393" s="76">
        <f>SUM(AE1393,AG1393,AI1393)*rate_forex_risk</f>
        <v/>
      </c>
      <c r="AI1393" s="193">
        <f>IF(OR(seller_region="TR",offer_sale_type="экспорт"),0,rate_fin_comm)*SUM(AZ1393,AZ1393*AW1393,T1393)</f>
        <v/>
      </c>
      <c r="AJ1393" s="118">
        <f>IFERROR(ROUND(SUM(AB1393,AF1393:AI1393)/E1393,2),0)</f>
        <v/>
      </c>
      <c r="AK1393" s="76">
        <f>AJ1393*E1393</f>
        <v/>
      </c>
      <c r="AL1393" s="174">
        <f>ROUND(IFERROR(AM1393*E1393,0),2)</f>
        <v/>
      </c>
      <c r="AM1393" s="175">
        <f>ROUND(AJ1393*(1+IF(offer_incoterms="DDP",IF((TODAY()+offer_turnaround_time)&gt;=helpsheet!$L$17,rate_vatRU_from_26,rate_vatRu_till_25),0)),2)</f>
        <v/>
      </c>
      <c r="AN1393" s="192">
        <f>AL1393-AK1393</f>
        <v/>
      </c>
      <c r="AO1393" s="76">
        <f>SUM(AY1393,Y1393:Z1393,T1393)*IF(AND(offer_incoterms="DDP",offer_sale_type&lt;&gt;"экспорт"),IF((TODAY()+offer_turnaround_time)&gt;=helpsheet!$L$17,rate_vatRU_from_26,rate_vatRu_till_25),0)</f>
        <v/>
      </c>
      <c r="AP1393" s="193">
        <f>AN1393-AO1393</f>
        <v/>
      </c>
      <c r="AQ1393" s="118">
        <f>IF(offer_sale_type="транзит",SUM(AF1393:AI1393,BA1393,BB1393),0)</f>
        <v/>
      </c>
      <c r="AR1393" s="82">
        <f>HYPERLINK("https://www.alta.ru/tnved/code/")&amp;W1393&amp;"/"</f>
        <v/>
      </c>
      <c r="AS1393" s="157" t="n"/>
      <c r="AT1393" s="162" t="n"/>
      <c r="AU1393" s="76">
        <f>IF(ISBLANK(AT1393),0,AJ1393-AT1393)</f>
        <v/>
      </c>
      <c r="AV1393" s="157" t="n"/>
      <c r="AW1393" s="75">
        <f>_xlfn.IFNA(VLOOKUP(L1393,list_vat[],3,FALSE),0)</f>
        <v/>
      </c>
      <c r="AX1393" s="76">
        <f>IFERROR(ROUND(S1393*(1+AW1393)/E1393,2),0)</f>
        <v/>
      </c>
      <c r="AY1393" s="76">
        <f>E1393*AX1393</f>
        <v/>
      </c>
      <c r="AZ1393" s="192">
        <f>S1393*(1+M1393)</f>
        <v/>
      </c>
      <c r="BA1393" s="76">
        <f>cost_fin_total*$BD1393</f>
        <v/>
      </c>
      <c r="BB1393" s="193">
        <f>credit_sales_interest*BD1393</f>
        <v/>
      </c>
      <c r="BC1393" s="102">
        <f>IFERROR(IF($I$13&gt;0,$I1393/$I$13,$S1393/$S$13),0)</f>
        <v/>
      </c>
      <c r="BD1393" s="102">
        <f>IFERROR($S1393/$S$13,0)</f>
        <v/>
      </c>
      <c r="BE1393" s="413" t="inlineStr">
        <is>
          <t>$</t>
        </is>
      </c>
    </row>
    <row r="1394" ht="12" customFormat="1" customHeight="1" s="65">
      <c r="A1394" s="43" t="n">
        <v>1379</v>
      </c>
      <c r="B1394" s="166" t="n"/>
      <c r="C1394" s="166" t="n"/>
      <c r="D1394" s="166" t="n"/>
      <c r="E1394" s="162" t="n"/>
      <c r="F1394" s="166" t="n"/>
      <c r="G1394" s="162" t="n"/>
      <c r="H1394" s="162" t="n"/>
      <c r="I1394" s="189">
        <f>E1394*G1394</f>
        <v/>
      </c>
      <c r="J1394" s="195" t="n"/>
      <c r="K1394" s="162" t="n"/>
      <c r="L1394" s="168" t="n"/>
      <c r="M1394" s="75">
        <f>_xlfn.XLOOKUP(L1394,list_vat[Страна],list_vat[Ставка НДС %],0,0)</f>
        <v/>
      </c>
      <c r="N1394" s="162">
        <f>IFERROR(IF(L1394="Китай",K1394,K1394/(1+M1394)),0)</f>
        <v/>
      </c>
      <c r="O1394" s="169" t="n"/>
      <c r="P1394" s="76">
        <f>N1394*(1-O1394)</f>
        <v/>
      </c>
      <c r="Q1394" s="162" t="n"/>
      <c r="R1394" s="162">
        <f>IF(ISBLANK(Q1394),"введи курс",P1394/Q1394)</f>
        <v/>
      </c>
      <c r="S1394" s="196">
        <f>IF(AND(ISNUMBER(E1394),ISNUMBER(Q1394)),E1394*R1394,0)</f>
        <v/>
      </c>
      <c r="T1394" s="192">
        <f>$BC1394*V$11</f>
        <v/>
      </c>
      <c r="U1394" s="76">
        <f>$BC1394*W$11</f>
        <v/>
      </c>
      <c r="V1394" s="193">
        <f>+SUM(T1394:U1394)</f>
        <v/>
      </c>
      <c r="W1394" s="191" t="n"/>
      <c r="X1394" s="170" t="n"/>
      <c r="Y1394" s="76">
        <f>ROUND(IF(offer_incoterms="DDP",X1394*(S1394*(1+AW1394)+T1394),0),2)</f>
        <v/>
      </c>
      <c r="Z1394" s="188" t="n"/>
      <c r="AA1394" s="192">
        <f>IFERROR(AB1394/E1394,0)</f>
        <v/>
      </c>
      <c r="AB1394" s="76">
        <f>ROUND(SUM(S1394,V1394,Y1394:Z1394,BA1394:BB1394),2)</f>
        <v/>
      </c>
      <c r="AC1394" s="797" t="n"/>
      <c r="AD1394" s="192">
        <f t="array" ref="AD1394">IFERROR(ROUND((_xlfn.IFS(offer_sale_type="поставка",AB1394,offer_sale_type="транзит",S1394)*(1+AC1394))/E1394,2),0)</f>
        <v/>
      </c>
      <c r="AE1394" s="76">
        <f>AD1394*E1394</f>
        <v/>
      </c>
      <c r="AF1394" s="193">
        <f t="array" ref="AF1394">IFERROR(ROUND(_xlfn.IFS(offer_sale_type="поставка",AB1394,offer_sale_type="транзит",S1394)*AC1394,2),0)</f>
        <v/>
      </c>
      <c r="AG1394" s="192">
        <f>$BD1394*VLOOKUP($AG$3,$AF$4:$AG$7,2,FALSE)</f>
        <v/>
      </c>
      <c r="AH1394" s="76">
        <f>SUM(AE1394,AG1394,AI1394)*rate_forex_risk</f>
        <v/>
      </c>
      <c r="AI1394" s="193">
        <f>IF(OR(seller_region="TR",offer_sale_type="экспорт"),0,rate_fin_comm)*SUM(AZ1394,AZ1394*AW1394,T1394)</f>
        <v/>
      </c>
      <c r="AJ1394" s="118">
        <f>IFERROR(ROUND(SUM(AB1394,AF1394:AI1394)/E1394,2),0)</f>
        <v/>
      </c>
      <c r="AK1394" s="76">
        <f>AJ1394*E1394</f>
        <v/>
      </c>
      <c r="AL1394" s="174">
        <f>ROUND(IFERROR(AM1394*E1394,0),2)</f>
        <v/>
      </c>
      <c r="AM1394" s="175">
        <f>ROUND(AJ1394*(1+IF(offer_incoterms="DDP",IF((TODAY()+offer_turnaround_time)&gt;=helpsheet!$L$17,rate_vatRU_from_26,rate_vatRu_till_25),0)),2)</f>
        <v/>
      </c>
      <c r="AN1394" s="192">
        <f>AL1394-AK1394</f>
        <v/>
      </c>
      <c r="AO1394" s="76">
        <f>SUM(AY1394,Y1394:Z1394,T1394)*IF(AND(offer_incoterms="DDP",offer_sale_type&lt;&gt;"экспорт"),IF((TODAY()+offer_turnaround_time)&gt;=helpsheet!$L$17,rate_vatRU_from_26,rate_vatRu_till_25),0)</f>
        <v/>
      </c>
      <c r="AP1394" s="193">
        <f>AN1394-AO1394</f>
        <v/>
      </c>
      <c r="AQ1394" s="118">
        <f>IF(offer_sale_type="транзит",SUM(AF1394:AI1394,BA1394,BB1394),0)</f>
        <v/>
      </c>
      <c r="AR1394" s="82">
        <f>HYPERLINK("https://www.alta.ru/tnved/code/")&amp;W1394&amp;"/"</f>
        <v/>
      </c>
      <c r="AS1394" s="157" t="n"/>
      <c r="AT1394" s="162" t="n"/>
      <c r="AU1394" s="76">
        <f>IF(ISBLANK(AT1394),0,AJ1394-AT1394)</f>
        <v/>
      </c>
      <c r="AV1394" s="157" t="n"/>
      <c r="AW1394" s="75">
        <f>_xlfn.IFNA(VLOOKUP(L1394,list_vat[],3,FALSE),0)</f>
        <v/>
      </c>
      <c r="AX1394" s="76">
        <f>IFERROR(ROUND(S1394*(1+AW1394)/E1394,2),0)</f>
        <v/>
      </c>
      <c r="AY1394" s="76">
        <f>E1394*AX1394</f>
        <v/>
      </c>
      <c r="AZ1394" s="192">
        <f>S1394*(1+M1394)</f>
        <v/>
      </c>
      <c r="BA1394" s="76">
        <f>cost_fin_total*$BD1394</f>
        <v/>
      </c>
      <c r="BB1394" s="193">
        <f>credit_sales_interest*BD1394</f>
        <v/>
      </c>
      <c r="BC1394" s="102">
        <f>IFERROR(IF($I$13&gt;0,$I1394/$I$13,$S1394/$S$13),0)</f>
        <v/>
      </c>
      <c r="BD1394" s="102">
        <f>IFERROR($S1394/$S$13,0)</f>
        <v/>
      </c>
      <c r="BE1394" s="413" t="inlineStr">
        <is>
          <t>$</t>
        </is>
      </c>
    </row>
    <row r="1395" ht="12" customFormat="1" customHeight="1" s="65">
      <c r="A1395" s="43" t="n">
        <v>1380</v>
      </c>
      <c r="B1395" s="166" t="n"/>
      <c r="C1395" s="166" t="n"/>
      <c r="D1395" s="166" t="n"/>
      <c r="E1395" s="162" t="n"/>
      <c r="F1395" s="166" t="n"/>
      <c r="G1395" s="162" t="n"/>
      <c r="H1395" s="162" t="n"/>
      <c r="I1395" s="189">
        <f>E1395*G1395</f>
        <v/>
      </c>
      <c r="J1395" s="195" t="n"/>
      <c r="K1395" s="162" t="n"/>
      <c r="L1395" s="168" t="n"/>
      <c r="M1395" s="75">
        <f>_xlfn.XLOOKUP(L1395,list_vat[Страна],list_vat[Ставка НДС %],0,0)</f>
        <v/>
      </c>
      <c r="N1395" s="162">
        <f>IFERROR(IF(L1395="Китай",K1395,K1395/(1+M1395)),0)</f>
        <v/>
      </c>
      <c r="O1395" s="169" t="n"/>
      <c r="P1395" s="76">
        <f>N1395*(1-O1395)</f>
        <v/>
      </c>
      <c r="Q1395" s="162" t="n"/>
      <c r="R1395" s="162">
        <f>IF(ISBLANK(Q1395),"введи курс",P1395/Q1395)</f>
        <v/>
      </c>
      <c r="S1395" s="196">
        <f>IF(AND(ISNUMBER(E1395),ISNUMBER(Q1395)),E1395*R1395,0)</f>
        <v/>
      </c>
      <c r="T1395" s="192">
        <f>$BC1395*V$11</f>
        <v/>
      </c>
      <c r="U1395" s="76">
        <f>$BC1395*W$11</f>
        <v/>
      </c>
      <c r="V1395" s="193">
        <f>+SUM(T1395:U1395)</f>
        <v/>
      </c>
      <c r="W1395" s="191" t="n"/>
      <c r="X1395" s="170" t="n"/>
      <c r="Y1395" s="76">
        <f>ROUND(IF(offer_incoterms="DDP",X1395*(S1395*(1+AW1395)+T1395),0),2)</f>
        <v/>
      </c>
      <c r="Z1395" s="188" t="n"/>
      <c r="AA1395" s="192">
        <f>IFERROR(AB1395/E1395,0)</f>
        <v/>
      </c>
      <c r="AB1395" s="76">
        <f>ROUND(SUM(S1395,V1395,Y1395:Z1395,BA1395:BB1395),2)</f>
        <v/>
      </c>
      <c r="AC1395" s="797" t="n"/>
      <c r="AD1395" s="192">
        <f t="array" ref="AD1395">IFERROR(ROUND((_xlfn.IFS(offer_sale_type="поставка",AB1395,offer_sale_type="транзит",S1395)*(1+AC1395))/E1395,2),0)</f>
        <v/>
      </c>
      <c r="AE1395" s="76">
        <f>AD1395*E1395</f>
        <v/>
      </c>
      <c r="AF1395" s="193">
        <f t="array" ref="AF1395">IFERROR(ROUND(_xlfn.IFS(offer_sale_type="поставка",AB1395,offer_sale_type="транзит",S1395)*AC1395,2),0)</f>
        <v/>
      </c>
      <c r="AG1395" s="192">
        <f>$BD1395*VLOOKUP($AG$3,$AF$4:$AG$7,2,FALSE)</f>
        <v/>
      </c>
      <c r="AH1395" s="76">
        <f>SUM(AE1395,AG1395,AI1395)*rate_forex_risk</f>
        <v/>
      </c>
      <c r="AI1395" s="193">
        <f>IF(OR(seller_region="TR",offer_sale_type="экспорт"),0,rate_fin_comm)*SUM(AZ1395,AZ1395*AW1395,T1395)</f>
        <v/>
      </c>
      <c r="AJ1395" s="118">
        <f>IFERROR(ROUND(SUM(AB1395,AF1395:AI1395)/E1395,2),0)</f>
        <v/>
      </c>
      <c r="AK1395" s="76">
        <f>AJ1395*E1395</f>
        <v/>
      </c>
      <c r="AL1395" s="174">
        <f>ROUND(IFERROR(AM1395*E1395,0),2)</f>
        <v/>
      </c>
      <c r="AM1395" s="175">
        <f>ROUND(AJ1395*(1+IF(offer_incoterms="DDP",IF((TODAY()+offer_turnaround_time)&gt;=helpsheet!$L$17,rate_vatRU_from_26,rate_vatRu_till_25),0)),2)</f>
        <v/>
      </c>
      <c r="AN1395" s="192">
        <f>AL1395-AK1395</f>
        <v/>
      </c>
      <c r="AO1395" s="76">
        <f>SUM(AY1395,Y1395:Z1395,T1395)*IF(AND(offer_incoterms="DDP",offer_sale_type&lt;&gt;"экспорт"),IF((TODAY()+offer_turnaround_time)&gt;=helpsheet!$L$17,rate_vatRU_from_26,rate_vatRu_till_25),0)</f>
        <v/>
      </c>
      <c r="AP1395" s="193">
        <f>AN1395-AO1395</f>
        <v/>
      </c>
      <c r="AQ1395" s="118">
        <f>IF(offer_sale_type="транзит",SUM(AF1395:AI1395,BA1395,BB1395),0)</f>
        <v/>
      </c>
      <c r="AR1395" s="82">
        <f>HYPERLINK("https://www.alta.ru/tnved/code/")&amp;W1395&amp;"/"</f>
        <v/>
      </c>
      <c r="AS1395" s="157" t="n"/>
      <c r="AT1395" s="162" t="n"/>
      <c r="AU1395" s="76">
        <f>IF(ISBLANK(AT1395),0,AJ1395-AT1395)</f>
        <v/>
      </c>
      <c r="AV1395" s="157" t="n"/>
      <c r="AW1395" s="75">
        <f>_xlfn.IFNA(VLOOKUP(L1395,list_vat[],3,FALSE),0)</f>
        <v/>
      </c>
      <c r="AX1395" s="76">
        <f>IFERROR(ROUND(S1395*(1+AW1395)/E1395,2),0)</f>
        <v/>
      </c>
      <c r="AY1395" s="76">
        <f>E1395*AX1395</f>
        <v/>
      </c>
      <c r="AZ1395" s="192">
        <f>S1395*(1+M1395)</f>
        <v/>
      </c>
      <c r="BA1395" s="76">
        <f>cost_fin_total*$BD1395</f>
        <v/>
      </c>
      <c r="BB1395" s="193">
        <f>credit_sales_interest*BD1395</f>
        <v/>
      </c>
      <c r="BC1395" s="102">
        <f>IFERROR(IF($I$13&gt;0,$I1395/$I$13,$S1395/$S$13),0)</f>
        <v/>
      </c>
      <c r="BD1395" s="102">
        <f>IFERROR($S1395/$S$13,0)</f>
        <v/>
      </c>
      <c r="BE1395" s="413" t="inlineStr">
        <is>
          <t>$</t>
        </is>
      </c>
    </row>
    <row r="1396" ht="12" customFormat="1" customHeight="1" s="65">
      <c r="A1396" s="43" t="n">
        <v>1381</v>
      </c>
      <c r="B1396" s="166" t="n"/>
      <c r="C1396" s="166" t="n"/>
      <c r="D1396" s="166" t="n"/>
      <c r="E1396" s="162" t="n"/>
      <c r="F1396" s="166" t="n"/>
      <c r="G1396" s="162" t="n"/>
      <c r="H1396" s="162" t="n"/>
      <c r="I1396" s="189">
        <f>E1396*G1396</f>
        <v/>
      </c>
      <c r="J1396" s="195" t="n"/>
      <c r="K1396" s="162" t="n"/>
      <c r="L1396" s="168" t="n"/>
      <c r="M1396" s="75">
        <f>_xlfn.XLOOKUP(L1396,list_vat[Страна],list_vat[Ставка НДС %],0,0)</f>
        <v/>
      </c>
      <c r="N1396" s="162">
        <f>IFERROR(IF(L1396="Китай",K1396,K1396/(1+M1396)),0)</f>
        <v/>
      </c>
      <c r="O1396" s="169" t="n"/>
      <c r="P1396" s="76">
        <f>N1396*(1-O1396)</f>
        <v/>
      </c>
      <c r="Q1396" s="162" t="n"/>
      <c r="R1396" s="162">
        <f>IF(ISBLANK(Q1396),"введи курс",P1396/Q1396)</f>
        <v/>
      </c>
      <c r="S1396" s="196">
        <f>IF(AND(ISNUMBER(E1396),ISNUMBER(Q1396)),E1396*R1396,0)</f>
        <v/>
      </c>
      <c r="T1396" s="192">
        <f>$BC1396*V$11</f>
        <v/>
      </c>
      <c r="U1396" s="76">
        <f>$BC1396*W$11</f>
        <v/>
      </c>
      <c r="V1396" s="193">
        <f>+SUM(T1396:U1396)</f>
        <v/>
      </c>
      <c r="W1396" s="191" t="n"/>
      <c r="X1396" s="170" t="n"/>
      <c r="Y1396" s="76">
        <f>ROUND(IF(offer_incoterms="DDP",X1396*(S1396*(1+AW1396)+T1396),0),2)</f>
        <v/>
      </c>
      <c r="Z1396" s="188" t="n"/>
      <c r="AA1396" s="192">
        <f>IFERROR(AB1396/E1396,0)</f>
        <v/>
      </c>
      <c r="AB1396" s="76">
        <f>ROUND(SUM(S1396,V1396,Y1396:Z1396,BA1396:BB1396),2)</f>
        <v/>
      </c>
      <c r="AC1396" s="797" t="n"/>
      <c r="AD1396" s="192">
        <f t="array" ref="AD1396">IFERROR(ROUND((_xlfn.IFS(offer_sale_type="поставка",AB1396,offer_sale_type="транзит",S1396)*(1+AC1396))/E1396,2),0)</f>
        <v/>
      </c>
      <c r="AE1396" s="76">
        <f>AD1396*E1396</f>
        <v/>
      </c>
      <c r="AF1396" s="193">
        <f t="array" ref="AF1396">IFERROR(ROUND(_xlfn.IFS(offer_sale_type="поставка",AB1396,offer_sale_type="транзит",S1396)*AC1396,2),0)</f>
        <v/>
      </c>
      <c r="AG1396" s="192">
        <f>$BD1396*VLOOKUP($AG$3,$AF$4:$AG$7,2,FALSE)</f>
        <v/>
      </c>
      <c r="AH1396" s="76">
        <f>SUM(AE1396,AG1396,AI1396)*rate_forex_risk</f>
        <v/>
      </c>
      <c r="AI1396" s="193">
        <f>IF(OR(seller_region="TR",offer_sale_type="экспорт"),0,rate_fin_comm)*SUM(AZ1396,AZ1396*AW1396,T1396)</f>
        <v/>
      </c>
      <c r="AJ1396" s="118">
        <f>IFERROR(ROUND(SUM(AB1396,AF1396:AI1396)/E1396,2),0)</f>
        <v/>
      </c>
      <c r="AK1396" s="76">
        <f>AJ1396*E1396</f>
        <v/>
      </c>
      <c r="AL1396" s="174">
        <f>ROUND(IFERROR(AM1396*E1396,0),2)</f>
        <v/>
      </c>
      <c r="AM1396" s="175">
        <f>ROUND(AJ1396*(1+IF(offer_incoterms="DDP",IF((TODAY()+offer_turnaround_time)&gt;=helpsheet!$L$17,rate_vatRU_from_26,rate_vatRu_till_25),0)),2)</f>
        <v/>
      </c>
      <c r="AN1396" s="192">
        <f>AL1396-AK1396</f>
        <v/>
      </c>
      <c r="AO1396" s="76">
        <f>SUM(AY1396,Y1396:Z1396,T1396)*IF(AND(offer_incoterms="DDP",offer_sale_type&lt;&gt;"экспорт"),IF((TODAY()+offer_turnaround_time)&gt;=helpsheet!$L$17,rate_vatRU_from_26,rate_vatRu_till_25),0)</f>
        <v/>
      </c>
      <c r="AP1396" s="193">
        <f>AN1396-AO1396</f>
        <v/>
      </c>
      <c r="AQ1396" s="118">
        <f>IF(offer_sale_type="транзит",SUM(AF1396:AI1396,BA1396,BB1396),0)</f>
        <v/>
      </c>
      <c r="AR1396" s="82">
        <f>HYPERLINK("https://www.alta.ru/tnved/code/")&amp;W1396&amp;"/"</f>
        <v/>
      </c>
      <c r="AS1396" s="157" t="n"/>
      <c r="AT1396" s="162" t="n"/>
      <c r="AU1396" s="76">
        <f>IF(ISBLANK(AT1396),0,AJ1396-AT1396)</f>
        <v/>
      </c>
      <c r="AV1396" s="157" t="n"/>
      <c r="AW1396" s="75">
        <f>_xlfn.IFNA(VLOOKUP(L1396,list_vat[],3,FALSE),0)</f>
        <v/>
      </c>
      <c r="AX1396" s="76">
        <f>IFERROR(ROUND(S1396*(1+AW1396)/E1396,2),0)</f>
        <v/>
      </c>
      <c r="AY1396" s="76">
        <f>E1396*AX1396</f>
        <v/>
      </c>
      <c r="AZ1396" s="192">
        <f>S1396*(1+M1396)</f>
        <v/>
      </c>
      <c r="BA1396" s="76">
        <f>cost_fin_total*$BD1396</f>
        <v/>
      </c>
      <c r="BB1396" s="193">
        <f>credit_sales_interest*BD1396</f>
        <v/>
      </c>
      <c r="BC1396" s="102">
        <f>IFERROR(IF($I$13&gt;0,$I1396/$I$13,$S1396/$S$13),0)</f>
        <v/>
      </c>
      <c r="BD1396" s="102">
        <f>IFERROR($S1396/$S$13,0)</f>
        <v/>
      </c>
      <c r="BE1396" s="413" t="inlineStr">
        <is>
          <t>$</t>
        </is>
      </c>
    </row>
    <row r="1397" ht="12" customFormat="1" customHeight="1" s="65">
      <c r="A1397" s="43" t="n">
        <v>1382</v>
      </c>
      <c r="B1397" s="166" t="n"/>
      <c r="C1397" s="166" t="n"/>
      <c r="D1397" s="166" t="n"/>
      <c r="E1397" s="162" t="n"/>
      <c r="F1397" s="166" t="n"/>
      <c r="G1397" s="162" t="n"/>
      <c r="H1397" s="162" t="n"/>
      <c r="I1397" s="189">
        <f>E1397*G1397</f>
        <v/>
      </c>
      <c r="J1397" s="195" t="n"/>
      <c r="K1397" s="162" t="n"/>
      <c r="L1397" s="168" t="n"/>
      <c r="M1397" s="75">
        <f>_xlfn.XLOOKUP(L1397,list_vat[Страна],list_vat[Ставка НДС %],0,0)</f>
        <v/>
      </c>
      <c r="N1397" s="162">
        <f>IFERROR(IF(L1397="Китай",K1397,K1397/(1+M1397)),0)</f>
        <v/>
      </c>
      <c r="O1397" s="169" t="n"/>
      <c r="P1397" s="76">
        <f>N1397*(1-O1397)</f>
        <v/>
      </c>
      <c r="Q1397" s="162" t="n"/>
      <c r="R1397" s="162">
        <f>IF(ISBLANK(Q1397),"введи курс",P1397/Q1397)</f>
        <v/>
      </c>
      <c r="S1397" s="196">
        <f>IF(AND(ISNUMBER(E1397),ISNUMBER(Q1397)),E1397*R1397,0)</f>
        <v/>
      </c>
      <c r="T1397" s="192">
        <f>$BC1397*V$11</f>
        <v/>
      </c>
      <c r="U1397" s="76">
        <f>$BC1397*W$11</f>
        <v/>
      </c>
      <c r="V1397" s="193">
        <f>+SUM(T1397:U1397)</f>
        <v/>
      </c>
      <c r="W1397" s="191" t="n"/>
      <c r="X1397" s="170" t="n"/>
      <c r="Y1397" s="76">
        <f>ROUND(IF(offer_incoterms="DDP",X1397*(S1397*(1+AW1397)+T1397),0),2)</f>
        <v/>
      </c>
      <c r="Z1397" s="188" t="n"/>
      <c r="AA1397" s="192">
        <f>IFERROR(AB1397/E1397,0)</f>
        <v/>
      </c>
      <c r="AB1397" s="76">
        <f>ROUND(SUM(S1397,V1397,Y1397:Z1397,BA1397:BB1397),2)</f>
        <v/>
      </c>
      <c r="AC1397" s="797" t="n"/>
      <c r="AD1397" s="192">
        <f t="array" ref="AD1397">IFERROR(ROUND((_xlfn.IFS(offer_sale_type="поставка",AB1397,offer_sale_type="транзит",S1397)*(1+AC1397))/E1397,2),0)</f>
        <v/>
      </c>
      <c r="AE1397" s="76">
        <f>AD1397*E1397</f>
        <v/>
      </c>
      <c r="AF1397" s="193">
        <f t="array" ref="AF1397">IFERROR(ROUND(_xlfn.IFS(offer_sale_type="поставка",AB1397,offer_sale_type="транзит",S1397)*AC1397,2),0)</f>
        <v/>
      </c>
      <c r="AG1397" s="192">
        <f>$BD1397*VLOOKUP($AG$3,$AF$4:$AG$7,2,FALSE)</f>
        <v/>
      </c>
      <c r="AH1397" s="76">
        <f>SUM(AE1397,AG1397,AI1397)*rate_forex_risk</f>
        <v/>
      </c>
      <c r="AI1397" s="193">
        <f>IF(OR(seller_region="TR",offer_sale_type="экспорт"),0,rate_fin_comm)*SUM(AZ1397,AZ1397*AW1397,T1397)</f>
        <v/>
      </c>
      <c r="AJ1397" s="118">
        <f>IFERROR(ROUND(SUM(AB1397,AF1397:AI1397)/E1397,2),0)</f>
        <v/>
      </c>
      <c r="AK1397" s="76">
        <f>AJ1397*E1397</f>
        <v/>
      </c>
      <c r="AL1397" s="174">
        <f>ROUND(IFERROR(AM1397*E1397,0),2)</f>
        <v/>
      </c>
      <c r="AM1397" s="175">
        <f>ROUND(AJ1397*(1+IF(offer_incoterms="DDP",IF((TODAY()+offer_turnaround_time)&gt;=helpsheet!$L$17,rate_vatRU_from_26,rate_vatRu_till_25),0)),2)</f>
        <v/>
      </c>
      <c r="AN1397" s="192">
        <f>AL1397-AK1397</f>
        <v/>
      </c>
      <c r="AO1397" s="76">
        <f>SUM(AY1397,Y1397:Z1397,T1397)*IF(AND(offer_incoterms="DDP",offer_sale_type&lt;&gt;"экспорт"),IF((TODAY()+offer_turnaround_time)&gt;=helpsheet!$L$17,rate_vatRU_from_26,rate_vatRu_till_25),0)</f>
        <v/>
      </c>
      <c r="AP1397" s="193">
        <f>AN1397-AO1397</f>
        <v/>
      </c>
      <c r="AQ1397" s="118">
        <f>IF(offer_sale_type="транзит",SUM(AF1397:AI1397,BA1397,BB1397),0)</f>
        <v/>
      </c>
      <c r="AR1397" s="82">
        <f>HYPERLINK("https://www.alta.ru/tnved/code/")&amp;W1397&amp;"/"</f>
        <v/>
      </c>
      <c r="AS1397" s="157" t="n"/>
      <c r="AT1397" s="162" t="n"/>
      <c r="AU1397" s="76">
        <f>IF(ISBLANK(AT1397),0,AJ1397-AT1397)</f>
        <v/>
      </c>
      <c r="AV1397" s="157" t="n"/>
      <c r="AW1397" s="75">
        <f>_xlfn.IFNA(VLOOKUP(L1397,list_vat[],3,FALSE),0)</f>
        <v/>
      </c>
      <c r="AX1397" s="76">
        <f>IFERROR(ROUND(S1397*(1+AW1397)/E1397,2),0)</f>
        <v/>
      </c>
      <c r="AY1397" s="76">
        <f>E1397*AX1397</f>
        <v/>
      </c>
      <c r="AZ1397" s="192">
        <f>S1397*(1+M1397)</f>
        <v/>
      </c>
      <c r="BA1397" s="76">
        <f>cost_fin_total*$BD1397</f>
        <v/>
      </c>
      <c r="BB1397" s="193">
        <f>credit_sales_interest*BD1397</f>
        <v/>
      </c>
      <c r="BC1397" s="102">
        <f>IFERROR(IF($I$13&gt;0,$I1397/$I$13,$S1397/$S$13),0)</f>
        <v/>
      </c>
      <c r="BD1397" s="102">
        <f>IFERROR($S1397/$S$13,0)</f>
        <v/>
      </c>
      <c r="BE1397" s="413" t="inlineStr">
        <is>
          <t>$</t>
        </is>
      </c>
    </row>
    <row r="1398" ht="12" customFormat="1" customHeight="1" s="65">
      <c r="A1398" s="43" t="n">
        <v>1383</v>
      </c>
      <c r="B1398" s="166" t="n"/>
      <c r="C1398" s="166" t="n"/>
      <c r="D1398" s="166" t="n"/>
      <c r="E1398" s="162" t="n"/>
      <c r="F1398" s="166" t="n"/>
      <c r="G1398" s="162" t="n"/>
      <c r="H1398" s="162" t="n"/>
      <c r="I1398" s="189">
        <f>E1398*G1398</f>
        <v/>
      </c>
      <c r="J1398" s="195" t="n"/>
      <c r="K1398" s="162" t="n"/>
      <c r="L1398" s="168" t="n"/>
      <c r="M1398" s="75">
        <f>_xlfn.XLOOKUP(L1398,list_vat[Страна],list_vat[Ставка НДС %],0,0)</f>
        <v/>
      </c>
      <c r="N1398" s="162">
        <f>IFERROR(IF(L1398="Китай",K1398,K1398/(1+M1398)),0)</f>
        <v/>
      </c>
      <c r="O1398" s="169" t="n"/>
      <c r="P1398" s="76">
        <f>N1398*(1-O1398)</f>
        <v/>
      </c>
      <c r="Q1398" s="162" t="n"/>
      <c r="R1398" s="162">
        <f>IF(ISBLANK(Q1398),"введи курс",P1398/Q1398)</f>
        <v/>
      </c>
      <c r="S1398" s="196">
        <f>IF(AND(ISNUMBER(E1398),ISNUMBER(Q1398)),E1398*R1398,0)</f>
        <v/>
      </c>
      <c r="T1398" s="192">
        <f>$BC1398*V$11</f>
        <v/>
      </c>
      <c r="U1398" s="76">
        <f>$BC1398*W$11</f>
        <v/>
      </c>
      <c r="V1398" s="193">
        <f>+SUM(T1398:U1398)</f>
        <v/>
      </c>
      <c r="W1398" s="191" t="n"/>
      <c r="X1398" s="170" t="n"/>
      <c r="Y1398" s="76">
        <f>ROUND(IF(offer_incoterms="DDP",X1398*(S1398*(1+AW1398)+T1398),0),2)</f>
        <v/>
      </c>
      <c r="Z1398" s="188" t="n"/>
      <c r="AA1398" s="192">
        <f>IFERROR(AB1398/E1398,0)</f>
        <v/>
      </c>
      <c r="AB1398" s="76">
        <f>ROUND(SUM(S1398,V1398,Y1398:Z1398,BA1398:BB1398),2)</f>
        <v/>
      </c>
      <c r="AC1398" s="797" t="n"/>
      <c r="AD1398" s="192">
        <f t="array" ref="AD1398">IFERROR(ROUND((_xlfn.IFS(offer_sale_type="поставка",AB1398,offer_sale_type="транзит",S1398)*(1+AC1398))/E1398,2),0)</f>
        <v/>
      </c>
      <c r="AE1398" s="76">
        <f>AD1398*E1398</f>
        <v/>
      </c>
      <c r="AF1398" s="193">
        <f t="array" ref="AF1398">IFERROR(ROUND(_xlfn.IFS(offer_sale_type="поставка",AB1398,offer_sale_type="транзит",S1398)*AC1398,2),0)</f>
        <v/>
      </c>
      <c r="AG1398" s="192">
        <f>$BD1398*VLOOKUP($AG$3,$AF$4:$AG$7,2,FALSE)</f>
        <v/>
      </c>
      <c r="AH1398" s="76">
        <f>SUM(AE1398,AG1398,AI1398)*rate_forex_risk</f>
        <v/>
      </c>
      <c r="AI1398" s="193">
        <f>IF(OR(seller_region="TR",offer_sale_type="экспорт"),0,rate_fin_comm)*SUM(AZ1398,AZ1398*AW1398,T1398)</f>
        <v/>
      </c>
      <c r="AJ1398" s="118">
        <f>IFERROR(ROUND(SUM(AB1398,AF1398:AI1398)/E1398,2),0)</f>
        <v/>
      </c>
      <c r="AK1398" s="76">
        <f>AJ1398*E1398</f>
        <v/>
      </c>
      <c r="AL1398" s="174">
        <f>ROUND(IFERROR(AM1398*E1398,0),2)</f>
        <v/>
      </c>
      <c r="AM1398" s="175">
        <f>ROUND(AJ1398*(1+IF(offer_incoterms="DDP",IF((TODAY()+offer_turnaround_time)&gt;=helpsheet!$L$17,rate_vatRU_from_26,rate_vatRu_till_25),0)),2)</f>
        <v/>
      </c>
      <c r="AN1398" s="192">
        <f>AL1398-AK1398</f>
        <v/>
      </c>
      <c r="AO1398" s="76">
        <f>SUM(AY1398,Y1398:Z1398,T1398)*IF(AND(offer_incoterms="DDP",offer_sale_type&lt;&gt;"экспорт"),IF((TODAY()+offer_turnaround_time)&gt;=helpsheet!$L$17,rate_vatRU_from_26,rate_vatRu_till_25),0)</f>
        <v/>
      </c>
      <c r="AP1398" s="193">
        <f>AN1398-AO1398</f>
        <v/>
      </c>
      <c r="AQ1398" s="118">
        <f>IF(offer_sale_type="транзит",SUM(AF1398:AI1398,BA1398,BB1398),0)</f>
        <v/>
      </c>
      <c r="AR1398" s="82">
        <f>HYPERLINK("https://www.alta.ru/tnved/code/")&amp;W1398&amp;"/"</f>
        <v/>
      </c>
      <c r="AS1398" s="157" t="n"/>
      <c r="AT1398" s="162" t="n"/>
      <c r="AU1398" s="76">
        <f>IF(ISBLANK(AT1398),0,AJ1398-AT1398)</f>
        <v/>
      </c>
      <c r="AV1398" s="157" t="n"/>
      <c r="AW1398" s="75">
        <f>_xlfn.IFNA(VLOOKUP(L1398,list_vat[],3,FALSE),0)</f>
        <v/>
      </c>
      <c r="AX1398" s="76">
        <f>IFERROR(ROUND(S1398*(1+AW1398)/E1398,2),0)</f>
        <v/>
      </c>
      <c r="AY1398" s="76">
        <f>E1398*AX1398</f>
        <v/>
      </c>
      <c r="AZ1398" s="192">
        <f>S1398*(1+M1398)</f>
        <v/>
      </c>
      <c r="BA1398" s="76">
        <f>cost_fin_total*$BD1398</f>
        <v/>
      </c>
      <c r="BB1398" s="193">
        <f>credit_sales_interest*BD1398</f>
        <v/>
      </c>
      <c r="BC1398" s="102">
        <f>IFERROR(IF($I$13&gt;0,$I1398/$I$13,$S1398/$S$13),0)</f>
        <v/>
      </c>
      <c r="BD1398" s="102">
        <f>IFERROR($S1398/$S$13,0)</f>
        <v/>
      </c>
      <c r="BE1398" s="413" t="inlineStr">
        <is>
          <t>$</t>
        </is>
      </c>
    </row>
    <row r="1399" ht="12" customFormat="1" customHeight="1" s="65">
      <c r="A1399" s="43" t="n">
        <v>1384</v>
      </c>
      <c r="B1399" s="166" t="n"/>
      <c r="C1399" s="166" t="n"/>
      <c r="D1399" s="166" t="n"/>
      <c r="E1399" s="162" t="n"/>
      <c r="F1399" s="166" t="n"/>
      <c r="G1399" s="162" t="n"/>
      <c r="H1399" s="162" t="n"/>
      <c r="I1399" s="189">
        <f>E1399*G1399</f>
        <v/>
      </c>
      <c r="J1399" s="195" t="n"/>
      <c r="K1399" s="162" t="n"/>
      <c r="L1399" s="168" t="n"/>
      <c r="M1399" s="75">
        <f>_xlfn.XLOOKUP(L1399,list_vat[Страна],list_vat[Ставка НДС %],0,0)</f>
        <v/>
      </c>
      <c r="N1399" s="162">
        <f>IFERROR(IF(L1399="Китай",K1399,K1399/(1+M1399)),0)</f>
        <v/>
      </c>
      <c r="O1399" s="169" t="n"/>
      <c r="P1399" s="76">
        <f>N1399*(1-O1399)</f>
        <v/>
      </c>
      <c r="Q1399" s="162" t="n"/>
      <c r="R1399" s="162">
        <f>IF(ISBLANK(Q1399),"введи курс",P1399/Q1399)</f>
        <v/>
      </c>
      <c r="S1399" s="196">
        <f>IF(AND(ISNUMBER(E1399),ISNUMBER(Q1399)),E1399*R1399,0)</f>
        <v/>
      </c>
      <c r="T1399" s="192">
        <f>$BC1399*V$11</f>
        <v/>
      </c>
      <c r="U1399" s="76">
        <f>$BC1399*W$11</f>
        <v/>
      </c>
      <c r="V1399" s="193">
        <f>+SUM(T1399:U1399)</f>
        <v/>
      </c>
      <c r="W1399" s="191" t="n"/>
      <c r="X1399" s="170" t="n"/>
      <c r="Y1399" s="76">
        <f>ROUND(IF(offer_incoterms="DDP",X1399*(S1399*(1+AW1399)+T1399),0),2)</f>
        <v/>
      </c>
      <c r="Z1399" s="188" t="n"/>
      <c r="AA1399" s="192">
        <f>IFERROR(AB1399/E1399,0)</f>
        <v/>
      </c>
      <c r="AB1399" s="76">
        <f>ROUND(SUM(S1399,V1399,Y1399:Z1399,BA1399:BB1399),2)</f>
        <v/>
      </c>
      <c r="AC1399" s="797" t="n"/>
      <c r="AD1399" s="192">
        <f t="array" ref="AD1399">IFERROR(ROUND((_xlfn.IFS(offer_sale_type="поставка",AB1399,offer_sale_type="транзит",S1399)*(1+AC1399))/E1399,2),0)</f>
        <v/>
      </c>
      <c r="AE1399" s="76">
        <f>AD1399*E1399</f>
        <v/>
      </c>
      <c r="AF1399" s="193">
        <f t="array" ref="AF1399">IFERROR(ROUND(_xlfn.IFS(offer_sale_type="поставка",AB1399,offer_sale_type="транзит",S1399)*AC1399,2),0)</f>
        <v/>
      </c>
      <c r="AG1399" s="192">
        <f>$BD1399*VLOOKUP($AG$3,$AF$4:$AG$7,2,FALSE)</f>
        <v/>
      </c>
      <c r="AH1399" s="76">
        <f>SUM(AE1399,AG1399,AI1399)*rate_forex_risk</f>
        <v/>
      </c>
      <c r="AI1399" s="193">
        <f>IF(OR(seller_region="TR",offer_sale_type="экспорт"),0,rate_fin_comm)*SUM(AZ1399,AZ1399*AW1399,T1399)</f>
        <v/>
      </c>
      <c r="AJ1399" s="118">
        <f>IFERROR(ROUND(SUM(AB1399,AF1399:AI1399)/E1399,2),0)</f>
        <v/>
      </c>
      <c r="AK1399" s="76">
        <f>AJ1399*E1399</f>
        <v/>
      </c>
      <c r="AL1399" s="174">
        <f>ROUND(IFERROR(AM1399*E1399,0),2)</f>
        <v/>
      </c>
      <c r="AM1399" s="175">
        <f>ROUND(AJ1399*(1+IF(offer_incoterms="DDP",IF((TODAY()+offer_turnaround_time)&gt;=helpsheet!$L$17,rate_vatRU_from_26,rate_vatRu_till_25),0)),2)</f>
        <v/>
      </c>
      <c r="AN1399" s="192">
        <f>AL1399-AK1399</f>
        <v/>
      </c>
      <c r="AO1399" s="76">
        <f>SUM(AY1399,Y1399:Z1399,T1399)*IF(AND(offer_incoterms="DDP",offer_sale_type&lt;&gt;"экспорт"),IF((TODAY()+offer_turnaround_time)&gt;=helpsheet!$L$17,rate_vatRU_from_26,rate_vatRu_till_25),0)</f>
        <v/>
      </c>
      <c r="AP1399" s="193">
        <f>AN1399-AO1399</f>
        <v/>
      </c>
      <c r="AQ1399" s="118">
        <f>IF(offer_sale_type="транзит",SUM(AF1399:AI1399,BA1399,BB1399),0)</f>
        <v/>
      </c>
      <c r="AR1399" s="82">
        <f>HYPERLINK("https://www.alta.ru/tnved/code/")&amp;W1399&amp;"/"</f>
        <v/>
      </c>
      <c r="AS1399" s="157" t="n"/>
      <c r="AT1399" s="162" t="n"/>
      <c r="AU1399" s="76">
        <f>IF(ISBLANK(AT1399),0,AJ1399-AT1399)</f>
        <v/>
      </c>
      <c r="AV1399" s="157" t="n"/>
      <c r="AW1399" s="75">
        <f>_xlfn.IFNA(VLOOKUP(L1399,list_vat[],3,FALSE),0)</f>
        <v/>
      </c>
      <c r="AX1399" s="76">
        <f>IFERROR(ROUND(S1399*(1+AW1399)/E1399,2),0)</f>
        <v/>
      </c>
      <c r="AY1399" s="76">
        <f>E1399*AX1399</f>
        <v/>
      </c>
      <c r="AZ1399" s="192">
        <f>S1399*(1+M1399)</f>
        <v/>
      </c>
      <c r="BA1399" s="76">
        <f>cost_fin_total*$BD1399</f>
        <v/>
      </c>
      <c r="BB1399" s="193">
        <f>credit_sales_interest*BD1399</f>
        <v/>
      </c>
      <c r="BC1399" s="102">
        <f>IFERROR(IF($I$13&gt;0,$I1399/$I$13,$S1399/$S$13),0)</f>
        <v/>
      </c>
      <c r="BD1399" s="102">
        <f>IFERROR($S1399/$S$13,0)</f>
        <v/>
      </c>
      <c r="BE1399" s="413" t="inlineStr">
        <is>
          <t>$</t>
        </is>
      </c>
    </row>
    <row r="1400" ht="12" customFormat="1" customHeight="1" s="65">
      <c r="A1400" s="43" t="n">
        <v>1385</v>
      </c>
      <c r="B1400" s="166" t="n"/>
      <c r="C1400" s="166" t="n"/>
      <c r="D1400" s="166" t="n"/>
      <c r="E1400" s="162" t="n"/>
      <c r="F1400" s="166" t="n"/>
      <c r="G1400" s="162" t="n"/>
      <c r="H1400" s="162" t="n"/>
      <c r="I1400" s="189">
        <f>E1400*G1400</f>
        <v/>
      </c>
      <c r="J1400" s="195" t="n"/>
      <c r="K1400" s="162" t="n"/>
      <c r="L1400" s="168" t="n"/>
      <c r="M1400" s="75">
        <f>_xlfn.XLOOKUP(L1400,list_vat[Страна],list_vat[Ставка НДС %],0,0)</f>
        <v/>
      </c>
      <c r="N1400" s="162">
        <f>IFERROR(IF(L1400="Китай",K1400,K1400/(1+M1400)),0)</f>
        <v/>
      </c>
      <c r="O1400" s="169" t="n"/>
      <c r="P1400" s="76">
        <f>N1400*(1-O1400)</f>
        <v/>
      </c>
      <c r="Q1400" s="162" t="n"/>
      <c r="R1400" s="162">
        <f>IF(ISBLANK(Q1400),"введи курс",P1400/Q1400)</f>
        <v/>
      </c>
      <c r="S1400" s="196">
        <f>IF(AND(ISNUMBER(E1400),ISNUMBER(Q1400)),E1400*R1400,0)</f>
        <v/>
      </c>
      <c r="T1400" s="192">
        <f>$BC1400*V$11</f>
        <v/>
      </c>
      <c r="U1400" s="76">
        <f>$BC1400*W$11</f>
        <v/>
      </c>
      <c r="V1400" s="193">
        <f>+SUM(T1400:U1400)</f>
        <v/>
      </c>
      <c r="W1400" s="191" t="n"/>
      <c r="X1400" s="170" t="n"/>
      <c r="Y1400" s="76">
        <f>ROUND(IF(offer_incoterms="DDP",X1400*(S1400*(1+AW1400)+T1400),0),2)</f>
        <v/>
      </c>
      <c r="Z1400" s="188" t="n"/>
      <c r="AA1400" s="192">
        <f>IFERROR(AB1400/E1400,0)</f>
        <v/>
      </c>
      <c r="AB1400" s="76">
        <f>ROUND(SUM(S1400,V1400,Y1400:Z1400,BA1400:BB1400),2)</f>
        <v/>
      </c>
      <c r="AC1400" s="797" t="n"/>
      <c r="AD1400" s="192">
        <f t="array" ref="AD1400">IFERROR(ROUND((_xlfn.IFS(offer_sale_type="поставка",AB1400,offer_sale_type="транзит",S1400)*(1+AC1400))/E1400,2),0)</f>
        <v/>
      </c>
      <c r="AE1400" s="76">
        <f>AD1400*E1400</f>
        <v/>
      </c>
      <c r="AF1400" s="193">
        <f t="array" ref="AF1400">IFERROR(ROUND(_xlfn.IFS(offer_sale_type="поставка",AB1400,offer_sale_type="транзит",S1400)*AC1400,2),0)</f>
        <v/>
      </c>
      <c r="AG1400" s="192">
        <f>$BD1400*VLOOKUP($AG$3,$AF$4:$AG$7,2,FALSE)</f>
        <v/>
      </c>
      <c r="AH1400" s="76">
        <f>SUM(AE1400,AG1400,AI1400)*rate_forex_risk</f>
        <v/>
      </c>
      <c r="AI1400" s="193">
        <f>IF(OR(seller_region="TR",offer_sale_type="экспорт"),0,rate_fin_comm)*SUM(AZ1400,AZ1400*AW1400,T1400)</f>
        <v/>
      </c>
      <c r="AJ1400" s="118">
        <f>IFERROR(ROUND(SUM(AB1400,AF1400:AI1400)/E1400,2),0)</f>
        <v/>
      </c>
      <c r="AK1400" s="76">
        <f>AJ1400*E1400</f>
        <v/>
      </c>
      <c r="AL1400" s="174">
        <f>ROUND(IFERROR(AM1400*E1400,0),2)</f>
        <v/>
      </c>
      <c r="AM1400" s="175">
        <f>ROUND(AJ1400*(1+IF(offer_incoterms="DDP",IF((TODAY()+offer_turnaround_time)&gt;=helpsheet!$L$17,rate_vatRU_from_26,rate_vatRu_till_25),0)),2)</f>
        <v/>
      </c>
      <c r="AN1400" s="192">
        <f>AL1400-AK1400</f>
        <v/>
      </c>
      <c r="AO1400" s="76">
        <f>SUM(AY1400,Y1400:Z1400,T1400)*IF(AND(offer_incoterms="DDP",offer_sale_type&lt;&gt;"экспорт"),IF((TODAY()+offer_turnaround_time)&gt;=helpsheet!$L$17,rate_vatRU_from_26,rate_vatRu_till_25),0)</f>
        <v/>
      </c>
      <c r="AP1400" s="193">
        <f>AN1400-AO1400</f>
        <v/>
      </c>
      <c r="AQ1400" s="118">
        <f>IF(offer_sale_type="транзит",SUM(AF1400:AI1400,BA1400,BB1400),0)</f>
        <v/>
      </c>
      <c r="AR1400" s="82">
        <f>HYPERLINK("https://www.alta.ru/tnved/code/")&amp;W1400&amp;"/"</f>
        <v/>
      </c>
      <c r="AS1400" s="157" t="n"/>
      <c r="AT1400" s="162" t="n"/>
      <c r="AU1400" s="76">
        <f>IF(ISBLANK(AT1400),0,AJ1400-AT1400)</f>
        <v/>
      </c>
      <c r="AV1400" s="157" t="n"/>
      <c r="AW1400" s="75">
        <f>_xlfn.IFNA(VLOOKUP(L1400,list_vat[],3,FALSE),0)</f>
        <v/>
      </c>
      <c r="AX1400" s="76">
        <f>IFERROR(ROUND(S1400*(1+AW1400)/E1400,2),0)</f>
        <v/>
      </c>
      <c r="AY1400" s="76">
        <f>E1400*AX1400</f>
        <v/>
      </c>
      <c r="AZ1400" s="192">
        <f>S1400*(1+M1400)</f>
        <v/>
      </c>
      <c r="BA1400" s="76">
        <f>cost_fin_total*$BD1400</f>
        <v/>
      </c>
      <c r="BB1400" s="193">
        <f>credit_sales_interest*BD1400</f>
        <v/>
      </c>
      <c r="BC1400" s="102">
        <f>IFERROR(IF($I$13&gt;0,$I1400/$I$13,$S1400/$S$13),0)</f>
        <v/>
      </c>
      <c r="BD1400" s="102">
        <f>IFERROR($S1400/$S$13,0)</f>
        <v/>
      </c>
      <c r="BE1400" s="413" t="inlineStr">
        <is>
          <t>$</t>
        </is>
      </c>
    </row>
    <row r="1401" ht="12" customFormat="1" customHeight="1" s="65">
      <c r="A1401" s="43" t="n">
        <v>1386</v>
      </c>
      <c r="B1401" s="166" t="n"/>
      <c r="C1401" s="166" t="n"/>
      <c r="D1401" s="166" t="n"/>
      <c r="E1401" s="162" t="n"/>
      <c r="F1401" s="166" t="n"/>
      <c r="G1401" s="162" t="n"/>
      <c r="H1401" s="162" t="n"/>
      <c r="I1401" s="189">
        <f>E1401*G1401</f>
        <v/>
      </c>
      <c r="J1401" s="195" t="n"/>
      <c r="K1401" s="162" t="n"/>
      <c r="L1401" s="168" t="n"/>
      <c r="M1401" s="75">
        <f>_xlfn.XLOOKUP(L1401,list_vat[Страна],list_vat[Ставка НДС %],0,0)</f>
        <v/>
      </c>
      <c r="N1401" s="162">
        <f>IFERROR(IF(L1401="Китай",K1401,K1401/(1+M1401)),0)</f>
        <v/>
      </c>
      <c r="O1401" s="169" t="n"/>
      <c r="P1401" s="76">
        <f>N1401*(1-O1401)</f>
        <v/>
      </c>
      <c r="Q1401" s="162" t="n"/>
      <c r="R1401" s="162">
        <f>IF(ISBLANK(Q1401),"введи курс",P1401/Q1401)</f>
        <v/>
      </c>
      <c r="S1401" s="196">
        <f>IF(AND(ISNUMBER(E1401),ISNUMBER(Q1401)),E1401*R1401,0)</f>
        <v/>
      </c>
      <c r="T1401" s="192">
        <f>$BC1401*V$11</f>
        <v/>
      </c>
      <c r="U1401" s="76">
        <f>$BC1401*W$11</f>
        <v/>
      </c>
      <c r="V1401" s="193">
        <f>+SUM(T1401:U1401)</f>
        <v/>
      </c>
      <c r="W1401" s="191" t="n"/>
      <c r="X1401" s="170" t="n"/>
      <c r="Y1401" s="76">
        <f>ROUND(IF(offer_incoterms="DDP",X1401*(S1401*(1+AW1401)+T1401),0),2)</f>
        <v/>
      </c>
      <c r="Z1401" s="188" t="n"/>
      <c r="AA1401" s="192">
        <f>IFERROR(AB1401/E1401,0)</f>
        <v/>
      </c>
      <c r="AB1401" s="76">
        <f>ROUND(SUM(S1401,V1401,Y1401:Z1401,BA1401:BB1401),2)</f>
        <v/>
      </c>
      <c r="AC1401" s="797" t="n"/>
      <c r="AD1401" s="192">
        <f t="array" ref="AD1401">IFERROR(ROUND((_xlfn.IFS(offer_sale_type="поставка",AB1401,offer_sale_type="транзит",S1401)*(1+AC1401))/E1401,2),0)</f>
        <v/>
      </c>
      <c r="AE1401" s="76">
        <f>AD1401*E1401</f>
        <v/>
      </c>
      <c r="AF1401" s="193">
        <f t="array" ref="AF1401">IFERROR(ROUND(_xlfn.IFS(offer_sale_type="поставка",AB1401,offer_sale_type="транзит",S1401)*AC1401,2),0)</f>
        <v/>
      </c>
      <c r="AG1401" s="192">
        <f>$BD1401*VLOOKUP($AG$3,$AF$4:$AG$7,2,FALSE)</f>
        <v/>
      </c>
      <c r="AH1401" s="76">
        <f>SUM(AE1401,AG1401,AI1401)*rate_forex_risk</f>
        <v/>
      </c>
      <c r="AI1401" s="193">
        <f>IF(OR(seller_region="TR",offer_sale_type="экспорт"),0,rate_fin_comm)*SUM(AZ1401,AZ1401*AW1401,T1401)</f>
        <v/>
      </c>
      <c r="AJ1401" s="118">
        <f>IFERROR(ROUND(SUM(AB1401,AF1401:AI1401)/E1401,2),0)</f>
        <v/>
      </c>
      <c r="AK1401" s="76">
        <f>AJ1401*E1401</f>
        <v/>
      </c>
      <c r="AL1401" s="174">
        <f>ROUND(IFERROR(AM1401*E1401,0),2)</f>
        <v/>
      </c>
      <c r="AM1401" s="175">
        <f>ROUND(AJ1401*(1+IF(offer_incoterms="DDP",IF((TODAY()+offer_turnaround_time)&gt;=helpsheet!$L$17,rate_vatRU_from_26,rate_vatRu_till_25),0)),2)</f>
        <v/>
      </c>
      <c r="AN1401" s="192">
        <f>AL1401-AK1401</f>
        <v/>
      </c>
      <c r="AO1401" s="76">
        <f>SUM(AY1401,Y1401:Z1401,T1401)*IF(AND(offer_incoterms="DDP",offer_sale_type&lt;&gt;"экспорт"),IF((TODAY()+offer_turnaround_time)&gt;=helpsheet!$L$17,rate_vatRU_from_26,rate_vatRu_till_25),0)</f>
        <v/>
      </c>
      <c r="AP1401" s="193">
        <f>AN1401-AO1401</f>
        <v/>
      </c>
      <c r="AQ1401" s="118">
        <f>IF(offer_sale_type="транзит",SUM(AF1401:AI1401,BA1401,BB1401),0)</f>
        <v/>
      </c>
      <c r="AR1401" s="82">
        <f>HYPERLINK("https://www.alta.ru/tnved/code/")&amp;W1401&amp;"/"</f>
        <v/>
      </c>
      <c r="AS1401" s="157" t="n"/>
      <c r="AT1401" s="162" t="n"/>
      <c r="AU1401" s="76">
        <f>IF(ISBLANK(AT1401),0,AJ1401-AT1401)</f>
        <v/>
      </c>
      <c r="AV1401" s="157" t="n"/>
      <c r="AW1401" s="75">
        <f>_xlfn.IFNA(VLOOKUP(L1401,list_vat[],3,FALSE),0)</f>
        <v/>
      </c>
      <c r="AX1401" s="76">
        <f>IFERROR(ROUND(S1401*(1+AW1401)/E1401,2),0)</f>
        <v/>
      </c>
      <c r="AY1401" s="76">
        <f>E1401*AX1401</f>
        <v/>
      </c>
      <c r="AZ1401" s="192">
        <f>S1401*(1+M1401)</f>
        <v/>
      </c>
      <c r="BA1401" s="76">
        <f>cost_fin_total*$BD1401</f>
        <v/>
      </c>
      <c r="BB1401" s="193">
        <f>credit_sales_interest*BD1401</f>
        <v/>
      </c>
      <c r="BC1401" s="102">
        <f>IFERROR(IF($I$13&gt;0,$I1401/$I$13,$S1401/$S$13),0)</f>
        <v/>
      </c>
      <c r="BD1401" s="102">
        <f>IFERROR($S1401/$S$13,0)</f>
        <v/>
      </c>
      <c r="BE1401" s="413" t="inlineStr">
        <is>
          <t>$</t>
        </is>
      </c>
    </row>
    <row r="1402" ht="12" customFormat="1" customHeight="1" s="65">
      <c r="A1402" s="43" t="n">
        <v>1387</v>
      </c>
      <c r="B1402" s="166" t="n"/>
      <c r="C1402" s="166" t="n"/>
      <c r="D1402" s="166" t="n"/>
      <c r="E1402" s="162" t="n"/>
      <c r="F1402" s="166" t="n"/>
      <c r="G1402" s="162" t="n"/>
      <c r="H1402" s="162" t="n"/>
      <c r="I1402" s="189">
        <f>E1402*G1402</f>
        <v/>
      </c>
      <c r="J1402" s="195" t="n"/>
      <c r="K1402" s="162" t="n"/>
      <c r="L1402" s="168" t="n"/>
      <c r="M1402" s="75">
        <f>_xlfn.XLOOKUP(L1402,list_vat[Страна],list_vat[Ставка НДС %],0,0)</f>
        <v/>
      </c>
      <c r="N1402" s="162">
        <f>IFERROR(IF(L1402="Китай",K1402,K1402/(1+M1402)),0)</f>
        <v/>
      </c>
      <c r="O1402" s="169" t="n"/>
      <c r="P1402" s="76">
        <f>N1402*(1-O1402)</f>
        <v/>
      </c>
      <c r="Q1402" s="162" t="n"/>
      <c r="R1402" s="162">
        <f>IF(ISBLANK(Q1402),"введи курс",P1402/Q1402)</f>
        <v/>
      </c>
      <c r="S1402" s="196">
        <f>IF(AND(ISNUMBER(E1402),ISNUMBER(Q1402)),E1402*R1402,0)</f>
        <v/>
      </c>
      <c r="T1402" s="192">
        <f>$BC1402*V$11</f>
        <v/>
      </c>
      <c r="U1402" s="76">
        <f>$BC1402*W$11</f>
        <v/>
      </c>
      <c r="V1402" s="193">
        <f>+SUM(T1402:U1402)</f>
        <v/>
      </c>
      <c r="W1402" s="191" t="n"/>
      <c r="X1402" s="170" t="n"/>
      <c r="Y1402" s="76">
        <f>ROUND(IF(offer_incoterms="DDP",X1402*(S1402*(1+AW1402)+T1402),0),2)</f>
        <v/>
      </c>
      <c r="Z1402" s="188" t="n"/>
      <c r="AA1402" s="192">
        <f>IFERROR(AB1402/E1402,0)</f>
        <v/>
      </c>
      <c r="AB1402" s="76">
        <f>ROUND(SUM(S1402,V1402,Y1402:Z1402,BA1402:BB1402),2)</f>
        <v/>
      </c>
      <c r="AC1402" s="797" t="n"/>
      <c r="AD1402" s="192">
        <f t="array" ref="AD1402">IFERROR(ROUND((_xlfn.IFS(offer_sale_type="поставка",AB1402,offer_sale_type="транзит",S1402)*(1+AC1402))/E1402,2),0)</f>
        <v/>
      </c>
      <c r="AE1402" s="76">
        <f>AD1402*E1402</f>
        <v/>
      </c>
      <c r="AF1402" s="193">
        <f t="array" ref="AF1402">IFERROR(ROUND(_xlfn.IFS(offer_sale_type="поставка",AB1402,offer_sale_type="транзит",S1402)*AC1402,2),0)</f>
        <v/>
      </c>
      <c r="AG1402" s="192">
        <f>$BD1402*VLOOKUP($AG$3,$AF$4:$AG$7,2,FALSE)</f>
        <v/>
      </c>
      <c r="AH1402" s="76">
        <f>SUM(AE1402,AG1402,AI1402)*rate_forex_risk</f>
        <v/>
      </c>
      <c r="AI1402" s="193">
        <f>IF(OR(seller_region="TR",offer_sale_type="экспорт"),0,rate_fin_comm)*SUM(AZ1402,AZ1402*AW1402,T1402)</f>
        <v/>
      </c>
      <c r="AJ1402" s="118">
        <f>IFERROR(ROUND(SUM(AB1402,AF1402:AI1402)/E1402,2),0)</f>
        <v/>
      </c>
      <c r="AK1402" s="76">
        <f>AJ1402*E1402</f>
        <v/>
      </c>
      <c r="AL1402" s="174">
        <f>ROUND(IFERROR(AM1402*E1402,0),2)</f>
        <v/>
      </c>
      <c r="AM1402" s="175">
        <f>ROUND(AJ1402*(1+IF(offer_incoterms="DDP",IF((TODAY()+offer_turnaround_time)&gt;=helpsheet!$L$17,rate_vatRU_from_26,rate_vatRu_till_25),0)),2)</f>
        <v/>
      </c>
      <c r="AN1402" s="192">
        <f>AL1402-AK1402</f>
        <v/>
      </c>
      <c r="AO1402" s="76">
        <f>SUM(AY1402,Y1402:Z1402,T1402)*IF(AND(offer_incoterms="DDP",offer_sale_type&lt;&gt;"экспорт"),IF((TODAY()+offer_turnaround_time)&gt;=helpsheet!$L$17,rate_vatRU_from_26,rate_vatRu_till_25),0)</f>
        <v/>
      </c>
      <c r="AP1402" s="193">
        <f>AN1402-AO1402</f>
        <v/>
      </c>
      <c r="AQ1402" s="118">
        <f>IF(offer_sale_type="транзит",SUM(AF1402:AI1402,BA1402,BB1402),0)</f>
        <v/>
      </c>
      <c r="AR1402" s="82">
        <f>HYPERLINK("https://www.alta.ru/tnved/code/")&amp;W1402&amp;"/"</f>
        <v/>
      </c>
      <c r="AS1402" s="157" t="n"/>
      <c r="AT1402" s="162" t="n"/>
      <c r="AU1402" s="76">
        <f>IF(ISBLANK(AT1402),0,AJ1402-AT1402)</f>
        <v/>
      </c>
      <c r="AV1402" s="157" t="n"/>
      <c r="AW1402" s="75">
        <f>_xlfn.IFNA(VLOOKUP(L1402,list_vat[],3,FALSE),0)</f>
        <v/>
      </c>
      <c r="AX1402" s="76">
        <f>IFERROR(ROUND(S1402*(1+AW1402)/E1402,2),0)</f>
        <v/>
      </c>
      <c r="AY1402" s="76">
        <f>E1402*AX1402</f>
        <v/>
      </c>
      <c r="AZ1402" s="192">
        <f>S1402*(1+M1402)</f>
        <v/>
      </c>
      <c r="BA1402" s="76">
        <f>cost_fin_total*$BD1402</f>
        <v/>
      </c>
      <c r="BB1402" s="193">
        <f>credit_sales_interest*BD1402</f>
        <v/>
      </c>
      <c r="BC1402" s="102">
        <f>IFERROR(IF($I$13&gt;0,$I1402/$I$13,$S1402/$S$13),0)</f>
        <v/>
      </c>
      <c r="BD1402" s="102">
        <f>IFERROR($S1402/$S$13,0)</f>
        <v/>
      </c>
      <c r="BE1402" s="413" t="inlineStr">
        <is>
          <t>$</t>
        </is>
      </c>
    </row>
    <row r="1403" ht="12" customFormat="1" customHeight="1" s="65">
      <c r="A1403" s="43" t="n">
        <v>1388</v>
      </c>
      <c r="B1403" s="166" t="n"/>
      <c r="C1403" s="166" t="n"/>
      <c r="D1403" s="166" t="n"/>
      <c r="E1403" s="162" t="n"/>
      <c r="F1403" s="166" t="n"/>
      <c r="G1403" s="162" t="n"/>
      <c r="H1403" s="162" t="n"/>
      <c r="I1403" s="189">
        <f>E1403*G1403</f>
        <v/>
      </c>
      <c r="J1403" s="195" t="n"/>
      <c r="K1403" s="162" t="n"/>
      <c r="L1403" s="168" t="n"/>
      <c r="M1403" s="75">
        <f>_xlfn.XLOOKUP(L1403,list_vat[Страна],list_vat[Ставка НДС %],0,0)</f>
        <v/>
      </c>
      <c r="N1403" s="162">
        <f>IFERROR(IF(L1403="Китай",K1403,K1403/(1+M1403)),0)</f>
        <v/>
      </c>
      <c r="O1403" s="169" t="n"/>
      <c r="P1403" s="76">
        <f>N1403*(1-O1403)</f>
        <v/>
      </c>
      <c r="Q1403" s="162" t="n"/>
      <c r="R1403" s="162">
        <f>IF(ISBLANK(Q1403),"введи курс",P1403/Q1403)</f>
        <v/>
      </c>
      <c r="S1403" s="196">
        <f>IF(AND(ISNUMBER(E1403),ISNUMBER(Q1403)),E1403*R1403,0)</f>
        <v/>
      </c>
      <c r="T1403" s="192">
        <f>$BC1403*V$11</f>
        <v/>
      </c>
      <c r="U1403" s="76">
        <f>$BC1403*W$11</f>
        <v/>
      </c>
      <c r="V1403" s="193">
        <f>+SUM(T1403:U1403)</f>
        <v/>
      </c>
      <c r="W1403" s="191" t="n"/>
      <c r="X1403" s="170" t="n"/>
      <c r="Y1403" s="76">
        <f>ROUND(IF(offer_incoterms="DDP",X1403*(S1403*(1+AW1403)+T1403),0),2)</f>
        <v/>
      </c>
      <c r="Z1403" s="188" t="n"/>
      <c r="AA1403" s="192">
        <f>IFERROR(AB1403/E1403,0)</f>
        <v/>
      </c>
      <c r="AB1403" s="76">
        <f>ROUND(SUM(S1403,V1403,Y1403:Z1403,BA1403:BB1403),2)</f>
        <v/>
      </c>
      <c r="AC1403" s="797" t="n"/>
      <c r="AD1403" s="192">
        <f t="array" ref="AD1403">IFERROR(ROUND((_xlfn.IFS(offer_sale_type="поставка",AB1403,offer_sale_type="транзит",S1403)*(1+AC1403))/E1403,2),0)</f>
        <v/>
      </c>
      <c r="AE1403" s="76">
        <f>AD1403*E1403</f>
        <v/>
      </c>
      <c r="AF1403" s="193">
        <f t="array" ref="AF1403">IFERROR(ROUND(_xlfn.IFS(offer_sale_type="поставка",AB1403,offer_sale_type="транзит",S1403)*AC1403,2),0)</f>
        <v/>
      </c>
      <c r="AG1403" s="192">
        <f>$BD1403*VLOOKUP($AG$3,$AF$4:$AG$7,2,FALSE)</f>
        <v/>
      </c>
      <c r="AH1403" s="76">
        <f>SUM(AE1403,AG1403,AI1403)*rate_forex_risk</f>
        <v/>
      </c>
      <c r="AI1403" s="193">
        <f>IF(OR(seller_region="TR",offer_sale_type="экспорт"),0,rate_fin_comm)*SUM(AZ1403,AZ1403*AW1403,T1403)</f>
        <v/>
      </c>
      <c r="AJ1403" s="118">
        <f>IFERROR(ROUND(SUM(AB1403,AF1403:AI1403)/E1403,2),0)</f>
        <v/>
      </c>
      <c r="AK1403" s="76">
        <f>AJ1403*E1403</f>
        <v/>
      </c>
      <c r="AL1403" s="174">
        <f>ROUND(IFERROR(AM1403*E1403,0),2)</f>
        <v/>
      </c>
      <c r="AM1403" s="175">
        <f>ROUND(AJ1403*(1+IF(offer_incoterms="DDP",IF((TODAY()+offer_turnaround_time)&gt;=helpsheet!$L$17,rate_vatRU_from_26,rate_vatRu_till_25),0)),2)</f>
        <v/>
      </c>
      <c r="AN1403" s="192">
        <f>AL1403-AK1403</f>
        <v/>
      </c>
      <c r="AO1403" s="76">
        <f>SUM(AY1403,Y1403:Z1403,T1403)*IF(AND(offer_incoterms="DDP",offer_sale_type&lt;&gt;"экспорт"),IF((TODAY()+offer_turnaround_time)&gt;=helpsheet!$L$17,rate_vatRU_from_26,rate_vatRu_till_25),0)</f>
        <v/>
      </c>
      <c r="AP1403" s="193">
        <f>AN1403-AO1403</f>
        <v/>
      </c>
      <c r="AQ1403" s="118">
        <f>IF(offer_sale_type="транзит",SUM(AF1403:AI1403,BA1403,BB1403),0)</f>
        <v/>
      </c>
      <c r="AR1403" s="82">
        <f>HYPERLINK("https://www.alta.ru/tnved/code/")&amp;W1403&amp;"/"</f>
        <v/>
      </c>
      <c r="AS1403" s="157" t="n"/>
      <c r="AT1403" s="162" t="n"/>
      <c r="AU1403" s="76">
        <f>IF(ISBLANK(AT1403),0,AJ1403-AT1403)</f>
        <v/>
      </c>
      <c r="AV1403" s="157" t="n"/>
      <c r="AW1403" s="75">
        <f>_xlfn.IFNA(VLOOKUP(L1403,list_vat[],3,FALSE),0)</f>
        <v/>
      </c>
      <c r="AX1403" s="76">
        <f>IFERROR(ROUND(S1403*(1+AW1403)/E1403,2),0)</f>
        <v/>
      </c>
      <c r="AY1403" s="76">
        <f>E1403*AX1403</f>
        <v/>
      </c>
      <c r="AZ1403" s="192">
        <f>S1403*(1+M1403)</f>
        <v/>
      </c>
      <c r="BA1403" s="76">
        <f>cost_fin_total*$BD1403</f>
        <v/>
      </c>
      <c r="BB1403" s="193">
        <f>credit_sales_interest*BD1403</f>
        <v/>
      </c>
      <c r="BC1403" s="102">
        <f>IFERROR(IF($I$13&gt;0,$I1403/$I$13,$S1403/$S$13),0)</f>
        <v/>
      </c>
      <c r="BD1403" s="102">
        <f>IFERROR($S1403/$S$13,0)</f>
        <v/>
      </c>
      <c r="BE1403" s="413" t="inlineStr">
        <is>
          <t>$</t>
        </is>
      </c>
    </row>
    <row r="1404" ht="12" customFormat="1" customHeight="1" s="65">
      <c r="A1404" s="43" t="n">
        <v>1389</v>
      </c>
      <c r="B1404" s="166" t="n"/>
      <c r="C1404" s="166" t="n"/>
      <c r="D1404" s="166" t="n"/>
      <c r="E1404" s="162" t="n"/>
      <c r="F1404" s="166" t="n"/>
      <c r="G1404" s="162" t="n"/>
      <c r="H1404" s="162" t="n"/>
      <c r="I1404" s="189">
        <f>E1404*G1404</f>
        <v/>
      </c>
      <c r="J1404" s="195" t="n"/>
      <c r="K1404" s="162" t="n"/>
      <c r="L1404" s="168" t="n"/>
      <c r="M1404" s="75">
        <f>_xlfn.XLOOKUP(L1404,list_vat[Страна],list_vat[Ставка НДС %],0,0)</f>
        <v/>
      </c>
      <c r="N1404" s="162">
        <f>IFERROR(IF(L1404="Китай",K1404,K1404/(1+M1404)),0)</f>
        <v/>
      </c>
      <c r="O1404" s="169" t="n"/>
      <c r="P1404" s="76">
        <f>N1404*(1-O1404)</f>
        <v/>
      </c>
      <c r="Q1404" s="162" t="n"/>
      <c r="R1404" s="162">
        <f>IF(ISBLANK(Q1404),"введи курс",P1404/Q1404)</f>
        <v/>
      </c>
      <c r="S1404" s="196">
        <f>IF(AND(ISNUMBER(E1404),ISNUMBER(Q1404)),E1404*R1404,0)</f>
        <v/>
      </c>
      <c r="T1404" s="192">
        <f>$BC1404*V$11</f>
        <v/>
      </c>
      <c r="U1404" s="76">
        <f>$BC1404*W$11</f>
        <v/>
      </c>
      <c r="V1404" s="193">
        <f>+SUM(T1404:U1404)</f>
        <v/>
      </c>
      <c r="W1404" s="191" t="n"/>
      <c r="X1404" s="170" t="n"/>
      <c r="Y1404" s="76">
        <f>ROUND(IF(offer_incoterms="DDP",X1404*(S1404*(1+AW1404)+T1404),0),2)</f>
        <v/>
      </c>
      <c r="Z1404" s="188" t="n"/>
      <c r="AA1404" s="192">
        <f>IFERROR(AB1404/E1404,0)</f>
        <v/>
      </c>
      <c r="AB1404" s="76">
        <f>ROUND(SUM(S1404,V1404,Y1404:Z1404,BA1404:BB1404),2)</f>
        <v/>
      </c>
      <c r="AC1404" s="797" t="n"/>
      <c r="AD1404" s="192">
        <f t="array" ref="AD1404">IFERROR(ROUND((_xlfn.IFS(offer_sale_type="поставка",AB1404,offer_sale_type="транзит",S1404)*(1+AC1404))/E1404,2),0)</f>
        <v/>
      </c>
      <c r="AE1404" s="76">
        <f>AD1404*E1404</f>
        <v/>
      </c>
      <c r="AF1404" s="193">
        <f t="array" ref="AF1404">IFERROR(ROUND(_xlfn.IFS(offer_sale_type="поставка",AB1404,offer_sale_type="транзит",S1404)*AC1404,2),0)</f>
        <v/>
      </c>
      <c r="AG1404" s="192">
        <f>$BD1404*VLOOKUP($AG$3,$AF$4:$AG$7,2,FALSE)</f>
        <v/>
      </c>
      <c r="AH1404" s="76">
        <f>SUM(AE1404,AG1404,AI1404)*rate_forex_risk</f>
        <v/>
      </c>
      <c r="AI1404" s="193">
        <f>IF(OR(seller_region="TR",offer_sale_type="экспорт"),0,rate_fin_comm)*SUM(AZ1404,AZ1404*AW1404,T1404)</f>
        <v/>
      </c>
      <c r="AJ1404" s="118">
        <f>IFERROR(ROUND(SUM(AB1404,AF1404:AI1404)/E1404,2),0)</f>
        <v/>
      </c>
      <c r="AK1404" s="76">
        <f>AJ1404*E1404</f>
        <v/>
      </c>
      <c r="AL1404" s="174">
        <f>ROUND(IFERROR(AM1404*E1404,0),2)</f>
        <v/>
      </c>
      <c r="AM1404" s="175">
        <f>ROUND(AJ1404*(1+IF(offer_incoterms="DDP",IF((TODAY()+offer_turnaround_time)&gt;=helpsheet!$L$17,rate_vatRU_from_26,rate_vatRu_till_25),0)),2)</f>
        <v/>
      </c>
      <c r="AN1404" s="192">
        <f>AL1404-AK1404</f>
        <v/>
      </c>
      <c r="AO1404" s="76">
        <f>SUM(AY1404,Y1404:Z1404,T1404)*IF(AND(offer_incoterms="DDP",offer_sale_type&lt;&gt;"экспорт"),IF((TODAY()+offer_turnaround_time)&gt;=helpsheet!$L$17,rate_vatRU_from_26,rate_vatRu_till_25),0)</f>
        <v/>
      </c>
      <c r="AP1404" s="193">
        <f>AN1404-AO1404</f>
        <v/>
      </c>
      <c r="AQ1404" s="118">
        <f>IF(offer_sale_type="транзит",SUM(AF1404:AI1404,BA1404,BB1404),0)</f>
        <v/>
      </c>
      <c r="AR1404" s="82">
        <f>HYPERLINK("https://www.alta.ru/tnved/code/")&amp;W1404&amp;"/"</f>
        <v/>
      </c>
      <c r="AS1404" s="157" t="n"/>
      <c r="AT1404" s="162" t="n"/>
      <c r="AU1404" s="76">
        <f>IF(ISBLANK(AT1404),0,AJ1404-AT1404)</f>
        <v/>
      </c>
      <c r="AV1404" s="157" t="n"/>
      <c r="AW1404" s="75">
        <f>_xlfn.IFNA(VLOOKUP(L1404,list_vat[],3,FALSE),0)</f>
        <v/>
      </c>
      <c r="AX1404" s="76">
        <f>IFERROR(ROUND(S1404*(1+AW1404)/E1404,2),0)</f>
        <v/>
      </c>
      <c r="AY1404" s="76">
        <f>E1404*AX1404</f>
        <v/>
      </c>
      <c r="AZ1404" s="192">
        <f>S1404*(1+M1404)</f>
        <v/>
      </c>
      <c r="BA1404" s="76">
        <f>cost_fin_total*$BD1404</f>
        <v/>
      </c>
      <c r="BB1404" s="193">
        <f>credit_sales_interest*BD1404</f>
        <v/>
      </c>
      <c r="BC1404" s="102">
        <f>IFERROR(IF($I$13&gt;0,$I1404/$I$13,$S1404/$S$13),0)</f>
        <v/>
      </c>
      <c r="BD1404" s="102">
        <f>IFERROR($S1404/$S$13,0)</f>
        <v/>
      </c>
      <c r="BE1404" s="413" t="inlineStr">
        <is>
          <t>$</t>
        </is>
      </c>
    </row>
    <row r="1405" ht="12" customFormat="1" customHeight="1" s="65">
      <c r="A1405" s="43" t="n">
        <v>1390</v>
      </c>
      <c r="B1405" s="166" t="n"/>
      <c r="C1405" s="166" t="n"/>
      <c r="D1405" s="166" t="n"/>
      <c r="E1405" s="162" t="n"/>
      <c r="F1405" s="166" t="n"/>
      <c r="G1405" s="162" t="n"/>
      <c r="H1405" s="162" t="n"/>
      <c r="I1405" s="189">
        <f>E1405*G1405</f>
        <v/>
      </c>
      <c r="J1405" s="195" t="n"/>
      <c r="K1405" s="162" t="n"/>
      <c r="L1405" s="168" t="n"/>
      <c r="M1405" s="75">
        <f>_xlfn.XLOOKUP(L1405,list_vat[Страна],list_vat[Ставка НДС %],0,0)</f>
        <v/>
      </c>
      <c r="N1405" s="162">
        <f>IFERROR(IF(L1405="Китай",K1405,K1405/(1+M1405)),0)</f>
        <v/>
      </c>
      <c r="O1405" s="169" t="n"/>
      <c r="P1405" s="76">
        <f>N1405*(1-O1405)</f>
        <v/>
      </c>
      <c r="Q1405" s="162" t="n"/>
      <c r="R1405" s="162">
        <f>IF(ISBLANK(Q1405),"введи курс",P1405/Q1405)</f>
        <v/>
      </c>
      <c r="S1405" s="196">
        <f>IF(AND(ISNUMBER(E1405),ISNUMBER(Q1405)),E1405*R1405,0)</f>
        <v/>
      </c>
      <c r="T1405" s="192">
        <f>$BC1405*V$11</f>
        <v/>
      </c>
      <c r="U1405" s="76">
        <f>$BC1405*W$11</f>
        <v/>
      </c>
      <c r="V1405" s="193">
        <f>+SUM(T1405:U1405)</f>
        <v/>
      </c>
      <c r="W1405" s="191" t="n"/>
      <c r="X1405" s="170" t="n"/>
      <c r="Y1405" s="76">
        <f>ROUND(IF(offer_incoterms="DDP",X1405*(S1405*(1+AW1405)+T1405),0),2)</f>
        <v/>
      </c>
      <c r="Z1405" s="188" t="n"/>
      <c r="AA1405" s="192">
        <f>IFERROR(AB1405/E1405,0)</f>
        <v/>
      </c>
      <c r="AB1405" s="76">
        <f>ROUND(SUM(S1405,V1405,Y1405:Z1405,BA1405:BB1405),2)</f>
        <v/>
      </c>
      <c r="AC1405" s="797" t="n"/>
      <c r="AD1405" s="192">
        <f t="array" ref="AD1405">IFERROR(ROUND((_xlfn.IFS(offer_sale_type="поставка",AB1405,offer_sale_type="транзит",S1405)*(1+AC1405))/E1405,2),0)</f>
        <v/>
      </c>
      <c r="AE1405" s="76">
        <f>AD1405*E1405</f>
        <v/>
      </c>
      <c r="AF1405" s="193">
        <f t="array" ref="AF1405">IFERROR(ROUND(_xlfn.IFS(offer_sale_type="поставка",AB1405,offer_sale_type="транзит",S1405)*AC1405,2),0)</f>
        <v/>
      </c>
      <c r="AG1405" s="192">
        <f>$BD1405*VLOOKUP($AG$3,$AF$4:$AG$7,2,FALSE)</f>
        <v/>
      </c>
      <c r="AH1405" s="76">
        <f>SUM(AE1405,AG1405,AI1405)*rate_forex_risk</f>
        <v/>
      </c>
      <c r="AI1405" s="193">
        <f>IF(OR(seller_region="TR",offer_sale_type="экспорт"),0,rate_fin_comm)*SUM(AZ1405,AZ1405*AW1405,T1405)</f>
        <v/>
      </c>
      <c r="AJ1405" s="118">
        <f>IFERROR(ROUND(SUM(AB1405,AF1405:AI1405)/E1405,2),0)</f>
        <v/>
      </c>
      <c r="AK1405" s="76">
        <f>AJ1405*E1405</f>
        <v/>
      </c>
      <c r="AL1405" s="174">
        <f>ROUND(IFERROR(AM1405*E1405,0),2)</f>
        <v/>
      </c>
      <c r="AM1405" s="175">
        <f>ROUND(AJ1405*(1+IF(offer_incoterms="DDP",IF((TODAY()+offer_turnaround_time)&gt;=helpsheet!$L$17,rate_vatRU_from_26,rate_vatRu_till_25),0)),2)</f>
        <v/>
      </c>
      <c r="AN1405" s="192">
        <f>AL1405-AK1405</f>
        <v/>
      </c>
      <c r="AO1405" s="76">
        <f>SUM(AY1405,Y1405:Z1405,T1405)*IF(AND(offer_incoterms="DDP",offer_sale_type&lt;&gt;"экспорт"),IF((TODAY()+offer_turnaround_time)&gt;=helpsheet!$L$17,rate_vatRU_from_26,rate_vatRu_till_25),0)</f>
        <v/>
      </c>
      <c r="AP1405" s="193">
        <f>AN1405-AO1405</f>
        <v/>
      </c>
      <c r="AQ1405" s="118">
        <f>IF(offer_sale_type="транзит",SUM(AF1405:AI1405,BA1405,BB1405),0)</f>
        <v/>
      </c>
      <c r="AR1405" s="82">
        <f>HYPERLINK("https://www.alta.ru/tnved/code/")&amp;W1405&amp;"/"</f>
        <v/>
      </c>
      <c r="AS1405" s="157" t="n"/>
      <c r="AT1405" s="162" t="n"/>
      <c r="AU1405" s="76">
        <f>IF(ISBLANK(AT1405),0,AJ1405-AT1405)</f>
        <v/>
      </c>
      <c r="AV1405" s="157" t="n"/>
      <c r="AW1405" s="75">
        <f>_xlfn.IFNA(VLOOKUP(L1405,list_vat[],3,FALSE),0)</f>
        <v/>
      </c>
      <c r="AX1405" s="76">
        <f>IFERROR(ROUND(S1405*(1+AW1405)/E1405,2),0)</f>
        <v/>
      </c>
      <c r="AY1405" s="76">
        <f>E1405*AX1405</f>
        <v/>
      </c>
      <c r="AZ1405" s="192">
        <f>S1405*(1+M1405)</f>
        <v/>
      </c>
      <c r="BA1405" s="76">
        <f>cost_fin_total*$BD1405</f>
        <v/>
      </c>
      <c r="BB1405" s="193">
        <f>credit_sales_interest*BD1405</f>
        <v/>
      </c>
      <c r="BC1405" s="102">
        <f>IFERROR(IF($I$13&gt;0,$I1405/$I$13,$S1405/$S$13),0)</f>
        <v/>
      </c>
      <c r="BD1405" s="102">
        <f>IFERROR($S1405/$S$13,0)</f>
        <v/>
      </c>
      <c r="BE1405" s="413" t="inlineStr">
        <is>
          <t>$</t>
        </is>
      </c>
    </row>
    <row r="1406" ht="12" customFormat="1" customHeight="1" s="65">
      <c r="A1406" s="43" t="n">
        <v>1391</v>
      </c>
      <c r="B1406" s="166" t="n"/>
      <c r="C1406" s="166" t="n"/>
      <c r="D1406" s="166" t="n"/>
      <c r="E1406" s="162" t="n"/>
      <c r="F1406" s="166" t="n"/>
      <c r="G1406" s="162" t="n"/>
      <c r="H1406" s="162" t="n"/>
      <c r="I1406" s="189">
        <f>E1406*G1406</f>
        <v/>
      </c>
      <c r="J1406" s="195" t="n"/>
      <c r="K1406" s="162" t="n"/>
      <c r="L1406" s="168" t="n"/>
      <c r="M1406" s="75">
        <f>_xlfn.XLOOKUP(L1406,list_vat[Страна],list_vat[Ставка НДС %],0,0)</f>
        <v/>
      </c>
      <c r="N1406" s="162">
        <f>IFERROR(IF(L1406="Китай",K1406,K1406/(1+M1406)),0)</f>
        <v/>
      </c>
      <c r="O1406" s="169" t="n"/>
      <c r="P1406" s="76">
        <f>N1406*(1-O1406)</f>
        <v/>
      </c>
      <c r="Q1406" s="162" t="n"/>
      <c r="R1406" s="162">
        <f>IF(ISBLANK(Q1406),"введи курс",P1406/Q1406)</f>
        <v/>
      </c>
      <c r="S1406" s="196">
        <f>IF(AND(ISNUMBER(E1406),ISNUMBER(Q1406)),E1406*R1406,0)</f>
        <v/>
      </c>
      <c r="T1406" s="192">
        <f>$BC1406*V$11</f>
        <v/>
      </c>
      <c r="U1406" s="76">
        <f>$BC1406*W$11</f>
        <v/>
      </c>
      <c r="V1406" s="193">
        <f>+SUM(T1406:U1406)</f>
        <v/>
      </c>
      <c r="W1406" s="191" t="n"/>
      <c r="X1406" s="170" t="n"/>
      <c r="Y1406" s="76">
        <f>ROUND(IF(offer_incoterms="DDP",X1406*(S1406*(1+AW1406)+T1406),0),2)</f>
        <v/>
      </c>
      <c r="Z1406" s="188" t="n"/>
      <c r="AA1406" s="192">
        <f>IFERROR(AB1406/E1406,0)</f>
        <v/>
      </c>
      <c r="AB1406" s="76">
        <f>ROUND(SUM(S1406,V1406,Y1406:Z1406,BA1406:BB1406),2)</f>
        <v/>
      </c>
      <c r="AC1406" s="797" t="n"/>
      <c r="AD1406" s="192">
        <f t="array" ref="AD1406">IFERROR(ROUND((_xlfn.IFS(offer_sale_type="поставка",AB1406,offer_sale_type="транзит",S1406)*(1+AC1406))/E1406,2),0)</f>
        <v/>
      </c>
      <c r="AE1406" s="76">
        <f>AD1406*E1406</f>
        <v/>
      </c>
      <c r="AF1406" s="193">
        <f t="array" ref="AF1406">IFERROR(ROUND(_xlfn.IFS(offer_sale_type="поставка",AB1406,offer_sale_type="транзит",S1406)*AC1406,2),0)</f>
        <v/>
      </c>
      <c r="AG1406" s="192">
        <f>$BD1406*VLOOKUP($AG$3,$AF$4:$AG$7,2,FALSE)</f>
        <v/>
      </c>
      <c r="AH1406" s="76">
        <f>SUM(AE1406,AG1406,AI1406)*rate_forex_risk</f>
        <v/>
      </c>
      <c r="AI1406" s="193">
        <f>IF(OR(seller_region="TR",offer_sale_type="экспорт"),0,rate_fin_comm)*SUM(AZ1406,AZ1406*AW1406,T1406)</f>
        <v/>
      </c>
      <c r="AJ1406" s="118">
        <f>IFERROR(ROUND(SUM(AB1406,AF1406:AI1406)/E1406,2),0)</f>
        <v/>
      </c>
      <c r="AK1406" s="76">
        <f>AJ1406*E1406</f>
        <v/>
      </c>
      <c r="AL1406" s="174">
        <f>ROUND(IFERROR(AM1406*E1406,0),2)</f>
        <v/>
      </c>
      <c r="AM1406" s="175">
        <f>ROUND(AJ1406*(1+IF(offer_incoterms="DDP",IF((TODAY()+offer_turnaround_time)&gt;=helpsheet!$L$17,rate_vatRU_from_26,rate_vatRu_till_25),0)),2)</f>
        <v/>
      </c>
      <c r="AN1406" s="192">
        <f>AL1406-AK1406</f>
        <v/>
      </c>
      <c r="AO1406" s="76">
        <f>SUM(AY1406,Y1406:Z1406,T1406)*IF(AND(offer_incoterms="DDP",offer_sale_type&lt;&gt;"экспорт"),IF((TODAY()+offer_turnaround_time)&gt;=helpsheet!$L$17,rate_vatRU_from_26,rate_vatRu_till_25),0)</f>
        <v/>
      </c>
      <c r="AP1406" s="193">
        <f>AN1406-AO1406</f>
        <v/>
      </c>
      <c r="AQ1406" s="118">
        <f>IF(offer_sale_type="транзит",SUM(AF1406:AI1406,BA1406,BB1406),0)</f>
        <v/>
      </c>
      <c r="AR1406" s="82">
        <f>HYPERLINK("https://www.alta.ru/tnved/code/")&amp;W1406&amp;"/"</f>
        <v/>
      </c>
      <c r="AS1406" s="157" t="n"/>
      <c r="AT1406" s="162" t="n"/>
      <c r="AU1406" s="76">
        <f>IF(ISBLANK(AT1406),0,AJ1406-AT1406)</f>
        <v/>
      </c>
      <c r="AV1406" s="157" t="n"/>
      <c r="AW1406" s="75">
        <f>_xlfn.IFNA(VLOOKUP(L1406,list_vat[],3,FALSE),0)</f>
        <v/>
      </c>
      <c r="AX1406" s="76">
        <f>IFERROR(ROUND(S1406*(1+AW1406)/E1406,2),0)</f>
        <v/>
      </c>
      <c r="AY1406" s="76">
        <f>E1406*AX1406</f>
        <v/>
      </c>
      <c r="AZ1406" s="192">
        <f>S1406*(1+M1406)</f>
        <v/>
      </c>
      <c r="BA1406" s="76">
        <f>cost_fin_total*$BD1406</f>
        <v/>
      </c>
      <c r="BB1406" s="193">
        <f>credit_sales_interest*BD1406</f>
        <v/>
      </c>
      <c r="BC1406" s="102">
        <f>IFERROR(IF($I$13&gt;0,$I1406/$I$13,$S1406/$S$13),0)</f>
        <v/>
      </c>
      <c r="BD1406" s="102">
        <f>IFERROR($S1406/$S$13,0)</f>
        <v/>
      </c>
      <c r="BE1406" s="413" t="inlineStr">
        <is>
          <t>$</t>
        </is>
      </c>
    </row>
    <row r="1407" ht="12" customFormat="1" customHeight="1" s="65">
      <c r="A1407" s="43" t="n">
        <v>1392</v>
      </c>
      <c r="B1407" s="166" t="n"/>
      <c r="C1407" s="166" t="n"/>
      <c r="D1407" s="166" t="n"/>
      <c r="E1407" s="162" t="n"/>
      <c r="F1407" s="166" t="n"/>
      <c r="G1407" s="162" t="n"/>
      <c r="H1407" s="162" t="n"/>
      <c r="I1407" s="189">
        <f>E1407*G1407</f>
        <v/>
      </c>
      <c r="J1407" s="195" t="n"/>
      <c r="K1407" s="162" t="n"/>
      <c r="L1407" s="168" t="n"/>
      <c r="M1407" s="75">
        <f>_xlfn.XLOOKUP(L1407,list_vat[Страна],list_vat[Ставка НДС %],0,0)</f>
        <v/>
      </c>
      <c r="N1407" s="162">
        <f>IFERROR(IF(L1407="Китай",K1407,K1407/(1+M1407)),0)</f>
        <v/>
      </c>
      <c r="O1407" s="169" t="n"/>
      <c r="P1407" s="76">
        <f>N1407*(1-O1407)</f>
        <v/>
      </c>
      <c r="Q1407" s="162" t="n"/>
      <c r="R1407" s="162">
        <f>IF(ISBLANK(Q1407),"введи курс",P1407/Q1407)</f>
        <v/>
      </c>
      <c r="S1407" s="196">
        <f>IF(AND(ISNUMBER(E1407),ISNUMBER(Q1407)),E1407*R1407,0)</f>
        <v/>
      </c>
      <c r="T1407" s="192">
        <f>$BC1407*V$11</f>
        <v/>
      </c>
      <c r="U1407" s="76">
        <f>$BC1407*W$11</f>
        <v/>
      </c>
      <c r="V1407" s="193">
        <f>+SUM(T1407:U1407)</f>
        <v/>
      </c>
      <c r="W1407" s="191" t="n"/>
      <c r="X1407" s="170" t="n"/>
      <c r="Y1407" s="76">
        <f>ROUND(IF(offer_incoterms="DDP",X1407*(S1407*(1+AW1407)+T1407),0),2)</f>
        <v/>
      </c>
      <c r="Z1407" s="188" t="n"/>
      <c r="AA1407" s="192">
        <f>IFERROR(AB1407/E1407,0)</f>
        <v/>
      </c>
      <c r="AB1407" s="76">
        <f>ROUND(SUM(S1407,V1407,Y1407:Z1407,BA1407:BB1407),2)</f>
        <v/>
      </c>
      <c r="AC1407" s="797" t="n"/>
      <c r="AD1407" s="192">
        <f t="array" ref="AD1407">IFERROR(ROUND((_xlfn.IFS(offer_sale_type="поставка",AB1407,offer_sale_type="транзит",S1407)*(1+AC1407))/E1407,2),0)</f>
        <v/>
      </c>
      <c r="AE1407" s="76">
        <f>AD1407*E1407</f>
        <v/>
      </c>
      <c r="AF1407" s="193">
        <f t="array" ref="AF1407">IFERROR(ROUND(_xlfn.IFS(offer_sale_type="поставка",AB1407,offer_sale_type="транзит",S1407)*AC1407,2),0)</f>
        <v/>
      </c>
      <c r="AG1407" s="192">
        <f>$BD1407*VLOOKUP($AG$3,$AF$4:$AG$7,2,FALSE)</f>
        <v/>
      </c>
      <c r="AH1407" s="76">
        <f>SUM(AE1407,AG1407,AI1407)*rate_forex_risk</f>
        <v/>
      </c>
      <c r="AI1407" s="193">
        <f>IF(OR(seller_region="TR",offer_sale_type="экспорт"),0,rate_fin_comm)*SUM(AZ1407,AZ1407*AW1407,T1407)</f>
        <v/>
      </c>
      <c r="AJ1407" s="118">
        <f>IFERROR(ROUND(SUM(AB1407,AF1407:AI1407)/E1407,2),0)</f>
        <v/>
      </c>
      <c r="AK1407" s="76">
        <f>AJ1407*E1407</f>
        <v/>
      </c>
      <c r="AL1407" s="174">
        <f>ROUND(IFERROR(AM1407*E1407,0),2)</f>
        <v/>
      </c>
      <c r="AM1407" s="175">
        <f>ROUND(AJ1407*(1+IF(offer_incoterms="DDP",IF((TODAY()+offer_turnaround_time)&gt;=helpsheet!$L$17,rate_vatRU_from_26,rate_vatRu_till_25),0)),2)</f>
        <v/>
      </c>
      <c r="AN1407" s="192">
        <f>AL1407-AK1407</f>
        <v/>
      </c>
      <c r="AO1407" s="76">
        <f>SUM(AY1407,Y1407:Z1407,T1407)*IF(AND(offer_incoterms="DDP",offer_sale_type&lt;&gt;"экспорт"),IF((TODAY()+offer_turnaround_time)&gt;=helpsheet!$L$17,rate_vatRU_from_26,rate_vatRu_till_25),0)</f>
        <v/>
      </c>
      <c r="AP1407" s="193">
        <f>AN1407-AO1407</f>
        <v/>
      </c>
      <c r="AQ1407" s="118">
        <f>IF(offer_sale_type="транзит",SUM(AF1407:AI1407,BA1407,BB1407),0)</f>
        <v/>
      </c>
      <c r="AR1407" s="82">
        <f>HYPERLINK("https://www.alta.ru/tnved/code/")&amp;W1407&amp;"/"</f>
        <v/>
      </c>
      <c r="AS1407" s="157" t="n"/>
      <c r="AT1407" s="162" t="n"/>
      <c r="AU1407" s="76">
        <f>IF(ISBLANK(AT1407),0,AJ1407-AT1407)</f>
        <v/>
      </c>
      <c r="AV1407" s="157" t="n"/>
      <c r="AW1407" s="75">
        <f>_xlfn.IFNA(VLOOKUP(L1407,list_vat[],3,FALSE),0)</f>
        <v/>
      </c>
      <c r="AX1407" s="76">
        <f>IFERROR(ROUND(S1407*(1+AW1407)/E1407,2),0)</f>
        <v/>
      </c>
      <c r="AY1407" s="76">
        <f>E1407*AX1407</f>
        <v/>
      </c>
      <c r="AZ1407" s="192">
        <f>S1407*(1+M1407)</f>
        <v/>
      </c>
      <c r="BA1407" s="76">
        <f>cost_fin_total*$BD1407</f>
        <v/>
      </c>
      <c r="BB1407" s="193">
        <f>credit_sales_interest*BD1407</f>
        <v/>
      </c>
      <c r="BC1407" s="102">
        <f>IFERROR(IF($I$13&gt;0,$I1407/$I$13,$S1407/$S$13),0)</f>
        <v/>
      </c>
      <c r="BD1407" s="102">
        <f>IFERROR($S1407/$S$13,0)</f>
        <v/>
      </c>
      <c r="BE1407" s="413" t="inlineStr">
        <is>
          <t>$</t>
        </is>
      </c>
    </row>
    <row r="1408" ht="12" customFormat="1" customHeight="1" s="65">
      <c r="A1408" s="43" t="n">
        <v>1393</v>
      </c>
      <c r="B1408" s="166" t="n"/>
      <c r="C1408" s="166" t="n"/>
      <c r="D1408" s="166" t="n"/>
      <c r="E1408" s="162" t="n"/>
      <c r="F1408" s="166" t="n"/>
      <c r="G1408" s="162" t="n"/>
      <c r="H1408" s="162" t="n"/>
      <c r="I1408" s="189">
        <f>E1408*G1408</f>
        <v/>
      </c>
      <c r="J1408" s="195" t="n"/>
      <c r="K1408" s="162" t="n"/>
      <c r="L1408" s="168" t="n"/>
      <c r="M1408" s="75">
        <f>_xlfn.XLOOKUP(L1408,list_vat[Страна],list_vat[Ставка НДС %],0,0)</f>
        <v/>
      </c>
      <c r="N1408" s="162">
        <f>IFERROR(IF(L1408="Китай",K1408,K1408/(1+M1408)),0)</f>
        <v/>
      </c>
      <c r="O1408" s="169" t="n"/>
      <c r="P1408" s="76">
        <f>N1408*(1-O1408)</f>
        <v/>
      </c>
      <c r="Q1408" s="162" t="n"/>
      <c r="R1408" s="162">
        <f>IF(ISBLANK(Q1408),"введи курс",P1408/Q1408)</f>
        <v/>
      </c>
      <c r="S1408" s="196">
        <f>IF(AND(ISNUMBER(E1408),ISNUMBER(Q1408)),E1408*R1408,0)</f>
        <v/>
      </c>
      <c r="T1408" s="192">
        <f>$BC1408*V$11</f>
        <v/>
      </c>
      <c r="U1408" s="76">
        <f>$BC1408*W$11</f>
        <v/>
      </c>
      <c r="V1408" s="193">
        <f>+SUM(T1408:U1408)</f>
        <v/>
      </c>
      <c r="W1408" s="191" t="n"/>
      <c r="X1408" s="170" t="n"/>
      <c r="Y1408" s="76">
        <f>ROUND(IF(offer_incoterms="DDP",X1408*(S1408*(1+AW1408)+T1408),0),2)</f>
        <v/>
      </c>
      <c r="Z1408" s="188" t="n"/>
      <c r="AA1408" s="192">
        <f>IFERROR(AB1408/E1408,0)</f>
        <v/>
      </c>
      <c r="AB1408" s="76">
        <f>ROUND(SUM(S1408,V1408,Y1408:Z1408,BA1408:BB1408),2)</f>
        <v/>
      </c>
      <c r="AC1408" s="797" t="n"/>
      <c r="AD1408" s="192">
        <f t="array" ref="AD1408">IFERROR(ROUND((_xlfn.IFS(offer_sale_type="поставка",AB1408,offer_sale_type="транзит",S1408)*(1+AC1408))/E1408,2),0)</f>
        <v/>
      </c>
      <c r="AE1408" s="76">
        <f>AD1408*E1408</f>
        <v/>
      </c>
      <c r="AF1408" s="193">
        <f t="array" ref="AF1408">IFERROR(ROUND(_xlfn.IFS(offer_sale_type="поставка",AB1408,offer_sale_type="транзит",S1408)*AC1408,2),0)</f>
        <v/>
      </c>
      <c r="AG1408" s="192">
        <f>$BD1408*VLOOKUP($AG$3,$AF$4:$AG$7,2,FALSE)</f>
        <v/>
      </c>
      <c r="AH1408" s="76">
        <f>SUM(AE1408,AG1408,AI1408)*rate_forex_risk</f>
        <v/>
      </c>
      <c r="AI1408" s="193">
        <f>IF(OR(seller_region="TR",offer_sale_type="экспорт"),0,rate_fin_comm)*SUM(AZ1408,AZ1408*AW1408,T1408)</f>
        <v/>
      </c>
      <c r="AJ1408" s="118">
        <f>IFERROR(ROUND(SUM(AB1408,AF1408:AI1408)/E1408,2),0)</f>
        <v/>
      </c>
      <c r="AK1408" s="76">
        <f>AJ1408*E1408</f>
        <v/>
      </c>
      <c r="AL1408" s="174">
        <f>ROUND(IFERROR(AM1408*E1408,0),2)</f>
        <v/>
      </c>
      <c r="AM1408" s="175">
        <f>ROUND(AJ1408*(1+IF(offer_incoterms="DDP",IF((TODAY()+offer_turnaround_time)&gt;=helpsheet!$L$17,rate_vatRU_from_26,rate_vatRu_till_25),0)),2)</f>
        <v/>
      </c>
      <c r="AN1408" s="192">
        <f>AL1408-AK1408</f>
        <v/>
      </c>
      <c r="AO1408" s="76">
        <f>SUM(AY1408,Y1408:Z1408,T1408)*IF(AND(offer_incoterms="DDP",offer_sale_type&lt;&gt;"экспорт"),IF((TODAY()+offer_turnaround_time)&gt;=helpsheet!$L$17,rate_vatRU_from_26,rate_vatRu_till_25),0)</f>
        <v/>
      </c>
      <c r="AP1408" s="193">
        <f>AN1408-AO1408</f>
        <v/>
      </c>
      <c r="AQ1408" s="118">
        <f>IF(offer_sale_type="транзит",SUM(AF1408:AI1408,BA1408,BB1408),0)</f>
        <v/>
      </c>
      <c r="AR1408" s="82">
        <f>HYPERLINK("https://www.alta.ru/tnved/code/")&amp;W1408&amp;"/"</f>
        <v/>
      </c>
      <c r="AS1408" s="157" t="n"/>
      <c r="AT1408" s="162" t="n"/>
      <c r="AU1408" s="76">
        <f>IF(ISBLANK(AT1408),0,AJ1408-AT1408)</f>
        <v/>
      </c>
      <c r="AV1408" s="157" t="n"/>
      <c r="AW1408" s="75">
        <f>_xlfn.IFNA(VLOOKUP(L1408,list_vat[],3,FALSE),0)</f>
        <v/>
      </c>
      <c r="AX1408" s="76">
        <f>IFERROR(ROUND(S1408*(1+AW1408)/E1408,2),0)</f>
        <v/>
      </c>
      <c r="AY1408" s="76">
        <f>E1408*AX1408</f>
        <v/>
      </c>
      <c r="AZ1408" s="192">
        <f>S1408*(1+M1408)</f>
        <v/>
      </c>
      <c r="BA1408" s="76">
        <f>cost_fin_total*$BD1408</f>
        <v/>
      </c>
      <c r="BB1408" s="193">
        <f>credit_sales_interest*BD1408</f>
        <v/>
      </c>
      <c r="BC1408" s="102">
        <f>IFERROR(IF($I$13&gt;0,$I1408/$I$13,$S1408/$S$13),0)</f>
        <v/>
      </c>
      <c r="BD1408" s="102">
        <f>IFERROR($S1408/$S$13,0)</f>
        <v/>
      </c>
      <c r="BE1408" s="413" t="inlineStr">
        <is>
          <t>$</t>
        </is>
      </c>
    </row>
    <row r="1409" ht="12" customFormat="1" customHeight="1" s="65">
      <c r="A1409" s="43" t="n">
        <v>1394</v>
      </c>
      <c r="B1409" s="166" t="n"/>
      <c r="C1409" s="166" t="n"/>
      <c r="D1409" s="166" t="n"/>
      <c r="E1409" s="162" t="n"/>
      <c r="F1409" s="166" t="n"/>
      <c r="G1409" s="162" t="n"/>
      <c r="H1409" s="162" t="n"/>
      <c r="I1409" s="189">
        <f>E1409*G1409</f>
        <v/>
      </c>
      <c r="J1409" s="195" t="n"/>
      <c r="K1409" s="162" t="n"/>
      <c r="L1409" s="168" t="n"/>
      <c r="M1409" s="75">
        <f>_xlfn.XLOOKUP(L1409,list_vat[Страна],list_vat[Ставка НДС %],0,0)</f>
        <v/>
      </c>
      <c r="N1409" s="162">
        <f>IFERROR(IF(L1409="Китай",K1409,K1409/(1+M1409)),0)</f>
        <v/>
      </c>
      <c r="O1409" s="169" t="n"/>
      <c r="P1409" s="76">
        <f>N1409*(1-O1409)</f>
        <v/>
      </c>
      <c r="Q1409" s="162" t="n"/>
      <c r="R1409" s="162">
        <f>IF(ISBLANK(Q1409),"введи курс",P1409/Q1409)</f>
        <v/>
      </c>
      <c r="S1409" s="196">
        <f>IF(AND(ISNUMBER(E1409),ISNUMBER(Q1409)),E1409*R1409,0)</f>
        <v/>
      </c>
      <c r="T1409" s="192">
        <f>$BC1409*V$11</f>
        <v/>
      </c>
      <c r="U1409" s="76">
        <f>$BC1409*W$11</f>
        <v/>
      </c>
      <c r="V1409" s="193">
        <f>+SUM(T1409:U1409)</f>
        <v/>
      </c>
      <c r="W1409" s="191" t="n"/>
      <c r="X1409" s="170" t="n"/>
      <c r="Y1409" s="76">
        <f>ROUND(IF(offer_incoterms="DDP",X1409*(S1409*(1+AW1409)+T1409),0),2)</f>
        <v/>
      </c>
      <c r="Z1409" s="188" t="n"/>
      <c r="AA1409" s="192">
        <f>IFERROR(AB1409/E1409,0)</f>
        <v/>
      </c>
      <c r="AB1409" s="76">
        <f>ROUND(SUM(S1409,V1409,Y1409:Z1409,BA1409:BB1409),2)</f>
        <v/>
      </c>
      <c r="AC1409" s="797" t="n"/>
      <c r="AD1409" s="192">
        <f t="array" ref="AD1409">IFERROR(ROUND((_xlfn.IFS(offer_sale_type="поставка",AB1409,offer_sale_type="транзит",S1409)*(1+AC1409))/E1409,2),0)</f>
        <v/>
      </c>
      <c r="AE1409" s="76">
        <f>AD1409*E1409</f>
        <v/>
      </c>
      <c r="AF1409" s="193">
        <f t="array" ref="AF1409">IFERROR(ROUND(_xlfn.IFS(offer_sale_type="поставка",AB1409,offer_sale_type="транзит",S1409)*AC1409,2),0)</f>
        <v/>
      </c>
      <c r="AG1409" s="192">
        <f>$BD1409*VLOOKUP($AG$3,$AF$4:$AG$7,2,FALSE)</f>
        <v/>
      </c>
      <c r="AH1409" s="76">
        <f>SUM(AE1409,AG1409,AI1409)*rate_forex_risk</f>
        <v/>
      </c>
      <c r="AI1409" s="193">
        <f>IF(OR(seller_region="TR",offer_sale_type="экспорт"),0,rate_fin_comm)*SUM(AZ1409,AZ1409*AW1409,T1409)</f>
        <v/>
      </c>
      <c r="AJ1409" s="118">
        <f>IFERROR(ROUND(SUM(AB1409,AF1409:AI1409)/E1409,2),0)</f>
        <v/>
      </c>
      <c r="AK1409" s="76">
        <f>AJ1409*E1409</f>
        <v/>
      </c>
      <c r="AL1409" s="174">
        <f>ROUND(IFERROR(AM1409*E1409,0),2)</f>
        <v/>
      </c>
      <c r="AM1409" s="175">
        <f>ROUND(AJ1409*(1+IF(offer_incoterms="DDP",IF((TODAY()+offer_turnaround_time)&gt;=helpsheet!$L$17,rate_vatRU_from_26,rate_vatRu_till_25),0)),2)</f>
        <v/>
      </c>
      <c r="AN1409" s="192">
        <f>AL1409-AK1409</f>
        <v/>
      </c>
      <c r="AO1409" s="76">
        <f>SUM(AY1409,Y1409:Z1409,T1409)*IF(AND(offer_incoterms="DDP",offer_sale_type&lt;&gt;"экспорт"),IF((TODAY()+offer_turnaround_time)&gt;=helpsheet!$L$17,rate_vatRU_from_26,rate_vatRu_till_25),0)</f>
        <v/>
      </c>
      <c r="AP1409" s="193">
        <f>AN1409-AO1409</f>
        <v/>
      </c>
      <c r="AQ1409" s="118">
        <f>IF(offer_sale_type="транзит",SUM(AF1409:AI1409,BA1409,BB1409),0)</f>
        <v/>
      </c>
      <c r="AR1409" s="82">
        <f>HYPERLINK("https://www.alta.ru/tnved/code/")&amp;W1409&amp;"/"</f>
        <v/>
      </c>
      <c r="AS1409" s="157" t="n"/>
      <c r="AT1409" s="162" t="n"/>
      <c r="AU1409" s="76">
        <f>IF(ISBLANK(AT1409),0,AJ1409-AT1409)</f>
        <v/>
      </c>
      <c r="AV1409" s="157" t="n"/>
      <c r="AW1409" s="75">
        <f>_xlfn.IFNA(VLOOKUP(L1409,list_vat[],3,FALSE),0)</f>
        <v/>
      </c>
      <c r="AX1409" s="76">
        <f>IFERROR(ROUND(S1409*(1+AW1409)/E1409,2),0)</f>
        <v/>
      </c>
      <c r="AY1409" s="76">
        <f>E1409*AX1409</f>
        <v/>
      </c>
      <c r="AZ1409" s="192">
        <f>S1409*(1+M1409)</f>
        <v/>
      </c>
      <c r="BA1409" s="76">
        <f>cost_fin_total*$BD1409</f>
        <v/>
      </c>
      <c r="BB1409" s="193">
        <f>credit_sales_interest*BD1409</f>
        <v/>
      </c>
      <c r="BC1409" s="102">
        <f>IFERROR(IF($I$13&gt;0,$I1409/$I$13,$S1409/$S$13),0)</f>
        <v/>
      </c>
      <c r="BD1409" s="102">
        <f>IFERROR($S1409/$S$13,0)</f>
        <v/>
      </c>
      <c r="BE1409" s="413" t="inlineStr">
        <is>
          <t>$</t>
        </is>
      </c>
    </row>
    <row r="1410" ht="12" customFormat="1" customHeight="1" s="65">
      <c r="A1410" s="43" t="n">
        <v>1395</v>
      </c>
      <c r="B1410" s="166" t="n"/>
      <c r="C1410" s="166" t="n"/>
      <c r="D1410" s="166" t="n"/>
      <c r="E1410" s="162" t="n"/>
      <c r="F1410" s="166" t="n"/>
      <c r="G1410" s="162" t="n"/>
      <c r="H1410" s="162" t="n"/>
      <c r="I1410" s="189">
        <f>E1410*G1410</f>
        <v/>
      </c>
      <c r="J1410" s="195" t="n"/>
      <c r="K1410" s="162" t="n"/>
      <c r="L1410" s="168" t="n"/>
      <c r="M1410" s="75">
        <f>_xlfn.XLOOKUP(L1410,list_vat[Страна],list_vat[Ставка НДС %],0,0)</f>
        <v/>
      </c>
      <c r="N1410" s="162">
        <f>IFERROR(IF(L1410="Китай",K1410,K1410/(1+M1410)),0)</f>
        <v/>
      </c>
      <c r="O1410" s="169" t="n"/>
      <c r="P1410" s="76">
        <f>N1410*(1-O1410)</f>
        <v/>
      </c>
      <c r="Q1410" s="162" t="n"/>
      <c r="R1410" s="162">
        <f>IF(ISBLANK(Q1410),"введи курс",P1410/Q1410)</f>
        <v/>
      </c>
      <c r="S1410" s="196">
        <f>IF(AND(ISNUMBER(E1410),ISNUMBER(Q1410)),E1410*R1410,0)</f>
        <v/>
      </c>
      <c r="T1410" s="192">
        <f>$BC1410*V$11</f>
        <v/>
      </c>
      <c r="U1410" s="76">
        <f>$BC1410*W$11</f>
        <v/>
      </c>
      <c r="V1410" s="193">
        <f>+SUM(T1410:U1410)</f>
        <v/>
      </c>
      <c r="W1410" s="191" t="n"/>
      <c r="X1410" s="170" t="n"/>
      <c r="Y1410" s="76">
        <f>ROUND(IF(offer_incoterms="DDP",X1410*(S1410*(1+AW1410)+T1410),0),2)</f>
        <v/>
      </c>
      <c r="Z1410" s="188" t="n"/>
      <c r="AA1410" s="192">
        <f>IFERROR(AB1410/E1410,0)</f>
        <v/>
      </c>
      <c r="AB1410" s="76">
        <f>ROUND(SUM(S1410,V1410,Y1410:Z1410,BA1410:BB1410),2)</f>
        <v/>
      </c>
      <c r="AC1410" s="797" t="n"/>
      <c r="AD1410" s="192">
        <f t="array" ref="AD1410">IFERROR(ROUND((_xlfn.IFS(offer_sale_type="поставка",AB1410,offer_sale_type="транзит",S1410)*(1+AC1410))/E1410,2),0)</f>
        <v/>
      </c>
      <c r="AE1410" s="76">
        <f>AD1410*E1410</f>
        <v/>
      </c>
      <c r="AF1410" s="193">
        <f t="array" ref="AF1410">IFERROR(ROUND(_xlfn.IFS(offer_sale_type="поставка",AB1410,offer_sale_type="транзит",S1410)*AC1410,2),0)</f>
        <v/>
      </c>
      <c r="AG1410" s="192">
        <f>$BD1410*VLOOKUP($AG$3,$AF$4:$AG$7,2,FALSE)</f>
        <v/>
      </c>
      <c r="AH1410" s="76">
        <f>SUM(AE1410,AG1410,AI1410)*rate_forex_risk</f>
        <v/>
      </c>
      <c r="AI1410" s="193">
        <f>IF(OR(seller_region="TR",offer_sale_type="экспорт"),0,rate_fin_comm)*SUM(AZ1410,AZ1410*AW1410,T1410)</f>
        <v/>
      </c>
      <c r="AJ1410" s="118">
        <f>IFERROR(ROUND(SUM(AB1410,AF1410:AI1410)/E1410,2),0)</f>
        <v/>
      </c>
      <c r="AK1410" s="76">
        <f>AJ1410*E1410</f>
        <v/>
      </c>
      <c r="AL1410" s="174">
        <f>ROUND(IFERROR(AM1410*E1410,0),2)</f>
        <v/>
      </c>
      <c r="AM1410" s="175">
        <f>ROUND(AJ1410*(1+IF(offer_incoterms="DDP",IF((TODAY()+offer_turnaround_time)&gt;=helpsheet!$L$17,rate_vatRU_from_26,rate_vatRu_till_25),0)),2)</f>
        <v/>
      </c>
      <c r="AN1410" s="192">
        <f>AL1410-AK1410</f>
        <v/>
      </c>
      <c r="AO1410" s="76">
        <f>SUM(AY1410,Y1410:Z1410,T1410)*IF(AND(offer_incoterms="DDP",offer_sale_type&lt;&gt;"экспорт"),IF((TODAY()+offer_turnaround_time)&gt;=helpsheet!$L$17,rate_vatRU_from_26,rate_vatRu_till_25),0)</f>
        <v/>
      </c>
      <c r="AP1410" s="193">
        <f>AN1410-AO1410</f>
        <v/>
      </c>
      <c r="AQ1410" s="118">
        <f>IF(offer_sale_type="транзит",SUM(AF1410:AI1410,BA1410,BB1410),0)</f>
        <v/>
      </c>
      <c r="AR1410" s="82">
        <f>HYPERLINK("https://www.alta.ru/tnved/code/")&amp;W1410&amp;"/"</f>
        <v/>
      </c>
      <c r="AS1410" s="157" t="n"/>
      <c r="AT1410" s="162" t="n"/>
      <c r="AU1410" s="76">
        <f>IF(ISBLANK(AT1410),0,AJ1410-AT1410)</f>
        <v/>
      </c>
      <c r="AV1410" s="157" t="n"/>
      <c r="AW1410" s="75">
        <f>_xlfn.IFNA(VLOOKUP(L1410,list_vat[],3,FALSE),0)</f>
        <v/>
      </c>
      <c r="AX1410" s="76">
        <f>IFERROR(ROUND(S1410*(1+AW1410)/E1410,2),0)</f>
        <v/>
      </c>
      <c r="AY1410" s="76">
        <f>E1410*AX1410</f>
        <v/>
      </c>
      <c r="AZ1410" s="192">
        <f>S1410*(1+M1410)</f>
        <v/>
      </c>
      <c r="BA1410" s="76">
        <f>cost_fin_total*$BD1410</f>
        <v/>
      </c>
      <c r="BB1410" s="193">
        <f>credit_sales_interest*BD1410</f>
        <v/>
      </c>
      <c r="BC1410" s="102">
        <f>IFERROR(IF($I$13&gt;0,$I1410/$I$13,$S1410/$S$13),0)</f>
        <v/>
      </c>
      <c r="BD1410" s="102">
        <f>IFERROR($S1410/$S$13,0)</f>
        <v/>
      </c>
      <c r="BE1410" s="413" t="inlineStr">
        <is>
          <t>$</t>
        </is>
      </c>
    </row>
    <row r="1411" ht="12" customFormat="1" customHeight="1" s="65">
      <c r="A1411" s="43" t="n">
        <v>1396</v>
      </c>
      <c r="B1411" s="166" t="n"/>
      <c r="C1411" s="166" t="n"/>
      <c r="D1411" s="166" t="n"/>
      <c r="E1411" s="162" t="n"/>
      <c r="F1411" s="166" t="n"/>
      <c r="G1411" s="162" t="n"/>
      <c r="H1411" s="162" t="n"/>
      <c r="I1411" s="189">
        <f>E1411*G1411</f>
        <v/>
      </c>
      <c r="J1411" s="195" t="n"/>
      <c r="K1411" s="162" t="n"/>
      <c r="L1411" s="168" t="n"/>
      <c r="M1411" s="75">
        <f>_xlfn.XLOOKUP(L1411,list_vat[Страна],list_vat[Ставка НДС %],0,0)</f>
        <v/>
      </c>
      <c r="N1411" s="162">
        <f>IFERROR(IF(L1411="Китай",K1411,K1411/(1+M1411)),0)</f>
        <v/>
      </c>
      <c r="O1411" s="169" t="n"/>
      <c r="P1411" s="76">
        <f>N1411*(1-O1411)</f>
        <v/>
      </c>
      <c r="Q1411" s="162" t="n"/>
      <c r="R1411" s="162">
        <f>IF(ISBLANK(Q1411),"введи курс",P1411/Q1411)</f>
        <v/>
      </c>
      <c r="S1411" s="196">
        <f>IF(AND(ISNUMBER(E1411),ISNUMBER(Q1411)),E1411*R1411,0)</f>
        <v/>
      </c>
      <c r="T1411" s="192">
        <f>$BC1411*V$11</f>
        <v/>
      </c>
      <c r="U1411" s="76">
        <f>$BC1411*W$11</f>
        <v/>
      </c>
      <c r="V1411" s="193">
        <f>+SUM(T1411:U1411)</f>
        <v/>
      </c>
      <c r="W1411" s="191" t="n"/>
      <c r="X1411" s="170" t="n"/>
      <c r="Y1411" s="76">
        <f>ROUND(IF(offer_incoterms="DDP",X1411*(S1411*(1+AW1411)+T1411),0),2)</f>
        <v/>
      </c>
      <c r="Z1411" s="188" t="n"/>
      <c r="AA1411" s="192">
        <f>IFERROR(AB1411/E1411,0)</f>
        <v/>
      </c>
      <c r="AB1411" s="76">
        <f>ROUND(SUM(S1411,V1411,Y1411:Z1411,BA1411:BB1411),2)</f>
        <v/>
      </c>
      <c r="AC1411" s="797" t="n"/>
      <c r="AD1411" s="192">
        <f t="array" ref="AD1411">IFERROR(ROUND((_xlfn.IFS(offer_sale_type="поставка",AB1411,offer_sale_type="транзит",S1411)*(1+AC1411))/E1411,2),0)</f>
        <v/>
      </c>
      <c r="AE1411" s="76">
        <f>AD1411*E1411</f>
        <v/>
      </c>
      <c r="AF1411" s="193">
        <f t="array" ref="AF1411">IFERROR(ROUND(_xlfn.IFS(offer_sale_type="поставка",AB1411,offer_sale_type="транзит",S1411)*AC1411,2),0)</f>
        <v/>
      </c>
      <c r="AG1411" s="192">
        <f>$BD1411*VLOOKUP($AG$3,$AF$4:$AG$7,2,FALSE)</f>
        <v/>
      </c>
      <c r="AH1411" s="76">
        <f>SUM(AE1411,AG1411,AI1411)*rate_forex_risk</f>
        <v/>
      </c>
      <c r="AI1411" s="193">
        <f>IF(OR(seller_region="TR",offer_sale_type="экспорт"),0,rate_fin_comm)*SUM(AZ1411,AZ1411*AW1411,T1411)</f>
        <v/>
      </c>
      <c r="AJ1411" s="118">
        <f>IFERROR(ROUND(SUM(AB1411,AF1411:AI1411)/E1411,2),0)</f>
        <v/>
      </c>
      <c r="AK1411" s="76">
        <f>AJ1411*E1411</f>
        <v/>
      </c>
      <c r="AL1411" s="174">
        <f>ROUND(IFERROR(AM1411*E1411,0),2)</f>
        <v/>
      </c>
      <c r="AM1411" s="175">
        <f>ROUND(AJ1411*(1+IF(offer_incoterms="DDP",IF((TODAY()+offer_turnaround_time)&gt;=helpsheet!$L$17,rate_vatRU_from_26,rate_vatRu_till_25),0)),2)</f>
        <v/>
      </c>
      <c r="AN1411" s="192">
        <f>AL1411-AK1411</f>
        <v/>
      </c>
      <c r="AO1411" s="76">
        <f>SUM(AY1411,Y1411:Z1411,T1411)*IF(AND(offer_incoterms="DDP",offer_sale_type&lt;&gt;"экспорт"),IF((TODAY()+offer_turnaround_time)&gt;=helpsheet!$L$17,rate_vatRU_from_26,rate_vatRu_till_25),0)</f>
        <v/>
      </c>
      <c r="AP1411" s="193">
        <f>AN1411-AO1411</f>
        <v/>
      </c>
      <c r="AQ1411" s="118">
        <f>IF(offer_sale_type="транзит",SUM(AF1411:AI1411,BA1411,BB1411),0)</f>
        <v/>
      </c>
      <c r="AR1411" s="82">
        <f>HYPERLINK("https://www.alta.ru/tnved/code/")&amp;W1411&amp;"/"</f>
        <v/>
      </c>
      <c r="AS1411" s="157" t="n"/>
      <c r="AT1411" s="162" t="n"/>
      <c r="AU1411" s="76">
        <f>IF(ISBLANK(AT1411),0,AJ1411-AT1411)</f>
        <v/>
      </c>
      <c r="AV1411" s="157" t="n"/>
      <c r="AW1411" s="75">
        <f>_xlfn.IFNA(VLOOKUP(L1411,list_vat[],3,FALSE),0)</f>
        <v/>
      </c>
      <c r="AX1411" s="76">
        <f>IFERROR(ROUND(S1411*(1+AW1411)/E1411,2),0)</f>
        <v/>
      </c>
      <c r="AY1411" s="76">
        <f>E1411*AX1411</f>
        <v/>
      </c>
      <c r="AZ1411" s="192">
        <f>S1411*(1+M1411)</f>
        <v/>
      </c>
      <c r="BA1411" s="76">
        <f>cost_fin_total*$BD1411</f>
        <v/>
      </c>
      <c r="BB1411" s="193">
        <f>credit_sales_interest*BD1411</f>
        <v/>
      </c>
      <c r="BC1411" s="102">
        <f>IFERROR(IF($I$13&gt;0,$I1411/$I$13,$S1411/$S$13),0)</f>
        <v/>
      </c>
      <c r="BD1411" s="102">
        <f>IFERROR($S1411/$S$13,0)</f>
        <v/>
      </c>
      <c r="BE1411" s="413" t="inlineStr">
        <is>
          <t>$</t>
        </is>
      </c>
    </row>
    <row r="1412" ht="12" customFormat="1" customHeight="1" s="65">
      <c r="A1412" s="43" t="n">
        <v>1397</v>
      </c>
      <c r="B1412" s="166" t="n"/>
      <c r="C1412" s="166" t="n"/>
      <c r="D1412" s="166" t="n"/>
      <c r="E1412" s="162" t="n"/>
      <c r="F1412" s="166" t="n"/>
      <c r="G1412" s="162" t="n"/>
      <c r="H1412" s="162" t="n"/>
      <c r="I1412" s="189">
        <f>E1412*G1412</f>
        <v/>
      </c>
      <c r="J1412" s="195" t="n"/>
      <c r="K1412" s="162" t="n"/>
      <c r="L1412" s="168" t="n"/>
      <c r="M1412" s="75">
        <f>_xlfn.XLOOKUP(L1412,list_vat[Страна],list_vat[Ставка НДС %],0,0)</f>
        <v/>
      </c>
      <c r="N1412" s="162">
        <f>IFERROR(IF(L1412="Китай",K1412,K1412/(1+M1412)),0)</f>
        <v/>
      </c>
      <c r="O1412" s="169" t="n"/>
      <c r="P1412" s="76">
        <f>N1412*(1-O1412)</f>
        <v/>
      </c>
      <c r="Q1412" s="162" t="n"/>
      <c r="R1412" s="162">
        <f>IF(ISBLANK(Q1412),"введи курс",P1412/Q1412)</f>
        <v/>
      </c>
      <c r="S1412" s="196">
        <f>IF(AND(ISNUMBER(E1412),ISNUMBER(Q1412)),E1412*R1412,0)</f>
        <v/>
      </c>
      <c r="T1412" s="192">
        <f>$BC1412*V$11</f>
        <v/>
      </c>
      <c r="U1412" s="76">
        <f>$BC1412*W$11</f>
        <v/>
      </c>
      <c r="V1412" s="193">
        <f>+SUM(T1412:U1412)</f>
        <v/>
      </c>
      <c r="W1412" s="191" t="n"/>
      <c r="X1412" s="170" t="n"/>
      <c r="Y1412" s="76">
        <f>ROUND(IF(offer_incoterms="DDP",X1412*(S1412*(1+AW1412)+T1412),0),2)</f>
        <v/>
      </c>
      <c r="Z1412" s="188" t="n"/>
      <c r="AA1412" s="192">
        <f>IFERROR(AB1412/E1412,0)</f>
        <v/>
      </c>
      <c r="AB1412" s="76">
        <f>ROUND(SUM(S1412,V1412,Y1412:Z1412,BA1412:BB1412),2)</f>
        <v/>
      </c>
      <c r="AC1412" s="797" t="n"/>
      <c r="AD1412" s="192">
        <f t="array" ref="AD1412">IFERROR(ROUND((_xlfn.IFS(offer_sale_type="поставка",AB1412,offer_sale_type="транзит",S1412)*(1+AC1412))/E1412,2),0)</f>
        <v/>
      </c>
      <c r="AE1412" s="76">
        <f>AD1412*E1412</f>
        <v/>
      </c>
      <c r="AF1412" s="193">
        <f t="array" ref="AF1412">IFERROR(ROUND(_xlfn.IFS(offer_sale_type="поставка",AB1412,offer_sale_type="транзит",S1412)*AC1412,2),0)</f>
        <v/>
      </c>
      <c r="AG1412" s="192">
        <f>$BD1412*VLOOKUP($AG$3,$AF$4:$AG$7,2,FALSE)</f>
        <v/>
      </c>
      <c r="AH1412" s="76">
        <f>SUM(AE1412,AG1412,AI1412)*rate_forex_risk</f>
        <v/>
      </c>
      <c r="AI1412" s="193">
        <f>IF(OR(seller_region="TR",offer_sale_type="экспорт"),0,rate_fin_comm)*SUM(AZ1412,AZ1412*AW1412,T1412)</f>
        <v/>
      </c>
      <c r="AJ1412" s="118">
        <f>IFERROR(ROUND(SUM(AB1412,AF1412:AI1412)/E1412,2),0)</f>
        <v/>
      </c>
      <c r="AK1412" s="76">
        <f>AJ1412*E1412</f>
        <v/>
      </c>
      <c r="AL1412" s="174">
        <f>ROUND(IFERROR(AM1412*E1412,0),2)</f>
        <v/>
      </c>
      <c r="AM1412" s="175">
        <f>ROUND(AJ1412*(1+IF(offer_incoterms="DDP",IF((TODAY()+offer_turnaround_time)&gt;=helpsheet!$L$17,rate_vatRU_from_26,rate_vatRu_till_25),0)),2)</f>
        <v/>
      </c>
      <c r="AN1412" s="192">
        <f>AL1412-AK1412</f>
        <v/>
      </c>
      <c r="AO1412" s="76">
        <f>SUM(AY1412,Y1412:Z1412,T1412)*IF(AND(offer_incoterms="DDP",offer_sale_type&lt;&gt;"экспорт"),IF((TODAY()+offer_turnaround_time)&gt;=helpsheet!$L$17,rate_vatRU_from_26,rate_vatRu_till_25),0)</f>
        <v/>
      </c>
      <c r="AP1412" s="193">
        <f>AN1412-AO1412</f>
        <v/>
      </c>
      <c r="AQ1412" s="118">
        <f>IF(offer_sale_type="транзит",SUM(AF1412:AI1412,BA1412,BB1412),0)</f>
        <v/>
      </c>
      <c r="AR1412" s="82">
        <f>HYPERLINK("https://www.alta.ru/tnved/code/")&amp;W1412&amp;"/"</f>
        <v/>
      </c>
      <c r="AS1412" s="157" t="n"/>
      <c r="AT1412" s="162" t="n"/>
      <c r="AU1412" s="76">
        <f>IF(ISBLANK(AT1412),0,AJ1412-AT1412)</f>
        <v/>
      </c>
      <c r="AV1412" s="157" t="n"/>
      <c r="AW1412" s="75">
        <f>_xlfn.IFNA(VLOOKUP(L1412,list_vat[],3,FALSE),0)</f>
        <v/>
      </c>
      <c r="AX1412" s="76">
        <f>IFERROR(ROUND(S1412*(1+AW1412)/E1412,2),0)</f>
        <v/>
      </c>
      <c r="AY1412" s="76">
        <f>E1412*AX1412</f>
        <v/>
      </c>
      <c r="AZ1412" s="192">
        <f>S1412*(1+M1412)</f>
        <v/>
      </c>
      <c r="BA1412" s="76">
        <f>cost_fin_total*$BD1412</f>
        <v/>
      </c>
      <c r="BB1412" s="193">
        <f>credit_sales_interest*BD1412</f>
        <v/>
      </c>
      <c r="BC1412" s="102">
        <f>IFERROR(IF($I$13&gt;0,$I1412/$I$13,$S1412/$S$13),0)</f>
        <v/>
      </c>
      <c r="BD1412" s="102">
        <f>IFERROR($S1412/$S$13,0)</f>
        <v/>
      </c>
      <c r="BE1412" s="413" t="inlineStr">
        <is>
          <t>$</t>
        </is>
      </c>
    </row>
    <row r="1413" ht="12" customFormat="1" customHeight="1" s="65">
      <c r="A1413" s="43" t="n">
        <v>1398</v>
      </c>
      <c r="B1413" s="166" t="n"/>
      <c r="C1413" s="166" t="n"/>
      <c r="D1413" s="166" t="n"/>
      <c r="E1413" s="162" t="n"/>
      <c r="F1413" s="166" t="n"/>
      <c r="G1413" s="162" t="n"/>
      <c r="H1413" s="162" t="n"/>
      <c r="I1413" s="189">
        <f>E1413*G1413</f>
        <v/>
      </c>
      <c r="J1413" s="195" t="n"/>
      <c r="K1413" s="162" t="n"/>
      <c r="L1413" s="168" t="n"/>
      <c r="M1413" s="75">
        <f>_xlfn.XLOOKUP(L1413,list_vat[Страна],list_vat[Ставка НДС %],0,0)</f>
        <v/>
      </c>
      <c r="N1413" s="162">
        <f>IFERROR(IF(L1413="Китай",K1413,K1413/(1+M1413)),0)</f>
        <v/>
      </c>
      <c r="O1413" s="169" t="n"/>
      <c r="P1413" s="76">
        <f>N1413*(1-O1413)</f>
        <v/>
      </c>
      <c r="Q1413" s="162" t="n"/>
      <c r="R1413" s="162">
        <f>IF(ISBLANK(Q1413),"введи курс",P1413/Q1413)</f>
        <v/>
      </c>
      <c r="S1413" s="196">
        <f>IF(AND(ISNUMBER(E1413),ISNUMBER(Q1413)),E1413*R1413,0)</f>
        <v/>
      </c>
      <c r="T1413" s="192">
        <f>$BC1413*V$11</f>
        <v/>
      </c>
      <c r="U1413" s="76">
        <f>$BC1413*W$11</f>
        <v/>
      </c>
      <c r="V1413" s="193">
        <f>+SUM(T1413:U1413)</f>
        <v/>
      </c>
      <c r="W1413" s="191" t="n"/>
      <c r="X1413" s="170" t="n"/>
      <c r="Y1413" s="76">
        <f>ROUND(IF(offer_incoterms="DDP",X1413*(S1413*(1+AW1413)+T1413),0),2)</f>
        <v/>
      </c>
      <c r="Z1413" s="188" t="n"/>
      <c r="AA1413" s="192">
        <f>IFERROR(AB1413/E1413,0)</f>
        <v/>
      </c>
      <c r="AB1413" s="76">
        <f>ROUND(SUM(S1413,V1413,Y1413:Z1413,BA1413:BB1413),2)</f>
        <v/>
      </c>
      <c r="AC1413" s="797" t="n"/>
      <c r="AD1413" s="192">
        <f t="array" ref="AD1413">IFERROR(ROUND((_xlfn.IFS(offer_sale_type="поставка",AB1413,offer_sale_type="транзит",S1413)*(1+AC1413))/E1413,2),0)</f>
        <v/>
      </c>
      <c r="AE1413" s="76">
        <f>AD1413*E1413</f>
        <v/>
      </c>
      <c r="AF1413" s="193">
        <f t="array" ref="AF1413">IFERROR(ROUND(_xlfn.IFS(offer_sale_type="поставка",AB1413,offer_sale_type="транзит",S1413)*AC1413,2),0)</f>
        <v/>
      </c>
      <c r="AG1413" s="192">
        <f>$BD1413*VLOOKUP($AG$3,$AF$4:$AG$7,2,FALSE)</f>
        <v/>
      </c>
      <c r="AH1413" s="76">
        <f>SUM(AE1413,AG1413,AI1413)*rate_forex_risk</f>
        <v/>
      </c>
      <c r="AI1413" s="193">
        <f>IF(OR(seller_region="TR",offer_sale_type="экспорт"),0,rate_fin_comm)*SUM(AZ1413,AZ1413*AW1413,T1413)</f>
        <v/>
      </c>
      <c r="AJ1413" s="118">
        <f>IFERROR(ROUND(SUM(AB1413,AF1413:AI1413)/E1413,2),0)</f>
        <v/>
      </c>
      <c r="AK1413" s="76">
        <f>AJ1413*E1413</f>
        <v/>
      </c>
      <c r="AL1413" s="174">
        <f>ROUND(IFERROR(AM1413*E1413,0),2)</f>
        <v/>
      </c>
      <c r="AM1413" s="175">
        <f>ROUND(AJ1413*(1+IF(offer_incoterms="DDP",IF((TODAY()+offer_turnaround_time)&gt;=helpsheet!$L$17,rate_vatRU_from_26,rate_vatRu_till_25),0)),2)</f>
        <v/>
      </c>
      <c r="AN1413" s="192">
        <f>AL1413-AK1413</f>
        <v/>
      </c>
      <c r="AO1413" s="76">
        <f>SUM(AY1413,Y1413:Z1413,T1413)*IF(AND(offer_incoterms="DDP",offer_sale_type&lt;&gt;"экспорт"),IF((TODAY()+offer_turnaround_time)&gt;=helpsheet!$L$17,rate_vatRU_from_26,rate_vatRu_till_25),0)</f>
        <v/>
      </c>
      <c r="AP1413" s="193">
        <f>AN1413-AO1413</f>
        <v/>
      </c>
      <c r="AQ1413" s="118">
        <f>IF(offer_sale_type="транзит",SUM(AF1413:AI1413,BA1413,BB1413),0)</f>
        <v/>
      </c>
      <c r="AR1413" s="82">
        <f>HYPERLINK("https://www.alta.ru/tnved/code/")&amp;W1413&amp;"/"</f>
        <v/>
      </c>
      <c r="AS1413" s="157" t="n"/>
      <c r="AT1413" s="162" t="n"/>
      <c r="AU1413" s="76">
        <f>IF(ISBLANK(AT1413),0,AJ1413-AT1413)</f>
        <v/>
      </c>
      <c r="AV1413" s="157" t="n"/>
      <c r="AW1413" s="75">
        <f>_xlfn.IFNA(VLOOKUP(L1413,list_vat[],3,FALSE),0)</f>
        <v/>
      </c>
      <c r="AX1413" s="76">
        <f>IFERROR(ROUND(S1413*(1+AW1413)/E1413,2),0)</f>
        <v/>
      </c>
      <c r="AY1413" s="76">
        <f>E1413*AX1413</f>
        <v/>
      </c>
      <c r="AZ1413" s="192">
        <f>S1413*(1+M1413)</f>
        <v/>
      </c>
      <c r="BA1413" s="76">
        <f>cost_fin_total*$BD1413</f>
        <v/>
      </c>
      <c r="BB1413" s="193">
        <f>credit_sales_interest*BD1413</f>
        <v/>
      </c>
      <c r="BC1413" s="102">
        <f>IFERROR(IF($I$13&gt;0,$I1413/$I$13,$S1413/$S$13),0)</f>
        <v/>
      </c>
      <c r="BD1413" s="102">
        <f>IFERROR($S1413/$S$13,0)</f>
        <v/>
      </c>
      <c r="BE1413" s="413" t="inlineStr">
        <is>
          <t>$</t>
        </is>
      </c>
    </row>
    <row r="1414" ht="12" customFormat="1" customHeight="1" s="65">
      <c r="A1414" s="43" t="n">
        <v>1399</v>
      </c>
      <c r="B1414" s="166" t="n"/>
      <c r="C1414" s="166" t="n"/>
      <c r="D1414" s="166" t="n"/>
      <c r="E1414" s="162" t="n"/>
      <c r="F1414" s="166" t="n"/>
      <c r="G1414" s="162" t="n"/>
      <c r="H1414" s="162" t="n"/>
      <c r="I1414" s="189">
        <f>E1414*G1414</f>
        <v/>
      </c>
      <c r="J1414" s="195" t="n"/>
      <c r="K1414" s="162" t="n"/>
      <c r="L1414" s="168" t="n"/>
      <c r="M1414" s="75">
        <f>_xlfn.XLOOKUP(L1414,list_vat[Страна],list_vat[Ставка НДС %],0,0)</f>
        <v/>
      </c>
      <c r="N1414" s="162">
        <f>IFERROR(IF(L1414="Китай",K1414,K1414/(1+M1414)),0)</f>
        <v/>
      </c>
      <c r="O1414" s="169" t="n"/>
      <c r="P1414" s="76">
        <f>N1414*(1-O1414)</f>
        <v/>
      </c>
      <c r="Q1414" s="162" t="n"/>
      <c r="R1414" s="162">
        <f>IF(ISBLANK(Q1414),"введи курс",P1414/Q1414)</f>
        <v/>
      </c>
      <c r="S1414" s="196">
        <f>IF(AND(ISNUMBER(E1414),ISNUMBER(Q1414)),E1414*R1414,0)</f>
        <v/>
      </c>
      <c r="T1414" s="192">
        <f>$BC1414*V$11</f>
        <v/>
      </c>
      <c r="U1414" s="76">
        <f>$BC1414*W$11</f>
        <v/>
      </c>
      <c r="V1414" s="193">
        <f>+SUM(T1414:U1414)</f>
        <v/>
      </c>
      <c r="W1414" s="191" t="n"/>
      <c r="X1414" s="170" t="n"/>
      <c r="Y1414" s="76">
        <f>ROUND(IF(offer_incoterms="DDP",X1414*(S1414*(1+AW1414)+T1414),0),2)</f>
        <v/>
      </c>
      <c r="Z1414" s="188" t="n"/>
      <c r="AA1414" s="192">
        <f>IFERROR(AB1414/E1414,0)</f>
        <v/>
      </c>
      <c r="AB1414" s="76">
        <f>ROUND(SUM(S1414,V1414,Y1414:Z1414,BA1414:BB1414),2)</f>
        <v/>
      </c>
      <c r="AC1414" s="797" t="n"/>
      <c r="AD1414" s="192">
        <f t="array" ref="AD1414">IFERROR(ROUND((_xlfn.IFS(offer_sale_type="поставка",AB1414,offer_sale_type="транзит",S1414)*(1+AC1414))/E1414,2),0)</f>
        <v/>
      </c>
      <c r="AE1414" s="76">
        <f>AD1414*E1414</f>
        <v/>
      </c>
      <c r="AF1414" s="193">
        <f t="array" ref="AF1414">IFERROR(ROUND(_xlfn.IFS(offer_sale_type="поставка",AB1414,offer_sale_type="транзит",S1414)*AC1414,2),0)</f>
        <v/>
      </c>
      <c r="AG1414" s="192">
        <f>$BD1414*VLOOKUP($AG$3,$AF$4:$AG$7,2,FALSE)</f>
        <v/>
      </c>
      <c r="AH1414" s="76">
        <f>SUM(AE1414,AG1414,AI1414)*rate_forex_risk</f>
        <v/>
      </c>
      <c r="AI1414" s="193">
        <f>IF(OR(seller_region="TR",offer_sale_type="экспорт"),0,rate_fin_comm)*SUM(AZ1414,AZ1414*AW1414,T1414)</f>
        <v/>
      </c>
      <c r="AJ1414" s="118">
        <f>IFERROR(ROUND(SUM(AB1414,AF1414:AI1414)/E1414,2),0)</f>
        <v/>
      </c>
      <c r="AK1414" s="76">
        <f>AJ1414*E1414</f>
        <v/>
      </c>
      <c r="AL1414" s="174">
        <f>ROUND(IFERROR(AM1414*E1414,0),2)</f>
        <v/>
      </c>
      <c r="AM1414" s="175">
        <f>ROUND(AJ1414*(1+IF(offer_incoterms="DDP",IF((TODAY()+offer_turnaround_time)&gt;=helpsheet!$L$17,rate_vatRU_from_26,rate_vatRu_till_25),0)),2)</f>
        <v/>
      </c>
      <c r="AN1414" s="192">
        <f>AL1414-AK1414</f>
        <v/>
      </c>
      <c r="AO1414" s="76">
        <f>SUM(AY1414,Y1414:Z1414,T1414)*IF(AND(offer_incoterms="DDP",offer_sale_type&lt;&gt;"экспорт"),IF((TODAY()+offer_turnaround_time)&gt;=helpsheet!$L$17,rate_vatRU_from_26,rate_vatRu_till_25),0)</f>
        <v/>
      </c>
      <c r="AP1414" s="193">
        <f>AN1414-AO1414</f>
        <v/>
      </c>
      <c r="AQ1414" s="118">
        <f>IF(offer_sale_type="транзит",SUM(AF1414:AI1414,BA1414,BB1414),0)</f>
        <v/>
      </c>
      <c r="AR1414" s="82">
        <f>HYPERLINK("https://www.alta.ru/tnved/code/")&amp;W1414&amp;"/"</f>
        <v/>
      </c>
      <c r="AS1414" s="157" t="n"/>
      <c r="AT1414" s="162" t="n"/>
      <c r="AU1414" s="76">
        <f>IF(ISBLANK(AT1414),0,AJ1414-AT1414)</f>
        <v/>
      </c>
      <c r="AV1414" s="157" t="n"/>
      <c r="AW1414" s="75">
        <f>_xlfn.IFNA(VLOOKUP(L1414,list_vat[],3,FALSE),0)</f>
        <v/>
      </c>
      <c r="AX1414" s="76">
        <f>IFERROR(ROUND(S1414*(1+AW1414)/E1414,2),0)</f>
        <v/>
      </c>
      <c r="AY1414" s="76">
        <f>E1414*AX1414</f>
        <v/>
      </c>
      <c r="AZ1414" s="192">
        <f>S1414*(1+M1414)</f>
        <v/>
      </c>
      <c r="BA1414" s="76">
        <f>cost_fin_total*$BD1414</f>
        <v/>
      </c>
      <c r="BB1414" s="193">
        <f>credit_sales_interest*BD1414</f>
        <v/>
      </c>
      <c r="BC1414" s="102">
        <f>IFERROR(IF($I$13&gt;0,$I1414/$I$13,$S1414/$S$13),0)</f>
        <v/>
      </c>
      <c r="BD1414" s="102">
        <f>IFERROR($S1414/$S$13,0)</f>
        <v/>
      </c>
      <c r="BE1414" s="413" t="inlineStr">
        <is>
          <t>$</t>
        </is>
      </c>
    </row>
    <row r="1415" ht="12" customFormat="1" customHeight="1" s="65">
      <c r="A1415" s="43" t="n">
        <v>1400</v>
      </c>
      <c r="B1415" s="166" t="n"/>
      <c r="C1415" s="166" t="n"/>
      <c r="D1415" s="166" t="n"/>
      <c r="E1415" s="162" t="n"/>
      <c r="F1415" s="166" t="n"/>
      <c r="G1415" s="162" t="n"/>
      <c r="H1415" s="162" t="n"/>
      <c r="I1415" s="189">
        <f>E1415*G1415</f>
        <v/>
      </c>
      <c r="J1415" s="195" t="n"/>
      <c r="K1415" s="162" t="n"/>
      <c r="L1415" s="168" t="n"/>
      <c r="M1415" s="75">
        <f>_xlfn.XLOOKUP(L1415,list_vat[Страна],list_vat[Ставка НДС %],0,0)</f>
        <v/>
      </c>
      <c r="N1415" s="162">
        <f>IFERROR(IF(L1415="Китай",K1415,K1415/(1+M1415)),0)</f>
        <v/>
      </c>
      <c r="O1415" s="169" t="n"/>
      <c r="P1415" s="76">
        <f>N1415*(1-O1415)</f>
        <v/>
      </c>
      <c r="Q1415" s="162" t="n"/>
      <c r="R1415" s="162">
        <f>IF(ISBLANK(Q1415),"введи курс",P1415/Q1415)</f>
        <v/>
      </c>
      <c r="S1415" s="196">
        <f>IF(AND(ISNUMBER(E1415),ISNUMBER(Q1415)),E1415*R1415,0)</f>
        <v/>
      </c>
      <c r="T1415" s="192">
        <f>$BC1415*V$11</f>
        <v/>
      </c>
      <c r="U1415" s="76">
        <f>$BC1415*W$11</f>
        <v/>
      </c>
      <c r="V1415" s="193">
        <f>+SUM(T1415:U1415)</f>
        <v/>
      </c>
      <c r="W1415" s="191" t="n"/>
      <c r="X1415" s="170" t="n"/>
      <c r="Y1415" s="76">
        <f>ROUND(IF(offer_incoterms="DDP",X1415*(S1415*(1+AW1415)+T1415),0),2)</f>
        <v/>
      </c>
      <c r="Z1415" s="188" t="n"/>
      <c r="AA1415" s="192">
        <f>IFERROR(AB1415/E1415,0)</f>
        <v/>
      </c>
      <c r="AB1415" s="76">
        <f>ROUND(SUM(S1415,V1415,Y1415:Z1415,BA1415:BB1415),2)</f>
        <v/>
      </c>
      <c r="AC1415" s="797" t="n"/>
      <c r="AD1415" s="192">
        <f t="array" ref="AD1415">IFERROR(ROUND((_xlfn.IFS(offer_sale_type="поставка",AB1415,offer_sale_type="транзит",S1415)*(1+AC1415))/E1415,2),0)</f>
        <v/>
      </c>
      <c r="AE1415" s="76">
        <f>AD1415*E1415</f>
        <v/>
      </c>
      <c r="AF1415" s="193">
        <f t="array" ref="AF1415">IFERROR(ROUND(_xlfn.IFS(offer_sale_type="поставка",AB1415,offer_sale_type="транзит",S1415)*AC1415,2),0)</f>
        <v/>
      </c>
      <c r="AG1415" s="192">
        <f>$BD1415*VLOOKUP($AG$3,$AF$4:$AG$7,2,FALSE)</f>
        <v/>
      </c>
      <c r="AH1415" s="76">
        <f>SUM(AE1415,AG1415,AI1415)*rate_forex_risk</f>
        <v/>
      </c>
      <c r="AI1415" s="193">
        <f>IF(OR(seller_region="TR",offer_sale_type="экспорт"),0,rate_fin_comm)*SUM(AZ1415,AZ1415*AW1415,T1415)</f>
        <v/>
      </c>
      <c r="AJ1415" s="118">
        <f>IFERROR(ROUND(SUM(AB1415,AF1415:AI1415)/E1415,2),0)</f>
        <v/>
      </c>
      <c r="AK1415" s="76">
        <f>AJ1415*E1415</f>
        <v/>
      </c>
      <c r="AL1415" s="174">
        <f>ROUND(IFERROR(AM1415*E1415,0),2)</f>
        <v/>
      </c>
      <c r="AM1415" s="175">
        <f>ROUND(AJ1415*(1+IF(offer_incoterms="DDP",IF((TODAY()+offer_turnaround_time)&gt;=helpsheet!$L$17,rate_vatRU_from_26,rate_vatRu_till_25),0)),2)</f>
        <v/>
      </c>
      <c r="AN1415" s="192">
        <f>AL1415-AK1415</f>
        <v/>
      </c>
      <c r="AO1415" s="76">
        <f>SUM(AY1415,Y1415:Z1415,T1415)*IF(AND(offer_incoterms="DDP",offer_sale_type&lt;&gt;"экспорт"),IF((TODAY()+offer_turnaround_time)&gt;=helpsheet!$L$17,rate_vatRU_from_26,rate_vatRu_till_25),0)</f>
        <v/>
      </c>
      <c r="AP1415" s="193">
        <f>AN1415-AO1415</f>
        <v/>
      </c>
      <c r="AQ1415" s="118">
        <f>IF(offer_sale_type="транзит",SUM(AF1415:AI1415,BA1415,BB1415),0)</f>
        <v/>
      </c>
      <c r="AR1415" s="82">
        <f>HYPERLINK("https://www.alta.ru/tnved/code/")&amp;W1415&amp;"/"</f>
        <v/>
      </c>
      <c r="AS1415" s="157" t="n"/>
      <c r="AT1415" s="162" t="n"/>
      <c r="AU1415" s="76">
        <f>IF(ISBLANK(AT1415),0,AJ1415-AT1415)</f>
        <v/>
      </c>
      <c r="AV1415" s="157" t="n"/>
      <c r="AW1415" s="75">
        <f>_xlfn.IFNA(VLOOKUP(L1415,list_vat[],3,FALSE),0)</f>
        <v/>
      </c>
      <c r="AX1415" s="76">
        <f>IFERROR(ROUND(S1415*(1+AW1415)/E1415,2),0)</f>
        <v/>
      </c>
      <c r="AY1415" s="76">
        <f>E1415*AX1415</f>
        <v/>
      </c>
      <c r="AZ1415" s="192">
        <f>S1415*(1+M1415)</f>
        <v/>
      </c>
      <c r="BA1415" s="76">
        <f>cost_fin_total*$BD1415</f>
        <v/>
      </c>
      <c r="BB1415" s="193">
        <f>credit_sales_interest*BD1415</f>
        <v/>
      </c>
      <c r="BC1415" s="102">
        <f>IFERROR(IF($I$13&gt;0,$I1415/$I$13,$S1415/$S$13),0)</f>
        <v/>
      </c>
      <c r="BD1415" s="102">
        <f>IFERROR($S1415/$S$13,0)</f>
        <v/>
      </c>
      <c r="BE1415" s="413" t="inlineStr">
        <is>
          <t>$</t>
        </is>
      </c>
    </row>
    <row r="1416" ht="12" customFormat="1" customHeight="1" s="65">
      <c r="A1416" s="43" t="n">
        <v>1401</v>
      </c>
      <c r="B1416" s="166" t="n"/>
      <c r="C1416" s="166" t="n"/>
      <c r="D1416" s="166" t="n"/>
      <c r="E1416" s="162" t="n"/>
      <c r="F1416" s="166" t="n"/>
      <c r="G1416" s="162" t="n"/>
      <c r="H1416" s="162" t="n"/>
      <c r="I1416" s="189">
        <f>E1416*G1416</f>
        <v/>
      </c>
      <c r="J1416" s="195" t="n"/>
      <c r="K1416" s="162" t="n"/>
      <c r="L1416" s="168" t="n"/>
      <c r="M1416" s="75">
        <f>_xlfn.XLOOKUP(L1416,list_vat[Страна],list_vat[Ставка НДС %],0,0)</f>
        <v/>
      </c>
      <c r="N1416" s="162">
        <f>IFERROR(IF(L1416="Китай",K1416,K1416/(1+M1416)),0)</f>
        <v/>
      </c>
      <c r="O1416" s="169" t="n"/>
      <c r="P1416" s="76">
        <f>N1416*(1-O1416)</f>
        <v/>
      </c>
      <c r="Q1416" s="162" t="n"/>
      <c r="R1416" s="162">
        <f>IF(ISBLANK(Q1416),"введи курс",P1416/Q1416)</f>
        <v/>
      </c>
      <c r="S1416" s="196">
        <f>IF(AND(ISNUMBER(E1416),ISNUMBER(Q1416)),E1416*R1416,0)</f>
        <v/>
      </c>
      <c r="T1416" s="192">
        <f>$BC1416*V$11</f>
        <v/>
      </c>
      <c r="U1416" s="76">
        <f>$BC1416*W$11</f>
        <v/>
      </c>
      <c r="V1416" s="193">
        <f>+SUM(T1416:U1416)</f>
        <v/>
      </c>
      <c r="W1416" s="191" t="n"/>
      <c r="X1416" s="170" t="n"/>
      <c r="Y1416" s="76">
        <f>ROUND(IF(offer_incoterms="DDP",X1416*(S1416*(1+AW1416)+T1416),0),2)</f>
        <v/>
      </c>
      <c r="Z1416" s="188" t="n"/>
      <c r="AA1416" s="192">
        <f>IFERROR(AB1416/E1416,0)</f>
        <v/>
      </c>
      <c r="AB1416" s="76">
        <f>ROUND(SUM(S1416,V1416,Y1416:Z1416,BA1416:BB1416),2)</f>
        <v/>
      </c>
      <c r="AC1416" s="797" t="n"/>
      <c r="AD1416" s="192">
        <f t="array" ref="AD1416">IFERROR(ROUND((_xlfn.IFS(offer_sale_type="поставка",AB1416,offer_sale_type="транзит",S1416)*(1+AC1416))/E1416,2),0)</f>
        <v/>
      </c>
      <c r="AE1416" s="76">
        <f>AD1416*E1416</f>
        <v/>
      </c>
      <c r="AF1416" s="193">
        <f t="array" ref="AF1416">IFERROR(ROUND(_xlfn.IFS(offer_sale_type="поставка",AB1416,offer_sale_type="транзит",S1416)*AC1416,2),0)</f>
        <v/>
      </c>
      <c r="AG1416" s="192">
        <f>$BD1416*VLOOKUP($AG$3,$AF$4:$AG$7,2,FALSE)</f>
        <v/>
      </c>
      <c r="AH1416" s="76">
        <f>SUM(AE1416,AG1416,AI1416)*rate_forex_risk</f>
        <v/>
      </c>
      <c r="AI1416" s="193">
        <f>IF(OR(seller_region="TR",offer_sale_type="экспорт"),0,rate_fin_comm)*SUM(AZ1416,AZ1416*AW1416,T1416)</f>
        <v/>
      </c>
      <c r="AJ1416" s="118">
        <f>IFERROR(ROUND(SUM(AB1416,AF1416:AI1416)/E1416,2),0)</f>
        <v/>
      </c>
      <c r="AK1416" s="76">
        <f>AJ1416*E1416</f>
        <v/>
      </c>
      <c r="AL1416" s="174">
        <f>ROUND(IFERROR(AM1416*E1416,0),2)</f>
        <v/>
      </c>
      <c r="AM1416" s="175">
        <f>ROUND(AJ1416*(1+IF(offer_incoterms="DDP",IF((TODAY()+offer_turnaround_time)&gt;=helpsheet!$L$17,rate_vatRU_from_26,rate_vatRu_till_25),0)),2)</f>
        <v/>
      </c>
      <c r="AN1416" s="192">
        <f>AL1416-AK1416</f>
        <v/>
      </c>
      <c r="AO1416" s="76">
        <f>SUM(AY1416,Y1416:Z1416,T1416)*IF(AND(offer_incoterms="DDP",offer_sale_type&lt;&gt;"экспорт"),IF((TODAY()+offer_turnaround_time)&gt;=helpsheet!$L$17,rate_vatRU_from_26,rate_vatRu_till_25),0)</f>
        <v/>
      </c>
      <c r="AP1416" s="193">
        <f>AN1416-AO1416</f>
        <v/>
      </c>
      <c r="AQ1416" s="118">
        <f>IF(offer_sale_type="транзит",SUM(AF1416:AI1416,BA1416,BB1416),0)</f>
        <v/>
      </c>
      <c r="AR1416" s="82">
        <f>HYPERLINK("https://www.alta.ru/tnved/code/")&amp;W1416&amp;"/"</f>
        <v/>
      </c>
      <c r="AS1416" s="157" t="n"/>
      <c r="AT1416" s="162" t="n"/>
      <c r="AU1416" s="76">
        <f>IF(ISBLANK(AT1416),0,AJ1416-AT1416)</f>
        <v/>
      </c>
      <c r="AV1416" s="157" t="n"/>
      <c r="AW1416" s="75">
        <f>_xlfn.IFNA(VLOOKUP(L1416,list_vat[],3,FALSE),0)</f>
        <v/>
      </c>
      <c r="AX1416" s="76">
        <f>IFERROR(ROUND(S1416*(1+AW1416)/E1416,2),0)</f>
        <v/>
      </c>
      <c r="AY1416" s="76">
        <f>E1416*AX1416</f>
        <v/>
      </c>
      <c r="AZ1416" s="192">
        <f>S1416*(1+M1416)</f>
        <v/>
      </c>
      <c r="BA1416" s="76">
        <f>cost_fin_total*$BD1416</f>
        <v/>
      </c>
      <c r="BB1416" s="193">
        <f>credit_sales_interest*BD1416</f>
        <v/>
      </c>
      <c r="BC1416" s="102">
        <f>IFERROR(IF($I$13&gt;0,$I1416/$I$13,$S1416/$S$13),0)</f>
        <v/>
      </c>
      <c r="BD1416" s="102">
        <f>IFERROR($S1416/$S$13,0)</f>
        <v/>
      </c>
      <c r="BE1416" s="413" t="inlineStr">
        <is>
          <t>$</t>
        </is>
      </c>
    </row>
    <row r="1417" ht="12" customFormat="1" customHeight="1" s="65">
      <c r="A1417" s="43" t="n">
        <v>1402</v>
      </c>
      <c r="B1417" s="166" t="n"/>
      <c r="C1417" s="166" t="n"/>
      <c r="D1417" s="166" t="n"/>
      <c r="E1417" s="162" t="n"/>
      <c r="F1417" s="166" t="n"/>
      <c r="G1417" s="162" t="n"/>
      <c r="H1417" s="162" t="n"/>
      <c r="I1417" s="189">
        <f>E1417*G1417</f>
        <v/>
      </c>
      <c r="J1417" s="195" t="n"/>
      <c r="K1417" s="162" t="n"/>
      <c r="L1417" s="168" t="n"/>
      <c r="M1417" s="75">
        <f>_xlfn.XLOOKUP(L1417,list_vat[Страна],list_vat[Ставка НДС %],0,0)</f>
        <v/>
      </c>
      <c r="N1417" s="162">
        <f>IFERROR(IF(L1417="Китай",K1417,K1417/(1+M1417)),0)</f>
        <v/>
      </c>
      <c r="O1417" s="169" t="n"/>
      <c r="P1417" s="76">
        <f>N1417*(1-O1417)</f>
        <v/>
      </c>
      <c r="Q1417" s="162" t="n"/>
      <c r="R1417" s="162">
        <f>IF(ISBLANK(Q1417),"введи курс",P1417/Q1417)</f>
        <v/>
      </c>
      <c r="S1417" s="196">
        <f>IF(AND(ISNUMBER(E1417),ISNUMBER(Q1417)),E1417*R1417,0)</f>
        <v/>
      </c>
      <c r="T1417" s="192">
        <f>$BC1417*V$11</f>
        <v/>
      </c>
      <c r="U1417" s="76">
        <f>$BC1417*W$11</f>
        <v/>
      </c>
      <c r="V1417" s="193">
        <f>+SUM(T1417:U1417)</f>
        <v/>
      </c>
      <c r="W1417" s="191" t="n"/>
      <c r="X1417" s="170" t="n"/>
      <c r="Y1417" s="76">
        <f>ROUND(IF(offer_incoterms="DDP",X1417*(S1417*(1+AW1417)+T1417),0),2)</f>
        <v/>
      </c>
      <c r="Z1417" s="188" t="n"/>
      <c r="AA1417" s="192">
        <f>IFERROR(AB1417/E1417,0)</f>
        <v/>
      </c>
      <c r="AB1417" s="76">
        <f>ROUND(SUM(S1417,V1417,Y1417:Z1417,BA1417:BB1417),2)</f>
        <v/>
      </c>
      <c r="AC1417" s="797" t="n"/>
      <c r="AD1417" s="192">
        <f t="array" ref="AD1417">IFERROR(ROUND((_xlfn.IFS(offer_sale_type="поставка",AB1417,offer_sale_type="транзит",S1417)*(1+AC1417))/E1417,2),0)</f>
        <v/>
      </c>
      <c r="AE1417" s="76">
        <f>AD1417*E1417</f>
        <v/>
      </c>
      <c r="AF1417" s="193">
        <f t="array" ref="AF1417">IFERROR(ROUND(_xlfn.IFS(offer_sale_type="поставка",AB1417,offer_sale_type="транзит",S1417)*AC1417,2),0)</f>
        <v/>
      </c>
      <c r="AG1417" s="192">
        <f>$BD1417*VLOOKUP($AG$3,$AF$4:$AG$7,2,FALSE)</f>
        <v/>
      </c>
      <c r="AH1417" s="76">
        <f>SUM(AE1417,AG1417,AI1417)*rate_forex_risk</f>
        <v/>
      </c>
      <c r="AI1417" s="193">
        <f>IF(OR(seller_region="TR",offer_sale_type="экспорт"),0,rate_fin_comm)*SUM(AZ1417,AZ1417*AW1417,T1417)</f>
        <v/>
      </c>
      <c r="AJ1417" s="118">
        <f>IFERROR(ROUND(SUM(AB1417,AF1417:AI1417)/E1417,2),0)</f>
        <v/>
      </c>
      <c r="AK1417" s="76">
        <f>AJ1417*E1417</f>
        <v/>
      </c>
      <c r="AL1417" s="174">
        <f>ROUND(IFERROR(AM1417*E1417,0),2)</f>
        <v/>
      </c>
      <c r="AM1417" s="175">
        <f>ROUND(AJ1417*(1+IF(offer_incoterms="DDP",IF((TODAY()+offer_turnaround_time)&gt;=helpsheet!$L$17,rate_vatRU_from_26,rate_vatRu_till_25),0)),2)</f>
        <v/>
      </c>
      <c r="AN1417" s="192">
        <f>AL1417-AK1417</f>
        <v/>
      </c>
      <c r="AO1417" s="76">
        <f>SUM(AY1417,Y1417:Z1417,T1417)*IF(AND(offer_incoterms="DDP",offer_sale_type&lt;&gt;"экспорт"),IF((TODAY()+offer_turnaround_time)&gt;=helpsheet!$L$17,rate_vatRU_from_26,rate_vatRu_till_25),0)</f>
        <v/>
      </c>
      <c r="AP1417" s="193">
        <f>AN1417-AO1417</f>
        <v/>
      </c>
      <c r="AQ1417" s="118">
        <f>IF(offer_sale_type="транзит",SUM(AF1417:AI1417,BA1417,BB1417),0)</f>
        <v/>
      </c>
      <c r="AR1417" s="82">
        <f>HYPERLINK("https://www.alta.ru/tnved/code/")&amp;W1417&amp;"/"</f>
        <v/>
      </c>
      <c r="AS1417" s="157" t="n"/>
      <c r="AT1417" s="162" t="n"/>
      <c r="AU1417" s="76">
        <f>IF(ISBLANK(AT1417),0,AJ1417-AT1417)</f>
        <v/>
      </c>
      <c r="AV1417" s="157" t="n"/>
      <c r="AW1417" s="75">
        <f>_xlfn.IFNA(VLOOKUP(L1417,list_vat[],3,FALSE),0)</f>
        <v/>
      </c>
      <c r="AX1417" s="76">
        <f>IFERROR(ROUND(S1417*(1+AW1417)/E1417,2),0)</f>
        <v/>
      </c>
      <c r="AY1417" s="76">
        <f>E1417*AX1417</f>
        <v/>
      </c>
      <c r="AZ1417" s="192">
        <f>S1417*(1+M1417)</f>
        <v/>
      </c>
      <c r="BA1417" s="76">
        <f>cost_fin_total*$BD1417</f>
        <v/>
      </c>
      <c r="BB1417" s="193">
        <f>credit_sales_interest*BD1417</f>
        <v/>
      </c>
      <c r="BC1417" s="102">
        <f>IFERROR(IF($I$13&gt;0,$I1417/$I$13,$S1417/$S$13),0)</f>
        <v/>
      </c>
      <c r="BD1417" s="102">
        <f>IFERROR($S1417/$S$13,0)</f>
        <v/>
      </c>
      <c r="BE1417" s="413" t="inlineStr">
        <is>
          <t>$</t>
        </is>
      </c>
    </row>
    <row r="1418" ht="12" customFormat="1" customHeight="1" s="65">
      <c r="A1418" s="43" t="n">
        <v>1403</v>
      </c>
      <c r="B1418" s="166" t="n"/>
      <c r="C1418" s="166" t="n"/>
      <c r="D1418" s="166" t="n"/>
      <c r="E1418" s="162" t="n"/>
      <c r="F1418" s="166" t="n"/>
      <c r="G1418" s="162" t="n"/>
      <c r="H1418" s="162" t="n"/>
      <c r="I1418" s="189">
        <f>E1418*G1418</f>
        <v/>
      </c>
      <c r="J1418" s="195" t="n"/>
      <c r="K1418" s="162" t="n"/>
      <c r="L1418" s="168" t="n"/>
      <c r="M1418" s="75">
        <f>_xlfn.XLOOKUP(L1418,list_vat[Страна],list_vat[Ставка НДС %],0,0)</f>
        <v/>
      </c>
      <c r="N1418" s="162">
        <f>IFERROR(IF(L1418="Китай",K1418,K1418/(1+M1418)),0)</f>
        <v/>
      </c>
      <c r="O1418" s="169" t="n"/>
      <c r="P1418" s="76">
        <f>N1418*(1-O1418)</f>
        <v/>
      </c>
      <c r="Q1418" s="162" t="n"/>
      <c r="R1418" s="162">
        <f>IF(ISBLANK(Q1418),"введи курс",P1418/Q1418)</f>
        <v/>
      </c>
      <c r="S1418" s="196">
        <f>IF(AND(ISNUMBER(E1418),ISNUMBER(Q1418)),E1418*R1418,0)</f>
        <v/>
      </c>
      <c r="T1418" s="192">
        <f>$BC1418*V$11</f>
        <v/>
      </c>
      <c r="U1418" s="76">
        <f>$BC1418*W$11</f>
        <v/>
      </c>
      <c r="V1418" s="193">
        <f>+SUM(T1418:U1418)</f>
        <v/>
      </c>
      <c r="W1418" s="191" t="n"/>
      <c r="X1418" s="170" t="n"/>
      <c r="Y1418" s="76">
        <f>ROUND(IF(offer_incoterms="DDP",X1418*(S1418*(1+AW1418)+T1418),0),2)</f>
        <v/>
      </c>
      <c r="Z1418" s="188" t="n"/>
      <c r="AA1418" s="192">
        <f>IFERROR(AB1418/E1418,0)</f>
        <v/>
      </c>
      <c r="AB1418" s="76">
        <f>ROUND(SUM(S1418,V1418,Y1418:Z1418,BA1418:BB1418),2)</f>
        <v/>
      </c>
      <c r="AC1418" s="797" t="n"/>
      <c r="AD1418" s="192">
        <f t="array" ref="AD1418">IFERROR(ROUND((_xlfn.IFS(offer_sale_type="поставка",AB1418,offer_sale_type="транзит",S1418)*(1+AC1418))/E1418,2),0)</f>
        <v/>
      </c>
      <c r="AE1418" s="76">
        <f>AD1418*E1418</f>
        <v/>
      </c>
      <c r="AF1418" s="193">
        <f t="array" ref="AF1418">IFERROR(ROUND(_xlfn.IFS(offer_sale_type="поставка",AB1418,offer_sale_type="транзит",S1418)*AC1418,2),0)</f>
        <v/>
      </c>
      <c r="AG1418" s="192">
        <f>$BD1418*VLOOKUP($AG$3,$AF$4:$AG$7,2,FALSE)</f>
        <v/>
      </c>
      <c r="AH1418" s="76">
        <f>SUM(AE1418,AG1418,AI1418)*rate_forex_risk</f>
        <v/>
      </c>
      <c r="AI1418" s="193">
        <f>IF(OR(seller_region="TR",offer_sale_type="экспорт"),0,rate_fin_comm)*SUM(AZ1418,AZ1418*AW1418,T1418)</f>
        <v/>
      </c>
      <c r="AJ1418" s="118">
        <f>IFERROR(ROUND(SUM(AB1418,AF1418:AI1418)/E1418,2),0)</f>
        <v/>
      </c>
      <c r="AK1418" s="76">
        <f>AJ1418*E1418</f>
        <v/>
      </c>
      <c r="AL1418" s="174">
        <f>ROUND(IFERROR(AM1418*E1418,0),2)</f>
        <v/>
      </c>
      <c r="AM1418" s="175">
        <f>ROUND(AJ1418*(1+IF(offer_incoterms="DDP",IF((TODAY()+offer_turnaround_time)&gt;=helpsheet!$L$17,rate_vatRU_from_26,rate_vatRu_till_25),0)),2)</f>
        <v/>
      </c>
      <c r="AN1418" s="192">
        <f>AL1418-AK1418</f>
        <v/>
      </c>
      <c r="AO1418" s="76">
        <f>SUM(AY1418,Y1418:Z1418,T1418)*IF(AND(offer_incoterms="DDP",offer_sale_type&lt;&gt;"экспорт"),IF((TODAY()+offer_turnaround_time)&gt;=helpsheet!$L$17,rate_vatRU_from_26,rate_vatRu_till_25),0)</f>
        <v/>
      </c>
      <c r="AP1418" s="193">
        <f>AN1418-AO1418</f>
        <v/>
      </c>
      <c r="AQ1418" s="118">
        <f>IF(offer_sale_type="транзит",SUM(AF1418:AI1418,BA1418,BB1418),0)</f>
        <v/>
      </c>
      <c r="AR1418" s="82">
        <f>HYPERLINK("https://www.alta.ru/tnved/code/")&amp;W1418&amp;"/"</f>
        <v/>
      </c>
      <c r="AS1418" s="157" t="n"/>
      <c r="AT1418" s="162" t="n"/>
      <c r="AU1418" s="76">
        <f>IF(ISBLANK(AT1418),0,AJ1418-AT1418)</f>
        <v/>
      </c>
      <c r="AV1418" s="157" t="n"/>
      <c r="AW1418" s="75">
        <f>_xlfn.IFNA(VLOOKUP(L1418,list_vat[],3,FALSE),0)</f>
        <v/>
      </c>
      <c r="AX1418" s="76">
        <f>IFERROR(ROUND(S1418*(1+AW1418)/E1418,2),0)</f>
        <v/>
      </c>
      <c r="AY1418" s="76">
        <f>E1418*AX1418</f>
        <v/>
      </c>
      <c r="AZ1418" s="192">
        <f>S1418*(1+M1418)</f>
        <v/>
      </c>
      <c r="BA1418" s="76">
        <f>cost_fin_total*$BD1418</f>
        <v/>
      </c>
      <c r="BB1418" s="193">
        <f>credit_sales_interest*BD1418</f>
        <v/>
      </c>
      <c r="BC1418" s="102">
        <f>IFERROR(IF($I$13&gt;0,$I1418/$I$13,$S1418/$S$13),0)</f>
        <v/>
      </c>
      <c r="BD1418" s="102">
        <f>IFERROR($S1418/$S$13,0)</f>
        <v/>
      </c>
      <c r="BE1418" s="413" t="inlineStr">
        <is>
          <t>$</t>
        </is>
      </c>
    </row>
    <row r="1419" ht="12" customFormat="1" customHeight="1" s="65">
      <c r="A1419" s="43" t="n">
        <v>1404</v>
      </c>
      <c r="B1419" s="166" t="n"/>
      <c r="C1419" s="166" t="n"/>
      <c r="D1419" s="166" t="n"/>
      <c r="E1419" s="162" t="n"/>
      <c r="F1419" s="166" t="n"/>
      <c r="G1419" s="162" t="n"/>
      <c r="H1419" s="162" t="n"/>
      <c r="I1419" s="189">
        <f>E1419*G1419</f>
        <v/>
      </c>
      <c r="J1419" s="195" t="n"/>
      <c r="K1419" s="162" t="n"/>
      <c r="L1419" s="168" t="n"/>
      <c r="M1419" s="75">
        <f>_xlfn.XLOOKUP(L1419,list_vat[Страна],list_vat[Ставка НДС %],0,0)</f>
        <v/>
      </c>
      <c r="N1419" s="162">
        <f>IFERROR(IF(L1419="Китай",K1419,K1419/(1+M1419)),0)</f>
        <v/>
      </c>
      <c r="O1419" s="169" t="n"/>
      <c r="P1419" s="76">
        <f>N1419*(1-O1419)</f>
        <v/>
      </c>
      <c r="Q1419" s="162" t="n"/>
      <c r="R1419" s="162">
        <f>IF(ISBLANK(Q1419),"введи курс",P1419/Q1419)</f>
        <v/>
      </c>
      <c r="S1419" s="196">
        <f>IF(AND(ISNUMBER(E1419),ISNUMBER(Q1419)),E1419*R1419,0)</f>
        <v/>
      </c>
      <c r="T1419" s="192">
        <f>$BC1419*V$11</f>
        <v/>
      </c>
      <c r="U1419" s="76">
        <f>$BC1419*W$11</f>
        <v/>
      </c>
      <c r="V1419" s="193">
        <f>+SUM(T1419:U1419)</f>
        <v/>
      </c>
      <c r="W1419" s="191" t="n"/>
      <c r="X1419" s="170" t="n"/>
      <c r="Y1419" s="76">
        <f>ROUND(IF(offer_incoterms="DDP",X1419*(S1419*(1+AW1419)+T1419),0),2)</f>
        <v/>
      </c>
      <c r="Z1419" s="188" t="n"/>
      <c r="AA1419" s="192">
        <f>IFERROR(AB1419/E1419,0)</f>
        <v/>
      </c>
      <c r="AB1419" s="76">
        <f>ROUND(SUM(S1419,V1419,Y1419:Z1419,BA1419:BB1419),2)</f>
        <v/>
      </c>
      <c r="AC1419" s="797" t="n"/>
      <c r="AD1419" s="192">
        <f t="array" ref="AD1419">IFERROR(ROUND((_xlfn.IFS(offer_sale_type="поставка",AB1419,offer_sale_type="транзит",S1419)*(1+AC1419))/E1419,2),0)</f>
        <v/>
      </c>
      <c r="AE1419" s="76">
        <f>AD1419*E1419</f>
        <v/>
      </c>
      <c r="AF1419" s="193">
        <f t="array" ref="AF1419">IFERROR(ROUND(_xlfn.IFS(offer_sale_type="поставка",AB1419,offer_sale_type="транзит",S1419)*AC1419,2),0)</f>
        <v/>
      </c>
      <c r="AG1419" s="192">
        <f>$BD1419*VLOOKUP($AG$3,$AF$4:$AG$7,2,FALSE)</f>
        <v/>
      </c>
      <c r="AH1419" s="76">
        <f>SUM(AE1419,AG1419,AI1419)*rate_forex_risk</f>
        <v/>
      </c>
      <c r="AI1419" s="193">
        <f>IF(OR(seller_region="TR",offer_sale_type="экспорт"),0,rate_fin_comm)*SUM(AZ1419,AZ1419*AW1419,T1419)</f>
        <v/>
      </c>
      <c r="AJ1419" s="118">
        <f>IFERROR(ROUND(SUM(AB1419,AF1419:AI1419)/E1419,2),0)</f>
        <v/>
      </c>
      <c r="AK1419" s="76">
        <f>AJ1419*E1419</f>
        <v/>
      </c>
      <c r="AL1419" s="174">
        <f>ROUND(IFERROR(AM1419*E1419,0),2)</f>
        <v/>
      </c>
      <c r="AM1419" s="175">
        <f>ROUND(AJ1419*(1+IF(offer_incoterms="DDP",IF((TODAY()+offer_turnaround_time)&gt;=helpsheet!$L$17,rate_vatRU_from_26,rate_vatRu_till_25),0)),2)</f>
        <v/>
      </c>
      <c r="AN1419" s="192">
        <f>AL1419-AK1419</f>
        <v/>
      </c>
      <c r="AO1419" s="76">
        <f>SUM(AY1419,Y1419:Z1419,T1419)*IF(AND(offer_incoterms="DDP",offer_sale_type&lt;&gt;"экспорт"),IF((TODAY()+offer_turnaround_time)&gt;=helpsheet!$L$17,rate_vatRU_from_26,rate_vatRu_till_25),0)</f>
        <v/>
      </c>
      <c r="AP1419" s="193">
        <f>AN1419-AO1419</f>
        <v/>
      </c>
      <c r="AQ1419" s="118">
        <f>IF(offer_sale_type="транзит",SUM(AF1419:AI1419,BA1419,BB1419),0)</f>
        <v/>
      </c>
      <c r="AR1419" s="82">
        <f>HYPERLINK("https://www.alta.ru/tnved/code/")&amp;W1419&amp;"/"</f>
        <v/>
      </c>
      <c r="AS1419" s="157" t="n"/>
      <c r="AT1419" s="162" t="n"/>
      <c r="AU1419" s="76">
        <f>IF(ISBLANK(AT1419),0,AJ1419-AT1419)</f>
        <v/>
      </c>
      <c r="AV1419" s="157" t="n"/>
      <c r="AW1419" s="75">
        <f>_xlfn.IFNA(VLOOKUP(L1419,list_vat[],3,FALSE),0)</f>
        <v/>
      </c>
      <c r="AX1419" s="76">
        <f>IFERROR(ROUND(S1419*(1+AW1419)/E1419,2),0)</f>
        <v/>
      </c>
      <c r="AY1419" s="76">
        <f>E1419*AX1419</f>
        <v/>
      </c>
      <c r="AZ1419" s="192">
        <f>S1419*(1+M1419)</f>
        <v/>
      </c>
      <c r="BA1419" s="76">
        <f>cost_fin_total*$BD1419</f>
        <v/>
      </c>
      <c r="BB1419" s="193">
        <f>credit_sales_interest*BD1419</f>
        <v/>
      </c>
      <c r="BC1419" s="102">
        <f>IFERROR(IF($I$13&gt;0,$I1419/$I$13,$S1419/$S$13),0)</f>
        <v/>
      </c>
      <c r="BD1419" s="102">
        <f>IFERROR($S1419/$S$13,0)</f>
        <v/>
      </c>
      <c r="BE1419" s="413" t="inlineStr">
        <is>
          <t>$</t>
        </is>
      </c>
    </row>
    <row r="1420" ht="12" customFormat="1" customHeight="1" s="65">
      <c r="A1420" s="43" t="n">
        <v>1405</v>
      </c>
      <c r="B1420" s="166" t="n"/>
      <c r="C1420" s="166" t="n"/>
      <c r="D1420" s="166" t="n"/>
      <c r="E1420" s="162" t="n"/>
      <c r="F1420" s="166" t="n"/>
      <c r="G1420" s="162" t="n"/>
      <c r="H1420" s="162" t="n"/>
      <c r="I1420" s="189">
        <f>E1420*G1420</f>
        <v/>
      </c>
      <c r="J1420" s="195" t="n"/>
      <c r="K1420" s="162" t="n"/>
      <c r="L1420" s="168" t="n"/>
      <c r="M1420" s="75">
        <f>_xlfn.XLOOKUP(L1420,list_vat[Страна],list_vat[Ставка НДС %],0,0)</f>
        <v/>
      </c>
      <c r="N1420" s="162">
        <f>IFERROR(IF(L1420="Китай",K1420,K1420/(1+M1420)),0)</f>
        <v/>
      </c>
      <c r="O1420" s="169" t="n"/>
      <c r="P1420" s="76">
        <f>N1420*(1-O1420)</f>
        <v/>
      </c>
      <c r="Q1420" s="162" t="n"/>
      <c r="R1420" s="162">
        <f>IF(ISBLANK(Q1420),"введи курс",P1420/Q1420)</f>
        <v/>
      </c>
      <c r="S1420" s="196">
        <f>IF(AND(ISNUMBER(E1420),ISNUMBER(Q1420)),E1420*R1420,0)</f>
        <v/>
      </c>
      <c r="T1420" s="192">
        <f>$BC1420*V$11</f>
        <v/>
      </c>
      <c r="U1420" s="76">
        <f>$BC1420*W$11</f>
        <v/>
      </c>
      <c r="V1420" s="193">
        <f>+SUM(T1420:U1420)</f>
        <v/>
      </c>
      <c r="W1420" s="191" t="n"/>
      <c r="X1420" s="170" t="n"/>
      <c r="Y1420" s="76">
        <f>ROUND(IF(offer_incoterms="DDP",X1420*(S1420*(1+AW1420)+T1420),0),2)</f>
        <v/>
      </c>
      <c r="Z1420" s="188" t="n"/>
      <c r="AA1420" s="192">
        <f>IFERROR(AB1420/E1420,0)</f>
        <v/>
      </c>
      <c r="AB1420" s="76">
        <f>ROUND(SUM(S1420,V1420,Y1420:Z1420,BA1420:BB1420),2)</f>
        <v/>
      </c>
      <c r="AC1420" s="797" t="n"/>
      <c r="AD1420" s="192">
        <f t="array" ref="AD1420">IFERROR(ROUND((_xlfn.IFS(offer_sale_type="поставка",AB1420,offer_sale_type="транзит",S1420)*(1+AC1420))/E1420,2),0)</f>
        <v/>
      </c>
      <c r="AE1420" s="76">
        <f>AD1420*E1420</f>
        <v/>
      </c>
      <c r="AF1420" s="193">
        <f t="array" ref="AF1420">IFERROR(ROUND(_xlfn.IFS(offer_sale_type="поставка",AB1420,offer_sale_type="транзит",S1420)*AC1420,2),0)</f>
        <v/>
      </c>
      <c r="AG1420" s="192">
        <f>$BD1420*VLOOKUP($AG$3,$AF$4:$AG$7,2,FALSE)</f>
        <v/>
      </c>
      <c r="AH1420" s="76">
        <f>SUM(AE1420,AG1420,AI1420)*rate_forex_risk</f>
        <v/>
      </c>
      <c r="AI1420" s="193">
        <f>IF(OR(seller_region="TR",offer_sale_type="экспорт"),0,rate_fin_comm)*SUM(AZ1420,AZ1420*AW1420,T1420)</f>
        <v/>
      </c>
      <c r="AJ1420" s="118">
        <f>IFERROR(ROUND(SUM(AB1420,AF1420:AI1420)/E1420,2),0)</f>
        <v/>
      </c>
      <c r="AK1420" s="76">
        <f>AJ1420*E1420</f>
        <v/>
      </c>
      <c r="AL1420" s="174">
        <f>ROUND(IFERROR(AM1420*E1420,0),2)</f>
        <v/>
      </c>
      <c r="AM1420" s="175">
        <f>ROUND(AJ1420*(1+IF(offer_incoterms="DDP",IF((TODAY()+offer_turnaround_time)&gt;=helpsheet!$L$17,rate_vatRU_from_26,rate_vatRu_till_25),0)),2)</f>
        <v/>
      </c>
      <c r="AN1420" s="192">
        <f>AL1420-AK1420</f>
        <v/>
      </c>
      <c r="AO1420" s="76">
        <f>SUM(AY1420,Y1420:Z1420,T1420)*IF(AND(offer_incoterms="DDP",offer_sale_type&lt;&gt;"экспорт"),IF((TODAY()+offer_turnaround_time)&gt;=helpsheet!$L$17,rate_vatRU_from_26,rate_vatRu_till_25),0)</f>
        <v/>
      </c>
      <c r="AP1420" s="193">
        <f>AN1420-AO1420</f>
        <v/>
      </c>
      <c r="AQ1420" s="118">
        <f>IF(offer_sale_type="транзит",SUM(AF1420:AI1420,BA1420,BB1420),0)</f>
        <v/>
      </c>
      <c r="AR1420" s="82">
        <f>HYPERLINK("https://www.alta.ru/tnved/code/")&amp;W1420&amp;"/"</f>
        <v/>
      </c>
      <c r="AS1420" s="157" t="n"/>
      <c r="AT1420" s="162" t="n"/>
      <c r="AU1420" s="76">
        <f>IF(ISBLANK(AT1420),0,AJ1420-AT1420)</f>
        <v/>
      </c>
      <c r="AV1420" s="157" t="n"/>
      <c r="AW1420" s="75">
        <f>_xlfn.IFNA(VLOOKUP(L1420,list_vat[],3,FALSE),0)</f>
        <v/>
      </c>
      <c r="AX1420" s="76">
        <f>IFERROR(ROUND(S1420*(1+AW1420)/E1420,2),0)</f>
        <v/>
      </c>
      <c r="AY1420" s="76">
        <f>E1420*AX1420</f>
        <v/>
      </c>
      <c r="AZ1420" s="192">
        <f>S1420*(1+M1420)</f>
        <v/>
      </c>
      <c r="BA1420" s="76">
        <f>cost_fin_total*$BD1420</f>
        <v/>
      </c>
      <c r="BB1420" s="193">
        <f>credit_sales_interest*BD1420</f>
        <v/>
      </c>
      <c r="BC1420" s="102">
        <f>IFERROR(IF($I$13&gt;0,$I1420/$I$13,$S1420/$S$13),0)</f>
        <v/>
      </c>
      <c r="BD1420" s="102">
        <f>IFERROR($S1420/$S$13,0)</f>
        <v/>
      </c>
      <c r="BE1420" s="413" t="inlineStr">
        <is>
          <t>$</t>
        </is>
      </c>
    </row>
    <row r="1421" ht="12" customFormat="1" customHeight="1" s="65">
      <c r="A1421" s="43" t="n">
        <v>1406</v>
      </c>
      <c r="B1421" s="166" t="n"/>
      <c r="C1421" s="166" t="n"/>
      <c r="D1421" s="166" t="n"/>
      <c r="E1421" s="162" t="n"/>
      <c r="F1421" s="166" t="n"/>
      <c r="G1421" s="162" t="n"/>
      <c r="H1421" s="162" t="n"/>
      <c r="I1421" s="189">
        <f>E1421*G1421</f>
        <v/>
      </c>
      <c r="J1421" s="195" t="n"/>
      <c r="K1421" s="162" t="n"/>
      <c r="L1421" s="168" t="n"/>
      <c r="M1421" s="75">
        <f>_xlfn.XLOOKUP(L1421,list_vat[Страна],list_vat[Ставка НДС %],0,0)</f>
        <v/>
      </c>
      <c r="N1421" s="162">
        <f>IFERROR(IF(L1421="Китай",K1421,K1421/(1+M1421)),0)</f>
        <v/>
      </c>
      <c r="O1421" s="169" t="n"/>
      <c r="P1421" s="76">
        <f>N1421*(1-O1421)</f>
        <v/>
      </c>
      <c r="Q1421" s="162" t="n"/>
      <c r="R1421" s="162">
        <f>IF(ISBLANK(Q1421),"введи курс",P1421/Q1421)</f>
        <v/>
      </c>
      <c r="S1421" s="196">
        <f>IF(AND(ISNUMBER(E1421),ISNUMBER(Q1421)),E1421*R1421,0)</f>
        <v/>
      </c>
      <c r="T1421" s="192">
        <f>$BC1421*V$11</f>
        <v/>
      </c>
      <c r="U1421" s="76">
        <f>$BC1421*W$11</f>
        <v/>
      </c>
      <c r="V1421" s="193">
        <f>+SUM(T1421:U1421)</f>
        <v/>
      </c>
      <c r="W1421" s="191" t="n"/>
      <c r="X1421" s="170" t="n"/>
      <c r="Y1421" s="76">
        <f>ROUND(IF(offer_incoterms="DDP",X1421*(S1421*(1+AW1421)+T1421),0),2)</f>
        <v/>
      </c>
      <c r="Z1421" s="188" t="n"/>
      <c r="AA1421" s="192">
        <f>IFERROR(AB1421/E1421,0)</f>
        <v/>
      </c>
      <c r="AB1421" s="76">
        <f>ROUND(SUM(S1421,V1421,Y1421:Z1421,BA1421:BB1421),2)</f>
        <v/>
      </c>
      <c r="AC1421" s="797" t="n"/>
      <c r="AD1421" s="192">
        <f t="array" ref="AD1421">IFERROR(ROUND((_xlfn.IFS(offer_sale_type="поставка",AB1421,offer_sale_type="транзит",S1421)*(1+AC1421))/E1421,2),0)</f>
        <v/>
      </c>
      <c r="AE1421" s="76">
        <f>AD1421*E1421</f>
        <v/>
      </c>
      <c r="AF1421" s="193">
        <f t="array" ref="AF1421">IFERROR(ROUND(_xlfn.IFS(offer_sale_type="поставка",AB1421,offer_sale_type="транзит",S1421)*AC1421,2),0)</f>
        <v/>
      </c>
      <c r="AG1421" s="192">
        <f>$BD1421*VLOOKUP($AG$3,$AF$4:$AG$7,2,FALSE)</f>
        <v/>
      </c>
      <c r="AH1421" s="76">
        <f>SUM(AE1421,AG1421,AI1421)*rate_forex_risk</f>
        <v/>
      </c>
      <c r="AI1421" s="193">
        <f>IF(OR(seller_region="TR",offer_sale_type="экспорт"),0,rate_fin_comm)*SUM(AZ1421,AZ1421*AW1421,T1421)</f>
        <v/>
      </c>
      <c r="AJ1421" s="118">
        <f>IFERROR(ROUND(SUM(AB1421,AF1421:AI1421)/E1421,2),0)</f>
        <v/>
      </c>
      <c r="AK1421" s="76">
        <f>AJ1421*E1421</f>
        <v/>
      </c>
      <c r="AL1421" s="174">
        <f>ROUND(IFERROR(AM1421*E1421,0),2)</f>
        <v/>
      </c>
      <c r="AM1421" s="175">
        <f>ROUND(AJ1421*(1+IF(offer_incoterms="DDP",IF((TODAY()+offer_turnaround_time)&gt;=helpsheet!$L$17,rate_vatRU_from_26,rate_vatRu_till_25),0)),2)</f>
        <v/>
      </c>
      <c r="AN1421" s="192">
        <f>AL1421-AK1421</f>
        <v/>
      </c>
      <c r="AO1421" s="76">
        <f>SUM(AY1421,Y1421:Z1421,T1421)*IF(AND(offer_incoterms="DDP",offer_sale_type&lt;&gt;"экспорт"),IF((TODAY()+offer_turnaround_time)&gt;=helpsheet!$L$17,rate_vatRU_from_26,rate_vatRu_till_25),0)</f>
        <v/>
      </c>
      <c r="AP1421" s="193">
        <f>AN1421-AO1421</f>
        <v/>
      </c>
      <c r="AQ1421" s="118">
        <f>IF(offer_sale_type="транзит",SUM(AF1421:AI1421,BA1421,BB1421),0)</f>
        <v/>
      </c>
      <c r="AR1421" s="82">
        <f>HYPERLINK("https://www.alta.ru/tnved/code/")&amp;W1421&amp;"/"</f>
        <v/>
      </c>
      <c r="AS1421" s="157" t="n"/>
      <c r="AT1421" s="162" t="n"/>
      <c r="AU1421" s="76">
        <f>IF(ISBLANK(AT1421),0,AJ1421-AT1421)</f>
        <v/>
      </c>
      <c r="AV1421" s="157" t="n"/>
      <c r="AW1421" s="75">
        <f>_xlfn.IFNA(VLOOKUP(L1421,list_vat[],3,FALSE),0)</f>
        <v/>
      </c>
      <c r="AX1421" s="76">
        <f>IFERROR(ROUND(S1421*(1+AW1421)/E1421,2),0)</f>
        <v/>
      </c>
      <c r="AY1421" s="76">
        <f>E1421*AX1421</f>
        <v/>
      </c>
      <c r="AZ1421" s="192">
        <f>S1421*(1+M1421)</f>
        <v/>
      </c>
      <c r="BA1421" s="76">
        <f>cost_fin_total*$BD1421</f>
        <v/>
      </c>
      <c r="BB1421" s="193">
        <f>credit_sales_interest*BD1421</f>
        <v/>
      </c>
      <c r="BC1421" s="102">
        <f>IFERROR(IF($I$13&gt;0,$I1421/$I$13,$S1421/$S$13),0)</f>
        <v/>
      </c>
      <c r="BD1421" s="102">
        <f>IFERROR($S1421/$S$13,0)</f>
        <v/>
      </c>
      <c r="BE1421" s="413" t="inlineStr">
        <is>
          <t>$</t>
        </is>
      </c>
    </row>
    <row r="1422" ht="12" customFormat="1" customHeight="1" s="65">
      <c r="A1422" s="43" t="n">
        <v>1407</v>
      </c>
      <c r="B1422" s="166" t="n"/>
      <c r="C1422" s="166" t="n"/>
      <c r="D1422" s="166" t="n"/>
      <c r="E1422" s="162" t="n"/>
      <c r="F1422" s="166" t="n"/>
      <c r="G1422" s="162" t="n"/>
      <c r="H1422" s="162" t="n"/>
      <c r="I1422" s="189">
        <f>E1422*G1422</f>
        <v/>
      </c>
      <c r="J1422" s="195" t="n"/>
      <c r="K1422" s="162" t="n"/>
      <c r="L1422" s="168" t="n"/>
      <c r="M1422" s="75">
        <f>_xlfn.XLOOKUP(L1422,list_vat[Страна],list_vat[Ставка НДС %],0,0)</f>
        <v/>
      </c>
      <c r="N1422" s="162">
        <f>IFERROR(IF(L1422="Китай",K1422,K1422/(1+M1422)),0)</f>
        <v/>
      </c>
      <c r="O1422" s="169" t="n"/>
      <c r="P1422" s="76">
        <f>N1422*(1-O1422)</f>
        <v/>
      </c>
      <c r="Q1422" s="162" t="n"/>
      <c r="R1422" s="162">
        <f>IF(ISBLANK(Q1422),"введи курс",P1422/Q1422)</f>
        <v/>
      </c>
      <c r="S1422" s="196">
        <f>IF(AND(ISNUMBER(E1422),ISNUMBER(Q1422)),E1422*R1422,0)</f>
        <v/>
      </c>
      <c r="T1422" s="192">
        <f>$BC1422*V$11</f>
        <v/>
      </c>
      <c r="U1422" s="76">
        <f>$BC1422*W$11</f>
        <v/>
      </c>
      <c r="V1422" s="193">
        <f>+SUM(T1422:U1422)</f>
        <v/>
      </c>
      <c r="W1422" s="191" t="n"/>
      <c r="X1422" s="170" t="n"/>
      <c r="Y1422" s="76">
        <f>ROUND(IF(offer_incoterms="DDP",X1422*(S1422*(1+AW1422)+T1422),0),2)</f>
        <v/>
      </c>
      <c r="Z1422" s="188" t="n"/>
      <c r="AA1422" s="192">
        <f>IFERROR(AB1422/E1422,0)</f>
        <v/>
      </c>
      <c r="AB1422" s="76">
        <f>ROUND(SUM(S1422,V1422,Y1422:Z1422,BA1422:BB1422),2)</f>
        <v/>
      </c>
      <c r="AC1422" s="797" t="n"/>
      <c r="AD1422" s="192">
        <f t="array" ref="AD1422">IFERROR(ROUND((_xlfn.IFS(offer_sale_type="поставка",AB1422,offer_sale_type="транзит",S1422)*(1+AC1422))/E1422,2),0)</f>
        <v/>
      </c>
      <c r="AE1422" s="76">
        <f>AD1422*E1422</f>
        <v/>
      </c>
      <c r="AF1422" s="193">
        <f t="array" ref="AF1422">IFERROR(ROUND(_xlfn.IFS(offer_sale_type="поставка",AB1422,offer_sale_type="транзит",S1422)*AC1422,2),0)</f>
        <v/>
      </c>
      <c r="AG1422" s="192">
        <f>$BD1422*VLOOKUP($AG$3,$AF$4:$AG$7,2,FALSE)</f>
        <v/>
      </c>
      <c r="AH1422" s="76">
        <f>SUM(AE1422,AG1422,AI1422)*rate_forex_risk</f>
        <v/>
      </c>
      <c r="AI1422" s="193">
        <f>IF(OR(seller_region="TR",offer_sale_type="экспорт"),0,rate_fin_comm)*SUM(AZ1422,AZ1422*AW1422,T1422)</f>
        <v/>
      </c>
      <c r="AJ1422" s="118">
        <f>IFERROR(ROUND(SUM(AB1422,AF1422:AI1422)/E1422,2),0)</f>
        <v/>
      </c>
      <c r="AK1422" s="76">
        <f>AJ1422*E1422</f>
        <v/>
      </c>
      <c r="AL1422" s="174">
        <f>ROUND(IFERROR(AM1422*E1422,0),2)</f>
        <v/>
      </c>
      <c r="AM1422" s="175">
        <f>ROUND(AJ1422*(1+IF(offer_incoterms="DDP",IF((TODAY()+offer_turnaround_time)&gt;=helpsheet!$L$17,rate_vatRU_from_26,rate_vatRu_till_25),0)),2)</f>
        <v/>
      </c>
      <c r="AN1422" s="192">
        <f>AL1422-AK1422</f>
        <v/>
      </c>
      <c r="AO1422" s="76">
        <f>SUM(AY1422,Y1422:Z1422,T1422)*IF(AND(offer_incoterms="DDP",offer_sale_type&lt;&gt;"экспорт"),IF((TODAY()+offer_turnaround_time)&gt;=helpsheet!$L$17,rate_vatRU_from_26,rate_vatRu_till_25),0)</f>
        <v/>
      </c>
      <c r="AP1422" s="193">
        <f>AN1422-AO1422</f>
        <v/>
      </c>
      <c r="AQ1422" s="118">
        <f>IF(offer_sale_type="транзит",SUM(AF1422:AI1422,BA1422,BB1422),0)</f>
        <v/>
      </c>
      <c r="AR1422" s="82">
        <f>HYPERLINK("https://www.alta.ru/tnved/code/")&amp;W1422&amp;"/"</f>
        <v/>
      </c>
      <c r="AS1422" s="157" t="n"/>
      <c r="AT1422" s="162" t="n"/>
      <c r="AU1422" s="76">
        <f>IF(ISBLANK(AT1422),0,AJ1422-AT1422)</f>
        <v/>
      </c>
      <c r="AV1422" s="157" t="n"/>
      <c r="AW1422" s="75">
        <f>_xlfn.IFNA(VLOOKUP(L1422,list_vat[],3,FALSE),0)</f>
        <v/>
      </c>
      <c r="AX1422" s="76">
        <f>IFERROR(ROUND(S1422*(1+AW1422)/E1422,2),0)</f>
        <v/>
      </c>
      <c r="AY1422" s="76">
        <f>E1422*AX1422</f>
        <v/>
      </c>
      <c r="AZ1422" s="192">
        <f>S1422*(1+M1422)</f>
        <v/>
      </c>
      <c r="BA1422" s="76">
        <f>cost_fin_total*$BD1422</f>
        <v/>
      </c>
      <c r="BB1422" s="193">
        <f>credit_sales_interest*BD1422</f>
        <v/>
      </c>
      <c r="BC1422" s="102">
        <f>IFERROR(IF($I$13&gt;0,$I1422/$I$13,$S1422/$S$13),0)</f>
        <v/>
      </c>
      <c r="BD1422" s="102">
        <f>IFERROR($S1422/$S$13,0)</f>
        <v/>
      </c>
      <c r="BE1422" s="413" t="inlineStr">
        <is>
          <t>$</t>
        </is>
      </c>
    </row>
    <row r="1423" ht="12" customFormat="1" customHeight="1" s="65">
      <c r="A1423" s="43" t="n">
        <v>1408</v>
      </c>
      <c r="B1423" s="166" t="n"/>
      <c r="C1423" s="166" t="n"/>
      <c r="D1423" s="166" t="n"/>
      <c r="E1423" s="162" t="n"/>
      <c r="F1423" s="166" t="n"/>
      <c r="G1423" s="162" t="n"/>
      <c r="H1423" s="162" t="n"/>
      <c r="I1423" s="189">
        <f>E1423*G1423</f>
        <v/>
      </c>
      <c r="J1423" s="195" t="n"/>
      <c r="K1423" s="162" t="n"/>
      <c r="L1423" s="168" t="n"/>
      <c r="M1423" s="75">
        <f>_xlfn.XLOOKUP(L1423,list_vat[Страна],list_vat[Ставка НДС %],0,0)</f>
        <v/>
      </c>
      <c r="N1423" s="162">
        <f>IFERROR(IF(L1423="Китай",K1423,K1423/(1+M1423)),0)</f>
        <v/>
      </c>
      <c r="O1423" s="169" t="n"/>
      <c r="P1423" s="76">
        <f>N1423*(1-O1423)</f>
        <v/>
      </c>
      <c r="Q1423" s="162" t="n"/>
      <c r="R1423" s="162">
        <f>IF(ISBLANK(Q1423),"введи курс",P1423/Q1423)</f>
        <v/>
      </c>
      <c r="S1423" s="196">
        <f>IF(AND(ISNUMBER(E1423),ISNUMBER(Q1423)),E1423*R1423,0)</f>
        <v/>
      </c>
      <c r="T1423" s="192">
        <f>$BC1423*V$11</f>
        <v/>
      </c>
      <c r="U1423" s="76">
        <f>$BC1423*W$11</f>
        <v/>
      </c>
      <c r="V1423" s="193">
        <f>+SUM(T1423:U1423)</f>
        <v/>
      </c>
      <c r="W1423" s="191" t="n"/>
      <c r="X1423" s="170" t="n"/>
      <c r="Y1423" s="76">
        <f>ROUND(IF(offer_incoterms="DDP",X1423*(S1423*(1+AW1423)+T1423),0),2)</f>
        <v/>
      </c>
      <c r="Z1423" s="188" t="n"/>
      <c r="AA1423" s="192">
        <f>IFERROR(AB1423/E1423,0)</f>
        <v/>
      </c>
      <c r="AB1423" s="76">
        <f>ROUND(SUM(S1423,V1423,Y1423:Z1423,BA1423:BB1423),2)</f>
        <v/>
      </c>
      <c r="AC1423" s="797" t="n"/>
      <c r="AD1423" s="192">
        <f t="array" ref="AD1423">IFERROR(ROUND((_xlfn.IFS(offer_sale_type="поставка",AB1423,offer_sale_type="транзит",S1423)*(1+AC1423))/E1423,2),0)</f>
        <v/>
      </c>
      <c r="AE1423" s="76">
        <f>AD1423*E1423</f>
        <v/>
      </c>
      <c r="AF1423" s="193">
        <f t="array" ref="AF1423">IFERROR(ROUND(_xlfn.IFS(offer_sale_type="поставка",AB1423,offer_sale_type="транзит",S1423)*AC1423,2),0)</f>
        <v/>
      </c>
      <c r="AG1423" s="192">
        <f>$BD1423*VLOOKUP($AG$3,$AF$4:$AG$7,2,FALSE)</f>
        <v/>
      </c>
      <c r="AH1423" s="76">
        <f>SUM(AE1423,AG1423,AI1423)*rate_forex_risk</f>
        <v/>
      </c>
      <c r="AI1423" s="193">
        <f>IF(OR(seller_region="TR",offer_sale_type="экспорт"),0,rate_fin_comm)*SUM(AZ1423,AZ1423*AW1423,T1423)</f>
        <v/>
      </c>
      <c r="AJ1423" s="118">
        <f>IFERROR(ROUND(SUM(AB1423,AF1423:AI1423)/E1423,2),0)</f>
        <v/>
      </c>
      <c r="AK1423" s="76">
        <f>AJ1423*E1423</f>
        <v/>
      </c>
      <c r="AL1423" s="174">
        <f>ROUND(IFERROR(AM1423*E1423,0),2)</f>
        <v/>
      </c>
      <c r="AM1423" s="175">
        <f>ROUND(AJ1423*(1+IF(offer_incoterms="DDP",IF((TODAY()+offer_turnaround_time)&gt;=helpsheet!$L$17,rate_vatRU_from_26,rate_vatRu_till_25),0)),2)</f>
        <v/>
      </c>
      <c r="AN1423" s="192">
        <f>AL1423-AK1423</f>
        <v/>
      </c>
      <c r="AO1423" s="76">
        <f>SUM(AY1423,Y1423:Z1423,T1423)*IF(AND(offer_incoterms="DDP",offer_sale_type&lt;&gt;"экспорт"),IF((TODAY()+offer_turnaround_time)&gt;=helpsheet!$L$17,rate_vatRU_from_26,rate_vatRu_till_25),0)</f>
        <v/>
      </c>
      <c r="AP1423" s="193">
        <f>AN1423-AO1423</f>
        <v/>
      </c>
      <c r="AQ1423" s="118">
        <f>IF(offer_sale_type="транзит",SUM(AF1423:AI1423,BA1423,BB1423),0)</f>
        <v/>
      </c>
      <c r="AR1423" s="82">
        <f>HYPERLINK("https://www.alta.ru/tnved/code/")&amp;W1423&amp;"/"</f>
        <v/>
      </c>
      <c r="AS1423" s="157" t="n"/>
      <c r="AT1423" s="162" t="n"/>
      <c r="AU1423" s="76">
        <f>IF(ISBLANK(AT1423),0,AJ1423-AT1423)</f>
        <v/>
      </c>
      <c r="AV1423" s="157" t="n"/>
      <c r="AW1423" s="75">
        <f>_xlfn.IFNA(VLOOKUP(L1423,list_vat[],3,FALSE),0)</f>
        <v/>
      </c>
      <c r="AX1423" s="76">
        <f>IFERROR(ROUND(S1423*(1+AW1423)/E1423,2),0)</f>
        <v/>
      </c>
      <c r="AY1423" s="76">
        <f>E1423*AX1423</f>
        <v/>
      </c>
      <c r="AZ1423" s="192">
        <f>S1423*(1+M1423)</f>
        <v/>
      </c>
      <c r="BA1423" s="76">
        <f>cost_fin_total*$BD1423</f>
        <v/>
      </c>
      <c r="BB1423" s="193">
        <f>credit_sales_interest*BD1423</f>
        <v/>
      </c>
      <c r="BC1423" s="102">
        <f>IFERROR(IF($I$13&gt;0,$I1423/$I$13,$S1423/$S$13),0)</f>
        <v/>
      </c>
      <c r="BD1423" s="102">
        <f>IFERROR($S1423/$S$13,0)</f>
        <v/>
      </c>
      <c r="BE1423" s="413" t="inlineStr">
        <is>
          <t>$</t>
        </is>
      </c>
    </row>
    <row r="1424" ht="12" customFormat="1" customHeight="1" s="65">
      <c r="A1424" s="43" t="n">
        <v>1409</v>
      </c>
      <c r="B1424" s="166" t="n"/>
      <c r="C1424" s="166" t="n"/>
      <c r="D1424" s="166" t="n"/>
      <c r="E1424" s="162" t="n"/>
      <c r="F1424" s="166" t="n"/>
      <c r="G1424" s="162" t="n"/>
      <c r="H1424" s="162" t="n"/>
      <c r="I1424" s="189">
        <f>E1424*G1424</f>
        <v/>
      </c>
      <c r="J1424" s="195" t="n"/>
      <c r="K1424" s="162" t="n"/>
      <c r="L1424" s="168" t="n"/>
      <c r="M1424" s="75">
        <f>_xlfn.XLOOKUP(L1424,list_vat[Страна],list_vat[Ставка НДС %],0,0)</f>
        <v/>
      </c>
      <c r="N1424" s="162">
        <f>IFERROR(IF(L1424="Китай",K1424,K1424/(1+M1424)),0)</f>
        <v/>
      </c>
      <c r="O1424" s="169" t="n"/>
      <c r="P1424" s="76">
        <f>N1424*(1-O1424)</f>
        <v/>
      </c>
      <c r="Q1424" s="162" t="n"/>
      <c r="R1424" s="162">
        <f>IF(ISBLANK(Q1424),"введи курс",P1424/Q1424)</f>
        <v/>
      </c>
      <c r="S1424" s="196">
        <f>IF(AND(ISNUMBER(E1424),ISNUMBER(Q1424)),E1424*R1424,0)</f>
        <v/>
      </c>
      <c r="T1424" s="192">
        <f>$BC1424*V$11</f>
        <v/>
      </c>
      <c r="U1424" s="76">
        <f>$BC1424*W$11</f>
        <v/>
      </c>
      <c r="V1424" s="193">
        <f>+SUM(T1424:U1424)</f>
        <v/>
      </c>
      <c r="W1424" s="191" t="n"/>
      <c r="X1424" s="170" t="n"/>
      <c r="Y1424" s="76">
        <f>ROUND(IF(offer_incoterms="DDP",X1424*(S1424*(1+AW1424)+T1424),0),2)</f>
        <v/>
      </c>
      <c r="Z1424" s="188" t="n"/>
      <c r="AA1424" s="192">
        <f>IFERROR(AB1424/E1424,0)</f>
        <v/>
      </c>
      <c r="AB1424" s="76">
        <f>ROUND(SUM(S1424,V1424,Y1424:Z1424,BA1424:BB1424),2)</f>
        <v/>
      </c>
      <c r="AC1424" s="797" t="n"/>
      <c r="AD1424" s="192">
        <f t="array" ref="AD1424">IFERROR(ROUND((_xlfn.IFS(offer_sale_type="поставка",AB1424,offer_sale_type="транзит",S1424)*(1+AC1424))/E1424,2),0)</f>
        <v/>
      </c>
      <c r="AE1424" s="76">
        <f>AD1424*E1424</f>
        <v/>
      </c>
      <c r="AF1424" s="193">
        <f t="array" ref="AF1424">IFERROR(ROUND(_xlfn.IFS(offer_sale_type="поставка",AB1424,offer_sale_type="транзит",S1424)*AC1424,2),0)</f>
        <v/>
      </c>
      <c r="AG1424" s="192">
        <f>$BD1424*VLOOKUP($AG$3,$AF$4:$AG$7,2,FALSE)</f>
        <v/>
      </c>
      <c r="AH1424" s="76">
        <f>SUM(AE1424,AG1424,AI1424)*rate_forex_risk</f>
        <v/>
      </c>
      <c r="AI1424" s="193">
        <f>IF(OR(seller_region="TR",offer_sale_type="экспорт"),0,rate_fin_comm)*SUM(AZ1424,AZ1424*AW1424,T1424)</f>
        <v/>
      </c>
      <c r="AJ1424" s="118">
        <f>IFERROR(ROUND(SUM(AB1424,AF1424:AI1424)/E1424,2),0)</f>
        <v/>
      </c>
      <c r="AK1424" s="76">
        <f>AJ1424*E1424</f>
        <v/>
      </c>
      <c r="AL1424" s="174">
        <f>ROUND(IFERROR(AM1424*E1424,0),2)</f>
        <v/>
      </c>
      <c r="AM1424" s="175">
        <f>ROUND(AJ1424*(1+IF(offer_incoterms="DDP",IF((TODAY()+offer_turnaround_time)&gt;=helpsheet!$L$17,rate_vatRU_from_26,rate_vatRu_till_25),0)),2)</f>
        <v/>
      </c>
      <c r="AN1424" s="192">
        <f>AL1424-AK1424</f>
        <v/>
      </c>
      <c r="AO1424" s="76">
        <f>SUM(AY1424,Y1424:Z1424,T1424)*IF(AND(offer_incoterms="DDP",offer_sale_type&lt;&gt;"экспорт"),IF((TODAY()+offer_turnaround_time)&gt;=helpsheet!$L$17,rate_vatRU_from_26,rate_vatRu_till_25),0)</f>
        <v/>
      </c>
      <c r="AP1424" s="193">
        <f>AN1424-AO1424</f>
        <v/>
      </c>
      <c r="AQ1424" s="118">
        <f>IF(offer_sale_type="транзит",SUM(AF1424:AI1424,BA1424,BB1424),0)</f>
        <v/>
      </c>
      <c r="AR1424" s="82">
        <f>HYPERLINK("https://www.alta.ru/tnved/code/")&amp;W1424&amp;"/"</f>
        <v/>
      </c>
      <c r="AS1424" s="157" t="n"/>
      <c r="AT1424" s="162" t="n"/>
      <c r="AU1424" s="76">
        <f>IF(ISBLANK(AT1424),0,AJ1424-AT1424)</f>
        <v/>
      </c>
      <c r="AV1424" s="157" t="n"/>
      <c r="AW1424" s="75">
        <f>_xlfn.IFNA(VLOOKUP(L1424,list_vat[],3,FALSE),0)</f>
        <v/>
      </c>
      <c r="AX1424" s="76">
        <f>IFERROR(ROUND(S1424*(1+AW1424)/E1424,2),0)</f>
        <v/>
      </c>
      <c r="AY1424" s="76">
        <f>E1424*AX1424</f>
        <v/>
      </c>
      <c r="AZ1424" s="192">
        <f>S1424*(1+M1424)</f>
        <v/>
      </c>
      <c r="BA1424" s="76">
        <f>cost_fin_total*$BD1424</f>
        <v/>
      </c>
      <c r="BB1424" s="193">
        <f>credit_sales_interest*BD1424</f>
        <v/>
      </c>
      <c r="BC1424" s="102">
        <f>IFERROR(IF($I$13&gt;0,$I1424/$I$13,$S1424/$S$13),0)</f>
        <v/>
      </c>
      <c r="BD1424" s="102">
        <f>IFERROR($S1424/$S$13,0)</f>
        <v/>
      </c>
      <c r="BE1424" s="413" t="inlineStr">
        <is>
          <t>$</t>
        </is>
      </c>
    </row>
    <row r="1425" ht="12" customFormat="1" customHeight="1" s="65">
      <c r="A1425" s="43" t="n">
        <v>1410</v>
      </c>
      <c r="B1425" s="166" t="n"/>
      <c r="C1425" s="166" t="n"/>
      <c r="D1425" s="166" t="n"/>
      <c r="E1425" s="162" t="n"/>
      <c r="F1425" s="166" t="n"/>
      <c r="G1425" s="162" t="n"/>
      <c r="H1425" s="162" t="n"/>
      <c r="I1425" s="189">
        <f>E1425*G1425</f>
        <v/>
      </c>
      <c r="J1425" s="195" t="n"/>
      <c r="K1425" s="162" t="n"/>
      <c r="L1425" s="168" t="n"/>
      <c r="M1425" s="75">
        <f>_xlfn.XLOOKUP(L1425,list_vat[Страна],list_vat[Ставка НДС %],0,0)</f>
        <v/>
      </c>
      <c r="N1425" s="162">
        <f>IFERROR(IF(L1425="Китай",K1425,K1425/(1+M1425)),0)</f>
        <v/>
      </c>
      <c r="O1425" s="169" t="n"/>
      <c r="P1425" s="76">
        <f>N1425*(1-O1425)</f>
        <v/>
      </c>
      <c r="Q1425" s="162" t="n"/>
      <c r="R1425" s="162">
        <f>IF(ISBLANK(Q1425),"введи курс",P1425/Q1425)</f>
        <v/>
      </c>
      <c r="S1425" s="196">
        <f>IF(AND(ISNUMBER(E1425),ISNUMBER(Q1425)),E1425*R1425,0)</f>
        <v/>
      </c>
      <c r="T1425" s="192">
        <f>$BC1425*V$11</f>
        <v/>
      </c>
      <c r="U1425" s="76">
        <f>$BC1425*W$11</f>
        <v/>
      </c>
      <c r="V1425" s="193">
        <f>+SUM(T1425:U1425)</f>
        <v/>
      </c>
      <c r="W1425" s="191" t="n"/>
      <c r="X1425" s="170" t="n"/>
      <c r="Y1425" s="76">
        <f>ROUND(IF(offer_incoterms="DDP",X1425*(S1425*(1+AW1425)+T1425),0),2)</f>
        <v/>
      </c>
      <c r="Z1425" s="188" t="n"/>
      <c r="AA1425" s="192">
        <f>IFERROR(AB1425/E1425,0)</f>
        <v/>
      </c>
      <c r="AB1425" s="76">
        <f>ROUND(SUM(S1425,V1425,Y1425:Z1425,BA1425:BB1425),2)</f>
        <v/>
      </c>
      <c r="AC1425" s="797" t="n"/>
      <c r="AD1425" s="192">
        <f t="array" ref="AD1425">IFERROR(ROUND((_xlfn.IFS(offer_sale_type="поставка",AB1425,offer_sale_type="транзит",S1425)*(1+AC1425))/E1425,2),0)</f>
        <v/>
      </c>
      <c r="AE1425" s="76">
        <f>AD1425*E1425</f>
        <v/>
      </c>
      <c r="AF1425" s="193">
        <f t="array" ref="AF1425">IFERROR(ROUND(_xlfn.IFS(offer_sale_type="поставка",AB1425,offer_sale_type="транзит",S1425)*AC1425,2),0)</f>
        <v/>
      </c>
      <c r="AG1425" s="192">
        <f>$BD1425*VLOOKUP($AG$3,$AF$4:$AG$7,2,FALSE)</f>
        <v/>
      </c>
      <c r="AH1425" s="76">
        <f>SUM(AE1425,AG1425,AI1425)*rate_forex_risk</f>
        <v/>
      </c>
      <c r="AI1425" s="193">
        <f>IF(OR(seller_region="TR",offer_sale_type="экспорт"),0,rate_fin_comm)*SUM(AZ1425,AZ1425*AW1425,T1425)</f>
        <v/>
      </c>
      <c r="AJ1425" s="118">
        <f>IFERROR(ROUND(SUM(AB1425,AF1425:AI1425)/E1425,2),0)</f>
        <v/>
      </c>
      <c r="AK1425" s="76">
        <f>AJ1425*E1425</f>
        <v/>
      </c>
      <c r="AL1425" s="174">
        <f>ROUND(IFERROR(AM1425*E1425,0),2)</f>
        <v/>
      </c>
      <c r="AM1425" s="175">
        <f>ROUND(AJ1425*(1+IF(offer_incoterms="DDP",IF((TODAY()+offer_turnaround_time)&gt;=helpsheet!$L$17,rate_vatRU_from_26,rate_vatRu_till_25),0)),2)</f>
        <v/>
      </c>
      <c r="AN1425" s="192">
        <f>AL1425-AK1425</f>
        <v/>
      </c>
      <c r="AO1425" s="76">
        <f>SUM(AY1425,Y1425:Z1425,T1425)*IF(AND(offer_incoterms="DDP",offer_sale_type&lt;&gt;"экспорт"),IF((TODAY()+offer_turnaround_time)&gt;=helpsheet!$L$17,rate_vatRU_from_26,rate_vatRu_till_25),0)</f>
        <v/>
      </c>
      <c r="AP1425" s="193">
        <f>AN1425-AO1425</f>
        <v/>
      </c>
      <c r="AQ1425" s="118">
        <f>IF(offer_sale_type="транзит",SUM(AF1425:AI1425,BA1425,BB1425),0)</f>
        <v/>
      </c>
      <c r="AR1425" s="82">
        <f>HYPERLINK("https://www.alta.ru/tnved/code/")&amp;W1425&amp;"/"</f>
        <v/>
      </c>
      <c r="AS1425" s="157" t="n"/>
      <c r="AT1425" s="162" t="n"/>
      <c r="AU1425" s="76">
        <f>IF(ISBLANK(AT1425),0,AJ1425-AT1425)</f>
        <v/>
      </c>
      <c r="AV1425" s="157" t="n"/>
      <c r="AW1425" s="75">
        <f>_xlfn.IFNA(VLOOKUP(L1425,list_vat[],3,FALSE),0)</f>
        <v/>
      </c>
      <c r="AX1425" s="76">
        <f>IFERROR(ROUND(S1425*(1+AW1425)/E1425,2),0)</f>
        <v/>
      </c>
      <c r="AY1425" s="76">
        <f>E1425*AX1425</f>
        <v/>
      </c>
      <c r="AZ1425" s="192">
        <f>S1425*(1+M1425)</f>
        <v/>
      </c>
      <c r="BA1425" s="76">
        <f>cost_fin_total*$BD1425</f>
        <v/>
      </c>
      <c r="BB1425" s="193">
        <f>credit_sales_interest*BD1425</f>
        <v/>
      </c>
      <c r="BC1425" s="102">
        <f>IFERROR(IF($I$13&gt;0,$I1425/$I$13,$S1425/$S$13),0)</f>
        <v/>
      </c>
      <c r="BD1425" s="102">
        <f>IFERROR($S1425/$S$13,0)</f>
        <v/>
      </c>
      <c r="BE1425" s="413" t="inlineStr">
        <is>
          <t>$</t>
        </is>
      </c>
    </row>
    <row r="1426" ht="12" customFormat="1" customHeight="1" s="65">
      <c r="A1426" s="43" t="n">
        <v>1411</v>
      </c>
      <c r="B1426" s="166" t="n"/>
      <c r="C1426" s="166" t="n"/>
      <c r="D1426" s="166" t="n"/>
      <c r="E1426" s="162" t="n"/>
      <c r="F1426" s="166" t="n"/>
      <c r="G1426" s="162" t="n"/>
      <c r="H1426" s="162" t="n"/>
      <c r="I1426" s="189">
        <f>E1426*G1426</f>
        <v/>
      </c>
      <c r="J1426" s="195" t="n"/>
      <c r="K1426" s="162" t="n"/>
      <c r="L1426" s="168" t="n"/>
      <c r="M1426" s="75">
        <f>_xlfn.XLOOKUP(L1426,list_vat[Страна],list_vat[Ставка НДС %],0,0)</f>
        <v/>
      </c>
      <c r="N1426" s="162">
        <f>IFERROR(IF(L1426="Китай",K1426,K1426/(1+M1426)),0)</f>
        <v/>
      </c>
      <c r="O1426" s="169" t="n"/>
      <c r="P1426" s="76">
        <f>N1426*(1-O1426)</f>
        <v/>
      </c>
      <c r="Q1426" s="162" t="n"/>
      <c r="R1426" s="162">
        <f>IF(ISBLANK(Q1426),"введи курс",P1426/Q1426)</f>
        <v/>
      </c>
      <c r="S1426" s="196">
        <f>IF(AND(ISNUMBER(E1426),ISNUMBER(Q1426)),E1426*R1426,0)</f>
        <v/>
      </c>
      <c r="T1426" s="192">
        <f>$BC1426*V$11</f>
        <v/>
      </c>
      <c r="U1426" s="76">
        <f>$BC1426*W$11</f>
        <v/>
      </c>
      <c r="V1426" s="193">
        <f>+SUM(T1426:U1426)</f>
        <v/>
      </c>
      <c r="W1426" s="191" t="n"/>
      <c r="X1426" s="170" t="n"/>
      <c r="Y1426" s="76">
        <f>ROUND(IF(offer_incoterms="DDP",X1426*(S1426*(1+AW1426)+T1426),0),2)</f>
        <v/>
      </c>
      <c r="Z1426" s="188" t="n"/>
      <c r="AA1426" s="192">
        <f>IFERROR(AB1426/E1426,0)</f>
        <v/>
      </c>
      <c r="AB1426" s="76">
        <f>ROUND(SUM(S1426,V1426,Y1426:Z1426,BA1426:BB1426),2)</f>
        <v/>
      </c>
      <c r="AC1426" s="797" t="n"/>
      <c r="AD1426" s="192">
        <f t="array" ref="AD1426">IFERROR(ROUND((_xlfn.IFS(offer_sale_type="поставка",AB1426,offer_sale_type="транзит",S1426)*(1+AC1426))/E1426,2),0)</f>
        <v/>
      </c>
      <c r="AE1426" s="76">
        <f>AD1426*E1426</f>
        <v/>
      </c>
      <c r="AF1426" s="193">
        <f t="array" ref="AF1426">IFERROR(ROUND(_xlfn.IFS(offer_sale_type="поставка",AB1426,offer_sale_type="транзит",S1426)*AC1426,2),0)</f>
        <v/>
      </c>
      <c r="AG1426" s="192">
        <f>$BD1426*VLOOKUP($AG$3,$AF$4:$AG$7,2,FALSE)</f>
        <v/>
      </c>
      <c r="AH1426" s="76">
        <f>SUM(AE1426,AG1426,AI1426)*rate_forex_risk</f>
        <v/>
      </c>
      <c r="AI1426" s="193">
        <f>IF(OR(seller_region="TR",offer_sale_type="экспорт"),0,rate_fin_comm)*SUM(AZ1426,AZ1426*AW1426,T1426)</f>
        <v/>
      </c>
      <c r="AJ1426" s="118">
        <f>IFERROR(ROUND(SUM(AB1426,AF1426:AI1426)/E1426,2),0)</f>
        <v/>
      </c>
      <c r="AK1426" s="76">
        <f>AJ1426*E1426</f>
        <v/>
      </c>
      <c r="AL1426" s="174">
        <f>ROUND(IFERROR(AM1426*E1426,0),2)</f>
        <v/>
      </c>
      <c r="AM1426" s="175">
        <f>ROUND(AJ1426*(1+IF(offer_incoterms="DDP",IF((TODAY()+offer_turnaround_time)&gt;=helpsheet!$L$17,rate_vatRU_from_26,rate_vatRu_till_25),0)),2)</f>
        <v/>
      </c>
      <c r="AN1426" s="192">
        <f>AL1426-AK1426</f>
        <v/>
      </c>
      <c r="AO1426" s="76">
        <f>SUM(AY1426,Y1426:Z1426,T1426)*IF(AND(offer_incoterms="DDP",offer_sale_type&lt;&gt;"экспорт"),IF((TODAY()+offer_turnaround_time)&gt;=helpsheet!$L$17,rate_vatRU_from_26,rate_vatRu_till_25),0)</f>
        <v/>
      </c>
      <c r="AP1426" s="193">
        <f>AN1426-AO1426</f>
        <v/>
      </c>
      <c r="AQ1426" s="118">
        <f>IF(offer_sale_type="транзит",SUM(AF1426:AI1426,BA1426,BB1426),0)</f>
        <v/>
      </c>
      <c r="AR1426" s="82">
        <f>HYPERLINK("https://www.alta.ru/tnved/code/")&amp;W1426&amp;"/"</f>
        <v/>
      </c>
      <c r="AS1426" s="157" t="n"/>
      <c r="AT1426" s="162" t="n"/>
      <c r="AU1426" s="76">
        <f>IF(ISBLANK(AT1426),0,AJ1426-AT1426)</f>
        <v/>
      </c>
      <c r="AV1426" s="157" t="n"/>
      <c r="AW1426" s="75">
        <f>_xlfn.IFNA(VLOOKUP(L1426,list_vat[],3,FALSE),0)</f>
        <v/>
      </c>
      <c r="AX1426" s="76">
        <f>IFERROR(ROUND(S1426*(1+AW1426)/E1426,2),0)</f>
        <v/>
      </c>
      <c r="AY1426" s="76">
        <f>E1426*AX1426</f>
        <v/>
      </c>
      <c r="AZ1426" s="192">
        <f>S1426*(1+M1426)</f>
        <v/>
      </c>
      <c r="BA1426" s="76">
        <f>cost_fin_total*$BD1426</f>
        <v/>
      </c>
      <c r="BB1426" s="193">
        <f>credit_sales_interest*BD1426</f>
        <v/>
      </c>
      <c r="BC1426" s="102">
        <f>IFERROR(IF($I$13&gt;0,$I1426/$I$13,$S1426/$S$13),0)</f>
        <v/>
      </c>
      <c r="BD1426" s="102">
        <f>IFERROR($S1426/$S$13,0)</f>
        <v/>
      </c>
      <c r="BE1426" s="413" t="inlineStr">
        <is>
          <t>$</t>
        </is>
      </c>
    </row>
    <row r="1427" ht="12" customFormat="1" customHeight="1" s="65">
      <c r="A1427" s="43" t="n">
        <v>1412</v>
      </c>
      <c r="B1427" s="166" t="n"/>
      <c r="C1427" s="166" t="n"/>
      <c r="D1427" s="166" t="n"/>
      <c r="E1427" s="162" t="n"/>
      <c r="F1427" s="166" t="n"/>
      <c r="G1427" s="162" t="n"/>
      <c r="H1427" s="162" t="n"/>
      <c r="I1427" s="189">
        <f>E1427*G1427</f>
        <v/>
      </c>
      <c r="J1427" s="195" t="n"/>
      <c r="K1427" s="162" t="n"/>
      <c r="L1427" s="168" t="n"/>
      <c r="M1427" s="75">
        <f>_xlfn.XLOOKUP(L1427,list_vat[Страна],list_vat[Ставка НДС %],0,0)</f>
        <v/>
      </c>
      <c r="N1427" s="162">
        <f>IFERROR(IF(L1427="Китай",K1427,K1427/(1+M1427)),0)</f>
        <v/>
      </c>
      <c r="O1427" s="169" t="n"/>
      <c r="P1427" s="76">
        <f>N1427*(1-O1427)</f>
        <v/>
      </c>
      <c r="Q1427" s="162" t="n"/>
      <c r="R1427" s="162">
        <f>IF(ISBLANK(Q1427),"введи курс",P1427/Q1427)</f>
        <v/>
      </c>
      <c r="S1427" s="196">
        <f>IF(AND(ISNUMBER(E1427),ISNUMBER(Q1427)),E1427*R1427,0)</f>
        <v/>
      </c>
      <c r="T1427" s="192">
        <f>$BC1427*V$11</f>
        <v/>
      </c>
      <c r="U1427" s="76">
        <f>$BC1427*W$11</f>
        <v/>
      </c>
      <c r="V1427" s="193">
        <f>+SUM(T1427:U1427)</f>
        <v/>
      </c>
      <c r="W1427" s="191" t="n"/>
      <c r="X1427" s="170" t="n"/>
      <c r="Y1427" s="76">
        <f>ROUND(IF(offer_incoterms="DDP",X1427*(S1427*(1+AW1427)+T1427),0),2)</f>
        <v/>
      </c>
      <c r="Z1427" s="188" t="n"/>
      <c r="AA1427" s="192">
        <f>IFERROR(AB1427/E1427,0)</f>
        <v/>
      </c>
      <c r="AB1427" s="76">
        <f>ROUND(SUM(S1427,V1427,Y1427:Z1427,BA1427:BB1427),2)</f>
        <v/>
      </c>
      <c r="AC1427" s="797" t="n"/>
      <c r="AD1427" s="192">
        <f t="array" ref="AD1427">IFERROR(ROUND((_xlfn.IFS(offer_sale_type="поставка",AB1427,offer_sale_type="транзит",S1427)*(1+AC1427))/E1427,2),0)</f>
        <v/>
      </c>
      <c r="AE1427" s="76">
        <f>AD1427*E1427</f>
        <v/>
      </c>
      <c r="AF1427" s="193">
        <f t="array" ref="AF1427">IFERROR(ROUND(_xlfn.IFS(offer_sale_type="поставка",AB1427,offer_sale_type="транзит",S1427)*AC1427,2),0)</f>
        <v/>
      </c>
      <c r="AG1427" s="192">
        <f>$BD1427*VLOOKUP($AG$3,$AF$4:$AG$7,2,FALSE)</f>
        <v/>
      </c>
      <c r="AH1427" s="76">
        <f>SUM(AE1427,AG1427,AI1427)*rate_forex_risk</f>
        <v/>
      </c>
      <c r="AI1427" s="193">
        <f>IF(OR(seller_region="TR",offer_sale_type="экспорт"),0,rate_fin_comm)*SUM(AZ1427,AZ1427*AW1427,T1427)</f>
        <v/>
      </c>
      <c r="AJ1427" s="118">
        <f>IFERROR(ROUND(SUM(AB1427,AF1427:AI1427)/E1427,2),0)</f>
        <v/>
      </c>
      <c r="AK1427" s="76">
        <f>AJ1427*E1427</f>
        <v/>
      </c>
      <c r="AL1427" s="174">
        <f>ROUND(IFERROR(AM1427*E1427,0),2)</f>
        <v/>
      </c>
      <c r="AM1427" s="175">
        <f>ROUND(AJ1427*(1+IF(offer_incoterms="DDP",IF((TODAY()+offer_turnaround_time)&gt;=helpsheet!$L$17,rate_vatRU_from_26,rate_vatRu_till_25),0)),2)</f>
        <v/>
      </c>
      <c r="AN1427" s="192">
        <f>AL1427-AK1427</f>
        <v/>
      </c>
      <c r="AO1427" s="76">
        <f>SUM(AY1427,Y1427:Z1427,T1427)*IF(AND(offer_incoterms="DDP",offer_sale_type&lt;&gt;"экспорт"),IF((TODAY()+offer_turnaround_time)&gt;=helpsheet!$L$17,rate_vatRU_from_26,rate_vatRu_till_25),0)</f>
        <v/>
      </c>
      <c r="AP1427" s="193">
        <f>AN1427-AO1427</f>
        <v/>
      </c>
      <c r="AQ1427" s="118">
        <f>IF(offer_sale_type="транзит",SUM(AF1427:AI1427,BA1427,BB1427),0)</f>
        <v/>
      </c>
      <c r="AR1427" s="82">
        <f>HYPERLINK("https://www.alta.ru/tnved/code/")&amp;W1427&amp;"/"</f>
        <v/>
      </c>
      <c r="AS1427" s="157" t="n"/>
      <c r="AT1427" s="162" t="n"/>
      <c r="AU1427" s="76">
        <f>IF(ISBLANK(AT1427),0,AJ1427-AT1427)</f>
        <v/>
      </c>
      <c r="AV1427" s="157" t="n"/>
      <c r="AW1427" s="75">
        <f>_xlfn.IFNA(VLOOKUP(L1427,list_vat[],3,FALSE),0)</f>
        <v/>
      </c>
      <c r="AX1427" s="76">
        <f>IFERROR(ROUND(S1427*(1+AW1427)/E1427,2),0)</f>
        <v/>
      </c>
      <c r="AY1427" s="76">
        <f>E1427*AX1427</f>
        <v/>
      </c>
      <c r="AZ1427" s="192">
        <f>S1427*(1+M1427)</f>
        <v/>
      </c>
      <c r="BA1427" s="76">
        <f>cost_fin_total*$BD1427</f>
        <v/>
      </c>
      <c r="BB1427" s="193">
        <f>credit_sales_interest*BD1427</f>
        <v/>
      </c>
      <c r="BC1427" s="102">
        <f>IFERROR(IF($I$13&gt;0,$I1427/$I$13,$S1427/$S$13),0)</f>
        <v/>
      </c>
      <c r="BD1427" s="102">
        <f>IFERROR($S1427/$S$13,0)</f>
        <v/>
      </c>
      <c r="BE1427" s="413" t="inlineStr">
        <is>
          <t>$</t>
        </is>
      </c>
    </row>
    <row r="1428" ht="12" customFormat="1" customHeight="1" s="65">
      <c r="A1428" s="43" t="n">
        <v>1413</v>
      </c>
      <c r="B1428" s="166" t="n"/>
      <c r="C1428" s="166" t="n"/>
      <c r="D1428" s="166" t="n"/>
      <c r="E1428" s="162" t="n"/>
      <c r="F1428" s="166" t="n"/>
      <c r="G1428" s="162" t="n"/>
      <c r="H1428" s="162" t="n"/>
      <c r="I1428" s="189">
        <f>E1428*G1428</f>
        <v/>
      </c>
      <c r="J1428" s="195" t="n"/>
      <c r="K1428" s="162" t="n"/>
      <c r="L1428" s="168" t="n"/>
      <c r="M1428" s="75">
        <f>_xlfn.XLOOKUP(L1428,list_vat[Страна],list_vat[Ставка НДС %],0,0)</f>
        <v/>
      </c>
      <c r="N1428" s="162">
        <f>IFERROR(IF(L1428="Китай",K1428,K1428/(1+M1428)),0)</f>
        <v/>
      </c>
      <c r="O1428" s="169" t="n"/>
      <c r="P1428" s="76">
        <f>N1428*(1-O1428)</f>
        <v/>
      </c>
      <c r="Q1428" s="162" t="n"/>
      <c r="R1428" s="162">
        <f>IF(ISBLANK(Q1428),"введи курс",P1428/Q1428)</f>
        <v/>
      </c>
      <c r="S1428" s="196">
        <f>IF(AND(ISNUMBER(E1428),ISNUMBER(Q1428)),E1428*R1428,0)</f>
        <v/>
      </c>
      <c r="T1428" s="192">
        <f>$BC1428*V$11</f>
        <v/>
      </c>
      <c r="U1428" s="76">
        <f>$BC1428*W$11</f>
        <v/>
      </c>
      <c r="V1428" s="193">
        <f>+SUM(T1428:U1428)</f>
        <v/>
      </c>
      <c r="W1428" s="191" t="n"/>
      <c r="X1428" s="170" t="n"/>
      <c r="Y1428" s="76">
        <f>ROUND(IF(offer_incoterms="DDP",X1428*(S1428*(1+AW1428)+T1428),0),2)</f>
        <v/>
      </c>
      <c r="Z1428" s="188" t="n"/>
      <c r="AA1428" s="192">
        <f>IFERROR(AB1428/E1428,0)</f>
        <v/>
      </c>
      <c r="AB1428" s="76">
        <f>ROUND(SUM(S1428,V1428,Y1428:Z1428,BA1428:BB1428),2)</f>
        <v/>
      </c>
      <c r="AC1428" s="797" t="n"/>
      <c r="AD1428" s="192">
        <f t="array" ref="AD1428">IFERROR(ROUND((_xlfn.IFS(offer_sale_type="поставка",AB1428,offer_sale_type="транзит",S1428)*(1+AC1428))/E1428,2),0)</f>
        <v/>
      </c>
      <c r="AE1428" s="76">
        <f>AD1428*E1428</f>
        <v/>
      </c>
      <c r="AF1428" s="193">
        <f t="array" ref="AF1428">IFERROR(ROUND(_xlfn.IFS(offer_sale_type="поставка",AB1428,offer_sale_type="транзит",S1428)*AC1428,2),0)</f>
        <v/>
      </c>
      <c r="AG1428" s="192">
        <f>$BD1428*VLOOKUP($AG$3,$AF$4:$AG$7,2,FALSE)</f>
        <v/>
      </c>
      <c r="AH1428" s="76">
        <f>SUM(AE1428,AG1428,AI1428)*rate_forex_risk</f>
        <v/>
      </c>
      <c r="AI1428" s="193">
        <f>IF(OR(seller_region="TR",offer_sale_type="экспорт"),0,rate_fin_comm)*SUM(AZ1428,AZ1428*AW1428,T1428)</f>
        <v/>
      </c>
      <c r="AJ1428" s="118">
        <f>IFERROR(ROUND(SUM(AB1428,AF1428:AI1428)/E1428,2),0)</f>
        <v/>
      </c>
      <c r="AK1428" s="76">
        <f>AJ1428*E1428</f>
        <v/>
      </c>
      <c r="AL1428" s="174">
        <f>ROUND(IFERROR(AM1428*E1428,0),2)</f>
        <v/>
      </c>
      <c r="AM1428" s="175">
        <f>ROUND(AJ1428*(1+IF(offer_incoterms="DDP",IF((TODAY()+offer_turnaround_time)&gt;=helpsheet!$L$17,rate_vatRU_from_26,rate_vatRu_till_25),0)),2)</f>
        <v/>
      </c>
      <c r="AN1428" s="192">
        <f>AL1428-AK1428</f>
        <v/>
      </c>
      <c r="AO1428" s="76">
        <f>SUM(AY1428,Y1428:Z1428,T1428)*IF(AND(offer_incoterms="DDP",offer_sale_type&lt;&gt;"экспорт"),IF((TODAY()+offer_turnaround_time)&gt;=helpsheet!$L$17,rate_vatRU_from_26,rate_vatRu_till_25),0)</f>
        <v/>
      </c>
      <c r="AP1428" s="193">
        <f>AN1428-AO1428</f>
        <v/>
      </c>
      <c r="AQ1428" s="118">
        <f>IF(offer_sale_type="транзит",SUM(AF1428:AI1428,BA1428,BB1428),0)</f>
        <v/>
      </c>
      <c r="AR1428" s="82">
        <f>HYPERLINK("https://www.alta.ru/tnved/code/")&amp;W1428&amp;"/"</f>
        <v/>
      </c>
      <c r="AS1428" s="157" t="n"/>
      <c r="AT1428" s="162" t="n"/>
      <c r="AU1428" s="76">
        <f>IF(ISBLANK(AT1428),0,AJ1428-AT1428)</f>
        <v/>
      </c>
      <c r="AV1428" s="157" t="n"/>
      <c r="AW1428" s="75">
        <f>_xlfn.IFNA(VLOOKUP(L1428,list_vat[],3,FALSE),0)</f>
        <v/>
      </c>
      <c r="AX1428" s="76">
        <f>IFERROR(ROUND(S1428*(1+AW1428)/E1428,2),0)</f>
        <v/>
      </c>
      <c r="AY1428" s="76">
        <f>E1428*AX1428</f>
        <v/>
      </c>
      <c r="AZ1428" s="192">
        <f>S1428*(1+M1428)</f>
        <v/>
      </c>
      <c r="BA1428" s="76">
        <f>cost_fin_total*$BD1428</f>
        <v/>
      </c>
      <c r="BB1428" s="193">
        <f>credit_sales_interest*BD1428</f>
        <v/>
      </c>
      <c r="BC1428" s="102">
        <f>IFERROR(IF($I$13&gt;0,$I1428/$I$13,$S1428/$S$13),0)</f>
        <v/>
      </c>
      <c r="BD1428" s="102">
        <f>IFERROR($S1428/$S$13,0)</f>
        <v/>
      </c>
      <c r="BE1428" s="413" t="inlineStr">
        <is>
          <t>$</t>
        </is>
      </c>
    </row>
    <row r="1429" ht="12" customFormat="1" customHeight="1" s="65">
      <c r="A1429" s="43" t="n">
        <v>1414</v>
      </c>
      <c r="B1429" s="166" t="n"/>
      <c r="C1429" s="166" t="n"/>
      <c r="D1429" s="166" t="n"/>
      <c r="E1429" s="162" t="n"/>
      <c r="F1429" s="166" t="n"/>
      <c r="G1429" s="162" t="n"/>
      <c r="H1429" s="162" t="n"/>
      <c r="I1429" s="189">
        <f>E1429*G1429</f>
        <v/>
      </c>
      <c r="J1429" s="195" t="n"/>
      <c r="K1429" s="162" t="n"/>
      <c r="L1429" s="168" t="n"/>
      <c r="M1429" s="75">
        <f>_xlfn.XLOOKUP(L1429,list_vat[Страна],list_vat[Ставка НДС %],0,0)</f>
        <v/>
      </c>
      <c r="N1429" s="162">
        <f>IFERROR(IF(L1429="Китай",K1429,K1429/(1+M1429)),0)</f>
        <v/>
      </c>
      <c r="O1429" s="169" t="n"/>
      <c r="P1429" s="76">
        <f>N1429*(1-O1429)</f>
        <v/>
      </c>
      <c r="Q1429" s="162" t="n"/>
      <c r="R1429" s="162">
        <f>IF(ISBLANK(Q1429),"введи курс",P1429/Q1429)</f>
        <v/>
      </c>
      <c r="S1429" s="196">
        <f>IF(AND(ISNUMBER(E1429),ISNUMBER(Q1429)),E1429*R1429,0)</f>
        <v/>
      </c>
      <c r="T1429" s="192">
        <f>$BC1429*V$11</f>
        <v/>
      </c>
      <c r="U1429" s="76">
        <f>$BC1429*W$11</f>
        <v/>
      </c>
      <c r="V1429" s="193">
        <f>+SUM(T1429:U1429)</f>
        <v/>
      </c>
      <c r="W1429" s="191" t="n"/>
      <c r="X1429" s="170" t="n"/>
      <c r="Y1429" s="76">
        <f>ROUND(IF(offer_incoterms="DDP",X1429*(S1429*(1+AW1429)+T1429),0),2)</f>
        <v/>
      </c>
      <c r="Z1429" s="188" t="n"/>
      <c r="AA1429" s="192">
        <f>IFERROR(AB1429/E1429,0)</f>
        <v/>
      </c>
      <c r="AB1429" s="76">
        <f>ROUND(SUM(S1429,V1429,Y1429:Z1429,BA1429:BB1429),2)</f>
        <v/>
      </c>
      <c r="AC1429" s="797" t="n"/>
      <c r="AD1429" s="192">
        <f t="array" ref="AD1429">IFERROR(ROUND((_xlfn.IFS(offer_sale_type="поставка",AB1429,offer_sale_type="транзит",S1429)*(1+AC1429))/E1429,2),0)</f>
        <v/>
      </c>
      <c r="AE1429" s="76">
        <f>AD1429*E1429</f>
        <v/>
      </c>
      <c r="AF1429" s="193">
        <f t="array" ref="AF1429">IFERROR(ROUND(_xlfn.IFS(offer_sale_type="поставка",AB1429,offer_sale_type="транзит",S1429)*AC1429,2),0)</f>
        <v/>
      </c>
      <c r="AG1429" s="192">
        <f>$BD1429*VLOOKUP($AG$3,$AF$4:$AG$7,2,FALSE)</f>
        <v/>
      </c>
      <c r="AH1429" s="76">
        <f>SUM(AE1429,AG1429,AI1429)*rate_forex_risk</f>
        <v/>
      </c>
      <c r="AI1429" s="193">
        <f>IF(OR(seller_region="TR",offer_sale_type="экспорт"),0,rate_fin_comm)*SUM(AZ1429,AZ1429*AW1429,T1429)</f>
        <v/>
      </c>
      <c r="AJ1429" s="118">
        <f>IFERROR(ROUND(SUM(AB1429,AF1429:AI1429)/E1429,2),0)</f>
        <v/>
      </c>
      <c r="AK1429" s="76">
        <f>AJ1429*E1429</f>
        <v/>
      </c>
      <c r="AL1429" s="174">
        <f>ROUND(IFERROR(AM1429*E1429,0),2)</f>
        <v/>
      </c>
      <c r="AM1429" s="175">
        <f>ROUND(AJ1429*(1+IF(offer_incoterms="DDP",IF((TODAY()+offer_turnaround_time)&gt;=helpsheet!$L$17,rate_vatRU_from_26,rate_vatRu_till_25),0)),2)</f>
        <v/>
      </c>
      <c r="AN1429" s="192">
        <f>AL1429-AK1429</f>
        <v/>
      </c>
      <c r="AO1429" s="76">
        <f>SUM(AY1429,Y1429:Z1429,T1429)*IF(AND(offer_incoterms="DDP",offer_sale_type&lt;&gt;"экспорт"),IF((TODAY()+offer_turnaround_time)&gt;=helpsheet!$L$17,rate_vatRU_from_26,rate_vatRu_till_25),0)</f>
        <v/>
      </c>
      <c r="AP1429" s="193">
        <f>AN1429-AO1429</f>
        <v/>
      </c>
      <c r="AQ1429" s="118">
        <f>IF(offer_sale_type="транзит",SUM(AF1429:AI1429,BA1429,BB1429),0)</f>
        <v/>
      </c>
      <c r="AR1429" s="82">
        <f>HYPERLINK("https://www.alta.ru/tnved/code/")&amp;W1429&amp;"/"</f>
        <v/>
      </c>
      <c r="AS1429" s="157" t="n"/>
      <c r="AT1429" s="162" t="n"/>
      <c r="AU1429" s="76">
        <f>IF(ISBLANK(AT1429),0,AJ1429-AT1429)</f>
        <v/>
      </c>
      <c r="AV1429" s="157" t="n"/>
      <c r="AW1429" s="75">
        <f>_xlfn.IFNA(VLOOKUP(L1429,list_vat[],3,FALSE),0)</f>
        <v/>
      </c>
      <c r="AX1429" s="76">
        <f>IFERROR(ROUND(S1429*(1+AW1429)/E1429,2),0)</f>
        <v/>
      </c>
      <c r="AY1429" s="76">
        <f>E1429*AX1429</f>
        <v/>
      </c>
      <c r="AZ1429" s="192">
        <f>S1429*(1+M1429)</f>
        <v/>
      </c>
      <c r="BA1429" s="76">
        <f>cost_fin_total*$BD1429</f>
        <v/>
      </c>
      <c r="BB1429" s="193">
        <f>credit_sales_interest*BD1429</f>
        <v/>
      </c>
      <c r="BC1429" s="102">
        <f>IFERROR(IF($I$13&gt;0,$I1429/$I$13,$S1429/$S$13),0)</f>
        <v/>
      </c>
      <c r="BD1429" s="102">
        <f>IFERROR($S1429/$S$13,0)</f>
        <v/>
      </c>
      <c r="BE1429" s="413" t="inlineStr">
        <is>
          <t>$</t>
        </is>
      </c>
    </row>
    <row r="1430" ht="12" customFormat="1" customHeight="1" s="65">
      <c r="A1430" s="43" t="n">
        <v>1415</v>
      </c>
      <c r="B1430" s="166" t="n"/>
      <c r="C1430" s="166" t="n"/>
      <c r="D1430" s="166" t="n"/>
      <c r="E1430" s="162" t="n"/>
      <c r="F1430" s="166" t="n"/>
      <c r="G1430" s="162" t="n"/>
      <c r="H1430" s="162" t="n"/>
      <c r="I1430" s="189">
        <f>E1430*G1430</f>
        <v/>
      </c>
      <c r="J1430" s="195" t="n"/>
      <c r="K1430" s="162" t="n"/>
      <c r="L1430" s="168" t="n"/>
      <c r="M1430" s="75">
        <f>_xlfn.XLOOKUP(L1430,list_vat[Страна],list_vat[Ставка НДС %],0,0)</f>
        <v/>
      </c>
      <c r="N1430" s="162">
        <f>IFERROR(IF(L1430="Китай",K1430,K1430/(1+M1430)),0)</f>
        <v/>
      </c>
      <c r="O1430" s="169" t="n"/>
      <c r="P1430" s="76">
        <f>N1430*(1-O1430)</f>
        <v/>
      </c>
      <c r="Q1430" s="162" t="n"/>
      <c r="R1430" s="162">
        <f>IF(ISBLANK(Q1430),"введи курс",P1430/Q1430)</f>
        <v/>
      </c>
      <c r="S1430" s="196">
        <f>IF(AND(ISNUMBER(E1430),ISNUMBER(Q1430)),E1430*R1430,0)</f>
        <v/>
      </c>
      <c r="T1430" s="192">
        <f>$BC1430*V$11</f>
        <v/>
      </c>
      <c r="U1430" s="76">
        <f>$BC1430*W$11</f>
        <v/>
      </c>
      <c r="V1430" s="193">
        <f>+SUM(T1430:U1430)</f>
        <v/>
      </c>
      <c r="W1430" s="191" t="n"/>
      <c r="X1430" s="170" t="n"/>
      <c r="Y1430" s="76">
        <f>ROUND(IF(offer_incoterms="DDP",X1430*(S1430*(1+AW1430)+T1430),0),2)</f>
        <v/>
      </c>
      <c r="Z1430" s="188" t="n"/>
      <c r="AA1430" s="192">
        <f>IFERROR(AB1430/E1430,0)</f>
        <v/>
      </c>
      <c r="AB1430" s="76">
        <f>ROUND(SUM(S1430,V1430,Y1430:Z1430,BA1430:BB1430),2)</f>
        <v/>
      </c>
      <c r="AC1430" s="797" t="n"/>
      <c r="AD1430" s="192">
        <f t="array" ref="AD1430">IFERROR(ROUND((_xlfn.IFS(offer_sale_type="поставка",AB1430,offer_sale_type="транзит",S1430)*(1+AC1430))/E1430,2),0)</f>
        <v/>
      </c>
      <c r="AE1430" s="76">
        <f>AD1430*E1430</f>
        <v/>
      </c>
      <c r="AF1430" s="193">
        <f t="array" ref="AF1430">IFERROR(ROUND(_xlfn.IFS(offer_sale_type="поставка",AB1430,offer_sale_type="транзит",S1430)*AC1430,2),0)</f>
        <v/>
      </c>
      <c r="AG1430" s="192">
        <f>$BD1430*VLOOKUP($AG$3,$AF$4:$AG$7,2,FALSE)</f>
        <v/>
      </c>
      <c r="AH1430" s="76">
        <f>SUM(AE1430,AG1430,AI1430)*rate_forex_risk</f>
        <v/>
      </c>
      <c r="AI1430" s="193">
        <f>IF(OR(seller_region="TR",offer_sale_type="экспорт"),0,rate_fin_comm)*SUM(AZ1430,AZ1430*AW1430,T1430)</f>
        <v/>
      </c>
      <c r="AJ1430" s="118">
        <f>IFERROR(ROUND(SUM(AB1430,AF1430:AI1430)/E1430,2),0)</f>
        <v/>
      </c>
      <c r="AK1430" s="76">
        <f>AJ1430*E1430</f>
        <v/>
      </c>
      <c r="AL1430" s="174">
        <f>ROUND(IFERROR(AM1430*E1430,0),2)</f>
        <v/>
      </c>
      <c r="AM1430" s="175">
        <f>ROUND(AJ1430*(1+IF(offer_incoterms="DDP",IF((TODAY()+offer_turnaround_time)&gt;=helpsheet!$L$17,rate_vatRU_from_26,rate_vatRu_till_25),0)),2)</f>
        <v/>
      </c>
      <c r="AN1430" s="192">
        <f>AL1430-AK1430</f>
        <v/>
      </c>
      <c r="AO1430" s="76">
        <f>SUM(AY1430,Y1430:Z1430,T1430)*IF(AND(offer_incoterms="DDP",offer_sale_type&lt;&gt;"экспорт"),IF((TODAY()+offer_turnaround_time)&gt;=helpsheet!$L$17,rate_vatRU_from_26,rate_vatRu_till_25),0)</f>
        <v/>
      </c>
      <c r="AP1430" s="193">
        <f>AN1430-AO1430</f>
        <v/>
      </c>
      <c r="AQ1430" s="118">
        <f>IF(offer_sale_type="транзит",SUM(AF1430:AI1430,BA1430,BB1430),0)</f>
        <v/>
      </c>
      <c r="AR1430" s="82">
        <f>HYPERLINK("https://www.alta.ru/tnved/code/")&amp;W1430&amp;"/"</f>
        <v/>
      </c>
      <c r="AS1430" s="157" t="n"/>
      <c r="AT1430" s="162" t="n"/>
      <c r="AU1430" s="76">
        <f>IF(ISBLANK(AT1430),0,AJ1430-AT1430)</f>
        <v/>
      </c>
      <c r="AV1430" s="157" t="n"/>
      <c r="AW1430" s="75">
        <f>_xlfn.IFNA(VLOOKUP(L1430,list_vat[],3,FALSE),0)</f>
        <v/>
      </c>
      <c r="AX1430" s="76">
        <f>IFERROR(ROUND(S1430*(1+AW1430)/E1430,2),0)</f>
        <v/>
      </c>
      <c r="AY1430" s="76">
        <f>E1430*AX1430</f>
        <v/>
      </c>
      <c r="AZ1430" s="192">
        <f>S1430*(1+M1430)</f>
        <v/>
      </c>
      <c r="BA1430" s="76">
        <f>cost_fin_total*$BD1430</f>
        <v/>
      </c>
      <c r="BB1430" s="193">
        <f>credit_sales_interest*BD1430</f>
        <v/>
      </c>
      <c r="BC1430" s="102">
        <f>IFERROR(IF($I$13&gt;0,$I1430/$I$13,$S1430/$S$13),0)</f>
        <v/>
      </c>
      <c r="BD1430" s="102">
        <f>IFERROR($S1430/$S$13,0)</f>
        <v/>
      </c>
      <c r="BE1430" s="413" t="inlineStr">
        <is>
          <t>$</t>
        </is>
      </c>
    </row>
    <row r="1431" ht="12" customFormat="1" customHeight="1" s="65">
      <c r="A1431" s="43" t="n">
        <v>1416</v>
      </c>
      <c r="B1431" s="166" t="n"/>
      <c r="C1431" s="166" t="n"/>
      <c r="D1431" s="166" t="n"/>
      <c r="E1431" s="162" t="n"/>
      <c r="F1431" s="166" t="n"/>
      <c r="G1431" s="162" t="n"/>
      <c r="H1431" s="162" t="n"/>
      <c r="I1431" s="189">
        <f>E1431*G1431</f>
        <v/>
      </c>
      <c r="J1431" s="195" t="n"/>
      <c r="K1431" s="162" t="n"/>
      <c r="L1431" s="168" t="n"/>
      <c r="M1431" s="75">
        <f>_xlfn.XLOOKUP(L1431,list_vat[Страна],list_vat[Ставка НДС %],0,0)</f>
        <v/>
      </c>
      <c r="N1431" s="162">
        <f>IFERROR(IF(L1431="Китай",K1431,K1431/(1+M1431)),0)</f>
        <v/>
      </c>
      <c r="O1431" s="169" t="n"/>
      <c r="P1431" s="76">
        <f>N1431*(1-O1431)</f>
        <v/>
      </c>
      <c r="Q1431" s="162" t="n"/>
      <c r="R1431" s="162">
        <f>IF(ISBLANK(Q1431),"введи курс",P1431/Q1431)</f>
        <v/>
      </c>
      <c r="S1431" s="196">
        <f>IF(AND(ISNUMBER(E1431),ISNUMBER(Q1431)),E1431*R1431,0)</f>
        <v/>
      </c>
      <c r="T1431" s="192">
        <f>$BC1431*V$11</f>
        <v/>
      </c>
      <c r="U1431" s="76">
        <f>$BC1431*W$11</f>
        <v/>
      </c>
      <c r="V1431" s="193">
        <f>+SUM(T1431:U1431)</f>
        <v/>
      </c>
      <c r="W1431" s="191" t="n"/>
      <c r="X1431" s="170" t="n"/>
      <c r="Y1431" s="76">
        <f>ROUND(IF(offer_incoterms="DDP",X1431*(S1431*(1+AW1431)+T1431),0),2)</f>
        <v/>
      </c>
      <c r="Z1431" s="188" t="n"/>
      <c r="AA1431" s="192">
        <f>IFERROR(AB1431/E1431,0)</f>
        <v/>
      </c>
      <c r="AB1431" s="76">
        <f>ROUND(SUM(S1431,V1431,Y1431:Z1431,BA1431:BB1431),2)</f>
        <v/>
      </c>
      <c r="AC1431" s="797" t="n"/>
      <c r="AD1431" s="192">
        <f t="array" ref="AD1431">IFERROR(ROUND((_xlfn.IFS(offer_sale_type="поставка",AB1431,offer_sale_type="транзит",S1431)*(1+AC1431))/E1431,2),0)</f>
        <v/>
      </c>
      <c r="AE1431" s="76">
        <f>AD1431*E1431</f>
        <v/>
      </c>
      <c r="AF1431" s="193">
        <f t="array" ref="AF1431">IFERROR(ROUND(_xlfn.IFS(offer_sale_type="поставка",AB1431,offer_sale_type="транзит",S1431)*AC1431,2),0)</f>
        <v/>
      </c>
      <c r="AG1431" s="192">
        <f>$BD1431*VLOOKUP($AG$3,$AF$4:$AG$7,2,FALSE)</f>
        <v/>
      </c>
      <c r="AH1431" s="76">
        <f>SUM(AE1431,AG1431,AI1431)*rate_forex_risk</f>
        <v/>
      </c>
      <c r="AI1431" s="193">
        <f>IF(OR(seller_region="TR",offer_sale_type="экспорт"),0,rate_fin_comm)*SUM(AZ1431,AZ1431*AW1431,T1431)</f>
        <v/>
      </c>
      <c r="AJ1431" s="118">
        <f>IFERROR(ROUND(SUM(AB1431,AF1431:AI1431)/E1431,2),0)</f>
        <v/>
      </c>
      <c r="AK1431" s="76">
        <f>AJ1431*E1431</f>
        <v/>
      </c>
      <c r="AL1431" s="174">
        <f>ROUND(IFERROR(AM1431*E1431,0),2)</f>
        <v/>
      </c>
      <c r="AM1431" s="175">
        <f>ROUND(AJ1431*(1+IF(offer_incoterms="DDP",IF((TODAY()+offer_turnaround_time)&gt;=helpsheet!$L$17,rate_vatRU_from_26,rate_vatRu_till_25),0)),2)</f>
        <v/>
      </c>
      <c r="AN1431" s="192">
        <f>AL1431-AK1431</f>
        <v/>
      </c>
      <c r="AO1431" s="76">
        <f>SUM(AY1431,Y1431:Z1431,T1431)*IF(AND(offer_incoterms="DDP",offer_sale_type&lt;&gt;"экспорт"),IF((TODAY()+offer_turnaround_time)&gt;=helpsheet!$L$17,rate_vatRU_from_26,rate_vatRu_till_25),0)</f>
        <v/>
      </c>
      <c r="AP1431" s="193">
        <f>AN1431-AO1431</f>
        <v/>
      </c>
      <c r="AQ1431" s="118">
        <f>IF(offer_sale_type="транзит",SUM(AF1431:AI1431,BA1431,BB1431),0)</f>
        <v/>
      </c>
      <c r="AR1431" s="82">
        <f>HYPERLINK("https://www.alta.ru/tnved/code/")&amp;W1431&amp;"/"</f>
        <v/>
      </c>
      <c r="AS1431" s="157" t="n"/>
      <c r="AT1431" s="162" t="n"/>
      <c r="AU1431" s="76">
        <f>IF(ISBLANK(AT1431),0,AJ1431-AT1431)</f>
        <v/>
      </c>
      <c r="AV1431" s="157" t="n"/>
      <c r="AW1431" s="75">
        <f>_xlfn.IFNA(VLOOKUP(L1431,list_vat[],3,FALSE),0)</f>
        <v/>
      </c>
      <c r="AX1431" s="76">
        <f>IFERROR(ROUND(S1431*(1+AW1431)/E1431,2),0)</f>
        <v/>
      </c>
      <c r="AY1431" s="76">
        <f>E1431*AX1431</f>
        <v/>
      </c>
      <c r="AZ1431" s="192">
        <f>S1431*(1+M1431)</f>
        <v/>
      </c>
      <c r="BA1431" s="76">
        <f>cost_fin_total*$BD1431</f>
        <v/>
      </c>
      <c r="BB1431" s="193">
        <f>credit_sales_interest*BD1431</f>
        <v/>
      </c>
      <c r="BC1431" s="102">
        <f>IFERROR(IF($I$13&gt;0,$I1431/$I$13,$S1431/$S$13),0)</f>
        <v/>
      </c>
      <c r="BD1431" s="102">
        <f>IFERROR($S1431/$S$13,0)</f>
        <v/>
      </c>
      <c r="BE1431" s="413" t="inlineStr">
        <is>
          <t>$</t>
        </is>
      </c>
    </row>
    <row r="1432" ht="12" customFormat="1" customHeight="1" s="65">
      <c r="A1432" s="43" t="n">
        <v>1417</v>
      </c>
      <c r="B1432" s="166" t="n"/>
      <c r="C1432" s="166" t="n"/>
      <c r="D1432" s="166" t="n"/>
      <c r="E1432" s="162" t="n"/>
      <c r="F1432" s="166" t="n"/>
      <c r="G1432" s="162" t="n"/>
      <c r="H1432" s="162" t="n"/>
      <c r="I1432" s="189">
        <f>E1432*G1432</f>
        <v/>
      </c>
      <c r="J1432" s="195" t="n"/>
      <c r="K1432" s="162" t="n"/>
      <c r="L1432" s="168" t="n"/>
      <c r="M1432" s="75">
        <f>_xlfn.XLOOKUP(L1432,list_vat[Страна],list_vat[Ставка НДС %],0,0)</f>
        <v/>
      </c>
      <c r="N1432" s="162">
        <f>IFERROR(IF(L1432="Китай",K1432,K1432/(1+M1432)),0)</f>
        <v/>
      </c>
      <c r="O1432" s="169" t="n"/>
      <c r="P1432" s="76">
        <f>N1432*(1-O1432)</f>
        <v/>
      </c>
      <c r="Q1432" s="162" t="n"/>
      <c r="R1432" s="162">
        <f>IF(ISBLANK(Q1432),"введи курс",P1432/Q1432)</f>
        <v/>
      </c>
      <c r="S1432" s="196">
        <f>IF(AND(ISNUMBER(E1432),ISNUMBER(Q1432)),E1432*R1432,0)</f>
        <v/>
      </c>
      <c r="T1432" s="192">
        <f>$BC1432*V$11</f>
        <v/>
      </c>
      <c r="U1432" s="76">
        <f>$BC1432*W$11</f>
        <v/>
      </c>
      <c r="V1432" s="193">
        <f>+SUM(T1432:U1432)</f>
        <v/>
      </c>
      <c r="W1432" s="191" t="n"/>
      <c r="X1432" s="170" t="n"/>
      <c r="Y1432" s="76">
        <f>ROUND(IF(offer_incoterms="DDP",X1432*(S1432*(1+AW1432)+T1432),0),2)</f>
        <v/>
      </c>
      <c r="Z1432" s="188" t="n"/>
      <c r="AA1432" s="192">
        <f>IFERROR(AB1432/E1432,0)</f>
        <v/>
      </c>
      <c r="AB1432" s="76">
        <f>ROUND(SUM(S1432,V1432,Y1432:Z1432,BA1432:BB1432),2)</f>
        <v/>
      </c>
      <c r="AC1432" s="797" t="n"/>
      <c r="AD1432" s="192">
        <f t="array" ref="AD1432">IFERROR(ROUND((_xlfn.IFS(offer_sale_type="поставка",AB1432,offer_sale_type="транзит",S1432)*(1+AC1432))/E1432,2),0)</f>
        <v/>
      </c>
      <c r="AE1432" s="76">
        <f>AD1432*E1432</f>
        <v/>
      </c>
      <c r="AF1432" s="193">
        <f t="array" ref="AF1432">IFERROR(ROUND(_xlfn.IFS(offer_sale_type="поставка",AB1432,offer_sale_type="транзит",S1432)*AC1432,2),0)</f>
        <v/>
      </c>
      <c r="AG1432" s="192">
        <f>$BD1432*VLOOKUP($AG$3,$AF$4:$AG$7,2,FALSE)</f>
        <v/>
      </c>
      <c r="AH1432" s="76">
        <f>SUM(AE1432,AG1432,AI1432)*rate_forex_risk</f>
        <v/>
      </c>
      <c r="AI1432" s="193">
        <f>IF(OR(seller_region="TR",offer_sale_type="экспорт"),0,rate_fin_comm)*SUM(AZ1432,AZ1432*AW1432,T1432)</f>
        <v/>
      </c>
      <c r="AJ1432" s="118">
        <f>IFERROR(ROUND(SUM(AB1432,AF1432:AI1432)/E1432,2),0)</f>
        <v/>
      </c>
      <c r="AK1432" s="76">
        <f>AJ1432*E1432</f>
        <v/>
      </c>
      <c r="AL1432" s="174">
        <f>ROUND(IFERROR(AM1432*E1432,0),2)</f>
        <v/>
      </c>
      <c r="AM1432" s="175">
        <f>ROUND(AJ1432*(1+IF(offer_incoterms="DDP",IF((TODAY()+offer_turnaround_time)&gt;=helpsheet!$L$17,rate_vatRU_from_26,rate_vatRu_till_25),0)),2)</f>
        <v/>
      </c>
      <c r="AN1432" s="192">
        <f>AL1432-AK1432</f>
        <v/>
      </c>
      <c r="AO1432" s="76">
        <f>SUM(AY1432,Y1432:Z1432,T1432)*IF(AND(offer_incoterms="DDP",offer_sale_type&lt;&gt;"экспорт"),IF((TODAY()+offer_turnaround_time)&gt;=helpsheet!$L$17,rate_vatRU_from_26,rate_vatRu_till_25),0)</f>
        <v/>
      </c>
      <c r="AP1432" s="193">
        <f>AN1432-AO1432</f>
        <v/>
      </c>
      <c r="AQ1432" s="118">
        <f>IF(offer_sale_type="транзит",SUM(AF1432:AI1432,BA1432,BB1432),0)</f>
        <v/>
      </c>
      <c r="AR1432" s="82">
        <f>HYPERLINK("https://www.alta.ru/tnved/code/")&amp;W1432&amp;"/"</f>
        <v/>
      </c>
      <c r="AS1432" s="157" t="n"/>
      <c r="AT1432" s="162" t="n"/>
      <c r="AU1432" s="76">
        <f>IF(ISBLANK(AT1432),0,AJ1432-AT1432)</f>
        <v/>
      </c>
      <c r="AV1432" s="157" t="n"/>
      <c r="AW1432" s="75">
        <f>_xlfn.IFNA(VLOOKUP(L1432,list_vat[],3,FALSE),0)</f>
        <v/>
      </c>
      <c r="AX1432" s="76">
        <f>IFERROR(ROUND(S1432*(1+AW1432)/E1432,2),0)</f>
        <v/>
      </c>
      <c r="AY1432" s="76">
        <f>E1432*AX1432</f>
        <v/>
      </c>
      <c r="AZ1432" s="192">
        <f>S1432*(1+M1432)</f>
        <v/>
      </c>
      <c r="BA1432" s="76">
        <f>cost_fin_total*$BD1432</f>
        <v/>
      </c>
      <c r="BB1432" s="193">
        <f>credit_sales_interest*BD1432</f>
        <v/>
      </c>
      <c r="BC1432" s="102">
        <f>IFERROR(IF($I$13&gt;0,$I1432/$I$13,$S1432/$S$13),0)</f>
        <v/>
      </c>
      <c r="BD1432" s="102">
        <f>IFERROR($S1432/$S$13,0)</f>
        <v/>
      </c>
      <c r="BE1432" s="413" t="inlineStr">
        <is>
          <t>$</t>
        </is>
      </c>
    </row>
    <row r="1433" ht="12" customFormat="1" customHeight="1" s="65">
      <c r="A1433" s="43" t="n">
        <v>1418</v>
      </c>
      <c r="B1433" s="166" t="n"/>
      <c r="C1433" s="166" t="n"/>
      <c r="D1433" s="166" t="n"/>
      <c r="E1433" s="162" t="n"/>
      <c r="F1433" s="166" t="n"/>
      <c r="G1433" s="162" t="n"/>
      <c r="H1433" s="162" t="n"/>
      <c r="I1433" s="189">
        <f>E1433*G1433</f>
        <v/>
      </c>
      <c r="J1433" s="195" t="n"/>
      <c r="K1433" s="162" t="n"/>
      <c r="L1433" s="168" t="n"/>
      <c r="M1433" s="75">
        <f>_xlfn.XLOOKUP(L1433,list_vat[Страна],list_vat[Ставка НДС %],0,0)</f>
        <v/>
      </c>
      <c r="N1433" s="162">
        <f>IFERROR(IF(L1433="Китай",K1433,K1433/(1+M1433)),0)</f>
        <v/>
      </c>
      <c r="O1433" s="169" t="n"/>
      <c r="P1433" s="76">
        <f>N1433*(1-O1433)</f>
        <v/>
      </c>
      <c r="Q1433" s="162" t="n"/>
      <c r="R1433" s="162">
        <f>IF(ISBLANK(Q1433),"введи курс",P1433/Q1433)</f>
        <v/>
      </c>
      <c r="S1433" s="196">
        <f>IF(AND(ISNUMBER(E1433),ISNUMBER(Q1433)),E1433*R1433,0)</f>
        <v/>
      </c>
      <c r="T1433" s="192">
        <f>$BC1433*V$11</f>
        <v/>
      </c>
      <c r="U1433" s="76">
        <f>$BC1433*W$11</f>
        <v/>
      </c>
      <c r="V1433" s="193">
        <f>+SUM(T1433:U1433)</f>
        <v/>
      </c>
      <c r="W1433" s="191" t="n"/>
      <c r="X1433" s="170" t="n"/>
      <c r="Y1433" s="76">
        <f>ROUND(IF(offer_incoterms="DDP",X1433*(S1433*(1+AW1433)+T1433),0),2)</f>
        <v/>
      </c>
      <c r="Z1433" s="188" t="n"/>
      <c r="AA1433" s="192">
        <f>IFERROR(AB1433/E1433,0)</f>
        <v/>
      </c>
      <c r="AB1433" s="76">
        <f>ROUND(SUM(S1433,V1433,Y1433:Z1433,BA1433:BB1433),2)</f>
        <v/>
      </c>
      <c r="AC1433" s="797" t="n"/>
      <c r="AD1433" s="192">
        <f t="array" ref="AD1433">IFERROR(ROUND((_xlfn.IFS(offer_sale_type="поставка",AB1433,offer_sale_type="транзит",S1433)*(1+AC1433))/E1433,2),0)</f>
        <v/>
      </c>
      <c r="AE1433" s="76">
        <f>AD1433*E1433</f>
        <v/>
      </c>
      <c r="AF1433" s="193">
        <f t="array" ref="AF1433">IFERROR(ROUND(_xlfn.IFS(offer_sale_type="поставка",AB1433,offer_sale_type="транзит",S1433)*AC1433,2),0)</f>
        <v/>
      </c>
      <c r="AG1433" s="192">
        <f>$BD1433*VLOOKUP($AG$3,$AF$4:$AG$7,2,FALSE)</f>
        <v/>
      </c>
      <c r="AH1433" s="76">
        <f>SUM(AE1433,AG1433,AI1433)*rate_forex_risk</f>
        <v/>
      </c>
      <c r="AI1433" s="193">
        <f>IF(OR(seller_region="TR",offer_sale_type="экспорт"),0,rate_fin_comm)*SUM(AZ1433,AZ1433*AW1433,T1433)</f>
        <v/>
      </c>
      <c r="AJ1433" s="118">
        <f>IFERROR(ROUND(SUM(AB1433,AF1433:AI1433)/E1433,2),0)</f>
        <v/>
      </c>
      <c r="AK1433" s="76">
        <f>AJ1433*E1433</f>
        <v/>
      </c>
      <c r="AL1433" s="174">
        <f>ROUND(IFERROR(AM1433*E1433,0),2)</f>
        <v/>
      </c>
      <c r="AM1433" s="175">
        <f>ROUND(AJ1433*(1+IF(offer_incoterms="DDP",IF((TODAY()+offer_turnaround_time)&gt;=helpsheet!$L$17,rate_vatRU_from_26,rate_vatRu_till_25),0)),2)</f>
        <v/>
      </c>
      <c r="AN1433" s="192">
        <f>AL1433-AK1433</f>
        <v/>
      </c>
      <c r="AO1433" s="76">
        <f>SUM(AY1433,Y1433:Z1433,T1433)*IF(AND(offer_incoterms="DDP",offer_sale_type&lt;&gt;"экспорт"),IF((TODAY()+offer_turnaround_time)&gt;=helpsheet!$L$17,rate_vatRU_from_26,rate_vatRu_till_25),0)</f>
        <v/>
      </c>
      <c r="AP1433" s="193">
        <f>AN1433-AO1433</f>
        <v/>
      </c>
      <c r="AQ1433" s="118">
        <f>IF(offer_sale_type="транзит",SUM(AF1433:AI1433,BA1433,BB1433),0)</f>
        <v/>
      </c>
      <c r="AR1433" s="82">
        <f>HYPERLINK("https://www.alta.ru/tnved/code/")&amp;W1433&amp;"/"</f>
        <v/>
      </c>
      <c r="AS1433" s="157" t="n"/>
      <c r="AT1433" s="162" t="n"/>
      <c r="AU1433" s="76">
        <f>IF(ISBLANK(AT1433),0,AJ1433-AT1433)</f>
        <v/>
      </c>
      <c r="AV1433" s="157" t="n"/>
      <c r="AW1433" s="75">
        <f>_xlfn.IFNA(VLOOKUP(L1433,list_vat[],3,FALSE),0)</f>
        <v/>
      </c>
      <c r="AX1433" s="76">
        <f>IFERROR(ROUND(S1433*(1+AW1433)/E1433,2),0)</f>
        <v/>
      </c>
      <c r="AY1433" s="76">
        <f>E1433*AX1433</f>
        <v/>
      </c>
      <c r="AZ1433" s="192">
        <f>S1433*(1+M1433)</f>
        <v/>
      </c>
      <c r="BA1433" s="76">
        <f>cost_fin_total*$BD1433</f>
        <v/>
      </c>
      <c r="BB1433" s="193">
        <f>credit_sales_interest*BD1433</f>
        <v/>
      </c>
      <c r="BC1433" s="102">
        <f>IFERROR(IF($I$13&gt;0,$I1433/$I$13,$S1433/$S$13),0)</f>
        <v/>
      </c>
      <c r="BD1433" s="102">
        <f>IFERROR($S1433/$S$13,0)</f>
        <v/>
      </c>
      <c r="BE1433" s="413" t="inlineStr">
        <is>
          <t>$</t>
        </is>
      </c>
    </row>
    <row r="1434" ht="12" customFormat="1" customHeight="1" s="65">
      <c r="A1434" s="43" t="n">
        <v>1419</v>
      </c>
      <c r="B1434" s="166" t="n"/>
      <c r="C1434" s="166" t="n"/>
      <c r="D1434" s="166" t="n"/>
      <c r="E1434" s="162" t="n"/>
      <c r="F1434" s="166" t="n"/>
      <c r="G1434" s="162" t="n"/>
      <c r="H1434" s="162" t="n"/>
      <c r="I1434" s="189">
        <f>E1434*G1434</f>
        <v/>
      </c>
      <c r="J1434" s="195" t="n"/>
      <c r="K1434" s="162" t="n"/>
      <c r="L1434" s="168" t="n"/>
      <c r="M1434" s="75">
        <f>_xlfn.XLOOKUP(L1434,list_vat[Страна],list_vat[Ставка НДС %],0,0)</f>
        <v/>
      </c>
      <c r="N1434" s="162">
        <f>IFERROR(IF(L1434="Китай",K1434,K1434/(1+M1434)),0)</f>
        <v/>
      </c>
      <c r="O1434" s="169" t="n"/>
      <c r="P1434" s="76">
        <f>N1434*(1-O1434)</f>
        <v/>
      </c>
      <c r="Q1434" s="162" t="n"/>
      <c r="R1434" s="162">
        <f>IF(ISBLANK(Q1434),"введи курс",P1434/Q1434)</f>
        <v/>
      </c>
      <c r="S1434" s="196">
        <f>IF(AND(ISNUMBER(E1434),ISNUMBER(Q1434)),E1434*R1434,0)</f>
        <v/>
      </c>
      <c r="T1434" s="192">
        <f>$BC1434*V$11</f>
        <v/>
      </c>
      <c r="U1434" s="76">
        <f>$BC1434*W$11</f>
        <v/>
      </c>
      <c r="V1434" s="193">
        <f>+SUM(T1434:U1434)</f>
        <v/>
      </c>
      <c r="W1434" s="191" t="n"/>
      <c r="X1434" s="170" t="n"/>
      <c r="Y1434" s="76">
        <f>ROUND(IF(offer_incoterms="DDP",X1434*(S1434*(1+AW1434)+T1434),0),2)</f>
        <v/>
      </c>
      <c r="Z1434" s="188" t="n"/>
      <c r="AA1434" s="192">
        <f>IFERROR(AB1434/E1434,0)</f>
        <v/>
      </c>
      <c r="AB1434" s="76">
        <f>ROUND(SUM(S1434,V1434,Y1434:Z1434,BA1434:BB1434),2)</f>
        <v/>
      </c>
      <c r="AC1434" s="797" t="n"/>
      <c r="AD1434" s="192">
        <f t="array" ref="AD1434">IFERROR(ROUND((_xlfn.IFS(offer_sale_type="поставка",AB1434,offer_sale_type="транзит",S1434)*(1+AC1434))/E1434,2),0)</f>
        <v/>
      </c>
      <c r="AE1434" s="76">
        <f>AD1434*E1434</f>
        <v/>
      </c>
      <c r="AF1434" s="193">
        <f t="array" ref="AF1434">IFERROR(ROUND(_xlfn.IFS(offer_sale_type="поставка",AB1434,offer_sale_type="транзит",S1434)*AC1434,2),0)</f>
        <v/>
      </c>
      <c r="AG1434" s="192">
        <f>$BD1434*VLOOKUP($AG$3,$AF$4:$AG$7,2,FALSE)</f>
        <v/>
      </c>
      <c r="AH1434" s="76">
        <f>SUM(AE1434,AG1434,AI1434)*rate_forex_risk</f>
        <v/>
      </c>
      <c r="AI1434" s="193">
        <f>IF(OR(seller_region="TR",offer_sale_type="экспорт"),0,rate_fin_comm)*SUM(AZ1434,AZ1434*AW1434,T1434)</f>
        <v/>
      </c>
      <c r="AJ1434" s="118">
        <f>IFERROR(ROUND(SUM(AB1434,AF1434:AI1434)/E1434,2),0)</f>
        <v/>
      </c>
      <c r="AK1434" s="76">
        <f>AJ1434*E1434</f>
        <v/>
      </c>
      <c r="AL1434" s="174">
        <f>ROUND(IFERROR(AM1434*E1434,0),2)</f>
        <v/>
      </c>
      <c r="AM1434" s="175">
        <f>ROUND(AJ1434*(1+IF(offer_incoterms="DDP",IF((TODAY()+offer_turnaround_time)&gt;=helpsheet!$L$17,rate_vatRU_from_26,rate_vatRu_till_25),0)),2)</f>
        <v/>
      </c>
      <c r="AN1434" s="192">
        <f>AL1434-AK1434</f>
        <v/>
      </c>
      <c r="AO1434" s="76">
        <f>SUM(AY1434,Y1434:Z1434,T1434)*IF(AND(offer_incoterms="DDP",offer_sale_type&lt;&gt;"экспорт"),IF((TODAY()+offer_turnaround_time)&gt;=helpsheet!$L$17,rate_vatRU_from_26,rate_vatRu_till_25),0)</f>
        <v/>
      </c>
      <c r="AP1434" s="193">
        <f>AN1434-AO1434</f>
        <v/>
      </c>
      <c r="AQ1434" s="118">
        <f>IF(offer_sale_type="транзит",SUM(AF1434:AI1434,BA1434,BB1434),0)</f>
        <v/>
      </c>
      <c r="AR1434" s="82">
        <f>HYPERLINK("https://www.alta.ru/tnved/code/")&amp;W1434&amp;"/"</f>
        <v/>
      </c>
      <c r="AS1434" s="157" t="n"/>
      <c r="AT1434" s="162" t="n"/>
      <c r="AU1434" s="76">
        <f>IF(ISBLANK(AT1434),0,AJ1434-AT1434)</f>
        <v/>
      </c>
      <c r="AV1434" s="157" t="n"/>
      <c r="AW1434" s="75">
        <f>_xlfn.IFNA(VLOOKUP(L1434,list_vat[],3,FALSE),0)</f>
        <v/>
      </c>
      <c r="AX1434" s="76">
        <f>IFERROR(ROUND(S1434*(1+AW1434)/E1434,2),0)</f>
        <v/>
      </c>
      <c r="AY1434" s="76">
        <f>E1434*AX1434</f>
        <v/>
      </c>
      <c r="AZ1434" s="192">
        <f>S1434*(1+M1434)</f>
        <v/>
      </c>
      <c r="BA1434" s="76">
        <f>cost_fin_total*$BD1434</f>
        <v/>
      </c>
      <c r="BB1434" s="193">
        <f>credit_sales_interest*BD1434</f>
        <v/>
      </c>
      <c r="BC1434" s="102">
        <f>IFERROR(IF($I$13&gt;0,$I1434/$I$13,$S1434/$S$13),0)</f>
        <v/>
      </c>
      <c r="BD1434" s="102">
        <f>IFERROR($S1434/$S$13,0)</f>
        <v/>
      </c>
      <c r="BE1434" s="413" t="inlineStr">
        <is>
          <t>$</t>
        </is>
      </c>
    </row>
    <row r="1435" ht="12" customFormat="1" customHeight="1" s="65">
      <c r="A1435" s="43" t="n">
        <v>1420</v>
      </c>
      <c r="B1435" s="166" t="n"/>
      <c r="C1435" s="166" t="n"/>
      <c r="D1435" s="166" t="n"/>
      <c r="E1435" s="162" t="n"/>
      <c r="F1435" s="166" t="n"/>
      <c r="G1435" s="162" t="n"/>
      <c r="H1435" s="162" t="n"/>
      <c r="I1435" s="189">
        <f>E1435*G1435</f>
        <v/>
      </c>
      <c r="J1435" s="195" t="n"/>
      <c r="K1435" s="162" t="n"/>
      <c r="L1435" s="168" t="n"/>
      <c r="M1435" s="75">
        <f>_xlfn.XLOOKUP(L1435,list_vat[Страна],list_vat[Ставка НДС %],0,0)</f>
        <v/>
      </c>
      <c r="N1435" s="162">
        <f>IFERROR(IF(L1435="Китай",K1435,K1435/(1+M1435)),0)</f>
        <v/>
      </c>
      <c r="O1435" s="169" t="n"/>
      <c r="P1435" s="76">
        <f>N1435*(1-O1435)</f>
        <v/>
      </c>
      <c r="Q1435" s="162" t="n"/>
      <c r="R1435" s="162">
        <f>IF(ISBLANK(Q1435),"введи курс",P1435/Q1435)</f>
        <v/>
      </c>
      <c r="S1435" s="196">
        <f>IF(AND(ISNUMBER(E1435),ISNUMBER(Q1435)),E1435*R1435,0)</f>
        <v/>
      </c>
      <c r="T1435" s="192">
        <f>$BC1435*V$11</f>
        <v/>
      </c>
      <c r="U1435" s="76">
        <f>$BC1435*W$11</f>
        <v/>
      </c>
      <c r="V1435" s="193">
        <f>+SUM(T1435:U1435)</f>
        <v/>
      </c>
      <c r="W1435" s="191" t="n"/>
      <c r="X1435" s="170" t="n"/>
      <c r="Y1435" s="76">
        <f>ROUND(IF(offer_incoterms="DDP",X1435*(S1435*(1+AW1435)+T1435),0),2)</f>
        <v/>
      </c>
      <c r="Z1435" s="188" t="n"/>
      <c r="AA1435" s="192">
        <f>IFERROR(AB1435/E1435,0)</f>
        <v/>
      </c>
      <c r="AB1435" s="76">
        <f>ROUND(SUM(S1435,V1435,Y1435:Z1435,BA1435:BB1435),2)</f>
        <v/>
      </c>
      <c r="AC1435" s="797" t="n"/>
      <c r="AD1435" s="192">
        <f t="array" ref="AD1435">IFERROR(ROUND((_xlfn.IFS(offer_sale_type="поставка",AB1435,offer_sale_type="транзит",S1435)*(1+AC1435))/E1435,2),0)</f>
        <v/>
      </c>
      <c r="AE1435" s="76">
        <f>AD1435*E1435</f>
        <v/>
      </c>
      <c r="AF1435" s="193">
        <f t="array" ref="AF1435">IFERROR(ROUND(_xlfn.IFS(offer_sale_type="поставка",AB1435,offer_sale_type="транзит",S1435)*AC1435,2),0)</f>
        <v/>
      </c>
      <c r="AG1435" s="192">
        <f>$BD1435*VLOOKUP($AG$3,$AF$4:$AG$7,2,FALSE)</f>
        <v/>
      </c>
      <c r="AH1435" s="76">
        <f>SUM(AE1435,AG1435,AI1435)*rate_forex_risk</f>
        <v/>
      </c>
      <c r="AI1435" s="193">
        <f>IF(OR(seller_region="TR",offer_sale_type="экспорт"),0,rate_fin_comm)*SUM(AZ1435,AZ1435*AW1435,T1435)</f>
        <v/>
      </c>
      <c r="AJ1435" s="118">
        <f>IFERROR(ROUND(SUM(AB1435,AF1435:AI1435)/E1435,2),0)</f>
        <v/>
      </c>
      <c r="AK1435" s="76">
        <f>AJ1435*E1435</f>
        <v/>
      </c>
      <c r="AL1435" s="174">
        <f>ROUND(IFERROR(AM1435*E1435,0),2)</f>
        <v/>
      </c>
      <c r="AM1435" s="175">
        <f>ROUND(AJ1435*(1+IF(offer_incoterms="DDP",IF((TODAY()+offer_turnaround_time)&gt;=helpsheet!$L$17,rate_vatRU_from_26,rate_vatRu_till_25),0)),2)</f>
        <v/>
      </c>
      <c r="AN1435" s="192">
        <f>AL1435-AK1435</f>
        <v/>
      </c>
      <c r="AO1435" s="76">
        <f>SUM(AY1435,Y1435:Z1435,T1435)*IF(AND(offer_incoterms="DDP",offer_sale_type&lt;&gt;"экспорт"),IF((TODAY()+offer_turnaround_time)&gt;=helpsheet!$L$17,rate_vatRU_from_26,rate_vatRu_till_25),0)</f>
        <v/>
      </c>
      <c r="AP1435" s="193">
        <f>AN1435-AO1435</f>
        <v/>
      </c>
      <c r="AQ1435" s="118">
        <f>IF(offer_sale_type="транзит",SUM(AF1435:AI1435,BA1435,BB1435),0)</f>
        <v/>
      </c>
      <c r="AR1435" s="82">
        <f>HYPERLINK("https://www.alta.ru/tnved/code/")&amp;W1435&amp;"/"</f>
        <v/>
      </c>
      <c r="AS1435" s="157" t="n"/>
      <c r="AT1435" s="162" t="n"/>
      <c r="AU1435" s="76">
        <f>IF(ISBLANK(AT1435),0,AJ1435-AT1435)</f>
        <v/>
      </c>
      <c r="AV1435" s="157" t="n"/>
      <c r="AW1435" s="75">
        <f>_xlfn.IFNA(VLOOKUP(L1435,list_vat[],3,FALSE),0)</f>
        <v/>
      </c>
      <c r="AX1435" s="76">
        <f>IFERROR(ROUND(S1435*(1+AW1435)/E1435,2),0)</f>
        <v/>
      </c>
      <c r="AY1435" s="76">
        <f>E1435*AX1435</f>
        <v/>
      </c>
      <c r="AZ1435" s="192">
        <f>S1435*(1+M1435)</f>
        <v/>
      </c>
      <c r="BA1435" s="76">
        <f>cost_fin_total*$BD1435</f>
        <v/>
      </c>
      <c r="BB1435" s="193">
        <f>credit_sales_interest*BD1435</f>
        <v/>
      </c>
      <c r="BC1435" s="102">
        <f>IFERROR(IF($I$13&gt;0,$I1435/$I$13,$S1435/$S$13),0)</f>
        <v/>
      </c>
      <c r="BD1435" s="102">
        <f>IFERROR($S1435/$S$13,0)</f>
        <v/>
      </c>
      <c r="BE1435" s="413" t="inlineStr">
        <is>
          <t>$</t>
        </is>
      </c>
    </row>
    <row r="1436" ht="12" customFormat="1" customHeight="1" s="65">
      <c r="A1436" s="43" t="n">
        <v>1421</v>
      </c>
      <c r="B1436" s="166" t="n"/>
      <c r="C1436" s="166" t="n"/>
      <c r="D1436" s="166" t="n"/>
      <c r="E1436" s="162" t="n"/>
      <c r="F1436" s="166" t="n"/>
      <c r="G1436" s="162" t="n"/>
      <c r="H1436" s="162" t="n"/>
      <c r="I1436" s="189">
        <f>E1436*G1436</f>
        <v/>
      </c>
      <c r="J1436" s="195" t="n"/>
      <c r="K1436" s="162" t="n"/>
      <c r="L1436" s="168" t="n"/>
      <c r="M1436" s="75">
        <f>_xlfn.XLOOKUP(L1436,list_vat[Страна],list_vat[Ставка НДС %],0,0)</f>
        <v/>
      </c>
      <c r="N1436" s="162">
        <f>IFERROR(IF(L1436="Китай",K1436,K1436/(1+M1436)),0)</f>
        <v/>
      </c>
      <c r="O1436" s="169" t="n"/>
      <c r="P1436" s="76">
        <f>N1436*(1-O1436)</f>
        <v/>
      </c>
      <c r="Q1436" s="162" t="n"/>
      <c r="R1436" s="162">
        <f>IF(ISBLANK(Q1436),"введи курс",P1436/Q1436)</f>
        <v/>
      </c>
      <c r="S1436" s="196">
        <f>IF(AND(ISNUMBER(E1436),ISNUMBER(Q1436)),E1436*R1436,0)</f>
        <v/>
      </c>
      <c r="T1436" s="192">
        <f>$BC1436*V$11</f>
        <v/>
      </c>
      <c r="U1436" s="76">
        <f>$BC1436*W$11</f>
        <v/>
      </c>
      <c r="V1436" s="193">
        <f>+SUM(T1436:U1436)</f>
        <v/>
      </c>
      <c r="W1436" s="191" t="n"/>
      <c r="X1436" s="170" t="n"/>
      <c r="Y1436" s="76">
        <f>ROUND(IF(offer_incoterms="DDP",X1436*(S1436*(1+AW1436)+T1436),0),2)</f>
        <v/>
      </c>
      <c r="Z1436" s="188" t="n"/>
      <c r="AA1436" s="192">
        <f>IFERROR(AB1436/E1436,0)</f>
        <v/>
      </c>
      <c r="AB1436" s="76">
        <f>ROUND(SUM(S1436,V1436,Y1436:Z1436,BA1436:BB1436),2)</f>
        <v/>
      </c>
      <c r="AC1436" s="797" t="n"/>
      <c r="AD1436" s="192">
        <f t="array" ref="AD1436">IFERROR(ROUND((_xlfn.IFS(offer_sale_type="поставка",AB1436,offer_sale_type="транзит",S1436)*(1+AC1436))/E1436,2),0)</f>
        <v/>
      </c>
      <c r="AE1436" s="76">
        <f>AD1436*E1436</f>
        <v/>
      </c>
      <c r="AF1436" s="193">
        <f t="array" ref="AF1436">IFERROR(ROUND(_xlfn.IFS(offer_sale_type="поставка",AB1436,offer_sale_type="транзит",S1436)*AC1436,2),0)</f>
        <v/>
      </c>
      <c r="AG1436" s="192">
        <f>$BD1436*VLOOKUP($AG$3,$AF$4:$AG$7,2,FALSE)</f>
        <v/>
      </c>
      <c r="AH1436" s="76">
        <f>SUM(AE1436,AG1436,AI1436)*rate_forex_risk</f>
        <v/>
      </c>
      <c r="AI1436" s="193">
        <f>IF(OR(seller_region="TR",offer_sale_type="экспорт"),0,rate_fin_comm)*SUM(AZ1436,AZ1436*AW1436,T1436)</f>
        <v/>
      </c>
      <c r="AJ1436" s="118">
        <f>IFERROR(ROUND(SUM(AB1436,AF1436:AI1436)/E1436,2),0)</f>
        <v/>
      </c>
      <c r="AK1436" s="76">
        <f>AJ1436*E1436</f>
        <v/>
      </c>
      <c r="AL1436" s="174">
        <f>ROUND(IFERROR(AM1436*E1436,0),2)</f>
        <v/>
      </c>
      <c r="AM1436" s="175">
        <f>ROUND(AJ1436*(1+IF(offer_incoterms="DDP",IF((TODAY()+offer_turnaround_time)&gt;=helpsheet!$L$17,rate_vatRU_from_26,rate_vatRu_till_25),0)),2)</f>
        <v/>
      </c>
      <c r="AN1436" s="192">
        <f>AL1436-AK1436</f>
        <v/>
      </c>
      <c r="AO1436" s="76">
        <f>SUM(AY1436,Y1436:Z1436,T1436)*IF(AND(offer_incoterms="DDP",offer_sale_type&lt;&gt;"экспорт"),IF((TODAY()+offer_turnaround_time)&gt;=helpsheet!$L$17,rate_vatRU_from_26,rate_vatRu_till_25),0)</f>
        <v/>
      </c>
      <c r="AP1436" s="193">
        <f>AN1436-AO1436</f>
        <v/>
      </c>
      <c r="AQ1436" s="118">
        <f>IF(offer_sale_type="транзит",SUM(AF1436:AI1436,BA1436,BB1436),0)</f>
        <v/>
      </c>
      <c r="AR1436" s="82">
        <f>HYPERLINK("https://www.alta.ru/tnved/code/")&amp;W1436&amp;"/"</f>
        <v/>
      </c>
      <c r="AS1436" s="157" t="n"/>
      <c r="AT1436" s="162" t="n"/>
      <c r="AU1436" s="76">
        <f>IF(ISBLANK(AT1436),0,AJ1436-AT1436)</f>
        <v/>
      </c>
      <c r="AV1436" s="157" t="n"/>
      <c r="AW1436" s="75">
        <f>_xlfn.IFNA(VLOOKUP(L1436,list_vat[],3,FALSE),0)</f>
        <v/>
      </c>
      <c r="AX1436" s="76">
        <f>IFERROR(ROUND(S1436*(1+AW1436)/E1436,2),0)</f>
        <v/>
      </c>
      <c r="AY1436" s="76">
        <f>E1436*AX1436</f>
        <v/>
      </c>
      <c r="AZ1436" s="192">
        <f>S1436*(1+M1436)</f>
        <v/>
      </c>
      <c r="BA1436" s="76">
        <f>cost_fin_total*$BD1436</f>
        <v/>
      </c>
      <c r="BB1436" s="193">
        <f>credit_sales_interest*BD1436</f>
        <v/>
      </c>
      <c r="BC1436" s="102">
        <f>IFERROR(IF($I$13&gt;0,$I1436/$I$13,$S1436/$S$13),0)</f>
        <v/>
      </c>
      <c r="BD1436" s="102">
        <f>IFERROR($S1436/$S$13,0)</f>
        <v/>
      </c>
      <c r="BE1436" s="413" t="inlineStr">
        <is>
          <t>$</t>
        </is>
      </c>
    </row>
    <row r="1437" ht="12" customFormat="1" customHeight="1" s="65">
      <c r="A1437" s="43" t="n">
        <v>1422</v>
      </c>
      <c r="B1437" s="166" t="n"/>
      <c r="C1437" s="166" t="n"/>
      <c r="D1437" s="166" t="n"/>
      <c r="E1437" s="162" t="n"/>
      <c r="F1437" s="166" t="n"/>
      <c r="G1437" s="162" t="n"/>
      <c r="H1437" s="162" t="n"/>
      <c r="I1437" s="189">
        <f>E1437*G1437</f>
        <v/>
      </c>
      <c r="J1437" s="195" t="n"/>
      <c r="K1437" s="162" t="n"/>
      <c r="L1437" s="168" t="n"/>
      <c r="M1437" s="75">
        <f>_xlfn.XLOOKUP(L1437,list_vat[Страна],list_vat[Ставка НДС %],0,0)</f>
        <v/>
      </c>
      <c r="N1437" s="162">
        <f>IFERROR(IF(L1437="Китай",K1437,K1437/(1+M1437)),0)</f>
        <v/>
      </c>
      <c r="O1437" s="169" t="n"/>
      <c r="P1437" s="76">
        <f>N1437*(1-O1437)</f>
        <v/>
      </c>
      <c r="Q1437" s="162" t="n"/>
      <c r="R1437" s="162">
        <f>IF(ISBLANK(Q1437),"введи курс",P1437/Q1437)</f>
        <v/>
      </c>
      <c r="S1437" s="196">
        <f>IF(AND(ISNUMBER(E1437),ISNUMBER(Q1437)),E1437*R1437,0)</f>
        <v/>
      </c>
      <c r="T1437" s="192">
        <f>$BC1437*V$11</f>
        <v/>
      </c>
      <c r="U1437" s="76">
        <f>$BC1437*W$11</f>
        <v/>
      </c>
      <c r="V1437" s="193">
        <f>+SUM(T1437:U1437)</f>
        <v/>
      </c>
      <c r="W1437" s="191" t="n"/>
      <c r="X1437" s="170" t="n"/>
      <c r="Y1437" s="76">
        <f>ROUND(IF(offer_incoterms="DDP",X1437*(S1437*(1+AW1437)+T1437),0),2)</f>
        <v/>
      </c>
      <c r="Z1437" s="188" t="n"/>
      <c r="AA1437" s="192">
        <f>IFERROR(AB1437/E1437,0)</f>
        <v/>
      </c>
      <c r="AB1437" s="76">
        <f>ROUND(SUM(S1437,V1437,Y1437:Z1437,BA1437:BB1437),2)</f>
        <v/>
      </c>
      <c r="AC1437" s="797" t="n"/>
      <c r="AD1437" s="192">
        <f t="array" ref="AD1437">IFERROR(ROUND((_xlfn.IFS(offer_sale_type="поставка",AB1437,offer_sale_type="транзит",S1437)*(1+AC1437))/E1437,2),0)</f>
        <v/>
      </c>
      <c r="AE1437" s="76">
        <f>AD1437*E1437</f>
        <v/>
      </c>
      <c r="AF1437" s="193">
        <f t="array" ref="AF1437">IFERROR(ROUND(_xlfn.IFS(offer_sale_type="поставка",AB1437,offer_sale_type="транзит",S1437)*AC1437,2),0)</f>
        <v/>
      </c>
      <c r="AG1437" s="192">
        <f>$BD1437*VLOOKUP($AG$3,$AF$4:$AG$7,2,FALSE)</f>
        <v/>
      </c>
      <c r="AH1437" s="76">
        <f>SUM(AE1437,AG1437,AI1437)*rate_forex_risk</f>
        <v/>
      </c>
      <c r="AI1437" s="193">
        <f>IF(OR(seller_region="TR",offer_sale_type="экспорт"),0,rate_fin_comm)*SUM(AZ1437,AZ1437*AW1437,T1437)</f>
        <v/>
      </c>
      <c r="AJ1437" s="118">
        <f>IFERROR(ROUND(SUM(AB1437,AF1437:AI1437)/E1437,2),0)</f>
        <v/>
      </c>
      <c r="AK1437" s="76">
        <f>AJ1437*E1437</f>
        <v/>
      </c>
      <c r="AL1437" s="174">
        <f>ROUND(IFERROR(AM1437*E1437,0),2)</f>
        <v/>
      </c>
      <c r="AM1437" s="175">
        <f>ROUND(AJ1437*(1+IF(offer_incoterms="DDP",IF((TODAY()+offer_turnaround_time)&gt;=helpsheet!$L$17,rate_vatRU_from_26,rate_vatRu_till_25),0)),2)</f>
        <v/>
      </c>
      <c r="AN1437" s="192">
        <f>AL1437-AK1437</f>
        <v/>
      </c>
      <c r="AO1437" s="76">
        <f>SUM(AY1437,Y1437:Z1437,T1437)*IF(AND(offer_incoterms="DDP",offer_sale_type&lt;&gt;"экспорт"),IF((TODAY()+offer_turnaround_time)&gt;=helpsheet!$L$17,rate_vatRU_from_26,rate_vatRu_till_25),0)</f>
        <v/>
      </c>
      <c r="AP1437" s="193">
        <f>AN1437-AO1437</f>
        <v/>
      </c>
      <c r="AQ1437" s="118">
        <f>IF(offer_sale_type="транзит",SUM(AF1437:AI1437,BA1437,BB1437),0)</f>
        <v/>
      </c>
      <c r="AR1437" s="82">
        <f>HYPERLINK("https://www.alta.ru/tnved/code/")&amp;W1437&amp;"/"</f>
        <v/>
      </c>
      <c r="AS1437" s="157" t="n"/>
      <c r="AT1437" s="162" t="n"/>
      <c r="AU1437" s="76">
        <f>IF(ISBLANK(AT1437),0,AJ1437-AT1437)</f>
        <v/>
      </c>
      <c r="AV1437" s="157" t="n"/>
      <c r="AW1437" s="75">
        <f>_xlfn.IFNA(VLOOKUP(L1437,list_vat[],3,FALSE),0)</f>
        <v/>
      </c>
      <c r="AX1437" s="76">
        <f>IFERROR(ROUND(S1437*(1+AW1437)/E1437,2),0)</f>
        <v/>
      </c>
      <c r="AY1437" s="76">
        <f>E1437*AX1437</f>
        <v/>
      </c>
      <c r="AZ1437" s="192">
        <f>S1437*(1+M1437)</f>
        <v/>
      </c>
      <c r="BA1437" s="76">
        <f>cost_fin_total*$BD1437</f>
        <v/>
      </c>
      <c r="BB1437" s="193">
        <f>credit_sales_interest*BD1437</f>
        <v/>
      </c>
      <c r="BC1437" s="102">
        <f>IFERROR(IF($I$13&gt;0,$I1437/$I$13,$S1437/$S$13),0)</f>
        <v/>
      </c>
      <c r="BD1437" s="102">
        <f>IFERROR($S1437/$S$13,0)</f>
        <v/>
      </c>
      <c r="BE1437" s="413" t="inlineStr">
        <is>
          <t>$</t>
        </is>
      </c>
    </row>
    <row r="1438" ht="12" customFormat="1" customHeight="1" s="65">
      <c r="A1438" s="43" t="n">
        <v>1423</v>
      </c>
      <c r="B1438" s="166" t="n"/>
      <c r="C1438" s="166" t="n"/>
      <c r="D1438" s="166" t="n"/>
      <c r="E1438" s="162" t="n"/>
      <c r="F1438" s="166" t="n"/>
      <c r="G1438" s="162" t="n"/>
      <c r="H1438" s="162" t="n"/>
      <c r="I1438" s="189">
        <f>E1438*G1438</f>
        <v/>
      </c>
      <c r="J1438" s="195" t="n"/>
      <c r="K1438" s="162" t="n"/>
      <c r="L1438" s="168" t="n"/>
      <c r="M1438" s="75">
        <f>_xlfn.XLOOKUP(L1438,list_vat[Страна],list_vat[Ставка НДС %],0,0)</f>
        <v/>
      </c>
      <c r="N1438" s="162">
        <f>IFERROR(IF(L1438="Китай",K1438,K1438/(1+M1438)),0)</f>
        <v/>
      </c>
      <c r="O1438" s="169" t="n"/>
      <c r="P1438" s="76">
        <f>N1438*(1-O1438)</f>
        <v/>
      </c>
      <c r="Q1438" s="162" t="n"/>
      <c r="R1438" s="162">
        <f>IF(ISBLANK(Q1438),"введи курс",P1438/Q1438)</f>
        <v/>
      </c>
      <c r="S1438" s="196">
        <f>IF(AND(ISNUMBER(E1438),ISNUMBER(Q1438)),E1438*R1438,0)</f>
        <v/>
      </c>
      <c r="T1438" s="192">
        <f>$BC1438*V$11</f>
        <v/>
      </c>
      <c r="U1438" s="76">
        <f>$BC1438*W$11</f>
        <v/>
      </c>
      <c r="V1438" s="193">
        <f>+SUM(T1438:U1438)</f>
        <v/>
      </c>
      <c r="W1438" s="191" t="n"/>
      <c r="X1438" s="170" t="n"/>
      <c r="Y1438" s="76">
        <f>ROUND(IF(offer_incoterms="DDP",X1438*(S1438*(1+AW1438)+T1438),0),2)</f>
        <v/>
      </c>
      <c r="Z1438" s="188" t="n"/>
      <c r="AA1438" s="192">
        <f>IFERROR(AB1438/E1438,0)</f>
        <v/>
      </c>
      <c r="AB1438" s="76">
        <f>ROUND(SUM(S1438,V1438,Y1438:Z1438,BA1438:BB1438),2)</f>
        <v/>
      </c>
      <c r="AC1438" s="797" t="n"/>
      <c r="AD1438" s="192">
        <f t="array" ref="AD1438">IFERROR(ROUND((_xlfn.IFS(offer_sale_type="поставка",AB1438,offer_sale_type="транзит",S1438)*(1+AC1438))/E1438,2),0)</f>
        <v/>
      </c>
      <c r="AE1438" s="76">
        <f>AD1438*E1438</f>
        <v/>
      </c>
      <c r="AF1438" s="193">
        <f t="array" ref="AF1438">IFERROR(ROUND(_xlfn.IFS(offer_sale_type="поставка",AB1438,offer_sale_type="транзит",S1438)*AC1438,2),0)</f>
        <v/>
      </c>
      <c r="AG1438" s="192">
        <f>$BD1438*VLOOKUP($AG$3,$AF$4:$AG$7,2,FALSE)</f>
        <v/>
      </c>
      <c r="AH1438" s="76">
        <f>SUM(AE1438,AG1438,AI1438)*rate_forex_risk</f>
        <v/>
      </c>
      <c r="AI1438" s="193">
        <f>IF(OR(seller_region="TR",offer_sale_type="экспорт"),0,rate_fin_comm)*SUM(AZ1438,AZ1438*AW1438,T1438)</f>
        <v/>
      </c>
      <c r="AJ1438" s="118">
        <f>IFERROR(ROUND(SUM(AB1438,AF1438:AI1438)/E1438,2),0)</f>
        <v/>
      </c>
      <c r="AK1438" s="76">
        <f>AJ1438*E1438</f>
        <v/>
      </c>
      <c r="AL1438" s="174">
        <f>ROUND(IFERROR(AM1438*E1438,0),2)</f>
        <v/>
      </c>
      <c r="AM1438" s="175">
        <f>ROUND(AJ1438*(1+IF(offer_incoterms="DDP",IF((TODAY()+offer_turnaround_time)&gt;=helpsheet!$L$17,rate_vatRU_from_26,rate_vatRu_till_25),0)),2)</f>
        <v/>
      </c>
      <c r="AN1438" s="192">
        <f>AL1438-AK1438</f>
        <v/>
      </c>
      <c r="AO1438" s="76">
        <f>SUM(AY1438,Y1438:Z1438,T1438)*IF(AND(offer_incoterms="DDP",offer_sale_type&lt;&gt;"экспорт"),IF((TODAY()+offer_turnaround_time)&gt;=helpsheet!$L$17,rate_vatRU_from_26,rate_vatRu_till_25),0)</f>
        <v/>
      </c>
      <c r="AP1438" s="193">
        <f>AN1438-AO1438</f>
        <v/>
      </c>
      <c r="AQ1438" s="118">
        <f>IF(offer_sale_type="транзит",SUM(AF1438:AI1438,BA1438,BB1438),0)</f>
        <v/>
      </c>
      <c r="AR1438" s="82">
        <f>HYPERLINK("https://www.alta.ru/tnved/code/")&amp;W1438&amp;"/"</f>
        <v/>
      </c>
      <c r="AS1438" s="157" t="n"/>
      <c r="AT1438" s="162" t="n"/>
      <c r="AU1438" s="76">
        <f>IF(ISBLANK(AT1438),0,AJ1438-AT1438)</f>
        <v/>
      </c>
      <c r="AV1438" s="157" t="n"/>
      <c r="AW1438" s="75">
        <f>_xlfn.IFNA(VLOOKUP(L1438,list_vat[],3,FALSE),0)</f>
        <v/>
      </c>
      <c r="AX1438" s="76">
        <f>IFERROR(ROUND(S1438*(1+AW1438)/E1438,2),0)</f>
        <v/>
      </c>
      <c r="AY1438" s="76">
        <f>E1438*AX1438</f>
        <v/>
      </c>
      <c r="AZ1438" s="192">
        <f>S1438*(1+M1438)</f>
        <v/>
      </c>
      <c r="BA1438" s="76">
        <f>cost_fin_total*$BD1438</f>
        <v/>
      </c>
      <c r="BB1438" s="193">
        <f>credit_sales_interest*BD1438</f>
        <v/>
      </c>
      <c r="BC1438" s="102">
        <f>IFERROR(IF($I$13&gt;0,$I1438/$I$13,$S1438/$S$13),0)</f>
        <v/>
      </c>
      <c r="BD1438" s="102">
        <f>IFERROR($S1438/$S$13,0)</f>
        <v/>
      </c>
      <c r="BE1438" s="413" t="inlineStr">
        <is>
          <t>$</t>
        </is>
      </c>
    </row>
    <row r="1439" ht="12" customFormat="1" customHeight="1" s="65">
      <c r="A1439" s="43" t="n">
        <v>1424</v>
      </c>
      <c r="B1439" s="166" t="n"/>
      <c r="C1439" s="166" t="n"/>
      <c r="D1439" s="166" t="n"/>
      <c r="E1439" s="162" t="n"/>
      <c r="F1439" s="166" t="n"/>
      <c r="G1439" s="162" t="n"/>
      <c r="H1439" s="162" t="n"/>
      <c r="I1439" s="189">
        <f>E1439*G1439</f>
        <v/>
      </c>
      <c r="J1439" s="195" t="n"/>
      <c r="K1439" s="162" t="n"/>
      <c r="L1439" s="168" t="n"/>
      <c r="M1439" s="75">
        <f>_xlfn.XLOOKUP(L1439,list_vat[Страна],list_vat[Ставка НДС %],0,0)</f>
        <v/>
      </c>
      <c r="N1439" s="162">
        <f>IFERROR(IF(L1439="Китай",K1439,K1439/(1+M1439)),0)</f>
        <v/>
      </c>
      <c r="O1439" s="169" t="n"/>
      <c r="P1439" s="76">
        <f>N1439*(1-O1439)</f>
        <v/>
      </c>
      <c r="Q1439" s="162" t="n"/>
      <c r="R1439" s="162">
        <f>IF(ISBLANK(Q1439),"введи курс",P1439/Q1439)</f>
        <v/>
      </c>
      <c r="S1439" s="196">
        <f>IF(AND(ISNUMBER(E1439),ISNUMBER(Q1439)),E1439*R1439,0)</f>
        <v/>
      </c>
      <c r="T1439" s="192">
        <f>$BC1439*V$11</f>
        <v/>
      </c>
      <c r="U1439" s="76">
        <f>$BC1439*W$11</f>
        <v/>
      </c>
      <c r="V1439" s="193">
        <f>+SUM(T1439:U1439)</f>
        <v/>
      </c>
      <c r="W1439" s="191" t="n"/>
      <c r="X1439" s="170" t="n"/>
      <c r="Y1439" s="76">
        <f>ROUND(IF(offer_incoterms="DDP",X1439*(S1439*(1+AW1439)+T1439),0),2)</f>
        <v/>
      </c>
      <c r="Z1439" s="188" t="n"/>
      <c r="AA1439" s="192">
        <f>IFERROR(AB1439/E1439,0)</f>
        <v/>
      </c>
      <c r="AB1439" s="76">
        <f>ROUND(SUM(S1439,V1439,Y1439:Z1439,BA1439:BB1439),2)</f>
        <v/>
      </c>
      <c r="AC1439" s="797" t="n"/>
      <c r="AD1439" s="192">
        <f t="array" ref="AD1439">IFERROR(ROUND((_xlfn.IFS(offer_sale_type="поставка",AB1439,offer_sale_type="транзит",S1439)*(1+AC1439))/E1439,2),0)</f>
        <v/>
      </c>
      <c r="AE1439" s="76">
        <f>AD1439*E1439</f>
        <v/>
      </c>
      <c r="AF1439" s="193">
        <f t="array" ref="AF1439">IFERROR(ROUND(_xlfn.IFS(offer_sale_type="поставка",AB1439,offer_sale_type="транзит",S1439)*AC1439,2),0)</f>
        <v/>
      </c>
      <c r="AG1439" s="192">
        <f>$BD1439*VLOOKUP($AG$3,$AF$4:$AG$7,2,FALSE)</f>
        <v/>
      </c>
      <c r="AH1439" s="76">
        <f>SUM(AE1439,AG1439,AI1439)*rate_forex_risk</f>
        <v/>
      </c>
      <c r="AI1439" s="193">
        <f>IF(OR(seller_region="TR",offer_sale_type="экспорт"),0,rate_fin_comm)*SUM(AZ1439,AZ1439*AW1439,T1439)</f>
        <v/>
      </c>
      <c r="AJ1439" s="118">
        <f>IFERROR(ROUND(SUM(AB1439,AF1439:AI1439)/E1439,2),0)</f>
        <v/>
      </c>
      <c r="AK1439" s="76">
        <f>AJ1439*E1439</f>
        <v/>
      </c>
      <c r="AL1439" s="174">
        <f>ROUND(IFERROR(AM1439*E1439,0),2)</f>
        <v/>
      </c>
      <c r="AM1439" s="175">
        <f>ROUND(AJ1439*(1+IF(offer_incoterms="DDP",IF((TODAY()+offer_turnaround_time)&gt;=helpsheet!$L$17,rate_vatRU_from_26,rate_vatRu_till_25),0)),2)</f>
        <v/>
      </c>
      <c r="AN1439" s="192">
        <f>AL1439-AK1439</f>
        <v/>
      </c>
      <c r="AO1439" s="76">
        <f>SUM(AY1439,Y1439:Z1439,T1439)*IF(AND(offer_incoterms="DDP",offer_sale_type&lt;&gt;"экспорт"),IF((TODAY()+offer_turnaround_time)&gt;=helpsheet!$L$17,rate_vatRU_from_26,rate_vatRu_till_25),0)</f>
        <v/>
      </c>
      <c r="AP1439" s="193">
        <f>AN1439-AO1439</f>
        <v/>
      </c>
      <c r="AQ1439" s="118">
        <f>IF(offer_sale_type="транзит",SUM(AF1439:AI1439,BA1439,BB1439),0)</f>
        <v/>
      </c>
      <c r="AR1439" s="82">
        <f>HYPERLINK("https://www.alta.ru/tnved/code/")&amp;W1439&amp;"/"</f>
        <v/>
      </c>
      <c r="AS1439" s="157" t="n"/>
      <c r="AT1439" s="162" t="n"/>
      <c r="AU1439" s="76">
        <f>IF(ISBLANK(AT1439),0,AJ1439-AT1439)</f>
        <v/>
      </c>
      <c r="AV1439" s="157" t="n"/>
      <c r="AW1439" s="75">
        <f>_xlfn.IFNA(VLOOKUP(L1439,list_vat[],3,FALSE),0)</f>
        <v/>
      </c>
      <c r="AX1439" s="76">
        <f>IFERROR(ROUND(S1439*(1+AW1439)/E1439,2),0)</f>
        <v/>
      </c>
      <c r="AY1439" s="76">
        <f>E1439*AX1439</f>
        <v/>
      </c>
      <c r="AZ1439" s="192">
        <f>S1439*(1+M1439)</f>
        <v/>
      </c>
      <c r="BA1439" s="76">
        <f>cost_fin_total*$BD1439</f>
        <v/>
      </c>
      <c r="BB1439" s="193">
        <f>credit_sales_interest*BD1439</f>
        <v/>
      </c>
      <c r="BC1439" s="102">
        <f>IFERROR(IF($I$13&gt;0,$I1439/$I$13,$S1439/$S$13),0)</f>
        <v/>
      </c>
      <c r="BD1439" s="102">
        <f>IFERROR($S1439/$S$13,0)</f>
        <v/>
      </c>
      <c r="BE1439" s="413" t="inlineStr">
        <is>
          <t>$</t>
        </is>
      </c>
    </row>
    <row r="1440" ht="12" customFormat="1" customHeight="1" s="65">
      <c r="A1440" s="43" t="n">
        <v>1425</v>
      </c>
      <c r="B1440" s="166" t="n"/>
      <c r="C1440" s="166" t="n"/>
      <c r="D1440" s="166" t="n"/>
      <c r="E1440" s="162" t="n"/>
      <c r="F1440" s="166" t="n"/>
      <c r="G1440" s="162" t="n"/>
      <c r="H1440" s="162" t="n"/>
      <c r="I1440" s="189">
        <f>E1440*G1440</f>
        <v/>
      </c>
      <c r="J1440" s="195" t="n"/>
      <c r="K1440" s="162" t="n"/>
      <c r="L1440" s="168" t="n"/>
      <c r="M1440" s="75">
        <f>_xlfn.XLOOKUP(L1440,list_vat[Страна],list_vat[Ставка НДС %],0,0)</f>
        <v/>
      </c>
      <c r="N1440" s="162">
        <f>IFERROR(IF(L1440="Китай",K1440,K1440/(1+M1440)),0)</f>
        <v/>
      </c>
      <c r="O1440" s="169" t="n"/>
      <c r="P1440" s="76">
        <f>N1440*(1-O1440)</f>
        <v/>
      </c>
      <c r="Q1440" s="162" t="n"/>
      <c r="R1440" s="162">
        <f>IF(ISBLANK(Q1440),"введи курс",P1440/Q1440)</f>
        <v/>
      </c>
      <c r="S1440" s="196">
        <f>IF(AND(ISNUMBER(E1440),ISNUMBER(Q1440)),E1440*R1440,0)</f>
        <v/>
      </c>
      <c r="T1440" s="192">
        <f>$BC1440*V$11</f>
        <v/>
      </c>
      <c r="U1440" s="76">
        <f>$BC1440*W$11</f>
        <v/>
      </c>
      <c r="V1440" s="193">
        <f>+SUM(T1440:U1440)</f>
        <v/>
      </c>
      <c r="W1440" s="191" t="n"/>
      <c r="X1440" s="170" t="n"/>
      <c r="Y1440" s="76">
        <f>ROUND(IF(offer_incoterms="DDP",X1440*(S1440*(1+AW1440)+T1440),0),2)</f>
        <v/>
      </c>
      <c r="Z1440" s="188" t="n"/>
      <c r="AA1440" s="192">
        <f>IFERROR(AB1440/E1440,0)</f>
        <v/>
      </c>
      <c r="AB1440" s="76">
        <f>ROUND(SUM(S1440,V1440,Y1440:Z1440,BA1440:BB1440),2)</f>
        <v/>
      </c>
      <c r="AC1440" s="797" t="n"/>
      <c r="AD1440" s="192">
        <f t="array" ref="AD1440">IFERROR(ROUND((_xlfn.IFS(offer_sale_type="поставка",AB1440,offer_sale_type="транзит",S1440)*(1+AC1440))/E1440,2),0)</f>
        <v/>
      </c>
      <c r="AE1440" s="76">
        <f>AD1440*E1440</f>
        <v/>
      </c>
      <c r="AF1440" s="193">
        <f t="array" ref="AF1440">IFERROR(ROUND(_xlfn.IFS(offer_sale_type="поставка",AB1440,offer_sale_type="транзит",S1440)*AC1440,2),0)</f>
        <v/>
      </c>
      <c r="AG1440" s="192">
        <f>$BD1440*VLOOKUP($AG$3,$AF$4:$AG$7,2,FALSE)</f>
        <v/>
      </c>
      <c r="AH1440" s="76">
        <f>SUM(AE1440,AG1440,AI1440)*rate_forex_risk</f>
        <v/>
      </c>
      <c r="AI1440" s="193">
        <f>IF(OR(seller_region="TR",offer_sale_type="экспорт"),0,rate_fin_comm)*SUM(AZ1440,AZ1440*AW1440,T1440)</f>
        <v/>
      </c>
      <c r="AJ1440" s="118">
        <f>IFERROR(ROUND(SUM(AB1440,AF1440:AI1440)/E1440,2),0)</f>
        <v/>
      </c>
      <c r="AK1440" s="76">
        <f>AJ1440*E1440</f>
        <v/>
      </c>
      <c r="AL1440" s="174">
        <f>ROUND(IFERROR(AM1440*E1440,0),2)</f>
        <v/>
      </c>
      <c r="AM1440" s="175">
        <f>ROUND(AJ1440*(1+IF(offer_incoterms="DDP",IF((TODAY()+offer_turnaround_time)&gt;=helpsheet!$L$17,rate_vatRU_from_26,rate_vatRu_till_25),0)),2)</f>
        <v/>
      </c>
      <c r="AN1440" s="192">
        <f>AL1440-AK1440</f>
        <v/>
      </c>
      <c r="AO1440" s="76">
        <f>SUM(AY1440,Y1440:Z1440,T1440)*IF(AND(offer_incoterms="DDP",offer_sale_type&lt;&gt;"экспорт"),IF((TODAY()+offer_turnaround_time)&gt;=helpsheet!$L$17,rate_vatRU_from_26,rate_vatRu_till_25),0)</f>
        <v/>
      </c>
      <c r="AP1440" s="193">
        <f>AN1440-AO1440</f>
        <v/>
      </c>
      <c r="AQ1440" s="118">
        <f>IF(offer_sale_type="транзит",SUM(AF1440:AI1440,BA1440,BB1440),0)</f>
        <v/>
      </c>
      <c r="AR1440" s="82">
        <f>HYPERLINK("https://www.alta.ru/tnved/code/")&amp;W1440&amp;"/"</f>
        <v/>
      </c>
      <c r="AS1440" s="157" t="n"/>
      <c r="AT1440" s="162" t="n"/>
      <c r="AU1440" s="76">
        <f>IF(ISBLANK(AT1440),0,AJ1440-AT1440)</f>
        <v/>
      </c>
      <c r="AV1440" s="157" t="n"/>
      <c r="AW1440" s="75">
        <f>_xlfn.IFNA(VLOOKUP(L1440,list_vat[],3,FALSE),0)</f>
        <v/>
      </c>
      <c r="AX1440" s="76">
        <f>IFERROR(ROUND(S1440*(1+AW1440)/E1440,2),0)</f>
        <v/>
      </c>
      <c r="AY1440" s="76">
        <f>E1440*AX1440</f>
        <v/>
      </c>
      <c r="AZ1440" s="192">
        <f>S1440*(1+M1440)</f>
        <v/>
      </c>
      <c r="BA1440" s="76">
        <f>cost_fin_total*$BD1440</f>
        <v/>
      </c>
      <c r="BB1440" s="193">
        <f>credit_sales_interest*BD1440</f>
        <v/>
      </c>
      <c r="BC1440" s="102">
        <f>IFERROR(IF($I$13&gt;0,$I1440/$I$13,$S1440/$S$13),0)</f>
        <v/>
      </c>
      <c r="BD1440" s="102">
        <f>IFERROR($S1440/$S$13,0)</f>
        <v/>
      </c>
      <c r="BE1440" s="413" t="inlineStr">
        <is>
          <t>$</t>
        </is>
      </c>
    </row>
    <row r="1441" ht="12" customFormat="1" customHeight="1" s="65">
      <c r="A1441" s="43" t="n">
        <v>1426</v>
      </c>
      <c r="B1441" s="166" t="n"/>
      <c r="C1441" s="166" t="n"/>
      <c r="D1441" s="166" t="n"/>
      <c r="E1441" s="162" t="n"/>
      <c r="F1441" s="166" t="n"/>
      <c r="G1441" s="162" t="n"/>
      <c r="H1441" s="162" t="n"/>
      <c r="I1441" s="189">
        <f>E1441*G1441</f>
        <v/>
      </c>
      <c r="J1441" s="195" t="n"/>
      <c r="K1441" s="162" t="n"/>
      <c r="L1441" s="168" t="n"/>
      <c r="M1441" s="75">
        <f>_xlfn.XLOOKUP(L1441,list_vat[Страна],list_vat[Ставка НДС %],0,0)</f>
        <v/>
      </c>
      <c r="N1441" s="162">
        <f>IFERROR(IF(L1441="Китай",K1441,K1441/(1+M1441)),0)</f>
        <v/>
      </c>
      <c r="O1441" s="169" t="n"/>
      <c r="P1441" s="76">
        <f>N1441*(1-O1441)</f>
        <v/>
      </c>
      <c r="Q1441" s="162" t="n"/>
      <c r="R1441" s="162">
        <f>IF(ISBLANK(Q1441),"введи курс",P1441/Q1441)</f>
        <v/>
      </c>
      <c r="S1441" s="196">
        <f>IF(AND(ISNUMBER(E1441),ISNUMBER(Q1441)),E1441*R1441,0)</f>
        <v/>
      </c>
      <c r="T1441" s="192">
        <f>$BC1441*V$11</f>
        <v/>
      </c>
      <c r="U1441" s="76">
        <f>$BC1441*W$11</f>
        <v/>
      </c>
      <c r="V1441" s="193">
        <f>+SUM(T1441:U1441)</f>
        <v/>
      </c>
      <c r="W1441" s="191" t="n"/>
      <c r="X1441" s="170" t="n"/>
      <c r="Y1441" s="76">
        <f>ROUND(IF(offer_incoterms="DDP",X1441*(S1441*(1+AW1441)+T1441),0),2)</f>
        <v/>
      </c>
      <c r="Z1441" s="188" t="n"/>
      <c r="AA1441" s="192">
        <f>IFERROR(AB1441/E1441,0)</f>
        <v/>
      </c>
      <c r="AB1441" s="76">
        <f>ROUND(SUM(S1441,V1441,Y1441:Z1441,BA1441:BB1441),2)</f>
        <v/>
      </c>
      <c r="AC1441" s="797" t="n"/>
      <c r="AD1441" s="192">
        <f t="array" ref="AD1441">IFERROR(ROUND((_xlfn.IFS(offer_sale_type="поставка",AB1441,offer_sale_type="транзит",S1441)*(1+AC1441))/E1441,2),0)</f>
        <v/>
      </c>
      <c r="AE1441" s="76">
        <f>AD1441*E1441</f>
        <v/>
      </c>
      <c r="AF1441" s="193">
        <f t="array" ref="AF1441">IFERROR(ROUND(_xlfn.IFS(offer_sale_type="поставка",AB1441,offer_sale_type="транзит",S1441)*AC1441,2),0)</f>
        <v/>
      </c>
      <c r="AG1441" s="192">
        <f>$BD1441*VLOOKUP($AG$3,$AF$4:$AG$7,2,FALSE)</f>
        <v/>
      </c>
      <c r="AH1441" s="76">
        <f>SUM(AE1441,AG1441,AI1441)*rate_forex_risk</f>
        <v/>
      </c>
      <c r="AI1441" s="193">
        <f>IF(OR(seller_region="TR",offer_sale_type="экспорт"),0,rate_fin_comm)*SUM(AZ1441,AZ1441*AW1441,T1441)</f>
        <v/>
      </c>
      <c r="AJ1441" s="118">
        <f>IFERROR(ROUND(SUM(AB1441,AF1441:AI1441)/E1441,2),0)</f>
        <v/>
      </c>
      <c r="AK1441" s="76">
        <f>AJ1441*E1441</f>
        <v/>
      </c>
      <c r="AL1441" s="174">
        <f>ROUND(IFERROR(AM1441*E1441,0),2)</f>
        <v/>
      </c>
      <c r="AM1441" s="175">
        <f>ROUND(AJ1441*(1+IF(offer_incoterms="DDP",IF((TODAY()+offer_turnaround_time)&gt;=helpsheet!$L$17,rate_vatRU_from_26,rate_vatRu_till_25),0)),2)</f>
        <v/>
      </c>
      <c r="AN1441" s="192">
        <f>AL1441-AK1441</f>
        <v/>
      </c>
      <c r="AO1441" s="76">
        <f>SUM(AY1441,Y1441:Z1441,T1441)*IF(AND(offer_incoterms="DDP",offer_sale_type&lt;&gt;"экспорт"),IF((TODAY()+offer_turnaround_time)&gt;=helpsheet!$L$17,rate_vatRU_from_26,rate_vatRu_till_25),0)</f>
        <v/>
      </c>
      <c r="AP1441" s="193">
        <f>AN1441-AO1441</f>
        <v/>
      </c>
      <c r="AQ1441" s="118">
        <f>IF(offer_sale_type="транзит",SUM(AF1441:AI1441,BA1441,BB1441),0)</f>
        <v/>
      </c>
      <c r="AR1441" s="82">
        <f>HYPERLINK("https://www.alta.ru/tnved/code/")&amp;W1441&amp;"/"</f>
        <v/>
      </c>
      <c r="AS1441" s="157" t="n"/>
      <c r="AT1441" s="162" t="n"/>
      <c r="AU1441" s="76">
        <f>IF(ISBLANK(AT1441),0,AJ1441-AT1441)</f>
        <v/>
      </c>
      <c r="AV1441" s="157" t="n"/>
      <c r="AW1441" s="75">
        <f>_xlfn.IFNA(VLOOKUP(L1441,list_vat[],3,FALSE),0)</f>
        <v/>
      </c>
      <c r="AX1441" s="76">
        <f>IFERROR(ROUND(S1441*(1+AW1441)/E1441,2),0)</f>
        <v/>
      </c>
      <c r="AY1441" s="76">
        <f>E1441*AX1441</f>
        <v/>
      </c>
      <c r="AZ1441" s="192">
        <f>S1441*(1+M1441)</f>
        <v/>
      </c>
      <c r="BA1441" s="76">
        <f>cost_fin_total*$BD1441</f>
        <v/>
      </c>
      <c r="BB1441" s="193">
        <f>credit_sales_interest*BD1441</f>
        <v/>
      </c>
      <c r="BC1441" s="102">
        <f>IFERROR(IF($I$13&gt;0,$I1441/$I$13,$S1441/$S$13),0)</f>
        <v/>
      </c>
      <c r="BD1441" s="102">
        <f>IFERROR($S1441/$S$13,0)</f>
        <v/>
      </c>
      <c r="BE1441" s="413" t="inlineStr">
        <is>
          <t>$</t>
        </is>
      </c>
    </row>
    <row r="1442" ht="12" customFormat="1" customHeight="1" s="65">
      <c r="A1442" s="43" t="n">
        <v>1427</v>
      </c>
      <c r="B1442" s="166" t="n"/>
      <c r="C1442" s="166" t="n"/>
      <c r="D1442" s="166" t="n"/>
      <c r="E1442" s="162" t="n"/>
      <c r="F1442" s="166" t="n"/>
      <c r="G1442" s="162" t="n"/>
      <c r="H1442" s="162" t="n"/>
      <c r="I1442" s="189">
        <f>E1442*G1442</f>
        <v/>
      </c>
      <c r="J1442" s="195" t="n"/>
      <c r="K1442" s="162" t="n"/>
      <c r="L1442" s="168" t="n"/>
      <c r="M1442" s="75">
        <f>_xlfn.XLOOKUP(L1442,list_vat[Страна],list_vat[Ставка НДС %],0,0)</f>
        <v/>
      </c>
      <c r="N1442" s="162">
        <f>IFERROR(IF(L1442="Китай",K1442,K1442/(1+M1442)),0)</f>
        <v/>
      </c>
      <c r="O1442" s="169" t="n"/>
      <c r="P1442" s="76">
        <f>N1442*(1-O1442)</f>
        <v/>
      </c>
      <c r="Q1442" s="162" t="n"/>
      <c r="R1442" s="162">
        <f>IF(ISBLANK(Q1442),"введи курс",P1442/Q1442)</f>
        <v/>
      </c>
      <c r="S1442" s="196">
        <f>IF(AND(ISNUMBER(E1442),ISNUMBER(Q1442)),E1442*R1442,0)</f>
        <v/>
      </c>
      <c r="T1442" s="192">
        <f>$BC1442*V$11</f>
        <v/>
      </c>
      <c r="U1442" s="76">
        <f>$BC1442*W$11</f>
        <v/>
      </c>
      <c r="V1442" s="193">
        <f>+SUM(T1442:U1442)</f>
        <v/>
      </c>
      <c r="W1442" s="191" t="n"/>
      <c r="X1442" s="170" t="n"/>
      <c r="Y1442" s="76">
        <f>ROUND(IF(offer_incoterms="DDP",X1442*(S1442*(1+AW1442)+T1442),0),2)</f>
        <v/>
      </c>
      <c r="Z1442" s="188" t="n"/>
      <c r="AA1442" s="192">
        <f>IFERROR(AB1442/E1442,0)</f>
        <v/>
      </c>
      <c r="AB1442" s="76">
        <f>ROUND(SUM(S1442,V1442,Y1442:Z1442,BA1442:BB1442),2)</f>
        <v/>
      </c>
      <c r="AC1442" s="797" t="n"/>
      <c r="AD1442" s="192">
        <f t="array" ref="AD1442">IFERROR(ROUND((_xlfn.IFS(offer_sale_type="поставка",AB1442,offer_sale_type="транзит",S1442)*(1+AC1442))/E1442,2),0)</f>
        <v/>
      </c>
      <c r="AE1442" s="76">
        <f>AD1442*E1442</f>
        <v/>
      </c>
      <c r="AF1442" s="193">
        <f t="array" ref="AF1442">IFERROR(ROUND(_xlfn.IFS(offer_sale_type="поставка",AB1442,offer_sale_type="транзит",S1442)*AC1442,2),0)</f>
        <v/>
      </c>
      <c r="AG1442" s="192">
        <f>$BD1442*VLOOKUP($AG$3,$AF$4:$AG$7,2,FALSE)</f>
        <v/>
      </c>
      <c r="AH1442" s="76">
        <f>SUM(AE1442,AG1442,AI1442)*rate_forex_risk</f>
        <v/>
      </c>
      <c r="AI1442" s="193">
        <f>IF(OR(seller_region="TR",offer_sale_type="экспорт"),0,rate_fin_comm)*SUM(AZ1442,AZ1442*AW1442,T1442)</f>
        <v/>
      </c>
      <c r="AJ1442" s="118">
        <f>IFERROR(ROUND(SUM(AB1442,AF1442:AI1442)/E1442,2),0)</f>
        <v/>
      </c>
      <c r="AK1442" s="76">
        <f>AJ1442*E1442</f>
        <v/>
      </c>
      <c r="AL1442" s="174">
        <f>ROUND(IFERROR(AM1442*E1442,0),2)</f>
        <v/>
      </c>
      <c r="AM1442" s="175">
        <f>ROUND(AJ1442*(1+IF(offer_incoterms="DDP",IF((TODAY()+offer_turnaround_time)&gt;=helpsheet!$L$17,rate_vatRU_from_26,rate_vatRu_till_25),0)),2)</f>
        <v/>
      </c>
      <c r="AN1442" s="192">
        <f>AL1442-AK1442</f>
        <v/>
      </c>
      <c r="AO1442" s="76">
        <f>SUM(AY1442,Y1442:Z1442,T1442)*IF(AND(offer_incoterms="DDP",offer_sale_type&lt;&gt;"экспорт"),IF((TODAY()+offer_turnaround_time)&gt;=helpsheet!$L$17,rate_vatRU_from_26,rate_vatRu_till_25),0)</f>
        <v/>
      </c>
      <c r="AP1442" s="193">
        <f>AN1442-AO1442</f>
        <v/>
      </c>
      <c r="AQ1442" s="118">
        <f>IF(offer_sale_type="транзит",SUM(AF1442:AI1442,BA1442,BB1442),0)</f>
        <v/>
      </c>
      <c r="AR1442" s="82">
        <f>HYPERLINK("https://www.alta.ru/tnved/code/")&amp;W1442&amp;"/"</f>
        <v/>
      </c>
      <c r="AS1442" s="157" t="n"/>
      <c r="AT1442" s="162" t="n"/>
      <c r="AU1442" s="76">
        <f>IF(ISBLANK(AT1442),0,AJ1442-AT1442)</f>
        <v/>
      </c>
      <c r="AV1442" s="157" t="n"/>
      <c r="AW1442" s="75">
        <f>_xlfn.IFNA(VLOOKUP(L1442,list_vat[],3,FALSE),0)</f>
        <v/>
      </c>
      <c r="AX1442" s="76">
        <f>IFERROR(ROUND(S1442*(1+AW1442)/E1442,2),0)</f>
        <v/>
      </c>
      <c r="AY1442" s="76">
        <f>E1442*AX1442</f>
        <v/>
      </c>
      <c r="AZ1442" s="192">
        <f>S1442*(1+M1442)</f>
        <v/>
      </c>
      <c r="BA1442" s="76">
        <f>cost_fin_total*$BD1442</f>
        <v/>
      </c>
      <c r="BB1442" s="193">
        <f>credit_sales_interest*BD1442</f>
        <v/>
      </c>
      <c r="BC1442" s="102">
        <f>IFERROR(IF($I$13&gt;0,$I1442/$I$13,$S1442/$S$13),0)</f>
        <v/>
      </c>
      <c r="BD1442" s="102">
        <f>IFERROR($S1442/$S$13,0)</f>
        <v/>
      </c>
      <c r="BE1442" s="413" t="inlineStr">
        <is>
          <t>$</t>
        </is>
      </c>
    </row>
    <row r="1443" ht="12" customFormat="1" customHeight="1" s="65">
      <c r="A1443" s="43" t="n">
        <v>1428</v>
      </c>
      <c r="B1443" s="166" t="n"/>
      <c r="C1443" s="166" t="n"/>
      <c r="D1443" s="166" t="n"/>
      <c r="E1443" s="162" t="n"/>
      <c r="F1443" s="166" t="n"/>
      <c r="G1443" s="162" t="n"/>
      <c r="H1443" s="162" t="n"/>
      <c r="I1443" s="189">
        <f>E1443*G1443</f>
        <v/>
      </c>
      <c r="J1443" s="195" t="n"/>
      <c r="K1443" s="162" t="n"/>
      <c r="L1443" s="168" t="n"/>
      <c r="M1443" s="75">
        <f>_xlfn.XLOOKUP(L1443,list_vat[Страна],list_vat[Ставка НДС %],0,0)</f>
        <v/>
      </c>
      <c r="N1443" s="162">
        <f>IFERROR(IF(L1443="Китай",K1443,K1443/(1+M1443)),0)</f>
        <v/>
      </c>
      <c r="O1443" s="169" t="n"/>
      <c r="P1443" s="76">
        <f>N1443*(1-O1443)</f>
        <v/>
      </c>
      <c r="Q1443" s="162" t="n"/>
      <c r="R1443" s="162">
        <f>IF(ISBLANK(Q1443),"введи курс",P1443/Q1443)</f>
        <v/>
      </c>
      <c r="S1443" s="196">
        <f>IF(AND(ISNUMBER(E1443),ISNUMBER(Q1443)),E1443*R1443,0)</f>
        <v/>
      </c>
      <c r="T1443" s="192">
        <f>$BC1443*V$11</f>
        <v/>
      </c>
      <c r="U1443" s="76">
        <f>$BC1443*W$11</f>
        <v/>
      </c>
      <c r="V1443" s="193">
        <f>+SUM(T1443:U1443)</f>
        <v/>
      </c>
      <c r="W1443" s="191" t="n"/>
      <c r="X1443" s="170" t="n"/>
      <c r="Y1443" s="76">
        <f>ROUND(IF(offer_incoterms="DDP",X1443*(S1443*(1+AW1443)+T1443),0),2)</f>
        <v/>
      </c>
      <c r="Z1443" s="188" t="n"/>
      <c r="AA1443" s="192">
        <f>IFERROR(AB1443/E1443,0)</f>
        <v/>
      </c>
      <c r="AB1443" s="76">
        <f>ROUND(SUM(S1443,V1443,Y1443:Z1443,BA1443:BB1443),2)</f>
        <v/>
      </c>
      <c r="AC1443" s="797" t="n"/>
      <c r="AD1443" s="192">
        <f t="array" ref="AD1443">IFERROR(ROUND((_xlfn.IFS(offer_sale_type="поставка",AB1443,offer_sale_type="транзит",S1443)*(1+AC1443))/E1443,2),0)</f>
        <v/>
      </c>
      <c r="AE1443" s="76">
        <f>AD1443*E1443</f>
        <v/>
      </c>
      <c r="AF1443" s="193">
        <f t="array" ref="AF1443">IFERROR(ROUND(_xlfn.IFS(offer_sale_type="поставка",AB1443,offer_sale_type="транзит",S1443)*AC1443,2),0)</f>
        <v/>
      </c>
      <c r="AG1443" s="192">
        <f>$BD1443*VLOOKUP($AG$3,$AF$4:$AG$7,2,FALSE)</f>
        <v/>
      </c>
      <c r="AH1443" s="76">
        <f>SUM(AE1443,AG1443,AI1443)*rate_forex_risk</f>
        <v/>
      </c>
      <c r="AI1443" s="193">
        <f>IF(OR(seller_region="TR",offer_sale_type="экспорт"),0,rate_fin_comm)*SUM(AZ1443,AZ1443*AW1443,T1443)</f>
        <v/>
      </c>
      <c r="AJ1443" s="118">
        <f>IFERROR(ROUND(SUM(AB1443,AF1443:AI1443)/E1443,2),0)</f>
        <v/>
      </c>
      <c r="AK1443" s="76">
        <f>AJ1443*E1443</f>
        <v/>
      </c>
      <c r="AL1443" s="174">
        <f>ROUND(IFERROR(AM1443*E1443,0),2)</f>
        <v/>
      </c>
      <c r="AM1443" s="175">
        <f>ROUND(AJ1443*(1+IF(offer_incoterms="DDP",IF((TODAY()+offer_turnaround_time)&gt;=helpsheet!$L$17,rate_vatRU_from_26,rate_vatRu_till_25),0)),2)</f>
        <v/>
      </c>
      <c r="AN1443" s="192">
        <f>AL1443-AK1443</f>
        <v/>
      </c>
      <c r="AO1443" s="76">
        <f>SUM(AY1443,Y1443:Z1443,T1443)*IF(AND(offer_incoterms="DDP",offer_sale_type&lt;&gt;"экспорт"),IF((TODAY()+offer_turnaround_time)&gt;=helpsheet!$L$17,rate_vatRU_from_26,rate_vatRu_till_25),0)</f>
        <v/>
      </c>
      <c r="AP1443" s="193">
        <f>AN1443-AO1443</f>
        <v/>
      </c>
      <c r="AQ1443" s="118">
        <f>IF(offer_sale_type="транзит",SUM(AF1443:AI1443,BA1443,BB1443),0)</f>
        <v/>
      </c>
      <c r="AR1443" s="82">
        <f>HYPERLINK("https://www.alta.ru/tnved/code/")&amp;W1443&amp;"/"</f>
        <v/>
      </c>
      <c r="AS1443" s="157" t="n"/>
      <c r="AT1443" s="162" t="n"/>
      <c r="AU1443" s="76">
        <f>IF(ISBLANK(AT1443),0,AJ1443-AT1443)</f>
        <v/>
      </c>
      <c r="AV1443" s="157" t="n"/>
      <c r="AW1443" s="75">
        <f>_xlfn.IFNA(VLOOKUP(L1443,list_vat[],3,FALSE),0)</f>
        <v/>
      </c>
      <c r="AX1443" s="76">
        <f>IFERROR(ROUND(S1443*(1+AW1443)/E1443,2),0)</f>
        <v/>
      </c>
      <c r="AY1443" s="76">
        <f>E1443*AX1443</f>
        <v/>
      </c>
      <c r="AZ1443" s="192">
        <f>S1443*(1+M1443)</f>
        <v/>
      </c>
      <c r="BA1443" s="76">
        <f>cost_fin_total*$BD1443</f>
        <v/>
      </c>
      <c r="BB1443" s="193">
        <f>credit_sales_interest*BD1443</f>
        <v/>
      </c>
      <c r="BC1443" s="102">
        <f>IFERROR(IF($I$13&gt;0,$I1443/$I$13,$S1443/$S$13),0)</f>
        <v/>
      </c>
      <c r="BD1443" s="102">
        <f>IFERROR($S1443/$S$13,0)</f>
        <v/>
      </c>
      <c r="BE1443" s="413" t="inlineStr">
        <is>
          <t>$</t>
        </is>
      </c>
    </row>
    <row r="1444" ht="12" customFormat="1" customHeight="1" s="65">
      <c r="A1444" s="43" t="n">
        <v>1429</v>
      </c>
      <c r="B1444" s="166" t="n"/>
      <c r="C1444" s="166" t="n"/>
      <c r="D1444" s="166" t="n"/>
      <c r="E1444" s="162" t="n"/>
      <c r="F1444" s="166" t="n"/>
      <c r="G1444" s="162" t="n"/>
      <c r="H1444" s="162" t="n"/>
      <c r="I1444" s="189">
        <f>E1444*G1444</f>
        <v/>
      </c>
      <c r="J1444" s="195" t="n"/>
      <c r="K1444" s="162" t="n"/>
      <c r="L1444" s="168" t="n"/>
      <c r="M1444" s="75">
        <f>_xlfn.XLOOKUP(L1444,list_vat[Страна],list_vat[Ставка НДС %],0,0)</f>
        <v/>
      </c>
      <c r="N1444" s="162">
        <f>IFERROR(IF(L1444="Китай",K1444,K1444/(1+M1444)),0)</f>
        <v/>
      </c>
      <c r="O1444" s="169" t="n"/>
      <c r="P1444" s="76">
        <f>N1444*(1-O1444)</f>
        <v/>
      </c>
      <c r="Q1444" s="162" t="n"/>
      <c r="R1444" s="162">
        <f>IF(ISBLANK(Q1444),"введи курс",P1444/Q1444)</f>
        <v/>
      </c>
      <c r="S1444" s="196">
        <f>IF(AND(ISNUMBER(E1444),ISNUMBER(Q1444)),E1444*R1444,0)</f>
        <v/>
      </c>
      <c r="T1444" s="192">
        <f>$BC1444*V$11</f>
        <v/>
      </c>
      <c r="U1444" s="76">
        <f>$BC1444*W$11</f>
        <v/>
      </c>
      <c r="V1444" s="193">
        <f>+SUM(T1444:U1444)</f>
        <v/>
      </c>
      <c r="W1444" s="191" t="n"/>
      <c r="X1444" s="170" t="n"/>
      <c r="Y1444" s="76">
        <f>ROUND(IF(offer_incoterms="DDP",X1444*(S1444*(1+AW1444)+T1444),0),2)</f>
        <v/>
      </c>
      <c r="Z1444" s="188" t="n"/>
      <c r="AA1444" s="192">
        <f>IFERROR(AB1444/E1444,0)</f>
        <v/>
      </c>
      <c r="AB1444" s="76">
        <f>ROUND(SUM(S1444,V1444,Y1444:Z1444,BA1444:BB1444),2)</f>
        <v/>
      </c>
      <c r="AC1444" s="797" t="n"/>
      <c r="AD1444" s="192">
        <f t="array" ref="AD1444">IFERROR(ROUND((_xlfn.IFS(offer_sale_type="поставка",AB1444,offer_sale_type="транзит",S1444)*(1+AC1444))/E1444,2),0)</f>
        <v/>
      </c>
      <c r="AE1444" s="76">
        <f>AD1444*E1444</f>
        <v/>
      </c>
      <c r="AF1444" s="193">
        <f t="array" ref="AF1444">IFERROR(ROUND(_xlfn.IFS(offer_sale_type="поставка",AB1444,offer_sale_type="транзит",S1444)*AC1444,2),0)</f>
        <v/>
      </c>
      <c r="AG1444" s="192">
        <f>$BD1444*VLOOKUP($AG$3,$AF$4:$AG$7,2,FALSE)</f>
        <v/>
      </c>
      <c r="AH1444" s="76">
        <f>SUM(AE1444,AG1444,AI1444)*rate_forex_risk</f>
        <v/>
      </c>
      <c r="AI1444" s="193">
        <f>IF(OR(seller_region="TR",offer_sale_type="экспорт"),0,rate_fin_comm)*SUM(AZ1444,AZ1444*AW1444,T1444)</f>
        <v/>
      </c>
      <c r="AJ1444" s="118">
        <f>IFERROR(ROUND(SUM(AB1444,AF1444:AI1444)/E1444,2),0)</f>
        <v/>
      </c>
      <c r="AK1444" s="76">
        <f>AJ1444*E1444</f>
        <v/>
      </c>
      <c r="AL1444" s="174">
        <f>ROUND(IFERROR(AM1444*E1444,0),2)</f>
        <v/>
      </c>
      <c r="AM1444" s="175">
        <f>ROUND(AJ1444*(1+IF(offer_incoterms="DDP",IF((TODAY()+offer_turnaround_time)&gt;=helpsheet!$L$17,rate_vatRU_from_26,rate_vatRu_till_25),0)),2)</f>
        <v/>
      </c>
      <c r="AN1444" s="192">
        <f>AL1444-AK1444</f>
        <v/>
      </c>
      <c r="AO1444" s="76">
        <f>SUM(AY1444,Y1444:Z1444,T1444)*IF(AND(offer_incoterms="DDP",offer_sale_type&lt;&gt;"экспорт"),IF((TODAY()+offer_turnaround_time)&gt;=helpsheet!$L$17,rate_vatRU_from_26,rate_vatRu_till_25),0)</f>
        <v/>
      </c>
      <c r="AP1444" s="193">
        <f>AN1444-AO1444</f>
        <v/>
      </c>
      <c r="AQ1444" s="118">
        <f>IF(offer_sale_type="транзит",SUM(AF1444:AI1444,BA1444,BB1444),0)</f>
        <v/>
      </c>
      <c r="AR1444" s="82">
        <f>HYPERLINK("https://www.alta.ru/tnved/code/")&amp;W1444&amp;"/"</f>
        <v/>
      </c>
      <c r="AS1444" s="157" t="n"/>
      <c r="AT1444" s="162" t="n"/>
      <c r="AU1444" s="76">
        <f>IF(ISBLANK(AT1444),0,AJ1444-AT1444)</f>
        <v/>
      </c>
      <c r="AV1444" s="157" t="n"/>
      <c r="AW1444" s="75">
        <f>_xlfn.IFNA(VLOOKUP(L1444,list_vat[],3,FALSE),0)</f>
        <v/>
      </c>
      <c r="AX1444" s="76">
        <f>IFERROR(ROUND(S1444*(1+AW1444)/E1444,2),0)</f>
        <v/>
      </c>
      <c r="AY1444" s="76">
        <f>E1444*AX1444</f>
        <v/>
      </c>
      <c r="AZ1444" s="192">
        <f>S1444*(1+M1444)</f>
        <v/>
      </c>
      <c r="BA1444" s="76">
        <f>cost_fin_total*$BD1444</f>
        <v/>
      </c>
      <c r="BB1444" s="193">
        <f>credit_sales_interest*BD1444</f>
        <v/>
      </c>
      <c r="BC1444" s="102">
        <f>IFERROR(IF($I$13&gt;0,$I1444/$I$13,$S1444/$S$13),0)</f>
        <v/>
      </c>
      <c r="BD1444" s="102">
        <f>IFERROR($S1444/$S$13,0)</f>
        <v/>
      </c>
      <c r="BE1444" s="413" t="inlineStr">
        <is>
          <t>$</t>
        </is>
      </c>
    </row>
    <row r="1445" ht="12" customFormat="1" customHeight="1" s="65">
      <c r="A1445" s="43" t="n">
        <v>1430</v>
      </c>
      <c r="B1445" s="166" t="n"/>
      <c r="C1445" s="166" t="n"/>
      <c r="D1445" s="166" t="n"/>
      <c r="E1445" s="162" t="n"/>
      <c r="F1445" s="166" t="n"/>
      <c r="G1445" s="162" t="n"/>
      <c r="H1445" s="162" t="n"/>
      <c r="I1445" s="189">
        <f>E1445*G1445</f>
        <v/>
      </c>
      <c r="J1445" s="195" t="n"/>
      <c r="K1445" s="162" t="n"/>
      <c r="L1445" s="168" t="n"/>
      <c r="M1445" s="75">
        <f>_xlfn.XLOOKUP(L1445,list_vat[Страна],list_vat[Ставка НДС %],0,0)</f>
        <v/>
      </c>
      <c r="N1445" s="162">
        <f>IFERROR(IF(L1445="Китай",K1445,K1445/(1+M1445)),0)</f>
        <v/>
      </c>
      <c r="O1445" s="169" t="n"/>
      <c r="P1445" s="76">
        <f>N1445*(1-O1445)</f>
        <v/>
      </c>
      <c r="Q1445" s="162" t="n"/>
      <c r="R1445" s="162">
        <f>IF(ISBLANK(Q1445),"введи курс",P1445/Q1445)</f>
        <v/>
      </c>
      <c r="S1445" s="196">
        <f>IF(AND(ISNUMBER(E1445),ISNUMBER(Q1445)),E1445*R1445,0)</f>
        <v/>
      </c>
      <c r="T1445" s="192">
        <f>$BC1445*V$11</f>
        <v/>
      </c>
      <c r="U1445" s="76">
        <f>$BC1445*W$11</f>
        <v/>
      </c>
      <c r="V1445" s="193">
        <f>+SUM(T1445:U1445)</f>
        <v/>
      </c>
      <c r="W1445" s="191" t="n"/>
      <c r="X1445" s="170" t="n"/>
      <c r="Y1445" s="76">
        <f>ROUND(IF(offer_incoterms="DDP",X1445*(S1445*(1+AW1445)+T1445),0),2)</f>
        <v/>
      </c>
      <c r="Z1445" s="188" t="n"/>
      <c r="AA1445" s="192">
        <f>IFERROR(AB1445/E1445,0)</f>
        <v/>
      </c>
      <c r="AB1445" s="76">
        <f>ROUND(SUM(S1445,V1445,Y1445:Z1445,BA1445:BB1445),2)</f>
        <v/>
      </c>
      <c r="AC1445" s="797" t="n"/>
      <c r="AD1445" s="192">
        <f t="array" ref="AD1445">IFERROR(ROUND((_xlfn.IFS(offer_sale_type="поставка",AB1445,offer_sale_type="транзит",S1445)*(1+AC1445))/E1445,2),0)</f>
        <v/>
      </c>
      <c r="AE1445" s="76">
        <f>AD1445*E1445</f>
        <v/>
      </c>
      <c r="AF1445" s="193">
        <f t="array" ref="AF1445">IFERROR(ROUND(_xlfn.IFS(offer_sale_type="поставка",AB1445,offer_sale_type="транзит",S1445)*AC1445,2),0)</f>
        <v/>
      </c>
      <c r="AG1445" s="192">
        <f>$BD1445*VLOOKUP($AG$3,$AF$4:$AG$7,2,FALSE)</f>
        <v/>
      </c>
      <c r="AH1445" s="76">
        <f>SUM(AE1445,AG1445,AI1445)*rate_forex_risk</f>
        <v/>
      </c>
      <c r="AI1445" s="193">
        <f>IF(OR(seller_region="TR",offer_sale_type="экспорт"),0,rate_fin_comm)*SUM(AZ1445,AZ1445*AW1445,T1445)</f>
        <v/>
      </c>
      <c r="AJ1445" s="118">
        <f>IFERROR(ROUND(SUM(AB1445,AF1445:AI1445)/E1445,2),0)</f>
        <v/>
      </c>
      <c r="AK1445" s="76">
        <f>AJ1445*E1445</f>
        <v/>
      </c>
      <c r="AL1445" s="174">
        <f>ROUND(IFERROR(AM1445*E1445,0),2)</f>
        <v/>
      </c>
      <c r="AM1445" s="175">
        <f>ROUND(AJ1445*(1+IF(offer_incoterms="DDP",IF((TODAY()+offer_turnaround_time)&gt;=helpsheet!$L$17,rate_vatRU_from_26,rate_vatRu_till_25),0)),2)</f>
        <v/>
      </c>
      <c r="AN1445" s="192">
        <f>AL1445-AK1445</f>
        <v/>
      </c>
      <c r="AO1445" s="76">
        <f>SUM(AY1445,Y1445:Z1445,T1445)*IF(AND(offer_incoterms="DDP",offer_sale_type&lt;&gt;"экспорт"),IF((TODAY()+offer_turnaround_time)&gt;=helpsheet!$L$17,rate_vatRU_from_26,rate_vatRu_till_25),0)</f>
        <v/>
      </c>
      <c r="AP1445" s="193">
        <f>AN1445-AO1445</f>
        <v/>
      </c>
      <c r="AQ1445" s="118">
        <f>IF(offer_sale_type="транзит",SUM(AF1445:AI1445,BA1445,BB1445),0)</f>
        <v/>
      </c>
      <c r="AR1445" s="82">
        <f>HYPERLINK("https://www.alta.ru/tnved/code/")&amp;W1445&amp;"/"</f>
        <v/>
      </c>
      <c r="AS1445" s="157" t="n"/>
      <c r="AT1445" s="162" t="n"/>
      <c r="AU1445" s="76">
        <f>IF(ISBLANK(AT1445),0,AJ1445-AT1445)</f>
        <v/>
      </c>
      <c r="AV1445" s="157" t="n"/>
      <c r="AW1445" s="75">
        <f>_xlfn.IFNA(VLOOKUP(L1445,list_vat[],3,FALSE),0)</f>
        <v/>
      </c>
      <c r="AX1445" s="76">
        <f>IFERROR(ROUND(S1445*(1+AW1445)/E1445,2),0)</f>
        <v/>
      </c>
      <c r="AY1445" s="76">
        <f>E1445*AX1445</f>
        <v/>
      </c>
      <c r="AZ1445" s="192">
        <f>S1445*(1+M1445)</f>
        <v/>
      </c>
      <c r="BA1445" s="76">
        <f>cost_fin_total*$BD1445</f>
        <v/>
      </c>
      <c r="BB1445" s="193">
        <f>credit_sales_interest*BD1445</f>
        <v/>
      </c>
      <c r="BC1445" s="102">
        <f>IFERROR(IF($I$13&gt;0,$I1445/$I$13,$S1445/$S$13),0)</f>
        <v/>
      </c>
      <c r="BD1445" s="102">
        <f>IFERROR($S1445/$S$13,0)</f>
        <v/>
      </c>
      <c r="BE1445" s="413" t="inlineStr">
        <is>
          <t>$</t>
        </is>
      </c>
    </row>
    <row r="1446" ht="12" customFormat="1" customHeight="1" s="65">
      <c r="A1446" s="43" t="n">
        <v>1431</v>
      </c>
      <c r="B1446" s="166" t="n"/>
      <c r="C1446" s="166" t="n"/>
      <c r="D1446" s="166" t="n"/>
      <c r="E1446" s="162" t="n"/>
      <c r="F1446" s="166" t="n"/>
      <c r="G1446" s="162" t="n"/>
      <c r="H1446" s="162" t="n"/>
      <c r="I1446" s="189">
        <f>E1446*G1446</f>
        <v/>
      </c>
      <c r="J1446" s="195" t="n"/>
      <c r="K1446" s="162" t="n"/>
      <c r="L1446" s="168" t="n"/>
      <c r="M1446" s="75">
        <f>_xlfn.XLOOKUP(L1446,list_vat[Страна],list_vat[Ставка НДС %],0,0)</f>
        <v/>
      </c>
      <c r="N1446" s="162">
        <f>IFERROR(IF(L1446="Китай",K1446,K1446/(1+M1446)),0)</f>
        <v/>
      </c>
      <c r="O1446" s="169" t="n"/>
      <c r="P1446" s="76">
        <f>N1446*(1-O1446)</f>
        <v/>
      </c>
      <c r="Q1446" s="162" t="n"/>
      <c r="R1446" s="162">
        <f>IF(ISBLANK(Q1446),"введи курс",P1446/Q1446)</f>
        <v/>
      </c>
      <c r="S1446" s="196">
        <f>IF(AND(ISNUMBER(E1446),ISNUMBER(Q1446)),E1446*R1446,0)</f>
        <v/>
      </c>
      <c r="T1446" s="192">
        <f>$BC1446*V$11</f>
        <v/>
      </c>
      <c r="U1446" s="76">
        <f>$BC1446*W$11</f>
        <v/>
      </c>
      <c r="V1446" s="193">
        <f>+SUM(T1446:U1446)</f>
        <v/>
      </c>
      <c r="W1446" s="191" t="n"/>
      <c r="X1446" s="170" t="n"/>
      <c r="Y1446" s="76">
        <f>ROUND(IF(offer_incoterms="DDP",X1446*(S1446*(1+AW1446)+T1446),0),2)</f>
        <v/>
      </c>
      <c r="Z1446" s="188" t="n"/>
      <c r="AA1446" s="192">
        <f>IFERROR(AB1446/E1446,0)</f>
        <v/>
      </c>
      <c r="AB1446" s="76">
        <f>ROUND(SUM(S1446,V1446,Y1446:Z1446,BA1446:BB1446),2)</f>
        <v/>
      </c>
      <c r="AC1446" s="797" t="n"/>
      <c r="AD1446" s="192">
        <f t="array" ref="AD1446">IFERROR(ROUND((_xlfn.IFS(offer_sale_type="поставка",AB1446,offer_sale_type="транзит",S1446)*(1+AC1446))/E1446,2),0)</f>
        <v/>
      </c>
      <c r="AE1446" s="76">
        <f>AD1446*E1446</f>
        <v/>
      </c>
      <c r="AF1446" s="193">
        <f t="array" ref="AF1446">IFERROR(ROUND(_xlfn.IFS(offer_sale_type="поставка",AB1446,offer_sale_type="транзит",S1446)*AC1446,2),0)</f>
        <v/>
      </c>
      <c r="AG1446" s="192">
        <f>$BD1446*VLOOKUP($AG$3,$AF$4:$AG$7,2,FALSE)</f>
        <v/>
      </c>
      <c r="AH1446" s="76">
        <f>SUM(AE1446,AG1446,AI1446)*rate_forex_risk</f>
        <v/>
      </c>
      <c r="AI1446" s="193">
        <f>IF(OR(seller_region="TR",offer_sale_type="экспорт"),0,rate_fin_comm)*SUM(AZ1446,AZ1446*AW1446,T1446)</f>
        <v/>
      </c>
      <c r="AJ1446" s="118">
        <f>IFERROR(ROUND(SUM(AB1446,AF1446:AI1446)/E1446,2),0)</f>
        <v/>
      </c>
      <c r="AK1446" s="76">
        <f>AJ1446*E1446</f>
        <v/>
      </c>
      <c r="AL1446" s="174">
        <f>ROUND(IFERROR(AM1446*E1446,0),2)</f>
        <v/>
      </c>
      <c r="AM1446" s="175">
        <f>ROUND(AJ1446*(1+IF(offer_incoterms="DDP",IF((TODAY()+offer_turnaround_time)&gt;=helpsheet!$L$17,rate_vatRU_from_26,rate_vatRu_till_25),0)),2)</f>
        <v/>
      </c>
      <c r="AN1446" s="192">
        <f>AL1446-AK1446</f>
        <v/>
      </c>
      <c r="AO1446" s="76">
        <f>SUM(AY1446,Y1446:Z1446,T1446)*IF(AND(offer_incoterms="DDP",offer_sale_type&lt;&gt;"экспорт"),IF((TODAY()+offer_turnaround_time)&gt;=helpsheet!$L$17,rate_vatRU_from_26,rate_vatRu_till_25),0)</f>
        <v/>
      </c>
      <c r="AP1446" s="193">
        <f>AN1446-AO1446</f>
        <v/>
      </c>
      <c r="AQ1446" s="118">
        <f>IF(offer_sale_type="транзит",SUM(AF1446:AI1446,BA1446,BB1446),0)</f>
        <v/>
      </c>
      <c r="AR1446" s="82">
        <f>HYPERLINK("https://www.alta.ru/tnved/code/")&amp;W1446&amp;"/"</f>
        <v/>
      </c>
      <c r="AS1446" s="157" t="n"/>
      <c r="AT1446" s="162" t="n"/>
      <c r="AU1446" s="76">
        <f>IF(ISBLANK(AT1446),0,AJ1446-AT1446)</f>
        <v/>
      </c>
      <c r="AV1446" s="157" t="n"/>
      <c r="AW1446" s="75">
        <f>_xlfn.IFNA(VLOOKUP(L1446,list_vat[],3,FALSE),0)</f>
        <v/>
      </c>
      <c r="AX1446" s="76">
        <f>IFERROR(ROUND(S1446*(1+AW1446)/E1446,2),0)</f>
        <v/>
      </c>
      <c r="AY1446" s="76">
        <f>E1446*AX1446</f>
        <v/>
      </c>
      <c r="AZ1446" s="192">
        <f>S1446*(1+M1446)</f>
        <v/>
      </c>
      <c r="BA1446" s="76">
        <f>cost_fin_total*$BD1446</f>
        <v/>
      </c>
      <c r="BB1446" s="193">
        <f>credit_sales_interest*BD1446</f>
        <v/>
      </c>
      <c r="BC1446" s="102">
        <f>IFERROR(IF($I$13&gt;0,$I1446/$I$13,$S1446/$S$13),0)</f>
        <v/>
      </c>
      <c r="BD1446" s="102">
        <f>IFERROR($S1446/$S$13,0)</f>
        <v/>
      </c>
      <c r="BE1446" s="413" t="inlineStr">
        <is>
          <t>$</t>
        </is>
      </c>
    </row>
    <row r="1447" ht="12" customFormat="1" customHeight="1" s="65">
      <c r="A1447" s="43" t="n">
        <v>1432</v>
      </c>
      <c r="B1447" s="166" t="n"/>
      <c r="C1447" s="166" t="n"/>
      <c r="D1447" s="166" t="n"/>
      <c r="E1447" s="162" t="n"/>
      <c r="F1447" s="166" t="n"/>
      <c r="G1447" s="162" t="n"/>
      <c r="H1447" s="162" t="n"/>
      <c r="I1447" s="189">
        <f>E1447*G1447</f>
        <v/>
      </c>
      <c r="J1447" s="195" t="n"/>
      <c r="K1447" s="162" t="n"/>
      <c r="L1447" s="168" t="n"/>
      <c r="M1447" s="75">
        <f>_xlfn.XLOOKUP(L1447,list_vat[Страна],list_vat[Ставка НДС %],0,0)</f>
        <v/>
      </c>
      <c r="N1447" s="162">
        <f>IFERROR(IF(L1447="Китай",K1447,K1447/(1+M1447)),0)</f>
        <v/>
      </c>
      <c r="O1447" s="169" t="n"/>
      <c r="P1447" s="76">
        <f>N1447*(1-O1447)</f>
        <v/>
      </c>
      <c r="Q1447" s="162" t="n"/>
      <c r="R1447" s="162">
        <f>IF(ISBLANK(Q1447),"введи курс",P1447/Q1447)</f>
        <v/>
      </c>
      <c r="S1447" s="196">
        <f>IF(AND(ISNUMBER(E1447),ISNUMBER(Q1447)),E1447*R1447,0)</f>
        <v/>
      </c>
      <c r="T1447" s="192">
        <f>$BC1447*V$11</f>
        <v/>
      </c>
      <c r="U1447" s="76">
        <f>$BC1447*W$11</f>
        <v/>
      </c>
      <c r="V1447" s="193">
        <f>+SUM(T1447:U1447)</f>
        <v/>
      </c>
      <c r="W1447" s="191" t="n"/>
      <c r="X1447" s="170" t="n"/>
      <c r="Y1447" s="76">
        <f>ROUND(IF(offer_incoterms="DDP",X1447*(S1447*(1+AW1447)+T1447),0),2)</f>
        <v/>
      </c>
      <c r="Z1447" s="188" t="n"/>
      <c r="AA1447" s="192">
        <f>IFERROR(AB1447/E1447,0)</f>
        <v/>
      </c>
      <c r="AB1447" s="76">
        <f>ROUND(SUM(S1447,V1447,Y1447:Z1447,BA1447:BB1447),2)</f>
        <v/>
      </c>
      <c r="AC1447" s="797" t="n"/>
      <c r="AD1447" s="192">
        <f t="array" ref="AD1447">IFERROR(ROUND((_xlfn.IFS(offer_sale_type="поставка",AB1447,offer_sale_type="транзит",S1447)*(1+AC1447))/E1447,2),0)</f>
        <v/>
      </c>
      <c r="AE1447" s="76">
        <f>AD1447*E1447</f>
        <v/>
      </c>
      <c r="AF1447" s="193">
        <f t="array" ref="AF1447">IFERROR(ROUND(_xlfn.IFS(offer_sale_type="поставка",AB1447,offer_sale_type="транзит",S1447)*AC1447,2),0)</f>
        <v/>
      </c>
      <c r="AG1447" s="192">
        <f>$BD1447*VLOOKUP($AG$3,$AF$4:$AG$7,2,FALSE)</f>
        <v/>
      </c>
      <c r="AH1447" s="76">
        <f>SUM(AE1447,AG1447,AI1447)*rate_forex_risk</f>
        <v/>
      </c>
      <c r="AI1447" s="193">
        <f>IF(OR(seller_region="TR",offer_sale_type="экспорт"),0,rate_fin_comm)*SUM(AZ1447,AZ1447*AW1447,T1447)</f>
        <v/>
      </c>
      <c r="AJ1447" s="118">
        <f>IFERROR(ROUND(SUM(AB1447,AF1447:AI1447)/E1447,2),0)</f>
        <v/>
      </c>
      <c r="AK1447" s="76">
        <f>AJ1447*E1447</f>
        <v/>
      </c>
      <c r="AL1447" s="174">
        <f>ROUND(IFERROR(AM1447*E1447,0),2)</f>
        <v/>
      </c>
      <c r="AM1447" s="175">
        <f>ROUND(AJ1447*(1+IF(offer_incoterms="DDP",IF((TODAY()+offer_turnaround_time)&gt;=helpsheet!$L$17,rate_vatRU_from_26,rate_vatRu_till_25),0)),2)</f>
        <v/>
      </c>
      <c r="AN1447" s="192">
        <f>AL1447-AK1447</f>
        <v/>
      </c>
      <c r="AO1447" s="76">
        <f>SUM(AY1447,Y1447:Z1447,T1447)*IF(AND(offer_incoterms="DDP",offer_sale_type&lt;&gt;"экспорт"),IF((TODAY()+offer_turnaround_time)&gt;=helpsheet!$L$17,rate_vatRU_from_26,rate_vatRu_till_25),0)</f>
        <v/>
      </c>
      <c r="AP1447" s="193">
        <f>AN1447-AO1447</f>
        <v/>
      </c>
      <c r="AQ1447" s="118">
        <f>IF(offer_sale_type="транзит",SUM(AF1447:AI1447,BA1447,BB1447),0)</f>
        <v/>
      </c>
      <c r="AR1447" s="82">
        <f>HYPERLINK("https://www.alta.ru/tnved/code/")&amp;W1447&amp;"/"</f>
        <v/>
      </c>
      <c r="AS1447" s="157" t="n"/>
      <c r="AT1447" s="162" t="n"/>
      <c r="AU1447" s="76">
        <f>IF(ISBLANK(AT1447),0,AJ1447-AT1447)</f>
        <v/>
      </c>
      <c r="AV1447" s="157" t="n"/>
      <c r="AW1447" s="75">
        <f>_xlfn.IFNA(VLOOKUP(L1447,list_vat[],3,FALSE),0)</f>
        <v/>
      </c>
      <c r="AX1447" s="76">
        <f>IFERROR(ROUND(S1447*(1+AW1447)/E1447,2),0)</f>
        <v/>
      </c>
      <c r="AY1447" s="76">
        <f>E1447*AX1447</f>
        <v/>
      </c>
      <c r="AZ1447" s="192">
        <f>S1447*(1+M1447)</f>
        <v/>
      </c>
      <c r="BA1447" s="76">
        <f>cost_fin_total*$BD1447</f>
        <v/>
      </c>
      <c r="BB1447" s="193">
        <f>credit_sales_interest*BD1447</f>
        <v/>
      </c>
      <c r="BC1447" s="102">
        <f>IFERROR(IF($I$13&gt;0,$I1447/$I$13,$S1447/$S$13),0)</f>
        <v/>
      </c>
      <c r="BD1447" s="102">
        <f>IFERROR($S1447/$S$13,0)</f>
        <v/>
      </c>
      <c r="BE1447" s="413" t="inlineStr">
        <is>
          <t>$</t>
        </is>
      </c>
    </row>
    <row r="1448" ht="12" customFormat="1" customHeight="1" s="65">
      <c r="A1448" s="43" t="n">
        <v>1433</v>
      </c>
      <c r="B1448" s="166" t="n"/>
      <c r="C1448" s="166" t="n"/>
      <c r="D1448" s="166" t="n"/>
      <c r="E1448" s="162" t="n"/>
      <c r="F1448" s="166" t="n"/>
      <c r="G1448" s="162" t="n"/>
      <c r="H1448" s="162" t="n"/>
      <c r="I1448" s="189">
        <f>E1448*G1448</f>
        <v/>
      </c>
      <c r="J1448" s="195" t="n"/>
      <c r="K1448" s="162" t="n"/>
      <c r="L1448" s="168" t="n"/>
      <c r="M1448" s="75">
        <f>_xlfn.XLOOKUP(L1448,list_vat[Страна],list_vat[Ставка НДС %],0,0)</f>
        <v/>
      </c>
      <c r="N1448" s="162">
        <f>IFERROR(IF(L1448="Китай",K1448,K1448/(1+M1448)),0)</f>
        <v/>
      </c>
      <c r="O1448" s="169" t="n"/>
      <c r="P1448" s="76">
        <f>N1448*(1-O1448)</f>
        <v/>
      </c>
      <c r="Q1448" s="162" t="n"/>
      <c r="R1448" s="162">
        <f>IF(ISBLANK(Q1448),"введи курс",P1448/Q1448)</f>
        <v/>
      </c>
      <c r="S1448" s="196">
        <f>IF(AND(ISNUMBER(E1448),ISNUMBER(Q1448)),E1448*R1448,0)</f>
        <v/>
      </c>
      <c r="T1448" s="192">
        <f>$BC1448*V$11</f>
        <v/>
      </c>
      <c r="U1448" s="76">
        <f>$BC1448*W$11</f>
        <v/>
      </c>
      <c r="V1448" s="193">
        <f>+SUM(T1448:U1448)</f>
        <v/>
      </c>
      <c r="W1448" s="191" t="n"/>
      <c r="X1448" s="170" t="n"/>
      <c r="Y1448" s="76">
        <f>ROUND(IF(offer_incoterms="DDP",X1448*(S1448*(1+AW1448)+T1448),0),2)</f>
        <v/>
      </c>
      <c r="Z1448" s="188" t="n"/>
      <c r="AA1448" s="192">
        <f>IFERROR(AB1448/E1448,0)</f>
        <v/>
      </c>
      <c r="AB1448" s="76">
        <f>ROUND(SUM(S1448,V1448,Y1448:Z1448,BA1448:BB1448),2)</f>
        <v/>
      </c>
      <c r="AC1448" s="797" t="n"/>
      <c r="AD1448" s="192">
        <f t="array" ref="AD1448">IFERROR(ROUND((_xlfn.IFS(offer_sale_type="поставка",AB1448,offer_sale_type="транзит",S1448)*(1+AC1448))/E1448,2),0)</f>
        <v/>
      </c>
      <c r="AE1448" s="76">
        <f>AD1448*E1448</f>
        <v/>
      </c>
      <c r="AF1448" s="193">
        <f t="array" ref="AF1448">IFERROR(ROUND(_xlfn.IFS(offer_sale_type="поставка",AB1448,offer_sale_type="транзит",S1448)*AC1448,2),0)</f>
        <v/>
      </c>
      <c r="AG1448" s="192">
        <f>$BD1448*VLOOKUP($AG$3,$AF$4:$AG$7,2,FALSE)</f>
        <v/>
      </c>
      <c r="AH1448" s="76">
        <f>SUM(AE1448,AG1448,AI1448)*rate_forex_risk</f>
        <v/>
      </c>
      <c r="AI1448" s="193">
        <f>IF(OR(seller_region="TR",offer_sale_type="экспорт"),0,rate_fin_comm)*SUM(AZ1448,AZ1448*AW1448,T1448)</f>
        <v/>
      </c>
      <c r="AJ1448" s="118">
        <f>IFERROR(ROUND(SUM(AB1448,AF1448:AI1448)/E1448,2),0)</f>
        <v/>
      </c>
      <c r="AK1448" s="76">
        <f>AJ1448*E1448</f>
        <v/>
      </c>
      <c r="AL1448" s="174">
        <f>ROUND(IFERROR(AM1448*E1448,0),2)</f>
        <v/>
      </c>
      <c r="AM1448" s="175">
        <f>ROUND(AJ1448*(1+IF(offer_incoterms="DDP",IF((TODAY()+offer_turnaround_time)&gt;=helpsheet!$L$17,rate_vatRU_from_26,rate_vatRu_till_25),0)),2)</f>
        <v/>
      </c>
      <c r="AN1448" s="192">
        <f>AL1448-AK1448</f>
        <v/>
      </c>
      <c r="AO1448" s="76">
        <f>SUM(AY1448,Y1448:Z1448,T1448)*IF(AND(offer_incoterms="DDP",offer_sale_type&lt;&gt;"экспорт"),IF((TODAY()+offer_turnaround_time)&gt;=helpsheet!$L$17,rate_vatRU_from_26,rate_vatRu_till_25),0)</f>
        <v/>
      </c>
      <c r="AP1448" s="193">
        <f>AN1448-AO1448</f>
        <v/>
      </c>
      <c r="AQ1448" s="118">
        <f>IF(offer_sale_type="транзит",SUM(AF1448:AI1448,BA1448,BB1448),0)</f>
        <v/>
      </c>
      <c r="AR1448" s="82">
        <f>HYPERLINK("https://www.alta.ru/tnved/code/")&amp;W1448&amp;"/"</f>
        <v/>
      </c>
      <c r="AS1448" s="157" t="n"/>
      <c r="AT1448" s="162" t="n"/>
      <c r="AU1448" s="76">
        <f>IF(ISBLANK(AT1448),0,AJ1448-AT1448)</f>
        <v/>
      </c>
      <c r="AV1448" s="157" t="n"/>
      <c r="AW1448" s="75">
        <f>_xlfn.IFNA(VLOOKUP(L1448,list_vat[],3,FALSE),0)</f>
        <v/>
      </c>
      <c r="AX1448" s="76">
        <f>IFERROR(ROUND(S1448*(1+AW1448)/E1448,2),0)</f>
        <v/>
      </c>
      <c r="AY1448" s="76">
        <f>E1448*AX1448</f>
        <v/>
      </c>
      <c r="AZ1448" s="192">
        <f>S1448*(1+M1448)</f>
        <v/>
      </c>
      <c r="BA1448" s="76">
        <f>cost_fin_total*$BD1448</f>
        <v/>
      </c>
      <c r="BB1448" s="193">
        <f>credit_sales_interest*BD1448</f>
        <v/>
      </c>
      <c r="BC1448" s="102">
        <f>IFERROR(IF($I$13&gt;0,$I1448/$I$13,$S1448/$S$13),0)</f>
        <v/>
      </c>
      <c r="BD1448" s="102">
        <f>IFERROR($S1448/$S$13,0)</f>
        <v/>
      </c>
      <c r="BE1448" s="413" t="inlineStr">
        <is>
          <t>$</t>
        </is>
      </c>
    </row>
    <row r="1449" ht="12" customFormat="1" customHeight="1" s="65">
      <c r="A1449" s="43" t="n">
        <v>1434</v>
      </c>
      <c r="B1449" s="166" t="n"/>
      <c r="C1449" s="166" t="n"/>
      <c r="D1449" s="166" t="n"/>
      <c r="E1449" s="162" t="n"/>
      <c r="F1449" s="166" t="n"/>
      <c r="G1449" s="162" t="n"/>
      <c r="H1449" s="162" t="n"/>
      <c r="I1449" s="189">
        <f>E1449*G1449</f>
        <v/>
      </c>
      <c r="J1449" s="195" t="n"/>
      <c r="K1449" s="162" t="n"/>
      <c r="L1449" s="168" t="n"/>
      <c r="M1449" s="75">
        <f>_xlfn.XLOOKUP(L1449,list_vat[Страна],list_vat[Ставка НДС %],0,0)</f>
        <v/>
      </c>
      <c r="N1449" s="162">
        <f>IFERROR(IF(L1449="Китай",K1449,K1449/(1+M1449)),0)</f>
        <v/>
      </c>
      <c r="O1449" s="169" t="n"/>
      <c r="P1449" s="76">
        <f>N1449*(1-O1449)</f>
        <v/>
      </c>
      <c r="Q1449" s="162" t="n"/>
      <c r="R1449" s="162">
        <f>IF(ISBLANK(Q1449),"введи курс",P1449/Q1449)</f>
        <v/>
      </c>
      <c r="S1449" s="196">
        <f>IF(AND(ISNUMBER(E1449),ISNUMBER(Q1449)),E1449*R1449,0)</f>
        <v/>
      </c>
      <c r="T1449" s="192">
        <f>$BC1449*V$11</f>
        <v/>
      </c>
      <c r="U1449" s="76">
        <f>$BC1449*W$11</f>
        <v/>
      </c>
      <c r="V1449" s="193">
        <f>+SUM(T1449:U1449)</f>
        <v/>
      </c>
      <c r="W1449" s="191" t="n"/>
      <c r="X1449" s="170" t="n"/>
      <c r="Y1449" s="76">
        <f>ROUND(IF(offer_incoterms="DDP",X1449*(S1449*(1+AW1449)+T1449),0),2)</f>
        <v/>
      </c>
      <c r="Z1449" s="188" t="n"/>
      <c r="AA1449" s="192">
        <f>IFERROR(AB1449/E1449,0)</f>
        <v/>
      </c>
      <c r="AB1449" s="76">
        <f>ROUND(SUM(S1449,V1449,Y1449:Z1449,BA1449:BB1449),2)</f>
        <v/>
      </c>
      <c r="AC1449" s="797" t="n"/>
      <c r="AD1449" s="192">
        <f t="array" ref="AD1449">IFERROR(ROUND((_xlfn.IFS(offer_sale_type="поставка",AB1449,offer_sale_type="транзит",S1449)*(1+AC1449))/E1449,2),0)</f>
        <v/>
      </c>
      <c r="AE1449" s="76">
        <f>AD1449*E1449</f>
        <v/>
      </c>
      <c r="AF1449" s="193">
        <f t="array" ref="AF1449">IFERROR(ROUND(_xlfn.IFS(offer_sale_type="поставка",AB1449,offer_sale_type="транзит",S1449)*AC1449,2),0)</f>
        <v/>
      </c>
      <c r="AG1449" s="192">
        <f>$BD1449*VLOOKUP($AG$3,$AF$4:$AG$7,2,FALSE)</f>
        <v/>
      </c>
      <c r="AH1449" s="76">
        <f>SUM(AE1449,AG1449,AI1449)*rate_forex_risk</f>
        <v/>
      </c>
      <c r="AI1449" s="193">
        <f>IF(OR(seller_region="TR",offer_sale_type="экспорт"),0,rate_fin_comm)*SUM(AZ1449,AZ1449*AW1449,T1449)</f>
        <v/>
      </c>
      <c r="AJ1449" s="118">
        <f>IFERROR(ROUND(SUM(AB1449,AF1449:AI1449)/E1449,2),0)</f>
        <v/>
      </c>
      <c r="AK1449" s="76">
        <f>AJ1449*E1449</f>
        <v/>
      </c>
      <c r="AL1449" s="174">
        <f>ROUND(IFERROR(AM1449*E1449,0),2)</f>
        <v/>
      </c>
      <c r="AM1449" s="175">
        <f>ROUND(AJ1449*(1+IF(offer_incoterms="DDP",IF((TODAY()+offer_turnaround_time)&gt;=helpsheet!$L$17,rate_vatRU_from_26,rate_vatRu_till_25),0)),2)</f>
        <v/>
      </c>
      <c r="AN1449" s="192">
        <f>AL1449-AK1449</f>
        <v/>
      </c>
      <c r="AO1449" s="76">
        <f>SUM(AY1449,Y1449:Z1449,T1449)*IF(AND(offer_incoterms="DDP",offer_sale_type&lt;&gt;"экспорт"),IF((TODAY()+offer_turnaround_time)&gt;=helpsheet!$L$17,rate_vatRU_from_26,rate_vatRu_till_25),0)</f>
        <v/>
      </c>
      <c r="AP1449" s="193">
        <f>AN1449-AO1449</f>
        <v/>
      </c>
      <c r="AQ1449" s="118">
        <f>IF(offer_sale_type="транзит",SUM(AF1449:AI1449,BA1449,BB1449),0)</f>
        <v/>
      </c>
      <c r="AR1449" s="82">
        <f>HYPERLINK("https://www.alta.ru/tnved/code/")&amp;W1449&amp;"/"</f>
        <v/>
      </c>
      <c r="AS1449" s="157" t="n"/>
      <c r="AT1449" s="162" t="n"/>
      <c r="AU1449" s="76">
        <f>IF(ISBLANK(AT1449),0,AJ1449-AT1449)</f>
        <v/>
      </c>
      <c r="AV1449" s="157" t="n"/>
      <c r="AW1449" s="75">
        <f>_xlfn.IFNA(VLOOKUP(L1449,list_vat[],3,FALSE),0)</f>
        <v/>
      </c>
      <c r="AX1449" s="76">
        <f>IFERROR(ROUND(S1449*(1+AW1449)/E1449,2),0)</f>
        <v/>
      </c>
      <c r="AY1449" s="76">
        <f>E1449*AX1449</f>
        <v/>
      </c>
      <c r="AZ1449" s="192">
        <f>S1449*(1+M1449)</f>
        <v/>
      </c>
      <c r="BA1449" s="76">
        <f>cost_fin_total*$BD1449</f>
        <v/>
      </c>
      <c r="BB1449" s="193">
        <f>credit_sales_interest*BD1449</f>
        <v/>
      </c>
      <c r="BC1449" s="102">
        <f>IFERROR(IF($I$13&gt;0,$I1449/$I$13,$S1449/$S$13),0)</f>
        <v/>
      </c>
      <c r="BD1449" s="102">
        <f>IFERROR($S1449/$S$13,0)</f>
        <v/>
      </c>
      <c r="BE1449" s="413" t="inlineStr">
        <is>
          <t>$</t>
        </is>
      </c>
    </row>
    <row r="1450" ht="12" customFormat="1" customHeight="1" s="65">
      <c r="A1450" s="43" t="n">
        <v>1435</v>
      </c>
      <c r="B1450" s="166" t="n"/>
      <c r="C1450" s="166" t="n"/>
      <c r="D1450" s="166" t="n"/>
      <c r="E1450" s="162" t="n"/>
      <c r="F1450" s="166" t="n"/>
      <c r="G1450" s="162" t="n"/>
      <c r="H1450" s="162" t="n"/>
      <c r="I1450" s="189">
        <f>E1450*G1450</f>
        <v/>
      </c>
      <c r="J1450" s="195" t="n"/>
      <c r="K1450" s="162" t="n"/>
      <c r="L1450" s="168" t="n"/>
      <c r="M1450" s="75">
        <f>_xlfn.XLOOKUP(L1450,list_vat[Страна],list_vat[Ставка НДС %],0,0)</f>
        <v/>
      </c>
      <c r="N1450" s="162">
        <f>IFERROR(IF(L1450="Китай",K1450,K1450/(1+M1450)),0)</f>
        <v/>
      </c>
      <c r="O1450" s="169" t="n"/>
      <c r="P1450" s="76">
        <f>N1450*(1-O1450)</f>
        <v/>
      </c>
      <c r="Q1450" s="162" t="n"/>
      <c r="R1450" s="162">
        <f>IF(ISBLANK(Q1450),"введи курс",P1450/Q1450)</f>
        <v/>
      </c>
      <c r="S1450" s="196">
        <f>IF(AND(ISNUMBER(E1450),ISNUMBER(Q1450)),E1450*R1450,0)</f>
        <v/>
      </c>
      <c r="T1450" s="192">
        <f>$BC1450*V$11</f>
        <v/>
      </c>
      <c r="U1450" s="76">
        <f>$BC1450*W$11</f>
        <v/>
      </c>
      <c r="V1450" s="193">
        <f>+SUM(T1450:U1450)</f>
        <v/>
      </c>
      <c r="W1450" s="191" t="n"/>
      <c r="X1450" s="170" t="n"/>
      <c r="Y1450" s="76">
        <f>ROUND(IF(offer_incoterms="DDP",X1450*(S1450*(1+AW1450)+T1450),0),2)</f>
        <v/>
      </c>
      <c r="Z1450" s="188" t="n"/>
      <c r="AA1450" s="192">
        <f>IFERROR(AB1450/E1450,0)</f>
        <v/>
      </c>
      <c r="AB1450" s="76">
        <f>ROUND(SUM(S1450,V1450,Y1450:Z1450,BA1450:BB1450),2)</f>
        <v/>
      </c>
      <c r="AC1450" s="797" t="n"/>
      <c r="AD1450" s="192">
        <f t="array" ref="AD1450">IFERROR(ROUND((_xlfn.IFS(offer_sale_type="поставка",AB1450,offer_sale_type="транзит",S1450)*(1+AC1450))/E1450,2),0)</f>
        <v/>
      </c>
      <c r="AE1450" s="76">
        <f>AD1450*E1450</f>
        <v/>
      </c>
      <c r="AF1450" s="193">
        <f t="array" ref="AF1450">IFERROR(ROUND(_xlfn.IFS(offer_sale_type="поставка",AB1450,offer_sale_type="транзит",S1450)*AC1450,2),0)</f>
        <v/>
      </c>
      <c r="AG1450" s="192">
        <f>$BD1450*VLOOKUP($AG$3,$AF$4:$AG$7,2,FALSE)</f>
        <v/>
      </c>
      <c r="AH1450" s="76">
        <f>SUM(AE1450,AG1450,AI1450)*rate_forex_risk</f>
        <v/>
      </c>
      <c r="AI1450" s="193">
        <f>IF(OR(seller_region="TR",offer_sale_type="экспорт"),0,rate_fin_comm)*SUM(AZ1450,AZ1450*AW1450,T1450)</f>
        <v/>
      </c>
      <c r="AJ1450" s="118">
        <f>IFERROR(ROUND(SUM(AB1450,AF1450:AI1450)/E1450,2),0)</f>
        <v/>
      </c>
      <c r="AK1450" s="76">
        <f>AJ1450*E1450</f>
        <v/>
      </c>
      <c r="AL1450" s="174">
        <f>ROUND(IFERROR(AM1450*E1450,0),2)</f>
        <v/>
      </c>
      <c r="AM1450" s="175">
        <f>ROUND(AJ1450*(1+IF(offer_incoterms="DDP",IF((TODAY()+offer_turnaround_time)&gt;=helpsheet!$L$17,rate_vatRU_from_26,rate_vatRu_till_25),0)),2)</f>
        <v/>
      </c>
      <c r="AN1450" s="192">
        <f>AL1450-AK1450</f>
        <v/>
      </c>
      <c r="AO1450" s="76">
        <f>SUM(AY1450,Y1450:Z1450,T1450)*IF(AND(offer_incoterms="DDP",offer_sale_type&lt;&gt;"экспорт"),IF((TODAY()+offer_turnaround_time)&gt;=helpsheet!$L$17,rate_vatRU_from_26,rate_vatRu_till_25),0)</f>
        <v/>
      </c>
      <c r="AP1450" s="193">
        <f>AN1450-AO1450</f>
        <v/>
      </c>
      <c r="AQ1450" s="118">
        <f>IF(offer_sale_type="транзит",SUM(AF1450:AI1450,BA1450,BB1450),0)</f>
        <v/>
      </c>
      <c r="AR1450" s="82">
        <f>HYPERLINK("https://www.alta.ru/tnved/code/")&amp;W1450&amp;"/"</f>
        <v/>
      </c>
      <c r="AS1450" s="157" t="n"/>
      <c r="AT1450" s="162" t="n"/>
      <c r="AU1450" s="76">
        <f>IF(ISBLANK(AT1450),0,AJ1450-AT1450)</f>
        <v/>
      </c>
      <c r="AV1450" s="157" t="n"/>
      <c r="AW1450" s="75">
        <f>_xlfn.IFNA(VLOOKUP(L1450,list_vat[],3,FALSE),0)</f>
        <v/>
      </c>
      <c r="AX1450" s="76">
        <f>IFERROR(ROUND(S1450*(1+AW1450)/E1450,2),0)</f>
        <v/>
      </c>
      <c r="AY1450" s="76">
        <f>E1450*AX1450</f>
        <v/>
      </c>
      <c r="AZ1450" s="192">
        <f>S1450*(1+M1450)</f>
        <v/>
      </c>
      <c r="BA1450" s="76">
        <f>cost_fin_total*$BD1450</f>
        <v/>
      </c>
      <c r="BB1450" s="193">
        <f>credit_sales_interest*BD1450</f>
        <v/>
      </c>
      <c r="BC1450" s="102">
        <f>IFERROR(IF($I$13&gt;0,$I1450/$I$13,$S1450/$S$13),0)</f>
        <v/>
      </c>
      <c r="BD1450" s="102">
        <f>IFERROR($S1450/$S$13,0)</f>
        <v/>
      </c>
      <c r="BE1450" s="413" t="inlineStr">
        <is>
          <t>$</t>
        </is>
      </c>
    </row>
    <row r="1451" ht="12" customFormat="1" customHeight="1" s="65">
      <c r="A1451" s="43" t="n">
        <v>1436</v>
      </c>
      <c r="B1451" s="166" t="n"/>
      <c r="C1451" s="166" t="n"/>
      <c r="D1451" s="166" t="n"/>
      <c r="E1451" s="162" t="n"/>
      <c r="F1451" s="166" t="n"/>
      <c r="G1451" s="162" t="n"/>
      <c r="H1451" s="162" t="n"/>
      <c r="I1451" s="189">
        <f>E1451*G1451</f>
        <v/>
      </c>
      <c r="J1451" s="195" t="n"/>
      <c r="K1451" s="162" t="n"/>
      <c r="L1451" s="168" t="n"/>
      <c r="M1451" s="75">
        <f>_xlfn.XLOOKUP(L1451,list_vat[Страна],list_vat[Ставка НДС %],0,0)</f>
        <v/>
      </c>
      <c r="N1451" s="162">
        <f>IFERROR(IF(L1451="Китай",K1451,K1451/(1+M1451)),0)</f>
        <v/>
      </c>
      <c r="O1451" s="169" t="n"/>
      <c r="P1451" s="76">
        <f>N1451*(1-O1451)</f>
        <v/>
      </c>
      <c r="Q1451" s="162" t="n"/>
      <c r="R1451" s="162">
        <f>IF(ISBLANK(Q1451),"введи курс",P1451/Q1451)</f>
        <v/>
      </c>
      <c r="S1451" s="196">
        <f>IF(AND(ISNUMBER(E1451),ISNUMBER(Q1451)),E1451*R1451,0)</f>
        <v/>
      </c>
      <c r="T1451" s="192">
        <f>$BC1451*V$11</f>
        <v/>
      </c>
      <c r="U1451" s="76">
        <f>$BC1451*W$11</f>
        <v/>
      </c>
      <c r="V1451" s="193">
        <f>+SUM(T1451:U1451)</f>
        <v/>
      </c>
      <c r="W1451" s="191" t="n"/>
      <c r="X1451" s="170" t="n"/>
      <c r="Y1451" s="76">
        <f>ROUND(IF(offer_incoterms="DDP",X1451*(S1451*(1+AW1451)+T1451),0),2)</f>
        <v/>
      </c>
      <c r="Z1451" s="188" t="n"/>
      <c r="AA1451" s="192">
        <f>IFERROR(AB1451/E1451,0)</f>
        <v/>
      </c>
      <c r="AB1451" s="76">
        <f>ROUND(SUM(S1451,V1451,Y1451:Z1451,BA1451:BB1451),2)</f>
        <v/>
      </c>
      <c r="AC1451" s="797" t="n"/>
      <c r="AD1451" s="192">
        <f t="array" ref="AD1451">IFERROR(ROUND((_xlfn.IFS(offer_sale_type="поставка",AB1451,offer_sale_type="транзит",S1451)*(1+AC1451))/E1451,2),0)</f>
        <v/>
      </c>
      <c r="AE1451" s="76">
        <f>AD1451*E1451</f>
        <v/>
      </c>
      <c r="AF1451" s="193">
        <f t="array" ref="AF1451">IFERROR(ROUND(_xlfn.IFS(offer_sale_type="поставка",AB1451,offer_sale_type="транзит",S1451)*AC1451,2),0)</f>
        <v/>
      </c>
      <c r="AG1451" s="192">
        <f>$BD1451*VLOOKUP($AG$3,$AF$4:$AG$7,2,FALSE)</f>
        <v/>
      </c>
      <c r="AH1451" s="76">
        <f>SUM(AE1451,AG1451,AI1451)*rate_forex_risk</f>
        <v/>
      </c>
      <c r="AI1451" s="193">
        <f>IF(OR(seller_region="TR",offer_sale_type="экспорт"),0,rate_fin_comm)*SUM(AZ1451,AZ1451*AW1451,T1451)</f>
        <v/>
      </c>
      <c r="AJ1451" s="118">
        <f>IFERROR(ROUND(SUM(AB1451,AF1451:AI1451)/E1451,2),0)</f>
        <v/>
      </c>
      <c r="AK1451" s="76">
        <f>AJ1451*E1451</f>
        <v/>
      </c>
      <c r="AL1451" s="174">
        <f>ROUND(IFERROR(AM1451*E1451,0),2)</f>
        <v/>
      </c>
      <c r="AM1451" s="175">
        <f>ROUND(AJ1451*(1+IF(offer_incoterms="DDP",IF((TODAY()+offer_turnaround_time)&gt;=helpsheet!$L$17,rate_vatRU_from_26,rate_vatRu_till_25),0)),2)</f>
        <v/>
      </c>
      <c r="AN1451" s="192">
        <f>AL1451-AK1451</f>
        <v/>
      </c>
      <c r="AO1451" s="76">
        <f>SUM(AY1451,Y1451:Z1451,T1451)*IF(AND(offer_incoterms="DDP",offer_sale_type&lt;&gt;"экспорт"),IF((TODAY()+offer_turnaround_time)&gt;=helpsheet!$L$17,rate_vatRU_from_26,rate_vatRu_till_25),0)</f>
        <v/>
      </c>
      <c r="AP1451" s="193">
        <f>AN1451-AO1451</f>
        <v/>
      </c>
      <c r="AQ1451" s="118">
        <f>IF(offer_sale_type="транзит",SUM(AF1451:AI1451,BA1451,BB1451),0)</f>
        <v/>
      </c>
      <c r="AR1451" s="82">
        <f>HYPERLINK("https://www.alta.ru/tnved/code/")&amp;W1451&amp;"/"</f>
        <v/>
      </c>
      <c r="AS1451" s="157" t="n"/>
      <c r="AT1451" s="162" t="n"/>
      <c r="AU1451" s="76">
        <f>IF(ISBLANK(AT1451),0,AJ1451-AT1451)</f>
        <v/>
      </c>
      <c r="AV1451" s="157" t="n"/>
      <c r="AW1451" s="75">
        <f>_xlfn.IFNA(VLOOKUP(L1451,list_vat[],3,FALSE),0)</f>
        <v/>
      </c>
      <c r="AX1451" s="76">
        <f>IFERROR(ROUND(S1451*(1+AW1451)/E1451,2),0)</f>
        <v/>
      </c>
      <c r="AY1451" s="76">
        <f>E1451*AX1451</f>
        <v/>
      </c>
      <c r="AZ1451" s="192">
        <f>S1451*(1+M1451)</f>
        <v/>
      </c>
      <c r="BA1451" s="76">
        <f>cost_fin_total*$BD1451</f>
        <v/>
      </c>
      <c r="BB1451" s="193">
        <f>credit_sales_interest*BD1451</f>
        <v/>
      </c>
      <c r="BC1451" s="102">
        <f>IFERROR(IF($I$13&gt;0,$I1451/$I$13,$S1451/$S$13),0)</f>
        <v/>
      </c>
      <c r="BD1451" s="102">
        <f>IFERROR($S1451/$S$13,0)</f>
        <v/>
      </c>
      <c r="BE1451" s="413" t="inlineStr">
        <is>
          <t>$</t>
        </is>
      </c>
    </row>
    <row r="1452" ht="12" customFormat="1" customHeight="1" s="65">
      <c r="A1452" s="43" t="n">
        <v>1437</v>
      </c>
      <c r="B1452" s="166" t="n"/>
      <c r="C1452" s="166" t="n"/>
      <c r="D1452" s="166" t="n"/>
      <c r="E1452" s="162" t="n"/>
      <c r="F1452" s="166" t="n"/>
      <c r="G1452" s="162" t="n"/>
      <c r="H1452" s="162" t="n"/>
      <c r="I1452" s="189">
        <f>E1452*G1452</f>
        <v/>
      </c>
      <c r="J1452" s="195" t="n"/>
      <c r="K1452" s="162" t="n"/>
      <c r="L1452" s="168" t="n"/>
      <c r="M1452" s="75">
        <f>_xlfn.XLOOKUP(L1452,list_vat[Страна],list_vat[Ставка НДС %],0,0)</f>
        <v/>
      </c>
      <c r="N1452" s="162">
        <f>IFERROR(IF(L1452="Китай",K1452,K1452/(1+M1452)),0)</f>
        <v/>
      </c>
      <c r="O1452" s="169" t="n"/>
      <c r="P1452" s="76">
        <f>N1452*(1-O1452)</f>
        <v/>
      </c>
      <c r="Q1452" s="162" t="n"/>
      <c r="R1452" s="162">
        <f>IF(ISBLANK(Q1452),"введи курс",P1452/Q1452)</f>
        <v/>
      </c>
      <c r="S1452" s="196">
        <f>IF(AND(ISNUMBER(E1452),ISNUMBER(Q1452)),E1452*R1452,0)</f>
        <v/>
      </c>
      <c r="T1452" s="192">
        <f>$BC1452*V$11</f>
        <v/>
      </c>
      <c r="U1452" s="76">
        <f>$BC1452*W$11</f>
        <v/>
      </c>
      <c r="V1452" s="193">
        <f>+SUM(T1452:U1452)</f>
        <v/>
      </c>
      <c r="W1452" s="191" t="n"/>
      <c r="X1452" s="170" t="n"/>
      <c r="Y1452" s="76">
        <f>ROUND(IF(offer_incoterms="DDP",X1452*(S1452*(1+AW1452)+T1452),0),2)</f>
        <v/>
      </c>
      <c r="Z1452" s="188" t="n"/>
      <c r="AA1452" s="192">
        <f>IFERROR(AB1452/E1452,0)</f>
        <v/>
      </c>
      <c r="AB1452" s="76">
        <f>ROUND(SUM(S1452,V1452,Y1452:Z1452,BA1452:BB1452),2)</f>
        <v/>
      </c>
      <c r="AC1452" s="797" t="n"/>
      <c r="AD1452" s="192">
        <f t="array" ref="AD1452">IFERROR(ROUND((_xlfn.IFS(offer_sale_type="поставка",AB1452,offer_sale_type="транзит",S1452)*(1+AC1452))/E1452,2),0)</f>
        <v/>
      </c>
      <c r="AE1452" s="76">
        <f>AD1452*E1452</f>
        <v/>
      </c>
      <c r="AF1452" s="193">
        <f t="array" ref="AF1452">IFERROR(ROUND(_xlfn.IFS(offer_sale_type="поставка",AB1452,offer_sale_type="транзит",S1452)*AC1452,2),0)</f>
        <v/>
      </c>
      <c r="AG1452" s="192">
        <f>$BD1452*VLOOKUP($AG$3,$AF$4:$AG$7,2,FALSE)</f>
        <v/>
      </c>
      <c r="AH1452" s="76">
        <f>SUM(AE1452,AG1452,AI1452)*rate_forex_risk</f>
        <v/>
      </c>
      <c r="AI1452" s="193">
        <f>IF(OR(seller_region="TR",offer_sale_type="экспорт"),0,rate_fin_comm)*SUM(AZ1452,AZ1452*AW1452,T1452)</f>
        <v/>
      </c>
      <c r="AJ1452" s="118">
        <f>IFERROR(ROUND(SUM(AB1452,AF1452:AI1452)/E1452,2),0)</f>
        <v/>
      </c>
      <c r="AK1452" s="76">
        <f>AJ1452*E1452</f>
        <v/>
      </c>
      <c r="AL1452" s="174">
        <f>ROUND(IFERROR(AM1452*E1452,0),2)</f>
        <v/>
      </c>
      <c r="AM1452" s="175">
        <f>ROUND(AJ1452*(1+IF(offer_incoterms="DDP",IF((TODAY()+offer_turnaround_time)&gt;=helpsheet!$L$17,rate_vatRU_from_26,rate_vatRu_till_25),0)),2)</f>
        <v/>
      </c>
      <c r="AN1452" s="192">
        <f>AL1452-AK1452</f>
        <v/>
      </c>
      <c r="AO1452" s="76">
        <f>SUM(AY1452,Y1452:Z1452,T1452)*IF(AND(offer_incoterms="DDP",offer_sale_type&lt;&gt;"экспорт"),IF((TODAY()+offer_turnaround_time)&gt;=helpsheet!$L$17,rate_vatRU_from_26,rate_vatRu_till_25),0)</f>
        <v/>
      </c>
      <c r="AP1452" s="193">
        <f>AN1452-AO1452</f>
        <v/>
      </c>
      <c r="AQ1452" s="118">
        <f>IF(offer_sale_type="транзит",SUM(AF1452:AI1452,BA1452,BB1452),0)</f>
        <v/>
      </c>
      <c r="AR1452" s="82">
        <f>HYPERLINK("https://www.alta.ru/tnved/code/")&amp;W1452&amp;"/"</f>
        <v/>
      </c>
      <c r="AS1452" s="157" t="n"/>
      <c r="AT1452" s="162" t="n"/>
      <c r="AU1452" s="76">
        <f>IF(ISBLANK(AT1452),0,AJ1452-AT1452)</f>
        <v/>
      </c>
      <c r="AV1452" s="157" t="n"/>
      <c r="AW1452" s="75">
        <f>_xlfn.IFNA(VLOOKUP(L1452,list_vat[],3,FALSE),0)</f>
        <v/>
      </c>
      <c r="AX1452" s="76">
        <f>IFERROR(ROUND(S1452*(1+AW1452)/E1452,2),0)</f>
        <v/>
      </c>
      <c r="AY1452" s="76">
        <f>E1452*AX1452</f>
        <v/>
      </c>
      <c r="AZ1452" s="192">
        <f>S1452*(1+M1452)</f>
        <v/>
      </c>
      <c r="BA1452" s="76">
        <f>cost_fin_total*$BD1452</f>
        <v/>
      </c>
      <c r="BB1452" s="193">
        <f>credit_sales_interest*BD1452</f>
        <v/>
      </c>
      <c r="BC1452" s="102">
        <f>IFERROR(IF($I$13&gt;0,$I1452/$I$13,$S1452/$S$13),0)</f>
        <v/>
      </c>
      <c r="BD1452" s="102">
        <f>IFERROR($S1452/$S$13,0)</f>
        <v/>
      </c>
      <c r="BE1452" s="413" t="inlineStr">
        <is>
          <t>$</t>
        </is>
      </c>
    </row>
    <row r="1453" ht="12" customFormat="1" customHeight="1" s="65">
      <c r="A1453" s="43" t="n">
        <v>1438</v>
      </c>
      <c r="B1453" s="166" t="n"/>
      <c r="C1453" s="166" t="n"/>
      <c r="D1453" s="166" t="n"/>
      <c r="E1453" s="162" t="n"/>
      <c r="F1453" s="166" t="n"/>
      <c r="G1453" s="162" t="n"/>
      <c r="H1453" s="162" t="n"/>
      <c r="I1453" s="189">
        <f>E1453*G1453</f>
        <v/>
      </c>
      <c r="J1453" s="195" t="n"/>
      <c r="K1453" s="162" t="n"/>
      <c r="L1453" s="168" t="n"/>
      <c r="M1453" s="75">
        <f>_xlfn.XLOOKUP(L1453,list_vat[Страна],list_vat[Ставка НДС %],0,0)</f>
        <v/>
      </c>
      <c r="N1453" s="162">
        <f>IFERROR(IF(L1453="Китай",K1453,K1453/(1+M1453)),0)</f>
        <v/>
      </c>
      <c r="O1453" s="169" t="n"/>
      <c r="P1453" s="76">
        <f>N1453*(1-O1453)</f>
        <v/>
      </c>
      <c r="Q1453" s="162" t="n"/>
      <c r="R1453" s="162">
        <f>IF(ISBLANK(Q1453),"введи курс",P1453/Q1453)</f>
        <v/>
      </c>
      <c r="S1453" s="196">
        <f>IF(AND(ISNUMBER(E1453),ISNUMBER(Q1453)),E1453*R1453,0)</f>
        <v/>
      </c>
      <c r="T1453" s="192">
        <f>$BC1453*V$11</f>
        <v/>
      </c>
      <c r="U1453" s="76">
        <f>$BC1453*W$11</f>
        <v/>
      </c>
      <c r="V1453" s="193">
        <f>+SUM(T1453:U1453)</f>
        <v/>
      </c>
      <c r="W1453" s="191" t="n"/>
      <c r="X1453" s="170" t="n"/>
      <c r="Y1453" s="76">
        <f>ROUND(IF(offer_incoterms="DDP",X1453*(S1453*(1+AW1453)+T1453),0),2)</f>
        <v/>
      </c>
      <c r="Z1453" s="188" t="n"/>
      <c r="AA1453" s="192">
        <f>IFERROR(AB1453/E1453,0)</f>
        <v/>
      </c>
      <c r="AB1453" s="76">
        <f>ROUND(SUM(S1453,V1453,Y1453:Z1453,BA1453:BB1453),2)</f>
        <v/>
      </c>
      <c r="AC1453" s="797" t="n"/>
      <c r="AD1453" s="192">
        <f t="array" ref="AD1453">IFERROR(ROUND((_xlfn.IFS(offer_sale_type="поставка",AB1453,offer_sale_type="транзит",S1453)*(1+AC1453))/E1453,2),0)</f>
        <v/>
      </c>
      <c r="AE1453" s="76">
        <f>AD1453*E1453</f>
        <v/>
      </c>
      <c r="AF1453" s="193">
        <f t="array" ref="AF1453">IFERROR(ROUND(_xlfn.IFS(offer_sale_type="поставка",AB1453,offer_sale_type="транзит",S1453)*AC1453,2),0)</f>
        <v/>
      </c>
      <c r="AG1453" s="192">
        <f>$BD1453*VLOOKUP($AG$3,$AF$4:$AG$7,2,FALSE)</f>
        <v/>
      </c>
      <c r="AH1453" s="76">
        <f>SUM(AE1453,AG1453,AI1453)*rate_forex_risk</f>
        <v/>
      </c>
      <c r="AI1453" s="193">
        <f>IF(OR(seller_region="TR",offer_sale_type="экспорт"),0,rate_fin_comm)*SUM(AZ1453,AZ1453*AW1453,T1453)</f>
        <v/>
      </c>
      <c r="AJ1453" s="118">
        <f>IFERROR(ROUND(SUM(AB1453,AF1453:AI1453)/E1453,2),0)</f>
        <v/>
      </c>
      <c r="AK1453" s="76">
        <f>AJ1453*E1453</f>
        <v/>
      </c>
      <c r="AL1453" s="174">
        <f>ROUND(IFERROR(AM1453*E1453,0),2)</f>
        <v/>
      </c>
      <c r="AM1453" s="175">
        <f>ROUND(AJ1453*(1+IF(offer_incoterms="DDP",IF((TODAY()+offer_turnaround_time)&gt;=helpsheet!$L$17,rate_vatRU_from_26,rate_vatRu_till_25),0)),2)</f>
        <v/>
      </c>
      <c r="AN1453" s="192">
        <f>AL1453-AK1453</f>
        <v/>
      </c>
      <c r="AO1453" s="76">
        <f>SUM(AY1453,Y1453:Z1453,T1453)*IF(AND(offer_incoterms="DDP",offer_sale_type&lt;&gt;"экспорт"),IF((TODAY()+offer_turnaround_time)&gt;=helpsheet!$L$17,rate_vatRU_from_26,rate_vatRu_till_25),0)</f>
        <v/>
      </c>
      <c r="AP1453" s="193">
        <f>AN1453-AO1453</f>
        <v/>
      </c>
      <c r="AQ1453" s="118">
        <f>IF(offer_sale_type="транзит",SUM(AF1453:AI1453,BA1453,BB1453),0)</f>
        <v/>
      </c>
      <c r="AR1453" s="82">
        <f>HYPERLINK("https://www.alta.ru/tnved/code/")&amp;W1453&amp;"/"</f>
        <v/>
      </c>
      <c r="AS1453" s="157" t="n"/>
      <c r="AT1453" s="162" t="n"/>
      <c r="AU1453" s="76">
        <f>IF(ISBLANK(AT1453),0,AJ1453-AT1453)</f>
        <v/>
      </c>
      <c r="AV1453" s="157" t="n"/>
      <c r="AW1453" s="75">
        <f>_xlfn.IFNA(VLOOKUP(L1453,list_vat[],3,FALSE),0)</f>
        <v/>
      </c>
      <c r="AX1453" s="76">
        <f>IFERROR(ROUND(S1453*(1+AW1453)/E1453,2),0)</f>
        <v/>
      </c>
      <c r="AY1453" s="76">
        <f>E1453*AX1453</f>
        <v/>
      </c>
      <c r="AZ1453" s="192">
        <f>S1453*(1+M1453)</f>
        <v/>
      </c>
      <c r="BA1453" s="76">
        <f>cost_fin_total*$BD1453</f>
        <v/>
      </c>
      <c r="BB1453" s="193">
        <f>credit_sales_interest*BD1453</f>
        <v/>
      </c>
      <c r="BC1453" s="102">
        <f>IFERROR(IF($I$13&gt;0,$I1453/$I$13,$S1453/$S$13),0)</f>
        <v/>
      </c>
      <c r="BD1453" s="102">
        <f>IFERROR($S1453/$S$13,0)</f>
        <v/>
      </c>
      <c r="BE1453" s="413" t="inlineStr">
        <is>
          <t>$</t>
        </is>
      </c>
    </row>
    <row r="1454" ht="12" customFormat="1" customHeight="1" s="65">
      <c r="A1454" s="43" t="n">
        <v>1439</v>
      </c>
      <c r="B1454" s="166" t="n"/>
      <c r="C1454" s="166" t="n"/>
      <c r="D1454" s="166" t="n"/>
      <c r="E1454" s="162" t="n"/>
      <c r="F1454" s="166" t="n"/>
      <c r="G1454" s="162" t="n"/>
      <c r="H1454" s="162" t="n"/>
      <c r="I1454" s="189">
        <f>E1454*G1454</f>
        <v/>
      </c>
      <c r="J1454" s="195" t="n"/>
      <c r="K1454" s="162" t="n"/>
      <c r="L1454" s="168" t="n"/>
      <c r="M1454" s="75">
        <f>_xlfn.XLOOKUP(L1454,list_vat[Страна],list_vat[Ставка НДС %],0,0)</f>
        <v/>
      </c>
      <c r="N1454" s="162">
        <f>IFERROR(IF(L1454="Китай",K1454,K1454/(1+M1454)),0)</f>
        <v/>
      </c>
      <c r="O1454" s="169" t="n"/>
      <c r="P1454" s="76">
        <f>N1454*(1-O1454)</f>
        <v/>
      </c>
      <c r="Q1454" s="162" t="n"/>
      <c r="R1454" s="162">
        <f>IF(ISBLANK(Q1454),"введи курс",P1454/Q1454)</f>
        <v/>
      </c>
      <c r="S1454" s="196">
        <f>IF(AND(ISNUMBER(E1454),ISNUMBER(Q1454)),E1454*R1454,0)</f>
        <v/>
      </c>
      <c r="T1454" s="192">
        <f>$BC1454*V$11</f>
        <v/>
      </c>
      <c r="U1454" s="76">
        <f>$BC1454*W$11</f>
        <v/>
      </c>
      <c r="V1454" s="193">
        <f>+SUM(T1454:U1454)</f>
        <v/>
      </c>
      <c r="W1454" s="191" t="n"/>
      <c r="X1454" s="170" t="n"/>
      <c r="Y1454" s="76">
        <f>ROUND(IF(offer_incoterms="DDP",X1454*(S1454*(1+AW1454)+T1454),0),2)</f>
        <v/>
      </c>
      <c r="Z1454" s="188" t="n"/>
      <c r="AA1454" s="192">
        <f>IFERROR(AB1454/E1454,0)</f>
        <v/>
      </c>
      <c r="AB1454" s="76">
        <f>ROUND(SUM(S1454,V1454,Y1454:Z1454,BA1454:BB1454),2)</f>
        <v/>
      </c>
      <c r="AC1454" s="797" t="n"/>
      <c r="AD1454" s="192">
        <f t="array" ref="AD1454">IFERROR(ROUND((_xlfn.IFS(offer_sale_type="поставка",AB1454,offer_sale_type="транзит",S1454)*(1+AC1454))/E1454,2),0)</f>
        <v/>
      </c>
      <c r="AE1454" s="76">
        <f>AD1454*E1454</f>
        <v/>
      </c>
      <c r="AF1454" s="193">
        <f t="array" ref="AF1454">IFERROR(ROUND(_xlfn.IFS(offer_sale_type="поставка",AB1454,offer_sale_type="транзит",S1454)*AC1454,2),0)</f>
        <v/>
      </c>
      <c r="AG1454" s="192">
        <f>$BD1454*VLOOKUP($AG$3,$AF$4:$AG$7,2,FALSE)</f>
        <v/>
      </c>
      <c r="AH1454" s="76">
        <f>SUM(AE1454,AG1454,AI1454)*rate_forex_risk</f>
        <v/>
      </c>
      <c r="AI1454" s="193">
        <f>IF(OR(seller_region="TR",offer_sale_type="экспорт"),0,rate_fin_comm)*SUM(AZ1454,AZ1454*AW1454,T1454)</f>
        <v/>
      </c>
      <c r="AJ1454" s="118">
        <f>IFERROR(ROUND(SUM(AB1454,AF1454:AI1454)/E1454,2),0)</f>
        <v/>
      </c>
      <c r="AK1454" s="76">
        <f>AJ1454*E1454</f>
        <v/>
      </c>
      <c r="AL1454" s="174">
        <f>ROUND(IFERROR(AM1454*E1454,0),2)</f>
        <v/>
      </c>
      <c r="AM1454" s="175">
        <f>ROUND(AJ1454*(1+IF(offer_incoterms="DDP",IF((TODAY()+offer_turnaround_time)&gt;=helpsheet!$L$17,rate_vatRU_from_26,rate_vatRu_till_25),0)),2)</f>
        <v/>
      </c>
      <c r="AN1454" s="192">
        <f>AL1454-AK1454</f>
        <v/>
      </c>
      <c r="AO1454" s="76">
        <f>SUM(AY1454,Y1454:Z1454,T1454)*IF(AND(offer_incoterms="DDP",offer_sale_type&lt;&gt;"экспорт"),IF((TODAY()+offer_turnaround_time)&gt;=helpsheet!$L$17,rate_vatRU_from_26,rate_vatRu_till_25),0)</f>
        <v/>
      </c>
      <c r="AP1454" s="193">
        <f>AN1454-AO1454</f>
        <v/>
      </c>
      <c r="AQ1454" s="118">
        <f>IF(offer_sale_type="транзит",SUM(AF1454:AI1454,BA1454,BB1454),0)</f>
        <v/>
      </c>
      <c r="AR1454" s="82">
        <f>HYPERLINK("https://www.alta.ru/tnved/code/")&amp;W1454&amp;"/"</f>
        <v/>
      </c>
      <c r="AS1454" s="157" t="n"/>
      <c r="AT1454" s="162" t="n"/>
      <c r="AU1454" s="76">
        <f>IF(ISBLANK(AT1454),0,AJ1454-AT1454)</f>
        <v/>
      </c>
      <c r="AV1454" s="157" t="n"/>
      <c r="AW1454" s="75">
        <f>_xlfn.IFNA(VLOOKUP(L1454,list_vat[],3,FALSE),0)</f>
        <v/>
      </c>
      <c r="AX1454" s="76">
        <f>IFERROR(ROUND(S1454*(1+AW1454)/E1454,2),0)</f>
        <v/>
      </c>
      <c r="AY1454" s="76">
        <f>E1454*AX1454</f>
        <v/>
      </c>
      <c r="AZ1454" s="192">
        <f>S1454*(1+M1454)</f>
        <v/>
      </c>
      <c r="BA1454" s="76">
        <f>cost_fin_total*$BD1454</f>
        <v/>
      </c>
      <c r="BB1454" s="193">
        <f>credit_sales_interest*BD1454</f>
        <v/>
      </c>
      <c r="BC1454" s="102">
        <f>IFERROR(IF($I$13&gt;0,$I1454/$I$13,$S1454/$S$13),0)</f>
        <v/>
      </c>
      <c r="BD1454" s="102">
        <f>IFERROR($S1454/$S$13,0)</f>
        <v/>
      </c>
      <c r="BE1454" s="413" t="inlineStr">
        <is>
          <t>$</t>
        </is>
      </c>
    </row>
    <row r="1455" ht="12" customFormat="1" customHeight="1" s="65">
      <c r="A1455" s="43" t="n">
        <v>1440</v>
      </c>
      <c r="B1455" s="166" t="n"/>
      <c r="C1455" s="166" t="n"/>
      <c r="D1455" s="166" t="n"/>
      <c r="E1455" s="162" t="n"/>
      <c r="F1455" s="166" t="n"/>
      <c r="G1455" s="162" t="n"/>
      <c r="H1455" s="162" t="n"/>
      <c r="I1455" s="189">
        <f>E1455*G1455</f>
        <v/>
      </c>
      <c r="J1455" s="195" t="n"/>
      <c r="K1455" s="162" t="n"/>
      <c r="L1455" s="168" t="n"/>
      <c r="M1455" s="75">
        <f>_xlfn.XLOOKUP(L1455,list_vat[Страна],list_vat[Ставка НДС %],0,0)</f>
        <v/>
      </c>
      <c r="N1455" s="162">
        <f>IFERROR(IF(L1455="Китай",K1455,K1455/(1+M1455)),0)</f>
        <v/>
      </c>
      <c r="O1455" s="169" t="n"/>
      <c r="P1455" s="76">
        <f>N1455*(1-O1455)</f>
        <v/>
      </c>
      <c r="Q1455" s="162" t="n"/>
      <c r="R1455" s="162">
        <f>IF(ISBLANK(Q1455),"введи курс",P1455/Q1455)</f>
        <v/>
      </c>
      <c r="S1455" s="196">
        <f>IF(AND(ISNUMBER(E1455),ISNUMBER(Q1455)),E1455*R1455,0)</f>
        <v/>
      </c>
      <c r="T1455" s="192">
        <f>$BC1455*V$11</f>
        <v/>
      </c>
      <c r="U1455" s="76">
        <f>$BC1455*W$11</f>
        <v/>
      </c>
      <c r="V1455" s="193">
        <f>+SUM(T1455:U1455)</f>
        <v/>
      </c>
      <c r="W1455" s="191" t="n"/>
      <c r="X1455" s="170" t="n"/>
      <c r="Y1455" s="76">
        <f>ROUND(IF(offer_incoterms="DDP",X1455*(S1455*(1+AW1455)+T1455),0),2)</f>
        <v/>
      </c>
      <c r="Z1455" s="188" t="n"/>
      <c r="AA1455" s="192">
        <f>IFERROR(AB1455/E1455,0)</f>
        <v/>
      </c>
      <c r="AB1455" s="76">
        <f>ROUND(SUM(S1455,V1455,Y1455:Z1455,BA1455:BB1455),2)</f>
        <v/>
      </c>
      <c r="AC1455" s="797" t="n"/>
      <c r="AD1455" s="192">
        <f t="array" ref="AD1455">IFERROR(ROUND((_xlfn.IFS(offer_sale_type="поставка",AB1455,offer_sale_type="транзит",S1455)*(1+AC1455))/E1455,2),0)</f>
        <v/>
      </c>
      <c r="AE1455" s="76">
        <f>AD1455*E1455</f>
        <v/>
      </c>
      <c r="AF1455" s="193">
        <f t="array" ref="AF1455">IFERROR(ROUND(_xlfn.IFS(offer_sale_type="поставка",AB1455,offer_sale_type="транзит",S1455)*AC1455,2),0)</f>
        <v/>
      </c>
      <c r="AG1455" s="192">
        <f>$BD1455*VLOOKUP($AG$3,$AF$4:$AG$7,2,FALSE)</f>
        <v/>
      </c>
      <c r="AH1455" s="76">
        <f>SUM(AE1455,AG1455,AI1455)*rate_forex_risk</f>
        <v/>
      </c>
      <c r="AI1455" s="193">
        <f>IF(OR(seller_region="TR",offer_sale_type="экспорт"),0,rate_fin_comm)*SUM(AZ1455,AZ1455*AW1455,T1455)</f>
        <v/>
      </c>
      <c r="AJ1455" s="118">
        <f>IFERROR(ROUND(SUM(AB1455,AF1455:AI1455)/E1455,2),0)</f>
        <v/>
      </c>
      <c r="AK1455" s="76">
        <f>AJ1455*E1455</f>
        <v/>
      </c>
      <c r="AL1455" s="174">
        <f>ROUND(IFERROR(AM1455*E1455,0),2)</f>
        <v/>
      </c>
      <c r="AM1455" s="175">
        <f>ROUND(AJ1455*(1+IF(offer_incoterms="DDP",IF((TODAY()+offer_turnaround_time)&gt;=helpsheet!$L$17,rate_vatRU_from_26,rate_vatRu_till_25),0)),2)</f>
        <v/>
      </c>
      <c r="AN1455" s="192">
        <f>AL1455-AK1455</f>
        <v/>
      </c>
      <c r="AO1455" s="76">
        <f>SUM(AY1455,Y1455:Z1455,T1455)*IF(AND(offer_incoterms="DDP",offer_sale_type&lt;&gt;"экспорт"),IF((TODAY()+offer_turnaround_time)&gt;=helpsheet!$L$17,rate_vatRU_from_26,rate_vatRu_till_25),0)</f>
        <v/>
      </c>
      <c r="AP1455" s="193">
        <f>AN1455-AO1455</f>
        <v/>
      </c>
      <c r="AQ1455" s="118">
        <f>IF(offer_sale_type="транзит",SUM(AF1455:AI1455,BA1455,BB1455),0)</f>
        <v/>
      </c>
      <c r="AR1455" s="82">
        <f>HYPERLINK("https://www.alta.ru/tnved/code/")&amp;W1455&amp;"/"</f>
        <v/>
      </c>
      <c r="AS1455" s="157" t="n"/>
      <c r="AT1455" s="162" t="n"/>
      <c r="AU1455" s="76">
        <f>IF(ISBLANK(AT1455),0,AJ1455-AT1455)</f>
        <v/>
      </c>
      <c r="AV1455" s="157" t="n"/>
      <c r="AW1455" s="75">
        <f>_xlfn.IFNA(VLOOKUP(L1455,list_vat[],3,FALSE),0)</f>
        <v/>
      </c>
      <c r="AX1455" s="76">
        <f>IFERROR(ROUND(S1455*(1+AW1455)/E1455,2),0)</f>
        <v/>
      </c>
      <c r="AY1455" s="76">
        <f>E1455*AX1455</f>
        <v/>
      </c>
      <c r="AZ1455" s="192">
        <f>S1455*(1+M1455)</f>
        <v/>
      </c>
      <c r="BA1455" s="76">
        <f>cost_fin_total*$BD1455</f>
        <v/>
      </c>
      <c r="BB1455" s="193">
        <f>credit_sales_interest*BD1455</f>
        <v/>
      </c>
      <c r="BC1455" s="102">
        <f>IFERROR(IF($I$13&gt;0,$I1455/$I$13,$S1455/$S$13),0)</f>
        <v/>
      </c>
      <c r="BD1455" s="102">
        <f>IFERROR($S1455/$S$13,0)</f>
        <v/>
      </c>
      <c r="BE1455" s="413" t="inlineStr">
        <is>
          <t>$</t>
        </is>
      </c>
    </row>
    <row r="1456" ht="12" customFormat="1" customHeight="1" s="65">
      <c r="A1456" s="43" t="n">
        <v>1441</v>
      </c>
      <c r="B1456" s="166" t="n"/>
      <c r="C1456" s="166" t="n"/>
      <c r="D1456" s="166" t="n"/>
      <c r="E1456" s="162" t="n"/>
      <c r="F1456" s="166" t="n"/>
      <c r="G1456" s="162" t="n"/>
      <c r="H1456" s="162" t="n"/>
      <c r="I1456" s="189">
        <f>E1456*G1456</f>
        <v/>
      </c>
      <c r="J1456" s="195" t="n"/>
      <c r="K1456" s="162" t="n"/>
      <c r="L1456" s="168" t="n"/>
      <c r="M1456" s="75">
        <f>_xlfn.XLOOKUP(L1456,list_vat[Страна],list_vat[Ставка НДС %],0,0)</f>
        <v/>
      </c>
      <c r="N1456" s="162">
        <f>IFERROR(IF(L1456="Китай",K1456,K1456/(1+M1456)),0)</f>
        <v/>
      </c>
      <c r="O1456" s="169" t="n"/>
      <c r="P1456" s="76">
        <f>N1456*(1-O1456)</f>
        <v/>
      </c>
      <c r="Q1456" s="162" t="n"/>
      <c r="R1456" s="162">
        <f>IF(ISBLANK(Q1456),"введи курс",P1456/Q1456)</f>
        <v/>
      </c>
      <c r="S1456" s="196">
        <f>IF(AND(ISNUMBER(E1456),ISNUMBER(Q1456)),E1456*R1456,0)</f>
        <v/>
      </c>
      <c r="T1456" s="192">
        <f>$BC1456*V$11</f>
        <v/>
      </c>
      <c r="U1456" s="76">
        <f>$BC1456*W$11</f>
        <v/>
      </c>
      <c r="V1456" s="193">
        <f>+SUM(T1456:U1456)</f>
        <v/>
      </c>
      <c r="W1456" s="191" t="n"/>
      <c r="X1456" s="170" t="n"/>
      <c r="Y1456" s="76">
        <f>ROUND(IF(offer_incoterms="DDP",X1456*(S1456*(1+AW1456)+T1456),0),2)</f>
        <v/>
      </c>
      <c r="Z1456" s="188" t="n"/>
      <c r="AA1456" s="192">
        <f>IFERROR(AB1456/E1456,0)</f>
        <v/>
      </c>
      <c r="AB1456" s="76">
        <f>ROUND(SUM(S1456,V1456,Y1456:Z1456,BA1456:BB1456),2)</f>
        <v/>
      </c>
      <c r="AC1456" s="797" t="n"/>
      <c r="AD1456" s="192">
        <f t="array" ref="AD1456">IFERROR(ROUND((_xlfn.IFS(offer_sale_type="поставка",AB1456,offer_sale_type="транзит",S1456)*(1+AC1456))/E1456,2),0)</f>
        <v/>
      </c>
      <c r="AE1456" s="76">
        <f>AD1456*E1456</f>
        <v/>
      </c>
      <c r="AF1456" s="193">
        <f t="array" ref="AF1456">IFERROR(ROUND(_xlfn.IFS(offer_sale_type="поставка",AB1456,offer_sale_type="транзит",S1456)*AC1456,2),0)</f>
        <v/>
      </c>
      <c r="AG1456" s="192">
        <f>$BD1456*VLOOKUP($AG$3,$AF$4:$AG$7,2,FALSE)</f>
        <v/>
      </c>
      <c r="AH1456" s="76">
        <f>SUM(AE1456,AG1456,AI1456)*rate_forex_risk</f>
        <v/>
      </c>
      <c r="AI1456" s="193">
        <f>IF(OR(seller_region="TR",offer_sale_type="экспорт"),0,rate_fin_comm)*SUM(AZ1456,AZ1456*AW1456,T1456)</f>
        <v/>
      </c>
      <c r="AJ1456" s="118">
        <f>IFERROR(ROUND(SUM(AB1456,AF1456:AI1456)/E1456,2),0)</f>
        <v/>
      </c>
      <c r="AK1456" s="76">
        <f>AJ1456*E1456</f>
        <v/>
      </c>
      <c r="AL1456" s="174">
        <f>ROUND(IFERROR(AM1456*E1456,0),2)</f>
        <v/>
      </c>
      <c r="AM1456" s="175">
        <f>ROUND(AJ1456*(1+IF(offer_incoterms="DDP",IF((TODAY()+offer_turnaround_time)&gt;=helpsheet!$L$17,rate_vatRU_from_26,rate_vatRu_till_25),0)),2)</f>
        <v/>
      </c>
      <c r="AN1456" s="192">
        <f>AL1456-AK1456</f>
        <v/>
      </c>
      <c r="AO1456" s="76">
        <f>SUM(AY1456,Y1456:Z1456,T1456)*IF(AND(offer_incoterms="DDP",offer_sale_type&lt;&gt;"экспорт"),IF((TODAY()+offer_turnaround_time)&gt;=helpsheet!$L$17,rate_vatRU_from_26,rate_vatRu_till_25),0)</f>
        <v/>
      </c>
      <c r="AP1456" s="193">
        <f>AN1456-AO1456</f>
        <v/>
      </c>
      <c r="AQ1456" s="118">
        <f>IF(offer_sale_type="транзит",SUM(AF1456:AI1456,BA1456,BB1456),0)</f>
        <v/>
      </c>
      <c r="AR1456" s="82">
        <f>HYPERLINK("https://www.alta.ru/tnved/code/")&amp;W1456&amp;"/"</f>
        <v/>
      </c>
      <c r="AS1456" s="157" t="n"/>
      <c r="AT1456" s="162" t="n"/>
      <c r="AU1456" s="76">
        <f>IF(ISBLANK(AT1456),0,AJ1456-AT1456)</f>
        <v/>
      </c>
      <c r="AV1456" s="157" t="n"/>
      <c r="AW1456" s="75">
        <f>_xlfn.IFNA(VLOOKUP(L1456,list_vat[],3,FALSE),0)</f>
        <v/>
      </c>
      <c r="AX1456" s="76">
        <f>IFERROR(ROUND(S1456*(1+AW1456)/E1456,2),0)</f>
        <v/>
      </c>
      <c r="AY1456" s="76">
        <f>E1456*AX1456</f>
        <v/>
      </c>
      <c r="AZ1456" s="192">
        <f>S1456*(1+M1456)</f>
        <v/>
      </c>
      <c r="BA1456" s="76">
        <f>cost_fin_total*$BD1456</f>
        <v/>
      </c>
      <c r="BB1456" s="193">
        <f>credit_sales_interest*BD1456</f>
        <v/>
      </c>
      <c r="BC1456" s="102">
        <f>IFERROR(IF($I$13&gt;0,$I1456/$I$13,$S1456/$S$13),0)</f>
        <v/>
      </c>
      <c r="BD1456" s="102">
        <f>IFERROR($S1456/$S$13,0)</f>
        <v/>
      </c>
      <c r="BE1456" s="413" t="inlineStr">
        <is>
          <t>$</t>
        </is>
      </c>
    </row>
    <row r="1457" ht="12" customFormat="1" customHeight="1" s="65">
      <c r="A1457" s="43" t="n">
        <v>1442</v>
      </c>
      <c r="B1457" s="166" t="n"/>
      <c r="C1457" s="166" t="n"/>
      <c r="D1457" s="166" t="n"/>
      <c r="E1457" s="162" t="n"/>
      <c r="F1457" s="166" t="n"/>
      <c r="G1457" s="162" t="n"/>
      <c r="H1457" s="162" t="n"/>
      <c r="I1457" s="189">
        <f>E1457*G1457</f>
        <v/>
      </c>
      <c r="J1457" s="195" t="n"/>
      <c r="K1457" s="162" t="n"/>
      <c r="L1457" s="168" t="n"/>
      <c r="M1457" s="75">
        <f>_xlfn.XLOOKUP(L1457,list_vat[Страна],list_vat[Ставка НДС %],0,0)</f>
        <v/>
      </c>
      <c r="N1457" s="162">
        <f>IFERROR(IF(L1457="Китай",K1457,K1457/(1+M1457)),0)</f>
        <v/>
      </c>
      <c r="O1457" s="169" t="n"/>
      <c r="P1457" s="76">
        <f>N1457*(1-O1457)</f>
        <v/>
      </c>
      <c r="Q1457" s="162" t="n"/>
      <c r="R1457" s="162">
        <f>IF(ISBLANK(Q1457),"введи курс",P1457/Q1457)</f>
        <v/>
      </c>
      <c r="S1457" s="196">
        <f>IF(AND(ISNUMBER(E1457),ISNUMBER(Q1457)),E1457*R1457,0)</f>
        <v/>
      </c>
      <c r="T1457" s="192">
        <f>$BC1457*V$11</f>
        <v/>
      </c>
      <c r="U1457" s="76">
        <f>$BC1457*W$11</f>
        <v/>
      </c>
      <c r="V1457" s="193">
        <f>+SUM(T1457:U1457)</f>
        <v/>
      </c>
      <c r="W1457" s="191" t="n"/>
      <c r="X1457" s="170" t="n"/>
      <c r="Y1457" s="76">
        <f>ROUND(IF(offer_incoterms="DDP",X1457*(S1457*(1+AW1457)+T1457),0),2)</f>
        <v/>
      </c>
      <c r="Z1457" s="188" t="n"/>
      <c r="AA1457" s="192">
        <f>IFERROR(AB1457/E1457,0)</f>
        <v/>
      </c>
      <c r="AB1457" s="76">
        <f>ROUND(SUM(S1457,V1457,Y1457:Z1457,BA1457:BB1457),2)</f>
        <v/>
      </c>
      <c r="AC1457" s="797" t="n"/>
      <c r="AD1457" s="192">
        <f t="array" ref="AD1457">IFERROR(ROUND((_xlfn.IFS(offer_sale_type="поставка",AB1457,offer_sale_type="транзит",S1457)*(1+AC1457))/E1457,2),0)</f>
        <v/>
      </c>
      <c r="AE1457" s="76">
        <f>AD1457*E1457</f>
        <v/>
      </c>
      <c r="AF1457" s="193">
        <f t="array" ref="AF1457">IFERROR(ROUND(_xlfn.IFS(offer_sale_type="поставка",AB1457,offer_sale_type="транзит",S1457)*AC1457,2),0)</f>
        <v/>
      </c>
      <c r="AG1457" s="192">
        <f>$BD1457*VLOOKUP($AG$3,$AF$4:$AG$7,2,FALSE)</f>
        <v/>
      </c>
      <c r="AH1457" s="76">
        <f>SUM(AE1457,AG1457,AI1457)*rate_forex_risk</f>
        <v/>
      </c>
      <c r="AI1457" s="193">
        <f>IF(OR(seller_region="TR",offer_sale_type="экспорт"),0,rate_fin_comm)*SUM(AZ1457,AZ1457*AW1457,T1457)</f>
        <v/>
      </c>
      <c r="AJ1457" s="118">
        <f>IFERROR(ROUND(SUM(AB1457,AF1457:AI1457)/E1457,2),0)</f>
        <v/>
      </c>
      <c r="AK1457" s="76">
        <f>AJ1457*E1457</f>
        <v/>
      </c>
      <c r="AL1457" s="174">
        <f>ROUND(IFERROR(AM1457*E1457,0),2)</f>
        <v/>
      </c>
      <c r="AM1457" s="175">
        <f>ROUND(AJ1457*(1+IF(offer_incoterms="DDP",IF((TODAY()+offer_turnaround_time)&gt;=helpsheet!$L$17,rate_vatRU_from_26,rate_vatRu_till_25),0)),2)</f>
        <v/>
      </c>
      <c r="AN1457" s="192">
        <f>AL1457-AK1457</f>
        <v/>
      </c>
      <c r="AO1457" s="76">
        <f>SUM(AY1457,Y1457:Z1457,T1457)*IF(AND(offer_incoterms="DDP",offer_sale_type&lt;&gt;"экспорт"),IF((TODAY()+offer_turnaround_time)&gt;=helpsheet!$L$17,rate_vatRU_from_26,rate_vatRu_till_25),0)</f>
        <v/>
      </c>
      <c r="AP1457" s="193">
        <f>AN1457-AO1457</f>
        <v/>
      </c>
      <c r="AQ1457" s="118">
        <f>IF(offer_sale_type="транзит",SUM(AF1457:AI1457,BA1457,BB1457),0)</f>
        <v/>
      </c>
      <c r="AR1457" s="82">
        <f>HYPERLINK("https://www.alta.ru/tnved/code/")&amp;W1457&amp;"/"</f>
        <v/>
      </c>
      <c r="AS1457" s="157" t="n"/>
      <c r="AT1457" s="162" t="n"/>
      <c r="AU1457" s="76">
        <f>IF(ISBLANK(AT1457),0,AJ1457-AT1457)</f>
        <v/>
      </c>
      <c r="AV1457" s="157" t="n"/>
      <c r="AW1457" s="75">
        <f>_xlfn.IFNA(VLOOKUP(L1457,list_vat[],3,FALSE),0)</f>
        <v/>
      </c>
      <c r="AX1457" s="76">
        <f>IFERROR(ROUND(S1457*(1+AW1457)/E1457,2),0)</f>
        <v/>
      </c>
      <c r="AY1457" s="76">
        <f>E1457*AX1457</f>
        <v/>
      </c>
      <c r="AZ1457" s="192">
        <f>S1457*(1+M1457)</f>
        <v/>
      </c>
      <c r="BA1457" s="76">
        <f>cost_fin_total*$BD1457</f>
        <v/>
      </c>
      <c r="BB1457" s="193">
        <f>credit_sales_interest*BD1457</f>
        <v/>
      </c>
      <c r="BC1457" s="102">
        <f>IFERROR(IF($I$13&gt;0,$I1457/$I$13,$S1457/$S$13),0)</f>
        <v/>
      </c>
      <c r="BD1457" s="102">
        <f>IFERROR($S1457/$S$13,0)</f>
        <v/>
      </c>
      <c r="BE1457" s="413" t="inlineStr">
        <is>
          <t>$</t>
        </is>
      </c>
    </row>
    <row r="1458" ht="12" customFormat="1" customHeight="1" s="65">
      <c r="A1458" s="43" t="n">
        <v>1443</v>
      </c>
      <c r="B1458" s="166" t="n"/>
      <c r="C1458" s="166" t="n"/>
      <c r="D1458" s="166" t="n"/>
      <c r="E1458" s="162" t="n"/>
      <c r="F1458" s="166" t="n"/>
      <c r="G1458" s="162" t="n"/>
      <c r="H1458" s="162" t="n"/>
      <c r="I1458" s="189">
        <f>E1458*G1458</f>
        <v/>
      </c>
      <c r="J1458" s="195" t="n"/>
      <c r="K1458" s="162" t="n"/>
      <c r="L1458" s="168" t="n"/>
      <c r="M1458" s="75">
        <f>_xlfn.XLOOKUP(L1458,list_vat[Страна],list_vat[Ставка НДС %],0,0)</f>
        <v/>
      </c>
      <c r="N1458" s="162">
        <f>IFERROR(IF(L1458="Китай",K1458,K1458/(1+M1458)),0)</f>
        <v/>
      </c>
      <c r="O1458" s="169" t="n"/>
      <c r="P1458" s="76">
        <f>N1458*(1-O1458)</f>
        <v/>
      </c>
      <c r="Q1458" s="162" t="n"/>
      <c r="R1458" s="162">
        <f>IF(ISBLANK(Q1458),"введи курс",P1458/Q1458)</f>
        <v/>
      </c>
      <c r="S1458" s="196">
        <f>IF(AND(ISNUMBER(E1458),ISNUMBER(Q1458)),E1458*R1458,0)</f>
        <v/>
      </c>
      <c r="T1458" s="192">
        <f>$BC1458*V$11</f>
        <v/>
      </c>
      <c r="U1458" s="76">
        <f>$BC1458*W$11</f>
        <v/>
      </c>
      <c r="V1458" s="193">
        <f>+SUM(T1458:U1458)</f>
        <v/>
      </c>
      <c r="W1458" s="191" t="n"/>
      <c r="X1458" s="170" t="n"/>
      <c r="Y1458" s="76">
        <f>ROUND(IF(offer_incoterms="DDP",X1458*(S1458*(1+AW1458)+T1458),0),2)</f>
        <v/>
      </c>
      <c r="Z1458" s="188" t="n"/>
      <c r="AA1458" s="192">
        <f>IFERROR(AB1458/E1458,0)</f>
        <v/>
      </c>
      <c r="AB1458" s="76">
        <f>ROUND(SUM(S1458,V1458,Y1458:Z1458,BA1458:BB1458),2)</f>
        <v/>
      </c>
      <c r="AC1458" s="797" t="n"/>
      <c r="AD1458" s="192">
        <f t="array" ref="AD1458">IFERROR(ROUND((_xlfn.IFS(offer_sale_type="поставка",AB1458,offer_sale_type="транзит",S1458)*(1+AC1458))/E1458,2),0)</f>
        <v/>
      </c>
      <c r="AE1458" s="76">
        <f>AD1458*E1458</f>
        <v/>
      </c>
      <c r="AF1458" s="193">
        <f t="array" ref="AF1458">IFERROR(ROUND(_xlfn.IFS(offer_sale_type="поставка",AB1458,offer_sale_type="транзит",S1458)*AC1458,2),0)</f>
        <v/>
      </c>
      <c r="AG1458" s="192">
        <f>$BD1458*VLOOKUP($AG$3,$AF$4:$AG$7,2,FALSE)</f>
        <v/>
      </c>
      <c r="AH1458" s="76">
        <f>SUM(AE1458,AG1458,AI1458)*rate_forex_risk</f>
        <v/>
      </c>
      <c r="AI1458" s="193">
        <f>IF(OR(seller_region="TR",offer_sale_type="экспорт"),0,rate_fin_comm)*SUM(AZ1458,AZ1458*AW1458,T1458)</f>
        <v/>
      </c>
      <c r="AJ1458" s="118">
        <f>IFERROR(ROUND(SUM(AB1458,AF1458:AI1458)/E1458,2),0)</f>
        <v/>
      </c>
      <c r="AK1458" s="76">
        <f>AJ1458*E1458</f>
        <v/>
      </c>
      <c r="AL1458" s="174">
        <f>ROUND(IFERROR(AM1458*E1458,0),2)</f>
        <v/>
      </c>
      <c r="AM1458" s="175">
        <f>ROUND(AJ1458*(1+IF(offer_incoterms="DDP",IF((TODAY()+offer_turnaround_time)&gt;=helpsheet!$L$17,rate_vatRU_from_26,rate_vatRu_till_25),0)),2)</f>
        <v/>
      </c>
      <c r="AN1458" s="192">
        <f>AL1458-AK1458</f>
        <v/>
      </c>
      <c r="AO1458" s="76">
        <f>SUM(AY1458,Y1458:Z1458,T1458)*IF(AND(offer_incoterms="DDP",offer_sale_type&lt;&gt;"экспорт"),IF((TODAY()+offer_turnaround_time)&gt;=helpsheet!$L$17,rate_vatRU_from_26,rate_vatRu_till_25),0)</f>
        <v/>
      </c>
      <c r="AP1458" s="193">
        <f>AN1458-AO1458</f>
        <v/>
      </c>
      <c r="AQ1458" s="118">
        <f>IF(offer_sale_type="транзит",SUM(AF1458:AI1458,BA1458,BB1458),0)</f>
        <v/>
      </c>
      <c r="AR1458" s="82">
        <f>HYPERLINK("https://www.alta.ru/tnved/code/")&amp;W1458&amp;"/"</f>
        <v/>
      </c>
      <c r="AS1458" s="157" t="n"/>
      <c r="AT1458" s="162" t="n"/>
      <c r="AU1458" s="76">
        <f>IF(ISBLANK(AT1458),0,AJ1458-AT1458)</f>
        <v/>
      </c>
      <c r="AV1458" s="157" t="n"/>
      <c r="AW1458" s="75">
        <f>_xlfn.IFNA(VLOOKUP(L1458,list_vat[],3,FALSE),0)</f>
        <v/>
      </c>
      <c r="AX1458" s="76">
        <f>IFERROR(ROUND(S1458*(1+AW1458)/E1458,2),0)</f>
        <v/>
      </c>
      <c r="AY1458" s="76">
        <f>E1458*AX1458</f>
        <v/>
      </c>
      <c r="AZ1458" s="192">
        <f>S1458*(1+M1458)</f>
        <v/>
      </c>
      <c r="BA1458" s="76">
        <f>cost_fin_total*$BD1458</f>
        <v/>
      </c>
      <c r="BB1458" s="193">
        <f>credit_sales_interest*BD1458</f>
        <v/>
      </c>
      <c r="BC1458" s="102">
        <f>IFERROR(IF($I$13&gt;0,$I1458/$I$13,$S1458/$S$13),0)</f>
        <v/>
      </c>
      <c r="BD1458" s="102">
        <f>IFERROR($S1458/$S$13,0)</f>
        <v/>
      </c>
      <c r="BE1458" s="413" t="inlineStr">
        <is>
          <t>$</t>
        </is>
      </c>
    </row>
    <row r="1459" ht="12" customFormat="1" customHeight="1" s="65">
      <c r="A1459" s="43" t="n">
        <v>1444</v>
      </c>
      <c r="B1459" s="166" t="n"/>
      <c r="C1459" s="166" t="n"/>
      <c r="D1459" s="166" t="n"/>
      <c r="E1459" s="162" t="n"/>
      <c r="F1459" s="166" t="n"/>
      <c r="G1459" s="162" t="n"/>
      <c r="H1459" s="162" t="n"/>
      <c r="I1459" s="189">
        <f>E1459*G1459</f>
        <v/>
      </c>
      <c r="J1459" s="195" t="n"/>
      <c r="K1459" s="162" t="n"/>
      <c r="L1459" s="168" t="n"/>
      <c r="M1459" s="75">
        <f>_xlfn.XLOOKUP(L1459,list_vat[Страна],list_vat[Ставка НДС %],0,0)</f>
        <v/>
      </c>
      <c r="N1459" s="162">
        <f>IFERROR(IF(L1459="Китай",K1459,K1459/(1+M1459)),0)</f>
        <v/>
      </c>
      <c r="O1459" s="169" t="n"/>
      <c r="P1459" s="76">
        <f>N1459*(1-O1459)</f>
        <v/>
      </c>
      <c r="Q1459" s="162" t="n"/>
      <c r="R1459" s="162">
        <f>IF(ISBLANK(Q1459),"введи курс",P1459/Q1459)</f>
        <v/>
      </c>
      <c r="S1459" s="196">
        <f>IF(AND(ISNUMBER(E1459),ISNUMBER(Q1459)),E1459*R1459,0)</f>
        <v/>
      </c>
      <c r="T1459" s="192">
        <f>$BC1459*V$11</f>
        <v/>
      </c>
      <c r="U1459" s="76">
        <f>$BC1459*W$11</f>
        <v/>
      </c>
      <c r="V1459" s="193">
        <f>+SUM(T1459:U1459)</f>
        <v/>
      </c>
      <c r="W1459" s="191" t="n"/>
      <c r="X1459" s="170" t="n"/>
      <c r="Y1459" s="76">
        <f>ROUND(IF(offer_incoterms="DDP",X1459*(S1459*(1+AW1459)+T1459),0),2)</f>
        <v/>
      </c>
      <c r="Z1459" s="188" t="n"/>
      <c r="AA1459" s="192">
        <f>IFERROR(AB1459/E1459,0)</f>
        <v/>
      </c>
      <c r="AB1459" s="76">
        <f>ROUND(SUM(S1459,V1459,Y1459:Z1459,BA1459:BB1459),2)</f>
        <v/>
      </c>
      <c r="AC1459" s="797" t="n"/>
      <c r="AD1459" s="192">
        <f t="array" ref="AD1459">IFERROR(ROUND((_xlfn.IFS(offer_sale_type="поставка",AB1459,offer_sale_type="транзит",S1459)*(1+AC1459))/E1459,2),0)</f>
        <v/>
      </c>
      <c r="AE1459" s="76">
        <f>AD1459*E1459</f>
        <v/>
      </c>
      <c r="AF1459" s="193">
        <f t="array" ref="AF1459">IFERROR(ROUND(_xlfn.IFS(offer_sale_type="поставка",AB1459,offer_sale_type="транзит",S1459)*AC1459,2),0)</f>
        <v/>
      </c>
      <c r="AG1459" s="192">
        <f>$BD1459*VLOOKUP($AG$3,$AF$4:$AG$7,2,FALSE)</f>
        <v/>
      </c>
      <c r="AH1459" s="76">
        <f>SUM(AE1459,AG1459,AI1459)*rate_forex_risk</f>
        <v/>
      </c>
      <c r="AI1459" s="193">
        <f>IF(OR(seller_region="TR",offer_sale_type="экспорт"),0,rate_fin_comm)*SUM(AZ1459,AZ1459*AW1459,T1459)</f>
        <v/>
      </c>
      <c r="AJ1459" s="118">
        <f>IFERROR(ROUND(SUM(AB1459,AF1459:AI1459)/E1459,2),0)</f>
        <v/>
      </c>
      <c r="AK1459" s="76">
        <f>AJ1459*E1459</f>
        <v/>
      </c>
      <c r="AL1459" s="174">
        <f>ROUND(IFERROR(AM1459*E1459,0),2)</f>
        <v/>
      </c>
      <c r="AM1459" s="175">
        <f>ROUND(AJ1459*(1+IF(offer_incoterms="DDP",IF((TODAY()+offer_turnaround_time)&gt;=helpsheet!$L$17,rate_vatRU_from_26,rate_vatRu_till_25),0)),2)</f>
        <v/>
      </c>
      <c r="AN1459" s="192">
        <f>AL1459-AK1459</f>
        <v/>
      </c>
      <c r="AO1459" s="76">
        <f>SUM(AY1459,Y1459:Z1459,T1459)*IF(AND(offer_incoterms="DDP",offer_sale_type&lt;&gt;"экспорт"),IF((TODAY()+offer_turnaround_time)&gt;=helpsheet!$L$17,rate_vatRU_from_26,rate_vatRu_till_25),0)</f>
        <v/>
      </c>
      <c r="AP1459" s="193">
        <f>AN1459-AO1459</f>
        <v/>
      </c>
      <c r="AQ1459" s="118">
        <f>IF(offer_sale_type="транзит",SUM(AF1459:AI1459,BA1459,BB1459),0)</f>
        <v/>
      </c>
      <c r="AR1459" s="82">
        <f>HYPERLINK("https://www.alta.ru/tnved/code/")&amp;W1459&amp;"/"</f>
        <v/>
      </c>
      <c r="AS1459" s="157" t="n"/>
      <c r="AT1459" s="162" t="n"/>
      <c r="AU1459" s="76">
        <f>IF(ISBLANK(AT1459),0,AJ1459-AT1459)</f>
        <v/>
      </c>
      <c r="AV1459" s="157" t="n"/>
      <c r="AW1459" s="75">
        <f>_xlfn.IFNA(VLOOKUP(L1459,list_vat[],3,FALSE),0)</f>
        <v/>
      </c>
      <c r="AX1459" s="76">
        <f>IFERROR(ROUND(S1459*(1+AW1459)/E1459,2),0)</f>
        <v/>
      </c>
      <c r="AY1459" s="76">
        <f>E1459*AX1459</f>
        <v/>
      </c>
      <c r="AZ1459" s="192">
        <f>S1459*(1+M1459)</f>
        <v/>
      </c>
      <c r="BA1459" s="76">
        <f>cost_fin_total*$BD1459</f>
        <v/>
      </c>
      <c r="BB1459" s="193">
        <f>credit_sales_interest*BD1459</f>
        <v/>
      </c>
      <c r="BC1459" s="102">
        <f>IFERROR(IF($I$13&gt;0,$I1459/$I$13,$S1459/$S$13),0)</f>
        <v/>
      </c>
      <c r="BD1459" s="102">
        <f>IFERROR($S1459/$S$13,0)</f>
        <v/>
      </c>
      <c r="BE1459" s="413" t="inlineStr">
        <is>
          <t>$</t>
        </is>
      </c>
    </row>
    <row r="1460" ht="12" customFormat="1" customHeight="1" s="65">
      <c r="A1460" s="43" t="n">
        <v>1445</v>
      </c>
      <c r="B1460" s="166" t="n"/>
      <c r="C1460" s="166" t="n"/>
      <c r="D1460" s="166" t="n"/>
      <c r="E1460" s="162" t="n"/>
      <c r="F1460" s="166" t="n"/>
      <c r="G1460" s="162" t="n"/>
      <c r="H1460" s="162" t="n"/>
      <c r="I1460" s="189">
        <f>E1460*G1460</f>
        <v/>
      </c>
      <c r="J1460" s="195" t="n"/>
      <c r="K1460" s="162" t="n"/>
      <c r="L1460" s="168" t="n"/>
      <c r="M1460" s="75">
        <f>_xlfn.XLOOKUP(L1460,list_vat[Страна],list_vat[Ставка НДС %],0,0)</f>
        <v/>
      </c>
      <c r="N1460" s="162">
        <f>IFERROR(IF(L1460="Китай",K1460,K1460/(1+M1460)),0)</f>
        <v/>
      </c>
      <c r="O1460" s="169" t="n"/>
      <c r="P1460" s="76">
        <f>N1460*(1-O1460)</f>
        <v/>
      </c>
      <c r="Q1460" s="162" t="n"/>
      <c r="R1460" s="162">
        <f>IF(ISBLANK(Q1460),"введи курс",P1460/Q1460)</f>
        <v/>
      </c>
      <c r="S1460" s="196">
        <f>IF(AND(ISNUMBER(E1460),ISNUMBER(Q1460)),E1460*R1460,0)</f>
        <v/>
      </c>
      <c r="T1460" s="192">
        <f>$BC1460*V$11</f>
        <v/>
      </c>
      <c r="U1460" s="76">
        <f>$BC1460*W$11</f>
        <v/>
      </c>
      <c r="V1460" s="193">
        <f>+SUM(T1460:U1460)</f>
        <v/>
      </c>
      <c r="W1460" s="191" t="n"/>
      <c r="X1460" s="170" t="n"/>
      <c r="Y1460" s="76">
        <f>ROUND(IF(offer_incoterms="DDP",X1460*(S1460*(1+AW1460)+T1460),0),2)</f>
        <v/>
      </c>
      <c r="Z1460" s="188" t="n"/>
      <c r="AA1460" s="192">
        <f>IFERROR(AB1460/E1460,0)</f>
        <v/>
      </c>
      <c r="AB1460" s="76">
        <f>ROUND(SUM(S1460,V1460,Y1460:Z1460,BA1460:BB1460),2)</f>
        <v/>
      </c>
      <c r="AC1460" s="797" t="n"/>
      <c r="AD1460" s="192">
        <f t="array" ref="AD1460">IFERROR(ROUND((_xlfn.IFS(offer_sale_type="поставка",AB1460,offer_sale_type="транзит",S1460)*(1+AC1460))/E1460,2),0)</f>
        <v/>
      </c>
      <c r="AE1460" s="76">
        <f>AD1460*E1460</f>
        <v/>
      </c>
      <c r="AF1460" s="193">
        <f t="array" ref="AF1460">IFERROR(ROUND(_xlfn.IFS(offer_sale_type="поставка",AB1460,offer_sale_type="транзит",S1460)*AC1460,2),0)</f>
        <v/>
      </c>
      <c r="AG1460" s="192">
        <f>$BD1460*VLOOKUP($AG$3,$AF$4:$AG$7,2,FALSE)</f>
        <v/>
      </c>
      <c r="AH1460" s="76">
        <f>SUM(AE1460,AG1460,AI1460)*rate_forex_risk</f>
        <v/>
      </c>
      <c r="AI1460" s="193">
        <f>IF(OR(seller_region="TR",offer_sale_type="экспорт"),0,rate_fin_comm)*SUM(AZ1460,AZ1460*AW1460,T1460)</f>
        <v/>
      </c>
      <c r="AJ1460" s="118">
        <f>IFERROR(ROUND(SUM(AB1460,AF1460:AI1460)/E1460,2),0)</f>
        <v/>
      </c>
      <c r="AK1460" s="76">
        <f>AJ1460*E1460</f>
        <v/>
      </c>
      <c r="AL1460" s="174">
        <f>ROUND(IFERROR(AM1460*E1460,0),2)</f>
        <v/>
      </c>
      <c r="AM1460" s="175">
        <f>ROUND(AJ1460*(1+IF(offer_incoterms="DDP",IF((TODAY()+offer_turnaround_time)&gt;=helpsheet!$L$17,rate_vatRU_from_26,rate_vatRu_till_25),0)),2)</f>
        <v/>
      </c>
      <c r="AN1460" s="192">
        <f>AL1460-AK1460</f>
        <v/>
      </c>
      <c r="AO1460" s="76">
        <f>SUM(AY1460,Y1460:Z1460,T1460)*IF(AND(offer_incoterms="DDP",offer_sale_type&lt;&gt;"экспорт"),IF((TODAY()+offer_turnaround_time)&gt;=helpsheet!$L$17,rate_vatRU_from_26,rate_vatRu_till_25),0)</f>
        <v/>
      </c>
      <c r="AP1460" s="193">
        <f>AN1460-AO1460</f>
        <v/>
      </c>
      <c r="AQ1460" s="118">
        <f>IF(offer_sale_type="транзит",SUM(AF1460:AI1460,BA1460,BB1460),0)</f>
        <v/>
      </c>
      <c r="AR1460" s="82">
        <f>HYPERLINK("https://www.alta.ru/tnved/code/")&amp;W1460&amp;"/"</f>
        <v/>
      </c>
      <c r="AS1460" s="157" t="n"/>
      <c r="AT1460" s="162" t="n"/>
      <c r="AU1460" s="76">
        <f>IF(ISBLANK(AT1460),0,AJ1460-AT1460)</f>
        <v/>
      </c>
      <c r="AV1460" s="157" t="n"/>
      <c r="AW1460" s="75">
        <f>_xlfn.IFNA(VLOOKUP(L1460,list_vat[],3,FALSE),0)</f>
        <v/>
      </c>
      <c r="AX1460" s="76">
        <f>IFERROR(ROUND(S1460*(1+AW1460)/E1460,2),0)</f>
        <v/>
      </c>
      <c r="AY1460" s="76">
        <f>E1460*AX1460</f>
        <v/>
      </c>
      <c r="AZ1460" s="192">
        <f>S1460*(1+M1460)</f>
        <v/>
      </c>
      <c r="BA1460" s="76">
        <f>cost_fin_total*$BD1460</f>
        <v/>
      </c>
      <c r="BB1460" s="193">
        <f>credit_sales_interest*BD1460</f>
        <v/>
      </c>
      <c r="BC1460" s="102">
        <f>IFERROR(IF($I$13&gt;0,$I1460/$I$13,$S1460/$S$13),0)</f>
        <v/>
      </c>
      <c r="BD1460" s="102">
        <f>IFERROR($S1460/$S$13,0)</f>
        <v/>
      </c>
      <c r="BE1460" s="413" t="inlineStr">
        <is>
          <t>$</t>
        </is>
      </c>
    </row>
    <row r="1461" ht="12" customFormat="1" customHeight="1" s="65">
      <c r="A1461" s="43" t="n">
        <v>1446</v>
      </c>
      <c r="B1461" s="166" t="n"/>
      <c r="C1461" s="166" t="n"/>
      <c r="D1461" s="166" t="n"/>
      <c r="E1461" s="162" t="n"/>
      <c r="F1461" s="166" t="n"/>
      <c r="G1461" s="162" t="n"/>
      <c r="H1461" s="162" t="n"/>
      <c r="I1461" s="189">
        <f>E1461*G1461</f>
        <v/>
      </c>
      <c r="J1461" s="195" t="n"/>
      <c r="K1461" s="162" t="n"/>
      <c r="L1461" s="168" t="n"/>
      <c r="M1461" s="75">
        <f>_xlfn.XLOOKUP(L1461,list_vat[Страна],list_vat[Ставка НДС %],0,0)</f>
        <v/>
      </c>
      <c r="N1461" s="162">
        <f>IFERROR(IF(L1461="Китай",K1461,K1461/(1+M1461)),0)</f>
        <v/>
      </c>
      <c r="O1461" s="169" t="n"/>
      <c r="P1461" s="76">
        <f>N1461*(1-O1461)</f>
        <v/>
      </c>
      <c r="Q1461" s="162" t="n"/>
      <c r="R1461" s="162">
        <f>IF(ISBLANK(Q1461),"введи курс",P1461/Q1461)</f>
        <v/>
      </c>
      <c r="S1461" s="196">
        <f>IF(AND(ISNUMBER(E1461),ISNUMBER(Q1461)),E1461*R1461,0)</f>
        <v/>
      </c>
      <c r="T1461" s="192">
        <f>$BC1461*V$11</f>
        <v/>
      </c>
      <c r="U1461" s="76">
        <f>$BC1461*W$11</f>
        <v/>
      </c>
      <c r="V1461" s="193">
        <f>+SUM(T1461:U1461)</f>
        <v/>
      </c>
      <c r="W1461" s="191" t="n"/>
      <c r="X1461" s="170" t="n"/>
      <c r="Y1461" s="76">
        <f>ROUND(IF(offer_incoterms="DDP",X1461*(S1461*(1+AW1461)+T1461),0),2)</f>
        <v/>
      </c>
      <c r="Z1461" s="188" t="n"/>
      <c r="AA1461" s="192">
        <f>IFERROR(AB1461/E1461,0)</f>
        <v/>
      </c>
      <c r="AB1461" s="76">
        <f>ROUND(SUM(S1461,V1461,Y1461:Z1461,BA1461:BB1461),2)</f>
        <v/>
      </c>
      <c r="AC1461" s="797" t="n"/>
      <c r="AD1461" s="192">
        <f t="array" ref="AD1461">IFERROR(ROUND((_xlfn.IFS(offer_sale_type="поставка",AB1461,offer_sale_type="транзит",S1461)*(1+AC1461))/E1461,2),0)</f>
        <v/>
      </c>
      <c r="AE1461" s="76">
        <f>AD1461*E1461</f>
        <v/>
      </c>
      <c r="AF1461" s="193">
        <f t="array" ref="AF1461">IFERROR(ROUND(_xlfn.IFS(offer_sale_type="поставка",AB1461,offer_sale_type="транзит",S1461)*AC1461,2),0)</f>
        <v/>
      </c>
      <c r="AG1461" s="192">
        <f>$BD1461*VLOOKUP($AG$3,$AF$4:$AG$7,2,FALSE)</f>
        <v/>
      </c>
      <c r="AH1461" s="76">
        <f>SUM(AE1461,AG1461,AI1461)*rate_forex_risk</f>
        <v/>
      </c>
      <c r="AI1461" s="193">
        <f>IF(OR(seller_region="TR",offer_sale_type="экспорт"),0,rate_fin_comm)*SUM(AZ1461,AZ1461*AW1461,T1461)</f>
        <v/>
      </c>
      <c r="AJ1461" s="118">
        <f>IFERROR(ROUND(SUM(AB1461,AF1461:AI1461)/E1461,2),0)</f>
        <v/>
      </c>
      <c r="AK1461" s="76">
        <f>AJ1461*E1461</f>
        <v/>
      </c>
      <c r="AL1461" s="174">
        <f>ROUND(IFERROR(AM1461*E1461,0),2)</f>
        <v/>
      </c>
      <c r="AM1461" s="175">
        <f>ROUND(AJ1461*(1+IF(offer_incoterms="DDP",IF((TODAY()+offer_turnaround_time)&gt;=helpsheet!$L$17,rate_vatRU_from_26,rate_vatRu_till_25),0)),2)</f>
        <v/>
      </c>
      <c r="AN1461" s="192">
        <f>AL1461-AK1461</f>
        <v/>
      </c>
      <c r="AO1461" s="76">
        <f>SUM(AY1461,Y1461:Z1461,T1461)*IF(AND(offer_incoterms="DDP",offer_sale_type&lt;&gt;"экспорт"),IF((TODAY()+offer_turnaround_time)&gt;=helpsheet!$L$17,rate_vatRU_from_26,rate_vatRu_till_25),0)</f>
        <v/>
      </c>
      <c r="AP1461" s="193">
        <f>AN1461-AO1461</f>
        <v/>
      </c>
      <c r="AQ1461" s="118">
        <f>IF(offer_sale_type="транзит",SUM(AF1461:AI1461,BA1461,BB1461),0)</f>
        <v/>
      </c>
      <c r="AR1461" s="82">
        <f>HYPERLINK("https://www.alta.ru/tnved/code/")&amp;W1461&amp;"/"</f>
        <v/>
      </c>
      <c r="AS1461" s="157" t="n"/>
      <c r="AT1461" s="162" t="n"/>
      <c r="AU1461" s="76">
        <f>IF(ISBLANK(AT1461),0,AJ1461-AT1461)</f>
        <v/>
      </c>
      <c r="AV1461" s="157" t="n"/>
      <c r="AW1461" s="75">
        <f>_xlfn.IFNA(VLOOKUP(L1461,list_vat[],3,FALSE),0)</f>
        <v/>
      </c>
      <c r="AX1461" s="76">
        <f>IFERROR(ROUND(S1461*(1+AW1461)/E1461,2),0)</f>
        <v/>
      </c>
      <c r="AY1461" s="76">
        <f>E1461*AX1461</f>
        <v/>
      </c>
      <c r="AZ1461" s="192">
        <f>S1461*(1+M1461)</f>
        <v/>
      </c>
      <c r="BA1461" s="76">
        <f>cost_fin_total*$BD1461</f>
        <v/>
      </c>
      <c r="BB1461" s="193">
        <f>credit_sales_interest*BD1461</f>
        <v/>
      </c>
      <c r="BC1461" s="102">
        <f>IFERROR(IF($I$13&gt;0,$I1461/$I$13,$S1461/$S$13),0)</f>
        <v/>
      </c>
      <c r="BD1461" s="102">
        <f>IFERROR($S1461/$S$13,0)</f>
        <v/>
      </c>
      <c r="BE1461" s="413" t="inlineStr">
        <is>
          <t>$</t>
        </is>
      </c>
    </row>
    <row r="1462" ht="12" customFormat="1" customHeight="1" s="65">
      <c r="A1462" s="43" t="n">
        <v>1447</v>
      </c>
      <c r="B1462" s="166" t="n"/>
      <c r="C1462" s="166" t="n"/>
      <c r="D1462" s="166" t="n"/>
      <c r="E1462" s="162" t="n"/>
      <c r="F1462" s="166" t="n"/>
      <c r="G1462" s="162" t="n"/>
      <c r="H1462" s="162" t="n"/>
      <c r="I1462" s="189">
        <f>E1462*G1462</f>
        <v/>
      </c>
      <c r="J1462" s="195" t="n"/>
      <c r="K1462" s="162" t="n"/>
      <c r="L1462" s="168" t="n"/>
      <c r="M1462" s="75">
        <f>_xlfn.XLOOKUP(L1462,list_vat[Страна],list_vat[Ставка НДС %],0,0)</f>
        <v/>
      </c>
      <c r="N1462" s="162">
        <f>IFERROR(IF(L1462="Китай",K1462,K1462/(1+M1462)),0)</f>
        <v/>
      </c>
      <c r="O1462" s="169" t="n"/>
      <c r="P1462" s="76">
        <f>N1462*(1-O1462)</f>
        <v/>
      </c>
      <c r="Q1462" s="162" t="n"/>
      <c r="R1462" s="162">
        <f>IF(ISBLANK(Q1462),"введи курс",P1462/Q1462)</f>
        <v/>
      </c>
      <c r="S1462" s="196">
        <f>IF(AND(ISNUMBER(E1462),ISNUMBER(Q1462)),E1462*R1462,0)</f>
        <v/>
      </c>
      <c r="T1462" s="192">
        <f>$BC1462*V$11</f>
        <v/>
      </c>
      <c r="U1462" s="76">
        <f>$BC1462*W$11</f>
        <v/>
      </c>
      <c r="V1462" s="193">
        <f>+SUM(T1462:U1462)</f>
        <v/>
      </c>
      <c r="W1462" s="191" t="n"/>
      <c r="X1462" s="170" t="n"/>
      <c r="Y1462" s="76">
        <f>ROUND(IF(offer_incoterms="DDP",X1462*(S1462*(1+AW1462)+T1462),0),2)</f>
        <v/>
      </c>
      <c r="Z1462" s="188" t="n"/>
      <c r="AA1462" s="192">
        <f>IFERROR(AB1462/E1462,0)</f>
        <v/>
      </c>
      <c r="AB1462" s="76">
        <f>ROUND(SUM(S1462,V1462,Y1462:Z1462,BA1462:BB1462),2)</f>
        <v/>
      </c>
      <c r="AC1462" s="797" t="n"/>
      <c r="AD1462" s="192">
        <f t="array" ref="AD1462">IFERROR(ROUND((_xlfn.IFS(offer_sale_type="поставка",AB1462,offer_sale_type="транзит",S1462)*(1+AC1462))/E1462,2),0)</f>
        <v/>
      </c>
      <c r="AE1462" s="76">
        <f>AD1462*E1462</f>
        <v/>
      </c>
      <c r="AF1462" s="193">
        <f t="array" ref="AF1462">IFERROR(ROUND(_xlfn.IFS(offer_sale_type="поставка",AB1462,offer_sale_type="транзит",S1462)*AC1462,2),0)</f>
        <v/>
      </c>
      <c r="AG1462" s="192">
        <f>$BD1462*VLOOKUP($AG$3,$AF$4:$AG$7,2,FALSE)</f>
        <v/>
      </c>
      <c r="AH1462" s="76">
        <f>SUM(AE1462,AG1462,AI1462)*rate_forex_risk</f>
        <v/>
      </c>
      <c r="AI1462" s="193">
        <f>IF(OR(seller_region="TR",offer_sale_type="экспорт"),0,rate_fin_comm)*SUM(AZ1462,AZ1462*AW1462,T1462)</f>
        <v/>
      </c>
      <c r="AJ1462" s="118">
        <f>IFERROR(ROUND(SUM(AB1462,AF1462:AI1462)/E1462,2),0)</f>
        <v/>
      </c>
      <c r="AK1462" s="76">
        <f>AJ1462*E1462</f>
        <v/>
      </c>
      <c r="AL1462" s="174">
        <f>ROUND(IFERROR(AM1462*E1462,0),2)</f>
        <v/>
      </c>
      <c r="AM1462" s="175">
        <f>ROUND(AJ1462*(1+IF(offer_incoterms="DDP",IF((TODAY()+offer_turnaround_time)&gt;=helpsheet!$L$17,rate_vatRU_from_26,rate_vatRu_till_25),0)),2)</f>
        <v/>
      </c>
      <c r="AN1462" s="192">
        <f>AL1462-AK1462</f>
        <v/>
      </c>
      <c r="AO1462" s="76">
        <f>SUM(AY1462,Y1462:Z1462,T1462)*IF(AND(offer_incoterms="DDP",offer_sale_type&lt;&gt;"экспорт"),IF((TODAY()+offer_turnaround_time)&gt;=helpsheet!$L$17,rate_vatRU_from_26,rate_vatRu_till_25),0)</f>
        <v/>
      </c>
      <c r="AP1462" s="193">
        <f>AN1462-AO1462</f>
        <v/>
      </c>
      <c r="AQ1462" s="118">
        <f>IF(offer_sale_type="транзит",SUM(AF1462:AI1462,BA1462,BB1462),0)</f>
        <v/>
      </c>
      <c r="AR1462" s="82">
        <f>HYPERLINK("https://www.alta.ru/tnved/code/")&amp;W1462&amp;"/"</f>
        <v/>
      </c>
      <c r="AS1462" s="157" t="n"/>
      <c r="AT1462" s="162" t="n"/>
      <c r="AU1462" s="76">
        <f>IF(ISBLANK(AT1462),0,AJ1462-AT1462)</f>
        <v/>
      </c>
      <c r="AV1462" s="157" t="n"/>
      <c r="AW1462" s="75">
        <f>_xlfn.IFNA(VLOOKUP(L1462,list_vat[],3,FALSE),0)</f>
        <v/>
      </c>
      <c r="AX1462" s="76">
        <f>IFERROR(ROUND(S1462*(1+AW1462)/E1462,2),0)</f>
        <v/>
      </c>
      <c r="AY1462" s="76">
        <f>E1462*AX1462</f>
        <v/>
      </c>
      <c r="AZ1462" s="192">
        <f>S1462*(1+M1462)</f>
        <v/>
      </c>
      <c r="BA1462" s="76">
        <f>cost_fin_total*$BD1462</f>
        <v/>
      </c>
      <c r="BB1462" s="193">
        <f>credit_sales_interest*BD1462</f>
        <v/>
      </c>
      <c r="BC1462" s="102">
        <f>IFERROR(IF($I$13&gt;0,$I1462/$I$13,$S1462/$S$13),0)</f>
        <v/>
      </c>
      <c r="BD1462" s="102">
        <f>IFERROR($S1462/$S$13,0)</f>
        <v/>
      </c>
      <c r="BE1462" s="413" t="inlineStr">
        <is>
          <t>$</t>
        </is>
      </c>
    </row>
    <row r="1463" ht="12" customFormat="1" customHeight="1" s="65">
      <c r="A1463" s="43" t="n">
        <v>1448</v>
      </c>
      <c r="B1463" s="166" t="n"/>
      <c r="C1463" s="166" t="n"/>
      <c r="D1463" s="166" t="n"/>
      <c r="E1463" s="162" t="n"/>
      <c r="F1463" s="166" t="n"/>
      <c r="G1463" s="162" t="n"/>
      <c r="H1463" s="162" t="n"/>
      <c r="I1463" s="189">
        <f>E1463*G1463</f>
        <v/>
      </c>
      <c r="J1463" s="195" t="n"/>
      <c r="K1463" s="162" t="n"/>
      <c r="L1463" s="168" t="n"/>
      <c r="M1463" s="75">
        <f>_xlfn.XLOOKUP(L1463,list_vat[Страна],list_vat[Ставка НДС %],0,0)</f>
        <v/>
      </c>
      <c r="N1463" s="162">
        <f>IFERROR(IF(L1463="Китай",K1463,K1463/(1+M1463)),0)</f>
        <v/>
      </c>
      <c r="O1463" s="169" t="n"/>
      <c r="P1463" s="76">
        <f>N1463*(1-O1463)</f>
        <v/>
      </c>
      <c r="Q1463" s="162" t="n"/>
      <c r="R1463" s="162">
        <f>IF(ISBLANK(Q1463),"введи курс",P1463/Q1463)</f>
        <v/>
      </c>
      <c r="S1463" s="196">
        <f>IF(AND(ISNUMBER(E1463),ISNUMBER(Q1463)),E1463*R1463,0)</f>
        <v/>
      </c>
      <c r="T1463" s="192">
        <f>$BC1463*V$11</f>
        <v/>
      </c>
      <c r="U1463" s="76">
        <f>$BC1463*W$11</f>
        <v/>
      </c>
      <c r="V1463" s="193">
        <f>+SUM(T1463:U1463)</f>
        <v/>
      </c>
      <c r="W1463" s="191" t="n"/>
      <c r="X1463" s="170" t="n"/>
      <c r="Y1463" s="76">
        <f>ROUND(IF(offer_incoterms="DDP",X1463*(S1463*(1+AW1463)+T1463),0),2)</f>
        <v/>
      </c>
      <c r="Z1463" s="188" t="n"/>
      <c r="AA1463" s="192">
        <f>IFERROR(AB1463/E1463,0)</f>
        <v/>
      </c>
      <c r="AB1463" s="76">
        <f>ROUND(SUM(S1463,V1463,Y1463:Z1463,BA1463:BB1463),2)</f>
        <v/>
      </c>
      <c r="AC1463" s="797" t="n"/>
      <c r="AD1463" s="192">
        <f t="array" ref="AD1463">IFERROR(ROUND((_xlfn.IFS(offer_sale_type="поставка",AB1463,offer_sale_type="транзит",S1463)*(1+AC1463))/E1463,2),0)</f>
        <v/>
      </c>
      <c r="AE1463" s="76">
        <f>AD1463*E1463</f>
        <v/>
      </c>
      <c r="AF1463" s="193">
        <f t="array" ref="AF1463">IFERROR(ROUND(_xlfn.IFS(offer_sale_type="поставка",AB1463,offer_sale_type="транзит",S1463)*AC1463,2),0)</f>
        <v/>
      </c>
      <c r="AG1463" s="192">
        <f>$BD1463*VLOOKUP($AG$3,$AF$4:$AG$7,2,FALSE)</f>
        <v/>
      </c>
      <c r="AH1463" s="76">
        <f>SUM(AE1463,AG1463,AI1463)*rate_forex_risk</f>
        <v/>
      </c>
      <c r="AI1463" s="193">
        <f>IF(OR(seller_region="TR",offer_sale_type="экспорт"),0,rate_fin_comm)*SUM(AZ1463,AZ1463*AW1463,T1463)</f>
        <v/>
      </c>
      <c r="AJ1463" s="118">
        <f>IFERROR(ROUND(SUM(AB1463,AF1463:AI1463)/E1463,2),0)</f>
        <v/>
      </c>
      <c r="AK1463" s="76">
        <f>AJ1463*E1463</f>
        <v/>
      </c>
      <c r="AL1463" s="174">
        <f>ROUND(IFERROR(AM1463*E1463,0),2)</f>
        <v/>
      </c>
      <c r="AM1463" s="175">
        <f>ROUND(AJ1463*(1+IF(offer_incoterms="DDP",IF((TODAY()+offer_turnaround_time)&gt;=helpsheet!$L$17,rate_vatRU_from_26,rate_vatRu_till_25),0)),2)</f>
        <v/>
      </c>
      <c r="AN1463" s="192">
        <f>AL1463-AK1463</f>
        <v/>
      </c>
      <c r="AO1463" s="76">
        <f>SUM(AY1463,Y1463:Z1463,T1463)*IF(AND(offer_incoterms="DDP",offer_sale_type&lt;&gt;"экспорт"),IF((TODAY()+offer_turnaround_time)&gt;=helpsheet!$L$17,rate_vatRU_from_26,rate_vatRu_till_25),0)</f>
        <v/>
      </c>
      <c r="AP1463" s="193">
        <f>AN1463-AO1463</f>
        <v/>
      </c>
      <c r="AQ1463" s="118">
        <f>IF(offer_sale_type="транзит",SUM(AF1463:AI1463,BA1463,BB1463),0)</f>
        <v/>
      </c>
      <c r="AR1463" s="82">
        <f>HYPERLINK("https://www.alta.ru/tnved/code/")&amp;W1463&amp;"/"</f>
        <v/>
      </c>
      <c r="AS1463" s="157" t="n"/>
      <c r="AT1463" s="162" t="n"/>
      <c r="AU1463" s="76">
        <f>IF(ISBLANK(AT1463),0,AJ1463-AT1463)</f>
        <v/>
      </c>
      <c r="AV1463" s="157" t="n"/>
      <c r="AW1463" s="75">
        <f>_xlfn.IFNA(VLOOKUP(L1463,list_vat[],3,FALSE),0)</f>
        <v/>
      </c>
      <c r="AX1463" s="76">
        <f>IFERROR(ROUND(S1463*(1+AW1463)/E1463,2),0)</f>
        <v/>
      </c>
      <c r="AY1463" s="76">
        <f>E1463*AX1463</f>
        <v/>
      </c>
      <c r="AZ1463" s="192">
        <f>S1463*(1+M1463)</f>
        <v/>
      </c>
      <c r="BA1463" s="76">
        <f>cost_fin_total*$BD1463</f>
        <v/>
      </c>
      <c r="BB1463" s="193">
        <f>credit_sales_interest*BD1463</f>
        <v/>
      </c>
      <c r="BC1463" s="102">
        <f>IFERROR(IF($I$13&gt;0,$I1463/$I$13,$S1463/$S$13),0)</f>
        <v/>
      </c>
      <c r="BD1463" s="102">
        <f>IFERROR($S1463/$S$13,0)</f>
        <v/>
      </c>
      <c r="BE1463" s="413" t="inlineStr">
        <is>
          <t>$</t>
        </is>
      </c>
    </row>
    <row r="1464" ht="12" customFormat="1" customHeight="1" s="65">
      <c r="A1464" s="43" t="n">
        <v>1449</v>
      </c>
      <c r="B1464" s="166" t="n"/>
      <c r="C1464" s="166" t="n"/>
      <c r="D1464" s="166" t="n"/>
      <c r="E1464" s="162" t="n"/>
      <c r="F1464" s="166" t="n"/>
      <c r="G1464" s="162" t="n"/>
      <c r="H1464" s="162" t="n"/>
      <c r="I1464" s="189">
        <f>E1464*G1464</f>
        <v/>
      </c>
      <c r="J1464" s="195" t="n"/>
      <c r="K1464" s="162" t="n"/>
      <c r="L1464" s="168" t="n"/>
      <c r="M1464" s="75">
        <f>_xlfn.XLOOKUP(L1464,list_vat[Страна],list_vat[Ставка НДС %],0,0)</f>
        <v/>
      </c>
      <c r="N1464" s="162">
        <f>IFERROR(IF(L1464="Китай",K1464,K1464/(1+M1464)),0)</f>
        <v/>
      </c>
      <c r="O1464" s="169" t="n"/>
      <c r="P1464" s="76">
        <f>N1464*(1-O1464)</f>
        <v/>
      </c>
      <c r="Q1464" s="162" t="n"/>
      <c r="R1464" s="162">
        <f>IF(ISBLANK(Q1464),"введи курс",P1464/Q1464)</f>
        <v/>
      </c>
      <c r="S1464" s="196">
        <f>IF(AND(ISNUMBER(E1464),ISNUMBER(Q1464)),E1464*R1464,0)</f>
        <v/>
      </c>
      <c r="T1464" s="192">
        <f>$BC1464*V$11</f>
        <v/>
      </c>
      <c r="U1464" s="76">
        <f>$BC1464*W$11</f>
        <v/>
      </c>
      <c r="V1464" s="193">
        <f>+SUM(T1464:U1464)</f>
        <v/>
      </c>
      <c r="W1464" s="191" t="n"/>
      <c r="X1464" s="170" t="n"/>
      <c r="Y1464" s="76">
        <f>ROUND(IF(offer_incoterms="DDP",X1464*(S1464*(1+AW1464)+T1464),0),2)</f>
        <v/>
      </c>
      <c r="Z1464" s="188" t="n"/>
      <c r="AA1464" s="192">
        <f>IFERROR(AB1464/E1464,0)</f>
        <v/>
      </c>
      <c r="AB1464" s="76">
        <f>ROUND(SUM(S1464,V1464,Y1464:Z1464,BA1464:BB1464),2)</f>
        <v/>
      </c>
      <c r="AC1464" s="797" t="n"/>
      <c r="AD1464" s="192">
        <f t="array" ref="AD1464">IFERROR(ROUND((_xlfn.IFS(offer_sale_type="поставка",AB1464,offer_sale_type="транзит",S1464)*(1+AC1464))/E1464,2),0)</f>
        <v/>
      </c>
      <c r="AE1464" s="76">
        <f>AD1464*E1464</f>
        <v/>
      </c>
      <c r="AF1464" s="193">
        <f t="array" ref="AF1464">IFERROR(ROUND(_xlfn.IFS(offer_sale_type="поставка",AB1464,offer_sale_type="транзит",S1464)*AC1464,2),0)</f>
        <v/>
      </c>
      <c r="AG1464" s="192">
        <f>$BD1464*VLOOKUP($AG$3,$AF$4:$AG$7,2,FALSE)</f>
        <v/>
      </c>
      <c r="AH1464" s="76">
        <f>SUM(AE1464,AG1464,AI1464)*rate_forex_risk</f>
        <v/>
      </c>
      <c r="AI1464" s="193">
        <f>IF(OR(seller_region="TR",offer_sale_type="экспорт"),0,rate_fin_comm)*SUM(AZ1464,AZ1464*AW1464,T1464)</f>
        <v/>
      </c>
      <c r="AJ1464" s="118">
        <f>IFERROR(ROUND(SUM(AB1464,AF1464:AI1464)/E1464,2),0)</f>
        <v/>
      </c>
      <c r="AK1464" s="76">
        <f>AJ1464*E1464</f>
        <v/>
      </c>
      <c r="AL1464" s="174">
        <f>ROUND(IFERROR(AM1464*E1464,0),2)</f>
        <v/>
      </c>
      <c r="AM1464" s="175">
        <f>ROUND(AJ1464*(1+IF(offer_incoterms="DDP",IF((TODAY()+offer_turnaround_time)&gt;=helpsheet!$L$17,rate_vatRU_from_26,rate_vatRu_till_25),0)),2)</f>
        <v/>
      </c>
      <c r="AN1464" s="192">
        <f>AL1464-AK1464</f>
        <v/>
      </c>
      <c r="AO1464" s="76">
        <f>SUM(AY1464,Y1464:Z1464,T1464)*IF(AND(offer_incoterms="DDP",offer_sale_type&lt;&gt;"экспорт"),IF((TODAY()+offer_turnaround_time)&gt;=helpsheet!$L$17,rate_vatRU_from_26,rate_vatRu_till_25),0)</f>
        <v/>
      </c>
      <c r="AP1464" s="193">
        <f>AN1464-AO1464</f>
        <v/>
      </c>
      <c r="AQ1464" s="118">
        <f>IF(offer_sale_type="транзит",SUM(AF1464:AI1464,BA1464,BB1464),0)</f>
        <v/>
      </c>
      <c r="AR1464" s="82">
        <f>HYPERLINK("https://www.alta.ru/tnved/code/")&amp;W1464&amp;"/"</f>
        <v/>
      </c>
      <c r="AS1464" s="157" t="n"/>
      <c r="AT1464" s="162" t="n"/>
      <c r="AU1464" s="76">
        <f>IF(ISBLANK(AT1464),0,AJ1464-AT1464)</f>
        <v/>
      </c>
      <c r="AV1464" s="157" t="n"/>
      <c r="AW1464" s="75">
        <f>_xlfn.IFNA(VLOOKUP(L1464,list_vat[],3,FALSE),0)</f>
        <v/>
      </c>
      <c r="AX1464" s="76">
        <f>IFERROR(ROUND(S1464*(1+AW1464)/E1464,2),0)</f>
        <v/>
      </c>
      <c r="AY1464" s="76">
        <f>E1464*AX1464</f>
        <v/>
      </c>
      <c r="AZ1464" s="192">
        <f>S1464*(1+M1464)</f>
        <v/>
      </c>
      <c r="BA1464" s="76">
        <f>cost_fin_total*$BD1464</f>
        <v/>
      </c>
      <c r="BB1464" s="193">
        <f>credit_sales_interest*BD1464</f>
        <v/>
      </c>
      <c r="BC1464" s="102">
        <f>IFERROR(IF($I$13&gt;0,$I1464/$I$13,$S1464/$S$13),0)</f>
        <v/>
      </c>
      <c r="BD1464" s="102">
        <f>IFERROR($S1464/$S$13,0)</f>
        <v/>
      </c>
      <c r="BE1464" s="413" t="inlineStr">
        <is>
          <t>$</t>
        </is>
      </c>
    </row>
    <row r="1465" ht="12" customFormat="1" customHeight="1" s="65">
      <c r="A1465" s="43" t="n">
        <v>1450</v>
      </c>
      <c r="B1465" s="166" t="n"/>
      <c r="C1465" s="166" t="n"/>
      <c r="D1465" s="166" t="n"/>
      <c r="E1465" s="162" t="n"/>
      <c r="F1465" s="166" t="n"/>
      <c r="G1465" s="162" t="n"/>
      <c r="H1465" s="162" t="n"/>
      <c r="I1465" s="189">
        <f>E1465*G1465</f>
        <v/>
      </c>
      <c r="J1465" s="195" t="n"/>
      <c r="K1465" s="162" t="n"/>
      <c r="L1465" s="168" t="n"/>
      <c r="M1465" s="75">
        <f>_xlfn.XLOOKUP(L1465,list_vat[Страна],list_vat[Ставка НДС %],0,0)</f>
        <v/>
      </c>
      <c r="N1465" s="162">
        <f>IFERROR(IF(L1465="Китай",K1465,K1465/(1+M1465)),0)</f>
        <v/>
      </c>
      <c r="O1465" s="169" t="n"/>
      <c r="P1465" s="76">
        <f>N1465*(1-O1465)</f>
        <v/>
      </c>
      <c r="Q1465" s="162" t="n"/>
      <c r="R1465" s="162">
        <f>IF(ISBLANK(Q1465),"введи курс",P1465/Q1465)</f>
        <v/>
      </c>
      <c r="S1465" s="196">
        <f>IF(AND(ISNUMBER(E1465),ISNUMBER(Q1465)),E1465*R1465,0)</f>
        <v/>
      </c>
      <c r="T1465" s="192">
        <f>$BC1465*V$11</f>
        <v/>
      </c>
      <c r="U1465" s="76">
        <f>$BC1465*W$11</f>
        <v/>
      </c>
      <c r="V1465" s="193">
        <f>+SUM(T1465:U1465)</f>
        <v/>
      </c>
      <c r="W1465" s="191" t="n"/>
      <c r="X1465" s="170" t="n"/>
      <c r="Y1465" s="76">
        <f>ROUND(IF(offer_incoterms="DDP",X1465*(S1465*(1+AW1465)+T1465),0),2)</f>
        <v/>
      </c>
      <c r="Z1465" s="188" t="n"/>
      <c r="AA1465" s="192">
        <f>IFERROR(AB1465/E1465,0)</f>
        <v/>
      </c>
      <c r="AB1465" s="76">
        <f>ROUND(SUM(S1465,V1465,Y1465:Z1465,BA1465:BB1465),2)</f>
        <v/>
      </c>
      <c r="AC1465" s="797" t="n"/>
      <c r="AD1465" s="192">
        <f t="array" ref="AD1465">IFERROR(ROUND((_xlfn.IFS(offer_sale_type="поставка",AB1465,offer_sale_type="транзит",S1465)*(1+AC1465))/E1465,2),0)</f>
        <v/>
      </c>
      <c r="AE1465" s="76">
        <f>AD1465*E1465</f>
        <v/>
      </c>
      <c r="AF1465" s="193">
        <f t="array" ref="AF1465">IFERROR(ROUND(_xlfn.IFS(offer_sale_type="поставка",AB1465,offer_sale_type="транзит",S1465)*AC1465,2),0)</f>
        <v/>
      </c>
      <c r="AG1465" s="192">
        <f>$BD1465*VLOOKUP($AG$3,$AF$4:$AG$7,2,FALSE)</f>
        <v/>
      </c>
      <c r="AH1465" s="76">
        <f>SUM(AE1465,AG1465,AI1465)*rate_forex_risk</f>
        <v/>
      </c>
      <c r="AI1465" s="193">
        <f>IF(OR(seller_region="TR",offer_sale_type="экспорт"),0,rate_fin_comm)*SUM(AZ1465,AZ1465*AW1465,T1465)</f>
        <v/>
      </c>
      <c r="AJ1465" s="118">
        <f>IFERROR(ROUND(SUM(AB1465,AF1465:AI1465)/E1465,2),0)</f>
        <v/>
      </c>
      <c r="AK1465" s="76">
        <f>AJ1465*E1465</f>
        <v/>
      </c>
      <c r="AL1465" s="174">
        <f>ROUND(IFERROR(AM1465*E1465,0),2)</f>
        <v/>
      </c>
      <c r="AM1465" s="175">
        <f>ROUND(AJ1465*(1+IF(offer_incoterms="DDP",IF((TODAY()+offer_turnaround_time)&gt;=helpsheet!$L$17,rate_vatRU_from_26,rate_vatRu_till_25),0)),2)</f>
        <v/>
      </c>
      <c r="AN1465" s="192">
        <f>AL1465-AK1465</f>
        <v/>
      </c>
      <c r="AO1465" s="76">
        <f>SUM(AY1465,Y1465:Z1465,T1465)*IF(AND(offer_incoterms="DDP",offer_sale_type&lt;&gt;"экспорт"),IF((TODAY()+offer_turnaround_time)&gt;=helpsheet!$L$17,rate_vatRU_from_26,rate_vatRu_till_25),0)</f>
        <v/>
      </c>
      <c r="AP1465" s="193">
        <f>AN1465-AO1465</f>
        <v/>
      </c>
      <c r="AQ1465" s="118">
        <f>IF(offer_sale_type="транзит",SUM(AF1465:AI1465,BA1465,BB1465),0)</f>
        <v/>
      </c>
      <c r="AR1465" s="82">
        <f>HYPERLINK("https://www.alta.ru/tnved/code/")&amp;W1465&amp;"/"</f>
        <v/>
      </c>
      <c r="AS1465" s="157" t="n"/>
      <c r="AT1465" s="162" t="n"/>
      <c r="AU1465" s="76">
        <f>IF(ISBLANK(AT1465),0,AJ1465-AT1465)</f>
        <v/>
      </c>
      <c r="AV1465" s="157" t="n"/>
      <c r="AW1465" s="75">
        <f>_xlfn.IFNA(VLOOKUP(L1465,list_vat[],3,FALSE),0)</f>
        <v/>
      </c>
      <c r="AX1465" s="76">
        <f>IFERROR(ROUND(S1465*(1+AW1465)/E1465,2),0)</f>
        <v/>
      </c>
      <c r="AY1465" s="76">
        <f>E1465*AX1465</f>
        <v/>
      </c>
      <c r="AZ1465" s="192">
        <f>S1465*(1+M1465)</f>
        <v/>
      </c>
      <c r="BA1465" s="76">
        <f>cost_fin_total*$BD1465</f>
        <v/>
      </c>
      <c r="BB1465" s="193">
        <f>credit_sales_interest*BD1465</f>
        <v/>
      </c>
      <c r="BC1465" s="102">
        <f>IFERROR(IF($I$13&gt;0,$I1465/$I$13,$S1465/$S$13),0)</f>
        <v/>
      </c>
      <c r="BD1465" s="102">
        <f>IFERROR($S1465/$S$13,0)</f>
        <v/>
      </c>
      <c r="BE1465" s="413" t="inlineStr">
        <is>
          <t>$</t>
        </is>
      </c>
    </row>
    <row r="1466" ht="12" customFormat="1" customHeight="1" s="65">
      <c r="A1466" s="43" t="n">
        <v>1451</v>
      </c>
      <c r="B1466" s="166" t="n"/>
      <c r="C1466" s="166" t="n"/>
      <c r="D1466" s="166" t="n"/>
      <c r="E1466" s="162" t="n"/>
      <c r="F1466" s="166" t="n"/>
      <c r="G1466" s="162" t="n"/>
      <c r="H1466" s="162" t="n"/>
      <c r="I1466" s="189">
        <f>E1466*G1466</f>
        <v/>
      </c>
      <c r="J1466" s="195" t="n"/>
      <c r="K1466" s="162" t="n"/>
      <c r="L1466" s="168" t="n"/>
      <c r="M1466" s="75">
        <f>_xlfn.XLOOKUP(L1466,list_vat[Страна],list_vat[Ставка НДС %],0,0)</f>
        <v/>
      </c>
      <c r="N1466" s="162">
        <f>IFERROR(IF(L1466="Китай",K1466,K1466/(1+M1466)),0)</f>
        <v/>
      </c>
      <c r="O1466" s="169" t="n"/>
      <c r="P1466" s="76">
        <f>N1466*(1-O1466)</f>
        <v/>
      </c>
      <c r="Q1466" s="162" t="n"/>
      <c r="R1466" s="162">
        <f>IF(ISBLANK(Q1466),"введи курс",P1466/Q1466)</f>
        <v/>
      </c>
      <c r="S1466" s="196">
        <f>IF(AND(ISNUMBER(E1466),ISNUMBER(Q1466)),E1466*R1466,0)</f>
        <v/>
      </c>
      <c r="T1466" s="192">
        <f>$BC1466*V$11</f>
        <v/>
      </c>
      <c r="U1466" s="76">
        <f>$BC1466*W$11</f>
        <v/>
      </c>
      <c r="V1466" s="193">
        <f>+SUM(T1466:U1466)</f>
        <v/>
      </c>
      <c r="W1466" s="191" t="n"/>
      <c r="X1466" s="170" t="n"/>
      <c r="Y1466" s="76">
        <f>ROUND(IF(offer_incoterms="DDP",X1466*(S1466*(1+AW1466)+T1466),0),2)</f>
        <v/>
      </c>
      <c r="Z1466" s="188" t="n"/>
      <c r="AA1466" s="192">
        <f>IFERROR(AB1466/E1466,0)</f>
        <v/>
      </c>
      <c r="AB1466" s="76">
        <f>ROUND(SUM(S1466,V1466,Y1466:Z1466,BA1466:BB1466),2)</f>
        <v/>
      </c>
      <c r="AC1466" s="797" t="n"/>
      <c r="AD1466" s="192">
        <f t="array" ref="AD1466">IFERROR(ROUND((_xlfn.IFS(offer_sale_type="поставка",AB1466,offer_sale_type="транзит",S1466)*(1+AC1466))/E1466,2),0)</f>
        <v/>
      </c>
      <c r="AE1466" s="76">
        <f>AD1466*E1466</f>
        <v/>
      </c>
      <c r="AF1466" s="193">
        <f t="array" ref="AF1466">IFERROR(ROUND(_xlfn.IFS(offer_sale_type="поставка",AB1466,offer_sale_type="транзит",S1466)*AC1466,2),0)</f>
        <v/>
      </c>
      <c r="AG1466" s="192">
        <f>$BD1466*VLOOKUP($AG$3,$AF$4:$AG$7,2,FALSE)</f>
        <v/>
      </c>
      <c r="AH1466" s="76">
        <f>SUM(AE1466,AG1466,AI1466)*rate_forex_risk</f>
        <v/>
      </c>
      <c r="AI1466" s="193">
        <f>IF(OR(seller_region="TR",offer_sale_type="экспорт"),0,rate_fin_comm)*SUM(AZ1466,AZ1466*AW1466,T1466)</f>
        <v/>
      </c>
      <c r="AJ1466" s="118">
        <f>IFERROR(ROUND(SUM(AB1466,AF1466:AI1466)/E1466,2),0)</f>
        <v/>
      </c>
      <c r="AK1466" s="76">
        <f>AJ1466*E1466</f>
        <v/>
      </c>
      <c r="AL1466" s="174">
        <f>ROUND(IFERROR(AM1466*E1466,0),2)</f>
        <v/>
      </c>
      <c r="AM1466" s="175">
        <f>ROUND(AJ1466*(1+IF(offer_incoterms="DDP",IF((TODAY()+offer_turnaround_time)&gt;=helpsheet!$L$17,rate_vatRU_from_26,rate_vatRu_till_25),0)),2)</f>
        <v/>
      </c>
      <c r="AN1466" s="192">
        <f>AL1466-AK1466</f>
        <v/>
      </c>
      <c r="AO1466" s="76">
        <f>SUM(AY1466,Y1466:Z1466,T1466)*IF(AND(offer_incoterms="DDP",offer_sale_type&lt;&gt;"экспорт"),IF((TODAY()+offer_turnaround_time)&gt;=helpsheet!$L$17,rate_vatRU_from_26,rate_vatRu_till_25),0)</f>
        <v/>
      </c>
      <c r="AP1466" s="193">
        <f>AN1466-AO1466</f>
        <v/>
      </c>
      <c r="AQ1466" s="118">
        <f>IF(offer_sale_type="транзит",SUM(AF1466:AI1466,BA1466,BB1466),0)</f>
        <v/>
      </c>
      <c r="AR1466" s="82">
        <f>HYPERLINK("https://www.alta.ru/tnved/code/")&amp;W1466&amp;"/"</f>
        <v/>
      </c>
      <c r="AS1466" s="157" t="n"/>
      <c r="AT1466" s="162" t="n"/>
      <c r="AU1466" s="76">
        <f>IF(ISBLANK(AT1466),0,AJ1466-AT1466)</f>
        <v/>
      </c>
      <c r="AV1466" s="157" t="n"/>
      <c r="AW1466" s="75">
        <f>_xlfn.IFNA(VLOOKUP(L1466,list_vat[],3,FALSE),0)</f>
        <v/>
      </c>
      <c r="AX1466" s="76">
        <f>IFERROR(ROUND(S1466*(1+AW1466)/E1466,2),0)</f>
        <v/>
      </c>
      <c r="AY1466" s="76">
        <f>E1466*AX1466</f>
        <v/>
      </c>
      <c r="AZ1466" s="192">
        <f>S1466*(1+M1466)</f>
        <v/>
      </c>
      <c r="BA1466" s="76">
        <f>cost_fin_total*$BD1466</f>
        <v/>
      </c>
      <c r="BB1466" s="193">
        <f>credit_sales_interest*BD1466</f>
        <v/>
      </c>
      <c r="BC1466" s="102">
        <f>IFERROR(IF($I$13&gt;0,$I1466/$I$13,$S1466/$S$13),0)</f>
        <v/>
      </c>
      <c r="BD1466" s="102">
        <f>IFERROR($S1466/$S$13,0)</f>
        <v/>
      </c>
      <c r="BE1466" s="413" t="inlineStr">
        <is>
          <t>$</t>
        </is>
      </c>
    </row>
    <row r="1467" ht="12" customFormat="1" customHeight="1" s="65">
      <c r="A1467" s="43" t="n">
        <v>1452</v>
      </c>
      <c r="B1467" s="166" t="n"/>
      <c r="C1467" s="166" t="n"/>
      <c r="D1467" s="166" t="n"/>
      <c r="E1467" s="162" t="n"/>
      <c r="F1467" s="166" t="n"/>
      <c r="G1467" s="162" t="n"/>
      <c r="H1467" s="162" t="n"/>
      <c r="I1467" s="189">
        <f>E1467*G1467</f>
        <v/>
      </c>
      <c r="J1467" s="195" t="n"/>
      <c r="K1467" s="162" t="n"/>
      <c r="L1467" s="168" t="n"/>
      <c r="M1467" s="75">
        <f>_xlfn.XLOOKUP(L1467,list_vat[Страна],list_vat[Ставка НДС %],0,0)</f>
        <v/>
      </c>
      <c r="N1467" s="162">
        <f>IFERROR(IF(L1467="Китай",K1467,K1467/(1+M1467)),0)</f>
        <v/>
      </c>
      <c r="O1467" s="169" t="n"/>
      <c r="P1467" s="76">
        <f>N1467*(1-O1467)</f>
        <v/>
      </c>
      <c r="Q1467" s="162" t="n"/>
      <c r="R1467" s="162">
        <f>IF(ISBLANK(Q1467),"введи курс",P1467/Q1467)</f>
        <v/>
      </c>
      <c r="S1467" s="196">
        <f>IF(AND(ISNUMBER(E1467),ISNUMBER(Q1467)),E1467*R1467,0)</f>
        <v/>
      </c>
      <c r="T1467" s="192">
        <f>$BC1467*V$11</f>
        <v/>
      </c>
      <c r="U1467" s="76">
        <f>$BC1467*W$11</f>
        <v/>
      </c>
      <c r="V1467" s="193">
        <f>+SUM(T1467:U1467)</f>
        <v/>
      </c>
      <c r="W1467" s="191" t="n"/>
      <c r="X1467" s="170" t="n"/>
      <c r="Y1467" s="76">
        <f>ROUND(IF(offer_incoterms="DDP",X1467*(S1467*(1+AW1467)+T1467),0),2)</f>
        <v/>
      </c>
      <c r="Z1467" s="188" t="n"/>
      <c r="AA1467" s="192">
        <f>IFERROR(AB1467/E1467,0)</f>
        <v/>
      </c>
      <c r="AB1467" s="76">
        <f>ROUND(SUM(S1467,V1467,Y1467:Z1467,BA1467:BB1467),2)</f>
        <v/>
      </c>
      <c r="AC1467" s="797" t="n"/>
      <c r="AD1467" s="192">
        <f t="array" ref="AD1467">IFERROR(ROUND((_xlfn.IFS(offer_sale_type="поставка",AB1467,offer_sale_type="транзит",S1467)*(1+AC1467))/E1467,2),0)</f>
        <v/>
      </c>
      <c r="AE1467" s="76">
        <f>AD1467*E1467</f>
        <v/>
      </c>
      <c r="AF1467" s="193">
        <f t="array" ref="AF1467">IFERROR(ROUND(_xlfn.IFS(offer_sale_type="поставка",AB1467,offer_sale_type="транзит",S1467)*AC1467,2),0)</f>
        <v/>
      </c>
      <c r="AG1467" s="192">
        <f>$BD1467*VLOOKUP($AG$3,$AF$4:$AG$7,2,FALSE)</f>
        <v/>
      </c>
      <c r="AH1467" s="76">
        <f>SUM(AE1467,AG1467,AI1467)*rate_forex_risk</f>
        <v/>
      </c>
      <c r="AI1467" s="193">
        <f>IF(OR(seller_region="TR",offer_sale_type="экспорт"),0,rate_fin_comm)*SUM(AZ1467,AZ1467*AW1467,T1467)</f>
        <v/>
      </c>
      <c r="AJ1467" s="118">
        <f>IFERROR(ROUND(SUM(AB1467,AF1467:AI1467)/E1467,2),0)</f>
        <v/>
      </c>
      <c r="AK1467" s="76">
        <f>AJ1467*E1467</f>
        <v/>
      </c>
      <c r="AL1467" s="174">
        <f>ROUND(IFERROR(AM1467*E1467,0),2)</f>
        <v/>
      </c>
      <c r="AM1467" s="175">
        <f>ROUND(AJ1467*(1+IF(offer_incoterms="DDP",IF((TODAY()+offer_turnaround_time)&gt;=helpsheet!$L$17,rate_vatRU_from_26,rate_vatRu_till_25),0)),2)</f>
        <v/>
      </c>
      <c r="AN1467" s="192">
        <f>AL1467-AK1467</f>
        <v/>
      </c>
      <c r="AO1467" s="76">
        <f>SUM(AY1467,Y1467:Z1467,T1467)*IF(AND(offer_incoterms="DDP",offer_sale_type&lt;&gt;"экспорт"),IF((TODAY()+offer_turnaround_time)&gt;=helpsheet!$L$17,rate_vatRU_from_26,rate_vatRu_till_25),0)</f>
        <v/>
      </c>
      <c r="AP1467" s="193">
        <f>AN1467-AO1467</f>
        <v/>
      </c>
      <c r="AQ1467" s="118">
        <f>IF(offer_sale_type="транзит",SUM(AF1467:AI1467,BA1467,BB1467),0)</f>
        <v/>
      </c>
      <c r="AR1467" s="82">
        <f>HYPERLINK("https://www.alta.ru/tnved/code/")&amp;W1467&amp;"/"</f>
        <v/>
      </c>
      <c r="AS1467" s="157" t="n"/>
      <c r="AT1467" s="162" t="n"/>
      <c r="AU1467" s="76">
        <f>IF(ISBLANK(AT1467),0,AJ1467-AT1467)</f>
        <v/>
      </c>
      <c r="AV1467" s="157" t="n"/>
      <c r="AW1467" s="75">
        <f>_xlfn.IFNA(VLOOKUP(L1467,list_vat[],3,FALSE),0)</f>
        <v/>
      </c>
      <c r="AX1467" s="76">
        <f>IFERROR(ROUND(S1467*(1+AW1467)/E1467,2),0)</f>
        <v/>
      </c>
      <c r="AY1467" s="76">
        <f>E1467*AX1467</f>
        <v/>
      </c>
      <c r="AZ1467" s="192">
        <f>S1467*(1+M1467)</f>
        <v/>
      </c>
      <c r="BA1467" s="76">
        <f>cost_fin_total*$BD1467</f>
        <v/>
      </c>
      <c r="BB1467" s="193">
        <f>credit_sales_interest*BD1467</f>
        <v/>
      </c>
      <c r="BC1467" s="102">
        <f>IFERROR(IF($I$13&gt;0,$I1467/$I$13,$S1467/$S$13),0)</f>
        <v/>
      </c>
      <c r="BD1467" s="102">
        <f>IFERROR($S1467/$S$13,0)</f>
        <v/>
      </c>
      <c r="BE1467" s="413" t="inlineStr">
        <is>
          <t>$</t>
        </is>
      </c>
    </row>
    <row r="1468" ht="12" customFormat="1" customHeight="1" s="65">
      <c r="A1468" s="43" t="n">
        <v>1453</v>
      </c>
      <c r="B1468" s="166" t="n"/>
      <c r="C1468" s="166" t="n"/>
      <c r="D1468" s="166" t="n"/>
      <c r="E1468" s="162" t="n"/>
      <c r="F1468" s="166" t="n"/>
      <c r="G1468" s="162" t="n"/>
      <c r="H1468" s="162" t="n"/>
      <c r="I1468" s="189">
        <f>E1468*G1468</f>
        <v/>
      </c>
      <c r="J1468" s="195" t="n"/>
      <c r="K1468" s="162" t="n"/>
      <c r="L1468" s="168" t="n"/>
      <c r="M1468" s="75">
        <f>_xlfn.XLOOKUP(L1468,list_vat[Страна],list_vat[Ставка НДС %],0,0)</f>
        <v/>
      </c>
      <c r="N1468" s="162">
        <f>IFERROR(IF(L1468="Китай",K1468,K1468/(1+M1468)),0)</f>
        <v/>
      </c>
      <c r="O1468" s="169" t="n"/>
      <c r="P1468" s="76">
        <f>N1468*(1-O1468)</f>
        <v/>
      </c>
      <c r="Q1468" s="162" t="n"/>
      <c r="R1468" s="162">
        <f>IF(ISBLANK(Q1468),"введи курс",P1468/Q1468)</f>
        <v/>
      </c>
      <c r="S1468" s="196">
        <f>IF(AND(ISNUMBER(E1468),ISNUMBER(Q1468)),E1468*R1468,0)</f>
        <v/>
      </c>
      <c r="T1468" s="192">
        <f>$BC1468*V$11</f>
        <v/>
      </c>
      <c r="U1468" s="76">
        <f>$BC1468*W$11</f>
        <v/>
      </c>
      <c r="V1468" s="193">
        <f>+SUM(T1468:U1468)</f>
        <v/>
      </c>
      <c r="W1468" s="191" t="n"/>
      <c r="X1468" s="170" t="n"/>
      <c r="Y1468" s="76">
        <f>ROUND(IF(offer_incoterms="DDP",X1468*(S1468*(1+AW1468)+T1468),0),2)</f>
        <v/>
      </c>
      <c r="Z1468" s="188" t="n"/>
      <c r="AA1468" s="192">
        <f>IFERROR(AB1468/E1468,0)</f>
        <v/>
      </c>
      <c r="AB1468" s="76">
        <f>ROUND(SUM(S1468,V1468,Y1468:Z1468,BA1468:BB1468),2)</f>
        <v/>
      </c>
      <c r="AC1468" s="797" t="n"/>
      <c r="AD1468" s="192">
        <f t="array" ref="AD1468">IFERROR(ROUND((_xlfn.IFS(offer_sale_type="поставка",AB1468,offer_sale_type="транзит",S1468)*(1+AC1468))/E1468,2),0)</f>
        <v/>
      </c>
      <c r="AE1468" s="76">
        <f>AD1468*E1468</f>
        <v/>
      </c>
      <c r="AF1468" s="193">
        <f t="array" ref="AF1468">IFERROR(ROUND(_xlfn.IFS(offer_sale_type="поставка",AB1468,offer_sale_type="транзит",S1468)*AC1468,2),0)</f>
        <v/>
      </c>
      <c r="AG1468" s="192">
        <f>$BD1468*VLOOKUP($AG$3,$AF$4:$AG$7,2,FALSE)</f>
        <v/>
      </c>
      <c r="AH1468" s="76">
        <f>SUM(AE1468,AG1468,AI1468)*rate_forex_risk</f>
        <v/>
      </c>
      <c r="AI1468" s="193">
        <f>IF(OR(seller_region="TR",offer_sale_type="экспорт"),0,rate_fin_comm)*SUM(AZ1468,AZ1468*AW1468,T1468)</f>
        <v/>
      </c>
      <c r="AJ1468" s="118">
        <f>IFERROR(ROUND(SUM(AB1468,AF1468:AI1468)/E1468,2),0)</f>
        <v/>
      </c>
      <c r="AK1468" s="76">
        <f>AJ1468*E1468</f>
        <v/>
      </c>
      <c r="AL1468" s="174">
        <f>ROUND(IFERROR(AM1468*E1468,0),2)</f>
        <v/>
      </c>
      <c r="AM1468" s="175">
        <f>ROUND(AJ1468*(1+IF(offer_incoterms="DDP",IF((TODAY()+offer_turnaround_time)&gt;=helpsheet!$L$17,rate_vatRU_from_26,rate_vatRu_till_25),0)),2)</f>
        <v/>
      </c>
      <c r="AN1468" s="192">
        <f>AL1468-AK1468</f>
        <v/>
      </c>
      <c r="AO1468" s="76">
        <f>SUM(AY1468,Y1468:Z1468,T1468)*IF(AND(offer_incoterms="DDP",offer_sale_type&lt;&gt;"экспорт"),IF((TODAY()+offer_turnaround_time)&gt;=helpsheet!$L$17,rate_vatRU_from_26,rate_vatRu_till_25),0)</f>
        <v/>
      </c>
      <c r="AP1468" s="193">
        <f>AN1468-AO1468</f>
        <v/>
      </c>
      <c r="AQ1468" s="118">
        <f>IF(offer_sale_type="транзит",SUM(AF1468:AI1468,BA1468,BB1468),0)</f>
        <v/>
      </c>
      <c r="AR1468" s="82">
        <f>HYPERLINK("https://www.alta.ru/tnved/code/")&amp;W1468&amp;"/"</f>
        <v/>
      </c>
      <c r="AS1468" s="157" t="n"/>
      <c r="AT1468" s="162" t="n"/>
      <c r="AU1468" s="76">
        <f>IF(ISBLANK(AT1468),0,AJ1468-AT1468)</f>
        <v/>
      </c>
      <c r="AV1468" s="157" t="n"/>
      <c r="AW1468" s="75">
        <f>_xlfn.IFNA(VLOOKUP(L1468,list_vat[],3,FALSE),0)</f>
        <v/>
      </c>
      <c r="AX1468" s="76">
        <f>IFERROR(ROUND(S1468*(1+AW1468)/E1468,2),0)</f>
        <v/>
      </c>
      <c r="AY1468" s="76">
        <f>E1468*AX1468</f>
        <v/>
      </c>
      <c r="AZ1468" s="192">
        <f>S1468*(1+M1468)</f>
        <v/>
      </c>
      <c r="BA1468" s="76">
        <f>cost_fin_total*$BD1468</f>
        <v/>
      </c>
      <c r="BB1468" s="193">
        <f>credit_sales_interest*BD1468</f>
        <v/>
      </c>
      <c r="BC1468" s="102">
        <f>IFERROR(IF($I$13&gt;0,$I1468/$I$13,$S1468/$S$13),0)</f>
        <v/>
      </c>
      <c r="BD1468" s="102">
        <f>IFERROR($S1468/$S$13,0)</f>
        <v/>
      </c>
      <c r="BE1468" s="413" t="inlineStr">
        <is>
          <t>$</t>
        </is>
      </c>
    </row>
    <row r="1469" ht="12" customFormat="1" customHeight="1" s="65">
      <c r="A1469" s="43" t="n">
        <v>1454</v>
      </c>
      <c r="B1469" s="166" t="n"/>
      <c r="C1469" s="166" t="n"/>
      <c r="D1469" s="166" t="n"/>
      <c r="E1469" s="162" t="n"/>
      <c r="F1469" s="166" t="n"/>
      <c r="G1469" s="162" t="n"/>
      <c r="H1469" s="162" t="n"/>
      <c r="I1469" s="189">
        <f>E1469*G1469</f>
        <v/>
      </c>
      <c r="J1469" s="195" t="n"/>
      <c r="K1469" s="162" t="n"/>
      <c r="L1469" s="168" t="n"/>
      <c r="M1469" s="75">
        <f>_xlfn.XLOOKUP(L1469,list_vat[Страна],list_vat[Ставка НДС %],0,0)</f>
        <v/>
      </c>
      <c r="N1469" s="162">
        <f>IFERROR(IF(L1469="Китай",K1469,K1469/(1+M1469)),0)</f>
        <v/>
      </c>
      <c r="O1469" s="169" t="n"/>
      <c r="P1469" s="76">
        <f>N1469*(1-O1469)</f>
        <v/>
      </c>
      <c r="Q1469" s="162" t="n"/>
      <c r="R1469" s="162">
        <f>IF(ISBLANK(Q1469),"введи курс",P1469/Q1469)</f>
        <v/>
      </c>
      <c r="S1469" s="196">
        <f>IF(AND(ISNUMBER(E1469),ISNUMBER(Q1469)),E1469*R1469,0)</f>
        <v/>
      </c>
      <c r="T1469" s="192">
        <f>$BC1469*V$11</f>
        <v/>
      </c>
      <c r="U1469" s="76">
        <f>$BC1469*W$11</f>
        <v/>
      </c>
      <c r="V1469" s="193">
        <f>+SUM(T1469:U1469)</f>
        <v/>
      </c>
      <c r="W1469" s="191" t="n"/>
      <c r="X1469" s="170" t="n"/>
      <c r="Y1469" s="76">
        <f>ROUND(IF(offer_incoterms="DDP",X1469*(S1469*(1+AW1469)+T1469),0),2)</f>
        <v/>
      </c>
      <c r="Z1469" s="188" t="n"/>
      <c r="AA1469" s="192">
        <f>IFERROR(AB1469/E1469,0)</f>
        <v/>
      </c>
      <c r="AB1469" s="76">
        <f>ROUND(SUM(S1469,V1469,Y1469:Z1469,BA1469:BB1469),2)</f>
        <v/>
      </c>
      <c r="AC1469" s="797" t="n"/>
      <c r="AD1469" s="192">
        <f t="array" ref="AD1469">IFERROR(ROUND((_xlfn.IFS(offer_sale_type="поставка",AB1469,offer_sale_type="транзит",S1469)*(1+AC1469))/E1469,2),0)</f>
        <v/>
      </c>
      <c r="AE1469" s="76">
        <f>AD1469*E1469</f>
        <v/>
      </c>
      <c r="AF1469" s="193">
        <f t="array" ref="AF1469">IFERROR(ROUND(_xlfn.IFS(offer_sale_type="поставка",AB1469,offer_sale_type="транзит",S1469)*AC1469,2),0)</f>
        <v/>
      </c>
      <c r="AG1469" s="192">
        <f>$BD1469*VLOOKUP($AG$3,$AF$4:$AG$7,2,FALSE)</f>
        <v/>
      </c>
      <c r="AH1469" s="76">
        <f>SUM(AE1469,AG1469,AI1469)*rate_forex_risk</f>
        <v/>
      </c>
      <c r="AI1469" s="193">
        <f>IF(OR(seller_region="TR",offer_sale_type="экспорт"),0,rate_fin_comm)*SUM(AZ1469,AZ1469*AW1469,T1469)</f>
        <v/>
      </c>
      <c r="AJ1469" s="118">
        <f>IFERROR(ROUND(SUM(AB1469,AF1469:AI1469)/E1469,2),0)</f>
        <v/>
      </c>
      <c r="AK1469" s="76">
        <f>AJ1469*E1469</f>
        <v/>
      </c>
      <c r="AL1469" s="174">
        <f>ROUND(IFERROR(AM1469*E1469,0),2)</f>
        <v/>
      </c>
      <c r="AM1469" s="175">
        <f>ROUND(AJ1469*(1+IF(offer_incoterms="DDP",IF((TODAY()+offer_turnaround_time)&gt;=helpsheet!$L$17,rate_vatRU_from_26,rate_vatRu_till_25),0)),2)</f>
        <v/>
      </c>
      <c r="AN1469" s="192">
        <f>AL1469-AK1469</f>
        <v/>
      </c>
      <c r="AO1469" s="76">
        <f>SUM(AY1469,Y1469:Z1469,T1469)*IF(AND(offer_incoterms="DDP",offer_sale_type&lt;&gt;"экспорт"),IF((TODAY()+offer_turnaround_time)&gt;=helpsheet!$L$17,rate_vatRU_from_26,rate_vatRu_till_25),0)</f>
        <v/>
      </c>
      <c r="AP1469" s="193">
        <f>AN1469-AO1469</f>
        <v/>
      </c>
      <c r="AQ1469" s="118">
        <f>IF(offer_sale_type="транзит",SUM(AF1469:AI1469,BA1469,BB1469),0)</f>
        <v/>
      </c>
      <c r="AR1469" s="82">
        <f>HYPERLINK("https://www.alta.ru/tnved/code/")&amp;W1469&amp;"/"</f>
        <v/>
      </c>
      <c r="AS1469" s="157" t="n"/>
      <c r="AT1469" s="162" t="n"/>
      <c r="AU1469" s="76">
        <f>IF(ISBLANK(AT1469),0,AJ1469-AT1469)</f>
        <v/>
      </c>
      <c r="AV1469" s="157" t="n"/>
      <c r="AW1469" s="75">
        <f>_xlfn.IFNA(VLOOKUP(L1469,list_vat[],3,FALSE),0)</f>
        <v/>
      </c>
      <c r="AX1469" s="76">
        <f>IFERROR(ROUND(S1469*(1+AW1469)/E1469,2),0)</f>
        <v/>
      </c>
      <c r="AY1469" s="76">
        <f>E1469*AX1469</f>
        <v/>
      </c>
      <c r="AZ1469" s="192">
        <f>S1469*(1+M1469)</f>
        <v/>
      </c>
      <c r="BA1469" s="76">
        <f>cost_fin_total*$BD1469</f>
        <v/>
      </c>
      <c r="BB1469" s="193">
        <f>credit_sales_interest*BD1469</f>
        <v/>
      </c>
      <c r="BC1469" s="102">
        <f>IFERROR(IF($I$13&gt;0,$I1469/$I$13,$S1469/$S$13),0)</f>
        <v/>
      </c>
      <c r="BD1469" s="102">
        <f>IFERROR($S1469/$S$13,0)</f>
        <v/>
      </c>
      <c r="BE1469" s="413" t="inlineStr">
        <is>
          <t>$</t>
        </is>
      </c>
    </row>
    <row r="1470" ht="12" customFormat="1" customHeight="1" s="65">
      <c r="A1470" s="43" t="n">
        <v>1455</v>
      </c>
      <c r="B1470" s="166" t="n"/>
      <c r="C1470" s="166" t="n"/>
      <c r="D1470" s="166" t="n"/>
      <c r="E1470" s="162" t="n"/>
      <c r="F1470" s="166" t="n"/>
      <c r="G1470" s="162" t="n"/>
      <c r="H1470" s="162" t="n"/>
      <c r="I1470" s="189">
        <f>E1470*G1470</f>
        <v/>
      </c>
      <c r="J1470" s="195" t="n"/>
      <c r="K1470" s="162" t="n"/>
      <c r="L1470" s="168" t="n"/>
      <c r="M1470" s="75">
        <f>_xlfn.XLOOKUP(L1470,list_vat[Страна],list_vat[Ставка НДС %],0,0)</f>
        <v/>
      </c>
      <c r="N1470" s="162">
        <f>IFERROR(IF(L1470="Китай",K1470,K1470/(1+M1470)),0)</f>
        <v/>
      </c>
      <c r="O1470" s="169" t="n"/>
      <c r="P1470" s="76">
        <f>N1470*(1-O1470)</f>
        <v/>
      </c>
      <c r="Q1470" s="162" t="n"/>
      <c r="R1470" s="162">
        <f>IF(ISBLANK(Q1470),"введи курс",P1470/Q1470)</f>
        <v/>
      </c>
      <c r="S1470" s="196">
        <f>IF(AND(ISNUMBER(E1470),ISNUMBER(Q1470)),E1470*R1470,0)</f>
        <v/>
      </c>
      <c r="T1470" s="192">
        <f>$BC1470*V$11</f>
        <v/>
      </c>
      <c r="U1470" s="76">
        <f>$BC1470*W$11</f>
        <v/>
      </c>
      <c r="V1470" s="193">
        <f>+SUM(T1470:U1470)</f>
        <v/>
      </c>
      <c r="W1470" s="191" t="n"/>
      <c r="X1470" s="170" t="n"/>
      <c r="Y1470" s="76">
        <f>ROUND(IF(offer_incoterms="DDP",X1470*(S1470*(1+AW1470)+T1470),0),2)</f>
        <v/>
      </c>
      <c r="Z1470" s="188" t="n"/>
      <c r="AA1470" s="192">
        <f>IFERROR(AB1470/E1470,0)</f>
        <v/>
      </c>
      <c r="AB1470" s="76">
        <f>ROUND(SUM(S1470,V1470,Y1470:Z1470,BA1470:BB1470),2)</f>
        <v/>
      </c>
      <c r="AC1470" s="797" t="n"/>
      <c r="AD1470" s="192">
        <f t="array" ref="AD1470">IFERROR(ROUND((_xlfn.IFS(offer_sale_type="поставка",AB1470,offer_sale_type="транзит",S1470)*(1+AC1470))/E1470,2),0)</f>
        <v/>
      </c>
      <c r="AE1470" s="76">
        <f>AD1470*E1470</f>
        <v/>
      </c>
      <c r="AF1470" s="193">
        <f t="array" ref="AF1470">IFERROR(ROUND(_xlfn.IFS(offer_sale_type="поставка",AB1470,offer_sale_type="транзит",S1470)*AC1470,2),0)</f>
        <v/>
      </c>
      <c r="AG1470" s="192">
        <f>$BD1470*VLOOKUP($AG$3,$AF$4:$AG$7,2,FALSE)</f>
        <v/>
      </c>
      <c r="AH1470" s="76">
        <f>SUM(AE1470,AG1470,AI1470)*rate_forex_risk</f>
        <v/>
      </c>
      <c r="AI1470" s="193">
        <f>IF(OR(seller_region="TR",offer_sale_type="экспорт"),0,rate_fin_comm)*SUM(AZ1470,AZ1470*AW1470,T1470)</f>
        <v/>
      </c>
      <c r="AJ1470" s="118">
        <f>IFERROR(ROUND(SUM(AB1470,AF1470:AI1470)/E1470,2),0)</f>
        <v/>
      </c>
      <c r="AK1470" s="76">
        <f>AJ1470*E1470</f>
        <v/>
      </c>
      <c r="AL1470" s="174">
        <f>ROUND(IFERROR(AM1470*E1470,0),2)</f>
        <v/>
      </c>
      <c r="AM1470" s="175">
        <f>ROUND(AJ1470*(1+IF(offer_incoterms="DDP",IF((TODAY()+offer_turnaround_time)&gt;=helpsheet!$L$17,rate_vatRU_from_26,rate_vatRu_till_25),0)),2)</f>
        <v/>
      </c>
      <c r="AN1470" s="192">
        <f>AL1470-AK1470</f>
        <v/>
      </c>
      <c r="AO1470" s="76">
        <f>SUM(AY1470,Y1470:Z1470,T1470)*IF(AND(offer_incoterms="DDP",offer_sale_type&lt;&gt;"экспорт"),IF((TODAY()+offer_turnaround_time)&gt;=helpsheet!$L$17,rate_vatRU_from_26,rate_vatRu_till_25),0)</f>
        <v/>
      </c>
      <c r="AP1470" s="193">
        <f>AN1470-AO1470</f>
        <v/>
      </c>
      <c r="AQ1470" s="118">
        <f>IF(offer_sale_type="транзит",SUM(AF1470:AI1470,BA1470,BB1470),0)</f>
        <v/>
      </c>
      <c r="AR1470" s="82">
        <f>HYPERLINK("https://www.alta.ru/tnved/code/")&amp;W1470&amp;"/"</f>
        <v/>
      </c>
      <c r="AS1470" s="157" t="n"/>
      <c r="AT1470" s="162" t="n"/>
      <c r="AU1470" s="76">
        <f>IF(ISBLANK(AT1470),0,AJ1470-AT1470)</f>
        <v/>
      </c>
      <c r="AV1470" s="157" t="n"/>
      <c r="AW1470" s="75">
        <f>_xlfn.IFNA(VLOOKUP(L1470,list_vat[],3,FALSE),0)</f>
        <v/>
      </c>
      <c r="AX1470" s="76">
        <f>IFERROR(ROUND(S1470*(1+AW1470)/E1470,2),0)</f>
        <v/>
      </c>
      <c r="AY1470" s="76">
        <f>E1470*AX1470</f>
        <v/>
      </c>
      <c r="AZ1470" s="192">
        <f>S1470*(1+M1470)</f>
        <v/>
      </c>
      <c r="BA1470" s="76">
        <f>cost_fin_total*$BD1470</f>
        <v/>
      </c>
      <c r="BB1470" s="193">
        <f>credit_sales_interest*BD1470</f>
        <v/>
      </c>
      <c r="BC1470" s="102">
        <f>IFERROR(IF($I$13&gt;0,$I1470/$I$13,$S1470/$S$13),0)</f>
        <v/>
      </c>
      <c r="BD1470" s="102">
        <f>IFERROR($S1470/$S$13,0)</f>
        <v/>
      </c>
      <c r="BE1470" s="413" t="inlineStr">
        <is>
          <t>$</t>
        </is>
      </c>
    </row>
    <row r="1471" ht="12" customFormat="1" customHeight="1" s="65">
      <c r="A1471" s="43" t="n">
        <v>1456</v>
      </c>
      <c r="B1471" s="166" t="n"/>
      <c r="C1471" s="166" t="n"/>
      <c r="D1471" s="166" t="n"/>
      <c r="E1471" s="162" t="n"/>
      <c r="F1471" s="166" t="n"/>
      <c r="G1471" s="162" t="n"/>
      <c r="H1471" s="162" t="n"/>
      <c r="I1471" s="189">
        <f>E1471*G1471</f>
        <v/>
      </c>
      <c r="J1471" s="195" t="n"/>
      <c r="K1471" s="162" t="n"/>
      <c r="L1471" s="168" t="n"/>
      <c r="M1471" s="75">
        <f>_xlfn.XLOOKUP(L1471,list_vat[Страна],list_vat[Ставка НДС %],0,0)</f>
        <v/>
      </c>
      <c r="N1471" s="162">
        <f>IFERROR(IF(L1471="Китай",K1471,K1471/(1+M1471)),0)</f>
        <v/>
      </c>
      <c r="O1471" s="169" t="n"/>
      <c r="P1471" s="76">
        <f>N1471*(1-O1471)</f>
        <v/>
      </c>
      <c r="Q1471" s="162" t="n"/>
      <c r="R1471" s="162">
        <f>IF(ISBLANK(Q1471),"введи курс",P1471/Q1471)</f>
        <v/>
      </c>
      <c r="S1471" s="196">
        <f>IF(AND(ISNUMBER(E1471),ISNUMBER(Q1471)),E1471*R1471,0)</f>
        <v/>
      </c>
      <c r="T1471" s="192">
        <f>$BC1471*V$11</f>
        <v/>
      </c>
      <c r="U1471" s="76">
        <f>$BC1471*W$11</f>
        <v/>
      </c>
      <c r="V1471" s="193">
        <f>+SUM(T1471:U1471)</f>
        <v/>
      </c>
      <c r="W1471" s="191" t="n"/>
      <c r="X1471" s="170" t="n"/>
      <c r="Y1471" s="76">
        <f>ROUND(IF(offer_incoterms="DDP",X1471*(S1471*(1+AW1471)+T1471),0),2)</f>
        <v/>
      </c>
      <c r="Z1471" s="188" t="n"/>
      <c r="AA1471" s="192">
        <f>IFERROR(AB1471/E1471,0)</f>
        <v/>
      </c>
      <c r="AB1471" s="76">
        <f>ROUND(SUM(S1471,V1471,Y1471:Z1471,BA1471:BB1471),2)</f>
        <v/>
      </c>
      <c r="AC1471" s="797" t="n"/>
      <c r="AD1471" s="192">
        <f t="array" ref="AD1471">IFERROR(ROUND((_xlfn.IFS(offer_sale_type="поставка",AB1471,offer_sale_type="транзит",S1471)*(1+AC1471))/E1471,2),0)</f>
        <v/>
      </c>
      <c r="AE1471" s="76">
        <f>AD1471*E1471</f>
        <v/>
      </c>
      <c r="AF1471" s="193">
        <f t="array" ref="AF1471">IFERROR(ROUND(_xlfn.IFS(offer_sale_type="поставка",AB1471,offer_sale_type="транзит",S1471)*AC1471,2),0)</f>
        <v/>
      </c>
      <c r="AG1471" s="192">
        <f>$BD1471*VLOOKUP($AG$3,$AF$4:$AG$7,2,FALSE)</f>
        <v/>
      </c>
      <c r="AH1471" s="76">
        <f>SUM(AE1471,AG1471,AI1471)*rate_forex_risk</f>
        <v/>
      </c>
      <c r="AI1471" s="193">
        <f>IF(OR(seller_region="TR",offer_sale_type="экспорт"),0,rate_fin_comm)*SUM(AZ1471,AZ1471*AW1471,T1471)</f>
        <v/>
      </c>
      <c r="AJ1471" s="118">
        <f>IFERROR(ROUND(SUM(AB1471,AF1471:AI1471)/E1471,2),0)</f>
        <v/>
      </c>
      <c r="AK1471" s="76">
        <f>AJ1471*E1471</f>
        <v/>
      </c>
      <c r="AL1471" s="174">
        <f>ROUND(IFERROR(AM1471*E1471,0),2)</f>
        <v/>
      </c>
      <c r="AM1471" s="175">
        <f>ROUND(AJ1471*(1+IF(offer_incoterms="DDP",IF((TODAY()+offer_turnaround_time)&gt;=helpsheet!$L$17,rate_vatRU_from_26,rate_vatRu_till_25),0)),2)</f>
        <v/>
      </c>
      <c r="AN1471" s="192">
        <f>AL1471-AK1471</f>
        <v/>
      </c>
      <c r="AO1471" s="76">
        <f>SUM(AY1471,Y1471:Z1471,T1471)*IF(AND(offer_incoterms="DDP",offer_sale_type&lt;&gt;"экспорт"),IF((TODAY()+offer_turnaround_time)&gt;=helpsheet!$L$17,rate_vatRU_from_26,rate_vatRu_till_25),0)</f>
        <v/>
      </c>
      <c r="AP1471" s="193">
        <f>AN1471-AO1471</f>
        <v/>
      </c>
      <c r="AQ1471" s="118">
        <f>IF(offer_sale_type="транзит",SUM(AF1471:AI1471,BA1471,BB1471),0)</f>
        <v/>
      </c>
      <c r="AR1471" s="82">
        <f>HYPERLINK("https://www.alta.ru/tnved/code/")&amp;W1471&amp;"/"</f>
        <v/>
      </c>
      <c r="AS1471" s="157" t="n"/>
      <c r="AT1471" s="162" t="n"/>
      <c r="AU1471" s="76">
        <f>IF(ISBLANK(AT1471),0,AJ1471-AT1471)</f>
        <v/>
      </c>
      <c r="AV1471" s="157" t="n"/>
      <c r="AW1471" s="75">
        <f>_xlfn.IFNA(VLOOKUP(L1471,list_vat[],3,FALSE),0)</f>
        <v/>
      </c>
      <c r="AX1471" s="76">
        <f>IFERROR(ROUND(S1471*(1+AW1471)/E1471,2),0)</f>
        <v/>
      </c>
      <c r="AY1471" s="76">
        <f>E1471*AX1471</f>
        <v/>
      </c>
      <c r="AZ1471" s="192">
        <f>S1471*(1+M1471)</f>
        <v/>
      </c>
      <c r="BA1471" s="76">
        <f>cost_fin_total*$BD1471</f>
        <v/>
      </c>
      <c r="BB1471" s="193">
        <f>credit_sales_interest*BD1471</f>
        <v/>
      </c>
      <c r="BC1471" s="102">
        <f>IFERROR(IF($I$13&gt;0,$I1471/$I$13,$S1471/$S$13),0)</f>
        <v/>
      </c>
      <c r="BD1471" s="102">
        <f>IFERROR($S1471/$S$13,0)</f>
        <v/>
      </c>
      <c r="BE1471" s="413" t="inlineStr">
        <is>
          <t>$</t>
        </is>
      </c>
    </row>
    <row r="1472" ht="12" customFormat="1" customHeight="1" s="65">
      <c r="A1472" s="43" t="n">
        <v>1457</v>
      </c>
      <c r="B1472" s="166" t="n"/>
      <c r="C1472" s="166" t="n"/>
      <c r="D1472" s="166" t="n"/>
      <c r="E1472" s="162" t="n"/>
      <c r="F1472" s="166" t="n"/>
      <c r="G1472" s="162" t="n"/>
      <c r="H1472" s="162" t="n"/>
      <c r="I1472" s="189">
        <f>E1472*G1472</f>
        <v/>
      </c>
      <c r="J1472" s="195" t="n"/>
      <c r="K1472" s="162" t="n"/>
      <c r="L1472" s="168" t="n"/>
      <c r="M1472" s="75">
        <f>_xlfn.XLOOKUP(L1472,list_vat[Страна],list_vat[Ставка НДС %],0,0)</f>
        <v/>
      </c>
      <c r="N1472" s="162">
        <f>IFERROR(IF(L1472="Китай",K1472,K1472/(1+M1472)),0)</f>
        <v/>
      </c>
      <c r="O1472" s="169" t="n"/>
      <c r="P1472" s="76">
        <f>N1472*(1-O1472)</f>
        <v/>
      </c>
      <c r="Q1472" s="162" t="n"/>
      <c r="R1472" s="162">
        <f>IF(ISBLANK(Q1472),"введи курс",P1472/Q1472)</f>
        <v/>
      </c>
      <c r="S1472" s="196">
        <f>IF(AND(ISNUMBER(E1472),ISNUMBER(Q1472)),E1472*R1472,0)</f>
        <v/>
      </c>
      <c r="T1472" s="192">
        <f>$BC1472*V$11</f>
        <v/>
      </c>
      <c r="U1472" s="76">
        <f>$BC1472*W$11</f>
        <v/>
      </c>
      <c r="V1472" s="193">
        <f>+SUM(T1472:U1472)</f>
        <v/>
      </c>
      <c r="W1472" s="191" t="n"/>
      <c r="X1472" s="170" t="n"/>
      <c r="Y1472" s="76">
        <f>ROUND(IF(offer_incoterms="DDP",X1472*(S1472*(1+AW1472)+T1472),0),2)</f>
        <v/>
      </c>
      <c r="Z1472" s="188" t="n"/>
      <c r="AA1472" s="192">
        <f>IFERROR(AB1472/E1472,0)</f>
        <v/>
      </c>
      <c r="AB1472" s="76">
        <f>ROUND(SUM(S1472,V1472,Y1472:Z1472,BA1472:BB1472),2)</f>
        <v/>
      </c>
      <c r="AC1472" s="797" t="n"/>
      <c r="AD1472" s="192">
        <f t="array" ref="AD1472">IFERROR(ROUND((_xlfn.IFS(offer_sale_type="поставка",AB1472,offer_sale_type="транзит",S1472)*(1+AC1472))/E1472,2),0)</f>
        <v/>
      </c>
      <c r="AE1472" s="76">
        <f>AD1472*E1472</f>
        <v/>
      </c>
      <c r="AF1472" s="193">
        <f t="array" ref="AF1472">IFERROR(ROUND(_xlfn.IFS(offer_sale_type="поставка",AB1472,offer_sale_type="транзит",S1472)*AC1472,2),0)</f>
        <v/>
      </c>
      <c r="AG1472" s="192">
        <f>$BD1472*VLOOKUP($AG$3,$AF$4:$AG$7,2,FALSE)</f>
        <v/>
      </c>
      <c r="AH1472" s="76">
        <f>SUM(AE1472,AG1472,AI1472)*rate_forex_risk</f>
        <v/>
      </c>
      <c r="AI1472" s="193">
        <f>IF(OR(seller_region="TR",offer_sale_type="экспорт"),0,rate_fin_comm)*SUM(AZ1472,AZ1472*AW1472,T1472)</f>
        <v/>
      </c>
      <c r="AJ1472" s="118">
        <f>IFERROR(ROUND(SUM(AB1472,AF1472:AI1472)/E1472,2),0)</f>
        <v/>
      </c>
      <c r="AK1472" s="76">
        <f>AJ1472*E1472</f>
        <v/>
      </c>
      <c r="AL1472" s="174">
        <f>ROUND(IFERROR(AM1472*E1472,0),2)</f>
        <v/>
      </c>
      <c r="AM1472" s="175">
        <f>ROUND(AJ1472*(1+IF(offer_incoterms="DDP",IF((TODAY()+offer_turnaround_time)&gt;=helpsheet!$L$17,rate_vatRU_from_26,rate_vatRu_till_25),0)),2)</f>
        <v/>
      </c>
      <c r="AN1472" s="192">
        <f>AL1472-AK1472</f>
        <v/>
      </c>
      <c r="AO1472" s="76">
        <f>SUM(AY1472,Y1472:Z1472,T1472)*IF(AND(offer_incoterms="DDP",offer_sale_type&lt;&gt;"экспорт"),IF((TODAY()+offer_turnaround_time)&gt;=helpsheet!$L$17,rate_vatRU_from_26,rate_vatRu_till_25),0)</f>
        <v/>
      </c>
      <c r="AP1472" s="193">
        <f>AN1472-AO1472</f>
        <v/>
      </c>
      <c r="AQ1472" s="118">
        <f>IF(offer_sale_type="транзит",SUM(AF1472:AI1472,BA1472,BB1472),0)</f>
        <v/>
      </c>
      <c r="AR1472" s="82">
        <f>HYPERLINK("https://www.alta.ru/tnved/code/")&amp;W1472&amp;"/"</f>
        <v/>
      </c>
      <c r="AS1472" s="157" t="n"/>
      <c r="AT1472" s="162" t="n"/>
      <c r="AU1472" s="76">
        <f>IF(ISBLANK(AT1472),0,AJ1472-AT1472)</f>
        <v/>
      </c>
      <c r="AV1472" s="157" t="n"/>
      <c r="AW1472" s="75">
        <f>_xlfn.IFNA(VLOOKUP(L1472,list_vat[],3,FALSE),0)</f>
        <v/>
      </c>
      <c r="AX1472" s="76">
        <f>IFERROR(ROUND(S1472*(1+AW1472)/E1472,2),0)</f>
        <v/>
      </c>
      <c r="AY1472" s="76">
        <f>E1472*AX1472</f>
        <v/>
      </c>
      <c r="AZ1472" s="192">
        <f>S1472*(1+M1472)</f>
        <v/>
      </c>
      <c r="BA1472" s="76">
        <f>cost_fin_total*$BD1472</f>
        <v/>
      </c>
      <c r="BB1472" s="193">
        <f>credit_sales_interest*BD1472</f>
        <v/>
      </c>
      <c r="BC1472" s="102">
        <f>IFERROR(IF($I$13&gt;0,$I1472/$I$13,$S1472/$S$13),0)</f>
        <v/>
      </c>
      <c r="BD1472" s="102">
        <f>IFERROR($S1472/$S$13,0)</f>
        <v/>
      </c>
      <c r="BE1472" s="413" t="inlineStr">
        <is>
          <t>$</t>
        </is>
      </c>
    </row>
    <row r="1473" ht="12" customFormat="1" customHeight="1" s="65">
      <c r="A1473" s="43" t="n">
        <v>1458</v>
      </c>
      <c r="B1473" s="166" t="n"/>
      <c r="C1473" s="166" t="n"/>
      <c r="D1473" s="166" t="n"/>
      <c r="E1473" s="162" t="n"/>
      <c r="F1473" s="166" t="n"/>
      <c r="G1473" s="162" t="n"/>
      <c r="H1473" s="162" t="n"/>
      <c r="I1473" s="189">
        <f>E1473*G1473</f>
        <v/>
      </c>
      <c r="J1473" s="195" t="n"/>
      <c r="K1473" s="162" t="n"/>
      <c r="L1473" s="168" t="n"/>
      <c r="M1473" s="75">
        <f>_xlfn.XLOOKUP(L1473,list_vat[Страна],list_vat[Ставка НДС %],0,0)</f>
        <v/>
      </c>
      <c r="N1473" s="162">
        <f>IFERROR(IF(L1473="Китай",K1473,K1473/(1+M1473)),0)</f>
        <v/>
      </c>
      <c r="O1473" s="169" t="n"/>
      <c r="P1473" s="76">
        <f>N1473*(1-O1473)</f>
        <v/>
      </c>
      <c r="Q1473" s="162" t="n"/>
      <c r="R1473" s="162">
        <f>IF(ISBLANK(Q1473),"введи курс",P1473/Q1473)</f>
        <v/>
      </c>
      <c r="S1473" s="196">
        <f>IF(AND(ISNUMBER(E1473),ISNUMBER(Q1473)),E1473*R1473,0)</f>
        <v/>
      </c>
      <c r="T1473" s="192">
        <f>$BC1473*V$11</f>
        <v/>
      </c>
      <c r="U1473" s="76">
        <f>$BC1473*W$11</f>
        <v/>
      </c>
      <c r="V1473" s="193">
        <f>+SUM(T1473:U1473)</f>
        <v/>
      </c>
      <c r="W1473" s="191" t="n"/>
      <c r="X1473" s="170" t="n"/>
      <c r="Y1473" s="76">
        <f>ROUND(IF(offer_incoterms="DDP",X1473*(S1473*(1+AW1473)+T1473),0),2)</f>
        <v/>
      </c>
      <c r="Z1473" s="188" t="n"/>
      <c r="AA1473" s="192">
        <f>IFERROR(AB1473/E1473,0)</f>
        <v/>
      </c>
      <c r="AB1473" s="76">
        <f>ROUND(SUM(S1473,V1473,Y1473:Z1473,BA1473:BB1473),2)</f>
        <v/>
      </c>
      <c r="AC1473" s="797" t="n"/>
      <c r="AD1473" s="192">
        <f t="array" ref="AD1473">IFERROR(ROUND((_xlfn.IFS(offer_sale_type="поставка",AB1473,offer_sale_type="транзит",S1473)*(1+AC1473))/E1473,2),0)</f>
        <v/>
      </c>
      <c r="AE1473" s="76">
        <f>AD1473*E1473</f>
        <v/>
      </c>
      <c r="AF1473" s="193">
        <f t="array" ref="AF1473">IFERROR(ROUND(_xlfn.IFS(offer_sale_type="поставка",AB1473,offer_sale_type="транзит",S1473)*AC1473,2),0)</f>
        <v/>
      </c>
      <c r="AG1473" s="192">
        <f>$BD1473*VLOOKUP($AG$3,$AF$4:$AG$7,2,FALSE)</f>
        <v/>
      </c>
      <c r="AH1473" s="76">
        <f>SUM(AE1473,AG1473,AI1473)*rate_forex_risk</f>
        <v/>
      </c>
      <c r="AI1473" s="193">
        <f>IF(OR(seller_region="TR",offer_sale_type="экспорт"),0,rate_fin_comm)*SUM(AZ1473,AZ1473*AW1473,T1473)</f>
        <v/>
      </c>
      <c r="AJ1473" s="118">
        <f>IFERROR(ROUND(SUM(AB1473,AF1473:AI1473)/E1473,2),0)</f>
        <v/>
      </c>
      <c r="AK1473" s="76">
        <f>AJ1473*E1473</f>
        <v/>
      </c>
      <c r="AL1473" s="174">
        <f>ROUND(IFERROR(AM1473*E1473,0),2)</f>
        <v/>
      </c>
      <c r="AM1473" s="175">
        <f>ROUND(AJ1473*(1+IF(offer_incoterms="DDP",IF((TODAY()+offer_turnaround_time)&gt;=helpsheet!$L$17,rate_vatRU_from_26,rate_vatRu_till_25),0)),2)</f>
        <v/>
      </c>
      <c r="AN1473" s="192">
        <f>AL1473-AK1473</f>
        <v/>
      </c>
      <c r="AO1473" s="76">
        <f>SUM(AY1473,Y1473:Z1473,T1473)*IF(AND(offer_incoterms="DDP",offer_sale_type&lt;&gt;"экспорт"),IF((TODAY()+offer_turnaround_time)&gt;=helpsheet!$L$17,rate_vatRU_from_26,rate_vatRu_till_25),0)</f>
        <v/>
      </c>
      <c r="AP1473" s="193">
        <f>AN1473-AO1473</f>
        <v/>
      </c>
      <c r="AQ1473" s="118">
        <f>IF(offer_sale_type="транзит",SUM(AF1473:AI1473,BA1473,BB1473),0)</f>
        <v/>
      </c>
      <c r="AR1473" s="82">
        <f>HYPERLINK("https://www.alta.ru/tnved/code/")&amp;W1473&amp;"/"</f>
        <v/>
      </c>
      <c r="AS1473" s="157" t="n"/>
      <c r="AT1473" s="162" t="n"/>
      <c r="AU1473" s="76">
        <f>IF(ISBLANK(AT1473),0,AJ1473-AT1473)</f>
        <v/>
      </c>
      <c r="AV1473" s="157" t="n"/>
      <c r="AW1473" s="75">
        <f>_xlfn.IFNA(VLOOKUP(L1473,list_vat[],3,FALSE),0)</f>
        <v/>
      </c>
      <c r="AX1473" s="76">
        <f>IFERROR(ROUND(S1473*(1+AW1473)/E1473,2),0)</f>
        <v/>
      </c>
      <c r="AY1473" s="76">
        <f>E1473*AX1473</f>
        <v/>
      </c>
      <c r="AZ1473" s="192">
        <f>S1473*(1+M1473)</f>
        <v/>
      </c>
      <c r="BA1473" s="76">
        <f>cost_fin_total*$BD1473</f>
        <v/>
      </c>
      <c r="BB1473" s="193">
        <f>credit_sales_interest*BD1473</f>
        <v/>
      </c>
      <c r="BC1473" s="102">
        <f>IFERROR(IF($I$13&gt;0,$I1473/$I$13,$S1473/$S$13),0)</f>
        <v/>
      </c>
      <c r="BD1473" s="102">
        <f>IFERROR($S1473/$S$13,0)</f>
        <v/>
      </c>
      <c r="BE1473" s="413" t="inlineStr">
        <is>
          <t>$</t>
        </is>
      </c>
    </row>
    <row r="1474" ht="12" customFormat="1" customHeight="1" s="65">
      <c r="A1474" s="43" t="n">
        <v>1459</v>
      </c>
      <c r="B1474" s="166" t="n"/>
      <c r="C1474" s="166" t="n"/>
      <c r="D1474" s="166" t="n"/>
      <c r="E1474" s="162" t="n"/>
      <c r="F1474" s="166" t="n"/>
      <c r="G1474" s="162" t="n"/>
      <c r="H1474" s="162" t="n"/>
      <c r="I1474" s="189">
        <f>E1474*G1474</f>
        <v/>
      </c>
      <c r="J1474" s="195" t="n"/>
      <c r="K1474" s="162" t="n"/>
      <c r="L1474" s="168" t="n"/>
      <c r="M1474" s="75">
        <f>_xlfn.XLOOKUP(L1474,list_vat[Страна],list_vat[Ставка НДС %],0,0)</f>
        <v/>
      </c>
      <c r="N1474" s="162">
        <f>IFERROR(IF(L1474="Китай",K1474,K1474/(1+M1474)),0)</f>
        <v/>
      </c>
      <c r="O1474" s="169" t="n"/>
      <c r="P1474" s="76">
        <f>N1474*(1-O1474)</f>
        <v/>
      </c>
      <c r="Q1474" s="162" t="n"/>
      <c r="R1474" s="162">
        <f>IF(ISBLANK(Q1474),"введи курс",P1474/Q1474)</f>
        <v/>
      </c>
      <c r="S1474" s="196">
        <f>IF(AND(ISNUMBER(E1474),ISNUMBER(Q1474)),E1474*R1474,0)</f>
        <v/>
      </c>
      <c r="T1474" s="192">
        <f>$BC1474*V$11</f>
        <v/>
      </c>
      <c r="U1474" s="76">
        <f>$BC1474*W$11</f>
        <v/>
      </c>
      <c r="V1474" s="193">
        <f>+SUM(T1474:U1474)</f>
        <v/>
      </c>
      <c r="W1474" s="191" t="n"/>
      <c r="X1474" s="170" t="n"/>
      <c r="Y1474" s="76">
        <f>ROUND(IF(offer_incoterms="DDP",X1474*(S1474*(1+AW1474)+T1474),0),2)</f>
        <v/>
      </c>
      <c r="Z1474" s="188" t="n"/>
      <c r="AA1474" s="192">
        <f>IFERROR(AB1474/E1474,0)</f>
        <v/>
      </c>
      <c r="AB1474" s="76">
        <f>ROUND(SUM(S1474,V1474,Y1474:Z1474,BA1474:BB1474),2)</f>
        <v/>
      </c>
      <c r="AC1474" s="797" t="n"/>
      <c r="AD1474" s="192">
        <f t="array" ref="AD1474">IFERROR(ROUND((_xlfn.IFS(offer_sale_type="поставка",AB1474,offer_sale_type="транзит",S1474)*(1+AC1474))/E1474,2),0)</f>
        <v/>
      </c>
      <c r="AE1474" s="76">
        <f>AD1474*E1474</f>
        <v/>
      </c>
      <c r="AF1474" s="193">
        <f t="array" ref="AF1474">IFERROR(ROUND(_xlfn.IFS(offer_sale_type="поставка",AB1474,offer_sale_type="транзит",S1474)*AC1474,2),0)</f>
        <v/>
      </c>
      <c r="AG1474" s="192">
        <f>$BD1474*VLOOKUP($AG$3,$AF$4:$AG$7,2,FALSE)</f>
        <v/>
      </c>
      <c r="AH1474" s="76">
        <f>SUM(AE1474,AG1474,AI1474)*rate_forex_risk</f>
        <v/>
      </c>
      <c r="AI1474" s="193">
        <f>IF(OR(seller_region="TR",offer_sale_type="экспорт"),0,rate_fin_comm)*SUM(AZ1474,AZ1474*AW1474,T1474)</f>
        <v/>
      </c>
      <c r="AJ1474" s="118">
        <f>IFERROR(ROUND(SUM(AB1474,AF1474:AI1474)/E1474,2),0)</f>
        <v/>
      </c>
      <c r="AK1474" s="76">
        <f>AJ1474*E1474</f>
        <v/>
      </c>
      <c r="AL1474" s="174">
        <f>ROUND(IFERROR(AM1474*E1474,0),2)</f>
        <v/>
      </c>
      <c r="AM1474" s="175">
        <f>ROUND(AJ1474*(1+IF(offer_incoterms="DDP",IF((TODAY()+offer_turnaround_time)&gt;=helpsheet!$L$17,rate_vatRU_from_26,rate_vatRu_till_25),0)),2)</f>
        <v/>
      </c>
      <c r="AN1474" s="192">
        <f>AL1474-AK1474</f>
        <v/>
      </c>
      <c r="AO1474" s="76">
        <f>SUM(AY1474,Y1474:Z1474,T1474)*IF(AND(offer_incoterms="DDP",offer_sale_type&lt;&gt;"экспорт"),IF((TODAY()+offer_turnaround_time)&gt;=helpsheet!$L$17,rate_vatRU_from_26,rate_vatRu_till_25),0)</f>
        <v/>
      </c>
      <c r="AP1474" s="193">
        <f>AN1474-AO1474</f>
        <v/>
      </c>
      <c r="AQ1474" s="118">
        <f>IF(offer_sale_type="транзит",SUM(AF1474:AI1474,BA1474,BB1474),0)</f>
        <v/>
      </c>
      <c r="AR1474" s="82">
        <f>HYPERLINK("https://www.alta.ru/tnved/code/")&amp;W1474&amp;"/"</f>
        <v/>
      </c>
      <c r="AS1474" s="157" t="n"/>
      <c r="AT1474" s="162" t="n"/>
      <c r="AU1474" s="76">
        <f>IF(ISBLANK(AT1474),0,AJ1474-AT1474)</f>
        <v/>
      </c>
      <c r="AV1474" s="157" t="n"/>
      <c r="AW1474" s="75">
        <f>_xlfn.IFNA(VLOOKUP(L1474,list_vat[],3,FALSE),0)</f>
        <v/>
      </c>
      <c r="AX1474" s="76">
        <f>IFERROR(ROUND(S1474*(1+AW1474)/E1474,2),0)</f>
        <v/>
      </c>
      <c r="AY1474" s="76">
        <f>E1474*AX1474</f>
        <v/>
      </c>
      <c r="AZ1474" s="192">
        <f>S1474*(1+M1474)</f>
        <v/>
      </c>
      <c r="BA1474" s="76">
        <f>cost_fin_total*$BD1474</f>
        <v/>
      </c>
      <c r="BB1474" s="193">
        <f>credit_sales_interest*BD1474</f>
        <v/>
      </c>
      <c r="BC1474" s="102">
        <f>IFERROR(IF($I$13&gt;0,$I1474/$I$13,$S1474/$S$13),0)</f>
        <v/>
      </c>
      <c r="BD1474" s="102">
        <f>IFERROR($S1474/$S$13,0)</f>
        <v/>
      </c>
      <c r="BE1474" s="413" t="inlineStr">
        <is>
          <t>$</t>
        </is>
      </c>
    </row>
    <row r="1475" ht="12" customFormat="1" customHeight="1" s="65">
      <c r="A1475" s="43" t="n">
        <v>1460</v>
      </c>
      <c r="B1475" s="166" t="n"/>
      <c r="C1475" s="166" t="n"/>
      <c r="D1475" s="166" t="n"/>
      <c r="E1475" s="162" t="n"/>
      <c r="F1475" s="166" t="n"/>
      <c r="G1475" s="162" t="n"/>
      <c r="H1475" s="162" t="n"/>
      <c r="I1475" s="189">
        <f>E1475*G1475</f>
        <v/>
      </c>
      <c r="J1475" s="195" t="n"/>
      <c r="K1475" s="162" t="n"/>
      <c r="L1475" s="168" t="n"/>
      <c r="M1475" s="75">
        <f>_xlfn.XLOOKUP(L1475,list_vat[Страна],list_vat[Ставка НДС %],0,0)</f>
        <v/>
      </c>
      <c r="N1475" s="162">
        <f>IFERROR(IF(L1475="Китай",K1475,K1475/(1+M1475)),0)</f>
        <v/>
      </c>
      <c r="O1475" s="169" t="n"/>
      <c r="P1475" s="76">
        <f>N1475*(1-O1475)</f>
        <v/>
      </c>
      <c r="Q1475" s="162" t="n"/>
      <c r="R1475" s="162">
        <f>IF(ISBLANK(Q1475),"введи курс",P1475/Q1475)</f>
        <v/>
      </c>
      <c r="S1475" s="196">
        <f>IF(AND(ISNUMBER(E1475),ISNUMBER(Q1475)),E1475*R1475,0)</f>
        <v/>
      </c>
      <c r="T1475" s="192">
        <f>$BC1475*V$11</f>
        <v/>
      </c>
      <c r="U1475" s="76">
        <f>$BC1475*W$11</f>
        <v/>
      </c>
      <c r="V1475" s="193">
        <f>+SUM(T1475:U1475)</f>
        <v/>
      </c>
      <c r="W1475" s="191" t="n"/>
      <c r="X1475" s="170" t="n"/>
      <c r="Y1475" s="76">
        <f>ROUND(IF(offer_incoterms="DDP",X1475*(S1475*(1+AW1475)+T1475),0),2)</f>
        <v/>
      </c>
      <c r="Z1475" s="188" t="n"/>
      <c r="AA1475" s="192">
        <f>IFERROR(AB1475/E1475,0)</f>
        <v/>
      </c>
      <c r="AB1475" s="76">
        <f>ROUND(SUM(S1475,V1475,Y1475:Z1475,BA1475:BB1475),2)</f>
        <v/>
      </c>
      <c r="AC1475" s="797" t="n"/>
      <c r="AD1475" s="192">
        <f t="array" ref="AD1475">IFERROR(ROUND((_xlfn.IFS(offer_sale_type="поставка",AB1475,offer_sale_type="транзит",S1475)*(1+AC1475))/E1475,2),0)</f>
        <v/>
      </c>
      <c r="AE1475" s="76">
        <f>AD1475*E1475</f>
        <v/>
      </c>
      <c r="AF1475" s="193">
        <f t="array" ref="AF1475">IFERROR(ROUND(_xlfn.IFS(offer_sale_type="поставка",AB1475,offer_sale_type="транзит",S1475)*AC1475,2),0)</f>
        <v/>
      </c>
      <c r="AG1475" s="192">
        <f>$BD1475*VLOOKUP($AG$3,$AF$4:$AG$7,2,FALSE)</f>
        <v/>
      </c>
      <c r="AH1475" s="76">
        <f>SUM(AE1475,AG1475,AI1475)*rate_forex_risk</f>
        <v/>
      </c>
      <c r="AI1475" s="193">
        <f>IF(OR(seller_region="TR",offer_sale_type="экспорт"),0,rate_fin_comm)*SUM(AZ1475,AZ1475*AW1475,T1475)</f>
        <v/>
      </c>
      <c r="AJ1475" s="118">
        <f>IFERROR(ROUND(SUM(AB1475,AF1475:AI1475)/E1475,2),0)</f>
        <v/>
      </c>
      <c r="AK1475" s="76">
        <f>AJ1475*E1475</f>
        <v/>
      </c>
      <c r="AL1475" s="174">
        <f>ROUND(IFERROR(AM1475*E1475,0),2)</f>
        <v/>
      </c>
      <c r="AM1475" s="175">
        <f>ROUND(AJ1475*(1+IF(offer_incoterms="DDP",IF((TODAY()+offer_turnaround_time)&gt;=helpsheet!$L$17,rate_vatRU_from_26,rate_vatRu_till_25),0)),2)</f>
        <v/>
      </c>
      <c r="AN1475" s="192">
        <f>AL1475-AK1475</f>
        <v/>
      </c>
      <c r="AO1475" s="76">
        <f>SUM(AY1475,Y1475:Z1475,T1475)*IF(AND(offer_incoterms="DDP",offer_sale_type&lt;&gt;"экспорт"),IF((TODAY()+offer_turnaround_time)&gt;=helpsheet!$L$17,rate_vatRU_from_26,rate_vatRu_till_25),0)</f>
        <v/>
      </c>
      <c r="AP1475" s="193">
        <f>AN1475-AO1475</f>
        <v/>
      </c>
      <c r="AQ1475" s="118">
        <f>IF(offer_sale_type="транзит",SUM(AF1475:AI1475,BA1475,BB1475),0)</f>
        <v/>
      </c>
      <c r="AR1475" s="82">
        <f>HYPERLINK("https://www.alta.ru/tnved/code/")&amp;W1475&amp;"/"</f>
        <v/>
      </c>
      <c r="AS1475" s="157" t="n"/>
      <c r="AT1475" s="162" t="n"/>
      <c r="AU1475" s="76">
        <f>IF(ISBLANK(AT1475),0,AJ1475-AT1475)</f>
        <v/>
      </c>
      <c r="AV1475" s="157" t="n"/>
      <c r="AW1475" s="75">
        <f>_xlfn.IFNA(VLOOKUP(L1475,list_vat[],3,FALSE),0)</f>
        <v/>
      </c>
      <c r="AX1475" s="76">
        <f>IFERROR(ROUND(S1475*(1+AW1475)/E1475,2),0)</f>
        <v/>
      </c>
      <c r="AY1475" s="76">
        <f>E1475*AX1475</f>
        <v/>
      </c>
      <c r="AZ1475" s="192">
        <f>S1475*(1+M1475)</f>
        <v/>
      </c>
      <c r="BA1475" s="76">
        <f>cost_fin_total*$BD1475</f>
        <v/>
      </c>
      <c r="BB1475" s="193">
        <f>credit_sales_interest*BD1475</f>
        <v/>
      </c>
      <c r="BC1475" s="102">
        <f>IFERROR(IF($I$13&gt;0,$I1475/$I$13,$S1475/$S$13),0)</f>
        <v/>
      </c>
      <c r="BD1475" s="102">
        <f>IFERROR($S1475/$S$13,0)</f>
        <v/>
      </c>
      <c r="BE1475" s="413" t="inlineStr">
        <is>
          <t>$</t>
        </is>
      </c>
    </row>
    <row r="1476" ht="12" customFormat="1" customHeight="1" s="65">
      <c r="A1476" s="43" t="n">
        <v>1461</v>
      </c>
      <c r="B1476" s="166" t="n"/>
      <c r="C1476" s="166" t="n"/>
      <c r="D1476" s="166" t="n"/>
      <c r="E1476" s="162" t="n"/>
      <c r="F1476" s="166" t="n"/>
      <c r="G1476" s="162" t="n"/>
      <c r="H1476" s="162" t="n"/>
      <c r="I1476" s="189">
        <f>E1476*G1476</f>
        <v/>
      </c>
      <c r="J1476" s="195" t="n"/>
      <c r="K1476" s="162" t="n"/>
      <c r="L1476" s="168" t="n"/>
      <c r="M1476" s="75">
        <f>_xlfn.XLOOKUP(L1476,list_vat[Страна],list_vat[Ставка НДС %],0,0)</f>
        <v/>
      </c>
      <c r="N1476" s="162">
        <f>IFERROR(IF(L1476="Китай",K1476,K1476/(1+M1476)),0)</f>
        <v/>
      </c>
      <c r="O1476" s="169" t="n"/>
      <c r="P1476" s="76">
        <f>N1476*(1-O1476)</f>
        <v/>
      </c>
      <c r="Q1476" s="162" t="n"/>
      <c r="R1476" s="162">
        <f>IF(ISBLANK(Q1476),"введи курс",P1476/Q1476)</f>
        <v/>
      </c>
      <c r="S1476" s="196">
        <f>IF(AND(ISNUMBER(E1476),ISNUMBER(Q1476)),E1476*R1476,0)</f>
        <v/>
      </c>
      <c r="T1476" s="192">
        <f>$BC1476*V$11</f>
        <v/>
      </c>
      <c r="U1476" s="76">
        <f>$BC1476*W$11</f>
        <v/>
      </c>
      <c r="V1476" s="193">
        <f>+SUM(T1476:U1476)</f>
        <v/>
      </c>
      <c r="W1476" s="191" t="n"/>
      <c r="X1476" s="170" t="n"/>
      <c r="Y1476" s="76">
        <f>ROUND(IF(offer_incoterms="DDP",X1476*(S1476*(1+AW1476)+T1476),0),2)</f>
        <v/>
      </c>
      <c r="Z1476" s="188" t="n"/>
      <c r="AA1476" s="192">
        <f>IFERROR(AB1476/E1476,0)</f>
        <v/>
      </c>
      <c r="AB1476" s="76">
        <f>ROUND(SUM(S1476,V1476,Y1476:Z1476,BA1476:BB1476),2)</f>
        <v/>
      </c>
      <c r="AC1476" s="797" t="n"/>
      <c r="AD1476" s="192">
        <f t="array" ref="AD1476">IFERROR(ROUND((_xlfn.IFS(offer_sale_type="поставка",AB1476,offer_sale_type="транзит",S1476)*(1+AC1476))/E1476,2),0)</f>
        <v/>
      </c>
      <c r="AE1476" s="76">
        <f>AD1476*E1476</f>
        <v/>
      </c>
      <c r="AF1476" s="193">
        <f t="array" ref="AF1476">IFERROR(ROUND(_xlfn.IFS(offer_sale_type="поставка",AB1476,offer_sale_type="транзит",S1476)*AC1476,2),0)</f>
        <v/>
      </c>
      <c r="AG1476" s="192">
        <f>$BD1476*VLOOKUP($AG$3,$AF$4:$AG$7,2,FALSE)</f>
        <v/>
      </c>
      <c r="AH1476" s="76">
        <f>SUM(AE1476,AG1476,AI1476)*rate_forex_risk</f>
        <v/>
      </c>
      <c r="AI1476" s="193">
        <f>IF(OR(seller_region="TR",offer_sale_type="экспорт"),0,rate_fin_comm)*SUM(AZ1476,AZ1476*AW1476,T1476)</f>
        <v/>
      </c>
      <c r="AJ1476" s="118">
        <f>IFERROR(ROUND(SUM(AB1476,AF1476:AI1476)/E1476,2),0)</f>
        <v/>
      </c>
      <c r="AK1476" s="76">
        <f>AJ1476*E1476</f>
        <v/>
      </c>
      <c r="AL1476" s="174">
        <f>ROUND(IFERROR(AM1476*E1476,0),2)</f>
        <v/>
      </c>
      <c r="AM1476" s="175">
        <f>ROUND(AJ1476*(1+IF(offer_incoterms="DDP",IF((TODAY()+offer_turnaround_time)&gt;=helpsheet!$L$17,rate_vatRU_from_26,rate_vatRu_till_25),0)),2)</f>
        <v/>
      </c>
      <c r="AN1476" s="192">
        <f>AL1476-AK1476</f>
        <v/>
      </c>
      <c r="AO1476" s="76">
        <f>SUM(AY1476,Y1476:Z1476,T1476)*IF(AND(offer_incoterms="DDP",offer_sale_type&lt;&gt;"экспорт"),IF((TODAY()+offer_turnaround_time)&gt;=helpsheet!$L$17,rate_vatRU_from_26,rate_vatRu_till_25),0)</f>
        <v/>
      </c>
      <c r="AP1476" s="193">
        <f>AN1476-AO1476</f>
        <v/>
      </c>
      <c r="AQ1476" s="118">
        <f>IF(offer_sale_type="транзит",SUM(AF1476:AI1476,BA1476,BB1476),0)</f>
        <v/>
      </c>
      <c r="AR1476" s="82">
        <f>HYPERLINK("https://www.alta.ru/tnved/code/")&amp;W1476&amp;"/"</f>
        <v/>
      </c>
      <c r="AS1476" s="157" t="n"/>
      <c r="AT1476" s="162" t="n"/>
      <c r="AU1476" s="76">
        <f>IF(ISBLANK(AT1476),0,AJ1476-AT1476)</f>
        <v/>
      </c>
      <c r="AV1476" s="157" t="n"/>
      <c r="AW1476" s="75">
        <f>_xlfn.IFNA(VLOOKUP(L1476,list_vat[],3,FALSE),0)</f>
        <v/>
      </c>
      <c r="AX1476" s="76">
        <f>IFERROR(ROUND(S1476*(1+AW1476)/E1476,2),0)</f>
        <v/>
      </c>
      <c r="AY1476" s="76">
        <f>E1476*AX1476</f>
        <v/>
      </c>
      <c r="AZ1476" s="192">
        <f>S1476*(1+M1476)</f>
        <v/>
      </c>
      <c r="BA1476" s="76">
        <f>cost_fin_total*$BD1476</f>
        <v/>
      </c>
      <c r="BB1476" s="193">
        <f>credit_sales_interest*BD1476</f>
        <v/>
      </c>
      <c r="BC1476" s="102">
        <f>IFERROR(IF($I$13&gt;0,$I1476/$I$13,$S1476/$S$13),0)</f>
        <v/>
      </c>
      <c r="BD1476" s="102">
        <f>IFERROR($S1476/$S$13,0)</f>
        <v/>
      </c>
      <c r="BE1476" s="413" t="inlineStr">
        <is>
          <t>$</t>
        </is>
      </c>
    </row>
    <row r="1477" ht="12" customFormat="1" customHeight="1" s="65">
      <c r="A1477" s="43" t="n">
        <v>1462</v>
      </c>
      <c r="B1477" s="166" t="n"/>
      <c r="C1477" s="166" t="n"/>
      <c r="D1477" s="166" t="n"/>
      <c r="E1477" s="162" t="n"/>
      <c r="F1477" s="166" t="n"/>
      <c r="G1477" s="162" t="n"/>
      <c r="H1477" s="162" t="n"/>
      <c r="I1477" s="189">
        <f>E1477*G1477</f>
        <v/>
      </c>
      <c r="J1477" s="195" t="n"/>
      <c r="K1477" s="162" t="n"/>
      <c r="L1477" s="168" t="n"/>
      <c r="M1477" s="75">
        <f>_xlfn.XLOOKUP(L1477,list_vat[Страна],list_vat[Ставка НДС %],0,0)</f>
        <v/>
      </c>
      <c r="N1477" s="162">
        <f>IFERROR(IF(L1477="Китай",K1477,K1477/(1+M1477)),0)</f>
        <v/>
      </c>
      <c r="O1477" s="169" t="n"/>
      <c r="P1477" s="76">
        <f>N1477*(1-O1477)</f>
        <v/>
      </c>
      <c r="Q1477" s="162" t="n"/>
      <c r="R1477" s="162">
        <f>IF(ISBLANK(Q1477),"введи курс",P1477/Q1477)</f>
        <v/>
      </c>
      <c r="S1477" s="196">
        <f>IF(AND(ISNUMBER(E1477),ISNUMBER(Q1477)),E1477*R1477,0)</f>
        <v/>
      </c>
      <c r="T1477" s="192">
        <f>$BC1477*V$11</f>
        <v/>
      </c>
      <c r="U1477" s="76">
        <f>$BC1477*W$11</f>
        <v/>
      </c>
      <c r="V1477" s="193">
        <f>+SUM(T1477:U1477)</f>
        <v/>
      </c>
      <c r="W1477" s="191" t="n"/>
      <c r="X1477" s="170" t="n"/>
      <c r="Y1477" s="76">
        <f>ROUND(IF(offer_incoterms="DDP",X1477*(S1477*(1+AW1477)+T1477),0),2)</f>
        <v/>
      </c>
      <c r="Z1477" s="188" t="n"/>
      <c r="AA1477" s="192">
        <f>IFERROR(AB1477/E1477,0)</f>
        <v/>
      </c>
      <c r="AB1477" s="76">
        <f>ROUND(SUM(S1477,V1477,Y1477:Z1477,BA1477:BB1477),2)</f>
        <v/>
      </c>
      <c r="AC1477" s="797" t="n"/>
      <c r="AD1477" s="192">
        <f t="array" ref="AD1477">IFERROR(ROUND((_xlfn.IFS(offer_sale_type="поставка",AB1477,offer_sale_type="транзит",S1477)*(1+AC1477))/E1477,2),0)</f>
        <v/>
      </c>
      <c r="AE1477" s="76">
        <f>AD1477*E1477</f>
        <v/>
      </c>
      <c r="AF1477" s="193">
        <f t="array" ref="AF1477">IFERROR(ROUND(_xlfn.IFS(offer_sale_type="поставка",AB1477,offer_sale_type="транзит",S1477)*AC1477,2),0)</f>
        <v/>
      </c>
      <c r="AG1477" s="192">
        <f>$BD1477*VLOOKUP($AG$3,$AF$4:$AG$7,2,FALSE)</f>
        <v/>
      </c>
      <c r="AH1477" s="76">
        <f>SUM(AE1477,AG1477,AI1477)*rate_forex_risk</f>
        <v/>
      </c>
      <c r="AI1477" s="193">
        <f>IF(OR(seller_region="TR",offer_sale_type="экспорт"),0,rate_fin_comm)*SUM(AZ1477,AZ1477*AW1477,T1477)</f>
        <v/>
      </c>
      <c r="AJ1477" s="118">
        <f>IFERROR(ROUND(SUM(AB1477,AF1477:AI1477)/E1477,2),0)</f>
        <v/>
      </c>
      <c r="AK1477" s="76">
        <f>AJ1477*E1477</f>
        <v/>
      </c>
      <c r="AL1477" s="174">
        <f>ROUND(IFERROR(AM1477*E1477,0),2)</f>
        <v/>
      </c>
      <c r="AM1477" s="175">
        <f>ROUND(AJ1477*(1+IF(offer_incoterms="DDP",IF((TODAY()+offer_turnaround_time)&gt;=helpsheet!$L$17,rate_vatRU_from_26,rate_vatRu_till_25),0)),2)</f>
        <v/>
      </c>
      <c r="AN1477" s="192">
        <f>AL1477-AK1477</f>
        <v/>
      </c>
      <c r="AO1477" s="76">
        <f>SUM(AY1477,Y1477:Z1477,T1477)*IF(AND(offer_incoterms="DDP",offer_sale_type&lt;&gt;"экспорт"),IF((TODAY()+offer_turnaround_time)&gt;=helpsheet!$L$17,rate_vatRU_from_26,rate_vatRu_till_25),0)</f>
        <v/>
      </c>
      <c r="AP1477" s="193">
        <f>AN1477-AO1477</f>
        <v/>
      </c>
      <c r="AQ1477" s="118">
        <f>IF(offer_sale_type="транзит",SUM(AF1477:AI1477,BA1477,BB1477),0)</f>
        <v/>
      </c>
      <c r="AR1477" s="82">
        <f>HYPERLINK("https://www.alta.ru/tnved/code/")&amp;W1477&amp;"/"</f>
        <v/>
      </c>
      <c r="AS1477" s="157" t="n"/>
      <c r="AT1477" s="162" t="n"/>
      <c r="AU1477" s="76">
        <f>IF(ISBLANK(AT1477),0,AJ1477-AT1477)</f>
        <v/>
      </c>
      <c r="AV1477" s="157" t="n"/>
      <c r="AW1477" s="75">
        <f>_xlfn.IFNA(VLOOKUP(L1477,list_vat[],3,FALSE),0)</f>
        <v/>
      </c>
      <c r="AX1477" s="76">
        <f>IFERROR(ROUND(S1477*(1+AW1477)/E1477,2),0)</f>
        <v/>
      </c>
      <c r="AY1477" s="76">
        <f>E1477*AX1477</f>
        <v/>
      </c>
      <c r="AZ1477" s="192">
        <f>S1477*(1+M1477)</f>
        <v/>
      </c>
      <c r="BA1477" s="76">
        <f>cost_fin_total*$BD1477</f>
        <v/>
      </c>
      <c r="BB1477" s="193">
        <f>credit_sales_interest*BD1477</f>
        <v/>
      </c>
      <c r="BC1477" s="102">
        <f>IFERROR(IF($I$13&gt;0,$I1477/$I$13,$S1477/$S$13),0)</f>
        <v/>
      </c>
      <c r="BD1477" s="102">
        <f>IFERROR($S1477/$S$13,0)</f>
        <v/>
      </c>
      <c r="BE1477" s="413" t="inlineStr">
        <is>
          <t>$</t>
        </is>
      </c>
    </row>
    <row r="1478" ht="12" customFormat="1" customHeight="1" s="65">
      <c r="A1478" s="43" t="n">
        <v>1463</v>
      </c>
      <c r="B1478" s="166" t="n"/>
      <c r="C1478" s="166" t="n"/>
      <c r="D1478" s="166" t="n"/>
      <c r="E1478" s="162" t="n"/>
      <c r="F1478" s="166" t="n"/>
      <c r="G1478" s="162" t="n"/>
      <c r="H1478" s="162" t="n"/>
      <c r="I1478" s="189">
        <f>E1478*G1478</f>
        <v/>
      </c>
      <c r="J1478" s="195" t="n"/>
      <c r="K1478" s="162" t="n"/>
      <c r="L1478" s="168" t="n"/>
      <c r="M1478" s="75">
        <f>_xlfn.XLOOKUP(L1478,list_vat[Страна],list_vat[Ставка НДС %],0,0)</f>
        <v/>
      </c>
      <c r="N1478" s="162">
        <f>IFERROR(IF(L1478="Китай",K1478,K1478/(1+M1478)),0)</f>
        <v/>
      </c>
      <c r="O1478" s="169" t="n"/>
      <c r="P1478" s="76">
        <f>N1478*(1-O1478)</f>
        <v/>
      </c>
      <c r="Q1478" s="162" t="n"/>
      <c r="R1478" s="162">
        <f>IF(ISBLANK(Q1478),"введи курс",P1478/Q1478)</f>
        <v/>
      </c>
      <c r="S1478" s="196">
        <f>IF(AND(ISNUMBER(E1478),ISNUMBER(Q1478)),E1478*R1478,0)</f>
        <v/>
      </c>
      <c r="T1478" s="192">
        <f>$BC1478*V$11</f>
        <v/>
      </c>
      <c r="U1478" s="76">
        <f>$BC1478*W$11</f>
        <v/>
      </c>
      <c r="V1478" s="193">
        <f>+SUM(T1478:U1478)</f>
        <v/>
      </c>
      <c r="W1478" s="191" t="n"/>
      <c r="X1478" s="170" t="n"/>
      <c r="Y1478" s="76">
        <f>ROUND(IF(offer_incoterms="DDP",X1478*(S1478*(1+AW1478)+T1478),0),2)</f>
        <v/>
      </c>
      <c r="Z1478" s="188" t="n"/>
      <c r="AA1478" s="192">
        <f>IFERROR(AB1478/E1478,0)</f>
        <v/>
      </c>
      <c r="AB1478" s="76">
        <f>ROUND(SUM(S1478,V1478,Y1478:Z1478,BA1478:BB1478),2)</f>
        <v/>
      </c>
      <c r="AC1478" s="797" t="n"/>
      <c r="AD1478" s="192">
        <f t="array" ref="AD1478">IFERROR(ROUND((_xlfn.IFS(offer_sale_type="поставка",AB1478,offer_sale_type="транзит",S1478)*(1+AC1478))/E1478,2),0)</f>
        <v/>
      </c>
      <c r="AE1478" s="76">
        <f>AD1478*E1478</f>
        <v/>
      </c>
      <c r="AF1478" s="193">
        <f t="array" ref="AF1478">IFERROR(ROUND(_xlfn.IFS(offer_sale_type="поставка",AB1478,offer_sale_type="транзит",S1478)*AC1478,2),0)</f>
        <v/>
      </c>
      <c r="AG1478" s="192">
        <f>$BD1478*VLOOKUP($AG$3,$AF$4:$AG$7,2,FALSE)</f>
        <v/>
      </c>
      <c r="AH1478" s="76">
        <f>SUM(AE1478,AG1478,AI1478)*rate_forex_risk</f>
        <v/>
      </c>
      <c r="AI1478" s="193">
        <f>IF(OR(seller_region="TR",offer_sale_type="экспорт"),0,rate_fin_comm)*SUM(AZ1478,AZ1478*AW1478,T1478)</f>
        <v/>
      </c>
      <c r="AJ1478" s="118">
        <f>IFERROR(ROUND(SUM(AB1478,AF1478:AI1478)/E1478,2),0)</f>
        <v/>
      </c>
      <c r="AK1478" s="76">
        <f>AJ1478*E1478</f>
        <v/>
      </c>
      <c r="AL1478" s="174">
        <f>ROUND(IFERROR(AM1478*E1478,0),2)</f>
        <v/>
      </c>
      <c r="AM1478" s="175">
        <f>ROUND(AJ1478*(1+IF(offer_incoterms="DDP",IF((TODAY()+offer_turnaround_time)&gt;=helpsheet!$L$17,rate_vatRU_from_26,rate_vatRu_till_25),0)),2)</f>
        <v/>
      </c>
      <c r="AN1478" s="192">
        <f>AL1478-AK1478</f>
        <v/>
      </c>
      <c r="AO1478" s="76">
        <f>SUM(AY1478,Y1478:Z1478,T1478)*IF(AND(offer_incoterms="DDP",offer_sale_type&lt;&gt;"экспорт"),IF((TODAY()+offer_turnaround_time)&gt;=helpsheet!$L$17,rate_vatRU_from_26,rate_vatRu_till_25),0)</f>
        <v/>
      </c>
      <c r="AP1478" s="193">
        <f>AN1478-AO1478</f>
        <v/>
      </c>
      <c r="AQ1478" s="118">
        <f>IF(offer_sale_type="транзит",SUM(AF1478:AI1478,BA1478,BB1478),0)</f>
        <v/>
      </c>
      <c r="AR1478" s="82">
        <f>HYPERLINK("https://www.alta.ru/tnved/code/")&amp;W1478&amp;"/"</f>
        <v/>
      </c>
      <c r="AS1478" s="157" t="n"/>
      <c r="AT1478" s="162" t="n"/>
      <c r="AU1478" s="76">
        <f>IF(ISBLANK(AT1478),0,AJ1478-AT1478)</f>
        <v/>
      </c>
      <c r="AV1478" s="157" t="n"/>
      <c r="AW1478" s="75">
        <f>_xlfn.IFNA(VLOOKUP(L1478,list_vat[],3,FALSE),0)</f>
        <v/>
      </c>
      <c r="AX1478" s="76">
        <f>IFERROR(ROUND(S1478*(1+AW1478)/E1478,2),0)</f>
        <v/>
      </c>
      <c r="AY1478" s="76">
        <f>E1478*AX1478</f>
        <v/>
      </c>
      <c r="AZ1478" s="192">
        <f>S1478*(1+M1478)</f>
        <v/>
      </c>
      <c r="BA1478" s="76">
        <f>cost_fin_total*$BD1478</f>
        <v/>
      </c>
      <c r="BB1478" s="193">
        <f>credit_sales_interest*BD1478</f>
        <v/>
      </c>
      <c r="BC1478" s="102">
        <f>IFERROR(IF($I$13&gt;0,$I1478/$I$13,$S1478/$S$13),0)</f>
        <v/>
      </c>
      <c r="BD1478" s="102">
        <f>IFERROR($S1478/$S$13,0)</f>
        <v/>
      </c>
      <c r="BE1478" s="413" t="inlineStr">
        <is>
          <t>$</t>
        </is>
      </c>
    </row>
    <row r="1479" ht="12" customFormat="1" customHeight="1" s="65">
      <c r="A1479" s="43" t="n">
        <v>1464</v>
      </c>
      <c r="B1479" s="166" t="n"/>
      <c r="C1479" s="166" t="n"/>
      <c r="D1479" s="166" t="n"/>
      <c r="E1479" s="162" t="n"/>
      <c r="F1479" s="166" t="n"/>
      <c r="G1479" s="162" t="n"/>
      <c r="H1479" s="162" t="n"/>
      <c r="I1479" s="189">
        <f>E1479*G1479</f>
        <v/>
      </c>
      <c r="J1479" s="195" t="n"/>
      <c r="K1479" s="162" t="n"/>
      <c r="L1479" s="168" t="n"/>
      <c r="M1479" s="75">
        <f>_xlfn.XLOOKUP(L1479,list_vat[Страна],list_vat[Ставка НДС %],0,0)</f>
        <v/>
      </c>
      <c r="N1479" s="162">
        <f>IFERROR(IF(L1479="Китай",K1479,K1479/(1+M1479)),0)</f>
        <v/>
      </c>
      <c r="O1479" s="169" t="n"/>
      <c r="P1479" s="76">
        <f>N1479*(1-O1479)</f>
        <v/>
      </c>
      <c r="Q1479" s="162" t="n"/>
      <c r="R1479" s="162">
        <f>IF(ISBLANK(Q1479),"введи курс",P1479/Q1479)</f>
        <v/>
      </c>
      <c r="S1479" s="196">
        <f>IF(AND(ISNUMBER(E1479),ISNUMBER(Q1479)),E1479*R1479,0)</f>
        <v/>
      </c>
      <c r="T1479" s="192">
        <f>$BC1479*V$11</f>
        <v/>
      </c>
      <c r="U1479" s="76">
        <f>$BC1479*W$11</f>
        <v/>
      </c>
      <c r="V1479" s="193">
        <f>+SUM(T1479:U1479)</f>
        <v/>
      </c>
      <c r="W1479" s="191" t="n"/>
      <c r="X1479" s="170" t="n"/>
      <c r="Y1479" s="76">
        <f>ROUND(IF(offer_incoterms="DDP",X1479*(S1479*(1+AW1479)+T1479),0),2)</f>
        <v/>
      </c>
      <c r="Z1479" s="188" t="n"/>
      <c r="AA1479" s="192">
        <f>IFERROR(AB1479/E1479,0)</f>
        <v/>
      </c>
      <c r="AB1479" s="76">
        <f>ROUND(SUM(S1479,V1479,Y1479:Z1479,BA1479:BB1479),2)</f>
        <v/>
      </c>
      <c r="AC1479" s="797" t="n"/>
      <c r="AD1479" s="192">
        <f t="array" ref="AD1479">IFERROR(ROUND((_xlfn.IFS(offer_sale_type="поставка",AB1479,offer_sale_type="транзит",S1479)*(1+AC1479))/E1479,2),0)</f>
        <v/>
      </c>
      <c r="AE1479" s="76">
        <f>AD1479*E1479</f>
        <v/>
      </c>
      <c r="AF1479" s="193">
        <f t="array" ref="AF1479">IFERROR(ROUND(_xlfn.IFS(offer_sale_type="поставка",AB1479,offer_sale_type="транзит",S1479)*AC1479,2),0)</f>
        <v/>
      </c>
      <c r="AG1479" s="192">
        <f>$BD1479*VLOOKUP($AG$3,$AF$4:$AG$7,2,FALSE)</f>
        <v/>
      </c>
      <c r="AH1479" s="76">
        <f>SUM(AE1479,AG1479,AI1479)*rate_forex_risk</f>
        <v/>
      </c>
      <c r="AI1479" s="193">
        <f>IF(OR(seller_region="TR",offer_sale_type="экспорт"),0,rate_fin_comm)*SUM(AZ1479,AZ1479*AW1479,T1479)</f>
        <v/>
      </c>
      <c r="AJ1479" s="118">
        <f>IFERROR(ROUND(SUM(AB1479,AF1479:AI1479)/E1479,2),0)</f>
        <v/>
      </c>
      <c r="AK1479" s="76">
        <f>AJ1479*E1479</f>
        <v/>
      </c>
      <c r="AL1479" s="174">
        <f>ROUND(IFERROR(AM1479*E1479,0),2)</f>
        <v/>
      </c>
      <c r="AM1479" s="175">
        <f>ROUND(AJ1479*(1+IF(offer_incoterms="DDP",IF((TODAY()+offer_turnaround_time)&gt;=helpsheet!$L$17,rate_vatRU_from_26,rate_vatRu_till_25),0)),2)</f>
        <v/>
      </c>
      <c r="AN1479" s="192">
        <f>AL1479-AK1479</f>
        <v/>
      </c>
      <c r="AO1479" s="76">
        <f>SUM(AY1479,Y1479:Z1479,T1479)*IF(AND(offer_incoterms="DDP",offer_sale_type&lt;&gt;"экспорт"),IF((TODAY()+offer_turnaround_time)&gt;=helpsheet!$L$17,rate_vatRU_from_26,rate_vatRu_till_25),0)</f>
        <v/>
      </c>
      <c r="AP1479" s="193">
        <f>AN1479-AO1479</f>
        <v/>
      </c>
      <c r="AQ1479" s="118">
        <f>IF(offer_sale_type="транзит",SUM(AF1479:AI1479,BA1479,BB1479),0)</f>
        <v/>
      </c>
      <c r="AR1479" s="82">
        <f>HYPERLINK("https://www.alta.ru/tnved/code/")&amp;W1479&amp;"/"</f>
        <v/>
      </c>
      <c r="AS1479" s="157" t="n"/>
      <c r="AT1479" s="162" t="n"/>
      <c r="AU1479" s="76">
        <f>IF(ISBLANK(AT1479),0,AJ1479-AT1479)</f>
        <v/>
      </c>
      <c r="AV1479" s="157" t="n"/>
      <c r="AW1479" s="75">
        <f>_xlfn.IFNA(VLOOKUP(L1479,list_vat[],3,FALSE),0)</f>
        <v/>
      </c>
      <c r="AX1479" s="76">
        <f>IFERROR(ROUND(S1479*(1+AW1479)/E1479,2),0)</f>
        <v/>
      </c>
      <c r="AY1479" s="76">
        <f>E1479*AX1479</f>
        <v/>
      </c>
      <c r="AZ1479" s="192">
        <f>S1479*(1+M1479)</f>
        <v/>
      </c>
      <c r="BA1479" s="76">
        <f>cost_fin_total*$BD1479</f>
        <v/>
      </c>
      <c r="BB1479" s="193">
        <f>credit_sales_interest*BD1479</f>
        <v/>
      </c>
      <c r="BC1479" s="102">
        <f>IFERROR(IF($I$13&gt;0,$I1479/$I$13,$S1479/$S$13),0)</f>
        <v/>
      </c>
      <c r="BD1479" s="102">
        <f>IFERROR($S1479/$S$13,0)</f>
        <v/>
      </c>
      <c r="BE1479" s="413" t="inlineStr">
        <is>
          <t>$</t>
        </is>
      </c>
    </row>
    <row r="1480" ht="12" customFormat="1" customHeight="1" s="65">
      <c r="A1480" s="43" t="n">
        <v>1465</v>
      </c>
      <c r="B1480" s="166" t="n"/>
      <c r="C1480" s="166" t="n"/>
      <c r="D1480" s="166" t="n"/>
      <c r="E1480" s="162" t="n"/>
      <c r="F1480" s="166" t="n"/>
      <c r="G1480" s="162" t="n"/>
      <c r="H1480" s="162" t="n"/>
      <c r="I1480" s="189">
        <f>E1480*G1480</f>
        <v/>
      </c>
      <c r="J1480" s="195" t="n"/>
      <c r="K1480" s="162" t="n"/>
      <c r="L1480" s="168" t="n"/>
      <c r="M1480" s="75">
        <f>_xlfn.XLOOKUP(L1480,list_vat[Страна],list_vat[Ставка НДС %],0,0)</f>
        <v/>
      </c>
      <c r="N1480" s="162">
        <f>IFERROR(IF(L1480="Китай",K1480,K1480/(1+M1480)),0)</f>
        <v/>
      </c>
      <c r="O1480" s="169" t="n"/>
      <c r="P1480" s="76">
        <f>N1480*(1-O1480)</f>
        <v/>
      </c>
      <c r="Q1480" s="162" t="n"/>
      <c r="R1480" s="162">
        <f>IF(ISBLANK(Q1480),"введи курс",P1480/Q1480)</f>
        <v/>
      </c>
      <c r="S1480" s="196">
        <f>IF(AND(ISNUMBER(E1480),ISNUMBER(Q1480)),E1480*R1480,0)</f>
        <v/>
      </c>
      <c r="T1480" s="192">
        <f>$BC1480*V$11</f>
        <v/>
      </c>
      <c r="U1480" s="76">
        <f>$BC1480*W$11</f>
        <v/>
      </c>
      <c r="V1480" s="193">
        <f>+SUM(T1480:U1480)</f>
        <v/>
      </c>
      <c r="W1480" s="191" t="n"/>
      <c r="X1480" s="170" t="n"/>
      <c r="Y1480" s="76">
        <f>ROUND(IF(offer_incoterms="DDP",X1480*(S1480*(1+AW1480)+T1480),0),2)</f>
        <v/>
      </c>
      <c r="Z1480" s="188" t="n"/>
      <c r="AA1480" s="192">
        <f>IFERROR(AB1480/E1480,0)</f>
        <v/>
      </c>
      <c r="AB1480" s="76">
        <f>ROUND(SUM(S1480,V1480,Y1480:Z1480,BA1480:BB1480),2)</f>
        <v/>
      </c>
      <c r="AC1480" s="797" t="n"/>
      <c r="AD1480" s="192">
        <f t="array" ref="AD1480">IFERROR(ROUND((_xlfn.IFS(offer_sale_type="поставка",AB1480,offer_sale_type="транзит",S1480)*(1+AC1480))/E1480,2),0)</f>
        <v/>
      </c>
      <c r="AE1480" s="76">
        <f>AD1480*E1480</f>
        <v/>
      </c>
      <c r="AF1480" s="193">
        <f t="array" ref="AF1480">IFERROR(ROUND(_xlfn.IFS(offer_sale_type="поставка",AB1480,offer_sale_type="транзит",S1480)*AC1480,2),0)</f>
        <v/>
      </c>
      <c r="AG1480" s="192">
        <f>$BD1480*VLOOKUP($AG$3,$AF$4:$AG$7,2,FALSE)</f>
        <v/>
      </c>
      <c r="AH1480" s="76">
        <f>SUM(AE1480,AG1480,AI1480)*rate_forex_risk</f>
        <v/>
      </c>
      <c r="AI1480" s="193">
        <f>IF(OR(seller_region="TR",offer_sale_type="экспорт"),0,rate_fin_comm)*SUM(AZ1480,AZ1480*AW1480,T1480)</f>
        <v/>
      </c>
      <c r="AJ1480" s="118">
        <f>IFERROR(ROUND(SUM(AB1480,AF1480:AI1480)/E1480,2),0)</f>
        <v/>
      </c>
      <c r="AK1480" s="76">
        <f>AJ1480*E1480</f>
        <v/>
      </c>
      <c r="AL1480" s="174">
        <f>ROUND(IFERROR(AM1480*E1480,0),2)</f>
        <v/>
      </c>
      <c r="AM1480" s="175">
        <f>ROUND(AJ1480*(1+IF(offer_incoterms="DDP",IF((TODAY()+offer_turnaround_time)&gt;=helpsheet!$L$17,rate_vatRU_from_26,rate_vatRu_till_25),0)),2)</f>
        <v/>
      </c>
      <c r="AN1480" s="192">
        <f>AL1480-AK1480</f>
        <v/>
      </c>
      <c r="AO1480" s="76">
        <f>SUM(AY1480,Y1480:Z1480,T1480)*IF(AND(offer_incoterms="DDP",offer_sale_type&lt;&gt;"экспорт"),IF((TODAY()+offer_turnaround_time)&gt;=helpsheet!$L$17,rate_vatRU_from_26,rate_vatRu_till_25),0)</f>
        <v/>
      </c>
      <c r="AP1480" s="193">
        <f>AN1480-AO1480</f>
        <v/>
      </c>
      <c r="AQ1480" s="118">
        <f>IF(offer_sale_type="транзит",SUM(AF1480:AI1480,BA1480,BB1480),0)</f>
        <v/>
      </c>
      <c r="AR1480" s="82">
        <f>HYPERLINK("https://www.alta.ru/tnved/code/")&amp;W1480&amp;"/"</f>
        <v/>
      </c>
      <c r="AS1480" s="157" t="n"/>
      <c r="AT1480" s="162" t="n"/>
      <c r="AU1480" s="76">
        <f>IF(ISBLANK(AT1480),0,AJ1480-AT1480)</f>
        <v/>
      </c>
      <c r="AV1480" s="157" t="n"/>
      <c r="AW1480" s="75">
        <f>_xlfn.IFNA(VLOOKUP(L1480,list_vat[],3,FALSE),0)</f>
        <v/>
      </c>
      <c r="AX1480" s="76">
        <f>IFERROR(ROUND(S1480*(1+AW1480)/E1480,2),0)</f>
        <v/>
      </c>
      <c r="AY1480" s="76">
        <f>E1480*AX1480</f>
        <v/>
      </c>
      <c r="AZ1480" s="192">
        <f>S1480*(1+M1480)</f>
        <v/>
      </c>
      <c r="BA1480" s="76">
        <f>cost_fin_total*$BD1480</f>
        <v/>
      </c>
      <c r="BB1480" s="193">
        <f>credit_sales_interest*BD1480</f>
        <v/>
      </c>
      <c r="BC1480" s="102">
        <f>IFERROR(IF($I$13&gt;0,$I1480/$I$13,$S1480/$S$13),0)</f>
        <v/>
      </c>
      <c r="BD1480" s="102">
        <f>IFERROR($S1480/$S$13,0)</f>
        <v/>
      </c>
      <c r="BE1480" s="413" t="inlineStr">
        <is>
          <t>$</t>
        </is>
      </c>
    </row>
    <row r="1481" ht="12" customFormat="1" customHeight="1" s="65">
      <c r="A1481" s="43" t="n">
        <v>1466</v>
      </c>
      <c r="B1481" s="166" t="n"/>
      <c r="C1481" s="166" t="n"/>
      <c r="D1481" s="166" t="n"/>
      <c r="E1481" s="162" t="n"/>
      <c r="F1481" s="166" t="n"/>
      <c r="G1481" s="162" t="n"/>
      <c r="H1481" s="162" t="n"/>
      <c r="I1481" s="189">
        <f>E1481*G1481</f>
        <v/>
      </c>
      <c r="J1481" s="195" t="n"/>
      <c r="K1481" s="162" t="n"/>
      <c r="L1481" s="168" t="n"/>
      <c r="M1481" s="75">
        <f>_xlfn.XLOOKUP(L1481,list_vat[Страна],list_vat[Ставка НДС %],0,0)</f>
        <v/>
      </c>
      <c r="N1481" s="162">
        <f>IFERROR(IF(L1481="Китай",K1481,K1481/(1+M1481)),0)</f>
        <v/>
      </c>
      <c r="O1481" s="169" t="n"/>
      <c r="P1481" s="76">
        <f>N1481*(1-O1481)</f>
        <v/>
      </c>
      <c r="Q1481" s="162" t="n"/>
      <c r="R1481" s="162">
        <f>IF(ISBLANK(Q1481),"введи курс",P1481/Q1481)</f>
        <v/>
      </c>
      <c r="S1481" s="196">
        <f>IF(AND(ISNUMBER(E1481),ISNUMBER(Q1481)),E1481*R1481,0)</f>
        <v/>
      </c>
      <c r="T1481" s="192">
        <f>$BC1481*V$11</f>
        <v/>
      </c>
      <c r="U1481" s="76">
        <f>$BC1481*W$11</f>
        <v/>
      </c>
      <c r="V1481" s="193">
        <f>+SUM(T1481:U1481)</f>
        <v/>
      </c>
      <c r="W1481" s="191" t="n"/>
      <c r="X1481" s="170" t="n"/>
      <c r="Y1481" s="76">
        <f>ROUND(IF(offer_incoterms="DDP",X1481*(S1481*(1+AW1481)+T1481),0),2)</f>
        <v/>
      </c>
      <c r="Z1481" s="188" t="n"/>
      <c r="AA1481" s="192">
        <f>IFERROR(AB1481/E1481,0)</f>
        <v/>
      </c>
      <c r="AB1481" s="76">
        <f>ROUND(SUM(S1481,V1481,Y1481:Z1481,BA1481:BB1481),2)</f>
        <v/>
      </c>
      <c r="AC1481" s="797" t="n"/>
      <c r="AD1481" s="192">
        <f t="array" ref="AD1481">IFERROR(ROUND((_xlfn.IFS(offer_sale_type="поставка",AB1481,offer_sale_type="транзит",S1481)*(1+AC1481))/E1481,2),0)</f>
        <v/>
      </c>
      <c r="AE1481" s="76">
        <f>AD1481*E1481</f>
        <v/>
      </c>
      <c r="AF1481" s="193">
        <f t="array" ref="AF1481">IFERROR(ROUND(_xlfn.IFS(offer_sale_type="поставка",AB1481,offer_sale_type="транзит",S1481)*AC1481,2),0)</f>
        <v/>
      </c>
      <c r="AG1481" s="192">
        <f>$BD1481*VLOOKUP($AG$3,$AF$4:$AG$7,2,FALSE)</f>
        <v/>
      </c>
      <c r="AH1481" s="76">
        <f>SUM(AE1481,AG1481,AI1481)*rate_forex_risk</f>
        <v/>
      </c>
      <c r="AI1481" s="193">
        <f>IF(OR(seller_region="TR",offer_sale_type="экспорт"),0,rate_fin_comm)*SUM(AZ1481,AZ1481*AW1481,T1481)</f>
        <v/>
      </c>
      <c r="AJ1481" s="118">
        <f>IFERROR(ROUND(SUM(AB1481,AF1481:AI1481)/E1481,2),0)</f>
        <v/>
      </c>
      <c r="AK1481" s="76">
        <f>AJ1481*E1481</f>
        <v/>
      </c>
      <c r="AL1481" s="174">
        <f>ROUND(IFERROR(AM1481*E1481,0),2)</f>
        <v/>
      </c>
      <c r="AM1481" s="175">
        <f>ROUND(AJ1481*(1+IF(offer_incoterms="DDP",IF((TODAY()+offer_turnaround_time)&gt;=helpsheet!$L$17,rate_vatRU_from_26,rate_vatRu_till_25),0)),2)</f>
        <v/>
      </c>
      <c r="AN1481" s="192">
        <f>AL1481-AK1481</f>
        <v/>
      </c>
      <c r="AO1481" s="76">
        <f>SUM(AY1481,Y1481:Z1481,T1481)*IF(AND(offer_incoterms="DDP",offer_sale_type&lt;&gt;"экспорт"),IF((TODAY()+offer_turnaround_time)&gt;=helpsheet!$L$17,rate_vatRU_from_26,rate_vatRu_till_25),0)</f>
        <v/>
      </c>
      <c r="AP1481" s="193">
        <f>AN1481-AO1481</f>
        <v/>
      </c>
      <c r="AQ1481" s="118">
        <f>IF(offer_sale_type="транзит",SUM(AF1481:AI1481,BA1481,BB1481),0)</f>
        <v/>
      </c>
      <c r="AR1481" s="82">
        <f>HYPERLINK("https://www.alta.ru/tnved/code/")&amp;W1481&amp;"/"</f>
        <v/>
      </c>
      <c r="AS1481" s="157" t="n"/>
      <c r="AT1481" s="162" t="n"/>
      <c r="AU1481" s="76">
        <f>IF(ISBLANK(AT1481),0,AJ1481-AT1481)</f>
        <v/>
      </c>
      <c r="AV1481" s="157" t="n"/>
      <c r="AW1481" s="75">
        <f>_xlfn.IFNA(VLOOKUP(L1481,list_vat[],3,FALSE),0)</f>
        <v/>
      </c>
      <c r="AX1481" s="76">
        <f>IFERROR(ROUND(S1481*(1+AW1481)/E1481,2),0)</f>
        <v/>
      </c>
      <c r="AY1481" s="76">
        <f>E1481*AX1481</f>
        <v/>
      </c>
      <c r="AZ1481" s="192">
        <f>S1481*(1+M1481)</f>
        <v/>
      </c>
      <c r="BA1481" s="76">
        <f>cost_fin_total*$BD1481</f>
        <v/>
      </c>
      <c r="BB1481" s="193">
        <f>credit_sales_interest*BD1481</f>
        <v/>
      </c>
      <c r="BC1481" s="102">
        <f>IFERROR(IF($I$13&gt;0,$I1481/$I$13,$S1481/$S$13),0)</f>
        <v/>
      </c>
      <c r="BD1481" s="102">
        <f>IFERROR($S1481/$S$13,0)</f>
        <v/>
      </c>
      <c r="BE1481" s="413" t="inlineStr">
        <is>
          <t>$</t>
        </is>
      </c>
    </row>
    <row r="1482" ht="12" customFormat="1" customHeight="1" s="65">
      <c r="A1482" s="43" t="n">
        <v>1467</v>
      </c>
      <c r="B1482" s="166" t="n"/>
      <c r="C1482" s="166" t="n"/>
      <c r="D1482" s="166" t="n"/>
      <c r="E1482" s="162" t="n"/>
      <c r="F1482" s="166" t="n"/>
      <c r="G1482" s="162" t="n"/>
      <c r="H1482" s="162" t="n"/>
      <c r="I1482" s="189">
        <f>E1482*G1482</f>
        <v/>
      </c>
      <c r="J1482" s="195" t="n"/>
      <c r="K1482" s="162" t="n"/>
      <c r="L1482" s="168" t="n"/>
      <c r="M1482" s="75">
        <f>_xlfn.XLOOKUP(L1482,list_vat[Страна],list_vat[Ставка НДС %],0,0)</f>
        <v/>
      </c>
      <c r="N1482" s="162">
        <f>IFERROR(IF(L1482="Китай",K1482,K1482/(1+M1482)),0)</f>
        <v/>
      </c>
      <c r="O1482" s="169" t="n"/>
      <c r="P1482" s="76">
        <f>N1482*(1-O1482)</f>
        <v/>
      </c>
      <c r="Q1482" s="162" t="n"/>
      <c r="R1482" s="162">
        <f>IF(ISBLANK(Q1482),"введи курс",P1482/Q1482)</f>
        <v/>
      </c>
      <c r="S1482" s="196">
        <f>IF(AND(ISNUMBER(E1482),ISNUMBER(Q1482)),E1482*R1482,0)</f>
        <v/>
      </c>
      <c r="T1482" s="192">
        <f>$BC1482*V$11</f>
        <v/>
      </c>
      <c r="U1482" s="76">
        <f>$BC1482*W$11</f>
        <v/>
      </c>
      <c r="V1482" s="193">
        <f>+SUM(T1482:U1482)</f>
        <v/>
      </c>
      <c r="W1482" s="191" t="n"/>
      <c r="X1482" s="170" t="n"/>
      <c r="Y1482" s="76">
        <f>ROUND(IF(offer_incoterms="DDP",X1482*(S1482*(1+AW1482)+T1482),0),2)</f>
        <v/>
      </c>
      <c r="Z1482" s="188" t="n"/>
      <c r="AA1482" s="192">
        <f>IFERROR(AB1482/E1482,0)</f>
        <v/>
      </c>
      <c r="AB1482" s="76">
        <f>ROUND(SUM(S1482,V1482,Y1482:Z1482,BA1482:BB1482),2)</f>
        <v/>
      </c>
      <c r="AC1482" s="797" t="n"/>
      <c r="AD1482" s="192">
        <f t="array" ref="AD1482">IFERROR(ROUND((_xlfn.IFS(offer_sale_type="поставка",AB1482,offer_sale_type="транзит",S1482)*(1+AC1482))/E1482,2),0)</f>
        <v/>
      </c>
      <c r="AE1482" s="76">
        <f>AD1482*E1482</f>
        <v/>
      </c>
      <c r="AF1482" s="193">
        <f t="array" ref="AF1482">IFERROR(ROUND(_xlfn.IFS(offer_sale_type="поставка",AB1482,offer_sale_type="транзит",S1482)*AC1482,2),0)</f>
        <v/>
      </c>
      <c r="AG1482" s="192">
        <f>$BD1482*VLOOKUP($AG$3,$AF$4:$AG$7,2,FALSE)</f>
        <v/>
      </c>
      <c r="AH1482" s="76">
        <f>SUM(AE1482,AG1482,AI1482)*rate_forex_risk</f>
        <v/>
      </c>
      <c r="AI1482" s="193">
        <f>IF(OR(seller_region="TR",offer_sale_type="экспорт"),0,rate_fin_comm)*SUM(AZ1482,AZ1482*AW1482,T1482)</f>
        <v/>
      </c>
      <c r="AJ1482" s="118">
        <f>IFERROR(ROUND(SUM(AB1482,AF1482:AI1482)/E1482,2),0)</f>
        <v/>
      </c>
      <c r="AK1482" s="76">
        <f>AJ1482*E1482</f>
        <v/>
      </c>
      <c r="AL1482" s="174">
        <f>ROUND(IFERROR(AM1482*E1482,0),2)</f>
        <v/>
      </c>
      <c r="AM1482" s="175">
        <f>ROUND(AJ1482*(1+IF(offer_incoterms="DDP",IF((TODAY()+offer_turnaround_time)&gt;=helpsheet!$L$17,rate_vatRU_from_26,rate_vatRu_till_25),0)),2)</f>
        <v/>
      </c>
      <c r="AN1482" s="192">
        <f>AL1482-AK1482</f>
        <v/>
      </c>
      <c r="AO1482" s="76">
        <f>SUM(AY1482,Y1482:Z1482,T1482)*IF(AND(offer_incoterms="DDP",offer_sale_type&lt;&gt;"экспорт"),IF((TODAY()+offer_turnaround_time)&gt;=helpsheet!$L$17,rate_vatRU_from_26,rate_vatRu_till_25),0)</f>
        <v/>
      </c>
      <c r="AP1482" s="193">
        <f>AN1482-AO1482</f>
        <v/>
      </c>
      <c r="AQ1482" s="118">
        <f>IF(offer_sale_type="транзит",SUM(AF1482:AI1482,BA1482,BB1482),0)</f>
        <v/>
      </c>
      <c r="AR1482" s="82">
        <f>HYPERLINK("https://www.alta.ru/tnved/code/")&amp;W1482&amp;"/"</f>
        <v/>
      </c>
      <c r="AS1482" s="157" t="n"/>
      <c r="AT1482" s="162" t="n"/>
      <c r="AU1482" s="76">
        <f>IF(ISBLANK(AT1482),0,AJ1482-AT1482)</f>
        <v/>
      </c>
      <c r="AV1482" s="157" t="n"/>
      <c r="AW1482" s="75">
        <f>_xlfn.IFNA(VLOOKUP(L1482,list_vat[],3,FALSE),0)</f>
        <v/>
      </c>
      <c r="AX1482" s="76">
        <f>IFERROR(ROUND(S1482*(1+AW1482)/E1482,2),0)</f>
        <v/>
      </c>
      <c r="AY1482" s="76">
        <f>E1482*AX1482</f>
        <v/>
      </c>
      <c r="AZ1482" s="192">
        <f>S1482*(1+M1482)</f>
        <v/>
      </c>
      <c r="BA1482" s="76">
        <f>cost_fin_total*$BD1482</f>
        <v/>
      </c>
      <c r="BB1482" s="193">
        <f>credit_sales_interest*BD1482</f>
        <v/>
      </c>
      <c r="BC1482" s="102">
        <f>IFERROR(IF($I$13&gt;0,$I1482/$I$13,$S1482/$S$13),0)</f>
        <v/>
      </c>
      <c r="BD1482" s="102">
        <f>IFERROR($S1482/$S$13,0)</f>
        <v/>
      </c>
      <c r="BE1482" s="413" t="inlineStr">
        <is>
          <t>$</t>
        </is>
      </c>
    </row>
    <row r="1483" ht="12" customFormat="1" customHeight="1" s="65">
      <c r="A1483" s="43" t="n">
        <v>1468</v>
      </c>
      <c r="B1483" s="166" t="n"/>
      <c r="C1483" s="166" t="n"/>
      <c r="D1483" s="166" t="n"/>
      <c r="E1483" s="162" t="n"/>
      <c r="F1483" s="166" t="n"/>
      <c r="G1483" s="162" t="n"/>
      <c r="H1483" s="162" t="n"/>
      <c r="I1483" s="189">
        <f>E1483*G1483</f>
        <v/>
      </c>
      <c r="J1483" s="195" t="n"/>
      <c r="K1483" s="162" t="n"/>
      <c r="L1483" s="168" t="n"/>
      <c r="M1483" s="75">
        <f>_xlfn.XLOOKUP(L1483,list_vat[Страна],list_vat[Ставка НДС %],0,0)</f>
        <v/>
      </c>
      <c r="N1483" s="162">
        <f>IFERROR(IF(L1483="Китай",K1483,K1483/(1+M1483)),0)</f>
        <v/>
      </c>
      <c r="O1483" s="169" t="n"/>
      <c r="P1483" s="76">
        <f>N1483*(1-O1483)</f>
        <v/>
      </c>
      <c r="Q1483" s="162" t="n"/>
      <c r="R1483" s="162">
        <f>IF(ISBLANK(Q1483),"введи курс",P1483/Q1483)</f>
        <v/>
      </c>
      <c r="S1483" s="196">
        <f>IF(AND(ISNUMBER(E1483),ISNUMBER(Q1483)),E1483*R1483,0)</f>
        <v/>
      </c>
      <c r="T1483" s="192">
        <f>$BC1483*V$11</f>
        <v/>
      </c>
      <c r="U1483" s="76">
        <f>$BC1483*W$11</f>
        <v/>
      </c>
      <c r="V1483" s="193">
        <f>+SUM(T1483:U1483)</f>
        <v/>
      </c>
      <c r="W1483" s="191" t="n"/>
      <c r="X1483" s="170" t="n"/>
      <c r="Y1483" s="76">
        <f>ROUND(IF(offer_incoterms="DDP",X1483*(S1483*(1+AW1483)+T1483),0),2)</f>
        <v/>
      </c>
      <c r="Z1483" s="188" t="n"/>
      <c r="AA1483" s="192">
        <f>IFERROR(AB1483/E1483,0)</f>
        <v/>
      </c>
      <c r="AB1483" s="76">
        <f>ROUND(SUM(S1483,V1483,Y1483:Z1483,BA1483:BB1483),2)</f>
        <v/>
      </c>
      <c r="AC1483" s="797" t="n"/>
      <c r="AD1483" s="192">
        <f t="array" ref="AD1483">IFERROR(ROUND((_xlfn.IFS(offer_sale_type="поставка",AB1483,offer_sale_type="транзит",S1483)*(1+AC1483))/E1483,2),0)</f>
        <v/>
      </c>
      <c r="AE1483" s="76">
        <f>AD1483*E1483</f>
        <v/>
      </c>
      <c r="AF1483" s="193">
        <f t="array" ref="AF1483">IFERROR(ROUND(_xlfn.IFS(offer_sale_type="поставка",AB1483,offer_sale_type="транзит",S1483)*AC1483,2),0)</f>
        <v/>
      </c>
      <c r="AG1483" s="192">
        <f>$BD1483*VLOOKUP($AG$3,$AF$4:$AG$7,2,FALSE)</f>
        <v/>
      </c>
      <c r="AH1483" s="76">
        <f>SUM(AE1483,AG1483,AI1483)*rate_forex_risk</f>
        <v/>
      </c>
      <c r="AI1483" s="193">
        <f>IF(OR(seller_region="TR",offer_sale_type="экспорт"),0,rate_fin_comm)*SUM(AZ1483,AZ1483*AW1483,T1483)</f>
        <v/>
      </c>
      <c r="AJ1483" s="118">
        <f>IFERROR(ROUND(SUM(AB1483,AF1483:AI1483)/E1483,2),0)</f>
        <v/>
      </c>
      <c r="AK1483" s="76">
        <f>AJ1483*E1483</f>
        <v/>
      </c>
      <c r="AL1483" s="174">
        <f>ROUND(IFERROR(AM1483*E1483,0),2)</f>
        <v/>
      </c>
      <c r="AM1483" s="175">
        <f>ROUND(AJ1483*(1+IF(offer_incoterms="DDP",IF((TODAY()+offer_turnaround_time)&gt;=helpsheet!$L$17,rate_vatRU_from_26,rate_vatRu_till_25),0)),2)</f>
        <v/>
      </c>
      <c r="AN1483" s="192">
        <f>AL1483-AK1483</f>
        <v/>
      </c>
      <c r="AO1483" s="76">
        <f>SUM(AY1483,Y1483:Z1483,T1483)*IF(AND(offer_incoterms="DDP",offer_sale_type&lt;&gt;"экспорт"),IF((TODAY()+offer_turnaround_time)&gt;=helpsheet!$L$17,rate_vatRU_from_26,rate_vatRu_till_25),0)</f>
        <v/>
      </c>
      <c r="AP1483" s="193">
        <f>AN1483-AO1483</f>
        <v/>
      </c>
      <c r="AQ1483" s="118">
        <f>IF(offer_sale_type="транзит",SUM(AF1483:AI1483,BA1483,BB1483),0)</f>
        <v/>
      </c>
      <c r="AR1483" s="82">
        <f>HYPERLINK("https://www.alta.ru/tnved/code/")&amp;W1483&amp;"/"</f>
        <v/>
      </c>
      <c r="AS1483" s="157" t="n"/>
      <c r="AT1483" s="162" t="n"/>
      <c r="AU1483" s="76">
        <f>IF(ISBLANK(AT1483),0,AJ1483-AT1483)</f>
        <v/>
      </c>
      <c r="AV1483" s="157" t="n"/>
      <c r="AW1483" s="75">
        <f>_xlfn.IFNA(VLOOKUP(L1483,list_vat[],3,FALSE),0)</f>
        <v/>
      </c>
      <c r="AX1483" s="76">
        <f>IFERROR(ROUND(S1483*(1+AW1483)/E1483,2),0)</f>
        <v/>
      </c>
      <c r="AY1483" s="76">
        <f>E1483*AX1483</f>
        <v/>
      </c>
      <c r="AZ1483" s="192">
        <f>S1483*(1+M1483)</f>
        <v/>
      </c>
      <c r="BA1483" s="76">
        <f>cost_fin_total*$BD1483</f>
        <v/>
      </c>
      <c r="BB1483" s="193">
        <f>credit_sales_interest*BD1483</f>
        <v/>
      </c>
      <c r="BC1483" s="102">
        <f>IFERROR(IF($I$13&gt;0,$I1483/$I$13,$S1483/$S$13),0)</f>
        <v/>
      </c>
      <c r="BD1483" s="102">
        <f>IFERROR($S1483/$S$13,0)</f>
        <v/>
      </c>
      <c r="BE1483" s="413" t="inlineStr">
        <is>
          <t>$</t>
        </is>
      </c>
    </row>
    <row r="1484" ht="12" customFormat="1" customHeight="1" s="65">
      <c r="A1484" s="43" t="n">
        <v>1469</v>
      </c>
      <c r="B1484" s="166" t="n"/>
      <c r="C1484" s="166" t="n"/>
      <c r="D1484" s="166" t="n"/>
      <c r="E1484" s="162" t="n"/>
      <c r="F1484" s="166" t="n"/>
      <c r="G1484" s="162" t="n"/>
      <c r="H1484" s="162" t="n"/>
      <c r="I1484" s="189">
        <f>E1484*G1484</f>
        <v/>
      </c>
      <c r="J1484" s="195" t="n"/>
      <c r="K1484" s="162" t="n"/>
      <c r="L1484" s="168" t="n"/>
      <c r="M1484" s="75">
        <f>_xlfn.XLOOKUP(L1484,list_vat[Страна],list_vat[Ставка НДС %],0,0)</f>
        <v/>
      </c>
      <c r="N1484" s="162">
        <f>IFERROR(IF(L1484="Китай",K1484,K1484/(1+M1484)),0)</f>
        <v/>
      </c>
      <c r="O1484" s="169" t="n"/>
      <c r="P1484" s="76">
        <f>N1484*(1-O1484)</f>
        <v/>
      </c>
      <c r="Q1484" s="162" t="n"/>
      <c r="R1484" s="162">
        <f>IF(ISBLANK(Q1484),"введи курс",P1484/Q1484)</f>
        <v/>
      </c>
      <c r="S1484" s="196">
        <f>IF(AND(ISNUMBER(E1484),ISNUMBER(Q1484)),E1484*R1484,0)</f>
        <v/>
      </c>
      <c r="T1484" s="192">
        <f>$BC1484*V$11</f>
        <v/>
      </c>
      <c r="U1484" s="76">
        <f>$BC1484*W$11</f>
        <v/>
      </c>
      <c r="V1484" s="193">
        <f>+SUM(T1484:U1484)</f>
        <v/>
      </c>
      <c r="W1484" s="191" t="n"/>
      <c r="X1484" s="170" t="n"/>
      <c r="Y1484" s="76">
        <f>ROUND(IF(offer_incoterms="DDP",X1484*(S1484*(1+AW1484)+T1484),0),2)</f>
        <v/>
      </c>
      <c r="Z1484" s="188" t="n"/>
      <c r="AA1484" s="192">
        <f>IFERROR(AB1484/E1484,0)</f>
        <v/>
      </c>
      <c r="AB1484" s="76">
        <f>ROUND(SUM(S1484,V1484,Y1484:Z1484,BA1484:BB1484),2)</f>
        <v/>
      </c>
      <c r="AC1484" s="797" t="n"/>
      <c r="AD1484" s="192">
        <f t="array" ref="AD1484">IFERROR(ROUND((_xlfn.IFS(offer_sale_type="поставка",AB1484,offer_sale_type="транзит",S1484)*(1+AC1484))/E1484,2),0)</f>
        <v/>
      </c>
      <c r="AE1484" s="76">
        <f>AD1484*E1484</f>
        <v/>
      </c>
      <c r="AF1484" s="193">
        <f t="array" ref="AF1484">IFERROR(ROUND(_xlfn.IFS(offer_sale_type="поставка",AB1484,offer_sale_type="транзит",S1484)*AC1484,2),0)</f>
        <v/>
      </c>
      <c r="AG1484" s="192">
        <f>$BD1484*VLOOKUP($AG$3,$AF$4:$AG$7,2,FALSE)</f>
        <v/>
      </c>
      <c r="AH1484" s="76">
        <f>SUM(AE1484,AG1484,AI1484)*rate_forex_risk</f>
        <v/>
      </c>
      <c r="AI1484" s="193">
        <f>IF(OR(seller_region="TR",offer_sale_type="экспорт"),0,rate_fin_comm)*SUM(AZ1484,AZ1484*AW1484,T1484)</f>
        <v/>
      </c>
      <c r="AJ1484" s="118">
        <f>IFERROR(ROUND(SUM(AB1484,AF1484:AI1484)/E1484,2),0)</f>
        <v/>
      </c>
      <c r="AK1484" s="76">
        <f>AJ1484*E1484</f>
        <v/>
      </c>
      <c r="AL1484" s="174">
        <f>ROUND(IFERROR(AM1484*E1484,0),2)</f>
        <v/>
      </c>
      <c r="AM1484" s="175">
        <f>ROUND(AJ1484*(1+IF(offer_incoterms="DDP",IF((TODAY()+offer_turnaround_time)&gt;=helpsheet!$L$17,rate_vatRU_from_26,rate_vatRu_till_25),0)),2)</f>
        <v/>
      </c>
      <c r="AN1484" s="192">
        <f>AL1484-AK1484</f>
        <v/>
      </c>
      <c r="AO1484" s="76">
        <f>SUM(AY1484,Y1484:Z1484,T1484)*IF(AND(offer_incoterms="DDP",offer_sale_type&lt;&gt;"экспорт"),IF((TODAY()+offer_turnaround_time)&gt;=helpsheet!$L$17,rate_vatRU_from_26,rate_vatRu_till_25),0)</f>
        <v/>
      </c>
      <c r="AP1484" s="193">
        <f>AN1484-AO1484</f>
        <v/>
      </c>
      <c r="AQ1484" s="118">
        <f>IF(offer_sale_type="транзит",SUM(AF1484:AI1484,BA1484,BB1484),0)</f>
        <v/>
      </c>
      <c r="AR1484" s="82">
        <f>HYPERLINK("https://www.alta.ru/tnved/code/")&amp;W1484&amp;"/"</f>
        <v/>
      </c>
      <c r="AS1484" s="157" t="n"/>
      <c r="AT1484" s="162" t="n"/>
      <c r="AU1484" s="76">
        <f>IF(ISBLANK(AT1484),0,AJ1484-AT1484)</f>
        <v/>
      </c>
      <c r="AV1484" s="157" t="n"/>
      <c r="AW1484" s="75">
        <f>_xlfn.IFNA(VLOOKUP(L1484,list_vat[],3,FALSE),0)</f>
        <v/>
      </c>
      <c r="AX1484" s="76">
        <f>IFERROR(ROUND(S1484*(1+AW1484)/E1484,2),0)</f>
        <v/>
      </c>
      <c r="AY1484" s="76">
        <f>E1484*AX1484</f>
        <v/>
      </c>
      <c r="AZ1484" s="192">
        <f>S1484*(1+M1484)</f>
        <v/>
      </c>
      <c r="BA1484" s="76">
        <f>cost_fin_total*$BD1484</f>
        <v/>
      </c>
      <c r="BB1484" s="193">
        <f>credit_sales_interest*BD1484</f>
        <v/>
      </c>
      <c r="BC1484" s="102">
        <f>IFERROR(IF($I$13&gt;0,$I1484/$I$13,$S1484/$S$13),0)</f>
        <v/>
      </c>
      <c r="BD1484" s="102">
        <f>IFERROR($S1484/$S$13,0)</f>
        <v/>
      </c>
      <c r="BE1484" s="413" t="inlineStr">
        <is>
          <t>$</t>
        </is>
      </c>
    </row>
    <row r="1485" ht="12" customFormat="1" customHeight="1" s="65">
      <c r="A1485" s="43" t="n">
        <v>1470</v>
      </c>
      <c r="B1485" s="166" t="n"/>
      <c r="C1485" s="166" t="n"/>
      <c r="D1485" s="166" t="n"/>
      <c r="E1485" s="162" t="n"/>
      <c r="F1485" s="166" t="n"/>
      <c r="G1485" s="162" t="n"/>
      <c r="H1485" s="162" t="n"/>
      <c r="I1485" s="189">
        <f>E1485*G1485</f>
        <v/>
      </c>
      <c r="J1485" s="195" t="n"/>
      <c r="K1485" s="162" t="n"/>
      <c r="L1485" s="168" t="n"/>
      <c r="M1485" s="75">
        <f>_xlfn.XLOOKUP(L1485,list_vat[Страна],list_vat[Ставка НДС %],0,0)</f>
        <v/>
      </c>
      <c r="N1485" s="162">
        <f>IFERROR(IF(L1485="Китай",K1485,K1485/(1+M1485)),0)</f>
        <v/>
      </c>
      <c r="O1485" s="169" t="n"/>
      <c r="P1485" s="76">
        <f>N1485*(1-O1485)</f>
        <v/>
      </c>
      <c r="Q1485" s="162" t="n"/>
      <c r="R1485" s="162">
        <f>IF(ISBLANK(Q1485),"введи курс",P1485/Q1485)</f>
        <v/>
      </c>
      <c r="S1485" s="196">
        <f>IF(AND(ISNUMBER(E1485),ISNUMBER(Q1485)),E1485*R1485,0)</f>
        <v/>
      </c>
      <c r="T1485" s="192">
        <f>$BC1485*V$11</f>
        <v/>
      </c>
      <c r="U1485" s="76">
        <f>$BC1485*W$11</f>
        <v/>
      </c>
      <c r="V1485" s="193">
        <f>+SUM(T1485:U1485)</f>
        <v/>
      </c>
      <c r="W1485" s="191" t="n"/>
      <c r="X1485" s="170" t="n"/>
      <c r="Y1485" s="76">
        <f>ROUND(IF(offer_incoterms="DDP",X1485*(S1485*(1+AW1485)+T1485),0),2)</f>
        <v/>
      </c>
      <c r="Z1485" s="188" t="n"/>
      <c r="AA1485" s="192">
        <f>IFERROR(AB1485/E1485,0)</f>
        <v/>
      </c>
      <c r="AB1485" s="76">
        <f>ROUND(SUM(S1485,V1485,Y1485:Z1485,BA1485:BB1485),2)</f>
        <v/>
      </c>
      <c r="AC1485" s="797" t="n"/>
      <c r="AD1485" s="192">
        <f t="array" ref="AD1485">IFERROR(ROUND((_xlfn.IFS(offer_sale_type="поставка",AB1485,offer_sale_type="транзит",S1485)*(1+AC1485))/E1485,2),0)</f>
        <v/>
      </c>
      <c r="AE1485" s="76">
        <f>AD1485*E1485</f>
        <v/>
      </c>
      <c r="AF1485" s="193">
        <f t="array" ref="AF1485">IFERROR(ROUND(_xlfn.IFS(offer_sale_type="поставка",AB1485,offer_sale_type="транзит",S1485)*AC1485,2),0)</f>
        <v/>
      </c>
      <c r="AG1485" s="192">
        <f>$BD1485*VLOOKUP($AG$3,$AF$4:$AG$7,2,FALSE)</f>
        <v/>
      </c>
      <c r="AH1485" s="76">
        <f>SUM(AE1485,AG1485,AI1485)*rate_forex_risk</f>
        <v/>
      </c>
      <c r="AI1485" s="193">
        <f>IF(OR(seller_region="TR",offer_sale_type="экспорт"),0,rate_fin_comm)*SUM(AZ1485,AZ1485*AW1485,T1485)</f>
        <v/>
      </c>
      <c r="AJ1485" s="118">
        <f>IFERROR(ROUND(SUM(AB1485,AF1485:AI1485)/E1485,2),0)</f>
        <v/>
      </c>
      <c r="AK1485" s="76">
        <f>AJ1485*E1485</f>
        <v/>
      </c>
      <c r="AL1485" s="174">
        <f>ROUND(IFERROR(AM1485*E1485,0),2)</f>
        <v/>
      </c>
      <c r="AM1485" s="175">
        <f>ROUND(AJ1485*(1+IF(offer_incoterms="DDP",IF((TODAY()+offer_turnaround_time)&gt;=helpsheet!$L$17,rate_vatRU_from_26,rate_vatRu_till_25),0)),2)</f>
        <v/>
      </c>
      <c r="AN1485" s="192">
        <f>AL1485-AK1485</f>
        <v/>
      </c>
      <c r="AO1485" s="76">
        <f>SUM(AY1485,Y1485:Z1485,T1485)*IF(AND(offer_incoterms="DDP",offer_sale_type&lt;&gt;"экспорт"),IF((TODAY()+offer_turnaround_time)&gt;=helpsheet!$L$17,rate_vatRU_from_26,rate_vatRu_till_25),0)</f>
        <v/>
      </c>
      <c r="AP1485" s="193">
        <f>AN1485-AO1485</f>
        <v/>
      </c>
      <c r="AQ1485" s="118">
        <f>IF(offer_sale_type="транзит",SUM(AF1485:AI1485,BA1485,BB1485),0)</f>
        <v/>
      </c>
      <c r="AR1485" s="82">
        <f>HYPERLINK("https://www.alta.ru/tnved/code/")&amp;W1485&amp;"/"</f>
        <v/>
      </c>
      <c r="AS1485" s="157" t="n"/>
      <c r="AT1485" s="162" t="n"/>
      <c r="AU1485" s="76">
        <f>IF(ISBLANK(AT1485),0,AJ1485-AT1485)</f>
        <v/>
      </c>
      <c r="AV1485" s="157" t="n"/>
      <c r="AW1485" s="75">
        <f>_xlfn.IFNA(VLOOKUP(L1485,list_vat[],3,FALSE),0)</f>
        <v/>
      </c>
      <c r="AX1485" s="76">
        <f>IFERROR(ROUND(S1485*(1+AW1485)/E1485,2),0)</f>
        <v/>
      </c>
      <c r="AY1485" s="76">
        <f>E1485*AX1485</f>
        <v/>
      </c>
      <c r="AZ1485" s="192">
        <f>S1485*(1+M1485)</f>
        <v/>
      </c>
      <c r="BA1485" s="76">
        <f>cost_fin_total*$BD1485</f>
        <v/>
      </c>
      <c r="BB1485" s="193">
        <f>credit_sales_interest*BD1485</f>
        <v/>
      </c>
      <c r="BC1485" s="102">
        <f>IFERROR(IF($I$13&gt;0,$I1485/$I$13,$S1485/$S$13),0)</f>
        <v/>
      </c>
      <c r="BD1485" s="102">
        <f>IFERROR($S1485/$S$13,0)</f>
        <v/>
      </c>
      <c r="BE1485" s="413" t="inlineStr">
        <is>
          <t>$</t>
        </is>
      </c>
    </row>
    <row r="1486" ht="12" customFormat="1" customHeight="1" s="65">
      <c r="A1486" s="43" t="n">
        <v>1471</v>
      </c>
      <c r="B1486" s="166" t="n"/>
      <c r="C1486" s="166" t="n"/>
      <c r="D1486" s="166" t="n"/>
      <c r="E1486" s="162" t="n"/>
      <c r="F1486" s="166" t="n"/>
      <c r="G1486" s="162" t="n"/>
      <c r="H1486" s="162" t="n"/>
      <c r="I1486" s="189">
        <f>E1486*G1486</f>
        <v/>
      </c>
      <c r="J1486" s="195" t="n"/>
      <c r="K1486" s="162" t="n"/>
      <c r="L1486" s="168" t="n"/>
      <c r="M1486" s="75">
        <f>_xlfn.XLOOKUP(L1486,list_vat[Страна],list_vat[Ставка НДС %],0,0)</f>
        <v/>
      </c>
      <c r="N1486" s="162">
        <f>IFERROR(IF(L1486="Китай",K1486,K1486/(1+M1486)),0)</f>
        <v/>
      </c>
      <c r="O1486" s="169" t="n"/>
      <c r="P1486" s="76">
        <f>N1486*(1-O1486)</f>
        <v/>
      </c>
      <c r="Q1486" s="162" t="n"/>
      <c r="R1486" s="162">
        <f>IF(ISBLANK(Q1486),"введи курс",P1486/Q1486)</f>
        <v/>
      </c>
      <c r="S1486" s="196">
        <f>IF(AND(ISNUMBER(E1486),ISNUMBER(Q1486)),E1486*R1486,0)</f>
        <v/>
      </c>
      <c r="T1486" s="192">
        <f>$BC1486*V$11</f>
        <v/>
      </c>
      <c r="U1486" s="76">
        <f>$BC1486*W$11</f>
        <v/>
      </c>
      <c r="V1486" s="193">
        <f>+SUM(T1486:U1486)</f>
        <v/>
      </c>
      <c r="W1486" s="191" t="n"/>
      <c r="X1486" s="170" t="n"/>
      <c r="Y1486" s="76">
        <f>ROUND(IF(offer_incoterms="DDP",X1486*(S1486*(1+AW1486)+T1486),0),2)</f>
        <v/>
      </c>
      <c r="Z1486" s="188" t="n"/>
      <c r="AA1486" s="192">
        <f>IFERROR(AB1486/E1486,0)</f>
        <v/>
      </c>
      <c r="AB1486" s="76">
        <f>ROUND(SUM(S1486,V1486,Y1486:Z1486,BA1486:BB1486),2)</f>
        <v/>
      </c>
      <c r="AC1486" s="797" t="n"/>
      <c r="AD1486" s="192">
        <f t="array" ref="AD1486">IFERROR(ROUND((_xlfn.IFS(offer_sale_type="поставка",AB1486,offer_sale_type="транзит",S1486)*(1+AC1486))/E1486,2),0)</f>
        <v/>
      </c>
      <c r="AE1486" s="76">
        <f>AD1486*E1486</f>
        <v/>
      </c>
      <c r="AF1486" s="193">
        <f t="array" ref="AF1486">IFERROR(ROUND(_xlfn.IFS(offer_sale_type="поставка",AB1486,offer_sale_type="транзит",S1486)*AC1486,2),0)</f>
        <v/>
      </c>
      <c r="AG1486" s="192">
        <f>$BD1486*VLOOKUP($AG$3,$AF$4:$AG$7,2,FALSE)</f>
        <v/>
      </c>
      <c r="AH1486" s="76">
        <f>SUM(AE1486,AG1486,AI1486)*rate_forex_risk</f>
        <v/>
      </c>
      <c r="AI1486" s="193">
        <f>IF(OR(seller_region="TR",offer_sale_type="экспорт"),0,rate_fin_comm)*SUM(AZ1486,AZ1486*AW1486,T1486)</f>
        <v/>
      </c>
      <c r="AJ1486" s="118">
        <f>IFERROR(ROUND(SUM(AB1486,AF1486:AI1486)/E1486,2),0)</f>
        <v/>
      </c>
      <c r="AK1486" s="76">
        <f>AJ1486*E1486</f>
        <v/>
      </c>
      <c r="AL1486" s="174">
        <f>ROUND(IFERROR(AM1486*E1486,0),2)</f>
        <v/>
      </c>
      <c r="AM1486" s="175">
        <f>ROUND(AJ1486*(1+IF(offer_incoterms="DDP",IF((TODAY()+offer_turnaround_time)&gt;=helpsheet!$L$17,rate_vatRU_from_26,rate_vatRu_till_25),0)),2)</f>
        <v/>
      </c>
      <c r="AN1486" s="192">
        <f>AL1486-AK1486</f>
        <v/>
      </c>
      <c r="AO1486" s="76">
        <f>SUM(AY1486,Y1486:Z1486,T1486)*IF(AND(offer_incoterms="DDP",offer_sale_type&lt;&gt;"экспорт"),IF((TODAY()+offer_turnaround_time)&gt;=helpsheet!$L$17,rate_vatRU_from_26,rate_vatRu_till_25),0)</f>
        <v/>
      </c>
      <c r="AP1486" s="193">
        <f>AN1486-AO1486</f>
        <v/>
      </c>
      <c r="AQ1486" s="118">
        <f>IF(offer_sale_type="транзит",SUM(AF1486:AI1486,BA1486,BB1486),0)</f>
        <v/>
      </c>
      <c r="AR1486" s="82">
        <f>HYPERLINK("https://www.alta.ru/tnved/code/")&amp;W1486&amp;"/"</f>
        <v/>
      </c>
      <c r="AS1486" s="157" t="n"/>
      <c r="AT1486" s="162" t="n"/>
      <c r="AU1486" s="76">
        <f>IF(ISBLANK(AT1486),0,AJ1486-AT1486)</f>
        <v/>
      </c>
      <c r="AV1486" s="157" t="n"/>
      <c r="AW1486" s="75">
        <f>_xlfn.IFNA(VLOOKUP(L1486,list_vat[],3,FALSE),0)</f>
        <v/>
      </c>
      <c r="AX1486" s="76">
        <f>IFERROR(ROUND(S1486*(1+AW1486)/E1486,2),0)</f>
        <v/>
      </c>
      <c r="AY1486" s="76">
        <f>E1486*AX1486</f>
        <v/>
      </c>
      <c r="AZ1486" s="192">
        <f>S1486*(1+M1486)</f>
        <v/>
      </c>
      <c r="BA1486" s="76">
        <f>cost_fin_total*$BD1486</f>
        <v/>
      </c>
      <c r="BB1486" s="193">
        <f>credit_sales_interest*BD1486</f>
        <v/>
      </c>
      <c r="BC1486" s="102">
        <f>IFERROR(IF($I$13&gt;0,$I1486/$I$13,$S1486/$S$13),0)</f>
        <v/>
      </c>
      <c r="BD1486" s="102">
        <f>IFERROR($S1486/$S$13,0)</f>
        <v/>
      </c>
      <c r="BE1486" s="413" t="inlineStr">
        <is>
          <t>$</t>
        </is>
      </c>
    </row>
    <row r="1487" ht="12" customFormat="1" customHeight="1" s="65">
      <c r="A1487" s="43" t="n">
        <v>1472</v>
      </c>
      <c r="B1487" s="166" t="n"/>
      <c r="C1487" s="166" t="n"/>
      <c r="D1487" s="166" t="n"/>
      <c r="E1487" s="162" t="n"/>
      <c r="F1487" s="166" t="n"/>
      <c r="G1487" s="162" t="n"/>
      <c r="H1487" s="162" t="n"/>
      <c r="I1487" s="189">
        <f>E1487*G1487</f>
        <v/>
      </c>
      <c r="J1487" s="195" t="n"/>
      <c r="K1487" s="162" t="n"/>
      <c r="L1487" s="168" t="n"/>
      <c r="M1487" s="75">
        <f>_xlfn.XLOOKUP(L1487,list_vat[Страна],list_vat[Ставка НДС %],0,0)</f>
        <v/>
      </c>
      <c r="N1487" s="162">
        <f>IFERROR(IF(L1487="Китай",K1487,K1487/(1+M1487)),0)</f>
        <v/>
      </c>
      <c r="O1487" s="169" t="n"/>
      <c r="P1487" s="76">
        <f>N1487*(1-O1487)</f>
        <v/>
      </c>
      <c r="Q1487" s="162" t="n"/>
      <c r="R1487" s="162">
        <f>IF(ISBLANK(Q1487),"введи курс",P1487/Q1487)</f>
        <v/>
      </c>
      <c r="S1487" s="196">
        <f>IF(AND(ISNUMBER(E1487),ISNUMBER(Q1487)),E1487*R1487,0)</f>
        <v/>
      </c>
      <c r="T1487" s="192">
        <f>$BC1487*V$11</f>
        <v/>
      </c>
      <c r="U1487" s="76">
        <f>$BC1487*W$11</f>
        <v/>
      </c>
      <c r="V1487" s="193">
        <f>+SUM(T1487:U1487)</f>
        <v/>
      </c>
      <c r="W1487" s="191" t="n"/>
      <c r="X1487" s="170" t="n"/>
      <c r="Y1487" s="76">
        <f>ROUND(IF(offer_incoterms="DDP",X1487*(S1487*(1+AW1487)+T1487),0),2)</f>
        <v/>
      </c>
      <c r="Z1487" s="188" t="n"/>
      <c r="AA1487" s="192">
        <f>IFERROR(AB1487/E1487,0)</f>
        <v/>
      </c>
      <c r="AB1487" s="76">
        <f>ROUND(SUM(S1487,V1487,Y1487:Z1487,BA1487:BB1487),2)</f>
        <v/>
      </c>
      <c r="AC1487" s="797" t="n"/>
      <c r="AD1487" s="192">
        <f t="array" ref="AD1487">IFERROR(ROUND((_xlfn.IFS(offer_sale_type="поставка",AB1487,offer_sale_type="транзит",S1487)*(1+AC1487))/E1487,2),0)</f>
        <v/>
      </c>
      <c r="AE1487" s="76">
        <f>AD1487*E1487</f>
        <v/>
      </c>
      <c r="AF1487" s="193">
        <f t="array" ref="AF1487">IFERROR(ROUND(_xlfn.IFS(offer_sale_type="поставка",AB1487,offer_sale_type="транзит",S1487)*AC1487,2),0)</f>
        <v/>
      </c>
      <c r="AG1487" s="192">
        <f>$BD1487*VLOOKUP($AG$3,$AF$4:$AG$7,2,FALSE)</f>
        <v/>
      </c>
      <c r="AH1487" s="76">
        <f>SUM(AE1487,AG1487,AI1487)*rate_forex_risk</f>
        <v/>
      </c>
      <c r="AI1487" s="193">
        <f>IF(OR(seller_region="TR",offer_sale_type="экспорт"),0,rate_fin_comm)*SUM(AZ1487,AZ1487*AW1487,T1487)</f>
        <v/>
      </c>
      <c r="AJ1487" s="118">
        <f>IFERROR(ROUND(SUM(AB1487,AF1487:AI1487)/E1487,2),0)</f>
        <v/>
      </c>
      <c r="AK1487" s="76">
        <f>AJ1487*E1487</f>
        <v/>
      </c>
      <c r="AL1487" s="174">
        <f>ROUND(IFERROR(AM1487*E1487,0),2)</f>
        <v/>
      </c>
      <c r="AM1487" s="175">
        <f>ROUND(AJ1487*(1+IF(offer_incoterms="DDP",IF((TODAY()+offer_turnaround_time)&gt;=helpsheet!$L$17,rate_vatRU_from_26,rate_vatRu_till_25),0)),2)</f>
        <v/>
      </c>
      <c r="AN1487" s="192">
        <f>AL1487-AK1487</f>
        <v/>
      </c>
      <c r="AO1487" s="76">
        <f>SUM(AY1487,Y1487:Z1487,T1487)*IF(AND(offer_incoterms="DDP",offer_sale_type&lt;&gt;"экспорт"),IF((TODAY()+offer_turnaround_time)&gt;=helpsheet!$L$17,rate_vatRU_from_26,rate_vatRu_till_25),0)</f>
        <v/>
      </c>
      <c r="AP1487" s="193">
        <f>AN1487-AO1487</f>
        <v/>
      </c>
      <c r="AQ1487" s="118">
        <f>IF(offer_sale_type="транзит",SUM(AF1487:AI1487,BA1487,BB1487),0)</f>
        <v/>
      </c>
      <c r="AR1487" s="82">
        <f>HYPERLINK("https://www.alta.ru/tnved/code/")&amp;W1487&amp;"/"</f>
        <v/>
      </c>
      <c r="AS1487" s="157" t="n"/>
      <c r="AT1487" s="162" t="n"/>
      <c r="AU1487" s="76">
        <f>IF(ISBLANK(AT1487),0,AJ1487-AT1487)</f>
        <v/>
      </c>
      <c r="AV1487" s="157" t="n"/>
      <c r="AW1487" s="75">
        <f>_xlfn.IFNA(VLOOKUP(L1487,list_vat[],3,FALSE),0)</f>
        <v/>
      </c>
      <c r="AX1487" s="76">
        <f>IFERROR(ROUND(S1487*(1+AW1487)/E1487,2),0)</f>
        <v/>
      </c>
      <c r="AY1487" s="76">
        <f>E1487*AX1487</f>
        <v/>
      </c>
      <c r="AZ1487" s="192">
        <f>S1487*(1+M1487)</f>
        <v/>
      </c>
      <c r="BA1487" s="76">
        <f>cost_fin_total*$BD1487</f>
        <v/>
      </c>
      <c r="BB1487" s="193">
        <f>credit_sales_interest*BD1487</f>
        <v/>
      </c>
      <c r="BC1487" s="102">
        <f>IFERROR(IF($I$13&gt;0,$I1487/$I$13,$S1487/$S$13),0)</f>
        <v/>
      </c>
      <c r="BD1487" s="102">
        <f>IFERROR($S1487/$S$13,0)</f>
        <v/>
      </c>
      <c r="BE1487" s="413" t="inlineStr">
        <is>
          <t>$</t>
        </is>
      </c>
    </row>
    <row r="1488" ht="12" customFormat="1" customHeight="1" s="65">
      <c r="A1488" s="43" t="n">
        <v>1473</v>
      </c>
      <c r="B1488" s="166" t="n"/>
      <c r="C1488" s="166" t="n"/>
      <c r="D1488" s="166" t="n"/>
      <c r="E1488" s="162" t="n"/>
      <c r="F1488" s="166" t="n"/>
      <c r="G1488" s="162" t="n"/>
      <c r="H1488" s="162" t="n"/>
      <c r="I1488" s="189">
        <f>E1488*G1488</f>
        <v/>
      </c>
      <c r="J1488" s="195" t="n"/>
      <c r="K1488" s="162" t="n"/>
      <c r="L1488" s="168" t="n"/>
      <c r="M1488" s="75">
        <f>_xlfn.XLOOKUP(L1488,list_vat[Страна],list_vat[Ставка НДС %],0,0)</f>
        <v/>
      </c>
      <c r="N1488" s="162">
        <f>IFERROR(IF(L1488="Китай",K1488,K1488/(1+M1488)),0)</f>
        <v/>
      </c>
      <c r="O1488" s="169" t="n"/>
      <c r="P1488" s="76">
        <f>N1488*(1-O1488)</f>
        <v/>
      </c>
      <c r="Q1488" s="162" t="n"/>
      <c r="R1488" s="162">
        <f>IF(ISBLANK(Q1488),"введи курс",P1488/Q1488)</f>
        <v/>
      </c>
      <c r="S1488" s="196">
        <f>IF(AND(ISNUMBER(E1488),ISNUMBER(Q1488)),E1488*R1488,0)</f>
        <v/>
      </c>
      <c r="T1488" s="192">
        <f>$BC1488*V$11</f>
        <v/>
      </c>
      <c r="U1488" s="76">
        <f>$BC1488*W$11</f>
        <v/>
      </c>
      <c r="V1488" s="193">
        <f>+SUM(T1488:U1488)</f>
        <v/>
      </c>
      <c r="W1488" s="191" t="n"/>
      <c r="X1488" s="170" t="n"/>
      <c r="Y1488" s="76">
        <f>ROUND(IF(offer_incoterms="DDP",X1488*(S1488*(1+AW1488)+T1488),0),2)</f>
        <v/>
      </c>
      <c r="Z1488" s="188" t="n"/>
      <c r="AA1488" s="192">
        <f>IFERROR(AB1488/E1488,0)</f>
        <v/>
      </c>
      <c r="AB1488" s="76">
        <f>ROUND(SUM(S1488,V1488,Y1488:Z1488,BA1488:BB1488),2)</f>
        <v/>
      </c>
      <c r="AC1488" s="797" t="n"/>
      <c r="AD1488" s="192">
        <f t="array" ref="AD1488">IFERROR(ROUND((_xlfn.IFS(offer_sale_type="поставка",AB1488,offer_sale_type="транзит",S1488)*(1+AC1488))/E1488,2),0)</f>
        <v/>
      </c>
      <c r="AE1488" s="76">
        <f>AD1488*E1488</f>
        <v/>
      </c>
      <c r="AF1488" s="193">
        <f t="array" ref="AF1488">IFERROR(ROUND(_xlfn.IFS(offer_sale_type="поставка",AB1488,offer_sale_type="транзит",S1488)*AC1488,2),0)</f>
        <v/>
      </c>
      <c r="AG1488" s="192">
        <f>$BD1488*VLOOKUP($AG$3,$AF$4:$AG$7,2,FALSE)</f>
        <v/>
      </c>
      <c r="AH1488" s="76">
        <f>SUM(AE1488,AG1488,AI1488)*rate_forex_risk</f>
        <v/>
      </c>
      <c r="AI1488" s="193">
        <f>IF(OR(seller_region="TR",offer_sale_type="экспорт"),0,rate_fin_comm)*SUM(AZ1488,AZ1488*AW1488,T1488)</f>
        <v/>
      </c>
      <c r="AJ1488" s="118">
        <f>IFERROR(ROUND(SUM(AB1488,AF1488:AI1488)/E1488,2),0)</f>
        <v/>
      </c>
      <c r="AK1488" s="76">
        <f>AJ1488*E1488</f>
        <v/>
      </c>
      <c r="AL1488" s="174">
        <f>ROUND(IFERROR(AM1488*E1488,0),2)</f>
        <v/>
      </c>
      <c r="AM1488" s="175">
        <f>ROUND(AJ1488*(1+IF(offer_incoterms="DDP",IF((TODAY()+offer_turnaround_time)&gt;=helpsheet!$L$17,rate_vatRU_from_26,rate_vatRu_till_25),0)),2)</f>
        <v/>
      </c>
      <c r="AN1488" s="192">
        <f>AL1488-AK1488</f>
        <v/>
      </c>
      <c r="AO1488" s="76">
        <f>SUM(AY1488,Y1488:Z1488,T1488)*IF(AND(offer_incoterms="DDP",offer_sale_type&lt;&gt;"экспорт"),IF((TODAY()+offer_turnaround_time)&gt;=helpsheet!$L$17,rate_vatRU_from_26,rate_vatRu_till_25),0)</f>
        <v/>
      </c>
      <c r="AP1488" s="193">
        <f>AN1488-AO1488</f>
        <v/>
      </c>
      <c r="AQ1488" s="118">
        <f>IF(offer_sale_type="транзит",SUM(AF1488:AI1488,BA1488,BB1488),0)</f>
        <v/>
      </c>
      <c r="AR1488" s="82">
        <f>HYPERLINK("https://www.alta.ru/tnved/code/")&amp;W1488&amp;"/"</f>
        <v/>
      </c>
      <c r="AS1488" s="157" t="n"/>
      <c r="AT1488" s="162" t="n"/>
      <c r="AU1488" s="76">
        <f>IF(ISBLANK(AT1488),0,AJ1488-AT1488)</f>
        <v/>
      </c>
      <c r="AV1488" s="157" t="n"/>
      <c r="AW1488" s="75">
        <f>_xlfn.IFNA(VLOOKUP(L1488,list_vat[],3,FALSE),0)</f>
        <v/>
      </c>
      <c r="AX1488" s="76">
        <f>IFERROR(ROUND(S1488*(1+AW1488)/E1488,2),0)</f>
        <v/>
      </c>
      <c r="AY1488" s="76">
        <f>E1488*AX1488</f>
        <v/>
      </c>
      <c r="AZ1488" s="192">
        <f>S1488*(1+M1488)</f>
        <v/>
      </c>
      <c r="BA1488" s="76">
        <f>cost_fin_total*$BD1488</f>
        <v/>
      </c>
      <c r="BB1488" s="193">
        <f>credit_sales_interest*BD1488</f>
        <v/>
      </c>
      <c r="BC1488" s="102">
        <f>IFERROR(IF($I$13&gt;0,$I1488/$I$13,$S1488/$S$13),0)</f>
        <v/>
      </c>
      <c r="BD1488" s="102">
        <f>IFERROR($S1488/$S$13,0)</f>
        <v/>
      </c>
      <c r="BE1488" s="413" t="inlineStr">
        <is>
          <t>$</t>
        </is>
      </c>
    </row>
    <row r="1489" ht="12" customFormat="1" customHeight="1" s="65">
      <c r="A1489" s="43" t="n">
        <v>1474</v>
      </c>
      <c r="B1489" s="166" t="n"/>
      <c r="C1489" s="166" t="n"/>
      <c r="D1489" s="166" t="n"/>
      <c r="E1489" s="162" t="n"/>
      <c r="F1489" s="166" t="n"/>
      <c r="G1489" s="162" t="n"/>
      <c r="H1489" s="162" t="n"/>
      <c r="I1489" s="189">
        <f>E1489*G1489</f>
        <v/>
      </c>
      <c r="J1489" s="195" t="n"/>
      <c r="K1489" s="162" t="n"/>
      <c r="L1489" s="168" t="n"/>
      <c r="M1489" s="75">
        <f>_xlfn.XLOOKUP(L1489,list_vat[Страна],list_vat[Ставка НДС %],0,0)</f>
        <v/>
      </c>
      <c r="N1489" s="162">
        <f>IFERROR(IF(L1489="Китай",K1489,K1489/(1+M1489)),0)</f>
        <v/>
      </c>
      <c r="O1489" s="169" t="n"/>
      <c r="P1489" s="76">
        <f>N1489*(1-O1489)</f>
        <v/>
      </c>
      <c r="Q1489" s="162" t="n"/>
      <c r="R1489" s="162">
        <f>IF(ISBLANK(Q1489),"введи курс",P1489/Q1489)</f>
        <v/>
      </c>
      <c r="S1489" s="196">
        <f>IF(AND(ISNUMBER(E1489),ISNUMBER(Q1489)),E1489*R1489,0)</f>
        <v/>
      </c>
      <c r="T1489" s="192">
        <f>$BC1489*V$11</f>
        <v/>
      </c>
      <c r="U1489" s="76">
        <f>$BC1489*W$11</f>
        <v/>
      </c>
      <c r="V1489" s="193">
        <f>+SUM(T1489:U1489)</f>
        <v/>
      </c>
      <c r="W1489" s="191" t="n"/>
      <c r="X1489" s="170" t="n"/>
      <c r="Y1489" s="76">
        <f>ROUND(IF(offer_incoterms="DDP",X1489*(S1489*(1+AW1489)+T1489),0),2)</f>
        <v/>
      </c>
      <c r="Z1489" s="188" t="n"/>
      <c r="AA1489" s="192">
        <f>IFERROR(AB1489/E1489,0)</f>
        <v/>
      </c>
      <c r="AB1489" s="76">
        <f>ROUND(SUM(S1489,V1489,Y1489:Z1489,BA1489:BB1489),2)</f>
        <v/>
      </c>
      <c r="AC1489" s="797" t="n"/>
      <c r="AD1489" s="192">
        <f t="array" ref="AD1489">IFERROR(ROUND((_xlfn.IFS(offer_sale_type="поставка",AB1489,offer_sale_type="транзит",S1489)*(1+AC1489))/E1489,2),0)</f>
        <v/>
      </c>
      <c r="AE1489" s="76">
        <f>AD1489*E1489</f>
        <v/>
      </c>
      <c r="AF1489" s="193">
        <f t="array" ref="AF1489">IFERROR(ROUND(_xlfn.IFS(offer_sale_type="поставка",AB1489,offer_sale_type="транзит",S1489)*AC1489,2),0)</f>
        <v/>
      </c>
      <c r="AG1489" s="192">
        <f>$BD1489*VLOOKUP($AG$3,$AF$4:$AG$7,2,FALSE)</f>
        <v/>
      </c>
      <c r="AH1489" s="76">
        <f>SUM(AE1489,AG1489,AI1489)*rate_forex_risk</f>
        <v/>
      </c>
      <c r="AI1489" s="193">
        <f>IF(OR(seller_region="TR",offer_sale_type="экспорт"),0,rate_fin_comm)*SUM(AZ1489,AZ1489*AW1489,T1489)</f>
        <v/>
      </c>
      <c r="AJ1489" s="118">
        <f>IFERROR(ROUND(SUM(AB1489,AF1489:AI1489)/E1489,2),0)</f>
        <v/>
      </c>
      <c r="AK1489" s="76">
        <f>AJ1489*E1489</f>
        <v/>
      </c>
      <c r="AL1489" s="174">
        <f>ROUND(IFERROR(AM1489*E1489,0),2)</f>
        <v/>
      </c>
      <c r="AM1489" s="175">
        <f>ROUND(AJ1489*(1+IF(offer_incoterms="DDP",IF((TODAY()+offer_turnaround_time)&gt;=helpsheet!$L$17,rate_vatRU_from_26,rate_vatRu_till_25),0)),2)</f>
        <v/>
      </c>
      <c r="AN1489" s="192">
        <f>AL1489-AK1489</f>
        <v/>
      </c>
      <c r="AO1489" s="76">
        <f>SUM(AY1489,Y1489:Z1489,T1489)*IF(AND(offer_incoterms="DDP",offer_sale_type&lt;&gt;"экспорт"),IF((TODAY()+offer_turnaround_time)&gt;=helpsheet!$L$17,rate_vatRU_from_26,rate_vatRu_till_25),0)</f>
        <v/>
      </c>
      <c r="AP1489" s="193">
        <f>AN1489-AO1489</f>
        <v/>
      </c>
      <c r="AQ1489" s="118">
        <f>IF(offer_sale_type="транзит",SUM(AF1489:AI1489,BA1489,BB1489),0)</f>
        <v/>
      </c>
      <c r="AR1489" s="82">
        <f>HYPERLINK("https://www.alta.ru/tnved/code/")&amp;W1489&amp;"/"</f>
        <v/>
      </c>
      <c r="AS1489" s="157" t="n"/>
      <c r="AT1489" s="162" t="n"/>
      <c r="AU1489" s="76">
        <f>IF(ISBLANK(AT1489),0,AJ1489-AT1489)</f>
        <v/>
      </c>
      <c r="AV1489" s="157" t="n"/>
      <c r="AW1489" s="75">
        <f>_xlfn.IFNA(VLOOKUP(L1489,list_vat[],3,FALSE),0)</f>
        <v/>
      </c>
      <c r="AX1489" s="76">
        <f>IFERROR(ROUND(S1489*(1+AW1489)/E1489,2),0)</f>
        <v/>
      </c>
      <c r="AY1489" s="76">
        <f>E1489*AX1489</f>
        <v/>
      </c>
      <c r="AZ1489" s="192">
        <f>S1489*(1+M1489)</f>
        <v/>
      </c>
      <c r="BA1489" s="76">
        <f>cost_fin_total*$BD1489</f>
        <v/>
      </c>
      <c r="BB1489" s="193">
        <f>credit_sales_interest*BD1489</f>
        <v/>
      </c>
      <c r="BC1489" s="102">
        <f>IFERROR(IF($I$13&gt;0,$I1489/$I$13,$S1489/$S$13),0)</f>
        <v/>
      </c>
      <c r="BD1489" s="102">
        <f>IFERROR($S1489/$S$13,0)</f>
        <v/>
      </c>
      <c r="BE1489" s="413" t="inlineStr">
        <is>
          <t>$</t>
        </is>
      </c>
    </row>
    <row r="1490" ht="12" customFormat="1" customHeight="1" s="65">
      <c r="A1490" s="43" t="n">
        <v>1475</v>
      </c>
      <c r="B1490" s="166" t="n"/>
      <c r="C1490" s="166" t="n"/>
      <c r="D1490" s="166" t="n"/>
      <c r="E1490" s="162" t="n"/>
      <c r="F1490" s="166" t="n"/>
      <c r="G1490" s="162" t="n"/>
      <c r="H1490" s="162" t="n"/>
      <c r="I1490" s="189">
        <f>E1490*G1490</f>
        <v/>
      </c>
      <c r="J1490" s="195" t="n"/>
      <c r="K1490" s="162" t="n"/>
      <c r="L1490" s="168" t="n"/>
      <c r="M1490" s="75">
        <f>_xlfn.XLOOKUP(L1490,list_vat[Страна],list_vat[Ставка НДС %],0,0)</f>
        <v/>
      </c>
      <c r="N1490" s="162">
        <f>IFERROR(IF(L1490="Китай",K1490,K1490/(1+M1490)),0)</f>
        <v/>
      </c>
      <c r="O1490" s="169" t="n"/>
      <c r="P1490" s="76">
        <f>N1490*(1-O1490)</f>
        <v/>
      </c>
      <c r="Q1490" s="162" t="n"/>
      <c r="R1490" s="162">
        <f>IF(ISBLANK(Q1490),"введи курс",P1490/Q1490)</f>
        <v/>
      </c>
      <c r="S1490" s="196">
        <f>IF(AND(ISNUMBER(E1490),ISNUMBER(Q1490)),E1490*R1490,0)</f>
        <v/>
      </c>
      <c r="T1490" s="192">
        <f>$BC1490*V$11</f>
        <v/>
      </c>
      <c r="U1490" s="76">
        <f>$BC1490*W$11</f>
        <v/>
      </c>
      <c r="V1490" s="193">
        <f>+SUM(T1490:U1490)</f>
        <v/>
      </c>
      <c r="W1490" s="191" t="n"/>
      <c r="X1490" s="170" t="n"/>
      <c r="Y1490" s="76">
        <f>ROUND(IF(offer_incoterms="DDP",X1490*(S1490*(1+AW1490)+T1490),0),2)</f>
        <v/>
      </c>
      <c r="Z1490" s="188" t="n"/>
      <c r="AA1490" s="192">
        <f>IFERROR(AB1490/E1490,0)</f>
        <v/>
      </c>
      <c r="AB1490" s="76">
        <f>ROUND(SUM(S1490,V1490,Y1490:Z1490,BA1490:BB1490),2)</f>
        <v/>
      </c>
      <c r="AC1490" s="797" t="n"/>
      <c r="AD1490" s="192">
        <f t="array" ref="AD1490">IFERROR(ROUND((_xlfn.IFS(offer_sale_type="поставка",AB1490,offer_sale_type="транзит",S1490)*(1+AC1490))/E1490,2),0)</f>
        <v/>
      </c>
      <c r="AE1490" s="76">
        <f>AD1490*E1490</f>
        <v/>
      </c>
      <c r="AF1490" s="193">
        <f t="array" ref="AF1490">IFERROR(ROUND(_xlfn.IFS(offer_sale_type="поставка",AB1490,offer_sale_type="транзит",S1490)*AC1490,2),0)</f>
        <v/>
      </c>
      <c r="AG1490" s="192">
        <f>$BD1490*VLOOKUP($AG$3,$AF$4:$AG$7,2,FALSE)</f>
        <v/>
      </c>
      <c r="AH1490" s="76">
        <f>SUM(AE1490,AG1490,AI1490)*rate_forex_risk</f>
        <v/>
      </c>
      <c r="AI1490" s="193">
        <f>IF(OR(seller_region="TR",offer_sale_type="экспорт"),0,rate_fin_comm)*SUM(AZ1490,AZ1490*AW1490,T1490)</f>
        <v/>
      </c>
      <c r="AJ1490" s="118">
        <f>IFERROR(ROUND(SUM(AB1490,AF1490:AI1490)/E1490,2),0)</f>
        <v/>
      </c>
      <c r="AK1490" s="76">
        <f>AJ1490*E1490</f>
        <v/>
      </c>
      <c r="AL1490" s="174">
        <f>ROUND(IFERROR(AM1490*E1490,0),2)</f>
        <v/>
      </c>
      <c r="AM1490" s="175">
        <f>ROUND(AJ1490*(1+IF(offer_incoterms="DDP",IF((TODAY()+offer_turnaround_time)&gt;=helpsheet!$L$17,rate_vatRU_from_26,rate_vatRu_till_25),0)),2)</f>
        <v/>
      </c>
      <c r="AN1490" s="192">
        <f>AL1490-AK1490</f>
        <v/>
      </c>
      <c r="AO1490" s="76">
        <f>SUM(AY1490,Y1490:Z1490,T1490)*IF(AND(offer_incoterms="DDP",offer_sale_type&lt;&gt;"экспорт"),IF((TODAY()+offer_turnaround_time)&gt;=helpsheet!$L$17,rate_vatRU_from_26,rate_vatRu_till_25),0)</f>
        <v/>
      </c>
      <c r="AP1490" s="193">
        <f>AN1490-AO1490</f>
        <v/>
      </c>
      <c r="AQ1490" s="118">
        <f>IF(offer_sale_type="транзит",SUM(AF1490:AI1490,BA1490,BB1490),0)</f>
        <v/>
      </c>
      <c r="AR1490" s="82">
        <f>HYPERLINK("https://www.alta.ru/tnved/code/")&amp;W1490&amp;"/"</f>
        <v/>
      </c>
      <c r="AS1490" s="157" t="n"/>
      <c r="AT1490" s="162" t="n"/>
      <c r="AU1490" s="76">
        <f>IF(ISBLANK(AT1490),0,AJ1490-AT1490)</f>
        <v/>
      </c>
      <c r="AV1490" s="157" t="n"/>
      <c r="AW1490" s="75">
        <f>_xlfn.IFNA(VLOOKUP(L1490,list_vat[],3,FALSE),0)</f>
        <v/>
      </c>
      <c r="AX1490" s="76">
        <f>IFERROR(ROUND(S1490*(1+AW1490)/E1490,2),0)</f>
        <v/>
      </c>
      <c r="AY1490" s="76">
        <f>E1490*AX1490</f>
        <v/>
      </c>
      <c r="AZ1490" s="192">
        <f>S1490*(1+M1490)</f>
        <v/>
      </c>
      <c r="BA1490" s="76">
        <f>cost_fin_total*$BD1490</f>
        <v/>
      </c>
      <c r="BB1490" s="193">
        <f>credit_sales_interest*BD1490</f>
        <v/>
      </c>
      <c r="BC1490" s="102">
        <f>IFERROR(IF($I$13&gt;0,$I1490/$I$13,$S1490/$S$13),0)</f>
        <v/>
      </c>
      <c r="BD1490" s="102">
        <f>IFERROR($S1490/$S$13,0)</f>
        <v/>
      </c>
      <c r="BE1490" s="413" t="inlineStr">
        <is>
          <t>$</t>
        </is>
      </c>
    </row>
    <row r="1491" ht="12" customFormat="1" customHeight="1" s="65">
      <c r="A1491" s="43" t="n">
        <v>1476</v>
      </c>
      <c r="B1491" s="166" t="n"/>
      <c r="C1491" s="166" t="n"/>
      <c r="D1491" s="166" t="n"/>
      <c r="E1491" s="162" t="n"/>
      <c r="F1491" s="166" t="n"/>
      <c r="G1491" s="162" t="n"/>
      <c r="H1491" s="162" t="n"/>
      <c r="I1491" s="189">
        <f>E1491*G1491</f>
        <v/>
      </c>
      <c r="J1491" s="195" t="n"/>
      <c r="K1491" s="162" t="n"/>
      <c r="L1491" s="168" t="n"/>
      <c r="M1491" s="75">
        <f>_xlfn.XLOOKUP(L1491,list_vat[Страна],list_vat[Ставка НДС %],0,0)</f>
        <v/>
      </c>
      <c r="N1491" s="162">
        <f>IFERROR(IF(L1491="Китай",K1491,K1491/(1+M1491)),0)</f>
        <v/>
      </c>
      <c r="O1491" s="169" t="n"/>
      <c r="P1491" s="76">
        <f>N1491*(1-O1491)</f>
        <v/>
      </c>
      <c r="Q1491" s="162" t="n"/>
      <c r="R1491" s="162">
        <f>IF(ISBLANK(Q1491),"введи курс",P1491/Q1491)</f>
        <v/>
      </c>
      <c r="S1491" s="196">
        <f>IF(AND(ISNUMBER(E1491),ISNUMBER(Q1491)),E1491*R1491,0)</f>
        <v/>
      </c>
      <c r="T1491" s="192">
        <f>$BC1491*V$11</f>
        <v/>
      </c>
      <c r="U1491" s="76">
        <f>$BC1491*W$11</f>
        <v/>
      </c>
      <c r="V1491" s="193">
        <f>+SUM(T1491:U1491)</f>
        <v/>
      </c>
      <c r="W1491" s="191" t="n"/>
      <c r="X1491" s="170" t="n"/>
      <c r="Y1491" s="76">
        <f>ROUND(IF(offer_incoterms="DDP",X1491*(S1491*(1+AW1491)+T1491),0),2)</f>
        <v/>
      </c>
      <c r="Z1491" s="188" t="n"/>
      <c r="AA1491" s="192">
        <f>IFERROR(AB1491/E1491,0)</f>
        <v/>
      </c>
      <c r="AB1491" s="76">
        <f>ROUND(SUM(S1491,V1491,Y1491:Z1491,BA1491:BB1491),2)</f>
        <v/>
      </c>
      <c r="AC1491" s="797" t="n"/>
      <c r="AD1491" s="192">
        <f t="array" ref="AD1491">IFERROR(ROUND((_xlfn.IFS(offer_sale_type="поставка",AB1491,offer_sale_type="транзит",S1491)*(1+AC1491))/E1491,2),0)</f>
        <v/>
      </c>
      <c r="AE1491" s="76">
        <f>AD1491*E1491</f>
        <v/>
      </c>
      <c r="AF1491" s="193">
        <f t="array" ref="AF1491">IFERROR(ROUND(_xlfn.IFS(offer_sale_type="поставка",AB1491,offer_sale_type="транзит",S1491)*AC1491,2),0)</f>
        <v/>
      </c>
      <c r="AG1491" s="192">
        <f>$BD1491*VLOOKUP($AG$3,$AF$4:$AG$7,2,FALSE)</f>
        <v/>
      </c>
      <c r="AH1491" s="76">
        <f>SUM(AE1491,AG1491,AI1491)*rate_forex_risk</f>
        <v/>
      </c>
      <c r="AI1491" s="193">
        <f>IF(OR(seller_region="TR",offer_sale_type="экспорт"),0,rate_fin_comm)*SUM(AZ1491,AZ1491*AW1491,T1491)</f>
        <v/>
      </c>
      <c r="AJ1491" s="118">
        <f>IFERROR(ROUND(SUM(AB1491,AF1491:AI1491)/E1491,2),0)</f>
        <v/>
      </c>
      <c r="AK1491" s="76">
        <f>AJ1491*E1491</f>
        <v/>
      </c>
      <c r="AL1491" s="174">
        <f>ROUND(IFERROR(AM1491*E1491,0),2)</f>
        <v/>
      </c>
      <c r="AM1491" s="175">
        <f>ROUND(AJ1491*(1+IF(offer_incoterms="DDP",IF((TODAY()+offer_turnaround_time)&gt;=helpsheet!$L$17,rate_vatRU_from_26,rate_vatRu_till_25),0)),2)</f>
        <v/>
      </c>
      <c r="AN1491" s="192">
        <f>AL1491-AK1491</f>
        <v/>
      </c>
      <c r="AO1491" s="76">
        <f>SUM(AY1491,Y1491:Z1491,T1491)*IF(AND(offer_incoterms="DDP",offer_sale_type&lt;&gt;"экспорт"),IF((TODAY()+offer_turnaround_time)&gt;=helpsheet!$L$17,rate_vatRU_from_26,rate_vatRu_till_25),0)</f>
        <v/>
      </c>
      <c r="AP1491" s="193">
        <f>AN1491-AO1491</f>
        <v/>
      </c>
      <c r="AQ1491" s="118">
        <f>IF(offer_sale_type="транзит",SUM(AF1491:AI1491,BA1491,BB1491),0)</f>
        <v/>
      </c>
      <c r="AR1491" s="82">
        <f>HYPERLINK("https://www.alta.ru/tnved/code/")&amp;W1491&amp;"/"</f>
        <v/>
      </c>
      <c r="AS1491" s="157" t="n"/>
      <c r="AT1491" s="162" t="n"/>
      <c r="AU1491" s="76">
        <f>IF(ISBLANK(AT1491),0,AJ1491-AT1491)</f>
        <v/>
      </c>
      <c r="AV1491" s="157" t="n"/>
      <c r="AW1491" s="75">
        <f>_xlfn.IFNA(VLOOKUP(L1491,list_vat[],3,FALSE),0)</f>
        <v/>
      </c>
      <c r="AX1491" s="76">
        <f>IFERROR(ROUND(S1491*(1+AW1491)/E1491,2),0)</f>
        <v/>
      </c>
      <c r="AY1491" s="76">
        <f>E1491*AX1491</f>
        <v/>
      </c>
      <c r="AZ1491" s="192">
        <f>S1491*(1+M1491)</f>
        <v/>
      </c>
      <c r="BA1491" s="76">
        <f>cost_fin_total*$BD1491</f>
        <v/>
      </c>
      <c r="BB1491" s="193">
        <f>credit_sales_interest*BD1491</f>
        <v/>
      </c>
      <c r="BC1491" s="102">
        <f>IFERROR(IF($I$13&gt;0,$I1491/$I$13,$S1491/$S$13),0)</f>
        <v/>
      </c>
      <c r="BD1491" s="102">
        <f>IFERROR($S1491/$S$13,0)</f>
        <v/>
      </c>
      <c r="BE1491" s="413" t="inlineStr">
        <is>
          <t>$</t>
        </is>
      </c>
    </row>
    <row r="1492" ht="12" customFormat="1" customHeight="1" s="65">
      <c r="A1492" s="43" t="n">
        <v>1477</v>
      </c>
      <c r="B1492" s="166" t="n"/>
      <c r="C1492" s="166" t="n"/>
      <c r="D1492" s="166" t="n"/>
      <c r="E1492" s="162" t="n"/>
      <c r="F1492" s="166" t="n"/>
      <c r="G1492" s="162" t="n"/>
      <c r="H1492" s="162" t="n"/>
      <c r="I1492" s="189">
        <f>E1492*G1492</f>
        <v/>
      </c>
      <c r="J1492" s="195" t="n"/>
      <c r="K1492" s="162" t="n"/>
      <c r="L1492" s="168" t="n"/>
      <c r="M1492" s="75">
        <f>_xlfn.XLOOKUP(L1492,list_vat[Страна],list_vat[Ставка НДС %],0,0)</f>
        <v/>
      </c>
      <c r="N1492" s="162">
        <f>IFERROR(IF(L1492="Китай",K1492,K1492/(1+M1492)),0)</f>
        <v/>
      </c>
      <c r="O1492" s="169" t="n"/>
      <c r="P1492" s="76">
        <f>N1492*(1-O1492)</f>
        <v/>
      </c>
      <c r="Q1492" s="162" t="n"/>
      <c r="R1492" s="162">
        <f>IF(ISBLANK(Q1492),"введи курс",P1492/Q1492)</f>
        <v/>
      </c>
      <c r="S1492" s="196">
        <f>IF(AND(ISNUMBER(E1492),ISNUMBER(Q1492)),E1492*R1492,0)</f>
        <v/>
      </c>
      <c r="T1492" s="192">
        <f>$BC1492*V$11</f>
        <v/>
      </c>
      <c r="U1492" s="76">
        <f>$BC1492*W$11</f>
        <v/>
      </c>
      <c r="V1492" s="193">
        <f>+SUM(T1492:U1492)</f>
        <v/>
      </c>
      <c r="W1492" s="191" t="n"/>
      <c r="X1492" s="170" t="n"/>
      <c r="Y1492" s="76">
        <f>ROUND(IF(offer_incoterms="DDP",X1492*(S1492*(1+AW1492)+T1492),0),2)</f>
        <v/>
      </c>
      <c r="Z1492" s="188" t="n"/>
      <c r="AA1492" s="192">
        <f>IFERROR(AB1492/E1492,0)</f>
        <v/>
      </c>
      <c r="AB1492" s="76">
        <f>ROUND(SUM(S1492,V1492,Y1492:Z1492,BA1492:BB1492),2)</f>
        <v/>
      </c>
      <c r="AC1492" s="797" t="n"/>
      <c r="AD1492" s="192">
        <f t="array" ref="AD1492">IFERROR(ROUND((_xlfn.IFS(offer_sale_type="поставка",AB1492,offer_sale_type="транзит",S1492)*(1+AC1492))/E1492,2),0)</f>
        <v/>
      </c>
      <c r="AE1492" s="76">
        <f>AD1492*E1492</f>
        <v/>
      </c>
      <c r="AF1492" s="193">
        <f t="array" ref="AF1492">IFERROR(ROUND(_xlfn.IFS(offer_sale_type="поставка",AB1492,offer_sale_type="транзит",S1492)*AC1492,2),0)</f>
        <v/>
      </c>
      <c r="AG1492" s="192">
        <f>$BD1492*VLOOKUP($AG$3,$AF$4:$AG$7,2,FALSE)</f>
        <v/>
      </c>
      <c r="AH1492" s="76">
        <f>SUM(AE1492,AG1492,AI1492)*rate_forex_risk</f>
        <v/>
      </c>
      <c r="AI1492" s="193">
        <f>IF(OR(seller_region="TR",offer_sale_type="экспорт"),0,rate_fin_comm)*SUM(AZ1492,AZ1492*AW1492,T1492)</f>
        <v/>
      </c>
      <c r="AJ1492" s="118">
        <f>IFERROR(ROUND(SUM(AB1492,AF1492:AI1492)/E1492,2),0)</f>
        <v/>
      </c>
      <c r="AK1492" s="76">
        <f>AJ1492*E1492</f>
        <v/>
      </c>
      <c r="AL1492" s="174">
        <f>ROUND(IFERROR(AM1492*E1492,0),2)</f>
        <v/>
      </c>
      <c r="AM1492" s="175">
        <f>ROUND(AJ1492*(1+IF(offer_incoterms="DDP",IF((TODAY()+offer_turnaround_time)&gt;=helpsheet!$L$17,rate_vatRU_from_26,rate_vatRu_till_25),0)),2)</f>
        <v/>
      </c>
      <c r="AN1492" s="192">
        <f>AL1492-AK1492</f>
        <v/>
      </c>
      <c r="AO1492" s="76">
        <f>SUM(AY1492,Y1492:Z1492,T1492)*IF(AND(offer_incoterms="DDP",offer_sale_type&lt;&gt;"экспорт"),IF((TODAY()+offer_turnaround_time)&gt;=helpsheet!$L$17,rate_vatRU_from_26,rate_vatRu_till_25),0)</f>
        <v/>
      </c>
      <c r="AP1492" s="193">
        <f>AN1492-AO1492</f>
        <v/>
      </c>
      <c r="AQ1492" s="118">
        <f>IF(offer_sale_type="транзит",SUM(AF1492:AI1492,BA1492,BB1492),0)</f>
        <v/>
      </c>
      <c r="AR1492" s="82">
        <f>HYPERLINK("https://www.alta.ru/tnved/code/")&amp;W1492&amp;"/"</f>
        <v/>
      </c>
      <c r="AS1492" s="157" t="n"/>
      <c r="AT1492" s="162" t="n"/>
      <c r="AU1492" s="76">
        <f>IF(ISBLANK(AT1492),0,AJ1492-AT1492)</f>
        <v/>
      </c>
      <c r="AV1492" s="157" t="n"/>
      <c r="AW1492" s="75">
        <f>_xlfn.IFNA(VLOOKUP(L1492,list_vat[],3,FALSE),0)</f>
        <v/>
      </c>
      <c r="AX1492" s="76">
        <f>IFERROR(ROUND(S1492*(1+AW1492)/E1492,2),0)</f>
        <v/>
      </c>
      <c r="AY1492" s="76">
        <f>E1492*AX1492</f>
        <v/>
      </c>
      <c r="AZ1492" s="192">
        <f>S1492*(1+M1492)</f>
        <v/>
      </c>
      <c r="BA1492" s="76">
        <f>cost_fin_total*$BD1492</f>
        <v/>
      </c>
      <c r="BB1492" s="193">
        <f>credit_sales_interest*BD1492</f>
        <v/>
      </c>
      <c r="BC1492" s="102">
        <f>IFERROR(IF($I$13&gt;0,$I1492/$I$13,$S1492/$S$13),0)</f>
        <v/>
      </c>
      <c r="BD1492" s="102">
        <f>IFERROR($S1492/$S$13,0)</f>
        <v/>
      </c>
      <c r="BE1492" s="413" t="inlineStr">
        <is>
          <t>$</t>
        </is>
      </c>
    </row>
    <row r="1493" ht="12" customFormat="1" customHeight="1" s="65">
      <c r="A1493" s="43" t="n">
        <v>1478</v>
      </c>
      <c r="B1493" s="166" t="n"/>
      <c r="C1493" s="166" t="n"/>
      <c r="D1493" s="166" t="n"/>
      <c r="E1493" s="162" t="n"/>
      <c r="F1493" s="166" t="n"/>
      <c r="G1493" s="162" t="n"/>
      <c r="H1493" s="162" t="n"/>
      <c r="I1493" s="189">
        <f>E1493*G1493</f>
        <v/>
      </c>
      <c r="J1493" s="195" t="n"/>
      <c r="K1493" s="162" t="n"/>
      <c r="L1493" s="168" t="n"/>
      <c r="M1493" s="75">
        <f>_xlfn.XLOOKUP(L1493,list_vat[Страна],list_vat[Ставка НДС %],0,0)</f>
        <v/>
      </c>
      <c r="N1493" s="162">
        <f>IFERROR(IF(L1493="Китай",K1493,K1493/(1+M1493)),0)</f>
        <v/>
      </c>
      <c r="O1493" s="169" t="n"/>
      <c r="P1493" s="76">
        <f>N1493*(1-O1493)</f>
        <v/>
      </c>
      <c r="Q1493" s="162" t="n"/>
      <c r="R1493" s="162">
        <f>IF(ISBLANK(Q1493),"введи курс",P1493/Q1493)</f>
        <v/>
      </c>
      <c r="S1493" s="196">
        <f>IF(AND(ISNUMBER(E1493),ISNUMBER(Q1493)),E1493*R1493,0)</f>
        <v/>
      </c>
      <c r="T1493" s="192">
        <f>$BC1493*V$11</f>
        <v/>
      </c>
      <c r="U1493" s="76">
        <f>$BC1493*W$11</f>
        <v/>
      </c>
      <c r="V1493" s="193">
        <f>+SUM(T1493:U1493)</f>
        <v/>
      </c>
      <c r="W1493" s="191" t="n"/>
      <c r="X1493" s="170" t="n"/>
      <c r="Y1493" s="76">
        <f>ROUND(IF(offer_incoterms="DDP",X1493*(S1493*(1+AW1493)+T1493),0),2)</f>
        <v/>
      </c>
      <c r="Z1493" s="188" t="n"/>
      <c r="AA1493" s="192">
        <f>IFERROR(AB1493/E1493,0)</f>
        <v/>
      </c>
      <c r="AB1493" s="76">
        <f>ROUND(SUM(S1493,V1493,Y1493:Z1493,BA1493:BB1493),2)</f>
        <v/>
      </c>
      <c r="AC1493" s="797" t="n"/>
      <c r="AD1493" s="192">
        <f t="array" ref="AD1493">IFERROR(ROUND((_xlfn.IFS(offer_sale_type="поставка",AB1493,offer_sale_type="транзит",S1493)*(1+AC1493))/E1493,2),0)</f>
        <v/>
      </c>
      <c r="AE1493" s="76">
        <f>AD1493*E1493</f>
        <v/>
      </c>
      <c r="AF1493" s="193">
        <f t="array" ref="AF1493">IFERROR(ROUND(_xlfn.IFS(offer_sale_type="поставка",AB1493,offer_sale_type="транзит",S1493)*AC1493,2),0)</f>
        <v/>
      </c>
      <c r="AG1493" s="192">
        <f>$BD1493*VLOOKUP($AG$3,$AF$4:$AG$7,2,FALSE)</f>
        <v/>
      </c>
      <c r="AH1493" s="76">
        <f>SUM(AE1493,AG1493,AI1493)*rate_forex_risk</f>
        <v/>
      </c>
      <c r="AI1493" s="193">
        <f>IF(OR(seller_region="TR",offer_sale_type="экспорт"),0,rate_fin_comm)*SUM(AZ1493,AZ1493*AW1493,T1493)</f>
        <v/>
      </c>
      <c r="AJ1493" s="118">
        <f>IFERROR(ROUND(SUM(AB1493,AF1493:AI1493)/E1493,2),0)</f>
        <v/>
      </c>
      <c r="AK1493" s="76">
        <f>AJ1493*E1493</f>
        <v/>
      </c>
      <c r="AL1493" s="174">
        <f>ROUND(IFERROR(AM1493*E1493,0),2)</f>
        <v/>
      </c>
      <c r="AM1493" s="175">
        <f>ROUND(AJ1493*(1+IF(offer_incoterms="DDP",IF((TODAY()+offer_turnaround_time)&gt;=helpsheet!$L$17,rate_vatRU_from_26,rate_vatRu_till_25),0)),2)</f>
        <v/>
      </c>
      <c r="AN1493" s="192">
        <f>AL1493-AK1493</f>
        <v/>
      </c>
      <c r="AO1493" s="76">
        <f>SUM(AY1493,Y1493:Z1493,T1493)*IF(AND(offer_incoterms="DDP",offer_sale_type&lt;&gt;"экспорт"),IF((TODAY()+offer_turnaround_time)&gt;=helpsheet!$L$17,rate_vatRU_from_26,rate_vatRu_till_25),0)</f>
        <v/>
      </c>
      <c r="AP1493" s="193">
        <f>AN1493-AO1493</f>
        <v/>
      </c>
      <c r="AQ1493" s="118">
        <f>IF(offer_sale_type="транзит",SUM(AF1493:AI1493,BA1493,BB1493),0)</f>
        <v/>
      </c>
      <c r="AR1493" s="82">
        <f>HYPERLINK("https://www.alta.ru/tnved/code/")&amp;W1493&amp;"/"</f>
        <v/>
      </c>
      <c r="AS1493" s="157" t="n"/>
      <c r="AT1493" s="162" t="n"/>
      <c r="AU1493" s="76">
        <f>IF(ISBLANK(AT1493),0,AJ1493-AT1493)</f>
        <v/>
      </c>
      <c r="AV1493" s="157" t="n"/>
      <c r="AW1493" s="75">
        <f>_xlfn.IFNA(VLOOKUP(L1493,list_vat[],3,FALSE),0)</f>
        <v/>
      </c>
      <c r="AX1493" s="76">
        <f>IFERROR(ROUND(S1493*(1+AW1493)/E1493,2),0)</f>
        <v/>
      </c>
      <c r="AY1493" s="76">
        <f>E1493*AX1493</f>
        <v/>
      </c>
      <c r="AZ1493" s="192">
        <f>S1493*(1+M1493)</f>
        <v/>
      </c>
      <c r="BA1493" s="76">
        <f>cost_fin_total*$BD1493</f>
        <v/>
      </c>
      <c r="BB1493" s="193">
        <f>credit_sales_interest*BD1493</f>
        <v/>
      </c>
      <c r="BC1493" s="102">
        <f>IFERROR(IF($I$13&gt;0,$I1493/$I$13,$S1493/$S$13),0)</f>
        <v/>
      </c>
      <c r="BD1493" s="102">
        <f>IFERROR($S1493/$S$13,0)</f>
        <v/>
      </c>
      <c r="BE1493" s="413" t="inlineStr">
        <is>
          <t>$</t>
        </is>
      </c>
    </row>
    <row r="1494" ht="12" customFormat="1" customHeight="1" s="65">
      <c r="A1494" s="43" t="n">
        <v>1479</v>
      </c>
      <c r="B1494" s="166" t="n"/>
      <c r="C1494" s="166" t="n"/>
      <c r="D1494" s="166" t="n"/>
      <c r="E1494" s="162" t="n"/>
      <c r="F1494" s="166" t="n"/>
      <c r="G1494" s="162" t="n"/>
      <c r="H1494" s="162" t="n"/>
      <c r="I1494" s="189">
        <f>E1494*G1494</f>
        <v/>
      </c>
      <c r="J1494" s="195" t="n"/>
      <c r="K1494" s="162" t="n"/>
      <c r="L1494" s="168" t="n"/>
      <c r="M1494" s="75">
        <f>_xlfn.XLOOKUP(L1494,list_vat[Страна],list_vat[Ставка НДС %],0,0)</f>
        <v/>
      </c>
      <c r="N1494" s="162">
        <f>IFERROR(IF(L1494="Китай",K1494,K1494/(1+M1494)),0)</f>
        <v/>
      </c>
      <c r="O1494" s="169" t="n"/>
      <c r="P1494" s="76">
        <f>N1494*(1-O1494)</f>
        <v/>
      </c>
      <c r="Q1494" s="162" t="n"/>
      <c r="R1494" s="162">
        <f>IF(ISBLANK(Q1494),"введи курс",P1494/Q1494)</f>
        <v/>
      </c>
      <c r="S1494" s="196">
        <f>IF(AND(ISNUMBER(E1494),ISNUMBER(Q1494)),E1494*R1494,0)</f>
        <v/>
      </c>
      <c r="T1494" s="192">
        <f>$BC1494*V$11</f>
        <v/>
      </c>
      <c r="U1494" s="76">
        <f>$BC1494*W$11</f>
        <v/>
      </c>
      <c r="V1494" s="193">
        <f>+SUM(T1494:U1494)</f>
        <v/>
      </c>
      <c r="W1494" s="191" t="n"/>
      <c r="X1494" s="170" t="n"/>
      <c r="Y1494" s="76">
        <f>ROUND(IF(offer_incoterms="DDP",X1494*(S1494*(1+AW1494)+T1494),0),2)</f>
        <v/>
      </c>
      <c r="Z1494" s="188" t="n"/>
      <c r="AA1494" s="192">
        <f>IFERROR(AB1494/E1494,0)</f>
        <v/>
      </c>
      <c r="AB1494" s="76">
        <f>ROUND(SUM(S1494,V1494,Y1494:Z1494,BA1494:BB1494),2)</f>
        <v/>
      </c>
      <c r="AC1494" s="797" t="n"/>
      <c r="AD1494" s="192">
        <f t="array" ref="AD1494">IFERROR(ROUND((_xlfn.IFS(offer_sale_type="поставка",AB1494,offer_sale_type="транзит",S1494)*(1+AC1494))/E1494,2),0)</f>
        <v/>
      </c>
      <c r="AE1494" s="76">
        <f>AD1494*E1494</f>
        <v/>
      </c>
      <c r="AF1494" s="193">
        <f t="array" ref="AF1494">IFERROR(ROUND(_xlfn.IFS(offer_sale_type="поставка",AB1494,offer_sale_type="транзит",S1494)*AC1494,2),0)</f>
        <v/>
      </c>
      <c r="AG1494" s="192">
        <f>$BD1494*VLOOKUP($AG$3,$AF$4:$AG$7,2,FALSE)</f>
        <v/>
      </c>
      <c r="AH1494" s="76">
        <f>SUM(AE1494,AG1494,AI1494)*rate_forex_risk</f>
        <v/>
      </c>
      <c r="AI1494" s="193">
        <f>IF(OR(seller_region="TR",offer_sale_type="экспорт"),0,rate_fin_comm)*SUM(AZ1494,AZ1494*AW1494,T1494)</f>
        <v/>
      </c>
      <c r="AJ1494" s="118">
        <f>IFERROR(ROUND(SUM(AB1494,AF1494:AI1494)/E1494,2),0)</f>
        <v/>
      </c>
      <c r="AK1494" s="76">
        <f>AJ1494*E1494</f>
        <v/>
      </c>
      <c r="AL1494" s="174">
        <f>ROUND(IFERROR(AM1494*E1494,0),2)</f>
        <v/>
      </c>
      <c r="AM1494" s="175">
        <f>ROUND(AJ1494*(1+IF(offer_incoterms="DDP",IF((TODAY()+offer_turnaround_time)&gt;=helpsheet!$L$17,rate_vatRU_from_26,rate_vatRu_till_25),0)),2)</f>
        <v/>
      </c>
      <c r="AN1494" s="192">
        <f>AL1494-AK1494</f>
        <v/>
      </c>
      <c r="AO1494" s="76">
        <f>SUM(AY1494,Y1494:Z1494,T1494)*IF(AND(offer_incoterms="DDP",offer_sale_type&lt;&gt;"экспорт"),IF((TODAY()+offer_turnaround_time)&gt;=helpsheet!$L$17,rate_vatRU_from_26,rate_vatRu_till_25),0)</f>
        <v/>
      </c>
      <c r="AP1494" s="193">
        <f>AN1494-AO1494</f>
        <v/>
      </c>
      <c r="AQ1494" s="118">
        <f>IF(offer_sale_type="транзит",SUM(AF1494:AI1494,BA1494,BB1494),0)</f>
        <v/>
      </c>
      <c r="AR1494" s="82">
        <f>HYPERLINK("https://www.alta.ru/tnved/code/")&amp;W1494&amp;"/"</f>
        <v/>
      </c>
      <c r="AS1494" s="157" t="n"/>
      <c r="AT1494" s="162" t="n"/>
      <c r="AU1494" s="76">
        <f>IF(ISBLANK(AT1494),0,AJ1494-AT1494)</f>
        <v/>
      </c>
      <c r="AV1494" s="157" t="n"/>
      <c r="AW1494" s="75">
        <f>_xlfn.IFNA(VLOOKUP(L1494,list_vat[],3,FALSE),0)</f>
        <v/>
      </c>
      <c r="AX1494" s="76">
        <f>IFERROR(ROUND(S1494*(1+AW1494)/E1494,2),0)</f>
        <v/>
      </c>
      <c r="AY1494" s="76">
        <f>E1494*AX1494</f>
        <v/>
      </c>
      <c r="AZ1494" s="192">
        <f>S1494*(1+M1494)</f>
        <v/>
      </c>
      <c r="BA1494" s="76">
        <f>cost_fin_total*$BD1494</f>
        <v/>
      </c>
      <c r="BB1494" s="193">
        <f>credit_sales_interest*BD1494</f>
        <v/>
      </c>
      <c r="BC1494" s="102">
        <f>IFERROR(IF($I$13&gt;0,$I1494/$I$13,$S1494/$S$13),0)</f>
        <v/>
      </c>
      <c r="BD1494" s="102">
        <f>IFERROR($S1494/$S$13,0)</f>
        <v/>
      </c>
      <c r="BE1494" s="413" t="inlineStr">
        <is>
          <t>$</t>
        </is>
      </c>
    </row>
    <row r="1495" ht="12" customFormat="1" customHeight="1" s="65">
      <c r="A1495" s="43" t="n">
        <v>1480</v>
      </c>
      <c r="B1495" s="166" t="n"/>
      <c r="C1495" s="166" t="n"/>
      <c r="D1495" s="166" t="n"/>
      <c r="E1495" s="162" t="n"/>
      <c r="F1495" s="166" t="n"/>
      <c r="G1495" s="162" t="n"/>
      <c r="H1495" s="162" t="n"/>
      <c r="I1495" s="189">
        <f>E1495*G1495</f>
        <v/>
      </c>
      <c r="J1495" s="195" t="n"/>
      <c r="K1495" s="162" t="n"/>
      <c r="L1495" s="168" t="n"/>
      <c r="M1495" s="75">
        <f>_xlfn.XLOOKUP(L1495,list_vat[Страна],list_vat[Ставка НДС %],0,0)</f>
        <v/>
      </c>
      <c r="N1495" s="162">
        <f>IFERROR(IF(L1495="Китай",K1495,K1495/(1+M1495)),0)</f>
        <v/>
      </c>
      <c r="O1495" s="169" t="n"/>
      <c r="P1495" s="76">
        <f>N1495*(1-O1495)</f>
        <v/>
      </c>
      <c r="Q1495" s="162" t="n"/>
      <c r="R1495" s="162">
        <f>IF(ISBLANK(Q1495),"введи курс",P1495/Q1495)</f>
        <v/>
      </c>
      <c r="S1495" s="196">
        <f>IF(AND(ISNUMBER(E1495),ISNUMBER(Q1495)),E1495*R1495,0)</f>
        <v/>
      </c>
      <c r="T1495" s="192">
        <f>$BC1495*V$11</f>
        <v/>
      </c>
      <c r="U1495" s="76">
        <f>$BC1495*W$11</f>
        <v/>
      </c>
      <c r="V1495" s="193">
        <f>+SUM(T1495:U1495)</f>
        <v/>
      </c>
      <c r="W1495" s="191" t="n"/>
      <c r="X1495" s="170" t="n"/>
      <c r="Y1495" s="76">
        <f>ROUND(IF(offer_incoterms="DDP",X1495*(S1495*(1+AW1495)+T1495),0),2)</f>
        <v/>
      </c>
      <c r="Z1495" s="188" t="n"/>
      <c r="AA1495" s="192">
        <f>IFERROR(AB1495/E1495,0)</f>
        <v/>
      </c>
      <c r="AB1495" s="76">
        <f>ROUND(SUM(S1495,V1495,Y1495:Z1495,BA1495:BB1495),2)</f>
        <v/>
      </c>
      <c r="AC1495" s="797" t="n"/>
      <c r="AD1495" s="192">
        <f t="array" ref="AD1495">IFERROR(ROUND((_xlfn.IFS(offer_sale_type="поставка",AB1495,offer_sale_type="транзит",S1495)*(1+AC1495))/E1495,2),0)</f>
        <v/>
      </c>
      <c r="AE1495" s="76">
        <f>AD1495*E1495</f>
        <v/>
      </c>
      <c r="AF1495" s="193">
        <f t="array" ref="AF1495">IFERROR(ROUND(_xlfn.IFS(offer_sale_type="поставка",AB1495,offer_sale_type="транзит",S1495)*AC1495,2),0)</f>
        <v/>
      </c>
      <c r="AG1495" s="192">
        <f>$BD1495*VLOOKUP($AG$3,$AF$4:$AG$7,2,FALSE)</f>
        <v/>
      </c>
      <c r="AH1495" s="76">
        <f>SUM(AE1495,AG1495,AI1495)*rate_forex_risk</f>
        <v/>
      </c>
      <c r="AI1495" s="193">
        <f>IF(OR(seller_region="TR",offer_sale_type="экспорт"),0,rate_fin_comm)*SUM(AZ1495,AZ1495*AW1495,T1495)</f>
        <v/>
      </c>
      <c r="AJ1495" s="118">
        <f>IFERROR(ROUND(SUM(AB1495,AF1495:AI1495)/E1495,2),0)</f>
        <v/>
      </c>
      <c r="AK1495" s="76">
        <f>AJ1495*E1495</f>
        <v/>
      </c>
      <c r="AL1495" s="174">
        <f>ROUND(IFERROR(AM1495*E1495,0),2)</f>
        <v/>
      </c>
      <c r="AM1495" s="175">
        <f>ROUND(AJ1495*(1+IF(offer_incoterms="DDP",IF((TODAY()+offer_turnaround_time)&gt;=helpsheet!$L$17,rate_vatRU_from_26,rate_vatRu_till_25),0)),2)</f>
        <v/>
      </c>
      <c r="AN1495" s="192">
        <f>AL1495-AK1495</f>
        <v/>
      </c>
      <c r="AO1495" s="76">
        <f>SUM(AY1495,Y1495:Z1495,T1495)*IF(AND(offer_incoterms="DDP",offer_sale_type&lt;&gt;"экспорт"),IF((TODAY()+offer_turnaround_time)&gt;=helpsheet!$L$17,rate_vatRU_from_26,rate_vatRu_till_25),0)</f>
        <v/>
      </c>
      <c r="AP1495" s="193">
        <f>AN1495-AO1495</f>
        <v/>
      </c>
      <c r="AQ1495" s="118">
        <f>IF(offer_sale_type="транзит",SUM(AF1495:AI1495,BA1495,BB1495),0)</f>
        <v/>
      </c>
      <c r="AR1495" s="82">
        <f>HYPERLINK("https://www.alta.ru/tnved/code/")&amp;W1495&amp;"/"</f>
        <v/>
      </c>
      <c r="AS1495" s="157" t="n"/>
      <c r="AT1495" s="162" t="n"/>
      <c r="AU1495" s="76">
        <f>IF(ISBLANK(AT1495),0,AJ1495-AT1495)</f>
        <v/>
      </c>
      <c r="AV1495" s="157" t="n"/>
      <c r="AW1495" s="75">
        <f>_xlfn.IFNA(VLOOKUP(L1495,list_vat[],3,FALSE),0)</f>
        <v/>
      </c>
      <c r="AX1495" s="76">
        <f>IFERROR(ROUND(S1495*(1+AW1495)/E1495,2),0)</f>
        <v/>
      </c>
      <c r="AY1495" s="76">
        <f>E1495*AX1495</f>
        <v/>
      </c>
      <c r="AZ1495" s="192">
        <f>S1495*(1+M1495)</f>
        <v/>
      </c>
      <c r="BA1495" s="76">
        <f>cost_fin_total*$BD1495</f>
        <v/>
      </c>
      <c r="BB1495" s="193">
        <f>credit_sales_interest*BD1495</f>
        <v/>
      </c>
      <c r="BC1495" s="102">
        <f>IFERROR(IF($I$13&gt;0,$I1495/$I$13,$S1495/$S$13),0)</f>
        <v/>
      </c>
      <c r="BD1495" s="102">
        <f>IFERROR($S1495/$S$13,0)</f>
        <v/>
      </c>
      <c r="BE1495" s="413" t="inlineStr">
        <is>
          <t>$</t>
        </is>
      </c>
    </row>
    <row r="1496" ht="12" customFormat="1" customHeight="1" s="65">
      <c r="A1496" s="43" t="n">
        <v>1481</v>
      </c>
      <c r="B1496" s="166" t="n"/>
      <c r="C1496" s="166" t="n"/>
      <c r="D1496" s="166" t="n"/>
      <c r="E1496" s="162" t="n"/>
      <c r="F1496" s="166" t="n"/>
      <c r="G1496" s="162" t="n"/>
      <c r="H1496" s="162" t="n"/>
      <c r="I1496" s="189">
        <f>E1496*G1496</f>
        <v/>
      </c>
      <c r="J1496" s="195" t="n"/>
      <c r="K1496" s="162" t="n"/>
      <c r="L1496" s="168" t="n"/>
      <c r="M1496" s="75">
        <f>_xlfn.XLOOKUP(L1496,list_vat[Страна],list_vat[Ставка НДС %],0,0)</f>
        <v/>
      </c>
      <c r="N1496" s="162">
        <f>IFERROR(IF(L1496="Китай",K1496,K1496/(1+M1496)),0)</f>
        <v/>
      </c>
      <c r="O1496" s="169" t="n"/>
      <c r="P1496" s="76">
        <f>N1496*(1-O1496)</f>
        <v/>
      </c>
      <c r="Q1496" s="162" t="n"/>
      <c r="R1496" s="162">
        <f>IF(ISBLANK(Q1496),"введи курс",P1496/Q1496)</f>
        <v/>
      </c>
      <c r="S1496" s="196">
        <f>IF(AND(ISNUMBER(E1496),ISNUMBER(Q1496)),E1496*R1496,0)</f>
        <v/>
      </c>
      <c r="T1496" s="192">
        <f>$BC1496*V$11</f>
        <v/>
      </c>
      <c r="U1496" s="76">
        <f>$BC1496*W$11</f>
        <v/>
      </c>
      <c r="V1496" s="193">
        <f>+SUM(T1496:U1496)</f>
        <v/>
      </c>
      <c r="W1496" s="191" t="n"/>
      <c r="X1496" s="170" t="n"/>
      <c r="Y1496" s="76">
        <f>ROUND(IF(offer_incoterms="DDP",X1496*(S1496*(1+AW1496)+T1496),0),2)</f>
        <v/>
      </c>
      <c r="Z1496" s="188" t="n"/>
      <c r="AA1496" s="192">
        <f>IFERROR(AB1496/E1496,0)</f>
        <v/>
      </c>
      <c r="AB1496" s="76">
        <f>ROUND(SUM(S1496,V1496,Y1496:Z1496,BA1496:BB1496),2)</f>
        <v/>
      </c>
      <c r="AC1496" s="797" t="n"/>
      <c r="AD1496" s="192">
        <f t="array" ref="AD1496">IFERROR(ROUND((_xlfn.IFS(offer_sale_type="поставка",AB1496,offer_sale_type="транзит",S1496)*(1+AC1496))/E1496,2),0)</f>
        <v/>
      </c>
      <c r="AE1496" s="76">
        <f>AD1496*E1496</f>
        <v/>
      </c>
      <c r="AF1496" s="193">
        <f t="array" ref="AF1496">IFERROR(ROUND(_xlfn.IFS(offer_sale_type="поставка",AB1496,offer_sale_type="транзит",S1496)*AC1496,2),0)</f>
        <v/>
      </c>
      <c r="AG1496" s="192">
        <f>$BD1496*VLOOKUP($AG$3,$AF$4:$AG$7,2,FALSE)</f>
        <v/>
      </c>
      <c r="AH1496" s="76">
        <f>SUM(AE1496,AG1496,AI1496)*rate_forex_risk</f>
        <v/>
      </c>
      <c r="AI1496" s="193">
        <f>IF(OR(seller_region="TR",offer_sale_type="экспорт"),0,rate_fin_comm)*SUM(AZ1496,AZ1496*AW1496,T1496)</f>
        <v/>
      </c>
      <c r="AJ1496" s="118">
        <f>IFERROR(ROUND(SUM(AB1496,AF1496:AI1496)/E1496,2),0)</f>
        <v/>
      </c>
      <c r="AK1496" s="76">
        <f>AJ1496*E1496</f>
        <v/>
      </c>
      <c r="AL1496" s="174">
        <f>ROUND(IFERROR(AM1496*E1496,0),2)</f>
        <v/>
      </c>
      <c r="AM1496" s="175">
        <f>ROUND(AJ1496*(1+IF(offer_incoterms="DDP",IF((TODAY()+offer_turnaround_time)&gt;=helpsheet!$L$17,rate_vatRU_from_26,rate_vatRu_till_25),0)),2)</f>
        <v/>
      </c>
      <c r="AN1496" s="192">
        <f>AL1496-AK1496</f>
        <v/>
      </c>
      <c r="AO1496" s="76">
        <f>SUM(AY1496,Y1496:Z1496,T1496)*IF(AND(offer_incoterms="DDP",offer_sale_type&lt;&gt;"экспорт"),IF((TODAY()+offer_turnaround_time)&gt;=helpsheet!$L$17,rate_vatRU_from_26,rate_vatRu_till_25),0)</f>
        <v/>
      </c>
      <c r="AP1496" s="193">
        <f>AN1496-AO1496</f>
        <v/>
      </c>
      <c r="AQ1496" s="118">
        <f>IF(offer_sale_type="транзит",SUM(AF1496:AI1496,BA1496,BB1496),0)</f>
        <v/>
      </c>
      <c r="AR1496" s="82">
        <f>HYPERLINK("https://www.alta.ru/tnved/code/")&amp;W1496&amp;"/"</f>
        <v/>
      </c>
      <c r="AS1496" s="157" t="n"/>
      <c r="AT1496" s="162" t="n"/>
      <c r="AU1496" s="76">
        <f>IF(ISBLANK(AT1496),0,AJ1496-AT1496)</f>
        <v/>
      </c>
      <c r="AV1496" s="157" t="n"/>
      <c r="AW1496" s="75">
        <f>_xlfn.IFNA(VLOOKUP(L1496,list_vat[],3,FALSE),0)</f>
        <v/>
      </c>
      <c r="AX1496" s="76">
        <f>IFERROR(ROUND(S1496*(1+AW1496)/E1496,2),0)</f>
        <v/>
      </c>
      <c r="AY1496" s="76">
        <f>E1496*AX1496</f>
        <v/>
      </c>
      <c r="AZ1496" s="192">
        <f>S1496*(1+M1496)</f>
        <v/>
      </c>
      <c r="BA1496" s="76">
        <f>cost_fin_total*$BD1496</f>
        <v/>
      </c>
      <c r="BB1496" s="193">
        <f>credit_sales_interest*BD1496</f>
        <v/>
      </c>
      <c r="BC1496" s="102">
        <f>IFERROR(IF($I$13&gt;0,$I1496/$I$13,$S1496/$S$13),0)</f>
        <v/>
      </c>
      <c r="BD1496" s="102">
        <f>IFERROR($S1496/$S$13,0)</f>
        <v/>
      </c>
      <c r="BE1496" s="413" t="inlineStr">
        <is>
          <t>$</t>
        </is>
      </c>
    </row>
    <row r="1497" ht="12" customFormat="1" customHeight="1" s="65">
      <c r="A1497" s="43" t="n">
        <v>1482</v>
      </c>
      <c r="B1497" s="166" t="n"/>
      <c r="C1497" s="166" t="n"/>
      <c r="D1497" s="166" t="n"/>
      <c r="E1497" s="162" t="n"/>
      <c r="F1497" s="166" t="n"/>
      <c r="G1497" s="162" t="n"/>
      <c r="H1497" s="162" t="n"/>
      <c r="I1497" s="189">
        <f>E1497*G1497</f>
        <v/>
      </c>
      <c r="J1497" s="195" t="n"/>
      <c r="K1497" s="162" t="n"/>
      <c r="L1497" s="168" t="n"/>
      <c r="M1497" s="75">
        <f>_xlfn.XLOOKUP(L1497,list_vat[Страна],list_vat[Ставка НДС %],0,0)</f>
        <v/>
      </c>
      <c r="N1497" s="162">
        <f>IFERROR(IF(L1497="Китай",K1497,K1497/(1+M1497)),0)</f>
        <v/>
      </c>
      <c r="O1497" s="169" t="n"/>
      <c r="P1497" s="76">
        <f>N1497*(1-O1497)</f>
        <v/>
      </c>
      <c r="Q1497" s="162" t="n"/>
      <c r="R1497" s="162">
        <f>IF(ISBLANK(Q1497),"введи курс",P1497/Q1497)</f>
        <v/>
      </c>
      <c r="S1497" s="196">
        <f>IF(AND(ISNUMBER(E1497),ISNUMBER(Q1497)),E1497*R1497,0)</f>
        <v/>
      </c>
      <c r="T1497" s="192">
        <f>$BC1497*V$11</f>
        <v/>
      </c>
      <c r="U1497" s="76">
        <f>$BC1497*W$11</f>
        <v/>
      </c>
      <c r="V1497" s="193">
        <f>+SUM(T1497:U1497)</f>
        <v/>
      </c>
      <c r="W1497" s="191" t="n"/>
      <c r="X1497" s="170" t="n"/>
      <c r="Y1497" s="76">
        <f>ROUND(IF(offer_incoterms="DDP",X1497*(S1497*(1+AW1497)+T1497),0),2)</f>
        <v/>
      </c>
      <c r="Z1497" s="188" t="n"/>
      <c r="AA1497" s="192">
        <f>IFERROR(AB1497/E1497,0)</f>
        <v/>
      </c>
      <c r="AB1497" s="76">
        <f>ROUND(SUM(S1497,V1497,Y1497:Z1497,BA1497:BB1497),2)</f>
        <v/>
      </c>
      <c r="AC1497" s="797" t="n"/>
      <c r="AD1497" s="192">
        <f t="array" ref="AD1497">IFERROR(ROUND((_xlfn.IFS(offer_sale_type="поставка",AB1497,offer_sale_type="транзит",S1497)*(1+AC1497))/E1497,2),0)</f>
        <v/>
      </c>
      <c r="AE1497" s="76">
        <f>AD1497*E1497</f>
        <v/>
      </c>
      <c r="AF1497" s="193">
        <f t="array" ref="AF1497">IFERROR(ROUND(_xlfn.IFS(offer_sale_type="поставка",AB1497,offer_sale_type="транзит",S1497)*AC1497,2),0)</f>
        <v/>
      </c>
      <c r="AG1497" s="192">
        <f>$BD1497*VLOOKUP($AG$3,$AF$4:$AG$7,2,FALSE)</f>
        <v/>
      </c>
      <c r="AH1497" s="76">
        <f>SUM(AE1497,AG1497,AI1497)*rate_forex_risk</f>
        <v/>
      </c>
      <c r="AI1497" s="193">
        <f>IF(OR(seller_region="TR",offer_sale_type="экспорт"),0,rate_fin_comm)*SUM(AZ1497,AZ1497*AW1497,T1497)</f>
        <v/>
      </c>
      <c r="AJ1497" s="118">
        <f>IFERROR(ROUND(SUM(AB1497,AF1497:AI1497)/E1497,2),0)</f>
        <v/>
      </c>
      <c r="AK1497" s="76">
        <f>AJ1497*E1497</f>
        <v/>
      </c>
      <c r="AL1497" s="174">
        <f>ROUND(IFERROR(AM1497*E1497,0),2)</f>
        <v/>
      </c>
      <c r="AM1497" s="175">
        <f>ROUND(AJ1497*(1+IF(offer_incoterms="DDP",IF((TODAY()+offer_turnaround_time)&gt;=helpsheet!$L$17,rate_vatRU_from_26,rate_vatRu_till_25),0)),2)</f>
        <v/>
      </c>
      <c r="AN1497" s="192">
        <f>AL1497-AK1497</f>
        <v/>
      </c>
      <c r="AO1497" s="76">
        <f>SUM(AY1497,Y1497:Z1497,T1497)*IF(AND(offer_incoterms="DDP",offer_sale_type&lt;&gt;"экспорт"),IF((TODAY()+offer_turnaround_time)&gt;=helpsheet!$L$17,rate_vatRU_from_26,rate_vatRu_till_25),0)</f>
        <v/>
      </c>
      <c r="AP1497" s="193">
        <f>AN1497-AO1497</f>
        <v/>
      </c>
      <c r="AQ1497" s="118">
        <f>IF(offer_sale_type="транзит",SUM(AF1497:AI1497,BA1497,BB1497),0)</f>
        <v/>
      </c>
      <c r="AR1497" s="82">
        <f>HYPERLINK("https://www.alta.ru/tnved/code/")&amp;W1497&amp;"/"</f>
        <v/>
      </c>
      <c r="AS1497" s="157" t="n"/>
      <c r="AT1497" s="162" t="n"/>
      <c r="AU1497" s="76">
        <f>IF(ISBLANK(AT1497),0,AJ1497-AT1497)</f>
        <v/>
      </c>
      <c r="AV1497" s="157" t="n"/>
      <c r="AW1497" s="75">
        <f>_xlfn.IFNA(VLOOKUP(L1497,list_vat[],3,FALSE),0)</f>
        <v/>
      </c>
      <c r="AX1497" s="76">
        <f>IFERROR(ROUND(S1497*(1+AW1497)/E1497,2),0)</f>
        <v/>
      </c>
      <c r="AY1497" s="76">
        <f>E1497*AX1497</f>
        <v/>
      </c>
      <c r="AZ1497" s="192">
        <f>S1497*(1+M1497)</f>
        <v/>
      </c>
      <c r="BA1497" s="76">
        <f>cost_fin_total*$BD1497</f>
        <v/>
      </c>
      <c r="BB1497" s="193">
        <f>credit_sales_interest*BD1497</f>
        <v/>
      </c>
      <c r="BC1497" s="102">
        <f>IFERROR(IF($I$13&gt;0,$I1497/$I$13,$S1497/$S$13),0)</f>
        <v/>
      </c>
      <c r="BD1497" s="102">
        <f>IFERROR($S1497/$S$13,0)</f>
        <v/>
      </c>
      <c r="BE1497" s="413" t="inlineStr">
        <is>
          <t>$</t>
        </is>
      </c>
    </row>
    <row r="1498" ht="12" customFormat="1" customHeight="1" s="65">
      <c r="A1498" s="43" t="n">
        <v>1483</v>
      </c>
      <c r="B1498" s="166" t="n"/>
      <c r="C1498" s="166" t="n"/>
      <c r="D1498" s="166" t="n"/>
      <c r="E1498" s="162" t="n"/>
      <c r="F1498" s="166" t="n"/>
      <c r="G1498" s="162" t="n"/>
      <c r="H1498" s="162" t="n"/>
      <c r="I1498" s="189">
        <f>E1498*G1498</f>
        <v/>
      </c>
      <c r="J1498" s="195" t="n"/>
      <c r="K1498" s="162" t="n"/>
      <c r="L1498" s="168" t="n"/>
      <c r="M1498" s="75">
        <f>_xlfn.XLOOKUP(L1498,list_vat[Страна],list_vat[Ставка НДС %],0,0)</f>
        <v/>
      </c>
      <c r="N1498" s="162">
        <f>IFERROR(IF(L1498="Китай",K1498,K1498/(1+M1498)),0)</f>
        <v/>
      </c>
      <c r="O1498" s="169" t="n"/>
      <c r="P1498" s="76">
        <f>N1498*(1-O1498)</f>
        <v/>
      </c>
      <c r="Q1498" s="162" t="n"/>
      <c r="R1498" s="162">
        <f>IF(ISBLANK(Q1498),"введи курс",P1498/Q1498)</f>
        <v/>
      </c>
      <c r="S1498" s="196">
        <f>IF(AND(ISNUMBER(E1498),ISNUMBER(Q1498)),E1498*R1498,0)</f>
        <v/>
      </c>
      <c r="T1498" s="192">
        <f>$BC1498*V$11</f>
        <v/>
      </c>
      <c r="U1498" s="76">
        <f>$BC1498*W$11</f>
        <v/>
      </c>
      <c r="V1498" s="193">
        <f>+SUM(T1498:U1498)</f>
        <v/>
      </c>
      <c r="W1498" s="191" t="n"/>
      <c r="X1498" s="170" t="n"/>
      <c r="Y1498" s="76">
        <f>ROUND(IF(offer_incoterms="DDP",X1498*(S1498*(1+AW1498)+T1498),0),2)</f>
        <v/>
      </c>
      <c r="Z1498" s="188" t="n"/>
      <c r="AA1498" s="192">
        <f>IFERROR(AB1498/E1498,0)</f>
        <v/>
      </c>
      <c r="AB1498" s="76">
        <f>ROUND(SUM(S1498,V1498,Y1498:Z1498,BA1498:BB1498),2)</f>
        <v/>
      </c>
      <c r="AC1498" s="797" t="n"/>
      <c r="AD1498" s="192">
        <f t="array" ref="AD1498">IFERROR(ROUND((_xlfn.IFS(offer_sale_type="поставка",AB1498,offer_sale_type="транзит",S1498)*(1+AC1498))/E1498,2),0)</f>
        <v/>
      </c>
      <c r="AE1498" s="76">
        <f>AD1498*E1498</f>
        <v/>
      </c>
      <c r="AF1498" s="193">
        <f t="array" ref="AF1498">IFERROR(ROUND(_xlfn.IFS(offer_sale_type="поставка",AB1498,offer_sale_type="транзит",S1498)*AC1498,2),0)</f>
        <v/>
      </c>
      <c r="AG1498" s="192">
        <f>$BD1498*VLOOKUP($AG$3,$AF$4:$AG$7,2,FALSE)</f>
        <v/>
      </c>
      <c r="AH1498" s="76">
        <f>SUM(AE1498,AG1498,AI1498)*rate_forex_risk</f>
        <v/>
      </c>
      <c r="AI1498" s="193">
        <f>IF(OR(seller_region="TR",offer_sale_type="экспорт"),0,rate_fin_comm)*SUM(AZ1498,AZ1498*AW1498,T1498)</f>
        <v/>
      </c>
      <c r="AJ1498" s="118">
        <f>IFERROR(ROUND(SUM(AB1498,AF1498:AI1498)/E1498,2),0)</f>
        <v/>
      </c>
      <c r="AK1498" s="76">
        <f>AJ1498*E1498</f>
        <v/>
      </c>
      <c r="AL1498" s="174">
        <f>ROUND(IFERROR(AM1498*E1498,0),2)</f>
        <v/>
      </c>
      <c r="AM1498" s="175">
        <f>ROUND(AJ1498*(1+IF(offer_incoterms="DDP",IF((TODAY()+offer_turnaround_time)&gt;=helpsheet!$L$17,rate_vatRU_from_26,rate_vatRu_till_25),0)),2)</f>
        <v/>
      </c>
      <c r="AN1498" s="192">
        <f>AL1498-AK1498</f>
        <v/>
      </c>
      <c r="AO1498" s="76">
        <f>SUM(AY1498,Y1498:Z1498,T1498)*IF(AND(offer_incoterms="DDP",offer_sale_type&lt;&gt;"экспорт"),IF((TODAY()+offer_turnaround_time)&gt;=helpsheet!$L$17,rate_vatRU_from_26,rate_vatRu_till_25),0)</f>
        <v/>
      </c>
      <c r="AP1498" s="193">
        <f>AN1498-AO1498</f>
        <v/>
      </c>
      <c r="AQ1498" s="118">
        <f>IF(offer_sale_type="транзит",SUM(AF1498:AI1498,BA1498,BB1498),0)</f>
        <v/>
      </c>
      <c r="AR1498" s="82">
        <f>HYPERLINK("https://www.alta.ru/tnved/code/")&amp;W1498&amp;"/"</f>
        <v/>
      </c>
      <c r="AS1498" s="157" t="n"/>
      <c r="AT1498" s="162" t="n"/>
      <c r="AU1498" s="76">
        <f>IF(ISBLANK(AT1498),0,AJ1498-AT1498)</f>
        <v/>
      </c>
      <c r="AV1498" s="157" t="n"/>
      <c r="AW1498" s="75">
        <f>_xlfn.IFNA(VLOOKUP(L1498,list_vat[],3,FALSE),0)</f>
        <v/>
      </c>
      <c r="AX1498" s="76">
        <f>IFERROR(ROUND(S1498*(1+AW1498)/E1498,2),0)</f>
        <v/>
      </c>
      <c r="AY1498" s="76">
        <f>E1498*AX1498</f>
        <v/>
      </c>
      <c r="AZ1498" s="192">
        <f>S1498*(1+M1498)</f>
        <v/>
      </c>
      <c r="BA1498" s="76">
        <f>cost_fin_total*$BD1498</f>
        <v/>
      </c>
      <c r="BB1498" s="193">
        <f>credit_sales_interest*BD1498</f>
        <v/>
      </c>
      <c r="BC1498" s="102">
        <f>IFERROR(IF($I$13&gt;0,$I1498/$I$13,$S1498/$S$13),0)</f>
        <v/>
      </c>
      <c r="BD1498" s="102">
        <f>IFERROR($S1498/$S$13,0)</f>
        <v/>
      </c>
      <c r="BE1498" s="413" t="inlineStr">
        <is>
          <t>$</t>
        </is>
      </c>
    </row>
    <row r="1499" ht="12" customFormat="1" customHeight="1" s="65">
      <c r="A1499" s="43" t="n">
        <v>1484</v>
      </c>
      <c r="B1499" s="166" t="n"/>
      <c r="C1499" s="166" t="n"/>
      <c r="D1499" s="166" t="n"/>
      <c r="E1499" s="162" t="n"/>
      <c r="F1499" s="166" t="n"/>
      <c r="G1499" s="162" t="n"/>
      <c r="H1499" s="162" t="n"/>
      <c r="I1499" s="189">
        <f>E1499*G1499</f>
        <v/>
      </c>
      <c r="J1499" s="195" t="n"/>
      <c r="K1499" s="162" t="n"/>
      <c r="L1499" s="168" t="n"/>
      <c r="M1499" s="75">
        <f>_xlfn.XLOOKUP(L1499,list_vat[Страна],list_vat[Ставка НДС %],0,0)</f>
        <v/>
      </c>
      <c r="N1499" s="162">
        <f>IFERROR(IF(L1499="Китай",K1499,K1499/(1+M1499)),0)</f>
        <v/>
      </c>
      <c r="O1499" s="169" t="n"/>
      <c r="P1499" s="76">
        <f>N1499*(1-O1499)</f>
        <v/>
      </c>
      <c r="Q1499" s="162" t="n"/>
      <c r="R1499" s="162">
        <f>IF(ISBLANK(Q1499),"введи курс",P1499/Q1499)</f>
        <v/>
      </c>
      <c r="S1499" s="196">
        <f>IF(AND(ISNUMBER(E1499),ISNUMBER(Q1499)),E1499*R1499,0)</f>
        <v/>
      </c>
      <c r="T1499" s="192">
        <f>$BC1499*V$11</f>
        <v/>
      </c>
      <c r="U1499" s="76">
        <f>$BC1499*W$11</f>
        <v/>
      </c>
      <c r="V1499" s="193">
        <f>+SUM(T1499:U1499)</f>
        <v/>
      </c>
      <c r="W1499" s="191" t="n"/>
      <c r="X1499" s="170" t="n"/>
      <c r="Y1499" s="76">
        <f>ROUND(IF(offer_incoterms="DDP",X1499*(S1499*(1+AW1499)+T1499),0),2)</f>
        <v/>
      </c>
      <c r="Z1499" s="188" t="n"/>
      <c r="AA1499" s="192">
        <f>IFERROR(AB1499/E1499,0)</f>
        <v/>
      </c>
      <c r="AB1499" s="76">
        <f>ROUND(SUM(S1499,V1499,Y1499:Z1499,BA1499:BB1499),2)</f>
        <v/>
      </c>
      <c r="AC1499" s="797" t="n"/>
      <c r="AD1499" s="192">
        <f t="array" ref="AD1499">IFERROR(ROUND((_xlfn.IFS(offer_sale_type="поставка",AB1499,offer_sale_type="транзит",S1499)*(1+AC1499))/E1499,2),0)</f>
        <v/>
      </c>
      <c r="AE1499" s="76">
        <f>AD1499*E1499</f>
        <v/>
      </c>
      <c r="AF1499" s="193">
        <f t="array" ref="AF1499">IFERROR(ROUND(_xlfn.IFS(offer_sale_type="поставка",AB1499,offer_sale_type="транзит",S1499)*AC1499,2),0)</f>
        <v/>
      </c>
      <c r="AG1499" s="192">
        <f>$BD1499*VLOOKUP($AG$3,$AF$4:$AG$7,2,FALSE)</f>
        <v/>
      </c>
      <c r="AH1499" s="76">
        <f>SUM(AE1499,AG1499,AI1499)*rate_forex_risk</f>
        <v/>
      </c>
      <c r="AI1499" s="193">
        <f>IF(OR(seller_region="TR",offer_sale_type="экспорт"),0,rate_fin_comm)*SUM(AZ1499,AZ1499*AW1499,T1499)</f>
        <v/>
      </c>
      <c r="AJ1499" s="118">
        <f>IFERROR(ROUND(SUM(AB1499,AF1499:AI1499)/E1499,2),0)</f>
        <v/>
      </c>
      <c r="AK1499" s="76">
        <f>AJ1499*E1499</f>
        <v/>
      </c>
      <c r="AL1499" s="174">
        <f>ROUND(IFERROR(AM1499*E1499,0),2)</f>
        <v/>
      </c>
      <c r="AM1499" s="175">
        <f>ROUND(AJ1499*(1+IF(offer_incoterms="DDP",IF((TODAY()+offer_turnaround_time)&gt;=helpsheet!$L$17,rate_vatRU_from_26,rate_vatRu_till_25),0)),2)</f>
        <v/>
      </c>
      <c r="AN1499" s="192">
        <f>AL1499-AK1499</f>
        <v/>
      </c>
      <c r="AO1499" s="76">
        <f>SUM(AY1499,Y1499:Z1499,T1499)*IF(AND(offer_incoterms="DDP",offer_sale_type&lt;&gt;"экспорт"),IF((TODAY()+offer_turnaround_time)&gt;=helpsheet!$L$17,rate_vatRU_from_26,rate_vatRu_till_25),0)</f>
        <v/>
      </c>
      <c r="AP1499" s="193">
        <f>AN1499-AO1499</f>
        <v/>
      </c>
      <c r="AQ1499" s="118">
        <f>IF(offer_sale_type="транзит",SUM(AF1499:AI1499,BA1499,BB1499),0)</f>
        <v/>
      </c>
      <c r="AR1499" s="82">
        <f>HYPERLINK("https://www.alta.ru/tnved/code/")&amp;W1499&amp;"/"</f>
        <v/>
      </c>
      <c r="AS1499" s="157" t="n"/>
      <c r="AT1499" s="162" t="n"/>
      <c r="AU1499" s="76">
        <f>IF(ISBLANK(AT1499),0,AJ1499-AT1499)</f>
        <v/>
      </c>
      <c r="AV1499" s="157" t="n"/>
      <c r="AW1499" s="75">
        <f>_xlfn.IFNA(VLOOKUP(L1499,list_vat[],3,FALSE),0)</f>
        <v/>
      </c>
      <c r="AX1499" s="76">
        <f>IFERROR(ROUND(S1499*(1+AW1499)/E1499,2),0)</f>
        <v/>
      </c>
      <c r="AY1499" s="76">
        <f>E1499*AX1499</f>
        <v/>
      </c>
      <c r="AZ1499" s="192">
        <f>S1499*(1+M1499)</f>
        <v/>
      </c>
      <c r="BA1499" s="76">
        <f>cost_fin_total*$BD1499</f>
        <v/>
      </c>
      <c r="BB1499" s="193">
        <f>credit_sales_interest*BD1499</f>
        <v/>
      </c>
      <c r="BC1499" s="102">
        <f>IFERROR(IF($I$13&gt;0,$I1499/$I$13,$S1499/$S$13),0)</f>
        <v/>
      </c>
      <c r="BD1499" s="102">
        <f>IFERROR($S1499/$S$13,0)</f>
        <v/>
      </c>
      <c r="BE1499" s="413" t="inlineStr">
        <is>
          <t>$</t>
        </is>
      </c>
    </row>
    <row r="1500" ht="12" customFormat="1" customHeight="1" s="65">
      <c r="A1500" s="43" t="n">
        <v>1485</v>
      </c>
      <c r="B1500" s="166" t="n"/>
      <c r="C1500" s="166" t="n"/>
      <c r="D1500" s="166" t="n"/>
      <c r="E1500" s="162" t="n"/>
      <c r="F1500" s="166" t="n"/>
      <c r="G1500" s="162" t="n"/>
      <c r="H1500" s="162" t="n"/>
      <c r="I1500" s="189">
        <f>E1500*G1500</f>
        <v/>
      </c>
      <c r="J1500" s="195" t="n"/>
      <c r="K1500" s="162" t="n"/>
      <c r="L1500" s="168" t="n"/>
      <c r="M1500" s="75">
        <f>_xlfn.XLOOKUP(L1500,list_vat[Страна],list_vat[Ставка НДС %],0,0)</f>
        <v/>
      </c>
      <c r="N1500" s="162">
        <f>IFERROR(IF(L1500="Китай",K1500,K1500/(1+M1500)),0)</f>
        <v/>
      </c>
      <c r="O1500" s="169" t="n"/>
      <c r="P1500" s="76">
        <f>N1500*(1-O1500)</f>
        <v/>
      </c>
      <c r="Q1500" s="162" t="n"/>
      <c r="R1500" s="162">
        <f>IF(ISBLANK(Q1500),"введи курс",P1500/Q1500)</f>
        <v/>
      </c>
      <c r="S1500" s="196">
        <f>IF(AND(ISNUMBER(E1500),ISNUMBER(Q1500)),E1500*R1500,0)</f>
        <v/>
      </c>
      <c r="T1500" s="192">
        <f>$BC1500*V$11</f>
        <v/>
      </c>
      <c r="U1500" s="76">
        <f>$BC1500*W$11</f>
        <v/>
      </c>
      <c r="V1500" s="193">
        <f>+SUM(T1500:U1500)</f>
        <v/>
      </c>
      <c r="W1500" s="191" t="n"/>
      <c r="X1500" s="170" t="n"/>
      <c r="Y1500" s="76">
        <f>ROUND(IF(offer_incoterms="DDP",X1500*(S1500*(1+AW1500)+T1500),0),2)</f>
        <v/>
      </c>
      <c r="Z1500" s="188" t="n"/>
      <c r="AA1500" s="192">
        <f>IFERROR(AB1500/E1500,0)</f>
        <v/>
      </c>
      <c r="AB1500" s="76">
        <f>ROUND(SUM(S1500,V1500,Y1500:Z1500,BA1500:BB1500),2)</f>
        <v/>
      </c>
      <c r="AC1500" s="797" t="n"/>
      <c r="AD1500" s="192">
        <f t="array" ref="AD1500">IFERROR(ROUND((_xlfn.IFS(offer_sale_type="поставка",AB1500,offer_sale_type="транзит",S1500)*(1+AC1500))/E1500,2),0)</f>
        <v/>
      </c>
      <c r="AE1500" s="76">
        <f>AD1500*E1500</f>
        <v/>
      </c>
      <c r="AF1500" s="193">
        <f t="array" ref="AF1500">IFERROR(ROUND(_xlfn.IFS(offer_sale_type="поставка",AB1500,offer_sale_type="транзит",S1500)*AC1500,2),0)</f>
        <v/>
      </c>
      <c r="AG1500" s="192">
        <f>$BD1500*VLOOKUP($AG$3,$AF$4:$AG$7,2,FALSE)</f>
        <v/>
      </c>
      <c r="AH1500" s="76">
        <f>SUM(AE1500,AG1500,AI1500)*rate_forex_risk</f>
        <v/>
      </c>
      <c r="AI1500" s="193">
        <f>IF(OR(seller_region="TR",offer_sale_type="экспорт"),0,rate_fin_comm)*SUM(AZ1500,AZ1500*AW1500,T1500)</f>
        <v/>
      </c>
      <c r="AJ1500" s="118">
        <f>IFERROR(ROUND(SUM(AB1500,AF1500:AI1500)/E1500,2),0)</f>
        <v/>
      </c>
      <c r="AK1500" s="76">
        <f>AJ1500*E1500</f>
        <v/>
      </c>
      <c r="AL1500" s="174">
        <f>ROUND(IFERROR(AM1500*E1500,0),2)</f>
        <v/>
      </c>
      <c r="AM1500" s="175">
        <f>ROUND(AJ1500*(1+IF(offer_incoterms="DDP",IF((TODAY()+offer_turnaround_time)&gt;=helpsheet!$L$17,rate_vatRU_from_26,rate_vatRu_till_25),0)),2)</f>
        <v/>
      </c>
      <c r="AN1500" s="192">
        <f>AL1500-AK1500</f>
        <v/>
      </c>
      <c r="AO1500" s="76">
        <f>SUM(AY1500,Y1500:Z1500,T1500)*IF(AND(offer_incoterms="DDP",offer_sale_type&lt;&gt;"экспорт"),IF((TODAY()+offer_turnaround_time)&gt;=helpsheet!$L$17,rate_vatRU_from_26,rate_vatRu_till_25),0)</f>
        <v/>
      </c>
      <c r="AP1500" s="193">
        <f>AN1500-AO1500</f>
        <v/>
      </c>
      <c r="AQ1500" s="118">
        <f>IF(offer_sale_type="транзит",SUM(AF1500:AI1500,BA1500,BB1500),0)</f>
        <v/>
      </c>
      <c r="AR1500" s="82">
        <f>HYPERLINK("https://www.alta.ru/tnved/code/")&amp;W1500&amp;"/"</f>
        <v/>
      </c>
      <c r="AS1500" s="157" t="n"/>
      <c r="AT1500" s="162" t="n"/>
      <c r="AU1500" s="76">
        <f>IF(ISBLANK(AT1500),0,AJ1500-AT1500)</f>
        <v/>
      </c>
      <c r="AV1500" s="157" t="n"/>
      <c r="AW1500" s="75">
        <f>_xlfn.IFNA(VLOOKUP(L1500,list_vat[],3,FALSE),0)</f>
        <v/>
      </c>
      <c r="AX1500" s="76">
        <f>IFERROR(ROUND(S1500*(1+AW1500)/E1500,2),0)</f>
        <v/>
      </c>
      <c r="AY1500" s="76">
        <f>E1500*AX1500</f>
        <v/>
      </c>
      <c r="AZ1500" s="192">
        <f>S1500*(1+M1500)</f>
        <v/>
      </c>
      <c r="BA1500" s="76">
        <f>cost_fin_total*$BD1500</f>
        <v/>
      </c>
      <c r="BB1500" s="193">
        <f>credit_sales_interest*BD1500</f>
        <v/>
      </c>
      <c r="BC1500" s="102">
        <f>IFERROR(IF($I$13&gt;0,$I1500/$I$13,$S1500/$S$13),0)</f>
        <v/>
      </c>
      <c r="BD1500" s="102">
        <f>IFERROR($S1500/$S$13,0)</f>
        <v/>
      </c>
      <c r="BE1500" s="413" t="inlineStr">
        <is>
          <t>$</t>
        </is>
      </c>
    </row>
    <row r="1501" ht="12" customFormat="1" customHeight="1" s="65">
      <c r="A1501" s="43" t="n">
        <v>1486</v>
      </c>
      <c r="B1501" s="166" t="n"/>
      <c r="C1501" s="166" t="n"/>
      <c r="D1501" s="166" t="n"/>
      <c r="E1501" s="162" t="n"/>
      <c r="F1501" s="166" t="n"/>
      <c r="G1501" s="162" t="n"/>
      <c r="H1501" s="162" t="n"/>
      <c r="I1501" s="189">
        <f>E1501*G1501</f>
        <v/>
      </c>
      <c r="J1501" s="195" t="n"/>
      <c r="K1501" s="162" t="n"/>
      <c r="L1501" s="168" t="n"/>
      <c r="M1501" s="75">
        <f>_xlfn.XLOOKUP(L1501,list_vat[Страна],list_vat[Ставка НДС %],0,0)</f>
        <v/>
      </c>
      <c r="N1501" s="162">
        <f>IFERROR(IF(L1501="Китай",K1501,K1501/(1+M1501)),0)</f>
        <v/>
      </c>
      <c r="O1501" s="169" t="n"/>
      <c r="P1501" s="76">
        <f>N1501*(1-O1501)</f>
        <v/>
      </c>
      <c r="Q1501" s="162" t="n"/>
      <c r="R1501" s="162">
        <f>IF(ISBLANK(Q1501),"введи курс",P1501/Q1501)</f>
        <v/>
      </c>
      <c r="S1501" s="196">
        <f>IF(AND(ISNUMBER(E1501),ISNUMBER(Q1501)),E1501*R1501,0)</f>
        <v/>
      </c>
      <c r="T1501" s="192">
        <f>$BC1501*V$11</f>
        <v/>
      </c>
      <c r="U1501" s="76">
        <f>$BC1501*W$11</f>
        <v/>
      </c>
      <c r="V1501" s="193">
        <f>+SUM(T1501:U1501)</f>
        <v/>
      </c>
      <c r="W1501" s="191" t="n"/>
      <c r="X1501" s="170" t="n"/>
      <c r="Y1501" s="76">
        <f>ROUND(IF(offer_incoterms="DDP",X1501*(S1501*(1+AW1501)+T1501),0),2)</f>
        <v/>
      </c>
      <c r="Z1501" s="188" t="n"/>
      <c r="AA1501" s="192">
        <f>IFERROR(AB1501/E1501,0)</f>
        <v/>
      </c>
      <c r="AB1501" s="76">
        <f>ROUND(SUM(S1501,V1501,Y1501:Z1501,BA1501:BB1501),2)</f>
        <v/>
      </c>
      <c r="AC1501" s="797" t="n"/>
      <c r="AD1501" s="192">
        <f t="array" ref="AD1501">IFERROR(ROUND((_xlfn.IFS(offer_sale_type="поставка",AB1501,offer_sale_type="транзит",S1501)*(1+AC1501))/E1501,2),0)</f>
        <v/>
      </c>
      <c r="AE1501" s="76">
        <f>AD1501*E1501</f>
        <v/>
      </c>
      <c r="AF1501" s="193">
        <f t="array" ref="AF1501">IFERROR(ROUND(_xlfn.IFS(offer_sale_type="поставка",AB1501,offer_sale_type="транзит",S1501)*AC1501,2),0)</f>
        <v/>
      </c>
      <c r="AG1501" s="192">
        <f>$BD1501*VLOOKUP($AG$3,$AF$4:$AG$7,2,FALSE)</f>
        <v/>
      </c>
      <c r="AH1501" s="76">
        <f>SUM(AE1501,AG1501,AI1501)*rate_forex_risk</f>
        <v/>
      </c>
      <c r="AI1501" s="193">
        <f>IF(OR(seller_region="TR",offer_sale_type="экспорт"),0,rate_fin_comm)*SUM(AZ1501,AZ1501*AW1501,T1501)</f>
        <v/>
      </c>
      <c r="AJ1501" s="118">
        <f>IFERROR(ROUND(SUM(AB1501,AF1501:AI1501)/E1501,2),0)</f>
        <v/>
      </c>
      <c r="AK1501" s="76">
        <f>AJ1501*E1501</f>
        <v/>
      </c>
      <c r="AL1501" s="174">
        <f>ROUND(IFERROR(AM1501*E1501,0),2)</f>
        <v/>
      </c>
      <c r="AM1501" s="175">
        <f>ROUND(AJ1501*(1+IF(offer_incoterms="DDP",IF((TODAY()+offer_turnaround_time)&gt;=helpsheet!$L$17,rate_vatRU_from_26,rate_vatRu_till_25),0)),2)</f>
        <v/>
      </c>
      <c r="AN1501" s="192">
        <f>AL1501-AK1501</f>
        <v/>
      </c>
      <c r="AO1501" s="76">
        <f>SUM(AY1501,Y1501:Z1501,T1501)*IF(AND(offer_incoterms="DDP",offer_sale_type&lt;&gt;"экспорт"),IF((TODAY()+offer_turnaround_time)&gt;=helpsheet!$L$17,rate_vatRU_from_26,rate_vatRu_till_25),0)</f>
        <v/>
      </c>
      <c r="AP1501" s="193">
        <f>AN1501-AO1501</f>
        <v/>
      </c>
      <c r="AQ1501" s="118">
        <f>IF(offer_sale_type="транзит",SUM(AF1501:AI1501,BA1501,BB1501),0)</f>
        <v/>
      </c>
      <c r="AR1501" s="82">
        <f>HYPERLINK("https://www.alta.ru/tnved/code/")&amp;W1501&amp;"/"</f>
        <v/>
      </c>
      <c r="AS1501" s="157" t="n"/>
      <c r="AT1501" s="162" t="n"/>
      <c r="AU1501" s="76">
        <f>IF(ISBLANK(AT1501),0,AJ1501-AT1501)</f>
        <v/>
      </c>
      <c r="AV1501" s="157" t="n"/>
      <c r="AW1501" s="75">
        <f>_xlfn.IFNA(VLOOKUP(L1501,list_vat[],3,FALSE),0)</f>
        <v/>
      </c>
      <c r="AX1501" s="76">
        <f>IFERROR(ROUND(S1501*(1+AW1501)/E1501,2),0)</f>
        <v/>
      </c>
      <c r="AY1501" s="76">
        <f>E1501*AX1501</f>
        <v/>
      </c>
      <c r="AZ1501" s="192">
        <f>S1501*(1+M1501)</f>
        <v/>
      </c>
      <c r="BA1501" s="76">
        <f>cost_fin_total*$BD1501</f>
        <v/>
      </c>
      <c r="BB1501" s="193">
        <f>credit_sales_interest*BD1501</f>
        <v/>
      </c>
      <c r="BC1501" s="102">
        <f>IFERROR(IF($I$13&gt;0,$I1501/$I$13,$S1501/$S$13),0)</f>
        <v/>
      </c>
      <c r="BD1501" s="102">
        <f>IFERROR($S1501/$S$13,0)</f>
        <v/>
      </c>
      <c r="BE1501" s="413" t="inlineStr">
        <is>
          <t>$</t>
        </is>
      </c>
    </row>
    <row r="1502" ht="12" customFormat="1" customHeight="1" s="65">
      <c r="A1502" s="43" t="n">
        <v>1487</v>
      </c>
      <c r="B1502" s="166" t="n"/>
      <c r="C1502" s="166" t="n"/>
      <c r="D1502" s="166" t="n"/>
      <c r="E1502" s="162" t="n"/>
      <c r="F1502" s="166" t="n"/>
      <c r="G1502" s="162" t="n"/>
      <c r="H1502" s="162" t="n"/>
      <c r="I1502" s="189">
        <f>E1502*G1502</f>
        <v/>
      </c>
      <c r="J1502" s="195" t="n"/>
      <c r="K1502" s="162" t="n"/>
      <c r="L1502" s="168" t="n"/>
      <c r="M1502" s="75">
        <f>_xlfn.XLOOKUP(L1502,list_vat[Страна],list_vat[Ставка НДС %],0,0)</f>
        <v/>
      </c>
      <c r="N1502" s="162">
        <f>IFERROR(IF(L1502="Китай",K1502,K1502/(1+M1502)),0)</f>
        <v/>
      </c>
      <c r="O1502" s="169" t="n"/>
      <c r="P1502" s="76">
        <f>N1502*(1-O1502)</f>
        <v/>
      </c>
      <c r="Q1502" s="162" t="n"/>
      <c r="R1502" s="162">
        <f>IF(ISBLANK(Q1502),"введи курс",P1502/Q1502)</f>
        <v/>
      </c>
      <c r="S1502" s="196">
        <f>IF(AND(ISNUMBER(E1502),ISNUMBER(Q1502)),E1502*R1502,0)</f>
        <v/>
      </c>
      <c r="T1502" s="192">
        <f>$BC1502*V$11</f>
        <v/>
      </c>
      <c r="U1502" s="76">
        <f>$BC1502*W$11</f>
        <v/>
      </c>
      <c r="V1502" s="193">
        <f>+SUM(T1502:U1502)</f>
        <v/>
      </c>
      <c r="W1502" s="191" t="n"/>
      <c r="X1502" s="170" t="n"/>
      <c r="Y1502" s="76">
        <f>ROUND(IF(offer_incoterms="DDP",X1502*(S1502*(1+AW1502)+T1502),0),2)</f>
        <v/>
      </c>
      <c r="Z1502" s="188" t="n"/>
      <c r="AA1502" s="192">
        <f>IFERROR(AB1502/E1502,0)</f>
        <v/>
      </c>
      <c r="AB1502" s="76">
        <f>ROUND(SUM(S1502,V1502,Y1502:Z1502,BA1502:BB1502),2)</f>
        <v/>
      </c>
      <c r="AC1502" s="797" t="n"/>
      <c r="AD1502" s="192">
        <f t="array" ref="AD1502">IFERROR(ROUND((_xlfn.IFS(offer_sale_type="поставка",AB1502,offer_sale_type="транзит",S1502)*(1+AC1502))/E1502,2),0)</f>
        <v/>
      </c>
      <c r="AE1502" s="76">
        <f>AD1502*E1502</f>
        <v/>
      </c>
      <c r="AF1502" s="193">
        <f t="array" ref="AF1502">IFERROR(ROUND(_xlfn.IFS(offer_sale_type="поставка",AB1502,offer_sale_type="транзит",S1502)*AC1502,2),0)</f>
        <v/>
      </c>
      <c r="AG1502" s="192">
        <f>$BD1502*VLOOKUP($AG$3,$AF$4:$AG$7,2,FALSE)</f>
        <v/>
      </c>
      <c r="AH1502" s="76">
        <f>SUM(AE1502,AG1502,AI1502)*rate_forex_risk</f>
        <v/>
      </c>
      <c r="AI1502" s="193">
        <f>IF(OR(seller_region="TR",offer_sale_type="экспорт"),0,rate_fin_comm)*SUM(AZ1502,AZ1502*AW1502,T1502)</f>
        <v/>
      </c>
      <c r="AJ1502" s="118">
        <f>IFERROR(ROUND(SUM(AB1502,AF1502:AI1502)/E1502,2),0)</f>
        <v/>
      </c>
      <c r="AK1502" s="76">
        <f>AJ1502*E1502</f>
        <v/>
      </c>
      <c r="AL1502" s="174">
        <f>ROUND(IFERROR(AM1502*E1502,0),2)</f>
        <v/>
      </c>
      <c r="AM1502" s="175">
        <f>ROUND(AJ1502*(1+IF(offer_incoterms="DDP",IF((TODAY()+offer_turnaround_time)&gt;=helpsheet!$L$17,rate_vatRU_from_26,rate_vatRu_till_25),0)),2)</f>
        <v/>
      </c>
      <c r="AN1502" s="192">
        <f>AL1502-AK1502</f>
        <v/>
      </c>
      <c r="AO1502" s="76">
        <f>SUM(AY1502,Y1502:Z1502,T1502)*IF(AND(offer_incoterms="DDP",offer_sale_type&lt;&gt;"экспорт"),IF((TODAY()+offer_turnaround_time)&gt;=helpsheet!$L$17,rate_vatRU_from_26,rate_vatRu_till_25),0)</f>
        <v/>
      </c>
      <c r="AP1502" s="193">
        <f>AN1502-AO1502</f>
        <v/>
      </c>
      <c r="AQ1502" s="118">
        <f>IF(offer_sale_type="транзит",SUM(AF1502:AI1502,BA1502,BB1502),0)</f>
        <v/>
      </c>
      <c r="AR1502" s="82">
        <f>HYPERLINK("https://www.alta.ru/tnved/code/")&amp;W1502&amp;"/"</f>
        <v/>
      </c>
      <c r="AS1502" s="157" t="n"/>
      <c r="AT1502" s="162" t="n"/>
      <c r="AU1502" s="76">
        <f>IF(ISBLANK(AT1502),0,AJ1502-AT1502)</f>
        <v/>
      </c>
      <c r="AV1502" s="157" t="n"/>
      <c r="AW1502" s="75">
        <f>_xlfn.IFNA(VLOOKUP(L1502,list_vat[],3,FALSE),0)</f>
        <v/>
      </c>
      <c r="AX1502" s="76">
        <f>IFERROR(ROUND(S1502*(1+AW1502)/E1502,2),0)</f>
        <v/>
      </c>
      <c r="AY1502" s="76">
        <f>E1502*AX1502</f>
        <v/>
      </c>
      <c r="AZ1502" s="192">
        <f>S1502*(1+M1502)</f>
        <v/>
      </c>
      <c r="BA1502" s="76">
        <f>cost_fin_total*$BD1502</f>
        <v/>
      </c>
      <c r="BB1502" s="193">
        <f>credit_sales_interest*BD1502</f>
        <v/>
      </c>
      <c r="BC1502" s="102">
        <f>IFERROR(IF($I$13&gt;0,$I1502/$I$13,$S1502/$S$13),0)</f>
        <v/>
      </c>
      <c r="BD1502" s="102">
        <f>IFERROR($S1502/$S$13,0)</f>
        <v/>
      </c>
      <c r="BE1502" s="413" t="inlineStr">
        <is>
          <t>$</t>
        </is>
      </c>
    </row>
    <row r="1503" ht="12" customFormat="1" customHeight="1" s="65">
      <c r="A1503" s="43" t="n">
        <v>1488</v>
      </c>
      <c r="B1503" s="166" t="n"/>
      <c r="C1503" s="166" t="n"/>
      <c r="D1503" s="166" t="n"/>
      <c r="E1503" s="162" t="n"/>
      <c r="F1503" s="166" t="n"/>
      <c r="G1503" s="162" t="n"/>
      <c r="H1503" s="162" t="n"/>
      <c r="I1503" s="189">
        <f>E1503*G1503</f>
        <v/>
      </c>
      <c r="J1503" s="195" t="n"/>
      <c r="K1503" s="162" t="n"/>
      <c r="L1503" s="168" t="n"/>
      <c r="M1503" s="75">
        <f>_xlfn.XLOOKUP(L1503,list_vat[Страна],list_vat[Ставка НДС %],0,0)</f>
        <v/>
      </c>
      <c r="N1503" s="162">
        <f>IFERROR(IF(L1503="Китай",K1503,K1503/(1+M1503)),0)</f>
        <v/>
      </c>
      <c r="O1503" s="169" t="n"/>
      <c r="P1503" s="76">
        <f>N1503*(1-O1503)</f>
        <v/>
      </c>
      <c r="Q1503" s="162" t="n"/>
      <c r="R1503" s="162">
        <f>IF(ISBLANK(Q1503),"введи курс",P1503/Q1503)</f>
        <v/>
      </c>
      <c r="S1503" s="196">
        <f>IF(AND(ISNUMBER(E1503),ISNUMBER(Q1503)),E1503*R1503,0)</f>
        <v/>
      </c>
      <c r="T1503" s="192">
        <f>$BC1503*V$11</f>
        <v/>
      </c>
      <c r="U1503" s="76">
        <f>$BC1503*W$11</f>
        <v/>
      </c>
      <c r="V1503" s="193">
        <f>+SUM(T1503:U1503)</f>
        <v/>
      </c>
      <c r="W1503" s="191" t="n"/>
      <c r="X1503" s="170" t="n"/>
      <c r="Y1503" s="76">
        <f>ROUND(IF(offer_incoterms="DDP",X1503*(S1503*(1+AW1503)+T1503),0),2)</f>
        <v/>
      </c>
      <c r="Z1503" s="188" t="n"/>
      <c r="AA1503" s="192">
        <f>IFERROR(AB1503/E1503,0)</f>
        <v/>
      </c>
      <c r="AB1503" s="76">
        <f>ROUND(SUM(S1503,V1503,Y1503:Z1503,BA1503:BB1503),2)</f>
        <v/>
      </c>
      <c r="AC1503" s="797" t="n"/>
      <c r="AD1503" s="192">
        <f t="array" ref="AD1503">IFERROR(ROUND((_xlfn.IFS(offer_sale_type="поставка",AB1503,offer_sale_type="транзит",S1503)*(1+AC1503))/E1503,2),0)</f>
        <v/>
      </c>
      <c r="AE1503" s="76">
        <f>AD1503*E1503</f>
        <v/>
      </c>
      <c r="AF1503" s="193">
        <f t="array" ref="AF1503">IFERROR(ROUND(_xlfn.IFS(offer_sale_type="поставка",AB1503,offer_sale_type="транзит",S1503)*AC1503,2),0)</f>
        <v/>
      </c>
      <c r="AG1503" s="192">
        <f>$BD1503*VLOOKUP($AG$3,$AF$4:$AG$7,2,FALSE)</f>
        <v/>
      </c>
      <c r="AH1503" s="76">
        <f>SUM(AE1503,AG1503,AI1503)*rate_forex_risk</f>
        <v/>
      </c>
      <c r="AI1503" s="193">
        <f>IF(OR(seller_region="TR",offer_sale_type="экспорт"),0,rate_fin_comm)*SUM(AZ1503,AZ1503*AW1503,T1503)</f>
        <v/>
      </c>
      <c r="AJ1503" s="118">
        <f>IFERROR(ROUND(SUM(AB1503,AF1503:AI1503)/E1503,2),0)</f>
        <v/>
      </c>
      <c r="AK1503" s="76">
        <f>AJ1503*E1503</f>
        <v/>
      </c>
      <c r="AL1503" s="174">
        <f>ROUND(IFERROR(AM1503*E1503,0),2)</f>
        <v/>
      </c>
      <c r="AM1503" s="175">
        <f>ROUND(AJ1503*(1+IF(offer_incoterms="DDP",IF((TODAY()+offer_turnaround_time)&gt;=helpsheet!$L$17,rate_vatRU_from_26,rate_vatRu_till_25),0)),2)</f>
        <v/>
      </c>
      <c r="AN1503" s="192">
        <f>AL1503-AK1503</f>
        <v/>
      </c>
      <c r="AO1503" s="76">
        <f>SUM(AY1503,Y1503:Z1503,T1503)*IF(AND(offer_incoterms="DDP",offer_sale_type&lt;&gt;"экспорт"),IF((TODAY()+offer_turnaround_time)&gt;=helpsheet!$L$17,rate_vatRU_from_26,rate_vatRu_till_25),0)</f>
        <v/>
      </c>
      <c r="AP1503" s="193">
        <f>AN1503-AO1503</f>
        <v/>
      </c>
      <c r="AQ1503" s="118">
        <f>IF(offer_sale_type="транзит",SUM(AF1503:AI1503,BA1503,BB1503),0)</f>
        <v/>
      </c>
      <c r="AR1503" s="82">
        <f>HYPERLINK("https://www.alta.ru/tnved/code/")&amp;W1503&amp;"/"</f>
        <v/>
      </c>
      <c r="AS1503" s="157" t="n"/>
      <c r="AT1503" s="162" t="n"/>
      <c r="AU1503" s="76">
        <f>IF(ISBLANK(AT1503),0,AJ1503-AT1503)</f>
        <v/>
      </c>
      <c r="AV1503" s="157" t="n"/>
      <c r="AW1503" s="75">
        <f>_xlfn.IFNA(VLOOKUP(L1503,list_vat[],3,FALSE),0)</f>
        <v/>
      </c>
      <c r="AX1503" s="76">
        <f>IFERROR(ROUND(S1503*(1+AW1503)/E1503,2),0)</f>
        <v/>
      </c>
      <c r="AY1503" s="76">
        <f>E1503*AX1503</f>
        <v/>
      </c>
      <c r="AZ1503" s="192">
        <f>S1503*(1+M1503)</f>
        <v/>
      </c>
      <c r="BA1503" s="76">
        <f>cost_fin_total*$BD1503</f>
        <v/>
      </c>
      <c r="BB1503" s="193">
        <f>credit_sales_interest*BD1503</f>
        <v/>
      </c>
      <c r="BC1503" s="102">
        <f>IFERROR(IF($I$13&gt;0,$I1503/$I$13,$S1503/$S$13),0)</f>
        <v/>
      </c>
      <c r="BD1503" s="102">
        <f>IFERROR($S1503/$S$13,0)</f>
        <v/>
      </c>
      <c r="BE1503" s="413" t="inlineStr">
        <is>
          <t>$</t>
        </is>
      </c>
    </row>
    <row r="1504" ht="12" customFormat="1" customHeight="1" s="65">
      <c r="A1504" s="43" t="n">
        <v>1489</v>
      </c>
      <c r="B1504" s="166" t="n"/>
      <c r="C1504" s="166" t="n"/>
      <c r="D1504" s="166" t="n"/>
      <c r="E1504" s="162" t="n"/>
      <c r="F1504" s="166" t="n"/>
      <c r="G1504" s="162" t="n"/>
      <c r="H1504" s="162" t="n"/>
      <c r="I1504" s="189">
        <f>E1504*G1504</f>
        <v/>
      </c>
      <c r="J1504" s="195" t="n"/>
      <c r="K1504" s="162" t="n"/>
      <c r="L1504" s="168" t="n"/>
      <c r="M1504" s="75">
        <f>_xlfn.XLOOKUP(L1504,list_vat[Страна],list_vat[Ставка НДС %],0,0)</f>
        <v/>
      </c>
      <c r="N1504" s="162">
        <f>IFERROR(IF(L1504="Китай",K1504,K1504/(1+M1504)),0)</f>
        <v/>
      </c>
      <c r="O1504" s="169" t="n"/>
      <c r="P1504" s="76">
        <f>N1504*(1-O1504)</f>
        <v/>
      </c>
      <c r="Q1504" s="162" t="n"/>
      <c r="R1504" s="162">
        <f>IF(ISBLANK(Q1504),"введи курс",P1504/Q1504)</f>
        <v/>
      </c>
      <c r="S1504" s="196">
        <f>IF(AND(ISNUMBER(E1504),ISNUMBER(Q1504)),E1504*R1504,0)</f>
        <v/>
      </c>
      <c r="T1504" s="192">
        <f>$BC1504*V$11</f>
        <v/>
      </c>
      <c r="U1504" s="76">
        <f>$BC1504*W$11</f>
        <v/>
      </c>
      <c r="V1504" s="193">
        <f>+SUM(T1504:U1504)</f>
        <v/>
      </c>
      <c r="W1504" s="191" t="n"/>
      <c r="X1504" s="170" t="n"/>
      <c r="Y1504" s="76">
        <f>ROUND(IF(offer_incoterms="DDP",X1504*(S1504*(1+AW1504)+T1504),0),2)</f>
        <v/>
      </c>
      <c r="Z1504" s="188" t="n"/>
      <c r="AA1504" s="192">
        <f>IFERROR(AB1504/E1504,0)</f>
        <v/>
      </c>
      <c r="AB1504" s="76">
        <f>ROUND(SUM(S1504,V1504,Y1504:Z1504,BA1504:BB1504),2)</f>
        <v/>
      </c>
      <c r="AC1504" s="797" t="n"/>
      <c r="AD1504" s="192">
        <f t="array" ref="AD1504">IFERROR(ROUND((_xlfn.IFS(offer_sale_type="поставка",AB1504,offer_sale_type="транзит",S1504)*(1+AC1504))/E1504,2),0)</f>
        <v/>
      </c>
      <c r="AE1504" s="76">
        <f>AD1504*E1504</f>
        <v/>
      </c>
      <c r="AF1504" s="193">
        <f t="array" ref="AF1504">IFERROR(ROUND(_xlfn.IFS(offer_sale_type="поставка",AB1504,offer_sale_type="транзит",S1504)*AC1504,2),0)</f>
        <v/>
      </c>
      <c r="AG1504" s="192">
        <f>$BD1504*VLOOKUP($AG$3,$AF$4:$AG$7,2,FALSE)</f>
        <v/>
      </c>
      <c r="AH1504" s="76">
        <f>SUM(AE1504,AG1504,AI1504)*rate_forex_risk</f>
        <v/>
      </c>
      <c r="AI1504" s="193">
        <f>IF(OR(seller_region="TR",offer_sale_type="экспорт"),0,rate_fin_comm)*SUM(AZ1504,AZ1504*AW1504,T1504)</f>
        <v/>
      </c>
      <c r="AJ1504" s="118">
        <f>IFERROR(ROUND(SUM(AB1504,AF1504:AI1504)/E1504,2),0)</f>
        <v/>
      </c>
      <c r="AK1504" s="76">
        <f>AJ1504*E1504</f>
        <v/>
      </c>
      <c r="AL1504" s="174">
        <f>ROUND(IFERROR(AM1504*E1504,0),2)</f>
        <v/>
      </c>
      <c r="AM1504" s="175">
        <f>ROUND(AJ1504*(1+IF(offer_incoterms="DDP",IF((TODAY()+offer_turnaround_time)&gt;=helpsheet!$L$17,rate_vatRU_from_26,rate_vatRu_till_25),0)),2)</f>
        <v/>
      </c>
      <c r="AN1504" s="192">
        <f>AL1504-AK1504</f>
        <v/>
      </c>
      <c r="AO1504" s="76">
        <f>SUM(AY1504,Y1504:Z1504,T1504)*IF(AND(offer_incoterms="DDP",offer_sale_type&lt;&gt;"экспорт"),IF((TODAY()+offer_turnaround_time)&gt;=helpsheet!$L$17,rate_vatRU_from_26,rate_vatRu_till_25),0)</f>
        <v/>
      </c>
      <c r="AP1504" s="193">
        <f>AN1504-AO1504</f>
        <v/>
      </c>
      <c r="AQ1504" s="118">
        <f>IF(offer_sale_type="транзит",SUM(AF1504:AI1504,BA1504,BB1504),0)</f>
        <v/>
      </c>
      <c r="AR1504" s="82">
        <f>HYPERLINK("https://www.alta.ru/tnved/code/")&amp;W1504&amp;"/"</f>
        <v/>
      </c>
      <c r="AS1504" s="157" t="n"/>
      <c r="AT1504" s="162" t="n"/>
      <c r="AU1504" s="76">
        <f>IF(ISBLANK(AT1504),0,AJ1504-AT1504)</f>
        <v/>
      </c>
      <c r="AV1504" s="157" t="n"/>
      <c r="AW1504" s="75">
        <f>_xlfn.IFNA(VLOOKUP(L1504,list_vat[],3,FALSE),0)</f>
        <v/>
      </c>
      <c r="AX1504" s="76">
        <f>IFERROR(ROUND(S1504*(1+AW1504)/E1504,2),0)</f>
        <v/>
      </c>
      <c r="AY1504" s="76">
        <f>E1504*AX1504</f>
        <v/>
      </c>
      <c r="AZ1504" s="192">
        <f>S1504*(1+M1504)</f>
        <v/>
      </c>
      <c r="BA1504" s="76">
        <f>cost_fin_total*$BD1504</f>
        <v/>
      </c>
      <c r="BB1504" s="193">
        <f>credit_sales_interest*BD1504</f>
        <v/>
      </c>
      <c r="BC1504" s="102">
        <f>IFERROR(IF($I$13&gt;0,$I1504/$I$13,$S1504/$S$13),0)</f>
        <v/>
      </c>
      <c r="BD1504" s="102">
        <f>IFERROR($S1504/$S$13,0)</f>
        <v/>
      </c>
      <c r="BE1504" s="413" t="inlineStr">
        <is>
          <t>$</t>
        </is>
      </c>
    </row>
    <row r="1505" ht="12" customFormat="1" customHeight="1" s="65">
      <c r="A1505" s="43" t="n">
        <v>1490</v>
      </c>
      <c r="B1505" s="166" t="n"/>
      <c r="C1505" s="166" t="n"/>
      <c r="D1505" s="166" t="n"/>
      <c r="E1505" s="162" t="n"/>
      <c r="F1505" s="166" t="n"/>
      <c r="G1505" s="162" t="n"/>
      <c r="H1505" s="162" t="n"/>
      <c r="I1505" s="189">
        <f>E1505*G1505</f>
        <v/>
      </c>
      <c r="J1505" s="195" t="n"/>
      <c r="K1505" s="162" t="n"/>
      <c r="L1505" s="168" t="n"/>
      <c r="M1505" s="75">
        <f>_xlfn.XLOOKUP(L1505,list_vat[Страна],list_vat[Ставка НДС %],0,0)</f>
        <v/>
      </c>
      <c r="N1505" s="162">
        <f>IFERROR(IF(L1505="Китай",K1505,K1505/(1+M1505)),0)</f>
        <v/>
      </c>
      <c r="O1505" s="169" t="n"/>
      <c r="P1505" s="76">
        <f>N1505*(1-O1505)</f>
        <v/>
      </c>
      <c r="Q1505" s="162" t="n"/>
      <c r="R1505" s="162">
        <f>IF(ISBLANK(Q1505),"введи курс",P1505/Q1505)</f>
        <v/>
      </c>
      <c r="S1505" s="196">
        <f>IF(AND(ISNUMBER(E1505),ISNUMBER(Q1505)),E1505*R1505,0)</f>
        <v/>
      </c>
      <c r="T1505" s="192">
        <f>$BC1505*V$11</f>
        <v/>
      </c>
      <c r="U1505" s="76">
        <f>$BC1505*W$11</f>
        <v/>
      </c>
      <c r="V1505" s="193">
        <f>+SUM(T1505:U1505)</f>
        <v/>
      </c>
      <c r="W1505" s="191" t="n"/>
      <c r="X1505" s="170" t="n"/>
      <c r="Y1505" s="76">
        <f>ROUND(IF(offer_incoterms="DDP",X1505*(S1505*(1+AW1505)+T1505),0),2)</f>
        <v/>
      </c>
      <c r="Z1505" s="188" t="n"/>
      <c r="AA1505" s="192">
        <f>IFERROR(AB1505/E1505,0)</f>
        <v/>
      </c>
      <c r="AB1505" s="76">
        <f>ROUND(SUM(S1505,V1505,Y1505:Z1505,BA1505:BB1505),2)</f>
        <v/>
      </c>
      <c r="AC1505" s="797" t="n"/>
      <c r="AD1505" s="192">
        <f t="array" ref="AD1505">IFERROR(ROUND((_xlfn.IFS(offer_sale_type="поставка",AB1505,offer_sale_type="транзит",S1505)*(1+AC1505))/E1505,2),0)</f>
        <v/>
      </c>
      <c r="AE1505" s="76">
        <f>AD1505*E1505</f>
        <v/>
      </c>
      <c r="AF1505" s="193">
        <f t="array" ref="AF1505">IFERROR(ROUND(_xlfn.IFS(offer_sale_type="поставка",AB1505,offer_sale_type="транзит",S1505)*AC1505,2),0)</f>
        <v/>
      </c>
      <c r="AG1505" s="192">
        <f>$BD1505*VLOOKUP($AG$3,$AF$4:$AG$7,2,FALSE)</f>
        <v/>
      </c>
      <c r="AH1505" s="76">
        <f>SUM(AE1505,AG1505,AI1505)*rate_forex_risk</f>
        <v/>
      </c>
      <c r="AI1505" s="193">
        <f>IF(OR(seller_region="TR",offer_sale_type="экспорт"),0,rate_fin_comm)*SUM(AZ1505,AZ1505*AW1505,T1505)</f>
        <v/>
      </c>
      <c r="AJ1505" s="118">
        <f>IFERROR(ROUND(SUM(AB1505,AF1505:AI1505)/E1505,2),0)</f>
        <v/>
      </c>
      <c r="AK1505" s="76">
        <f>AJ1505*E1505</f>
        <v/>
      </c>
      <c r="AL1505" s="174">
        <f>ROUND(IFERROR(AM1505*E1505,0),2)</f>
        <v/>
      </c>
      <c r="AM1505" s="175">
        <f>ROUND(AJ1505*(1+IF(offer_incoterms="DDP",IF((TODAY()+offer_turnaround_time)&gt;=helpsheet!$L$17,rate_vatRU_from_26,rate_vatRu_till_25),0)),2)</f>
        <v/>
      </c>
      <c r="AN1505" s="192">
        <f>AL1505-AK1505</f>
        <v/>
      </c>
      <c r="AO1505" s="76">
        <f>SUM(AY1505,Y1505:Z1505,T1505)*IF(AND(offer_incoterms="DDP",offer_sale_type&lt;&gt;"экспорт"),IF((TODAY()+offer_turnaround_time)&gt;=helpsheet!$L$17,rate_vatRU_from_26,rate_vatRu_till_25),0)</f>
        <v/>
      </c>
      <c r="AP1505" s="193">
        <f>AN1505-AO1505</f>
        <v/>
      </c>
      <c r="AQ1505" s="118">
        <f>IF(offer_sale_type="транзит",SUM(AF1505:AI1505,BA1505,BB1505),0)</f>
        <v/>
      </c>
      <c r="AR1505" s="82">
        <f>HYPERLINK("https://www.alta.ru/tnved/code/")&amp;W1505&amp;"/"</f>
        <v/>
      </c>
      <c r="AS1505" s="157" t="n"/>
      <c r="AT1505" s="162" t="n"/>
      <c r="AU1505" s="76">
        <f>IF(ISBLANK(AT1505),0,AJ1505-AT1505)</f>
        <v/>
      </c>
      <c r="AV1505" s="157" t="n"/>
      <c r="AW1505" s="75">
        <f>_xlfn.IFNA(VLOOKUP(L1505,list_vat[],3,FALSE),0)</f>
        <v/>
      </c>
      <c r="AX1505" s="76">
        <f>IFERROR(ROUND(S1505*(1+AW1505)/E1505,2),0)</f>
        <v/>
      </c>
      <c r="AY1505" s="76">
        <f>E1505*AX1505</f>
        <v/>
      </c>
      <c r="AZ1505" s="192">
        <f>S1505*(1+M1505)</f>
        <v/>
      </c>
      <c r="BA1505" s="76">
        <f>cost_fin_total*$BD1505</f>
        <v/>
      </c>
      <c r="BB1505" s="193">
        <f>credit_sales_interest*BD1505</f>
        <v/>
      </c>
      <c r="BC1505" s="102">
        <f>IFERROR(IF($I$13&gt;0,$I1505/$I$13,$S1505/$S$13),0)</f>
        <v/>
      </c>
      <c r="BD1505" s="102">
        <f>IFERROR($S1505/$S$13,0)</f>
        <v/>
      </c>
      <c r="BE1505" s="413" t="inlineStr">
        <is>
          <t>$</t>
        </is>
      </c>
    </row>
    <row r="1506" ht="12" customFormat="1" customHeight="1" s="65">
      <c r="A1506" s="43" t="n">
        <v>1491</v>
      </c>
      <c r="B1506" s="166" t="n"/>
      <c r="C1506" s="166" t="n"/>
      <c r="D1506" s="166" t="n"/>
      <c r="E1506" s="162" t="n"/>
      <c r="F1506" s="166" t="n"/>
      <c r="G1506" s="162" t="n"/>
      <c r="H1506" s="162" t="n"/>
      <c r="I1506" s="189">
        <f>E1506*G1506</f>
        <v/>
      </c>
      <c r="J1506" s="195" t="n"/>
      <c r="K1506" s="162" t="n"/>
      <c r="L1506" s="168" t="n"/>
      <c r="M1506" s="75">
        <f>_xlfn.XLOOKUP(L1506,list_vat[Страна],list_vat[Ставка НДС %],0,0)</f>
        <v/>
      </c>
      <c r="N1506" s="162">
        <f>IFERROR(IF(L1506="Китай",K1506,K1506/(1+M1506)),0)</f>
        <v/>
      </c>
      <c r="O1506" s="169" t="n"/>
      <c r="P1506" s="76">
        <f>N1506*(1-O1506)</f>
        <v/>
      </c>
      <c r="Q1506" s="162" t="n"/>
      <c r="R1506" s="162">
        <f>IF(ISBLANK(Q1506),"введи курс",P1506/Q1506)</f>
        <v/>
      </c>
      <c r="S1506" s="196">
        <f>IF(AND(ISNUMBER(E1506),ISNUMBER(Q1506)),E1506*R1506,0)</f>
        <v/>
      </c>
      <c r="T1506" s="192">
        <f>$BC1506*V$11</f>
        <v/>
      </c>
      <c r="U1506" s="76">
        <f>$BC1506*W$11</f>
        <v/>
      </c>
      <c r="V1506" s="193">
        <f>+SUM(T1506:U1506)</f>
        <v/>
      </c>
      <c r="W1506" s="191" t="n"/>
      <c r="X1506" s="170" t="n"/>
      <c r="Y1506" s="76">
        <f>ROUND(IF(offer_incoterms="DDP",X1506*(S1506*(1+AW1506)+T1506),0),2)</f>
        <v/>
      </c>
      <c r="Z1506" s="188" t="n"/>
      <c r="AA1506" s="192">
        <f>IFERROR(AB1506/E1506,0)</f>
        <v/>
      </c>
      <c r="AB1506" s="76">
        <f>ROUND(SUM(S1506,V1506,Y1506:Z1506,BA1506:BB1506),2)</f>
        <v/>
      </c>
      <c r="AC1506" s="797" t="n"/>
      <c r="AD1506" s="192">
        <f t="array" ref="AD1506">IFERROR(ROUND((_xlfn.IFS(offer_sale_type="поставка",AB1506,offer_sale_type="транзит",S1506)*(1+AC1506))/E1506,2),0)</f>
        <v/>
      </c>
      <c r="AE1506" s="76">
        <f>AD1506*E1506</f>
        <v/>
      </c>
      <c r="AF1506" s="193">
        <f t="array" ref="AF1506">IFERROR(ROUND(_xlfn.IFS(offer_sale_type="поставка",AB1506,offer_sale_type="транзит",S1506)*AC1506,2),0)</f>
        <v/>
      </c>
      <c r="AG1506" s="192">
        <f>$BD1506*VLOOKUP($AG$3,$AF$4:$AG$7,2,FALSE)</f>
        <v/>
      </c>
      <c r="AH1506" s="76">
        <f>SUM(AE1506,AG1506,AI1506)*rate_forex_risk</f>
        <v/>
      </c>
      <c r="AI1506" s="193">
        <f>IF(OR(seller_region="TR",offer_sale_type="экспорт"),0,rate_fin_comm)*SUM(AZ1506,AZ1506*AW1506,T1506)</f>
        <v/>
      </c>
      <c r="AJ1506" s="118">
        <f>IFERROR(ROUND(SUM(AB1506,AF1506:AI1506)/E1506,2),0)</f>
        <v/>
      </c>
      <c r="AK1506" s="76">
        <f>AJ1506*E1506</f>
        <v/>
      </c>
      <c r="AL1506" s="174">
        <f>ROUND(IFERROR(AM1506*E1506,0),2)</f>
        <v/>
      </c>
      <c r="AM1506" s="175">
        <f>ROUND(AJ1506*(1+IF(offer_incoterms="DDP",IF((TODAY()+offer_turnaround_time)&gt;=helpsheet!$L$17,rate_vatRU_from_26,rate_vatRu_till_25),0)),2)</f>
        <v/>
      </c>
      <c r="AN1506" s="192">
        <f>AL1506-AK1506</f>
        <v/>
      </c>
      <c r="AO1506" s="76">
        <f>SUM(AY1506,Y1506:Z1506,T1506)*IF(AND(offer_incoterms="DDP",offer_sale_type&lt;&gt;"экспорт"),IF((TODAY()+offer_turnaround_time)&gt;=helpsheet!$L$17,rate_vatRU_from_26,rate_vatRu_till_25),0)</f>
        <v/>
      </c>
      <c r="AP1506" s="193">
        <f>AN1506-AO1506</f>
        <v/>
      </c>
      <c r="AQ1506" s="118">
        <f>IF(offer_sale_type="транзит",SUM(AF1506:AI1506,BA1506,BB1506),0)</f>
        <v/>
      </c>
      <c r="AR1506" s="82">
        <f>HYPERLINK("https://www.alta.ru/tnved/code/")&amp;W1506&amp;"/"</f>
        <v/>
      </c>
      <c r="AS1506" s="157" t="n"/>
      <c r="AT1506" s="162" t="n"/>
      <c r="AU1506" s="76">
        <f>IF(ISBLANK(AT1506),0,AJ1506-AT1506)</f>
        <v/>
      </c>
      <c r="AV1506" s="157" t="n"/>
      <c r="AW1506" s="75">
        <f>_xlfn.IFNA(VLOOKUP(L1506,list_vat[],3,FALSE),0)</f>
        <v/>
      </c>
      <c r="AX1506" s="76">
        <f>IFERROR(ROUND(S1506*(1+AW1506)/E1506,2),0)</f>
        <v/>
      </c>
      <c r="AY1506" s="76">
        <f>E1506*AX1506</f>
        <v/>
      </c>
      <c r="AZ1506" s="192">
        <f>S1506*(1+M1506)</f>
        <v/>
      </c>
      <c r="BA1506" s="76">
        <f>cost_fin_total*$BD1506</f>
        <v/>
      </c>
      <c r="BB1506" s="193">
        <f>credit_sales_interest*BD1506</f>
        <v/>
      </c>
      <c r="BC1506" s="102">
        <f>IFERROR(IF($I$13&gt;0,$I1506/$I$13,$S1506/$S$13),0)</f>
        <v/>
      </c>
      <c r="BD1506" s="102">
        <f>IFERROR($S1506/$S$13,0)</f>
        <v/>
      </c>
      <c r="BE1506" s="413" t="inlineStr">
        <is>
          <t>$</t>
        </is>
      </c>
    </row>
    <row r="1507" ht="12" customFormat="1" customHeight="1" s="65">
      <c r="A1507" s="43" t="n">
        <v>1492</v>
      </c>
      <c r="B1507" s="166" t="n"/>
      <c r="C1507" s="166" t="n"/>
      <c r="D1507" s="166" t="n"/>
      <c r="E1507" s="162" t="n"/>
      <c r="F1507" s="166" t="n"/>
      <c r="G1507" s="162" t="n"/>
      <c r="H1507" s="162" t="n"/>
      <c r="I1507" s="189">
        <f>E1507*G1507</f>
        <v/>
      </c>
      <c r="J1507" s="195" t="n"/>
      <c r="K1507" s="162" t="n"/>
      <c r="L1507" s="168" t="n"/>
      <c r="M1507" s="75">
        <f>_xlfn.XLOOKUP(L1507,list_vat[Страна],list_vat[Ставка НДС %],0,0)</f>
        <v/>
      </c>
      <c r="N1507" s="162">
        <f>IFERROR(IF(L1507="Китай",K1507,K1507/(1+M1507)),0)</f>
        <v/>
      </c>
      <c r="O1507" s="169" t="n"/>
      <c r="P1507" s="76">
        <f>N1507*(1-O1507)</f>
        <v/>
      </c>
      <c r="Q1507" s="162" t="n"/>
      <c r="R1507" s="162">
        <f>IF(ISBLANK(Q1507),"введи курс",P1507/Q1507)</f>
        <v/>
      </c>
      <c r="S1507" s="196">
        <f>IF(AND(ISNUMBER(E1507),ISNUMBER(Q1507)),E1507*R1507,0)</f>
        <v/>
      </c>
      <c r="T1507" s="192">
        <f>$BC1507*V$11</f>
        <v/>
      </c>
      <c r="U1507" s="76">
        <f>$BC1507*W$11</f>
        <v/>
      </c>
      <c r="V1507" s="193">
        <f>+SUM(T1507:U1507)</f>
        <v/>
      </c>
      <c r="W1507" s="191" t="n"/>
      <c r="X1507" s="170" t="n"/>
      <c r="Y1507" s="76">
        <f>ROUND(IF(offer_incoterms="DDP",X1507*(S1507*(1+AW1507)+T1507),0),2)</f>
        <v/>
      </c>
      <c r="Z1507" s="188" t="n"/>
      <c r="AA1507" s="192">
        <f>IFERROR(AB1507/E1507,0)</f>
        <v/>
      </c>
      <c r="AB1507" s="76">
        <f>ROUND(SUM(S1507,V1507,Y1507:Z1507,BA1507:BB1507),2)</f>
        <v/>
      </c>
      <c r="AC1507" s="797" t="n"/>
      <c r="AD1507" s="192">
        <f t="array" ref="AD1507">IFERROR(ROUND((_xlfn.IFS(offer_sale_type="поставка",AB1507,offer_sale_type="транзит",S1507)*(1+AC1507))/E1507,2),0)</f>
        <v/>
      </c>
      <c r="AE1507" s="76">
        <f>AD1507*E1507</f>
        <v/>
      </c>
      <c r="AF1507" s="193">
        <f t="array" ref="AF1507">IFERROR(ROUND(_xlfn.IFS(offer_sale_type="поставка",AB1507,offer_sale_type="транзит",S1507)*AC1507,2),0)</f>
        <v/>
      </c>
      <c r="AG1507" s="192">
        <f>$BD1507*VLOOKUP($AG$3,$AF$4:$AG$7,2,FALSE)</f>
        <v/>
      </c>
      <c r="AH1507" s="76">
        <f>SUM(AE1507,AG1507,AI1507)*rate_forex_risk</f>
        <v/>
      </c>
      <c r="AI1507" s="193">
        <f>IF(OR(seller_region="TR",offer_sale_type="экспорт"),0,rate_fin_comm)*SUM(AZ1507,AZ1507*AW1507,T1507)</f>
        <v/>
      </c>
      <c r="AJ1507" s="118">
        <f>IFERROR(ROUND(SUM(AB1507,AF1507:AI1507)/E1507,2),0)</f>
        <v/>
      </c>
      <c r="AK1507" s="76">
        <f>AJ1507*E1507</f>
        <v/>
      </c>
      <c r="AL1507" s="174">
        <f>ROUND(IFERROR(AM1507*E1507,0),2)</f>
        <v/>
      </c>
      <c r="AM1507" s="175">
        <f>ROUND(AJ1507*(1+IF(offer_incoterms="DDP",IF((TODAY()+offer_turnaround_time)&gt;=helpsheet!$L$17,rate_vatRU_from_26,rate_vatRu_till_25),0)),2)</f>
        <v/>
      </c>
      <c r="AN1507" s="192">
        <f>AL1507-AK1507</f>
        <v/>
      </c>
      <c r="AO1507" s="76">
        <f>SUM(AY1507,Y1507:Z1507,T1507)*IF(AND(offer_incoterms="DDP",offer_sale_type&lt;&gt;"экспорт"),IF((TODAY()+offer_turnaround_time)&gt;=helpsheet!$L$17,rate_vatRU_from_26,rate_vatRu_till_25),0)</f>
        <v/>
      </c>
      <c r="AP1507" s="193">
        <f>AN1507-AO1507</f>
        <v/>
      </c>
      <c r="AQ1507" s="118">
        <f>IF(offer_sale_type="транзит",SUM(AF1507:AI1507,BA1507,BB1507),0)</f>
        <v/>
      </c>
      <c r="AR1507" s="82">
        <f>HYPERLINK("https://www.alta.ru/tnved/code/")&amp;W1507&amp;"/"</f>
        <v/>
      </c>
      <c r="AS1507" s="157" t="n"/>
      <c r="AT1507" s="162" t="n"/>
      <c r="AU1507" s="76">
        <f>IF(ISBLANK(AT1507),0,AJ1507-AT1507)</f>
        <v/>
      </c>
      <c r="AV1507" s="157" t="n"/>
      <c r="AW1507" s="75">
        <f>_xlfn.IFNA(VLOOKUP(L1507,list_vat[],3,FALSE),0)</f>
        <v/>
      </c>
      <c r="AX1507" s="76">
        <f>IFERROR(ROUND(S1507*(1+AW1507)/E1507,2),0)</f>
        <v/>
      </c>
      <c r="AY1507" s="76">
        <f>E1507*AX1507</f>
        <v/>
      </c>
      <c r="AZ1507" s="192">
        <f>S1507*(1+M1507)</f>
        <v/>
      </c>
      <c r="BA1507" s="76">
        <f>cost_fin_total*$BD1507</f>
        <v/>
      </c>
      <c r="BB1507" s="193">
        <f>credit_sales_interest*BD1507</f>
        <v/>
      </c>
      <c r="BC1507" s="102">
        <f>IFERROR(IF($I$13&gt;0,$I1507/$I$13,$S1507/$S$13),0)</f>
        <v/>
      </c>
      <c r="BD1507" s="102">
        <f>IFERROR($S1507/$S$13,0)</f>
        <v/>
      </c>
      <c r="BE1507" s="413" t="inlineStr">
        <is>
          <t>$</t>
        </is>
      </c>
    </row>
    <row r="1508" ht="12" customFormat="1" customHeight="1" s="65">
      <c r="A1508" s="43" t="n">
        <v>1493</v>
      </c>
      <c r="B1508" s="166" t="n"/>
      <c r="C1508" s="166" t="n"/>
      <c r="D1508" s="166" t="n"/>
      <c r="E1508" s="162" t="n"/>
      <c r="F1508" s="166" t="n"/>
      <c r="G1508" s="162" t="n"/>
      <c r="H1508" s="162" t="n"/>
      <c r="I1508" s="189">
        <f>E1508*G1508</f>
        <v/>
      </c>
      <c r="J1508" s="195" t="n"/>
      <c r="K1508" s="162" t="n"/>
      <c r="L1508" s="168" t="n"/>
      <c r="M1508" s="75">
        <f>_xlfn.XLOOKUP(L1508,list_vat[Страна],list_vat[Ставка НДС %],0,0)</f>
        <v/>
      </c>
      <c r="N1508" s="162">
        <f>IFERROR(IF(L1508="Китай",K1508,K1508/(1+M1508)),0)</f>
        <v/>
      </c>
      <c r="O1508" s="169" t="n"/>
      <c r="P1508" s="76">
        <f>N1508*(1-O1508)</f>
        <v/>
      </c>
      <c r="Q1508" s="162" t="n"/>
      <c r="R1508" s="162">
        <f>IF(ISBLANK(Q1508),"введи курс",P1508/Q1508)</f>
        <v/>
      </c>
      <c r="S1508" s="196">
        <f>IF(AND(ISNUMBER(E1508),ISNUMBER(Q1508)),E1508*R1508,0)</f>
        <v/>
      </c>
      <c r="T1508" s="192">
        <f>$BC1508*V$11</f>
        <v/>
      </c>
      <c r="U1508" s="76">
        <f>$BC1508*W$11</f>
        <v/>
      </c>
      <c r="V1508" s="193">
        <f>+SUM(T1508:U1508)</f>
        <v/>
      </c>
      <c r="W1508" s="191" t="n"/>
      <c r="X1508" s="170" t="n"/>
      <c r="Y1508" s="76">
        <f>ROUND(IF(offer_incoterms="DDP",X1508*(S1508*(1+AW1508)+T1508),0),2)</f>
        <v/>
      </c>
      <c r="Z1508" s="188" t="n"/>
      <c r="AA1508" s="192">
        <f>IFERROR(AB1508/E1508,0)</f>
        <v/>
      </c>
      <c r="AB1508" s="76">
        <f>ROUND(SUM(S1508,V1508,Y1508:Z1508,BA1508:BB1508),2)</f>
        <v/>
      </c>
      <c r="AC1508" s="797" t="n"/>
      <c r="AD1508" s="192">
        <f t="array" ref="AD1508">IFERROR(ROUND((_xlfn.IFS(offer_sale_type="поставка",AB1508,offer_sale_type="транзит",S1508)*(1+AC1508))/E1508,2),0)</f>
        <v/>
      </c>
      <c r="AE1508" s="76">
        <f>AD1508*E1508</f>
        <v/>
      </c>
      <c r="AF1508" s="193">
        <f t="array" ref="AF1508">IFERROR(ROUND(_xlfn.IFS(offer_sale_type="поставка",AB1508,offer_sale_type="транзит",S1508)*AC1508,2),0)</f>
        <v/>
      </c>
      <c r="AG1508" s="192">
        <f>$BD1508*VLOOKUP($AG$3,$AF$4:$AG$7,2,FALSE)</f>
        <v/>
      </c>
      <c r="AH1508" s="76">
        <f>SUM(AE1508,AG1508,AI1508)*rate_forex_risk</f>
        <v/>
      </c>
      <c r="AI1508" s="193">
        <f>IF(OR(seller_region="TR",offer_sale_type="экспорт"),0,rate_fin_comm)*SUM(AZ1508,AZ1508*AW1508,T1508)</f>
        <v/>
      </c>
      <c r="AJ1508" s="118">
        <f>IFERROR(ROUND(SUM(AB1508,AF1508:AI1508)/E1508,2),0)</f>
        <v/>
      </c>
      <c r="AK1508" s="76">
        <f>AJ1508*E1508</f>
        <v/>
      </c>
      <c r="AL1508" s="174">
        <f>ROUND(IFERROR(AM1508*E1508,0),2)</f>
        <v/>
      </c>
      <c r="AM1508" s="175">
        <f>ROUND(AJ1508*(1+IF(offer_incoterms="DDP",IF((TODAY()+offer_turnaround_time)&gt;=helpsheet!$L$17,rate_vatRU_from_26,rate_vatRu_till_25),0)),2)</f>
        <v/>
      </c>
      <c r="AN1508" s="192">
        <f>AL1508-AK1508</f>
        <v/>
      </c>
      <c r="AO1508" s="76">
        <f>SUM(AY1508,Y1508:Z1508,T1508)*IF(AND(offer_incoterms="DDP",offer_sale_type&lt;&gt;"экспорт"),IF((TODAY()+offer_turnaround_time)&gt;=helpsheet!$L$17,rate_vatRU_from_26,rate_vatRu_till_25),0)</f>
        <v/>
      </c>
      <c r="AP1508" s="193">
        <f>AN1508-AO1508</f>
        <v/>
      </c>
      <c r="AQ1508" s="118">
        <f>IF(offer_sale_type="транзит",SUM(AF1508:AI1508,BA1508,BB1508),0)</f>
        <v/>
      </c>
      <c r="AR1508" s="82">
        <f>HYPERLINK("https://www.alta.ru/tnved/code/")&amp;W1508&amp;"/"</f>
        <v/>
      </c>
      <c r="AS1508" s="157" t="n"/>
      <c r="AT1508" s="162" t="n"/>
      <c r="AU1508" s="76">
        <f>IF(ISBLANK(AT1508),0,AJ1508-AT1508)</f>
        <v/>
      </c>
      <c r="AV1508" s="157" t="n"/>
      <c r="AW1508" s="75">
        <f>_xlfn.IFNA(VLOOKUP(L1508,list_vat[],3,FALSE),0)</f>
        <v/>
      </c>
      <c r="AX1508" s="76">
        <f>IFERROR(ROUND(S1508*(1+AW1508)/E1508,2),0)</f>
        <v/>
      </c>
      <c r="AY1508" s="76">
        <f>E1508*AX1508</f>
        <v/>
      </c>
      <c r="AZ1508" s="192">
        <f>S1508*(1+M1508)</f>
        <v/>
      </c>
      <c r="BA1508" s="76">
        <f>cost_fin_total*$BD1508</f>
        <v/>
      </c>
      <c r="BB1508" s="193">
        <f>credit_sales_interest*BD1508</f>
        <v/>
      </c>
      <c r="BC1508" s="102">
        <f>IFERROR(IF($I$13&gt;0,$I1508/$I$13,$S1508/$S$13),0)</f>
        <v/>
      </c>
      <c r="BD1508" s="102">
        <f>IFERROR($S1508/$S$13,0)</f>
        <v/>
      </c>
      <c r="BE1508" s="413" t="inlineStr">
        <is>
          <t>$</t>
        </is>
      </c>
    </row>
    <row r="1509" ht="12" customFormat="1" customHeight="1" s="65">
      <c r="A1509" s="43" t="n">
        <v>1494</v>
      </c>
      <c r="B1509" s="166" t="n"/>
      <c r="C1509" s="166" t="n"/>
      <c r="D1509" s="166" t="n"/>
      <c r="E1509" s="162" t="n"/>
      <c r="F1509" s="166" t="n"/>
      <c r="G1509" s="162" t="n"/>
      <c r="H1509" s="162" t="n"/>
      <c r="I1509" s="189">
        <f>E1509*G1509</f>
        <v/>
      </c>
      <c r="J1509" s="195" t="n"/>
      <c r="K1509" s="162" t="n"/>
      <c r="L1509" s="168" t="n"/>
      <c r="M1509" s="75">
        <f>_xlfn.XLOOKUP(L1509,list_vat[Страна],list_vat[Ставка НДС %],0,0)</f>
        <v/>
      </c>
      <c r="N1509" s="162">
        <f>IFERROR(IF(L1509="Китай",K1509,K1509/(1+M1509)),0)</f>
        <v/>
      </c>
      <c r="O1509" s="169" t="n"/>
      <c r="P1509" s="76">
        <f>N1509*(1-O1509)</f>
        <v/>
      </c>
      <c r="Q1509" s="162" t="n"/>
      <c r="R1509" s="162">
        <f>IF(ISBLANK(Q1509),"введи курс",P1509/Q1509)</f>
        <v/>
      </c>
      <c r="S1509" s="196">
        <f>IF(AND(ISNUMBER(E1509),ISNUMBER(Q1509)),E1509*R1509,0)</f>
        <v/>
      </c>
      <c r="T1509" s="192">
        <f>$BC1509*V$11</f>
        <v/>
      </c>
      <c r="U1509" s="76">
        <f>$BC1509*W$11</f>
        <v/>
      </c>
      <c r="V1509" s="193">
        <f>+SUM(T1509:U1509)</f>
        <v/>
      </c>
      <c r="W1509" s="191" t="n"/>
      <c r="X1509" s="170" t="n"/>
      <c r="Y1509" s="76">
        <f>ROUND(IF(offer_incoterms="DDP",X1509*(S1509*(1+AW1509)+T1509),0),2)</f>
        <v/>
      </c>
      <c r="Z1509" s="188" t="n"/>
      <c r="AA1509" s="192">
        <f>IFERROR(AB1509/E1509,0)</f>
        <v/>
      </c>
      <c r="AB1509" s="76">
        <f>ROUND(SUM(S1509,V1509,Y1509:Z1509,BA1509:BB1509),2)</f>
        <v/>
      </c>
      <c r="AC1509" s="797" t="n"/>
      <c r="AD1509" s="192">
        <f t="array" ref="AD1509">IFERROR(ROUND((_xlfn.IFS(offer_sale_type="поставка",AB1509,offer_sale_type="транзит",S1509)*(1+AC1509))/E1509,2),0)</f>
        <v/>
      </c>
      <c r="AE1509" s="76">
        <f>AD1509*E1509</f>
        <v/>
      </c>
      <c r="AF1509" s="193">
        <f t="array" ref="AF1509">IFERROR(ROUND(_xlfn.IFS(offer_sale_type="поставка",AB1509,offer_sale_type="транзит",S1509)*AC1509,2),0)</f>
        <v/>
      </c>
      <c r="AG1509" s="192">
        <f>$BD1509*VLOOKUP($AG$3,$AF$4:$AG$7,2,FALSE)</f>
        <v/>
      </c>
      <c r="AH1509" s="76">
        <f>SUM(AE1509,AG1509,AI1509)*rate_forex_risk</f>
        <v/>
      </c>
      <c r="AI1509" s="193">
        <f>IF(OR(seller_region="TR",offer_sale_type="экспорт"),0,rate_fin_comm)*SUM(AZ1509,AZ1509*AW1509,T1509)</f>
        <v/>
      </c>
      <c r="AJ1509" s="118">
        <f>IFERROR(ROUND(SUM(AB1509,AF1509:AI1509)/E1509,2),0)</f>
        <v/>
      </c>
      <c r="AK1509" s="76">
        <f>AJ1509*E1509</f>
        <v/>
      </c>
      <c r="AL1509" s="174">
        <f>ROUND(IFERROR(AM1509*E1509,0),2)</f>
        <v/>
      </c>
      <c r="AM1509" s="175">
        <f>ROUND(AJ1509*(1+IF(offer_incoterms="DDP",IF((TODAY()+offer_turnaround_time)&gt;=helpsheet!$L$17,rate_vatRU_from_26,rate_vatRu_till_25),0)),2)</f>
        <v/>
      </c>
      <c r="AN1509" s="192">
        <f>AL1509-AK1509</f>
        <v/>
      </c>
      <c r="AO1509" s="76">
        <f>SUM(AY1509,Y1509:Z1509,T1509)*IF(AND(offer_incoterms="DDP",offer_sale_type&lt;&gt;"экспорт"),IF((TODAY()+offer_turnaround_time)&gt;=helpsheet!$L$17,rate_vatRU_from_26,rate_vatRu_till_25),0)</f>
        <v/>
      </c>
      <c r="AP1509" s="193">
        <f>AN1509-AO1509</f>
        <v/>
      </c>
      <c r="AQ1509" s="118">
        <f>IF(offer_sale_type="транзит",SUM(AF1509:AI1509,BA1509,BB1509),0)</f>
        <v/>
      </c>
      <c r="AR1509" s="82">
        <f>HYPERLINK("https://www.alta.ru/tnved/code/")&amp;W1509&amp;"/"</f>
        <v/>
      </c>
      <c r="AS1509" s="157" t="n"/>
      <c r="AT1509" s="162" t="n"/>
      <c r="AU1509" s="76">
        <f>IF(ISBLANK(AT1509),0,AJ1509-AT1509)</f>
        <v/>
      </c>
      <c r="AV1509" s="157" t="n"/>
      <c r="AW1509" s="75">
        <f>_xlfn.IFNA(VLOOKUP(L1509,list_vat[],3,FALSE),0)</f>
        <v/>
      </c>
      <c r="AX1509" s="76">
        <f>IFERROR(ROUND(S1509*(1+AW1509)/E1509,2),0)</f>
        <v/>
      </c>
      <c r="AY1509" s="76">
        <f>E1509*AX1509</f>
        <v/>
      </c>
      <c r="AZ1509" s="192">
        <f>S1509*(1+M1509)</f>
        <v/>
      </c>
      <c r="BA1509" s="76">
        <f>cost_fin_total*$BD1509</f>
        <v/>
      </c>
      <c r="BB1509" s="193">
        <f>credit_sales_interest*BD1509</f>
        <v/>
      </c>
      <c r="BC1509" s="102">
        <f>IFERROR(IF($I$13&gt;0,$I1509/$I$13,$S1509/$S$13),0)</f>
        <v/>
      </c>
      <c r="BD1509" s="102">
        <f>IFERROR($S1509/$S$13,0)</f>
        <v/>
      </c>
      <c r="BE1509" s="413" t="inlineStr">
        <is>
          <t>$</t>
        </is>
      </c>
    </row>
    <row r="1510" ht="12" customFormat="1" customHeight="1" s="65">
      <c r="A1510" s="43" t="n">
        <v>1495</v>
      </c>
      <c r="B1510" s="166" t="n"/>
      <c r="C1510" s="166" t="n"/>
      <c r="D1510" s="166" t="n"/>
      <c r="E1510" s="162" t="n"/>
      <c r="F1510" s="166" t="n"/>
      <c r="G1510" s="162" t="n"/>
      <c r="H1510" s="162" t="n"/>
      <c r="I1510" s="189">
        <f>E1510*G1510</f>
        <v/>
      </c>
      <c r="J1510" s="195" t="n"/>
      <c r="K1510" s="162" t="n"/>
      <c r="L1510" s="168" t="n"/>
      <c r="M1510" s="75">
        <f>_xlfn.XLOOKUP(L1510,list_vat[Страна],list_vat[Ставка НДС %],0,0)</f>
        <v/>
      </c>
      <c r="N1510" s="162">
        <f>IFERROR(IF(L1510="Китай",K1510,K1510/(1+M1510)),0)</f>
        <v/>
      </c>
      <c r="O1510" s="169" t="n"/>
      <c r="P1510" s="76">
        <f>N1510*(1-O1510)</f>
        <v/>
      </c>
      <c r="Q1510" s="162" t="n"/>
      <c r="R1510" s="162">
        <f>IF(ISBLANK(Q1510),"введи курс",P1510/Q1510)</f>
        <v/>
      </c>
      <c r="S1510" s="196">
        <f>IF(AND(ISNUMBER(E1510),ISNUMBER(Q1510)),E1510*R1510,0)</f>
        <v/>
      </c>
      <c r="T1510" s="192">
        <f>$BC1510*V$11</f>
        <v/>
      </c>
      <c r="U1510" s="76">
        <f>$BC1510*W$11</f>
        <v/>
      </c>
      <c r="V1510" s="193">
        <f>+SUM(T1510:U1510)</f>
        <v/>
      </c>
      <c r="W1510" s="191" t="n"/>
      <c r="X1510" s="170" t="n"/>
      <c r="Y1510" s="76">
        <f>ROUND(IF(offer_incoterms="DDP",X1510*(S1510*(1+AW1510)+T1510),0),2)</f>
        <v/>
      </c>
      <c r="Z1510" s="188" t="n"/>
      <c r="AA1510" s="192">
        <f>IFERROR(AB1510/E1510,0)</f>
        <v/>
      </c>
      <c r="AB1510" s="76">
        <f>ROUND(SUM(S1510,V1510,Y1510:Z1510,BA1510:BB1510),2)</f>
        <v/>
      </c>
      <c r="AC1510" s="797" t="n"/>
      <c r="AD1510" s="192">
        <f t="array" ref="AD1510">IFERROR(ROUND((_xlfn.IFS(offer_sale_type="поставка",AB1510,offer_sale_type="транзит",S1510)*(1+AC1510))/E1510,2),0)</f>
        <v/>
      </c>
      <c r="AE1510" s="76">
        <f>AD1510*E1510</f>
        <v/>
      </c>
      <c r="AF1510" s="193">
        <f t="array" ref="AF1510">IFERROR(ROUND(_xlfn.IFS(offer_sale_type="поставка",AB1510,offer_sale_type="транзит",S1510)*AC1510,2),0)</f>
        <v/>
      </c>
      <c r="AG1510" s="192">
        <f>$BD1510*VLOOKUP($AG$3,$AF$4:$AG$7,2,FALSE)</f>
        <v/>
      </c>
      <c r="AH1510" s="76">
        <f>SUM(AE1510,AG1510,AI1510)*rate_forex_risk</f>
        <v/>
      </c>
      <c r="AI1510" s="193">
        <f>IF(OR(seller_region="TR",offer_sale_type="экспорт"),0,rate_fin_comm)*SUM(AZ1510,AZ1510*AW1510,T1510)</f>
        <v/>
      </c>
      <c r="AJ1510" s="118">
        <f>IFERROR(ROUND(SUM(AB1510,AF1510:AI1510)/E1510,2),0)</f>
        <v/>
      </c>
      <c r="AK1510" s="76">
        <f>AJ1510*E1510</f>
        <v/>
      </c>
      <c r="AL1510" s="174">
        <f>ROUND(IFERROR(AM1510*E1510,0),2)</f>
        <v/>
      </c>
      <c r="AM1510" s="175">
        <f>ROUND(AJ1510*(1+IF(offer_incoterms="DDP",IF((TODAY()+offer_turnaround_time)&gt;=helpsheet!$L$17,rate_vatRU_from_26,rate_vatRu_till_25),0)),2)</f>
        <v/>
      </c>
      <c r="AN1510" s="192">
        <f>AL1510-AK1510</f>
        <v/>
      </c>
      <c r="AO1510" s="76">
        <f>SUM(AY1510,Y1510:Z1510,T1510)*IF(AND(offer_incoterms="DDP",offer_sale_type&lt;&gt;"экспорт"),IF((TODAY()+offer_turnaround_time)&gt;=helpsheet!$L$17,rate_vatRU_from_26,rate_vatRu_till_25),0)</f>
        <v/>
      </c>
      <c r="AP1510" s="193">
        <f>AN1510-AO1510</f>
        <v/>
      </c>
      <c r="AQ1510" s="118">
        <f>IF(offer_sale_type="транзит",SUM(AF1510:AI1510,BA1510,BB1510),0)</f>
        <v/>
      </c>
      <c r="AR1510" s="82">
        <f>HYPERLINK("https://www.alta.ru/tnved/code/")&amp;W1510&amp;"/"</f>
        <v/>
      </c>
      <c r="AS1510" s="157" t="n"/>
      <c r="AT1510" s="162" t="n"/>
      <c r="AU1510" s="76">
        <f>IF(ISBLANK(AT1510),0,AJ1510-AT1510)</f>
        <v/>
      </c>
      <c r="AV1510" s="157" t="n"/>
      <c r="AW1510" s="75">
        <f>_xlfn.IFNA(VLOOKUP(L1510,list_vat[],3,FALSE),0)</f>
        <v/>
      </c>
      <c r="AX1510" s="76">
        <f>IFERROR(ROUND(S1510*(1+AW1510)/E1510,2),0)</f>
        <v/>
      </c>
      <c r="AY1510" s="76">
        <f>E1510*AX1510</f>
        <v/>
      </c>
      <c r="AZ1510" s="192">
        <f>S1510*(1+M1510)</f>
        <v/>
      </c>
      <c r="BA1510" s="76">
        <f>cost_fin_total*$BD1510</f>
        <v/>
      </c>
      <c r="BB1510" s="193">
        <f>credit_sales_interest*BD1510</f>
        <v/>
      </c>
      <c r="BC1510" s="102">
        <f>IFERROR(IF($I$13&gt;0,$I1510/$I$13,$S1510/$S$13),0)</f>
        <v/>
      </c>
      <c r="BD1510" s="102">
        <f>IFERROR($S1510/$S$13,0)</f>
        <v/>
      </c>
      <c r="BE1510" s="413" t="inlineStr">
        <is>
          <t>$</t>
        </is>
      </c>
    </row>
    <row r="1511" ht="12" customFormat="1" customHeight="1" s="65">
      <c r="A1511" s="43" t="n">
        <v>1496</v>
      </c>
      <c r="B1511" s="166" t="n"/>
      <c r="C1511" s="166" t="n"/>
      <c r="D1511" s="166" t="n"/>
      <c r="E1511" s="162" t="n"/>
      <c r="F1511" s="166" t="n"/>
      <c r="G1511" s="162" t="n"/>
      <c r="H1511" s="162" t="n"/>
      <c r="I1511" s="189">
        <f>E1511*G1511</f>
        <v/>
      </c>
      <c r="J1511" s="195" t="n"/>
      <c r="K1511" s="162" t="n"/>
      <c r="L1511" s="168" t="n"/>
      <c r="M1511" s="75">
        <f>_xlfn.XLOOKUP(L1511,list_vat[Страна],list_vat[Ставка НДС %],0,0)</f>
        <v/>
      </c>
      <c r="N1511" s="162">
        <f>IFERROR(IF(L1511="Китай",K1511,K1511/(1+M1511)),0)</f>
        <v/>
      </c>
      <c r="O1511" s="169" t="n"/>
      <c r="P1511" s="76">
        <f>N1511*(1-O1511)</f>
        <v/>
      </c>
      <c r="Q1511" s="162" t="n"/>
      <c r="R1511" s="162">
        <f>IF(ISBLANK(Q1511),"введи курс",P1511/Q1511)</f>
        <v/>
      </c>
      <c r="S1511" s="196">
        <f>IF(AND(ISNUMBER(E1511),ISNUMBER(Q1511)),E1511*R1511,0)</f>
        <v/>
      </c>
      <c r="T1511" s="192">
        <f>$BC1511*V$11</f>
        <v/>
      </c>
      <c r="U1511" s="76">
        <f>$BC1511*W$11</f>
        <v/>
      </c>
      <c r="V1511" s="193">
        <f>+SUM(T1511:U1511)</f>
        <v/>
      </c>
      <c r="W1511" s="191" t="n"/>
      <c r="X1511" s="170" t="n"/>
      <c r="Y1511" s="76">
        <f>ROUND(IF(offer_incoterms="DDP",X1511*(S1511*(1+AW1511)+T1511),0),2)</f>
        <v/>
      </c>
      <c r="Z1511" s="188" t="n"/>
      <c r="AA1511" s="192">
        <f>IFERROR(AB1511/E1511,0)</f>
        <v/>
      </c>
      <c r="AB1511" s="76">
        <f>ROUND(SUM(S1511,V1511,Y1511:Z1511,BA1511:BB1511),2)</f>
        <v/>
      </c>
      <c r="AC1511" s="797" t="n"/>
      <c r="AD1511" s="192">
        <f t="array" ref="AD1511">IFERROR(ROUND((_xlfn.IFS(offer_sale_type="поставка",AB1511,offer_sale_type="транзит",S1511)*(1+AC1511))/E1511,2),0)</f>
        <v/>
      </c>
      <c r="AE1511" s="76">
        <f>AD1511*E1511</f>
        <v/>
      </c>
      <c r="AF1511" s="193">
        <f t="array" ref="AF1511">IFERROR(ROUND(_xlfn.IFS(offer_sale_type="поставка",AB1511,offer_sale_type="транзит",S1511)*AC1511,2),0)</f>
        <v/>
      </c>
      <c r="AG1511" s="192">
        <f>$BD1511*VLOOKUP($AG$3,$AF$4:$AG$7,2,FALSE)</f>
        <v/>
      </c>
      <c r="AH1511" s="76">
        <f>SUM(AE1511,AG1511,AI1511)*rate_forex_risk</f>
        <v/>
      </c>
      <c r="AI1511" s="193">
        <f>IF(OR(seller_region="TR",offer_sale_type="экспорт"),0,rate_fin_comm)*SUM(AZ1511,AZ1511*AW1511,T1511)</f>
        <v/>
      </c>
      <c r="AJ1511" s="118">
        <f>IFERROR(ROUND(SUM(AB1511,AF1511:AI1511)/E1511,2),0)</f>
        <v/>
      </c>
      <c r="AK1511" s="76">
        <f>AJ1511*E1511</f>
        <v/>
      </c>
      <c r="AL1511" s="174">
        <f>ROUND(IFERROR(AM1511*E1511,0),2)</f>
        <v/>
      </c>
      <c r="AM1511" s="175">
        <f>ROUND(AJ1511*(1+IF(offer_incoterms="DDP",IF((TODAY()+offer_turnaround_time)&gt;=helpsheet!$L$17,rate_vatRU_from_26,rate_vatRu_till_25),0)),2)</f>
        <v/>
      </c>
      <c r="AN1511" s="192">
        <f>AL1511-AK1511</f>
        <v/>
      </c>
      <c r="AO1511" s="76">
        <f>SUM(AY1511,Y1511:Z1511,T1511)*IF(AND(offer_incoterms="DDP",offer_sale_type&lt;&gt;"экспорт"),IF((TODAY()+offer_turnaround_time)&gt;=helpsheet!$L$17,rate_vatRU_from_26,rate_vatRu_till_25),0)</f>
        <v/>
      </c>
      <c r="AP1511" s="193">
        <f>AN1511-AO1511</f>
        <v/>
      </c>
      <c r="AQ1511" s="118">
        <f>IF(offer_sale_type="транзит",SUM(AF1511:AI1511,BA1511,BB1511),0)</f>
        <v/>
      </c>
      <c r="AR1511" s="82">
        <f>HYPERLINK("https://www.alta.ru/tnved/code/")&amp;W1511&amp;"/"</f>
        <v/>
      </c>
      <c r="AS1511" s="157" t="n"/>
      <c r="AT1511" s="162" t="n"/>
      <c r="AU1511" s="76">
        <f>IF(ISBLANK(AT1511),0,AJ1511-AT1511)</f>
        <v/>
      </c>
      <c r="AV1511" s="157" t="n"/>
      <c r="AW1511" s="75">
        <f>_xlfn.IFNA(VLOOKUP(L1511,list_vat[],3,FALSE),0)</f>
        <v/>
      </c>
      <c r="AX1511" s="76">
        <f>IFERROR(ROUND(S1511*(1+AW1511)/E1511,2),0)</f>
        <v/>
      </c>
      <c r="AY1511" s="76">
        <f>E1511*AX1511</f>
        <v/>
      </c>
      <c r="AZ1511" s="192">
        <f>S1511*(1+M1511)</f>
        <v/>
      </c>
      <c r="BA1511" s="76">
        <f>cost_fin_total*$BD1511</f>
        <v/>
      </c>
      <c r="BB1511" s="193">
        <f>credit_sales_interest*BD1511</f>
        <v/>
      </c>
      <c r="BC1511" s="102">
        <f>IFERROR(IF($I$13&gt;0,$I1511/$I$13,$S1511/$S$13),0)</f>
        <v/>
      </c>
      <c r="BD1511" s="102">
        <f>IFERROR($S1511/$S$13,0)</f>
        <v/>
      </c>
      <c r="BE1511" s="413" t="inlineStr">
        <is>
          <t>$</t>
        </is>
      </c>
    </row>
    <row r="1512" ht="12" customFormat="1" customHeight="1" s="65">
      <c r="A1512" s="43" t="n">
        <v>1497</v>
      </c>
      <c r="B1512" s="166" t="n"/>
      <c r="C1512" s="166" t="n"/>
      <c r="D1512" s="166" t="n"/>
      <c r="E1512" s="162" t="n"/>
      <c r="F1512" s="166" t="n"/>
      <c r="G1512" s="162" t="n"/>
      <c r="H1512" s="162" t="n"/>
      <c r="I1512" s="189">
        <f>E1512*G1512</f>
        <v/>
      </c>
      <c r="J1512" s="195" t="n"/>
      <c r="K1512" s="162" t="n"/>
      <c r="L1512" s="168" t="n"/>
      <c r="M1512" s="75">
        <f>_xlfn.XLOOKUP(L1512,list_vat[Страна],list_vat[Ставка НДС %],0,0)</f>
        <v/>
      </c>
      <c r="N1512" s="162">
        <f>IFERROR(IF(L1512="Китай",K1512,K1512/(1+M1512)),0)</f>
        <v/>
      </c>
      <c r="O1512" s="169" t="n"/>
      <c r="P1512" s="76">
        <f>N1512*(1-O1512)</f>
        <v/>
      </c>
      <c r="Q1512" s="162" t="n"/>
      <c r="R1512" s="162">
        <f>IF(ISBLANK(Q1512),"введи курс",P1512/Q1512)</f>
        <v/>
      </c>
      <c r="S1512" s="196">
        <f>IF(AND(ISNUMBER(E1512),ISNUMBER(Q1512)),E1512*R1512,0)</f>
        <v/>
      </c>
      <c r="T1512" s="192">
        <f>$BC1512*V$11</f>
        <v/>
      </c>
      <c r="U1512" s="76">
        <f>$BC1512*W$11</f>
        <v/>
      </c>
      <c r="V1512" s="193">
        <f>+SUM(T1512:U1512)</f>
        <v/>
      </c>
      <c r="W1512" s="191" t="n"/>
      <c r="X1512" s="170" t="n"/>
      <c r="Y1512" s="76">
        <f>ROUND(IF(offer_incoterms="DDP",X1512*(S1512*(1+AW1512)+T1512),0),2)</f>
        <v/>
      </c>
      <c r="Z1512" s="188" t="n"/>
      <c r="AA1512" s="192">
        <f>IFERROR(AB1512/E1512,0)</f>
        <v/>
      </c>
      <c r="AB1512" s="76">
        <f>ROUND(SUM(S1512,V1512,Y1512:Z1512,BA1512:BB1512),2)</f>
        <v/>
      </c>
      <c r="AC1512" s="797" t="n"/>
      <c r="AD1512" s="192">
        <f t="array" ref="AD1512">IFERROR(ROUND((_xlfn.IFS(offer_sale_type="поставка",AB1512,offer_sale_type="транзит",S1512)*(1+AC1512))/E1512,2),0)</f>
        <v/>
      </c>
      <c r="AE1512" s="76">
        <f>AD1512*E1512</f>
        <v/>
      </c>
      <c r="AF1512" s="193">
        <f t="array" ref="AF1512">IFERROR(ROUND(_xlfn.IFS(offer_sale_type="поставка",AB1512,offer_sale_type="транзит",S1512)*AC1512,2),0)</f>
        <v/>
      </c>
      <c r="AG1512" s="192">
        <f>$BD1512*VLOOKUP($AG$3,$AF$4:$AG$7,2,FALSE)</f>
        <v/>
      </c>
      <c r="AH1512" s="76">
        <f>SUM(AE1512,AG1512,AI1512)*rate_forex_risk</f>
        <v/>
      </c>
      <c r="AI1512" s="193">
        <f>IF(OR(seller_region="TR",offer_sale_type="экспорт"),0,rate_fin_comm)*SUM(AZ1512,AZ1512*AW1512,T1512)</f>
        <v/>
      </c>
      <c r="AJ1512" s="118">
        <f>IFERROR(ROUND(SUM(AB1512,AF1512:AI1512)/E1512,2),0)</f>
        <v/>
      </c>
      <c r="AK1512" s="76">
        <f>AJ1512*E1512</f>
        <v/>
      </c>
      <c r="AL1512" s="174">
        <f>ROUND(IFERROR(AM1512*E1512,0),2)</f>
        <v/>
      </c>
      <c r="AM1512" s="175">
        <f>ROUND(AJ1512*(1+IF(offer_incoterms="DDP",IF((TODAY()+offer_turnaround_time)&gt;=helpsheet!$L$17,rate_vatRU_from_26,rate_vatRu_till_25),0)),2)</f>
        <v/>
      </c>
      <c r="AN1512" s="192">
        <f>AL1512-AK1512</f>
        <v/>
      </c>
      <c r="AO1512" s="76">
        <f>SUM(AY1512,Y1512:Z1512,T1512)*IF(AND(offer_incoterms="DDP",offer_sale_type&lt;&gt;"экспорт"),IF((TODAY()+offer_turnaround_time)&gt;=helpsheet!$L$17,rate_vatRU_from_26,rate_vatRu_till_25),0)</f>
        <v/>
      </c>
      <c r="AP1512" s="193">
        <f>AN1512-AO1512</f>
        <v/>
      </c>
      <c r="AQ1512" s="118">
        <f>IF(offer_sale_type="транзит",SUM(AF1512:AI1512,BA1512,BB1512),0)</f>
        <v/>
      </c>
      <c r="AR1512" s="82">
        <f>HYPERLINK("https://www.alta.ru/tnved/code/")&amp;W1512&amp;"/"</f>
        <v/>
      </c>
      <c r="AS1512" s="157" t="n"/>
      <c r="AT1512" s="162" t="n"/>
      <c r="AU1512" s="76">
        <f>IF(ISBLANK(AT1512),0,AJ1512-AT1512)</f>
        <v/>
      </c>
      <c r="AV1512" s="157" t="n"/>
      <c r="AW1512" s="75">
        <f>_xlfn.IFNA(VLOOKUP(L1512,list_vat[],3,FALSE),0)</f>
        <v/>
      </c>
      <c r="AX1512" s="76">
        <f>IFERROR(ROUND(S1512*(1+AW1512)/E1512,2),0)</f>
        <v/>
      </c>
      <c r="AY1512" s="76">
        <f>E1512*AX1512</f>
        <v/>
      </c>
      <c r="AZ1512" s="192">
        <f>S1512*(1+M1512)</f>
        <v/>
      </c>
      <c r="BA1512" s="76">
        <f>cost_fin_total*$BD1512</f>
        <v/>
      </c>
      <c r="BB1512" s="193">
        <f>credit_sales_interest*BD1512</f>
        <v/>
      </c>
      <c r="BC1512" s="102">
        <f>IFERROR(IF($I$13&gt;0,$I1512/$I$13,$S1512/$S$13),0)</f>
        <v/>
      </c>
      <c r="BD1512" s="102">
        <f>IFERROR($S1512/$S$13,0)</f>
        <v/>
      </c>
      <c r="BE1512" s="413" t="inlineStr">
        <is>
          <t>$</t>
        </is>
      </c>
    </row>
    <row r="1513" ht="12" customFormat="1" customHeight="1" s="65">
      <c r="A1513" s="43" t="n">
        <v>1498</v>
      </c>
      <c r="B1513" s="166" t="n"/>
      <c r="C1513" s="166" t="n"/>
      <c r="D1513" s="166" t="n"/>
      <c r="E1513" s="162" t="n"/>
      <c r="F1513" s="166" t="n"/>
      <c r="G1513" s="162" t="n"/>
      <c r="H1513" s="162" t="n"/>
      <c r="I1513" s="189">
        <f>E1513*G1513</f>
        <v/>
      </c>
      <c r="J1513" s="195" t="n"/>
      <c r="K1513" s="162" t="n"/>
      <c r="L1513" s="168" t="n"/>
      <c r="M1513" s="75">
        <f>_xlfn.XLOOKUP(L1513,list_vat[Страна],list_vat[Ставка НДС %],0,0)</f>
        <v/>
      </c>
      <c r="N1513" s="162">
        <f>IFERROR(IF(L1513="Китай",K1513,K1513/(1+M1513)),0)</f>
        <v/>
      </c>
      <c r="O1513" s="169" t="n"/>
      <c r="P1513" s="76">
        <f>N1513*(1-O1513)</f>
        <v/>
      </c>
      <c r="Q1513" s="162" t="n"/>
      <c r="R1513" s="162">
        <f>IF(ISBLANK(Q1513),"введи курс",P1513/Q1513)</f>
        <v/>
      </c>
      <c r="S1513" s="196">
        <f>IF(AND(ISNUMBER(E1513),ISNUMBER(Q1513)),E1513*R1513,0)</f>
        <v/>
      </c>
      <c r="T1513" s="192">
        <f>$BC1513*V$11</f>
        <v/>
      </c>
      <c r="U1513" s="76">
        <f>$BC1513*W$11</f>
        <v/>
      </c>
      <c r="V1513" s="193">
        <f>+SUM(T1513:U1513)</f>
        <v/>
      </c>
      <c r="W1513" s="191" t="n"/>
      <c r="X1513" s="170" t="n"/>
      <c r="Y1513" s="76">
        <f>ROUND(IF(offer_incoterms="DDP",X1513*(S1513*(1+AW1513)+T1513),0),2)</f>
        <v/>
      </c>
      <c r="Z1513" s="188" t="n"/>
      <c r="AA1513" s="192">
        <f>IFERROR(AB1513/E1513,0)</f>
        <v/>
      </c>
      <c r="AB1513" s="76">
        <f>ROUND(SUM(S1513,V1513,Y1513:Z1513,BA1513:BB1513),2)</f>
        <v/>
      </c>
      <c r="AC1513" s="797" t="n"/>
      <c r="AD1513" s="192">
        <f t="array" ref="AD1513">IFERROR(ROUND((_xlfn.IFS(offer_sale_type="поставка",AB1513,offer_sale_type="транзит",S1513)*(1+AC1513))/E1513,2),0)</f>
        <v/>
      </c>
      <c r="AE1513" s="76">
        <f>AD1513*E1513</f>
        <v/>
      </c>
      <c r="AF1513" s="193">
        <f t="array" ref="AF1513">IFERROR(ROUND(_xlfn.IFS(offer_sale_type="поставка",AB1513,offer_sale_type="транзит",S1513)*AC1513,2),0)</f>
        <v/>
      </c>
      <c r="AG1513" s="192">
        <f>$BD1513*VLOOKUP($AG$3,$AF$4:$AG$7,2,FALSE)</f>
        <v/>
      </c>
      <c r="AH1513" s="76">
        <f>SUM(AE1513,AG1513,AI1513)*rate_forex_risk</f>
        <v/>
      </c>
      <c r="AI1513" s="193">
        <f>IF(OR(seller_region="TR",offer_sale_type="экспорт"),0,rate_fin_comm)*SUM(AZ1513,AZ1513*AW1513,T1513)</f>
        <v/>
      </c>
      <c r="AJ1513" s="118">
        <f>IFERROR(ROUND(SUM(AB1513,AF1513:AI1513)/E1513,2),0)</f>
        <v/>
      </c>
      <c r="AK1513" s="76">
        <f>AJ1513*E1513</f>
        <v/>
      </c>
      <c r="AL1513" s="174">
        <f>ROUND(IFERROR(AM1513*E1513,0),2)</f>
        <v/>
      </c>
      <c r="AM1513" s="175">
        <f>ROUND(AJ1513*(1+IF(offer_incoterms="DDP",IF((TODAY()+offer_turnaround_time)&gt;=helpsheet!$L$17,rate_vatRU_from_26,rate_vatRu_till_25),0)),2)</f>
        <v/>
      </c>
      <c r="AN1513" s="192">
        <f>AL1513-AK1513</f>
        <v/>
      </c>
      <c r="AO1513" s="76">
        <f>SUM(AY1513,Y1513:Z1513,T1513)*IF(AND(offer_incoterms="DDP",offer_sale_type&lt;&gt;"экспорт"),IF((TODAY()+offer_turnaround_time)&gt;=helpsheet!$L$17,rate_vatRU_from_26,rate_vatRu_till_25),0)</f>
        <v/>
      </c>
      <c r="AP1513" s="193">
        <f>AN1513-AO1513</f>
        <v/>
      </c>
      <c r="AQ1513" s="118">
        <f>IF(offer_sale_type="транзит",SUM(AF1513:AI1513,BA1513,BB1513),0)</f>
        <v/>
      </c>
      <c r="AR1513" s="82">
        <f>HYPERLINK("https://www.alta.ru/tnved/code/")&amp;W1513&amp;"/"</f>
        <v/>
      </c>
      <c r="AS1513" s="157" t="n"/>
      <c r="AT1513" s="162" t="n"/>
      <c r="AU1513" s="76">
        <f>IF(ISBLANK(AT1513),0,AJ1513-AT1513)</f>
        <v/>
      </c>
      <c r="AV1513" s="157" t="n"/>
      <c r="AW1513" s="75">
        <f>_xlfn.IFNA(VLOOKUP(L1513,list_vat[],3,FALSE),0)</f>
        <v/>
      </c>
      <c r="AX1513" s="76">
        <f>IFERROR(ROUND(S1513*(1+AW1513)/E1513,2),0)</f>
        <v/>
      </c>
      <c r="AY1513" s="76">
        <f>E1513*AX1513</f>
        <v/>
      </c>
      <c r="AZ1513" s="192">
        <f>S1513*(1+M1513)</f>
        <v/>
      </c>
      <c r="BA1513" s="76">
        <f>cost_fin_total*$BD1513</f>
        <v/>
      </c>
      <c r="BB1513" s="193">
        <f>credit_sales_interest*BD1513</f>
        <v/>
      </c>
      <c r="BC1513" s="102">
        <f>IFERROR(IF($I$13&gt;0,$I1513/$I$13,$S1513/$S$13),0)</f>
        <v/>
      </c>
      <c r="BD1513" s="102">
        <f>IFERROR($S1513/$S$13,0)</f>
        <v/>
      </c>
      <c r="BE1513" s="413" t="inlineStr">
        <is>
          <t>$</t>
        </is>
      </c>
    </row>
    <row r="1514" ht="12" customFormat="1" customHeight="1" s="65">
      <c r="A1514" s="43" t="n">
        <v>1499</v>
      </c>
      <c r="B1514" s="166" t="n"/>
      <c r="C1514" s="166" t="n"/>
      <c r="D1514" s="166" t="n"/>
      <c r="E1514" s="162" t="n"/>
      <c r="F1514" s="166" t="n"/>
      <c r="G1514" s="162" t="n"/>
      <c r="H1514" s="162" t="n"/>
      <c r="I1514" s="189">
        <f>E1514*G1514</f>
        <v/>
      </c>
      <c r="J1514" s="195" t="n"/>
      <c r="K1514" s="162" t="n"/>
      <c r="L1514" s="168" t="n"/>
      <c r="M1514" s="75">
        <f>_xlfn.XLOOKUP(L1514,list_vat[Страна],list_vat[Ставка НДС %],0,0)</f>
        <v/>
      </c>
      <c r="N1514" s="162">
        <f>IFERROR(IF(L1514="Китай",K1514,K1514/(1+M1514)),0)</f>
        <v/>
      </c>
      <c r="O1514" s="169" t="n"/>
      <c r="P1514" s="76">
        <f>N1514*(1-O1514)</f>
        <v/>
      </c>
      <c r="Q1514" s="162" t="n"/>
      <c r="R1514" s="162">
        <f>IF(ISBLANK(Q1514),"введи курс",P1514/Q1514)</f>
        <v/>
      </c>
      <c r="S1514" s="196">
        <f>IF(AND(ISNUMBER(E1514),ISNUMBER(Q1514)),E1514*R1514,0)</f>
        <v/>
      </c>
      <c r="T1514" s="192">
        <f>$BC1514*V$11</f>
        <v/>
      </c>
      <c r="U1514" s="76">
        <f>$BC1514*W$11</f>
        <v/>
      </c>
      <c r="V1514" s="193">
        <f>+SUM(T1514:U1514)</f>
        <v/>
      </c>
      <c r="W1514" s="191" t="n"/>
      <c r="X1514" s="170" t="n"/>
      <c r="Y1514" s="76">
        <f>ROUND(IF(offer_incoterms="DDP",X1514*(S1514*(1+AW1514)+T1514),0),2)</f>
        <v/>
      </c>
      <c r="Z1514" s="188" t="n"/>
      <c r="AA1514" s="192">
        <f>IFERROR(AB1514/E1514,0)</f>
        <v/>
      </c>
      <c r="AB1514" s="76">
        <f>ROUND(SUM(S1514,V1514,Y1514:Z1514,BA1514:BB1514),2)</f>
        <v/>
      </c>
      <c r="AC1514" s="797" t="n"/>
      <c r="AD1514" s="192">
        <f t="array" ref="AD1514">IFERROR(ROUND((_xlfn.IFS(offer_sale_type="поставка",AB1514,offer_sale_type="транзит",S1514)*(1+AC1514))/E1514,2),0)</f>
        <v/>
      </c>
      <c r="AE1514" s="76">
        <f>AD1514*E1514</f>
        <v/>
      </c>
      <c r="AF1514" s="193">
        <f t="array" ref="AF1514">IFERROR(ROUND(_xlfn.IFS(offer_sale_type="поставка",AB1514,offer_sale_type="транзит",S1514)*AC1514,2),0)</f>
        <v/>
      </c>
      <c r="AG1514" s="192">
        <f>$BD1514*VLOOKUP($AG$3,$AF$4:$AG$7,2,FALSE)</f>
        <v/>
      </c>
      <c r="AH1514" s="76">
        <f>SUM(AE1514,AG1514,AI1514)*rate_forex_risk</f>
        <v/>
      </c>
      <c r="AI1514" s="193">
        <f>IF(OR(seller_region="TR",offer_sale_type="экспорт"),0,rate_fin_comm)*SUM(AZ1514,AZ1514*AW1514,T1514)</f>
        <v/>
      </c>
      <c r="AJ1514" s="118">
        <f>IFERROR(ROUND(SUM(AB1514,AF1514:AI1514)/E1514,2),0)</f>
        <v/>
      </c>
      <c r="AK1514" s="76">
        <f>AJ1514*E1514</f>
        <v/>
      </c>
      <c r="AL1514" s="174">
        <f>ROUND(IFERROR(AM1514*E1514,0),2)</f>
        <v/>
      </c>
      <c r="AM1514" s="175">
        <f>ROUND(AJ1514*(1+IF(offer_incoterms="DDP",IF((TODAY()+offer_turnaround_time)&gt;=helpsheet!$L$17,rate_vatRU_from_26,rate_vatRu_till_25),0)),2)</f>
        <v/>
      </c>
      <c r="AN1514" s="192">
        <f>AL1514-AK1514</f>
        <v/>
      </c>
      <c r="AO1514" s="76">
        <f>SUM(AY1514,Y1514:Z1514,T1514)*IF(AND(offer_incoterms="DDP",offer_sale_type&lt;&gt;"экспорт"),IF((TODAY()+offer_turnaround_time)&gt;=helpsheet!$L$17,rate_vatRU_from_26,rate_vatRu_till_25),0)</f>
        <v/>
      </c>
      <c r="AP1514" s="193">
        <f>AN1514-AO1514</f>
        <v/>
      </c>
      <c r="AQ1514" s="118">
        <f>IF(offer_sale_type="транзит",SUM(AF1514:AI1514,BA1514,BB1514),0)</f>
        <v/>
      </c>
      <c r="AR1514" s="82">
        <f>HYPERLINK("https://www.alta.ru/tnved/code/")&amp;W1514&amp;"/"</f>
        <v/>
      </c>
      <c r="AS1514" s="157" t="n"/>
      <c r="AT1514" s="162" t="n"/>
      <c r="AU1514" s="76">
        <f>IF(ISBLANK(AT1514),0,AJ1514-AT1514)</f>
        <v/>
      </c>
      <c r="AV1514" s="157" t="n"/>
      <c r="AW1514" s="75">
        <f>_xlfn.IFNA(VLOOKUP(L1514,list_vat[],3,FALSE),0)</f>
        <v/>
      </c>
      <c r="AX1514" s="76">
        <f>IFERROR(ROUND(S1514*(1+AW1514)/E1514,2),0)</f>
        <v/>
      </c>
      <c r="AY1514" s="76">
        <f>E1514*AX1514</f>
        <v/>
      </c>
      <c r="AZ1514" s="192">
        <f>S1514*(1+M1514)</f>
        <v/>
      </c>
      <c r="BA1514" s="76">
        <f>cost_fin_total*$BD1514</f>
        <v/>
      </c>
      <c r="BB1514" s="193">
        <f>credit_sales_interest*BD1514</f>
        <v/>
      </c>
      <c r="BC1514" s="102">
        <f>IFERROR(IF($I$13&gt;0,$I1514/$I$13,$S1514/$S$13),0)</f>
        <v/>
      </c>
      <c r="BD1514" s="102">
        <f>IFERROR($S1514/$S$13,0)</f>
        <v/>
      </c>
      <c r="BE1514" s="413" t="inlineStr">
        <is>
          <t>$</t>
        </is>
      </c>
    </row>
    <row r="1515" ht="12" customFormat="1" customHeight="1" s="65">
      <c r="A1515" s="43" t="n">
        <v>1500</v>
      </c>
      <c r="B1515" s="166" t="n"/>
      <c r="C1515" s="166" t="n"/>
      <c r="D1515" s="166" t="n"/>
      <c r="E1515" s="162" t="n"/>
      <c r="F1515" s="166" t="n"/>
      <c r="G1515" s="162" t="n"/>
      <c r="H1515" s="162" t="n"/>
      <c r="I1515" s="189">
        <f>E1515*G1515</f>
        <v/>
      </c>
      <c r="J1515" s="195" t="n"/>
      <c r="K1515" s="162" t="n"/>
      <c r="L1515" s="168" t="n"/>
      <c r="M1515" s="75">
        <f>_xlfn.XLOOKUP(L1515,list_vat[Страна],list_vat[Ставка НДС %],0,0)</f>
        <v/>
      </c>
      <c r="N1515" s="162">
        <f>IFERROR(IF(L1515="Китай",K1515,K1515/(1+M1515)),0)</f>
        <v/>
      </c>
      <c r="O1515" s="169" t="n"/>
      <c r="P1515" s="76">
        <f>N1515*(1-O1515)</f>
        <v/>
      </c>
      <c r="Q1515" s="162" t="n"/>
      <c r="R1515" s="162">
        <f>IF(ISBLANK(Q1515),"введи курс",P1515/Q1515)</f>
        <v/>
      </c>
      <c r="S1515" s="196">
        <f>IF(AND(ISNUMBER(E1515),ISNUMBER(Q1515)),E1515*R1515,0)</f>
        <v/>
      </c>
      <c r="T1515" s="192">
        <f>$BC1515*V$11</f>
        <v/>
      </c>
      <c r="U1515" s="76">
        <f>$BC1515*W$11</f>
        <v/>
      </c>
      <c r="V1515" s="193">
        <f>+SUM(T1515:U1515)</f>
        <v/>
      </c>
      <c r="W1515" s="191" t="n"/>
      <c r="X1515" s="170" t="n"/>
      <c r="Y1515" s="76">
        <f>ROUND(IF(offer_incoterms="DDP",X1515*(S1515*(1+AW1515)+T1515),0),2)</f>
        <v/>
      </c>
      <c r="Z1515" s="188" t="n"/>
      <c r="AA1515" s="192">
        <f>IFERROR(AB1515/E1515,0)</f>
        <v/>
      </c>
      <c r="AB1515" s="76">
        <f>ROUND(SUM(S1515,V1515,Y1515:Z1515,BA1515:BB1515),2)</f>
        <v/>
      </c>
      <c r="AC1515" s="797" t="n"/>
      <c r="AD1515" s="192">
        <f t="array" ref="AD1515">IFERROR(ROUND((_xlfn.IFS(offer_sale_type="поставка",AB1515,offer_sale_type="транзит",S1515)*(1+AC1515))/E1515,2),0)</f>
        <v/>
      </c>
      <c r="AE1515" s="76">
        <f>AD1515*E1515</f>
        <v/>
      </c>
      <c r="AF1515" s="193">
        <f t="array" ref="AF1515">IFERROR(ROUND(_xlfn.IFS(offer_sale_type="поставка",AB1515,offer_sale_type="транзит",S1515)*AC1515,2),0)</f>
        <v/>
      </c>
      <c r="AG1515" s="192">
        <f>$BD1515*VLOOKUP($AG$3,$AF$4:$AG$7,2,FALSE)</f>
        <v/>
      </c>
      <c r="AH1515" s="76">
        <f>SUM(AE1515,AG1515,AI1515)*rate_forex_risk</f>
        <v/>
      </c>
      <c r="AI1515" s="193">
        <f>IF(OR(seller_region="TR",offer_sale_type="экспорт"),0,rate_fin_comm)*SUM(AZ1515,AZ1515*AW1515,T1515)</f>
        <v/>
      </c>
      <c r="AJ1515" s="118">
        <f>IFERROR(ROUND(SUM(AB1515,AF1515:AI1515)/E1515,2),0)</f>
        <v/>
      </c>
      <c r="AK1515" s="76">
        <f>AJ1515*E1515</f>
        <v/>
      </c>
      <c r="AL1515" s="174">
        <f>ROUND(IFERROR(AM1515*E1515,0),2)</f>
        <v/>
      </c>
      <c r="AM1515" s="175">
        <f>ROUND(AJ1515*(1+IF(offer_incoterms="DDP",IF((TODAY()+offer_turnaround_time)&gt;=helpsheet!$L$17,rate_vatRU_from_26,rate_vatRu_till_25),0)),2)</f>
        <v/>
      </c>
      <c r="AN1515" s="192">
        <f>AL1515-AK1515</f>
        <v/>
      </c>
      <c r="AO1515" s="76">
        <f>SUM(AY1515,Y1515:Z1515,T1515)*IF(AND(offer_incoterms="DDP",offer_sale_type&lt;&gt;"экспорт"),IF((TODAY()+offer_turnaround_time)&gt;=helpsheet!$L$17,rate_vatRU_from_26,rate_vatRu_till_25),0)</f>
        <v/>
      </c>
      <c r="AP1515" s="193">
        <f>AN1515-AO1515</f>
        <v/>
      </c>
      <c r="AQ1515" s="118">
        <f>IF(offer_sale_type="транзит",SUM(AF1515:AI1515,BA1515,BB1515),0)</f>
        <v/>
      </c>
      <c r="AR1515" s="82">
        <f>HYPERLINK("https://www.alta.ru/tnved/code/")&amp;W1515&amp;"/"</f>
        <v/>
      </c>
      <c r="AS1515" s="157" t="n"/>
      <c r="AT1515" s="162" t="n"/>
      <c r="AU1515" s="76">
        <f>IF(ISBLANK(AT1515),0,AJ1515-AT1515)</f>
        <v/>
      </c>
      <c r="AV1515" s="157" t="n"/>
      <c r="AW1515" s="75">
        <f>_xlfn.IFNA(VLOOKUP(L1515,list_vat[],3,FALSE),0)</f>
        <v/>
      </c>
      <c r="AX1515" s="76">
        <f>IFERROR(ROUND(S1515*(1+AW1515)/E1515,2),0)</f>
        <v/>
      </c>
      <c r="AY1515" s="76">
        <f>E1515*AX1515</f>
        <v/>
      </c>
      <c r="AZ1515" s="192">
        <f>S1515*(1+M1515)</f>
        <v/>
      </c>
      <c r="BA1515" s="76">
        <f>cost_fin_total*$BD1515</f>
        <v/>
      </c>
      <c r="BB1515" s="193">
        <f>credit_sales_interest*BD1515</f>
        <v/>
      </c>
      <c r="BC1515" s="102">
        <f>IFERROR(IF($I$13&gt;0,$I1515/$I$13,$S1515/$S$13),0)</f>
        <v/>
      </c>
      <c r="BD1515" s="102">
        <f>IFERROR($S1515/$S$13,0)</f>
        <v/>
      </c>
      <c r="BE1515" s="413" t="inlineStr">
        <is>
          <t>$</t>
        </is>
      </c>
    </row>
    <row r="1516" ht="12" customFormat="1" customHeight="1" s="65">
      <c r="A1516" s="43" t="n">
        <v>1501</v>
      </c>
      <c r="B1516" s="166" t="n"/>
      <c r="C1516" s="166" t="n"/>
      <c r="D1516" s="166" t="n"/>
      <c r="E1516" s="162" t="n"/>
      <c r="F1516" s="166" t="n"/>
      <c r="G1516" s="162" t="n"/>
      <c r="H1516" s="162" t="n"/>
      <c r="I1516" s="189">
        <f>E1516*G1516</f>
        <v/>
      </c>
      <c r="J1516" s="195" t="n"/>
      <c r="K1516" s="162" t="n"/>
      <c r="L1516" s="168" t="n"/>
      <c r="M1516" s="75">
        <f>_xlfn.XLOOKUP(L1516,list_vat[Страна],list_vat[Ставка НДС %],0,0)</f>
        <v/>
      </c>
      <c r="N1516" s="162">
        <f>IFERROR(IF(L1516="Китай",K1516,K1516/(1+M1516)),0)</f>
        <v/>
      </c>
      <c r="O1516" s="169" t="n"/>
      <c r="P1516" s="76">
        <f>N1516*(1-O1516)</f>
        <v/>
      </c>
      <c r="Q1516" s="162" t="n"/>
      <c r="R1516" s="162">
        <f>IF(ISBLANK(Q1516),"введи курс",P1516/Q1516)</f>
        <v/>
      </c>
      <c r="S1516" s="196">
        <f>IF(AND(ISNUMBER(E1516),ISNUMBER(Q1516)),E1516*R1516,0)</f>
        <v/>
      </c>
      <c r="T1516" s="192">
        <f>$BC1516*V$11</f>
        <v/>
      </c>
      <c r="U1516" s="76">
        <f>$BC1516*W$11</f>
        <v/>
      </c>
      <c r="V1516" s="193">
        <f>+SUM(T1516:U1516)</f>
        <v/>
      </c>
      <c r="W1516" s="191" t="n"/>
      <c r="X1516" s="170" t="n"/>
      <c r="Y1516" s="76">
        <f>ROUND(IF(offer_incoterms="DDP",X1516*(S1516*(1+AW1516)+T1516),0),2)</f>
        <v/>
      </c>
      <c r="Z1516" s="188" t="n"/>
      <c r="AA1516" s="192">
        <f>IFERROR(AB1516/E1516,0)</f>
        <v/>
      </c>
      <c r="AB1516" s="76">
        <f>ROUND(SUM(S1516,V1516,Y1516:Z1516,BA1516:BB1516),2)</f>
        <v/>
      </c>
      <c r="AC1516" s="797" t="n"/>
      <c r="AD1516" s="192">
        <f t="array" ref="AD1516">IFERROR(ROUND((_xlfn.IFS(offer_sale_type="поставка",AB1516,offer_sale_type="транзит",S1516)*(1+AC1516))/E1516,2),0)</f>
        <v/>
      </c>
      <c r="AE1516" s="76">
        <f>AD1516*E1516</f>
        <v/>
      </c>
      <c r="AF1516" s="193">
        <f t="array" ref="AF1516">IFERROR(ROUND(_xlfn.IFS(offer_sale_type="поставка",AB1516,offer_sale_type="транзит",S1516)*AC1516,2),0)</f>
        <v/>
      </c>
      <c r="AG1516" s="192">
        <f>$BD1516*VLOOKUP($AG$3,$AF$4:$AG$7,2,FALSE)</f>
        <v/>
      </c>
      <c r="AH1516" s="76">
        <f>SUM(AE1516,AG1516,AI1516)*rate_forex_risk</f>
        <v/>
      </c>
      <c r="AI1516" s="193">
        <f>IF(OR(seller_region="TR",offer_sale_type="экспорт"),0,rate_fin_comm)*SUM(AZ1516,AZ1516*AW1516,T1516)</f>
        <v/>
      </c>
      <c r="AJ1516" s="118">
        <f>IFERROR(ROUND(SUM(AB1516,AF1516:AI1516)/E1516,2),0)</f>
        <v/>
      </c>
      <c r="AK1516" s="76">
        <f>AJ1516*E1516</f>
        <v/>
      </c>
      <c r="AL1516" s="174">
        <f>ROUND(IFERROR(AM1516*E1516,0),2)</f>
        <v/>
      </c>
      <c r="AM1516" s="175">
        <f>ROUND(AJ1516*(1+IF(offer_incoterms="DDP",IF((TODAY()+offer_turnaround_time)&gt;=helpsheet!$L$17,rate_vatRU_from_26,rate_vatRu_till_25),0)),2)</f>
        <v/>
      </c>
      <c r="AN1516" s="192">
        <f>AL1516-AK1516</f>
        <v/>
      </c>
      <c r="AO1516" s="76">
        <f>SUM(AY1516,Y1516:Z1516,T1516)*IF(AND(offer_incoterms="DDP",offer_sale_type&lt;&gt;"экспорт"),IF((TODAY()+offer_turnaround_time)&gt;=helpsheet!$L$17,rate_vatRU_from_26,rate_vatRu_till_25),0)</f>
        <v/>
      </c>
      <c r="AP1516" s="193">
        <f>AN1516-AO1516</f>
        <v/>
      </c>
      <c r="AQ1516" s="118">
        <f>IF(offer_sale_type="транзит",SUM(AF1516:AI1516,BA1516,BB1516),0)</f>
        <v/>
      </c>
      <c r="AR1516" s="82">
        <f>HYPERLINK("https://www.alta.ru/tnved/code/")&amp;W1516&amp;"/"</f>
        <v/>
      </c>
      <c r="AS1516" s="157" t="n"/>
      <c r="AT1516" s="162" t="n"/>
      <c r="AU1516" s="76">
        <f>IF(ISBLANK(AT1516),0,AJ1516-AT1516)</f>
        <v/>
      </c>
      <c r="AV1516" s="157" t="n"/>
      <c r="AW1516" s="75">
        <f>_xlfn.IFNA(VLOOKUP(L1516,list_vat[],3,FALSE),0)</f>
        <v/>
      </c>
      <c r="AX1516" s="76">
        <f>IFERROR(ROUND(S1516*(1+AW1516)/E1516,2),0)</f>
        <v/>
      </c>
      <c r="AY1516" s="76">
        <f>E1516*AX1516</f>
        <v/>
      </c>
      <c r="AZ1516" s="192">
        <f>S1516*(1+M1516)</f>
        <v/>
      </c>
      <c r="BA1516" s="76">
        <f>cost_fin_total*$BD1516</f>
        <v/>
      </c>
      <c r="BB1516" s="193">
        <f>credit_sales_interest*BD1516</f>
        <v/>
      </c>
      <c r="BC1516" s="102">
        <f>IFERROR(IF($I$13&gt;0,$I1516/$I$13,$S1516/$S$13),0)</f>
        <v/>
      </c>
      <c r="BD1516" s="102">
        <f>IFERROR($S1516/$S$13,0)</f>
        <v/>
      </c>
      <c r="BE1516" s="413" t="inlineStr">
        <is>
          <t>$</t>
        </is>
      </c>
    </row>
    <row r="1517" ht="12" customFormat="1" customHeight="1" s="65">
      <c r="A1517" s="43" t="n">
        <v>1502</v>
      </c>
      <c r="B1517" s="166" t="n"/>
      <c r="C1517" s="166" t="n"/>
      <c r="D1517" s="166" t="n"/>
      <c r="E1517" s="162" t="n"/>
      <c r="F1517" s="166" t="n"/>
      <c r="G1517" s="162" t="n"/>
      <c r="H1517" s="162" t="n"/>
      <c r="I1517" s="189">
        <f>E1517*G1517</f>
        <v/>
      </c>
      <c r="J1517" s="195" t="n"/>
      <c r="K1517" s="162" t="n"/>
      <c r="L1517" s="168" t="n"/>
      <c r="M1517" s="75">
        <f>_xlfn.XLOOKUP(L1517,list_vat[Страна],list_vat[Ставка НДС %],0,0)</f>
        <v/>
      </c>
      <c r="N1517" s="162">
        <f>IFERROR(IF(L1517="Китай",K1517,K1517/(1+M1517)),0)</f>
        <v/>
      </c>
      <c r="O1517" s="169" t="n"/>
      <c r="P1517" s="76">
        <f>N1517*(1-O1517)</f>
        <v/>
      </c>
      <c r="Q1517" s="162" t="n"/>
      <c r="R1517" s="162">
        <f>IF(ISBLANK(Q1517),"введи курс",P1517/Q1517)</f>
        <v/>
      </c>
      <c r="S1517" s="196">
        <f>IF(AND(ISNUMBER(E1517),ISNUMBER(Q1517)),E1517*R1517,0)</f>
        <v/>
      </c>
      <c r="T1517" s="192">
        <f>$BC1517*V$11</f>
        <v/>
      </c>
      <c r="U1517" s="76">
        <f>$BC1517*W$11</f>
        <v/>
      </c>
      <c r="V1517" s="193">
        <f>+SUM(T1517:U1517)</f>
        <v/>
      </c>
      <c r="W1517" s="191" t="n"/>
      <c r="X1517" s="170" t="n"/>
      <c r="Y1517" s="76">
        <f>ROUND(IF(offer_incoterms="DDP",X1517*(S1517*(1+AW1517)+T1517),0),2)</f>
        <v/>
      </c>
      <c r="Z1517" s="188" t="n"/>
      <c r="AA1517" s="192">
        <f>IFERROR(AB1517/E1517,0)</f>
        <v/>
      </c>
      <c r="AB1517" s="76">
        <f>ROUND(SUM(S1517,V1517,Y1517:Z1517,BA1517:BB1517),2)</f>
        <v/>
      </c>
      <c r="AC1517" s="797" t="n"/>
      <c r="AD1517" s="192">
        <f t="array" ref="AD1517">IFERROR(ROUND((_xlfn.IFS(offer_sale_type="поставка",AB1517,offer_sale_type="транзит",S1517)*(1+AC1517))/E1517,2),0)</f>
        <v/>
      </c>
      <c r="AE1517" s="76">
        <f>AD1517*E1517</f>
        <v/>
      </c>
      <c r="AF1517" s="193">
        <f t="array" ref="AF1517">IFERROR(ROUND(_xlfn.IFS(offer_sale_type="поставка",AB1517,offer_sale_type="транзит",S1517)*AC1517,2),0)</f>
        <v/>
      </c>
      <c r="AG1517" s="192">
        <f>$BD1517*VLOOKUP($AG$3,$AF$4:$AG$7,2,FALSE)</f>
        <v/>
      </c>
      <c r="AH1517" s="76">
        <f>SUM(AE1517,AG1517,AI1517)*rate_forex_risk</f>
        <v/>
      </c>
      <c r="AI1517" s="193">
        <f>IF(OR(seller_region="TR",offer_sale_type="экспорт"),0,rate_fin_comm)*SUM(AZ1517,AZ1517*AW1517,T1517)</f>
        <v/>
      </c>
      <c r="AJ1517" s="118">
        <f>IFERROR(ROUND(SUM(AB1517,AF1517:AI1517)/E1517,2),0)</f>
        <v/>
      </c>
      <c r="AK1517" s="76">
        <f>AJ1517*E1517</f>
        <v/>
      </c>
      <c r="AL1517" s="174">
        <f>ROUND(IFERROR(AM1517*E1517,0),2)</f>
        <v/>
      </c>
      <c r="AM1517" s="175">
        <f>ROUND(AJ1517*(1+IF(offer_incoterms="DDP",IF((TODAY()+offer_turnaround_time)&gt;=helpsheet!$L$17,rate_vatRU_from_26,rate_vatRu_till_25),0)),2)</f>
        <v/>
      </c>
      <c r="AN1517" s="192">
        <f>AL1517-AK1517</f>
        <v/>
      </c>
      <c r="AO1517" s="76">
        <f>SUM(AY1517,Y1517:Z1517,T1517)*IF(AND(offer_incoterms="DDP",offer_sale_type&lt;&gt;"экспорт"),IF((TODAY()+offer_turnaround_time)&gt;=helpsheet!$L$17,rate_vatRU_from_26,rate_vatRu_till_25),0)</f>
        <v/>
      </c>
      <c r="AP1517" s="193">
        <f>AN1517-AO1517</f>
        <v/>
      </c>
      <c r="AQ1517" s="118">
        <f>IF(offer_sale_type="транзит",SUM(AF1517:AI1517,BA1517,BB1517),0)</f>
        <v/>
      </c>
      <c r="AR1517" s="82">
        <f>HYPERLINK("https://www.alta.ru/tnved/code/")&amp;W1517&amp;"/"</f>
        <v/>
      </c>
      <c r="AS1517" s="157" t="n"/>
      <c r="AT1517" s="162" t="n"/>
      <c r="AU1517" s="76">
        <f>IF(ISBLANK(AT1517),0,AJ1517-AT1517)</f>
        <v/>
      </c>
      <c r="AV1517" s="157" t="n"/>
      <c r="AW1517" s="75">
        <f>_xlfn.IFNA(VLOOKUP(L1517,list_vat[],3,FALSE),0)</f>
        <v/>
      </c>
      <c r="AX1517" s="76">
        <f>IFERROR(ROUND(S1517*(1+AW1517)/E1517,2),0)</f>
        <v/>
      </c>
      <c r="AY1517" s="76">
        <f>E1517*AX1517</f>
        <v/>
      </c>
      <c r="AZ1517" s="192">
        <f>S1517*(1+M1517)</f>
        <v/>
      </c>
      <c r="BA1517" s="76">
        <f>cost_fin_total*$BD1517</f>
        <v/>
      </c>
      <c r="BB1517" s="193">
        <f>credit_sales_interest*BD1517</f>
        <v/>
      </c>
      <c r="BC1517" s="102">
        <f>IFERROR(IF($I$13&gt;0,$I1517/$I$13,$S1517/$S$13),0)</f>
        <v/>
      </c>
      <c r="BD1517" s="102">
        <f>IFERROR($S1517/$S$13,0)</f>
        <v/>
      </c>
      <c r="BE1517" s="413" t="inlineStr">
        <is>
          <t>$</t>
        </is>
      </c>
    </row>
    <row r="1518" ht="12" customFormat="1" customHeight="1" s="65">
      <c r="A1518" s="43" t="n">
        <v>1503</v>
      </c>
      <c r="B1518" s="166" t="n"/>
      <c r="C1518" s="166" t="n"/>
      <c r="D1518" s="166" t="n"/>
      <c r="E1518" s="162" t="n"/>
      <c r="F1518" s="166" t="n"/>
      <c r="G1518" s="162" t="n"/>
      <c r="H1518" s="162" t="n"/>
      <c r="I1518" s="189">
        <f>E1518*G1518</f>
        <v/>
      </c>
      <c r="J1518" s="195" t="n"/>
      <c r="K1518" s="162" t="n"/>
      <c r="L1518" s="168" t="n"/>
      <c r="M1518" s="75">
        <f>_xlfn.XLOOKUP(L1518,list_vat[Страна],list_vat[Ставка НДС %],0,0)</f>
        <v/>
      </c>
      <c r="N1518" s="162">
        <f>IFERROR(IF(L1518="Китай",K1518,K1518/(1+M1518)),0)</f>
        <v/>
      </c>
      <c r="O1518" s="169" t="n"/>
      <c r="P1518" s="76">
        <f>N1518*(1-O1518)</f>
        <v/>
      </c>
      <c r="Q1518" s="162" t="n"/>
      <c r="R1518" s="162">
        <f>IF(ISBLANK(Q1518),"введи курс",P1518/Q1518)</f>
        <v/>
      </c>
      <c r="S1518" s="196">
        <f>IF(AND(ISNUMBER(E1518),ISNUMBER(Q1518)),E1518*R1518,0)</f>
        <v/>
      </c>
      <c r="T1518" s="192">
        <f>$BC1518*V$11</f>
        <v/>
      </c>
      <c r="U1518" s="76">
        <f>$BC1518*W$11</f>
        <v/>
      </c>
      <c r="V1518" s="193">
        <f>+SUM(T1518:U1518)</f>
        <v/>
      </c>
      <c r="W1518" s="191" t="n"/>
      <c r="X1518" s="170" t="n"/>
      <c r="Y1518" s="76">
        <f>ROUND(IF(offer_incoterms="DDP",X1518*(S1518*(1+AW1518)+T1518),0),2)</f>
        <v/>
      </c>
      <c r="Z1518" s="188" t="n"/>
      <c r="AA1518" s="192">
        <f>IFERROR(AB1518/E1518,0)</f>
        <v/>
      </c>
      <c r="AB1518" s="76">
        <f>ROUND(SUM(S1518,V1518,Y1518:Z1518,BA1518:BB1518),2)</f>
        <v/>
      </c>
      <c r="AC1518" s="797" t="n"/>
      <c r="AD1518" s="192">
        <f t="array" ref="AD1518">IFERROR(ROUND((_xlfn.IFS(offer_sale_type="поставка",AB1518,offer_sale_type="транзит",S1518)*(1+AC1518))/E1518,2),0)</f>
        <v/>
      </c>
      <c r="AE1518" s="76">
        <f>AD1518*E1518</f>
        <v/>
      </c>
      <c r="AF1518" s="193">
        <f t="array" ref="AF1518">IFERROR(ROUND(_xlfn.IFS(offer_sale_type="поставка",AB1518,offer_sale_type="транзит",S1518)*AC1518,2),0)</f>
        <v/>
      </c>
      <c r="AG1518" s="192">
        <f>$BD1518*VLOOKUP($AG$3,$AF$4:$AG$7,2,FALSE)</f>
        <v/>
      </c>
      <c r="AH1518" s="76">
        <f>SUM(AE1518,AG1518,AI1518)*rate_forex_risk</f>
        <v/>
      </c>
      <c r="AI1518" s="193">
        <f>IF(OR(seller_region="TR",offer_sale_type="экспорт"),0,rate_fin_comm)*SUM(AZ1518,AZ1518*AW1518,T1518)</f>
        <v/>
      </c>
      <c r="AJ1518" s="118">
        <f>IFERROR(ROUND(SUM(AB1518,AF1518:AI1518)/E1518,2),0)</f>
        <v/>
      </c>
      <c r="AK1518" s="76">
        <f>AJ1518*E1518</f>
        <v/>
      </c>
      <c r="AL1518" s="174">
        <f>ROUND(IFERROR(AM1518*E1518,0),2)</f>
        <v/>
      </c>
      <c r="AM1518" s="175">
        <f>ROUND(AJ1518*(1+IF(offer_incoterms="DDP",IF((TODAY()+offer_turnaround_time)&gt;=helpsheet!$L$17,rate_vatRU_from_26,rate_vatRu_till_25),0)),2)</f>
        <v/>
      </c>
      <c r="AN1518" s="192">
        <f>AL1518-AK1518</f>
        <v/>
      </c>
      <c r="AO1518" s="76">
        <f>SUM(AY1518,Y1518:Z1518,T1518)*IF(AND(offer_incoterms="DDP",offer_sale_type&lt;&gt;"экспорт"),IF((TODAY()+offer_turnaround_time)&gt;=helpsheet!$L$17,rate_vatRU_from_26,rate_vatRu_till_25),0)</f>
        <v/>
      </c>
      <c r="AP1518" s="193">
        <f>AN1518-AO1518</f>
        <v/>
      </c>
      <c r="AQ1518" s="118">
        <f>IF(offer_sale_type="транзит",SUM(AF1518:AI1518,BA1518,BB1518),0)</f>
        <v/>
      </c>
      <c r="AR1518" s="82">
        <f>HYPERLINK("https://www.alta.ru/tnved/code/")&amp;W1518&amp;"/"</f>
        <v/>
      </c>
      <c r="AS1518" s="157" t="n"/>
      <c r="AT1518" s="162" t="n"/>
      <c r="AU1518" s="76">
        <f>IF(ISBLANK(AT1518),0,AJ1518-AT1518)</f>
        <v/>
      </c>
      <c r="AV1518" s="157" t="n"/>
      <c r="AW1518" s="75">
        <f>_xlfn.IFNA(VLOOKUP(L1518,list_vat[],3,FALSE),0)</f>
        <v/>
      </c>
      <c r="AX1518" s="76">
        <f>IFERROR(ROUND(S1518*(1+AW1518)/E1518,2),0)</f>
        <v/>
      </c>
      <c r="AY1518" s="76">
        <f>E1518*AX1518</f>
        <v/>
      </c>
      <c r="AZ1518" s="192">
        <f>S1518*(1+M1518)</f>
        <v/>
      </c>
      <c r="BA1518" s="76">
        <f>cost_fin_total*$BD1518</f>
        <v/>
      </c>
      <c r="BB1518" s="193">
        <f>credit_sales_interest*BD1518</f>
        <v/>
      </c>
      <c r="BC1518" s="102">
        <f>IFERROR(IF($I$13&gt;0,$I1518/$I$13,$S1518/$S$13),0)</f>
        <v/>
      </c>
      <c r="BD1518" s="102">
        <f>IFERROR($S1518/$S$13,0)</f>
        <v/>
      </c>
      <c r="BE1518" s="413" t="inlineStr">
        <is>
          <t>$</t>
        </is>
      </c>
    </row>
    <row r="1519" ht="12" customFormat="1" customHeight="1" s="65">
      <c r="A1519" s="43" t="n">
        <v>1504</v>
      </c>
      <c r="B1519" s="166" t="n"/>
      <c r="C1519" s="166" t="n"/>
      <c r="D1519" s="166" t="n"/>
      <c r="E1519" s="162" t="n"/>
      <c r="F1519" s="166" t="n"/>
      <c r="G1519" s="162" t="n"/>
      <c r="H1519" s="162" t="n"/>
      <c r="I1519" s="189">
        <f>E1519*G1519</f>
        <v/>
      </c>
      <c r="J1519" s="195" t="n"/>
      <c r="K1519" s="162" t="n"/>
      <c r="L1519" s="168" t="n"/>
      <c r="M1519" s="75">
        <f>_xlfn.XLOOKUP(L1519,list_vat[Страна],list_vat[Ставка НДС %],0,0)</f>
        <v/>
      </c>
      <c r="N1519" s="162">
        <f>IFERROR(IF(L1519="Китай",K1519,K1519/(1+M1519)),0)</f>
        <v/>
      </c>
      <c r="O1519" s="169" t="n"/>
      <c r="P1519" s="76">
        <f>N1519*(1-O1519)</f>
        <v/>
      </c>
      <c r="Q1519" s="162" t="n"/>
      <c r="R1519" s="162">
        <f>IF(ISBLANK(Q1519),"введи курс",P1519/Q1519)</f>
        <v/>
      </c>
      <c r="S1519" s="196">
        <f>IF(AND(ISNUMBER(E1519),ISNUMBER(Q1519)),E1519*R1519,0)</f>
        <v/>
      </c>
      <c r="T1519" s="192">
        <f>$BC1519*V$11</f>
        <v/>
      </c>
      <c r="U1519" s="76">
        <f>$BC1519*W$11</f>
        <v/>
      </c>
      <c r="V1519" s="193">
        <f>+SUM(T1519:U1519)</f>
        <v/>
      </c>
      <c r="W1519" s="191" t="n"/>
      <c r="X1519" s="170" t="n"/>
      <c r="Y1519" s="76">
        <f>ROUND(IF(offer_incoterms="DDP",X1519*(S1519*(1+AW1519)+T1519),0),2)</f>
        <v/>
      </c>
      <c r="Z1519" s="188" t="n"/>
      <c r="AA1519" s="192">
        <f>IFERROR(AB1519/E1519,0)</f>
        <v/>
      </c>
      <c r="AB1519" s="76">
        <f>ROUND(SUM(S1519,V1519,Y1519:Z1519,BA1519:BB1519),2)</f>
        <v/>
      </c>
      <c r="AC1519" s="797" t="n"/>
      <c r="AD1519" s="192">
        <f t="array" ref="AD1519">IFERROR(ROUND((_xlfn.IFS(offer_sale_type="поставка",AB1519,offer_sale_type="транзит",S1519)*(1+AC1519))/E1519,2),0)</f>
        <v/>
      </c>
      <c r="AE1519" s="76">
        <f>AD1519*E1519</f>
        <v/>
      </c>
      <c r="AF1519" s="193">
        <f t="array" ref="AF1519">IFERROR(ROUND(_xlfn.IFS(offer_sale_type="поставка",AB1519,offer_sale_type="транзит",S1519)*AC1519,2),0)</f>
        <v/>
      </c>
      <c r="AG1519" s="192">
        <f>$BD1519*VLOOKUP($AG$3,$AF$4:$AG$7,2,FALSE)</f>
        <v/>
      </c>
      <c r="AH1519" s="76">
        <f>SUM(AE1519,AG1519,AI1519)*rate_forex_risk</f>
        <v/>
      </c>
      <c r="AI1519" s="193">
        <f>IF(OR(seller_region="TR",offer_sale_type="экспорт"),0,rate_fin_comm)*SUM(AZ1519,AZ1519*AW1519,T1519)</f>
        <v/>
      </c>
      <c r="AJ1519" s="118">
        <f>IFERROR(ROUND(SUM(AB1519,AF1519:AI1519)/E1519,2),0)</f>
        <v/>
      </c>
      <c r="AK1519" s="76">
        <f>AJ1519*E1519</f>
        <v/>
      </c>
      <c r="AL1519" s="174">
        <f>ROUND(IFERROR(AM1519*E1519,0),2)</f>
        <v/>
      </c>
      <c r="AM1519" s="175">
        <f>ROUND(AJ1519*(1+IF(offer_incoterms="DDP",IF((TODAY()+offer_turnaround_time)&gt;=helpsheet!$L$17,rate_vatRU_from_26,rate_vatRu_till_25),0)),2)</f>
        <v/>
      </c>
      <c r="AN1519" s="192">
        <f>AL1519-AK1519</f>
        <v/>
      </c>
      <c r="AO1519" s="76">
        <f>SUM(AY1519,Y1519:Z1519,T1519)*IF(AND(offer_incoterms="DDP",offer_sale_type&lt;&gt;"экспорт"),IF((TODAY()+offer_turnaround_time)&gt;=helpsheet!$L$17,rate_vatRU_from_26,rate_vatRu_till_25),0)</f>
        <v/>
      </c>
      <c r="AP1519" s="193">
        <f>AN1519-AO1519</f>
        <v/>
      </c>
      <c r="AQ1519" s="118">
        <f>IF(offer_sale_type="транзит",SUM(AF1519:AI1519,BA1519,BB1519),0)</f>
        <v/>
      </c>
      <c r="AR1519" s="82">
        <f>HYPERLINK("https://www.alta.ru/tnved/code/")&amp;W1519&amp;"/"</f>
        <v/>
      </c>
      <c r="AS1519" s="157" t="n"/>
      <c r="AT1519" s="162" t="n"/>
      <c r="AU1519" s="76">
        <f>IF(ISBLANK(AT1519),0,AJ1519-AT1519)</f>
        <v/>
      </c>
      <c r="AV1519" s="157" t="n"/>
      <c r="AW1519" s="75">
        <f>_xlfn.IFNA(VLOOKUP(L1519,list_vat[],3,FALSE),0)</f>
        <v/>
      </c>
      <c r="AX1519" s="76">
        <f>IFERROR(ROUND(S1519*(1+AW1519)/E1519,2),0)</f>
        <v/>
      </c>
      <c r="AY1519" s="76">
        <f>E1519*AX1519</f>
        <v/>
      </c>
      <c r="AZ1519" s="192">
        <f>S1519*(1+M1519)</f>
        <v/>
      </c>
      <c r="BA1519" s="76">
        <f>cost_fin_total*$BD1519</f>
        <v/>
      </c>
      <c r="BB1519" s="193">
        <f>credit_sales_interest*BD1519</f>
        <v/>
      </c>
      <c r="BC1519" s="102">
        <f>IFERROR(IF($I$13&gt;0,$I1519/$I$13,$S1519/$S$13),0)</f>
        <v/>
      </c>
      <c r="BD1519" s="102">
        <f>IFERROR($S1519/$S$13,0)</f>
        <v/>
      </c>
      <c r="BE1519" s="413" t="inlineStr">
        <is>
          <t>$</t>
        </is>
      </c>
    </row>
    <row r="1520" ht="12" customFormat="1" customHeight="1" s="65">
      <c r="A1520" s="43" t="n">
        <v>1505</v>
      </c>
      <c r="B1520" s="166" t="n"/>
      <c r="C1520" s="166" t="n"/>
      <c r="D1520" s="166" t="n"/>
      <c r="E1520" s="162" t="n"/>
      <c r="F1520" s="166" t="n"/>
      <c r="G1520" s="162" t="n"/>
      <c r="H1520" s="162" t="n"/>
      <c r="I1520" s="189">
        <f>E1520*G1520</f>
        <v/>
      </c>
      <c r="J1520" s="195" t="n"/>
      <c r="K1520" s="162" t="n"/>
      <c r="L1520" s="168" t="n"/>
      <c r="M1520" s="75">
        <f>_xlfn.XLOOKUP(L1520,list_vat[Страна],list_vat[Ставка НДС %],0,0)</f>
        <v/>
      </c>
      <c r="N1520" s="162">
        <f>IFERROR(IF(L1520="Китай",K1520,K1520/(1+M1520)),0)</f>
        <v/>
      </c>
      <c r="O1520" s="169" t="n"/>
      <c r="P1520" s="76">
        <f>N1520*(1-O1520)</f>
        <v/>
      </c>
      <c r="Q1520" s="162" t="n"/>
      <c r="R1520" s="162">
        <f>IF(ISBLANK(Q1520),"введи курс",P1520/Q1520)</f>
        <v/>
      </c>
      <c r="S1520" s="196">
        <f>IF(AND(ISNUMBER(E1520),ISNUMBER(Q1520)),E1520*R1520,0)</f>
        <v/>
      </c>
      <c r="T1520" s="192">
        <f>$BC1520*V$11</f>
        <v/>
      </c>
      <c r="U1520" s="76">
        <f>$BC1520*W$11</f>
        <v/>
      </c>
      <c r="V1520" s="193">
        <f>+SUM(T1520:U1520)</f>
        <v/>
      </c>
      <c r="W1520" s="191" t="n"/>
      <c r="X1520" s="170" t="n"/>
      <c r="Y1520" s="76">
        <f>ROUND(IF(offer_incoterms="DDP",X1520*(S1520*(1+AW1520)+T1520),0),2)</f>
        <v/>
      </c>
      <c r="Z1520" s="188" t="n"/>
      <c r="AA1520" s="192">
        <f>IFERROR(AB1520/E1520,0)</f>
        <v/>
      </c>
      <c r="AB1520" s="76">
        <f>ROUND(SUM(S1520,V1520,Y1520:Z1520,BA1520:BB1520),2)</f>
        <v/>
      </c>
      <c r="AC1520" s="797" t="n"/>
      <c r="AD1520" s="192">
        <f t="array" ref="AD1520">IFERROR(ROUND((_xlfn.IFS(offer_sale_type="поставка",AB1520,offer_sale_type="транзит",S1520)*(1+AC1520))/E1520,2),0)</f>
        <v/>
      </c>
      <c r="AE1520" s="76">
        <f>AD1520*E1520</f>
        <v/>
      </c>
      <c r="AF1520" s="193">
        <f t="array" ref="AF1520">IFERROR(ROUND(_xlfn.IFS(offer_sale_type="поставка",AB1520,offer_sale_type="транзит",S1520)*AC1520,2),0)</f>
        <v/>
      </c>
      <c r="AG1520" s="192">
        <f>$BD1520*VLOOKUP($AG$3,$AF$4:$AG$7,2,FALSE)</f>
        <v/>
      </c>
      <c r="AH1520" s="76">
        <f>SUM(AE1520,AG1520,AI1520)*rate_forex_risk</f>
        <v/>
      </c>
      <c r="AI1520" s="193">
        <f>IF(OR(seller_region="TR",offer_sale_type="экспорт"),0,rate_fin_comm)*SUM(AZ1520,AZ1520*AW1520,T1520)</f>
        <v/>
      </c>
      <c r="AJ1520" s="118">
        <f>IFERROR(ROUND(SUM(AB1520,AF1520:AI1520)/E1520,2),0)</f>
        <v/>
      </c>
      <c r="AK1520" s="76">
        <f>AJ1520*E1520</f>
        <v/>
      </c>
      <c r="AL1520" s="174">
        <f>ROUND(IFERROR(AM1520*E1520,0),2)</f>
        <v/>
      </c>
      <c r="AM1520" s="175">
        <f>ROUND(AJ1520*(1+IF(offer_incoterms="DDP",IF((TODAY()+offer_turnaround_time)&gt;=helpsheet!$L$17,rate_vatRU_from_26,rate_vatRu_till_25),0)),2)</f>
        <v/>
      </c>
      <c r="AN1520" s="192">
        <f>AL1520-AK1520</f>
        <v/>
      </c>
      <c r="AO1520" s="76">
        <f>SUM(AY1520,Y1520:Z1520,T1520)*IF(AND(offer_incoterms="DDP",offer_sale_type&lt;&gt;"экспорт"),IF((TODAY()+offer_turnaround_time)&gt;=helpsheet!$L$17,rate_vatRU_from_26,rate_vatRu_till_25),0)</f>
        <v/>
      </c>
      <c r="AP1520" s="193">
        <f>AN1520-AO1520</f>
        <v/>
      </c>
      <c r="AQ1520" s="118">
        <f>IF(offer_sale_type="транзит",SUM(AF1520:AI1520,BA1520,BB1520),0)</f>
        <v/>
      </c>
      <c r="AR1520" s="82">
        <f>HYPERLINK("https://www.alta.ru/tnved/code/")&amp;W1520&amp;"/"</f>
        <v/>
      </c>
      <c r="AS1520" s="157" t="n"/>
      <c r="AT1520" s="162" t="n"/>
      <c r="AU1520" s="76">
        <f>IF(ISBLANK(AT1520),0,AJ1520-AT1520)</f>
        <v/>
      </c>
      <c r="AV1520" s="157" t="n"/>
      <c r="AW1520" s="75">
        <f>_xlfn.IFNA(VLOOKUP(L1520,list_vat[],3,FALSE),0)</f>
        <v/>
      </c>
      <c r="AX1520" s="76">
        <f>IFERROR(ROUND(S1520*(1+AW1520)/E1520,2),0)</f>
        <v/>
      </c>
      <c r="AY1520" s="76">
        <f>E1520*AX1520</f>
        <v/>
      </c>
      <c r="AZ1520" s="192">
        <f>S1520*(1+M1520)</f>
        <v/>
      </c>
      <c r="BA1520" s="76">
        <f>cost_fin_total*$BD1520</f>
        <v/>
      </c>
      <c r="BB1520" s="193">
        <f>credit_sales_interest*BD1520</f>
        <v/>
      </c>
      <c r="BC1520" s="102">
        <f>IFERROR(IF($I$13&gt;0,$I1520/$I$13,$S1520/$S$13),0)</f>
        <v/>
      </c>
      <c r="BD1520" s="102">
        <f>IFERROR($S1520/$S$13,0)</f>
        <v/>
      </c>
      <c r="BE1520" s="413" t="inlineStr">
        <is>
          <t>$</t>
        </is>
      </c>
    </row>
    <row r="1521" ht="12" customFormat="1" customHeight="1" s="65">
      <c r="A1521" s="43" t="n">
        <v>1506</v>
      </c>
      <c r="B1521" s="166" t="n"/>
      <c r="C1521" s="166" t="n"/>
      <c r="D1521" s="166" t="n"/>
      <c r="E1521" s="162" t="n"/>
      <c r="F1521" s="166" t="n"/>
      <c r="G1521" s="162" t="n"/>
      <c r="H1521" s="162" t="n"/>
      <c r="I1521" s="189">
        <f>E1521*G1521</f>
        <v/>
      </c>
      <c r="J1521" s="195" t="n"/>
      <c r="K1521" s="162" t="n"/>
      <c r="L1521" s="168" t="n"/>
      <c r="M1521" s="75">
        <f>_xlfn.XLOOKUP(L1521,list_vat[Страна],list_vat[Ставка НДС %],0,0)</f>
        <v/>
      </c>
      <c r="N1521" s="162">
        <f>IFERROR(IF(L1521="Китай",K1521,K1521/(1+M1521)),0)</f>
        <v/>
      </c>
      <c r="O1521" s="169" t="n"/>
      <c r="P1521" s="76">
        <f>N1521*(1-O1521)</f>
        <v/>
      </c>
      <c r="Q1521" s="162" t="n"/>
      <c r="R1521" s="162">
        <f>IF(ISBLANK(Q1521),"введи курс",P1521/Q1521)</f>
        <v/>
      </c>
      <c r="S1521" s="196">
        <f>IF(AND(ISNUMBER(E1521),ISNUMBER(Q1521)),E1521*R1521,0)</f>
        <v/>
      </c>
      <c r="T1521" s="192">
        <f>$BC1521*V$11</f>
        <v/>
      </c>
      <c r="U1521" s="76">
        <f>$BC1521*W$11</f>
        <v/>
      </c>
      <c r="V1521" s="193">
        <f>+SUM(T1521:U1521)</f>
        <v/>
      </c>
      <c r="W1521" s="191" t="n"/>
      <c r="X1521" s="170" t="n"/>
      <c r="Y1521" s="76">
        <f>ROUND(IF(offer_incoterms="DDP",X1521*(S1521*(1+AW1521)+T1521),0),2)</f>
        <v/>
      </c>
      <c r="Z1521" s="188" t="n"/>
      <c r="AA1521" s="192">
        <f>IFERROR(AB1521/E1521,0)</f>
        <v/>
      </c>
      <c r="AB1521" s="76">
        <f>ROUND(SUM(S1521,V1521,Y1521:Z1521,BA1521:BB1521),2)</f>
        <v/>
      </c>
      <c r="AC1521" s="797" t="n"/>
      <c r="AD1521" s="192">
        <f t="array" ref="AD1521">IFERROR(ROUND((_xlfn.IFS(offer_sale_type="поставка",AB1521,offer_sale_type="транзит",S1521)*(1+AC1521))/E1521,2),0)</f>
        <v/>
      </c>
      <c r="AE1521" s="76">
        <f>AD1521*E1521</f>
        <v/>
      </c>
      <c r="AF1521" s="193">
        <f t="array" ref="AF1521">IFERROR(ROUND(_xlfn.IFS(offer_sale_type="поставка",AB1521,offer_sale_type="транзит",S1521)*AC1521,2),0)</f>
        <v/>
      </c>
      <c r="AG1521" s="192">
        <f>$BD1521*VLOOKUP($AG$3,$AF$4:$AG$7,2,FALSE)</f>
        <v/>
      </c>
      <c r="AH1521" s="76">
        <f>SUM(AE1521,AG1521,AI1521)*rate_forex_risk</f>
        <v/>
      </c>
      <c r="AI1521" s="193">
        <f>IF(OR(seller_region="TR",offer_sale_type="экспорт"),0,rate_fin_comm)*SUM(AZ1521,AZ1521*AW1521,T1521)</f>
        <v/>
      </c>
      <c r="AJ1521" s="118">
        <f>IFERROR(ROUND(SUM(AB1521,AF1521:AI1521)/E1521,2),0)</f>
        <v/>
      </c>
      <c r="AK1521" s="76">
        <f>AJ1521*E1521</f>
        <v/>
      </c>
      <c r="AL1521" s="174">
        <f>ROUND(IFERROR(AM1521*E1521,0),2)</f>
        <v/>
      </c>
      <c r="AM1521" s="175">
        <f>ROUND(AJ1521*(1+IF(offer_incoterms="DDP",IF((TODAY()+offer_turnaround_time)&gt;=helpsheet!$L$17,rate_vatRU_from_26,rate_vatRu_till_25),0)),2)</f>
        <v/>
      </c>
      <c r="AN1521" s="192">
        <f>AL1521-AK1521</f>
        <v/>
      </c>
      <c r="AO1521" s="76">
        <f>SUM(AY1521,Y1521:Z1521,T1521)*IF(AND(offer_incoterms="DDP",offer_sale_type&lt;&gt;"экспорт"),IF((TODAY()+offer_turnaround_time)&gt;=helpsheet!$L$17,rate_vatRU_from_26,rate_vatRu_till_25),0)</f>
        <v/>
      </c>
      <c r="AP1521" s="193">
        <f>AN1521-AO1521</f>
        <v/>
      </c>
      <c r="AQ1521" s="118">
        <f>IF(offer_sale_type="транзит",SUM(AF1521:AI1521,BA1521,BB1521),0)</f>
        <v/>
      </c>
      <c r="AR1521" s="82">
        <f>HYPERLINK("https://www.alta.ru/tnved/code/")&amp;W1521&amp;"/"</f>
        <v/>
      </c>
      <c r="AS1521" s="157" t="n"/>
      <c r="AT1521" s="162" t="n"/>
      <c r="AU1521" s="76">
        <f>IF(ISBLANK(AT1521),0,AJ1521-AT1521)</f>
        <v/>
      </c>
      <c r="AV1521" s="157" t="n"/>
      <c r="AW1521" s="75">
        <f>_xlfn.IFNA(VLOOKUP(L1521,list_vat[],3,FALSE),0)</f>
        <v/>
      </c>
      <c r="AX1521" s="76">
        <f>IFERROR(ROUND(S1521*(1+AW1521)/E1521,2),0)</f>
        <v/>
      </c>
      <c r="AY1521" s="76">
        <f>E1521*AX1521</f>
        <v/>
      </c>
      <c r="AZ1521" s="192">
        <f>S1521*(1+M1521)</f>
        <v/>
      </c>
      <c r="BA1521" s="76">
        <f>cost_fin_total*$BD1521</f>
        <v/>
      </c>
      <c r="BB1521" s="193">
        <f>credit_sales_interest*BD1521</f>
        <v/>
      </c>
      <c r="BC1521" s="102">
        <f>IFERROR(IF($I$13&gt;0,$I1521/$I$13,$S1521/$S$13),0)</f>
        <v/>
      </c>
      <c r="BD1521" s="102">
        <f>IFERROR($S1521/$S$13,0)</f>
        <v/>
      </c>
      <c r="BE1521" s="413" t="inlineStr">
        <is>
          <t>$</t>
        </is>
      </c>
    </row>
    <row r="1522" ht="12" customFormat="1" customHeight="1" s="65">
      <c r="A1522" s="43" t="n">
        <v>1507</v>
      </c>
      <c r="B1522" s="166" t="n"/>
      <c r="C1522" s="166" t="n"/>
      <c r="D1522" s="166" t="n"/>
      <c r="E1522" s="162" t="n"/>
      <c r="F1522" s="166" t="n"/>
      <c r="G1522" s="162" t="n"/>
      <c r="H1522" s="162" t="n"/>
      <c r="I1522" s="189">
        <f>E1522*G1522</f>
        <v/>
      </c>
      <c r="J1522" s="195" t="n"/>
      <c r="K1522" s="162" t="n"/>
      <c r="L1522" s="168" t="n"/>
      <c r="M1522" s="75">
        <f>_xlfn.XLOOKUP(L1522,list_vat[Страна],list_vat[Ставка НДС %],0,0)</f>
        <v/>
      </c>
      <c r="N1522" s="162">
        <f>IFERROR(IF(L1522="Китай",K1522,K1522/(1+M1522)),0)</f>
        <v/>
      </c>
      <c r="O1522" s="169" t="n"/>
      <c r="P1522" s="76">
        <f>N1522*(1-O1522)</f>
        <v/>
      </c>
      <c r="Q1522" s="162" t="n"/>
      <c r="R1522" s="162">
        <f>IF(ISBLANK(Q1522),"введи курс",P1522/Q1522)</f>
        <v/>
      </c>
      <c r="S1522" s="196">
        <f>IF(AND(ISNUMBER(E1522),ISNUMBER(Q1522)),E1522*R1522,0)</f>
        <v/>
      </c>
      <c r="T1522" s="192">
        <f>$BC1522*V$11</f>
        <v/>
      </c>
      <c r="U1522" s="76">
        <f>$BC1522*W$11</f>
        <v/>
      </c>
      <c r="V1522" s="193">
        <f>+SUM(T1522:U1522)</f>
        <v/>
      </c>
      <c r="W1522" s="191" t="n"/>
      <c r="X1522" s="170" t="n"/>
      <c r="Y1522" s="76">
        <f>ROUND(IF(offer_incoterms="DDP",X1522*(S1522*(1+AW1522)+T1522),0),2)</f>
        <v/>
      </c>
      <c r="Z1522" s="188" t="n"/>
      <c r="AA1522" s="192">
        <f>IFERROR(AB1522/E1522,0)</f>
        <v/>
      </c>
      <c r="AB1522" s="76">
        <f>ROUND(SUM(S1522,V1522,Y1522:Z1522,BA1522:BB1522),2)</f>
        <v/>
      </c>
      <c r="AC1522" s="797" t="n"/>
      <c r="AD1522" s="192">
        <f t="array" ref="AD1522">IFERROR(ROUND((_xlfn.IFS(offer_sale_type="поставка",AB1522,offer_sale_type="транзит",S1522)*(1+AC1522))/E1522,2),0)</f>
        <v/>
      </c>
      <c r="AE1522" s="76">
        <f>AD1522*E1522</f>
        <v/>
      </c>
      <c r="AF1522" s="193">
        <f t="array" ref="AF1522">IFERROR(ROUND(_xlfn.IFS(offer_sale_type="поставка",AB1522,offer_sale_type="транзит",S1522)*AC1522,2),0)</f>
        <v/>
      </c>
      <c r="AG1522" s="192">
        <f>$BD1522*VLOOKUP($AG$3,$AF$4:$AG$7,2,FALSE)</f>
        <v/>
      </c>
      <c r="AH1522" s="76">
        <f>SUM(AE1522,AG1522,AI1522)*rate_forex_risk</f>
        <v/>
      </c>
      <c r="AI1522" s="193">
        <f>IF(OR(seller_region="TR",offer_sale_type="экспорт"),0,rate_fin_comm)*SUM(AZ1522,AZ1522*AW1522,T1522)</f>
        <v/>
      </c>
      <c r="AJ1522" s="118">
        <f>IFERROR(ROUND(SUM(AB1522,AF1522:AI1522)/E1522,2),0)</f>
        <v/>
      </c>
      <c r="AK1522" s="76">
        <f>AJ1522*E1522</f>
        <v/>
      </c>
      <c r="AL1522" s="174">
        <f>ROUND(IFERROR(AM1522*E1522,0),2)</f>
        <v/>
      </c>
      <c r="AM1522" s="175">
        <f>ROUND(AJ1522*(1+IF(offer_incoterms="DDP",IF((TODAY()+offer_turnaround_time)&gt;=helpsheet!$L$17,rate_vatRU_from_26,rate_vatRu_till_25),0)),2)</f>
        <v/>
      </c>
      <c r="AN1522" s="192">
        <f>AL1522-AK1522</f>
        <v/>
      </c>
      <c r="AO1522" s="76">
        <f>SUM(AY1522,Y1522:Z1522,T1522)*IF(AND(offer_incoterms="DDP",offer_sale_type&lt;&gt;"экспорт"),IF((TODAY()+offer_turnaround_time)&gt;=helpsheet!$L$17,rate_vatRU_from_26,rate_vatRu_till_25),0)</f>
        <v/>
      </c>
      <c r="AP1522" s="193">
        <f>AN1522-AO1522</f>
        <v/>
      </c>
      <c r="AQ1522" s="118">
        <f>IF(offer_sale_type="транзит",SUM(AF1522:AI1522,BA1522,BB1522),0)</f>
        <v/>
      </c>
      <c r="AR1522" s="82">
        <f>HYPERLINK("https://www.alta.ru/tnved/code/")&amp;W1522&amp;"/"</f>
        <v/>
      </c>
      <c r="AS1522" s="157" t="n"/>
      <c r="AT1522" s="162" t="n"/>
      <c r="AU1522" s="76">
        <f>IF(ISBLANK(AT1522),0,AJ1522-AT1522)</f>
        <v/>
      </c>
      <c r="AV1522" s="157" t="n"/>
      <c r="AW1522" s="75">
        <f>_xlfn.IFNA(VLOOKUP(L1522,list_vat[],3,FALSE),0)</f>
        <v/>
      </c>
      <c r="AX1522" s="76">
        <f>IFERROR(ROUND(S1522*(1+AW1522)/E1522,2),0)</f>
        <v/>
      </c>
      <c r="AY1522" s="76">
        <f>E1522*AX1522</f>
        <v/>
      </c>
      <c r="AZ1522" s="192">
        <f>S1522*(1+M1522)</f>
        <v/>
      </c>
      <c r="BA1522" s="76">
        <f>cost_fin_total*$BD1522</f>
        <v/>
      </c>
      <c r="BB1522" s="193">
        <f>credit_sales_interest*BD1522</f>
        <v/>
      </c>
      <c r="BC1522" s="102">
        <f>IFERROR(IF($I$13&gt;0,$I1522/$I$13,$S1522/$S$13),0)</f>
        <v/>
      </c>
      <c r="BD1522" s="102">
        <f>IFERROR($S1522/$S$13,0)</f>
        <v/>
      </c>
      <c r="BE1522" s="413" t="inlineStr">
        <is>
          <t>$</t>
        </is>
      </c>
    </row>
    <row r="1523" ht="12" customFormat="1" customHeight="1" s="65">
      <c r="A1523" s="43" t="n">
        <v>1508</v>
      </c>
      <c r="B1523" s="166" t="n"/>
      <c r="C1523" s="166" t="n"/>
      <c r="D1523" s="166" t="n"/>
      <c r="E1523" s="162" t="n"/>
      <c r="F1523" s="166" t="n"/>
      <c r="G1523" s="162" t="n"/>
      <c r="H1523" s="162" t="n"/>
      <c r="I1523" s="189">
        <f>E1523*G1523</f>
        <v/>
      </c>
      <c r="J1523" s="195" t="n"/>
      <c r="K1523" s="162" t="n"/>
      <c r="L1523" s="168" t="n"/>
      <c r="M1523" s="75">
        <f>_xlfn.XLOOKUP(L1523,list_vat[Страна],list_vat[Ставка НДС %],0,0)</f>
        <v/>
      </c>
      <c r="N1523" s="162">
        <f>IFERROR(IF(L1523="Китай",K1523,K1523/(1+M1523)),0)</f>
        <v/>
      </c>
      <c r="O1523" s="169" t="n"/>
      <c r="P1523" s="76">
        <f>N1523*(1-O1523)</f>
        <v/>
      </c>
      <c r="Q1523" s="162" t="n"/>
      <c r="R1523" s="162">
        <f>IF(ISBLANK(Q1523),"введи курс",P1523/Q1523)</f>
        <v/>
      </c>
      <c r="S1523" s="196">
        <f>IF(AND(ISNUMBER(E1523),ISNUMBER(Q1523)),E1523*R1523,0)</f>
        <v/>
      </c>
      <c r="T1523" s="192">
        <f>$BC1523*V$11</f>
        <v/>
      </c>
      <c r="U1523" s="76">
        <f>$BC1523*W$11</f>
        <v/>
      </c>
      <c r="V1523" s="193">
        <f>+SUM(T1523:U1523)</f>
        <v/>
      </c>
      <c r="W1523" s="191" t="n"/>
      <c r="X1523" s="170" t="n"/>
      <c r="Y1523" s="76">
        <f>ROUND(IF(offer_incoterms="DDP",X1523*(S1523*(1+AW1523)+T1523),0),2)</f>
        <v/>
      </c>
      <c r="Z1523" s="188" t="n"/>
      <c r="AA1523" s="192">
        <f>IFERROR(AB1523/E1523,0)</f>
        <v/>
      </c>
      <c r="AB1523" s="76">
        <f>ROUND(SUM(S1523,V1523,Y1523:Z1523,BA1523:BB1523),2)</f>
        <v/>
      </c>
      <c r="AC1523" s="797" t="n"/>
      <c r="AD1523" s="192">
        <f t="array" ref="AD1523">IFERROR(ROUND((_xlfn.IFS(offer_sale_type="поставка",AB1523,offer_sale_type="транзит",S1523)*(1+AC1523))/E1523,2),0)</f>
        <v/>
      </c>
      <c r="AE1523" s="76">
        <f>AD1523*E1523</f>
        <v/>
      </c>
      <c r="AF1523" s="193">
        <f t="array" ref="AF1523">IFERROR(ROUND(_xlfn.IFS(offer_sale_type="поставка",AB1523,offer_sale_type="транзит",S1523)*AC1523,2),0)</f>
        <v/>
      </c>
      <c r="AG1523" s="192">
        <f>$BD1523*VLOOKUP($AG$3,$AF$4:$AG$7,2,FALSE)</f>
        <v/>
      </c>
      <c r="AH1523" s="76">
        <f>SUM(AE1523,AG1523,AI1523)*rate_forex_risk</f>
        <v/>
      </c>
      <c r="AI1523" s="193">
        <f>IF(OR(seller_region="TR",offer_sale_type="экспорт"),0,rate_fin_comm)*SUM(AZ1523,AZ1523*AW1523,T1523)</f>
        <v/>
      </c>
      <c r="AJ1523" s="118">
        <f>IFERROR(ROUND(SUM(AB1523,AF1523:AI1523)/E1523,2),0)</f>
        <v/>
      </c>
      <c r="AK1523" s="76">
        <f>AJ1523*E1523</f>
        <v/>
      </c>
      <c r="AL1523" s="174">
        <f>ROUND(IFERROR(AM1523*E1523,0),2)</f>
        <v/>
      </c>
      <c r="AM1523" s="175">
        <f>ROUND(AJ1523*(1+IF(offer_incoterms="DDP",IF((TODAY()+offer_turnaround_time)&gt;=helpsheet!$L$17,rate_vatRU_from_26,rate_vatRu_till_25),0)),2)</f>
        <v/>
      </c>
      <c r="AN1523" s="192">
        <f>AL1523-AK1523</f>
        <v/>
      </c>
      <c r="AO1523" s="76">
        <f>SUM(AY1523,Y1523:Z1523,T1523)*IF(AND(offer_incoterms="DDP",offer_sale_type&lt;&gt;"экспорт"),IF((TODAY()+offer_turnaround_time)&gt;=helpsheet!$L$17,rate_vatRU_from_26,rate_vatRu_till_25),0)</f>
        <v/>
      </c>
      <c r="AP1523" s="193">
        <f>AN1523-AO1523</f>
        <v/>
      </c>
      <c r="AQ1523" s="118">
        <f>IF(offer_sale_type="транзит",SUM(AF1523:AI1523,BA1523,BB1523),0)</f>
        <v/>
      </c>
      <c r="AR1523" s="82">
        <f>HYPERLINK("https://www.alta.ru/tnved/code/")&amp;W1523&amp;"/"</f>
        <v/>
      </c>
      <c r="AS1523" s="157" t="n"/>
      <c r="AT1523" s="162" t="n"/>
      <c r="AU1523" s="76">
        <f>IF(ISBLANK(AT1523),0,AJ1523-AT1523)</f>
        <v/>
      </c>
      <c r="AV1523" s="157" t="n"/>
      <c r="AW1523" s="75">
        <f>_xlfn.IFNA(VLOOKUP(L1523,list_vat[],3,FALSE),0)</f>
        <v/>
      </c>
      <c r="AX1523" s="76">
        <f>IFERROR(ROUND(S1523*(1+AW1523)/E1523,2),0)</f>
        <v/>
      </c>
      <c r="AY1523" s="76">
        <f>E1523*AX1523</f>
        <v/>
      </c>
      <c r="AZ1523" s="192">
        <f>S1523*(1+M1523)</f>
        <v/>
      </c>
      <c r="BA1523" s="76">
        <f>cost_fin_total*$BD1523</f>
        <v/>
      </c>
      <c r="BB1523" s="193">
        <f>credit_sales_interest*BD1523</f>
        <v/>
      </c>
      <c r="BC1523" s="102">
        <f>IFERROR(IF($I$13&gt;0,$I1523/$I$13,$S1523/$S$13),0)</f>
        <v/>
      </c>
      <c r="BD1523" s="102">
        <f>IFERROR($S1523/$S$13,0)</f>
        <v/>
      </c>
      <c r="BE1523" s="413" t="inlineStr">
        <is>
          <t>$</t>
        </is>
      </c>
    </row>
    <row r="1524" ht="12" customFormat="1" customHeight="1" s="65">
      <c r="A1524" s="43" t="n">
        <v>1509</v>
      </c>
      <c r="B1524" s="166" t="n"/>
      <c r="C1524" s="166" t="n"/>
      <c r="D1524" s="166" t="n"/>
      <c r="E1524" s="162" t="n"/>
      <c r="F1524" s="166" t="n"/>
      <c r="G1524" s="162" t="n"/>
      <c r="H1524" s="162" t="n"/>
      <c r="I1524" s="189">
        <f>E1524*G1524</f>
        <v/>
      </c>
      <c r="J1524" s="195" t="n"/>
      <c r="K1524" s="162" t="n"/>
      <c r="L1524" s="168" t="n"/>
      <c r="M1524" s="75">
        <f>_xlfn.XLOOKUP(L1524,list_vat[Страна],list_vat[Ставка НДС %],0,0)</f>
        <v/>
      </c>
      <c r="N1524" s="162">
        <f>IFERROR(IF(L1524="Китай",K1524,K1524/(1+M1524)),0)</f>
        <v/>
      </c>
      <c r="O1524" s="169" t="n"/>
      <c r="P1524" s="76">
        <f>N1524*(1-O1524)</f>
        <v/>
      </c>
      <c r="Q1524" s="162" t="n"/>
      <c r="R1524" s="162">
        <f>IF(ISBLANK(Q1524),"введи курс",P1524/Q1524)</f>
        <v/>
      </c>
      <c r="S1524" s="196">
        <f>IF(AND(ISNUMBER(E1524),ISNUMBER(Q1524)),E1524*R1524,0)</f>
        <v/>
      </c>
      <c r="T1524" s="192">
        <f>$BC1524*V$11</f>
        <v/>
      </c>
      <c r="U1524" s="76">
        <f>$BC1524*W$11</f>
        <v/>
      </c>
      <c r="V1524" s="193">
        <f>+SUM(T1524:U1524)</f>
        <v/>
      </c>
      <c r="W1524" s="191" t="n"/>
      <c r="X1524" s="170" t="n"/>
      <c r="Y1524" s="76">
        <f>ROUND(IF(offer_incoterms="DDP",X1524*(S1524*(1+AW1524)+T1524),0),2)</f>
        <v/>
      </c>
      <c r="Z1524" s="188" t="n"/>
      <c r="AA1524" s="192">
        <f>IFERROR(AB1524/E1524,0)</f>
        <v/>
      </c>
      <c r="AB1524" s="76">
        <f>ROUND(SUM(S1524,V1524,Y1524:Z1524,BA1524:BB1524),2)</f>
        <v/>
      </c>
      <c r="AC1524" s="797" t="n"/>
      <c r="AD1524" s="192">
        <f t="array" ref="AD1524">IFERROR(ROUND((_xlfn.IFS(offer_sale_type="поставка",AB1524,offer_sale_type="транзит",S1524)*(1+AC1524))/E1524,2),0)</f>
        <v/>
      </c>
      <c r="AE1524" s="76">
        <f>AD1524*E1524</f>
        <v/>
      </c>
      <c r="AF1524" s="193">
        <f t="array" ref="AF1524">IFERROR(ROUND(_xlfn.IFS(offer_sale_type="поставка",AB1524,offer_sale_type="транзит",S1524)*AC1524,2),0)</f>
        <v/>
      </c>
      <c r="AG1524" s="192">
        <f>$BD1524*VLOOKUP($AG$3,$AF$4:$AG$7,2,FALSE)</f>
        <v/>
      </c>
      <c r="AH1524" s="76">
        <f>SUM(AE1524,AG1524,AI1524)*rate_forex_risk</f>
        <v/>
      </c>
      <c r="AI1524" s="193">
        <f>IF(OR(seller_region="TR",offer_sale_type="экспорт"),0,rate_fin_comm)*SUM(AZ1524,AZ1524*AW1524,T1524)</f>
        <v/>
      </c>
      <c r="AJ1524" s="118">
        <f>IFERROR(ROUND(SUM(AB1524,AF1524:AI1524)/E1524,2),0)</f>
        <v/>
      </c>
      <c r="AK1524" s="76">
        <f>AJ1524*E1524</f>
        <v/>
      </c>
      <c r="AL1524" s="174">
        <f>ROUND(IFERROR(AM1524*E1524,0),2)</f>
        <v/>
      </c>
      <c r="AM1524" s="175">
        <f>ROUND(AJ1524*(1+IF(offer_incoterms="DDP",IF((TODAY()+offer_turnaround_time)&gt;=helpsheet!$L$17,rate_vatRU_from_26,rate_vatRu_till_25),0)),2)</f>
        <v/>
      </c>
      <c r="AN1524" s="192">
        <f>AL1524-AK1524</f>
        <v/>
      </c>
      <c r="AO1524" s="76">
        <f>SUM(AY1524,Y1524:Z1524,T1524)*IF(AND(offer_incoterms="DDP",offer_sale_type&lt;&gt;"экспорт"),IF((TODAY()+offer_turnaround_time)&gt;=helpsheet!$L$17,rate_vatRU_from_26,rate_vatRu_till_25),0)</f>
        <v/>
      </c>
      <c r="AP1524" s="193">
        <f>AN1524-AO1524</f>
        <v/>
      </c>
      <c r="AQ1524" s="118">
        <f>IF(offer_sale_type="транзит",SUM(AF1524:AI1524,BA1524,BB1524),0)</f>
        <v/>
      </c>
      <c r="AR1524" s="82">
        <f>HYPERLINK("https://www.alta.ru/tnved/code/")&amp;W1524&amp;"/"</f>
        <v/>
      </c>
      <c r="AS1524" s="157" t="n"/>
      <c r="AT1524" s="162" t="n"/>
      <c r="AU1524" s="76">
        <f>IF(ISBLANK(AT1524),0,AJ1524-AT1524)</f>
        <v/>
      </c>
      <c r="AV1524" s="157" t="n"/>
      <c r="AW1524" s="75">
        <f>_xlfn.IFNA(VLOOKUP(L1524,list_vat[],3,FALSE),0)</f>
        <v/>
      </c>
      <c r="AX1524" s="76">
        <f>IFERROR(ROUND(S1524*(1+AW1524)/E1524,2),0)</f>
        <v/>
      </c>
      <c r="AY1524" s="76">
        <f>E1524*AX1524</f>
        <v/>
      </c>
      <c r="AZ1524" s="192">
        <f>S1524*(1+M1524)</f>
        <v/>
      </c>
      <c r="BA1524" s="76">
        <f>cost_fin_total*$BD1524</f>
        <v/>
      </c>
      <c r="BB1524" s="193">
        <f>credit_sales_interest*BD1524</f>
        <v/>
      </c>
      <c r="BC1524" s="102">
        <f>IFERROR(IF($I$13&gt;0,$I1524/$I$13,$S1524/$S$13),0)</f>
        <v/>
      </c>
      <c r="BD1524" s="102">
        <f>IFERROR($S1524/$S$13,0)</f>
        <v/>
      </c>
      <c r="BE1524" s="413" t="inlineStr">
        <is>
          <t>$</t>
        </is>
      </c>
    </row>
    <row r="1525" ht="12" customFormat="1" customHeight="1" s="65">
      <c r="A1525" s="43" t="n">
        <v>1510</v>
      </c>
      <c r="B1525" s="166" t="n"/>
      <c r="C1525" s="166" t="n"/>
      <c r="D1525" s="166" t="n"/>
      <c r="E1525" s="162" t="n"/>
      <c r="F1525" s="166" t="n"/>
      <c r="G1525" s="162" t="n"/>
      <c r="H1525" s="162" t="n"/>
      <c r="I1525" s="189">
        <f>E1525*G1525</f>
        <v/>
      </c>
      <c r="J1525" s="195" t="n"/>
      <c r="K1525" s="162" t="n"/>
      <c r="L1525" s="168" t="n"/>
      <c r="M1525" s="75">
        <f>_xlfn.XLOOKUP(L1525,list_vat[Страна],list_vat[Ставка НДС %],0,0)</f>
        <v/>
      </c>
      <c r="N1525" s="162">
        <f>IFERROR(IF(L1525="Китай",K1525,K1525/(1+M1525)),0)</f>
        <v/>
      </c>
      <c r="O1525" s="169" t="n"/>
      <c r="P1525" s="76">
        <f>N1525*(1-O1525)</f>
        <v/>
      </c>
      <c r="Q1525" s="162" t="n"/>
      <c r="R1525" s="162">
        <f>IF(ISBLANK(Q1525),"введи курс",P1525/Q1525)</f>
        <v/>
      </c>
      <c r="S1525" s="196">
        <f>IF(AND(ISNUMBER(E1525),ISNUMBER(Q1525)),E1525*R1525,0)</f>
        <v/>
      </c>
      <c r="T1525" s="192">
        <f>$BC1525*V$11</f>
        <v/>
      </c>
      <c r="U1525" s="76">
        <f>$BC1525*W$11</f>
        <v/>
      </c>
      <c r="V1525" s="193">
        <f>+SUM(T1525:U1525)</f>
        <v/>
      </c>
      <c r="W1525" s="191" t="n"/>
      <c r="X1525" s="170" t="n"/>
      <c r="Y1525" s="76">
        <f>ROUND(IF(offer_incoterms="DDP",X1525*(S1525*(1+AW1525)+T1525),0),2)</f>
        <v/>
      </c>
      <c r="Z1525" s="188" t="n"/>
      <c r="AA1525" s="192">
        <f>IFERROR(AB1525/E1525,0)</f>
        <v/>
      </c>
      <c r="AB1525" s="76">
        <f>ROUND(SUM(S1525,V1525,Y1525:Z1525,BA1525:BB1525),2)</f>
        <v/>
      </c>
      <c r="AC1525" s="797" t="n"/>
      <c r="AD1525" s="192">
        <f t="array" ref="AD1525">IFERROR(ROUND((_xlfn.IFS(offer_sale_type="поставка",AB1525,offer_sale_type="транзит",S1525)*(1+AC1525))/E1525,2),0)</f>
        <v/>
      </c>
      <c r="AE1525" s="76">
        <f>AD1525*E1525</f>
        <v/>
      </c>
      <c r="AF1525" s="193">
        <f t="array" ref="AF1525">IFERROR(ROUND(_xlfn.IFS(offer_sale_type="поставка",AB1525,offer_sale_type="транзит",S1525)*AC1525,2),0)</f>
        <v/>
      </c>
      <c r="AG1525" s="192">
        <f>$BD1525*VLOOKUP($AG$3,$AF$4:$AG$7,2,FALSE)</f>
        <v/>
      </c>
      <c r="AH1525" s="76">
        <f>SUM(AE1525,AG1525,AI1525)*rate_forex_risk</f>
        <v/>
      </c>
      <c r="AI1525" s="193">
        <f>IF(OR(seller_region="TR",offer_sale_type="экспорт"),0,rate_fin_comm)*SUM(AZ1525,AZ1525*AW1525,T1525)</f>
        <v/>
      </c>
      <c r="AJ1525" s="118">
        <f>IFERROR(ROUND(SUM(AB1525,AF1525:AI1525)/E1525,2),0)</f>
        <v/>
      </c>
      <c r="AK1525" s="76">
        <f>AJ1525*E1525</f>
        <v/>
      </c>
      <c r="AL1525" s="174">
        <f>ROUND(IFERROR(AM1525*E1525,0),2)</f>
        <v/>
      </c>
      <c r="AM1525" s="175">
        <f>ROUND(AJ1525*(1+IF(offer_incoterms="DDP",IF((TODAY()+offer_turnaround_time)&gt;=helpsheet!$L$17,rate_vatRU_from_26,rate_vatRu_till_25),0)),2)</f>
        <v/>
      </c>
      <c r="AN1525" s="192">
        <f>AL1525-AK1525</f>
        <v/>
      </c>
      <c r="AO1525" s="76">
        <f>SUM(AY1525,Y1525:Z1525,T1525)*IF(AND(offer_incoterms="DDP",offer_sale_type&lt;&gt;"экспорт"),IF((TODAY()+offer_turnaround_time)&gt;=helpsheet!$L$17,rate_vatRU_from_26,rate_vatRu_till_25),0)</f>
        <v/>
      </c>
      <c r="AP1525" s="193">
        <f>AN1525-AO1525</f>
        <v/>
      </c>
      <c r="AQ1525" s="118">
        <f>IF(offer_sale_type="транзит",SUM(AF1525:AI1525,BA1525,BB1525),0)</f>
        <v/>
      </c>
      <c r="AR1525" s="82">
        <f>HYPERLINK("https://www.alta.ru/tnved/code/")&amp;W1525&amp;"/"</f>
        <v/>
      </c>
      <c r="AS1525" s="157" t="n"/>
      <c r="AT1525" s="162" t="n"/>
      <c r="AU1525" s="76">
        <f>IF(ISBLANK(AT1525),0,AJ1525-AT1525)</f>
        <v/>
      </c>
      <c r="AV1525" s="157" t="n"/>
      <c r="AW1525" s="75">
        <f>_xlfn.IFNA(VLOOKUP(L1525,list_vat[],3,FALSE),0)</f>
        <v/>
      </c>
      <c r="AX1525" s="76">
        <f>IFERROR(ROUND(S1525*(1+AW1525)/E1525,2),0)</f>
        <v/>
      </c>
      <c r="AY1525" s="76">
        <f>E1525*AX1525</f>
        <v/>
      </c>
      <c r="AZ1525" s="192">
        <f>S1525*(1+M1525)</f>
        <v/>
      </c>
      <c r="BA1525" s="76">
        <f>cost_fin_total*$BD1525</f>
        <v/>
      </c>
      <c r="BB1525" s="193">
        <f>credit_sales_interest*BD1525</f>
        <v/>
      </c>
      <c r="BC1525" s="102">
        <f>IFERROR(IF($I$13&gt;0,$I1525/$I$13,$S1525/$S$13),0)</f>
        <v/>
      </c>
      <c r="BD1525" s="102">
        <f>IFERROR($S1525/$S$13,0)</f>
        <v/>
      </c>
      <c r="BE1525" s="413" t="inlineStr">
        <is>
          <t>$</t>
        </is>
      </c>
    </row>
    <row r="1526" ht="12" customFormat="1" customHeight="1" s="65">
      <c r="A1526" s="43" t="n">
        <v>1511</v>
      </c>
      <c r="B1526" s="166" t="n"/>
      <c r="C1526" s="166" t="n"/>
      <c r="D1526" s="166" t="n"/>
      <c r="E1526" s="162" t="n"/>
      <c r="F1526" s="166" t="n"/>
      <c r="G1526" s="162" t="n"/>
      <c r="H1526" s="162" t="n"/>
      <c r="I1526" s="189">
        <f>E1526*G1526</f>
        <v/>
      </c>
      <c r="J1526" s="195" t="n"/>
      <c r="K1526" s="162" t="n"/>
      <c r="L1526" s="168" t="n"/>
      <c r="M1526" s="75">
        <f>_xlfn.XLOOKUP(L1526,list_vat[Страна],list_vat[Ставка НДС %],0,0)</f>
        <v/>
      </c>
      <c r="N1526" s="162">
        <f>IFERROR(IF(L1526="Китай",K1526,K1526/(1+M1526)),0)</f>
        <v/>
      </c>
      <c r="O1526" s="169" t="n"/>
      <c r="P1526" s="76">
        <f>N1526*(1-O1526)</f>
        <v/>
      </c>
      <c r="Q1526" s="162" t="n"/>
      <c r="R1526" s="162">
        <f>IF(ISBLANK(Q1526),"введи курс",P1526/Q1526)</f>
        <v/>
      </c>
      <c r="S1526" s="196">
        <f>IF(AND(ISNUMBER(E1526),ISNUMBER(Q1526)),E1526*R1526,0)</f>
        <v/>
      </c>
      <c r="T1526" s="192">
        <f>$BC1526*V$11</f>
        <v/>
      </c>
      <c r="U1526" s="76">
        <f>$BC1526*W$11</f>
        <v/>
      </c>
      <c r="V1526" s="193">
        <f>+SUM(T1526:U1526)</f>
        <v/>
      </c>
      <c r="W1526" s="191" t="n"/>
      <c r="X1526" s="170" t="n"/>
      <c r="Y1526" s="76">
        <f>ROUND(IF(offer_incoterms="DDP",X1526*(S1526*(1+AW1526)+T1526),0),2)</f>
        <v/>
      </c>
      <c r="Z1526" s="188" t="n"/>
      <c r="AA1526" s="192">
        <f>IFERROR(AB1526/E1526,0)</f>
        <v/>
      </c>
      <c r="AB1526" s="76">
        <f>ROUND(SUM(S1526,V1526,Y1526:Z1526,BA1526:BB1526),2)</f>
        <v/>
      </c>
      <c r="AC1526" s="797" t="n"/>
      <c r="AD1526" s="192">
        <f t="array" ref="AD1526">IFERROR(ROUND((_xlfn.IFS(offer_sale_type="поставка",AB1526,offer_sale_type="транзит",S1526)*(1+AC1526))/E1526,2),0)</f>
        <v/>
      </c>
      <c r="AE1526" s="76">
        <f>AD1526*E1526</f>
        <v/>
      </c>
      <c r="AF1526" s="193">
        <f t="array" ref="AF1526">IFERROR(ROUND(_xlfn.IFS(offer_sale_type="поставка",AB1526,offer_sale_type="транзит",S1526)*AC1526,2),0)</f>
        <v/>
      </c>
      <c r="AG1526" s="192">
        <f>$BD1526*VLOOKUP($AG$3,$AF$4:$AG$7,2,FALSE)</f>
        <v/>
      </c>
      <c r="AH1526" s="76">
        <f>SUM(AE1526,AG1526,AI1526)*rate_forex_risk</f>
        <v/>
      </c>
      <c r="AI1526" s="193">
        <f>IF(OR(seller_region="TR",offer_sale_type="экспорт"),0,rate_fin_comm)*SUM(AZ1526,AZ1526*AW1526,T1526)</f>
        <v/>
      </c>
      <c r="AJ1526" s="118">
        <f>IFERROR(ROUND(SUM(AB1526,AF1526:AI1526)/E1526,2),0)</f>
        <v/>
      </c>
      <c r="AK1526" s="76">
        <f>AJ1526*E1526</f>
        <v/>
      </c>
      <c r="AL1526" s="174">
        <f>ROUND(IFERROR(AM1526*E1526,0),2)</f>
        <v/>
      </c>
      <c r="AM1526" s="175">
        <f>ROUND(AJ1526*(1+IF(offer_incoterms="DDP",IF((TODAY()+offer_turnaround_time)&gt;=helpsheet!$L$17,rate_vatRU_from_26,rate_vatRu_till_25),0)),2)</f>
        <v/>
      </c>
      <c r="AN1526" s="192">
        <f>AL1526-AK1526</f>
        <v/>
      </c>
      <c r="AO1526" s="76">
        <f>SUM(AY1526,Y1526:Z1526,T1526)*IF(AND(offer_incoterms="DDP",offer_sale_type&lt;&gt;"экспорт"),IF((TODAY()+offer_turnaround_time)&gt;=helpsheet!$L$17,rate_vatRU_from_26,rate_vatRu_till_25),0)</f>
        <v/>
      </c>
      <c r="AP1526" s="193">
        <f>AN1526-AO1526</f>
        <v/>
      </c>
      <c r="AQ1526" s="118">
        <f>IF(offer_sale_type="транзит",SUM(AF1526:AI1526,BA1526,BB1526),0)</f>
        <v/>
      </c>
      <c r="AR1526" s="82">
        <f>HYPERLINK("https://www.alta.ru/tnved/code/")&amp;W1526&amp;"/"</f>
        <v/>
      </c>
      <c r="AS1526" s="157" t="n"/>
      <c r="AT1526" s="162" t="n"/>
      <c r="AU1526" s="76">
        <f>IF(ISBLANK(AT1526),0,AJ1526-AT1526)</f>
        <v/>
      </c>
      <c r="AV1526" s="157" t="n"/>
      <c r="AW1526" s="75">
        <f>_xlfn.IFNA(VLOOKUP(L1526,list_vat[],3,FALSE),0)</f>
        <v/>
      </c>
      <c r="AX1526" s="76">
        <f>IFERROR(ROUND(S1526*(1+AW1526)/E1526,2),0)</f>
        <v/>
      </c>
      <c r="AY1526" s="76">
        <f>E1526*AX1526</f>
        <v/>
      </c>
      <c r="AZ1526" s="192">
        <f>S1526*(1+M1526)</f>
        <v/>
      </c>
      <c r="BA1526" s="76">
        <f>cost_fin_total*$BD1526</f>
        <v/>
      </c>
      <c r="BB1526" s="193">
        <f>credit_sales_interest*BD1526</f>
        <v/>
      </c>
      <c r="BC1526" s="102">
        <f>IFERROR(IF($I$13&gt;0,$I1526/$I$13,$S1526/$S$13),0)</f>
        <v/>
      </c>
      <c r="BD1526" s="102">
        <f>IFERROR($S1526/$S$13,0)</f>
        <v/>
      </c>
      <c r="BE1526" s="413" t="inlineStr">
        <is>
          <t>$</t>
        </is>
      </c>
    </row>
    <row r="1527" ht="12" customFormat="1" customHeight="1" s="65">
      <c r="A1527" s="43" t="n">
        <v>1512</v>
      </c>
      <c r="B1527" s="166" t="n"/>
      <c r="C1527" s="166" t="n"/>
      <c r="D1527" s="166" t="n"/>
      <c r="E1527" s="162" t="n"/>
      <c r="F1527" s="166" t="n"/>
      <c r="G1527" s="162" t="n"/>
      <c r="H1527" s="162" t="n"/>
      <c r="I1527" s="189">
        <f>E1527*G1527</f>
        <v/>
      </c>
      <c r="J1527" s="195" t="n"/>
      <c r="K1527" s="162" t="n"/>
      <c r="L1527" s="168" t="n"/>
      <c r="M1527" s="75">
        <f>_xlfn.XLOOKUP(L1527,list_vat[Страна],list_vat[Ставка НДС %],0,0)</f>
        <v/>
      </c>
      <c r="N1527" s="162">
        <f>IFERROR(IF(L1527="Китай",K1527,K1527/(1+M1527)),0)</f>
        <v/>
      </c>
      <c r="O1527" s="169" t="n"/>
      <c r="P1527" s="76">
        <f>N1527*(1-O1527)</f>
        <v/>
      </c>
      <c r="Q1527" s="162" t="n"/>
      <c r="R1527" s="162">
        <f>IF(ISBLANK(Q1527),"введи курс",P1527/Q1527)</f>
        <v/>
      </c>
      <c r="S1527" s="196">
        <f>IF(AND(ISNUMBER(E1527),ISNUMBER(Q1527)),E1527*R1527,0)</f>
        <v/>
      </c>
      <c r="T1527" s="192">
        <f>$BC1527*V$11</f>
        <v/>
      </c>
      <c r="U1527" s="76">
        <f>$BC1527*W$11</f>
        <v/>
      </c>
      <c r="V1527" s="193">
        <f>+SUM(T1527:U1527)</f>
        <v/>
      </c>
      <c r="W1527" s="191" t="n"/>
      <c r="X1527" s="170" t="n"/>
      <c r="Y1527" s="76">
        <f>ROUND(IF(offer_incoterms="DDP",X1527*(S1527*(1+AW1527)+T1527),0),2)</f>
        <v/>
      </c>
      <c r="Z1527" s="188" t="n"/>
      <c r="AA1527" s="192">
        <f>IFERROR(AB1527/E1527,0)</f>
        <v/>
      </c>
      <c r="AB1527" s="76">
        <f>ROUND(SUM(S1527,V1527,Y1527:Z1527,BA1527:BB1527),2)</f>
        <v/>
      </c>
      <c r="AC1527" s="797" t="n"/>
      <c r="AD1527" s="192">
        <f t="array" ref="AD1527">IFERROR(ROUND((_xlfn.IFS(offer_sale_type="поставка",AB1527,offer_sale_type="транзит",S1527)*(1+AC1527))/E1527,2),0)</f>
        <v/>
      </c>
      <c r="AE1527" s="76">
        <f>AD1527*E1527</f>
        <v/>
      </c>
      <c r="AF1527" s="193">
        <f t="array" ref="AF1527">IFERROR(ROUND(_xlfn.IFS(offer_sale_type="поставка",AB1527,offer_sale_type="транзит",S1527)*AC1527,2),0)</f>
        <v/>
      </c>
      <c r="AG1527" s="192">
        <f>$BD1527*VLOOKUP($AG$3,$AF$4:$AG$7,2,FALSE)</f>
        <v/>
      </c>
      <c r="AH1527" s="76">
        <f>SUM(AE1527,AG1527,AI1527)*rate_forex_risk</f>
        <v/>
      </c>
      <c r="AI1527" s="193">
        <f>IF(OR(seller_region="TR",offer_sale_type="экспорт"),0,rate_fin_comm)*SUM(AZ1527,AZ1527*AW1527,T1527)</f>
        <v/>
      </c>
      <c r="AJ1527" s="118">
        <f>IFERROR(ROUND(SUM(AB1527,AF1527:AI1527)/E1527,2),0)</f>
        <v/>
      </c>
      <c r="AK1527" s="76">
        <f>AJ1527*E1527</f>
        <v/>
      </c>
      <c r="AL1527" s="174">
        <f>ROUND(IFERROR(AM1527*E1527,0),2)</f>
        <v/>
      </c>
      <c r="AM1527" s="175">
        <f>ROUND(AJ1527*(1+IF(offer_incoterms="DDP",IF((TODAY()+offer_turnaround_time)&gt;=helpsheet!$L$17,rate_vatRU_from_26,rate_vatRu_till_25),0)),2)</f>
        <v/>
      </c>
      <c r="AN1527" s="192">
        <f>AL1527-AK1527</f>
        <v/>
      </c>
      <c r="AO1527" s="76">
        <f>SUM(AY1527,Y1527:Z1527,T1527)*IF(AND(offer_incoterms="DDP",offer_sale_type&lt;&gt;"экспорт"),IF((TODAY()+offer_turnaround_time)&gt;=helpsheet!$L$17,rate_vatRU_from_26,rate_vatRu_till_25),0)</f>
        <v/>
      </c>
      <c r="AP1527" s="193">
        <f>AN1527-AO1527</f>
        <v/>
      </c>
      <c r="AQ1527" s="118">
        <f>IF(offer_sale_type="транзит",SUM(AF1527:AI1527,BA1527,BB1527),0)</f>
        <v/>
      </c>
      <c r="AR1527" s="82">
        <f>HYPERLINK("https://www.alta.ru/tnved/code/")&amp;W1527&amp;"/"</f>
        <v/>
      </c>
      <c r="AS1527" s="157" t="n"/>
      <c r="AT1527" s="162" t="n"/>
      <c r="AU1527" s="76">
        <f>IF(ISBLANK(AT1527),0,AJ1527-AT1527)</f>
        <v/>
      </c>
      <c r="AV1527" s="157" t="n"/>
      <c r="AW1527" s="75">
        <f>_xlfn.IFNA(VLOOKUP(L1527,list_vat[],3,FALSE),0)</f>
        <v/>
      </c>
      <c r="AX1527" s="76">
        <f>IFERROR(ROUND(S1527*(1+AW1527)/E1527,2),0)</f>
        <v/>
      </c>
      <c r="AY1527" s="76">
        <f>E1527*AX1527</f>
        <v/>
      </c>
      <c r="AZ1527" s="192">
        <f>S1527*(1+M1527)</f>
        <v/>
      </c>
      <c r="BA1527" s="76">
        <f>cost_fin_total*$BD1527</f>
        <v/>
      </c>
      <c r="BB1527" s="193">
        <f>credit_sales_interest*BD1527</f>
        <v/>
      </c>
      <c r="BC1527" s="102">
        <f>IFERROR(IF($I$13&gt;0,$I1527/$I$13,$S1527/$S$13),0)</f>
        <v/>
      </c>
      <c r="BD1527" s="102">
        <f>IFERROR($S1527/$S$13,0)</f>
        <v/>
      </c>
      <c r="BE1527" s="413" t="inlineStr">
        <is>
          <t>$</t>
        </is>
      </c>
    </row>
    <row r="1528" ht="12" customFormat="1" customHeight="1" s="65">
      <c r="A1528" s="43" t="n">
        <v>1513</v>
      </c>
      <c r="B1528" s="166" t="n"/>
      <c r="C1528" s="166" t="n"/>
      <c r="D1528" s="166" t="n"/>
      <c r="E1528" s="162" t="n"/>
      <c r="F1528" s="166" t="n"/>
      <c r="G1528" s="162" t="n"/>
      <c r="H1528" s="162" t="n"/>
      <c r="I1528" s="189">
        <f>E1528*G1528</f>
        <v/>
      </c>
      <c r="J1528" s="195" t="n"/>
      <c r="K1528" s="162" t="n"/>
      <c r="L1528" s="168" t="n"/>
      <c r="M1528" s="75">
        <f>_xlfn.XLOOKUP(L1528,list_vat[Страна],list_vat[Ставка НДС %],0,0)</f>
        <v/>
      </c>
      <c r="N1528" s="162">
        <f>IFERROR(IF(L1528="Китай",K1528,K1528/(1+M1528)),0)</f>
        <v/>
      </c>
      <c r="O1528" s="169" t="n"/>
      <c r="P1528" s="76">
        <f>N1528*(1-O1528)</f>
        <v/>
      </c>
      <c r="Q1528" s="162" t="n"/>
      <c r="R1528" s="162">
        <f>IF(ISBLANK(Q1528),"введи курс",P1528/Q1528)</f>
        <v/>
      </c>
      <c r="S1528" s="196">
        <f>IF(AND(ISNUMBER(E1528),ISNUMBER(Q1528)),E1528*R1528,0)</f>
        <v/>
      </c>
      <c r="T1528" s="192">
        <f>$BC1528*V$11</f>
        <v/>
      </c>
      <c r="U1528" s="76">
        <f>$BC1528*W$11</f>
        <v/>
      </c>
      <c r="V1528" s="193">
        <f>+SUM(T1528:U1528)</f>
        <v/>
      </c>
      <c r="W1528" s="191" t="n"/>
      <c r="X1528" s="170" t="n"/>
      <c r="Y1528" s="76">
        <f>ROUND(IF(offer_incoterms="DDP",X1528*(S1528*(1+AW1528)+T1528),0),2)</f>
        <v/>
      </c>
      <c r="Z1528" s="188" t="n"/>
      <c r="AA1528" s="192">
        <f>IFERROR(AB1528/E1528,0)</f>
        <v/>
      </c>
      <c r="AB1528" s="76">
        <f>ROUND(SUM(S1528,V1528,Y1528:Z1528,BA1528:BB1528),2)</f>
        <v/>
      </c>
      <c r="AC1528" s="797" t="n"/>
      <c r="AD1528" s="192">
        <f t="array" ref="AD1528">IFERROR(ROUND((_xlfn.IFS(offer_sale_type="поставка",AB1528,offer_sale_type="транзит",S1528)*(1+AC1528))/E1528,2),0)</f>
        <v/>
      </c>
      <c r="AE1528" s="76">
        <f>AD1528*E1528</f>
        <v/>
      </c>
      <c r="AF1528" s="193">
        <f t="array" ref="AF1528">IFERROR(ROUND(_xlfn.IFS(offer_sale_type="поставка",AB1528,offer_sale_type="транзит",S1528)*AC1528,2),0)</f>
        <v/>
      </c>
      <c r="AG1528" s="192">
        <f>$BD1528*VLOOKUP($AG$3,$AF$4:$AG$7,2,FALSE)</f>
        <v/>
      </c>
      <c r="AH1528" s="76">
        <f>SUM(AE1528,AG1528,AI1528)*rate_forex_risk</f>
        <v/>
      </c>
      <c r="AI1528" s="193">
        <f>IF(OR(seller_region="TR",offer_sale_type="экспорт"),0,rate_fin_comm)*SUM(AZ1528,AZ1528*AW1528,T1528)</f>
        <v/>
      </c>
      <c r="AJ1528" s="118">
        <f>IFERROR(ROUND(SUM(AB1528,AF1528:AI1528)/E1528,2),0)</f>
        <v/>
      </c>
      <c r="AK1528" s="76">
        <f>AJ1528*E1528</f>
        <v/>
      </c>
      <c r="AL1528" s="174">
        <f>ROUND(IFERROR(AM1528*E1528,0),2)</f>
        <v/>
      </c>
      <c r="AM1528" s="175">
        <f>ROUND(AJ1528*(1+IF(offer_incoterms="DDP",IF((TODAY()+offer_turnaround_time)&gt;=helpsheet!$L$17,rate_vatRU_from_26,rate_vatRu_till_25),0)),2)</f>
        <v/>
      </c>
      <c r="AN1528" s="192">
        <f>AL1528-AK1528</f>
        <v/>
      </c>
      <c r="AO1528" s="76">
        <f>SUM(AY1528,Y1528:Z1528,T1528)*IF(AND(offer_incoterms="DDP",offer_sale_type&lt;&gt;"экспорт"),IF((TODAY()+offer_turnaround_time)&gt;=helpsheet!$L$17,rate_vatRU_from_26,rate_vatRu_till_25),0)</f>
        <v/>
      </c>
      <c r="AP1528" s="193">
        <f>AN1528-AO1528</f>
        <v/>
      </c>
      <c r="AQ1528" s="118">
        <f>IF(offer_sale_type="транзит",SUM(AF1528:AI1528,BA1528,BB1528),0)</f>
        <v/>
      </c>
      <c r="AR1528" s="82">
        <f>HYPERLINK("https://www.alta.ru/tnved/code/")&amp;W1528&amp;"/"</f>
        <v/>
      </c>
      <c r="AS1528" s="157" t="n"/>
      <c r="AT1528" s="162" t="n"/>
      <c r="AU1528" s="76">
        <f>IF(ISBLANK(AT1528),0,AJ1528-AT1528)</f>
        <v/>
      </c>
      <c r="AV1528" s="157" t="n"/>
      <c r="AW1528" s="75">
        <f>_xlfn.IFNA(VLOOKUP(L1528,list_vat[],3,FALSE),0)</f>
        <v/>
      </c>
      <c r="AX1528" s="76">
        <f>IFERROR(ROUND(S1528*(1+AW1528)/E1528,2),0)</f>
        <v/>
      </c>
      <c r="AY1528" s="76">
        <f>E1528*AX1528</f>
        <v/>
      </c>
      <c r="AZ1528" s="192">
        <f>S1528*(1+M1528)</f>
        <v/>
      </c>
      <c r="BA1528" s="76">
        <f>cost_fin_total*$BD1528</f>
        <v/>
      </c>
      <c r="BB1528" s="193">
        <f>credit_sales_interest*BD1528</f>
        <v/>
      </c>
      <c r="BC1528" s="102">
        <f>IFERROR(IF($I$13&gt;0,$I1528/$I$13,$S1528/$S$13),0)</f>
        <v/>
      </c>
      <c r="BD1528" s="102">
        <f>IFERROR($S1528/$S$13,0)</f>
        <v/>
      </c>
      <c r="BE1528" s="413" t="inlineStr">
        <is>
          <t>$</t>
        </is>
      </c>
    </row>
    <row r="1529" ht="12" customFormat="1" customHeight="1" s="65">
      <c r="A1529" s="43" t="n">
        <v>1514</v>
      </c>
      <c r="B1529" s="166" t="n"/>
      <c r="C1529" s="166" t="n"/>
      <c r="D1529" s="166" t="n"/>
      <c r="E1529" s="162" t="n"/>
      <c r="F1529" s="166" t="n"/>
      <c r="G1529" s="162" t="n"/>
      <c r="H1529" s="162" t="n"/>
      <c r="I1529" s="189">
        <f>E1529*G1529</f>
        <v/>
      </c>
      <c r="J1529" s="195" t="n"/>
      <c r="K1529" s="162" t="n"/>
      <c r="L1529" s="168" t="n"/>
      <c r="M1529" s="75">
        <f>_xlfn.XLOOKUP(L1529,list_vat[Страна],list_vat[Ставка НДС %],0,0)</f>
        <v/>
      </c>
      <c r="N1529" s="162">
        <f>IFERROR(IF(L1529="Китай",K1529,K1529/(1+M1529)),0)</f>
        <v/>
      </c>
      <c r="O1529" s="169" t="n"/>
      <c r="P1529" s="76">
        <f>N1529*(1-O1529)</f>
        <v/>
      </c>
      <c r="Q1529" s="162" t="n"/>
      <c r="R1529" s="162">
        <f>IF(ISBLANK(Q1529),"введи курс",P1529/Q1529)</f>
        <v/>
      </c>
      <c r="S1529" s="196">
        <f>IF(AND(ISNUMBER(E1529),ISNUMBER(Q1529)),E1529*R1529,0)</f>
        <v/>
      </c>
      <c r="T1529" s="192">
        <f>$BC1529*V$11</f>
        <v/>
      </c>
      <c r="U1529" s="76">
        <f>$BC1529*W$11</f>
        <v/>
      </c>
      <c r="V1529" s="193">
        <f>+SUM(T1529:U1529)</f>
        <v/>
      </c>
      <c r="W1529" s="191" t="n"/>
      <c r="X1529" s="170" t="n"/>
      <c r="Y1529" s="76">
        <f>ROUND(IF(offer_incoterms="DDP",X1529*(S1529*(1+AW1529)+T1529),0),2)</f>
        <v/>
      </c>
      <c r="Z1529" s="188" t="n"/>
      <c r="AA1529" s="192">
        <f>IFERROR(AB1529/E1529,0)</f>
        <v/>
      </c>
      <c r="AB1529" s="76">
        <f>ROUND(SUM(S1529,V1529,Y1529:Z1529,BA1529:BB1529),2)</f>
        <v/>
      </c>
      <c r="AC1529" s="797" t="n"/>
      <c r="AD1529" s="192">
        <f t="array" ref="AD1529">IFERROR(ROUND((_xlfn.IFS(offer_sale_type="поставка",AB1529,offer_sale_type="транзит",S1529)*(1+AC1529))/E1529,2),0)</f>
        <v/>
      </c>
      <c r="AE1529" s="76">
        <f>AD1529*E1529</f>
        <v/>
      </c>
      <c r="AF1529" s="193">
        <f t="array" ref="AF1529">IFERROR(ROUND(_xlfn.IFS(offer_sale_type="поставка",AB1529,offer_sale_type="транзит",S1529)*AC1529,2),0)</f>
        <v/>
      </c>
      <c r="AG1529" s="192">
        <f>$BD1529*VLOOKUP($AG$3,$AF$4:$AG$7,2,FALSE)</f>
        <v/>
      </c>
      <c r="AH1529" s="76">
        <f>SUM(AE1529,AG1529,AI1529)*rate_forex_risk</f>
        <v/>
      </c>
      <c r="AI1529" s="193">
        <f>IF(OR(seller_region="TR",offer_sale_type="экспорт"),0,rate_fin_comm)*SUM(AZ1529,AZ1529*AW1529,T1529)</f>
        <v/>
      </c>
      <c r="AJ1529" s="118">
        <f>IFERROR(ROUND(SUM(AB1529,AF1529:AI1529)/E1529,2),0)</f>
        <v/>
      </c>
      <c r="AK1529" s="76">
        <f>AJ1529*E1529</f>
        <v/>
      </c>
      <c r="AL1529" s="174">
        <f>ROUND(IFERROR(AM1529*E1529,0),2)</f>
        <v/>
      </c>
      <c r="AM1529" s="175">
        <f>ROUND(AJ1529*(1+IF(offer_incoterms="DDP",IF((TODAY()+offer_turnaround_time)&gt;=helpsheet!$L$17,rate_vatRU_from_26,rate_vatRu_till_25),0)),2)</f>
        <v/>
      </c>
      <c r="AN1529" s="192">
        <f>AL1529-AK1529</f>
        <v/>
      </c>
      <c r="AO1529" s="76">
        <f>SUM(AY1529,Y1529:Z1529,T1529)*IF(AND(offer_incoterms="DDP",offer_sale_type&lt;&gt;"экспорт"),IF((TODAY()+offer_turnaround_time)&gt;=helpsheet!$L$17,rate_vatRU_from_26,rate_vatRu_till_25),0)</f>
        <v/>
      </c>
      <c r="AP1529" s="193">
        <f>AN1529-AO1529</f>
        <v/>
      </c>
      <c r="AQ1529" s="118">
        <f>IF(offer_sale_type="транзит",SUM(AF1529:AI1529,BA1529,BB1529),0)</f>
        <v/>
      </c>
      <c r="AR1529" s="82">
        <f>HYPERLINK("https://www.alta.ru/tnved/code/")&amp;W1529&amp;"/"</f>
        <v/>
      </c>
      <c r="AS1529" s="157" t="n"/>
      <c r="AT1529" s="162" t="n"/>
      <c r="AU1529" s="76">
        <f>IF(ISBLANK(AT1529),0,AJ1529-AT1529)</f>
        <v/>
      </c>
      <c r="AV1529" s="157" t="n"/>
      <c r="AW1529" s="75">
        <f>_xlfn.IFNA(VLOOKUP(L1529,list_vat[],3,FALSE),0)</f>
        <v/>
      </c>
      <c r="AX1529" s="76">
        <f>IFERROR(ROUND(S1529*(1+AW1529)/E1529,2),0)</f>
        <v/>
      </c>
      <c r="AY1529" s="76">
        <f>E1529*AX1529</f>
        <v/>
      </c>
      <c r="AZ1529" s="192">
        <f>S1529*(1+M1529)</f>
        <v/>
      </c>
      <c r="BA1529" s="76">
        <f>cost_fin_total*$BD1529</f>
        <v/>
      </c>
      <c r="BB1529" s="193">
        <f>credit_sales_interest*BD1529</f>
        <v/>
      </c>
      <c r="BC1529" s="102">
        <f>IFERROR(IF($I$13&gt;0,$I1529/$I$13,$S1529/$S$13),0)</f>
        <v/>
      </c>
      <c r="BD1529" s="102">
        <f>IFERROR($S1529/$S$13,0)</f>
        <v/>
      </c>
      <c r="BE1529" s="413" t="inlineStr">
        <is>
          <t>$</t>
        </is>
      </c>
    </row>
    <row r="1530" ht="12" customFormat="1" customHeight="1" s="65">
      <c r="A1530" s="43" t="n">
        <v>1515</v>
      </c>
      <c r="B1530" s="166" t="n"/>
      <c r="C1530" s="166" t="n"/>
      <c r="D1530" s="166" t="n"/>
      <c r="E1530" s="162" t="n"/>
      <c r="F1530" s="166" t="n"/>
      <c r="G1530" s="162" t="n"/>
      <c r="H1530" s="162" t="n"/>
      <c r="I1530" s="189">
        <f>E1530*G1530</f>
        <v/>
      </c>
      <c r="J1530" s="195" t="n"/>
      <c r="K1530" s="162" t="n"/>
      <c r="L1530" s="168" t="n"/>
      <c r="M1530" s="75">
        <f>_xlfn.XLOOKUP(L1530,list_vat[Страна],list_vat[Ставка НДС %],0,0)</f>
        <v/>
      </c>
      <c r="N1530" s="162">
        <f>IFERROR(IF(L1530="Китай",K1530,K1530/(1+M1530)),0)</f>
        <v/>
      </c>
      <c r="O1530" s="169" t="n"/>
      <c r="P1530" s="76">
        <f>N1530*(1-O1530)</f>
        <v/>
      </c>
      <c r="Q1530" s="162" t="n"/>
      <c r="R1530" s="162">
        <f>IF(ISBLANK(Q1530),"введи курс",P1530/Q1530)</f>
        <v/>
      </c>
      <c r="S1530" s="196">
        <f>IF(AND(ISNUMBER(E1530),ISNUMBER(Q1530)),E1530*R1530,0)</f>
        <v/>
      </c>
      <c r="T1530" s="192">
        <f>$BC1530*V$11</f>
        <v/>
      </c>
      <c r="U1530" s="76">
        <f>$BC1530*W$11</f>
        <v/>
      </c>
      <c r="V1530" s="193">
        <f>+SUM(T1530:U1530)</f>
        <v/>
      </c>
      <c r="W1530" s="191" t="n"/>
      <c r="X1530" s="170" t="n"/>
      <c r="Y1530" s="76">
        <f>ROUND(IF(offer_incoterms="DDP",X1530*(S1530*(1+AW1530)+T1530),0),2)</f>
        <v/>
      </c>
      <c r="Z1530" s="188" t="n"/>
      <c r="AA1530" s="192">
        <f>IFERROR(AB1530/E1530,0)</f>
        <v/>
      </c>
      <c r="AB1530" s="76">
        <f>ROUND(SUM(S1530,V1530,Y1530:Z1530,BA1530:BB1530),2)</f>
        <v/>
      </c>
      <c r="AC1530" s="797" t="n"/>
      <c r="AD1530" s="192">
        <f t="array" ref="AD1530">IFERROR(ROUND((_xlfn.IFS(offer_sale_type="поставка",AB1530,offer_sale_type="транзит",S1530)*(1+AC1530))/E1530,2),0)</f>
        <v/>
      </c>
      <c r="AE1530" s="76">
        <f>AD1530*E1530</f>
        <v/>
      </c>
      <c r="AF1530" s="193">
        <f t="array" ref="AF1530">IFERROR(ROUND(_xlfn.IFS(offer_sale_type="поставка",AB1530,offer_sale_type="транзит",S1530)*AC1530,2),0)</f>
        <v/>
      </c>
      <c r="AG1530" s="192">
        <f>$BD1530*VLOOKUP($AG$3,$AF$4:$AG$7,2,FALSE)</f>
        <v/>
      </c>
      <c r="AH1530" s="76">
        <f>SUM(AE1530,AG1530,AI1530)*rate_forex_risk</f>
        <v/>
      </c>
      <c r="AI1530" s="193">
        <f>IF(OR(seller_region="TR",offer_sale_type="экспорт"),0,rate_fin_comm)*SUM(AZ1530,AZ1530*AW1530,T1530)</f>
        <v/>
      </c>
      <c r="AJ1530" s="118">
        <f>IFERROR(ROUND(SUM(AB1530,AF1530:AI1530)/E1530,2),0)</f>
        <v/>
      </c>
      <c r="AK1530" s="76">
        <f>AJ1530*E1530</f>
        <v/>
      </c>
      <c r="AL1530" s="174">
        <f>ROUND(IFERROR(AM1530*E1530,0),2)</f>
        <v/>
      </c>
      <c r="AM1530" s="175">
        <f>ROUND(AJ1530*(1+IF(offer_incoterms="DDP",IF((TODAY()+offer_turnaround_time)&gt;=helpsheet!$L$17,rate_vatRU_from_26,rate_vatRu_till_25),0)),2)</f>
        <v/>
      </c>
      <c r="AN1530" s="192">
        <f>AL1530-AK1530</f>
        <v/>
      </c>
      <c r="AO1530" s="76">
        <f>SUM(AY1530,Y1530:Z1530,T1530)*IF(AND(offer_incoterms="DDP",offer_sale_type&lt;&gt;"экспорт"),IF((TODAY()+offer_turnaround_time)&gt;=helpsheet!$L$17,rate_vatRU_from_26,rate_vatRu_till_25),0)</f>
        <v/>
      </c>
      <c r="AP1530" s="193">
        <f>AN1530-AO1530</f>
        <v/>
      </c>
      <c r="AQ1530" s="118">
        <f>IF(offer_sale_type="транзит",SUM(AF1530:AI1530,BA1530,BB1530),0)</f>
        <v/>
      </c>
      <c r="AR1530" s="82">
        <f>HYPERLINK("https://www.alta.ru/tnved/code/")&amp;W1530&amp;"/"</f>
        <v/>
      </c>
      <c r="AS1530" s="157" t="n"/>
      <c r="AT1530" s="162" t="n"/>
      <c r="AU1530" s="76">
        <f>IF(ISBLANK(AT1530),0,AJ1530-AT1530)</f>
        <v/>
      </c>
      <c r="AV1530" s="157" t="n"/>
      <c r="AW1530" s="75">
        <f>_xlfn.IFNA(VLOOKUP(L1530,list_vat[],3,FALSE),0)</f>
        <v/>
      </c>
      <c r="AX1530" s="76">
        <f>IFERROR(ROUND(S1530*(1+AW1530)/E1530,2),0)</f>
        <v/>
      </c>
      <c r="AY1530" s="76">
        <f>E1530*AX1530</f>
        <v/>
      </c>
      <c r="AZ1530" s="192">
        <f>S1530*(1+M1530)</f>
        <v/>
      </c>
      <c r="BA1530" s="76">
        <f>cost_fin_total*$BD1530</f>
        <v/>
      </c>
      <c r="BB1530" s="193">
        <f>credit_sales_interest*BD1530</f>
        <v/>
      </c>
      <c r="BC1530" s="102">
        <f>IFERROR(IF($I$13&gt;0,$I1530/$I$13,$S1530/$S$13),0)</f>
        <v/>
      </c>
      <c r="BD1530" s="102">
        <f>IFERROR($S1530/$S$13,0)</f>
        <v/>
      </c>
      <c r="BE1530" s="413" t="inlineStr">
        <is>
          <t>$</t>
        </is>
      </c>
    </row>
    <row r="1531" ht="12" customFormat="1" customHeight="1" s="65">
      <c r="A1531" s="43" t="n">
        <v>1516</v>
      </c>
      <c r="B1531" s="166" t="n"/>
      <c r="C1531" s="166" t="n"/>
      <c r="D1531" s="166" t="n"/>
      <c r="E1531" s="162" t="n"/>
      <c r="F1531" s="166" t="n"/>
      <c r="G1531" s="162" t="n"/>
      <c r="H1531" s="162" t="n"/>
      <c r="I1531" s="189">
        <f>E1531*G1531</f>
        <v/>
      </c>
      <c r="J1531" s="195" t="n"/>
      <c r="K1531" s="162" t="n"/>
      <c r="L1531" s="168" t="n"/>
      <c r="M1531" s="75">
        <f>_xlfn.XLOOKUP(L1531,list_vat[Страна],list_vat[Ставка НДС %],0,0)</f>
        <v/>
      </c>
      <c r="N1531" s="162">
        <f>IFERROR(IF(L1531="Китай",K1531,K1531/(1+M1531)),0)</f>
        <v/>
      </c>
      <c r="O1531" s="169" t="n"/>
      <c r="P1531" s="76">
        <f>N1531*(1-O1531)</f>
        <v/>
      </c>
      <c r="Q1531" s="162" t="n"/>
      <c r="R1531" s="162">
        <f>IF(ISBLANK(Q1531),"введи курс",P1531/Q1531)</f>
        <v/>
      </c>
      <c r="S1531" s="196">
        <f>IF(AND(ISNUMBER(E1531),ISNUMBER(Q1531)),E1531*R1531,0)</f>
        <v/>
      </c>
      <c r="T1531" s="192">
        <f>$BC1531*V$11</f>
        <v/>
      </c>
      <c r="U1531" s="76">
        <f>$BC1531*W$11</f>
        <v/>
      </c>
      <c r="V1531" s="193">
        <f>+SUM(T1531:U1531)</f>
        <v/>
      </c>
      <c r="W1531" s="191" t="n"/>
      <c r="X1531" s="170" t="n"/>
      <c r="Y1531" s="76">
        <f>ROUND(IF(offer_incoterms="DDP",X1531*(S1531*(1+AW1531)+T1531),0),2)</f>
        <v/>
      </c>
      <c r="Z1531" s="188" t="n"/>
      <c r="AA1531" s="192">
        <f>IFERROR(AB1531/E1531,0)</f>
        <v/>
      </c>
      <c r="AB1531" s="76">
        <f>ROUND(SUM(S1531,V1531,Y1531:Z1531,BA1531:BB1531),2)</f>
        <v/>
      </c>
      <c r="AC1531" s="797" t="n"/>
      <c r="AD1531" s="192">
        <f t="array" ref="AD1531">IFERROR(ROUND((_xlfn.IFS(offer_sale_type="поставка",AB1531,offer_sale_type="транзит",S1531)*(1+AC1531))/E1531,2),0)</f>
        <v/>
      </c>
      <c r="AE1531" s="76">
        <f>AD1531*E1531</f>
        <v/>
      </c>
      <c r="AF1531" s="193">
        <f t="array" ref="AF1531">IFERROR(ROUND(_xlfn.IFS(offer_sale_type="поставка",AB1531,offer_sale_type="транзит",S1531)*AC1531,2),0)</f>
        <v/>
      </c>
      <c r="AG1531" s="192">
        <f>$BD1531*VLOOKUP($AG$3,$AF$4:$AG$7,2,FALSE)</f>
        <v/>
      </c>
      <c r="AH1531" s="76">
        <f>SUM(AE1531,AG1531,AI1531)*rate_forex_risk</f>
        <v/>
      </c>
      <c r="AI1531" s="193">
        <f>IF(OR(seller_region="TR",offer_sale_type="экспорт"),0,rate_fin_comm)*SUM(AZ1531,AZ1531*AW1531,T1531)</f>
        <v/>
      </c>
      <c r="AJ1531" s="118">
        <f>IFERROR(ROUND(SUM(AB1531,AF1531:AI1531)/E1531,2),0)</f>
        <v/>
      </c>
      <c r="AK1531" s="76">
        <f>AJ1531*E1531</f>
        <v/>
      </c>
      <c r="AL1531" s="174">
        <f>ROUND(IFERROR(AM1531*E1531,0),2)</f>
        <v/>
      </c>
      <c r="AM1531" s="175">
        <f>ROUND(AJ1531*(1+IF(offer_incoterms="DDP",IF((TODAY()+offer_turnaround_time)&gt;=helpsheet!$L$17,rate_vatRU_from_26,rate_vatRu_till_25),0)),2)</f>
        <v/>
      </c>
      <c r="AN1531" s="192">
        <f>AL1531-AK1531</f>
        <v/>
      </c>
      <c r="AO1531" s="76">
        <f>SUM(AY1531,Y1531:Z1531,T1531)*IF(AND(offer_incoterms="DDP",offer_sale_type&lt;&gt;"экспорт"),IF((TODAY()+offer_turnaround_time)&gt;=helpsheet!$L$17,rate_vatRU_from_26,rate_vatRu_till_25),0)</f>
        <v/>
      </c>
      <c r="AP1531" s="193">
        <f>AN1531-AO1531</f>
        <v/>
      </c>
      <c r="AQ1531" s="118">
        <f>IF(offer_sale_type="транзит",SUM(AF1531:AI1531,BA1531,BB1531),0)</f>
        <v/>
      </c>
      <c r="AR1531" s="82">
        <f>HYPERLINK("https://www.alta.ru/tnved/code/")&amp;W1531&amp;"/"</f>
        <v/>
      </c>
      <c r="AS1531" s="157" t="n"/>
      <c r="AT1531" s="162" t="n"/>
      <c r="AU1531" s="76">
        <f>IF(ISBLANK(AT1531),0,AJ1531-AT1531)</f>
        <v/>
      </c>
      <c r="AV1531" s="157" t="n"/>
      <c r="AW1531" s="75">
        <f>_xlfn.IFNA(VLOOKUP(L1531,list_vat[],3,FALSE),0)</f>
        <v/>
      </c>
      <c r="AX1531" s="76">
        <f>IFERROR(ROUND(S1531*(1+AW1531)/E1531,2),0)</f>
        <v/>
      </c>
      <c r="AY1531" s="76">
        <f>E1531*AX1531</f>
        <v/>
      </c>
      <c r="AZ1531" s="192">
        <f>S1531*(1+M1531)</f>
        <v/>
      </c>
      <c r="BA1531" s="76">
        <f>cost_fin_total*$BD1531</f>
        <v/>
      </c>
      <c r="BB1531" s="193">
        <f>credit_sales_interest*BD1531</f>
        <v/>
      </c>
      <c r="BC1531" s="102">
        <f>IFERROR(IF($I$13&gt;0,$I1531/$I$13,$S1531/$S$13),0)</f>
        <v/>
      </c>
      <c r="BD1531" s="102">
        <f>IFERROR($S1531/$S$13,0)</f>
        <v/>
      </c>
      <c r="BE1531" s="413" t="inlineStr">
        <is>
          <t>$</t>
        </is>
      </c>
    </row>
    <row r="1532" ht="12" customFormat="1" customHeight="1" s="65">
      <c r="A1532" s="43" t="n">
        <v>1517</v>
      </c>
      <c r="B1532" s="166" t="n"/>
      <c r="C1532" s="166" t="n"/>
      <c r="D1532" s="166" t="n"/>
      <c r="E1532" s="162" t="n"/>
      <c r="F1532" s="166" t="n"/>
      <c r="G1532" s="162" t="n"/>
      <c r="H1532" s="162" t="n"/>
      <c r="I1532" s="189">
        <f>E1532*G1532</f>
        <v/>
      </c>
      <c r="J1532" s="195" t="n"/>
      <c r="K1532" s="162" t="n"/>
      <c r="L1532" s="168" t="n"/>
      <c r="M1532" s="75">
        <f>_xlfn.XLOOKUP(L1532,list_vat[Страна],list_vat[Ставка НДС %],0,0)</f>
        <v/>
      </c>
      <c r="N1532" s="162">
        <f>IFERROR(IF(L1532="Китай",K1532,K1532/(1+M1532)),0)</f>
        <v/>
      </c>
      <c r="O1532" s="169" t="n"/>
      <c r="P1532" s="76">
        <f>N1532*(1-O1532)</f>
        <v/>
      </c>
      <c r="Q1532" s="162" t="n"/>
      <c r="R1532" s="162">
        <f>IF(ISBLANK(Q1532),"введи курс",P1532/Q1532)</f>
        <v/>
      </c>
      <c r="S1532" s="196">
        <f>IF(AND(ISNUMBER(E1532),ISNUMBER(Q1532)),E1532*R1532,0)</f>
        <v/>
      </c>
      <c r="T1532" s="192">
        <f>$BC1532*V$11</f>
        <v/>
      </c>
      <c r="U1532" s="76">
        <f>$BC1532*W$11</f>
        <v/>
      </c>
      <c r="V1532" s="193">
        <f>+SUM(T1532:U1532)</f>
        <v/>
      </c>
      <c r="W1532" s="191" t="n"/>
      <c r="X1532" s="170" t="n"/>
      <c r="Y1532" s="76">
        <f>ROUND(IF(offer_incoterms="DDP",X1532*(S1532*(1+AW1532)+T1532),0),2)</f>
        <v/>
      </c>
      <c r="Z1532" s="188" t="n"/>
      <c r="AA1532" s="192">
        <f>IFERROR(AB1532/E1532,0)</f>
        <v/>
      </c>
      <c r="AB1532" s="76">
        <f>ROUND(SUM(S1532,V1532,Y1532:Z1532,BA1532:BB1532),2)</f>
        <v/>
      </c>
      <c r="AC1532" s="797" t="n"/>
      <c r="AD1532" s="192">
        <f t="array" ref="AD1532">IFERROR(ROUND((_xlfn.IFS(offer_sale_type="поставка",AB1532,offer_sale_type="транзит",S1532)*(1+AC1532))/E1532,2),0)</f>
        <v/>
      </c>
      <c r="AE1532" s="76">
        <f>AD1532*E1532</f>
        <v/>
      </c>
      <c r="AF1532" s="193">
        <f t="array" ref="AF1532">IFERROR(ROUND(_xlfn.IFS(offer_sale_type="поставка",AB1532,offer_sale_type="транзит",S1532)*AC1532,2),0)</f>
        <v/>
      </c>
      <c r="AG1532" s="192">
        <f>$BD1532*VLOOKUP($AG$3,$AF$4:$AG$7,2,FALSE)</f>
        <v/>
      </c>
      <c r="AH1532" s="76">
        <f>SUM(AE1532,AG1532,AI1532)*rate_forex_risk</f>
        <v/>
      </c>
      <c r="AI1532" s="193">
        <f>IF(OR(seller_region="TR",offer_sale_type="экспорт"),0,rate_fin_comm)*SUM(AZ1532,AZ1532*AW1532,T1532)</f>
        <v/>
      </c>
      <c r="AJ1532" s="118">
        <f>IFERROR(ROUND(SUM(AB1532,AF1532:AI1532)/E1532,2),0)</f>
        <v/>
      </c>
      <c r="AK1532" s="76">
        <f>AJ1532*E1532</f>
        <v/>
      </c>
      <c r="AL1532" s="174">
        <f>ROUND(IFERROR(AM1532*E1532,0),2)</f>
        <v/>
      </c>
      <c r="AM1532" s="175">
        <f>ROUND(AJ1532*(1+IF(offer_incoterms="DDP",IF((TODAY()+offer_turnaround_time)&gt;=helpsheet!$L$17,rate_vatRU_from_26,rate_vatRu_till_25),0)),2)</f>
        <v/>
      </c>
      <c r="AN1532" s="192">
        <f>AL1532-AK1532</f>
        <v/>
      </c>
      <c r="AO1532" s="76">
        <f>SUM(AY1532,Y1532:Z1532,T1532)*IF(AND(offer_incoterms="DDP",offer_sale_type&lt;&gt;"экспорт"),IF((TODAY()+offer_turnaround_time)&gt;=helpsheet!$L$17,rate_vatRU_from_26,rate_vatRu_till_25),0)</f>
        <v/>
      </c>
      <c r="AP1532" s="193">
        <f>AN1532-AO1532</f>
        <v/>
      </c>
      <c r="AQ1532" s="118">
        <f>IF(offer_sale_type="транзит",SUM(AF1532:AI1532,BA1532,BB1532),0)</f>
        <v/>
      </c>
      <c r="AR1532" s="82">
        <f>HYPERLINK("https://www.alta.ru/tnved/code/")&amp;W1532&amp;"/"</f>
        <v/>
      </c>
      <c r="AS1532" s="157" t="n"/>
      <c r="AT1532" s="162" t="n"/>
      <c r="AU1532" s="76">
        <f>IF(ISBLANK(AT1532),0,AJ1532-AT1532)</f>
        <v/>
      </c>
      <c r="AV1532" s="157" t="n"/>
      <c r="AW1532" s="75">
        <f>_xlfn.IFNA(VLOOKUP(L1532,list_vat[],3,FALSE),0)</f>
        <v/>
      </c>
      <c r="AX1532" s="76">
        <f>IFERROR(ROUND(S1532*(1+AW1532)/E1532,2),0)</f>
        <v/>
      </c>
      <c r="AY1532" s="76">
        <f>E1532*AX1532</f>
        <v/>
      </c>
      <c r="AZ1532" s="192">
        <f>S1532*(1+M1532)</f>
        <v/>
      </c>
      <c r="BA1532" s="76">
        <f>cost_fin_total*$BD1532</f>
        <v/>
      </c>
      <c r="BB1532" s="193">
        <f>credit_sales_interest*BD1532</f>
        <v/>
      </c>
      <c r="BC1532" s="102">
        <f>IFERROR(IF($I$13&gt;0,$I1532/$I$13,$S1532/$S$13),0)</f>
        <v/>
      </c>
      <c r="BD1532" s="102">
        <f>IFERROR($S1532/$S$13,0)</f>
        <v/>
      </c>
      <c r="BE1532" s="413" t="inlineStr">
        <is>
          <t>$</t>
        </is>
      </c>
    </row>
    <row r="1533" ht="12" customFormat="1" customHeight="1" s="65">
      <c r="A1533" s="43" t="n">
        <v>1518</v>
      </c>
      <c r="B1533" s="166" t="n"/>
      <c r="C1533" s="166" t="n"/>
      <c r="D1533" s="166" t="n"/>
      <c r="E1533" s="162" t="n"/>
      <c r="F1533" s="166" t="n"/>
      <c r="G1533" s="162" t="n"/>
      <c r="H1533" s="162" t="n"/>
      <c r="I1533" s="189">
        <f>E1533*G1533</f>
        <v/>
      </c>
      <c r="J1533" s="195" t="n"/>
      <c r="K1533" s="162" t="n"/>
      <c r="L1533" s="168" t="n"/>
      <c r="M1533" s="75">
        <f>_xlfn.XLOOKUP(L1533,list_vat[Страна],list_vat[Ставка НДС %],0,0)</f>
        <v/>
      </c>
      <c r="N1533" s="162">
        <f>IFERROR(IF(L1533="Китай",K1533,K1533/(1+M1533)),0)</f>
        <v/>
      </c>
      <c r="O1533" s="169" t="n"/>
      <c r="P1533" s="76">
        <f>N1533*(1-O1533)</f>
        <v/>
      </c>
      <c r="Q1533" s="162" t="n"/>
      <c r="R1533" s="162">
        <f>IF(ISBLANK(Q1533),"введи курс",P1533/Q1533)</f>
        <v/>
      </c>
      <c r="S1533" s="196">
        <f>IF(AND(ISNUMBER(E1533),ISNUMBER(Q1533)),E1533*R1533,0)</f>
        <v/>
      </c>
      <c r="T1533" s="192">
        <f>$BC1533*V$11</f>
        <v/>
      </c>
      <c r="U1533" s="76">
        <f>$BC1533*W$11</f>
        <v/>
      </c>
      <c r="V1533" s="193">
        <f>+SUM(T1533:U1533)</f>
        <v/>
      </c>
      <c r="W1533" s="191" t="n"/>
      <c r="X1533" s="170" t="n"/>
      <c r="Y1533" s="76">
        <f>ROUND(IF(offer_incoterms="DDP",X1533*(S1533*(1+AW1533)+T1533),0),2)</f>
        <v/>
      </c>
      <c r="Z1533" s="188" t="n"/>
      <c r="AA1533" s="192">
        <f>IFERROR(AB1533/E1533,0)</f>
        <v/>
      </c>
      <c r="AB1533" s="76">
        <f>ROUND(SUM(S1533,V1533,Y1533:Z1533,BA1533:BB1533),2)</f>
        <v/>
      </c>
      <c r="AC1533" s="797" t="n"/>
      <c r="AD1533" s="192">
        <f t="array" ref="AD1533">IFERROR(ROUND((_xlfn.IFS(offer_sale_type="поставка",AB1533,offer_sale_type="транзит",S1533)*(1+AC1533))/E1533,2),0)</f>
        <v/>
      </c>
      <c r="AE1533" s="76">
        <f>AD1533*E1533</f>
        <v/>
      </c>
      <c r="AF1533" s="193">
        <f t="array" ref="AF1533">IFERROR(ROUND(_xlfn.IFS(offer_sale_type="поставка",AB1533,offer_sale_type="транзит",S1533)*AC1533,2),0)</f>
        <v/>
      </c>
      <c r="AG1533" s="192">
        <f>$BD1533*VLOOKUP($AG$3,$AF$4:$AG$7,2,FALSE)</f>
        <v/>
      </c>
      <c r="AH1533" s="76">
        <f>SUM(AE1533,AG1533,AI1533)*rate_forex_risk</f>
        <v/>
      </c>
      <c r="AI1533" s="193">
        <f>IF(OR(seller_region="TR",offer_sale_type="экспорт"),0,rate_fin_comm)*SUM(AZ1533,AZ1533*AW1533,T1533)</f>
        <v/>
      </c>
      <c r="AJ1533" s="118">
        <f>IFERROR(ROUND(SUM(AB1533,AF1533:AI1533)/E1533,2),0)</f>
        <v/>
      </c>
      <c r="AK1533" s="76">
        <f>AJ1533*E1533</f>
        <v/>
      </c>
      <c r="AL1533" s="174">
        <f>ROUND(IFERROR(AM1533*E1533,0),2)</f>
        <v/>
      </c>
      <c r="AM1533" s="175">
        <f>ROUND(AJ1533*(1+IF(offer_incoterms="DDP",IF((TODAY()+offer_turnaround_time)&gt;=helpsheet!$L$17,rate_vatRU_from_26,rate_vatRu_till_25),0)),2)</f>
        <v/>
      </c>
      <c r="AN1533" s="192">
        <f>AL1533-AK1533</f>
        <v/>
      </c>
      <c r="AO1533" s="76">
        <f>SUM(AY1533,Y1533:Z1533,T1533)*IF(AND(offer_incoterms="DDP",offer_sale_type&lt;&gt;"экспорт"),IF((TODAY()+offer_turnaround_time)&gt;=helpsheet!$L$17,rate_vatRU_from_26,rate_vatRu_till_25),0)</f>
        <v/>
      </c>
      <c r="AP1533" s="193">
        <f>AN1533-AO1533</f>
        <v/>
      </c>
      <c r="AQ1533" s="118">
        <f>IF(offer_sale_type="транзит",SUM(AF1533:AI1533,BA1533,BB1533),0)</f>
        <v/>
      </c>
      <c r="AR1533" s="82">
        <f>HYPERLINK("https://www.alta.ru/tnved/code/")&amp;W1533&amp;"/"</f>
        <v/>
      </c>
      <c r="AS1533" s="157" t="n"/>
      <c r="AT1533" s="162" t="n"/>
      <c r="AU1533" s="76">
        <f>IF(ISBLANK(AT1533),0,AJ1533-AT1533)</f>
        <v/>
      </c>
      <c r="AV1533" s="157" t="n"/>
      <c r="AW1533" s="75">
        <f>_xlfn.IFNA(VLOOKUP(L1533,list_vat[],3,FALSE),0)</f>
        <v/>
      </c>
      <c r="AX1533" s="76">
        <f>IFERROR(ROUND(S1533*(1+AW1533)/E1533,2),0)</f>
        <v/>
      </c>
      <c r="AY1533" s="76">
        <f>E1533*AX1533</f>
        <v/>
      </c>
      <c r="AZ1533" s="192">
        <f>S1533*(1+M1533)</f>
        <v/>
      </c>
      <c r="BA1533" s="76">
        <f>cost_fin_total*$BD1533</f>
        <v/>
      </c>
      <c r="BB1533" s="193">
        <f>credit_sales_interest*BD1533</f>
        <v/>
      </c>
      <c r="BC1533" s="102">
        <f>IFERROR(IF($I$13&gt;0,$I1533/$I$13,$S1533/$S$13),0)</f>
        <v/>
      </c>
      <c r="BD1533" s="102">
        <f>IFERROR($S1533/$S$13,0)</f>
        <v/>
      </c>
      <c r="BE1533" s="413" t="inlineStr">
        <is>
          <t>$</t>
        </is>
      </c>
    </row>
    <row r="1534" ht="12" customFormat="1" customHeight="1" s="65">
      <c r="A1534" s="43" t="n">
        <v>1519</v>
      </c>
      <c r="B1534" s="166" t="n"/>
      <c r="C1534" s="166" t="n"/>
      <c r="D1534" s="166" t="n"/>
      <c r="E1534" s="162" t="n"/>
      <c r="F1534" s="166" t="n"/>
      <c r="G1534" s="162" t="n"/>
      <c r="H1534" s="162" t="n"/>
      <c r="I1534" s="189">
        <f>E1534*G1534</f>
        <v/>
      </c>
      <c r="J1534" s="195" t="n"/>
      <c r="K1534" s="162" t="n"/>
      <c r="L1534" s="168" t="n"/>
      <c r="M1534" s="75">
        <f>_xlfn.XLOOKUP(L1534,list_vat[Страна],list_vat[Ставка НДС %],0,0)</f>
        <v/>
      </c>
      <c r="N1534" s="162">
        <f>IFERROR(IF(L1534="Китай",K1534,K1534/(1+M1534)),0)</f>
        <v/>
      </c>
      <c r="O1534" s="169" t="n"/>
      <c r="P1534" s="76">
        <f>N1534*(1-O1534)</f>
        <v/>
      </c>
      <c r="Q1534" s="162" t="n"/>
      <c r="R1534" s="162">
        <f>IF(ISBLANK(Q1534),"введи курс",P1534/Q1534)</f>
        <v/>
      </c>
      <c r="S1534" s="196">
        <f>IF(AND(ISNUMBER(E1534),ISNUMBER(Q1534)),E1534*R1534,0)</f>
        <v/>
      </c>
      <c r="T1534" s="192">
        <f>$BC1534*V$11</f>
        <v/>
      </c>
      <c r="U1534" s="76">
        <f>$BC1534*W$11</f>
        <v/>
      </c>
      <c r="V1534" s="193">
        <f>+SUM(T1534:U1534)</f>
        <v/>
      </c>
      <c r="W1534" s="191" t="n"/>
      <c r="X1534" s="170" t="n"/>
      <c r="Y1534" s="76">
        <f>ROUND(IF(offer_incoterms="DDP",X1534*(S1534*(1+AW1534)+T1534),0),2)</f>
        <v/>
      </c>
      <c r="Z1534" s="188" t="n"/>
      <c r="AA1534" s="192">
        <f>IFERROR(AB1534/E1534,0)</f>
        <v/>
      </c>
      <c r="AB1534" s="76">
        <f>ROUND(SUM(S1534,V1534,Y1534:Z1534,BA1534:BB1534),2)</f>
        <v/>
      </c>
      <c r="AC1534" s="797" t="n"/>
      <c r="AD1534" s="192">
        <f t="array" ref="AD1534">IFERROR(ROUND((_xlfn.IFS(offer_sale_type="поставка",AB1534,offer_sale_type="транзит",S1534)*(1+AC1534))/E1534,2),0)</f>
        <v/>
      </c>
      <c r="AE1534" s="76">
        <f>AD1534*E1534</f>
        <v/>
      </c>
      <c r="AF1534" s="193">
        <f t="array" ref="AF1534">IFERROR(ROUND(_xlfn.IFS(offer_sale_type="поставка",AB1534,offer_sale_type="транзит",S1534)*AC1534,2),0)</f>
        <v/>
      </c>
      <c r="AG1534" s="192">
        <f>$BD1534*VLOOKUP($AG$3,$AF$4:$AG$7,2,FALSE)</f>
        <v/>
      </c>
      <c r="AH1534" s="76">
        <f>SUM(AE1534,AG1534,AI1534)*rate_forex_risk</f>
        <v/>
      </c>
      <c r="AI1534" s="193">
        <f>IF(OR(seller_region="TR",offer_sale_type="экспорт"),0,rate_fin_comm)*SUM(AZ1534,AZ1534*AW1534,T1534)</f>
        <v/>
      </c>
      <c r="AJ1534" s="118">
        <f>IFERROR(ROUND(SUM(AB1534,AF1534:AI1534)/E1534,2),0)</f>
        <v/>
      </c>
      <c r="AK1534" s="76">
        <f>AJ1534*E1534</f>
        <v/>
      </c>
      <c r="AL1534" s="174">
        <f>ROUND(IFERROR(AM1534*E1534,0),2)</f>
        <v/>
      </c>
      <c r="AM1534" s="175">
        <f>ROUND(AJ1534*(1+IF(offer_incoterms="DDP",IF((TODAY()+offer_turnaround_time)&gt;=helpsheet!$L$17,rate_vatRU_from_26,rate_vatRu_till_25),0)),2)</f>
        <v/>
      </c>
      <c r="AN1534" s="192">
        <f>AL1534-AK1534</f>
        <v/>
      </c>
      <c r="AO1534" s="76">
        <f>SUM(AY1534,Y1534:Z1534,T1534)*IF(AND(offer_incoterms="DDP",offer_sale_type&lt;&gt;"экспорт"),IF((TODAY()+offer_turnaround_time)&gt;=helpsheet!$L$17,rate_vatRU_from_26,rate_vatRu_till_25),0)</f>
        <v/>
      </c>
      <c r="AP1534" s="193">
        <f>AN1534-AO1534</f>
        <v/>
      </c>
      <c r="AQ1534" s="118">
        <f>IF(offer_sale_type="транзит",SUM(AF1534:AI1534,BA1534,BB1534),0)</f>
        <v/>
      </c>
      <c r="AR1534" s="82">
        <f>HYPERLINK("https://www.alta.ru/tnved/code/")&amp;W1534&amp;"/"</f>
        <v/>
      </c>
      <c r="AS1534" s="157" t="n"/>
      <c r="AT1534" s="162" t="n"/>
      <c r="AU1534" s="76">
        <f>IF(ISBLANK(AT1534),0,AJ1534-AT1534)</f>
        <v/>
      </c>
      <c r="AV1534" s="157" t="n"/>
      <c r="AW1534" s="75">
        <f>_xlfn.IFNA(VLOOKUP(L1534,list_vat[],3,FALSE),0)</f>
        <v/>
      </c>
      <c r="AX1534" s="76">
        <f>IFERROR(ROUND(S1534*(1+AW1534)/E1534,2),0)</f>
        <v/>
      </c>
      <c r="AY1534" s="76">
        <f>E1534*AX1534</f>
        <v/>
      </c>
      <c r="AZ1534" s="192">
        <f>S1534*(1+M1534)</f>
        <v/>
      </c>
      <c r="BA1534" s="76">
        <f>cost_fin_total*$BD1534</f>
        <v/>
      </c>
      <c r="BB1534" s="193">
        <f>credit_sales_interest*BD1534</f>
        <v/>
      </c>
      <c r="BC1534" s="102">
        <f>IFERROR(IF($I$13&gt;0,$I1534/$I$13,$S1534/$S$13),0)</f>
        <v/>
      </c>
      <c r="BD1534" s="102">
        <f>IFERROR($S1534/$S$13,0)</f>
        <v/>
      </c>
      <c r="BE1534" s="413" t="inlineStr">
        <is>
          <t>$</t>
        </is>
      </c>
    </row>
    <row r="1535" ht="12" customFormat="1" customHeight="1" s="65">
      <c r="A1535" s="43" t="n">
        <v>1520</v>
      </c>
      <c r="B1535" s="166" t="n"/>
      <c r="C1535" s="166" t="n"/>
      <c r="D1535" s="166" t="n"/>
      <c r="E1535" s="162" t="n"/>
      <c r="F1535" s="166" t="n"/>
      <c r="G1535" s="162" t="n"/>
      <c r="H1535" s="162" t="n"/>
      <c r="I1535" s="189">
        <f>E1535*G1535</f>
        <v/>
      </c>
      <c r="J1535" s="195" t="n"/>
      <c r="K1535" s="162" t="n"/>
      <c r="L1535" s="168" t="n"/>
      <c r="M1535" s="75">
        <f>_xlfn.XLOOKUP(L1535,list_vat[Страна],list_vat[Ставка НДС %],0,0)</f>
        <v/>
      </c>
      <c r="N1535" s="162">
        <f>IFERROR(IF(L1535="Китай",K1535,K1535/(1+M1535)),0)</f>
        <v/>
      </c>
      <c r="O1535" s="169" t="n"/>
      <c r="P1535" s="76">
        <f>N1535*(1-O1535)</f>
        <v/>
      </c>
      <c r="Q1535" s="162" t="n"/>
      <c r="R1535" s="162">
        <f>IF(ISBLANK(Q1535),"введи курс",P1535/Q1535)</f>
        <v/>
      </c>
      <c r="S1535" s="196">
        <f>IF(AND(ISNUMBER(E1535),ISNUMBER(Q1535)),E1535*R1535,0)</f>
        <v/>
      </c>
      <c r="T1535" s="192">
        <f>$BC1535*V$11</f>
        <v/>
      </c>
      <c r="U1535" s="76">
        <f>$BC1535*W$11</f>
        <v/>
      </c>
      <c r="V1535" s="193">
        <f>+SUM(T1535:U1535)</f>
        <v/>
      </c>
      <c r="W1535" s="191" t="n"/>
      <c r="X1535" s="170" t="n"/>
      <c r="Y1535" s="76">
        <f>ROUND(IF(offer_incoterms="DDP",X1535*(S1535*(1+AW1535)+T1535),0),2)</f>
        <v/>
      </c>
      <c r="Z1535" s="188" t="n"/>
      <c r="AA1535" s="192">
        <f>IFERROR(AB1535/E1535,0)</f>
        <v/>
      </c>
      <c r="AB1535" s="76">
        <f>ROUND(SUM(S1535,V1535,Y1535:Z1535,BA1535:BB1535),2)</f>
        <v/>
      </c>
      <c r="AC1535" s="797" t="n"/>
      <c r="AD1535" s="192">
        <f t="array" ref="AD1535">IFERROR(ROUND((_xlfn.IFS(offer_sale_type="поставка",AB1535,offer_sale_type="транзит",S1535)*(1+AC1535))/E1535,2),0)</f>
        <v/>
      </c>
      <c r="AE1535" s="76">
        <f>AD1535*E1535</f>
        <v/>
      </c>
      <c r="AF1535" s="193">
        <f t="array" ref="AF1535">IFERROR(ROUND(_xlfn.IFS(offer_sale_type="поставка",AB1535,offer_sale_type="транзит",S1535)*AC1535,2),0)</f>
        <v/>
      </c>
      <c r="AG1535" s="192">
        <f>$BD1535*VLOOKUP($AG$3,$AF$4:$AG$7,2,FALSE)</f>
        <v/>
      </c>
      <c r="AH1535" s="76">
        <f>SUM(AE1535,AG1535,AI1535)*rate_forex_risk</f>
        <v/>
      </c>
      <c r="AI1535" s="193">
        <f>IF(OR(seller_region="TR",offer_sale_type="экспорт"),0,rate_fin_comm)*SUM(AZ1535,AZ1535*AW1535,T1535)</f>
        <v/>
      </c>
      <c r="AJ1535" s="118">
        <f>IFERROR(ROUND(SUM(AB1535,AF1535:AI1535)/E1535,2),0)</f>
        <v/>
      </c>
      <c r="AK1535" s="76">
        <f>AJ1535*E1535</f>
        <v/>
      </c>
      <c r="AL1535" s="174">
        <f>ROUND(IFERROR(AM1535*E1535,0),2)</f>
        <v/>
      </c>
      <c r="AM1535" s="175">
        <f>ROUND(AJ1535*(1+IF(offer_incoterms="DDP",IF((TODAY()+offer_turnaround_time)&gt;=helpsheet!$L$17,rate_vatRU_from_26,rate_vatRu_till_25),0)),2)</f>
        <v/>
      </c>
      <c r="AN1535" s="192">
        <f>AL1535-AK1535</f>
        <v/>
      </c>
      <c r="AO1535" s="76">
        <f>SUM(AY1535,Y1535:Z1535,T1535)*IF(AND(offer_incoterms="DDP",offer_sale_type&lt;&gt;"экспорт"),IF((TODAY()+offer_turnaround_time)&gt;=helpsheet!$L$17,rate_vatRU_from_26,rate_vatRu_till_25),0)</f>
        <v/>
      </c>
      <c r="AP1535" s="193">
        <f>AN1535-AO1535</f>
        <v/>
      </c>
      <c r="AQ1535" s="118">
        <f>IF(offer_sale_type="транзит",SUM(AF1535:AI1535,BA1535,BB1535),0)</f>
        <v/>
      </c>
      <c r="AR1535" s="82">
        <f>HYPERLINK("https://www.alta.ru/tnved/code/")&amp;W1535&amp;"/"</f>
        <v/>
      </c>
      <c r="AS1535" s="157" t="n"/>
      <c r="AT1535" s="162" t="n"/>
      <c r="AU1535" s="76">
        <f>IF(ISBLANK(AT1535),0,AJ1535-AT1535)</f>
        <v/>
      </c>
      <c r="AV1535" s="157" t="n"/>
      <c r="AW1535" s="75">
        <f>_xlfn.IFNA(VLOOKUP(L1535,list_vat[],3,FALSE),0)</f>
        <v/>
      </c>
      <c r="AX1535" s="76">
        <f>IFERROR(ROUND(S1535*(1+AW1535)/E1535,2),0)</f>
        <v/>
      </c>
      <c r="AY1535" s="76">
        <f>E1535*AX1535</f>
        <v/>
      </c>
      <c r="AZ1535" s="192">
        <f>S1535*(1+M1535)</f>
        <v/>
      </c>
      <c r="BA1535" s="76">
        <f>cost_fin_total*$BD1535</f>
        <v/>
      </c>
      <c r="BB1535" s="193">
        <f>credit_sales_interest*BD1535</f>
        <v/>
      </c>
      <c r="BC1535" s="102">
        <f>IFERROR(IF($I$13&gt;0,$I1535/$I$13,$S1535/$S$13),0)</f>
        <v/>
      </c>
      <c r="BD1535" s="102">
        <f>IFERROR($S1535/$S$13,0)</f>
        <v/>
      </c>
      <c r="BE1535" s="413" t="inlineStr">
        <is>
          <t>$</t>
        </is>
      </c>
    </row>
    <row r="1536" ht="12" customFormat="1" customHeight="1" s="65">
      <c r="A1536" s="43" t="n">
        <v>1521</v>
      </c>
      <c r="B1536" s="166" t="n"/>
      <c r="C1536" s="166" t="n"/>
      <c r="D1536" s="166" t="n"/>
      <c r="E1536" s="162" t="n"/>
      <c r="F1536" s="166" t="n"/>
      <c r="G1536" s="162" t="n"/>
      <c r="H1536" s="162" t="n"/>
      <c r="I1536" s="189">
        <f>E1536*G1536</f>
        <v/>
      </c>
      <c r="J1536" s="195" t="n"/>
      <c r="K1536" s="162" t="n"/>
      <c r="L1536" s="168" t="n"/>
      <c r="M1536" s="75">
        <f>_xlfn.XLOOKUP(L1536,list_vat[Страна],list_vat[Ставка НДС %],0,0)</f>
        <v/>
      </c>
      <c r="N1536" s="162">
        <f>IFERROR(IF(L1536="Китай",K1536,K1536/(1+M1536)),0)</f>
        <v/>
      </c>
      <c r="O1536" s="169" t="n"/>
      <c r="P1536" s="76">
        <f>N1536*(1-O1536)</f>
        <v/>
      </c>
      <c r="Q1536" s="162" t="n"/>
      <c r="R1536" s="162">
        <f>IF(ISBLANK(Q1536),"введи курс",P1536/Q1536)</f>
        <v/>
      </c>
      <c r="S1536" s="196">
        <f>IF(AND(ISNUMBER(E1536),ISNUMBER(Q1536)),E1536*R1536,0)</f>
        <v/>
      </c>
      <c r="T1536" s="192">
        <f>$BC1536*V$11</f>
        <v/>
      </c>
      <c r="U1536" s="76">
        <f>$BC1536*W$11</f>
        <v/>
      </c>
      <c r="V1536" s="193">
        <f>+SUM(T1536:U1536)</f>
        <v/>
      </c>
      <c r="W1536" s="191" t="n"/>
      <c r="X1536" s="170" t="n"/>
      <c r="Y1536" s="76">
        <f>ROUND(IF(offer_incoterms="DDP",X1536*(S1536*(1+AW1536)+T1536),0),2)</f>
        <v/>
      </c>
      <c r="Z1536" s="188" t="n"/>
      <c r="AA1536" s="192">
        <f>IFERROR(AB1536/E1536,0)</f>
        <v/>
      </c>
      <c r="AB1536" s="76">
        <f>ROUND(SUM(S1536,V1536,Y1536:Z1536,BA1536:BB1536),2)</f>
        <v/>
      </c>
      <c r="AC1536" s="797" t="n"/>
      <c r="AD1536" s="192">
        <f t="array" ref="AD1536">IFERROR(ROUND((_xlfn.IFS(offer_sale_type="поставка",AB1536,offer_sale_type="транзит",S1536)*(1+AC1536))/E1536,2),0)</f>
        <v/>
      </c>
      <c r="AE1536" s="76">
        <f>AD1536*E1536</f>
        <v/>
      </c>
      <c r="AF1536" s="193">
        <f t="array" ref="AF1536">IFERROR(ROUND(_xlfn.IFS(offer_sale_type="поставка",AB1536,offer_sale_type="транзит",S1536)*AC1536,2),0)</f>
        <v/>
      </c>
      <c r="AG1536" s="192">
        <f>$BD1536*VLOOKUP($AG$3,$AF$4:$AG$7,2,FALSE)</f>
        <v/>
      </c>
      <c r="AH1536" s="76">
        <f>SUM(AE1536,AG1536,AI1536)*rate_forex_risk</f>
        <v/>
      </c>
      <c r="AI1536" s="193">
        <f>IF(OR(seller_region="TR",offer_sale_type="экспорт"),0,rate_fin_comm)*SUM(AZ1536,AZ1536*AW1536,T1536)</f>
        <v/>
      </c>
      <c r="AJ1536" s="118">
        <f>IFERROR(ROUND(SUM(AB1536,AF1536:AI1536)/E1536,2),0)</f>
        <v/>
      </c>
      <c r="AK1536" s="76">
        <f>AJ1536*E1536</f>
        <v/>
      </c>
      <c r="AL1536" s="174">
        <f>ROUND(IFERROR(AM1536*E1536,0),2)</f>
        <v/>
      </c>
      <c r="AM1536" s="175">
        <f>ROUND(AJ1536*(1+IF(offer_incoterms="DDP",IF((TODAY()+offer_turnaround_time)&gt;=helpsheet!$L$17,rate_vatRU_from_26,rate_vatRu_till_25),0)),2)</f>
        <v/>
      </c>
      <c r="AN1536" s="192">
        <f>AL1536-AK1536</f>
        <v/>
      </c>
      <c r="AO1536" s="76">
        <f>SUM(AY1536,Y1536:Z1536,T1536)*IF(AND(offer_incoterms="DDP",offer_sale_type&lt;&gt;"экспорт"),IF((TODAY()+offer_turnaround_time)&gt;=helpsheet!$L$17,rate_vatRU_from_26,rate_vatRu_till_25),0)</f>
        <v/>
      </c>
      <c r="AP1536" s="193">
        <f>AN1536-AO1536</f>
        <v/>
      </c>
      <c r="AQ1536" s="118">
        <f>IF(offer_sale_type="транзит",SUM(AF1536:AI1536,BA1536,BB1536),0)</f>
        <v/>
      </c>
      <c r="AR1536" s="82">
        <f>HYPERLINK("https://www.alta.ru/tnved/code/")&amp;W1536&amp;"/"</f>
        <v/>
      </c>
      <c r="AS1536" s="157" t="n"/>
      <c r="AT1536" s="162" t="n"/>
      <c r="AU1536" s="76">
        <f>IF(ISBLANK(AT1536),0,AJ1536-AT1536)</f>
        <v/>
      </c>
      <c r="AV1536" s="157" t="n"/>
      <c r="AW1536" s="75">
        <f>_xlfn.IFNA(VLOOKUP(L1536,list_vat[],3,FALSE),0)</f>
        <v/>
      </c>
      <c r="AX1536" s="76">
        <f>IFERROR(ROUND(S1536*(1+AW1536)/E1536,2),0)</f>
        <v/>
      </c>
      <c r="AY1536" s="76">
        <f>E1536*AX1536</f>
        <v/>
      </c>
      <c r="AZ1536" s="192">
        <f>S1536*(1+M1536)</f>
        <v/>
      </c>
      <c r="BA1536" s="76">
        <f>cost_fin_total*$BD1536</f>
        <v/>
      </c>
      <c r="BB1536" s="193">
        <f>credit_sales_interest*BD1536</f>
        <v/>
      </c>
      <c r="BC1536" s="102">
        <f>IFERROR(IF($I$13&gt;0,$I1536/$I$13,$S1536/$S$13),0)</f>
        <v/>
      </c>
      <c r="BD1536" s="102">
        <f>IFERROR($S1536/$S$13,0)</f>
        <v/>
      </c>
      <c r="BE1536" s="413" t="inlineStr">
        <is>
          <t>$</t>
        </is>
      </c>
    </row>
    <row r="1537" ht="12" customFormat="1" customHeight="1" s="65">
      <c r="A1537" s="43" t="n">
        <v>1522</v>
      </c>
      <c r="B1537" s="166" t="n"/>
      <c r="C1537" s="166" t="n"/>
      <c r="D1537" s="166" t="n"/>
      <c r="E1537" s="162" t="n"/>
      <c r="F1537" s="166" t="n"/>
      <c r="G1537" s="162" t="n"/>
      <c r="H1537" s="162" t="n"/>
      <c r="I1537" s="189">
        <f>E1537*G1537</f>
        <v/>
      </c>
      <c r="J1537" s="195" t="n"/>
      <c r="K1537" s="162" t="n"/>
      <c r="L1537" s="168" t="n"/>
      <c r="M1537" s="75">
        <f>_xlfn.XLOOKUP(L1537,list_vat[Страна],list_vat[Ставка НДС %],0,0)</f>
        <v/>
      </c>
      <c r="N1537" s="162">
        <f>IFERROR(IF(L1537="Китай",K1537,K1537/(1+M1537)),0)</f>
        <v/>
      </c>
      <c r="O1537" s="169" t="n"/>
      <c r="P1537" s="76">
        <f>N1537*(1-O1537)</f>
        <v/>
      </c>
      <c r="Q1537" s="162" t="n"/>
      <c r="R1537" s="162">
        <f>IF(ISBLANK(Q1537),"введи курс",P1537/Q1537)</f>
        <v/>
      </c>
      <c r="S1537" s="196">
        <f>IF(AND(ISNUMBER(E1537),ISNUMBER(Q1537)),E1537*R1537,0)</f>
        <v/>
      </c>
      <c r="T1537" s="192">
        <f>$BC1537*V$11</f>
        <v/>
      </c>
      <c r="U1537" s="76">
        <f>$BC1537*W$11</f>
        <v/>
      </c>
      <c r="V1537" s="193">
        <f>+SUM(T1537:U1537)</f>
        <v/>
      </c>
      <c r="W1537" s="191" t="n"/>
      <c r="X1537" s="170" t="n"/>
      <c r="Y1537" s="76">
        <f>ROUND(IF(offer_incoterms="DDP",X1537*(S1537*(1+AW1537)+T1537),0),2)</f>
        <v/>
      </c>
      <c r="Z1537" s="188" t="n"/>
      <c r="AA1537" s="192">
        <f>IFERROR(AB1537/E1537,0)</f>
        <v/>
      </c>
      <c r="AB1537" s="76">
        <f>ROUND(SUM(S1537,V1537,Y1537:Z1537,BA1537:BB1537),2)</f>
        <v/>
      </c>
      <c r="AC1537" s="797" t="n"/>
      <c r="AD1537" s="192">
        <f t="array" ref="AD1537">IFERROR(ROUND((_xlfn.IFS(offer_sale_type="поставка",AB1537,offer_sale_type="транзит",S1537)*(1+AC1537))/E1537,2),0)</f>
        <v/>
      </c>
      <c r="AE1537" s="76">
        <f>AD1537*E1537</f>
        <v/>
      </c>
      <c r="AF1537" s="193">
        <f t="array" ref="AF1537">IFERROR(ROUND(_xlfn.IFS(offer_sale_type="поставка",AB1537,offer_sale_type="транзит",S1537)*AC1537,2),0)</f>
        <v/>
      </c>
      <c r="AG1537" s="192">
        <f>$BD1537*VLOOKUP($AG$3,$AF$4:$AG$7,2,FALSE)</f>
        <v/>
      </c>
      <c r="AH1537" s="76">
        <f>SUM(AE1537,AG1537,AI1537)*rate_forex_risk</f>
        <v/>
      </c>
      <c r="AI1537" s="193">
        <f>IF(OR(seller_region="TR",offer_sale_type="экспорт"),0,rate_fin_comm)*SUM(AZ1537,AZ1537*AW1537,T1537)</f>
        <v/>
      </c>
      <c r="AJ1537" s="118">
        <f>IFERROR(ROUND(SUM(AB1537,AF1537:AI1537)/E1537,2),0)</f>
        <v/>
      </c>
      <c r="AK1537" s="76">
        <f>AJ1537*E1537</f>
        <v/>
      </c>
      <c r="AL1537" s="174">
        <f>ROUND(IFERROR(AM1537*E1537,0),2)</f>
        <v/>
      </c>
      <c r="AM1537" s="175">
        <f>ROUND(AJ1537*(1+IF(offer_incoterms="DDP",IF((TODAY()+offer_turnaround_time)&gt;=helpsheet!$L$17,rate_vatRU_from_26,rate_vatRu_till_25),0)),2)</f>
        <v/>
      </c>
      <c r="AN1537" s="192">
        <f>AL1537-AK1537</f>
        <v/>
      </c>
      <c r="AO1537" s="76">
        <f>SUM(AY1537,Y1537:Z1537,T1537)*IF(AND(offer_incoterms="DDP",offer_sale_type&lt;&gt;"экспорт"),IF((TODAY()+offer_turnaround_time)&gt;=helpsheet!$L$17,rate_vatRU_from_26,rate_vatRu_till_25),0)</f>
        <v/>
      </c>
      <c r="AP1537" s="193">
        <f>AN1537-AO1537</f>
        <v/>
      </c>
      <c r="AQ1537" s="118">
        <f>IF(offer_sale_type="транзит",SUM(AF1537:AI1537,BA1537,BB1537),0)</f>
        <v/>
      </c>
      <c r="AR1537" s="82">
        <f>HYPERLINK("https://www.alta.ru/tnved/code/")&amp;W1537&amp;"/"</f>
        <v/>
      </c>
      <c r="AS1537" s="157" t="n"/>
      <c r="AT1537" s="162" t="n"/>
      <c r="AU1537" s="76">
        <f>IF(ISBLANK(AT1537),0,AJ1537-AT1537)</f>
        <v/>
      </c>
      <c r="AV1537" s="157" t="n"/>
      <c r="AW1537" s="75">
        <f>_xlfn.IFNA(VLOOKUP(L1537,list_vat[],3,FALSE),0)</f>
        <v/>
      </c>
      <c r="AX1537" s="76">
        <f>IFERROR(ROUND(S1537*(1+AW1537)/E1537,2),0)</f>
        <v/>
      </c>
      <c r="AY1537" s="76">
        <f>E1537*AX1537</f>
        <v/>
      </c>
      <c r="AZ1537" s="192">
        <f>S1537*(1+M1537)</f>
        <v/>
      </c>
      <c r="BA1537" s="76">
        <f>cost_fin_total*$BD1537</f>
        <v/>
      </c>
      <c r="BB1537" s="193">
        <f>credit_sales_interest*BD1537</f>
        <v/>
      </c>
      <c r="BC1537" s="102">
        <f>IFERROR(IF($I$13&gt;0,$I1537/$I$13,$S1537/$S$13),0)</f>
        <v/>
      </c>
      <c r="BD1537" s="102">
        <f>IFERROR($S1537/$S$13,0)</f>
        <v/>
      </c>
      <c r="BE1537" s="413" t="inlineStr">
        <is>
          <t>$</t>
        </is>
      </c>
    </row>
    <row r="1538" ht="12" customFormat="1" customHeight="1" s="65">
      <c r="A1538" s="43" t="n">
        <v>1523</v>
      </c>
      <c r="B1538" s="166" t="n"/>
      <c r="C1538" s="166" t="n"/>
      <c r="D1538" s="166" t="n"/>
      <c r="E1538" s="162" t="n"/>
      <c r="F1538" s="166" t="n"/>
      <c r="G1538" s="162" t="n"/>
      <c r="H1538" s="162" t="n"/>
      <c r="I1538" s="189">
        <f>E1538*G1538</f>
        <v/>
      </c>
      <c r="J1538" s="195" t="n"/>
      <c r="K1538" s="162" t="n"/>
      <c r="L1538" s="168" t="n"/>
      <c r="M1538" s="75">
        <f>_xlfn.XLOOKUP(L1538,list_vat[Страна],list_vat[Ставка НДС %],0,0)</f>
        <v/>
      </c>
      <c r="N1538" s="162">
        <f>IFERROR(IF(L1538="Китай",K1538,K1538/(1+M1538)),0)</f>
        <v/>
      </c>
      <c r="O1538" s="169" t="n"/>
      <c r="P1538" s="76">
        <f>N1538*(1-O1538)</f>
        <v/>
      </c>
      <c r="Q1538" s="162" t="n"/>
      <c r="R1538" s="162">
        <f>IF(ISBLANK(Q1538),"введи курс",P1538/Q1538)</f>
        <v/>
      </c>
      <c r="S1538" s="196">
        <f>IF(AND(ISNUMBER(E1538),ISNUMBER(Q1538)),E1538*R1538,0)</f>
        <v/>
      </c>
      <c r="T1538" s="192">
        <f>$BC1538*V$11</f>
        <v/>
      </c>
      <c r="U1538" s="76">
        <f>$BC1538*W$11</f>
        <v/>
      </c>
      <c r="V1538" s="193">
        <f>+SUM(T1538:U1538)</f>
        <v/>
      </c>
      <c r="W1538" s="191" t="n"/>
      <c r="X1538" s="170" t="n"/>
      <c r="Y1538" s="76">
        <f>ROUND(IF(offer_incoterms="DDP",X1538*(S1538*(1+AW1538)+T1538),0),2)</f>
        <v/>
      </c>
      <c r="Z1538" s="188" t="n"/>
      <c r="AA1538" s="192">
        <f>IFERROR(AB1538/E1538,0)</f>
        <v/>
      </c>
      <c r="AB1538" s="76">
        <f>ROUND(SUM(S1538,V1538,Y1538:Z1538,BA1538:BB1538),2)</f>
        <v/>
      </c>
      <c r="AC1538" s="797" t="n"/>
      <c r="AD1538" s="192">
        <f t="array" ref="AD1538">IFERROR(ROUND((_xlfn.IFS(offer_sale_type="поставка",AB1538,offer_sale_type="транзит",S1538)*(1+AC1538))/E1538,2),0)</f>
        <v/>
      </c>
      <c r="AE1538" s="76">
        <f>AD1538*E1538</f>
        <v/>
      </c>
      <c r="AF1538" s="193">
        <f t="array" ref="AF1538">IFERROR(ROUND(_xlfn.IFS(offer_sale_type="поставка",AB1538,offer_sale_type="транзит",S1538)*AC1538,2),0)</f>
        <v/>
      </c>
      <c r="AG1538" s="192">
        <f>$BD1538*VLOOKUP($AG$3,$AF$4:$AG$7,2,FALSE)</f>
        <v/>
      </c>
      <c r="AH1538" s="76">
        <f>SUM(AE1538,AG1538,AI1538)*rate_forex_risk</f>
        <v/>
      </c>
      <c r="AI1538" s="193">
        <f>IF(OR(seller_region="TR",offer_sale_type="экспорт"),0,rate_fin_comm)*SUM(AZ1538,AZ1538*AW1538,T1538)</f>
        <v/>
      </c>
      <c r="AJ1538" s="118">
        <f>IFERROR(ROUND(SUM(AB1538,AF1538:AI1538)/E1538,2),0)</f>
        <v/>
      </c>
      <c r="AK1538" s="76">
        <f>AJ1538*E1538</f>
        <v/>
      </c>
      <c r="AL1538" s="174">
        <f>ROUND(IFERROR(AM1538*E1538,0),2)</f>
        <v/>
      </c>
      <c r="AM1538" s="175">
        <f>ROUND(AJ1538*(1+IF(offer_incoterms="DDP",IF((TODAY()+offer_turnaround_time)&gt;=helpsheet!$L$17,rate_vatRU_from_26,rate_vatRu_till_25),0)),2)</f>
        <v/>
      </c>
      <c r="AN1538" s="192">
        <f>AL1538-AK1538</f>
        <v/>
      </c>
      <c r="AO1538" s="76">
        <f>SUM(AY1538,Y1538:Z1538,T1538)*IF(AND(offer_incoterms="DDP",offer_sale_type&lt;&gt;"экспорт"),IF((TODAY()+offer_turnaround_time)&gt;=helpsheet!$L$17,rate_vatRU_from_26,rate_vatRu_till_25),0)</f>
        <v/>
      </c>
      <c r="AP1538" s="193">
        <f>AN1538-AO1538</f>
        <v/>
      </c>
      <c r="AQ1538" s="118">
        <f>IF(offer_sale_type="транзит",SUM(AF1538:AI1538,BA1538,BB1538),0)</f>
        <v/>
      </c>
      <c r="AR1538" s="82">
        <f>HYPERLINK("https://www.alta.ru/tnved/code/")&amp;W1538&amp;"/"</f>
        <v/>
      </c>
      <c r="AS1538" s="157" t="n"/>
      <c r="AT1538" s="162" t="n"/>
      <c r="AU1538" s="76">
        <f>IF(ISBLANK(AT1538),0,AJ1538-AT1538)</f>
        <v/>
      </c>
      <c r="AV1538" s="157" t="n"/>
      <c r="AW1538" s="75">
        <f>_xlfn.IFNA(VLOOKUP(L1538,list_vat[],3,FALSE),0)</f>
        <v/>
      </c>
      <c r="AX1538" s="76">
        <f>IFERROR(ROUND(S1538*(1+AW1538)/E1538,2),0)</f>
        <v/>
      </c>
      <c r="AY1538" s="76">
        <f>E1538*AX1538</f>
        <v/>
      </c>
      <c r="AZ1538" s="192">
        <f>S1538*(1+M1538)</f>
        <v/>
      </c>
      <c r="BA1538" s="76">
        <f>cost_fin_total*$BD1538</f>
        <v/>
      </c>
      <c r="BB1538" s="193">
        <f>credit_sales_interest*BD1538</f>
        <v/>
      </c>
      <c r="BC1538" s="102">
        <f>IFERROR(IF($I$13&gt;0,$I1538/$I$13,$S1538/$S$13),0)</f>
        <v/>
      </c>
      <c r="BD1538" s="102">
        <f>IFERROR($S1538/$S$13,0)</f>
        <v/>
      </c>
      <c r="BE1538" s="413" t="inlineStr">
        <is>
          <t>$</t>
        </is>
      </c>
    </row>
    <row r="1539" ht="12" customFormat="1" customHeight="1" s="65">
      <c r="A1539" s="43" t="n">
        <v>1524</v>
      </c>
      <c r="B1539" s="166" t="n"/>
      <c r="C1539" s="166" t="n"/>
      <c r="D1539" s="166" t="n"/>
      <c r="E1539" s="162" t="n"/>
      <c r="F1539" s="166" t="n"/>
      <c r="G1539" s="162" t="n"/>
      <c r="H1539" s="162" t="n"/>
      <c r="I1539" s="189">
        <f>E1539*G1539</f>
        <v/>
      </c>
      <c r="J1539" s="195" t="n"/>
      <c r="K1539" s="162" t="n"/>
      <c r="L1539" s="168" t="n"/>
      <c r="M1539" s="75">
        <f>_xlfn.XLOOKUP(L1539,list_vat[Страна],list_vat[Ставка НДС %],0,0)</f>
        <v/>
      </c>
      <c r="N1539" s="162">
        <f>IFERROR(IF(L1539="Китай",K1539,K1539/(1+M1539)),0)</f>
        <v/>
      </c>
      <c r="O1539" s="169" t="n"/>
      <c r="P1539" s="76">
        <f>N1539*(1-O1539)</f>
        <v/>
      </c>
      <c r="Q1539" s="162" t="n"/>
      <c r="R1539" s="162">
        <f>IF(ISBLANK(Q1539),"введи курс",P1539/Q1539)</f>
        <v/>
      </c>
      <c r="S1539" s="196">
        <f>IF(AND(ISNUMBER(E1539),ISNUMBER(Q1539)),E1539*R1539,0)</f>
        <v/>
      </c>
      <c r="T1539" s="192">
        <f>$BC1539*V$11</f>
        <v/>
      </c>
      <c r="U1539" s="76">
        <f>$BC1539*W$11</f>
        <v/>
      </c>
      <c r="V1539" s="193">
        <f>+SUM(T1539:U1539)</f>
        <v/>
      </c>
      <c r="W1539" s="191" t="n"/>
      <c r="X1539" s="170" t="n"/>
      <c r="Y1539" s="76">
        <f>ROUND(IF(offer_incoterms="DDP",X1539*(S1539*(1+AW1539)+T1539),0),2)</f>
        <v/>
      </c>
      <c r="Z1539" s="188" t="n"/>
      <c r="AA1539" s="192">
        <f>IFERROR(AB1539/E1539,0)</f>
        <v/>
      </c>
      <c r="AB1539" s="76">
        <f>ROUND(SUM(S1539,V1539,Y1539:Z1539,BA1539:BB1539),2)</f>
        <v/>
      </c>
      <c r="AC1539" s="797" t="n"/>
      <c r="AD1539" s="192">
        <f t="array" ref="AD1539">IFERROR(ROUND((_xlfn.IFS(offer_sale_type="поставка",AB1539,offer_sale_type="транзит",S1539)*(1+AC1539))/E1539,2),0)</f>
        <v/>
      </c>
      <c r="AE1539" s="76">
        <f>AD1539*E1539</f>
        <v/>
      </c>
      <c r="AF1539" s="193">
        <f t="array" ref="AF1539">IFERROR(ROUND(_xlfn.IFS(offer_sale_type="поставка",AB1539,offer_sale_type="транзит",S1539)*AC1539,2),0)</f>
        <v/>
      </c>
      <c r="AG1539" s="192">
        <f>$BD1539*VLOOKUP($AG$3,$AF$4:$AG$7,2,FALSE)</f>
        <v/>
      </c>
      <c r="AH1539" s="76">
        <f>SUM(AE1539,AG1539,AI1539)*rate_forex_risk</f>
        <v/>
      </c>
      <c r="AI1539" s="193">
        <f>IF(OR(seller_region="TR",offer_sale_type="экспорт"),0,rate_fin_comm)*SUM(AZ1539,AZ1539*AW1539,T1539)</f>
        <v/>
      </c>
      <c r="AJ1539" s="118">
        <f>IFERROR(ROUND(SUM(AB1539,AF1539:AI1539)/E1539,2),0)</f>
        <v/>
      </c>
      <c r="AK1539" s="76">
        <f>AJ1539*E1539</f>
        <v/>
      </c>
      <c r="AL1539" s="174">
        <f>ROUND(IFERROR(AM1539*E1539,0),2)</f>
        <v/>
      </c>
      <c r="AM1539" s="175">
        <f>ROUND(AJ1539*(1+IF(offer_incoterms="DDP",IF((TODAY()+offer_turnaround_time)&gt;=helpsheet!$L$17,rate_vatRU_from_26,rate_vatRu_till_25),0)),2)</f>
        <v/>
      </c>
      <c r="AN1539" s="192">
        <f>AL1539-AK1539</f>
        <v/>
      </c>
      <c r="AO1539" s="76">
        <f>SUM(AY1539,Y1539:Z1539,T1539)*IF(AND(offer_incoterms="DDP",offer_sale_type&lt;&gt;"экспорт"),IF((TODAY()+offer_turnaround_time)&gt;=helpsheet!$L$17,rate_vatRU_from_26,rate_vatRu_till_25),0)</f>
        <v/>
      </c>
      <c r="AP1539" s="193">
        <f>AN1539-AO1539</f>
        <v/>
      </c>
      <c r="AQ1539" s="118">
        <f>IF(offer_sale_type="транзит",SUM(AF1539:AI1539,BA1539,BB1539),0)</f>
        <v/>
      </c>
      <c r="AR1539" s="82">
        <f>HYPERLINK("https://www.alta.ru/tnved/code/")&amp;W1539&amp;"/"</f>
        <v/>
      </c>
      <c r="AS1539" s="157" t="n"/>
      <c r="AT1539" s="162" t="n"/>
      <c r="AU1539" s="76">
        <f>IF(ISBLANK(AT1539),0,AJ1539-AT1539)</f>
        <v/>
      </c>
      <c r="AV1539" s="157" t="n"/>
      <c r="AW1539" s="75">
        <f>_xlfn.IFNA(VLOOKUP(L1539,list_vat[],3,FALSE),0)</f>
        <v/>
      </c>
      <c r="AX1539" s="76">
        <f>IFERROR(ROUND(S1539*(1+AW1539)/E1539,2),0)</f>
        <v/>
      </c>
      <c r="AY1539" s="76">
        <f>E1539*AX1539</f>
        <v/>
      </c>
      <c r="AZ1539" s="192">
        <f>S1539*(1+M1539)</f>
        <v/>
      </c>
      <c r="BA1539" s="76">
        <f>cost_fin_total*$BD1539</f>
        <v/>
      </c>
      <c r="BB1539" s="193">
        <f>credit_sales_interest*BD1539</f>
        <v/>
      </c>
      <c r="BC1539" s="102">
        <f>IFERROR(IF($I$13&gt;0,$I1539/$I$13,$S1539/$S$13),0)</f>
        <v/>
      </c>
      <c r="BD1539" s="102">
        <f>IFERROR($S1539/$S$13,0)</f>
        <v/>
      </c>
      <c r="BE1539" s="413" t="inlineStr">
        <is>
          <t>$</t>
        </is>
      </c>
    </row>
    <row r="1540" ht="12" customFormat="1" customHeight="1" s="65">
      <c r="A1540" s="43" t="n">
        <v>1525</v>
      </c>
      <c r="B1540" s="166" t="n"/>
      <c r="C1540" s="166" t="n"/>
      <c r="D1540" s="166" t="n"/>
      <c r="E1540" s="162" t="n"/>
      <c r="F1540" s="166" t="n"/>
      <c r="G1540" s="162" t="n"/>
      <c r="H1540" s="162" t="n"/>
      <c r="I1540" s="189">
        <f>E1540*G1540</f>
        <v/>
      </c>
      <c r="J1540" s="195" t="n"/>
      <c r="K1540" s="162" t="n"/>
      <c r="L1540" s="168" t="n"/>
      <c r="M1540" s="75">
        <f>_xlfn.XLOOKUP(L1540,list_vat[Страна],list_vat[Ставка НДС %],0,0)</f>
        <v/>
      </c>
      <c r="N1540" s="162">
        <f>IFERROR(IF(L1540="Китай",K1540,K1540/(1+M1540)),0)</f>
        <v/>
      </c>
      <c r="O1540" s="169" t="n"/>
      <c r="P1540" s="76">
        <f>N1540*(1-O1540)</f>
        <v/>
      </c>
      <c r="Q1540" s="162" t="n"/>
      <c r="R1540" s="162">
        <f>IF(ISBLANK(Q1540),"введи курс",P1540/Q1540)</f>
        <v/>
      </c>
      <c r="S1540" s="196">
        <f>IF(AND(ISNUMBER(E1540),ISNUMBER(Q1540)),E1540*R1540,0)</f>
        <v/>
      </c>
      <c r="T1540" s="192">
        <f>$BC1540*V$11</f>
        <v/>
      </c>
      <c r="U1540" s="76">
        <f>$BC1540*W$11</f>
        <v/>
      </c>
      <c r="V1540" s="193">
        <f>+SUM(T1540:U1540)</f>
        <v/>
      </c>
      <c r="W1540" s="191" t="n"/>
      <c r="X1540" s="170" t="n"/>
      <c r="Y1540" s="76">
        <f>ROUND(IF(offer_incoterms="DDP",X1540*(S1540*(1+AW1540)+T1540),0),2)</f>
        <v/>
      </c>
      <c r="Z1540" s="188" t="n"/>
      <c r="AA1540" s="192">
        <f>IFERROR(AB1540/E1540,0)</f>
        <v/>
      </c>
      <c r="AB1540" s="76">
        <f>ROUND(SUM(S1540,V1540,Y1540:Z1540,BA1540:BB1540),2)</f>
        <v/>
      </c>
      <c r="AC1540" s="797" t="n"/>
      <c r="AD1540" s="192">
        <f t="array" ref="AD1540">IFERROR(ROUND((_xlfn.IFS(offer_sale_type="поставка",AB1540,offer_sale_type="транзит",S1540)*(1+AC1540))/E1540,2),0)</f>
        <v/>
      </c>
      <c r="AE1540" s="76">
        <f>AD1540*E1540</f>
        <v/>
      </c>
      <c r="AF1540" s="193">
        <f t="array" ref="AF1540">IFERROR(ROUND(_xlfn.IFS(offer_sale_type="поставка",AB1540,offer_sale_type="транзит",S1540)*AC1540,2),0)</f>
        <v/>
      </c>
      <c r="AG1540" s="192">
        <f>$BD1540*VLOOKUP($AG$3,$AF$4:$AG$7,2,FALSE)</f>
        <v/>
      </c>
      <c r="AH1540" s="76">
        <f>SUM(AE1540,AG1540,AI1540)*rate_forex_risk</f>
        <v/>
      </c>
      <c r="AI1540" s="193">
        <f>IF(OR(seller_region="TR",offer_sale_type="экспорт"),0,rate_fin_comm)*SUM(AZ1540,AZ1540*AW1540,T1540)</f>
        <v/>
      </c>
      <c r="AJ1540" s="118">
        <f>IFERROR(ROUND(SUM(AB1540,AF1540:AI1540)/E1540,2),0)</f>
        <v/>
      </c>
      <c r="AK1540" s="76">
        <f>AJ1540*E1540</f>
        <v/>
      </c>
      <c r="AL1540" s="174">
        <f>ROUND(IFERROR(AM1540*E1540,0),2)</f>
        <v/>
      </c>
      <c r="AM1540" s="175">
        <f>ROUND(AJ1540*(1+IF(offer_incoterms="DDP",IF((TODAY()+offer_turnaround_time)&gt;=helpsheet!$L$17,rate_vatRU_from_26,rate_vatRu_till_25),0)),2)</f>
        <v/>
      </c>
      <c r="AN1540" s="192">
        <f>AL1540-AK1540</f>
        <v/>
      </c>
      <c r="AO1540" s="76">
        <f>SUM(AY1540,Y1540:Z1540,T1540)*IF(AND(offer_incoterms="DDP",offer_sale_type&lt;&gt;"экспорт"),IF((TODAY()+offer_turnaround_time)&gt;=helpsheet!$L$17,rate_vatRU_from_26,rate_vatRu_till_25),0)</f>
        <v/>
      </c>
      <c r="AP1540" s="193">
        <f>AN1540-AO1540</f>
        <v/>
      </c>
      <c r="AQ1540" s="118">
        <f>IF(offer_sale_type="транзит",SUM(AF1540:AI1540,BA1540,BB1540),0)</f>
        <v/>
      </c>
      <c r="AR1540" s="82">
        <f>HYPERLINK("https://www.alta.ru/tnved/code/")&amp;W1540&amp;"/"</f>
        <v/>
      </c>
      <c r="AS1540" s="157" t="n"/>
      <c r="AT1540" s="162" t="n"/>
      <c r="AU1540" s="76">
        <f>IF(ISBLANK(AT1540),0,AJ1540-AT1540)</f>
        <v/>
      </c>
      <c r="AV1540" s="157" t="n"/>
      <c r="AW1540" s="75">
        <f>_xlfn.IFNA(VLOOKUP(L1540,list_vat[],3,FALSE),0)</f>
        <v/>
      </c>
      <c r="AX1540" s="76">
        <f>IFERROR(ROUND(S1540*(1+AW1540)/E1540,2),0)</f>
        <v/>
      </c>
      <c r="AY1540" s="76">
        <f>E1540*AX1540</f>
        <v/>
      </c>
      <c r="AZ1540" s="192">
        <f>S1540*(1+M1540)</f>
        <v/>
      </c>
      <c r="BA1540" s="76">
        <f>cost_fin_total*$BD1540</f>
        <v/>
      </c>
      <c r="BB1540" s="193">
        <f>credit_sales_interest*BD1540</f>
        <v/>
      </c>
      <c r="BC1540" s="102">
        <f>IFERROR(IF($I$13&gt;0,$I1540/$I$13,$S1540/$S$13),0)</f>
        <v/>
      </c>
      <c r="BD1540" s="102">
        <f>IFERROR($S1540/$S$13,0)</f>
        <v/>
      </c>
      <c r="BE1540" s="413" t="inlineStr">
        <is>
          <t>$</t>
        </is>
      </c>
    </row>
    <row r="1541" ht="12" customFormat="1" customHeight="1" s="65">
      <c r="A1541" s="43" t="n">
        <v>1526</v>
      </c>
      <c r="B1541" s="166" t="n"/>
      <c r="C1541" s="166" t="n"/>
      <c r="D1541" s="166" t="n"/>
      <c r="E1541" s="162" t="n"/>
      <c r="F1541" s="166" t="n"/>
      <c r="G1541" s="162" t="n"/>
      <c r="H1541" s="162" t="n"/>
      <c r="I1541" s="189">
        <f>E1541*G1541</f>
        <v/>
      </c>
      <c r="J1541" s="195" t="n"/>
      <c r="K1541" s="162" t="n"/>
      <c r="L1541" s="168" t="n"/>
      <c r="M1541" s="75">
        <f>_xlfn.XLOOKUP(L1541,list_vat[Страна],list_vat[Ставка НДС %],0,0)</f>
        <v/>
      </c>
      <c r="N1541" s="162">
        <f>IFERROR(IF(L1541="Китай",K1541,K1541/(1+M1541)),0)</f>
        <v/>
      </c>
      <c r="O1541" s="169" t="n"/>
      <c r="P1541" s="76">
        <f>N1541*(1-O1541)</f>
        <v/>
      </c>
      <c r="Q1541" s="162" t="n"/>
      <c r="R1541" s="162">
        <f>IF(ISBLANK(Q1541),"введи курс",P1541/Q1541)</f>
        <v/>
      </c>
      <c r="S1541" s="196">
        <f>IF(AND(ISNUMBER(E1541),ISNUMBER(Q1541)),E1541*R1541,0)</f>
        <v/>
      </c>
      <c r="T1541" s="192">
        <f>$BC1541*V$11</f>
        <v/>
      </c>
      <c r="U1541" s="76">
        <f>$BC1541*W$11</f>
        <v/>
      </c>
      <c r="V1541" s="193">
        <f>+SUM(T1541:U1541)</f>
        <v/>
      </c>
      <c r="W1541" s="191" t="n"/>
      <c r="X1541" s="170" t="n"/>
      <c r="Y1541" s="76">
        <f>ROUND(IF(offer_incoterms="DDP",X1541*(S1541*(1+AW1541)+T1541),0),2)</f>
        <v/>
      </c>
      <c r="Z1541" s="188" t="n"/>
      <c r="AA1541" s="192">
        <f>IFERROR(AB1541/E1541,0)</f>
        <v/>
      </c>
      <c r="AB1541" s="76">
        <f>ROUND(SUM(S1541,V1541,Y1541:Z1541,BA1541:BB1541),2)</f>
        <v/>
      </c>
      <c r="AC1541" s="797" t="n"/>
      <c r="AD1541" s="192">
        <f t="array" ref="AD1541">IFERROR(ROUND((_xlfn.IFS(offer_sale_type="поставка",AB1541,offer_sale_type="транзит",S1541)*(1+AC1541))/E1541,2),0)</f>
        <v/>
      </c>
      <c r="AE1541" s="76">
        <f>AD1541*E1541</f>
        <v/>
      </c>
      <c r="AF1541" s="193">
        <f t="array" ref="AF1541">IFERROR(ROUND(_xlfn.IFS(offer_sale_type="поставка",AB1541,offer_sale_type="транзит",S1541)*AC1541,2),0)</f>
        <v/>
      </c>
      <c r="AG1541" s="192">
        <f>$BD1541*VLOOKUP($AG$3,$AF$4:$AG$7,2,FALSE)</f>
        <v/>
      </c>
      <c r="AH1541" s="76">
        <f>SUM(AE1541,AG1541,AI1541)*rate_forex_risk</f>
        <v/>
      </c>
      <c r="AI1541" s="193">
        <f>IF(OR(seller_region="TR",offer_sale_type="экспорт"),0,rate_fin_comm)*SUM(AZ1541,AZ1541*AW1541,T1541)</f>
        <v/>
      </c>
      <c r="AJ1541" s="118">
        <f>IFERROR(ROUND(SUM(AB1541,AF1541:AI1541)/E1541,2),0)</f>
        <v/>
      </c>
      <c r="AK1541" s="76">
        <f>AJ1541*E1541</f>
        <v/>
      </c>
      <c r="AL1541" s="174">
        <f>ROUND(IFERROR(AM1541*E1541,0),2)</f>
        <v/>
      </c>
      <c r="AM1541" s="175">
        <f>ROUND(AJ1541*(1+IF(offer_incoterms="DDP",IF((TODAY()+offer_turnaround_time)&gt;=helpsheet!$L$17,rate_vatRU_from_26,rate_vatRu_till_25),0)),2)</f>
        <v/>
      </c>
      <c r="AN1541" s="192">
        <f>AL1541-AK1541</f>
        <v/>
      </c>
      <c r="AO1541" s="76">
        <f>SUM(AY1541,Y1541:Z1541,T1541)*IF(AND(offer_incoterms="DDP",offer_sale_type&lt;&gt;"экспорт"),IF((TODAY()+offer_turnaround_time)&gt;=helpsheet!$L$17,rate_vatRU_from_26,rate_vatRu_till_25),0)</f>
        <v/>
      </c>
      <c r="AP1541" s="193">
        <f>AN1541-AO1541</f>
        <v/>
      </c>
      <c r="AQ1541" s="118">
        <f>IF(offer_sale_type="транзит",SUM(AF1541:AI1541,BA1541,BB1541),0)</f>
        <v/>
      </c>
      <c r="AR1541" s="82">
        <f>HYPERLINK("https://www.alta.ru/tnved/code/")&amp;W1541&amp;"/"</f>
        <v/>
      </c>
      <c r="AS1541" s="157" t="n"/>
      <c r="AT1541" s="162" t="n"/>
      <c r="AU1541" s="76">
        <f>IF(ISBLANK(AT1541),0,AJ1541-AT1541)</f>
        <v/>
      </c>
      <c r="AV1541" s="157" t="n"/>
      <c r="AW1541" s="75">
        <f>_xlfn.IFNA(VLOOKUP(L1541,list_vat[],3,FALSE),0)</f>
        <v/>
      </c>
      <c r="AX1541" s="76">
        <f>IFERROR(ROUND(S1541*(1+AW1541)/E1541,2),0)</f>
        <v/>
      </c>
      <c r="AY1541" s="76">
        <f>E1541*AX1541</f>
        <v/>
      </c>
      <c r="AZ1541" s="192">
        <f>S1541*(1+M1541)</f>
        <v/>
      </c>
      <c r="BA1541" s="76">
        <f>cost_fin_total*$BD1541</f>
        <v/>
      </c>
      <c r="BB1541" s="193">
        <f>credit_sales_interest*BD1541</f>
        <v/>
      </c>
      <c r="BC1541" s="102">
        <f>IFERROR(IF($I$13&gt;0,$I1541/$I$13,$S1541/$S$13),0)</f>
        <v/>
      </c>
      <c r="BD1541" s="102">
        <f>IFERROR($S1541/$S$13,0)</f>
        <v/>
      </c>
      <c r="BE1541" s="413" t="inlineStr">
        <is>
          <t>$</t>
        </is>
      </c>
    </row>
    <row r="1542" ht="12" customFormat="1" customHeight="1" s="65">
      <c r="A1542" s="43" t="n">
        <v>1527</v>
      </c>
      <c r="B1542" s="166" t="n"/>
      <c r="C1542" s="166" t="n"/>
      <c r="D1542" s="166" t="n"/>
      <c r="E1542" s="162" t="n"/>
      <c r="F1542" s="166" t="n"/>
      <c r="G1542" s="162" t="n"/>
      <c r="H1542" s="162" t="n"/>
      <c r="I1542" s="189">
        <f>E1542*G1542</f>
        <v/>
      </c>
      <c r="J1542" s="195" t="n"/>
      <c r="K1542" s="162" t="n"/>
      <c r="L1542" s="168" t="n"/>
      <c r="M1542" s="75">
        <f>_xlfn.XLOOKUP(L1542,list_vat[Страна],list_vat[Ставка НДС %],0,0)</f>
        <v/>
      </c>
      <c r="N1542" s="162">
        <f>IFERROR(IF(L1542="Китай",K1542,K1542/(1+M1542)),0)</f>
        <v/>
      </c>
      <c r="O1542" s="169" t="n"/>
      <c r="P1542" s="76">
        <f>N1542*(1-O1542)</f>
        <v/>
      </c>
      <c r="Q1542" s="162" t="n"/>
      <c r="R1542" s="162">
        <f>IF(ISBLANK(Q1542),"введи курс",P1542/Q1542)</f>
        <v/>
      </c>
      <c r="S1542" s="196">
        <f>IF(AND(ISNUMBER(E1542),ISNUMBER(Q1542)),E1542*R1542,0)</f>
        <v/>
      </c>
      <c r="T1542" s="192">
        <f>$BC1542*V$11</f>
        <v/>
      </c>
      <c r="U1542" s="76">
        <f>$BC1542*W$11</f>
        <v/>
      </c>
      <c r="V1542" s="193">
        <f>+SUM(T1542:U1542)</f>
        <v/>
      </c>
      <c r="W1542" s="191" t="n"/>
      <c r="X1542" s="170" t="n"/>
      <c r="Y1542" s="76">
        <f>ROUND(IF(offer_incoterms="DDP",X1542*(S1542*(1+AW1542)+T1542),0),2)</f>
        <v/>
      </c>
      <c r="Z1542" s="188" t="n"/>
      <c r="AA1542" s="192">
        <f>IFERROR(AB1542/E1542,0)</f>
        <v/>
      </c>
      <c r="AB1542" s="76">
        <f>ROUND(SUM(S1542,V1542,Y1542:Z1542,BA1542:BB1542),2)</f>
        <v/>
      </c>
      <c r="AC1542" s="797" t="n"/>
      <c r="AD1542" s="192">
        <f t="array" ref="AD1542">IFERROR(ROUND((_xlfn.IFS(offer_sale_type="поставка",AB1542,offer_sale_type="транзит",S1542)*(1+AC1542))/E1542,2),0)</f>
        <v/>
      </c>
      <c r="AE1542" s="76">
        <f>AD1542*E1542</f>
        <v/>
      </c>
      <c r="AF1542" s="193">
        <f t="array" ref="AF1542">IFERROR(ROUND(_xlfn.IFS(offer_sale_type="поставка",AB1542,offer_sale_type="транзит",S1542)*AC1542,2),0)</f>
        <v/>
      </c>
      <c r="AG1542" s="192">
        <f>$BD1542*VLOOKUP($AG$3,$AF$4:$AG$7,2,FALSE)</f>
        <v/>
      </c>
      <c r="AH1542" s="76">
        <f>SUM(AE1542,AG1542,AI1542)*rate_forex_risk</f>
        <v/>
      </c>
      <c r="AI1542" s="193">
        <f>IF(OR(seller_region="TR",offer_sale_type="экспорт"),0,rate_fin_comm)*SUM(AZ1542,AZ1542*AW1542,T1542)</f>
        <v/>
      </c>
      <c r="AJ1542" s="118">
        <f>IFERROR(ROUND(SUM(AB1542,AF1542:AI1542)/E1542,2),0)</f>
        <v/>
      </c>
      <c r="AK1542" s="76">
        <f>AJ1542*E1542</f>
        <v/>
      </c>
      <c r="AL1542" s="174">
        <f>ROUND(IFERROR(AM1542*E1542,0),2)</f>
        <v/>
      </c>
      <c r="AM1542" s="175">
        <f>ROUND(AJ1542*(1+IF(offer_incoterms="DDP",IF((TODAY()+offer_turnaround_time)&gt;=helpsheet!$L$17,rate_vatRU_from_26,rate_vatRu_till_25),0)),2)</f>
        <v/>
      </c>
      <c r="AN1542" s="192">
        <f>AL1542-AK1542</f>
        <v/>
      </c>
      <c r="AO1542" s="76">
        <f>SUM(AY1542,Y1542:Z1542,T1542)*IF(AND(offer_incoterms="DDP",offer_sale_type&lt;&gt;"экспорт"),IF((TODAY()+offer_turnaround_time)&gt;=helpsheet!$L$17,rate_vatRU_from_26,rate_vatRu_till_25),0)</f>
        <v/>
      </c>
      <c r="AP1542" s="193">
        <f>AN1542-AO1542</f>
        <v/>
      </c>
      <c r="AQ1542" s="118">
        <f>IF(offer_sale_type="транзит",SUM(AF1542:AI1542,BA1542,BB1542),0)</f>
        <v/>
      </c>
      <c r="AR1542" s="82">
        <f>HYPERLINK("https://www.alta.ru/tnved/code/")&amp;W1542&amp;"/"</f>
        <v/>
      </c>
      <c r="AS1542" s="157" t="n"/>
      <c r="AT1542" s="162" t="n"/>
      <c r="AU1542" s="76">
        <f>IF(ISBLANK(AT1542),0,AJ1542-AT1542)</f>
        <v/>
      </c>
      <c r="AV1542" s="157" t="n"/>
      <c r="AW1542" s="75">
        <f>_xlfn.IFNA(VLOOKUP(L1542,list_vat[],3,FALSE),0)</f>
        <v/>
      </c>
      <c r="AX1542" s="76">
        <f>IFERROR(ROUND(S1542*(1+AW1542)/E1542,2),0)</f>
        <v/>
      </c>
      <c r="AY1542" s="76">
        <f>E1542*AX1542</f>
        <v/>
      </c>
      <c r="AZ1542" s="192">
        <f>S1542*(1+M1542)</f>
        <v/>
      </c>
      <c r="BA1542" s="76">
        <f>cost_fin_total*$BD1542</f>
        <v/>
      </c>
      <c r="BB1542" s="193">
        <f>credit_sales_interest*BD1542</f>
        <v/>
      </c>
      <c r="BC1542" s="102">
        <f>IFERROR(IF($I$13&gt;0,$I1542/$I$13,$S1542/$S$13),0)</f>
        <v/>
      </c>
      <c r="BD1542" s="102">
        <f>IFERROR($S1542/$S$13,0)</f>
        <v/>
      </c>
      <c r="BE1542" s="413" t="inlineStr">
        <is>
          <t>$</t>
        </is>
      </c>
    </row>
    <row r="1543" ht="12" customFormat="1" customHeight="1" s="65">
      <c r="A1543" s="43" t="n">
        <v>1528</v>
      </c>
      <c r="B1543" s="166" t="n"/>
      <c r="C1543" s="166" t="n"/>
      <c r="D1543" s="166" t="n"/>
      <c r="E1543" s="162" t="n"/>
      <c r="F1543" s="166" t="n"/>
      <c r="G1543" s="162" t="n"/>
      <c r="H1543" s="162" t="n"/>
      <c r="I1543" s="189">
        <f>E1543*G1543</f>
        <v/>
      </c>
      <c r="J1543" s="195" t="n"/>
      <c r="K1543" s="162" t="n"/>
      <c r="L1543" s="168" t="n"/>
      <c r="M1543" s="75">
        <f>_xlfn.XLOOKUP(L1543,list_vat[Страна],list_vat[Ставка НДС %],0,0)</f>
        <v/>
      </c>
      <c r="N1543" s="162">
        <f>IFERROR(IF(L1543="Китай",K1543,K1543/(1+M1543)),0)</f>
        <v/>
      </c>
      <c r="O1543" s="169" t="n"/>
      <c r="P1543" s="76">
        <f>N1543*(1-O1543)</f>
        <v/>
      </c>
      <c r="Q1543" s="162" t="n"/>
      <c r="R1543" s="162">
        <f>IF(ISBLANK(Q1543),"введи курс",P1543/Q1543)</f>
        <v/>
      </c>
      <c r="S1543" s="196">
        <f>IF(AND(ISNUMBER(E1543),ISNUMBER(Q1543)),E1543*R1543,0)</f>
        <v/>
      </c>
      <c r="T1543" s="192">
        <f>$BC1543*V$11</f>
        <v/>
      </c>
      <c r="U1543" s="76">
        <f>$BC1543*W$11</f>
        <v/>
      </c>
      <c r="V1543" s="193">
        <f>+SUM(T1543:U1543)</f>
        <v/>
      </c>
      <c r="W1543" s="191" t="n"/>
      <c r="X1543" s="170" t="n"/>
      <c r="Y1543" s="76">
        <f>ROUND(IF(offer_incoterms="DDP",X1543*(S1543*(1+AW1543)+T1543),0),2)</f>
        <v/>
      </c>
      <c r="Z1543" s="188" t="n"/>
      <c r="AA1543" s="192">
        <f>IFERROR(AB1543/E1543,0)</f>
        <v/>
      </c>
      <c r="AB1543" s="76">
        <f>ROUND(SUM(S1543,V1543,Y1543:Z1543,BA1543:BB1543),2)</f>
        <v/>
      </c>
      <c r="AC1543" s="797" t="n"/>
      <c r="AD1543" s="192">
        <f t="array" ref="AD1543">IFERROR(ROUND((_xlfn.IFS(offer_sale_type="поставка",AB1543,offer_sale_type="транзит",S1543)*(1+AC1543))/E1543,2),0)</f>
        <v/>
      </c>
      <c r="AE1543" s="76">
        <f>AD1543*E1543</f>
        <v/>
      </c>
      <c r="AF1543" s="193">
        <f t="array" ref="AF1543">IFERROR(ROUND(_xlfn.IFS(offer_sale_type="поставка",AB1543,offer_sale_type="транзит",S1543)*AC1543,2),0)</f>
        <v/>
      </c>
      <c r="AG1543" s="192">
        <f>$BD1543*VLOOKUP($AG$3,$AF$4:$AG$7,2,FALSE)</f>
        <v/>
      </c>
      <c r="AH1543" s="76">
        <f>SUM(AE1543,AG1543,AI1543)*rate_forex_risk</f>
        <v/>
      </c>
      <c r="AI1543" s="193">
        <f>IF(OR(seller_region="TR",offer_sale_type="экспорт"),0,rate_fin_comm)*SUM(AZ1543,AZ1543*AW1543,T1543)</f>
        <v/>
      </c>
      <c r="AJ1543" s="118">
        <f>IFERROR(ROUND(SUM(AB1543,AF1543:AI1543)/E1543,2),0)</f>
        <v/>
      </c>
      <c r="AK1543" s="76">
        <f>AJ1543*E1543</f>
        <v/>
      </c>
      <c r="AL1543" s="174">
        <f>ROUND(IFERROR(AM1543*E1543,0),2)</f>
        <v/>
      </c>
      <c r="AM1543" s="175">
        <f>ROUND(AJ1543*(1+IF(offer_incoterms="DDP",IF((TODAY()+offer_turnaround_time)&gt;=helpsheet!$L$17,rate_vatRU_from_26,rate_vatRu_till_25),0)),2)</f>
        <v/>
      </c>
      <c r="AN1543" s="192">
        <f>AL1543-AK1543</f>
        <v/>
      </c>
      <c r="AO1543" s="76">
        <f>SUM(AY1543,Y1543:Z1543,T1543)*IF(AND(offer_incoterms="DDP",offer_sale_type&lt;&gt;"экспорт"),IF((TODAY()+offer_turnaround_time)&gt;=helpsheet!$L$17,rate_vatRU_from_26,rate_vatRu_till_25),0)</f>
        <v/>
      </c>
      <c r="AP1543" s="193">
        <f>AN1543-AO1543</f>
        <v/>
      </c>
      <c r="AQ1543" s="118">
        <f>IF(offer_sale_type="транзит",SUM(AF1543:AI1543,BA1543,BB1543),0)</f>
        <v/>
      </c>
      <c r="AR1543" s="82">
        <f>HYPERLINK("https://www.alta.ru/tnved/code/")&amp;W1543&amp;"/"</f>
        <v/>
      </c>
      <c r="AS1543" s="157" t="n"/>
      <c r="AT1543" s="162" t="n"/>
      <c r="AU1543" s="76">
        <f>IF(ISBLANK(AT1543),0,AJ1543-AT1543)</f>
        <v/>
      </c>
      <c r="AV1543" s="157" t="n"/>
      <c r="AW1543" s="75">
        <f>_xlfn.IFNA(VLOOKUP(L1543,list_vat[],3,FALSE),0)</f>
        <v/>
      </c>
      <c r="AX1543" s="76">
        <f>IFERROR(ROUND(S1543*(1+AW1543)/E1543,2),0)</f>
        <v/>
      </c>
      <c r="AY1543" s="76">
        <f>E1543*AX1543</f>
        <v/>
      </c>
      <c r="AZ1543" s="192">
        <f>S1543*(1+M1543)</f>
        <v/>
      </c>
      <c r="BA1543" s="76">
        <f>cost_fin_total*$BD1543</f>
        <v/>
      </c>
      <c r="BB1543" s="193">
        <f>credit_sales_interest*BD1543</f>
        <v/>
      </c>
      <c r="BC1543" s="102">
        <f>IFERROR(IF($I$13&gt;0,$I1543/$I$13,$S1543/$S$13),0)</f>
        <v/>
      </c>
      <c r="BD1543" s="102">
        <f>IFERROR($S1543/$S$13,0)</f>
        <v/>
      </c>
      <c r="BE1543" s="413" t="inlineStr">
        <is>
          <t>$</t>
        </is>
      </c>
    </row>
    <row r="1544" ht="12" customFormat="1" customHeight="1" s="65">
      <c r="A1544" s="43" t="n">
        <v>1529</v>
      </c>
      <c r="B1544" s="166" t="n"/>
      <c r="C1544" s="166" t="n"/>
      <c r="D1544" s="166" t="n"/>
      <c r="E1544" s="162" t="n"/>
      <c r="F1544" s="166" t="n"/>
      <c r="G1544" s="162" t="n"/>
      <c r="H1544" s="162" t="n"/>
      <c r="I1544" s="189">
        <f>E1544*G1544</f>
        <v/>
      </c>
      <c r="J1544" s="195" t="n"/>
      <c r="K1544" s="162" t="n"/>
      <c r="L1544" s="168" t="n"/>
      <c r="M1544" s="75">
        <f>_xlfn.XLOOKUP(L1544,list_vat[Страна],list_vat[Ставка НДС %],0,0)</f>
        <v/>
      </c>
      <c r="N1544" s="162">
        <f>IFERROR(IF(L1544="Китай",K1544,K1544/(1+M1544)),0)</f>
        <v/>
      </c>
      <c r="O1544" s="169" t="n"/>
      <c r="P1544" s="76">
        <f>N1544*(1-O1544)</f>
        <v/>
      </c>
      <c r="Q1544" s="162" t="n"/>
      <c r="R1544" s="162">
        <f>IF(ISBLANK(Q1544),"введи курс",P1544/Q1544)</f>
        <v/>
      </c>
      <c r="S1544" s="196">
        <f>IF(AND(ISNUMBER(E1544),ISNUMBER(Q1544)),E1544*R1544,0)</f>
        <v/>
      </c>
      <c r="T1544" s="192">
        <f>$BC1544*V$11</f>
        <v/>
      </c>
      <c r="U1544" s="76">
        <f>$BC1544*W$11</f>
        <v/>
      </c>
      <c r="V1544" s="193">
        <f>+SUM(T1544:U1544)</f>
        <v/>
      </c>
      <c r="W1544" s="191" t="n"/>
      <c r="X1544" s="170" t="n"/>
      <c r="Y1544" s="76">
        <f>ROUND(IF(offer_incoterms="DDP",X1544*(S1544*(1+AW1544)+T1544),0),2)</f>
        <v/>
      </c>
      <c r="Z1544" s="188" t="n"/>
      <c r="AA1544" s="192">
        <f>IFERROR(AB1544/E1544,0)</f>
        <v/>
      </c>
      <c r="AB1544" s="76">
        <f>ROUND(SUM(S1544,V1544,Y1544:Z1544,BA1544:BB1544),2)</f>
        <v/>
      </c>
      <c r="AC1544" s="797" t="n"/>
      <c r="AD1544" s="192">
        <f t="array" ref="AD1544">IFERROR(ROUND((_xlfn.IFS(offer_sale_type="поставка",AB1544,offer_sale_type="транзит",S1544)*(1+AC1544))/E1544,2),0)</f>
        <v/>
      </c>
      <c r="AE1544" s="76">
        <f>AD1544*E1544</f>
        <v/>
      </c>
      <c r="AF1544" s="193">
        <f t="array" ref="AF1544">IFERROR(ROUND(_xlfn.IFS(offer_sale_type="поставка",AB1544,offer_sale_type="транзит",S1544)*AC1544,2),0)</f>
        <v/>
      </c>
      <c r="AG1544" s="192">
        <f>$BD1544*VLOOKUP($AG$3,$AF$4:$AG$7,2,FALSE)</f>
        <v/>
      </c>
      <c r="AH1544" s="76">
        <f>SUM(AE1544,AG1544,AI1544)*rate_forex_risk</f>
        <v/>
      </c>
      <c r="AI1544" s="193">
        <f>IF(OR(seller_region="TR",offer_sale_type="экспорт"),0,rate_fin_comm)*SUM(AZ1544,AZ1544*AW1544,T1544)</f>
        <v/>
      </c>
      <c r="AJ1544" s="118">
        <f>IFERROR(ROUND(SUM(AB1544,AF1544:AI1544)/E1544,2),0)</f>
        <v/>
      </c>
      <c r="AK1544" s="76">
        <f>AJ1544*E1544</f>
        <v/>
      </c>
      <c r="AL1544" s="174">
        <f>ROUND(IFERROR(AM1544*E1544,0),2)</f>
        <v/>
      </c>
      <c r="AM1544" s="175">
        <f>ROUND(AJ1544*(1+IF(offer_incoterms="DDP",IF((TODAY()+offer_turnaround_time)&gt;=helpsheet!$L$17,rate_vatRU_from_26,rate_vatRu_till_25),0)),2)</f>
        <v/>
      </c>
      <c r="AN1544" s="192">
        <f>AL1544-AK1544</f>
        <v/>
      </c>
      <c r="AO1544" s="76">
        <f>SUM(AY1544,Y1544:Z1544,T1544)*IF(AND(offer_incoterms="DDP",offer_sale_type&lt;&gt;"экспорт"),IF((TODAY()+offer_turnaround_time)&gt;=helpsheet!$L$17,rate_vatRU_from_26,rate_vatRu_till_25),0)</f>
        <v/>
      </c>
      <c r="AP1544" s="193">
        <f>AN1544-AO1544</f>
        <v/>
      </c>
      <c r="AQ1544" s="118">
        <f>IF(offer_sale_type="транзит",SUM(AF1544:AI1544,BA1544,BB1544),0)</f>
        <v/>
      </c>
      <c r="AR1544" s="82">
        <f>HYPERLINK("https://www.alta.ru/tnved/code/")&amp;W1544&amp;"/"</f>
        <v/>
      </c>
      <c r="AS1544" s="157" t="n"/>
      <c r="AT1544" s="162" t="n"/>
      <c r="AU1544" s="76">
        <f>IF(ISBLANK(AT1544),0,AJ1544-AT1544)</f>
        <v/>
      </c>
      <c r="AV1544" s="157" t="n"/>
      <c r="AW1544" s="75">
        <f>_xlfn.IFNA(VLOOKUP(L1544,list_vat[],3,FALSE),0)</f>
        <v/>
      </c>
      <c r="AX1544" s="76">
        <f>IFERROR(ROUND(S1544*(1+AW1544)/E1544,2),0)</f>
        <v/>
      </c>
      <c r="AY1544" s="76">
        <f>E1544*AX1544</f>
        <v/>
      </c>
      <c r="AZ1544" s="192">
        <f>S1544*(1+M1544)</f>
        <v/>
      </c>
      <c r="BA1544" s="76">
        <f>cost_fin_total*$BD1544</f>
        <v/>
      </c>
      <c r="BB1544" s="193">
        <f>credit_sales_interest*BD1544</f>
        <v/>
      </c>
      <c r="BC1544" s="102">
        <f>IFERROR(IF($I$13&gt;0,$I1544/$I$13,$S1544/$S$13),0)</f>
        <v/>
      </c>
      <c r="BD1544" s="102">
        <f>IFERROR($S1544/$S$13,0)</f>
        <v/>
      </c>
      <c r="BE1544" s="413" t="inlineStr">
        <is>
          <t>$</t>
        </is>
      </c>
    </row>
    <row r="1545" ht="12" customFormat="1" customHeight="1" s="65">
      <c r="A1545" s="43" t="n">
        <v>1530</v>
      </c>
      <c r="B1545" s="166" t="n"/>
      <c r="C1545" s="166" t="n"/>
      <c r="D1545" s="166" t="n"/>
      <c r="E1545" s="162" t="n"/>
      <c r="F1545" s="166" t="n"/>
      <c r="G1545" s="162" t="n"/>
      <c r="H1545" s="162" t="n"/>
      <c r="I1545" s="189">
        <f>E1545*G1545</f>
        <v/>
      </c>
      <c r="J1545" s="195" t="n"/>
      <c r="K1545" s="162" t="n"/>
      <c r="L1545" s="168" t="n"/>
      <c r="M1545" s="75">
        <f>_xlfn.XLOOKUP(L1545,list_vat[Страна],list_vat[Ставка НДС %],0,0)</f>
        <v/>
      </c>
      <c r="N1545" s="162">
        <f>IFERROR(IF(L1545="Китай",K1545,K1545/(1+M1545)),0)</f>
        <v/>
      </c>
      <c r="O1545" s="169" t="n"/>
      <c r="P1545" s="76">
        <f>N1545*(1-O1545)</f>
        <v/>
      </c>
      <c r="Q1545" s="162" t="n"/>
      <c r="R1545" s="162">
        <f>IF(ISBLANK(Q1545),"введи курс",P1545/Q1545)</f>
        <v/>
      </c>
      <c r="S1545" s="196">
        <f>IF(AND(ISNUMBER(E1545),ISNUMBER(Q1545)),E1545*R1545,0)</f>
        <v/>
      </c>
      <c r="T1545" s="192">
        <f>$BC1545*V$11</f>
        <v/>
      </c>
      <c r="U1545" s="76">
        <f>$BC1545*W$11</f>
        <v/>
      </c>
      <c r="V1545" s="193">
        <f>+SUM(T1545:U1545)</f>
        <v/>
      </c>
      <c r="W1545" s="191" t="n"/>
      <c r="X1545" s="170" t="n"/>
      <c r="Y1545" s="76">
        <f>ROUND(IF(offer_incoterms="DDP",X1545*(S1545*(1+AW1545)+T1545),0),2)</f>
        <v/>
      </c>
      <c r="Z1545" s="188" t="n"/>
      <c r="AA1545" s="192">
        <f>IFERROR(AB1545/E1545,0)</f>
        <v/>
      </c>
      <c r="AB1545" s="76">
        <f>ROUND(SUM(S1545,V1545,Y1545:Z1545,BA1545:BB1545),2)</f>
        <v/>
      </c>
      <c r="AC1545" s="797" t="n"/>
      <c r="AD1545" s="192">
        <f t="array" ref="AD1545">IFERROR(ROUND((_xlfn.IFS(offer_sale_type="поставка",AB1545,offer_sale_type="транзит",S1545)*(1+AC1545))/E1545,2),0)</f>
        <v/>
      </c>
      <c r="AE1545" s="76">
        <f>AD1545*E1545</f>
        <v/>
      </c>
      <c r="AF1545" s="193">
        <f t="array" ref="AF1545">IFERROR(ROUND(_xlfn.IFS(offer_sale_type="поставка",AB1545,offer_sale_type="транзит",S1545)*AC1545,2),0)</f>
        <v/>
      </c>
      <c r="AG1545" s="192">
        <f>$BD1545*VLOOKUP($AG$3,$AF$4:$AG$7,2,FALSE)</f>
        <v/>
      </c>
      <c r="AH1545" s="76">
        <f>SUM(AE1545,AG1545,AI1545)*rate_forex_risk</f>
        <v/>
      </c>
      <c r="AI1545" s="193">
        <f>IF(OR(seller_region="TR",offer_sale_type="экспорт"),0,rate_fin_comm)*SUM(AZ1545,AZ1545*AW1545,T1545)</f>
        <v/>
      </c>
      <c r="AJ1545" s="118">
        <f>IFERROR(ROUND(SUM(AB1545,AF1545:AI1545)/E1545,2),0)</f>
        <v/>
      </c>
      <c r="AK1545" s="76">
        <f>AJ1545*E1545</f>
        <v/>
      </c>
      <c r="AL1545" s="174">
        <f>ROUND(IFERROR(AM1545*E1545,0),2)</f>
        <v/>
      </c>
      <c r="AM1545" s="175">
        <f>ROUND(AJ1545*(1+IF(offer_incoterms="DDP",IF((TODAY()+offer_turnaround_time)&gt;=helpsheet!$L$17,rate_vatRU_from_26,rate_vatRu_till_25),0)),2)</f>
        <v/>
      </c>
      <c r="AN1545" s="192">
        <f>AL1545-AK1545</f>
        <v/>
      </c>
      <c r="AO1545" s="76">
        <f>SUM(AY1545,Y1545:Z1545,T1545)*IF(AND(offer_incoterms="DDP",offer_sale_type&lt;&gt;"экспорт"),IF((TODAY()+offer_turnaround_time)&gt;=helpsheet!$L$17,rate_vatRU_from_26,rate_vatRu_till_25),0)</f>
        <v/>
      </c>
      <c r="AP1545" s="193">
        <f>AN1545-AO1545</f>
        <v/>
      </c>
      <c r="AQ1545" s="118">
        <f>IF(offer_sale_type="транзит",SUM(AF1545:AI1545,BA1545,BB1545),0)</f>
        <v/>
      </c>
      <c r="AR1545" s="82">
        <f>HYPERLINK("https://www.alta.ru/tnved/code/")&amp;W1545&amp;"/"</f>
        <v/>
      </c>
      <c r="AS1545" s="157" t="n"/>
      <c r="AT1545" s="162" t="n"/>
      <c r="AU1545" s="76">
        <f>IF(ISBLANK(AT1545),0,AJ1545-AT1545)</f>
        <v/>
      </c>
      <c r="AV1545" s="157" t="n"/>
      <c r="AW1545" s="75">
        <f>_xlfn.IFNA(VLOOKUP(L1545,list_vat[],3,FALSE),0)</f>
        <v/>
      </c>
      <c r="AX1545" s="76">
        <f>IFERROR(ROUND(S1545*(1+AW1545)/E1545,2),0)</f>
        <v/>
      </c>
      <c r="AY1545" s="76">
        <f>E1545*AX1545</f>
        <v/>
      </c>
      <c r="AZ1545" s="192">
        <f>S1545*(1+M1545)</f>
        <v/>
      </c>
      <c r="BA1545" s="76">
        <f>cost_fin_total*$BD1545</f>
        <v/>
      </c>
      <c r="BB1545" s="193">
        <f>credit_sales_interest*BD1545</f>
        <v/>
      </c>
      <c r="BC1545" s="102">
        <f>IFERROR(IF($I$13&gt;0,$I1545/$I$13,$S1545/$S$13),0)</f>
        <v/>
      </c>
      <c r="BD1545" s="102">
        <f>IFERROR($S1545/$S$13,0)</f>
        <v/>
      </c>
      <c r="BE1545" s="413" t="inlineStr">
        <is>
          <t>$</t>
        </is>
      </c>
    </row>
    <row r="1546" ht="12" customFormat="1" customHeight="1" s="65">
      <c r="A1546" s="43" t="n">
        <v>1531</v>
      </c>
      <c r="B1546" s="166" t="n"/>
      <c r="C1546" s="166" t="n"/>
      <c r="D1546" s="166" t="n"/>
      <c r="E1546" s="162" t="n"/>
      <c r="F1546" s="166" t="n"/>
      <c r="G1546" s="162" t="n"/>
      <c r="H1546" s="162" t="n"/>
      <c r="I1546" s="189">
        <f>E1546*G1546</f>
        <v/>
      </c>
      <c r="J1546" s="195" t="n"/>
      <c r="K1546" s="162" t="n"/>
      <c r="L1546" s="168" t="n"/>
      <c r="M1546" s="75">
        <f>_xlfn.XLOOKUP(L1546,list_vat[Страна],list_vat[Ставка НДС %],0,0)</f>
        <v/>
      </c>
      <c r="N1546" s="162">
        <f>IFERROR(IF(L1546="Китай",K1546,K1546/(1+M1546)),0)</f>
        <v/>
      </c>
      <c r="O1546" s="169" t="n"/>
      <c r="P1546" s="76">
        <f>N1546*(1-O1546)</f>
        <v/>
      </c>
      <c r="Q1546" s="162" t="n"/>
      <c r="R1546" s="162">
        <f>IF(ISBLANK(Q1546),"введи курс",P1546/Q1546)</f>
        <v/>
      </c>
      <c r="S1546" s="196">
        <f>IF(AND(ISNUMBER(E1546),ISNUMBER(Q1546)),E1546*R1546,0)</f>
        <v/>
      </c>
      <c r="T1546" s="192">
        <f>$BC1546*V$11</f>
        <v/>
      </c>
      <c r="U1546" s="76">
        <f>$BC1546*W$11</f>
        <v/>
      </c>
      <c r="V1546" s="193">
        <f>+SUM(T1546:U1546)</f>
        <v/>
      </c>
      <c r="W1546" s="191" t="n"/>
      <c r="X1546" s="170" t="n"/>
      <c r="Y1546" s="76">
        <f>ROUND(IF(offer_incoterms="DDP",X1546*(S1546*(1+AW1546)+T1546),0),2)</f>
        <v/>
      </c>
      <c r="Z1546" s="188" t="n"/>
      <c r="AA1546" s="192">
        <f>IFERROR(AB1546/E1546,0)</f>
        <v/>
      </c>
      <c r="AB1546" s="76">
        <f>ROUND(SUM(S1546,V1546,Y1546:Z1546,BA1546:BB1546),2)</f>
        <v/>
      </c>
      <c r="AC1546" s="797" t="n"/>
      <c r="AD1546" s="192">
        <f t="array" ref="AD1546">IFERROR(ROUND((_xlfn.IFS(offer_sale_type="поставка",AB1546,offer_sale_type="транзит",S1546)*(1+AC1546))/E1546,2),0)</f>
        <v/>
      </c>
      <c r="AE1546" s="76">
        <f>AD1546*E1546</f>
        <v/>
      </c>
      <c r="AF1546" s="193">
        <f t="array" ref="AF1546">IFERROR(ROUND(_xlfn.IFS(offer_sale_type="поставка",AB1546,offer_sale_type="транзит",S1546)*AC1546,2),0)</f>
        <v/>
      </c>
      <c r="AG1546" s="192">
        <f>$BD1546*VLOOKUP($AG$3,$AF$4:$AG$7,2,FALSE)</f>
        <v/>
      </c>
      <c r="AH1546" s="76">
        <f>SUM(AE1546,AG1546,AI1546)*rate_forex_risk</f>
        <v/>
      </c>
      <c r="AI1546" s="193">
        <f>IF(OR(seller_region="TR",offer_sale_type="экспорт"),0,rate_fin_comm)*SUM(AZ1546,AZ1546*AW1546,T1546)</f>
        <v/>
      </c>
      <c r="AJ1546" s="118">
        <f>IFERROR(ROUND(SUM(AB1546,AF1546:AI1546)/E1546,2),0)</f>
        <v/>
      </c>
      <c r="AK1546" s="76">
        <f>AJ1546*E1546</f>
        <v/>
      </c>
      <c r="AL1546" s="174">
        <f>ROUND(IFERROR(AM1546*E1546,0),2)</f>
        <v/>
      </c>
      <c r="AM1546" s="175">
        <f>ROUND(AJ1546*(1+IF(offer_incoterms="DDP",IF((TODAY()+offer_turnaround_time)&gt;=helpsheet!$L$17,rate_vatRU_from_26,rate_vatRu_till_25),0)),2)</f>
        <v/>
      </c>
      <c r="AN1546" s="192">
        <f>AL1546-AK1546</f>
        <v/>
      </c>
      <c r="AO1546" s="76">
        <f>SUM(AY1546,Y1546:Z1546,T1546)*IF(AND(offer_incoterms="DDP",offer_sale_type&lt;&gt;"экспорт"),IF((TODAY()+offer_turnaround_time)&gt;=helpsheet!$L$17,rate_vatRU_from_26,rate_vatRu_till_25),0)</f>
        <v/>
      </c>
      <c r="AP1546" s="193">
        <f>AN1546-AO1546</f>
        <v/>
      </c>
      <c r="AQ1546" s="118">
        <f>IF(offer_sale_type="транзит",SUM(AF1546:AI1546,BA1546,BB1546),0)</f>
        <v/>
      </c>
      <c r="AR1546" s="82">
        <f>HYPERLINK("https://www.alta.ru/tnved/code/")&amp;W1546&amp;"/"</f>
        <v/>
      </c>
      <c r="AS1546" s="157" t="n"/>
      <c r="AT1546" s="162" t="n"/>
      <c r="AU1546" s="76">
        <f>IF(ISBLANK(AT1546),0,AJ1546-AT1546)</f>
        <v/>
      </c>
      <c r="AV1546" s="157" t="n"/>
      <c r="AW1546" s="75">
        <f>_xlfn.IFNA(VLOOKUP(L1546,list_vat[],3,FALSE),0)</f>
        <v/>
      </c>
      <c r="AX1546" s="76">
        <f>IFERROR(ROUND(S1546*(1+AW1546)/E1546,2),0)</f>
        <v/>
      </c>
      <c r="AY1546" s="76">
        <f>E1546*AX1546</f>
        <v/>
      </c>
      <c r="AZ1546" s="192">
        <f>S1546*(1+M1546)</f>
        <v/>
      </c>
      <c r="BA1546" s="76">
        <f>cost_fin_total*$BD1546</f>
        <v/>
      </c>
      <c r="BB1546" s="193">
        <f>credit_sales_interest*BD1546</f>
        <v/>
      </c>
      <c r="BC1546" s="102">
        <f>IFERROR(IF($I$13&gt;0,$I1546/$I$13,$S1546/$S$13),0)</f>
        <v/>
      </c>
      <c r="BD1546" s="102">
        <f>IFERROR($S1546/$S$13,0)</f>
        <v/>
      </c>
      <c r="BE1546" s="413" t="inlineStr">
        <is>
          <t>$</t>
        </is>
      </c>
    </row>
    <row r="1547" ht="12" customFormat="1" customHeight="1" s="65">
      <c r="A1547" s="43" t="n">
        <v>1532</v>
      </c>
      <c r="B1547" s="166" t="n"/>
      <c r="C1547" s="166" t="n"/>
      <c r="D1547" s="166" t="n"/>
      <c r="E1547" s="162" t="n"/>
      <c r="F1547" s="166" t="n"/>
      <c r="G1547" s="162" t="n"/>
      <c r="H1547" s="162" t="n"/>
      <c r="I1547" s="189">
        <f>E1547*G1547</f>
        <v/>
      </c>
      <c r="J1547" s="195" t="n"/>
      <c r="K1547" s="162" t="n"/>
      <c r="L1547" s="168" t="n"/>
      <c r="M1547" s="75">
        <f>_xlfn.XLOOKUP(L1547,list_vat[Страна],list_vat[Ставка НДС %],0,0)</f>
        <v/>
      </c>
      <c r="N1547" s="162">
        <f>IFERROR(IF(L1547="Китай",K1547,K1547/(1+M1547)),0)</f>
        <v/>
      </c>
      <c r="O1547" s="169" t="n"/>
      <c r="P1547" s="76">
        <f>N1547*(1-O1547)</f>
        <v/>
      </c>
      <c r="Q1547" s="162" t="n"/>
      <c r="R1547" s="162">
        <f>IF(ISBLANK(Q1547),"введи курс",P1547/Q1547)</f>
        <v/>
      </c>
      <c r="S1547" s="196">
        <f>IF(AND(ISNUMBER(E1547),ISNUMBER(Q1547)),E1547*R1547,0)</f>
        <v/>
      </c>
      <c r="T1547" s="192">
        <f>$BC1547*V$11</f>
        <v/>
      </c>
      <c r="U1547" s="76">
        <f>$BC1547*W$11</f>
        <v/>
      </c>
      <c r="V1547" s="193">
        <f>+SUM(T1547:U1547)</f>
        <v/>
      </c>
      <c r="W1547" s="191" t="n"/>
      <c r="X1547" s="170" t="n"/>
      <c r="Y1547" s="76">
        <f>ROUND(IF(offer_incoterms="DDP",X1547*(S1547*(1+AW1547)+T1547),0),2)</f>
        <v/>
      </c>
      <c r="Z1547" s="188" t="n"/>
      <c r="AA1547" s="192">
        <f>IFERROR(AB1547/E1547,0)</f>
        <v/>
      </c>
      <c r="AB1547" s="76">
        <f>ROUND(SUM(S1547,V1547,Y1547:Z1547,BA1547:BB1547),2)</f>
        <v/>
      </c>
      <c r="AC1547" s="797" t="n"/>
      <c r="AD1547" s="192">
        <f t="array" ref="AD1547">IFERROR(ROUND((_xlfn.IFS(offer_sale_type="поставка",AB1547,offer_sale_type="транзит",S1547)*(1+AC1547))/E1547,2),0)</f>
        <v/>
      </c>
      <c r="AE1547" s="76">
        <f>AD1547*E1547</f>
        <v/>
      </c>
      <c r="AF1547" s="193">
        <f t="array" ref="AF1547">IFERROR(ROUND(_xlfn.IFS(offer_sale_type="поставка",AB1547,offer_sale_type="транзит",S1547)*AC1547,2),0)</f>
        <v/>
      </c>
      <c r="AG1547" s="192">
        <f>$BD1547*VLOOKUP($AG$3,$AF$4:$AG$7,2,FALSE)</f>
        <v/>
      </c>
      <c r="AH1547" s="76">
        <f>SUM(AE1547,AG1547,AI1547)*rate_forex_risk</f>
        <v/>
      </c>
      <c r="AI1547" s="193">
        <f>IF(OR(seller_region="TR",offer_sale_type="экспорт"),0,rate_fin_comm)*SUM(AZ1547,AZ1547*AW1547,T1547)</f>
        <v/>
      </c>
      <c r="AJ1547" s="118">
        <f>IFERROR(ROUND(SUM(AB1547,AF1547:AI1547)/E1547,2),0)</f>
        <v/>
      </c>
      <c r="AK1547" s="76">
        <f>AJ1547*E1547</f>
        <v/>
      </c>
      <c r="AL1547" s="174">
        <f>ROUND(IFERROR(AM1547*E1547,0),2)</f>
        <v/>
      </c>
      <c r="AM1547" s="175">
        <f>ROUND(AJ1547*(1+IF(offer_incoterms="DDP",IF((TODAY()+offer_turnaround_time)&gt;=helpsheet!$L$17,rate_vatRU_from_26,rate_vatRu_till_25),0)),2)</f>
        <v/>
      </c>
      <c r="AN1547" s="192">
        <f>AL1547-AK1547</f>
        <v/>
      </c>
      <c r="AO1547" s="76">
        <f>SUM(AY1547,Y1547:Z1547,T1547)*IF(AND(offer_incoterms="DDP",offer_sale_type&lt;&gt;"экспорт"),IF((TODAY()+offer_turnaround_time)&gt;=helpsheet!$L$17,rate_vatRU_from_26,rate_vatRu_till_25),0)</f>
        <v/>
      </c>
      <c r="AP1547" s="193">
        <f>AN1547-AO1547</f>
        <v/>
      </c>
      <c r="AQ1547" s="118">
        <f>IF(offer_sale_type="транзит",SUM(AF1547:AI1547,BA1547,BB1547),0)</f>
        <v/>
      </c>
      <c r="AR1547" s="82">
        <f>HYPERLINK("https://www.alta.ru/tnved/code/")&amp;W1547&amp;"/"</f>
        <v/>
      </c>
      <c r="AS1547" s="157" t="n"/>
      <c r="AT1547" s="162" t="n"/>
      <c r="AU1547" s="76">
        <f>IF(ISBLANK(AT1547),0,AJ1547-AT1547)</f>
        <v/>
      </c>
      <c r="AV1547" s="157" t="n"/>
      <c r="AW1547" s="75">
        <f>_xlfn.IFNA(VLOOKUP(L1547,list_vat[],3,FALSE),0)</f>
        <v/>
      </c>
      <c r="AX1547" s="76">
        <f>IFERROR(ROUND(S1547*(1+AW1547)/E1547,2),0)</f>
        <v/>
      </c>
      <c r="AY1547" s="76">
        <f>E1547*AX1547</f>
        <v/>
      </c>
      <c r="AZ1547" s="192">
        <f>S1547*(1+M1547)</f>
        <v/>
      </c>
      <c r="BA1547" s="76">
        <f>cost_fin_total*$BD1547</f>
        <v/>
      </c>
      <c r="BB1547" s="193">
        <f>credit_sales_interest*BD1547</f>
        <v/>
      </c>
      <c r="BC1547" s="102">
        <f>IFERROR(IF($I$13&gt;0,$I1547/$I$13,$S1547/$S$13),0)</f>
        <v/>
      </c>
      <c r="BD1547" s="102">
        <f>IFERROR($S1547/$S$13,0)</f>
        <v/>
      </c>
      <c r="BE1547" s="413" t="inlineStr">
        <is>
          <t>$</t>
        </is>
      </c>
    </row>
    <row r="1548" ht="12" customFormat="1" customHeight="1" s="65">
      <c r="A1548" s="43" t="n">
        <v>1533</v>
      </c>
      <c r="B1548" s="166" t="n"/>
      <c r="C1548" s="166" t="n"/>
      <c r="D1548" s="166" t="n"/>
      <c r="E1548" s="162" t="n"/>
      <c r="F1548" s="166" t="n"/>
      <c r="G1548" s="162" t="n"/>
      <c r="H1548" s="162" t="n"/>
      <c r="I1548" s="189">
        <f>E1548*G1548</f>
        <v/>
      </c>
      <c r="J1548" s="195" t="n"/>
      <c r="K1548" s="162" t="n"/>
      <c r="L1548" s="168" t="n"/>
      <c r="M1548" s="75">
        <f>_xlfn.XLOOKUP(L1548,list_vat[Страна],list_vat[Ставка НДС %],0,0)</f>
        <v/>
      </c>
      <c r="N1548" s="162">
        <f>IFERROR(IF(L1548="Китай",K1548,K1548/(1+M1548)),0)</f>
        <v/>
      </c>
      <c r="O1548" s="169" t="n"/>
      <c r="P1548" s="76">
        <f>N1548*(1-O1548)</f>
        <v/>
      </c>
      <c r="Q1548" s="162" t="n"/>
      <c r="R1548" s="162">
        <f>IF(ISBLANK(Q1548),"введи курс",P1548/Q1548)</f>
        <v/>
      </c>
      <c r="S1548" s="196">
        <f>IF(AND(ISNUMBER(E1548),ISNUMBER(Q1548)),E1548*R1548,0)</f>
        <v/>
      </c>
      <c r="T1548" s="192">
        <f>$BC1548*V$11</f>
        <v/>
      </c>
      <c r="U1548" s="76">
        <f>$BC1548*W$11</f>
        <v/>
      </c>
      <c r="V1548" s="193">
        <f>+SUM(T1548:U1548)</f>
        <v/>
      </c>
      <c r="W1548" s="191" t="n"/>
      <c r="X1548" s="170" t="n"/>
      <c r="Y1548" s="76">
        <f>ROUND(IF(offer_incoterms="DDP",X1548*(S1548*(1+AW1548)+T1548),0),2)</f>
        <v/>
      </c>
      <c r="Z1548" s="188" t="n"/>
      <c r="AA1548" s="192">
        <f>IFERROR(AB1548/E1548,0)</f>
        <v/>
      </c>
      <c r="AB1548" s="76">
        <f>ROUND(SUM(S1548,V1548,Y1548:Z1548,BA1548:BB1548),2)</f>
        <v/>
      </c>
      <c r="AC1548" s="797" t="n"/>
      <c r="AD1548" s="192">
        <f t="array" ref="AD1548">IFERROR(ROUND((_xlfn.IFS(offer_sale_type="поставка",AB1548,offer_sale_type="транзит",S1548)*(1+AC1548))/E1548,2),0)</f>
        <v/>
      </c>
      <c r="AE1548" s="76">
        <f>AD1548*E1548</f>
        <v/>
      </c>
      <c r="AF1548" s="193">
        <f t="array" ref="AF1548">IFERROR(ROUND(_xlfn.IFS(offer_sale_type="поставка",AB1548,offer_sale_type="транзит",S1548)*AC1548,2),0)</f>
        <v/>
      </c>
      <c r="AG1548" s="192">
        <f>$BD1548*VLOOKUP($AG$3,$AF$4:$AG$7,2,FALSE)</f>
        <v/>
      </c>
      <c r="AH1548" s="76">
        <f>SUM(AE1548,AG1548,AI1548)*rate_forex_risk</f>
        <v/>
      </c>
      <c r="AI1548" s="193">
        <f>IF(OR(seller_region="TR",offer_sale_type="экспорт"),0,rate_fin_comm)*SUM(AZ1548,AZ1548*AW1548,T1548)</f>
        <v/>
      </c>
      <c r="AJ1548" s="118">
        <f>IFERROR(ROUND(SUM(AB1548,AF1548:AI1548)/E1548,2),0)</f>
        <v/>
      </c>
      <c r="AK1548" s="76">
        <f>AJ1548*E1548</f>
        <v/>
      </c>
      <c r="AL1548" s="174">
        <f>ROUND(IFERROR(AM1548*E1548,0),2)</f>
        <v/>
      </c>
      <c r="AM1548" s="175">
        <f>ROUND(AJ1548*(1+IF(offer_incoterms="DDP",IF((TODAY()+offer_turnaround_time)&gt;=helpsheet!$L$17,rate_vatRU_from_26,rate_vatRu_till_25),0)),2)</f>
        <v/>
      </c>
      <c r="AN1548" s="192">
        <f>AL1548-AK1548</f>
        <v/>
      </c>
      <c r="AO1548" s="76">
        <f>SUM(AY1548,Y1548:Z1548,T1548)*IF(AND(offer_incoterms="DDP",offer_sale_type&lt;&gt;"экспорт"),IF((TODAY()+offer_turnaround_time)&gt;=helpsheet!$L$17,rate_vatRU_from_26,rate_vatRu_till_25),0)</f>
        <v/>
      </c>
      <c r="AP1548" s="193">
        <f>AN1548-AO1548</f>
        <v/>
      </c>
      <c r="AQ1548" s="118">
        <f>IF(offer_sale_type="транзит",SUM(AF1548:AI1548,BA1548,BB1548),0)</f>
        <v/>
      </c>
      <c r="AR1548" s="82">
        <f>HYPERLINK("https://www.alta.ru/tnved/code/")&amp;W1548&amp;"/"</f>
        <v/>
      </c>
      <c r="AS1548" s="157" t="n"/>
      <c r="AT1548" s="162" t="n"/>
      <c r="AU1548" s="76">
        <f>IF(ISBLANK(AT1548),0,AJ1548-AT1548)</f>
        <v/>
      </c>
      <c r="AV1548" s="157" t="n"/>
      <c r="AW1548" s="75">
        <f>_xlfn.IFNA(VLOOKUP(L1548,list_vat[],3,FALSE),0)</f>
        <v/>
      </c>
      <c r="AX1548" s="76">
        <f>IFERROR(ROUND(S1548*(1+AW1548)/E1548,2),0)</f>
        <v/>
      </c>
      <c r="AY1548" s="76">
        <f>E1548*AX1548</f>
        <v/>
      </c>
      <c r="AZ1548" s="192">
        <f>S1548*(1+M1548)</f>
        <v/>
      </c>
      <c r="BA1548" s="76">
        <f>cost_fin_total*$BD1548</f>
        <v/>
      </c>
      <c r="BB1548" s="193">
        <f>credit_sales_interest*BD1548</f>
        <v/>
      </c>
      <c r="BC1548" s="102">
        <f>IFERROR(IF($I$13&gt;0,$I1548/$I$13,$S1548/$S$13),0)</f>
        <v/>
      </c>
      <c r="BD1548" s="102">
        <f>IFERROR($S1548/$S$13,0)</f>
        <v/>
      </c>
      <c r="BE1548" s="413" t="inlineStr">
        <is>
          <t>$</t>
        </is>
      </c>
    </row>
    <row r="1549" ht="12" customFormat="1" customHeight="1" s="65">
      <c r="A1549" s="43" t="n">
        <v>1534</v>
      </c>
      <c r="B1549" s="166" t="n"/>
      <c r="C1549" s="166" t="n"/>
      <c r="D1549" s="166" t="n"/>
      <c r="E1549" s="162" t="n"/>
      <c r="F1549" s="166" t="n"/>
      <c r="G1549" s="162" t="n"/>
      <c r="H1549" s="162" t="n"/>
      <c r="I1549" s="189">
        <f>E1549*G1549</f>
        <v/>
      </c>
      <c r="J1549" s="195" t="n"/>
      <c r="K1549" s="162" t="n"/>
      <c r="L1549" s="168" t="n"/>
      <c r="M1549" s="75">
        <f>_xlfn.XLOOKUP(L1549,list_vat[Страна],list_vat[Ставка НДС %],0,0)</f>
        <v/>
      </c>
      <c r="N1549" s="162">
        <f>IFERROR(IF(L1549="Китай",K1549,K1549/(1+M1549)),0)</f>
        <v/>
      </c>
      <c r="O1549" s="169" t="n"/>
      <c r="P1549" s="76">
        <f>N1549*(1-O1549)</f>
        <v/>
      </c>
      <c r="Q1549" s="162" t="n"/>
      <c r="R1549" s="162">
        <f>IF(ISBLANK(Q1549),"введи курс",P1549/Q1549)</f>
        <v/>
      </c>
      <c r="S1549" s="196">
        <f>IF(AND(ISNUMBER(E1549),ISNUMBER(Q1549)),E1549*R1549,0)</f>
        <v/>
      </c>
      <c r="T1549" s="192">
        <f>$BC1549*V$11</f>
        <v/>
      </c>
      <c r="U1549" s="76">
        <f>$BC1549*W$11</f>
        <v/>
      </c>
      <c r="V1549" s="193">
        <f>+SUM(T1549:U1549)</f>
        <v/>
      </c>
      <c r="W1549" s="191" t="n"/>
      <c r="X1549" s="170" t="n"/>
      <c r="Y1549" s="76">
        <f>ROUND(IF(offer_incoterms="DDP",X1549*(S1549*(1+AW1549)+T1549),0),2)</f>
        <v/>
      </c>
      <c r="Z1549" s="188" t="n"/>
      <c r="AA1549" s="192">
        <f>IFERROR(AB1549/E1549,0)</f>
        <v/>
      </c>
      <c r="AB1549" s="76">
        <f>ROUND(SUM(S1549,V1549,Y1549:Z1549,BA1549:BB1549),2)</f>
        <v/>
      </c>
      <c r="AC1549" s="797" t="n"/>
      <c r="AD1549" s="192">
        <f t="array" ref="AD1549">IFERROR(ROUND((_xlfn.IFS(offer_sale_type="поставка",AB1549,offer_sale_type="транзит",S1549)*(1+AC1549))/E1549,2),0)</f>
        <v/>
      </c>
      <c r="AE1549" s="76">
        <f>AD1549*E1549</f>
        <v/>
      </c>
      <c r="AF1549" s="193">
        <f t="array" ref="AF1549">IFERROR(ROUND(_xlfn.IFS(offer_sale_type="поставка",AB1549,offer_sale_type="транзит",S1549)*AC1549,2),0)</f>
        <v/>
      </c>
      <c r="AG1549" s="192">
        <f>$BD1549*VLOOKUP($AG$3,$AF$4:$AG$7,2,FALSE)</f>
        <v/>
      </c>
      <c r="AH1549" s="76">
        <f>SUM(AE1549,AG1549,AI1549)*rate_forex_risk</f>
        <v/>
      </c>
      <c r="AI1549" s="193">
        <f>IF(OR(seller_region="TR",offer_sale_type="экспорт"),0,rate_fin_comm)*SUM(AZ1549,AZ1549*AW1549,T1549)</f>
        <v/>
      </c>
      <c r="AJ1549" s="118">
        <f>IFERROR(ROUND(SUM(AB1549,AF1549:AI1549)/E1549,2),0)</f>
        <v/>
      </c>
      <c r="AK1549" s="76">
        <f>AJ1549*E1549</f>
        <v/>
      </c>
      <c r="AL1549" s="174">
        <f>ROUND(IFERROR(AM1549*E1549,0),2)</f>
        <v/>
      </c>
      <c r="AM1549" s="175">
        <f>ROUND(AJ1549*(1+IF(offer_incoterms="DDP",IF((TODAY()+offer_turnaround_time)&gt;=helpsheet!$L$17,rate_vatRU_from_26,rate_vatRu_till_25),0)),2)</f>
        <v/>
      </c>
      <c r="AN1549" s="192">
        <f>AL1549-AK1549</f>
        <v/>
      </c>
      <c r="AO1549" s="76">
        <f>SUM(AY1549,Y1549:Z1549,T1549)*IF(AND(offer_incoterms="DDP",offer_sale_type&lt;&gt;"экспорт"),IF((TODAY()+offer_turnaround_time)&gt;=helpsheet!$L$17,rate_vatRU_from_26,rate_vatRu_till_25),0)</f>
        <v/>
      </c>
      <c r="AP1549" s="193">
        <f>AN1549-AO1549</f>
        <v/>
      </c>
      <c r="AQ1549" s="118">
        <f>IF(offer_sale_type="транзит",SUM(AF1549:AI1549,BA1549,BB1549),0)</f>
        <v/>
      </c>
      <c r="AR1549" s="82">
        <f>HYPERLINK("https://www.alta.ru/tnved/code/")&amp;W1549&amp;"/"</f>
        <v/>
      </c>
      <c r="AS1549" s="157" t="n"/>
      <c r="AT1549" s="162" t="n"/>
      <c r="AU1549" s="76">
        <f>IF(ISBLANK(AT1549),0,AJ1549-AT1549)</f>
        <v/>
      </c>
      <c r="AV1549" s="157" t="n"/>
      <c r="AW1549" s="75">
        <f>_xlfn.IFNA(VLOOKUP(L1549,list_vat[],3,FALSE),0)</f>
        <v/>
      </c>
      <c r="AX1549" s="76">
        <f>IFERROR(ROUND(S1549*(1+AW1549)/E1549,2),0)</f>
        <v/>
      </c>
      <c r="AY1549" s="76">
        <f>E1549*AX1549</f>
        <v/>
      </c>
      <c r="AZ1549" s="192">
        <f>S1549*(1+M1549)</f>
        <v/>
      </c>
      <c r="BA1549" s="76">
        <f>cost_fin_total*$BD1549</f>
        <v/>
      </c>
      <c r="BB1549" s="193">
        <f>credit_sales_interest*BD1549</f>
        <v/>
      </c>
      <c r="BC1549" s="102">
        <f>IFERROR(IF($I$13&gt;0,$I1549/$I$13,$S1549/$S$13),0)</f>
        <v/>
      </c>
      <c r="BD1549" s="102">
        <f>IFERROR($S1549/$S$13,0)</f>
        <v/>
      </c>
      <c r="BE1549" s="413" t="inlineStr">
        <is>
          <t>$</t>
        </is>
      </c>
    </row>
    <row r="1550" ht="12" customFormat="1" customHeight="1" s="65">
      <c r="A1550" s="43" t="n">
        <v>1535</v>
      </c>
      <c r="B1550" s="166" t="n"/>
      <c r="C1550" s="166" t="n"/>
      <c r="D1550" s="166" t="n"/>
      <c r="E1550" s="162" t="n"/>
      <c r="F1550" s="166" t="n"/>
      <c r="G1550" s="162" t="n"/>
      <c r="H1550" s="162" t="n"/>
      <c r="I1550" s="189">
        <f>E1550*G1550</f>
        <v/>
      </c>
      <c r="J1550" s="195" t="n"/>
      <c r="K1550" s="162" t="n"/>
      <c r="L1550" s="168" t="n"/>
      <c r="M1550" s="75">
        <f>_xlfn.XLOOKUP(L1550,list_vat[Страна],list_vat[Ставка НДС %],0,0)</f>
        <v/>
      </c>
      <c r="N1550" s="162">
        <f>IFERROR(IF(L1550="Китай",K1550,K1550/(1+M1550)),0)</f>
        <v/>
      </c>
      <c r="O1550" s="169" t="n"/>
      <c r="P1550" s="76">
        <f>N1550*(1-O1550)</f>
        <v/>
      </c>
      <c r="Q1550" s="162" t="n"/>
      <c r="R1550" s="162">
        <f>IF(ISBLANK(Q1550),"введи курс",P1550/Q1550)</f>
        <v/>
      </c>
      <c r="S1550" s="196">
        <f>IF(AND(ISNUMBER(E1550),ISNUMBER(Q1550)),E1550*R1550,0)</f>
        <v/>
      </c>
      <c r="T1550" s="192">
        <f>$BC1550*V$11</f>
        <v/>
      </c>
      <c r="U1550" s="76">
        <f>$BC1550*W$11</f>
        <v/>
      </c>
      <c r="V1550" s="193">
        <f>+SUM(T1550:U1550)</f>
        <v/>
      </c>
      <c r="W1550" s="191" t="n"/>
      <c r="X1550" s="170" t="n"/>
      <c r="Y1550" s="76">
        <f>ROUND(IF(offer_incoterms="DDP",X1550*(S1550*(1+AW1550)+T1550),0),2)</f>
        <v/>
      </c>
      <c r="Z1550" s="188" t="n"/>
      <c r="AA1550" s="192">
        <f>IFERROR(AB1550/E1550,0)</f>
        <v/>
      </c>
      <c r="AB1550" s="76">
        <f>ROUND(SUM(S1550,V1550,Y1550:Z1550,BA1550:BB1550),2)</f>
        <v/>
      </c>
      <c r="AC1550" s="797" t="n"/>
      <c r="AD1550" s="192">
        <f t="array" ref="AD1550">IFERROR(ROUND((_xlfn.IFS(offer_sale_type="поставка",AB1550,offer_sale_type="транзит",S1550)*(1+AC1550))/E1550,2),0)</f>
        <v/>
      </c>
      <c r="AE1550" s="76">
        <f>AD1550*E1550</f>
        <v/>
      </c>
      <c r="AF1550" s="193">
        <f t="array" ref="AF1550">IFERROR(ROUND(_xlfn.IFS(offer_sale_type="поставка",AB1550,offer_sale_type="транзит",S1550)*AC1550,2),0)</f>
        <v/>
      </c>
      <c r="AG1550" s="192">
        <f>$BD1550*VLOOKUP($AG$3,$AF$4:$AG$7,2,FALSE)</f>
        <v/>
      </c>
      <c r="AH1550" s="76">
        <f>SUM(AE1550,AG1550,AI1550)*rate_forex_risk</f>
        <v/>
      </c>
      <c r="AI1550" s="193">
        <f>IF(OR(seller_region="TR",offer_sale_type="экспорт"),0,rate_fin_comm)*SUM(AZ1550,AZ1550*AW1550,T1550)</f>
        <v/>
      </c>
      <c r="AJ1550" s="118">
        <f>IFERROR(ROUND(SUM(AB1550,AF1550:AI1550)/E1550,2),0)</f>
        <v/>
      </c>
      <c r="AK1550" s="76">
        <f>AJ1550*E1550</f>
        <v/>
      </c>
      <c r="AL1550" s="174">
        <f>ROUND(IFERROR(AM1550*E1550,0),2)</f>
        <v/>
      </c>
      <c r="AM1550" s="175">
        <f>ROUND(AJ1550*(1+IF(offer_incoterms="DDP",IF((TODAY()+offer_turnaround_time)&gt;=helpsheet!$L$17,rate_vatRU_from_26,rate_vatRu_till_25),0)),2)</f>
        <v/>
      </c>
      <c r="AN1550" s="192">
        <f>AL1550-AK1550</f>
        <v/>
      </c>
      <c r="AO1550" s="76">
        <f>SUM(AY1550,Y1550:Z1550,T1550)*IF(AND(offer_incoterms="DDP",offer_sale_type&lt;&gt;"экспорт"),IF((TODAY()+offer_turnaround_time)&gt;=helpsheet!$L$17,rate_vatRU_from_26,rate_vatRu_till_25),0)</f>
        <v/>
      </c>
      <c r="AP1550" s="193">
        <f>AN1550-AO1550</f>
        <v/>
      </c>
      <c r="AQ1550" s="118">
        <f>IF(offer_sale_type="транзит",SUM(AF1550:AI1550,BA1550,BB1550),0)</f>
        <v/>
      </c>
      <c r="AR1550" s="82">
        <f>HYPERLINK("https://www.alta.ru/tnved/code/")&amp;W1550&amp;"/"</f>
        <v/>
      </c>
      <c r="AS1550" s="157" t="n"/>
      <c r="AT1550" s="162" t="n"/>
      <c r="AU1550" s="76">
        <f>IF(ISBLANK(AT1550),0,AJ1550-AT1550)</f>
        <v/>
      </c>
      <c r="AV1550" s="157" t="n"/>
      <c r="AW1550" s="75">
        <f>_xlfn.IFNA(VLOOKUP(L1550,list_vat[],3,FALSE),0)</f>
        <v/>
      </c>
      <c r="AX1550" s="76">
        <f>IFERROR(ROUND(S1550*(1+AW1550)/E1550,2),0)</f>
        <v/>
      </c>
      <c r="AY1550" s="76">
        <f>E1550*AX1550</f>
        <v/>
      </c>
      <c r="AZ1550" s="192">
        <f>S1550*(1+M1550)</f>
        <v/>
      </c>
      <c r="BA1550" s="76">
        <f>cost_fin_total*$BD1550</f>
        <v/>
      </c>
      <c r="BB1550" s="193">
        <f>credit_sales_interest*BD1550</f>
        <v/>
      </c>
      <c r="BC1550" s="102">
        <f>IFERROR(IF($I$13&gt;0,$I1550/$I$13,$S1550/$S$13),0)</f>
        <v/>
      </c>
      <c r="BD1550" s="102">
        <f>IFERROR($S1550/$S$13,0)</f>
        <v/>
      </c>
      <c r="BE1550" s="413" t="inlineStr">
        <is>
          <t>$</t>
        </is>
      </c>
    </row>
    <row r="1551" ht="12" customFormat="1" customHeight="1" s="65">
      <c r="A1551" s="43" t="n">
        <v>1536</v>
      </c>
      <c r="B1551" s="166" t="n"/>
      <c r="C1551" s="166" t="n"/>
      <c r="D1551" s="166" t="n"/>
      <c r="E1551" s="162" t="n"/>
      <c r="F1551" s="166" t="n"/>
      <c r="G1551" s="162" t="n"/>
      <c r="H1551" s="162" t="n"/>
      <c r="I1551" s="189">
        <f>E1551*G1551</f>
        <v/>
      </c>
      <c r="J1551" s="195" t="n"/>
      <c r="K1551" s="162" t="n"/>
      <c r="L1551" s="168" t="n"/>
      <c r="M1551" s="75">
        <f>_xlfn.XLOOKUP(L1551,list_vat[Страна],list_vat[Ставка НДС %],0,0)</f>
        <v/>
      </c>
      <c r="N1551" s="162">
        <f>IFERROR(IF(L1551="Китай",K1551,K1551/(1+M1551)),0)</f>
        <v/>
      </c>
      <c r="O1551" s="169" t="n"/>
      <c r="P1551" s="76">
        <f>N1551*(1-O1551)</f>
        <v/>
      </c>
      <c r="Q1551" s="162" t="n"/>
      <c r="R1551" s="162">
        <f>IF(ISBLANK(Q1551),"введи курс",P1551/Q1551)</f>
        <v/>
      </c>
      <c r="S1551" s="196">
        <f>IF(AND(ISNUMBER(E1551),ISNUMBER(Q1551)),E1551*R1551,0)</f>
        <v/>
      </c>
      <c r="T1551" s="192">
        <f>$BC1551*V$11</f>
        <v/>
      </c>
      <c r="U1551" s="76">
        <f>$BC1551*W$11</f>
        <v/>
      </c>
      <c r="V1551" s="193">
        <f>+SUM(T1551:U1551)</f>
        <v/>
      </c>
      <c r="W1551" s="191" t="n"/>
      <c r="X1551" s="170" t="n"/>
      <c r="Y1551" s="76">
        <f>ROUND(IF(offer_incoterms="DDP",X1551*(S1551*(1+AW1551)+T1551),0),2)</f>
        <v/>
      </c>
      <c r="Z1551" s="188" t="n"/>
      <c r="AA1551" s="192">
        <f>IFERROR(AB1551/E1551,0)</f>
        <v/>
      </c>
      <c r="AB1551" s="76">
        <f>ROUND(SUM(S1551,V1551,Y1551:Z1551,BA1551:BB1551),2)</f>
        <v/>
      </c>
      <c r="AC1551" s="797" t="n"/>
      <c r="AD1551" s="192">
        <f t="array" ref="AD1551">IFERROR(ROUND((_xlfn.IFS(offer_sale_type="поставка",AB1551,offer_sale_type="транзит",S1551)*(1+AC1551))/E1551,2),0)</f>
        <v/>
      </c>
      <c r="AE1551" s="76">
        <f>AD1551*E1551</f>
        <v/>
      </c>
      <c r="AF1551" s="193">
        <f t="array" ref="AF1551">IFERROR(ROUND(_xlfn.IFS(offer_sale_type="поставка",AB1551,offer_sale_type="транзит",S1551)*AC1551,2),0)</f>
        <v/>
      </c>
      <c r="AG1551" s="192">
        <f>$BD1551*VLOOKUP($AG$3,$AF$4:$AG$7,2,FALSE)</f>
        <v/>
      </c>
      <c r="AH1551" s="76">
        <f>SUM(AE1551,AG1551,AI1551)*rate_forex_risk</f>
        <v/>
      </c>
      <c r="AI1551" s="193">
        <f>IF(OR(seller_region="TR",offer_sale_type="экспорт"),0,rate_fin_comm)*SUM(AZ1551,AZ1551*AW1551,T1551)</f>
        <v/>
      </c>
      <c r="AJ1551" s="118">
        <f>IFERROR(ROUND(SUM(AB1551,AF1551:AI1551)/E1551,2),0)</f>
        <v/>
      </c>
      <c r="AK1551" s="76">
        <f>AJ1551*E1551</f>
        <v/>
      </c>
      <c r="AL1551" s="174">
        <f>ROUND(IFERROR(AM1551*E1551,0),2)</f>
        <v/>
      </c>
      <c r="AM1551" s="175">
        <f>ROUND(AJ1551*(1+IF(offer_incoterms="DDP",IF((TODAY()+offer_turnaround_time)&gt;=helpsheet!$L$17,rate_vatRU_from_26,rate_vatRu_till_25),0)),2)</f>
        <v/>
      </c>
      <c r="AN1551" s="192">
        <f>AL1551-AK1551</f>
        <v/>
      </c>
      <c r="AO1551" s="76">
        <f>SUM(AY1551,Y1551:Z1551,T1551)*IF(AND(offer_incoterms="DDP",offer_sale_type&lt;&gt;"экспорт"),IF((TODAY()+offer_turnaround_time)&gt;=helpsheet!$L$17,rate_vatRU_from_26,rate_vatRu_till_25),0)</f>
        <v/>
      </c>
      <c r="AP1551" s="193">
        <f>AN1551-AO1551</f>
        <v/>
      </c>
      <c r="AQ1551" s="118">
        <f>IF(offer_sale_type="транзит",SUM(AF1551:AI1551,BA1551,BB1551),0)</f>
        <v/>
      </c>
      <c r="AR1551" s="82">
        <f>HYPERLINK("https://www.alta.ru/tnved/code/")&amp;W1551&amp;"/"</f>
        <v/>
      </c>
      <c r="AS1551" s="157" t="n"/>
      <c r="AT1551" s="162" t="n"/>
      <c r="AU1551" s="76">
        <f>IF(ISBLANK(AT1551),0,AJ1551-AT1551)</f>
        <v/>
      </c>
      <c r="AV1551" s="157" t="n"/>
      <c r="AW1551" s="75">
        <f>_xlfn.IFNA(VLOOKUP(L1551,list_vat[],3,FALSE),0)</f>
        <v/>
      </c>
      <c r="AX1551" s="76">
        <f>IFERROR(ROUND(S1551*(1+AW1551)/E1551,2),0)</f>
        <v/>
      </c>
      <c r="AY1551" s="76">
        <f>E1551*AX1551</f>
        <v/>
      </c>
      <c r="AZ1551" s="192">
        <f>S1551*(1+M1551)</f>
        <v/>
      </c>
      <c r="BA1551" s="76">
        <f>cost_fin_total*$BD1551</f>
        <v/>
      </c>
      <c r="BB1551" s="193">
        <f>credit_sales_interest*BD1551</f>
        <v/>
      </c>
      <c r="BC1551" s="102">
        <f>IFERROR(IF($I$13&gt;0,$I1551/$I$13,$S1551/$S$13),0)</f>
        <v/>
      </c>
      <c r="BD1551" s="102">
        <f>IFERROR($S1551/$S$13,0)</f>
        <v/>
      </c>
      <c r="BE1551" s="413" t="inlineStr">
        <is>
          <t>$</t>
        </is>
      </c>
    </row>
    <row r="1552" ht="12" customFormat="1" customHeight="1" s="65">
      <c r="A1552" s="43" t="n">
        <v>1537</v>
      </c>
      <c r="B1552" s="166" t="n"/>
      <c r="C1552" s="166" t="n"/>
      <c r="D1552" s="166" t="n"/>
      <c r="E1552" s="162" t="n"/>
      <c r="F1552" s="166" t="n"/>
      <c r="G1552" s="162" t="n"/>
      <c r="H1552" s="162" t="n"/>
      <c r="I1552" s="189">
        <f>E1552*G1552</f>
        <v/>
      </c>
      <c r="J1552" s="195" t="n"/>
      <c r="K1552" s="162" t="n"/>
      <c r="L1552" s="168" t="n"/>
      <c r="M1552" s="75">
        <f>_xlfn.XLOOKUP(L1552,list_vat[Страна],list_vat[Ставка НДС %],0,0)</f>
        <v/>
      </c>
      <c r="N1552" s="162">
        <f>IFERROR(IF(L1552="Китай",K1552,K1552/(1+M1552)),0)</f>
        <v/>
      </c>
      <c r="O1552" s="169" t="n"/>
      <c r="P1552" s="76">
        <f>N1552*(1-O1552)</f>
        <v/>
      </c>
      <c r="Q1552" s="162" t="n"/>
      <c r="R1552" s="162">
        <f>IF(ISBLANK(Q1552),"введи курс",P1552/Q1552)</f>
        <v/>
      </c>
      <c r="S1552" s="196">
        <f>IF(AND(ISNUMBER(E1552),ISNUMBER(Q1552)),E1552*R1552,0)</f>
        <v/>
      </c>
      <c r="T1552" s="192">
        <f>$BC1552*V$11</f>
        <v/>
      </c>
      <c r="U1552" s="76">
        <f>$BC1552*W$11</f>
        <v/>
      </c>
      <c r="V1552" s="193">
        <f>+SUM(T1552:U1552)</f>
        <v/>
      </c>
      <c r="W1552" s="191" t="n"/>
      <c r="X1552" s="170" t="n"/>
      <c r="Y1552" s="76">
        <f>ROUND(IF(offer_incoterms="DDP",X1552*(S1552*(1+AW1552)+T1552),0),2)</f>
        <v/>
      </c>
      <c r="Z1552" s="188" t="n"/>
      <c r="AA1552" s="192">
        <f>IFERROR(AB1552/E1552,0)</f>
        <v/>
      </c>
      <c r="AB1552" s="76">
        <f>ROUND(SUM(S1552,V1552,Y1552:Z1552,BA1552:BB1552),2)</f>
        <v/>
      </c>
      <c r="AC1552" s="797" t="n"/>
      <c r="AD1552" s="192">
        <f t="array" ref="AD1552">IFERROR(ROUND((_xlfn.IFS(offer_sale_type="поставка",AB1552,offer_sale_type="транзит",S1552)*(1+AC1552))/E1552,2),0)</f>
        <v/>
      </c>
      <c r="AE1552" s="76">
        <f>AD1552*E1552</f>
        <v/>
      </c>
      <c r="AF1552" s="193">
        <f t="array" ref="AF1552">IFERROR(ROUND(_xlfn.IFS(offer_sale_type="поставка",AB1552,offer_sale_type="транзит",S1552)*AC1552,2),0)</f>
        <v/>
      </c>
      <c r="AG1552" s="192">
        <f>$BD1552*VLOOKUP($AG$3,$AF$4:$AG$7,2,FALSE)</f>
        <v/>
      </c>
      <c r="AH1552" s="76">
        <f>SUM(AE1552,AG1552,AI1552)*rate_forex_risk</f>
        <v/>
      </c>
      <c r="AI1552" s="193">
        <f>IF(OR(seller_region="TR",offer_sale_type="экспорт"),0,rate_fin_comm)*SUM(AZ1552,AZ1552*AW1552,T1552)</f>
        <v/>
      </c>
      <c r="AJ1552" s="118">
        <f>IFERROR(ROUND(SUM(AB1552,AF1552:AI1552)/E1552,2),0)</f>
        <v/>
      </c>
      <c r="AK1552" s="76">
        <f>AJ1552*E1552</f>
        <v/>
      </c>
      <c r="AL1552" s="174">
        <f>ROUND(IFERROR(AM1552*E1552,0),2)</f>
        <v/>
      </c>
      <c r="AM1552" s="175">
        <f>ROUND(AJ1552*(1+IF(offer_incoterms="DDP",IF((TODAY()+offer_turnaround_time)&gt;=helpsheet!$L$17,rate_vatRU_from_26,rate_vatRu_till_25),0)),2)</f>
        <v/>
      </c>
      <c r="AN1552" s="192">
        <f>AL1552-AK1552</f>
        <v/>
      </c>
      <c r="AO1552" s="76">
        <f>SUM(AY1552,Y1552:Z1552,T1552)*IF(AND(offer_incoterms="DDP",offer_sale_type&lt;&gt;"экспорт"),IF((TODAY()+offer_turnaround_time)&gt;=helpsheet!$L$17,rate_vatRU_from_26,rate_vatRu_till_25),0)</f>
        <v/>
      </c>
      <c r="AP1552" s="193">
        <f>AN1552-AO1552</f>
        <v/>
      </c>
      <c r="AQ1552" s="118">
        <f>IF(offer_sale_type="транзит",SUM(AF1552:AI1552,BA1552,BB1552),0)</f>
        <v/>
      </c>
      <c r="AR1552" s="82">
        <f>HYPERLINK("https://www.alta.ru/tnved/code/")&amp;W1552&amp;"/"</f>
        <v/>
      </c>
      <c r="AS1552" s="157" t="n"/>
      <c r="AT1552" s="162" t="n"/>
      <c r="AU1552" s="76">
        <f>IF(ISBLANK(AT1552),0,AJ1552-AT1552)</f>
        <v/>
      </c>
      <c r="AV1552" s="157" t="n"/>
      <c r="AW1552" s="75">
        <f>_xlfn.IFNA(VLOOKUP(L1552,list_vat[],3,FALSE),0)</f>
        <v/>
      </c>
      <c r="AX1552" s="76">
        <f>IFERROR(ROUND(S1552*(1+AW1552)/E1552,2),0)</f>
        <v/>
      </c>
      <c r="AY1552" s="76">
        <f>E1552*AX1552</f>
        <v/>
      </c>
      <c r="AZ1552" s="192">
        <f>S1552*(1+M1552)</f>
        <v/>
      </c>
      <c r="BA1552" s="76">
        <f>cost_fin_total*$BD1552</f>
        <v/>
      </c>
      <c r="BB1552" s="193">
        <f>credit_sales_interest*BD1552</f>
        <v/>
      </c>
      <c r="BC1552" s="102">
        <f>IFERROR(IF($I$13&gt;0,$I1552/$I$13,$S1552/$S$13),0)</f>
        <v/>
      </c>
      <c r="BD1552" s="102">
        <f>IFERROR($S1552/$S$13,0)</f>
        <v/>
      </c>
      <c r="BE1552" s="413" t="inlineStr">
        <is>
          <t>$</t>
        </is>
      </c>
    </row>
    <row r="1553" ht="12" customFormat="1" customHeight="1" s="65">
      <c r="A1553" s="43" t="n">
        <v>1538</v>
      </c>
      <c r="B1553" s="166" t="n"/>
      <c r="C1553" s="166" t="n"/>
      <c r="D1553" s="166" t="n"/>
      <c r="E1553" s="162" t="n"/>
      <c r="F1553" s="166" t="n"/>
      <c r="G1553" s="162" t="n"/>
      <c r="H1553" s="162" t="n"/>
      <c r="I1553" s="189">
        <f>E1553*G1553</f>
        <v/>
      </c>
      <c r="J1553" s="195" t="n"/>
      <c r="K1553" s="162" t="n"/>
      <c r="L1553" s="168" t="n"/>
      <c r="M1553" s="75">
        <f>_xlfn.XLOOKUP(L1553,list_vat[Страна],list_vat[Ставка НДС %],0,0)</f>
        <v/>
      </c>
      <c r="N1553" s="162">
        <f>IFERROR(IF(L1553="Китай",K1553,K1553/(1+M1553)),0)</f>
        <v/>
      </c>
      <c r="O1553" s="169" t="n"/>
      <c r="P1553" s="76">
        <f>N1553*(1-O1553)</f>
        <v/>
      </c>
      <c r="Q1553" s="162" t="n"/>
      <c r="R1553" s="162">
        <f>IF(ISBLANK(Q1553),"введи курс",P1553/Q1553)</f>
        <v/>
      </c>
      <c r="S1553" s="196">
        <f>IF(AND(ISNUMBER(E1553),ISNUMBER(Q1553)),E1553*R1553,0)</f>
        <v/>
      </c>
      <c r="T1553" s="192">
        <f>$BC1553*V$11</f>
        <v/>
      </c>
      <c r="U1553" s="76">
        <f>$BC1553*W$11</f>
        <v/>
      </c>
      <c r="V1553" s="193">
        <f>+SUM(T1553:U1553)</f>
        <v/>
      </c>
      <c r="W1553" s="191" t="n"/>
      <c r="X1553" s="170" t="n"/>
      <c r="Y1553" s="76">
        <f>ROUND(IF(offer_incoterms="DDP",X1553*(S1553*(1+AW1553)+T1553),0),2)</f>
        <v/>
      </c>
      <c r="Z1553" s="188" t="n"/>
      <c r="AA1553" s="192">
        <f>IFERROR(AB1553/E1553,0)</f>
        <v/>
      </c>
      <c r="AB1553" s="76">
        <f>ROUND(SUM(S1553,V1553,Y1553:Z1553,BA1553:BB1553),2)</f>
        <v/>
      </c>
      <c r="AC1553" s="797" t="n"/>
      <c r="AD1553" s="192">
        <f t="array" ref="AD1553">IFERROR(ROUND((_xlfn.IFS(offer_sale_type="поставка",AB1553,offer_sale_type="транзит",S1553)*(1+AC1553))/E1553,2),0)</f>
        <v/>
      </c>
      <c r="AE1553" s="76">
        <f>AD1553*E1553</f>
        <v/>
      </c>
      <c r="AF1553" s="193">
        <f t="array" ref="AF1553">IFERROR(ROUND(_xlfn.IFS(offer_sale_type="поставка",AB1553,offer_sale_type="транзит",S1553)*AC1553,2),0)</f>
        <v/>
      </c>
      <c r="AG1553" s="192">
        <f>$BD1553*VLOOKUP($AG$3,$AF$4:$AG$7,2,FALSE)</f>
        <v/>
      </c>
      <c r="AH1553" s="76">
        <f>SUM(AE1553,AG1553,AI1553)*rate_forex_risk</f>
        <v/>
      </c>
      <c r="AI1553" s="193">
        <f>IF(OR(seller_region="TR",offer_sale_type="экспорт"),0,rate_fin_comm)*SUM(AZ1553,AZ1553*AW1553,T1553)</f>
        <v/>
      </c>
      <c r="AJ1553" s="118">
        <f>IFERROR(ROUND(SUM(AB1553,AF1553:AI1553)/E1553,2),0)</f>
        <v/>
      </c>
      <c r="AK1553" s="76">
        <f>AJ1553*E1553</f>
        <v/>
      </c>
      <c r="AL1553" s="174">
        <f>ROUND(IFERROR(AM1553*E1553,0),2)</f>
        <v/>
      </c>
      <c r="AM1553" s="175">
        <f>ROUND(AJ1553*(1+IF(offer_incoterms="DDP",IF((TODAY()+offer_turnaround_time)&gt;=helpsheet!$L$17,rate_vatRU_from_26,rate_vatRu_till_25),0)),2)</f>
        <v/>
      </c>
      <c r="AN1553" s="192">
        <f>AL1553-AK1553</f>
        <v/>
      </c>
      <c r="AO1553" s="76">
        <f>SUM(AY1553,Y1553:Z1553,T1553)*IF(AND(offer_incoterms="DDP",offer_sale_type&lt;&gt;"экспорт"),IF((TODAY()+offer_turnaround_time)&gt;=helpsheet!$L$17,rate_vatRU_from_26,rate_vatRu_till_25),0)</f>
        <v/>
      </c>
      <c r="AP1553" s="193">
        <f>AN1553-AO1553</f>
        <v/>
      </c>
      <c r="AQ1553" s="118">
        <f>IF(offer_sale_type="транзит",SUM(AF1553:AI1553,BA1553,BB1553),0)</f>
        <v/>
      </c>
      <c r="AR1553" s="82">
        <f>HYPERLINK("https://www.alta.ru/tnved/code/")&amp;W1553&amp;"/"</f>
        <v/>
      </c>
      <c r="AS1553" s="157" t="n"/>
      <c r="AT1553" s="162" t="n"/>
      <c r="AU1553" s="76">
        <f>IF(ISBLANK(AT1553),0,AJ1553-AT1553)</f>
        <v/>
      </c>
      <c r="AV1553" s="157" t="n"/>
      <c r="AW1553" s="75">
        <f>_xlfn.IFNA(VLOOKUP(L1553,list_vat[],3,FALSE),0)</f>
        <v/>
      </c>
      <c r="AX1553" s="76">
        <f>IFERROR(ROUND(S1553*(1+AW1553)/E1553,2),0)</f>
        <v/>
      </c>
      <c r="AY1553" s="76">
        <f>E1553*AX1553</f>
        <v/>
      </c>
      <c r="AZ1553" s="192">
        <f>S1553*(1+M1553)</f>
        <v/>
      </c>
      <c r="BA1553" s="76">
        <f>cost_fin_total*$BD1553</f>
        <v/>
      </c>
      <c r="BB1553" s="193">
        <f>credit_sales_interest*BD1553</f>
        <v/>
      </c>
      <c r="BC1553" s="102">
        <f>IFERROR(IF($I$13&gt;0,$I1553/$I$13,$S1553/$S$13),0)</f>
        <v/>
      </c>
      <c r="BD1553" s="102">
        <f>IFERROR($S1553/$S$13,0)</f>
        <v/>
      </c>
      <c r="BE1553" s="413" t="inlineStr">
        <is>
          <t>$</t>
        </is>
      </c>
    </row>
    <row r="1554" ht="12" customFormat="1" customHeight="1" s="65">
      <c r="A1554" s="43" t="n">
        <v>1539</v>
      </c>
      <c r="B1554" s="166" t="n"/>
      <c r="C1554" s="166" t="n"/>
      <c r="D1554" s="166" t="n"/>
      <c r="E1554" s="162" t="n"/>
      <c r="F1554" s="166" t="n"/>
      <c r="G1554" s="162" t="n"/>
      <c r="H1554" s="162" t="n"/>
      <c r="I1554" s="189">
        <f>E1554*G1554</f>
        <v/>
      </c>
      <c r="J1554" s="195" t="n"/>
      <c r="K1554" s="162" t="n"/>
      <c r="L1554" s="168" t="n"/>
      <c r="M1554" s="75">
        <f>_xlfn.XLOOKUP(L1554,list_vat[Страна],list_vat[Ставка НДС %],0,0)</f>
        <v/>
      </c>
      <c r="N1554" s="162">
        <f>IFERROR(IF(L1554="Китай",K1554,K1554/(1+M1554)),0)</f>
        <v/>
      </c>
      <c r="O1554" s="169" t="n"/>
      <c r="P1554" s="76">
        <f>N1554*(1-O1554)</f>
        <v/>
      </c>
      <c r="Q1554" s="162" t="n"/>
      <c r="R1554" s="162">
        <f>IF(ISBLANK(Q1554),"введи курс",P1554/Q1554)</f>
        <v/>
      </c>
      <c r="S1554" s="196">
        <f>IF(AND(ISNUMBER(E1554),ISNUMBER(Q1554)),E1554*R1554,0)</f>
        <v/>
      </c>
      <c r="T1554" s="192">
        <f>$BC1554*V$11</f>
        <v/>
      </c>
      <c r="U1554" s="76">
        <f>$BC1554*W$11</f>
        <v/>
      </c>
      <c r="V1554" s="193">
        <f>+SUM(T1554:U1554)</f>
        <v/>
      </c>
      <c r="W1554" s="191" t="n"/>
      <c r="X1554" s="170" t="n"/>
      <c r="Y1554" s="76">
        <f>ROUND(IF(offer_incoterms="DDP",X1554*(S1554*(1+AW1554)+T1554),0),2)</f>
        <v/>
      </c>
      <c r="Z1554" s="188" t="n"/>
      <c r="AA1554" s="192">
        <f>IFERROR(AB1554/E1554,0)</f>
        <v/>
      </c>
      <c r="AB1554" s="76">
        <f>ROUND(SUM(S1554,V1554,Y1554:Z1554,BA1554:BB1554),2)</f>
        <v/>
      </c>
      <c r="AC1554" s="797" t="n"/>
      <c r="AD1554" s="192">
        <f t="array" ref="AD1554">IFERROR(ROUND((_xlfn.IFS(offer_sale_type="поставка",AB1554,offer_sale_type="транзит",S1554)*(1+AC1554))/E1554,2),0)</f>
        <v/>
      </c>
      <c r="AE1554" s="76">
        <f>AD1554*E1554</f>
        <v/>
      </c>
      <c r="AF1554" s="193">
        <f t="array" ref="AF1554">IFERROR(ROUND(_xlfn.IFS(offer_sale_type="поставка",AB1554,offer_sale_type="транзит",S1554)*AC1554,2),0)</f>
        <v/>
      </c>
      <c r="AG1554" s="192">
        <f>$BD1554*VLOOKUP($AG$3,$AF$4:$AG$7,2,FALSE)</f>
        <v/>
      </c>
      <c r="AH1554" s="76">
        <f>SUM(AE1554,AG1554,AI1554)*rate_forex_risk</f>
        <v/>
      </c>
      <c r="AI1554" s="193">
        <f>IF(OR(seller_region="TR",offer_sale_type="экспорт"),0,rate_fin_comm)*SUM(AZ1554,AZ1554*AW1554,T1554)</f>
        <v/>
      </c>
      <c r="AJ1554" s="118">
        <f>IFERROR(ROUND(SUM(AB1554,AF1554:AI1554)/E1554,2),0)</f>
        <v/>
      </c>
      <c r="AK1554" s="76">
        <f>AJ1554*E1554</f>
        <v/>
      </c>
      <c r="AL1554" s="174">
        <f>ROUND(IFERROR(AM1554*E1554,0),2)</f>
        <v/>
      </c>
      <c r="AM1554" s="175">
        <f>ROUND(AJ1554*(1+IF(offer_incoterms="DDP",IF((TODAY()+offer_turnaround_time)&gt;=helpsheet!$L$17,rate_vatRU_from_26,rate_vatRu_till_25),0)),2)</f>
        <v/>
      </c>
      <c r="AN1554" s="192">
        <f>AL1554-AK1554</f>
        <v/>
      </c>
      <c r="AO1554" s="76">
        <f>SUM(AY1554,Y1554:Z1554,T1554)*IF(AND(offer_incoterms="DDP",offer_sale_type&lt;&gt;"экспорт"),IF((TODAY()+offer_turnaround_time)&gt;=helpsheet!$L$17,rate_vatRU_from_26,rate_vatRu_till_25),0)</f>
        <v/>
      </c>
      <c r="AP1554" s="193">
        <f>AN1554-AO1554</f>
        <v/>
      </c>
      <c r="AQ1554" s="118">
        <f>IF(offer_sale_type="транзит",SUM(AF1554:AI1554,BA1554,BB1554),0)</f>
        <v/>
      </c>
      <c r="AR1554" s="82">
        <f>HYPERLINK("https://www.alta.ru/tnved/code/")&amp;W1554&amp;"/"</f>
        <v/>
      </c>
      <c r="AS1554" s="157" t="n"/>
      <c r="AT1554" s="162" t="n"/>
      <c r="AU1554" s="76">
        <f>IF(ISBLANK(AT1554),0,AJ1554-AT1554)</f>
        <v/>
      </c>
      <c r="AV1554" s="157" t="n"/>
      <c r="AW1554" s="75">
        <f>_xlfn.IFNA(VLOOKUP(L1554,list_vat[],3,FALSE),0)</f>
        <v/>
      </c>
      <c r="AX1554" s="76">
        <f>IFERROR(ROUND(S1554*(1+AW1554)/E1554,2),0)</f>
        <v/>
      </c>
      <c r="AY1554" s="76">
        <f>E1554*AX1554</f>
        <v/>
      </c>
      <c r="AZ1554" s="192">
        <f>S1554*(1+M1554)</f>
        <v/>
      </c>
      <c r="BA1554" s="76">
        <f>cost_fin_total*$BD1554</f>
        <v/>
      </c>
      <c r="BB1554" s="193">
        <f>credit_sales_interest*BD1554</f>
        <v/>
      </c>
      <c r="BC1554" s="102">
        <f>IFERROR(IF($I$13&gt;0,$I1554/$I$13,$S1554/$S$13),0)</f>
        <v/>
      </c>
      <c r="BD1554" s="102">
        <f>IFERROR($S1554/$S$13,0)</f>
        <v/>
      </c>
      <c r="BE1554" s="413" t="inlineStr">
        <is>
          <t>$</t>
        </is>
      </c>
    </row>
    <row r="1555" ht="12" customFormat="1" customHeight="1" s="65">
      <c r="A1555" s="43" t="n">
        <v>1540</v>
      </c>
      <c r="B1555" s="166" t="n"/>
      <c r="C1555" s="166" t="n"/>
      <c r="D1555" s="166" t="n"/>
      <c r="E1555" s="162" t="n"/>
      <c r="F1555" s="166" t="n"/>
      <c r="G1555" s="162" t="n"/>
      <c r="H1555" s="162" t="n"/>
      <c r="I1555" s="189">
        <f>E1555*G1555</f>
        <v/>
      </c>
      <c r="J1555" s="195" t="n"/>
      <c r="K1555" s="162" t="n"/>
      <c r="L1555" s="168" t="n"/>
      <c r="M1555" s="75">
        <f>_xlfn.XLOOKUP(L1555,list_vat[Страна],list_vat[Ставка НДС %],0,0)</f>
        <v/>
      </c>
      <c r="N1555" s="162">
        <f>IFERROR(IF(L1555="Китай",K1555,K1555/(1+M1555)),0)</f>
        <v/>
      </c>
      <c r="O1555" s="169" t="n"/>
      <c r="P1555" s="76">
        <f>N1555*(1-O1555)</f>
        <v/>
      </c>
      <c r="Q1555" s="162" t="n"/>
      <c r="R1555" s="162">
        <f>IF(ISBLANK(Q1555),"введи курс",P1555/Q1555)</f>
        <v/>
      </c>
      <c r="S1555" s="196">
        <f>IF(AND(ISNUMBER(E1555),ISNUMBER(Q1555)),E1555*R1555,0)</f>
        <v/>
      </c>
      <c r="T1555" s="192">
        <f>$BC1555*V$11</f>
        <v/>
      </c>
      <c r="U1555" s="76">
        <f>$BC1555*W$11</f>
        <v/>
      </c>
      <c r="V1555" s="193">
        <f>+SUM(T1555:U1555)</f>
        <v/>
      </c>
      <c r="W1555" s="191" t="n"/>
      <c r="X1555" s="170" t="n"/>
      <c r="Y1555" s="76">
        <f>ROUND(IF(offer_incoterms="DDP",X1555*(S1555*(1+AW1555)+T1555),0),2)</f>
        <v/>
      </c>
      <c r="Z1555" s="188" t="n"/>
      <c r="AA1555" s="192">
        <f>IFERROR(AB1555/E1555,0)</f>
        <v/>
      </c>
      <c r="AB1555" s="76">
        <f>ROUND(SUM(S1555,V1555,Y1555:Z1555,BA1555:BB1555),2)</f>
        <v/>
      </c>
      <c r="AC1555" s="797" t="n"/>
      <c r="AD1555" s="192">
        <f t="array" ref="AD1555">IFERROR(ROUND((_xlfn.IFS(offer_sale_type="поставка",AB1555,offer_sale_type="транзит",S1555)*(1+AC1555))/E1555,2),0)</f>
        <v/>
      </c>
      <c r="AE1555" s="76">
        <f>AD1555*E1555</f>
        <v/>
      </c>
      <c r="AF1555" s="193">
        <f t="array" ref="AF1555">IFERROR(ROUND(_xlfn.IFS(offer_sale_type="поставка",AB1555,offer_sale_type="транзит",S1555)*AC1555,2),0)</f>
        <v/>
      </c>
      <c r="AG1555" s="192">
        <f>$BD1555*VLOOKUP($AG$3,$AF$4:$AG$7,2,FALSE)</f>
        <v/>
      </c>
      <c r="AH1555" s="76">
        <f>SUM(AE1555,AG1555,AI1555)*rate_forex_risk</f>
        <v/>
      </c>
      <c r="AI1555" s="193">
        <f>IF(OR(seller_region="TR",offer_sale_type="экспорт"),0,rate_fin_comm)*SUM(AZ1555,AZ1555*AW1555,T1555)</f>
        <v/>
      </c>
      <c r="AJ1555" s="118">
        <f>IFERROR(ROUND(SUM(AB1555,AF1555:AI1555)/E1555,2),0)</f>
        <v/>
      </c>
      <c r="AK1555" s="76">
        <f>AJ1555*E1555</f>
        <v/>
      </c>
      <c r="AL1555" s="174">
        <f>ROUND(IFERROR(AM1555*E1555,0),2)</f>
        <v/>
      </c>
      <c r="AM1555" s="175">
        <f>ROUND(AJ1555*(1+IF(offer_incoterms="DDP",IF((TODAY()+offer_turnaround_time)&gt;=helpsheet!$L$17,rate_vatRU_from_26,rate_vatRu_till_25),0)),2)</f>
        <v/>
      </c>
      <c r="AN1555" s="192">
        <f>AL1555-AK1555</f>
        <v/>
      </c>
      <c r="AO1555" s="76">
        <f>SUM(AY1555,Y1555:Z1555,T1555)*IF(AND(offer_incoterms="DDP",offer_sale_type&lt;&gt;"экспорт"),IF((TODAY()+offer_turnaround_time)&gt;=helpsheet!$L$17,rate_vatRU_from_26,rate_vatRu_till_25),0)</f>
        <v/>
      </c>
      <c r="AP1555" s="193">
        <f>AN1555-AO1555</f>
        <v/>
      </c>
      <c r="AQ1555" s="118">
        <f>IF(offer_sale_type="транзит",SUM(AF1555:AI1555,BA1555,BB1555),0)</f>
        <v/>
      </c>
      <c r="AR1555" s="82">
        <f>HYPERLINK("https://www.alta.ru/tnved/code/")&amp;W1555&amp;"/"</f>
        <v/>
      </c>
      <c r="AS1555" s="157" t="n"/>
      <c r="AT1555" s="162" t="n"/>
      <c r="AU1555" s="76">
        <f>IF(ISBLANK(AT1555),0,AJ1555-AT1555)</f>
        <v/>
      </c>
      <c r="AV1555" s="157" t="n"/>
      <c r="AW1555" s="75">
        <f>_xlfn.IFNA(VLOOKUP(L1555,list_vat[],3,FALSE),0)</f>
        <v/>
      </c>
      <c r="AX1555" s="76">
        <f>IFERROR(ROUND(S1555*(1+AW1555)/E1555,2),0)</f>
        <v/>
      </c>
      <c r="AY1555" s="76">
        <f>E1555*AX1555</f>
        <v/>
      </c>
      <c r="AZ1555" s="192">
        <f>S1555*(1+M1555)</f>
        <v/>
      </c>
      <c r="BA1555" s="76">
        <f>cost_fin_total*$BD1555</f>
        <v/>
      </c>
      <c r="BB1555" s="193">
        <f>credit_sales_interest*BD1555</f>
        <v/>
      </c>
      <c r="BC1555" s="102">
        <f>IFERROR(IF($I$13&gt;0,$I1555/$I$13,$S1555/$S$13),0)</f>
        <v/>
      </c>
      <c r="BD1555" s="102">
        <f>IFERROR($S1555/$S$13,0)</f>
        <v/>
      </c>
      <c r="BE1555" s="413" t="inlineStr">
        <is>
          <t>$</t>
        </is>
      </c>
    </row>
    <row r="1556" ht="12" customFormat="1" customHeight="1" s="65">
      <c r="A1556" s="43" t="n">
        <v>1541</v>
      </c>
      <c r="B1556" s="166" t="n"/>
      <c r="C1556" s="166" t="n"/>
      <c r="D1556" s="166" t="n"/>
      <c r="E1556" s="162" t="n"/>
      <c r="F1556" s="166" t="n"/>
      <c r="G1556" s="162" t="n"/>
      <c r="H1556" s="162" t="n"/>
      <c r="I1556" s="189">
        <f>E1556*G1556</f>
        <v/>
      </c>
      <c r="J1556" s="195" t="n"/>
      <c r="K1556" s="162" t="n"/>
      <c r="L1556" s="168" t="n"/>
      <c r="M1556" s="75">
        <f>_xlfn.XLOOKUP(L1556,list_vat[Страна],list_vat[Ставка НДС %],0,0)</f>
        <v/>
      </c>
      <c r="N1556" s="162">
        <f>IFERROR(IF(L1556="Китай",K1556,K1556/(1+M1556)),0)</f>
        <v/>
      </c>
      <c r="O1556" s="169" t="n"/>
      <c r="P1556" s="76">
        <f>N1556*(1-O1556)</f>
        <v/>
      </c>
      <c r="Q1556" s="162" t="n"/>
      <c r="R1556" s="162">
        <f>IF(ISBLANK(Q1556),"введи курс",P1556/Q1556)</f>
        <v/>
      </c>
      <c r="S1556" s="196">
        <f>IF(AND(ISNUMBER(E1556),ISNUMBER(Q1556)),E1556*R1556,0)</f>
        <v/>
      </c>
      <c r="T1556" s="192">
        <f>$BC1556*V$11</f>
        <v/>
      </c>
      <c r="U1556" s="76">
        <f>$BC1556*W$11</f>
        <v/>
      </c>
      <c r="V1556" s="193">
        <f>+SUM(T1556:U1556)</f>
        <v/>
      </c>
      <c r="W1556" s="191" t="n"/>
      <c r="X1556" s="170" t="n"/>
      <c r="Y1556" s="76">
        <f>ROUND(IF(offer_incoterms="DDP",X1556*(S1556*(1+AW1556)+T1556),0),2)</f>
        <v/>
      </c>
      <c r="Z1556" s="188" t="n"/>
      <c r="AA1556" s="192">
        <f>IFERROR(AB1556/E1556,0)</f>
        <v/>
      </c>
      <c r="AB1556" s="76">
        <f>ROUND(SUM(S1556,V1556,Y1556:Z1556,BA1556:BB1556),2)</f>
        <v/>
      </c>
      <c r="AC1556" s="797" t="n"/>
      <c r="AD1556" s="192">
        <f t="array" ref="AD1556">IFERROR(ROUND((_xlfn.IFS(offer_sale_type="поставка",AB1556,offer_sale_type="транзит",S1556)*(1+AC1556))/E1556,2),0)</f>
        <v/>
      </c>
      <c r="AE1556" s="76">
        <f>AD1556*E1556</f>
        <v/>
      </c>
      <c r="AF1556" s="193">
        <f t="array" ref="AF1556">IFERROR(ROUND(_xlfn.IFS(offer_sale_type="поставка",AB1556,offer_sale_type="транзит",S1556)*AC1556,2),0)</f>
        <v/>
      </c>
      <c r="AG1556" s="192">
        <f>$BD1556*VLOOKUP($AG$3,$AF$4:$AG$7,2,FALSE)</f>
        <v/>
      </c>
      <c r="AH1556" s="76">
        <f>SUM(AE1556,AG1556,AI1556)*rate_forex_risk</f>
        <v/>
      </c>
      <c r="AI1556" s="193">
        <f>IF(OR(seller_region="TR",offer_sale_type="экспорт"),0,rate_fin_comm)*SUM(AZ1556,AZ1556*AW1556,T1556)</f>
        <v/>
      </c>
      <c r="AJ1556" s="118">
        <f>IFERROR(ROUND(SUM(AB1556,AF1556:AI1556)/E1556,2),0)</f>
        <v/>
      </c>
      <c r="AK1556" s="76">
        <f>AJ1556*E1556</f>
        <v/>
      </c>
      <c r="AL1556" s="174">
        <f>ROUND(IFERROR(AM1556*E1556,0),2)</f>
        <v/>
      </c>
      <c r="AM1556" s="175">
        <f>ROUND(AJ1556*(1+IF(offer_incoterms="DDP",IF((TODAY()+offer_turnaround_time)&gt;=helpsheet!$L$17,rate_vatRU_from_26,rate_vatRu_till_25),0)),2)</f>
        <v/>
      </c>
      <c r="AN1556" s="192">
        <f>AL1556-AK1556</f>
        <v/>
      </c>
      <c r="AO1556" s="76">
        <f>SUM(AY1556,Y1556:Z1556,T1556)*IF(AND(offer_incoterms="DDP",offer_sale_type&lt;&gt;"экспорт"),IF((TODAY()+offer_turnaround_time)&gt;=helpsheet!$L$17,rate_vatRU_from_26,rate_vatRu_till_25),0)</f>
        <v/>
      </c>
      <c r="AP1556" s="193">
        <f>AN1556-AO1556</f>
        <v/>
      </c>
      <c r="AQ1556" s="118">
        <f>IF(offer_sale_type="транзит",SUM(AF1556:AI1556,BA1556,BB1556),0)</f>
        <v/>
      </c>
      <c r="AR1556" s="82">
        <f>HYPERLINK("https://www.alta.ru/tnved/code/")&amp;W1556&amp;"/"</f>
        <v/>
      </c>
      <c r="AS1556" s="157" t="n"/>
      <c r="AT1556" s="162" t="n"/>
      <c r="AU1556" s="76">
        <f>IF(ISBLANK(AT1556),0,AJ1556-AT1556)</f>
        <v/>
      </c>
      <c r="AV1556" s="157" t="n"/>
      <c r="AW1556" s="75">
        <f>_xlfn.IFNA(VLOOKUP(L1556,list_vat[],3,FALSE),0)</f>
        <v/>
      </c>
      <c r="AX1556" s="76">
        <f>IFERROR(ROUND(S1556*(1+AW1556)/E1556,2),0)</f>
        <v/>
      </c>
      <c r="AY1556" s="76">
        <f>E1556*AX1556</f>
        <v/>
      </c>
      <c r="AZ1556" s="192">
        <f>S1556*(1+M1556)</f>
        <v/>
      </c>
      <c r="BA1556" s="76">
        <f>cost_fin_total*$BD1556</f>
        <v/>
      </c>
      <c r="BB1556" s="193">
        <f>credit_sales_interest*BD1556</f>
        <v/>
      </c>
      <c r="BC1556" s="102">
        <f>IFERROR(IF($I$13&gt;0,$I1556/$I$13,$S1556/$S$13),0)</f>
        <v/>
      </c>
      <c r="BD1556" s="102">
        <f>IFERROR($S1556/$S$13,0)</f>
        <v/>
      </c>
      <c r="BE1556" s="413" t="inlineStr">
        <is>
          <t>$</t>
        </is>
      </c>
    </row>
    <row r="1557" ht="12" customFormat="1" customHeight="1" s="65">
      <c r="A1557" s="43" t="n">
        <v>1542</v>
      </c>
      <c r="B1557" s="166" t="n"/>
      <c r="C1557" s="166" t="n"/>
      <c r="D1557" s="166" t="n"/>
      <c r="E1557" s="162" t="n"/>
      <c r="F1557" s="166" t="n"/>
      <c r="G1557" s="162" t="n"/>
      <c r="H1557" s="162" t="n"/>
      <c r="I1557" s="189">
        <f>E1557*G1557</f>
        <v/>
      </c>
      <c r="J1557" s="195" t="n"/>
      <c r="K1557" s="162" t="n"/>
      <c r="L1557" s="168" t="n"/>
      <c r="M1557" s="75">
        <f>_xlfn.XLOOKUP(L1557,list_vat[Страна],list_vat[Ставка НДС %],0,0)</f>
        <v/>
      </c>
      <c r="N1557" s="162">
        <f>IFERROR(IF(L1557="Китай",K1557,K1557/(1+M1557)),0)</f>
        <v/>
      </c>
      <c r="O1557" s="169" t="n"/>
      <c r="P1557" s="76">
        <f>N1557*(1-O1557)</f>
        <v/>
      </c>
      <c r="Q1557" s="162" t="n"/>
      <c r="R1557" s="162">
        <f>IF(ISBLANK(Q1557),"введи курс",P1557/Q1557)</f>
        <v/>
      </c>
      <c r="S1557" s="196">
        <f>IF(AND(ISNUMBER(E1557),ISNUMBER(Q1557)),E1557*R1557,0)</f>
        <v/>
      </c>
      <c r="T1557" s="192">
        <f>$BC1557*V$11</f>
        <v/>
      </c>
      <c r="U1557" s="76">
        <f>$BC1557*W$11</f>
        <v/>
      </c>
      <c r="V1557" s="193">
        <f>+SUM(T1557:U1557)</f>
        <v/>
      </c>
      <c r="W1557" s="191" t="n"/>
      <c r="X1557" s="170" t="n"/>
      <c r="Y1557" s="76">
        <f>ROUND(IF(offer_incoterms="DDP",X1557*(S1557*(1+AW1557)+T1557),0),2)</f>
        <v/>
      </c>
      <c r="Z1557" s="188" t="n"/>
      <c r="AA1557" s="192">
        <f>IFERROR(AB1557/E1557,0)</f>
        <v/>
      </c>
      <c r="AB1557" s="76">
        <f>ROUND(SUM(S1557,V1557,Y1557:Z1557,BA1557:BB1557),2)</f>
        <v/>
      </c>
      <c r="AC1557" s="797" t="n"/>
      <c r="AD1557" s="192">
        <f t="array" ref="AD1557">IFERROR(ROUND((_xlfn.IFS(offer_sale_type="поставка",AB1557,offer_sale_type="транзит",S1557)*(1+AC1557))/E1557,2),0)</f>
        <v/>
      </c>
      <c r="AE1557" s="76">
        <f>AD1557*E1557</f>
        <v/>
      </c>
      <c r="AF1557" s="193">
        <f t="array" ref="AF1557">IFERROR(ROUND(_xlfn.IFS(offer_sale_type="поставка",AB1557,offer_sale_type="транзит",S1557)*AC1557,2),0)</f>
        <v/>
      </c>
      <c r="AG1557" s="192">
        <f>$BD1557*VLOOKUP($AG$3,$AF$4:$AG$7,2,FALSE)</f>
        <v/>
      </c>
      <c r="AH1557" s="76">
        <f>SUM(AE1557,AG1557,AI1557)*rate_forex_risk</f>
        <v/>
      </c>
      <c r="AI1557" s="193">
        <f>IF(OR(seller_region="TR",offer_sale_type="экспорт"),0,rate_fin_comm)*SUM(AZ1557,AZ1557*AW1557,T1557)</f>
        <v/>
      </c>
      <c r="AJ1557" s="118">
        <f>IFERROR(ROUND(SUM(AB1557,AF1557:AI1557)/E1557,2),0)</f>
        <v/>
      </c>
      <c r="AK1557" s="76">
        <f>AJ1557*E1557</f>
        <v/>
      </c>
      <c r="AL1557" s="174">
        <f>ROUND(IFERROR(AM1557*E1557,0),2)</f>
        <v/>
      </c>
      <c r="AM1557" s="175">
        <f>ROUND(AJ1557*(1+IF(offer_incoterms="DDP",IF((TODAY()+offer_turnaround_time)&gt;=helpsheet!$L$17,rate_vatRU_from_26,rate_vatRu_till_25),0)),2)</f>
        <v/>
      </c>
      <c r="AN1557" s="192">
        <f>AL1557-AK1557</f>
        <v/>
      </c>
      <c r="AO1557" s="76">
        <f>SUM(AY1557,Y1557:Z1557,T1557)*IF(AND(offer_incoterms="DDP",offer_sale_type&lt;&gt;"экспорт"),IF((TODAY()+offer_turnaround_time)&gt;=helpsheet!$L$17,rate_vatRU_from_26,rate_vatRu_till_25),0)</f>
        <v/>
      </c>
      <c r="AP1557" s="193">
        <f>AN1557-AO1557</f>
        <v/>
      </c>
      <c r="AQ1557" s="118">
        <f>IF(offer_sale_type="транзит",SUM(AF1557:AI1557,BA1557,BB1557),0)</f>
        <v/>
      </c>
      <c r="AR1557" s="82">
        <f>HYPERLINK("https://www.alta.ru/tnved/code/")&amp;W1557&amp;"/"</f>
        <v/>
      </c>
      <c r="AS1557" s="157" t="n"/>
      <c r="AT1557" s="162" t="n"/>
      <c r="AU1557" s="76">
        <f>IF(ISBLANK(AT1557),0,AJ1557-AT1557)</f>
        <v/>
      </c>
      <c r="AV1557" s="157" t="n"/>
      <c r="AW1557" s="75">
        <f>_xlfn.IFNA(VLOOKUP(L1557,list_vat[],3,FALSE),0)</f>
        <v/>
      </c>
      <c r="AX1557" s="76">
        <f>IFERROR(ROUND(S1557*(1+AW1557)/E1557,2),0)</f>
        <v/>
      </c>
      <c r="AY1557" s="76">
        <f>E1557*AX1557</f>
        <v/>
      </c>
      <c r="AZ1557" s="192">
        <f>S1557*(1+M1557)</f>
        <v/>
      </c>
      <c r="BA1557" s="76">
        <f>cost_fin_total*$BD1557</f>
        <v/>
      </c>
      <c r="BB1557" s="193">
        <f>credit_sales_interest*BD1557</f>
        <v/>
      </c>
      <c r="BC1557" s="102">
        <f>IFERROR(IF($I$13&gt;0,$I1557/$I$13,$S1557/$S$13),0)</f>
        <v/>
      </c>
      <c r="BD1557" s="102">
        <f>IFERROR($S1557/$S$13,0)</f>
        <v/>
      </c>
      <c r="BE1557" s="413" t="inlineStr">
        <is>
          <t>$</t>
        </is>
      </c>
    </row>
    <row r="1558" ht="12" customFormat="1" customHeight="1" s="65">
      <c r="A1558" s="43" t="n">
        <v>1543</v>
      </c>
      <c r="B1558" s="166" t="n"/>
      <c r="C1558" s="166" t="n"/>
      <c r="D1558" s="166" t="n"/>
      <c r="E1558" s="162" t="n"/>
      <c r="F1558" s="166" t="n"/>
      <c r="G1558" s="162" t="n"/>
      <c r="H1558" s="162" t="n"/>
      <c r="I1558" s="189">
        <f>E1558*G1558</f>
        <v/>
      </c>
      <c r="J1558" s="195" t="n"/>
      <c r="K1558" s="162" t="n"/>
      <c r="L1558" s="168" t="n"/>
      <c r="M1558" s="75">
        <f>_xlfn.XLOOKUP(L1558,list_vat[Страна],list_vat[Ставка НДС %],0,0)</f>
        <v/>
      </c>
      <c r="N1558" s="162">
        <f>IFERROR(IF(L1558="Китай",K1558,K1558/(1+M1558)),0)</f>
        <v/>
      </c>
      <c r="O1558" s="169" t="n"/>
      <c r="P1558" s="76">
        <f>N1558*(1-O1558)</f>
        <v/>
      </c>
      <c r="Q1558" s="162" t="n"/>
      <c r="R1558" s="162">
        <f>IF(ISBLANK(Q1558),"введи курс",P1558/Q1558)</f>
        <v/>
      </c>
      <c r="S1558" s="196">
        <f>IF(AND(ISNUMBER(E1558),ISNUMBER(Q1558)),E1558*R1558,0)</f>
        <v/>
      </c>
      <c r="T1558" s="192">
        <f>$BC1558*V$11</f>
        <v/>
      </c>
      <c r="U1558" s="76">
        <f>$BC1558*W$11</f>
        <v/>
      </c>
      <c r="V1558" s="193">
        <f>+SUM(T1558:U1558)</f>
        <v/>
      </c>
      <c r="W1558" s="191" t="n"/>
      <c r="X1558" s="170" t="n"/>
      <c r="Y1558" s="76">
        <f>ROUND(IF(offer_incoterms="DDP",X1558*(S1558*(1+AW1558)+T1558),0),2)</f>
        <v/>
      </c>
      <c r="Z1558" s="188" t="n"/>
      <c r="AA1558" s="192">
        <f>IFERROR(AB1558/E1558,0)</f>
        <v/>
      </c>
      <c r="AB1558" s="76">
        <f>ROUND(SUM(S1558,V1558,Y1558:Z1558,BA1558:BB1558),2)</f>
        <v/>
      </c>
      <c r="AC1558" s="797" t="n"/>
      <c r="AD1558" s="192">
        <f t="array" ref="AD1558">IFERROR(ROUND((_xlfn.IFS(offer_sale_type="поставка",AB1558,offer_sale_type="транзит",S1558)*(1+AC1558))/E1558,2),0)</f>
        <v/>
      </c>
      <c r="AE1558" s="76">
        <f>AD1558*E1558</f>
        <v/>
      </c>
      <c r="AF1558" s="193">
        <f t="array" ref="AF1558">IFERROR(ROUND(_xlfn.IFS(offer_sale_type="поставка",AB1558,offer_sale_type="транзит",S1558)*AC1558,2),0)</f>
        <v/>
      </c>
      <c r="AG1558" s="192">
        <f>$BD1558*VLOOKUP($AG$3,$AF$4:$AG$7,2,FALSE)</f>
        <v/>
      </c>
      <c r="AH1558" s="76">
        <f>SUM(AE1558,AG1558,AI1558)*rate_forex_risk</f>
        <v/>
      </c>
      <c r="AI1558" s="193">
        <f>IF(OR(seller_region="TR",offer_sale_type="экспорт"),0,rate_fin_comm)*SUM(AZ1558,AZ1558*AW1558,T1558)</f>
        <v/>
      </c>
      <c r="AJ1558" s="118">
        <f>IFERROR(ROUND(SUM(AB1558,AF1558:AI1558)/E1558,2),0)</f>
        <v/>
      </c>
      <c r="AK1558" s="76">
        <f>AJ1558*E1558</f>
        <v/>
      </c>
      <c r="AL1558" s="174">
        <f>ROUND(IFERROR(AM1558*E1558,0),2)</f>
        <v/>
      </c>
      <c r="AM1558" s="175">
        <f>ROUND(AJ1558*(1+IF(offer_incoterms="DDP",IF((TODAY()+offer_turnaround_time)&gt;=helpsheet!$L$17,rate_vatRU_from_26,rate_vatRu_till_25),0)),2)</f>
        <v/>
      </c>
      <c r="AN1558" s="192">
        <f>AL1558-AK1558</f>
        <v/>
      </c>
      <c r="AO1558" s="76">
        <f>SUM(AY1558,Y1558:Z1558,T1558)*IF(AND(offer_incoterms="DDP",offer_sale_type&lt;&gt;"экспорт"),IF((TODAY()+offer_turnaround_time)&gt;=helpsheet!$L$17,rate_vatRU_from_26,rate_vatRu_till_25),0)</f>
        <v/>
      </c>
      <c r="AP1558" s="193">
        <f>AN1558-AO1558</f>
        <v/>
      </c>
      <c r="AQ1558" s="118">
        <f>IF(offer_sale_type="транзит",SUM(AF1558:AI1558,BA1558,BB1558),0)</f>
        <v/>
      </c>
      <c r="AR1558" s="82">
        <f>HYPERLINK("https://www.alta.ru/tnved/code/")&amp;W1558&amp;"/"</f>
        <v/>
      </c>
      <c r="AS1558" s="157" t="n"/>
      <c r="AT1558" s="162" t="n"/>
      <c r="AU1558" s="76">
        <f>IF(ISBLANK(AT1558),0,AJ1558-AT1558)</f>
        <v/>
      </c>
      <c r="AV1558" s="157" t="n"/>
      <c r="AW1558" s="75">
        <f>_xlfn.IFNA(VLOOKUP(L1558,list_vat[],3,FALSE),0)</f>
        <v/>
      </c>
      <c r="AX1558" s="76">
        <f>IFERROR(ROUND(S1558*(1+AW1558)/E1558,2),0)</f>
        <v/>
      </c>
      <c r="AY1558" s="76">
        <f>E1558*AX1558</f>
        <v/>
      </c>
      <c r="AZ1558" s="192">
        <f>S1558*(1+M1558)</f>
        <v/>
      </c>
      <c r="BA1558" s="76">
        <f>cost_fin_total*$BD1558</f>
        <v/>
      </c>
      <c r="BB1558" s="193">
        <f>credit_sales_interest*BD1558</f>
        <v/>
      </c>
      <c r="BC1558" s="102">
        <f>IFERROR(IF($I$13&gt;0,$I1558/$I$13,$S1558/$S$13),0)</f>
        <v/>
      </c>
      <c r="BD1558" s="102">
        <f>IFERROR($S1558/$S$13,0)</f>
        <v/>
      </c>
      <c r="BE1558" s="413" t="inlineStr">
        <is>
          <t>$</t>
        </is>
      </c>
    </row>
    <row r="1559" ht="12" customFormat="1" customHeight="1" s="65">
      <c r="A1559" s="43" t="n">
        <v>1544</v>
      </c>
      <c r="B1559" s="166" t="n"/>
      <c r="C1559" s="166" t="n"/>
      <c r="D1559" s="166" t="n"/>
      <c r="E1559" s="162" t="n"/>
      <c r="F1559" s="166" t="n"/>
      <c r="G1559" s="162" t="n"/>
      <c r="H1559" s="162" t="n"/>
      <c r="I1559" s="189">
        <f>E1559*G1559</f>
        <v/>
      </c>
      <c r="J1559" s="195" t="n"/>
      <c r="K1559" s="162" t="n"/>
      <c r="L1559" s="168" t="n"/>
      <c r="M1559" s="75">
        <f>_xlfn.XLOOKUP(L1559,list_vat[Страна],list_vat[Ставка НДС %],0,0)</f>
        <v/>
      </c>
      <c r="N1559" s="162">
        <f>IFERROR(IF(L1559="Китай",K1559,K1559/(1+M1559)),0)</f>
        <v/>
      </c>
      <c r="O1559" s="169" t="n"/>
      <c r="P1559" s="76">
        <f>N1559*(1-O1559)</f>
        <v/>
      </c>
      <c r="Q1559" s="162" t="n"/>
      <c r="R1559" s="162">
        <f>IF(ISBLANK(Q1559),"введи курс",P1559/Q1559)</f>
        <v/>
      </c>
      <c r="S1559" s="196">
        <f>IF(AND(ISNUMBER(E1559),ISNUMBER(Q1559)),E1559*R1559,0)</f>
        <v/>
      </c>
      <c r="T1559" s="192">
        <f>$BC1559*V$11</f>
        <v/>
      </c>
      <c r="U1559" s="76">
        <f>$BC1559*W$11</f>
        <v/>
      </c>
      <c r="V1559" s="193">
        <f>+SUM(T1559:U1559)</f>
        <v/>
      </c>
      <c r="W1559" s="191" t="n"/>
      <c r="X1559" s="170" t="n"/>
      <c r="Y1559" s="76">
        <f>ROUND(IF(offer_incoterms="DDP",X1559*(S1559*(1+AW1559)+T1559),0),2)</f>
        <v/>
      </c>
      <c r="Z1559" s="188" t="n"/>
      <c r="AA1559" s="192">
        <f>IFERROR(AB1559/E1559,0)</f>
        <v/>
      </c>
      <c r="AB1559" s="76">
        <f>ROUND(SUM(S1559,V1559,Y1559:Z1559,BA1559:BB1559),2)</f>
        <v/>
      </c>
      <c r="AC1559" s="797" t="n"/>
      <c r="AD1559" s="192">
        <f t="array" ref="AD1559">IFERROR(ROUND((_xlfn.IFS(offer_sale_type="поставка",AB1559,offer_sale_type="транзит",S1559)*(1+AC1559))/E1559,2),0)</f>
        <v/>
      </c>
      <c r="AE1559" s="76">
        <f>AD1559*E1559</f>
        <v/>
      </c>
      <c r="AF1559" s="193">
        <f t="array" ref="AF1559">IFERROR(ROUND(_xlfn.IFS(offer_sale_type="поставка",AB1559,offer_sale_type="транзит",S1559)*AC1559,2),0)</f>
        <v/>
      </c>
      <c r="AG1559" s="192">
        <f>$BD1559*VLOOKUP($AG$3,$AF$4:$AG$7,2,FALSE)</f>
        <v/>
      </c>
      <c r="AH1559" s="76">
        <f>SUM(AE1559,AG1559,AI1559)*rate_forex_risk</f>
        <v/>
      </c>
      <c r="AI1559" s="193">
        <f>IF(OR(seller_region="TR",offer_sale_type="экспорт"),0,rate_fin_comm)*SUM(AZ1559,AZ1559*AW1559,T1559)</f>
        <v/>
      </c>
      <c r="AJ1559" s="118">
        <f>IFERROR(ROUND(SUM(AB1559,AF1559:AI1559)/E1559,2),0)</f>
        <v/>
      </c>
      <c r="AK1559" s="76">
        <f>AJ1559*E1559</f>
        <v/>
      </c>
      <c r="AL1559" s="174">
        <f>ROUND(IFERROR(AM1559*E1559,0),2)</f>
        <v/>
      </c>
      <c r="AM1559" s="175">
        <f>ROUND(AJ1559*(1+IF(offer_incoterms="DDP",IF((TODAY()+offer_turnaround_time)&gt;=helpsheet!$L$17,rate_vatRU_from_26,rate_vatRu_till_25),0)),2)</f>
        <v/>
      </c>
      <c r="AN1559" s="192">
        <f>AL1559-AK1559</f>
        <v/>
      </c>
      <c r="AO1559" s="76">
        <f>SUM(AY1559,Y1559:Z1559,T1559)*IF(AND(offer_incoterms="DDP",offer_sale_type&lt;&gt;"экспорт"),IF((TODAY()+offer_turnaround_time)&gt;=helpsheet!$L$17,rate_vatRU_from_26,rate_vatRu_till_25),0)</f>
        <v/>
      </c>
      <c r="AP1559" s="193">
        <f>AN1559-AO1559</f>
        <v/>
      </c>
      <c r="AQ1559" s="118">
        <f>IF(offer_sale_type="транзит",SUM(AF1559:AI1559,BA1559,BB1559),0)</f>
        <v/>
      </c>
      <c r="AR1559" s="82">
        <f>HYPERLINK("https://www.alta.ru/tnved/code/")&amp;W1559&amp;"/"</f>
        <v/>
      </c>
      <c r="AS1559" s="157" t="n"/>
      <c r="AT1559" s="162" t="n"/>
      <c r="AU1559" s="76">
        <f>IF(ISBLANK(AT1559),0,AJ1559-AT1559)</f>
        <v/>
      </c>
      <c r="AV1559" s="157" t="n"/>
      <c r="AW1559" s="75">
        <f>_xlfn.IFNA(VLOOKUP(L1559,list_vat[],3,FALSE),0)</f>
        <v/>
      </c>
      <c r="AX1559" s="76">
        <f>IFERROR(ROUND(S1559*(1+AW1559)/E1559,2),0)</f>
        <v/>
      </c>
      <c r="AY1559" s="76">
        <f>E1559*AX1559</f>
        <v/>
      </c>
      <c r="AZ1559" s="192">
        <f>S1559*(1+M1559)</f>
        <v/>
      </c>
      <c r="BA1559" s="76">
        <f>cost_fin_total*$BD1559</f>
        <v/>
      </c>
      <c r="BB1559" s="193">
        <f>credit_sales_interest*BD1559</f>
        <v/>
      </c>
      <c r="BC1559" s="102">
        <f>IFERROR(IF($I$13&gt;0,$I1559/$I$13,$S1559/$S$13),0)</f>
        <v/>
      </c>
      <c r="BD1559" s="102">
        <f>IFERROR($S1559/$S$13,0)</f>
        <v/>
      </c>
      <c r="BE1559" s="413" t="inlineStr">
        <is>
          <t>$</t>
        </is>
      </c>
    </row>
    <row r="1560" ht="12" customFormat="1" customHeight="1" s="65">
      <c r="A1560" s="43" t="n">
        <v>1545</v>
      </c>
      <c r="B1560" s="166" t="n"/>
      <c r="C1560" s="166" t="n"/>
      <c r="D1560" s="166" t="n"/>
      <c r="E1560" s="162" t="n"/>
      <c r="F1560" s="166" t="n"/>
      <c r="G1560" s="162" t="n"/>
      <c r="H1560" s="162" t="n"/>
      <c r="I1560" s="189">
        <f>E1560*G1560</f>
        <v/>
      </c>
      <c r="J1560" s="195" t="n"/>
      <c r="K1560" s="162" t="n"/>
      <c r="L1560" s="168" t="n"/>
      <c r="M1560" s="75">
        <f>_xlfn.XLOOKUP(L1560,list_vat[Страна],list_vat[Ставка НДС %],0,0)</f>
        <v/>
      </c>
      <c r="N1560" s="162">
        <f>IFERROR(IF(L1560="Китай",K1560,K1560/(1+M1560)),0)</f>
        <v/>
      </c>
      <c r="O1560" s="169" t="n"/>
      <c r="P1560" s="76">
        <f>N1560*(1-O1560)</f>
        <v/>
      </c>
      <c r="Q1560" s="162" t="n"/>
      <c r="R1560" s="162">
        <f>IF(ISBLANK(Q1560),"введи курс",P1560/Q1560)</f>
        <v/>
      </c>
      <c r="S1560" s="196">
        <f>IF(AND(ISNUMBER(E1560),ISNUMBER(Q1560)),E1560*R1560,0)</f>
        <v/>
      </c>
      <c r="T1560" s="192">
        <f>$BC1560*V$11</f>
        <v/>
      </c>
      <c r="U1560" s="76">
        <f>$BC1560*W$11</f>
        <v/>
      </c>
      <c r="V1560" s="193">
        <f>+SUM(T1560:U1560)</f>
        <v/>
      </c>
      <c r="W1560" s="191" t="n"/>
      <c r="X1560" s="170" t="n"/>
      <c r="Y1560" s="76">
        <f>ROUND(IF(offer_incoterms="DDP",X1560*(S1560*(1+AW1560)+T1560),0),2)</f>
        <v/>
      </c>
      <c r="Z1560" s="188" t="n"/>
      <c r="AA1560" s="192">
        <f>IFERROR(AB1560/E1560,0)</f>
        <v/>
      </c>
      <c r="AB1560" s="76">
        <f>ROUND(SUM(S1560,V1560,Y1560:Z1560,BA1560:BB1560),2)</f>
        <v/>
      </c>
      <c r="AC1560" s="797" t="n"/>
      <c r="AD1560" s="192">
        <f t="array" ref="AD1560">IFERROR(ROUND((_xlfn.IFS(offer_sale_type="поставка",AB1560,offer_sale_type="транзит",S1560)*(1+AC1560))/E1560,2),0)</f>
        <v/>
      </c>
      <c r="AE1560" s="76">
        <f>AD1560*E1560</f>
        <v/>
      </c>
      <c r="AF1560" s="193">
        <f t="array" ref="AF1560">IFERROR(ROUND(_xlfn.IFS(offer_sale_type="поставка",AB1560,offer_sale_type="транзит",S1560)*AC1560,2),0)</f>
        <v/>
      </c>
      <c r="AG1560" s="192">
        <f>$BD1560*VLOOKUP($AG$3,$AF$4:$AG$7,2,FALSE)</f>
        <v/>
      </c>
      <c r="AH1560" s="76">
        <f>SUM(AE1560,AG1560,AI1560)*rate_forex_risk</f>
        <v/>
      </c>
      <c r="AI1560" s="193">
        <f>IF(OR(seller_region="TR",offer_sale_type="экспорт"),0,rate_fin_comm)*SUM(AZ1560,AZ1560*AW1560,T1560)</f>
        <v/>
      </c>
      <c r="AJ1560" s="118">
        <f>IFERROR(ROUND(SUM(AB1560,AF1560:AI1560)/E1560,2),0)</f>
        <v/>
      </c>
      <c r="AK1560" s="76">
        <f>AJ1560*E1560</f>
        <v/>
      </c>
      <c r="AL1560" s="174">
        <f>ROUND(IFERROR(AM1560*E1560,0),2)</f>
        <v/>
      </c>
      <c r="AM1560" s="175">
        <f>ROUND(AJ1560*(1+IF(offer_incoterms="DDP",IF((TODAY()+offer_turnaround_time)&gt;=helpsheet!$L$17,rate_vatRU_from_26,rate_vatRu_till_25),0)),2)</f>
        <v/>
      </c>
      <c r="AN1560" s="192">
        <f>AL1560-AK1560</f>
        <v/>
      </c>
      <c r="AO1560" s="76">
        <f>SUM(AY1560,Y1560:Z1560,T1560)*IF(AND(offer_incoterms="DDP",offer_sale_type&lt;&gt;"экспорт"),IF((TODAY()+offer_turnaround_time)&gt;=helpsheet!$L$17,rate_vatRU_from_26,rate_vatRu_till_25),0)</f>
        <v/>
      </c>
      <c r="AP1560" s="193">
        <f>AN1560-AO1560</f>
        <v/>
      </c>
      <c r="AQ1560" s="118">
        <f>IF(offer_sale_type="транзит",SUM(AF1560:AI1560,BA1560,BB1560),0)</f>
        <v/>
      </c>
      <c r="AR1560" s="82">
        <f>HYPERLINK("https://www.alta.ru/tnved/code/")&amp;W1560&amp;"/"</f>
        <v/>
      </c>
      <c r="AS1560" s="157" t="n"/>
      <c r="AT1560" s="162" t="n"/>
      <c r="AU1560" s="76">
        <f>IF(ISBLANK(AT1560),0,AJ1560-AT1560)</f>
        <v/>
      </c>
      <c r="AV1560" s="157" t="n"/>
      <c r="AW1560" s="75">
        <f>_xlfn.IFNA(VLOOKUP(L1560,list_vat[],3,FALSE),0)</f>
        <v/>
      </c>
      <c r="AX1560" s="76">
        <f>IFERROR(ROUND(S1560*(1+AW1560)/E1560,2),0)</f>
        <v/>
      </c>
      <c r="AY1560" s="76">
        <f>E1560*AX1560</f>
        <v/>
      </c>
      <c r="AZ1560" s="192">
        <f>S1560*(1+M1560)</f>
        <v/>
      </c>
      <c r="BA1560" s="76">
        <f>cost_fin_total*$BD1560</f>
        <v/>
      </c>
      <c r="BB1560" s="193">
        <f>credit_sales_interest*BD1560</f>
        <v/>
      </c>
      <c r="BC1560" s="102">
        <f>IFERROR(IF($I$13&gt;0,$I1560/$I$13,$S1560/$S$13),0)</f>
        <v/>
      </c>
      <c r="BD1560" s="102">
        <f>IFERROR($S1560/$S$13,0)</f>
        <v/>
      </c>
      <c r="BE1560" s="413" t="inlineStr">
        <is>
          <t>$</t>
        </is>
      </c>
    </row>
    <row r="1561" ht="12" customFormat="1" customHeight="1" s="65">
      <c r="A1561" s="43" t="n">
        <v>1546</v>
      </c>
      <c r="B1561" s="166" t="n"/>
      <c r="C1561" s="166" t="n"/>
      <c r="D1561" s="166" t="n"/>
      <c r="E1561" s="162" t="n"/>
      <c r="F1561" s="166" t="n"/>
      <c r="G1561" s="162" t="n"/>
      <c r="H1561" s="162" t="n"/>
      <c r="I1561" s="189">
        <f>E1561*G1561</f>
        <v/>
      </c>
      <c r="J1561" s="195" t="n"/>
      <c r="K1561" s="162" t="n"/>
      <c r="L1561" s="168" t="n"/>
      <c r="M1561" s="75">
        <f>_xlfn.XLOOKUP(L1561,list_vat[Страна],list_vat[Ставка НДС %],0,0)</f>
        <v/>
      </c>
      <c r="N1561" s="162">
        <f>IFERROR(IF(L1561="Китай",K1561,K1561/(1+M1561)),0)</f>
        <v/>
      </c>
      <c r="O1561" s="169" t="n"/>
      <c r="P1561" s="76">
        <f>N1561*(1-O1561)</f>
        <v/>
      </c>
      <c r="Q1561" s="162" t="n"/>
      <c r="R1561" s="162">
        <f>IF(ISBLANK(Q1561),"введи курс",P1561/Q1561)</f>
        <v/>
      </c>
      <c r="S1561" s="196">
        <f>IF(AND(ISNUMBER(E1561),ISNUMBER(Q1561)),E1561*R1561,0)</f>
        <v/>
      </c>
      <c r="T1561" s="192">
        <f>$BC1561*V$11</f>
        <v/>
      </c>
      <c r="U1561" s="76">
        <f>$BC1561*W$11</f>
        <v/>
      </c>
      <c r="V1561" s="193">
        <f>+SUM(T1561:U1561)</f>
        <v/>
      </c>
      <c r="W1561" s="191" t="n"/>
      <c r="X1561" s="170" t="n"/>
      <c r="Y1561" s="76">
        <f>ROUND(IF(offer_incoterms="DDP",X1561*(S1561*(1+AW1561)+T1561),0),2)</f>
        <v/>
      </c>
      <c r="Z1561" s="188" t="n"/>
      <c r="AA1561" s="192">
        <f>IFERROR(AB1561/E1561,0)</f>
        <v/>
      </c>
      <c r="AB1561" s="76">
        <f>ROUND(SUM(S1561,V1561,Y1561:Z1561,BA1561:BB1561),2)</f>
        <v/>
      </c>
      <c r="AC1561" s="797" t="n"/>
      <c r="AD1561" s="192">
        <f t="array" ref="AD1561">IFERROR(ROUND((_xlfn.IFS(offer_sale_type="поставка",AB1561,offer_sale_type="транзит",S1561)*(1+AC1561))/E1561,2),0)</f>
        <v/>
      </c>
      <c r="AE1561" s="76">
        <f>AD1561*E1561</f>
        <v/>
      </c>
      <c r="AF1561" s="193">
        <f t="array" ref="AF1561">IFERROR(ROUND(_xlfn.IFS(offer_sale_type="поставка",AB1561,offer_sale_type="транзит",S1561)*AC1561,2),0)</f>
        <v/>
      </c>
      <c r="AG1561" s="192">
        <f>$BD1561*VLOOKUP($AG$3,$AF$4:$AG$7,2,FALSE)</f>
        <v/>
      </c>
      <c r="AH1561" s="76">
        <f>SUM(AE1561,AG1561,AI1561)*rate_forex_risk</f>
        <v/>
      </c>
      <c r="AI1561" s="193">
        <f>IF(OR(seller_region="TR",offer_sale_type="экспорт"),0,rate_fin_comm)*SUM(AZ1561,AZ1561*AW1561,T1561)</f>
        <v/>
      </c>
      <c r="AJ1561" s="118">
        <f>IFERROR(ROUND(SUM(AB1561,AF1561:AI1561)/E1561,2),0)</f>
        <v/>
      </c>
      <c r="AK1561" s="76">
        <f>AJ1561*E1561</f>
        <v/>
      </c>
      <c r="AL1561" s="174">
        <f>ROUND(IFERROR(AM1561*E1561,0),2)</f>
        <v/>
      </c>
      <c r="AM1561" s="175">
        <f>ROUND(AJ1561*(1+IF(offer_incoterms="DDP",IF((TODAY()+offer_turnaround_time)&gt;=helpsheet!$L$17,rate_vatRU_from_26,rate_vatRu_till_25),0)),2)</f>
        <v/>
      </c>
      <c r="AN1561" s="192">
        <f>AL1561-AK1561</f>
        <v/>
      </c>
      <c r="AO1561" s="76">
        <f>SUM(AY1561,Y1561:Z1561,T1561)*IF(AND(offer_incoterms="DDP",offer_sale_type&lt;&gt;"экспорт"),IF((TODAY()+offer_turnaround_time)&gt;=helpsheet!$L$17,rate_vatRU_from_26,rate_vatRu_till_25),0)</f>
        <v/>
      </c>
      <c r="AP1561" s="193">
        <f>AN1561-AO1561</f>
        <v/>
      </c>
      <c r="AQ1561" s="118">
        <f>IF(offer_sale_type="транзит",SUM(AF1561:AI1561,BA1561,BB1561),0)</f>
        <v/>
      </c>
      <c r="AR1561" s="82">
        <f>HYPERLINK("https://www.alta.ru/tnved/code/")&amp;W1561&amp;"/"</f>
        <v/>
      </c>
      <c r="AS1561" s="157" t="n"/>
      <c r="AT1561" s="162" t="n"/>
      <c r="AU1561" s="76">
        <f>IF(ISBLANK(AT1561),0,AJ1561-AT1561)</f>
        <v/>
      </c>
      <c r="AV1561" s="157" t="n"/>
      <c r="AW1561" s="75">
        <f>_xlfn.IFNA(VLOOKUP(L1561,list_vat[],3,FALSE),0)</f>
        <v/>
      </c>
      <c r="AX1561" s="76">
        <f>IFERROR(ROUND(S1561*(1+AW1561)/E1561,2),0)</f>
        <v/>
      </c>
      <c r="AY1561" s="76">
        <f>E1561*AX1561</f>
        <v/>
      </c>
      <c r="AZ1561" s="192">
        <f>S1561*(1+M1561)</f>
        <v/>
      </c>
      <c r="BA1561" s="76">
        <f>cost_fin_total*$BD1561</f>
        <v/>
      </c>
      <c r="BB1561" s="193">
        <f>credit_sales_interest*BD1561</f>
        <v/>
      </c>
      <c r="BC1561" s="102">
        <f>IFERROR(IF($I$13&gt;0,$I1561/$I$13,$S1561/$S$13),0)</f>
        <v/>
      </c>
      <c r="BD1561" s="102">
        <f>IFERROR($S1561/$S$13,0)</f>
        <v/>
      </c>
      <c r="BE1561" s="413" t="inlineStr">
        <is>
          <t>$</t>
        </is>
      </c>
    </row>
    <row r="1562" ht="12" customFormat="1" customHeight="1" s="65">
      <c r="A1562" s="43" t="n">
        <v>1547</v>
      </c>
      <c r="B1562" s="166" t="n"/>
      <c r="C1562" s="166" t="n"/>
      <c r="D1562" s="166" t="n"/>
      <c r="E1562" s="162" t="n"/>
      <c r="F1562" s="166" t="n"/>
      <c r="G1562" s="162" t="n"/>
      <c r="H1562" s="162" t="n"/>
      <c r="I1562" s="189">
        <f>E1562*G1562</f>
        <v/>
      </c>
      <c r="J1562" s="195" t="n"/>
      <c r="K1562" s="162" t="n"/>
      <c r="L1562" s="168" t="n"/>
      <c r="M1562" s="75">
        <f>_xlfn.XLOOKUP(L1562,list_vat[Страна],list_vat[Ставка НДС %],0,0)</f>
        <v/>
      </c>
      <c r="N1562" s="162">
        <f>IFERROR(IF(L1562="Китай",K1562,K1562/(1+M1562)),0)</f>
        <v/>
      </c>
      <c r="O1562" s="169" t="n"/>
      <c r="P1562" s="76">
        <f>N1562*(1-O1562)</f>
        <v/>
      </c>
      <c r="Q1562" s="162" t="n"/>
      <c r="R1562" s="162">
        <f>IF(ISBLANK(Q1562),"введи курс",P1562/Q1562)</f>
        <v/>
      </c>
      <c r="S1562" s="196">
        <f>IF(AND(ISNUMBER(E1562),ISNUMBER(Q1562)),E1562*R1562,0)</f>
        <v/>
      </c>
      <c r="T1562" s="192">
        <f>$BC1562*V$11</f>
        <v/>
      </c>
      <c r="U1562" s="76">
        <f>$BC1562*W$11</f>
        <v/>
      </c>
      <c r="V1562" s="193">
        <f>+SUM(T1562:U1562)</f>
        <v/>
      </c>
      <c r="W1562" s="191" t="n"/>
      <c r="X1562" s="170" t="n"/>
      <c r="Y1562" s="76">
        <f>ROUND(IF(offer_incoterms="DDP",X1562*(S1562*(1+AW1562)+T1562),0),2)</f>
        <v/>
      </c>
      <c r="Z1562" s="188" t="n"/>
      <c r="AA1562" s="192">
        <f>IFERROR(AB1562/E1562,0)</f>
        <v/>
      </c>
      <c r="AB1562" s="76">
        <f>ROUND(SUM(S1562,V1562,Y1562:Z1562,BA1562:BB1562),2)</f>
        <v/>
      </c>
      <c r="AC1562" s="797" t="n"/>
      <c r="AD1562" s="192">
        <f t="array" ref="AD1562">IFERROR(ROUND((_xlfn.IFS(offer_sale_type="поставка",AB1562,offer_sale_type="транзит",S1562)*(1+AC1562))/E1562,2),0)</f>
        <v/>
      </c>
      <c r="AE1562" s="76">
        <f>AD1562*E1562</f>
        <v/>
      </c>
      <c r="AF1562" s="193">
        <f t="array" ref="AF1562">IFERROR(ROUND(_xlfn.IFS(offer_sale_type="поставка",AB1562,offer_sale_type="транзит",S1562)*AC1562,2),0)</f>
        <v/>
      </c>
      <c r="AG1562" s="192">
        <f>$BD1562*VLOOKUP($AG$3,$AF$4:$AG$7,2,FALSE)</f>
        <v/>
      </c>
      <c r="AH1562" s="76">
        <f>SUM(AE1562,AG1562,AI1562)*rate_forex_risk</f>
        <v/>
      </c>
      <c r="AI1562" s="193">
        <f>IF(OR(seller_region="TR",offer_sale_type="экспорт"),0,rate_fin_comm)*SUM(AZ1562,AZ1562*AW1562,T1562)</f>
        <v/>
      </c>
      <c r="AJ1562" s="118">
        <f>IFERROR(ROUND(SUM(AB1562,AF1562:AI1562)/E1562,2),0)</f>
        <v/>
      </c>
      <c r="AK1562" s="76">
        <f>AJ1562*E1562</f>
        <v/>
      </c>
      <c r="AL1562" s="174">
        <f>ROUND(IFERROR(AM1562*E1562,0),2)</f>
        <v/>
      </c>
      <c r="AM1562" s="175">
        <f>ROUND(AJ1562*(1+IF(offer_incoterms="DDP",IF((TODAY()+offer_turnaround_time)&gt;=helpsheet!$L$17,rate_vatRU_from_26,rate_vatRu_till_25),0)),2)</f>
        <v/>
      </c>
      <c r="AN1562" s="192">
        <f>AL1562-AK1562</f>
        <v/>
      </c>
      <c r="AO1562" s="76">
        <f>SUM(AY1562,Y1562:Z1562,T1562)*IF(AND(offer_incoterms="DDP",offer_sale_type&lt;&gt;"экспорт"),IF((TODAY()+offer_turnaround_time)&gt;=helpsheet!$L$17,rate_vatRU_from_26,rate_vatRu_till_25),0)</f>
        <v/>
      </c>
      <c r="AP1562" s="193">
        <f>AN1562-AO1562</f>
        <v/>
      </c>
      <c r="AQ1562" s="118">
        <f>IF(offer_sale_type="транзит",SUM(AF1562:AI1562,BA1562,BB1562),0)</f>
        <v/>
      </c>
      <c r="AR1562" s="82">
        <f>HYPERLINK("https://www.alta.ru/tnved/code/")&amp;W1562&amp;"/"</f>
        <v/>
      </c>
      <c r="AS1562" s="157" t="n"/>
      <c r="AT1562" s="162" t="n"/>
      <c r="AU1562" s="76">
        <f>IF(ISBLANK(AT1562),0,AJ1562-AT1562)</f>
        <v/>
      </c>
      <c r="AV1562" s="157" t="n"/>
      <c r="AW1562" s="75">
        <f>_xlfn.IFNA(VLOOKUP(L1562,list_vat[],3,FALSE),0)</f>
        <v/>
      </c>
      <c r="AX1562" s="76">
        <f>IFERROR(ROUND(S1562*(1+AW1562)/E1562,2),0)</f>
        <v/>
      </c>
      <c r="AY1562" s="76">
        <f>E1562*AX1562</f>
        <v/>
      </c>
      <c r="AZ1562" s="192">
        <f>S1562*(1+M1562)</f>
        <v/>
      </c>
      <c r="BA1562" s="76">
        <f>cost_fin_total*$BD1562</f>
        <v/>
      </c>
      <c r="BB1562" s="193">
        <f>credit_sales_interest*BD1562</f>
        <v/>
      </c>
      <c r="BC1562" s="102">
        <f>IFERROR(IF($I$13&gt;0,$I1562/$I$13,$S1562/$S$13),0)</f>
        <v/>
      </c>
      <c r="BD1562" s="102">
        <f>IFERROR($S1562/$S$13,0)</f>
        <v/>
      </c>
      <c r="BE1562" s="413" t="inlineStr">
        <is>
          <t>$</t>
        </is>
      </c>
    </row>
    <row r="1563" ht="12" customFormat="1" customHeight="1" s="65">
      <c r="A1563" s="43" t="n">
        <v>1548</v>
      </c>
      <c r="B1563" s="166" t="n"/>
      <c r="C1563" s="166" t="n"/>
      <c r="D1563" s="166" t="n"/>
      <c r="E1563" s="162" t="n"/>
      <c r="F1563" s="166" t="n"/>
      <c r="G1563" s="162" t="n"/>
      <c r="H1563" s="162" t="n"/>
      <c r="I1563" s="189">
        <f>E1563*G1563</f>
        <v/>
      </c>
      <c r="J1563" s="195" t="n"/>
      <c r="K1563" s="162" t="n"/>
      <c r="L1563" s="168" t="n"/>
      <c r="M1563" s="75">
        <f>_xlfn.XLOOKUP(L1563,list_vat[Страна],list_vat[Ставка НДС %],0,0)</f>
        <v/>
      </c>
      <c r="N1563" s="162">
        <f>IFERROR(IF(L1563="Китай",K1563,K1563/(1+M1563)),0)</f>
        <v/>
      </c>
      <c r="O1563" s="169" t="n"/>
      <c r="P1563" s="76">
        <f>N1563*(1-O1563)</f>
        <v/>
      </c>
      <c r="Q1563" s="162" t="n"/>
      <c r="R1563" s="162">
        <f>IF(ISBLANK(Q1563),"введи курс",P1563/Q1563)</f>
        <v/>
      </c>
      <c r="S1563" s="196">
        <f>IF(AND(ISNUMBER(E1563),ISNUMBER(Q1563)),E1563*R1563,0)</f>
        <v/>
      </c>
      <c r="T1563" s="192">
        <f>$BC1563*V$11</f>
        <v/>
      </c>
      <c r="U1563" s="76">
        <f>$BC1563*W$11</f>
        <v/>
      </c>
      <c r="V1563" s="193">
        <f>+SUM(T1563:U1563)</f>
        <v/>
      </c>
      <c r="W1563" s="191" t="n"/>
      <c r="X1563" s="170" t="n"/>
      <c r="Y1563" s="76">
        <f>ROUND(IF(offer_incoterms="DDP",X1563*(S1563*(1+AW1563)+T1563),0),2)</f>
        <v/>
      </c>
      <c r="Z1563" s="188" t="n"/>
      <c r="AA1563" s="192">
        <f>IFERROR(AB1563/E1563,0)</f>
        <v/>
      </c>
      <c r="AB1563" s="76">
        <f>ROUND(SUM(S1563,V1563,Y1563:Z1563,BA1563:BB1563),2)</f>
        <v/>
      </c>
      <c r="AC1563" s="797" t="n"/>
      <c r="AD1563" s="192">
        <f t="array" ref="AD1563">IFERROR(ROUND((_xlfn.IFS(offer_sale_type="поставка",AB1563,offer_sale_type="транзит",S1563)*(1+AC1563))/E1563,2),0)</f>
        <v/>
      </c>
      <c r="AE1563" s="76">
        <f>AD1563*E1563</f>
        <v/>
      </c>
      <c r="AF1563" s="193">
        <f t="array" ref="AF1563">IFERROR(ROUND(_xlfn.IFS(offer_sale_type="поставка",AB1563,offer_sale_type="транзит",S1563)*AC1563,2),0)</f>
        <v/>
      </c>
      <c r="AG1563" s="192">
        <f>$BD1563*VLOOKUP($AG$3,$AF$4:$AG$7,2,FALSE)</f>
        <v/>
      </c>
      <c r="AH1563" s="76">
        <f>SUM(AE1563,AG1563,AI1563)*rate_forex_risk</f>
        <v/>
      </c>
      <c r="AI1563" s="193">
        <f>IF(OR(seller_region="TR",offer_sale_type="экспорт"),0,rate_fin_comm)*SUM(AZ1563,AZ1563*AW1563,T1563)</f>
        <v/>
      </c>
      <c r="AJ1563" s="118">
        <f>IFERROR(ROUND(SUM(AB1563,AF1563:AI1563)/E1563,2),0)</f>
        <v/>
      </c>
      <c r="AK1563" s="76">
        <f>AJ1563*E1563</f>
        <v/>
      </c>
      <c r="AL1563" s="174">
        <f>ROUND(IFERROR(AM1563*E1563,0),2)</f>
        <v/>
      </c>
      <c r="AM1563" s="175">
        <f>ROUND(AJ1563*(1+IF(offer_incoterms="DDP",IF((TODAY()+offer_turnaround_time)&gt;=helpsheet!$L$17,rate_vatRU_from_26,rate_vatRu_till_25),0)),2)</f>
        <v/>
      </c>
      <c r="AN1563" s="192">
        <f>AL1563-AK1563</f>
        <v/>
      </c>
      <c r="AO1563" s="76">
        <f>SUM(AY1563,Y1563:Z1563,T1563)*IF(AND(offer_incoterms="DDP",offer_sale_type&lt;&gt;"экспорт"),IF((TODAY()+offer_turnaround_time)&gt;=helpsheet!$L$17,rate_vatRU_from_26,rate_vatRu_till_25),0)</f>
        <v/>
      </c>
      <c r="AP1563" s="193">
        <f>AN1563-AO1563</f>
        <v/>
      </c>
      <c r="AQ1563" s="118">
        <f>IF(offer_sale_type="транзит",SUM(AF1563:AI1563,BA1563,BB1563),0)</f>
        <v/>
      </c>
      <c r="AR1563" s="82">
        <f>HYPERLINK("https://www.alta.ru/tnved/code/")&amp;W1563&amp;"/"</f>
        <v/>
      </c>
      <c r="AS1563" s="157" t="n"/>
      <c r="AT1563" s="162" t="n"/>
      <c r="AU1563" s="76">
        <f>IF(ISBLANK(AT1563),0,AJ1563-AT1563)</f>
        <v/>
      </c>
      <c r="AV1563" s="157" t="n"/>
      <c r="AW1563" s="75">
        <f>_xlfn.IFNA(VLOOKUP(L1563,list_vat[],3,FALSE),0)</f>
        <v/>
      </c>
      <c r="AX1563" s="76">
        <f>IFERROR(ROUND(S1563*(1+AW1563)/E1563,2),0)</f>
        <v/>
      </c>
      <c r="AY1563" s="76">
        <f>E1563*AX1563</f>
        <v/>
      </c>
      <c r="AZ1563" s="192">
        <f>S1563*(1+M1563)</f>
        <v/>
      </c>
      <c r="BA1563" s="76">
        <f>cost_fin_total*$BD1563</f>
        <v/>
      </c>
      <c r="BB1563" s="193">
        <f>credit_sales_interest*BD1563</f>
        <v/>
      </c>
      <c r="BC1563" s="102">
        <f>IFERROR(IF($I$13&gt;0,$I1563/$I$13,$S1563/$S$13),0)</f>
        <v/>
      </c>
      <c r="BD1563" s="102">
        <f>IFERROR($S1563/$S$13,0)</f>
        <v/>
      </c>
      <c r="BE1563" s="413" t="inlineStr">
        <is>
          <t>$</t>
        </is>
      </c>
    </row>
    <row r="1564" ht="12" customFormat="1" customHeight="1" s="65">
      <c r="A1564" s="43" t="n">
        <v>1549</v>
      </c>
      <c r="B1564" s="166" t="n"/>
      <c r="C1564" s="166" t="n"/>
      <c r="D1564" s="166" t="n"/>
      <c r="E1564" s="162" t="n"/>
      <c r="F1564" s="166" t="n"/>
      <c r="G1564" s="162" t="n"/>
      <c r="H1564" s="162" t="n"/>
      <c r="I1564" s="189">
        <f>E1564*G1564</f>
        <v/>
      </c>
      <c r="J1564" s="195" t="n"/>
      <c r="K1564" s="162" t="n"/>
      <c r="L1564" s="168" t="n"/>
      <c r="M1564" s="75">
        <f>_xlfn.XLOOKUP(L1564,list_vat[Страна],list_vat[Ставка НДС %],0,0)</f>
        <v/>
      </c>
      <c r="N1564" s="162">
        <f>IFERROR(IF(L1564="Китай",K1564,K1564/(1+M1564)),0)</f>
        <v/>
      </c>
      <c r="O1564" s="169" t="n"/>
      <c r="P1564" s="76">
        <f>N1564*(1-O1564)</f>
        <v/>
      </c>
      <c r="Q1564" s="162" t="n"/>
      <c r="R1564" s="162">
        <f>IF(ISBLANK(Q1564),"введи курс",P1564/Q1564)</f>
        <v/>
      </c>
      <c r="S1564" s="196">
        <f>IF(AND(ISNUMBER(E1564),ISNUMBER(Q1564)),E1564*R1564,0)</f>
        <v/>
      </c>
      <c r="T1564" s="192">
        <f>$BC1564*V$11</f>
        <v/>
      </c>
      <c r="U1564" s="76">
        <f>$BC1564*W$11</f>
        <v/>
      </c>
      <c r="V1564" s="193">
        <f>+SUM(T1564:U1564)</f>
        <v/>
      </c>
      <c r="W1564" s="191" t="n"/>
      <c r="X1564" s="170" t="n"/>
      <c r="Y1564" s="76">
        <f>ROUND(IF(offer_incoterms="DDP",X1564*(S1564*(1+AW1564)+T1564),0),2)</f>
        <v/>
      </c>
      <c r="Z1564" s="188" t="n"/>
      <c r="AA1564" s="192">
        <f>IFERROR(AB1564/E1564,0)</f>
        <v/>
      </c>
      <c r="AB1564" s="76">
        <f>ROUND(SUM(S1564,V1564,Y1564:Z1564,BA1564:BB1564),2)</f>
        <v/>
      </c>
      <c r="AC1564" s="797" t="n"/>
      <c r="AD1564" s="192">
        <f t="array" ref="AD1564">IFERROR(ROUND((_xlfn.IFS(offer_sale_type="поставка",AB1564,offer_sale_type="транзит",S1564)*(1+AC1564))/E1564,2),0)</f>
        <v/>
      </c>
      <c r="AE1564" s="76">
        <f>AD1564*E1564</f>
        <v/>
      </c>
      <c r="AF1564" s="193">
        <f t="array" ref="AF1564">IFERROR(ROUND(_xlfn.IFS(offer_sale_type="поставка",AB1564,offer_sale_type="транзит",S1564)*AC1564,2),0)</f>
        <v/>
      </c>
      <c r="AG1564" s="192">
        <f>$BD1564*VLOOKUP($AG$3,$AF$4:$AG$7,2,FALSE)</f>
        <v/>
      </c>
      <c r="AH1564" s="76">
        <f>SUM(AE1564,AG1564,AI1564)*rate_forex_risk</f>
        <v/>
      </c>
      <c r="AI1564" s="193">
        <f>IF(OR(seller_region="TR",offer_sale_type="экспорт"),0,rate_fin_comm)*SUM(AZ1564,AZ1564*AW1564,T1564)</f>
        <v/>
      </c>
      <c r="AJ1564" s="118">
        <f>IFERROR(ROUND(SUM(AB1564,AF1564:AI1564)/E1564,2),0)</f>
        <v/>
      </c>
      <c r="AK1564" s="76">
        <f>AJ1564*E1564</f>
        <v/>
      </c>
      <c r="AL1564" s="174">
        <f>ROUND(IFERROR(AM1564*E1564,0),2)</f>
        <v/>
      </c>
      <c r="AM1564" s="175">
        <f>ROUND(AJ1564*(1+IF(offer_incoterms="DDP",IF((TODAY()+offer_turnaround_time)&gt;=helpsheet!$L$17,rate_vatRU_from_26,rate_vatRu_till_25),0)),2)</f>
        <v/>
      </c>
      <c r="AN1564" s="192">
        <f>AL1564-AK1564</f>
        <v/>
      </c>
      <c r="AO1564" s="76">
        <f>SUM(AY1564,Y1564:Z1564,T1564)*IF(AND(offer_incoterms="DDP",offer_sale_type&lt;&gt;"экспорт"),IF((TODAY()+offer_turnaround_time)&gt;=helpsheet!$L$17,rate_vatRU_from_26,rate_vatRu_till_25),0)</f>
        <v/>
      </c>
      <c r="AP1564" s="193">
        <f>AN1564-AO1564</f>
        <v/>
      </c>
      <c r="AQ1564" s="118">
        <f>IF(offer_sale_type="транзит",SUM(AF1564:AI1564,BA1564,BB1564),0)</f>
        <v/>
      </c>
      <c r="AR1564" s="82">
        <f>HYPERLINK("https://www.alta.ru/tnved/code/")&amp;W1564&amp;"/"</f>
        <v/>
      </c>
      <c r="AS1564" s="157" t="n"/>
      <c r="AT1564" s="162" t="n"/>
      <c r="AU1564" s="76">
        <f>IF(ISBLANK(AT1564),0,AJ1564-AT1564)</f>
        <v/>
      </c>
      <c r="AV1564" s="157" t="n"/>
      <c r="AW1564" s="75">
        <f>_xlfn.IFNA(VLOOKUP(L1564,list_vat[],3,FALSE),0)</f>
        <v/>
      </c>
      <c r="AX1564" s="76">
        <f>IFERROR(ROUND(S1564*(1+AW1564)/E1564,2),0)</f>
        <v/>
      </c>
      <c r="AY1564" s="76">
        <f>E1564*AX1564</f>
        <v/>
      </c>
      <c r="AZ1564" s="192">
        <f>S1564*(1+M1564)</f>
        <v/>
      </c>
      <c r="BA1564" s="76">
        <f>cost_fin_total*$BD1564</f>
        <v/>
      </c>
      <c r="BB1564" s="193">
        <f>credit_sales_interest*BD1564</f>
        <v/>
      </c>
      <c r="BC1564" s="102">
        <f>IFERROR(IF($I$13&gt;0,$I1564/$I$13,$S1564/$S$13),0)</f>
        <v/>
      </c>
      <c r="BD1564" s="102">
        <f>IFERROR($S1564/$S$13,0)</f>
        <v/>
      </c>
      <c r="BE1564" s="413" t="inlineStr">
        <is>
          <t>$</t>
        </is>
      </c>
    </row>
    <row r="1565" ht="12" customFormat="1" customHeight="1" s="65">
      <c r="A1565" s="43" t="n">
        <v>1550</v>
      </c>
      <c r="B1565" s="166" t="n"/>
      <c r="C1565" s="166" t="n"/>
      <c r="D1565" s="166" t="n"/>
      <c r="E1565" s="162" t="n"/>
      <c r="F1565" s="166" t="n"/>
      <c r="G1565" s="162" t="n"/>
      <c r="H1565" s="162" t="n"/>
      <c r="I1565" s="189">
        <f>E1565*G1565</f>
        <v/>
      </c>
      <c r="J1565" s="195" t="n"/>
      <c r="K1565" s="162" t="n"/>
      <c r="L1565" s="168" t="n"/>
      <c r="M1565" s="75">
        <f>_xlfn.XLOOKUP(L1565,list_vat[Страна],list_vat[Ставка НДС %],0,0)</f>
        <v/>
      </c>
      <c r="N1565" s="162">
        <f>IFERROR(IF(L1565="Китай",K1565,K1565/(1+M1565)),0)</f>
        <v/>
      </c>
      <c r="O1565" s="169" t="n"/>
      <c r="P1565" s="76">
        <f>N1565*(1-O1565)</f>
        <v/>
      </c>
      <c r="Q1565" s="162" t="n"/>
      <c r="R1565" s="162">
        <f>IF(ISBLANK(Q1565),"введи курс",P1565/Q1565)</f>
        <v/>
      </c>
      <c r="S1565" s="196">
        <f>IF(AND(ISNUMBER(E1565),ISNUMBER(Q1565)),E1565*R1565,0)</f>
        <v/>
      </c>
      <c r="T1565" s="192">
        <f>$BC1565*V$11</f>
        <v/>
      </c>
      <c r="U1565" s="76">
        <f>$BC1565*W$11</f>
        <v/>
      </c>
      <c r="V1565" s="193">
        <f>+SUM(T1565:U1565)</f>
        <v/>
      </c>
      <c r="W1565" s="191" t="n"/>
      <c r="X1565" s="170" t="n"/>
      <c r="Y1565" s="76">
        <f>ROUND(IF(offer_incoterms="DDP",X1565*(S1565*(1+AW1565)+T1565),0),2)</f>
        <v/>
      </c>
      <c r="Z1565" s="188" t="n"/>
      <c r="AA1565" s="192">
        <f>IFERROR(AB1565/E1565,0)</f>
        <v/>
      </c>
      <c r="AB1565" s="76">
        <f>ROUND(SUM(S1565,V1565,Y1565:Z1565,BA1565:BB1565),2)</f>
        <v/>
      </c>
      <c r="AC1565" s="797" t="n"/>
      <c r="AD1565" s="192">
        <f t="array" ref="AD1565">IFERROR(ROUND((_xlfn.IFS(offer_sale_type="поставка",AB1565,offer_sale_type="транзит",S1565)*(1+AC1565))/E1565,2),0)</f>
        <v/>
      </c>
      <c r="AE1565" s="76">
        <f>AD1565*E1565</f>
        <v/>
      </c>
      <c r="AF1565" s="193">
        <f t="array" ref="AF1565">IFERROR(ROUND(_xlfn.IFS(offer_sale_type="поставка",AB1565,offer_sale_type="транзит",S1565)*AC1565,2),0)</f>
        <v/>
      </c>
      <c r="AG1565" s="192">
        <f>$BD1565*VLOOKUP($AG$3,$AF$4:$AG$7,2,FALSE)</f>
        <v/>
      </c>
      <c r="AH1565" s="76">
        <f>SUM(AE1565,AG1565,AI1565)*rate_forex_risk</f>
        <v/>
      </c>
      <c r="AI1565" s="193">
        <f>IF(OR(seller_region="TR",offer_sale_type="экспорт"),0,rate_fin_comm)*SUM(AZ1565,AZ1565*AW1565,T1565)</f>
        <v/>
      </c>
      <c r="AJ1565" s="118">
        <f>IFERROR(ROUND(SUM(AB1565,AF1565:AI1565)/E1565,2),0)</f>
        <v/>
      </c>
      <c r="AK1565" s="76">
        <f>AJ1565*E1565</f>
        <v/>
      </c>
      <c r="AL1565" s="174">
        <f>ROUND(IFERROR(AM1565*E1565,0),2)</f>
        <v/>
      </c>
      <c r="AM1565" s="175">
        <f>ROUND(AJ1565*(1+IF(offer_incoterms="DDP",IF((TODAY()+offer_turnaround_time)&gt;=helpsheet!$L$17,rate_vatRU_from_26,rate_vatRu_till_25),0)),2)</f>
        <v/>
      </c>
      <c r="AN1565" s="192">
        <f>AL1565-AK1565</f>
        <v/>
      </c>
      <c r="AO1565" s="76">
        <f>SUM(AY1565,Y1565:Z1565,T1565)*IF(AND(offer_incoterms="DDP",offer_sale_type&lt;&gt;"экспорт"),IF((TODAY()+offer_turnaround_time)&gt;=helpsheet!$L$17,rate_vatRU_from_26,rate_vatRu_till_25),0)</f>
        <v/>
      </c>
      <c r="AP1565" s="193">
        <f>AN1565-AO1565</f>
        <v/>
      </c>
      <c r="AQ1565" s="118">
        <f>IF(offer_sale_type="транзит",SUM(AF1565:AI1565,BA1565,BB1565),0)</f>
        <v/>
      </c>
      <c r="AR1565" s="82">
        <f>HYPERLINK("https://www.alta.ru/tnved/code/")&amp;W1565&amp;"/"</f>
        <v/>
      </c>
      <c r="AS1565" s="157" t="n"/>
      <c r="AT1565" s="162" t="n"/>
      <c r="AU1565" s="76">
        <f>IF(ISBLANK(AT1565),0,AJ1565-AT1565)</f>
        <v/>
      </c>
      <c r="AV1565" s="157" t="n"/>
      <c r="AW1565" s="75">
        <f>_xlfn.IFNA(VLOOKUP(L1565,list_vat[],3,FALSE),0)</f>
        <v/>
      </c>
      <c r="AX1565" s="76">
        <f>IFERROR(ROUND(S1565*(1+AW1565)/E1565,2),0)</f>
        <v/>
      </c>
      <c r="AY1565" s="76">
        <f>E1565*AX1565</f>
        <v/>
      </c>
      <c r="AZ1565" s="192">
        <f>S1565*(1+M1565)</f>
        <v/>
      </c>
      <c r="BA1565" s="76">
        <f>cost_fin_total*$BD1565</f>
        <v/>
      </c>
      <c r="BB1565" s="193">
        <f>credit_sales_interest*BD1565</f>
        <v/>
      </c>
      <c r="BC1565" s="102">
        <f>IFERROR(IF($I$13&gt;0,$I1565/$I$13,$S1565/$S$13),0)</f>
        <v/>
      </c>
      <c r="BD1565" s="102">
        <f>IFERROR($S1565/$S$13,0)</f>
        <v/>
      </c>
      <c r="BE1565" s="413" t="inlineStr">
        <is>
          <t>$</t>
        </is>
      </c>
    </row>
    <row r="1566" ht="12" customFormat="1" customHeight="1" s="65">
      <c r="A1566" s="43" t="n">
        <v>1551</v>
      </c>
      <c r="B1566" s="166" t="n"/>
      <c r="C1566" s="166" t="n"/>
      <c r="D1566" s="166" t="n"/>
      <c r="E1566" s="162" t="n"/>
      <c r="F1566" s="166" t="n"/>
      <c r="G1566" s="162" t="n"/>
      <c r="H1566" s="162" t="n"/>
      <c r="I1566" s="189">
        <f>E1566*G1566</f>
        <v/>
      </c>
      <c r="J1566" s="195" t="n"/>
      <c r="K1566" s="162" t="n"/>
      <c r="L1566" s="168" t="n"/>
      <c r="M1566" s="75">
        <f>_xlfn.XLOOKUP(L1566,list_vat[Страна],list_vat[Ставка НДС %],0,0)</f>
        <v/>
      </c>
      <c r="N1566" s="162">
        <f>IFERROR(IF(L1566="Китай",K1566,K1566/(1+M1566)),0)</f>
        <v/>
      </c>
      <c r="O1566" s="169" t="n"/>
      <c r="P1566" s="76">
        <f>N1566*(1-O1566)</f>
        <v/>
      </c>
      <c r="Q1566" s="162" t="n"/>
      <c r="R1566" s="162">
        <f>IF(ISBLANK(Q1566),"введи курс",P1566/Q1566)</f>
        <v/>
      </c>
      <c r="S1566" s="196">
        <f>IF(AND(ISNUMBER(E1566),ISNUMBER(Q1566)),E1566*R1566,0)</f>
        <v/>
      </c>
      <c r="T1566" s="192">
        <f>$BC1566*V$11</f>
        <v/>
      </c>
      <c r="U1566" s="76">
        <f>$BC1566*W$11</f>
        <v/>
      </c>
      <c r="V1566" s="193">
        <f>+SUM(T1566:U1566)</f>
        <v/>
      </c>
      <c r="W1566" s="191" t="n"/>
      <c r="X1566" s="170" t="n"/>
      <c r="Y1566" s="76">
        <f>ROUND(IF(offer_incoterms="DDP",X1566*(S1566*(1+AW1566)+T1566),0),2)</f>
        <v/>
      </c>
      <c r="Z1566" s="188" t="n"/>
      <c r="AA1566" s="192">
        <f>IFERROR(AB1566/E1566,0)</f>
        <v/>
      </c>
      <c r="AB1566" s="76">
        <f>ROUND(SUM(S1566,V1566,Y1566:Z1566,BA1566:BB1566),2)</f>
        <v/>
      </c>
      <c r="AC1566" s="797" t="n"/>
      <c r="AD1566" s="192">
        <f t="array" ref="AD1566">IFERROR(ROUND((_xlfn.IFS(offer_sale_type="поставка",AB1566,offer_sale_type="транзит",S1566)*(1+AC1566))/E1566,2),0)</f>
        <v/>
      </c>
      <c r="AE1566" s="76">
        <f>AD1566*E1566</f>
        <v/>
      </c>
      <c r="AF1566" s="193">
        <f t="array" ref="AF1566">IFERROR(ROUND(_xlfn.IFS(offer_sale_type="поставка",AB1566,offer_sale_type="транзит",S1566)*AC1566,2),0)</f>
        <v/>
      </c>
      <c r="AG1566" s="192">
        <f>$BD1566*VLOOKUP($AG$3,$AF$4:$AG$7,2,FALSE)</f>
        <v/>
      </c>
      <c r="AH1566" s="76">
        <f>SUM(AE1566,AG1566,AI1566)*rate_forex_risk</f>
        <v/>
      </c>
      <c r="AI1566" s="193">
        <f>IF(OR(seller_region="TR",offer_sale_type="экспорт"),0,rate_fin_comm)*SUM(AZ1566,AZ1566*AW1566,T1566)</f>
        <v/>
      </c>
      <c r="AJ1566" s="118">
        <f>IFERROR(ROUND(SUM(AB1566,AF1566:AI1566)/E1566,2),0)</f>
        <v/>
      </c>
      <c r="AK1566" s="76">
        <f>AJ1566*E1566</f>
        <v/>
      </c>
      <c r="AL1566" s="174">
        <f>ROUND(IFERROR(AM1566*E1566,0),2)</f>
        <v/>
      </c>
      <c r="AM1566" s="175">
        <f>ROUND(AJ1566*(1+IF(offer_incoterms="DDP",IF((TODAY()+offer_turnaround_time)&gt;=helpsheet!$L$17,rate_vatRU_from_26,rate_vatRu_till_25),0)),2)</f>
        <v/>
      </c>
      <c r="AN1566" s="192">
        <f>AL1566-AK1566</f>
        <v/>
      </c>
      <c r="AO1566" s="76">
        <f>SUM(AY1566,Y1566:Z1566,T1566)*IF(AND(offer_incoterms="DDP",offer_sale_type&lt;&gt;"экспорт"),IF((TODAY()+offer_turnaround_time)&gt;=helpsheet!$L$17,rate_vatRU_from_26,rate_vatRu_till_25),0)</f>
        <v/>
      </c>
      <c r="AP1566" s="193">
        <f>AN1566-AO1566</f>
        <v/>
      </c>
      <c r="AQ1566" s="118">
        <f>IF(offer_sale_type="транзит",SUM(AF1566:AI1566,BA1566,BB1566),0)</f>
        <v/>
      </c>
      <c r="AR1566" s="82">
        <f>HYPERLINK("https://www.alta.ru/tnved/code/")&amp;W1566&amp;"/"</f>
        <v/>
      </c>
      <c r="AS1566" s="157" t="n"/>
      <c r="AT1566" s="162" t="n"/>
      <c r="AU1566" s="76">
        <f>IF(ISBLANK(AT1566),0,AJ1566-AT1566)</f>
        <v/>
      </c>
      <c r="AV1566" s="157" t="n"/>
      <c r="AW1566" s="75">
        <f>_xlfn.IFNA(VLOOKUP(L1566,list_vat[],3,FALSE),0)</f>
        <v/>
      </c>
      <c r="AX1566" s="76">
        <f>IFERROR(ROUND(S1566*(1+AW1566)/E1566,2),0)</f>
        <v/>
      </c>
      <c r="AY1566" s="76">
        <f>E1566*AX1566</f>
        <v/>
      </c>
      <c r="AZ1566" s="192">
        <f>S1566*(1+M1566)</f>
        <v/>
      </c>
      <c r="BA1566" s="76">
        <f>cost_fin_total*$BD1566</f>
        <v/>
      </c>
      <c r="BB1566" s="193">
        <f>credit_sales_interest*BD1566</f>
        <v/>
      </c>
      <c r="BC1566" s="102">
        <f>IFERROR(IF($I$13&gt;0,$I1566/$I$13,$S1566/$S$13),0)</f>
        <v/>
      </c>
      <c r="BD1566" s="102">
        <f>IFERROR($S1566/$S$13,0)</f>
        <v/>
      </c>
      <c r="BE1566" s="413" t="inlineStr">
        <is>
          <t>$</t>
        </is>
      </c>
    </row>
    <row r="1567" ht="12" customFormat="1" customHeight="1" s="65">
      <c r="A1567" s="43" t="n">
        <v>1552</v>
      </c>
      <c r="B1567" s="166" t="n"/>
      <c r="C1567" s="166" t="n"/>
      <c r="D1567" s="166" t="n"/>
      <c r="E1567" s="162" t="n"/>
      <c r="F1567" s="166" t="n"/>
      <c r="G1567" s="162" t="n"/>
      <c r="H1567" s="162" t="n"/>
      <c r="I1567" s="189">
        <f>E1567*G1567</f>
        <v/>
      </c>
      <c r="J1567" s="195" t="n"/>
      <c r="K1567" s="162" t="n"/>
      <c r="L1567" s="168" t="n"/>
      <c r="M1567" s="75">
        <f>_xlfn.XLOOKUP(L1567,list_vat[Страна],list_vat[Ставка НДС %],0,0)</f>
        <v/>
      </c>
      <c r="N1567" s="162">
        <f>IFERROR(IF(L1567="Китай",K1567,K1567/(1+M1567)),0)</f>
        <v/>
      </c>
      <c r="O1567" s="169" t="n"/>
      <c r="P1567" s="76">
        <f>N1567*(1-O1567)</f>
        <v/>
      </c>
      <c r="Q1567" s="162" t="n"/>
      <c r="R1567" s="162">
        <f>IF(ISBLANK(Q1567),"введи курс",P1567/Q1567)</f>
        <v/>
      </c>
      <c r="S1567" s="196">
        <f>IF(AND(ISNUMBER(E1567),ISNUMBER(Q1567)),E1567*R1567,0)</f>
        <v/>
      </c>
      <c r="T1567" s="192">
        <f>$BC1567*V$11</f>
        <v/>
      </c>
      <c r="U1567" s="76">
        <f>$BC1567*W$11</f>
        <v/>
      </c>
      <c r="V1567" s="193">
        <f>+SUM(T1567:U1567)</f>
        <v/>
      </c>
      <c r="W1567" s="191" t="n"/>
      <c r="X1567" s="170" t="n"/>
      <c r="Y1567" s="76">
        <f>ROUND(IF(offer_incoterms="DDP",X1567*(S1567*(1+AW1567)+T1567),0),2)</f>
        <v/>
      </c>
      <c r="Z1567" s="188" t="n"/>
      <c r="AA1567" s="192">
        <f>IFERROR(AB1567/E1567,0)</f>
        <v/>
      </c>
      <c r="AB1567" s="76">
        <f>ROUND(SUM(S1567,V1567,Y1567:Z1567,BA1567:BB1567),2)</f>
        <v/>
      </c>
      <c r="AC1567" s="797" t="n"/>
      <c r="AD1567" s="192">
        <f t="array" ref="AD1567">IFERROR(ROUND((_xlfn.IFS(offer_sale_type="поставка",AB1567,offer_sale_type="транзит",S1567)*(1+AC1567))/E1567,2),0)</f>
        <v/>
      </c>
      <c r="AE1567" s="76">
        <f>AD1567*E1567</f>
        <v/>
      </c>
      <c r="AF1567" s="193">
        <f t="array" ref="AF1567">IFERROR(ROUND(_xlfn.IFS(offer_sale_type="поставка",AB1567,offer_sale_type="транзит",S1567)*AC1567,2),0)</f>
        <v/>
      </c>
      <c r="AG1567" s="192">
        <f>$BD1567*VLOOKUP($AG$3,$AF$4:$AG$7,2,FALSE)</f>
        <v/>
      </c>
      <c r="AH1567" s="76">
        <f>SUM(AE1567,AG1567,AI1567)*rate_forex_risk</f>
        <v/>
      </c>
      <c r="AI1567" s="193">
        <f>IF(OR(seller_region="TR",offer_sale_type="экспорт"),0,rate_fin_comm)*SUM(AZ1567,AZ1567*AW1567,T1567)</f>
        <v/>
      </c>
      <c r="AJ1567" s="118">
        <f>IFERROR(ROUND(SUM(AB1567,AF1567:AI1567)/E1567,2),0)</f>
        <v/>
      </c>
      <c r="AK1567" s="76">
        <f>AJ1567*E1567</f>
        <v/>
      </c>
      <c r="AL1567" s="174">
        <f>ROUND(IFERROR(AM1567*E1567,0),2)</f>
        <v/>
      </c>
      <c r="AM1567" s="175">
        <f>ROUND(AJ1567*(1+IF(offer_incoterms="DDP",IF((TODAY()+offer_turnaround_time)&gt;=helpsheet!$L$17,rate_vatRU_from_26,rate_vatRu_till_25),0)),2)</f>
        <v/>
      </c>
      <c r="AN1567" s="192">
        <f>AL1567-AK1567</f>
        <v/>
      </c>
      <c r="AO1567" s="76">
        <f>SUM(AY1567,Y1567:Z1567,T1567)*IF(AND(offer_incoterms="DDP",offer_sale_type&lt;&gt;"экспорт"),IF((TODAY()+offer_turnaround_time)&gt;=helpsheet!$L$17,rate_vatRU_from_26,rate_vatRu_till_25),0)</f>
        <v/>
      </c>
      <c r="AP1567" s="193">
        <f>AN1567-AO1567</f>
        <v/>
      </c>
      <c r="AQ1567" s="118">
        <f>IF(offer_sale_type="транзит",SUM(AF1567:AI1567,BA1567,BB1567),0)</f>
        <v/>
      </c>
      <c r="AR1567" s="82">
        <f>HYPERLINK("https://www.alta.ru/tnved/code/")&amp;W1567&amp;"/"</f>
        <v/>
      </c>
      <c r="AS1567" s="157" t="n"/>
      <c r="AT1567" s="162" t="n"/>
      <c r="AU1567" s="76">
        <f>IF(ISBLANK(AT1567),0,AJ1567-AT1567)</f>
        <v/>
      </c>
      <c r="AV1567" s="157" t="n"/>
      <c r="AW1567" s="75">
        <f>_xlfn.IFNA(VLOOKUP(L1567,list_vat[],3,FALSE),0)</f>
        <v/>
      </c>
      <c r="AX1567" s="76">
        <f>IFERROR(ROUND(S1567*(1+AW1567)/E1567,2),0)</f>
        <v/>
      </c>
      <c r="AY1567" s="76">
        <f>E1567*AX1567</f>
        <v/>
      </c>
      <c r="AZ1567" s="192">
        <f>S1567*(1+M1567)</f>
        <v/>
      </c>
      <c r="BA1567" s="76">
        <f>cost_fin_total*$BD1567</f>
        <v/>
      </c>
      <c r="BB1567" s="193">
        <f>credit_sales_interest*BD1567</f>
        <v/>
      </c>
      <c r="BC1567" s="102">
        <f>IFERROR(IF($I$13&gt;0,$I1567/$I$13,$S1567/$S$13),0)</f>
        <v/>
      </c>
      <c r="BD1567" s="102">
        <f>IFERROR($S1567/$S$13,0)</f>
        <v/>
      </c>
      <c r="BE1567" s="413" t="inlineStr">
        <is>
          <t>$</t>
        </is>
      </c>
    </row>
    <row r="1568" ht="12" customFormat="1" customHeight="1" s="65">
      <c r="A1568" s="43" t="n">
        <v>1553</v>
      </c>
      <c r="B1568" s="166" t="n"/>
      <c r="C1568" s="166" t="n"/>
      <c r="D1568" s="166" t="n"/>
      <c r="E1568" s="162" t="n"/>
      <c r="F1568" s="166" t="n"/>
      <c r="G1568" s="162" t="n"/>
      <c r="H1568" s="162" t="n"/>
      <c r="I1568" s="189">
        <f>E1568*G1568</f>
        <v/>
      </c>
      <c r="J1568" s="195" t="n"/>
      <c r="K1568" s="162" t="n"/>
      <c r="L1568" s="168" t="n"/>
      <c r="M1568" s="75">
        <f>_xlfn.XLOOKUP(L1568,list_vat[Страна],list_vat[Ставка НДС %],0,0)</f>
        <v/>
      </c>
      <c r="N1568" s="162">
        <f>IFERROR(IF(L1568="Китай",K1568,K1568/(1+M1568)),0)</f>
        <v/>
      </c>
      <c r="O1568" s="169" t="n"/>
      <c r="P1568" s="76">
        <f>N1568*(1-O1568)</f>
        <v/>
      </c>
      <c r="Q1568" s="162" t="n"/>
      <c r="R1568" s="162">
        <f>IF(ISBLANK(Q1568),"введи курс",P1568/Q1568)</f>
        <v/>
      </c>
      <c r="S1568" s="196">
        <f>IF(AND(ISNUMBER(E1568),ISNUMBER(Q1568)),E1568*R1568,0)</f>
        <v/>
      </c>
      <c r="T1568" s="192">
        <f>$BC1568*V$11</f>
        <v/>
      </c>
      <c r="U1568" s="76">
        <f>$BC1568*W$11</f>
        <v/>
      </c>
      <c r="V1568" s="193">
        <f>+SUM(T1568:U1568)</f>
        <v/>
      </c>
      <c r="W1568" s="191" t="n"/>
      <c r="X1568" s="170" t="n"/>
      <c r="Y1568" s="76">
        <f>ROUND(IF(offer_incoterms="DDP",X1568*(S1568*(1+AW1568)+T1568),0),2)</f>
        <v/>
      </c>
      <c r="Z1568" s="188" t="n"/>
      <c r="AA1568" s="192">
        <f>IFERROR(AB1568/E1568,0)</f>
        <v/>
      </c>
      <c r="AB1568" s="76">
        <f>ROUND(SUM(S1568,V1568,Y1568:Z1568,BA1568:BB1568),2)</f>
        <v/>
      </c>
      <c r="AC1568" s="797" t="n"/>
      <c r="AD1568" s="192">
        <f t="array" ref="AD1568">IFERROR(ROUND((_xlfn.IFS(offer_sale_type="поставка",AB1568,offer_sale_type="транзит",S1568)*(1+AC1568))/E1568,2),0)</f>
        <v/>
      </c>
      <c r="AE1568" s="76">
        <f>AD1568*E1568</f>
        <v/>
      </c>
      <c r="AF1568" s="193">
        <f t="array" ref="AF1568">IFERROR(ROUND(_xlfn.IFS(offer_sale_type="поставка",AB1568,offer_sale_type="транзит",S1568)*AC1568,2),0)</f>
        <v/>
      </c>
      <c r="AG1568" s="192">
        <f>$BD1568*VLOOKUP($AG$3,$AF$4:$AG$7,2,FALSE)</f>
        <v/>
      </c>
      <c r="AH1568" s="76">
        <f>SUM(AE1568,AG1568,AI1568)*rate_forex_risk</f>
        <v/>
      </c>
      <c r="AI1568" s="193">
        <f>IF(OR(seller_region="TR",offer_sale_type="экспорт"),0,rate_fin_comm)*SUM(AZ1568,AZ1568*AW1568,T1568)</f>
        <v/>
      </c>
      <c r="AJ1568" s="118">
        <f>IFERROR(ROUND(SUM(AB1568,AF1568:AI1568)/E1568,2),0)</f>
        <v/>
      </c>
      <c r="AK1568" s="76">
        <f>AJ1568*E1568</f>
        <v/>
      </c>
      <c r="AL1568" s="174">
        <f>ROUND(IFERROR(AM1568*E1568,0),2)</f>
        <v/>
      </c>
      <c r="AM1568" s="175">
        <f>ROUND(AJ1568*(1+IF(offer_incoterms="DDP",IF((TODAY()+offer_turnaround_time)&gt;=helpsheet!$L$17,rate_vatRU_from_26,rate_vatRu_till_25),0)),2)</f>
        <v/>
      </c>
      <c r="AN1568" s="192">
        <f>AL1568-AK1568</f>
        <v/>
      </c>
      <c r="AO1568" s="76">
        <f>SUM(AY1568,Y1568:Z1568,T1568)*IF(AND(offer_incoterms="DDP",offer_sale_type&lt;&gt;"экспорт"),IF((TODAY()+offer_turnaround_time)&gt;=helpsheet!$L$17,rate_vatRU_from_26,rate_vatRu_till_25),0)</f>
        <v/>
      </c>
      <c r="AP1568" s="193">
        <f>AN1568-AO1568</f>
        <v/>
      </c>
      <c r="AQ1568" s="118">
        <f>IF(offer_sale_type="транзит",SUM(AF1568:AI1568,BA1568,BB1568),0)</f>
        <v/>
      </c>
      <c r="AR1568" s="82">
        <f>HYPERLINK("https://www.alta.ru/tnved/code/")&amp;W1568&amp;"/"</f>
        <v/>
      </c>
      <c r="AS1568" s="157" t="n"/>
      <c r="AT1568" s="162" t="n"/>
      <c r="AU1568" s="76">
        <f>IF(ISBLANK(AT1568),0,AJ1568-AT1568)</f>
        <v/>
      </c>
      <c r="AV1568" s="157" t="n"/>
      <c r="AW1568" s="75">
        <f>_xlfn.IFNA(VLOOKUP(L1568,list_vat[],3,FALSE),0)</f>
        <v/>
      </c>
      <c r="AX1568" s="76">
        <f>IFERROR(ROUND(S1568*(1+AW1568)/E1568,2),0)</f>
        <v/>
      </c>
      <c r="AY1568" s="76">
        <f>E1568*AX1568</f>
        <v/>
      </c>
      <c r="AZ1568" s="192">
        <f>S1568*(1+M1568)</f>
        <v/>
      </c>
      <c r="BA1568" s="76">
        <f>cost_fin_total*$BD1568</f>
        <v/>
      </c>
      <c r="BB1568" s="193">
        <f>credit_sales_interest*BD1568</f>
        <v/>
      </c>
      <c r="BC1568" s="102">
        <f>IFERROR(IF($I$13&gt;0,$I1568/$I$13,$S1568/$S$13),0)</f>
        <v/>
      </c>
      <c r="BD1568" s="102">
        <f>IFERROR($S1568/$S$13,0)</f>
        <v/>
      </c>
      <c r="BE1568" s="413" t="inlineStr">
        <is>
          <t>$</t>
        </is>
      </c>
    </row>
    <row r="1569" ht="12" customFormat="1" customHeight="1" s="65">
      <c r="A1569" s="43" t="n">
        <v>1554</v>
      </c>
      <c r="B1569" s="166" t="n"/>
      <c r="C1569" s="166" t="n"/>
      <c r="D1569" s="166" t="n"/>
      <c r="E1569" s="162" t="n"/>
      <c r="F1569" s="166" t="n"/>
      <c r="G1569" s="162" t="n"/>
      <c r="H1569" s="162" t="n"/>
      <c r="I1569" s="189">
        <f>E1569*G1569</f>
        <v/>
      </c>
      <c r="J1569" s="195" t="n"/>
      <c r="K1569" s="162" t="n"/>
      <c r="L1569" s="168" t="n"/>
      <c r="M1569" s="75">
        <f>_xlfn.XLOOKUP(L1569,list_vat[Страна],list_vat[Ставка НДС %],0,0)</f>
        <v/>
      </c>
      <c r="N1569" s="162">
        <f>IFERROR(IF(L1569="Китай",K1569,K1569/(1+M1569)),0)</f>
        <v/>
      </c>
      <c r="O1569" s="169" t="n"/>
      <c r="P1569" s="76">
        <f>N1569*(1-O1569)</f>
        <v/>
      </c>
      <c r="Q1569" s="162" t="n"/>
      <c r="R1569" s="162">
        <f>IF(ISBLANK(Q1569),"введи курс",P1569/Q1569)</f>
        <v/>
      </c>
      <c r="S1569" s="196">
        <f>IF(AND(ISNUMBER(E1569),ISNUMBER(Q1569)),E1569*R1569,0)</f>
        <v/>
      </c>
      <c r="T1569" s="192">
        <f>$BC1569*V$11</f>
        <v/>
      </c>
      <c r="U1569" s="76">
        <f>$BC1569*W$11</f>
        <v/>
      </c>
      <c r="V1569" s="193">
        <f>+SUM(T1569:U1569)</f>
        <v/>
      </c>
      <c r="W1569" s="191" t="n"/>
      <c r="X1569" s="170" t="n"/>
      <c r="Y1569" s="76">
        <f>ROUND(IF(offer_incoterms="DDP",X1569*(S1569*(1+AW1569)+T1569),0),2)</f>
        <v/>
      </c>
      <c r="Z1569" s="188" t="n"/>
      <c r="AA1569" s="192">
        <f>IFERROR(AB1569/E1569,0)</f>
        <v/>
      </c>
      <c r="AB1569" s="76">
        <f>ROUND(SUM(S1569,V1569,Y1569:Z1569,BA1569:BB1569),2)</f>
        <v/>
      </c>
      <c r="AC1569" s="797" t="n"/>
      <c r="AD1569" s="192">
        <f t="array" ref="AD1569">IFERROR(ROUND((_xlfn.IFS(offer_sale_type="поставка",AB1569,offer_sale_type="транзит",S1569)*(1+AC1569))/E1569,2),0)</f>
        <v/>
      </c>
      <c r="AE1569" s="76">
        <f>AD1569*E1569</f>
        <v/>
      </c>
      <c r="AF1569" s="193">
        <f t="array" ref="AF1569">IFERROR(ROUND(_xlfn.IFS(offer_sale_type="поставка",AB1569,offer_sale_type="транзит",S1569)*AC1569,2),0)</f>
        <v/>
      </c>
      <c r="AG1569" s="192">
        <f>$BD1569*VLOOKUP($AG$3,$AF$4:$AG$7,2,FALSE)</f>
        <v/>
      </c>
      <c r="AH1569" s="76">
        <f>SUM(AE1569,AG1569,AI1569)*rate_forex_risk</f>
        <v/>
      </c>
      <c r="AI1569" s="193">
        <f>IF(OR(seller_region="TR",offer_sale_type="экспорт"),0,rate_fin_comm)*SUM(AZ1569,AZ1569*AW1569,T1569)</f>
        <v/>
      </c>
      <c r="AJ1569" s="118">
        <f>IFERROR(ROUND(SUM(AB1569,AF1569:AI1569)/E1569,2),0)</f>
        <v/>
      </c>
      <c r="AK1569" s="76">
        <f>AJ1569*E1569</f>
        <v/>
      </c>
      <c r="AL1569" s="174">
        <f>ROUND(IFERROR(AM1569*E1569,0),2)</f>
        <v/>
      </c>
      <c r="AM1569" s="175">
        <f>ROUND(AJ1569*(1+IF(offer_incoterms="DDP",IF((TODAY()+offer_turnaround_time)&gt;=helpsheet!$L$17,rate_vatRU_from_26,rate_vatRu_till_25),0)),2)</f>
        <v/>
      </c>
      <c r="AN1569" s="192">
        <f>AL1569-AK1569</f>
        <v/>
      </c>
      <c r="AO1569" s="76">
        <f>SUM(AY1569,Y1569:Z1569,T1569)*IF(AND(offer_incoterms="DDP",offer_sale_type&lt;&gt;"экспорт"),IF((TODAY()+offer_turnaround_time)&gt;=helpsheet!$L$17,rate_vatRU_from_26,rate_vatRu_till_25),0)</f>
        <v/>
      </c>
      <c r="AP1569" s="193">
        <f>AN1569-AO1569</f>
        <v/>
      </c>
      <c r="AQ1569" s="118">
        <f>IF(offer_sale_type="транзит",SUM(AF1569:AI1569,BA1569,BB1569),0)</f>
        <v/>
      </c>
      <c r="AR1569" s="82">
        <f>HYPERLINK("https://www.alta.ru/tnved/code/")&amp;W1569&amp;"/"</f>
        <v/>
      </c>
      <c r="AS1569" s="157" t="n"/>
      <c r="AT1569" s="162" t="n"/>
      <c r="AU1569" s="76">
        <f>IF(ISBLANK(AT1569),0,AJ1569-AT1569)</f>
        <v/>
      </c>
      <c r="AV1569" s="157" t="n"/>
      <c r="AW1569" s="75">
        <f>_xlfn.IFNA(VLOOKUP(L1569,list_vat[],3,FALSE),0)</f>
        <v/>
      </c>
      <c r="AX1569" s="76">
        <f>IFERROR(ROUND(S1569*(1+AW1569)/E1569,2),0)</f>
        <v/>
      </c>
      <c r="AY1569" s="76">
        <f>E1569*AX1569</f>
        <v/>
      </c>
      <c r="AZ1569" s="192">
        <f>S1569*(1+M1569)</f>
        <v/>
      </c>
      <c r="BA1569" s="76">
        <f>cost_fin_total*$BD1569</f>
        <v/>
      </c>
      <c r="BB1569" s="193">
        <f>credit_sales_interest*BD1569</f>
        <v/>
      </c>
      <c r="BC1569" s="102">
        <f>IFERROR(IF($I$13&gt;0,$I1569/$I$13,$S1569/$S$13),0)</f>
        <v/>
      </c>
      <c r="BD1569" s="102">
        <f>IFERROR($S1569/$S$13,0)</f>
        <v/>
      </c>
      <c r="BE1569" s="413" t="inlineStr">
        <is>
          <t>$</t>
        </is>
      </c>
    </row>
    <row r="1570" ht="12" customFormat="1" customHeight="1" s="65">
      <c r="A1570" s="43" t="n">
        <v>1555</v>
      </c>
      <c r="B1570" s="166" t="n"/>
      <c r="C1570" s="166" t="n"/>
      <c r="D1570" s="166" t="n"/>
      <c r="E1570" s="162" t="n"/>
      <c r="F1570" s="166" t="n"/>
      <c r="G1570" s="162" t="n"/>
      <c r="H1570" s="162" t="n"/>
      <c r="I1570" s="189">
        <f>E1570*G1570</f>
        <v/>
      </c>
      <c r="J1570" s="195" t="n"/>
      <c r="K1570" s="162" t="n"/>
      <c r="L1570" s="168" t="n"/>
      <c r="M1570" s="75">
        <f>_xlfn.XLOOKUP(L1570,list_vat[Страна],list_vat[Ставка НДС %],0,0)</f>
        <v/>
      </c>
      <c r="N1570" s="162">
        <f>IFERROR(IF(L1570="Китай",K1570,K1570/(1+M1570)),0)</f>
        <v/>
      </c>
      <c r="O1570" s="169" t="n"/>
      <c r="P1570" s="76">
        <f>N1570*(1-O1570)</f>
        <v/>
      </c>
      <c r="Q1570" s="162" t="n"/>
      <c r="R1570" s="162">
        <f>IF(ISBLANK(Q1570),"введи курс",P1570/Q1570)</f>
        <v/>
      </c>
      <c r="S1570" s="196">
        <f>IF(AND(ISNUMBER(E1570),ISNUMBER(Q1570)),E1570*R1570,0)</f>
        <v/>
      </c>
      <c r="T1570" s="192">
        <f>$BC1570*V$11</f>
        <v/>
      </c>
      <c r="U1570" s="76">
        <f>$BC1570*W$11</f>
        <v/>
      </c>
      <c r="V1570" s="193">
        <f>+SUM(T1570:U1570)</f>
        <v/>
      </c>
      <c r="W1570" s="191" t="n"/>
      <c r="X1570" s="170" t="n"/>
      <c r="Y1570" s="76">
        <f>ROUND(IF(offer_incoterms="DDP",X1570*(S1570*(1+AW1570)+T1570),0),2)</f>
        <v/>
      </c>
      <c r="Z1570" s="188" t="n"/>
      <c r="AA1570" s="192">
        <f>IFERROR(AB1570/E1570,0)</f>
        <v/>
      </c>
      <c r="AB1570" s="76">
        <f>ROUND(SUM(S1570,V1570,Y1570:Z1570,BA1570:BB1570),2)</f>
        <v/>
      </c>
      <c r="AC1570" s="797" t="n"/>
      <c r="AD1570" s="192">
        <f t="array" ref="AD1570">IFERROR(ROUND((_xlfn.IFS(offer_sale_type="поставка",AB1570,offer_sale_type="транзит",S1570)*(1+AC1570))/E1570,2),0)</f>
        <v/>
      </c>
      <c r="AE1570" s="76">
        <f>AD1570*E1570</f>
        <v/>
      </c>
      <c r="AF1570" s="193">
        <f t="array" ref="AF1570">IFERROR(ROUND(_xlfn.IFS(offer_sale_type="поставка",AB1570,offer_sale_type="транзит",S1570)*AC1570,2),0)</f>
        <v/>
      </c>
      <c r="AG1570" s="192">
        <f>$BD1570*VLOOKUP($AG$3,$AF$4:$AG$7,2,FALSE)</f>
        <v/>
      </c>
      <c r="AH1570" s="76">
        <f>SUM(AE1570,AG1570,AI1570)*rate_forex_risk</f>
        <v/>
      </c>
      <c r="AI1570" s="193">
        <f>IF(OR(seller_region="TR",offer_sale_type="экспорт"),0,rate_fin_comm)*SUM(AZ1570,AZ1570*AW1570,T1570)</f>
        <v/>
      </c>
      <c r="AJ1570" s="118">
        <f>IFERROR(ROUND(SUM(AB1570,AF1570:AI1570)/E1570,2),0)</f>
        <v/>
      </c>
      <c r="AK1570" s="76">
        <f>AJ1570*E1570</f>
        <v/>
      </c>
      <c r="AL1570" s="174">
        <f>ROUND(IFERROR(AM1570*E1570,0),2)</f>
        <v/>
      </c>
      <c r="AM1570" s="175">
        <f>ROUND(AJ1570*(1+IF(offer_incoterms="DDP",IF((TODAY()+offer_turnaround_time)&gt;=helpsheet!$L$17,rate_vatRU_from_26,rate_vatRu_till_25),0)),2)</f>
        <v/>
      </c>
      <c r="AN1570" s="192">
        <f>AL1570-AK1570</f>
        <v/>
      </c>
      <c r="AO1570" s="76">
        <f>SUM(AY1570,Y1570:Z1570,T1570)*IF(AND(offer_incoterms="DDP",offer_sale_type&lt;&gt;"экспорт"),IF((TODAY()+offer_turnaround_time)&gt;=helpsheet!$L$17,rate_vatRU_from_26,rate_vatRu_till_25),0)</f>
        <v/>
      </c>
      <c r="AP1570" s="193">
        <f>AN1570-AO1570</f>
        <v/>
      </c>
      <c r="AQ1570" s="118">
        <f>IF(offer_sale_type="транзит",SUM(AF1570:AI1570,BA1570,BB1570),0)</f>
        <v/>
      </c>
      <c r="AR1570" s="82">
        <f>HYPERLINK("https://www.alta.ru/tnved/code/")&amp;W1570&amp;"/"</f>
        <v/>
      </c>
      <c r="AS1570" s="157" t="n"/>
      <c r="AT1570" s="162" t="n"/>
      <c r="AU1570" s="76">
        <f>IF(ISBLANK(AT1570),0,AJ1570-AT1570)</f>
        <v/>
      </c>
      <c r="AV1570" s="157" t="n"/>
      <c r="AW1570" s="75">
        <f>_xlfn.IFNA(VLOOKUP(L1570,list_vat[],3,FALSE),0)</f>
        <v/>
      </c>
      <c r="AX1570" s="76">
        <f>IFERROR(ROUND(S1570*(1+AW1570)/E1570,2),0)</f>
        <v/>
      </c>
      <c r="AY1570" s="76">
        <f>E1570*AX1570</f>
        <v/>
      </c>
      <c r="AZ1570" s="192">
        <f>S1570*(1+M1570)</f>
        <v/>
      </c>
      <c r="BA1570" s="76">
        <f>cost_fin_total*$BD1570</f>
        <v/>
      </c>
      <c r="BB1570" s="193">
        <f>credit_sales_interest*BD1570</f>
        <v/>
      </c>
      <c r="BC1570" s="102">
        <f>IFERROR(IF($I$13&gt;0,$I1570/$I$13,$S1570/$S$13),0)</f>
        <v/>
      </c>
      <c r="BD1570" s="102">
        <f>IFERROR($S1570/$S$13,0)</f>
        <v/>
      </c>
      <c r="BE1570" s="413" t="inlineStr">
        <is>
          <t>$</t>
        </is>
      </c>
    </row>
    <row r="1571" ht="12" customFormat="1" customHeight="1" s="65">
      <c r="A1571" s="43" t="n">
        <v>1556</v>
      </c>
      <c r="B1571" s="166" t="n"/>
      <c r="C1571" s="166" t="n"/>
      <c r="D1571" s="166" t="n"/>
      <c r="E1571" s="162" t="n"/>
      <c r="F1571" s="166" t="n"/>
      <c r="G1571" s="162" t="n"/>
      <c r="H1571" s="162" t="n"/>
      <c r="I1571" s="189">
        <f>E1571*G1571</f>
        <v/>
      </c>
      <c r="J1571" s="195" t="n"/>
      <c r="K1571" s="162" t="n"/>
      <c r="L1571" s="168" t="n"/>
      <c r="M1571" s="75">
        <f>_xlfn.XLOOKUP(L1571,list_vat[Страна],list_vat[Ставка НДС %],0,0)</f>
        <v/>
      </c>
      <c r="N1571" s="162">
        <f>IFERROR(IF(L1571="Китай",K1571,K1571/(1+M1571)),0)</f>
        <v/>
      </c>
      <c r="O1571" s="169" t="n"/>
      <c r="P1571" s="76">
        <f>N1571*(1-O1571)</f>
        <v/>
      </c>
      <c r="Q1571" s="162" t="n"/>
      <c r="R1571" s="162">
        <f>IF(ISBLANK(Q1571),"введи курс",P1571/Q1571)</f>
        <v/>
      </c>
      <c r="S1571" s="196">
        <f>IF(AND(ISNUMBER(E1571),ISNUMBER(Q1571)),E1571*R1571,0)</f>
        <v/>
      </c>
      <c r="T1571" s="192">
        <f>$BC1571*V$11</f>
        <v/>
      </c>
      <c r="U1571" s="76">
        <f>$BC1571*W$11</f>
        <v/>
      </c>
      <c r="V1571" s="193">
        <f>+SUM(T1571:U1571)</f>
        <v/>
      </c>
      <c r="W1571" s="191" t="n"/>
      <c r="X1571" s="170" t="n"/>
      <c r="Y1571" s="76">
        <f>ROUND(IF(offer_incoterms="DDP",X1571*(S1571*(1+AW1571)+T1571),0),2)</f>
        <v/>
      </c>
      <c r="Z1571" s="188" t="n"/>
      <c r="AA1571" s="192">
        <f>IFERROR(AB1571/E1571,0)</f>
        <v/>
      </c>
      <c r="AB1571" s="76">
        <f>ROUND(SUM(S1571,V1571,Y1571:Z1571,BA1571:BB1571),2)</f>
        <v/>
      </c>
      <c r="AC1571" s="797" t="n"/>
      <c r="AD1571" s="192">
        <f t="array" ref="AD1571">IFERROR(ROUND((_xlfn.IFS(offer_sale_type="поставка",AB1571,offer_sale_type="транзит",S1571)*(1+AC1571))/E1571,2),0)</f>
        <v/>
      </c>
      <c r="AE1571" s="76">
        <f>AD1571*E1571</f>
        <v/>
      </c>
      <c r="AF1571" s="193">
        <f t="array" ref="AF1571">IFERROR(ROUND(_xlfn.IFS(offer_sale_type="поставка",AB1571,offer_sale_type="транзит",S1571)*AC1571,2),0)</f>
        <v/>
      </c>
      <c r="AG1571" s="192">
        <f>$BD1571*VLOOKUP($AG$3,$AF$4:$AG$7,2,FALSE)</f>
        <v/>
      </c>
      <c r="AH1571" s="76">
        <f>SUM(AE1571,AG1571,AI1571)*rate_forex_risk</f>
        <v/>
      </c>
      <c r="AI1571" s="193">
        <f>IF(OR(seller_region="TR",offer_sale_type="экспорт"),0,rate_fin_comm)*SUM(AZ1571,AZ1571*AW1571,T1571)</f>
        <v/>
      </c>
      <c r="AJ1571" s="118">
        <f>IFERROR(ROUND(SUM(AB1571,AF1571:AI1571)/E1571,2),0)</f>
        <v/>
      </c>
      <c r="AK1571" s="76">
        <f>AJ1571*E1571</f>
        <v/>
      </c>
      <c r="AL1571" s="174">
        <f>ROUND(IFERROR(AM1571*E1571,0),2)</f>
        <v/>
      </c>
      <c r="AM1571" s="175">
        <f>ROUND(AJ1571*(1+IF(offer_incoterms="DDP",IF((TODAY()+offer_turnaround_time)&gt;=helpsheet!$L$17,rate_vatRU_from_26,rate_vatRu_till_25),0)),2)</f>
        <v/>
      </c>
      <c r="AN1571" s="192">
        <f>AL1571-AK1571</f>
        <v/>
      </c>
      <c r="AO1571" s="76">
        <f>SUM(AY1571,Y1571:Z1571,T1571)*IF(AND(offer_incoterms="DDP",offer_sale_type&lt;&gt;"экспорт"),IF((TODAY()+offer_turnaround_time)&gt;=helpsheet!$L$17,rate_vatRU_from_26,rate_vatRu_till_25),0)</f>
        <v/>
      </c>
      <c r="AP1571" s="193">
        <f>AN1571-AO1571</f>
        <v/>
      </c>
      <c r="AQ1571" s="118">
        <f>IF(offer_sale_type="транзит",SUM(AF1571:AI1571,BA1571,BB1571),0)</f>
        <v/>
      </c>
      <c r="AR1571" s="82">
        <f>HYPERLINK("https://www.alta.ru/tnved/code/")&amp;W1571&amp;"/"</f>
        <v/>
      </c>
      <c r="AS1571" s="157" t="n"/>
      <c r="AT1571" s="162" t="n"/>
      <c r="AU1571" s="76">
        <f>IF(ISBLANK(AT1571),0,AJ1571-AT1571)</f>
        <v/>
      </c>
      <c r="AV1571" s="157" t="n"/>
      <c r="AW1571" s="75">
        <f>_xlfn.IFNA(VLOOKUP(L1571,list_vat[],3,FALSE),0)</f>
        <v/>
      </c>
      <c r="AX1571" s="76">
        <f>IFERROR(ROUND(S1571*(1+AW1571)/E1571,2),0)</f>
        <v/>
      </c>
      <c r="AY1571" s="76">
        <f>E1571*AX1571</f>
        <v/>
      </c>
      <c r="AZ1571" s="192">
        <f>S1571*(1+M1571)</f>
        <v/>
      </c>
      <c r="BA1571" s="76">
        <f>cost_fin_total*$BD1571</f>
        <v/>
      </c>
      <c r="BB1571" s="193">
        <f>credit_sales_interest*BD1571</f>
        <v/>
      </c>
      <c r="BC1571" s="102">
        <f>IFERROR(IF($I$13&gt;0,$I1571/$I$13,$S1571/$S$13),0)</f>
        <v/>
      </c>
      <c r="BD1571" s="102">
        <f>IFERROR($S1571/$S$13,0)</f>
        <v/>
      </c>
      <c r="BE1571" s="413" t="inlineStr">
        <is>
          <t>$</t>
        </is>
      </c>
    </row>
    <row r="1572" ht="12" customFormat="1" customHeight="1" s="65">
      <c r="A1572" s="43" t="n">
        <v>1557</v>
      </c>
      <c r="B1572" s="166" t="n"/>
      <c r="C1572" s="166" t="n"/>
      <c r="D1572" s="166" t="n"/>
      <c r="E1572" s="162" t="n"/>
      <c r="F1572" s="166" t="n"/>
      <c r="G1572" s="162" t="n"/>
      <c r="H1572" s="162" t="n"/>
      <c r="I1572" s="189">
        <f>E1572*G1572</f>
        <v/>
      </c>
      <c r="J1572" s="195" t="n"/>
      <c r="K1572" s="162" t="n"/>
      <c r="L1572" s="168" t="n"/>
      <c r="M1572" s="75">
        <f>_xlfn.XLOOKUP(L1572,list_vat[Страна],list_vat[Ставка НДС %],0,0)</f>
        <v/>
      </c>
      <c r="N1572" s="162">
        <f>IFERROR(IF(L1572="Китай",K1572,K1572/(1+M1572)),0)</f>
        <v/>
      </c>
      <c r="O1572" s="169" t="n"/>
      <c r="P1572" s="76">
        <f>N1572*(1-O1572)</f>
        <v/>
      </c>
      <c r="Q1572" s="162" t="n"/>
      <c r="R1572" s="162">
        <f>IF(ISBLANK(Q1572),"введи курс",P1572/Q1572)</f>
        <v/>
      </c>
      <c r="S1572" s="196">
        <f>IF(AND(ISNUMBER(E1572),ISNUMBER(Q1572)),E1572*R1572,0)</f>
        <v/>
      </c>
      <c r="T1572" s="192">
        <f>$BC1572*V$11</f>
        <v/>
      </c>
      <c r="U1572" s="76">
        <f>$BC1572*W$11</f>
        <v/>
      </c>
      <c r="V1572" s="193">
        <f>+SUM(T1572:U1572)</f>
        <v/>
      </c>
      <c r="W1572" s="191" t="n"/>
      <c r="X1572" s="170" t="n"/>
      <c r="Y1572" s="76">
        <f>ROUND(IF(offer_incoterms="DDP",X1572*(S1572*(1+AW1572)+T1572),0),2)</f>
        <v/>
      </c>
      <c r="Z1572" s="188" t="n"/>
      <c r="AA1572" s="192">
        <f>IFERROR(AB1572/E1572,0)</f>
        <v/>
      </c>
      <c r="AB1572" s="76">
        <f>ROUND(SUM(S1572,V1572,Y1572:Z1572,BA1572:BB1572),2)</f>
        <v/>
      </c>
      <c r="AC1572" s="797" t="n"/>
      <c r="AD1572" s="192">
        <f t="array" ref="AD1572">IFERROR(ROUND((_xlfn.IFS(offer_sale_type="поставка",AB1572,offer_sale_type="транзит",S1572)*(1+AC1572))/E1572,2),0)</f>
        <v/>
      </c>
      <c r="AE1572" s="76">
        <f>AD1572*E1572</f>
        <v/>
      </c>
      <c r="AF1572" s="193">
        <f t="array" ref="AF1572">IFERROR(ROUND(_xlfn.IFS(offer_sale_type="поставка",AB1572,offer_sale_type="транзит",S1572)*AC1572,2),0)</f>
        <v/>
      </c>
      <c r="AG1572" s="192">
        <f>$BD1572*VLOOKUP($AG$3,$AF$4:$AG$7,2,FALSE)</f>
        <v/>
      </c>
      <c r="AH1572" s="76">
        <f>SUM(AE1572,AG1572,AI1572)*rate_forex_risk</f>
        <v/>
      </c>
      <c r="AI1572" s="193">
        <f>IF(OR(seller_region="TR",offer_sale_type="экспорт"),0,rate_fin_comm)*SUM(AZ1572,AZ1572*AW1572,T1572)</f>
        <v/>
      </c>
      <c r="AJ1572" s="118">
        <f>IFERROR(ROUND(SUM(AB1572,AF1572:AI1572)/E1572,2),0)</f>
        <v/>
      </c>
      <c r="AK1572" s="76">
        <f>AJ1572*E1572</f>
        <v/>
      </c>
      <c r="AL1572" s="174">
        <f>ROUND(IFERROR(AM1572*E1572,0),2)</f>
        <v/>
      </c>
      <c r="AM1572" s="175">
        <f>ROUND(AJ1572*(1+IF(offer_incoterms="DDP",IF((TODAY()+offer_turnaround_time)&gt;=helpsheet!$L$17,rate_vatRU_from_26,rate_vatRu_till_25),0)),2)</f>
        <v/>
      </c>
      <c r="AN1572" s="192">
        <f>AL1572-AK1572</f>
        <v/>
      </c>
      <c r="AO1572" s="76">
        <f>SUM(AY1572,Y1572:Z1572,T1572)*IF(AND(offer_incoterms="DDP",offer_sale_type&lt;&gt;"экспорт"),IF((TODAY()+offer_turnaround_time)&gt;=helpsheet!$L$17,rate_vatRU_from_26,rate_vatRu_till_25),0)</f>
        <v/>
      </c>
      <c r="AP1572" s="193">
        <f>AN1572-AO1572</f>
        <v/>
      </c>
      <c r="AQ1572" s="118">
        <f>IF(offer_sale_type="транзит",SUM(AF1572:AI1572,BA1572,BB1572),0)</f>
        <v/>
      </c>
      <c r="AR1572" s="82">
        <f>HYPERLINK("https://www.alta.ru/tnved/code/")&amp;W1572&amp;"/"</f>
        <v/>
      </c>
      <c r="AS1572" s="157" t="n"/>
      <c r="AT1572" s="162" t="n"/>
      <c r="AU1572" s="76">
        <f>IF(ISBLANK(AT1572),0,AJ1572-AT1572)</f>
        <v/>
      </c>
      <c r="AV1572" s="157" t="n"/>
      <c r="AW1572" s="75">
        <f>_xlfn.IFNA(VLOOKUP(L1572,list_vat[],3,FALSE),0)</f>
        <v/>
      </c>
      <c r="AX1572" s="76">
        <f>IFERROR(ROUND(S1572*(1+AW1572)/E1572,2),0)</f>
        <v/>
      </c>
      <c r="AY1572" s="76">
        <f>E1572*AX1572</f>
        <v/>
      </c>
      <c r="AZ1572" s="192">
        <f>S1572*(1+M1572)</f>
        <v/>
      </c>
      <c r="BA1572" s="76">
        <f>cost_fin_total*$BD1572</f>
        <v/>
      </c>
      <c r="BB1572" s="193">
        <f>credit_sales_interest*BD1572</f>
        <v/>
      </c>
      <c r="BC1572" s="102">
        <f>IFERROR(IF($I$13&gt;0,$I1572/$I$13,$S1572/$S$13),0)</f>
        <v/>
      </c>
      <c r="BD1572" s="102">
        <f>IFERROR($S1572/$S$13,0)</f>
        <v/>
      </c>
      <c r="BE1572" s="413" t="inlineStr">
        <is>
          <t>$</t>
        </is>
      </c>
    </row>
    <row r="1573" ht="12" customFormat="1" customHeight="1" s="65">
      <c r="A1573" s="43" t="n">
        <v>1558</v>
      </c>
      <c r="B1573" s="166" t="n"/>
      <c r="C1573" s="166" t="n"/>
      <c r="D1573" s="166" t="n"/>
      <c r="E1573" s="162" t="n"/>
      <c r="F1573" s="166" t="n"/>
      <c r="G1573" s="162" t="n"/>
      <c r="H1573" s="162" t="n"/>
      <c r="I1573" s="189">
        <f>E1573*G1573</f>
        <v/>
      </c>
      <c r="J1573" s="195" t="n"/>
      <c r="K1573" s="162" t="n"/>
      <c r="L1573" s="168" t="n"/>
      <c r="M1573" s="75">
        <f>_xlfn.XLOOKUP(L1573,list_vat[Страна],list_vat[Ставка НДС %],0,0)</f>
        <v/>
      </c>
      <c r="N1573" s="162">
        <f>IFERROR(IF(L1573="Китай",K1573,K1573/(1+M1573)),0)</f>
        <v/>
      </c>
      <c r="O1573" s="169" t="n"/>
      <c r="P1573" s="76">
        <f>N1573*(1-O1573)</f>
        <v/>
      </c>
      <c r="Q1573" s="162" t="n"/>
      <c r="R1573" s="162">
        <f>IF(ISBLANK(Q1573),"введи курс",P1573/Q1573)</f>
        <v/>
      </c>
      <c r="S1573" s="196">
        <f>IF(AND(ISNUMBER(E1573),ISNUMBER(Q1573)),E1573*R1573,0)</f>
        <v/>
      </c>
      <c r="T1573" s="192">
        <f>$BC1573*V$11</f>
        <v/>
      </c>
      <c r="U1573" s="76">
        <f>$BC1573*W$11</f>
        <v/>
      </c>
      <c r="V1573" s="193">
        <f>+SUM(T1573:U1573)</f>
        <v/>
      </c>
      <c r="W1573" s="191" t="n"/>
      <c r="X1573" s="170" t="n"/>
      <c r="Y1573" s="76">
        <f>ROUND(IF(offer_incoterms="DDP",X1573*(S1573*(1+AW1573)+T1573),0),2)</f>
        <v/>
      </c>
      <c r="Z1573" s="188" t="n"/>
      <c r="AA1573" s="192">
        <f>IFERROR(AB1573/E1573,0)</f>
        <v/>
      </c>
      <c r="AB1573" s="76">
        <f>ROUND(SUM(S1573,V1573,Y1573:Z1573,BA1573:BB1573),2)</f>
        <v/>
      </c>
      <c r="AC1573" s="797" t="n"/>
      <c r="AD1573" s="192">
        <f t="array" ref="AD1573">IFERROR(ROUND((_xlfn.IFS(offer_sale_type="поставка",AB1573,offer_sale_type="транзит",S1573)*(1+AC1573))/E1573,2),0)</f>
        <v/>
      </c>
      <c r="AE1573" s="76">
        <f>AD1573*E1573</f>
        <v/>
      </c>
      <c r="AF1573" s="193">
        <f t="array" ref="AF1573">IFERROR(ROUND(_xlfn.IFS(offer_sale_type="поставка",AB1573,offer_sale_type="транзит",S1573)*AC1573,2),0)</f>
        <v/>
      </c>
      <c r="AG1573" s="192">
        <f>$BD1573*VLOOKUP($AG$3,$AF$4:$AG$7,2,FALSE)</f>
        <v/>
      </c>
      <c r="AH1573" s="76">
        <f>SUM(AE1573,AG1573,AI1573)*rate_forex_risk</f>
        <v/>
      </c>
      <c r="AI1573" s="193">
        <f>IF(OR(seller_region="TR",offer_sale_type="экспорт"),0,rate_fin_comm)*SUM(AZ1573,AZ1573*AW1573,T1573)</f>
        <v/>
      </c>
      <c r="AJ1573" s="118">
        <f>IFERROR(ROUND(SUM(AB1573,AF1573:AI1573)/E1573,2),0)</f>
        <v/>
      </c>
      <c r="AK1573" s="76">
        <f>AJ1573*E1573</f>
        <v/>
      </c>
      <c r="AL1573" s="174">
        <f>ROUND(IFERROR(AM1573*E1573,0),2)</f>
        <v/>
      </c>
      <c r="AM1573" s="175">
        <f>ROUND(AJ1573*(1+IF(offer_incoterms="DDP",IF((TODAY()+offer_turnaround_time)&gt;=helpsheet!$L$17,rate_vatRU_from_26,rate_vatRu_till_25),0)),2)</f>
        <v/>
      </c>
      <c r="AN1573" s="192">
        <f>AL1573-AK1573</f>
        <v/>
      </c>
      <c r="AO1573" s="76">
        <f>SUM(AY1573,Y1573:Z1573,T1573)*IF(AND(offer_incoterms="DDP",offer_sale_type&lt;&gt;"экспорт"),IF((TODAY()+offer_turnaround_time)&gt;=helpsheet!$L$17,rate_vatRU_from_26,rate_vatRu_till_25),0)</f>
        <v/>
      </c>
      <c r="AP1573" s="193">
        <f>AN1573-AO1573</f>
        <v/>
      </c>
      <c r="AQ1573" s="118">
        <f>IF(offer_sale_type="транзит",SUM(AF1573:AI1573,BA1573,BB1573),0)</f>
        <v/>
      </c>
      <c r="AR1573" s="82">
        <f>HYPERLINK("https://www.alta.ru/tnved/code/")&amp;W1573&amp;"/"</f>
        <v/>
      </c>
      <c r="AS1573" s="157" t="n"/>
      <c r="AT1573" s="162" t="n"/>
      <c r="AU1573" s="76">
        <f>IF(ISBLANK(AT1573),0,AJ1573-AT1573)</f>
        <v/>
      </c>
      <c r="AV1573" s="157" t="n"/>
      <c r="AW1573" s="75">
        <f>_xlfn.IFNA(VLOOKUP(L1573,list_vat[],3,FALSE),0)</f>
        <v/>
      </c>
      <c r="AX1573" s="76">
        <f>IFERROR(ROUND(S1573*(1+AW1573)/E1573,2),0)</f>
        <v/>
      </c>
      <c r="AY1573" s="76">
        <f>E1573*AX1573</f>
        <v/>
      </c>
      <c r="AZ1573" s="192">
        <f>S1573*(1+M1573)</f>
        <v/>
      </c>
      <c r="BA1573" s="76">
        <f>cost_fin_total*$BD1573</f>
        <v/>
      </c>
      <c r="BB1573" s="193">
        <f>credit_sales_interest*BD1573</f>
        <v/>
      </c>
      <c r="BC1573" s="102">
        <f>IFERROR(IF($I$13&gt;0,$I1573/$I$13,$S1573/$S$13),0)</f>
        <v/>
      </c>
      <c r="BD1573" s="102">
        <f>IFERROR($S1573/$S$13,0)</f>
        <v/>
      </c>
      <c r="BE1573" s="413" t="inlineStr">
        <is>
          <t>$</t>
        </is>
      </c>
    </row>
    <row r="1574" ht="12" customFormat="1" customHeight="1" s="65">
      <c r="A1574" s="43" t="n">
        <v>1559</v>
      </c>
      <c r="B1574" s="166" t="n"/>
      <c r="C1574" s="166" t="n"/>
      <c r="D1574" s="166" t="n"/>
      <c r="E1574" s="162" t="n"/>
      <c r="F1574" s="166" t="n"/>
      <c r="G1574" s="162" t="n"/>
      <c r="H1574" s="162" t="n"/>
      <c r="I1574" s="189">
        <f>E1574*G1574</f>
        <v/>
      </c>
      <c r="J1574" s="195" t="n"/>
      <c r="K1574" s="162" t="n"/>
      <c r="L1574" s="168" t="n"/>
      <c r="M1574" s="75">
        <f>_xlfn.XLOOKUP(L1574,list_vat[Страна],list_vat[Ставка НДС %],0,0)</f>
        <v/>
      </c>
      <c r="N1574" s="162">
        <f>IFERROR(IF(L1574="Китай",K1574,K1574/(1+M1574)),0)</f>
        <v/>
      </c>
      <c r="O1574" s="169" t="n"/>
      <c r="P1574" s="76">
        <f>N1574*(1-O1574)</f>
        <v/>
      </c>
      <c r="Q1574" s="162" t="n"/>
      <c r="R1574" s="162">
        <f>IF(ISBLANK(Q1574),"введи курс",P1574/Q1574)</f>
        <v/>
      </c>
      <c r="S1574" s="196">
        <f>IF(AND(ISNUMBER(E1574),ISNUMBER(Q1574)),E1574*R1574,0)</f>
        <v/>
      </c>
      <c r="T1574" s="192">
        <f>$BC1574*V$11</f>
        <v/>
      </c>
      <c r="U1574" s="76">
        <f>$BC1574*W$11</f>
        <v/>
      </c>
      <c r="V1574" s="193">
        <f>+SUM(T1574:U1574)</f>
        <v/>
      </c>
      <c r="W1574" s="191" t="n"/>
      <c r="X1574" s="170" t="n"/>
      <c r="Y1574" s="76">
        <f>ROUND(IF(offer_incoterms="DDP",X1574*(S1574*(1+AW1574)+T1574),0),2)</f>
        <v/>
      </c>
      <c r="Z1574" s="188" t="n"/>
      <c r="AA1574" s="192">
        <f>IFERROR(AB1574/E1574,0)</f>
        <v/>
      </c>
      <c r="AB1574" s="76">
        <f>ROUND(SUM(S1574,V1574,Y1574:Z1574,BA1574:BB1574),2)</f>
        <v/>
      </c>
      <c r="AC1574" s="797" t="n"/>
      <c r="AD1574" s="192">
        <f t="array" ref="AD1574">IFERROR(ROUND((_xlfn.IFS(offer_sale_type="поставка",AB1574,offer_sale_type="транзит",S1574)*(1+AC1574))/E1574,2),0)</f>
        <v/>
      </c>
      <c r="AE1574" s="76">
        <f>AD1574*E1574</f>
        <v/>
      </c>
      <c r="AF1574" s="193">
        <f t="array" ref="AF1574">IFERROR(ROUND(_xlfn.IFS(offer_sale_type="поставка",AB1574,offer_sale_type="транзит",S1574)*AC1574,2),0)</f>
        <v/>
      </c>
      <c r="AG1574" s="192">
        <f>$BD1574*VLOOKUP($AG$3,$AF$4:$AG$7,2,FALSE)</f>
        <v/>
      </c>
      <c r="AH1574" s="76">
        <f>SUM(AE1574,AG1574,AI1574)*rate_forex_risk</f>
        <v/>
      </c>
      <c r="AI1574" s="193">
        <f>IF(OR(seller_region="TR",offer_sale_type="экспорт"),0,rate_fin_comm)*SUM(AZ1574,AZ1574*AW1574,T1574)</f>
        <v/>
      </c>
      <c r="AJ1574" s="118">
        <f>IFERROR(ROUND(SUM(AB1574,AF1574:AI1574)/E1574,2),0)</f>
        <v/>
      </c>
      <c r="AK1574" s="76">
        <f>AJ1574*E1574</f>
        <v/>
      </c>
      <c r="AL1574" s="174">
        <f>ROUND(IFERROR(AM1574*E1574,0),2)</f>
        <v/>
      </c>
      <c r="AM1574" s="175">
        <f>ROUND(AJ1574*(1+IF(offer_incoterms="DDP",IF((TODAY()+offer_turnaround_time)&gt;=helpsheet!$L$17,rate_vatRU_from_26,rate_vatRu_till_25),0)),2)</f>
        <v/>
      </c>
      <c r="AN1574" s="192">
        <f>AL1574-AK1574</f>
        <v/>
      </c>
      <c r="AO1574" s="76">
        <f>SUM(AY1574,Y1574:Z1574,T1574)*IF(AND(offer_incoterms="DDP",offer_sale_type&lt;&gt;"экспорт"),IF((TODAY()+offer_turnaround_time)&gt;=helpsheet!$L$17,rate_vatRU_from_26,rate_vatRu_till_25),0)</f>
        <v/>
      </c>
      <c r="AP1574" s="193">
        <f>AN1574-AO1574</f>
        <v/>
      </c>
      <c r="AQ1574" s="118">
        <f>IF(offer_sale_type="транзит",SUM(AF1574:AI1574,BA1574,BB1574),0)</f>
        <v/>
      </c>
      <c r="AR1574" s="82">
        <f>HYPERLINK("https://www.alta.ru/tnved/code/")&amp;W1574&amp;"/"</f>
        <v/>
      </c>
      <c r="AS1574" s="157" t="n"/>
      <c r="AT1574" s="162" t="n"/>
      <c r="AU1574" s="76">
        <f>IF(ISBLANK(AT1574),0,AJ1574-AT1574)</f>
        <v/>
      </c>
      <c r="AV1574" s="157" t="n"/>
      <c r="AW1574" s="75">
        <f>_xlfn.IFNA(VLOOKUP(L1574,list_vat[],3,FALSE),0)</f>
        <v/>
      </c>
      <c r="AX1574" s="76">
        <f>IFERROR(ROUND(S1574*(1+AW1574)/E1574,2),0)</f>
        <v/>
      </c>
      <c r="AY1574" s="76">
        <f>E1574*AX1574</f>
        <v/>
      </c>
      <c r="AZ1574" s="192">
        <f>S1574*(1+M1574)</f>
        <v/>
      </c>
      <c r="BA1574" s="76">
        <f>cost_fin_total*$BD1574</f>
        <v/>
      </c>
      <c r="BB1574" s="193">
        <f>credit_sales_interest*BD1574</f>
        <v/>
      </c>
      <c r="BC1574" s="102">
        <f>IFERROR(IF($I$13&gt;0,$I1574/$I$13,$S1574/$S$13),0)</f>
        <v/>
      </c>
      <c r="BD1574" s="102">
        <f>IFERROR($S1574/$S$13,0)</f>
        <v/>
      </c>
      <c r="BE1574" s="413" t="inlineStr">
        <is>
          <t>$</t>
        </is>
      </c>
    </row>
    <row r="1575" ht="12" customFormat="1" customHeight="1" s="65">
      <c r="A1575" s="43" t="n">
        <v>1560</v>
      </c>
      <c r="B1575" s="166" t="n"/>
      <c r="C1575" s="166" t="n"/>
      <c r="D1575" s="166" t="n"/>
      <c r="E1575" s="162" t="n"/>
      <c r="F1575" s="166" t="n"/>
      <c r="G1575" s="162" t="n"/>
      <c r="H1575" s="162" t="n"/>
      <c r="I1575" s="189">
        <f>E1575*G1575</f>
        <v/>
      </c>
      <c r="J1575" s="195" t="n"/>
      <c r="K1575" s="162" t="n"/>
      <c r="L1575" s="168" t="n"/>
      <c r="M1575" s="75">
        <f>_xlfn.XLOOKUP(L1575,list_vat[Страна],list_vat[Ставка НДС %],0,0)</f>
        <v/>
      </c>
      <c r="N1575" s="162">
        <f>IFERROR(IF(L1575="Китай",K1575,K1575/(1+M1575)),0)</f>
        <v/>
      </c>
      <c r="O1575" s="169" t="n"/>
      <c r="P1575" s="76">
        <f>N1575*(1-O1575)</f>
        <v/>
      </c>
      <c r="Q1575" s="162" t="n"/>
      <c r="R1575" s="162">
        <f>IF(ISBLANK(Q1575),"введи курс",P1575/Q1575)</f>
        <v/>
      </c>
      <c r="S1575" s="196">
        <f>IF(AND(ISNUMBER(E1575),ISNUMBER(Q1575)),E1575*R1575,0)</f>
        <v/>
      </c>
      <c r="T1575" s="192">
        <f>$BC1575*V$11</f>
        <v/>
      </c>
      <c r="U1575" s="76">
        <f>$BC1575*W$11</f>
        <v/>
      </c>
      <c r="V1575" s="193">
        <f>+SUM(T1575:U1575)</f>
        <v/>
      </c>
      <c r="W1575" s="191" t="n"/>
      <c r="X1575" s="170" t="n"/>
      <c r="Y1575" s="76">
        <f>ROUND(IF(offer_incoterms="DDP",X1575*(S1575*(1+AW1575)+T1575),0),2)</f>
        <v/>
      </c>
      <c r="Z1575" s="188" t="n"/>
      <c r="AA1575" s="192">
        <f>IFERROR(AB1575/E1575,0)</f>
        <v/>
      </c>
      <c r="AB1575" s="76">
        <f>ROUND(SUM(S1575,V1575,Y1575:Z1575,BA1575:BB1575),2)</f>
        <v/>
      </c>
      <c r="AC1575" s="797" t="n"/>
      <c r="AD1575" s="192">
        <f t="array" ref="AD1575">IFERROR(ROUND((_xlfn.IFS(offer_sale_type="поставка",AB1575,offer_sale_type="транзит",S1575)*(1+AC1575))/E1575,2),0)</f>
        <v/>
      </c>
      <c r="AE1575" s="76">
        <f>AD1575*E1575</f>
        <v/>
      </c>
      <c r="AF1575" s="193">
        <f t="array" ref="AF1575">IFERROR(ROUND(_xlfn.IFS(offer_sale_type="поставка",AB1575,offer_sale_type="транзит",S1575)*AC1575,2),0)</f>
        <v/>
      </c>
      <c r="AG1575" s="192">
        <f>$BD1575*VLOOKUP($AG$3,$AF$4:$AG$7,2,FALSE)</f>
        <v/>
      </c>
      <c r="AH1575" s="76">
        <f>SUM(AE1575,AG1575,AI1575)*rate_forex_risk</f>
        <v/>
      </c>
      <c r="AI1575" s="193">
        <f>IF(OR(seller_region="TR",offer_sale_type="экспорт"),0,rate_fin_comm)*SUM(AZ1575,AZ1575*AW1575,T1575)</f>
        <v/>
      </c>
      <c r="AJ1575" s="118">
        <f>IFERROR(ROUND(SUM(AB1575,AF1575:AI1575)/E1575,2),0)</f>
        <v/>
      </c>
      <c r="AK1575" s="76">
        <f>AJ1575*E1575</f>
        <v/>
      </c>
      <c r="AL1575" s="174">
        <f>ROUND(IFERROR(AM1575*E1575,0),2)</f>
        <v/>
      </c>
      <c r="AM1575" s="175">
        <f>ROUND(AJ1575*(1+IF(offer_incoterms="DDP",IF((TODAY()+offer_turnaround_time)&gt;=helpsheet!$L$17,rate_vatRU_from_26,rate_vatRu_till_25),0)),2)</f>
        <v/>
      </c>
      <c r="AN1575" s="192">
        <f>AL1575-AK1575</f>
        <v/>
      </c>
      <c r="AO1575" s="76">
        <f>SUM(AY1575,Y1575:Z1575,T1575)*IF(AND(offer_incoterms="DDP",offer_sale_type&lt;&gt;"экспорт"),IF((TODAY()+offer_turnaround_time)&gt;=helpsheet!$L$17,rate_vatRU_from_26,rate_vatRu_till_25),0)</f>
        <v/>
      </c>
      <c r="AP1575" s="193">
        <f>AN1575-AO1575</f>
        <v/>
      </c>
      <c r="AQ1575" s="118">
        <f>IF(offer_sale_type="транзит",SUM(AF1575:AI1575,BA1575,BB1575),0)</f>
        <v/>
      </c>
      <c r="AR1575" s="82">
        <f>HYPERLINK("https://www.alta.ru/tnved/code/")&amp;W1575&amp;"/"</f>
        <v/>
      </c>
      <c r="AS1575" s="157" t="n"/>
      <c r="AT1575" s="162" t="n"/>
      <c r="AU1575" s="76">
        <f>IF(ISBLANK(AT1575),0,AJ1575-AT1575)</f>
        <v/>
      </c>
      <c r="AV1575" s="157" t="n"/>
      <c r="AW1575" s="75">
        <f>_xlfn.IFNA(VLOOKUP(L1575,list_vat[],3,FALSE),0)</f>
        <v/>
      </c>
      <c r="AX1575" s="76">
        <f>IFERROR(ROUND(S1575*(1+AW1575)/E1575,2),0)</f>
        <v/>
      </c>
      <c r="AY1575" s="76">
        <f>E1575*AX1575</f>
        <v/>
      </c>
      <c r="AZ1575" s="192">
        <f>S1575*(1+M1575)</f>
        <v/>
      </c>
      <c r="BA1575" s="76">
        <f>cost_fin_total*$BD1575</f>
        <v/>
      </c>
      <c r="BB1575" s="193">
        <f>credit_sales_interest*BD1575</f>
        <v/>
      </c>
      <c r="BC1575" s="102">
        <f>IFERROR(IF($I$13&gt;0,$I1575/$I$13,$S1575/$S$13),0)</f>
        <v/>
      </c>
      <c r="BD1575" s="102">
        <f>IFERROR($S1575/$S$13,0)</f>
        <v/>
      </c>
      <c r="BE1575" s="413" t="inlineStr">
        <is>
          <t>$</t>
        </is>
      </c>
    </row>
    <row r="1576" ht="12" customFormat="1" customHeight="1" s="65">
      <c r="A1576" s="43" t="n">
        <v>1561</v>
      </c>
      <c r="B1576" s="166" t="n"/>
      <c r="C1576" s="166" t="n"/>
      <c r="D1576" s="166" t="n"/>
      <c r="E1576" s="162" t="n"/>
      <c r="F1576" s="166" t="n"/>
      <c r="G1576" s="162" t="n"/>
      <c r="H1576" s="162" t="n"/>
      <c r="I1576" s="189">
        <f>E1576*G1576</f>
        <v/>
      </c>
      <c r="J1576" s="195" t="n"/>
      <c r="K1576" s="162" t="n"/>
      <c r="L1576" s="168" t="n"/>
      <c r="M1576" s="75">
        <f>_xlfn.XLOOKUP(L1576,list_vat[Страна],list_vat[Ставка НДС %],0,0)</f>
        <v/>
      </c>
      <c r="N1576" s="162">
        <f>IFERROR(IF(L1576="Китай",K1576,K1576/(1+M1576)),0)</f>
        <v/>
      </c>
      <c r="O1576" s="169" t="n"/>
      <c r="P1576" s="76">
        <f>N1576*(1-O1576)</f>
        <v/>
      </c>
      <c r="Q1576" s="162" t="n"/>
      <c r="R1576" s="162">
        <f>IF(ISBLANK(Q1576),"введи курс",P1576/Q1576)</f>
        <v/>
      </c>
      <c r="S1576" s="196">
        <f>IF(AND(ISNUMBER(E1576),ISNUMBER(Q1576)),E1576*R1576,0)</f>
        <v/>
      </c>
      <c r="T1576" s="192">
        <f>$BC1576*V$11</f>
        <v/>
      </c>
      <c r="U1576" s="76">
        <f>$BC1576*W$11</f>
        <v/>
      </c>
      <c r="V1576" s="193">
        <f>+SUM(T1576:U1576)</f>
        <v/>
      </c>
      <c r="W1576" s="191" t="n"/>
      <c r="X1576" s="170" t="n"/>
      <c r="Y1576" s="76">
        <f>ROUND(IF(offer_incoterms="DDP",X1576*(S1576*(1+AW1576)+T1576),0),2)</f>
        <v/>
      </c>
      <c r="Z1576" s="188" t="n"/>
      <c r="AA1576" s="192">
        <f>IFERROR(AB1576/E1576,0)</f>
        <v/>
      </c>
      <c r="AB1576" s="76">
        <f>ROUND(SUM(S1576,V1576,Y1576:Z1576,BA1576:BB1576),2)</f>
        <v/>
      </c>
      <c r="AC1576" s="797" t="n"/>
      <c r="AD1576" s="192">
        <f t="array" ref="AD1576">IFERROR(ROUND((_xlfn.IFS(offer_sale_type="поставка",AB1576,offer_sale_type="транзит",S1576)*(1+AC1576))/E1576,2),0)</f>
        <v/>
      </c>
      <c r="AE1576" s="76">
        <f>AD1576*E1576</f>
        <v/>
      </c>
      <c r="AF1576" s="193">
        <f t="array" ref="AF1576">IFERROR(ROUND(_xlfn.IFS(offer_sale_type="поставка",AB1576,offer_sale_type="транзит",S1576)*AC1576,2),0)</f>
        <v/>
      </c>
      <c r="AG1576" s="192">
        <f>$BD1576*VLOOKUP($AG$3,$AF$4:$AG$7,2,FALSE)</f>
        <v/>
      </c>
      <c r="AH1576" s="76">
        <f>SUM(AE1576,AG1576,AI1576)*rate_forex_risk</f>
        <v/>
      </c>
      <c r="AI1576" s="193">
        <f>IF(OR(seller_region="TR",offer_sale_type="экспорт"),0,rate_fin_comm)*SUM(AZ1576,AZ1576*AW1576,T1576)</f>
        <v/>
      </c>
      <c r="AJ1576" s="118">
        <f>IFERROR(ROUND(SUM(AB1576,AF1576:AI1576)/E1576,2),0)</f>
        <v/>
      </c>
      <c r="AK1576" s="76">
        <f>AJ1576*E1576</f>
        <v/>
      </c>
      <c r="AL1576" s="174">
        <f>ROUND(IFERROR(AM1576*E1576,0),2)</f>
        <v/>
      </c>
      <c r="AM1576" s="175">
        <f>ROUND(AJ1576*(1+IF(offer_incoterms="DDP",IF((TODAY()+offer_turnaround_time)&gt;=helpsheet!$L$17,rate_vatRU_from_26,rate_vatRu_till_25),0)),2)</f>
        <v/>
      </c>
      <c r="AN1576" s="192">
        <f>AL1576-AK1576</f>
        <v/>
      </c>
      <c r="AO1576" s="76">
        <f>SUM(AY1576,Y1576:Z1576,T1576)*IF(AND(offer_incoterms="DDP",offer_sale_type&lt;&gt;"экспорт"),IF((TODAY()+offer_turnaround_time)&gt;=helpsheet!$L$17,rate_vatRU_from_26,rate_vatRu_till_25),0)</f>
        <v/>
      </c>
      <c r="AP1576" s="193">
        <f>AN1576-AO1576</f>
        <v/>
      </c>
      <c r="AQ1576" s="118">
        <f>IF(offer_sale_type="транзит",SUM(AF1576:AI1576,BA1576,BB1576),0)</f>
        <v/>
      </c>
      <c r="AR1576" s="82">
        <f>HYPERLINK("https://www.alta.ru/tnved/code/")&amp;W1576&amp;"/"</f>
        <v/>
      </c>
      <c r="AS1576" s="157" t="n"/>
      <c r="AT1576" s="162" t="n"/>
      <c r="AU1576" s="76">
        <f>IF(ISBLANK(AT1576),0,AJ1576-AT1576)</f>
        <v/>
      </c>
      <c r="AV1576" s="157" t="n"/>
      <c r="AW1576" s="75">
        <f>_xlfn.IFNA(VLOOKUP(L1576,list_vat[],3,FALSE),0)</f>
        <v/>
      </c>
      <c r="AX1576" s="76">
        <f>IFERROR(ROUND(S1576*(1+AW1576)/E1576,2),0)</f>
        <v/>
      </c>
      <c r="AY1576" s="76">
        <f>E1576*AX1576</f>
        <v/>
      </c>
      <c r="AZ1576" s="192">
        <f>S1576*(1+M1576)</f>
        <v/>
      </c>
      <c r="BA1576" s="76">
        <f>cost_fin_total*$BD1576</f>
        <v/>
      </c>
      <c r="BB1576" s="193">
        <f>credit_sales_interest*BD1576</f>
        <v/>
      </c>
      <c r="BC1576" s="102">
        <f>IFERROR(IF($I$13&gt;0,$I1576/$I$13,$S1576/$S$13),0)</f>
        <v/>
      </c>
      <c r="BD1576" s="102">
        <f>IFERROR($S1576/$S$13,0)</f>
        <v/>
      </c>
      <c r="BE1576" s="413" t="inlineStr">
        <is>
          <t>$</t>
        </is>
      </c>
    </row>
    <row r="1577" ht="12" customFormat="1" customHeight="1" s="65">
      <c r="A1577" s="43" t="n">
        <v>1562</v>
      </c>
      <c r="B1577" s="166" t="n"/>
      <c r="C1577" s="166" t="n"/>
      <c r="D1577" s="166" t="n"/>
      <c r="E1577" s="162" t="n"/>
      <c r="F1577" s="166" t="n"/>
      <c r="G1577" s="162" t="n"/>
      <c r="H1577" s="162" t="n"/>
      <c r="I1577" s="189">
        <f>E1577*G1577</f>
        <v/>
      </c>
      <c r="J1577" s="195" t="n"/>
      <c r="K1577" s="162" t="n"/>
      <c r="L1577" s="168" t="n"/>
      <c r="M1577" s="75">
        <f>_xlfn.XLOOKUP(L1577,list_vat[Страна],list_vat[Ставка НДС %],0,0)</f>
        <v/>
      </c>
      <c r="N1577" s="162">
        <f>IFERROR(IF(L1577="Китай",K1577,K1577/(1+M1577)),0)</f>
        <v/>
      </c>
      <c r="O1577" s="169" t="n"/>
      <c r="P1577" s="76">
        <f>N1577*(1-O1577)</f>
        <v/>
      </c>
      <c r="Q1577" s="162" t="n"/>
      <c r="R1577" s="162">
        <f>IF(ISBLANK(Q1577),"введи курс",P1577/Q1577)</f>
        <v/>
      </c>
      <c r="S1577" s="196">
        <f>IF(AND(ISNUMBER(E1577),ISNUMBER(Q1577)),E1577*R1577,0)</f>
        <v/>
      </c>
      <c r="T1577" s="192">
        <f>$BC1577*V$11</f>
        <v/>
      </c>
      <c r="U1577" s="76">
        <f>$BC1577*W$11</f>
        <v/>
      </c>
      <c r="V1577" s="193">
        <f>+SUM(T1577:U1577)</f>
        <v/>
      </c>
      <c r="W1577" s="191" t="n"/>
      <c r="X1577" s="170" t="n"/>
      <c r="Y1577" s="76">
        <f>ROUND(IF(offer_incoterms="DDP",X1577*(S1577*(1+AW1577)+T1577),0),2)</f>
        <v/>
      </c>
      <c r="Z1577" s="188" t="n"/>
      <c r="AA1577" s="192">
        <f>IFERROR(AB1577/E1577,0)</f>
        <v/>
      </c>
      <c r="AB1577" s="76">
        <f>ROUND(SUM(S1577,V1577,Y1577:Z1577,BA1577:BB1577),2)</f>
        <v/>
      </c>
      <c r="AC1577" s="797" t="n"/>
      <c r="AD1577" s="192">
        <f t="array" ref="AD1577">IFERROR(ROUND((_xlfn.IFS(offer_sale_type="поставка",AB1577,offer_sale_type="транзит",S1577)*(1+AC1577))/E1577,2),0)</f>
        <v/>
      </c>
      <c r="AE1577" s="76">
        <f>AD1577*E1577</f>
        <v/>
      </c>
      <c r="AF1577" s="193">
        <f t="array" ref="AF1577">IFERROR(ROUND(_xlfn.IFS(offer_sale_type="поставка",AB1577,offer_sale_type="транзит",S1577)*AC1577,2),0)</f>
        <v/>
      </c>
      <c r="AG1577" s="192">
        <f>$BD1577*VLOOKUP($AG$3,$AF$4:$AG$7,2,FALSE)</f>
        <v/>
      </c>
      <c r="AH1577" s="76">
        <f>SUM(AE1577,AG1577,AI1577)*rate_forex_risk</f>
        <v/>
      </c>
      <c r="AI1577" s="193">
        <f>IF(OR(seller_region="TR",offer_sale_type="экспорт"),0,rate_fin_comm)*SUM(AZ1577,AZ1577*AW1577,T1577)</f>
        <v/>
      </c>
      <c r="AJ1577" s="118">
        <f>IFERROR(ROUND(SUM(AB1577,AF1577:AI1577)/E1577,2),0)</f>
        <v/>
      </c>
      <c r="AK1577" s="76">
        <f>AJ1577*E1577</f>
        <v/>
      </c>
      <c r="AL1577" s="174">
        <f>ROUND(IFERROR(AM1577*E1577,0),2)</f>
        <v/>
      </c>
      <c r="AM1577" s="175">
        <f>ROUND(AJ1577*(1+IF(offer_incoterms="DDP",IF((TODAY()+offer_turnaround_time)&gt;=helpsheet!$L$17,rate_vatRU_from_26,rate_vatRu_till_25),0)),2)</f>
        <v/>
      </c>
      <c r="AN1577" s="192">
        <f>AL1577-AK1577</f>
        <v/>
      </c>
      <c r="AO1577" s="76">
        <f>SUM(AY1577,Y1577:Z1577,T1577)*IF(AND(offer_incoterms="DDP",offer_sale_type&lt;&gt;"экспорт"),IF((TODAY()+offer_turnaround_time)&gt;=helpsheet!$L$17,rate_vatRU_from_26,rate_vatRu_till_25),0)</f>
        <v/>
      </c>
      <c r="AP1577" s="193">
        <f>AN1577-AO1577</f>
        <v/>
      </c>
      <c r="AQ1577" s="118">
        <f>IF(offer_sale_type="транзит",SUM(AF1577:AI1577,BA1577,BB1577),0)</f>
        <v/>
      </c>
      <c r="AR1577" s="82">
        <f>HYPERLINK("https://www.alta.ru/tnved/code/")&amp;W1577&amp;"/"</f>
        <v/>
      </c>
      <c r="AS1577" s="157" t="n"/>
      <c r="AT1577" s="162" t="n"/>
      <c r="AU1577" s="76">
        <f>IF(ISBLANK(AT1577),0,AJ1577-AT1577)</f>
        <v/>
      </c>
      <c r="AV1577" s="157" t="n"/>
      <c r="AW1577" s="75">
        <f>_xlfn.IFNA(VLOOKUP(L1577,list_vat[],3,FALSE),0)</f>
        <v/>
      </c>
      <c r="AX1577" s="76">
        <f>IFERROR(ROUND(S1577*(1+AW1577)/E1577,2),0)</f>
        <v/>
      </c>
      <c r="AY1577" s="76">
        <f>E1577*AX1577</f>
        <v/>
      </c>
      <c r="AZ1577" s="192">
        <f>S1577*(1+M1577)</f>
        <v/>
      </c>
      <c r="BA1577" s="76">
        <f>cost_fin_total*$BD1577</f>
        <v/>
      </c>
      <c r="BB1577" s="193">
        <f>credit_sales_interest*BD1577</f>
        <v/>
      </c>
      <c r="BC1577" s="102">
        <f>IFERROR(IF($I$13&gt;0,$I1577/$I$13,$S1577/$S$13),0)</f>
        <v/>
      </c>
      <c r="BD1577" s="102">
        <f>IFERROR($S1577/$S$13,0)</f>
        <v/>
      </c>
      <c r="BE1577" s="413" t="inlineStr">
        <is>
          <t>$</t>
        </is>
      </c>
    </row>
    <row r="1578" ht="12" customFormat="1" customHeight="1" s="65">
      <c r="A1578" s="43" t="n">
        <v>1563</v>
      </c>
      <c r="B1578" s="166" t="n"/>
      <c r="C1578" s="166" t="n"/>
      <c r="D1578" s="166" t="n"/>
      <c r="E1578" s="162" t="n"/>
      <c r="F1578" s="166" t="n"/>
      <c r="G1578" s="162" t="n"/>
      <c r="H1578" s="162" t="n"/>
      <c r="I1578" s="189">
        <f>E1578*G1578</f>
        <v/>
      </c>
      <c r="J1578" s="195" t="n"/>
      <c r="K1578" s="162" t="n"/>
      <c r="L1578" s="168" t="n"/>
      <c r="M1578" s="75">
        <f>_xlfn.XLOOKUP(L1578,list_vat[Страна],list_vat[Ставка НДС %],0,0)</f>
        <v/>
      </c>
      <c r="N1578" s="162">
        <f>IFERROR(IF(L1578="Китай",K1578,K1578/(1+M1578)),0)</f>
        <v/>
      </c>
      <c r="O1578" s="169" t="n"/>
      <c r="P1578" s="76">
        <f>N1578*(1-O1578)</f>
        <v/>
      </c>
      <c r="Q1578" s="162" t="n"/>
      <c r="R1578" s="162">
        <f>IF(ISBLANK(Q1578),"введи курс",P1578/Q1578)</f>
        <v/>
      </c>
      <c r="S1578" s="196">
        <f>IF(AND(ISNUMBER(E1578),ISNUMBER(Q1578)),E1578*R1578,0)</f>
        <v/>
      </c>
      <c r="T1578" s="192">
        <f>$BC1578*V$11</f>
        <v/>
      </c>
      <c r="U1578" s="76">
        <f>$BC1578*W$11</f>
        <v/>
      </c>
      <c r="V1578" s="193">
        <f>+SUM(T1578:U1578)</f>
        <v/>
      </c>
      <c r="W1578" s="191" t="n"/>
      <c r="X1578" s="170" t="n"/>
      <c r="Y1578" s="76">
        <f>ROUND(IF(offer_incoterms="DDP",X1578*(S1578*(1+AW1578)+T1578),0),2)</f>
        <v/>
      </c>
      <c r="Z1578" s="188" t="n"/>
      <c r="AA1578" s="192">
        <f>IFERROR(AB1578/E1578,0)</f>
        <v/>
      </c>
      <c r="AB1578" s="76">
        <f>ROUND(SUM(S1578,V1578,Y1578:Z1578,BA1578:BB1578),2)</f>
        <v/>
      </c>
      <c r="AC1578" s="797" t="n"/>
      <c r="AD1578" s="192">
        <f t="array" ref="AD1578">IFERROR(ROUND((_xlfn.IFS(offer_sale_type="поставка",AB1578,offer_sale_type="транзит",S1578)*(1+AC1578))/E1578,2),0)</f>
        <v/>
      </c>
      <c r="AE1578" s="76">
        <f>AD1578*E1578</f>
        <v/>
      </c>
      <c r="AF1578" s="193">
        <f t="array" ref="AF1578">IFERROR(ROUND(_xlfn.IFS(offer_sale_type="поставка",AB1578,offer_sale_type="транзит",S1578)*AC1578,2),0)</f>
        <v/>
      </c>
      <c r="AG1578" s="192">
        <f>$BD1578*VLOOKUP($AG$3,$AF$4:$AG$7,2,FALSE)</f>
        <v/>
      </c>
      <c r="AH1578" s="76">
        <f>SUM(AE1578,AG1578,AI1578)*rate_forex_risk</f>
        <v/>
      </c>
      <c r="AI1578" s="193">
        <f>IF(OR(seller_region="TR",offer_sale_type="экспорт"),0,rate_fin_comm)*SUM(AZ1578,AZ1578*AW1578,T1578)</f>
        <v/>
      </c>
      <c r="AJ1578" s="118">
        <f>IFERROR(ROUND(SUM(AB1578,AF1578:AI1578)/E1578,2),0)</f>
        <v/>
      </c>
      <c r="AK1578" s="76">
        <f>AJ1578*E1578</f>
        <v/>
      </c>
      <c r="AL1578" s="174">
        <f>ROUND(IFERROR(AM1578*E1578,0),2)</f>
        <v/>
      </c>
      <c r="AM1578" s="175">
        <f>ROUND(AJ1578*(1+IF(offer_incoterms="DDP",IF((TODAY()+offer_turnaround_time)&gt;=helpsheet!$L$17,rate_vatRU_from_26,rate_vatRu_till_25),0)),2)</f>
        <v/>
      </c>
      <c r="AN1578" s="192">
        <f>AL1578-AK1578</f>
        <v/>
      </c>
      <c r="AO1578" s="76">
        <f>SUM(AY1578,Y1578:Z1578,T1578)*IF(AND(offer_incoterms="DDP",offer_sale_type&lt;&gt;"экспорт"),IF((TODAY()+offer_turnaround_time)&gt;=helpsheet!$L$17,rate_vatRU_from_26,rate_vatRu_till_25),0)</f>
        <v/>
      </c>
      <c r="AP1578" s="193">
        <f>AN1578-AO1578</f>
        <v/>
      </c>
      <c r="AQ1578" s="118">
        <f>IF(offer_sale_type="транзит",SUM(AF1578:AI1578,BA1578,BB1578),0)</f>
        <v/>
      </c>
      <c r="AR1578" s="82">
        <f>HYPERLINK("https://www.alta.ru/tnved/code/")&amp;W1578&amp;"/"</f>
        <v/>
      </c>
      <c r="AS1578" s="157" t="n"/>
      <c r="AT1578" s="162" t="n"/>
      <c r="AU1578" s="76">
        <f>IF(ISBLANK(AT1578),0,AJ1578-AT1578)</f>
        <v/>
      </c>
      <c r="AV1578" s="157" t="n"/>
      <c r="AW1578" s="75">
        <f>_xlfn.IFNA(VLOOKUP(L1578,list_vat[],3,FALSE),0)</f>
        <v/>
      </c>
      <c r="AX1578" s="76">
        <f>IFERROR(ROUND(S1578*(1+AW1578)/E1578,2),0)</f>
        <v/>
      </c>
      <c r="AY1578" s="76">
        <f>E1578*AX1578</f>
        <v/>
      </c>
      <c r="AZ1578" s="192">
        <f>S1578*(1+M1578)</f>
        <v/>
      </c>
      <c r="BA1578" s="76">
        <f>cost_fin_total*$BD1578</f>
        <v/>
      </c>
      <c r="BB1578" s="193">
        <f>credit_sales_interest*BD1578</f>
        <v/>
      </c>
      <c r="BC1578" s="102">
        <f>IFERROR(IF($I$13&gt;0,$I1578/$I$13,$S1578/$S$13),0)</f>
        <v/>
      </c>
      <c r="BD1578" s="102">
        <f>IFERROR($S1578/$S$13,0)</f>
        <v/>
      </c>
      <c r="BE1578" s="413" t="inlineStr">
        <is>
          <t>$</t>
        </is>
      </c>
    </row>
    <row r="1579" ht="12" customFormat="1" customHeight="1" s="65">
      <c r="A1579" s="43" t="n">
        <v>1564</v>
      </c>
      <c r="B1579" s="166" t="n"/>
      <c r="C1579" s="166" t="n"/>
      <c r="D1579" s="166" t="n"/>
      <c r="E1579" s="162" t="n"/>
      <c r="F1579" s="166" t="n"/>
      <c r="G1579" s="162" t="n"/>
      <c r="H1579" s="162" t="n"/>
      <c r="I1579" s="189">
        <f>E1579*G1579</f>
        <v/>
      </c>
      <c r="J1579" s="195" t="n"/>
      <c r="K1579" s="162" t="n"/>
      <c r="L1579" s="168" t="n"/>
      <c r="M1579" s="75">
        <f>_xlfn.XLOOKUP(L1579,list_vat[Страна],list_vat[Ставка НДС %],0,0)</f>
        <v/>
      </c>
      <c r="N1579" s="162">
        <f>IFERROR(IF(L1579="Китай",K1579,K1579/(1+M1579)),0)</f>
        <v/>
      </c>
      <c r="O1579" s="169" t="n"/>
      <c r="P1579" s="76">
        <f>N1579*(1-O1579)</f>
        <v/>
      </c>
      <c r="Q1579" s="162" t="n"/>
      <c r="R1579" s="162">
        <f>IF(ISBLANK(Q1579),"введи курс",P1579/Q1579)</f>
        <v/>
      </c>
      <c r="S1579" s="196">
        <f>IF(AND(ISNUMBER(E1579),ISNUMBER(Q1579)),E1579*R1579,0)</f>
        <v/>
      </c>
      <c r="T1579" s="192">
        <f>$BC1579*V$11</f>
        <v/>
      </c>
      <c r="U1579" s="76">
        <f>$BC1579*W$11</f>
        <v/>
      </c>
      <c r="V1579" s="193">
        <f>+SUM(T1579:U1579)</f>
        <v/>
      </c>
      <c r="W1579" s="191" t="n"/>
      <c r="X1579" s="170" t="n"/>
      <c r="Y1579" s="76">
        <f>ROUND(IF(offer_incoterms="DDP",X1579*(S1579*(1+AW1579)+T1579),0),2)</f>
        <v/>
      </c>
      <c r="Z1579" s="188" t="n"/>
      <c r="AA1579" s="192">
        <f>IFERROR(AB1579/E1579,0)</f>
        <v/>
      </c>
      <c r="AB1579" s="76">
        <f>ROUND(SUM(S1579,V1579,Y1579:Z1579,BA1579:BB1579),2)</f>
        <v/>
      </c>
      <c r="AC1579" s="797" t="n"/>
      <c r="AD1579" s="192">
        <f t="array" ref="AD1579">IFERROR(ROUND((_xlfn.IFS(offer_sale_type="поставка",AB1579,offer_sale_type="транзит",S1579)*(1+AC1579))/E1579,2),0)</f>
        <v/>
      </c>
      <c r="AE1579" s="76">
        <f>AD1579*E1579</f>
        <v/>
      </c>
      <c r="AF1579" s="193">
        <f t="array" ref="AF1579">IFERROR(ROUND(_xlfn.IFS(offer_sale_type="поставка",AB1579,offer_sale_type="транзит",S1579)*AC1579,2),0)</f>
        <v/>
      </c>
      <c r="AG1579" s="192">
        <f>$BD1579*VLOOKUP($AG$3,$AF$4:$AG$7,2,FALSE)</f>
        <v/>
      </c>
      <c r="AH1579" s="76">
        <f>SUM(AE1579,AG1579,AI1579)*rate_forex_risk</f>
        <v/>
      </c>
      <c r="AI1579" s="193">
        <f>IF(OR(seller_region="TR",offer_sale_type="экспорт"),0,rate_fin_comm)*SUM(AZ1579,AZ1579*AW1579,T1579)</f>
        <v/>
      </c>
      <c r="AJ1579" s="118">
        <f>IFERROR(ROUND(SUM(AB1579,AF1579:AI1579)/E1579,2),0)</f>
        <v/>
      </c>
      <c r="AK1579" s="76">
        <f>AJ1579*E1579</f>
        <v/>
      </c>
      <c r="AL1579" s="174">
        <f>ROUND(IFERROR(AM1579*E1579,0),2)</f>
        <v/>
      </c>
      <c r="AM1579" s="175">
        <f>ROUND(AJ1579*(1+IF(offer_incoterms="DDP",IF((TODAY()+offer_turnaround_time)&gt;=helpsheet!$L$17,rate_vatRU_from_26,rate_vatRu_till_25),0)),2)</f>
        <v/>
      </c>
      <c r="AN1579" s="192">
        <f>AL1579-AK1579</f>
        <v/>
      </c>
      <c r="AO1579" s="76">
        <f>SUM(AY1579,Y1579:Z1579,T1579)*IF(AND(offer_incoterms="DDP",offer_sale_type&lt;&gt;"экспорт"),IF((TODAY()+offer_turnaround_time)&gt;=helpsheet!$L$17,rate_vatRU_from_26,rate_vatRu_till_25),0)</f>
        <v/>
      </c>
      <c r="AP1579" s="193">
        <f>AN1579-AO1579</f>
        <v/>
      </c>
      <c r="AQ1579" s="118">
        <f>IF(offer_sale_type="транзит",SUM(AF1579:AI1579,BA1579,BB1579),0)</f>
        <v/>
      </c>
      <c r="AR1579" s="82">
        <f>HYPERLINK("https://www.alta.ru/tnved/code/")&amp;W1579&amp;"/"</f>
        <v/>
      </c>
      <c r="AS1579" s="157" t="n"/>
      <c r="AT1579" s="162" t="n"/>
      <c r="AU1579" s="76">
        <f>IF(ISBLANK(AT1579),0,AJ1579-AT1579)</f>
        <v/>
      </c>
      <c r="AV1579" s="157" t="n"/>
      <c r="AW1579" s="75">
        <f>_xlfn.IFNA(VLOOKUP(L1579,list_vat[],3,FALSE),0)</f>
        <v/>
      </c>
      <c r="AX1579" s="76">
        <f>IFERROR(ROUND(S1579*(1+AW1579)/E1579,2),0)</f>
        <v/>
      </c>
      <c r="AY1579" s="76">
        <f>E1579*AX1579</f>
        <v/>
      </c>
      <c r="AZ1579" s="192">
        <f>S1579*(1+M1579)</f>
        <v/>
      </c>
      <c r="BA1579" s="76">
        <f>cost_fin_total*$BD1579</f>
        <v/>
      </c>
      <c r="BB1579" s="193">
        <f>credit_sales_interest*BD1579</f>
        <v/>
      </c>
      <c r="BC1579" s="102">
        <f>IFERROR(IF($I$13&gt;0,$I1579/$I$13,$S1579/$S$13),0)</f>
        <v/>
      </c>
      <c r="BD1579" s="102">
        <f>IFERROR($S1579/$S$13,0)</f>
        <v/>
      </c>
      <c r="BE1579" s="413" t="inlineStr">
        <is>
          <t>$</t>
        </is>
      </c>
    </row>
    <row r="1580" ht="12" customFormat="1" customHeight="1" s="65">
      <c r="A1580" s="43" t="n">
        <v>1565</v>
      </c>
      <c r="B1580" s="166" t="n"/>
      <c r="C1580" s="166" t="n"/>
      <c r="D1580" s="166" t="n"/>
      <c r="E1580" s="162" t="n"/>
      <c r="F1580" s="166" t="n"/>
      <c r="G1580" s="162" t="n"/>
      <c r="H1580" s="162" t="n"/>
      <c r="I1580" s="189">
        <f>E1580*G1580</f>
        <v/>
      </c>
      <c r="J1580" s="195" t="n"/>
      <c r="K1580" s="162" t="n"/>
      <c r="L1580" s="168" t="n"/>
      <c r="M1580" s="75">
        <f>_xlfn.XLOOKUP(L1580,list_vat[Страна],list_vat[Ставка НДС %],0,0)</f>
        <v/>
      </c>
      <c r="N1580" s="162">
        <f>IFERROR(IF(L1580="Китай",K1580,K1580/(1+M1580)),0)</f>
        <v/>
      </c>
      <c r="O1580" s="169" t="n"/>
      <c r="P1580" s="76">
        <f>N1580*(1-O1580)</f>
        <v/>
      </c>
      <c r="Q1580" s="162" t="n"/>
      <c r="R1580" s="162">
        <f>IF(ISBLANK(Q1580),"введи курс",P1580/Q1580)</f>
        <v/>
      </c>
      <c r="S1580" s="196">
        <f>IF(AND(ISNUMBER(E1580),ISNUMBER(Q1580)),E1580*R1580,0)</f>
        <v/>
      </c>
      <c r="T1580" s="192">
        <f>$BC1580*V$11</f>
        <v/>
      </c>
      <c r="U1580" s="76">
        <f>$BC1580*W$11</f>
        <v/>
      </c>
      <c r="V1580" s="193">
        <f>+SUM(T1580:U1580)</f>
        <v/>
      </c>
      <c r="W1580" s="191" t="n"/>
      <c r="X1580" s="170" t="n"/>
      <c r="Y1580" s="76">
        <f>ROUND(IF(offer_incoterms="DDP",X1580*(S1580*(1+AW1580)+T1580),0),2)</f>
        <v/>
      </c>
      <c r="Z1580" s="188" t="n"/>
      <c r="AA1580" s="192">
        <f>IFERROR(AB1580/E1580,0)</f>
        <v/>
      </c>
      <c r="AB1580" s="76">
        <f>ROUND(SUM(S1580,V1580,Y1580:Z1580,BA1580:BB1580),2)</f>
        <v/>
      </c>
      <c r="AC1580" s="797" t="n"/>
      <c r="AD1580" s="192">
        <f t="array" ref="AD1580">IFERROR(ROUND((_xlfn.IFS(offer_sale_type="поставка",AB1580,offer_sale_type="транзит",S1580)*(1+AC1580))/E1580,2),0)</f>
        <v/>
      </c>
      <c r="AE1580" s="76">
        <f>AD1580*E1580</f>
        <v/>
      </c>
      <c r="AF1580" s="193">
        <f t="array" ref="AF1580">IFERROR(ROUND(_xlfn.IFS(offer_sale_type="поставка",AB1580,offer_sale_type="транзит",S1580)*AC1580,2),0)</f>
        <v/>
      </c>
      <c r="AG1580" s="192">
        <f>$BD1580*VLOOKUP($AG$3,$AF$4:$AG$7,2,FALSE)</f>
        <v/>
      </c>
      <c r="AH1580" s="76">
        <f>SUM(AE1580,AG1580,AI1580)*rate_forex_risk</f>
        <v/>
      </c>
      <c r="AI1580" s="193">
        <f>IF(OR(seller_region="TR",offer_sale_type="экспорт"),0,rate_fin_comm)*SUM(AZ1580,AZ1580*AW1580,T1580)</f>
        <v/>
      </c>
      <c r="AJ1580" s="118">
        <f>IFERROR(ROUND(SUM(AB1580,AF1580:AI1580)/E1580,2),0)</f>
        <v/>
      </c>
      <c r="AK1580" s="76">
        <f>AJ1580*E1580</f>
        <v/>
      </c>
      <c r="AL1580" s="174">
        <f>ROUND(IFERROR(AM1580*E1580,0),2)</f>
        <v/>
      </c>
      <c r="AM1580" s="175">
        <f>ROUND(AJ1580*(1+IF(offer_incoterms="DDP",IF((TODAY()+offer_turnaround_time)&gt;=helpsheet!$L$17,rate_vatRU_from_26,rate_vatRu_till_25),0)),2)</f>
        <v/>
      </c>
      <c r="AN1580" s="192">
        <f>AL1580-AK1580</f>
        <v/>
      </c>
      <c r="AO1580" s="76">
        <f>SUM(AY1580,Y1580:Z1580,T1580)*IF(AND(offer_incoterms="DDP",offer_sale_type&lt;&gt;"экспорт"),IF((TODAY()+offer_turnaround_time)&gt;=helpsheet!$L$17,rate_vatRU_from_26,rate_vatRu_till_25),0)</f>
        <v/>
      </c>
      <c r="AP1580" s="193">
        <f>AN1580-AO1580</f>
        <v/>
      </c>
      <c r="AQ1580" s="118">
        <f>IF(offer_sale_type="транзит",SUM(AF1580:AI1580,BA1580,BB1580),0)</f>
        <v/>
      </c>
      <c r="AR1580" s="82">
        <f>HYPERLINK("https://www.alta.ru/tnved/code/")&amp;W1580&amp;"/"</f>
        <v/>
      </c>
      <c r="AS1580" s="157" t="n"/>
      <c r="AT1580" s="162" t="n"/>
      <c r="AU1580" s="76">
        <f>IF(ISBLANK(AT1580),0,AJ1580-AT1580)</f>
        <v/>
      </c>
      <c r="AV1580" s="157" t="n"/>
      <c r="AW1580" s="75">
        <f>_xlfn.IFNA(VLOOKUP(L1580,list_vat[],3,FALSE),0)</f>
        <v/>
      </c>
      <c r="AX1580" s="76">
        <f>IFERROR(ROUND(S1580*(1+AW1580)/E1580,2),0)</f>
        <v/>
      </c>
      <c r="AY1580" s="76">
        <f>E1580*AX1580</f>
        <v/>
      </c>
      <c r="AZ1580" s="192">
        <f>S1580*(1+M1580)</f>
        <v/>
      </c>
      <c r="BA1580" s="76">
        <f>cost_fin_total*$BD1580</f>
        <v/>
      </c>
      <c r="BB1580" s="193">
        <f>credit_sales_interest*BD1580</f>
        <v/>
      </c>
      <c r="BC1580" s="102">
        <f>IFERROR(IF($I$13&gt;0,$I1580/$I$13,$S1580/$S$13),0)</f>
        <v/>
      </c>
      <c r="BD1580" s="102">
        <f>IFERROR($S1580/$S$13,0)</f>
        <v/>
      </c>
      <c r="BE1580" s="413" t="inlineStr">
        <is>
          <t>$</t>
        </is>
      </c>
    </row>
    <row r="1581" ht="12" customFormat="1" customHeight="1" s="65">
      <c r="A1581" s="43" t="n">
        <v>1566</v>
      </c>
      <c r="B1581" s="166" t="n"/>
      <c r="C1581" s="166" t="n"/>
      <c r="D1581" s="166" t="n"/>
      <c r="E1581" s="162" t="n"/>
      <c r="F1581" s="166" t="n"/>
      <c r="G1581" s="162" t="n"/>
      <c r="H1581" s="162" t="n"/>
      <c r="I1581" s="189">
        <f>E1581*G1581</f>
        <v/>
      </c>
      <c r="J1581" s="195" t="n"/>
      <c r="K1581" s="162" t="n"/>
      <c r="L1581" s="168" t="n"/>
      <c r="M1581" s="75">
        <f>_xlfn.XLOOKUP(L1581,list_vat[Страна],list_vat[Ставка НДС %],0,0)</f>
        <v/>
      </c>
      <c r="N1581" s="162">
        <f>IFERROR(IF(L1581="Китай",K1581,K1581/(1+M1581)),0)</f>
        <v/>
      </c>
      <c r="O1581" s="169" t="n"/>
      <c r="P1581" s="76">
        <f>N1581*(1-O1581)</f>
        <v/>
      </c>
      <c r="Q1581" s="162" t="n"/>
      <c r="R1581" s="162">
        <f>IF(ISBLANK(Q1581),"введи курс",P1581/Q1581)</f>
        <v/>
      </c>
      <c r="S1581" s="196">
        <f>IF(AND(ISNUMBER(E1581),ISNUMBER(Q1581)),E1581*R1581,0)</f>
        <v/>
      </c>
      <c r="T1581" s="192">
        <f>$BC1581*V$11</f>
        <v/>
      </c>
      <c r="U1581" s="76">
        <f>$BC1581*W$11</f>
        <v/>
      </c>
      <c r="V1581" s="193">
        <f>+SUM(T1581:U1581)</f>
        <v/>
      </c>
      <c r="W1581" s="191" t="n"/>
      <c r="X1581" s="170" t="n"/>
      <c r="Y1581" s="76">
        <f>ROUND(IF(offer_incoterms="DDP",X1581*(S1581*(1+AW1581)+T1581),0),2)</f>
        <v/>
      </c>
      <c r="Z1581" s="188" t="n"/>
      <c r="AA1581" s="192">
        <f>IFERROR(AB1581/E1581,0)</f>
        <v/>
      </c>
      <c r="AB1581" s="76">
        <f>ROUND(SUM(S1581,V1581,Y1581:Z1581,BA1581:BB1581),2)</f>
        <v/>
      </c>
      <c r="AC1581" s="797" t="n"/>
      <c r="AD1581" s="192">
        <f t="array" ref="AD1581">IFERROR(ROUND((_xlfn.IFS(offer_sale_type="поставка",AB1581,offer_sale_type="транзит",S1581)*(1+AC1581))/E1581,2),0)</f>
        <v/>
      </c>
      <c r="AE1581" s="76">
        <f>AD1581*E1581</f>
        <v/>
      </c>
      <c r="AF1581" s="193">
        <f t="array" ref="AF1581">IFERROR(ROUND(_xlfn.IFS(offer_sale_type="поставка",AB1581,offer_sale_type="транзит",S1581)*AC1581,2),0)</f>
        <v/>
      </c>
      <c r="AG1581" s="192">
        <f>$BD1581*VLOOKUP($AG$3,$AF$4:$AG$7,2,FALSE)</f>
        <v/>
      </c>
      <c r="AH1581" s="76">
        <f>SUM(AE1581,AG1581,AI1581)*rate_forex_risk</f>
        <v/>
      </c>
      <c r="AI1581" s="193">
        <f>IF(OR(seller_region="TR",offer_sale_type="экспорт"),0,rate_fin_comm)*SUM(AZ1581,AZ1581*AW1581,T1581)</f>
        <v/>
      </c>
      <c r="AJ1581" s="118">
        <f>IFERROR(ROUND(SUM(AB1581,AF1581:AI1581)/E1581,2),0)</f>
        <v/>
      </c>
      <c r="AK1581" s="76">
        <f>AJ1581*E1581</f>
        <v/>
      </c>
      <c r="AL1581" s="174">
        <f>ROUND(IFERROR(AM1581*E1581,0),2)</f>
        <v/>
      </c>
      <c r="AM1581" s="175">
        <f>ROUND(AJ1581*(1+IF(offer_incoterms="DDP",IF((TODAY()+offer_turnaround_time)&gt;=helpsheet!$L$17,rate_vatRU_from_26,rate_vatRu_till_25),0)),2)</f>
        <v/>
      </c>
      <c r="AN1581" s="192">
        <f>AL1581-AK1581</f>
        <v/>
      </c>
      <c r="AO1581" s="76">
        <f>SUM(AY1581,Y1581:Z1581,T1581)*IF(AND(offer_incoterms="DDP",offer_sale_type&lt;&gt;"экспорт"),IF((TODAY()+offer_turnaround_time)&gt;=helpsheet!$L$17,rate_vatRU_from_26,rate_vatRu_till_25),0)</f>
        <v/>
      </c>
      <c r="AP1581" s="193">
        <f>AN1581-AO1581</f>
        <v/>
      </c>
      <c r="AQ1581" s="118">
        <f>IF(offer_sale_type="транзит",SUM(AF1581:AI1581,BA1581,BB1581),0)</f>
        <v/>
      </c>
      <c r="AR1581" s="82">
        <f>HYPERLINK("https://www.alta.ru/tnved/code/")&amp;W1581&amp;"/"</f>
        <v/>
      </c>
      <c r="AS1581" s="157" t="n"/>
      <c r="AT1581" s="162" t="n"/>
      <c r="AU1581" s="76">
        <f>IF(ISBLANK(AT1581),0,AJ1581-AT1581)</f>
        <v/>
      </c>
      <c r="AV1581" s="157" t="n"/>
      <c r="AW1581" s="75">
        <f>_xlfn.IFNA(VLOOKUP(L1581,list_vat[],3,FALSE),0)</f>
        <v/>
      </c>
      <c r="AX1581" s="76">
        <f>IFERROR(ROUND(S1581*(1+AW1581)/E1581,2),0)</f>
        <v/>
      </c>
      <c r="AY1581" s="76">
        <f>E1581*AX1581</f>
        <v/>
      </c>
      <c r="AZ1581" s="192">
        <f>S1581*(1+M1581)</f>
        <v/>
      </c>
      <c r="BA1581" s="76">
        <f>cost_fin_total*$BD1581</f>
        <v/>
      </c>
      <c r="BB1581" s="193">
        <f>credit_sales_interest*BD1581</f>
        <v/>
      </c>
      <c r="BC1581" s="102">
        <f>IFERROR(IF($I$13&gt;0,$I1581/$I$13,$S1581/$S$13),0)</f>
        <v/>
      </c>
      <c r="BD1581" s="102">
        <f>IFERROR($S1581/$S$13,0)</f>
        <v/>
      </c>
      <c r="BE1581" s="413" t="inlineStr">
        <is>
          <t>$</t>
        </is>
      </c>
    </row>
    <row r="1582" ht="12" customFormat="1" customHeight="1" s="65">
      <c r="A1582" s="43" t="n">
        <v>1567</v>
      </c>
      <c r="B1582" s="166" t="n"/>
      <c r="C1582" s="166" t="n"/>
      <c r="D1582" s="166" t="n"/>
      <c r="E1582" s="162" t="n"/>
      <c r="F1582" s="166" t="n"/>
      <c r="G1582" s="162" t="n"/>
      <c r="H1582" s="162" t="n"/>
      <c r="I1582" s="189">
        <f>E1582*G1582</f>
        <v/>
      </c>
      <c r="J1582" s="195" t="n"/>
      <c r="K1582" s="162" t="n"/>
      <c r="L1582" s="168" t="n"/>
      <c r="M1582" s="75">
        <f>_xlfn.XLOOKUP(L1582,list_vat[Страна],list_vat[Ставка НДС %],0,0)</f>
        <v/>
      </c>
      <c r="N1582" s="162">
        <f>IFERROR(IF(L1582="Китай",K1582,K1582/(1+M1582)),0)</f>
        <v/>
      </c>
      <c r="O1582" s="169" t="n"/>
      <c r="P1582" s="76">
        <f>N1582*(1-O1582)</f>
        <v/>
      </c>
      <c r="Q1582" s="162" t="n"/>
      <c r="R1582" s="162">
        <f>IF(ISBLANK(Q1582),"введи курс",P1582/Q1582)</f>
        <v/>
      </c>
      <c r="S1582" s="196">
        <f>IF(AND(ISNUMBER(E1582),ISNUMBER(Q1582)),E1582*R1582,0)</f>
        <v/>
      </c>
      <c r="T1582" s="192">
        <f>$BC1582*V$11</f>
        <v/>
      </c>
      <c r="U1582" s="76">
        <f>$BC1582*W$11</f>
        <v/>
      </c>
      <c r="V1582" s="193">
        <f>+SUM(T1582:U1582)</f>
        <v/>
      </c>
      <c r="W1582" s="191" t="n"/>
      <c r="X1582" s="170" t="n"/>
      <c r="Y1582" s="76">
        <f>ROUND(IF(offer_incoterms="DDP",X1582*(S1582*(1+AW1582)+T1582),0),2)</f>
        <v/>
      </c>
      <c r="Z1582" s="188" t="n"/>
      <c r="AA1582" s="192">
        <f>IFERROR(AB1582/E1582,0)</f>
        <v/>
      </c>
      <c r="AB1582" s="76">
        <f>ROUND(SUM(S1582,V1582,Y1582:Z1582,BA1582:BB1582),2)</f>
        <v/>
      </c>
      <c r="AC1582" s="797" t="n"/>
      <c r="AD1582" s="192">
        <f t="array" ref="AD1582">IFERROR(ROUND((_xlfn.IFS(offer_sale_type="поставка",AB1582,offer_sale_type="транзит",S1582)*(1+AC1582))/E1582,2),0)</f>
        <v/>
      </c>
      <c r="AE1582" s="76">
        <f>AD1582*E1582</f>
        <v/>
      </c>
      <c r="AF1582" s="193">
        <f t="array" ref="AF1582">IFERROR(ROUND(_xlfn.IFS(offer_sale_type="поставка",AB1582,offer_sale_type="транзит",S1582)*AC1582,2),0)</f>
        <v/>
      </c>
      <c r="AG1582" s="192">
        <f>$BD1582*VLOOKUP($AG$3,$AF$4:$AG$7,2,FALSE)</f>
        <v/>
      </c>
      <c r="AH1582" s="76">
        <f>SUM(AE1582,AG1582,AI1582)*rate_forex_risk</f>
        <v/>
      </c>
      <c r="AI1582" s="193">
        <f>IF(OR(seller_region="TR",offer_sale_type="экспорт"),0,rate_fin_comm)*SUM(AZ1582,AZ1582*AW1582,T1582)</f>
        <v/>
      </c>
      <c r="AJ1582" s="118">
        <f>IFERROR(ROUND(SUM(AB1582,AF1582:AI1582)/E1582,2),0)</f>
        <v/>
      </c>
      <c r="AK1582" s="76">
        <f>AJ1582*E1582</f>
        <v/>
      </c>
      <c r="AL1582" s="174">
        <f>ROUND(IFERROR(AM1582*E1582,0),2)</f>
        <v/>
      </c>
      <c r="AM1582" s="175">
        <f>ROUND(AJ1582*(1+IF(offer_incoterms="DDP",IF((TODAY()+offer_turnaround_time)&gt;=helpsheet!$L$17,rate_vatRU_from_26,rate_vatRu_till_25),0)),2)</f>
        <v/>
      </c>
      <c r="AN1582" s="192">
        <f>AL1582-AK1582</f>
        <v/>
      </c>
      <c r="AO1582" s="76">
        <f>SUM(AY1582,Y1582:Z1582,T1582)*IF(AND(offer_incoterms="DDP",offer_sale_type&lt;&gt;"экспорт"),IF((TODAY()+offer_turnaround_time)&gt;=helpsheet!$L$17,rate_vatRU_from_26,rate_vatRu_till_25),0)</f>
        <v/>
      </c>
      <c r="AP1582" s="193">
        <f>AN1582-AO1582</f>
        <v/>
      </c>
      <c r="AQ1582" s="118">
        <f>IF(offer_sale_type="транзит",SUM(AF1582:AI1582,BA1582,BB1582),0)</f>
        <v/>
      </c>
      <c r="AR1582" s="82">
        <f>HYPERLINK("https://www.alta.ru/tnved/code/")&amp;W1582&amp;"/"</f>
        <v/>
      </c>
      <c r="AS1582" s="157" t="n"/>
      <c r="AT1582" s="162" t="n"/>
      <c r="AU1582" s="76">
        <f>IF(ISBLANK(AT1582),0,AJ1582-AT1582)</f>
        <v/>
      </c>
      <c r="AV1582" s="157" t="n"/>
      <c r="AW1582" s="75">
        <f>_xlfn.IFNA(VLOOKUP(L1582,list_vat[],3,FALSE),0)</f>
        <v/>
      </c>
      <c r="AX1582" s="76">
        <f>IFERROR(ROUND(S1582*(1+AW1582)/E1582,2),0)</f>
        <v/>
      </c>
      <c r="AY1582" s="76">
        <f>E1582*AX1582</f>
        <v/>
      </c>
      <c r="AZ1582" s="192">
        <f>S1582*(1+M1582)</f>
        <v/>
      </c>
      <c r="BA1582" s="76">
        <f>cost_fin_total*$BD1582</f>
        <v/>
      </c>
      <c r="BB1582" s="193">
        <f>credit_sales_interest*BD1582</f>
        <v/>
      </c>
      <c r="BC1582" s="102">
        <f>IFERROR(IF($I$13&gt;0,$I1582/$I$13,$S1582/$S$13),0)</f>
        <v/>
      </c>
      <c r="BD1582" s="102">
        <f>IFERROR($S1582/$S$13,0)</f>
        <v/>
      </c>
      <c r="BE1582" s="413" t="inlineStr">
        <is>
          <t>$</t>
        </is>
      </c>
    </row>
    <row r="1583" ht="12" customFormat="1" customHeight="1" s="65">
      <c r="A1583" s="43" t="n">
        <v>1568</v>
      </c>
      <c r="B1583" s="166" t="n"/>
      <c r="C1583" s="166" t="n"/>
      <c r="D1583" s="166" t="n"/>
      <c r="E1583" s="162" t="n"/>
      <c r="F1583" s="166" t="n"/>
      <c r="G1583" s="162" t="n"/>
      <c r="H1583" s="162" t="n"/>
      <c r="I1583" s="189">
        <f>E1583*G1583</f>
        <v/>
      </c>
      <c r="J1583" s="195" t="n"/>
      <c r="K1583" s="162" t="n"/>
      <c r="L1583" s="168" t="n"/>
      <c r="M1583" s="75">
        <f>_xlfn.XLOOKUP(L1583,list_vat[Страна],list_vat[Ставка НДС %],0,0)</f>
        <v/>
      </c>
      <c r="N1583" s="162">
        <f>IFERROR(IF(L1583="Китай",K1583,K1583/(1+M1583)),0)</f>
        <v/>
      </c>
      <c r="O1583" s="169" t="n"/>
      <c r="P1583" s="76">
        <f>N1583*(1-O1583)</f>
        <v/>
      </c>
      <c r="Q1583" s="162" t="n"/>
      <c r="R1583" s="162">
        <f>IF(ISBLANK(Q1583),"введи курс",P1583/Q1583)</f>
        <v/>
      </c>
      <c r="S1583" s="196">
        <f>IF(AND(ISNUMBER(E1583),ISNUMBER(Q1583)),E1583*R1583,0)</f>
        <v/>
      </c>
      <c r="T1583" s="192">
        <f>$BC1583*V$11</f>
        <v/>
      </c>
      <c r="U1583" s="76">
        <f>$BC1583*W$11</f>
        <v/>
      </c>
      <c r="V1583" s="193">
        <f>+SUM(T1583:U1583)</f>
        <v/>
      </c>
      <c r="W1583" s="191" t="n"/>
      <c r="X1583" s="170" t="n"/>
      <c r="Y1583" s="76">
        <f>ROUND(IF(offer_incoterms="DDP",X1583*(S1583*(1+AW1583)+T1583),0),2)</f>
        <v/>
      </c>
      <c r="Z1583" s="188" t="n"/>
      <c r="AA1583" s="192">
        <f>IFERROR(AB1583/E1583,0)</f>
        <v/>
      </c>
      <c r="AB1583" s="76">
        <f>ROUND(SUM(S1583,V1583,Y1583:Z1583,BA1583:BB1583),2)</f>
        <v/>
      </c>
      <c r="AC1583" s="797" t="n"/>
      <c r="AD1583" s="192">
        <f t="array" ref="AD1583">IFERROR(ROUND((_xlfn.IFS(offer_sale_type="поставка",AB1583,offer_sale_type="транзит",S1583)*(1+AC1583))/E1583,2),0)</f>
        <v/>
      </c>
      <c r="AE1583" s="76">
        <f>AD1583*E1583</f>
        <v/>
      </c>
      <c r="AF1583" s="193">
        <f t="array" ref="AF1583">IFERROR(ROUND(_xlfn.IFS(offer_sale_type="поставка",AB1583,offer_sale_type="транзит",S1583)*AC1583,2),0)</f>
        <v/>
      </c>
      <c r="AG1583" s="192">
        <f>$BD1583*VLOOKUP($AG$3,$AF$4:$AG$7,2,FALSE)</f>
        <v/>
      </c>
      <c r="AH1583" s="76">
        <f>SUM(AE1583,AG1583,AI1583)*rate_forex_risk</f>
        <v/>
      </c>
      <c r="AI1583" s="193">
        <f>IF(OR(seller_region="TR",offer_sale_type="экспорт"),0,rate_fin_comm)*SUM(AZ1583,AZ1583*AW1583,T1583)</f>
        <v/>
      </c>
      <c r="AJ1583" s="118">
        <f>IFERROR(ROUND(SUM(AB1583,AF1583:AI1583)/E1583,2),0)</f>
        <v/>
      </c>
      <c r="AK1583" s="76">
        <f>AJ1583*E1583</f>
        <v/>
      </c>
      <c r="AL1583" s="174">
        <f>ROUND(IFERROR(AM1583*E1583,0),2)</f>
        <v/>
      </c>
      <c r="AM1583" s="175">
        <f>ROUND(AJ1583*(1+IF(offer_incoterms="DDP",IF((TODAY()+offer_turnaround_time)&gt;=helpsheet!$L$17,rate_vatRU_from_26,rate_vatRu_till_25),0)),2)</f>
        <v/>
      </c>
      <c r="AN1583" s="192">
        <f>AL1583-AK1583</f>
        <v/>
      </c>
      <c r="AO1583" s="76">
        <f>SUM(AY1583,Y1583:Z1583,T1583)*IF(AND(offer_incoterms="DDP",offer_sale_type&lt;&gt;"экспорт"),IF((TODAY()+offer_turnaround_time)&gt;=helpsheet!$L$17,rate_vatRU_from_26,rate_vatRu_till_25),0)</f>
        <v/>
      </c>
      <c r="AP1583" s="193">
        <f>AN1583-AO1583</f>
        <v/>
      </c>
      <c r="AQ1583" s="118">
        <f>IF(offer_sale_type="транзит",SUM(AF1583:AI1583,BA1583,BB1583),0)</f>
        <v/>
      </c>
      <c r="AR1583" s="82">
        <f>HYPERLINK("https://www.alta.ru/tnved/code/")&amp;W1583&amp;"/"</f>
        <v/>
      </c>
      <c r="AS1583" s="157" t="n"/>
      <c r="AT1583" s="162" t="n"/>
      <c r="AU1583" s="76">
        <f>IF(ISBLANK(AT1583),0,AJ1583-AT1583)</f>
        <v/>
      </c>
      <c r="AV1583" s="157" t="n"/>
      <c r="AW1583" s="75">
        <f>_xlfn.IFNA(VLOOKUP(L1583,list_vat[],3,FALSE),0)</f>
        <v/>
      </c>
      <c r="AX1583" s="76">
        <f>IFERROR(ROUND(S1583*(1+AW1583)/E1583,2),0)</f>
        <v/>
      </c>
      <c r="AY1583" s="76">
        <f>E1583*AX1583</f>
        <v/>
      </c>
      <c r="AZ1583" s="192">
        <f>S1583*(1+M1583)</f>
        <v/>
      </c>
      <c r="BA1583" s="76">
        <f>cost_fin_total*$BD1583</f>
        <v/>
      </c>
      <c r="BB1583" s="193">
        <f>credit_sales_interest*BD1583</f>
        <v/>
      </c>
      <c r="BC1583" s="102">
        <f>IFERROR(IF($I$13&gt;0,$I1583/$I$13,$S1583/$S$13),0)</f>
        <v/>
      </c>
      <c r="BD1583" s="102">
        <f>IFERROR($S1583/$S$13,0)</f>
        <v/>
      </c>
      <c r="BE1583" s="413" t="inlineStr">
        <is>
          <t>$</t>
        </is>
      </c>
    </row>
    <row r="1584" ht="12" customFormat="1" customHeight="1" s="65">
      <c r="A1584" s="43" t="n">
        <v>1569</v>
      </c>
      <c r="B1584" s="166" t="n"/>
      <c r="C1584" s="166" t="n"/>
      <c r="D1584" s="166" t="n"/>
      <c r="E1584" s="162" t="n"/>
      <c r="F1584" s="166" t="n"/>
      <c r="G1584" s="162" t="n"/>
      <c r="H1584" s="162" t="n"/>
      <c r="I1584" s="189">
        <f>E1584*G1584</f>
        <v/>
      </c>
      <c r="J1584" s="195" t="n"/>
      <c r="K1584" s="162" t="n"/>
      <c r="L1584" s="168" t="n"/>
      <c r="M1584" s="75">
        <f>_xlfn.XLOOKUP(L1584,list_vat[Страна],list_vat[Ставка НДС %],0,0)</f>
        <v/>
      </c>
      <c r="N1584" s="162">
        <f>IFERROR(IF(L1584="Китай",K1584,K1584/(1+M1584)),0)</f>
        <v/>
      </c>
      <c r="O1584" s="169" t="n"/>
      <c r="P1584" s="76">
        <f>N1584*(1-O1584)</f>
        <v/>
      </c>
      <c r="Q1584" s="162" t="n"/>
      <c r="R1584" s="162">
        <f>IF(ISBLANK(Q1584),"введи курс",P1584/Q1584)</f>
        <v/>
      </c>
      <c r="S1584" s="196">
        <f>IF(AND(ISNUMBER(E1584),ISNUMBER(Q1584)),E1584*R1584,0)</f>
        <v/>
      </c>
      <c r="T1584" s="192">
        <f>$BC1584*V$11</f>
        <v/>
      </c>
      <c r="U1584" s="76">
        <f>$BC1584*W$11</f>
        <v/>
      </c>
      <c r="V1584" s="193">
        <f>+SUM(T1584:U1584)</f>
        <v/>
      </c>
      <c r="W1584" s="191" t="n"/>
      <c r="X1584" s="170" t="n"/>
      <c r="Y1584" s="76">
        <f>ROUND(IF(offer_incoterms="DDP",X1584*(S1584*(1+AW1584)+T1584),0),2)</f>
        <v/>
      </c>
      <c r="Z1584" s="188" t="n"/>
      <c r="AA1584" s="192">
        <f>IFERROR(AB1584/E1584,0)</f>
        <v/>
      </c>
      <c r="AB1584" s="76">
        <f>ROUND(SUM(S1584,V1584,Y1584:Z1584,BA1584:BB1584),2)</f>
        <v/>
      </c>
      <c r="AC1584" s="797" t="n"/>
      <c r="AD1584" s="192">
        <f t="array" ref="AD1584">IFERROR(ROUND((_xlfn.IFS(offer_sale_type="поставка",AB1584,offer_sale_type="транзит",S1584)*(1+AC1584))/E1584,2),0)</f>
        <v/>
      </c>
      <c r="AE1584" s="76">
        <f>AD1584*E1584</f>
        <v/>
      </c>
      <c r="AF1584" s="193">
        <f t="array" ref="AF1584">IFERROR(ROUND(_xlfn.IFS(offer_sale_type="поставка",AB1584,offer_sale_type="транзит",S1584)*AC1584,2),0)</f>
        <v/>
      </c>
      <c r="AG1584" s="192">
        <f>$BD1584*VLOOKUP($AG$3,$AF$4:$AG$7,2,FALSE)</f>
        <v/>
      </c>
      <c r="AH1584" s="76">
        <f>SUM(AE1584,AG1584,AI1584)*rate_forex_risk</f>
        <v/>
      </c>
      <c r="AI1584" s="193">
        <f>IF(OR(seller_region="TR",offer_sale_type="экспорт"),0,rate_fin_comm)*SUM(AZ1584,AZ1584*AW1584,T1584)</f>
        <v/>
      </c>
      <c r="AJ1584" s="118">
        <f>IFERROR(ROUND(SUM(AB1584,AF1584:AI1584)/E1584,2),0)</f>
        <v/>
      </c>
      <c r="AK1584" s="76">
        <f>AJ1584*E1584</f>
        <v/>
      </c>
      <c r="AL1584" s="174">
        <f>ROUND(IFERROR(AM1584*E1584,0),2)</f>
        <v/>
      </c>
      <c r="AM1584" s="175">
        <f>ROUND(AJ1584*(1+IF(offer_incoterms="DDP",IF((TODAY()+offer_turnaround_time)&gt;=helpsheet!$L$17,rate_vatRU_from_26,rate_vatRu_till_25),0)),2)</f>
        <v/>
      </c>
      <c r="AN1584" s="192">
        <f>AL1584-AK1584</f>
        <v/>
      </c>
      <c r="AO1584" s="76">
        <f>SUM(AY1584,Y1584:Z1584,T1584)*IF(AND(offer_incoterms="DDP",offer_sale_type&lt;&gt;"экспорт"),IF((TODAY()+offer_turnaround_time)&gt;=helpsheet!$L$17,rate_vatRU_from_26,rate_vatRu_till_25),0)</f>
        <v/>
      </c>
      <c r="AP1584" s="193">
        <f>AN1584-AO1584</f>
        <v/>
      </c>
      <c r="AQ1584" s="118">
        <f>IF(offer_sale_type="транзит",SUM(AF1584:AI1584,BA1584,BB1584),0)</f>
        <v/>
      </c>
      <c r="AR1584" s="82">
        <f>HYPERLINK("https://www.alta.ru/tnved/code/")&amp;W1584&amp;"/"</f>
        <v/>
      </c>
      <c r="AS1584" s="157" t="n"/>
      <c r="AT1584" s="162" t="n"/>
      <c r="AU1584" s="76">
        <f>IF(ISBLANK(AT1584),0,AJ1584-AT1584)</f>
        <v/>
      </c>
      <c r="AV1584" s="157" t="n"/>
      <c r="AW1584" s="75">
        <f>_xlfn.IFNA(VLOOKUP(L1584,list_vat[],3,FALSE),0)</f>
        <v/>
      </c>
      <c r="AX1584" s="76">
        <f>IFERROR(ROUND(S1584*(1+AW1584)/E1584,2),0)</f>
        <v/>
      </c>
      <c r="AY1584" s="76">
        <f>E1584*AX1584</f>
        <v/>
      </c>
      <c r="AZ1584" s="192">
        <f>S1584*(1+M1584)</f>
        <v/>
      </c>
      <c r="BA1584" s="76">
        <f>cost_fin_total*$BD1584</f>
        <v/>
      </c>
      <c r="BB1584" s="193">
        <f>credit_sales_interest*BD1584</f>
        <v/>
      </c>
      <c r="BC1584" s="102">
        <f>IFERROR(IF($I$13&gt;0,$I1584/$I$13,$S1584/$S$13),0)</f>
        <v/>
      </c>
      <c r="BD1584" s="102">
        <f>IFERROR($S1584/$S$13,0)</f>
        <v/>
      </c>
      <c r="BE1584" s="413" t="inlineStr">
        <is>
          <t>$</t>
        </is>
      </c>
    </row>
    <row r="1585" ht="12" customFormat="1" customHeight="1" s="65">
      <c r="A1585" s="43" t="n">
        <v>1570</v>
      </c>
      <c r="B1585" s="166" t="n"/>
      <c r="C1585" s="166" t="n"/>
      <c r="D1585" s="166" t="n"/>
      <c r="E1585" s="162" t="n"/>
      <c r="F1585" s="166" t="n"/>
      <c r="G1585" s="162" t="n"/>
      <c r="H1585" s="162" t="n"/>
      <c r="I1585" s="189">
        <f>E1585*G1585</f>
        <v/>
      </c>
      <c r="J1585" s="195" t="n"/>
      <c r="K1585" s="162" t="n"/>
      <c r="L1585" s="168" t="n"/>
      <c r="M1585" s="75">
        <f>_xlfn.XLOOKUP(L1585,list_vat[Страна],list_vat[Ставка НДС %],0,0)</f>
        <v/>
      </c>
      <c r="N1585" s="162">
        <f>IFERROR(IF(L1585="Китай",K1585,K1585/(1+M1585)),0)</f>
        <v/>
      </c>
      <c r="O1585" s="169" t="n"/>
      <c r="P1585" s="76">
        <f>N1585*(1-O1585)</f>
        <v/>
      </c>
      <c r="Q1585" s="162" t="n"/>
      <c r="R1585" s="162">
        <f>IF(ISBLANK(Q1585),"введи курс",P1585/Q1585)</f>
        <v/>
      </c>
      <c r="S1585" s="196">
        <f>IF(AND(ISNUMBER(E1585),ISNUMBER(Q1585)),E1585*R1585,0)</f>
        <v/>
      </c>
      <c r="T1585" s="192">
        <f>$BC1585*V$11</f>
        <v/>
      </c>
      <c r="U1585" s="76">
        <f>$BC1585*W$11</f>
        <v/>
      </c>
      <c r="V1585" s="193">
        <f>+SUM(T1585:U1585)</f>
        <v/>
      </c>
      <c r="W1585" s="191" t="n"/>
      <c r="X1585" s="170" t="n"/>
      <c r="Y1585" s="76">
        <f>ROUND(IF(offer_incoterms="DDP",X1585*(S1585*(1+AW1585)+T1585),0),2)</f>
        <v/>
      </c>
      <c r="Z1585" s="188" t="n"/>
      <c r="AA1585" s="192">
        <f>IFERROR(AB1585/E1585,0)</f>
        <v/>
      </c>
      <c r="AB1585" s="76">
        <f>ROUND(SUM(S1585,V1585,Y1585:Z1585,BA1585:BB1585),2)</f>
        <v/>
      </c>
      <c r="AC1585" s="797" t="n"/>
      <c r="AD1585" s="192">
        <f t="array" ref="AD1585">IFERROR(ROUND((_xlfn.IFS(offer_sale_type="поставка",AB1585,offer_sale_type="транзит",S1585)*(1+AC1585))/E1585,2),0)</f>
        <v/>
      </c>
      <c r="AE1585" s="76">
        <f>AD1585*E1585</f>
        <v/>
      </c>
      <c r="AF1585" s="193">
        <f t="array" ref="AF1585">IFERROR(ROUND(_xlfn.IFS(offer_sale_type="поставка",AB1585,offer_sale_type="транзит",S1585)*AC1585,2),0)</f>
        <v/>
      </c>
      <c r="AG1585" s="192">
        <f>$BD1585*VLOOKUP($AG$3,$AF$4:$AG$7,2,FALSE)</f>
        <v/>
      </c>
      <c r="AH1585" s="76">
        <f>SUM(AE1585,AG1585,AI1585)*rate_forex_risk</f>
        <v/>
      </c>
      <c r="AI1585" s="193">
        <f>IF(OR(seller_region="TR",offer_sale_type="экспорт"),0,rate_fin_comm)*SUM(AZ1585,AZ1585*AW1585,T1585)</f>
        <v/>
      </c>
      <c r="AJ1585" s="118">
        <f>IFERROR(ROUND(SUM(AB1585,AF1585:AI1585)/E1585,2),0)</f>
        <v/>
      </c>
      <c r="AK1585" s="76">
        <f>AJ1585*E1585</f>
        <v/>
      </c>
      <c r="AL1585" s="174">
        <f>ROUND(IFERROR(AM1585*E1585,0),2)</f>
        <v/>
      </c>
      <c r="AM1585" s="175">
        <f>ROUND(AJ1585*(1+IF(offer_incoterms="DDP",IF((TODAY()+offer_turnaround_time)&gt;=helpsheet!$L$17,rate_vatRU_from_26,rate_vatRu_till_25),0)),2)</f>
        <v/>
      </c>
      <c r="AN1585" s="192">
        <f>AL1585-AK1585</f>
        <v/>
      </c>
      <c r="AO1585" s="76">
        <f>SUM(AY1585,Y1585:Z1585,T1585)*IF(AND(offer_incoterms="DDP",offer_sale_type&lt;&gt;"экспорт"),IF((TODAY()+offer_turnaround_time)&gt;=helpsheet!$L$17,rate_vatRU_from_26,rate_vatRu_till_25),0)</f>
        <v/>
      </c>
      <c r="AP1585" s="193">
        <f>AN1585-AO1585</f>
        <v/>
      </c>
      <c r="AQ1585" s="118">
        <f>IF(offer_sale_type="транзит",SUM(AF1585:AI1585,BA1585,BB1585),0)</f>
        <v/>
      </c>
      <c r="AR1585" s="82">
        <f>HYPERLINK("https://www.alta.ru/tnved/code/")&amp;W1585&amp;"/"</f>
        <v/>
      </c>
      <c r="AS1585" s="157" t="n"/>
      <c r="AT1585" s="162" t="n"/>
      <c r="AU1585" s="76">
        <f>IF(ISBLANK(AT1585),0,AJ1585-AT1585)</f>
        <v/>
      </c>
      <c r="AV1585" s="157" t="n"/>
      <c r="AW1585" s="75">
        <f>_xlfn.IFNA(VLOOKUP(L1585,list_vat[],3,FALSE),0)</f>
        <v/>
      </c>
      <c r="AX1585" s="76">
        <f>IFERROR(ROUND(S1585*(1+AW1585)/E1585,2),0)</f>
        <v/>
      </c>
      <c r="AY1585" s="76">
        <f>E1585*AX1585</f>
        <v/>
      </c>
      <c r="AZ1585" s="192">
        <f>S1585*(1+M1585)</f>
        <v/>
      </c>
      <c r="BA1585" s="76">
        <f>cost_fin_total*$BD1585</f>
        <v/>
      </c>
      <c r="BB1585" s="193">
        <f>credit_sales_interest*BD1585</f>
        <v/>
      </c>
      <c r="BC1585" s="102">
        <f>IFERROR(IF($I$13&gt;0,$I1585/$I$13,$S1585/$S$13),0)</f>
        <v/>
      </c>
      <c r="BD1585" s="102">
        <f>IFERROR($S1585/$S$13,0)</f>
        <v/>
      </c>
      <c r="BE1585" s="413" t="inlineStr">
        <is>
          <t>$</t>
        </is>
      </c>
    </row>
    <row r="1586" ht="12" customFormat="1" customHeight="1" s="65">
      <c r="A1586" s="43" t="n">
        <v>1571</v>
      </c>
      <c r="B1586" s="166" t="n"/>
      <c r="C1586" s="166" t="n"/>
      <c r="D1586" s="166" t="n"/>
      <c r="E1586" s="162" t="n"/>
      <c r="F1586" s="166" t="n"/>
      <c r="G1586" s="162" t="n"/>
      <c r="H1586" s="162" t="n"/>
      <c r="I1586" s="189">
        <f>E1586*G1586</f>
        <v/>
      </c>
      <c r="J1586" s="195" t="n"/>
      <c r="K1586" s="162" t="n"/>
      <c r="L1586" s="168" t="n"/>
      <c r="M1586" s="75">
        <f>_xlfn.XLOOKUP(L1586,list_vat[Страна],list_vat[Ставка НДС %],0,0)</f>
        <v/>
      </c>
      <c r="N1586" s="162">
        <f>IFERROR(IF(L1586="Китай",K1586,K1586/(1+M1586)),0)</f>
        <v/>
      </c>
      <c r="O1586" s="169" t="n"/>
      <c r="P1586" s="76">
        <f>N1586*(1-O1586)</f>
        <v/>
      </c>
      <c r="Q1586" s="162" t="n"/>
      <c r="R1586" s="162">
        <f>IF(ISBLANK(Q1586),"введи курс",P1586/Q1586)</f>
        <v/>
      </c>
      <c r="S1586" s="196">
        <f>IF(AND(ISNUMBER(E1586),ISNUMBER(Q1586)),E1586*R1586,0)</f>
        <v/>
      </c>
      <c r="T1586" s="192">
        <f>$BC1586*V$11</f>
        <v/>
      </c>
      <c r="U1586" s="76">
        <f>$BC1586*W$11</f>
        <v/>
      </c>
      <c r="V1586" s="193">
        <f>+SUM(T1586:U1586)</f>
        <v/>
      </c>
      <c r="W1586" s="191" t="n"/>
      <c r="X1586" s="170" t="n"/>
      <c r="Y1586" s="76">
        <f>ROUND(IF(offer_incoterms="DDP",X1586*(S1586*(1+AW1586)+T1586),0),2)</f>
        <v/>
      </c>
      <c r="Z1586" s="188" t="n"/>
      <c r="AA1586" s="192">
        <f>IFERROR(AB1586/E1586,0)</f>
        <v/>
      </c>
      <c r="AB1586" s="76">
        <f>ROUND(SUM(S1586,V1586,Y1586:Z1586,BA1586:BB1586),2)</f>
        <v/>
      </c>
      <c r="AC1586" s="797" t="n"/>
      <c r="AD1586" s="192">
        <f t="array" ref="AD1586">IFERROR(ROUND((_xlfn.IFS(offer_sale_type="поставка",AB1586,offer_sale_type="транзит",S1586)*(1+AC1586))/E1586,2),0)</f>
        <v/>
      </c>
      <c r="AE1586" s="76">
        <f>AD1586*E1586</f>
        <v/>
      </c>
      <c r="AF1586" s="193">
        <f t="array" ref="AF1586">IFERROR(ROUND(_xlfn.IFS(offer_sale_type="поставка",AB1586,offer_sale_type="транзит",S1586)*AC1586,2),0)</f>
        <v/>
      </c>
      <c r="AG1586" s="192">
        <f>$BD1586*VLOOKUP($AG$3,$AF$4:$AG$7,2,FALSE)</f>
        <v/>
      </c>
      <c r="AH1586" s="76">
        <f>SUM(AE1586,AG1586,AI1586)*rate_forex_risk</f>
        <v/>
      </c>
      <c r="AI1586" s="193">
        <f>IF(OR(seller_region="TR",offer_sale_type="экспорт"),0,rate_fin_comm)*SUM(AZ1586,AZ1586*AW1586,T1586)</f>
        <v/>
      </c>
      <c r="AJ1586" s="118">
        <f>IFERROR(ROUND(SUM(AB1586,AF1586:AI1586)/E1586,2),0)</f>
        <v/>
      </c>
      <c r="AK1586" s="76">
        <f>AJ1586*E1586</f>
        <v/>
      </c>
      <c r="AL1586" s="174">
        <f>ROUND(IFERROR(AM1586*E1586,0),2)</f>
        <v/>
      </c>
      <c r="AM1586" s="175">
        <f>ROUND(AJ1586*(1+IF(offer_incoterms="DDP",IF((TODAY()+offer_turnaround_time)&gt;=helpsheet!$L$17,rate_vatRU_from_26,rate_vatRu_till_25),0)),2)</f>
        <v/>
      </c>
      <c r="AN1586" s="192">
        <f>AL1586-AK1586</f>
        <v/>
      </c>
      <c r="AO1586" s="76">
        <f>SUM(AY1586,Y1586:Z1586,T1586)*IF(AND(offer_incoterms="DDP",offer_sale_type&lt;&gt;"экспорт"),IF((TODAY()+offer_turnaround_time)&gt;=helpsheet!$L$17,rate_vatRU_from_26,rate_vatRu_till_25),0)</f>
        <v/>
      </c>
      <c r="AP1586" s="193">
        <f>AN1586-AO1586</f>
        <v/>
      </c>
      <c r="AQ1586" s="118">
        <f>IF(offer_sale_type="транзит",SUM(AF1586:AI1586,BA1586,BB1586),0)</f>
        <v/>
      </c>
      <c r="AR1586" s="82">
        <f>HYPERLINK("https://www.alta.ru/tnved/code/")&amp;W1586&amp;"/"</f>
        <v/>
      </c>
      <c r="AS1586" s="157" t="n"/>
      <c r="AT1586" s="162" t="n"/>
      <c r="AU1586" s="76">
        <f>IF(ISBLANK(AT1586),0,AJ1586-AT1586)</f>
        <v/>
      </c>
      <c r="AV1586" s="157" t="n"/>
      <c r="AW1586" s="75">
        <f>_xlfn.IFNA(VLOOKUP(L1586,list_vat[],3,FALSE),0)</f>
        <v/>
      </c>
      <c r="AX1586" s="76">
        <f>IFERROR(ROUND(S1586*(1+AW1586)/E1586,2),0)</f>
        <v/>
      </c>
      <c r="AY1586" s="76">
        <f>E1586*AX1586</f>
        <v/>
      </c>
      <c r="AZ1586" s="192">
        <f>S1586*(1+M1586)</f>
        <v/>
      </c>
      <c r="BA1586" s="76">
        <f>cost_fin_total*$BD1586</f>
        <v/>
      </c>
      <c r="BB1586" s="193">
        <f>credit_sales_interest*BD1586</f>
        <v/>
      </c>
      <c r="BC1586" s="102">
        <f>IFERROR(IF($I$13&gt;0,$I1586/$I$13,$S1586/$S$13),0)</f>
        <v/>
      </c>
      <c r="BD1586" s="102">
        <f>IFERROR($S1586/$S$13,0)</f>
        <v/>
      </c>
      <c r="BE1586" s="413" t="inlineStr">
        <is>
          <t>$</t>
        </is>
      </c>
    </row>
    <row r="1587" ht="12" customFormat="1" customHeight="1" s="65">
      <c r="A1587" s="43" t="n">
        <v>1572</v>
      </c>
      <c r="B1587" s="166" t="n"/>
      <c r="C1587" s="166" t="n"/>
      <c r="D1587" s="166" t="n"/>
      <c r="E1587" s="162" t="n"/>
      <c r="F1587" s="166" t="n"/>
      <c r="G1587" s="162" t="n"/>
      <c r="H1587" s="162" t="n"/>
      <c r="I1587" s="189">
        <f>E1587*G1587</f>
        <v/>
      </c>
      <c r="J1587" s="195" t="n"/>
      <c r="K1587" s="162" t="n"/>
      <c r="L1587" s="168" t="n"/>
      <c r="M1587" s="75">
        <f>_xlfn.XLOOKUP(L1587,list_vat[Страна],list_vat[Ставка НДС %],0,0)</f>
        <v/>
      </c>
      <c r="N1587" s="162">
        <f>IFERROR(IF(L1587="Китай",K1587,K1587/(1+M1587)),0)</f>
        <v/>
      </c>
      <c r="O1587" s="169" t="n"/>
      <c r="P1587" s="76">
        <f>N1587*(1-O1587)</f>
        <v/>
      </c>
      <c r="Q1587" s="162" t="n"/>
      <c r="R1587" s="162">
        <f>IF(ISBLANK(Q1587),"введи курс",P1587/Q1587)</f>
        <v/>
      </c>
      <c r="S1587" s="196">
        <f>IF(AND(ISNUMBER(E1587),ISNUMBER(Q1587)),E1587*R1587,0)</f>
        <v/>
      </c>
      <c r="T1587" s="192">
        <f>$BC1587*V$11</f>
        <v/>
      </c>
      <c r="U1587" s="76">
        <f>$BC1587*W$11</f>
        <v/>
      </c>
      <c r="V1587" s="193">
        <f>+SUM(T1587:U1587)</f>
        <v/>
      </c>
      <c r="W1587" s="191" t="n"/>
      <c r="X1587" s="170" t="n"/>
      <c r="Y1587" s="76">
        <f>ROUND(IF(offer_incoterms="DDP",X1587*(S1587*(1+AW1587)+T1587),0),2)</f>
        <v/>
      </c>
      <c r="Z1587" s="188" t="n"/>
      <c r="AA1587" s="192">
        <f>IFERROR(AB1587/E1587,0)</f>
        <v/>
      </c>
      <c r="AB1587" s="76">
        <f>ROUND(SUM(S1587,V1587,Y1587:Z1587,BA1587:BB1587),2)</f>
        <v/>
      </c>
      <c r="AC1587" s="797" t="n"/>
      <c r="AD1587" s="192">
        <f t="array" ref="AD1587">IFERROR(ROUND((_xlfn.IFS(offer_sale_type="поставка",AB1587,offer_sale_type="транзит",S1587)*(1+AC1587))/E1587,2),0)</f>
        <v/>
      </c>
      <c r="AE1587" s="76">
        <f>AD1587*E1587</f>
        <v/>
      </c>
      <c r="AF1587" s="193">
        <f t="array" ref="AF1587">IFERROR(ROUND(_xlfn.IFS(offer_sale_type="поставка",AB1587,offer_sale_type="транзит",S1587)*AC1587,2),0)</f>
        <v/>
      </c>
      <c r="AG1587" s="192">
        <f>$BD1587*VLOOKUP($AG$3,$AF$4:$AG$7,2,FALSE)</f>
        <v/>
      </c>
      <c r="AH1587" s="76">
        <f>SUM(AE1587,AG1587,AI1587)*rate_forex_risk</f>
        <v/>
      </c>
      <c r="AI1587" s="193">
        <f>IF(OR(seller_region="TR",offer_sale_type="экспорт"),0,rate_fin_comm)*SUM(AZ1587,AZ1587*AW1587,T1587)</f>
        <v/>
      </c>
      <c r="AJ1587" s="118">
        <f>IFERROR(ROUND(SUM(AB1587,AF1587:AI1587)/E1587,2),0)</f>
        <v/>
      </c>
      <c r="AK1587" s="76">
        <f>AJ1587*E1587</f>
        <v/>
      </c>
      <c r="AL1587" s="174">
        <f>ROUND(IFERROR(AM1587*E1587,0),2)</f>
        <v/>
      </c>
      <c r="AM1587" s="175">
        <f>ROUND(AJ1587*(1+IF(offer_incoterms="DDP",IF((TODAY()+offer_turnaround_time)&gt;=helpsheet!$L$17,rate_vatRU_from_26,rate_vatRu_till_25),0)),2)</f>
        <v/>
      </c>
      <c r="AN1587" s="192">
        <f>AL1587-AK1587</f>
        <v/>
      </c>
      <c r="AO1587" s="76">
        <f>SUM(AY1587,Y1587:Z1587,T1587)*IF(AND(offer_incoterms="DDP",offer_sale_type&lt;&gt;"экспорт"),IF((TODAY()+offer_turnaround_time)&gt;=helpsheet!$L$17,rate_vatRU_from_26,rate_vatRu_till_25),0)</f>
        <v/>
      </c>
      <c r="AP1587" s="193">
        <f>AN1587-AO1587</f>
        <v/>
      </c>
      <c r="AQ1587" s="118">
        <f>IF(offer_sale_type="транзит",SUM(AF1587:AI1587,BA1587,BB1587),0)</f>
        <v/>
      </c>
      <c r="AR1587" s="82">
        <f>HYPERLINK("https://www.alta.ru/tnved/code/")&amp;W1587&amp;"/"</f>
        <v/>
      </c>
      <c r="AS1587" s="157" t="n"/>
      <c r="AT1587" s="162" t="n"/>
      <c r="AU1587" s="76">
        <f>IF(ISBLANK(AT1587),0,AJ1587-AT1587)</f>
        <v/>
      </c>
      <c r="AV1587" s="157" t="n"/>
      <c r="AW1587" s="75">
        <f>_xlfn.IFNA(VLOOKUP(L1587,list_vat[],3,FALSE),0)</f>
        <v/>
      </c>
      <c r="AX1587" s="76">
        <f>IFERROR(ROUND(S1587*(1+AW1587)/E1587,2),0)</f>
        <v/>
      </c>
      <c r="AY1587" s="76">
        <f>E1587*AX1587</f>
        <v/>
      </c>
      <c r="AZ1587" s="192">
        <f>S1587*(1+M1587)</f>
        <v/>
      </c>
      <c r="BA1587" s="76">
        <f>cost_fin_total*$BD1587</f>
        <v/>
      </c>
      <c r="BB1587" s="193">
        <f>credit_sales_interest*BD1587</f>
        <v/>
      </c>
      <c r="BC1587" s="102">
        <f>IFERROR(IF($I$13&gt;0,$I1587/$I$13,$S1587/$S$13),0)</f>
        <v/>
      </c>
      <c r="BD1587" s="102">
        <f>IFERROR($S1587/$S$13,0)</f>
        <v/>
      </c>
      <c r="BE1587" s="413" t="inlineStr">
        <is>
          <t>$</t>
        </is>
      </c>
    </row>
    <row r="1588" ht="12" customFormat="1" customHeight="1" s="65">
      <c r="A1588" s="43" t="n">
        <v>1573</v>
      </c>
      <c r="B1588" s="166" t="n"/>
      <c r="C1588" s="166" t="n"/>
      <c r="D1588" s="166" t="n"/>
      <c r="E1588" s="162" t="n"/>
      <c r="F1588" s="166" t="n"/>
      <c r="G1588" s="162" t="n"/>
      <c r="H1588" s="162" t="n"/>
      <c r="I1588" s="189">
        <f>E1588*G1588</f>
        <v/>
      </c>
      <c r="J1588" s="195" t="n"/>
      <c r="K1588" s="162" t="n"/>
      <c r="L1588" s="168" t="n"/>
      <c r="M1588" s="75">
        <f>_xlfn.XLOOKUP(L1588,list_vat[Страна],list_vat[Ставка НДС %],0,0)</f>
        <v/>
      </c>
      <c r="N1588" s="162">
        <f>IFERROR(IF(L1588="Китай",K1588,K1588/(1+M1588)),0)</f>
        <v/>
      </c>
      <c r="O1588" s="169" t="n"/>
      <c r="P1588" s="76">
        <f>N1588*(1-O1588)</f>
        <v/>
      </c>
      <c r="Q1588" s="162" t="n"/>
      <c r="R1588" s="162">
        <f>IF(ISBLANK(Q1588),"введи курс",P1588/Q1588)</f>
        <v/>
      </c>
      <c r="S1588" s="196">
        <f>IF(AND(ISNUMBER(E1588),ISNUMBER(Q1588)),E1588*R1588,0)</f>
        <v/>
      </c>
      <c r="T1588" s="192">
        <f>$BC1588*V$11</f>
        <v/>
      </c>
      <c r="U1588" s="76">
        <f>$BC1588*W$11</f>
        <v/>
      </c>
      <c r="V1588" s="193">
        <f>+SUM(T1588:U1588)</f>
        <v/>
      </c>
      <c r="W1588" s="191" t="n"/>
      <c r="X1588" s="170" t="n"/>
      <c r="Y1588" s="76">
        <f>ROUND(IF(offer_incoterms="DDP",X1588*(S1588*(1+AW1588)+T1588),0),2)</f>
        <v/>
      </c>
      <c r="Z1588" s="188" t="n"/>
      <c r="AA1588" s="192">
        <f>IFERROR(AB1588/E1588,0)</f>
        <v/>
      </c>
      <c r="AB1588" s="76">
        <f>ROUND(SUM(S1588,V1588,Y1588:Z1588,BA1588:BB1588),2)</f>
        <v/>
      </c>
      <c r="AC1588" s="797" t="n"/>
      <c r="AD1588" s="192">
        <f t="array" ref="AD1588">IFERROR(ROUND((_xlfn.IFS(offer_sale_type="поставка",AB1588,offer_sale_type="транзит",S1588)*(1+AC1588))/E1588,2),0)</f>
        <v/>
      </c>
      <c r="AE1588" s="76">
        <f>AD1588*E1588</f>
        <v/>
      </c>
      <c r="AF1588" s="193">
        <f t="array" ref="AF1588">IFERROR(ROUND(_xlfn.IFS(offer_sale_type="поставка",AB1588,offer_sale_type="транзит",S1588)*AC1588,2),0)</f>
        <v/>
      </c>
      <c r="AG1588" s="192">
        <f>$BD1588*VLOOKUP($AG$3,$AF$4:$AG$7,2,FALSE)</f>
        <v/>
      </c>
      <c r="AH1588" s="76">
        <f>SUM(AE1588,AG1588,AI1588)*rate_forex_risk</f>
        <v/>
      </c>
      <c r="AI1588" s="193">
        <f>IF(OR(seller_region="TR",offer_sale_type="экспорт"),0,rate_fin_comm)*SUM(AZ1588,AZ1588*AW1588,T1588)</f>
        <v/>
      </c>
      <c r="AJ1588" s="118">
        <f>IFERROR(ROUND(SUM(AB1588,AF1588:AI1588)/E1588,2),0)</f>
        <v/>
      </c>
      <c r="AK1588" s="76">
        <f>AJ1588*E1588</f>
        <v/>
      </c>
      <c r="AL1588" s="174">
        <f>ROUND(IFERROR(AM1588*E1588,0),2)</f>
        <v/>
      </c>
      <c r="AM1588" s="175">
        <f>ROUND(AJ1588*(1+IF(offer_incoterms="DDP",IF((TODAY()+offer_turnaround_time)&gt;=helpsheet!$L$17,rate_vatRU_from_26,rate_vatRu_till_25),0)),2)</f>
        <v/>
      </c>
      <c r="AN1588" s="192">
        <f>AL1588-AK1588</f>
        <v/>
      </c>
      <c r="AO1588" s="76">
        <f>SUM(AY1588,Y1588:Z1588,T1588)*IF(AND(offer_incoterms="DDP",offer_sale_type&lt;&gt;"экспорт"),IF((TODAY()+offer_turnaround_time)&gt;=helpsheet!$L$17,rate_vatRU_from_26,rate_vatRu_till_25),0)</f>
        <v/>
      </c>
      <c r="AP1588" s="193">
        <f>AN1588-AO1588</f>
        <v/>
      </c>
      <c r="AQ1588" s="118">
        <f>IF(offer_sale_type="транзит",SUM(AF1588:AI1588,BA1588,BB1588),0)</f>
        <v/>
      </c>
      <c r="AR1588" s="82">
        <f>HYPERLINK("https://www.alta.ru/tnved/code/")&amp;W1588&amp;"/"</f>
        <v/>
      </c>
      <c r="AS1588" s="157" t="n"/>
      <c r="AT1588" s="162" t="n"/>
      <c r="AU1588" s="76">
        <f>IF(ISBLANK(AT1588),0,AJ1588-AT1588)</f>
        <v/>
      </c>
      <c r="AV1588" s="157" t="n"/>
      <c r="AW1588" s="75">
        <f>_xlfn.IFNA(VLOOKUP(L1588,list_vat[],3,FALSE),0)</f>
        <v/>
      </c>
      <c r="AX1588" s="76">
        <f>IFERROR(ROUND(S1588*(1+AW1588)/E1588,2),0)</f>
        <v/>
      </c>
      <c r="AY1588" s="76">
        <f>E1588*AX1588</f>
        <v/>
      </c>
      <c r="AZ1588" s="192">
        <f>S1588*(1+M1588)</f>
        <v/>
      </c>
      <c r="BA1588" s="76">
        <f>cost_fin_total*$BD1588</f>
        <v/>
      </c>
      <c r="BB1588" s="193">
        <f>credit_sales_interest*BD1588</f>
        <v/>
      </c>
      <c r="BC1588" s="102">
        <f>IFERROR(IF($I$13&gt;0,$I1588/$I$13,$S1588/$S$13),0)</f>
        <v/>
      </c>
      <c r="BD1588" s="102">
        <f>IFERROR($S1588/$S$13,0)</f>
        <v/>
      </c>
      <c r="BE1588" s="413" t="inlineStr">
        <is>
          <t>$</t>
        </is>
      </c>
    </row>
    <row r="1589" ht="12" customFormat="1" customHeight="1" s="65">
      <c r="A1589" s="43" t="n">
        <v>1574</v>
      </c>
      <c r="B1589" s="166" t="n"/>
      <c r="C1589" s="166" t="n"/>
      <c r="D1589" s="166" t="n"/>
      <c r="E1589" s="162" t="n"/>
      <c r="F1589" s="166" t="n"/>
      <c r="G1589" s="162" t="n"/>
      <c r="H1589" s="162" t="n"/>
      <c r="I1589" s="189">
        <f>E1589*G1589</f>
        <v/>
      </c>
      <c r="J1589" s="195" t="n"/>
      <c r="K1589" s="162" t="n"/>
      <c r="L1589" s="168" t="n"/>
      <c r="M1589" s="75">
        <f>_xlfn.XLOOKUP(L1589,list_vat[Страна],list_vat[Ставка НДС %],0,0)</f>
        <v/>
      </c>
      <c r="N1589" s="162">
        <f>IFERROR(IF(L1589="Китай",K1589,K1589/(1+M1589)),0)</f>
        <v/>
      </c>
      <c r="O1589" s="169" t="n"/>
      <c r="P1589" s="76">
        <f>N1589*(1-O1589)</f>
        <v/>
      </c>
      <c r="Q1589" s="162" t="n"/>
      <c r="R1589" s="162">
        <f>IF(ISBLANK(Q1589),"введи курс",P1589/Q1589)</f>
        <v/>
      </c>
      <c r="S1589" s="196">
        <f>IF(AND(ISNUMBER(E1589),ISNUMBER(Q1589)),E1589*R1589,0)</f>
        <v/>
      </c>
      <c r="T1589" s="192">
        <f>$BC1589*V$11</f>
        <v/>
      </c>
      <c r="U1589" s="76">
        <f>$BC1589*W$11</f>
        <v/>
      </c>
      <c r="V1589" s="193">
        <f>+SUM(T1589:U1589)</f>
        <v/>
      </c>
      <c r="W1589" s="191" t="n"/>
      <c r="X1589" s="170" t="n"/>
      <c r="Y1589" s="76">
        <f>ROUND(IF(offer_incoterms="DDP",X1589*(S1589*(1+AW1589)+T1589),0),2)</f>
        <v/>
      </c>
      <c r="Z1589" s="188" t="n"/>
      <c r="AA1589" s="192">
        <f>IFERROR(AB1589/E1589,0)</f>
        <v/>
      </c>
      <c r="AB1589" s="76">
        <f>ROUND(SUM(S1589,V1589,Y1589:Z1589,BA1589:BB1589),2)</f>
        <v/>
      </c>
      <c r="AC1589" s="797" t="n"/>
      <c r="AD1589" s="192">
        <f t="array" ref="AD1589">IFERROR(ROUND((_xlfn.IFS(offer_sale_type="поставка",AB1589,offer_sale_type="транзит",S1589)*(1+AC1589))/E1589,2),0)</f>
        <v/>
      </c>
      <c r="AE1589" s="76">
        <f>AD1589*E1589</f>
        <v/>
      </c>
      <c r="AF1589" s="193">
        <f t="array" ref="AF1589">IFERROR(ROUND(_xlfn.IFS(offer_sale_type="поставка",AB1589,offer_sale_type="транзит",S1589)*AC1589,2),0)</f>
        <v/>
      </c>
      <c r="AG1589" s="192">
        <f>$BD1589*VLOOKUP($AG$3,$AF$4:$AG$7,2,FALSE)</f>
        <v/>
      </c>
      <c r="AH1589" s="76">
        <f>SUM(AE1589,AG1589,AI1589)*rate_forex_risk</f>
        <v/>
      </c>
      <c r="AI1589" s="193">
        <f>IF(OR(seller_region="TR",offer_sale_type="экспорт"),0,rate_fin_comm)*SUM(AZ1589,AZ1589*AW1589,T1589)</f>
        <v/>
      </c>
      <c r="AJ1589" s="118">
        <f>IFERROR(ROUND(SUM(AB1589,AF1589:AI1589)/E1589,2),0)</f>
        <v/>
      </c>
      <c r="AK1589" s="76">
        <f>AJ1589*E1589</f>
        <v/>
      </c>
      <c r="AL1589" s="174">
        <f>ROUND(IFERROR(AM1589*E1589,0),2)</f>
        <v/>
      </c>
      <c r="AM1589" s="175">
        <f>ROUND(AJ1589*(1+IF(offer_incoterms="DDP",IF((TODAY()+offer_turnaround_time)&gt;=helpsheet!$L$17,rate_vatRU_from_26,rate_vatRu_till_25),0)),2)</f>
        <v/>
      </c>
      <c r="AN1589" s="192">
        <f>AL1589-AK1589</f>
        <v/>
      </c>
      <c r="AO1589" s="76">
        <f>SUM(AY1589,Y1589:Z1589,T1589)*IF(AND(offer_incoterms="DDP",offer_sale_type&lt;&gt;"экспорт"),IF((TODAY()+offer_turnaround_time)&gt;=helpsheet!$L$17,rate_vatRU_from_26,rate_vatRu_till_25),0)</f>
        <v/>
      </c>
      <c r="AP1589" s="193">
        <f>AN1589-AO1589</f>
        <v/>
      </c>
      <c r="AQ1589" s="118">
        <f>IF(offer_sale_type="транзит",SUM(AF1589:AI1589,BA1589,BB1589),0)</f>
        <v/>
      </c>
      <c r="AR1589" s="82">
        <f>HYPERLINK("https://www.alta.ru/tnved/code/")&amp;W1589&amp;"/"</f>
        <v/>
      </c>
      <c r="AS1589" s="157" t="n"/>
      <c r="AT1589" s="162" t="n"/>
      <c r="AU1589" s="76">
        <f>IF(ISBLANK(AT1589),0,AJ1589-AT1589)</f>
        <v/>
      </c>
      <c r="AV1589" s="157" t="n"/>
      <c r="AW1589" s="75">
        <f>_xlfn.IFNA(VLOOKUP(L1589,list_vat[],3,FALSE),0)</f>
        <v/>
      </c>
      <c r="AX1589" s="76">
        <f>IFERROR(ROUND(S1589*(1+AW1589)/E1589,2),0)</f>
        <v/>
      </c>
      <c r="AY1589" s="76">
        <f>E1589*AX1589</f>
        <v/>
      </c>
      <c r="AZ1589" s="192">
        <f>S1589*(1+M1589)</f>
        <v/>
      </c>
      <c r="BA1589" s="76">
        <f>cost_fin_total*$BD1589</f>
        <v/>
      </c>
      <c r="BB1589" s="193">
        <f>credit_sales_interest*BD1589</f>
        <v/>
      </c>
      <c r="BC1589" s="102">
        <f>IFERROR(IF($I$13&gt;0,$I1589/$I$13,$S1589/$S$13),0)</f>
        <v/>
      </c>
      <c r="BD1589" s="102">
        <f>IFERROR($S1589/$S$13,0)</f>
        <v/>
      </c>
      <c r="BE1589" s="413" t="inlineStr">
        <is>
          <t>$</t>
        </is>
      </c>
    </row>
    <row r="1590" ht="12" customFormat="1" customHeight="1" s="65">
      <c r="A1590" s="43" t="n">
        <v>1575</v>
      </c>
      <c r="B1590" s="166" t="n"/>
      <c r="C1590" s="166" t="n"/>
      <c r="D1590" s="166" t="n"/>
      <c r="E1590" s="162" t="n"/>
      <c r="F1590" s="166" t="n"/>
      <c r="G1590" s="162" t="n"/>
      <c r="H1590" s="162" t="n"/>
      <c r="I1590" s="189">
        <f>E1590*G1590</f>
        <v/>
      </c>
      <c r="J1590" s="195" t="n"/>
      <c r="K1590" s="162" t="n"/>
      <c r="L1590" s="168" t="n"/>
      <c r="M1590" s="75">
        <f>_xlfn.XLOOKUP(L1590,list_vat[Страна],list_vat[Ставка НДС %],0,0)</f>
        <v/>
      </c>
      <c r="N1590" s="162">
        <f>IFERROR(IF(L1590="Китай",K1590,K1590/(1+M1590)),0)</f>
        <v/>
      </c>
      <c r="O1590" s="169" t="n"/>
      <c r="P1590" s="76">
        <f>N1590*(1-O1590)</f>
        <v/>
      </c>
      <c r="Q1590" s="162" t="n"/>
      <c r="R1590" s="162">
        <f>IF(ISBLANK(Q1590),"введи курс",P1590/Q1590)</f>
        <v/>
      </c>
      <c r="S1590" s="196">
        <f>IF(AND(ISNUMBER(E1590),ISNUMBER(Q1590)),E1590*R1590,0)</f>
        <v/>
      </c>
      <c r="T1590" s="192">
        <f>$BC1590*V$11</f>
        <v/>
      </c>
      <c r="U1590" s="76">
        <f>$BC1590*W$11</f>
        <v/>
      </c>
      <c r="V1590" s="193">
        <f>+SUM(T1590:U1590)</f>
        <v/>
      </c>
      <c r="W1590" s="191" t="n"/>
      <c r="X1590" s="170" t="n"/>
      <c r="Y1590" s="76">
        <f>ROUND(IF(offer_incoterms="DDP",X1590*(S1590*(1+AW1590)+T1590),0),2)</f>
        <v/>
      </c>
      <c r="Z1590" s="188" t="n"/>
      <c r="AA1590" s="192">
        <f>IFERROR(AB1590/E1590,0)</f>
        <v/>
      </c>
      <c r="AB1590" s="76">
        <f>ROUND(SUM(S1590,V1590,Y1590:Z1590,BA1590:BB1590),2)</f>
        <v/>
      </c>
      <c r="AC1590" s="797" t="n"/>
      <c r="AD1590" s="192">
        <f t="array" ref="AD1590">IFERROR(ROUND((_xlfn.IFS(offer_sale_type="поставка",AB1590,offer_sale_type="транзит",S1590)*(1+AC1590))/E1590,2),0)</f>
        <v/>
      </c>
      <c r="AE1590" s="76">
        <f>AD1590*E1590</f>
        <v/>
      </c>
      <c r="AF1590" s="193">
        <f t="array" ref="AF1590">IFERROR(ROUND(_xlfn.IFS(offer_sale_type="поставка",AB1590,offer_sale_type="транзит",S1590)*AC1590,2),0)</f>
        <v/>
      </c>
      <c r="AG1590" s="192">
        <f>$BD1590*VLOOKUP($AG$3,$AF$4:$AG$7,2,FALSE)</f>
        <v/>
      </c>
      <c r="AH1590" s="76">
        <f>SUM(AE1590,AG1590,AI1590)*rate_forex_risk</f>
        <v/>
      </c>
      <c r="AI1590" s="193">
        <f>IF(OR(seller_region="TR",offer_sale_type="экспорт"),0,rate_fin_comm)*SUM(AZ1590,AZ1590*AW1590,T1590)</f>
        <v/>
      </c>
      <c r="AJ1590" s="118">
        <f>IFERROR(ROUND(SUM(AB1590,AF1590:AI1590)/E1590,2),0)</f>
        <v/>
      </c>
      <c r="AK1590" s="76">
        <f>AJ1590*E1590</f>
        <v/>
      </c>
      <c r="AL1590" s="174">
        <f>ROUND(IFERROR(AM1590*E1590,0),2)</f>
        <v/>
      </c>
      <c r="AM1590" s="175">
        <f>ROUND(AJ1590*(1+IF(offer_incoterms="DDP",IF((TODAY()+offer_turnaround_time)&gt;=helpsheet!$L$17,rate_vatRU_from_26,rate_vatRu_till_25),0)),2)</f>
        <v/>
      </c>
      <c r="AN1590" s="192">
        <f>AL1590-AK1590</f>
        <v/>
      </c>
      <c r="AO1590" s="76">
        <f>SUM(AY1590,Y1590:Z1590,T1590)*IF(AND(offer_incoterms="DDP",offer_sale_type&lt;&gt;"экспорт"),IF((TODAY()+offer_turnaround_time)&gt;=helpsheet!$L$17,rate_vatRU_from_26,rate_vatRu_till_25),0)</f>
        <v/>
      </c>
      <c r="AP1590" s="193">
        <f>AN1590-AO1590</f>
        <v/>
      </c>
      <c r="AQ1590" s="118">
        <f>IF(offer_sale_type="транзит",SUM(AF1590:AI1590,BA1590,BB1590),0)</f>
        <v/>
      </c>
      <c r="AR1590" s="82">
        <f>HYPERLINK("https://www.alta.ru/tnved/code/")&amp;W1590&amp;"/"</f>
        <v/>
      </c>
      <c r="AS1590" s="157" t="n"/>
      <c r="AT1590" s="162" t="n"/>
      <c r="AU1590" s="76">
        <f>IF(ISBLANK(AT1590),0,AJ1590-AT1590)</f>
        <v/>
      </c>
      <c r="AV1590" s="157" t="n"/>
      <c r="AW1590" s="75">
        <f>_xlfn.IFNA(VLOOKUP(L1590,list_vat[],3,FALSE),0)</f>
        <v/>
      </c>
      <c r="AX1590" s="76">
        <f>IFERROR(ROUND(S1590*(1+AW1590)/E1590,2),0)</f>
        <v/>
      </c>
      <c r="AY1590" s="76">
        <f>E1590*AX1590</f>
        <v/>
      </c>
      <c r="AZ1590" s="192">
        <f>S1590*(1+M1590)</f>
        <v/>
      </c>
      <c r="BA1590" s="76">
        <f>cost_fin_total*$BD1590</f>
        <v/>
      </c>
      <c r="BB1590" s="193">
        <f>credit_sales_interest*BD1590</f>
        <v/>
      </c>
      <c r="BC1590" s="102">
        <f>IFERROR(IF($I$13&gt;0,$I1590/$I$13,$S1590/$S$13),0)</f>
        <v/>
      </c>
      <c r="BD1590" s="102">
        <f>IFERROR($S1590/$S$13,0)</f>
        <v/>
      </c>
      <c r="BE1590" s="413" t="inlineStr">
        <is>
          <t>$</t>
        </is>
      </c>
    </row>
    <row r="1591" ht="12" customFormat="1" customHeight="1" s="65">
      <c r="A1591" s="43" t="n">
        <v>1576</v>
      </c>
      <c r="B1591" s="166" t="n"/>
      <c r="C1591" s="166" t="n"/>
      <c r="D1591" s="166" t="n"/>
      <c r="E1591" s="162" t="n"/>
      <c r="F1591" s="166" t="n"/>
      <c r="G1591" s="162" t="n"/>
      <c r="H1591" s="162" t="n"/>
      <c r="I1591" s="189">
        <f>E1591*G1591</f>
        <v/>
      </c>
      <c r="J1591" s="195" t="n"/>
      <c r="K1591" s="162" t="n"/>
      <c r="L1591" s="168" t="n"/>
      <c r="M1591" s="75">
        <f>_xlfn.XLOOKUP(L1591,list_vat[Страна],list_vat[Ставка НДС %],0,0)</f>
        <v/>
      </c>
      <c r="N1591" s="162">
        <f>IFERROR(IF(L1591="Китай",K1591,K1591/(1+M1591)),0)</f>
        <v/>
      </c>
      <c r="O1591" s="169" t="n"/>
      <c r="P1591" s="76">
        <f>N1591*(1-O1591)</f>
        <v/>
      </c>
      <c r="Q1591" s="162" t="n"/>
      <c r="R1591" s="162">
        <f>IF(ISBLANK(Q1591),"введи курс",P1591/Q1591)</f>
        <v/>
      </c>
      <c r="S1591" s="196">
        <f>IF(AND(ISNUMBER(E1591),ISNUMBER(Q1591)),E1591*R1591,0)</f>
        <v/>
      </c>
      <c r="T1591" s="192">
        <f>$BC1591*V$11</f>
        <v/>
      </c>
      <c r="U1591" s="76">
        <f>$BC1591*W$11</f>
        <v/>
      </c>
      <c r="V1591" s="193">
        <f>+SUM(T1591:U1591)</f>
        <v/>
      </c>
      <c r="W1591" s="191" t="n"/>
      <c r="X1591" s="170" t="n"/>
      <c r="Y1591" s="76">
        <f>ROUND(IF(offer_incoterms="DDP",X1591*(S1591*(1+AW1591)+T1591),0),2)</f>
        <v/>
      </c>
      <c r="Z1591" s="188" t="n"/>
      <c r="AA1591" s="192">
        <f>IFERROR(AB1591/E1591,0)</f>
        <v/>
      </c>
      <c r="AB1591" s="76">
        <f>ROUND(SUM(S1591,V1591,Y1591:Z1591,BA1591:BB1591),2)</f>
        <v/>
      </c>
      <c r="AC1591" s="797" t="n"/>
      <c r="AD1591" s="192">
        <f t="array" ref="AD1591">IFERROR(ROUND((_xlfn.IFS(offer_sale_type="поставка",AB1591,offer_sale_type="транзит",S1591)*(1+AC1591))/E1591,2),0)</f>
        <v/>
      </c>
      <c r="AE1591" s="76">
        <f>AD1591*E1591</f>
        <v/>
      </c>
      <c r="AF1591" s="193">
        <f t="array" ref="AF1591">IFERROR(ROUND(_xlfn.IFS(offer_sale_type="поставка",AB1591,offer_sale_type="транзит",S1591)*AC1591,2),0)</f>
        <v/>
      </c>
      <c r="AG1591" s="192">
        <f>$BD1591*VLOOKUP($AG$3,$AF$4:$AG$7,2,FALSE)</f>
        <v/>
      </c>
      <c r="AH1591" s="76">
        <f>SUM(AE1591,AG1591,AI1591)*rate_forex_risk</f>
        <v/>
      </c>
      <c r="AI1591" s="193">
        <f>IF(OR(seller_region="TR",offer_sale_type="экспорт"),0,rate_fin_comm)*SUM(AZ1591,AZ1591*AW1591,T1591)</f>
        <v/>
      </c>
      <c r="AJ1591" s="118">
        <f>IFERROR(ROUND(SUM(AB1591,AF1591:AI1591)/E1591,2),0)</f>
        <v/>
      </c>
      <c r="AK1591" s="76">
        <f>AJ1591*E1591</f>
        <v/>
      </c>
      <c r="AL1591" s="174">
        <f>ROUND(IFERROR(AM1591*E1591,0),2)</f>
        <v/>
      </c>
      <c r="AM1591" s="175">
        <f>ROUND(AJ1591*(1+IF(offer_incoterms="DDP",IF((TODAY()+offer_turnaround_time)&gt;=helpsheet!$L$17,rate_vatRU_from_26,rate_vatRu_till_25),0)),2)</f>
        <v/>
      </c>
      <c r="AN1591" s="192">
        <f>AL1591-AK1591</f>
        <v/>
      </c>
      <c r="AO1591" s="76">
        <f>SUM(AY1591,Y1591:Z1591,T1591)*IF(AND(offer_incoterms="DDP",offer_sale_type&lt;&gt;"экспорт"),IF((TODAY()+offer_turnaround_time)&gt;=helpsheet!$L$17,rate_vatRU_from_26,rate_vatRu_till_25),0)</f>
        <v/>
      </c>
      <c r="AP1591" s="193">
        <f>AN1591-AO1591</f>
        <v/>
      </c>
      <c r="AQ1591" s="118">
        <f>IF(offer_sale_type="транзит",SUM(AF1591:AI1591,BA1591,BB1591),0)</f>
        <v/>
      </c>
      <c r="AR1591" s="82">
        <f>HYPERLINK("https://www.alta.ru/tnved/code/")&amp;W1591&amp;"/"</f>
        <v/>
      </c>
      <c r="AS1591" s="157" t="n"/>
      <c r="AT1591" s="162" t="n"/>
      <c r="AU1591" s="76">
        <f>IF(ISBLANK(AT1591),0,AJ1591-AT1591)</f>
        <v/>
      </c>
      <c r="AV1591" s="157" t="n"/>
      <c r="AW1591" s="75">
        <f>_xlfn.IFNA(VLOOKUP(L1591,list_vat[],3,FALSE),0)</f>
        <v/>
      </c>
      <c r="AX1591" s="76">
        <f>IFERROR(ROUND(S1591*(1+AW1591)/E1591,2),0)</f>
        <v/>
      </c>
      <c r="AY1591" s="76">
        <f>E1591*AX1591</f>
        <v/>
      </c>
      <c r="AZ1591" s="192">
        <f>S1591*(1+M1591)</f>
        <v/>
      </c>
      <c r="BA1591" s="76">
        <f>cost_fin_total*$BD1591</f>
        <v/>
      </c>
      <c r="BB1591" s="193">
        <f>credit_sales_interest*BD1591</f>
        <v/>
      </c>
      <c r="BC1591" s="102">
        <f>IFERROR(IF($I$13&gt;0,$I1591/$I$13,$S1591/$S$13),0)</f>
        <v/>
      </c>
      <c r="BD1591" s="102">
        <f>IFERROR($S1591/$S$13,0)</f>
        <v/>
      </c>
      <c r="BE1591" s="413" t="inlineStr">
        <is>
          <t>$</t>
        </is>
      </c>
    </row>
    <row r="1592" ht="12" customFormat="1" customHeight="1" s="65">
      <c r="A1592" s="43" t="n">
        <v>1577</v>
      </c>
      <c r="B1592" s="166" t="n"/>
      <c r="C1592" s="166" t="n"/>
      <c r="D1592" s="166" t="n"/>
      <c r="E1592" s="162" t="n"/>
      <c r="F1592" s="166" t="n"/>
      <c r="G1592" s="162" t="n"/>
      <c r="H1592" s="162" t="n"/>
      <c r="I1592" s="189">
        <f>E1592*G1592</f>
        <v/>
      </c>
      <c r="J1592" s="195" t="n"/>
      <c r="K1592" s="162" t="n"/>
      <c r="L1592" s="168" t="n"/>
      <c r="M1592" s="75">
        <f>_xlfn.XLOOKUP(L1592,list_vat[Страна],list_vat[Ставка НДС %],0,0)</f>
        <v/>
      </c>
      <c r="N1592" s="162">
        <f>IFERROR(IF(L1592="Китай",K1592,K1592/(1+M1592)),0)</f>
        <v/>
      </c>
      <c r="O1592" s="169" t="n"/>
      <c r="P1592" s="76">
        <f>N1592*(1-O1592)</f>
        <v/>
      </c>
      <c r="Q1592" s="162" t="n"/>
      <c r="R1592" s="162">
        <f>IF(ISBLANK(Q1592),"введи курс",P1592/Q1592)</f>
        <v/>
      </c>
      <c r="S1592" s="196">
        <f>IF(AND(ISNUMBER(E1592),ISNUMBER(Q1592)),E1592*R1592,0)</f>
        <v/>
      </c>
      <c r="T1592" s="192">
        <f>$BC1592*V$11</f>
        <v/>
      </c>
      <c r="U1592" s="76">
        <f>$BC1592*W$11</f>
        <v/>
      </c>
      <c r="V1592" s="193">
        <f>+SUM(T1592:U1592)</f>
        <v/>
      </c>
      <c r="W1592" s="191" t="n"/>
      <c r="X1592" s="170" t="n"/>
      <c r="Y1592" s="76">
        <f>ROUND(IF(offer_incoterms="DDP",X1592*(S1592*(1+AW1592)+T1592),0),2)</f>
        <v/>
      </c>
      <c r="Z1592" s="188" t="n"/>
      <c r="AA1592" s="192">
        <f>IFERROR(AB1592/E1592,0)</f>
        <v/>
      </c>
      <c r="AB1592" s="76">
        <f>ROUND(SUM(S1592,V1592,Y1592:Z1592,BA1592:BB1592),2)</f>
        <v/>
      </c>
      <c r="AC1592" s="797" t="n"/>
      <c r="AD1592" s="192">
        <f t="array" ref="AD1592">IFERROR(ROUND((_xlfn.IFS(offer_sale_type="поставка",AB1592,offer_sale_type="транзит",S1592)*(1+AC1592))/E1592,2),0)</f>
        <v/>
      </c>
      <c r="AE1592" s="76">
        <f>AD1592*E1592</f>
        <v/>
      </c>
      <c r="AF1592" s="193">
        <f t="array" ref="AF1592">IFERROR(ROUND(_xlfn.IFS(offer_sale_type="поставка",AB1592,offer_sale_type="транзит",S1592)*AC1592,2),0)</f>
        <v/>
      </c>
      <c r="AG1592" s="192">
        <f>$BD1592*VLOOKUP($AG$3,$AF$4:$AG$7,2,FALSE)</f>
        <v/>
      </c>
      <c r="AH1592" s="76">
        <f>SUM(AE1592,AG1592,AI1592)*rate_forex_risk</f>
        <v/>
      </c>
      <c r="AI1592" s="193">
        <f>IF(OR(seller_region="TR",offer_sale_type="экспорт"),0,rate_fin_comm)*SUM(AZ1592,AZ1592*AW1592,T1592)</f>
        <v/>
      </c>
      <c r="AJ1592" s="118">
        <f>IFERROR(ROUND(SUM(AB1592,AF1592:AI1592)/E1592,2),0)</f>
        <v/>
      </c>
      <c r="AK1592" s="76">
        <f>AJ1592*E1592</f>
        <v/>
      </c>
      <c r="AL1592" s="174">
        <f>ROUND(IFERROR(AM1592*E1592,0),2)</f>
        <v/>
      </c>
      <c r="AM1592" s="175">
        <f>ROUND(AJ1592*(1+IF(offer_incoterms="DDP",IF((TODAY()+offer_turnaround_time)&gt;=helpsheet!$L$17,rate_vatRU_from_26,rate_vatRu_till_25),0)),2)</f>
        <v/>
      </c>
      <c r="AN1592" s="192">
        <f>AL1592-AK1592</f>
        <v/>
      </c>
      <c r="AO1592" s="76">
        <f>SUM(AY1592,Y1592:Z1592,T1592)*IF(AND(offer_incoterms="DDP",offer_sale_type&lt;&gt;"экспорт"),IF((TODAY()+offer_turnaround_time)&gt;=helpsheet!$L$17,rate_vatRU_from_26,rate_vatRu_till_25),0)</f>
        <v/>
      </c>
      <c r="AP1592" s="193">
        <f>AN1592-AO1592</f>
        <v/>
      </c>
      <c r="AQ1592" s="118">
        <f>IF(offer_sale_type="транзит",SUM(AF1592:AI1592,BA1592,BB1592),0)</f>
        <v/>
      </c>
      <c r="AR1592" s="82">
        <f>HYPERLINK("https://www.alta.ru/tnved/code/")&amp;W1592&amp;"/"</f>
        <v/>
      </c>
      <c r="AS1592" s="157" t="n"/>
      <c r="AT1592" s="162" t="n"/>
      <c r="AU1592" s="76">
        <f>IF(ISBLANK(AT1592),0,AJ1592-AT1592)</f>
        <v/>
      </c>
      <c r="AV1592" s="157" t="n"/>
      <c r="AW1592" s="75">
        <f>_xlfn.IFNA(VLOOKUP(L1592,list_vat[],3,FALSE),0)</f>
        <v/>
      </c>
      <c r="AX1592" s="76">
        <f>IFERROR(ROUND(S1592*(1+AW1592)/E1592,2),0)</f>
        <v/>
      </c>
      <c r="AY1592" s="76">
        <f>E1592*AX1592</f>
        <v/>
      </c>
      <c r="AZ1592" s="192">
        <f>S1592*(1+M1592)</f>
        <v/>
      </c>
      <c r="BA1592" s="76">
        <f>cost_fin_total*$BD1592</f>
        <v/>
      </c>
      <c r="BB1592" s="193">
        <f>credit_sales_interest*BD1592</f>
        <v/>
      </c>
      <c r="BC1592" s="102">
        <f>IFERROR(IF($I$13&gt;0,$I1592/$I$13,$S1592/$S$13),0)</f>
        <v/>
      </c>
      <c r="BD1592" s="102">
        <f>IFERROR($S1592/$S$13,0)</f>
        <v/>
      </c>
      <c r="BE1592" s="413" t="inlineStr">
        <is>
          <t>$</t>
        </is>
      </c>
    </row>
    <row r="1593" ht="12" customFormat="1" customHeight="1" s="65">
      <c r="A1593" s="43" t="n">
        <v>1578</v>
      </c>
      <c r="B1593" s="166" t="n"/>
      <c r="C1593" s="166" t="n"/>
      <c r="D1593" s="166" t="n"/>
      <c r="E1593" s="162" t="n"/>
      <c r="F1593" s="166" t="n"/>
      <c r="G1593" s="162" t="n"/>
      <c r="H1593" s="162" t="n"/>
      <c r="I1593" s="189">
        <f>E1593*G1593</f>
        <v/>
      </c>
      <c r="J1593" s="195" t="n"/>
      <c r="K1593" s="162" t="n"/>
      <c r="L1593" s="168" t="n"/>
      <c r="M1593" s="75">
        <f>_xlfn.XLOOKUP(L1593,list_vat[Страна],list_vat[Ставка НДС %],0,0)</f>
        <v/>
      </c>
      <c r="N1593" s="162">
        <f>IFERROR(IF(L1593="Китай",K1593,K1593/(1+M1593)),0)</f>
        <v/>
      </c>
      <c r="O1593" s="169" t="n"/>
      <c r="P1593" s="76">
        <f>N1593*(1-O1593)</f>
        <v/>
      </c>
      <c r="Q1593" s="162" t="n"/>
      <c r="R1593" s="162">
        <f>IF(ISBLANK(Q1593),"введи курс",P1593/Q1593)</f>
        <v/>
      </c>
      <c r="S1593" s="196">
        <f>IF(AND(ISNUMBER(E1593),ISNUMBER(Q1593)),E1593*R1593,0)</f>
        <v/>
      </c>
      <c r="T1593" s="192">
        <f>$BC1593*V$11</f>
        <v/>
      </c>
      <c r="U1593" s="76">
        <f>$BC1593*W$11</f>
        <v/>
      </c>
      <c r="V1593" s="193">
        <f>+SUM(T1593:U1593)</f>
        <v/>
      </c>
      <c r="W1593" s="191" t="n"/>
      <c r="X1593" s="170" t="n"/>
      <c r="Y1593" s="76">
        <f>ROUND(IF(offer_incoterms="DDP",X1593*(S1593*(1+AW1593)+T1593),0),2)</f>
        <v/>
      </c>
      <c r="Z1593" s="188" t="n"/>
      <c r="AA1593" s="192">
        <f>IFERROR(AB1593/E1593,0)</f>
        <v/>
      </c>
      <c r="AB1593" s="76">
        <f>ROUND(SUM(S1593,V1593,Y1593:Z1593,BA1593:BB1593),2)</f>
        <v/>
      </c>
      <c r="AC1593" s="797" t="n"/>
      <c r="AD1593" s="192">
        <f t="array" ref="AD1593">IFERROR(ROUND((_xlfn.IFS(offer_sale_type="поставка",AB1593,offer_sale_type="транзит",S1593)*(1+AC1593))/E1593,2),0)</f>
        <v/>
      </c>
      <c r="AE1593" s="76">
        <f>AD1593*E1593</f>
        <v/>
      </c>
      <c r="AF1593" s="193">
        <f t="array" ref="AF1593">IFERROR(ROUND(_xlfn.IFS(offer_sale_type="поставка",AB1593,offer_sale_type="транзит",S1593)*AC1593,2),0)</f>
        <v/>
      </c>
      <c r="AG1593" s="192">
        <f>$BD1593*VLOOKUP($AG$3,$AF$4:$AG$7,2,FALSE)</f>
        <v/>
      </c>
      <c r="AH1593" s="76">
        <f>SUM(AE1593,AG1593,AI1593)*rate_forex_risk</f>
        <v/>
      </c>
      <c r="AI1593" s="193">
        <f>IF(OR(seller_region="TR",offer_sale_type="экспорт"),0,rate_fin_comm)*SUM(AZ1593,AZ1593*AW1593,T1593)</f>
        <v/>
      </c>
      <c r="AJ1593" s="118">
        <f>IFERROR(ROUND(SUM(AB1593,AF1593:AI1593)/E1593,2),0)</f>
        <v/>
      </c>
      <c r="AK1593" s="76">
        <f>AJ1593*E1593</f>
        <v/>
      </c>
      <c r="AL1593" s="174">
        <f>ROUND(IFERROR(AM1593*E1593,0),2)</f>
        <v/>
      </c>
      <c r="AM1593" s="175">
        <f>ROUND(AJ1593*(1+IF(offer_incoterms="DDP",IF((TODAY()+offer_turnaround_time)&gt;=helpsheet!$L$17,rate_vatRU_from_26,rate_vatRu_till_25),0)),2)</f>
        <v/>
      </c>
      <c r="AN1593" s="192">
        <f>AL1593-AK1593</f>
        <v/>
      </c>
      <c r="AO1593" s="76">
        <f>SUM(AY1593,Y1593:Z1593,T1593)*IF(AND(offer_incoterms="DDP",offer_sale_type&lt;&gt;"экспорт"),IF((TODAY()+offer_turnaround_time)&gt;=helpsheet!$L$17,rate_vatRU_from_26,rate_vatRu_till_25),0)</f>
        <v/>
      </c>
      <c r="AP1593" s="193">
        <f>AN1593-AO1593</f>
        <v/>
      </c>
      <c r="AQ1593" s="118">
        <f>IF(offer_sale_type="транзит",SUM(AF1593:AI1593,BA1593,BB1593),0)</f>
        <v/>
      </c>
      <c r="AR1593" s="82">
        <f>HYPERLINK("https://www.alta.ru/tnved/code/")&amp;W1593&amp;"/"</f>
        <v/>
      </c>
      <c r="AS1593" s="157" t="n"/>
      <c r="AT1593" s="162" t="n"/>
      <c r="AU1593" s="76">
        <f>IF(ISBLANK(AT1593),0,AJ1593-AT1593)</f>
        <v/>
      </c>
      <c r="AV1593" s="157" t="n"/>
      <c r="AW1593" s="75">
        <f>_xlfn.IFNA(VLOOKUP(L1593,list_vat[],3,FALSE),0)</f>
        <v/>
      </c>
      <c r="AX1593" s="76">
        <f>IFERROR(ROUND(S1593*(1+AW1593)/E1593,2),0)</f>
        <v/>
      </c>
      <c r="AY1593" s="76">
        <f>E1593*AX1593</f>
        <v/>
      </c>
      <c r="AZ1593" s="192">
        <f>S1593*(1+M1593)</f>
        <v/>
      </c>
      <c r="BA1593" s="76">
        <f>cost_fin_total*$BD1593</f>
        <v/>
      </c>
      <c r="BB1593" s="193">
        <f>credit_sales_interest*BD1593</f>
        <v/>
      </c>
      <c r="BC1593" s="102">
        <f>IFERROR(IF($I$13&gt;0,$I1593/$I$13,$S1593/$S$13),0)</f>
        <v/>
      </c>
      <c r="BD1593" s="102">
        <f>IFERROR($S1593/$S$13,0)</f>
        <v/>
      </c>
      <c r="BE1593" s="413" t="inlineStr">
        <is>
          <t>$</t>
        </is>
      </c>
    </row>
    <row r="1594" ht="12" customFormat="1" customHeight="1" s="65">
      <c r="A1594" s="43" t="n">
        <v>1579</v>
      </c>
      <c r="B1594" s="166" t="n"/>
      <c r="C1594" s="166" t="n"/>
      <c r="D1594" s="166" t="n"/>
      <c r="E1594" s="162" t="n"/>
      <c r="F1594" s="166" t="n"/>
      <c r="G1594" s="162" t="n"/>
      <c r="H1594" s="162" t="n"/>
      <c r="I1594" s="189">
        <f>E1594*G1594</f>
        <v/>
      </c>
      <c r="J1594" s="195" t="n"/>
      <c r="K1594" s="162" t="n"/>
      <c r="L1594" s="168" t="n"/>
      <c r="M1594" s="75">
        <f>_xlfn.XLOOKUP(L1594,list_vat[Страна],list_vat[Ставка НДС %],0,0)</f>
        <v/>
      </c>
      <c r="N1594" s="162">
        <f>IFERROR(IF(L1594="Китай",K1594,K1594/(1+M1594)),0)</f>
        <v/>
      </c>
      <c r="O1594" s="169" t="n"/>
      <c r="P1594" s="76">
        <f>N1594*(1-O1594)</f>
        <v/>
      </c>
      <c r="Q1594" s="162" t="n"/>
      <c r="R1594" s="162">
        <f>IF(ISBLANK(Q1594),"введи курс",P1594/Q1594)</f>
        <v/>
      </c>
      <c r="S1594" s="196">
        <f>IF(AND(ISNUMBER(E1594),ISNUMBER(Q1594)),E1594*R1594,0)</f>
        <v/>
      </c>
      <c r="T1594" s="192">
        <f>$BC1594*V$11</f>
        <v/>
      </c>
      <c r="U1594" s="76">
        <f>$BC1594*W$11</f>
        <v/>
      </c>
      <c r="V1594" s="193">
        <f>+SUM(T1594:U1594)</f>
        <v/>
      </c>
      <c r="W1594" s="191" t="n"/>
      <c r="X1594" s="170" t="n"/>
      <c r="Y1594" s="76">
        <f>ROUND(IF(offer_incoterms="DDP",X1594*(S1594*(1+AW1594)+T1594),0),2)</f>
        <v/>
      </c>
      <c r="Z1594" s="188" t="n"/>
      <c r="AA1594" s="192">
        <f>IFERROR(AB1594/E1594,0)</f>
        <v/>
      </c>
      <c r="AB1594" s="76">
        <f>ROUND(SUM(S1594,V1594,Y1594:Z1594,BA1594:BB1594),2)</f>
        <v/>
      </c>
      <c r="AC1594" s="797" t="n"/>
      <c r="AD1594" s="192">
        <f t="array" ref="AD1594">IFERROR(ROUND((_xlfn.IFS(offer_sale_type="поставка",AB1594,offer_sale_type="транзит",S1594)*(1+AC1594))/E1594,2),0)</f>
        <v/>
      </c>
      <c r="AE1594" s="76">
        <f>AD1594*E1594</f>
        <v/>
      </c>
      <c r="AF1594" s="193">
        <f t="array" ref="AF1594">IFERROR(ROUND(_xlfn.IFS(offer_sale_type="поставка",AB1594,offer_sale_type="транзит",S1594)*AC1594,2),0)</f>
        <v/>
      </c>
      <c r="AG1594" s="192">
        <f>$BD1594*VLOOKUP($AG$3,$AF$4:$AG$7,2,FALSE)</f>
        <v/>
      </c>
      <c r="AH1594" s="76">
        <f>SUM(AE1594,AG1594,AI1594)*rate_forex_risk</f>
        <v/>
      </c>
      <c r="AI1594" s="193">
        <f>IF(OR(seller_region="TR",offer_sale_type="экспорт"),0,rate_fin_comm)*SUM(AZ1594,AZ1594*AW1594,T1594)</f>
        <v/>
      </c>
      <c r="AJ1594" s="118">
        <f>IFERROR(ROUND(SUM(AB1594,AF1594:AI1594)/E1594,2),0)</f>
        <v/>
      </c>
      <c r="AK1594" s="76">
        <f>AJ1594*E1594</f>
        <v/>
      </c>
      <c r="AL1594" s="174">
        <f>ROUND(IFERROR(AM1594*E1594,0),2)</f>
        <v/>
      </c>
      <c r="AM1594" s="175">
        <f>ROUND(AJ1594*(1+IF(offer_incoterms="DDP",IF((TODAY()+offer_turnaround_time)&gt;=helpsheet!$L$17,rate_vatRU_from_26,rate_vatRu_till_25),0)),2)</f>
        <v/>
      </c>
      <c r="AN1594" s="192">
        <f>AL1594-AK1594</f>
        <v/>
      </c>
      <c r="AO1594" s="76">
        <f>SUM(AY1594,Y1594:Z1594,T1594)*IF(AND(offer_incoterms="DDP",offer_sale_type&lt;&gt;"экспорт"),IF((TODAY()+offer_turnaround_time)&gt;=helpsheet!$L$17,rate_vatRU_from_26,rate_vatRu_till_25),0)</f>
        <v/>
      </c>
      <c r="AP1594" s="193">
        <f>AN1594-AO1594</f>
        <v/>
      </c>
      <c r="AQ1594" s="118">
        <f>IF(offer_sale_type="транзит",SUM(AF1594:AI1594,BA1594,BB1594),0)</f>
        <v/>
      </c>
      <c r="AR1594" s="82">
        <f>HYPERLINK("https://www.alta.ru/tnved/code/")&amp;W1594&amp;"/"</f>
        <v/>
      </c>
      <c r="AS1594" s="157" t="n"/>
      <c r="AT1594" s="162" t="n"/>
      <c r="AU1594" s="76">
        <f>IF(ISBLANK(AT1594),0,AJ1594-AT1594)</f>
        <v/>
      </c>
      <c r="AV1594" s="157" t="n"/>
      <c r="AW1594" s="75">
        <f>_xlfn.IFNA(VLOOKUP(L1594,list_vat[],3,FALSE),0)</f>
        <v/>
      </c>
      <c r="AX1594" s="76">
        <f>IFERROR(ROUND(S1594*(1+AW1594)/E1594,2),0)</f>
        <v/>
      </c>
      <c r="AY1594" s="76">
        <f>E1594*AX1594</f>
        <v/>
      </c>
      <c r="AZ1594" s="192">
        <f>S1594*(1+M1594)</f>
        <v/>
      </c>
      <c r="BA1594" s="76">
        <f>cost_fin_total*$BD1594</f>
        <v/>
      </c>
      <c r="BB1594" s="193">
        <f>credit_sales_interest*BD1594</f>
        <v/>
      </c>
      <c r="BC1594" s="102">
        <f>IFERROR(IF($I$13&gt;0,$I1594/$I$13,$S1594/$S$13),0)</f>
        <v/>
      </c>
      <c r="BD1594" s="102">
        <f>IFERROR($S1594/$S$13,0)</f>
        <v/>
      </c>
      <c r="BE1594" s="413" t="inlineStr">
        <is>
          <t>$</t>
        </is>
      </c>
    </row>
    <row r="1595" ht="12" customFormat="1" customHeight="1" s="65">
      <c r="A1595" s="43" t="n">
        <v>1580</v>
      </c>
      <c r="B1595" s="166" t="n"/>
      <c r="C1595" s="166" t="n"/>
      <c r="D1595" s="166" t="n"/>
      <c r="E1595" s="162" t="n"/>
      <c r="F1595" s="166" t="n"/>
      <c r="G1595" s="162" t="n"/>
      <c r="H1595" s="162" t="n"/>
      <c r="I1595" s="189">
        <f>E1595*G1595</f>
        <v/>
      </c>
      <c r="J1595" s="195" t="n"/>
      <c r="K1595" s="162" t="n"/>
      <c r="L1595" s="168" t="n"/>
      <c r="M1595" s="75">
        <f>_xlfn.XLOOKUP(L1595,list_vat[Страна],list_vat[Ставка НДС %],0,0)</f>
        <v/>
      </c>
      <c r="N1595" s="162">
        <f>IFERROR(IF(L1595="Китай",K1595,K1595/(1+M1595)),0)</f>
        <v/>
      </c>
      <c r="O1595" s="169" t="n"/>
      <c r="P1595" s="76">
        <f>N1595*(1-O1595)</f>
        <v/>
      </c>
      <c r="Q1595" s="162" t="n"/>
      <c r="R1595" s="162">
        <f>IF(ISBLANK(Q1595),"введи курс",P1595/Q1595)</f>
        <v/>
      </c>
      <c r="S1595" s="196">
        <f>IF(AND(ISNUMBER(E1595),ISNUMBER(Q1595)),E1595*R1595,0)</f>
        <v/>
      </c>
      <c r="T1595" s="192">
        <f>$BC1595*V$11</f>
        <v/>
      </c>
      <c r="U1595" s="76">
        <f>$BC1595*W$11</f>
        <v/>
      </c>
      <c r="V1595" s="193">
        <f>+SUM(T1595:U1595)</f>
        <v/>
      </c>
      <c r="W1595" s="191" t="n"/>
      <c r="X1595" s="170" t="n"/>
      <c r="Y1595" s="76">
        <f>ROUND(IF(offer_incoterms="DDP",X1595*(S1595*(1+AW1595)+T1595),0),2)</f>
        <v/>
      </c>
      <c r="Z1595" s="188" t="n"/>
      <c r="AA1595" s="192">
        <f>IFERROR(AB1595/E1595,0)</f>
        <v/>
      </c>
      <c r="AB1595" s="76">
        <f>ROUND(SUM(S1595,V1595,Y1595:Z1595,BA1595:BB1595),2)</f>
        <v/>
      </c>
      <c r="AC1595" s="797" t="n"/>
      <c r="AD1595" s="192">
        <f t="array" ref="AD1595">IFERROR(ROUND((_xlfn.IFS(offer_sale_type="поставка",AB1595,offer_sale_type="транзит",S1595)*(1+AC1595))/E1595,2),0)</f>
        <v/>
      </c>
      <c r="AE1595" s="76">
        <f>AD1595*E1595</f>
        <v/>
      </c>
      <c r="AF1595" s="193">
        <f t="array" ref="AF1595">IFERROR(ROUND(_xlfn.IFS(offer_sale_type="поставка",AB1595,offer_sale_type="транзит",S1595)*AC1595,2),0)</f>
        <v/>
      </c>
      <c r="AG1595" s="192">
        <f>$BD1595*VLOOKUP($AG$3,$AF$4:$AG$7,2,FALSE)</f>
        <v/>
      </c>
      <c r="AH1595" s="76">
        <f>SUM(AE1595,AG1595,AI1595)*rate_forex_risk</f>
        <v/>
      </c>
      <c r="AI1595" s="193">
        <f>IF(OR(seller_region="TR",offer_sale_type="экспорт"),0,rate_fin_comm)*SUM(AZ1595,AZ1595*AW1595,T1595)</f>
        <v/>
      </c>
      <c r="AJ1595" s="118">
        <f>IFERROR(ROUND(SUM(AB1595,AF1595:AI1595)/E1595,2),0)</f>
        <v/>
      </c>
      <c r="AK1595" s="76">
        <f>AJ1595*E1595</f>
        <v/>
      </c>
      <c r="AL1595" s="174">
        <f>ROUND(IFERROR(AM1595*E1595,0),2)</f>
        <v/>
      </c>
      <c r="AM1595" s="175">
        <f>ROUND(AJ1595*(1+IF(offer_incoterms="DDP",IF((TODAY()+offer_turnaround_time)&gt;=helpsheet!$L$17,rate_vatRU_from_26,rate_vatRu_till_25),0)),2)</f>
        <v/>
      </c>
      <c r="AN1595" s="192">
        <f>AL1595-AK1595</f>
        <v/>
      </c>
      <c r="AO1595" s="76">
        <f>SUM(AY1595,Y1595:Z1595,T1595)*IF(AND(offer_incoterms="DDP",offer_sale_type&lt;&gt;"экспорт"),IF((TODAY()+offer_turnaround_time)&gt;=helpsheet!$L$17,rate_vatRU_from_26,rate_vatRu_till_25),0)</f>
        <v/>
      </c>
      <c r="AP1595" s="193">
        <f>AN1595-AO1595</f>
        <v/>
      </c>
      <c r="AQ1595" s="118">
        <f>IF(offer_sale_type="транзит",SUM(AF1595:AI1595,BA1595,BB1595),0)</f>
        <v/>
      </c>
      <c r="AR1595" s="82">
        <f>HYPERLINK("https://www.alta.ru/tnved/code/")&amp;W1595&amp;"/"</f>
        <v/>
      </c>
      <c r="AS1595" s="157" t="n"/>
      <c r="AT1595" s="162" t="n"/>
      <c r="AU1595" s="76">
        <f>IF(ISBLANK(AT1595),0,AJ1595-AT1595)</f>
        <v/>
      </c>
      <c r="AV1595" s="157" t="n"/>
      <c r="AW1595" s="75">
        <f>_xlfn.IFNA(VLOOKUP(L1595,list_vat[],3,FALSE),0)</f>
        <v/>
      </c>
      <c r="AX1595" s="76">
        <f>IFERROR(ROUND(S1595*(1+AW1595)/E1595,2),0)</f>
        <v/>
      </c>
      <c r="AY1595" s="76">
        <f>E1595*AX1595</f>
        <v/>
      </c>
      <c r="AZ1595" s="192">
        <f>S1595*(1+M1595)</f>
        <v/>
      </c>
      <c r="BA1595" s="76">
        <f>cost_fin_total*$BD1595</f>
        <v/>
      </c>
      <c r="BB1595" s="193">
        <f>credit_sales_interest*BD1595</f>
        <v/>
      </c>
      <c r="BC1595" s="102">
        <f>IFERROR(IF($I$13&gt;0,$I1595/$I$13,$S1595/$S$13),0)</f>
        <v/>
      </c>
      <c r="BD1595" s="102">
        <f>IFERROR($S1595/$S$13,0)</f>
        <v/>
      </c>
      <c r="BE1595" s="413" t="inlineStr">
        <is>
          <t>$</t>
        </is>
      </c>
    </row>
    <row r="1596" ht="12" customFormat="1" customHeight="1" s="65">
      <c r="A1596" s="43" t="n">
        <v>1581</v>
      </c>
      <c r="B1596" s="166" t="n"/>
      <c r="C1596" s="166" t="n"/>
      <c r="D1596" s="166" t="n"/>
      <c r="E1596" s="162" t="n"/>
      <c r="F1596" s="166" t="n"/>
      <c r="G1596" s="162" t="n"/>
      <c r="H1596" s="162" t="n"/>
      <c r="I1596" s="189">
        <f>E1596*G1596</f>
        <v/>
      </c>
      <c r="J1596" s="195" t="n"/>
      <c r="K1596" s="162" t="n"/>
      <c r="L1596" s="168" t="n"/>
      <c r="M1596" s="75">
        <f>_xlfn.XLOOKUP(L1596,list_vat[Страна],list_vat[Ставка НДС %],0,0)</f>
        <v/>
      </c>
      <c r="N1596" s="162">
        <f>IFERROR(IF(L1596="Китай",K1596,K1596/(1+M1596)),0)</f>
        <v/>
      </c>
      <c r="O1596" s="169" t="n"/>
      <c r="P1596" s="76">
        <f>N1596*(1-O1596)</f>
        <v/>
      </c>
      <c r="Q1596" s="162" t="n"/>
      <c r="R1596" s="162">
        <f>IF(ISBLANK(Q1596),"введи курс",P1596/Q1596)</f>
        <v/>
      </c>
      <c r="S1596" s="196">
        <f>IF(AND(ISNUMBER(E1596),ISNUMBER(Q1596)),E1596*R1596,0)</f>
        <v/>
      </c>
      <c r="T1596" s="192">
        <f>$BC1596*V$11</f>
        <v/>
      </c>
      <c r="U1596" s="76">
        <f>$BC1596*W$11</f>
        <v/>
      </c>
      <c r="V1596" s="193">
        <f>+SUM(T1596:U1596)</f>
        <v/>
      </c>
      <c r="W1596" s="191" t="n"/>
      <c r="X1596" s="170" t="n"/>
      <c r="Y1596" s="76">
        <f>ROUND(IF(offer_incoterms="DDP",X1596*(S1596*(1+AW1596)+T1596),0),2)</f>
        <v/>
      </c>
      <c r="Z1596" s="188" t="n"/>
      <c r="AA1596" s="192">
        <f>IFERROR(AB1596/E1596,0)</f>
        <v/>
      </c>
      <c r="AB1596" s="76">
        <f>ROUND(SUM(S1596,V1596,Y1596:Z1596,BA1596:BB1596),2)</f>
        <v/>
      </c>
      <c r="AC1596" s="797" t="n"/>
      <c r="AD1596" s="192">
        <f t="array" ref="AD1596">IFERROR(ROUND((_xlfn.IFS(offer_sale_type="поставка",AB1596,offer_sale_type="транзит",S1596)*(1+AC1596))/E1596,2),0)</f>
        <v/>
      </c>
      <c r="AE1596" s="76">
        <f>AD1596*E1596</f>
        <v/>
      </c>
      <c r="AF1596" s="193">
        <f t="array" ref="AF1596">IFERROR(ROUND(_xlfn.IFS(offer_sale_type="поставка",AB1596,offer_sale_type="транзит",S1596)*AC1596,2),0)</f>
        <v/>
      </c>
      <c r="AG1596" s="192">
        <f>$BD1596*VLOOKUP($AG$3,$AF$4:$AG$7,2,FALSE)</f>
        <v/>
      </c>
      <c r="AH1596" s="76">
        <f>SUM(AE1596,AG1596,AI1596)*rate_forex_risk</f>
        <v/>
      </c>
      <c r="AI1596" s="193">
        <f>IF(OR(seller_region="TR",offer_sale_type="экспорт"),0,rate_fin_comm)*SUM(AZ1596,AZ1596*AW1596,T1596)</f>
        <v/>
      </c>
      <c r="AJ1596" s="118">
        <f>IFERROR(ROUND(SUM(AB1596,AF1596:AI1596)/E1596,2),0)</f>
        <v/>
      </c>
      <c r="AK1596" s="76">
        <f>AJ1596*E1596</f>
        <v/>
      </c>
      <c r="AL1596" s="174">
        <f>ROUND(IFERROR(AM1596*E1596,0),2)</f>
        <v/>
      </c>
      <c r="AM1596" s="175">
        <f>ROUND(AJ1596*(1+IF(offer_incoterms="DDP",IF((TODAY()+offer_turnaround_time)&gt;=helpsheet!$L$17,rate_vatRU_from_26,rate_vatRu_till_25),0)),2)</f>
        <v/>
      </c>
      <c r="AN1596" s="192">
        <f>AL1596-AK1596</f>
        <v/>
      </c>
      <c r="AO1596" s="76">
        <f>SUM(AY1596,Y1596:Z1596,T1596)*IF(AND(offer_incoterms="DDP",offer_sale_type&lt;&gt;"экспорт"),IF((TODAY()+offer_turnaround_time)&gt;=helpsheet!$L$17,rate_vatRU_from_26,rate_vatRu_till_25),0)</f>
        <v/>
      </c>
      <c r="AP1596" s="193">
        <f>AN1596-AO1596</f>
        <v/>
      </c>
      <c r="AQ1596" s="118">
        <f>IF(offer_sale_type="транзит",SUM(AF1596:AI1596,BA1596,BB1596),0)</f>
        <v/>
      </c>
      <c r="AR1596" s="82">
        <f>HYPERLINK("https://www.alta.ru/tnved/code/")&amp;W1596&amp;"/"</f>
        <v/>
      </c>
      <c r="AS1596" s="157" t="n"/>
      <c r="AT1596" s="162" t="n"/>
      <c r="AU1596" s="76">
        <f>IF(ISBLANK(AT1596),0,AJ1596-AT1596)</f>
        <v/>
      </c>
      <c r="AV1596" s="157" t="n"/>
      <c r="AW1596" s="75">
        <f>_xlfn.IFNA(VLOOKUP(L1596,list_vat[],3,FALSE),0)</f>
        <v/>
      </c>
      <c r="AX1596" s="76">
        <f>IFERROR(ROUND(S1596*(1+AW1596)/E1596,2),0)</f>
        <v/>
      </c>
      <c r="AY1596" s="76">
        <f>E1596*AX1596</f>
        <v/>
      </c>
      <c r="AZ1596" s="192">
        <f>S1596*(1+M1596)</f>
        <v/>
      </c>
      <c r="BA1596" s="76">
        <f>cost_fin_total*$BD1596</f>
        <v/>
      </c>
      <c r="BB1596" s="193">
        <f>credit_sales_interest*BD1596</f>
        <v/>
      </c>
      <c r="BC1596" s="102">
        <f>IFERROR(IF($I$13&gt;0,$I1596/$I$13,$S1596/$S$13),0)</f>
        <v/>
      </c>
      <c r="BD1596" s="102">
        <f>IFERROR($S1596/$S$13,0)</f>
        <v/>
      </c>
      <c r="BE1596" s="413" t="inlineStr">
        <is>
          <t>$</t>
        </is>
      </c>
    </row>
    <row r="1597" ht="12" customFormat="1" customHeight="1" s="65">
      <c r="A1597" s="43" t="n">
        <v>1582</v>
      </c>
      <c r="B1597" s="166" t="n"/>
      <c r="C1597" s="166" t="n"/>
      <c r="D1597" s="166" t="n"/>
      <c r="E1597" s="162" t="n"/>
      <c r="F1597" s="166" t="n"/>
      <c r="G1597" s="162" t="n"/>
      <c r="H1597" s="162" t="n"/>
      <c r="I1597" s="189">
        <f>E1597*G1597</f>
        <v/>
      </c>
      <c r="J1597" s="195" t="n"/>
      <c r="K1597" s="162" t="n"/>
      <c r="L1597" s="168" t="n"/>
      <c r="M1597" s="75">
        <f>_xlfn.XLOOKUP(L1597,list_vat[Страна],list_vat[Ставка НДС %],0,0)</f>
        <v/>
      </c>
      <c r="N1597" s="162">
        <f>IFERROR(IF(L1597="Китай",K1597,K1597/(1+M1597)),0)</f>
        <v/>
      </c>
      <c r="O1597" s="169" t="n"/>
      <c r="P1597" s="76">
        <f>N1597*(1-O1597)</f>
        <v/>
      </c>
      <c r="Q1597" s="162" t="n"/>
      <c r="R1597" s="162">
        <f>IF(ISBLANK(Q1597),"введи курс",P1597/Q1597)</f>
        <v/>
      </c>
      <c r="S1597" s="196">
        <f>IF(AND(ISNUMBER(E1597),ISNUMBER(Q1597)),E1597*R1597,0)</f>
        <v/>
      </c>
      <c r="T1597" s="192">
        <f>$BC1597*V$11</f>
        <v/>
      </c>
      <c r="U1597" s="76">
        <f>$BC1597*W$11</f>
        <v/>
      </c>
      <c r="V1597" s="193">
        <f>+SUM(T1597:U1597)</f>
        <v/>
      </c>
      <c r="W1597" s="191" t="n"/>
      <c r="X1597" s="170" t="n"/>
      <c r="Y1597" s="76">
        <f>ROUND(IF(offer_incoterms="DDP",X1597*(S1597*(1+AW1597)+T1597),0),2)</f>
        <v/>
      </c>
      <c r="Z1597" s="188" t="n"/>
      <c r="AA1597" s="192">
        <f>IFERROR(AB1597/E1597,0)</f>
        <v/>
      </c>
      <c r="AB1597" s="76">
        <f>ROUND(SUM(S1597,V1597,Y1597:Z1597,BA1597:BB1597),2)</f>
        <v/>
      </c>
      <c r="AC1597" s="797" t="n"/>
      <c r="AD1597" s="192">
        <f t="array" ref="AD1597">IFERROR(ROUND((_xlfn.IFS(offer_sale_type="поставка",AB1597,offer_sale_type="транзит",S1597)*(1+AC1597))/E1597,2),0)</f>
        <v/>
      </c>
      <c r="AE1597" s="76">
        <f>AD1597*E1597</f>
        <v/>
      </c>
      <c r="AF1597" s="193">
        <f t="array" ref="AF1597">IFERROR(ROUND(_xlfn.IFS(offer_sale_type="поставка",AB1597,offer_sale_type="транзит",S1597)*AC1597,2),0)</f>
        <v/>
      </c>
      <c r="AG1597" s="192">
        <f>$BD1597*VLOOKUP($AG$3,$AF$4:$AG$7,2,FALSE)</f>
        <v/>
      </c>
      <c r="AH1597" s="76">
        <f>SUM(AE1597,AG1597,AI1597)*rate_forex_risk</f>
        <v/>
      </c>
      <c r="AI1597" s="193">
        <f>IF(OR(seller_region="TR",offer_sale_type="экспорт"),0,rate_fin_comm)*SUM(AZ1597,AZ1597*AW1597,T1597)</f>
        <v/>
      </c>
      <c r="AJ1597" s="118">
        <f>IFERROR(ROUND(SUM(AB1597,AF1597:AI1597)/E1597,2),0)</f>
        <v/>
      </c>
      <c r="AK1597" s="76">
        <f>AJ1597*E1597</f>
        <v/>
      </c>
      <c r="AL1597" s="174">
        <f>ROUND(IFERROR(AM1597*E1597,0),2)</f>
        <v/>
      </c>
      <c r="AM1597" s="175">
        <f>ROUND(AJ1597*(1+IF(offer_incoterms="DDP",IF((TODAY()+offer_turnaround_time)&gt;=helpsheet!$L$17,rate_vatRU_from_26,rate_vatRu_till_25),0)),2)</f>
        <v/>
      </c>
      <c r="AN1597" s="192">
        <f>AL1597-AK1597</f>
        <v/>
      </c>
      <c r="AO1597" s="76">
        <f>SUM(AY1597,Y1597:Z1597,T1597)*IF(AND(offer_incoterms="DDP",offer_sale_type&lt;&gt;"экспорт"),IF((TODAY()+offer_turnaround_time)&gt;=helpsheet!$L$17,rate_vatRU_from_26,rate_vatRu_till_25),0)</f>
        <v/>
      </c>
      <c r="AP1597" s="193">
        <f>AN1597-AO1597</f>
        <v/>
      </c>
      <c r="AQ1597" s="118">
        <f>IF(offer_sale_type="транзит",SUM(AF1597:AI1597,BA1597,BB1597),0)</f>
        <v/>
      </c>
      <c r="AR1597" s="82">
        <f>HYPERLINK("https://www.alta.ru/tnved/code/")&amp;W1597&amp;"/"</f>
        <v/>
      </c>
      <c r="AS1597" s="157" t="n"/>
      <c r="AT1597" s="162" t="n"/>
      <c r="AU1597" s="76">
        <f>IF(ISBLANK(AT1597),0,AJ1597-AT1597)</f>
        <v/>
      </c>
      <c r="AV1597" s="157" t="n"/>
      <c r="AW1597" s="75">
        <f>_xlfn.IFNA(VLOOKUP(L1597,list_vat[],3,FALSE),0)</f>
        <v/>
      </c>
      <c r="AX1597" s="76">
        <f>IFERROR(ROUND(S1597*(1+AW1597)/E1597,2),0)</f>
        <v/>
      </c>
      <c r="AY1597" s="76">
        <f>E1597*AX1597</f>
        <v/>
      </c>
      <c r="AZ1597" s="192">
        <f>S1597*(1+M1597)</f>
        <v/>
      </c>
      <c r="BA1597" s="76">
        <f>cost_fin_total*$BD1597</f>
        <v/>
      </c>
      <c r="BB1597" s="193">
        <f>credit_sales_interest*BD1597</f>
        <v/>
      </c>
      <c r="BC1597" s="102">
        <f>IFERROR(IF($I$13&gt;0,$I1597/$I$13,$S1597/$S$13),0)</f>
        <v/>
      </c>
      <c r="BD1597" s="102">
        <f>IFERROR($S1597/$S$13,0)</f>
        <v/>
      </c>
      <c r="BE1597" s="413" t="inlineStr">
        <is>
          <t>$</t>
        </is>
      </c>
    </row>
    <row r="1598" ht="12" customFormat="1" customHeight="1" s="65">
      <c r="A1598" s="43" t="n">
        <v>1583</v>
      </c>
      <c r="B1598" s="166" t="n"/>
      <c r="C1598" s="166" t="n"/>
      <c r="D1598" s="166" t="n"/>
      <c r="E1598" s="162" t="n"/>
      <c r="F1598" s="166" t="n"/>
      <c r="G1598" s="162" t="n"/>
      <c r="H1598" s="162" t="n"/>
      <c r="I1598" s="189">
        <f>E1598*G1598</f>
        <v/>
      </c>
      <c r="J1598" s="195" t="n"/>
      <c r="K1598" s="162" t="n"/>
      <c r="L1598" s="168" t="n"/>
      <c r="M1598" s="75">
        <f>_xlfn.XLOOKUP(L1598,list_vat[Страна],list_vat[Ставка НДС %],0,0)</f>
        <v/>
      </c>
      <c r="N1598" s="162">
        <f>IFERROR(IF(L1598="Китай",K1598,K1598/(1+M1598)),0)</f>
        <v/>
      </c>
      <c r="O1598" s="169" t="n"/>
      <c r="P1598" s="76">
        <f>N1598*(1-O1598)</f>
        <v/>
      </c>
      <c r="Q1598" s="162" t="n"/>
      <c r="R1598" s="162">
        <f>IF(ISBLANK(Q1598),"введи курс",P1598/Q1598)</f>
        <v/>
      </c>
      <c r="S1598" s="196">
        <f>IF(AND(ISNUMBER(E1598),ISNUMBER(Q1598)),E1598*R1598,0)</f>
        <v/>
      </c>
      <c r="T1598" s="192">
        <f>$BC1598*V$11</f>
        <v/>
      </c>
      <c r="U1598" s="76">
        <f>$BC1598*W$11</f>
        <v/>
      </c>
      <c r="V1598" s="193">
        <f>+SUM(T1598:U1598)</f>
        <v/>
      </c>
      <c r="W1598" s="191" t="n"/>
      <c r="X1598" s="170" t="n"/>
      <c r="Y1598" s="76">
        <f>ROUND(IF(offer_incoterms="DDP",X1598*(S1598*(1+AW1598)+T1598),0),2)</f>
        <v/>
      </c>
      <c r="Z1598" s="188" t="n"/>
      <c r="AA1598" s="192">
        <f>IFERROR(AB1598/E1598,0)</f>
        <v/>
      </c>
      <c r="AB1598" s="76">
        <f>ROUND(SUM(S1598,V1598,Y1598:Z1598,BA1598:BB1598),2)</f>
        <v/>
      </c>
      <c r="AC1598" s="797" t="n"/>
      <c r="AD1598" s="192">
        <f t="array" ref="AD1598">IFERROR(ROUND((_xlfn.IFS(offer_sale_type="поставка",AB1598,offer_sale_type="транзит",S1598)*(1+AC1598))/E1598,2),0)</f>
        <v/>
      </c>
      <c r="AE1598" s="76">
        <f>AD1598*E1598</f>
        <v/>
      </c>
      <c r="AF1598" s="193">
        <f t="array" ref="AF1598">IFERROR(ROUND(_xlfn.IFS(offer_sale_type="поставка",AB1598,offer_sale_type="транзит",S1598)*AC1598,2),0)</f>
        <v/>
      </c>
      <c r="AG1598" s="192">
        <f>$BD1598*VLOOKUP($AG$3,$AF$4:$AG$7,2,FALSE)</f>
        <v/>
      </c>
      <c r="AH1598" s="76">
        <f>SUM(AE1598,AG1598,AI1598)*rate_forex_risk</f>
        <v/>
      </c>
      <c r="AI1598" s="193">
        <f>IF(OR(seller_region="TR",offer_sale_type="экспорт"),0,rate_fin_comm)*SUM(AZ1598,AZ1598*AW1598,T1598)</f>
        <v/>
      </c>
      <c r="AJ1598" s="118">
        <f>IFERROR(ROUND(SUM(AB1598,AF1598:AI1598)/E1598,2),0)</f>
        <v/>
      </c>
      <c r="AK1598" s="76">
        <f>AJ1598*E1598</f>
        <v/>
      </c>
      <c r="AL1598" s="174">
        <f>ROUND(IFERROR(AM1598*E1598,0),2)</f>
        <v/>
      </c>
      <c r="AM1598" s="175">
        <f>ROUND(AJ1598*(1+IF(offer_incoterms="DDP",IF((TODAY()+offer_turnaround_time)&gt;=helpsheet!$L$17,rate_vatRU_from_26,rate_vatRu_till_25),0)),2)</f>
        <v/>
      </c>
      <c r="AN1598" s="192">
        <f>AL1598-AK1598</f>
        <v/>
      </c>
      <c r="AO1598" s="76">
        <f>SUM(AY1598,Y1598:Z1598,T1598)*IF(AND(offer_incoterms="DDP",offer_sale_type&lt;&gt;"экспорт"),IF((TODAY()+offer_turnaround_time)&gt;=helpsheet!$L$17,rate_vatRU_from_26,rate_vatRu_till_25),0)</f>
        <v/>
      </c>
      <c r="AP1598" s="193">
        <f>AN1598-AO1598</f>
        <v/>
      </c>
      <c r="AQ1598" s="118">
        <f>IF(offer_sale_type="транзит",SUM(AF1598:AI1598,BA1598,BB1598),0)</f>
        <v/>
      </c>
      <c r="AR1598" s="82">
        <f>HYPERLINK("https://www.alta.ru/tnved/code/")&amp;W1598&amp;"/"</f>
        <v/>
      </c>
      <c r="AS1598" s="157" t="n"/>
      <c r="AT1598" s="162" t="n"/>
      <c r="AU1598" s="76">
        <f>IF(ISBLANK(AT1598),0,AJ1598-AT1598)</f>
        <v/>
      </c>
      <c r="AV1598" s="157" t="n"/>
      <c r="AW1598" s="75">
        <f>_xlfn.IFNA(VLOOKUP(L1598,list_vat[],3,FALSE),0)</f>
        <v/>
      </c>
      <c r="AX1598" s="76">
        <f>IFERROR(ROUND(S1598*(1+AW1598)/E1598,2),0)</f>
        <v/>
      </c>
      <c r="AY1598" s="76">
        <f>E1598*AX1598</f>
        <v/>
      </c>
      <c r="AZ1598" s="192">
        <f>S1598*(1+M1598)</f>
        <v/>
      </c>
      <c r="BA1598" s="76">
        <f>cost_fin_total*$BD1598</f>
        <v/>
      </c>
      <c r="BB1598" s="193">
        <f>credit_sales_interest*BD1598</f>
        <v/>
      </c>
      <c r="BC1598" s="102">
        <f>IFERROR(IF($I$13&gt;0,$I1598/$I$13,$S1598/$S$13),0)</f>
        <v/>
      </c>
      <c r="BD1598" s="102">
        <f>IFERROR($S1598/$S$13,0)</f>
        <v/>
      </c>
      <c r="BE1598" s="413" t="inlineStr">
        <is>
          <t>$</t>
        </is>
      </c>
    </row>
    <row r="1599" ht="12" customFormat="1" customHeight="1" s="65">
      <c r="A1599" s="43" t="n">
        <v>1584</v>
      </c>
      <c r="B1599" s="166" t="n"/>
      <c r="C1599" s="166" t="n"/>
      <c r="D1599" s="166" t="n"/>
      <c r="E1599" s="162" t="n"/>
      <c r="F1599" s="166" t="n"/>
      <c r="G1599" s="162" t="n"/>
      <c r="H1599" s="162" t="n"/>
      <c r="I1599" s="189">
        <f>E1599*G1599</f>
        <v/>
      </c>
      <c r="J1599" s="195" t="n"/>
      <c r="K1599" s="162" t="n"/>
      <c r="L1599" s="168" t="n"/>
      <c r="M1599" s="75">
        <f>_xlfn.XLOOKUP(L1599,list_vat[Страна],list_vat[Ставка НДС %],0,0)</f>
        <v/>
      </c>
      <c r="N1599" s="162">
        <f>IFERROR(IF(L1599="Китай",K1599,K1599/(1+M1599)),0)</f>
        <v/>
      </c>
      <c r="O1599" s="169" t="n"/>
      <c r="P1599" s="76">
        <f>N1599*(1-O1599)</f>
        <v/>
      </c>
      <c r="Q1599" s="162" t="n"/>
      <c r="R1599" s="162">
        <f>IF(ISBLANK(Q1599),"введи курс",P1599/Q1599)</f>
        <v/>
      </c>
      <c r="S1599" s="196">
        <f>IF(AND(ISNUMBER(E1599),ISNUMBER(Q1599)),E1599*R1599,0)</f>
        <v/>
      </c>
      <c r="T1599" s="192">
        <f>$BC1599*V$11</f>
        <v/>
      </c>
      <c r="U1599" s="76">
        <f>$BC1599*W$11</f>
        <v/>
      </c>
      <c r="V1599" s="193">
        <f>+SUM(T1599:U1599)</f>
        <v/>
      </c>
      <c r="W1599" s="191" t="n"/>
      <c r="X1599" s="170" t="n"/>
      <c r="Y1599" s="76">
        <f>ROUND(IF(offer_incoterms="DDP",X1599*(S1599*(1+AW1599)+T1599),0),2)</f>
        <v/>
      </c>
      <c r="Z1599" s="188" t="n"/>
      <c r="AA1599" s="192">
        <f>IFERROR(AB1599/E1599,0)</f>
        <v/>
      </c>
      <c r="AB1599" s="76">
        <f>ROUND(SUM(S1599,V1599,Y1599:Z1599,BA1599:BB1599),2)</f>
        <v/>
      </c>
      <c r="AC1599" s="797" t="n"/>
      <c r="AD1599" s="192">
        <f t="array" ref="AD1599">IFERROR(ROUND((_xlfn.IFS(offer_sale_type="поставка",AB1599,offer_sale_type="транзит",S1599)*(1+AC1599))/E1599,2),0)</f>
        <v/>
      </c>
      <c r="AE1599" s="76">
        <f>AD1599*E1599</f>
        <v/>
      </c>
      <c r="AF1599" s="193">
        <f t="array" ref="AF1599">IFERROR(ROUND(_xlfn.IFS(offer_sale_type="поставка",AB1599,offer_sale_type="транзит",S1599)*AC1599,2),0)</f>
        <v/>
      </c>
      <c r="AG1599" s="192">
        <f>$BD1599*VLOOKUP($AG$3,$AF$4:$AG$7,2,FALSE)</f>
        <v/>
      </c>
      <c r="AH1599" s="76">
        <f>SUM(AE1599,AG1599,AI1599)*rate_forex_risk</f>
        <v/>
      </c>
      <c r="AI1599" s="193">
        <f>IF(OR(seller_region="TR",offer_sale_type="экспорт"),0,rate_fin_comm)*SUM(AZ1599,AZ1599*AW1599,T1599)</f>
        <v/>
      </c>
      <c r="AJ1599" s="118">
        <f>IFERROR(ROUND(SUM(AB1599,AF1599:AI1599)/E1599,2),0)</f>
        <v/>
      </c>
      <c r="AK1599" s="76">
        <f>AJ1599*E1599</f>
        <v/>
      </c>
      <c r="AL1599" s="174">
        <f>ROUND(IFERROR(AM1599*E1599,0),2)</f>
        <v/>
      </c>
      <c r="AM1599" s="175">
        <f>ROUND(AJ1599*(1+IF(offer_incoterms="DDP",IF((TODAY()+offer_turnaround_time)&gt;=helpsheet!$L$17,rate_vatRU_from_26,rate_vatRu_till_25),0)),2)</f>
        <v/>
      </c>
      <c r="AN1599" s="192">
        <f>AL1599-AK1599</f>
        <v/>
      </c>
      <c r="AO1599" s="76">
        <f>SUM(AY1599,Y1599:Z1599,T1599)*IF(AND(offer_incoterms="DDP",offer_sale_type&lt;&gt;"экспорт"),IF((TODAY()+offer_turnaround_time)&gt;=helpsheet!$L$17,rate_vatRU_from_26,rate_vatRu_till_25),0)</f>
        <v/>
      </c>
      <c r="AP1599" s="193">
        <f>AN1599-AO1599</f>
        <v/>
      </c>
      <c r="AQ1599" s="118">
        <f>IF(offer_sale_type="транзит",SUM(AF1599:AI1599,BA1599,BB1599),0)</f>
        <v/>
      </c>
      <c r="AR1599" s="82">
        <f>HYPERLINK("https://www.alta.ru/tnved/code/")&amp;W1599&amp;"/"</f>
        <v/>
      </c>
      <c r="AS1599" s="157" t="n"/>
      <c r="AT1599" s="162" t="n"/>
      <c r="AU1599" s="76">
        <f>IF(ISBLANK(AT1599),0,AJ1599-AT1599)</f>
        <v/>
      </c>
      <c r="AV1599" s="157" t="n"/>
      <c r="AW1599" s="75">
        <f>_xlfn.IFNA(VLOOKUP(L1599,list_vat[],3,FALSE),0)</f>
        <v/>
      </c>
      <c r="AX1599" s="76">
        <f>IFERROR(ROUND(S1599*(1+AW1599)/E1599,2),0)</f>
        <v/>
      </c>
      <c r="AY1599" s="76">
        <f>E1599*AX1599</f>
        <v/>
      </c>
      <c r="AZ1599" s="192">
        <f>S1599*(1+M1599)</f>
        <v/>
      </c>
      <c r="BA1599" s="76">
        <f>cost_fin_total*$BD1599</f>
        <v/>
      </c>
      <c r="BB1599" s="193">
        <f>credit_sales_interest*BD1599</f>
        <v/>
      </c>
      <c r="BC1599" s="102">
        <f>IFERROR(IF($I$13&gt;0,$I1599/$I$13,$S1599/$S$13),0)</f>
        <v/>
      </c>
      <c r="BD1599" s="102">
        <f>IFERROR($S1599/$S$13,0)</f>
        <v/>
      </c>
      <c r="BE1599" s="413" t="inlineStr">
        <is>
          <t>$</t>
        </is>
      </c>
    </row>
    <row r="1600" ht="12" customFormat="1" customHeight="1" s="65">
      <c r="A1600" s="43" t="n">
        <v>1585</v>
      </c>
      <c r="B1600" s="166" t="n"/>
      <c r="C1600" s="166" t="n"/>
      <c r="D1600" s="166" t="n"/>
      <c r="E1600" s="162" t="n"/>
      <c r="F1600" s="166" t="n"/>
      <c r="G1600" s="162" t="n"/>
      <c r="H1600" s="162" t="n"/>
      <c r="I1600" s="189">
        <f>E1600*G1600</f>
        <v/>
      </c>
      <c r="J1600" s="195" t="n"/>
      <c r="K1600" s="162" t="n"/>
      <c r="L1600" s="168" t="n"/>
      <c r="M1600" s="75">
        <f>_xlfn.XLOOKUP(L1600,list_vat[Страна],list_vat[Ставка НДС %],0,0)</f>
        <v/>
      </c>
      <c r="N1600" s="162">
        <f>IFERROR(IF(L1600="Китай",K1600,K1600/(1+M1600)),0)</f>
        <v/>
      </c>
      <c r="O1600" s="169" t="n"/>
      <c r="P1600" s="76">
        <f>N1600*(1-O1600)</f>
        <v/>
      </c>
      <c r="Q1600" s="162" t="n"/>
      <c r="R1600" s="162">
        <f>IF(ISBLANK(Q1600),"введи курс",P1600/Q1600)</f>
        <v/>
      </c>
      <c r="S1600" s="196">
        <f>IF(AND(ISNUMBER(E1600),ISNUMBER(Q1600)),E1600*R1600,0)</f>
        <v/>
      </c>
      <c r="T1600" s="192">
        <f>$BC1600*V$11</f>
        <v/>
      </c>
      <c r="U1600" s="76">
        <f>$BC1600*W$11</f>
        <v/>
      </c>
      <c r="V1600" s="193">
        <f>+SUM(T1600:U1600)</f>
        <v/>
      </c>
      <c r="W1600" s="191" t="n"/>
      <c r="X1600" s="170" t="n"/>
      <c r="Y1600" s="76">
        <f>ROUND(IF(offer_incoterms="DDP",X1600*(S1600*(1+AW1600)+T1600),0),2)</f>
        <v/>
      </c>
      <c r="Z1600" s="188" t="n"/>
      <c r="AA1600" s="192">
        <f>IFERROR(AB1600/E1600,0)</f>
        <v/>
      </c>
      <c r="AB1600" s="76">
        <f>ROUND(SUM(S1600,V1600,Y1600:Z1600,BA1600:BB1600),2)</f>
        <v/>
      </c>
      <c r="AC1600" s="797" t="n"/>
      <c r="AD1600" s="192">
        <f t="array" ref="AD1600">IFERROR(ROUND((_xlfn.IFS(offer_sale_type="поставка",AB1600,offer_sale_type="транзит",S1600)*(1+AC1600))/E1600,2),0)</f>
        <v/>
      </c>
      <c r="AE1600" s="76">
        <f>AD1600*E1600</f>
        <v/>
      </c>
      <c r="AF1600" s="193">
        <f t="array" ref="AF1600">IFERROR(ROUND(_xlfn.IFS(offer_sale_type="поставка",AB1600,offer_sale_type="транзит",S1600)*AC1600,2),0)</f>
        <v/>
      </c>
      <c r="AG1600" s="192">
        <f>$BD1600*VLOOKUP($AG$3,$AF$4:$AG$7,2,FALSE)</f>
        <v/>
      </c>
      <c r="AH1600" s="76">
        <f>SUM(AE1600,AG1600,AI1600)*rate_forex_risk</f>
        <v/>
      </c>
      <c r="AI1600" s="193">
        <f>IF(OR(seller_region="TR",offer_sale_type="экспорт"),0,rate_fin_comm)*SUM(AZ1600,AZ1600*AW1600,T1600)</f>
        <v/>
      </c>
      <c r="AJ1600" s="118">
        <f>IFERROR(ROUND(SUM(AB1600,AF1600:AI1600)/E1600,2),0)</f>
        <v/>
      </c>
      <c r="AK1600" s="76">
        <f>AJ1600*E1600</f>
        <v/>
      </c>
      <c r="AL1600" s="174">
        <f>ROUND(IFERROR(AM1600*E1600,0),2)</f>
        <v/>
      </c>
      <c r="AM1600" s="175">
        <f>ROUND(AJ1600*(1+IF(offer_incoterms="DDP",IF((TODAY()+offer_turnaround_time)&gt;=helpsheet!$L$17,rate_vatRU_from_26,rate_vatRu_till_25),0)),2)</f>
        <v/>
      </c>
      <c r="AN1600" s="192">
        <f>AL1600-AK1600</f>
        <v/>
      </c>
      <c r="AO1600" s="76">
        <f>SUM(AY1600,Y1600:Z1600,T1600)*IF(AND(offer_incoterms="DDP",offer_sale_type&lt;&gt;"экспорт"),IF((TODAY()+offer_turnaround_time)&gt;=helpsheet!$L$17,rate_vatRU_from_26,rate_vatRu_till_25),0)</f>
        <v/>
      </c>
      <c r="AP1600" s="193">
        <f>AN1600-AO1600</f>
        <v/>
      </c>
      <c r="AQ1600" s="118">
        <f>IF(offer_sale_type="транзит",SUM(AF1600:AI1600,BA1600,BB1600),0)</f>
        <v/>
      </c>
      <c r="AR1600" s="82">
        <f>HYPERLINK("https://www.alta.ru/tnved/code/")&amp;W1600&amp;"/"</f>
        <v/>
      </c>
      <c r="AS1600" s="157" t="n"/>
      <c r="AT1600" s="162" t="n"/>
      <c r="AU1600" s="76">
        <f>IF(ISBLANK(AT1600),0,AJ1600-AT1600)</f>
        <v/>
      </c>
      <c r="AV1600" s="157" t="n"/>
      <c r="AW1600" s="75">
        <f>_xlfn.IFNA(VLOOKUP(L1600,list_vat[],3,FALSE),0)</f>
        <v/>
      </c>
      <c r="AX1600" s="76">
        <f>IFERROR(ROUND(S1600*(1+AW1600)/E1600,2),0)</f>
        <v/>
      </c>
      <c r="AY1600" s="76">
        <f>E1600*AX1600</f>
        <v/>
      </c>
      <c r="AZ1600" s="192">
        <f>S1600*(1+M1600)</f>
        <v/>
      </c>
      <c r="BA1600" s="76">
        <f>cost_fin_total*$BD1600</f>
        <v/>
      </c>
      <c r="BB1600" s="193">
        <f>credit_sales_interest*BD1600</f>
        <v/>
      </c>
      <c r="BC1600" s="102">
        <f>IFERROR(IF($I$13&gt;0,$I1600/$I$13,$S1600/$S$13),0)</f>
        <v/>
      </c>
      <c r="BD1600" s="102">
        <f>IFERROR($S1600/$S$13,0)</f>
        <v/>
      </c>
      <c r="BE1600" s="413" t="inlineStr">
        <is>
          <t>$</t>
        </is>
      </c>
    </row>
    <row r="1601" ht="12" customFormat="1" customHeight="1" s="65">
      <c r="A1601" s="43" t="n">
        <v>1586</v>
      </c>
      <c r="B1601" s="166" t="n"/>
      <c r="C1601" s="166" t="n"/>
      <c r="D1601" s="166" t="n"/>
      <c r="E1601" s="162" t="n"/>
      <c r="F1601" s="166" t="n"/>
      <c r="G1601" s="162" t="n"/>
      <c r="H1601" s="162" t="n"/>
      <c r="I1601" s="189">
        <f>E1601*G1601</f>
        <v/>
      </c>
      <c r="J1601" s="195" t="n"/>
      <c r="K1601" s="162" t="n"/>
      <c r="L1601" s="168" t="n"/>
      <c r="M1601" s="75">
        <f>_xlfn.XLOOKUP(L1601,list_vat[Страна],list_vat[Ставка НДС %],0,0)</f>
        <v/>
      </c>
      <c r="N1601" s="162">
        <f>IFERROR(IF(L1601="Китай",K1601,K1601/(1+M1601)),0)</f>
        <v/>
      </c>
      <c r="O1601" s="169" t="n"/>
      <c r="P1601" s="76">
        <f>N1601*(1-O1601)</f>
        <v/>
      </c>
      <c r="Q1601" s="162" t="n"/>
      <c r="R1601" s="162">
        <f>IF(ISBLANK(Q1601),"введи курс",P1601/Q1601)</f>
        <v/>
      </c>
      <c r="S1601" s="196">
        <f>IF(AND(ISNUMBER(E1601),ISNUMBER(Q1601)),E1601*R1601,0)</f>
        <v/>
      </c>
      <c r="T1601" s="192">
        <f>$BC1601*V$11</f>
        <v/>
      </c>
      <c r="U1601" s="76">
        <f>$BC1601*W$11</f>
        <v/>
      </c>
      <c r="V1601" s="193">
        <f>+SUM(T1601:U1601)</f>
        <v/>
      </c>
      <c r="W1601" s="191" t="n"/>
      <c r="X1601" s="170" t="n"/>
      <c r="Y1601" s="76">
        <f>ROUND(IF(offer_incoterms="DDP",X1601*(S1601*(1+AW1601)+T1601),0),2)</f>
        <v/>
      </c>
      <c r="Z1601" s="188" t="n"/>
      <c r="AA1601" s="192">
        <f>IFERROR(AB1601/E1601,0)</f>
        <v/>
      </c>
      <c r="AB1601" s="76">
        <f>ROUND(SUM(S1601,V1601,Y1601:Z1601,BA1601:BB1601),2)</f>
        <v/>
      </c>
      <c r="AC1601" s="797" t="n"/>
      <c r="AD1601" s="192">
        <f t="array" ref="AD1601">IFERROR(ROUND((_xlfn.IFS(offer_sale_type="поставка",AB1601,offer_sale_type="транзит",S1601)*(1+AC1601))/E1601,2),0)</f>
        <v/>
      </c>
      <c r="AE1601" s="76">
        <f>AD1601*E1601</f>
        <v/>
      </c>
      <c r="AF1601" s="193">
        <f t="array" ref="AF1601">IFERROR(ROUND(_xlfn.IFS(offer_sale_type="поставка",AB1601,offer_sale_type="транзит",S1601)*AC1601,2),0)</f>
        <v/>
      </c>
      <c r="AG1601" s="192">
        <f>$BD1601*VLOOKUP($AG$3,$AF$4:$AG$7,2,FALSE)</f>
        <v/>
      </c>
      <c r="AH1601" s="76">
        <f>SUM(AE1601,AG1601,AI1601)*rate_forex_risk</f>
        <v/>
      </c>
      <c r="AI1601" s="193">
        <f>IF(OR(seller_region="TR",offer_sale_type="экспорт"),0,rate_fin_comm)*SUM(AZ1601,AZ1601*AW1601,T1601)</f>
        <v/>
      </c>
      <c r="AJ1601" s="118">
        <f>IFERROR(ROUND(SUM(AB1601,AF1601:AI1601)/E1601,2),0)</f>
        <v/>
      </c>
      <c r="AK1601" s="76">
        <f>AJ1601*E1601</f>
        <v/>
      </c>
      <c r="AL1601" s="174">
        <f>ROUND(IFERROR(AM1601*E1601,0),2)</f>
        <v/>
      </c>
      <c r="AM1601" s="175">
        <f>ROUND(AJ1601*(1+IF(offer_incoterms="DDP",IF((TODAY()+offer_turnaround_time)&gt;=helpsheet!$L$17,rate_vatRU_from_26,rate_vatRu_till_25),0)),2)</f>
        <v/>
      </c>
      <c r="AN1601" s="192">
        <f>AL1601-AK1601</f>
        <v/>
      </c>
      <c r="AO1601" s="76">
        <f>SUM(AY1601,Y1601:Z1601,T1601)*IF(AND(offer_incoterms="DDP",offer_sale_type&lt;&gt;"экспорт"),IF((TODAY()+offer_turnaround_time)&gt;=helpsheet!$L$17,rate_vatRU_from_26,rate_vatRu_till_25),0)</f>
        <v/>
      </c>
      <c r="AP1601" s="193">
        <f>AN1601-AO1601</f>
        <v/>
      </c>
      <c r="AQ1601" s="118">
        <f>IF(offer_sale_type="транзит",SUM(AF1601:AI1601,BA1601,BB1601),0)</f>
        <v/>
      </c>
      <c r="AR1601" s="82">
        <f>HYPERLINK("https://www.alta.ru/tnved/code/")&amp;W1601&amp;"/"</f>
        <v/>
      </c>
      <c r="AS1601" s="157" t="n"/>
      <c r="AT1601" s="162" t="n"/>
      <c r="AU1601" s="76">
        <f>IF(ISBLANK(AT1601),0,AJ1601-AT1601)</f>
        <v/>
      </c>
      <c r="AV1601" s="157" t="n"/>
      <c r="AW1601" s="75">
        <f>_xlfn.IFNA(VLOOKUP(L1601,list_vat[],3,FALSE),0)</f>
        <v/>
      </c>
      <c r="AX1601" s="76">
        <f>IFERROR(ROUND(S1601*(1+AW1601)/E1601,2),0)</f>
        <v/>
      </c>
      <c r="AY1601" s="76">
        <f>E1601*AX1601</f>
        <v/>
      </c>
      <c r="AZ1601" s="192">
        <f>S1601*(1+M1601)</f>
        <v/>
      </c>
      <c r="BA1601" s="76">
        <f>cost_fin_total*$BD1601</f>
        <v/>
      </c>
      <c r="BB1601" s="193">
        <f>credit_sales_interest*BD1601</f>
        <v/>
      </c>
      <c r="BC1601" s="102">
        <f>IFERROR(IF($I$13&gt;0,$I1601/$I$13,$S1601/$S$13),0)</f>
        <v/>
      </c>
      <c r="BD1601" s="102">
        <f>IFERROR($S1601/$S$13,0)</f>
        <v/>
      </c>
      <c r="BE1601" s="413" t="inlineStr">
        <is>
          <t>$</t>
        </is>
      </c>
    </row>
    <row r="1602" ht="12" customFormat="1" customHeight="1" s="65">
      <c r="A1602" s="43" t="n">
        <v>1587</v>
      </c>
      <c r="B1602" s="166" t="n"/>
      <c r="C1602" s="166" t="n"/>
      <c r="D1602" s="166" t="n"/>
      <c r="E1602" s="162" t="n"/>
      <c r="F1602" s="166" t="n"/>
      <c r="G1602" s="162" t="n"/>
      <c r="H1602" s="162" t="n"/>
      <c r="I1602" s="189">
        <f>E1602*G1602</f>
        <v/>
      </c>
      <c r="J1602" s="195" t="n"/>
      <c r="K1602" s="162" t="n"/>
      <c r="L1602" s="168" t="n"/>
      <c r="M1602" s="75">
        <f>_xlfn.XLOOKUP(L1602,list_vat[Страна],list_vat[Ставка НДС %],0,0)</f>
        <v/>
      </c>
      <c r="N1602" s="162">
        <f>IFERROR(IF(L1602="Китай",K1602,K1602/(1+M1602)),0)</f>
        <v/>
      </c>
      <c r="O1602" s="169" t="n"/>
      <c r="P1602" s="76">
        <f>N1602*(1-O1602)</f>
        <v/>
      </c>
      <c r="Q1602" s="162" t="n"/>
      <c r="R1602" s="162">
        <f>IF(ISBLANK(Q1602),"введи курс",P1602/Q1602)</f>
        <v/>
      </c>
      <c r="S1602" s="196">
        <f>IF(AND(ISNUMBER(E1602),ISNUMBER(Q1602)),E1602*R1602,0)</f>
        <v/>
      </c>
      <c r="T1602" s="192">
        <f>$BC1602*V$11</f>
        <v/>
      </c>
      <c r="U1602" s="76">
        <f>$BC1602*W$11</f>
        <v/>
      </c>
      <c r="V1602" s="193">
        <f>+SUM(T1602:U1602)</f>
        <v/>
      </c>
      <c r="W1602" s="191" t="n"/>
      <c r="X1602" s="170" t="n"/>
      <c r="Y1602" s="76">
        <f>ROUND(IF(offer_incoterms="DDP",X1602*(S1602*(1+AW1602)+T1602),0),2)</f>
        <v/>
      </c>
      <c r="Z1602" s="188" t="n"/>
      <c r="AA1602" s="192">
        <f>IFERROR(AB1602/E1602,0)</f>
        <v/>
      </c>
      <c r="AB1602" s="76">
        <f>ROUND(SUM(S1602,V1602,Y1602:Z1602,BA1602:BB1602),2)</f>
        <v/>
      </c>
      <c r="AC1602" s="797" t="n"/>
      <c r="AD1602" s="192">
        <f t="array" ref="AD1602">IFERROR(ROUND((_xlfn.IFS(offer_sale_type="поставка",AB1602,offer_sale_type="транзит",S1602)*(1+AC1602))/E1602,2),0)</f>
        <v/>
      </c>
      <c r="AE1602" s="76">
        <f>AD1602*E1602</f>
        <v/>
      </c>
      <c r="AF1602" s="193">
        <f t="array" ref="AF1602">IFERROR(ROUND(_xlfn.IFS(offer_sale_type="поставка",AB1602,offer_sale_type="транзит",S1602)*AC1602,2),0)</f>
        <v/>
      </c>
      <c r="AG1602" s="192">
        <f>$BD1602*VLOOKUP($AG$3,$AF$4:$AG$7,2,FALSE)</f>
        <v/>
      </c>
      <c r="AH1602" s="76">
        <f>SUM(AE1602,AG1602,AI1602)*rate_forex_risk</f>
        <v/>
      </c>
      <c r="AI1602" s="193">
        <f>IF(OR(seller_region="TR",offer_sale_type="экспорт"),0,rate_fin_comm)*SUM(AZ1602,AZ1602*AW1602,T1602)</f>
        <v/>
      </c>
      <c r="AJ1602" s="118">
        <f>IFERROR(ROUND(SUM(AB1602,AF1602:AI1602)/E1602,2),0)</f>
        <v/>
      </c>
      <c r="AK1602" s="76">
        <f>AJ1602*E1602</f>
        <v/>
      </c>
      <c r="AL1602" s="174">
        <f>ROUND(IFERROR(AM1602*E1602,0),2)</f>
        <v/>
      </c>
      <c r="AM1602" s="175">
        <f>ROUND(AJ1602*(1+IF(offer_incoterms="DDP",IF((TODAY()+offer_turnaround_time)&gt;=helpsheet!$L$17,rate_vatRU_from_26,rate_vatRu_till_25),0)),2)</f>
        <v/>
      </c>
      <c r="AN1602" s="192">
        <f>AL1602-AK1602</f>
        <v/>
      </c>
      <c r="AO1602" s="76">
        <f>SUM(AY1602,Y1602:Z1602,T1602)*IF(AND(offer_incoterms="DDP",offer_sale_type&lt;&gt;"экспорт"),IF((TODAY()+offer_turnaround_time)&gt;=helpsheet!$L$17,rate_vatRU_from_26,rate_vatRu_till_25),0)</f>
        <v/>
      </c>
      <c r="AP1602" s="193">
        <f>AN1602-AO1602</f>
        <v/>
      </c>
      <c r="AQ1602" s="118">
        <f>IF(offer_sale_type="транзит",SUM(AF1602:AI1602,BA1602,BB1602),0)</f>
        <v/>
      </c>
      <c r="AR1602" s="82">
        <f>HYPERLINK("https://www.alta.ru/tnved/code/")&amp;W1602&amp;"/"</f>
        <v/>
      </c>
      <c r="AS1602" s="157" t="n"/>
      <c r="AT1602" s="162" t="n"/>
      <c r="AU1602" s="76">
        <f>IF(ISBLANK(AT1602),0,AJ1602-AT1602)</f>
        <v/>
      </c>
      <c r="AV1602" s="157" t="n"/>
      <c r="AW1602" s="75">
        <f>_xlfn.IFNA(VLOOKUP(L1602,list_vat[],3,FALSE),0)</f>
        <v/>
      </c>
      <c r="AX1602" s="76">
        <f>IFERROR(ROUND(S1602*(1+AW1602)/E1602,2),0)</f>
        <v/>
      </c>
      <c r="AY1602" s="76">
        <f>E1602*AX1602</f>
        <v/>
      </c>
      <c r="AZ1602" s="192">
        <f>S1602*(1+M1602)</f>
        <v/>
      </c>
      <c r="BA1602" s="76">
        <f>cost_fin_total*$BD1602</f>
        <v/>
      </c>
      <c r="BB1602" s="193">
        <f>credit_sales_interest*BD1602</f>
        <v/>
      </c>
      <c r="BC1602" s="102">
        <f>IFERROR(IF($I$13&gt;0,$I1602/$I$13,$S1602/$S$13),0)</f>
        <v/>
      </c>
      <c r="BD1602" s="102">
        <f>IFERROR($S1602/$S$13,0)</f>
        <v/>
      </c>
      <c r="BE1602" s="413" t="inlineStr">
        <is>
          <t>$</t>
        </is>
      </c>
    </row>
    <row r="1603" ht="12" customFormat="1" customHeight="1" s="65">
      <c r="A1603" s="43" t="n">
        <v>1588</v>
      </c>
      <c r="B1603" s="166" t="n"/>
      <c r="C1603" s="166" t="n"/>
      <c r="D1603" s="166" t="n"/>
      <c r="E1603" s="162" t="n"/>
      <c r="F1603" s="166" t="n"/>
      <c r="G1603" s="162" t="n"/>
      <c r="H1603" s="162" t="n"/>
      <c r="I1603" s="189">
        <f>E1603*G1603</f>
        <v/>
      </c>
      <c r="J1603" s="195" t="n"/>
      <c r="K1603" s="162" t="n"/>
      <c r="L1603" s="168" t="n"/>
      <c r="M1603" s="75">
        <f>_xlfn.XLOOKUP(L1603,list_vat[Страна],list_vat[Ставка НДС %],0,0)</f>
        <v/>
      </c>
      <c r="N1603" s="162">
        <f>IFERROR(IF(L1603="Китай",K1603,K1603/(1+M1603)),0)</f>
        <v/>
      </c>
      <c r="O1603" s="169" t="n"/>
      <c r="P1603" s="76">
        <f>N1603*(1-O1603)</f>
        <v/>
      </c>
      <c r="Q1603" s="162" t="n"/>
      <c r="R1603" s="162">
        <f>IF(ISBLANK(Q1603),"введи курс",P1603/Q1603)</f>
        <v/>
      </c>
      <c r="S1603" s="196">
        <f>IF(AND(ISNUMBER(E1603),ISNUMBER(Q1603)),E1603*R1603,0)</f>
        <v/>
      </c>
      <c r="T1603" s="192">
        <f>$BC1603*V$11</f>
        <v/>
      </c>
      <c r="U1603" s="76">
        <f>$BC1603*W$11</f>
        <v/>
      </c>
      <c r="V1603" s="193">
        <f>+SUM(T1603:U1603)</f>
        <v/>
      </c>
      <c r="W1603" s="191" t="n"/>
      <c r="X1603" s="170" t="n"/>
      <c r="Y1603" s="76">
        <f>ROUND(IF(offer_incoterms="DDP",X1603*(S1603*(1+AW1603)+T1603),0),2)</f>
        <v/>
      </c>
      <c r="Z1603" s="188" t="n"/>
      <c r="AA1603" s="192">
        <f>IFERROR(AB1603/E1603,0)</f>
        <v/>
      </c>
      <c r="AB1603" s="76">
        <f>ROUND(SUM(S1603,V1603,Y1603:Z1603,BA1603:BB1603),2)</f>
        <v/>
      </c>
      <c r="AC1603" s="797" t="n"/>
      <c r="AD1603" s="192">
        <f t="array" ref="AD1603">IFERROR(ROUND((_xlfn.IFS(offer_sale_type="поставка",AB1603,offer_sale_type="транзит",S1603)*(1+AC1603))/E1603,2),0)</f>
        <v/>
      </c>
      <c r="AE1603" s="76">
        <f>AD1603*E1603</f>
        <v/>
      </c>
      <c r="AF1603" s="193">
        <f t="array" ref="AF1603">IFERROR(ROUND(_xlfn.IFS(offer_sale_type="поставка",AB1603,offer_sale_type="транзит",S1603)*AC1603,2),0)</f>
        <v/>
      </c>
      <c r="AG1603" s="192">
        <f>$BD1603*VLOOKUP($AG$3,$AF$4:$AG$7,2,FALSE)</f>
        <v/>
      </c>
      <c r="AH1603" s="76">
        <f>SUM(AE1603,AG1603,AI1603)*rate_forex_risk</f>
        <v/>
      </c>
      <c r="AI1603" s="193">
        <f>IF(OR(seller_region="TR",offer_sale_type="экспорт"),0,rate_fin_comm)*SUM(AZ1603,AZ1603*AW1603,T1603)</f>
        <v/>
      </c>
      <c r="AJ1603" s="118">
        <f>IFERROR(ROUND(SUM(AB1603,AF1603:AI1603)/E1603,2),0)</f>
        <v/>
      </c>
      <c r="AK1603" s="76">
        <f>AJ1603*E1603</f>
        <v/>
      </c>
      <c r="AL1603" s="174">
        <f>ROUND(IFERROR(AM1603*E1603,0),2)</f>
        <v/>
      </c>
      <c r="AM1603" s="175">
        <f>ROUND(AJ1603*(1+IF(offer_incoterms="DDP",IF((TODAY()+offer_turnaround_time)&gt;=helpsheet!$L$17,rate_vatRU_from_26,rate_vatRu_till_25),0)),2)</f>
        <v/>
      </c>
      <c r="AN1603" s="192">
        <f>AL1603-AK1603</f>
        <v/>
      </c>
      <c r="AO1603" s="76">
        <f>SUM(AY1603,Y1603:Z1603,T1603)*IF(AND(offer_incoterms="DDP",offer_sale_type&lt;&gt;"экспорт"),IF((TODAY()+offer_turnaround_time)&gt;=helpsheet!$L$17,rate_vatRU_from_26,rate_vatRu_till_25),0)</f>
        <v/>
      </c>
      <c r="AP1603" s="193">
        <f>AN1603-AO1603</f>
        <v/>
      </c>
      <c r="AQ1603" s="118">
        <f>IF(offer_sale_type="транзит",SUM(AF1603:AI1603,BA1603,BB1603),0)</f>
        <v/>
      </c>
      <c r="AR1603" s="82">
        <f>HYPERLINK("https://www.alta.ru/tnved/code/")&amp;W1603&amp;"/"</f>
        <v/>
      </c>
      <c r="AS1603" s="157" t="n"/>
      <c r="AT1603" s="162" t="n"/>
      <c r="AU1603" s="76">
        <f>IF(ISBLANK(AT1603),0,AJ1603-AT1603)</f>
        <v/>
      </c>
      <c r="AV1603" s="157" t="n"/>
      <c r="AW1603" s="75">
        <f>_xlfn.IFNA(VLOOKUP(L1603,list_vat[],3,FALSE),0)</f>
        <v/>
      </c>
      <c r="AX1603" s="76">
        <f>IFERROR(ROUND(S1603*(1+AW1603)/E1603,2),0)</f>
        <v/>
      </c>
      <c r="AY1603" s="76">
        <f>E1603*AX1603</f>
        <v/>
      </c>
      <c r="AZ1603" s="192">
        <f>S1603*(1+M1603)</f>
        <v/>
      </c>
      <c r="BA1603" s="76">
        <f>cost_fin_total*$BD1603</f>
        <v/>
      </c>
      <c r="BB1603" s="193">
        <f>credit_sales_interest*BD1603</f>
        <v/>
      </c>
      <c r="BC1603" s="102">
        <f>IFERROR(IF($I$13&gt;0,$I1603/$I$13,$S1603/$S$13),0)</f>
        <v/>
      </c>
      <c r="BD1603" s="102">
        <f>IFERROR($S1603/$S$13,0)</f>
        <v/>
      </c>
      <c r="BE1603" s="413" t="inlineStr">
        <is>
          <t>$</t>
        </is>
      </c>
    </row>
    <row r="1604" ht="12" customFormat="1" customHeight="1" s="65">
      <c r="A1604" s="43" t="n">
        <v>1589</v>
      </c>
      <c r="B1604" s="166" t="n"/>
      <c r="C1604" s="166" t="n"/>
      <c r="D1604" s="166" t="n"/>
      <c r="E1604" s="162" t="n"/>
      <c r="F1604" s="166" t="n"/>
      <c r="G1604" s="162" t="n"/>
      <c r="H1604" s="162" t="n"/>
      <c r="I1604" s="189">
        <f>E1604*G1604</f>
        <v/>
      </c>
      <c r="J1604" s="195" t="n"/>
      <c r="K1604" s="162" t="n"/>
      <c r="L1604" s="168" t="n"/>
      <c r="M1604" s="75">
        <f>_xlfn.XLOOKUP(L1604,list_vat[Страна],list_vat[Ставка НДС %],0,0)</f>
        <v/>
      </c>
      <c r="N1604" s="162">
        <f>IFERROR(IF(L1604="Китай",K1604,K1604/(1+M1604)),0)</f>
        <v/>
      </c>
      <c r="O1604" s="169" t="n"/>
      <c r="P1604" s="76">
        <f>N1604*(1-O1604)</f>
        <v/>
      </c>
      <c r="Q1604" s="162" t="n"/>
      <c r="R1604" s="162">
        <f>IF(ISBLANK(Q1604),"введи курс",P1604/Q1604)</f>
        <v/>
      </c>
      <c r="S1604" s="196">
        <f>IF(AND(ISNUMBER(E1604),ISNUMBER(Q1604)),E1604*R1604,0)</f>
        <v/>
      </c>
      <c r="T1604" s="192">
        <f>$BC1604*V$11</f>
        <v/>
      </c>
      <c r="U1604" s="76">
        <f>$BC1604*W$11</f>
        <v/>
      </c>
      <c r="V1604" s="193">
        <f>+SUM(T1604:U1604)</f>
        <v/>
      </c>
      <c r="W1604" s="191" t="n"/>
      <c r="X1604" s="170" t="n"/>
      <c r="Y1604" s="76">
        <f>ROUND(IF(offer_incoterms="DDP",X1604*(S1604*(1+AW1604)+T1604),0),2)</f>
        <v/>
      </c>
      <c r="Z1604" s="188" t="n"/>
      <c r="AA1604" s="192">
        <f>IFERROR(AB1604/E1604,0)</f>
        <v/>
      </c>
      <c r="AB1604" s="76">
        <f>ROUND(SUM(S1604,V1604,Y1604:Z1604,BA1604:BB1604),2)</f>
        <v/>
      </c>
      <c r="AC1604" s="797" t="n"/>
      <c r="AD1604" s="192">
        <f t="array" ref="AD1604">IFERROR(ROUND((_xlfn.IFS(offer_sale_type="поставка",AB1604,offer_sale_type="транзит",S1604)*(1+AC1604))/E1604,2),0)</f>
        <v/>
      </c>
      <c r="AE1604" s="76">
        <f>AD1604*E1604</f>
        <v/>
      </c>
      <c r="AF1604" s="193">
        <f t="array" ref="AF1604">IFERROR(ROUND(_xlfn.IFS(offer_sale_type="поставка",AB1604,offer_sale_type="транзит",S1604)*AC1604,2),0)</f>
        <v/>
      </c>
      <c r="AG1604" s="192">
        <f>$BD1604*VLOOKUP($AG$3,$AF$4:$AG$7,2,FALSE)</f>
        <v/>
      </c>
      <c r="AH1604" s="76">
        <f>SUM(AE1604,AG1604,AI1604)*rate_forex_risk</f>
        <v/>
      </c>
      <c r="AI1604" s="193">
        <f>IF(OR(seller_region="TR",offer_sale_type="экспорт"),0,rate_fin_comm)*SUM(AZ1604,AZ1604*AW1604,T1604)</f>
        <v/>
      </c>
      <c r="AJ1604" s="118">
        <f>IFERROR(ROUND(SUM(AB1604,AF1604:AI1604)/E1604,2),0)</f>
        <v/>
      </c>
      <c r="AK1604" s="76">
        <f>AJ1604*E1604</f>
        <v/>
      </c>
      <c r="AL1604" s="174">
        <f>ROUND(IFERROR(AM1604*E1604,0),2)</f>
        <v/>
      </c>
      <c r="AM1604" s="175">
        <f>ROUND(AJ1604*(1+IF(offer_incoterms="DDP",IF((TODAY()+offer_turnaround_time)&gt;=helpsheet!$L$17,rate_vatRU_from_26,rate_vatRu_till_25),0)),2)</f>
        <v/>
      </c>
      <c r="AN1604" s="192">
        <f>AL1604-AK1604</f>
        <v/>
      </c>
      <c r="AO1604" s="76">
        <f>SUM(AY1604,Y1604:Z1604,T1604)*IF(AND(offer_incoterms="DDP",offer_sale_type&lt;&gt;"экспорт"),IF((TODAY()+offer_turnaround_time)&gt;=helpsheet!$L$17,rate_vatRU_from_26,rate_vatRu_till_25),0)</f>
        <v/>
      </c>
      <c r="AP1604" s="193">
        <f>AN1604-AO1604</f>
        <v/>
      </c>
      <c r="AQ1604" s="118">
        <f>IF(offer_sale_type="транзит",SUM(AF1604:AI1604,BA1604,BB1604),0)</f>
        <v/>
      </c>
      <c r="AR1604" s="82">
        <f>HYPERLINK("https://www.alta.ru/tnved/code/")&amp;W1604&amp;"/"</f>
        <v/>
      </c>
      <c r="AS1604" s="157" t="n"/>
      <c r="AT1604" s="162" t="n"/>
      <c r="AU1604" s="76">
        <f>IF(ISBLANK(AT1604),0,AJ1604-AT1604)</f>
        <v/>
      </c>
      <c r="AV1604" s="157" t="n"/>
      <c r="AW1604" s="75">
        <f>_xlfn.IFNA(VLOOKUP(L1604,list_vat[],3,FALSE),0)</f>
        <v/>
      </c>
      <c r="AX1604" s="76">
        <f>IFERROR(ROUND(S1604*(1+AW1604)/E1604,2),0)</f>
        <v/>
      </c>
      <c r="AY1604" s="76">
        <f>E1604*AX1604</f>
        <v/>
      </c>
      <c r="AZ1604" s="192">
        <f>S1604*(1+M1604)</f>
        <v/>
      </c>
      <c r="BA1604" s="76">
        <f>cost_fin_total*$BD1604</f>
        <v/>
      </c>
      <c r="BB1604" s="193">
        <f>credit_sales_interest*BD1604</f>
        <v/>
      </c>
      <c r="BC1604" s="102">
        <f>IFERROR(IF($I$13&gt;0,$I1604/$I$13,$S1604/$S$13),0)</f>
        <v/>
      </c>
      <c r="BD1604" s="102">
        <f>IFERROR($S1604/$S$13,0)</f>
        <v/>
      </c>
      <c r="BE1604" s="413" t="inlineStr">
        <is>
          <t>$</t>
        </is>
      </c>
    </row>
    <row r="1605" ht="12" customFormat="1" customHeight="1" s="65">
      <c r="A1605" s="43" t="n">
        <v>1590</v>
      </c>
      <c r="B1605" s="166" t="n"/>
      <c r="C1605" s="166" t="n"/>
      <c r="D1605" s="166" t="n"/>
      <c r="E1605" s="162" t="n"/>
      <c r="F1605" s="166" t="n"/>
      <c r="G1605" s="162" t="n"/>
      <c r="H1605" s="162" t="n"/>
      <c r="I1605" s="189">
        <f>E1605*G1605</f>
        <v/>
      </c>
      <c r="J1605" s="195" t="n"/>
      <c r="K1605" s="162" t="n"/>
      <c r="L1605" s="168" t="n"/>
      <c r="M1605" s="75">
        <f>_xlfn.XLOOKUP(L1605,list_vat[Страна],list_vat[Ставка НДС %],0,0)</f>
        <v/>
      </c>
      <c r="N1605" s="162">
        <f>IFERROR(IF(L1605="Китай",K1605,K1605/(1+M1605)),0)</f>
        <v/>
      </c>
      <c r="O1605" s="169" t="n"/>
      <c r="P1605" s="76">
        <f>N1605*(1-O1605)</f>
        <v/>
      </c>
      <c r="Q1605" s="162" t="n"/>
      <c r="R1605" s="162">
        <f>IF(ISBLANK(Q1605),"введи курс",P1605/Q1605)</f>
        <v/>
      </c>
      <c r="S1605" s="196">
        <f>IF(AND(ISNUMBER(E1605),ISNUMBER(Q1605)),E1605*R1605,0)</f>
        <v/>
      </c>
      <c r="T1605" s="192">
        <f>$BC1605*V$11</f>
        <v/>
      </c>
      <c r="U1605" s="76">
        <f>$BC1605*W$11</f>
        <v/>
      </c>
      <c r="V1605" s="193">
        <f>+SUM(T1605:U1605)</f>
        <v/>
      </c>
      <c r="W1605" s="191" t="n"/>
      <c r="X1605" s="170" t="n"/>
      <c r="Y1605" s="76">
        <f>ROUND(IF(offer_incoterms="DDP",X1605*(S1605*(1+AW1605)+T1605),0),2)</f>
        <v/>
      </c>
      <c r="Z1605" s="188" t="n"/>
      <c r="AA1605" s="192">
        <f>IFERROR(AB1605/E1605,0)</f>
        <v/>
      </c>
      <c r="AB1605" s="76">
        <f>ROUND(SUM(S1605,V1605,Y1605:Z1605,BA1605:BB1605),2)</f>
        <v/>
      </c>
      <c r="AC1605" s="797" t="n"/>
      <c r="AD1605" s="192">
        <f t="array" ref="AD1605">IFERROR(ROUND((_xlfn.IFS(offer_sale_type="поставка",AB1605,offer_sale_type="транзит",S1605)*(1+AC1605))/E1605,2),0)</f>
        <v/>
      </c>
      <c r="AE1605" s="76">
        <f>AD1605*E1605</f>
        <v/>
      </c>
      <c r="AF1605" s="193">
        <f t="array" ref="AF1605">IFERROR(ROUND(_xlfn.IFS(offer_sale_type="поставка",AB1605,offer_sale_type="транзит",S1605)*AC1605,2),0)</f>
        <v/>
      </c>
      <c r="AG1605" s="192">
        <f>$BD1605*VLOOKUP($AG$3,$AF$4:$AG$7,2,FALSE)</f>
        <v/>
      </c>
      <c r="AH1605" s="76">
        <f>SUM(AE1605,AG1605,AI1605)*rate_forex_risk</f>
        <v/>
      </c>
      <c r="AI1605" s="193">
        <f>IF(OR(seller_region="TR",offer_sale_type="экспорт"),0,rate_fin_comm)*SUM(AZ1605,AZ1605*AW1605,T1605)</f>
        <v/>
      </c>
      <c r="AJ1605" s="118">
        <f>IFERROR(ROUND(SUM(AB1605,AF1605:AI1605)/E1605,2),0)</f>
        <v/>
      </c>
      <c r="AK1605" s="76">
        <f>AJ1605*E1605</f>
        <v/>
      </c>
      <c r="AL1605" s="174">
        <f>ROUND(IFERROR(AM1605*E1605,0),2)</f>
        <v/>
      </c>
      <c r="AM1605" s="175">
        <f>ROUND(AJ1605*(1+IF(offer_incoterms="DDP",IF((TODAY()+offer_turnaround_time)&gt;=helpsheet!$L$17,rate_vatRU_from_26,rate_vatRu_till_25),0)),2)</f>
        <v/>
      </c>
      <c r="AN1605" s="192">
        <f>AL1605-AK1605</f>
        <v/>
      </c>
      <c r="AO1605" s="76">
        <f>SUM(AY1605,Y1605:Z1605,T1605)*IF(AND(offer_incoterms="DDP",offer_sale_type&lt;&gt;"экспорт"),IF((TODAY()+offer_turnaround_time)&gt;=helpsheet!$L$17,rate_vatRU_from_26,rate_vatRu_till_25),0)</f>
        <v/>
      </c>
      <c r="AP1605" s="193">
        <f>AN1605-AO1605</f>
        <v/>
      </c>
      <c r="AQ1605" s="118">
        <f>IF(offer_sale_type="транзит",SUM(AF1605:AI1605,BA1605,BB1605),0)</f>
        <v/>
      </c>
      <c r="AR1605" s="82">
        <f>HYPERLINK("https://www.alta.ru/tnved/code/")&amp;W1605&amp;"/"</f>
        <v/>
      </c>
      <c r="AS1605" s="157" t="n"/>
      <c r="AT1605" s="162" t="n"/>
      <c r="AU1605" s="76">
        <f>IF(ISBLANK(AT1605),0,AJ1605-AT1605)</f>
        <v/>
      </c>
      <c r="AV1605" s="157" t="n"/>
      <c r="AW1605" s="75">
        <f>_xlfn.IFNA(VLOOKUP(L1605,list_vat[],3,FALSE),0)</f>
        <v/>
      </c>
      <c r="AX1605" s="76">
        <f>IFERROR(ROUND(S1605*(1+AW1605)/E1605,2),0)</f>
        <v/>
      </c>
      <c r="AY1605" s="76">
        <f>E1605*AX1605</f>
        <v/>
      </c>
      <c r="AZ1605" s="192">
        <f>S1605*(1+M1605)</f>
        <v/>
      </c>
      <c r="BA1605" s="76">
        <f>cost_fin_total*$BD1605</f>
        <v/>
      </c>
      <c r="BB1605" s="193">
        <f>credit_sales_interest*BD1605</f>
        <v/>
      </c>
      <c r="BC1605" s="102">
        <f>IFERROR(IF($I$13&gt;0,$I1605/$I$13,$S1605/$S$13),0)</f>
        <v/>
      </c>
      <c r="BD1605" s="102">
        <f>IFERROR($S1605/$S$13,0)</f>
        <v/>
      </c>
      <c r="BE1605" s="413" t="inlineStr">
        <is>
          <t>$</t>
        </is>
      </c>
    </row>
    <row r="1606" ht="12" customFormat="1" customHeight="1" s="65">
      <c r="A1606" s="43" t="n">
        <v>1591</v>
      </c>
      <c r="B1606" s="166" t="n"/>
      <c r="C1606" s="166" t="n"/>
      <c r="D1606" s="166" t="n"/>
      <c r="E1606" s="162" t="n"/>
      <c r="F1606" s="166" t="n"/>
      <c r="G1606" s="162" t="n"/>
      <c r="H1606" s="162" t="n"/>
      <c r="I1606" s="189">
        <f>E1606*G1606</f>
        <v/>
      </c>
      <c r="J1606" s="195" t="n"/>
      <c r="K1606" s="162" t="n"/>
      <c r="L1606" s="168" t="n"/>
      <c r="M1606" s="75">
        <f>_xlfn.XLOOKUP(L1606,list_vat[Страна],list_vat[Ставка НДС %],0,0)</f>
        <v/>
      </c>
      <c r="N1606" s="162">
        <f>IFERROR(IF(L1606="Китай",K1606,K1606/(1+M1606)),0)</f>
        <v/>
      </c>
      <c r="O1606" s="169" t="n"/>
      <c r="P1606" s="76">
        <f>N1606*(1-O1606)</f>
        <v/>
      </c>
      <c r="Q1606" s="162" t="n"/>
      <c r="R1606" s="162">
        <f>IF(ISBLANK(Q1606),"введи курс",P1606/Q1606)</f>
        <v/>
      </c>
      <c r="S1606" s="196">
        <f>IF(AND(ISNUMBER(E1606),ISNUMBER(Q1606)),E1606*R1606,0)</f>
        <v/>
      </c>
      <c r="T1606" s="192">
        <f>$BC1606*V$11</f>
        <v/>
      </c>
      <c r="U1606" s="76">
        <f>$BC1606*W$11</f>
        <v/>
      </c>
      <c r="V1606" s="193">
        <f>+SUM(T1606:U1606)</f>
        <v/>
      </c>
      <c r="W1606" s="191" t="n"/>
      <c r="X1606" s="170" t="n"/>
      <c r="Y1606" s="76">
        <f>ROUND(IF(offer_incoterms="DDP",X1606*(S1606*(1+AW1606)+T1606),0),2)</f>
        <v/>
      </c>
      <c r="Z1606" s="188" t="n"/>
      <c r="AA1606" s="192">
        <f>IFERROR(AB1606/E1606,0)</f>
        <v/>
      </c>
      <c r="AB1606" s="76">
        <f>ROUND(SUM(S1606,V1606,Y1606:Z1606,BA1606:BB1606),2)</f>
        <v/>
      </c>
      <c r="AC1606" s="797" t="n"/>
      <c r="AD1606" s="192">
        <f t="array" ref="AD1606">IFERROR(ROUND((_xlfn.IFS(offer_sale_type="поставка",AB1606,offer_sale_type="транзит",S1606)*(1+AC1606))/E1606,2),0)</f>
        <v/>
      </c>
      <c r="AE1606" s="76">
        <f>AD1606*E1606</f>
        <v/>
      </c>
      <c r="AF1606" s="193">
        <f t="array" ref="AF1606">IFERROR(ROUND(_xlfn.IFS(offer_sale_type="поставка",AB1606,offer_sale_type="транзит",S1606)*AC1606,2),0)</f>
        <v/>
      </c>
      <c r="AG1606" s="192">
        <f>$BD1606*VLOOKUP($AG$3,$AF$4:$AG$7,2,FALSE)</f>
        <v/>
      </c>
      <c r="AH1606" s="76">
        <f>SUM(AE1606,AG1606,AI1606)*rate_forex_risk</f>
        <v/>
      </c>
      <c r="AI1606" s="193">
        <f>IF(OR(seller_region="TR",offer_sale_type="экспорт"),0,rate_fin_comm)*SUM(AZ1606,AZ1606*AW1606,T1606)</f>
        <v/>
      </c>
      <c r="AJ1606" s="118">
        <f>IFERROR(ROUND(SUM(AB1606,AF1606:AI1606)/E1606,2),0)</f>
        <v/>
      </c>
      <c r="AK1606" s="76">
        <f>AJ1606*E1606</f>
        <v/>
      </c>
      <c r="AL1606" s="174">
        <f>ROUND(IFERROR(AM1606*E1606,0),2)</f>
        <v/>
      </c>
      <c r="AM1606" s="175">
        <f>ROUND(AJ1606*(1+IF(offer_incoterms="DDP",IF((TODAY()+offer_turnaround_time)&gt;=helpsheet!$L$17,rate_vatRU_from_26,rate_vatRu_till_25),0)),2)</f>
        <v/>
      </c>
      <c r="AN1606" s="192">
        <f>AL1606-AK1606</f>
        <v/>
      </c>
      <c r="AO1606" s="76">
        <f>SUM(AY1606,Y1606:Z1606,T1606)*IF(AND(offer_incoterms="DDP",offer_sale_type&lt;&gt;"экспорт"),IF((TODAY()+offer_turnaround_time)&gt;=helpsheet!$L$17,rate_vatRU_from_26,rate_vatRu_till_25),0)</f>
        <v/>
      </c>
      <c r="AP1606" s="193">
        <f>AN1606-AO1606</f>
        <v/>
      </c>
      <c r="AQ1606" s="118">
        <f>IF(offer_sale_type="транзит",SUM(AF1606:AI1606,BA1606,BB1606),0)</f>
        <v/>
      </c>
      <c r="AR1606" s="82">
        <f>HYPERLINK("https://www.alta.ru/tnved/code/")&amp;W1606&amp;"/"</f>
        <v/>
      </c>
      <c r="AS1606" s="157" t="n"/>
      <c r="AT1606" s="162" t="n"/>
      <c r="AU1606" s="76">
        <f>IF(ISBLANK(AT1606),0,AJ1606-AT1606)</f>
        <v/>
      </c>
      <c r="AV1606" s="157" t="n"/>
      <c r="AW1606" s="75">
        <f>_xlfn.IFNA(VLOOKUP(L1606,list_vat[],3,FALSE),0)</f>
        <v/>
      </c>
      <c r="AX1606" s="76">
        <f>IFERROR(ROUND(S1606*(1+AW1606)/E1606,2),0)</f>
        <v/>
      </c>
      <c r="AY1606" s="76">
        <f>E1606*AX1606</f>
        <v/>
      </c>
      <c r="AZ1606" s="192">
        <f>S1606*(1+M1606)</f>
        <v/>
      </c>
      <c r="BA1606" s="76">
        <f>cost_fin_total*$BD1606</f>
        <v/>
      </c>
      <c r="BB1606" s="193">
        <f>credit_sales_interest*BD1606</f>
        <v/>
      </c>
      <c r="BC1606" s="102">
        <f>IFERROR(IF($I$13&gt;0,$I1606/$I$13,$S1606/$S$13),0)</f>
        <v/>
      </c>
      <c r="BD1606" s="102">
        <f>IFERROR($S1606/$S$13,0)</f>
        <v/>
      </c>
      <c r="BE1606" s="413" t="inlineStr">
        <is>
          <t>$</t>
        </is>
      </c>
    </row>
    <row r="1607" ht="12" customFormat="1" customHeight="1" s="65">
      <c r="A1607" s="43" t="n">
        <v>1592</v>
      </c>
      <c r="B1607" s="166" t="n"/>
      <c r="C1607" s="166" t="n"/>
      <c r="D1607" s="166" t="n"/>
      <c r="E1607" s="162" t="n"/>
      <c r="F1607" s="166" t="n"/>
      <c r="G1607" s="162" t="n"/>
      <c r="H1607" s="162" t="n"/>
      <c r="I1607" s="189">
        <f>E1607*G1607</f>
        <v/>
      </c>
      <c r="J1607" s="195" t="n"/>
      <c r="K1607" s="162" t="n"/>
      <c r="L1607" s="168" t="n"/>
      <c r="M1607" s="75">
        <f>_xlfn.XLOOKUP(L1607,list_vat[Страна],list_vat[Ставка НДС %],0,0)</f>
        <v/>
      </c>
      <c r="N1607" s="162">
        <f>IFERROR(IF(L1607="Китай",K1607,K1607/(1+M1607)),0)</f>
        <v/>
      </c>
      <c r="O1607" s="169" t="n"/>
      <c r="P1607" s="76">
        <f>N1607*(1-O1607)</f>
        <v/>
      </c>
      <c r="Q1607" s="162" t="n"/>
      <c r="R1607" s="162">
        <f>IF(ISBLANK(Q1607),"введи курс",P1607/Q1607)</f>
        <v/>
      </c>
      <c r="S1607" s="196">
        <f>IF(AND(ISNUMBER(E1607),ISNUMBER(Q1607)),E1607*R1607,0)</f>
        <v/>
      </c>
      <c r="T1607" s="192">
        <f>$BC1607*V$11</f>
        <v/>
      </c>
      <c r="U1607" s="76">
        <f>$BC1607*W$11</f>
        <v/>
      </c>
      <c r="V1607" s="193">
        <f>+SUM(T1607:U1607)</f>
        <v/>
      </c>
      <c r="W1607" s="191" t="n"/>
      <c r="X1607" s="170" t="n"/>
      <c r="Y1607" s="76">
        <f>ROUND(IF(offer_incoterms="DDP",X1607*(S1607*(1+AW1607)+T1607),0),2)</f>
        <v/>
      </c>
      <c r="Z1607" s="188" t="n"/>
      <c r="AA1607" s="192">
        <f>IFERROR(AB1607/E1607,0)</f>
        <v/>
      </c>
      <c r="AB1607" s="76">
        <f>ROUND(SUM(S1607,V1607,Y1607:Z1607,BA1607:BB1607),2)</f>
        <v/>
      </c>
      <c r="AC1607" s="797" t="n"/>
      <c r="AD1607" s="192">
        <f t="array" ref="AD1607">IFERROR(ROUND((_xlfn.IFS(offer_sale_type="поставка",AB1607,offer_sale_type="транзит",S1607)*(1+AC1607))/E1607,2),0)</f>
        <v/>
      </c>
      <c r="AE1607" s="76">
        <f>AD1607*E1607</f>
        <v/>
      </c>
      <c r="AF1607" s="193">
        <f t="array" ref="AF1607">IFERROR(ROUND(_xlfn.IFS(offer_sale_type="поставка",AB1607,offer_sale_type="транзит",S1607)*AC1607,2),0)</f>
        <v/>
      </c>
      <c r="AG1607" s="192">
        <f>$BD1607*VLOOKUP($AG$3,$AF$4:$AG$7,2,FALSE)</f>
        <v/>
      </c>
      <c r="AH1607" s="76">
        <f>SUM(AE1607,AG1607,AI1607)*rate_forex_risk</f>
        <v/>
      </c>
      <c r="AI1607" s="193">
        <f>IF(OR(seller_region="TR",offer_sale_type="экспорт"),0,rate_fin_comm)*SUM(AZ1607,AZ1607*AW1607,T1607)</f>
        <v/>
      </c>
      <c r="AJ1607" s="118">
        <f>IFERROR(ROUND(SUM(AB1607,AF1607:AI1607)/E1607,2),0)</f>
        <v/>
      </c>
      <c r="AK1607" s="76">
        <f>AJ1607*E1607</f>
        <v/>
      </c>
      <c r="AL1607" s="174">
        <f>ROUND(IFERROR(AM1607*E1607,0),2)</f>
        <v/>
      </c>
      <c r="AM1607" s="175">
        <f>ROUND(AJ1607*(1+IF(offer_incoterms="DDP",IF((TODAY()+offer_turnaround_time)&gt;=helpsheet!$L$17,rate_vatRU_from_26,rate_vatRu_till_25),0)),2)</f>
        <v/>
      </c>
      <c r="AN1607" s="192">
        <f>AL1607-AK1607</f>
        <v/>
      </c>
      <c r="AO1607" s="76">
        <f>SUM(AY1607,Y1607:Z1607,T1607)*IF(AND(offer_incoterms="DDP",offer_sale_type&lt;&gt;"экспорт"),IF((TODAY()+offer_turnaround_time)&gt;=helpsheet!$L$17,rate_vatRU_from_26,rate_vatRu_till_25),0)</f>
        <v/>
      </c>
      <c r="AP1607" s="193">
        <f>AN1607-AO1607</f>
        <v/>
      </c>
      <c r="AQ1607" s="118">
        <f>IF(offer_sale_type="транзит",SUM(AF1607:AI1607,BA1607,BB1607),0)</f>
        <v/>
      </c>
      <c r="AR1607" s="82">
        <f>HYPERLINK("https://www.alta.ru/tnved/code/")&amp;W1607&amp;"/"</f>
        <v/>
      </c>
      <c r="AS1607" s="157" t="n"/>
      <c r="AT1607" s="162" t="n"/>
      <c r="AU1607" s="76">
        <f>IF(ISBLANK(AT1607),0,AJ1607-AT1607)</f>
        <v/>
      </c>
      <c r="AV1607" s="157" t="n"/>
      <c r="AW1607" s="75">
        <f>_xlfn.IFNA(VLOOKUP(L1607,list_vat[],3,FALSE),0)</f>
        <v/>
      </c>
      <c r="AX1607" s="76">
        <f>IFERROR(ROUND(S1607*(1+AW1607)/E1607,2),0)</f>
        <v/>
      </c>
      <c r="AY1607" s="76">
        <f>E1607*AX1607</f>
        <v/>
      </c>
      <c r="AZ1607" s="192">
        <f>S1607*(1+M1607)</f>
        <v/>
      </c>
      <c r="BA1607" s="76">
        <f>cost_fin_total*$BD1607</f>
        <v/>
      </c>
      <c r="BB1607" s="193">
        <f>credit_sales_interest*BD1607</f>
        <v/>
      </c>
      <c r="BC1607" s="102">
        <f>IFERROR(IF($I$13&gt;0,$I1607/$I$13,$S1607/$S$13),0)</f>
        <v/>
      </c>
      <c r="BD1607" s="102">
        <f>IFERROR($S1607/$S$13,0)</f>
        <v/>
      </c>
      <c r="BE1607" s="413" t="inlineStr">
        <is>
          <t>$</t>
        </is>
      </c>
    </row>
    <row r="1608" ht="12" customFormat="1" customHeight="1" s="65">
      <c r="A1608" s="43" t="n">
        <v>1593</v>
      </c>
      <c r="B1608" s="166" t="n"/>
      <c r="C1608" s="166" t="n"/>
      <c r="D1608" s="166" t="n"/>
      <c r="E1608" s="162" t="n"/>
      <c r="F1608" s="166" t="n"/>
      <c r="G1608" s="162" t="n"/>
      <c r="H1608" s="162" t="n"/>
      <c r="I1608" s="189">
        <f>E1608*G1608</f>
        <v/>
      </c>
      <c r="J1608" s="195" t="n"/>
      <c r="K1608" s="162" t="n"/>
      <c r="L1608" s="168" t="n"/>
      <c r="M1608" s="75">
        <f>_xlfn.XLOOKUP(L1608,list_vat[Страна],list_vat[Ставка НДС %],0,0)</f>
        <v/>
      </c>
      <c r="N1608" s="162">
        <f>IFERROR(IF(L1608="Китай",K1608,K1608/(1+M1608)),0)</f>
        <v/>
      </c>
      <c r="O1608" s="169" t="n"/>
      <c r="P1608" s="76">
        <f>N1608*(1-O1608)</f>
        <v/>
      </c>
      <c r="Q1608" s="162" t="n"/>
      <c r="R1608" s="162">
        <f>IF(ISBLANK(Q1608),"введи курс",P1608/Q1608)</f>
        <v/>
      </c>
      <c r="S1608" s="196">
        <f>IF(AND(ISNUMBER(E1608),ISNUMBER(Q1608)),E1608*R1608,0)</f>
        <v/>
      </c>
      <c r="T1608" s="192">
        <f>$BC1608*V$11</f>
        <v/>
      </c>
      <c r="U1608" s="76">
        <f>$BC1608*W$11</f>
        <v/>
      </c>
      <c r="V1608" s="193">
        <f>+SUM(T1608:U1608)</f>
        <v/>
      </c>
      <c r="W1608" s="191" t="n"/>
      <c r="X1608" s="170" t="n"/>
      <c r="Y1608" s="76">
        <f>ROUND(IF(offer_incoterms="DDP",X1608*(S1608*(1+AW1608)+T1608),0),2)</f>
        <v/>
      </c>
      <c r="Z1608" s="188" t="n"/>
      <c r="AA1608" s="192">
        <f>IFERROR(AB1608/E1608,0)</f>
        <v/>
      </c>
      <c r="AB1608" s="76">
        <f>ROUND(SUM(S1608,V1608,Y1608:Z1608,BA1608:BB1608),2)</f>
        <v/>
      </c>
      <c r="AC1608" s="797" t="n"/>
      <c r="AD1608" s="192">
        <f t="array" ref="AD1608">IFERROR(ROUND((_xlfn.IFS(offer_sale_type="поставка",AB1608,offer_sale_type="транзит",S1608)*(1+AC1608))/E1608,2),0)</f>
        <v/>
      </c>
      <c r="AE1608" s="76">
        <f>AD1608*E1608</f>
        <v/>
      </c>
      <c r="AF1608" s="193">
        <f t="array" ref="AF1608">IFERROR(ROUND(_xlfn.IFS(offer_sale_type="поставка",AB1608,offer_sale_type="транзит",S1608)*AC1608,2),0)</f>
        <v/>
      </c>
      <c r="AG1608" s="192">
        <f>$BD1608*VLOOKUP($AG$3,$AF$4:$AG$7,2,FALSE)</f>
        <v/>
      </c>
      <c r="AH1608" s="76">
        <f>SUM(AE1608,AG1608,AI1608)*rate_forex_risk</f>
        <v/>
      </c>
      <c r="AI1608" s="193">
        <f>IF(OR(seller_region="TR",offer_sale_type="экспорт"),0,rate_fin_comm)*SUM(AZ1608,AZ1608*AW1608,T1608)</f>
        <v/>
      </c>
      <c r="AJ1608" s="118">
        <f>IFERROR(ROUND(SUM(AB1608,AF1608:AI1608)/E1608,2),0)</f>
        <v/>
      </c>
      <c r="AK1608" s="76">
        <f>AJ1608*E1608</f>
        <v/>
      </c>
      <c r="AL1608" s="174">
        <f>ROUND(IFERROR(AM1608*E1608,0),2)</f>
        <v/>
      </c>
      <c r="AM1608" s="175">
        <f>ROUND(AJ1608*(1+IF(offer_incoterms="DDP",IF((TODAY()+offer_turnaround_time)&gt;=helpsheet!$L$17,rate_vatRU_from_26,rate_vatRu_till_25),0)),2)</f>
        <v/>
      </c>
      <c r="AN1608" s="192">
        <f>AL1608-AK1608</f>
        <v/>
      </c>
      <c r="AO1608" s="76">
        <f>SUM(AY1608,Y1608:Z1608,T1608)*IF(AND(offer_incoterms="DDP",offer_sale_type&lt;&gt;"экспорт"),IF((TODAY()+offer_turnaround_time)&gt;=helpsheet!$L$17,rate_vatRU_from_26,rate_vatRu_till_25),0)</f>
        <v/>
      </c>
      <c r="AP1608" s="193">
        <f>AN1608-AO1608</f>
        <v/>
      </c>
      <c r="AQ1608" s="118">
        <f>IF(offer_sale_type="транзит",SUM(AF1608:AI1608,BA1608,BB1608),0)</f>
        <v/>
      </c>
      <c r="AR1608" s="82">
        <f>HYPERLINK("https://www.alta.ru/tnved/code/")&amp;W1608&amp;"/"</f>
        <v/>
      </c>
      <c r="AS1608" s="157" t="n"/>
      <c r="AT1608" s="162" t="n"/>
      <c r="AU1608" s="76">
        <f>IF(ISBLANK(AT1608),0,AJ1608-AT1608)</f>
        <v/>
      </c>
      <c r="AV1608" s="157" t="n"/>
      <c r="AW1608" s="75">
        <f>_xlfn.IFNA(VLOOKUP(L1608,list_vat[],3,FALSE),0)</f>
        <v/>
      </c>
      <c r="AX1608" s="76">
        <f>IFERROR(ROUND(S1608*(1+AW1608)/E1608,2),0)</f>
        <v/>
      </c>
      <c r="AY1608" s="76">
        <f>E1608*AX1608</f>
        <v/>
      </c>
      <c r="AZ1608" s="192">
        <f>S1608*(1+M1608)</f>
        <v/>
      </c>
      <c r="BA1608" s="76">
        <f>cost_fin_total*$BD1608</f>
        <v/>
      </c>
      <c r="BB1608" s="193">
        <f>credit_sales_interest*BD1608</f>
        <v/>
      </c>
      <c r="BC1608" s="102">
        <f>IFERROR(IF($I$13&gt;0,$I1608/$I$13,$S1608/$S$13),0)</f>
        <v/>
      </c>
      <c r="BD1608" s="102">
        <f>IFERROR($S1608/$S$13,0)</f>
        <v/>
      </c>
      <c r="BE1608" s="413" t="inlineStr">
        <is>
          <t>$</t>
        </is>
      </c>
    </row>
    <row r="1609" ht="12" customFormat="1" customHeight="1" s="65">
      <c r="A1609" s="43" t="n">
        <v>1594</v>
      </c>
      <c r="B1609" s="166" t="n"/>
      <c r="C1609" s="166" t="n"/>
      <c r="D1609" s="166" t="n"/>
      <c r="E1609" s="162" t="n"/>
      <c r="F1609" s="166" t="n"/>
      <c r="G1609" s="162" t="n"/>
      <c r="H1609" s="162" t="n"/>
      <c r="I1609" s="189">
        <f>E1609*G1609</f>
        <v/>
      </c>
      <c r="J1609" s="195" t="n"/>
      <c r="K1609" s="162" t="n"/>
      <c r="L1609" s="168" t="n"/>
      <c r="M1609" s="75">
        <f>_xlfn.XLOOKUP(L1609,list_vat[Страна],list_vat[Ставка НДС %],0,0)</f>
        <v/>
      </c>
      <c r="N1609" s="162">
        <f>IFERROR(IF(L1609="Китай",K1609,K1609/(1+M1609)),0)</f>
        <v/>
      </c>
      <c r="O1609" s="169" t="n"/>
      <c r="P1609" s="76">
        <f>N1609*(1-O1609)</f>
        <v/>
      </c>
      <c r="Q1609" s="162" t="n"/>
      <c r="R1609" s="162">
        <f>IF(ISBLANK(Q1609),"введи курс",P1609/Q1609)</f>
        <v/>
      </c>
      <c r="S1609" s="196">
        <f>IF(AND(ISNUMBER(E1609),ISNUMBER(Q1609)),E1609*R1609,0)</f>
        <v/>
      </c>
      <c r="T1609" s="192">
        <f>$BC1609*V$11</f>
        <v/>
      </c>
      <c r="U1609" s="76">
        <f>$BC1609*W$11</f>
        <v/>
      </c>
      <c r="V1609" s="193">
        <f>+SUM(T1609:U1609)</f>
        <v/>
      </c>
      <c r="W1609" s="191" t="n"/>
      <c r="X1609" s="170" t="n"/>
      <c r="Y1609" s="76">
        <f>ROUND(IF(offer_incoterms="DDP",X1609*(S1609*(1+AW1609)+T1609),0),2)</f>
        <v/>
      </c>
      <c r="Z1609" s="188" t="n"/>
      <c r="AA1609" s="192">
        <f>IFERROR(AB1609/E1609,0)</f>
        <v/>
      </c>
      <c r="AB1609" s="76">
        <f>ROUND(SUM(S1609,V1609,Y1609:Z1609,BA1609:BB1609),2)</f>
        <v/>
      </c>
      <c r="AC1609" s="797" t="n"/>
      <c r="AD1609" s="192">
        <f t="array" ref="AD1609">IFERROR(ROUND((_xlfn.IFS(offer_sale_type="поставка",AB1609,offer_sale_type="транзит",S1609)*(1+AC1609))/E1609,2),0)</f>
        <v/>
      </c>
      <c r="AE1609" s="76">
        <f>AD1609*E1609</f>
        <v/>
      </c>
      <c r="AF1609" s="193">
        <f t="array" ref="AF1609">IFERROR(ROUND(_xlfn.IFS(offer_sale_type="поставка",AB1609,offer_sale_type="транзит",S1609)*AC1609,2),0)</f>
        <v/>
      </c>
      <c r="AG1609" s="192">
        <f>$BD1609*VLOOKUP($AG$3,$AF$4:$AG$7,2,FALSE)</f>
        <v/>
      </c>
      <c r="AH1609" s="76">
        <f>SUM(AE1609,AG1609,AI1609)*rate_forex_risk</f>
        <v/>
      </c>
      <c r="AI1609" s="193">
        <f>IF(OR(seller_region="TR",offer_sale_type="экспорт"),0,rate_fin_comm)*SUM(AZ1609,AZ1609*AW1609,T1609)</f>
        <v/>
      </c>
      <c r="AJ1609" s="118">
        <f>IFERROR(ROUND(SUM(AB1609,AF1609:AI1609)/E1609,2),0)</f>
        <v/>
      </c>
      <c r="AK1609" s="76">
        <f>AJ1609*E1609</f>
        <v/>
      </c>
      <c r="AL1609" s="174">
        <f>ROUND(IFERROR(AM1609*E1609,0),2)</f>
        <v/>
      </c>
      <c r="AM1609" s="175">
        <f>ROUND(AJ1609*(1+IF(offer_incoterms="DDP",IF((TODAY()+offer_turnaround_time)&gt;=helpsheet!$L$17,rate_vatRU_from_26,rate_vatRu_till_25),0)),2)</f>
        <v/>
      </c>
      <c r="AN1609" s="192">
        <f>AL1609-AK1609</f>
        <v/>
      </c>
      <c r="AO1609" s="76">
        <f>SUM(AY1609,Y1609:Z1609,T1609)*IF(AND(offer_incoterms="DDP",offer_sale_type&lt;&gt;"экспорт"),IF((TODAY()+offer_turnaround_time)&gt;=helpsheet!$L$17,rate_vatRU_from_26,rate_vatRu_till_25),0)</f>
        <v/>
      </c>
      <c r="AP1609" s="193">
        <f>AN1609-AO1609</f>
        <v/>
      </c>
      <c r="AQ1609" s="118">
        <f>IF(offer_sale_type="транзит",SUM(AF1609:AI1609,BA1609,BB1609),0)</f>
        <v/>
      </c>
      <c r="AR1609" s="82">
        <f>HYPERLINK("https://www.alta.ru/tnved/code/")&amp;W1609&amp;"/"</f>
        <v/>
      </c>
      <c r="AS1609" s="157" t="n"/>
      <c r="AT1609" s="162" t="n"/>
      <c r="AU1609" s="76">
        <f>IF(ISBLANK(AT1609),0,AJ1609-AT1609)</f>
        <v/>
      </c>
      <c r="AV1609" s="157" t="n"/>
      <c r="AW1609" s="75">
        <f>_xlfn.IFNA(VLOOKUP(L1609,list_vat[],3,FALSE),0)</f>
        <v/>
      </c>
      <c r="AX1609" s="76">
        <f>IFERROR(ROUND(S1609*(1+AW1609)/E1609,2),0)</f>
        <v/>
      </c>
      <c r="AY1609" s="76">
        <f>E1609*AX1609</f>
        <v/>
      </c>
      <c r="AZ1609" s="192">
        <f>S1609*(1+M1609)</f>
        <v/>
      </c>
      <c r="BA1609" s="76">
        <f>cost_fin_total*$BD1609</f>
        <v/>
      </c>
      <c r="BB1609" s="193">
        <f>credit_sales_interest*BD1609</f>
        <v/>
      </c>
      <c r="BC1609" s="102">
        <f>IFERROR(IF($I$13&gt;0,$I1609/$I$13,$S1609/$S$13),0)</f>
        <v/>
      </c>
      <c r="BD1609" s="102">
        <f>IFERROR($S1609/$S$13,0)</f>
        <v/>
      </c>
      <c r="BE1609" s="413" t="inlineStr">
        <is>
          <t>$</t>
        </is>
      </c>
    </row>
    <row r="1610" ht="12" customFormat="1" customHeight="1" s="65">
      <c r="A1610" s="43" t="n">
        <v>1595</v>
      </c>
      <c r="B1610" s="166" t="n"/>
      <c r="C1610" s="166" t="n"/>
      <c r="D1610" s="166" t="n"/>
      <c r="E1610" s="162" t="n"/>
      <c r="F1610" s="166" t="n"/>
      <c r="G1610" s="162" t="n"/>
      <c r="H1610" s="162" t="n"/>
      <c r="I1610" s="189">
        <f>E1610*G1610</f>
        <v/>
      </c>
      <c r="J1610" s="195" t="n"/>
      <c r="K1610" s="162" t="n"/>
      <c r="L1610" s="168" t="n"/>
      <c r="M1610" s="75">
        <f>_xlfn.XLOOKUP(L1610,list_vat[Страна],list_vat[Ставка НДС %],0,0)</f>
        <v/>
      </c>
      <c r="N1610" s="162">
        <f>IFERROR(IF(L1610="Китай",K1610,K1610/(1+M1610)),0)</f>
        <v/>
      </c>
      <c r="O1610" s="169" t="n"/>
      <c r="P1610" s="76">
        <f>N1610*(1-O1610)</f>
        <v/>
      </c>
      <c r="Q1610" s="162" t="n"/>
      <c r="R1610" s="162">
        <f>IF(ISBLANK(Q1610),"введи курс",P1610/Q1610)</f>
        <v/>
      </c>
      <c r="S1610" s="196">
        <f>IF(AND(ISNUMBER(E1610),ISNUMBER(Q1610)),E1610*R1610,0)</f>
        <v/>
      </c>
      <c r="T1610" s="192">
        <f>$BC1610*V$11</f>
        <v/>
      </c>
      <c r="U1610" s="76">
        <f>$BC1610*W$11</f>
        <v/>
      </c>
      <c r="V1610" s="193">
        <f>+SUM(T1610:U1610)</f>
        <v/>
      </c>
      <c r="W1610" s="191" t="n"/>
      <c r="X1610" s="170" t="n"/>
      <c r="Y1610" s="76">
        <f>ROUND(IF(offer_incoterms="DDP",X1610*(S1610*(1+AW1610)+T1610),0),2)</f>
        <v/>
      </c>
      <c r="Z1610" s="188" t="n"/>
      <c r="AA1610" s="192">
        <f>IFERROR(AB1610/E1610,0)</f>
        <v/>
      </c>
      <c r="AB1610" s="76">
        <f>ROUND(SUM(S1610,V1610,Y1610:Z1610,BA1610:BB1610),2)</f>
        <v/>
      </c>
      <c r="AC1610" s="797" t="n"/>
      <c r="AD1610" s="192">
        <f t="array" ref="AD1610">IFERROR(ROUND((_xlfn.IFS(offer_sale_type="поставка",AB1610,offer_sale_type="транзит",S1610)*(1+AC1610))/E1610,2),0)</f>
        <v/>
      </c>
      <c r="AE1610" s="76">
        <f>AD1610*E1610</f>
        <v/>
      </c>
      <c r="AF1610" s="193">
        <f t="array" ref="AF1610">IFERROR(ROUND(_xlfn.IFS(offer_sale_type="поставка",AB1610,offer_sale_type="транзит",S1610)*AC1610,2),0)</f>
        <v/>
      </c>
      <c r="AG1610" s="192">
        <f>$BD1610*VLOOKUP($AG$3,$AF$4:$AG$7,2,FALSE)</f>
        <v/>
      </c>
      <c r="AH1610" s="76">
        <f>SUM(AE1610,AG1610,AI1610)*rate_forex_risk</f>
        <v/>
      </c>
      <c r="AI1610" s="193">
        <f>IF(OR(seller_region="TR",offer_sale_type="экспорт"),0,rate_fin_comm)*SUM(AZ1610,AZ1610*AW1610,T1610)</f>
        <v/>
      </c>
      <c r="AJ1610" s="118">
        <f>IFERROR(ROUND(SUM(AB1610,AF1610:AI1610)/E1610,2),0)</f>
        <v/>
      </c>
      <c r="AK1610" s="76">
        <f>AJ1610*E1610</f>
        <v/>
      </c>
      <c r="AL1610" s="174">
        <f>ROUND(IFERROR(AM1610*E1610,0),2)</f>
        <v/>
      </c>
      <c r="AM1610" s="175">
        <f>ROUND(AJ1610*(1+IF(offer_incoterms="DDP",IF((TODAY()+offer_turnaround_time)&gt;=helpsheet!$L$17,rate_vatRU_from_26,rate_vatRu_till_25),0)),2)</f>
        <v/>
      </c>
      <c r="AN1610" s="192">
        <f>AL1610-AK1610</f>
        <v/>
      </c>
      <c r="AO1610" s="76">
        <f>SUM(AY1610,Y1610:Z1610,T1610)*IF(AND(offer_incoterms="DDP",offer_sale_type&lt;&gt;"экспорт"),IF((TODAY()+offer_turnaround_time)&gt;=helpsheet!$L$17,rate_vatRU_from_26,rate_vatRu_till_25),0)</f>
        <v/>
      </c>
      <c r="AP1610" s="193">
        <f>AN1610-AO1610</f>
        <v/>
      </c>
      <c r="AQ1610" s="118">
        <f>IF(offer_sale_type="транзит",SUM(AF1610:AI1610,BA1610,BB1610),0)</f>
        <v/>
      </c>
      <c r="AR1610" s="82">
        <f>HYPERLINK("https://www.alta.ru/tnved/code/")&amp;W1610&amp;"/"</f>
        <v/>
      </c>
      <c r="AS1610" s="157" t="n"/>
      <c r="AT1610" s="162" t="n"/>
      <c r="AU1610" s="76">
        <f>IF(ISBLANK(AT1610),0,AJ1610-AT1610)</f>
        <v/>
      </c>
      <c r="AV1610" s="157" t="n"/>
      <c r="AW1610" s="75">
        <f>_xlfn.IFNA(VLOOKUP(L1610,list_vat[],3,FALSE),0)</f>
        <v/>
      </c>
      <c r="AX1610" s="76">
        <f>IFERROR(ROUND(S1610*(1+AW1610)/E1610,2),0)</f>
        <v/>
      </c>
      <c r="AY1610" s="76">
        <f>E1610*AX1610</f>
        <v/>
      </c>
      <c r="AZ1610" s="192">
        <f>S1610*(1+M1610)</f>
        <v/>
      </c>
      <c r="BA1610" s="76">
        <f>cost_fin_total*$BD1610</f>
        <v/>
      </c>
      <c r="BB1610" s="193">
        <f>credit_sales_interest*BD1610</f>
        <v/>
      </c>
      <c r="BC1610" s="102">
        <f>IFERROR(IF($I$13&gt;0,$I1610/$I$13,$S1610/$S$13),0)</f>
        <v/>
      </c>
      <c r="BD1610" s="102">
        <f>IFERROR($S1610/$S$13,0)</f>
        <v/>
      </c>
      <c r="BE1610" s="413" t="inlineStr">
        <is>
          <t>$</t>
        </is>
      </c>
    </row>
    <row r="1611" ht="12" customFormat="1" customHeight="1" s="65">
      <c r="A1611" s="43" t="n">
        <v>1596</v>
      </c>
      <c r="B1611" s="166" t="n"/>
      <c r="C1611" s="166" t="n"/>
      <c r="D1611" s="166" t="n"/>
      <c r="E1611" s="162" t="n"/>
      <c r="F1611" s="166" t="n"/>
      <c r="G1611" s="162" t="n"/>
      <c r="H1611" s="162" t="n"/>
      <c r="I1611" s="189">
        <f>E1611*G1611</f>
        <v/>
      </c>
      <c r="J1611" s="195" t="n"/>
      <c r="K1611" s="162" t="n"/>
      <c r="L1611" s="168" t="n"/>
      <c r="M1611" s="75">
        <f>_xlfn.XLOOKUP(L1611,list_vat[Страна],list_vat[Ставка НДС %],0,0)</f>
        <v/>
      </c>
      <c r="N1611" s="162">
        <f>IFERROR(IF(L1611="Китай",K1611,K1611/(1+M1611)),0)</f>
        <v/>
      </c>
      <c r="O1611" s="169" t="n"/>
      <c r="P1611" s="76">
        <f>N1611*(1-O1611)</f>
        <v/>
      </c>
      <c r="Q1611" s="162" t="n"/>
      <c r="R1611" s="162">
        <f>IF(ISBLANK(Q1611),"введи курс",P1611/Q1611)</f>
        <v/>
      </c>
      <c r="S1611" s="196">
        <f>IF(AND(ISNUMBER(E1611),ISNUMBER(Q1611)),E1611*R1611,0)</f>
        <v/>
      </c>
      <c r="T1611" s="192">
        <f>$BC1611*V$11</f>
        <v/>
      </c>
      <c r="U1611" s="76">
        <f>$BC1611*W$11</f>
        <v/>
      </c>
      <c r="V1611" s="193">
        <f>+SUM(T1611:U1611)</f>
        <v/>
      </c>
      <c r="W1611" s="191" t="n"/>
      <c r="X1611" s="170" t="n"/>
      <c r="Y1611" s="76">
        <f>ROUND(IF(offer_incoterms="DDP",X1611*(S1611*(1+AW1611)+T1611),0),2)</f>
        <v/>
      </c>
      <c r="Z1611" s="188" t="n"/>
      <c r="AA1611" s="192">
        <f>IFERROR(AB1611/E1611,0)</f>
        <v/>
      </c>
      <c r="AB1611" s="76">
        <f>ROUND(SUM(S1611,V1611,Y1611:Z1611,BA1611:BB1611),2)</f>
        <v/>
      </c>
      <c r="AC1611" s="797" t="n"/>
      <c r="AD1611" s="192">
        <f t="array" ref="AD1611">IFERROR(ROUND((_xlfn.IFS(offer_sale_type="поставка",AB1611,offer_sale_type="транзит",S1611)*(1+AC1611))/E1611,2),0)</f>
        <v/>
      </c>
      <c r="AE1611" s="76">
        <f>AD1611*E1611</f>
        <v/>
      </c>
      <c r="AF1611" s="193">
        <f t="array" ref="AF1611">IFERROR(ROUND(_xlfn.IFS(offer_sale_type="поставка",AB1611,offer_sale_type="транзит",S1611)*AC1611,2),0)</f>
        <v/>
      </c>
      <c r="AG1611" s="192">
        <f>$BD1611*VLOOKUP($AG$3,$AF$4:$AG$7,2,FALSE)</f>
        <v/>
      </c>
      <c r="AH1611" s="76">
        <f>SUM(AE1611,AG1611,AI1611)*rate_forex_risk</f>
        <v/>
      </c>
      <c r="AI1611" s="193">
        <f>IF(OR(seller_region="TR",offer_sale_type="экспорт"),0,rate_fin_comm)*SUM(AZ1611,AZ1611*AW1611,T1611)</f>
        <v/>
      </c>
      <c r="AJ1611" s="118">
        <f>IFERROR(ROUND(SUM(AB1611,AF1611:AI1611)/E1611,2),0)</f>
        <v/>
      </c>
      <c r="AK1611" s="76">
        <f>AJ1611*E1611</f>
        <v/>
      </c>
      <c r="AL1611" s="174">
        <f>ROUND(IFERROR(AM1611*E1611,0),2)</f>
        <v/>
      </c>
      <c r="AM1611" s="175">
        <f>ROUND(AJ1611*(1+IF(offer_incoterms="DDP",IF((TODAY()+offer_turnaround_time)&gt;=helpsheet!$L$17,rate_vatRU_from_26,rate_vatRu_till_25),0)),2)</f>
        <v/>
      </c>
      <c r="AN1611" s="192">
        <f>AL1611-AK1611</f>
        <v/>
      </c>
      <c r="AO1611" s="76">
        <f>SUM(AY1611,Y1611:Z1611,T1611)*IF(AND(offer_incoterms="DDP",offer_sale_type&lt;&gt;"экспорт"),IF((TODAY()+offer_turnaround_time)&gt;=helpsheet!$L$17,rate_vatRU_from_26,rate_vatRu_till_25),0)</f>
        <v/>
      </c>
      <c r="AP1611" s="193">
        <f>AN1611-AO1611</f>
        <v/>
      </c>
      <c r="AQ1611" s="118">
        <f>IF(offer_sale_type="транзит",SUM(AF1611:AI1611,BA1611,BB1611),0)</f>
        <v/>
      </c>
      <c r="AR1611" s="82">
        <f>HYPERLINK("https://www.alta.ru/tnved/code/")&amp;W1611&amp;"/"</f>
        <v/>
      </c>
      <c r="AS1611" s="157" t="n"/>
      <c r="AT1611" s="162" t="n"/>
      <c r="AU1611" s="76">
        <f>IF(ISBLANK(AT1611),0,AJ1611-AT1611)</f>
        <v/>
      </c>
      <c r="AV1611" s="157" t="n"/>
      <c r="AW1611" s="75">
        <f>_xlfn.IFNA(VLOOKUP(L1611,list_vat[],3,FALSE),0)</f>
        <v/>
      </c>
      <c r="AX1611" s="76">
        <f>IFERROR(ROUND(S1611*(1+AW1611)/E1611,2),0)</f>
        <v/>
      </c>
      <c r="AY1611" s="76">
        <f>E1611*AX1611</f>
        <v/>
      </c>
      <c r="AZ1611" s="192">
        <f>S1611*(1+M1611)</f>
        <v/>
      </c>
      <c r="BA1611" s="76">
        <f>cost_fin_total*$BD1611</f>
        <v/>
      </c>
      <c r="BB1611" s="193">
        <f>credit_sales_interest*BD1611</f>
        <v/>
      </c>
      <c r="BC1611" s="102">
        <f>IFERROR(IF($I$13&gt;0,$I1611/$I$13,$S1611/$S$13),0)</f>
        <v/>
      </c>
      <c r="BD1611" s="102">
        <f>IFERROR($S1611/$S$13,0)</f>
        <v/>
      </c>
      <c r="BE1611" s="413" t="inlineStr">
        <is>
          <t>$</t>
        </is>
      </c>
    </row>
    <row r="1612" ht="12" customFormat="1" customHeight="1" s="65">
      <c r="A1612" s="43" t="n">
        <v>1597</v>
      </c>
      <c r="B1612" s="166" t="n"/>
      <c r="C1612" s="166" t="n"/>
      <c r="D1612" s="166" t="n"/>
      <c r="E1612" s="162" t="n"/>
      <c r="F1612" s="166" t="n"/>
      <c r="G1612" s="162" t="n"/>
      <c r="H1612" s="162" t="n"/>
      <c r="I1612" s="189">
        <f>E1612*G1612</f>
        <v/>
      </c>
      <c r="J1612" s="195" t="n"/>
      <c r="K1612" s="162" t="n"/>
      <c r="L1612" s="168" t="n"/>
      <c r="M1612" s="75">
        <f>_xlfn.XLOOKUP(L1612,list_vat[Страна],list_vat[Ставка НДС %],0,0)</f>
        <v/>
      </c>
      <c r="N1612" s="162">
        <f>IFERROR(IF(L1612="Китай",K1612,K1612/(1+M1612)),0)</f>
        <v/>
      </c>
      <c r="O1612" s="169" t="n"/>
      <c r="P1612" s="76">
        <f>N1612*(1-O1612)</f>
        <v/>
      </c>
      <c r="Q1612" s="162" t="n"/>
      <c r="R1612" s="162">
        <f>IF(ISBLANK(Q1612),"введи курс",P1612/Q1612)</f>
        <v/>
      </c>
      <c r="S1612" s="196">
        <f>IF(AND(ISNUMBER(E1612),ISNUMBER(Q1612)),E1612*R1612,0)</f>
        <v/>
      </c>
      <c r="T1612" s="192">
        <f>$BC1612*V$11</f>
        <v/>
      </c>
      <c r="U1612" s="76">
        <f>$BC1612*W$11</f>
        <v/>
      </c>
      <c r="V1612" s="193">
        <f>+SUM(T1612:U1612)</f>
        <v/>
      </c>
      <c r="W1612" s="191" t="n"/>
      <c r="X1612" s="170" t="n"/>
      <c r="Y1612" s="76">
        <f>ROUND(IF(offer_incoterms="DDP",X1612*(S1612*(1+AW1612)+T1612),0),2)</f>
        <v/>
      </c>
      <c r="Z1612" s="188" t="n"/>
      <c r="AA1612" s="192">
        <f>IFERROR(AB1612/E1612,0)</f>
        <v/>
      </c>
      <c r="AB1612" s="76">
        <f>ROUND(SUM(S1612,V1612,Y1612:Z1612,BA1612:BB1612),2)</f>
        <v/>
      </c>
      <c r="AC1612" s="797" t="n"/>
      <c r="AD1612" s="192">
        <f t="array" ref="AD1612">IFERROR(ROUND((_xlfn.IFS(offer_sale_type="поставка",AB1612,offer_sale_type="транзит",S1612)*(1+AC1612))/E1612,2),0)</f>
        <v/>
      </c>
      <c r="AE1612" s="76">
        <f>AD1612*E1612</f>
        <v/>
      </c>
      <c r="AF1612" s="193">
        <f t="array" ref="AF1612">IFERROR(ROUND(_xlfn.IFS(offer_sale_type="поставка",AB1612,offer_sale_type="транзит",S1612)*AC1612,2),0)</f>
        <v/>
      </c>
      <c r="AG1612" s="192">
        <f>$BD1612*VLOOKUP($AG$3,$AF$4:$AG$7,2,FALSE)</f>
        <v/>
      </c>
      <c r="AH1612" s="76">
        <f>SUM(AE1612,AG1612,AI1612)*rate_forex_risk</f>
        <v/>
      </c>
      <c r="AI1612" s="193">
        <f>IF(OR(seller_region="TR",offer_sale_type="экспорт"),0,rate_fin_comm)*SUM(AZ1612,AZ1612*AW1612,T1612)</f>
        <v/>
      </c>
      <c r="AJ1612" s="118">
        <f>IFERROR(ROUND(SUM(AB1612,AF1612:AI1612)/E1612,2),0)</f>
        <v/>
      </c>
      <c r="AK1612" s="76">
        <f>AJ1612*E1612</f>
        <v/>
      </c>
      <c r="AL1612" s="174">
        <f>ROUND(IFERROR(AM1612*E1612,0),2)</f>
        <v/>
      </c>
      <c r="AM1612" s="175">
        <f>ROUND(AJ1612*(1+IF(offer_incoterms="DDP",IF((TODAY()+offer_turnaround_time)&gt;=helpsheet!$L$17,rate_vatRU_from_26,rate_vatRu_till_25),0)),2)</f>
        <v/>
      </c>
      <c r="AN1612" s="192">
        <f>AL1612-AK1612</f>
        <v/>
      </c>
      <c r="AO1612" s="76">
        <f>SUM(AY1612,Y1612:Z1612,T1612)*IF(AND(offer_incoterms="DDP",offer_sale_type&lt;&gt;"экспорт"),IF((TODAY()+offer_turnaround_time)&gt;=helpsheet!$L$17,rate_vatRU_from_26,rate_vatRu_till_25),0)</f>
        <v/>
      </c>
      <c r="AP1612" s="193">
        <f>AN1612-AO1612</f>
        <v/>
      </c>
      <c r="AQ1612" s="118">
        <f>IF(offer_sale_type="транзит",SUM(AF1612:AI1612,BA1612,BB1612),0)</f>
        <v/>
      </c>
      <c r="AR1612" s="82">
        <f>HYPERLINK("https://www.alta.ru/tnved/code/")&amp;W1612&amp;"/"</f>
        <v/>
      </c>
      <c r="AS1612" s="157" t="n"/>
      <c r="AT1612" s="162" t="n"/>
      <c r="AU1612" s="76">
        <f>IF(ISBLANK(AT1612),0,AJ1612-AT1612)</f>
        <v/>
      </c>
      <c r="AV1612" s="157" t="n"/>
      <c r="AW1612" s="75">
        <f>_xlfn.IFNA(VLOOKUP(L1612,list_vat[],3,FALSE),0)</f>
        <v/>
      </c>
      <c r="AX1612" s="76">
        <f>IFERROR(ROUND(S1612*(1+AW1612)/E1612,2),0)</f>
        <v/>
      </c>
      <c r="AY1612" s="76">
        <f>E1612*AX1612</f>
        <v/>
      </c>
      <c r="AZ1612" s="192">
        <f>S1612*(1+M1612)</f>
        <v/>
      </c>
      <c r="BA1612" s="76">
        <f>cost_fin_total*$BD1612</f>
        <v/>
      </c>
      <c r="BB1612" s="193">
        <f>credit_sales_interest*BD1612</f>
        <v/>
      </c>
      <c r="BC1612" s="102">
        <f>IFERROR(IF($I$13&gt;0,$I1612/$I$13,$S1612/$S$13),0)</f>
        <v/>
      </c>
      <c r="BD1612" s="102">
        <f>IFERROR($S1612/$S$13,0)</f>
        <v/>
      </c>
      <c r="BE1612" s="413" t="inlineStr">
        <is>
          <t>$</t>
        </is>
      </c>
    </row>
    <row r="1613" ht="12" customFormat="1" customHeight="1" s="65">
      <c r="A1613" s="43" t="n">
        <v>1598</v>
      </c>
      <c r="B1613" s="166" t="n"/>
      <c r="C1613" s="166" t="n"/>
      <c r="D1613" s="166" t="n"/>
      <c r="E1613" s="162" t="n"/>
      <c r="F1613" s="166" t="n"/>
      <c r="G1613" s="162" t="n"/>
      <c r="H1613" s="162" t="n"/>
      <c r="I1613" s="189">
        <f>E1613*G1613</f>
        <v/>
      </c>
      <c r="J1613" s="195" t="n"/>
      <c r="K1613" s="162" t="n"/>
      <c r="L1613" s="168" t="n"/>
      <c r="M1613" s="75">
        <f>_xlfn.XLOOKUP(L1613,list_vat[Страна],list_vat[Ставка НДС %],0,0)</f>
        <v/>
      </c>
      <c r="N1613" s="162">
        <f>IFERROR(IF(L1613="Китай",K1613,K1613/(1+M1613)),0)</f>
        <v/>
      </c>
      <c r="O1613" s="169" t="n"/>
      <c r="P1613" s="76">
        <f>N1613*(1-O1613)</f>
        <v/>
      </c>
      <c r="Q1613" s="162" t="n"/>
      <c r="R1613" s="162">
        <f>IF(ISBLANK(Q1613),"введи курс",P1613/Q1613)</f>
        <v/>
      </c>
      <c r="S1613" s="196">
        <f>IF(AND(ISNUMBER(E1613),ISNUMBER(Q1613)),E1613*R1613,0)</f>
        <v/>
      </c>
      <c r="T1613" s="192">
        <f>$BC1613*V$11</f>
        <v/>
      </c>
      <c r="U1613" s="76">
        <f>$BC1613*W$11</f>
        <v/>
      </c>
      <c r="V1613" s="193">
        <f>+SUM(T1613:U1613)</f>
        <v/>
      </c>
      <c r="W1613" s="191" t="n"/>
      <c r="X1613" s="170" t="n"/>
      <c r="Y1613" s="76">
        <f>ROUND(IF(offer_incoterms="DDP",X1613*(S1613*(1+AW1613)+T1613),0),2)</f>
        <v/>
      </c>
      <c r="Z1613" s="188" t="n"/>
      <c r="AA1613" s="192">
        <f>IFERROR(AB1613/E1613,0)</f>
        <v/>
      </c>
      <c r="AB1613" s="76">
        <f>ROUND(SUM(S1613,V1613,Y1613:Z1613,BA1613:BB1613),2)</f>
        <v/>
      </c>
      <c r="AC1613" s="797" t="n"/>
      <c r="AD1613" s="192">
        <f t="array" ref="AD1613">IFERROR(ROUND((_xlfn.IFS(offer_sale_type="поставка",AB1613,offer_sale_type="транзит",S1613)*(1+AC1613))/E1613,2),0)</f>
        <v/>
      </c>
      <c r="AE1613" s="76">
        <f>AD1613*E1613</f>
        <v/>
      </c>
      <c r="AF1613" s="193">
        <f t="array" ref="AF1613">IFERROR(ROUND(_xlfn.IFS(offer_sale_type="поставка",AB1613,offer_sale_type="транзит",S1613)*AC1613,2),0)</f>
        <v/>
      </c>
      <c r="AG1613" s="192">
        <f>$BD1613*VLOOKUP($AG$3,$AF$4:$AG$7,2,FALSE)</f>
        <v/>
      </c>
      <c r="AH1613" s="76">
        <f>SUM(AE1613,AG1613,AI1613)*rate_forex_risk</f>
        <v/>
      </c>
      <c r="AI1613" s="193">
        <f>IF(OR(seller_region="TR",offer_sale_type="экспорт"),0,rate_fin_comm)*SUM(AZ1613,AZ1613*AW1613,T1613)</f>
        <v/>
      </c>
      <c r="AJ1613" s="118">
        <f>IFERROR(ROUND(SUM(AB1613,AF1613:AI1613)/E1613,2),0)</f>
        <v/>
      </c>
      <c r="AK1613" s="76">
        <f>AJ1613*E1613</f>
        <v/>
      </c>
      <c r="AL1613" s="174">
        <f>ROUND(IFERROR(AM1613*E1613,0),2)</f>
        <v/>
      </c>
      <c r="AM1613" s="175">
        <f>ROUND(AJ1613*(1+IF(offer_incoterms="DDP",IF((TODAY()+offer_turnaround_time)&gt;=helpsheet!$L$17,rate_vatRU_from_26,rate_vatRu_till_25),0)),2)</f>
        <v/>
      </c>
      <c r="AN1613" s="192">
        <f>AL1613-AK1613</f>
        <v/>
      </c>
      <c r="AO1613" s="76">
        <f>SUM(AY1613,Y1613:Z1613,T1613)*IF(AND(offer_incoterms="DDP",offer_sale_type&lt;&gt;"экспорт"),IF((TODAY()+offer_turnaround_time)&gt;=helpsheet!$L$17,rate_vatRU_from_26,rate_vatRu_till_25),0)</f>
        <v/>
      </c>
      <c r="AP1613" s="193">
        <f>AN1613-AO1613</f>
        <v/>
      </c>
      <c r="AQ1613" s="118">
        <f>IF(offer_sale_type="транзит",SUM(AF1613:AI1613,BA1613,BB1613),0)</f>
        <v/>
      </c>
      <c r="AR1613" s="82">
        <f>HYPERLINK("https://www.alta.ru/tnved/code/")&amp;W1613&amp;"/"</f>
        <v/>
      </c>
      <c r="AS1613" s="157" t="n"/>
      <c r="AT1613" s="162" t="n"/>
      <c r="AU1613" s="76">
        <f>IF(ISBLANK(AT1613),0,AJ1613-AT1613)</f>
        <v/>
      </c>
      <c r="AV1613" s="157" t="n"/>
      <c r="AW1613" s="75">
        <f>_xlfn.IFNA(VLOOKUP(L1613,list_vat[],3,FALSE),0)</f>
        <v/>
      </c>
      <c r="AX1613" s="76">
        <f>IFERROR(ROUND(S1613*(1+AW1613)/E1613,2),0)</f>
        <v/>
      </c>
      <c r="AY1613" s="76">
        <f>E1613*AX1613</f>
        <v/>
      </c>
      <c r="AZ1613" s="192">
        <f>S1613*(1+M1613)</f>
        <v/>
      </c>
      <c r="BA1613" s="76">
        <f>cost_fin_total*$BD1613</f>
        <v/>
      </c>
      <c r="BB1613" s="193">
        <f>credit_sales_interest*BD1613</f>
        <v/>
      </c>
      <c r="BC1613" s="102">
        <f>IFERROR(IF($I$13&gt;0,$I1613/$I$13,$S1613/$S$13),0)</f>
        <v/>
      </c>
      <c r="BD1613" s="102">
        <f>IFERROR($S1613/$S$13,0)</f>
        <v/>
      </c>
      <c r="BE1613" s="413" t="inlineStr">
        <is>
          <t>$</t>
        </is>
      </c>
    </row>
    <row r="1614" ht="12" customFormat="1" customHeight="1" s="65">
      <c r="A1614" s="43" t="n">
        <v>1599</v>
      </c>
      <c r="B1614" s="166" t="n"/>
      <c r="C1614" s="166" t="n"/>
      <c r="D1614" s="166" t="n"/>
      <c r="E1614" s="162" t="n"/>
      <c r="F1614" s="166" t="n"/>
      <c r="G1614" s="162" t="n"/>
      <c r="H1614" s="162" t="n"/>
      <c r="I1614" s="189">
        <f>E1614*G1614</f>
        <v/>
      </c>
      <c r="J1614" s="195" t="n"/>
      <c r="K1614" s="162" t="n"/>
      <c r="L1614" s="168" t="n"/>
      <c r="M1614" s="75">
        <f>_xlfn.XLOOKUP(L1614,list_vat[Страна],list_vat[Ставка НДС %],0,0)</f>
        <v/>
      </c>
      <c r="N1614" s="162">
        <f>IFERROR(IF(L1614="Китай",K1614,K1614/(1+M1614)),0)</f>
        <v/>
      </c>
      <c r="O1614" s="169" t="n"/>
      <c r="P1614" s="76">
        <f>N1614*(1-O1614)</f>
        <v/>
      </c>
      <c r="Q1614" s="162" t="n"/>
      <c r="R1614" s="162">
        <f>IF(ISBLANK(Q1614),"введи курс",P1614/Q1614)</f>
        <v/>
      </c>
      <c r="S1614" s="196">
        <f>IF(AND(ISNUMBER(E1614),ISNUMBER(Q1614)),E1614*R1614,0)</f>
        <v/>
      </c>
      <c r="T1614" s="192">
        <f>$BC1614*V$11</f>
        <v/>
      </c>
      <c r="U1614" s="76">
        <f>$BC1614*W$11</f>
        <v/>
      </c>
      <c r="V1614" s="193">
        <f>+SUM(T1614:U1614)</f>
        <v/>
      </c>
      <c r="W1614" s="191" t="n"/>
      <c r="X1614" s="170" t="n"/>
      <c r="Y1614" s="76">
        <f>ROUND(IF(offer_incoterms="DDP",X1614*(S1614*(1+AW1614)+T1614),0),2)</f>
        <v/>
      </c>
      <c r="Z1614" s="188" t="n"/>
      <c r="AA1614" s="192">
        <f>IFERROR(AB1614/E1614,0)</f>
        <v/>
      </c>
      <c r="AB1614" s="76">
        <f>ROUND(SUM(S1614,V1614,Y1614:Z1614,BA1614:BB1614),2)</f>
        <v/>
      </c>
      <c r="AC1614" s="797" t="n"/>
      <c r="AD1614" s="192">
        <f t="array" ref="AD1614">IFERROR(ROUND((_xlfn.IFS(offer_sale_type="поставка",AB1614,offer_sale_type="транзит",S1614)*(1+AC1614))/E1614,2),0)</f>
        <v/>
      </c>
      <c r="AE1614" s="76">
        <f>AD1614*E1614</f>
        <v/>
      </c>
      <c r="AF1614" s="193">
        <f t="array" ref="AF1614">IFERROR(ROUND(_xlfn.IFS(offer_sale_type="поставка",AB1614,offer_sale_type="транзит",S1614)*AC1614,2),0)</f>
        <v/>
      </c>
      <c r="AG1614" s="192">
        <f>$BD1614*VLOOKUP($AG$3,$AF$4:$AG$7,2,FALSE)</f>
        <v/>
      </c>
      <c r="AH1614" s="76">
        <f>SUM(AE1614,AG1614,AI1614)*rate_forex_risk</f>
        <v/>
      </c>
      <c r="AI1614" s="193">
        <f>IF(OR(seller_region="TR",offer_sale_type="экспорт"),0,rate_fin_comm)*SUM(AZ1614,AZ1614*AW1614,T1614)</f>
        <v/>
      </c>
      <c r="AJ1614" s="118">
        <f>IFERROR(ROUND(SUM(AB1614,AF1614:AI1614)/E1614,2),0)</f>
        <v/>
      </c>
      <c r="AK1614" s="76">
        <f>AJ1614*E1614</f>
        <v/>
      </c>
      <c r="AL1614" s="174">
        <f>ROUND(IFERROR(AM1614*E1614,0),2)</f>
        <v/>
      </c>
      <c r="AM1614" s="175">
        <f>ROUND(AJ1614*(1+IF(offer_incoterms="DDP",IF((TODAY()+offer_turnaround_time)&gt;=helpsheet!$L$17,rate_vatRU_from_26,rate_vatRu_till_25),0)),2)</f>
        <v/>
      </c>
      <c r="AN1614" s="192">
        <f>AL1614-AK1614</f>
        <v/>
      </c>
      <c r="AO1614" s="76">
        <f>SUM(AY1614,Y1614:Z1614,T1614)*IF(AND(offer_incoterms="DDP",offer_sale_type&lt;&gt;"экспорт"),IF((TODAY()+offer_turnaround_time)&gt;=helpsheet!$L$17,rate_vatRU_from_26,rate_vatRu_till_25),0)</f>
        <v/>
      </c>
      <c r="AP1614" s="193">
        <f>AN1614-AO1614</f>
        <v/>
      </c>
      <c r="AQ1614" s="118">
        <f>IF(offer_sale_type="транзит",SUM(AF1614:AI1614,BA1614,BB1614),0)</f>
        <v/>
      </c>
      <c r="AR1614" s="82">
        <f>HYPERLINK("https://www.alta.ru/tnved/code/")&amp;W1614&amp;"/"</f>
        <v/>
      </c>
      <c r="AS1614" s="157" t="n"/>
      <c r="AT1614" s="162" t="n"/>
      <c r="AU1614" s="76">
        <f>IF(ISBLANK(AT1614),0,AJ1614-AT1614)</f>
        <v/>
      </c>
      <c r="AV1614" s="157" t="n"/>
      <c r="AW1614" s="75">
        <f>_xlfn.IFNA(VLOOKUP(L1614,list_vat[],3,FALSE),0)</f>
        <v/>
      </c>
      <c r="AX1614" s="76">
        <f>IFERROR(ROUND(S1614*(1+AW1614)/E1614,2),0)</f>
        <v/>
      </c>
      <c r="AY1614" s="76">
        <f>E1614*AX1614</f>
        <v/>
      </c>
      <c r="AZ1614" s="192">
        <f>S1614*(1+M1614)</f>
        <v/>
      </c>
      <c r="BA1614" s="76">
        <f>cost_fin_total*$BD1614</f>
        <v/>
      </c>
      <c r="BB1614" s="193">
        <f>credit_sales_interest*BD1614</f>
        <v/>
      </c>
      <c r="BC1614" s="102">
        <f>IFERROR(IF($I$13&gt;0,$I1614/$I$13,$S1614/$S$13),0)</f>
        <v/>
      </c>
      <c r="BD1614" s="102">
        <f>IFERROR($S1614/$S$13,0)</f>
        <v/>
      </c>
      <c r="BE1614" s="413" t="inlineStr">
        <is>
          <t>$</t>
        </is>
      </c>
    </row>
    <row r="1615" ht="12" customFormat="1" customHeight="1" s="65">
      <c r="A1615" s="43" t="n">
        <v>1600</v>
      </c>
      <c r="B1615" s="166" t="n"/>
      <c r="C1615" s="166" t="n"/>
      <c r="D1615" s="166" t="n"/>
      <c r="E1615" s="162" t="n"/>
      <c r="F1615" s="166" t="n"/>
      <c r="G1615" s="162" t="n"/>
      <c r="H1615" s="162" t="n"/>
      <c r="I1615" s="189">
        <f>E1615*G1615</f>
        <v/>
      </c>
      <c r="J1615" s="195" t="n"/>
      <c r="K1615" s="162" t="n"/>
      <c r="L1615" s="168" t="n"/>
      <c r="M1615" s="75">
        <f>_xlfn.XLOOKUP(L1615,list_vat[Страна],list_vat[Ставка НДС %],0,0)</f>
        <v/>
      </c>
      <c r="N1615" s="162">
        <f>IFERROR(IF(L1615="Китай",K1615,K1615/(1+M1615)),0)</f>
        <v/>
      </c>
      <c r="O1615" s="169" t="n"/>
      <c r="P1615" s="76">
        <f>N1615*(1-O1615)</f>
        <v/>
      </c>
      <c r="Q1615" s="162" t="n"/>
      <c r="R1615" s="162">
        <f>IF(ISBLANK(Q1615),"введи курс",P1615/Q1615)</f>
        <v/>
      </c>
      <c r="S1615" s="196">
        <f>IF(AND(ISNUMBER(E1615),ISNUMBER(Q1615)),E1615*R1615,0)</f>
        <v/>
      </c>
      <c r="T1615" s="192">
        <f>$BC1615*V$11</f>
        <v/>
      </c>
      <c r="U1615" s="76">
        <f>$BC1615*W$11</f>
        <v/>
      </c>
      <c r="V1615" s="193">
        <f>+SUM(T1615:U1615)</f>
        <v/>
      </c>
      <c r="W1615" s="191" t="n"/>
      <c r="X1615" s="170" t="n"/>
      <c r="Y1615" s="76">
        <f>ROUND(IF(offer_incoterms="DDP",X1615*(S1615*(1+AW1615)+T1615),0),2)</f>
        <v/>
      </c>
      <c r="Z1615" s="188" t="n"/>
      <c r="AA1615" s="192">
        <f>IFERROR(AB1615/E1615,0)</f>
        <v/>
      </c>
      <c r="AB1615" s="76">
        <f>ROUND(SUM(S1615,V1615,Y1615:Z1615,BA1615:BB1615),2)</f>
        <v/>
      </c>
      <c r="AC1615" s="797" t="n"/>
      <c r="AD1615" s="192">
        <f t="array" ref="AD1615">IFERROR(ROUND((_xlfn.IFS(offer_sale_type="поставка",AB1615,offer_sale_type="транзит",S1615)*(1+AC1615))/E1615,2),0)</f>
        <v/>
      </c>
      <c r="AE1615" s="76">
        <f>AD1615*E1615</f>
        <v/>
      </c>
      <c r="AF1615" s="193">
        <f t="array" ref="AF1615">IFERROR(ROUND(_xlfn.IFS(offer_sale_type="поставка",AB1615,offer_sale_type="транзит",S1615)*AC1615,2),0)</f>
        <v/>
      </c>
      <c r="AG1615" s="192">
        <f>$BD1615*VLOOKUP($AG$3,$AF$4:$AG$7,2,FALSE)</f>
        <v/>
      </c>
      <c r="AH1615" s="76">
        <f>SUM(AE1615,AG1615,AI1615)*rate_forex_risk</f>
        <v/>
      </c>
      <c r="AI1615" s="193">
        <f>IF(OR(seller_region="TR",offer_sale_type="экспорт"),0,rate_fin_comm)*SUM(AZ1615,AZ1615*AW1615,T1615)</f>
        <v/>
      </c>
      <c r="AJ1615" s="118">
        <f>IFERROR(ROUND(SUM(AB1615,AF1615:AI1615)/E1615,2),0)</f>
        <v/>
      </c>
      <c r="AK1615" s="76">
        <f>AJ1615*E1615</f>
        <v/>
      </c>
      <c r="AL1615" s="174">
        <f>ROUND(IFERROR(AM1615*E1615,0),2)</f>
        <v/>
      </c>
      <c r="AM1615" s="175">
        <f>ROUND(AJ1615*(1+IF(offer_incoterms="DDP",IF((TODAY()+offer_turnaround_time)&gt;=helpsheet!$L$17,rate_vatRU_from_26,rate_vatRu_till_25),0)),2)</f>
        <v/>
      </c>
      <c r="AN1615" s="192">
        <f>AL1615-AK1615</f>
        <v/>
      </c>
      <c r="AO1615" s="76">
        <f>SUM(AY1615,Y1615:Z1615,T1615)*IF(AND(offer_incoterms="DDP",offer_sale_type&lt;&gt;"экспорт"),IF((TODAY()+offer_turnaround_time)&gt;=helpsheet!$L$17,rate_vatRU_from_26,rate_vatRu_till_25),0)</f>
        <v/>
      </c>
      <c r="AP1615" s="193">
        <f>AN1615-AO1615</f>
        <v/>
      </c>
      <c r="AQ1615" s="118">
        <f>IF(offer_sale_type="транзит",SUM(AF1615:AI1615,BA1615,BB1615),0)</f>
        <v/>
      </c>
      <c r="AR1615" s="82">
        <f>HYPERLINK("https://www.alta.ru/tnved/code/")&amp;W1615&amp;"/"</f>
        <v/>
      </c>
      <c r="AS1615" s="157" t="n"/>
      <c r="AT1615" s="162" t="n"/>
      <c r="AU1615" s="76">
        <f>IF(ISBLANK(AT1615),0,AJ1615-AT1615)</f>
        <v/>
      </c>
      <c r="AV1615" s="157" t="n"/>
      <c r="AW1615" s="75">
        <f>_xlfn.IFNA(VLOOKUP(L1615,list_vat[],3,FALSE),0)</f>
        <v/>
      </c>
      <c r="AX1615" s="76">
        <f>IFERROR(ROUND(S1615*(1+AW1615)/E1615,2),0)</f>
        <v/>
      </c>
      <c r="AY1615" s="76">
        <f>E1615*AX1615</f>
        <v/>
      </c>
      <c r="AZ1615" s="192">
        <f>S1615*(1+M1615)</f>
        <v/>
      </c>
      <c r="BA1615" s="76">
        <f>cost_fin_total*$BD1615</f>
        <v/>
      </c>
      <c r="BB1615" s="193">
        <f>credit_sales_interest*BD1615</f>
        <v/>
      </c>
      <c r="BC1615" s="102">
        <f>IFERROR(IF($I$13&gt;0,$I1615/$I$13,$S1615/$S$13),0)</f>
        <v/>
      </c>
      <c r="BD1615" s="102">
        <f>IFERROR($S1615/$S$13,0)</f>
        <v/>
      </c>
      <c r="BE1615" s="413" t="inlineStr">
        <is>
          <t>$</t>
        </is>
      </c>
    </row>
    <row r="1616" ht="12" customFormat="1" customHeight="1" s="65">
      <c r="A1616" s="43" t="n">
        <v>1601</v>
      </c>
      <c r="B1616" s="166" t="n"/>
      <c r="C1616" s="166" t="n"/>
      <c r="D1616" s="166" t="n"/>
      <c r="E1616" s="162" t="n"/>
      <c r="F1616" s="166" t="n"/>
      <c r="G1616" s="162" t="n"/>
      <c r="H1616" s="162" t="n"/>
      <c r="I1616" s="189">
        <f>E1616*G1616</f>
        <v/>
      </c>
      <c r="J1616" s="195" t="n"/>
      <c r="K1616" s="162" t="n"/>
      <c r="L1616" s="168" t="n"/>
      <c r="M1616" s="75">
        <f>_xlfn.XLOOKUP(L1616,list_vat[Страна],list_vat[Ставка НДС %],0,0)</f>
        <v/>
      </c>
      <c r="N1616" s="162">
        <f>IFERROR(IF(L1616="Китай",K1616,K1616/(1+M1616)),0)</f>
        <v/>
      </c>
      <c r="O1616" s="169" t="n"/>
      <c r="P1616" s="76">
        <f>N1616*(1-O1616)</f>
        <v/>
      </c>
      <c r="Q1616" s="162" t="n"/>
      <c r="R1616" s="162">
        <f>IF(ISBLANK(Q1616),"введи курс",P1616/Q1616)</f>
        <v/>
      </c>
      <c r="S1616" s="196">
        <f>IF(AND(ISNUMBER(E1616),ISNUMBER(Q1616)),E1616*R1616,0)</f>
        <v/>
      </c>
      <c r="T1616" s="192">
        <f>$BC1616*V$11</f>
        <v/>
      </c>
      <c r="U1616" s="76">
        <f>$BC1616*W$11</f>
        <v/>
      </c>
      <c r="V1616" s="193">
        <f>+SUM(T1616:U1616)</f>
        <v/>
      </c>
      <c r="W1616" s="191" t="n"/>
      <c r="X1616" s="170" t="n"/>
      <c r="Y1616" s="76">
        <f>ROUND(IF(offer_incoterms="DDP",X1616*(S1616*(1+AW1616)+T1616),0),2)</f>
        <v/>
      </c>
      <c r="Z1616" s="188" t="n"/>
      <c r="AA1616" s="192">
        <f>IFERROR(AB1616/E1616,0)</f>
        <v/>
      </c>
      <c r="AB1616" s="76">
        <f>ROUND(SUM(S1616,V1616,Y1616:Z1616,BA1616:BB1616),2)</f>
        <v/>
      </c>
      <c r="AC1616" s="797" t="n"/>
      <c r="AD1616" s="192">
        <f t="array" ref="AD1616">IFERROR(ROUND((_xlfn.IFS(offer_sale_type="поставка",AB1616,offer_sale_type="транзит",S1616)*(1+AC1616))/E1616,2),0)</f>
        <v/>
      </c>
      <c r="AE1616" s="76">
        <f>AD1616*E1616</f>
        <v/>
      </c>
      <c r="AF1616" s="193">
        <f t="array" ref="AF1616">IFERROR(ROUND(_xlfn.IFS(offer_sale_type="поставка",AB1616,offer_sale_type="транзит",S1616)*AC1616,2),0)</f>
        <v/>
      </c>
      <c r="AG1616" s="192">
        <f>$BD1616*VLOOKUP($AG$3,$AF$4:$AG$7,2,FALSE)</f>
        <v/>
      </c>
      <c r="AH1616" s="76">
        <f>SUM(AE1616,AG1616,AI1616)*rate_forex_risk</f>
        <v/>
      </c>
      <c r="AI1616" s="193">
        <f>IF(OR(seller_region="TR",offer_sale_type="экспорт"),0,rate_fin_comm)*SUM(AZ1616,AZ1616*AW1616,T1616)</f>
        <v/>
      </c>
      <c r="AJ1616" s="118">
        <f>IFERROR(ROUND(SUM(AB1616,AF1616:AI1616)/E1616,2),0)</f>
        <v/>
      </c>
      <c r="AK1616" s="76">
        <f>AJ1616*E1616</f>
        <v/>
      </c>
      <c r="AL1616" s="174">
        <f>ROUND(IFERROR(AM1616*E1616,0),2)</f>
        <v/>
      </c>
      <c r="AM1616" s="175">
        <f>ROUND(AJ1616*(1+IF(offer_incoterms="DDP",IF((TODAY()+offer_turnaround_time)&gt;=helpsheet!$L$17,rate_vatRU_from_26,rate_vatRu_till_25),0)),2)</f>
        <v/>
      </c>
      <c r="AN1616" s="192">
        <f>AL1616-AK1616</f>
        <v/>
      </c>
      <c r="AO1616" s="76">
        <f>SUM(AY1616,Y1616:Z1616,T1616)*IF(AND(offer_incoterms="DDP",offer_sale_type&lt;&gt;"экспорт"),IF((TODAY()+offer_turnaround_time)&gt;=helpsheet!$L$17,rate_vatRU_from_26,rate_vatRu_till_25),0)</f>
        <v/>
      </c>
      <c r="AP1616" s="193">
        <f>AN1616-AO1616</f>
        <v/>
      </c>
      <c r="AQ1616" s="118">
        <f>IF(offer_sale_type="транзит",SUM(AF1616:AI1616,BA1616,BB1616),0)</f>
        <v/>
      </c>
      <c r="AR1616" s="82">
        <f>HYPERLINK("https://www.alta.ru/tnved/code/")&amp;W1616&amp;"/"</f>
        <v/>
      </c>
      <c r="AS1616" s="157" t="n"/>
      <c r="AT1616" s="162" t="n"/>
      <c r="AU1616" s="76">
        <f>IF(ISBLANK(AT1616),0,AJ1616-AT1616)</f>
        <v/>
      </c>
      <c r="AV1616" s="157" t="n"/>
      <c r="AW1616" s="75">
        <f>_xlfn.IFNA(VLOOKUP(L1616,list_vat[],3,FALSE),0)</f>
        <v/>
      </c>
      <c r="AX1616" s="76">
        <f>IFERROR(ROUND(S1616*(1+AW1616)/E1616,2),0)</f>
        <v/>
      </c>
      <c r="AY1616" s="76">
        <f>E1616*AX1616</f>
        <v/>
      </c>
      <c r="AZ1616" s="192">
        <f>S1616*(1+M1616)</f>
        <v/>
      </c>
      <c r="BA1616" s="76">
        <f>cost_fin_total*$BD1616</f>
        <v/>
      </c>
      <c r="BB1616" s="193">
        <f>credit_sales_interest*BD1616</f>
        <v/>
      </c>
      <c r="BC1616" s="102">
        <f>IFERROR(IF($I$13&gt;0,$I1616/$I$13,$S1616/$S$13),0)</f>
        <v/>
      </c>
      <c r="BD1616" s="102">
        <f>IFERROR($S1616/$S$13,0)</f>
        <v/>
      </c>
      <c r="BE1616" s="413" t="inlineStr">
        <is>
          <t>$</t>
        </is>
      </c>
    </row>
    <row r="1617" ht="12" customFormat="1" customHeight="1" s="65">
      <c r="A1617" s="43" t="n">
        <v>1602</v>
      </c>
      <c r="B1617" s="166" t="n"/>
      <c r="C1617" s="166" t="n"/>
      <c r="D1617" s="166" t="n"/>
      <c r="E1617" s="162" t="n"/>
      <c r="F1617" s="166" t="n"/>
      <c r="G1617" s="162" t="n"/>
      <c r="H1617" s="162" t="n"/>
      <c r="I1617" s="189">
        <f>E1617*G1617</f>
        <v/>
      </c>
      <c r="J1617" s="195" t="n"/>
      <c r="K1617" s="162" t="n"/>
      <c r="L1617" s="168" t="n"/>
      <c r="M1617" s="75">
        <f>_xlfn.XLOOKUP(L1617,list_vat[Страна],list_vat[Ставка НДС %],0,0)</f>
        <v/>
      </c>
      <c r="N1617" s="162">
        <f>IFERROR(IF(L1617="Китай",K1617,K1617/(1+M1617)),0)</f>
        <v/>
      </c>
      <c r="O1617" s="169" t="n"/>
      <c r="P1617" s="76">
        <f>N1617*(1-O1617)</f>
        <v/>
      </c>
      <c r="Q1617" s="162" t="n"/>
      <c r="R1617" s="162">
        <f>IF(ISBLANK(Q1617),"введи курс",P1617/Q1617)</f>
        <v/>
      </c>
      <c r="S1617" s="196">
        <f>IF(AND(ISNUMBER(E1617),ISNUMBER(Q1617)),E1617*R1617,0)</f>
        <v/>
      </c>
      <c r="T1617" s="192">
        <f>$BC1617*V$11</f>
        <v/>
      </c>
      <c r="U1617" s="76">
        <f>$BC1617*W$11</f>
        <v/>
      </c>
      <c r="V1617" s="193">
        <f>+SUM(T1617:U1617)</f>
        <v/>
      </c>
      <c r="W1617" s="191" t="n"/>
      <c r="X1617" s="170" t="n"/>
      <c r="Y1617" s="76">
        <f>ROUND(IF(offer_incoterms="DDP",X1617*(S1617*(1+AW1617)+T1617),0),2)</f>
        <v/>
      </c>
      <c r="Z1617" s="188" t="n"/>
      <c r="AA1617" s="192">
        <f>IFERROR(AB1617/E1617,0)</f>
        <v/>
      </c>
      <c r="AB1617" s="76">
        <f>ROUND(SUM(S1617,V1617,Y1617:Z1617,BA1617:BB1617),2)</f>
        <v/>
      </c>
      <c r="AC1617" s="797" t="n"/>
      <c r="AD1617" s="192">
        <f t="array" ref="AD1617">IFERROR(ROUND((_xlfn.IFS(offer_sale_type="поставка",AB1617,offer_sale_type="транзит",S1617)*(1+AC1617))/E1617,2),0)</f>
        <v/>
      </c>
      <c r="AE1617" s="76">
        <f>AD1617*E1617</f>
        <v/>
      </c>
      <c r="AF1617" s="193">
        <f t="array" ref="AF1617">IFERROR(ROUND(_xlfn.IFS(offer_sale_type="поставка",AB1617,offer_sale_type="транзит",S1617)*AC1617,2),0)</f>
        <v/>
      </c>
      <c r="AG1617" s="192">
        <f>$BD1617*VLOOKUP($AG$3,$AF$4:$AG$7,2,FALSE)</f>
        <v/>
      </c>
      <c r="AH1617" s="76">
        <f>SUM(AE1617,AG1617,AI1617)*rate_forex_risk</f>
        <v/>
      </c>
      <c r="AI1617" s="193">
        <f>IF(OR(seller_region="TR",offer_sale_type="экспорт"),0,rate_fin_comm)*SUM(AZ1617,AZ1617*AW1617,T1617)</f>
        <v/>
      </c>
      <c r="AJ1617" s="118">
        <f>IFERROR(ROUND(SUM(AB1617,AF1617:AI1617)/E1617,2),0)</f>
        <v/>
      </c>
      <c r="AK1617" s="76">
        <f>AJ1617*E1617</f>
        <v/>
      </c>
      <c r="AL1617" s="174">
        <f>ROUND(IFERROR(AM1617*E1617,0),2)</f>
        <v/>
      </c>
      <c r="AM1617" s="175">
        <f>ROUND(AJ1617*(1+IF(offer_incoterms="DDP",IF((TODAY()+offer_turnaround_time)&gt;=helpsheet!$L$17,rate_vatRU_from_26,rate_vatRu_till_25),0)),2)</f>
        <v/>
      </c>
      <c r="AN1617" s="192">
        <f>AL1617-AK1617</f>
        <v/>
      </c>
      <c r="AO1617" s="76">
        <f>SUM(AY1617,Y1617:Z1617,T1617)*IF(AND(offer_incoterms="DDP",offer_sale_type&lt;&gt;"экспорт"),IF((TODAY()+offer_turnaround_time)&gt;=helpsheet!$L$17,rate_vatRU_from_26,rate_vatRu_till_25),0)</f>
        <v/>
      </c>
      <c r="AP1617" s="193">
        <f>AN1617-AO1617</f>
        <v/>
      </c>
      <c r="AQ1617" s="118">
        <f>IF(offer_sale_type="транзит",SUM(AF1617:AI1617,BA1617,BB1617),0)</f>
        <v/>
      </c>
      <c r="AR1617" s="82">
        <f>HYPERLINK("https://www.alta.ru/tnved/code/")&amp;W1617&amp;"/"</f>
        <v/>
      </c>
      <c r="AS1617" s="157" t="n"/>
      <c r="AT1617" s="162" t="n"/>
      <c r="AU1617" s="76">
        <f>IF(ISBLANK(AT1617),0,AJ1617-AT1617)</f>
        <v/>
      </c>
      <c r="AV1617" s="157" t="n"/>
      <c r="AW1617" s="75">
        <f>_xlfn.IFNA(VLOOKUP(L1617,list_vat[],3,FALSE),0)</f>
        <v/>
      </c>
      <c r="AX1617" s="76">
        <f>IFERROR(ROUND(S1617*(1+AW1617)/E1617,2),0)</f>
        <v/>
      </c>
      <c r="AY1617" s="76">
        <f>E1617*AX1617</f>
        <v/>
      </c>
      <c r="AZ1617" s="192">
        <f>S1617*(1+M1617)</f>
        <v/>
      </c>
      <c r="BA1617" s="76">
        <f>cost_fin_total*$BD1617</f>
        <v/>
      </c>
      <c r="BB1617" s="193">
        <f>credit_sales_interest*BD1617</f>
        <v/>
      </c>
      <c r="BC1617" s="102">
        <f>IFERROR(IF($I$13&gt;0,$I1617/$I$13,$S1617/$S$13),0)</f>
        <v/>
      </c>
      <c r="BD1617" s="102">
        <f>IFERROR($S1617/$S$13,0)</f>
        <v/>
      </c>
      <c r="BE1617" s="413" t="inlineStr">
        <is>
          <t>$</t>
        </is>
      </c>
    </row>
    <row r="1618" ht="12" customFormat="1" customHeight="1" s="65">
      <c r="A1618" s="43" t="n">
        <v>1603</v>
      </c>
      <c r="B1618" s="166" t="n"/>
      <c r="C1618" s="166" t="n"/>
      <c r="D1618" s="166" t="n"/>
      <c r="E1618" s="162" t="n"/>
      <c r="F1618" s="166" t="n"/>
      <c r="G1618" s="162" t="n"/>
      <c r="H1618" s="162" t="n"/>
      <c r="I1618" s="189">
        <f>E1618*G1618</f>
        <v/>
      </c>
      <c r="J1618" s="195" t="n"/>
      <c r="K1618" s="162" t="n"/>
      <c r="L1618" s="168" t="n"/>
      <c r="M1618" s="75">
        <f>_xlfn.XLOOKUP(L1618,list_vat[Страна],list_vat[Ставка НДС %],0,0)</f>
        <v/>
      </c>
      <c r="N1618" s="162">
        <f>IFERROR(IF(L1618="Китай",K1618,K1618/(1+M1618)),0)</f>
        <v/>
      </c>
      <c r="O1618" s="169" t="n"/>
      <c r="P1618" s="76">
        <f>N1618*(1-O1618)</f>
        <v/>
      </c>
      <c r="Q1618" s="162" t="n"/>
      <c r="R1618" s="162">
        <f>IF(ISBLANK(Q1618),"введи курс",P1618/Q1618)</f>
        <v/>
      </c>
      <c r="S1618" s="196">
        <f>IF(AND(ISNUMBER(E1618),ISNUMBER(Q1618)),E1618*R1618,0)</f>
        <v/>
      </c>
      <c r="T1618" s="192">
        <f>$BC1618*V$11</f>
        <v/>
      </c>
      <c r="U1618" s="76">
        <f>$BC1618*W$11</f>
        <v/>
      </c>
      <c r="V1618" s="193">
        <f>+SUM(T1618:U1618)</f>
        <v/>
      </c>
      <c r="W1618" s="191" t="n"/>
      <c r="X1618" s="170" t="n"/>
      <c r="Y1618" s="76">
        <f>ROUND(IF(offer_incoterms="DDP",X1618*(S1618*(1+AW1618)+T1618),0),2)</f>
        <v/>
      </c>
      <c r="Z1618" s="188" t="n"/>
      <c r="AA1618" s="192">
        <f>IFERROR(AB1618/E1618,0)</f>
        <v/>
      </c>
      <c r="AB1618" s="76">
        <f>ROUND(SUM(S1618,V1618,Y1618:Z1618,BA1618:BB1618),2)</f>
        <v/>
      </c>
      <c r="AC1618" s="797" t="n"/>
      <c r="AD1618" s="192">
        <f t="array" ref="AD1618">IFERROR(ROUND((_xlfn.IFS(offer_sale_type="поставка",AB1618,offer_sale_type="транзит",S1618)*(1+AC1618))/E1618,2),0)</f>
        <v/>
      </c>
      <c r="AE1618" s="76">
        <f>AD1618*E1618</f>
        <v/>
      </c>
      <c r="AF1618" s="193">
        <f t="array" ref="AF1618">IFERROR(ROUND(_xlfn.IFS(offer_sale_type="поставка",AB1618,offer_sale_type="транзит",S1618)*AC1618,2),0)</f>
        <v/>
      </c>
      <c r="AG1618" s="192">
        <f>$BD1618*VLOOKUP($AG$3,$AF$4:$AG$7,2,FALSE)</f>
        <v/>
      </c>
      <c r="AH1618" s="76">
        <f>SUM(AE1618,AG1618,AI1618)*rate_forex_risk</f>
        <v/>
      </c>
      <c r="AI1618" s="193">
        <f>IF(OR(seller_region="TR",offer_sale_type="экспорт"),0,rate_fin_comm)*SUM(AZ1618,AZ1618*AW1618,T1618)</f>
        <v/>
      </c>
      <c r="AJ1618" s="118">
        <f>IFERROR(ROUND(SUM(AB1618,AF1618:AI1618)/E1618,2),0)</f>
        <v/>
      </c>
      <c r="AK1618" s="76">
        <f>AJ1618*E1618</f>
        <v/>
      </c>
      <c r="AL1618" s="174">
        <f>ROUND(IFERROR(AM1618*E1618,0),2)</f>
        <v/>
      </c>
      <c r="AM1618" s="175">
        <f>ROUND(AJ1618*(1+IF(offer_incoterms="DDP",IF((TODAY()+offer_turnaround_time)&gt;=helpsheet!$L$17,rate_vatRU_from_26,rate_vatRu_till_25),0)),2)</f>
        <v/>
      </c>
      <c r="AN1618" s="192">
        <f>AL1618-AK1618</f>
        <v/>
      </c>
      <c r="AO1618" s="76">
        <f>SUM(AY1618,Y1618:Z1618,T1618)*IF(AND(offer_incoterms="DDP",offer_sale_type&lt;&gt;"экспорт"),IF((TODAY()+offer_turnaround_time)&gt;=helpsheet!$L$17,rate_vatRU_from_26,rate_vatRu_till_25),0)</f>
        <v/>
      </c>
      <c r="AP1618" s="193">
        <f>AN1618-AO1618</f>
        <v/>
      </c>
      <c r="AQ1618" s="118">
        <f>IF(offer_sale_type="транзит",SUM(AF1618:AI1618,BA1618,BB1618),0)</f>
        <v/>
      </c>
      <c r="AR1618" s="82">
        <f>HYPERLINK("https://www.alta.ru/tnved/code/")&amp;W1618&amp;"/"</f>
        <v/>
      </c>
      <c r="AS1618" s="157" t="n"/>
      <c r="AT1618" s="162" t="n"/>
      <c r="AU1618" s="76">
        <f>IF(ISBLANK(AT1618),0,AJ1618-AT1618)</f>
        <v/>
      </c>
      <c r="AV1618" s="157" t="n"/>
      <c r="AW1618" s="75">
        <f>_xlfn.IFNA(VLOOKUP(L1618,list_vat[],3,FALSE),0)</f>
        <v/>
      </c>
      <c r="AX1618" s="76">
        <f>IFERROR(ROUND(S1618*(1+AW1618)/E1618,2),0)</f>
        <v/>
      </c>
      <c r="AY1618" s="76">
        <f>E1618*AX1618</f>
        <v/>
      </c>
      <c r="AZ1618" s="192">
        <f>S1618*(1+M1618)</f>
        <v/>
      </c>
      <c r="BA1618" s="76">
        <f>cost_fin_total*$BD1618</f>
        <v/>
      </c>
      <c r="BB1618" s="193">
        <f>credit_sales_interest*BD1618</f>
        <v/>
      </c>
      <c r="BC1618" s="102">
        <f>IFERROR(IF($I$13&gt;0,$I1618/$I$13,$S1618/$S$13),0)</f>
        <v/>
      </c>
      <c r="BD1618" s="102">
        <f>IFERROR($S1618/$S$13,0)</f>
        <v/>
      </c>
      <c r="BE1618" s="413" t="inlineStr">
        <is>
          <t>$</t>
        </is>
      </c>
    </row>
    <row r="1619" ht="12" customFormat="1" customHeight="1" s="65">
      <c r="A1619" s="43" t="n">
        <v>1604</v>
      </c>
      <c r="B1619" s="166" t="n"/>
      <c r="C1619" s="166" t="n"/>
      <c r="D1619" s="166" t="n"/>
      <c r="E1619" s="162" t="n"/>
      <c r="F1619" s="166" t="n"/>
      <c r="G1619" s="162" t="n"/>
      <c r="H1619" s="162" t="n"/>
      <c r="I1619" s="189">
        <f>E1619*G1619</f>
        <v/>
      </c>
      <c r="J1619" s="195" t="n"/>
      <c r="K1619" s="162" t="n"/>
      <c r="L1619" s="168" t="n"/>
      <c r="M1619" s="75">
        <f>_xlfn.XLOOKUP(L1619,list_vat[Страна],list_vat[Ставка НДС %],0,0)</f>
        <v/>
      </c>
      <c r="N1619" s="162">
        <f>IFERROR(IF(L1619="Китай",K1619,K1619/(1+M1619)),0)</f>
        <v/>
      </c>
      <c r="O1619" s="169" t="n"/>
      <c r="P1619" s="76">
        <f>N1619*(1-O1619)</f>
        <v/>
      </c>
      <c r="Q1619" s="162" t="n"/>
      <c r="R1619" s="162">
        <f>IF(ISBLANK(Q1619),"введи курс",P1619/Q1619)</f>
        <v/>
      </c>
      <c r="S1619" s="196">
        <f>IF(AND(ISNUMBER(E1619),ISNUMBER(Q1619)),E1619*R1619,0)</f>
        <v/>
      </c>
      <c r="T1619" s="192">
        <f>$BC1619*V$11</f>
        <v/>
      </c>
      <c r="U1619" s="76">
        <f>$BC1619*W$11</f>
        <v/>
      </c>
      <c r="V1619" s="193">
        <f>+SUM(T1619:U1619)</f>
        <v/>
      </c>
      <c r="W1619" s="191" t="n"/>
      <c r="X1619" s="170" t="n"/>
      <c r="Y1619" s="76">
        <f>ROUND(IF(offer_incoterms="DDP",X1619*(S1619*(1+AW1619)+T1619),0),2)</f>
        <v/>
      </c>
      <c r="Z1619" s="188" t="n"/>
      <c r="AA1619" s="192">
        <f>IFERROR(AB1619/E1619,0)</f>
        <v/>
      </c>
      <c r="AB1619" s="76">
        <f>ROUND(SUM(S1619,V1619,Y1619:Z1619,BA1619:BB1619),2)</f>
        <v/>
      </c>
      <c r="AC1619" s="797" t="n"/>
      <c r="AD1619" s="192">
        <f t="array" ref="AD1619">IFERROR(ROUND((_xlfn.IFS(offer_sale_type="поставка",AB1619,offer_sale_type="транзит",S1619)*(1+AC1619))/E1619,2),0)</f>
        <v/>
      </c>
      <c r="AE1619" s="76">
        <f>AD1619*E1619</f>
        <v/>
      </c>
      <c r="AF1619" s="193">
        <f t="array" ref="AF1619">IFERROR(ROUND(_xlfn.IFS(offer_sale_type="поставка",AB1619,offer_sale_type="транзит",S1619)*AC1619,2),0)</f>
        <v/>
      </c>
      <c r="AG1619" s="192">
        <f>$BD1619*VLOOKUP($AG$3,$AF$4:$AG$7,2,FALSE)</f>
        <v/>
      </c>
      <c r="AH1619" s="76">
        <f>SUM(AE1619,AG1619,AI1619)*rate_forex_risk</f>
        <v/>
      </c>
      <c r="AI1619" s="193">
        <f>IF(OR(seller_region="TR",offer_sale_type="экспорт"),0,rate_fin_comm)*SUM(AZ1619,AZ1619*AW1619,T1619)</f>
        <v/>
      </c>
      <c r="AJ1619" s="118">
        <f>IFERROR(ROUND(SUM(AB1619,AF1619:AI1619)/E1619,2),0)</f>
        <v/>
      </c>
      <c r="AK1619" s="76">
        <f>AJ1619*E1619</f>
        <v/>
      </c>
      <c r="AL1619" s="174">
        <f>ROUND(IFERROR(AM1619*E1619,0),2)</f>
        <v/>
      </c>
      <c r="AM1619" s="175">
        <f>ROUND(AJ1619*(1+IF(offer_incoterms="DDP",IF((TODAY()+offer_turnaround_time)&gt;=helpsheet!$L$17,rate_vatRU_from_26,rate_vatRu_till_25),0)),2)</f>
        <v/>
      </c>
      <c r="AN1619" s="192">
        <f>AL1619-AK1619</f>
        <v/>
      </c>
      <c r="AO1619" s="76">
        <f>SUM(AY1619,Y1619:Z1619,T1619)*IF(AND(offer_incoterms="DDP",offer_sale_type&lt;&gt;"экспорт"),IF((TODAY()+offer_turnaround_time)&gt;=helpsheet!$L$17,rate_vatRU_from_26,rate_vatRu_till_25),0)</f>
        <v/>
      </c>
      <c r="AP1619" s="193">
        <f>AN1619-AO1619</f>
        <v/>
      </c>
      <c r="AQ1619" s="118">
        <f>IF(offer_sale_type="транзит",SUM(AF1619:AI1619,BA1619,BB1619),0)</f>
        <v/>
      </c>
      <c r="AR1619" s="82">
        <f>HYPERLINK("https://www.alta.ru/tnved/code/")&amp;W1619&amp;"/"</f>
        <v/>
      </c>
      <c r="AS1619" s="157" t="n"/>
      <c r="AT1619" s="162" t="n"/>
      <c r="AU1619" s="76">
        <f>IF(ISBLANK(AT1619),0,AJ1619-AT1619)</f>
        <v/>
      </c>
      <c r="AV1619" s="157" t="n"/>
      <c r="AW1619" s="75">
        <f>_xlfn.IFNA(VLOOKUP(L1619,list_vat[],3,FALSE),0)</f>
        <v/>
      </c>
      <c r="AX1619" s="76">
        <f>IFERROR(ROUND(S1619*(1+AW1619)/E1619,2),0)</f>
        <v/>
      </c>
      <c r="AY1619" s="76">
        <f>E1619*AX1619</f>
        <v/>
      </c>
      <c r="AZ1619" s="192">
        <f>S1619*(1+M1619)</f>
        <v/>
      </c>
      <c r="BA1619" s="76">
        <f>cost_fin_total*$BD1619</f>
        <v/>
      </c>
      <c r="BB1619" s="193">
        <f>credit_sales_interest*BD1619</f>
        <v/>
      </c>
      <c r="BC1619" s="102">
        <f>IFERROR(IF($I$13&gt;0,$I1619/$I$13,$S1619/$S$13),0)</f>
        <v/>
      </c>
      <c r="BD1619" s="102">
        <f>IFERROR($S1619/$S$13,0)</f>
        <v/>
      </c>
      <c r="BE1619" s="413" t="inlineStr">
        <is>
          <t>$</t>
        </is>
      </c>
    </row>
    <row r="1620" ht="12" customFormat="1" customHeight="1" s="65">
      <c r="A1620" s="43" t="n">
        <v>1605</v>
      </c>
      <c r="B1620" s="166" t="n"/>
      <c r="C1620" s="166" t="n"/>
      <c r="D1620" s="166" t="n"/>
      <c r="E1620" s="162" t="n"/>
      <c r="F1620" s="166" t="n"/>
      <c r="G1620" s="162" t="n"/>
      <c r="H1620" s="162" t="n"/>
      <c r="I1620" s="189">
        <f>E1620*G1620</f>
        <v/>
      </c>
      <c r="J1620" s="195" t="n"/>
      <c r="K1620" s="162" t="n"/>
      <c r="L1620" s="168" t="n"/>
      <c r="M1620" s="75">
        <f>_xlfn.XLOOKUP(L1620,list_vat[Страна],list_vat[Ставка НДС %],0,0)</f>
        <v/>
      </c>
      <c r="N1620" s="162">
        <f>IFERROR(IF(L1620="Китай",K1620,K1620/(1+M1620)),0)</f>
        <v/>
      </c>
      <c r="O1620" s="169" t="n"/>
      <c r="P1620" s="76">
        <f>N1620*(1-O1620)</f>
        <v/>
      </c>
      <c r="Q1620" s="162" t="n"/>
      <c r="R1620" s="162">
        <f>IF(ISBLANK(Q1620),"введи курс",P1620/Q1620)</f>
        <v/>
      </c>
      <c r="S1620" s="196">
        <f>IF(AND(ISNUMBER(E1620),ISNUMBER(Q1620)),E1620*R1620,0)</f>
        <v/>
      </c>
      <c r="T1620" s="192">
        <f>$BC1620*V$11</f>
        <v/>
      </c>
      <c r="U1620" s="76">
        <f>$BC1620*W$11</f>
        <v/>
      </c>
      <c r="V1620" s="193">
        <f>+SUM(T1620:U1620)</f>
        <v/>
      </c>
      <c r="W1620" s="191" t="n"/>
      <c r="X1620" s="170" t="n"/>
      <c r="Y1620" s="76">
        <f>ROUND(IF(offer_incoterms="DDP",X1620*(S1620*(1+AW1620)+T1620),0),2)</f>
        <v/>
      </c>
      <c r="Z1620" s="188" t="n"/>
      <c r="AA1620" s="192">
        <f>IFERROR(AB1620/E1620,0)</f>
        <v/>
      </c>
      <c r="AB1620" s="76">
        <f>ROUND(SUM(S1620,V1620,Y1620:Z1620,BA1620:BB1620),2)</f>
        <v/>
      </c>
      <c r="AC1620" s="797" t="n"/>
      <c r="AD1620" s="192">
        <f t="array" ref="AD1620">IFERROR(ROUND((_xlfn.IFS(offer_sale_type="поставка",AB1620,offer_sale_type="транзит",S1620)*(1+AC1620))/E1620,2),0)</f>
        <v/>
      </c>
      <c r="AE1620" s="76">
        <f>AD1620*E1620</f>
        <v/>
      </c>
      <c r="AF1620" s="193">
        <f t="array" ref="AF1620">IFERROR(ROUND(_xlfn.IFS(offer_sale_type="поставка",AB1620,offer_sale_type="транзит",S1620)*AC1620,2),0)</f>
        <v/>
      </c>
      <c r="AG1620" s="192">
        <f>$BD1620*VLOOKUP($AG$3,$AF$4:$AG$7,2,FALSE)</f>
        <v/>
      </c>
      <c r="AH1620" s="76">
        <f>SUM(AE1620,AG1620,AI1620)*rate_forex_risk</f>
        <v/>
      </c>
      <c r="AI1620" s="193">
        <f>IF(OR(seller_region="TR",offer_sale_type="экспорт"),0,rate_fin_comm)*SUM(AZ1620,AZ1620*AW1620,T1620)</f>
        <v/>
      </c>
      <c r="AJ1620" s="118">
        <f>IFERROR(ROUND(SUM(AB1620,AF1620:AI1620)/E1620,2),0)</f>
        <v/>
      </c>
      <c r="AK1620" s="76">
        <f>AJ1620*E1620</f>
        <v/>
      </c>
      <c r="AL1620" s="174">
        <f>ROUND(IFERROR(AM1620*E1620,0),2)</f>
        <v/>
      </c>
      <c r="AM1620" s="175">
        <f>ROUND(AJ1620*(1+IF(offer_incoterms="DDP",IF((TODAY()+offer_turnaround_time)&gt;=helpsheet!$L$17,rate_vatRU_from_26,rate_vatRu_till_25),0)),2)</f>
        <v/>
      </c>
      <c r="AN1620" s="192">
        <f>AL1620-AK1620</f>
        <v/>
      </c>
      <c r="AO1620" s="76">
        <f>SUM(AY1620,Y1620:Z1620,T1620)*IF(AND(offer_incoterms="DDP",offer_sale_type&lt;&gt;"экспорт"),IF((TODAY()+offer_turnaround_time)&gt;=helpsheet!$L$17,rate_vatRU_from_26,rate_vatRu_till_25),0)</f>
        <v/>
      </c>
      <c r="AP1620" s="193">
        <f>AN1620-AO1620</f>
        <v/>
      </c>
      <c r="AQ1620" s="118">
        <f>IF(offer_sale_type="транзит",SUM(AF1620:AI1620,BA1620,BB1620),0)</f>
        <v/>
      </c>
      <c r="AR1620" s="82">
        <f>HYPERLINK("https://www.alta.ru/tnved/code/")&amp;W1620&amp;"/"</f>
        <v/>
      </c>
      <c r="AS1620" s="157" t="n"/>
      <c r="AT1620" s="162" t="n"/>
      <c r="AU1620" s="76">
        <f>IF(ISBLANK(AT1620),0,AJ1620-AT1620)</f>
        <v/>
      </c>
      <c r="AV1620" s="157" t="n"/>
      <c r="AW1620" s="75">
        <f>_xlfn.IFNA(VLOOKUP(L1620,list_vat[],3,FALSE),0)</f>
        <v/>
      </c>
      <c r="AX1620" s="76">
        <f>IFERROR(ROUND(S1620*(1+AW1620)/E1620,2),0)</f>
        <v/>
      </c>
      <c r="AY1620" s="76">
        <f>E1620*AX1620</f>
        <v/>
      </c>
      <c r="AZ1620" s="192">
        <f>S1620*(1+M1620)</f>
        <v/>
      </c>
      <c r="BA1620" s="76">
        <f>cost_fin_total*$BD1620</f>
        <v/>
      </c>
      <c r="BB1620" s="193">
        <f>credit_sales_interest*BD1620</f>
        <v/>
      </c>
      <c r="BC1620" s="102">
        <f>IFERROR(IF($I$13&gt;0,$I1620/$I$13,$S1620/$S$13),0)</f>
        <v/>
      </c>
      <c r="BD1620" s="102">
        <f>IFERROR($S1620/$S$13,0)</f>
        <v/>
      </c>
      <c r="BE1620" s="413" t="inlineStr">
        <is>
          <t>$</t>
        </is>
      </c>
    </row>
    <row r="1621" ht="12" customFormat="1" customHeight="1" s="65">
      <c r="A1621" s="43" t="n">
        <v>1606</v>
      </c>
      <c r="B1621" s="166" t="n"/>
      <c r="C1621" s="166" t="n"/>
      <c r="D1621" s="166" t="n"/>
      <c r="E1621" s="162" t="n"/>
      <c r="F1621" s="166" t="n"/>
      <c r="G1621" s="162" t="n"/>
      <c r="H1621" s="162" t="n"/>
      <c r="I1621" s="189">
        <f>E1621*G1621</f>
        <v/>
      </c>
      <c r="J1621" s="195" t="n"/>
      <c r="K1621" s="162" t="n"/>
      <c r="L1621" s="168" t="n"/>
      <c r="M1621" s="75">
        <f>_xlfn.XLOOKUP(L1621,list_vat[Страна],list_vat[Ставка НДС %],0,0)</f>
        <v/>
      </c>
      <c r="N1621" s="162">
        <f>IFERROR(IF(L1621="Китай",K1621,K1621/(1+M1621)),0)</f>
        <v/>
      </c>
      <c r="O1621" s="169" t="n"/>
      <c r="P1621" s="76">
        <f>N1621*(1-O1621)</f>
        <v/>
      </c>
      <c r="Q1621" s="162" t="n"/>
      <c r="R1621" s="162">
        <f>IF(ISBLANK(Q1621),"введи курс",P1621/Q1621)</f>
        <v/>
      </c>
      <c r="S1621" s="196">
        <f>IF(AND(ISNUMBER(E1621),ISNUMBER(Q1621)),E1621*R1621,0)</f>
        <v/>
      </c>
      <c r="T1621" s="192">
        <f>$BC1621*V$11</f>
        <v/>
      </c>
      <c r="U1621" s="76">
        <f>$BC1621*W$11</f>
        <v/>
      </c>
      <c r="V1621" s="193">
        <f>+SUM(T1621:U1621)</f>
        <v/>
      </c>
      <c r="W1621" s="191" t="n"/>
      <c r="X1621" s="170" t="n"/>
      <c r="Y1621" s="76">
        <f>ROUND(IF(offer_incoterms="DDP",X1621*(S1621*(1+AW1621)+T1621),0),2)</f>
        <v/>
      </c>
      <c r="Z1621" s="188" t="n"/>
      <c r="AA1621" s="192">
        <f>IFERROR(AB1621/E1621,0)</f>
        <v/>
      </c>
      <c r="AB1621" s="76">
        <f>ROUND(SUM(S1621,V1621,Y1621:Z1621,BA1621:BB1621),2)</f>
        <v/>
      </c>
      <c r="AC1621" s="797" t="n"/>
      <c r="AD1621" s="192">
        <f t="array" ref="AD1621">IFERROR(ROUND((_xlfn.IFS(offer_sale_type="поставка",AB1621,offer_sale_type="транзит",S1621)*(1+AC1621))/E1621,2),0)</f>
        <v/>
      </c>
      <c r="AE1621" s="76">
        <f>AD1621*E1621</f>
        <v/>
      </c>
      <c r="AF1621" s="193">
        <f t="array" ref="AF1621">IFERROR(ROUND(_xlfn.IFS(offer_sale_type="поставка",AB1621,offer_sale_type="транзит",S1621)*AC1621,2),0)</f>
        <v/>
      </c>
      <c r="AG1621" s="192">
        <f>$BD1621*VLOOKUP($AG$3,$AF$4:$AG$7,2,FALSE)</f>
        <v/>
      </c>
      <c r="AH1621" s="76">
        <f>SUM(AE1621,AG1621,AI1621)*rate_forex_risk</f>
        <v/>
      </c>
      <c r="AI1621" s="193">
        <f>IF(OR(seller_region="TR",offer_sale_type="экспорт"),0,rate_fin_comm)*SUM(AZ1621,AZ1621*AW1621,T1621)</f>
        <v/>
      </c>
      <c r="AJ1621" s="118">
        <f>IFERROR(ROUND(SUM(AB1621,AF1621:AI1621)/E1621,2),0)</f>
        <v/>
      </c>
      <c r="AK1621" s="76">
        <f>AJ1621*E1621</f>
        <v/>
      </c>
      <c r="AL1621" s="174">
        <f>ROUND(IFERROR(AM1621*E1621,0),2)</f>
        <v/>
      </c>
      <c r="AM1621" s="175">
        <f>ROUND(AJ1621*(1+IF(offer_incoterms="DDP",IF((TODAY()+offer_turnaround_time)&gt;=helpsheet!$L$17,rate_vatRU_from_26,rate_vatRu_till_25),0)),2)</f>
        <v/>
      </c>
      <c r="AN1621" s="192">
        <f>AL1621-AK1621</f>
        <v/>
      </c>
      <c r="AO1621" s="76">
        <f>SUM(AY1621,Y1621:Z1621,T1621)*IF(AND(offer_incoterms="DDP",offer_sale_type&lt;&gt;"экспорт"),IF((TODAY()+offer_turnaround_time)&gt;=helpsheet!$L$17,rate_vatRU_from_26,rate_vatRu_till_25),0)</f>
        <v/>
      </c>
      <c r="AP1621" s="193">
        <f>AN1621-AO1621</f>
        <v/>
      </c>
      <c r="AQ1621" s="118">
        <f>IF(offer_sale_type="транзит",SUM(AF1621:AI1621,BA1621,BB1621),0)</f>
        <v/>
      </c>
      <c r="AR1621" s="82">
        <f>HYPERLINK("https://www.alta.ru/tnved/code/")&amp;W1621&amp;"/"</f>
        <v/>
      </c>
      <c r="AS1621" s="157" t="n"/>
      <c r="AT1621" s="162" t="n"/>
      <c r="AU1621" s="76">
        <f>IF(ISBLANK(AT1621),0,AJ1621-AT1621)</f>
        <v/>
      </c>
      <c r="AV1621" s="157" t="n"/>
      <c r="AW1621" s="75">
        <f>_xlfn.IFNA(VLOOKUP(L1621,list_vat[],3,FALSE),0)</f>
        <v/>
      </c>
      <c r="AX1621" s="76">
        <f>IFERROR(ROUND(S1621*(1+AW1621)/E1621,2),0)</f>
        <v/>
      </c>
      <c r="AY1621" s="76">
        <f>E1621*AX1621</f>
        <v/>
      </c>
      <c r="AZ1621" s="192">
        <f>S1621*(1+M1621)</f>
        <v/>
      </c>
      <c r="BA1621" s="76">
        <f>cost_fin_total*$BD1621</f>
        <v/>
      </c>
      <c r="BB1621" s="193">
        <f>credit_sales_interest*BD1621</f>
        <v/>
      </c>
      <c r="BC1621" s="102">
        <f>IFERROR(IF($I$13&gt;0,$I1621/$I$13,$S1621/$S$13),0)</f>
        <v/>
      </c>
      <c r="BD1621" s="102">
        <f>IFERROR($S1621/$S$13,0)</f>
        <v/>
      </c>
      <c r="BE1621" s="413" t="inlineStr">
        <is>
          <t>$</t>
        </is>
      </c>
    </row>
    <row r="1622" ht="12" customFormat="1" customHeight="1" s="65">
      <c r="A1622" s="43" t="n">
        <v>1607</v>
      </c>
      <c r="B1622" s="166" t="n"/>
      <c r="C1622" s="166" t="n"/>
      <c r="D1622" s="166" t="n"/>
      <c r="E1622" s="162" t="n"/>
      <c r="F1622" s="166" t="n"/>
      <c r="G1622" s="162" t="n"/>
      <c r="H1622" s="162" t="n"/>
      <c r="I1622" s="189">
        <f>E1622*G1622</f>
        <v/>
      </c>
      <c r="J1622" s="195" t="n"/>
      <c r="K1622" s="162" t="n"/>
      <c r="L1622" s="168" t="n"/>
      <c r="M1622" s="75">
        <f>_xlfn.XLOOKUP(L1622,list_vat[Страна],list_vat[Ставка НДС %],0,0)</f>
        <v/>
      </c>
      <c r="N1622" s="162">
        <f>IFERROR(IF(L1622="Китай",K1622,K1622/(1+M1622)),0)</f>
        <v/>
      </c>
      <c r="O1622" s="169" t="n"/>
      <c r="P1622" s="76">
        <f>N1622*(1-O1622)</f>
        <v/>
      </c>
      <c r="Q1622" s="162" t="n"/>
      <c r="R1622" s="162">
        <f>IF(ISBLANK(Q1622),"введи курс",P1622/Q1622)</f>
        <v/>
      </c>
      <c r="S1622" s="196">
        <f>IF(AND(ISNUMBER(E1622),ISNUMBER(Q1622)),E1622*R1622,0)</f>
        <v/>
      </c>
      <c r="T1622" s="192">
        <f>$BC1622*V$11</f>
        <v/>
      </c>
      <c r="U1622" s="76">
        <f>$BC1622*W$11</f>
        <v/>
      </c>
      <c r="V1622" s="193">
        <f>+SUM(T1622:U1622)</f>
        <v/>
      </c>
      <c r="W1622" s="191" t="n"/>
      <c r="X1622" s="170" t="n"/>
      <c r="Y1622" s="76">
        <f>ROUND(IF(offer_incoterms="DDP",X1622*(S1622*(1+AW1622)+T1622),0),2)</f>
        <v/>
      </c>
      <c r="Z1622" s="188" t="n"/>
      <c r="AA1622" s="192">
        <f>IFERROR(AB1622/E1622,0)</f>
        <v/>
      </c>
      <c r="AB1622" s="76">
        <f>ROUND(SUM(S1622,V1622,Y1622:Z1622,BA1622:BB1622),2)</f>
        <v/>
      </c>
      <c r="AC1622" s="797" t="n"/>
      <c r="AD1622" s="192">
        <f t="array" ref="AD1622">IFERROR(ROUND((_xlfn.IFS(offer_sale_type="поставка",AB1622,offer_sale_type="транзит",S1622)*(1+AC1622))/E1622,2),0)</f>
        <v/>
      </c>
      <c r="AE1622" s="76">
        <f>AD1622*E1622</f>
        <v/>
      </c>
      <c r="AF1622" s="193">
        <f t="array" ref="AF1622">IFERROR(ROUND(_xlfn.IFS(offer_sale_type="поставка",AB1622,offer_sale_type="транзит",S1622)*AC1622,2),0)</f>
        <v/>
      </c>
      <c r="AG1622" s="192">
        <f>$BD1622*VLOOKUP($AG$3,$AF$4:$AG$7,2,FALSE)</f>
        <v/>
      </c>
      <c r="AH1622" s="76">
        <f>SUM(AE1622,AG1622,AI1622)*rate_forex_risk</f>
        <v/>
      </c>
      <c r="AI1622" s="193">
        <f>IF(OR(seller_region="TR",offer_sale_type="экспорт"),0,rate_fin_comm)*SUM(AZ1622,AZ1622*AW1622,T1622)</f>
        <v/>
      </c>
      <c r="AJ1622" s="118">
        <f>IFERROR(ROUND(SUM(AB1622,AF1622:AI1622)/E1622,2),0)</f>
        <v/>
      </c>
      <c r="AK1622" s="76">
        <f>AJ1622*E1622</f>
        <v/>
      </c>
      <c r="AL1622" s="174">
        <f>ROUND(IFERROR(AM1622*E1622,0),2)</f>
        <v/>
      </c>
      <c r="AM1622" s="175">
        <f>ROUND(AJ1622*(1+IF(offer_incoterms="DDP",IF((TODAY()+offer_turnaround_time)&gt;=helpsheet!$L$17,rate_vatRU_from_26,rate_vatRu_till_25),0)),2)</f>
        <v/>
      </c>
      <c r="AN1622" s="192">
        <f>AL1622-AK1622</f>
        <v/>
      </c>
      <c r="AO1622" s="76">
        <f>SUM(AY1622,Y1622:Z1622,T1622)*IF(AND(offer_incoterms="DDP",offer_sale_type&lt;&gt;"экспорт"),IF((TODAY()+offer_turnaround_time)&gt;=helpsheet!$L$17,rate_vatRU_from_26,rate_vatRu_till_25),0)</f>
        <v/>
      </c>
      <c r="AP1622" s="193">
        <f>AN1622-AO1622</f>
        <v/>
      </c>
      <c r="AQ1622" s="118">
        <f>IF(offer_sale_type="транзит",SUM(AF1622:AI1622,BA1622,BB1622),0)</f>
        <v/>
      </c>
      <c r="AR1622" s="82">
        <f>HYPERLINK("https://www.alta.ru/tnved/code/")&amp;W1622&amp;"/"</f>
        <v/>
      </c>
      <c r="AS1622" s="157" t="n"/>
      <c r="AT1622" s="162" t="n"/>
      <c r="AU1622" s="76">
        <f>IF(ISBLANK(AT1622),0,AJ1622-AT1622)</f>
        <v/>
      </c>
      <c r="AV1622" s="157" t="n"/>
      <c r="AW1622" s="75">
        <f>_xlfn.IFNA(VLOOKUP(L1622,list_vat[],3,FALSE),0)</f>
        <v/>
      </c>
      <c r="AX1622" s="76">
        <f>IFERROR(ROUND(S1622*(1+AW1622)/E1622,2),0)</f>
        <v/>
      </c>
      <c r="AY1622" s="76">
        <f>E1622*AX1622</f>
        <v/>
      </c>
      <c r="AZ1622" s="192">
        <f>S1622*(1+M1622)</f>
        <v/>
      </c>
      <c r="BA1622" s="76">
        <f>cost_fin_total*$BD1622</f>
        <v/>
      </c>
      <c r="BB1622" s="193">
        <f>credit_sales_interest*BD1622</f>
        <v/>
      </c>
      <c r="BC1622" s="102">
        <f>IFERROR(IF($I$13&gt;0,$I1622/$I$13,$S1622/$S$13),0)</f>
        <v/>
      </c>
      <c r="BD1622" s="102">
        <f>IFERROR($S1622/$S$13,0)</f>
        <v/>
      </c>
      <c r="BE1622" s="413" t="inlineStr">
        <is>
          <t>$</t>
        </is>
      </c>
    </row>
    <row r="1623" ht="12" customFormat="1" customHeight="1" s="65">
      <c r="A1623" s="43" t="n">
        <v>1608</v>
      </c>
      <c r="B1623" s="166" t="n"/>
      <c r="C1623" s="166" t="n"/>
      <c r="D1623" s="166" t="n"/>
      <c r="E1623" s="162" t="n"/>
      <c r="F1623" s="166" t="n"/>
      <c r="G1623" s="162" t="n"/>
      <c r="H1623" s="162" t="n"/>
      <c r="I1623" s="189">
        <f>E1623*G1623</f>
        <v/>
      </c>
      <c r="J1623" s="195" t="n"/>
      <c r="K1623" s="162" t="n"/>
      <c r="L1623" s="168" t="n"/>
      <c r="M1623" s="75">
        <f>_xlfn.XLOOKUP(L1623,list_vat[Страна],list_vat[Ставка НДС %],0,0)</f>
        <v/>
      </c>
      <c r="N1623" s="162">
        <f>IFERROR(IF(L1623="Китай",K1623,K1623/(1+M1623)),0)</f>
        <v/>
      </c>
      <c r="O1623" s="169" t="n"/>
      <c r="P1623" s="76">
        <f>N1623*(1-O1623)</f>
        <v/>
      </c>
      <c r="Q1623" s="162" t="n"/>
      <c r="R1623" s="162">
        <f>IF(ISBLANK(Q1623),"введи курс",P1623/Q1623)</f>
        <v/>
      </c>
      <c r="S1623" s="196">
        <f>IF(AND(ISNUMBER(E1623),ISNUMBER(Q1623)),E1623*R1623,0)</f>
        <v/>
      </c>
      <c r="T1623" s="192">
        <f>$BC1623*V$11</f>
        <v/>
      </c>
      <c r="U1623" s="76">
        <f>$BC1623*W$11</f>
        <v/>
      </c>
      <c r="V1623" s="193">
        <f>+SUM(T1623:U1623)</f>
        <v/>
      </c>
      <c r="W1623" s="191" t="n"/>
      <c r="X1623" s="170" t="n"/>
      <c r="Y1623" s="76">
        <f>ROUND(IF(offer_incoterms="DDP",X1623*(S1623*(1+AW1623)+T1623),0),2)</f>
        <v/>
      </c>
      <c r="Z1623" s="188" t="n"/>
      <c r="AA1623" s="192">
        <f>IFERROR(AB1623/E1623,0)</f>
        <v/>
      </c>
      <c r="AB1623" s="76">
        <f>ROUND(SUM(S1623,V1623,Y1623:Z1623,BA1623:BB1623),2)</f>
        <v/>
      </c>
      <c r="AC1623" s="797" t="n"/>
      <c r="AD1623" s="192">
        <f t="array" ref="AD1623">IFERROR(ROUND((_xlfn.IFS(offer_sale_type="поставка",AB1623,offer_sale_type="транзит",S1623)*(1+AC1623))/E1623,2),0)</f>
        <v/>
      </c>
      <c r="AE1623" s="76">
        <f>AD1623*E1623</f>
        <v/>
      </c>
      <c r="AF1623" s="193">
        <f t="array" ref="AF1623">IFERROR(ROUND(_xlfn.IFS(offer_sale_type="поставка",AB1623,offer_sale_type="транзит",S1623)*AC1623,2),0)</f>
        <v/>
      </c>
      <c r="AG1623" s="192">
        <f>$BD1623*VLOOKUP($AG$3,$AF$4:$AG$7,2,FALSE)</f>
        <v/>
      </c>
      <c r="AH1623" s="76">
        <f>SUM(AE1623,AG1623,AI1623)*rate_forex_risk</f>
        <v/>
      </c>
      <c r="AI1623" s="193">
        <f>IF(OR(seller_region="TR",offer_sale_type="экспорт"),0,rate_fin_comm)*SUM(AZ1623,AZ1623*AW1623,T1623)</f>
        <v/>
      </c>
      <c r="AJ1623" s="118">
        <f>IFERROR(ROUND(SUM(AB1623,AF1623:AI1623)/E1623,2),0)</f>
        <v/>
      </c>
      <c r="AK1623" s="76">
        <f>AJ1623*E1623</f>
        <v/>
      </c>
      <c r="AL1623" s="174">
        <f>ROUND(IFERROR(AM1623*E1623,0),2)</f>
        <v/>
      </c>
      <c r="AM1623" s="175">
        <f>ROUND(AJ1623*(1+IF(offer_incoterms="DDP",IF((TODAY()+offer_turnaround_time)&gt;=helpsheet!$L$17,rate_vatRU_from_26,rate_vatRu_till_25),0)),2)</f>
        <v/>
      </c>
      <c r="AN1623" s="192">
        <f>AL1623-AK1623</f>
        <v/>
      </c>
      <c r="AO1623" s="76">
        <f>SUM(AY1623,Y1623:Z1623,T1623)*IF(AND(offer_incoterms="DDP",offer_sale_type&lt;&gt;"экспорт"),IF((TODAY()+offer_turnaround_time)&gt;=helpsheet!$L$17,rate_vatRU_from_26,rate_vatRu_till_25),0)</f>
        <v/>
      </c>
      <c r="AP1623" s="193">
        <f>AN1623-AO1623</f>
        <v/>
      </c>
      <c r="AQ1623" s="118">
        <f>IF(offer_sale_type="транзит",SUM(AF1623:AI1623,BA1623,BB1623),0)</f>
        <v/>
      </c>
      <c r="AR1623" s="82">
        <f>HYPERLINK("https://www.alta.ru/tnved/code/")&amp;W1623&amp;"/"</f>
        <v/>
      </c>
      <c r="AS1623" s="157" t="n"/>
      <c r="AT1623" s="162" t="n"/>
      <c r="AU1623" s="76">
        <f>IF(ISBLANK(AT1623),0,AJ1623-AT1623)</f>
        <v/>
      </c>
      <c r="AV1623" s="157" t="n"/>
      <c r="AW1623" s="75">
        <f>_xlfn.IFNA(VLOOKUP(L1623,list_vat[],3,FALSE),0)</f>
        <v/>
      </c>
      <c r="AX1623" s="76">
        <f>IFERROR(ROUND(S1623*(1+AW1623)/E1623,2),0)</f>
        <v/>
      </c>
      <c r="AY1623" s="76">
        <f>E1623*AX1623</f>
        <v/>
      </c>
      <c r="AZ1623" s="192">
        <f>S1623*(1+M1623)</f>
        <v/>
      </c>
      <c r="BA1623" s="76">
        <f>cost_fin_total*$BD1623</f>
        <v/>
      </c>
      <c r="BB1623" s="193">
        <f>credit_sales_interest*BD1623</f>
        <v/>
      </c>
      <c r="BC1623" s="102">
        <f>IFERROR(IF($I$13&gt;0,$I1623/$I$13,$S1623/$S$13),0)</f>
        <v/>
      </c>
      <c r="BD1623" s="102">
        <f>IFERROR($S1623/$S$13,0)</f>
        <v/>
      </c>
      <c r="BE1623" s="413" t="inlineStr">
        <is>
          <t>$</t>
        </is>
      </c>
    </row>
    <row r="1624" ht="12" customFormat="1" customHeight="1" s="65">
      <c r="A1624" s="43" t="n">
        <v>1609</v>
      </c>
      <c r="B1624" s="166" t="n"/>
      <c r="C1624" s="166" t="n"/>
      <c r="D1624" s="166" t="n"/>
      <c r="E1624" s="162" t="n"/>
      <c r="F1624" s="166" t="n"/>
      <c r="G1624" s="162" t="n"/>
      <c r="H1624" s="162" t="n"/>
      <c r="I1624" s="189">
        <f>E1624*G1624</f>
        <v/>
      </c>
      <c r="J1624" s="195" t="n"/>
      <c r="K1624" s="162" t="n"/>
      <c r="L1624" s="168" t="n"/>
      <c r="M1624" s="75">
        <f>_xlfn.XLOOKUP(L1624,list_vat[Страна],list_vat[Ставка НДС %],0,0)</f>
        <v/>
      </c>
      <c r="N1624" s="162">
        <f>IFERROR(IF(L1624="Китай",K1624,K1624/(1+M1624)),0)</f>
        <v/>
      </c>
      <c r="O1624" s="169" t="n"/>
      <c r="P1624" s="76">
        <f>N1624*(1-O1624)</f>
        <v/>
      </c>
      <c r="Q1624" s="162" t="n"/>
      <c r="R1624" s="162">
        <f>IF(ISBLANK(Q1624),"введи курс",P1624/Q1624)</f>
        <v/>
      </c>
      <c r="S1624" s="196">
        <f>IF(AND(ISNUMBER(E1624),ISNUMBER(Q1624)),E1624*R1624,0)</f>
        <v/>
      </c>
      <c r="T1624" s="192">
        <f>$BC1624*V$11</f>
        <v/>
      </c>
      <c r="U1624" s="76">
        <f>$BC1624*W$11</f>
        <v/>
      </c>
      <c r="V1624" s="193">
        <f>+SUM(T1624:U1624)</f>
        <v/>
      </c>
      <c r="W1624" s="191" t="n"/>
      <c r="X1624" s="170" t="n"/>
      <c r="Y1624" s="76">
        <f>ROUND(IF(offer_incoterms="DDP",X1624*(S1624*(1+AW1624)+T1624),0),2)</f>
        <v/>
      </c>
      <c r="Z1624" s="188" t="n"/>
      <c r="AA1624" s="192">
        <f>IFERROR(AB1624/E1624,0)</f>
        <v/>
      </c>
      <c r="AB1624" s="76">
        <f>ROUND(SUM(S1624,V1624,Y1624:Z1624,BA1624:BB1624),2)</f>
        <v/>
      </c>
      <c r="AC1624" s="797" t="n"/>
      <c r="AD1624" s="192">
        <f t="array" ref="AD1624">IFERROR(ROUND((_xlfn.IFS(offer_sale_type="поставка",AB1624,offer_sale_type="транзит",S1624)*(1+AC1624))/E1624,2),0)</f>
        <v/>
      </c>
      <c r="AE1624" s="76">
        <f>AD1624*E1624</f>
        <v/>
      </c>
      <c r="AF1624" s="193">
        <f t="array" ref="AF1624">IFERROR(ROUND(_xlfn.IFS(offer_sale_type="поставка",AB1624,offer_sale_type="транзит",S1624)*AC1624,2),0)</f>
        <v/>
      </c>
      <c r="AG1624" s="192">
        <f>$BD1624*VLOOKUP($AG$3,$AF$4:$AG$7,2,FALSE)</f>
        <v/>
      </c>
      <c r="AH1624" s="76">
        <f>SUM(AE1624,AG1624,AI1624)*rate_forex_risk</f>
        <v/>
      </c>
      <c r="AI1624" s="193">
        <f>IF(OR(seller_region="TR",offer_sale_type="экспорт"),0,rate_fin_comm)*SUM(AZ1624,AZ1624*AW1624,T1624)</f>
        <v/>
      </c>
      <c r="AJ1624" s="118">
        <f>IFERROR(ROUND(SUM(AB1624,AF1624:AI1624)/E1624,2),0)</f>
        <v/>
      </c>
      <c r="AK1624" s="76">
        <f>AJ1624*E1624</f>
        <v/>
      </c>
      <c r="AL1624" s="174">
        <f>ROUND(IFERROR(AM1624*E1624,0),2)</f>
        <v/>
      </c>
      <c r="AM1624" s="175">
        <f>ROUND(AJ1624*(1+IF(offer_incoterms="DDP",IF((TODAY()+offer_turnaround_time)&gt;=helpsheet!$L$17,rate_vatRU_from_26,rate_vatRu_till_25),0)),2)</f>
        <v/>
      </c>
      <c r="AN1624" s="192">
        <f>AL1624-AK1624</f>
        <v/>
      </c>
      <c r="AO1624" s="76">
        <f>SUM(AY1624,Y1624:Z1624,T1624)*IF(AND(offer_incoterms="DDP",offer_sale_type&lt;&gt;"экспорт"),IF((TODAY()+offer_turnaround_time)&gt;=helpsheet!$L$17,rate_vatRU_from_26,rate_vatRu_till_25),0)</f>
        <v/>
      </c>
      <c r="AP1624" s="193">
        <f>AN1624-AO1624</f>
        <v/>
      </c>
      <c r="AQ1624" s="118">
        <f>IF(offer_sale_type="транзит",SUM(AF1624:AI1624,BA1624,BB1624),0)</f>
        <v/>
      </c>
      <c r="AR1624" s="82">
        <f>HYPERLINK("https://www.alta.ru/tnved/code/")&amp;W1624&amp;"/"</f>
        <v/>
      </c>
      <c r="AS1624" s="157" t="n"/>
      <c r="AT1624" s="162" t="n"/>
      <c r="AU1624" s="76">
        <f>IF(ISBLANK(AT1624),0,AJ1624-AT1624)</f>
        <v/>
      </c>
      <c r="AV1624" s="157" t="n"/>
      <c r="AW1624" s="75">
        <f>_xlfn.IFNA(VLOOKUP(L1624,list_vat[],3,FALSE),0)</f>
        <v/>
      </c>
      <c r="AX1624" s="76">
        <f>IFERROR(ROUND(S1624*(1+AW1624)/E1624,2),0)</f>
        <v/>
      </c>
      <c r="AY1624" s="76">
        <f>E1624*AX1624</f>
        <v/>
      </c>
      <c r="AZ1624" s="192">
        <f>S1624*(1+M1624)</f>
        <v/>
      </c>
      <c r="BA1624" s="76">
        <f>cost_fin_total*$BD1624</f>
        <v/>
      </c>
      <c r="BB1624" s="193">
        <f>credit_sales_interest*BD1624</f>
        <v/>
      </c>
      <c r="BC1624" s="102">
        <f>IFERROR(IF($I$13&gt;0,$I1624/$I$13,$S1624/$S$13),0)</f>
        <v/>
      </c>
      <c r="BD1624" s="102">
        <f>IFERROR($S1624/$S$13,0)</f>
        <v/>
      </c>
      <c r="BE1624" s="413" t="inlineStr">
        <is>
          <t>$</t>
        </is>
      </c>
    </row>
    <row r="1625" ht="12" customFormat="1" customHeight="1" s="65">
      <c r="A1625" s="43" t="n">
        <v>1610</v>
      </c>
      <c r="B1625" s="166" t="n"/>
      <c r="C1625" s="166" t="n"/>
      <c r="D1625" s="166" t="n"/>
      <c r="E1625" s="162" t="n"/>
      <c r="F1625" s="166" t="n"/>
      <c r="G1625" s="162" t="n"/>
      <c r="H1625" s="162" t="n"/>
      <c r="I1625" s="189">
        <f>E1625*G1625</f>
        <v/>
      </c>
      <c r="J1625" s="195" t="n"/>
      <c r="K1625" s="162" t="n"/>
      <c r="L1625" s="168" t="n"/>
      <c r="M1625" s="75">
        <f>_xlfn.XLOOKUP(L1625,list_vat[Страна],list_vat[Ставка НДС %],0,0)</f>
        <v/>
      </c>
      <c r="N1625" s="162">
        <f>IFERROR(IF(L1625="Китай",K1625,K1625/(1+M1625)),0)</f>
        <v/>
      </c>
      <c r="O1625" s="169" t="n"/>
      <c r="P1625" s="76">
        <f>N1625*(1-O1625)</f>
        <v/>
      </c>
      <c r="Q1625" s="162" t="n"/>
      <c r="R1625" s="162">
        <f>IF(ISBLANK(Q1625),"введи курс",P1625/Q1625)</f>
        <v/>
      </c>
      <c r="S1625" s="196">
        <f>IF(AND(ISNUMBER(E1625),ISNUMBER(Q1625)),E1625*R1625,0)</f>
        <v/>
      </c>
      <c r="T1625" s="192">
        <f>$BC1625*V$11</f>
        <v/>
      </c>
      <c r="U1625" s="76">
        <f>$BC1625*W$11</f>
        <v/>
      </c>
      <c r="V1625" s="193">
        <f>+SUM(T1625:U1625)</f>
        <v/>
      </c>
      <c r="W1625" s="191" t="n"/>
      <c r="X1625" s="170" t="n"/>
      <c r="Y1625" s="76">
        <f>ROUND(IF(offer_incoterms="DDP",X1625*(S1625*(1+AW1625)+T1625),0),2)</f>
        <v/>
      </c>
      <c r="Z1625" s="188" t="n"/>
      <c r="AA1625" s="192">
        <f>IFERROR(AB1625/E1625,0)</f>
        <v/>
      </c>
      <c r="AB1625" s="76">
        <f>ROUND(SUM(S1625,V1625,Y1625:Z1625,BA1625:BB1625),2)</f>
        <v/>
      </c>
      <c r="AC1625" s="797" t="n"/>
      <c r="AD1625" s="192">
        <f t="array" ref="AD1625">IFERROR(ROUND((_xlfn.IFS(offer_sale_type="поставка",AB1625,offer_sale_type="транзит",S1625)*(1+AC1625))/E1625,2),0)</f>
        <v/>
      </c>
      <c r="AE1625" s="76">
        <f>AD1625*E1625</f>
        <v/>
      </c>
      <c r="AF1625" s="193">
        <f t="array" ref="AF1625">IFERROR(ROUND(_xlfn.IFS(offer_sale_type="поставка",AB1625,offer_sale_type="транзит",S1625)*AC1625,2),0)</f>
        <v/>
      </c>
      <c r="AG1625" s="192">
        <f>$BD1625*VLOOKUP($AG$3,$AF$4:$AG$7,2,FALSE)</f>
        <v/>
      </c>
      <c r="AH1625" s="76">
        <f>SUM(AE1625,AG1625,AI1625)*rate_forex_risk</f>
        <v/>
      </c>
      <c r="AI1625" s="193">
        <f>IF(OR(seller_region="TR",offer_sale_type="экспорт"),0,rate_fin_comm)*SUM(AZ1625,AZ1625*AW1625,T1625)</f>
        <v/>
      </c>
      <c r="AJ1625" s="118">
        <f>IFERROR(ROUND(SUM(AB1625,AF1625:AI1625)/E1625,2),0)</f>
        <v/>
      </c>
      <c r="AK1625" s="76">
        <f>AJ1625*E1625</f>
        <v/>
      </c>
      <c r="AL1625" s="174">
        <f>ROUND(IFERROR(AM1625*E1625,0),2)</f>
        <v/>
      </c>
      <c r="AM1625" s="175">
        <f>ROUND(AJ1625*(1+IF(offer_incoterms="DDP",IF((TODAY()+offer_turnaround_time)&gt;=helpsheet!$L$17,rate_vatRU_from_26,rate_vatRu_till_25),0)),2)</f>
        <v/>
      </c>
      <c r="AN1625" s="192">
        <f>AL1625-AK1625</f>
        <v/>
      </c>
      <c r="AO1625" s="76">
        <f>SUM(AY1625,Y1625:Z1625,T1625)*IF(AND(offer_incoterms="DDP",offer_sale_type&lt;&gt;"экспорт"),IF((TODAY()+offer_turnaround_time)&gt;=helpsheet!$L$17,rate_vatRU_from_26,rate_vatRu_till_25),0)</f>
        <v/>
      </c>
      <c r="AP1625" s="193">
        <f>AN1625-AO1625</f>
        <v/>
      </c>
      <c r="AQ1625" s="118">
        <f>IF(offer_sale_type="транзит",SUM(AF1625:AI1625,BA1625,BB1625),0)</f>
        <v/>
      </c>
      <c r="AR1625" s="82">
        <f>HYPERLINK("https://www.alta.ru/tnved/code/")&amp;W1625&amp;"/"</f>
        <v/>
      </c>
      <c r="AS1625" s="157" t="n"/>
      <c r="AT1625" s="162" t="n"/>
      <c r="AU1625" s="76">
        <f>IF(ISBLANK(AT1625),0,AJ1625-AT1625)</f>
        <v/>
      </c>
      <c r="AV1625" s="157" t="n"/>
      <c r="AW1625" s="75">
        <f>_xlfn.IFNA(VLOOKUP(L1625,list_vat[],3,FALSE),0)</f>
        <v/>
      </c>
      <c r="AX1625" s="76">
        <f>IFERROR(ROUND(S1625*(1+AW1625)/E1625,2),0)</f>
        <v/>
      </c>
      <c r="AY1625" s="76">
        <f>E1625*AX1625</f>
        <v/>
      </c>
      <c r="AZ1625" s="192">
        <f>S1625*(1+M1625)</f>
        <v/>
      </c>
      <c r="BA1625" s="76">
        <f>cost_fin_total*$BD1625</f>
        <v/>
      </c>
      <c r="BB1625" s="193">
        <f>credit_sales_interest*BD1625</f>
        <v/>
      </c>
      <c r="BC1625" s="102">
        <f>IFERROR(IF($I$13&gt;0,$I1625/$I$13,$S1625/$S$13),0)</f>
        <v/>
      </c>
      <c r="BD1625" s="102">
        <f>IFERROR($S1625/$S$13,0)</f>
        <v/>
      </c>
      <c r="BE1625" s="413" t="inlineStr">
        <is>
          <t>$</t>
        </is>
      </c>
    </row>
    <row r="1626" ht="12" customFormat="1" customHeight="1" s="65">
      <c r="A1626" s="43" t="n">
        <v>1611</v>
      </c>
      <c r="B1626" s="166" t="n"/>
      <c r="C1626" s="166" t="n"/>
      <c r="D1626" s="166" t="n"/>
      <c r="E1626" s="162" t="n"/>
      <c r="F1626" s="166" t="n"/>
      <c r="G1626" s="162" t="n"/>
      <c r="H1626" s="162" t="n"/>
      <c r="I1626" s="189">
        <f>E1626*G1626</f>
        <v/>
      </c>
      <c r="J1626" s="195" t="n"/>
      <c r="K1626" s="162" t="n"/>
      <c r="L1626" s="168" t="n"/>
      <c r="M1626" s="75">
        <f>_xlfn.XLOOKUP(L1626,list_vat[Страна],list_vat[Ставка НДС %],0,0)</f>
        <v/>
      </c>
      <c r="N1626" s="162">
        <f>IFERROR(IF(L1626="Китай",K1626,K1626/(1+M1626)),0)</f>
        <v/>
      </c>
      <c r="O1626" s="169" t="n"/>
      <c r="P1626" s="76">
        <f>N1626*(1-O1626)</f>
        <v/>
      </c>
      <c r="Q1626" s="162" t="n"/>
      <c r="R1626" s="162">
        <f>IF(ISBLANK(Q1626),"введи курс",P1626/Q1626)</f>
        <v/>
      </c>
      <c r="S1626" s="196">
        <f>IF(AND(ISNUMBER(E1626),ISNUMBER(Q1626)),E1626*R1626,0)</f>
        <v/>
      </c>
      <c r="T1626" s="192">
        <f>$BC1626*V$11</f>
        <v/>
      </c>
      <c r="U1626" s="76">
        <f>$BC1626*W$11</f>
        <v/>
      </c>
      <c r="V1626" s="193">
        <f>+SUM(T1626:U1626)</f>
        <v/>
      </c>
      <c r="W1626" s="191" t="n"/>
      <c r="X1626" s="170" t="n"/>
      <c r="Y1626" s="76">
        <f>ROUND(IF(offer_incoterms="DDP",X1626*(S1626*(1+AW1626)+T1626),0),2)</f>
        <v/>
      </c>
      <c r="Z1626" s="188" t="n"/>
      <c r="AA1626" s="192">
        <f>IFERROR(AB1626/E1626,0)</f>
        <v/>
      </c>
      <c r="AB1626" s="76">
        <f>ROUND(SUM(S1626,V1626,Y1626:Z1626,BA1626:BB1626),2)</f>
        <v/>
      </c>
      <c r="AC1626" s="797" t="n"/>
      <c r="AD1626" s="192">
        <f t="array" ref="AD1626">IFERROR(ROUND((_xlfn.IFS(offer_sale_type="поставка",AB1626,offer_sale_type="транзит",S1626)*(1+AC1626))/E1626,2),0)</f>
        <v/>
      </c>
      <c r="AE1626" s="76">
        <f>AD1626*E1626</f>
        <v/>
      </c>
      <c r="AF1626" s="193">
        <f t="array" ref="AF1626">IFERROR(ROUND(_xlfn.IFS(offer_sale_type="поставка",AB1626,offer_sale_type="транзит",S1626)*AC1626,2),0)</f>
        <v/>
      </c>
      <c r="AG1626" s="192">
        <f>$BD1626*VLOOKUP($AG$3,$AF$4:$AG$7,2,FALSE)</f>
        <v/>
      </c>
      <c r="AH1626" s="76">
        <f>SUM(AE1626,AG1626,AI1626)*rate_forex_risk</f>
        <v/>
      </c>
      <c r="AI1626" s="193">
        <f>IF(OR(seller_region="TR",offer_sale_type="экспорт"),0,rate_fin_comm)*SUM(AZ1626,AZ1626*AW1626,T1626)</f>
        <v/>
      </c>
      <c r="AJ1626" s="118">
        <f>IFERROR(ROUND(SUM(AB1626,AF1626:AI1626)/E1626,2),0)</f>
        <v/>
      </c>
      <c r="AK1626" s="76">
        <f>AJ1626*E1626</f>
        <v/>
      </c>
      <c r="AL1626" s="174">
        <f>ROUND(IFERROR(AM1626*E1626,0),2)</f>
        <v/>
      </c>
      <c r="AM1626" s="175">
        <f>ROUND(AJ1626*(1+IF(offer_incoterms="DDP",IF((TODAY()+offer_turnaround_time)&gt;=helpsheet!$L$17,rate_vatRU_from_26,rate_vatRu_till_25),0)),2)</f>
        <v/>
      </c>
      <c r="AN1626" s="192">
        <f>AL1626-AK1626</f>
        <v/>
      </c>
      <c r="AO1626" s="76">
        <f>SUM(AY1626,Y1626:Z1626,T1626)*IF(AND(offer_incoterms="DDP",offer_sale_type&lt;&gt;"экспорт"),IF((TODAY()+offer_turnaround_time)&gt;=helpsheet!$L$17,rate_vatRU_from_26,rate_vatRu_till_25),0)</f>
        <v/>
      </c>
      <c r="AP1626" s="193">
        <f>AN1626-AO1626</f>
        <v/>
      </c>
      <c r="AQ1626" s="118">
        <f>IF(offer_sale_type="транзит",SUM(AF1626:AI1626,BA1626,BB1626),0)</f>
        <v/>
      </c>
      <c r="AR1626" s="82">
        <f>HYPERLINK("https://www.alta.ru/tnved/code/")&amp;W1626&amp;"/"</f>
        <v/>
      </c>
      <c r="AS1626" s="157" t="n"/>
      <c r="AT1626" s="162" t="n"/>
      <c r="AU1626" s="76">
        <f>IF(ISBLANK(AT1626),0,AJ1626-AT1626)</f>
        <v/>
      </c>
      <c r="AV1626" s="157" t="n"/>
      <c r="AW1626" s="75">
        <f>_xlfn.IFNA(VLOOKUP(L1626,list_vat[],3,FALSE),0)</f>
        <v/>
      </c>
      <c r="AX1626" s="76">
        <f>IFERROR(ROUND(S1626*(1+AW1626)/E1626,2),0)</f>
        <v/>
      </c>
      <c r="AY1626" s="76">
        <f>E1626*AX1626</f>
        <v/>
      </c>
      <c r="AZ1626" s="192">
        <f>S1626*(1+M1626)</f>
        <v/>
      </c>
      <c r="BA1626" s="76">
        <f>cost_fin_total*$BD1626</f>
        <v/>
      </c>
      <c r="BB1626" s="193">
        <f>credit_sales_interest*BD1626</f>
        <v/>
      </c>
      <c r="BC1626" s="102">
        <f>IFERROR(IF($I$13&gt;0,$I1626/$I$13,$S1626/$S$13),0)</f>
        <v/>
      </c>
      <c r="BD1626" s="102">
        <f>IFERROR($S1626/$S$13,0)</f>
        <v/>
      </c>
      <c r="BE1626" s="413" t="inlineStr">
        <is>
          <t>$</t>
        </is>
      </c>
    </row>
    <row r="1627" ht="12" customFormat="1" customHeight="1" s="65">
      <c r="A1627" s="43" t="n">
        <v>1612</v>
      </c>
      <c r="B1627" s="166" t="n"/>
      <c r="C1627" s="166" t="n"/>
      <c r="D1627" s="166" t="n"/>
      <c r="E1627" s="162" t="n"/>
      <c r="F1627" s="166" t="n"/>
      <c r="G1627" s="162" t="n"/>
      <c r="H1627" s="162" t="n"/>
      <c r="I1627" s="189">
        <f>E1627*G1627</f>
        <v/>
      </c>
      <c r="J1627" s="195" t="n"/>
      <c r="K1627" s="162" t="n"/>
      <c r="L1627" s="168" t="n"/>
      <c r="M1627" s="75">
        <f>_xlfn.XLOOKUP(L1627,list_vat[Страна],list_vat[Ставка НДС %],0,0)</f>
        <v/>
      </c>
      <c r="N1627" s="162">
        <f>IFERROR(IF(L1627="Китай",K1627,K1627/(1+M1627)),0)</f>
        <v/>
      </c>
      <c r="O1627" s="169" t="n"/>
      <c r="P1627" s="76">
        <f>N1627*(1-O1627)</f>
        <v/>
      </c>
      <c r="Q1627" s="162" t="n"/>
      <c r="R1627" s="162">
        <f>IF(ISBLANK(Q1627),"введи курс",P1627/Q1627)</f>
        <v/>
      </c>
      <c r="S1627" s="196">
        <f>IF(AND(ISNUMBER(E1627),ISNUMBER(Q1627)),E1627*R1627,0)</f>
        <v/>
      </c>
      <c r="T1627" s="192">
        <f>$BC1627*V$11</f>
        <v/>
      </c>
      <c r="U1627" s="76">
        <f>$BC1627*W$11</f>
        <v/>
      </c>
      <c r="V1627" s="193">
        <f>+SUM(T1627:U1627)</f>
        <v/>
      </c>
      <c r="W1627" s="191" t="n"/>
      <c r="X1627" s="170" t="n"/>
      <c r="Y1627" s="76">
        <f>ROUND(IF(offer_incoterms="DDP",X1627*(S1627*(1+AW1627)+T1627),0),2)</f>
        <v/>
      </c>
      <c r="Z1627" s="188" t="n"/>
      <c r="AA1627" s="192">
        <f>IFERROR(AB1627/E1627,0)</f>
        <v/>
      </c>
      <c r="AB1627" s="76">
        <f>ROUND(SUM(S1627,V1627,Y1627:Z1627,BA1627:BB1627),2)</f>
        <v/>
      </c>
      <c r="AC1627" s="797" t="n"/>
      <c r="AD1627" s="192">
        <f t="array" ref="AD1627">IFERROR(ROUND((_xlfn.IFS(offer_sale_type="поставка",AB1627,offer_sale_type="транзит",S1627)*(1+AC1627))/E1627,2),0)</f>
        <v/>
      </c>
      <c r="AE1627" s="76">
        <f>AD1627*E1627</f>
        <v/>
      </c>
      <c r="AF1627" s="193">
        <f t="array" ref="AF1627">IFERROR(ROUND(_xlfn.IFS(offer_sale_type="поставка",AB1627,offer_sale_type="транзит",S1627)*AC1627,2),0)</f>
        <v/>
      </c>
      <c r="AG1627" s="192">
        <f>$BD1627*VLOOKUP($AG$3,$AF$4:$AG$7,2,FALSE)</f>
        <v/>
      </c>
      <c r="AH1627" s="76">
        <f>SUM(AE1627,AG1627,AI1627)*rate_forex_risk</f>
        <v/>
      </c>
      <c r="AI1627" s="193">
        <f>IF(OR(seller_region="TR",offer_sale_type="экспорт"),0,rate_fin_comm)*SUM(AZ1627,AZ1627*AW1627,T1627)</f>
        <v/>
      </c>
      <c r="AJ1627" s="118">
        <f>IFERROR(ROUND(SUM(AB1627,AF1627:AI1627)/E1627,2),0)</f>
        <v/>
      </c>
      <c r="AK1627" s="76">
        <f>AJ1627*E1627</f>
        <v/>
      </c>
      <c r="AL1627" s="174">
        <f>ROUND(IFERROR(AM1627*E1627,0),2)</f>
        <v/>
      </c>
      <c r="AM1627" s="175">
        <f>ROUND(AJ1627*(1+IF(offer_incoterms="DDP",IF((TODAY()+offer_turnaround_time)&gt;=helpsheet!$L$17,rate_vatRU_from_26,rate_vatRu_till_25),0)),2)</f>
        <v/>
      </c>
      <c r="AN1627" s="192">
        <f>AL1627-AK1627</f>
        <v/>
      </c>
      <c r="AO1627" s="76">
        <f>SUM(AY1627,Y1627:Z1627,T1627)*IF(AND(offer_incoterms="DDP",offer_sale_type&lt;&gt;"экспорт"),IF((TODAY()+offer_turnaround_time)&gt;=helpsheet!$L$17,rate_vatRU_from_26,rate_vatRu_till_25),0)</f>
        <v/>
      </c>
      <c r="AP1627" s="193">
        <f>AN1627-AO1627</f>
        <v/>
      </c>
      <c r="AQ1627" s="118">
        <f>IF(offer_sale_type="транзит",SUM(AF1627:AI1627,BA1627,BB1627),0)</f>
        <v/>
      </c>
      <c r="AR1627" s="82">
        <f>HYPERLINK("https://www.alta.ru/tnved/code/")&amp;W1627&amp;"/"</f>
        <v/>
      </c>
      <c r="AS1627" s="157" t="n"/>
      <c r="AT1627" s="162" t="n"/>
      <c r="AU1627" s="76">
        <f>IF(ISBLANK(AT1627),0,AJ1627-AT1627)</f>
        <v/>
      </c>
      <c r="AV1627" s="157" t="n"/>
      <c r="AW1627" s="75">
        <f>_xlfn.IFNA(VLOOKUP(L1627,list_vat[],3,FALSE),0)</f>
        <v/>
      </c>
      <c r="AX1627" s="76">
        <f>IFERROR(ROUND(S1627*(1+AW1627)/E1627,2),0)</f>
        <v/>
      </c>
      <c r="AY1627" s="76">
        <f>E1627*AX1627</f>
        <v/>
      </c>
      <c r="AZ1627" s="192">
        <f>S1627*(1+M1627)</f>
        <v/>
      </c>
      <c r="BA1627" s="76">
        <f>cost_fin_total*$BD1627</f>
        <v/>
      </c>
      <c r="BB1627" s="193">
        <f>credit_sales_interest*BD1627</f>
        <v/>
      </c>
      <c r="BC1627" s="102">
        <f>IFERROR(IF($I$13&gt;0,$I1627/$I$13,$S1627/$S$13),0)</f>
        <v/>
      </c>
      <c r="BD1627" s="102">
        <f>IFERROR($S1627/$S$13,0)</f>
        <v/>
      </c>
      <c r="BE1627" s="413" t="inlineStr">
        <is>
          <t>$</t>
        </is>
      </c>
    </row>
    <row r="1628" ht="12" customFormat="1" customHeight="1" s="65">
      <c r="A1628" s="43" t="n">
        <v>1613</v>
      </c>
      <c r="B1628" s="166" t="n"/>
      <c r="C1628" s="166" t="n"/>
      <c r="D1628" s="166" t="n"/>
      <c r="E1628" s="162" t="n"/>
      <c r="F1628" s="166" t="n"/>
      <c r="G1628" s="162" t="n"/>
      <c r="H1628" s="162" t="n"/>
      <c r="I1628" s="189">
        <f>E1628*G1628</f>
        <v/>
      </c>
      <c r="J1628" s="195" t="n"/>
      <c r="K1628" s="162" t="n"/>
      <c r="L1628" s="168" t="n"/>
      <c r="M1628" s="75">
        <f>_xlfn.XLOOKUP(L1628,list_vat[Страна],list_vat[Ставка НДС %],0,0)</f>
        <v/>
      </c>
      <c r="N1628" s="162">
        <f>IFERROR(IF(L1628="Китай",K1628,K1628/(1+M1628)),0)</f>
        <v/>
      </c>
      <c r="O1628" s="169" t="n"/>
      <c r="P1628" s="76">
        <f>N1628*(1-O1628)</f>
        <v/>
      </c>
      <c r="Q1628" s="162" t="n"/>
      <c r="R1628" s="162">
        <f>IF(ISBLANK(Q1628),"введи курс",P1628/Q1628)</f>
        <v/>
      </c>
      <c r="S1628" s="196">
        <f>IF(AND(ISNUMBER(E1628),ISNUMBER(Q1628)),E1628*R1628,0)</f>
        <v/>
      </c>
      <c r="T1628" s="192">
        <f>$BC1628*V$11</f>
        <v/>
      </c>
      <c r="U1628" s="76">
        <f>$BC1628*W$11</f>
        <v/>
      </c>
      <c r="V1628" s="193">
        <f>+SUM(T1628:U1628)</f>
        <v/>
      </c>
      <c r="W1628" s="191" t="n"/>
      <c r="X1628" s="170" t="n"/>
      <c r="Y1628" s="76">
        <f>ROUND(IF(offer_incoterms="DDP",X1628*(S1628*(1+AW1628)+T1628),0),2)</f>
        <v/>
      </c>
      <c r="Z1628" s="188" t="n"/>
      <c r="AA1628" s="192">
        <f>IFERROR(AB1628/E1628,0)</f>
        <v/>
      </c>
      <c r="AB1628" s="76">
        <f>ROUND(SUM(S1628,V1628,Y1628:Z1628,BA1628:BB1628),2)</f>
        <v/>
      </c>
      <c r="AC1628" s="797" t="n"/>
      <c r="AD1628" s="192">
        <f t="array" ref="AD1628">IFERROR(ROUND((_xlfn.IFS(offer_sale_type="поставка",AB1628,offer_sale_type="транзит",S1628)*(1+AC1628))/E1628,2),0)</f>
        <v/>
      </c>
      <c r="AE1628" s="76">
        <f>AD1628*E1628</f>
        <v/>
      </c>
      <c r="AF1628" s="193">
        <f t="array" ref="AF1628">IFERROR(ROUND(_xlfn.IFS(offer_sale_type="поставка",AB1628,offer_sale_type="транзит",S1628)*AC1628,2),0)</f>
        <v/>
      </c>
      <c r="AG1628" s="192">
        <f>$BD1628*VLOOKUP($AG$3,$AF$4:$AG$7,2,FALSE)</f>
        <v/>
      </c>
      <c r="AH1628" s="76">
        <f>SUM(AE1628,AG1628,AI1628)*rate_forex_risk</f>
        <v/>
      </c>
      <c r="AI1628" s="193">
        <f>IF(OR(seller_region="TR",offer_sale_type="экспорт"),0,rate_fin_comm)*SUM(AZ1628,AZ1628*AW1628,T1628)</f>
        <v/>
      </c>
      <c r="AJ1628" s="118">
        <f>IFERROR(ROUND(SUM(AB1628,AF1628:AI1628)/E1628,2),0)</f>
        <v/>
      </c>
      <c r="AK1628" s="76">
        <f>AJ1628*E1628</f>
        <v/>
      </c>
      <c r="AL1628" s="174">
        <f>ROUND(IFERROR(AM1628*E1628,0),2)</f>
        <v/>
      </c>
      <c r="AM1628" s="175">
        <f>ROUND(AJ1628*(1+IF(offer_incoterms="DDP",IF((TODAY()+offer_turnaround_time)&gt;=helpsheet!$L$17,rate_vatRU_from_26,rate_vatRu_till_25),0)),2)</f>
        <v/>
      </c>
      <c r="AN1628" s="192">
        <f>AL1628-AK1628</f>
        <v/>
      </c>
      <c r="AO1628" s="76">
        <f>SUM(AY1628,Y1628:Z1628,T1628)*IF(AND(offer_incoterms="DDP",offer_sale_type&lt;&gt;"экспорт"),IF((TODAY()+offer_turnaround_time)&gt;=helpsheet!$L$17,rate_vatRU_from_26,rate_vatRu_till_25),0)</f>
        <v/>
      </c>
      <c r="AP1628" s="193">
        <f>AN1628-AO1628</f>
        <v/>
      </c>
      <c r="AQ1628" s="118">
        <f>IF(offer_sale_type="транзит",SUM(AF1628:AI1628,BA1628,BB1628),0)</f>
        <v/>
      </c>
      <c r="AR1628" s="82">
        <f>HYPERLINK("https://www.alta.ru/tnved/code/")&amp;W1628&amp;"/"</f>
        <v/>
      </c>
      <c r="AS1628" s="157" t="n"/>
      <c r="AT1628" s="162" t="n"/>
      <c r="AU1628" s="76">
        <f>IF(ISBLANK(AT1628),0,AJ1628-AT1628)</f>
        <v/>
      </c>
      <c r="AV1628" s="157" t="n"/>
      <c r="AW1628" s="75">
        <f>_xlfn.IFNA(VLOOKUP(L1628,list_vat[],3,FALSE),0)</f>
        <v/>
      </c>
      <c r="AX1628" s="76">
        <f>IFERROR(ROUND(S1628*(1+AW1628)/E1628,2),0)</f>
        <v/>
      </c>
      <c r="AY1628" s="76">
        <f>E1628*AX1628</f>
        <v/>
      </c>
      <c r="AZ1628" s="192">
        <f>S1628*(1+M1628)</f>
        <v/>
      </c>
      <c r="BA1628" s="76">
        <f>cost_fin_total*$BD1628</f>
        <v/>
      </c>
      <c r="BB1628" s="193">
        <f>credit_sales_interest*BD1628</f>
        <v/>
      </c>
      <c r="BC1628" s="102">
        <f>IFERROR(IF($I$13&gt;0,$I1628/$I$13,$S1628/$S$13),0)</f>
        <v/>
      </c>
      <c r="BD1628" s="102">
        <f>IFERROR($S1628/$S$13,0)</f>
        <v/>
      </c>
      <c r="BE1628" s="413" t="inlineStr">
        <is>
          <t>$</t>
        </is>
      </c>
    </row>
    <row r="1629" ht="12" customFormat="1" customHeight="1" s="65">
      <c r="A1629" s="43" t="n">
        <v>1614</v>
      </c>
      <c r="B1629" s="166" t="n"/>
      <c r="C1629" s="166" t="n"/>
      <c r="D1629" s="166" t="n"/>
      <c r="E1629" s="162" t="n"/>
      <c r="F1629" s="166" t="n"/>
      <c r="G1629" s="162" t="n"/>
      <c r="H1629" s="162" t="n"/>
      <c r="I1629" s="189">
        <f>E1629*G1629</f>
        <v/>
      </c>
      <c r="J1629" s="195" t="n"/>
      <c r="K1629" s="162" t="n"/>
      <c r="L1629" s="168" t="n"/>
      <c r="M1629" s="75">
        <f>_xlfn.XLOOKUP(L1629,list_vat[Страна],list_vat[Ставка НДС %],0,0)</f>
        <v/>
      </c>
      <c r="N1629" s="162">
        <f>IFERROR(IF(L1629="Китай",K1629,K1629/(1+M1629)),0)</f>
        <v/>
      </c>
      <c r="O1629" s="169" t="n"/>
      <c r="P1629" s="76">
        <f>N1629*(1-O1629)</f>
        <v/>
      </c>
      <c r="Q1629" s="162" t="n"/>
      <c r="R1629" s="162">
        <f>IF(ISBLANK(Q1629),"введи курс",P1629/Q1629)</f>
        <v/>
      </c>
      <c r="S1629" s="196">
        <f>IF(AND(ISNUMBER(E1629),ISNUMBER(Q1629)),E1629*R1629,0)</f>
        <v/>
      </c>
      <c r="T1629" s="192">
        <f>$BC1629*V$11</f>
        <v/>
      </c>
      <c r="U1629" s="76">
        <f>$BC1629*W$11</f>
        <v/>
      </c>
      <c r="V1629" s="193">
        <f>+SUM(T1629:U1629)</f>
        <v/>
      </c>
      <c r="W1629" s="191" t="n"/>
      <c r="X1629" s="170" t="n"/>
      <c r="Y1629" s="76">
        <f>ROUND(IF(offer_incoterms="DDP",X1629*(S1629*(1+AW1629)+T1629),0),2)</f>
        <v/>
      </c>
      <c r="Z1629" s="188" t="n"/>
      <c r="AA1629" s="192">
        <f>IFERROR(AB1629/E1629,0)</f>
        <v/>
      </c>
      <c r="AB1629" s="76">
        <f>ROUND(SUM(S1629,V1629,Y1629:Z1629,BA1629:BB1629),2)</f>
        <v/>
      </c>
      <c r="AC1629" s="797" t="n"/>
      <c r="AD1629" s="192">
        <f t="array" ref="AD1629">IFERROR(ROUND((_xlfn.IFS(offer_sale_type="поставка",AB1629,offer_sale_type="транзит",S1629)*(1+AC1629))/E1629,2),0)</f>
        <v/>
      </c>
      <c r="AE1629" s="76">
        <f>AD1629*E1629</f>
        <v/>
      </c>
      <c r="AF1629" s="193">
        <f t="array" ref="AF1629">IFERROR(ROUND(_xlfn.IFS(offer_sale_type="поставка",AB1629,offer_sale_type="транзит",S1629)*AC1629,2),0)</f>
        <v/>
      </c>
      <c r="AG1629" s="192">
        <f>$BD1629*VLOOKUP($AG$3,$AF$4:$AG$7,2,FALSE)</f>
        <v/>
      </c>
      <c r="AH1629" s="76">
        <f>SUM(AE1629,AG1629,AI1629)*rate_forex_risk</f>
        <v/>
      </c>
      <c r="AI1629" s="193">
        <f>IF(OR(seller_region="TR",offer_sale_type="экспорт"),0,rate_fin_comm)*SUM(AZ1629,AZ1629*AW1629,T1629)</f>
        <v/>
      </c>
      <c r="AJ1629" s="118">
        <f>IFERROR(ROUND(SUM(AB1629,AF1629:AI1629)/E1629,2),0)</f>
        <v/>
      </c>
      <c r="AK1629" s="76">
        <f>AJ1629*E1629</f>
        <v/>
      </c>
      <c r="AL1629" s="174">
        <f>ROUND(IFERROR(AM1629*E1629,0),2)</f>
        <v/>
      </c>
      <c r="AM1629" s="175">
        <f>ROUND(AJ1629*(1+IF(offer_incoterms="DDP",IF((TODAY()+offer_turnaround_time)&gt;=helpsheet!$L$17,rate_vatRU_from_26,rate_vatRu_till_25),0)),2)</f>
        <v/>
      </c>
      <c r="AN1629" s="192">
        <f>AL1629-AK1629</f>
        <v/>
      </c>
      <c r="AO1629" s="76">
        <f>SUM(AY1629,Y1629:Z1629,T1629)*IF(AND(offer_incoterms="DDP",offer_sale_type&lt;&gt;"экспорт"),IF((TODAY()+offer_turnaround_time)&gt;=helpsheet!$L$17,rate_vatRU_from_26,rate_vatRu_till_25),0)</f>
        <v/>
      </c>
      <c r="AP1629" s="193">
        <f>AN1629-AO1629</f>
        <v/>
      </c>
      <c r="AQ1629" s="118">
        <f>IF(offer_sale_type="транзит",SUM(AF1629:AI1629,BA1629,BB1629),0)</f>
        <v/>
      </c>
      <c r="AR1629" s="82">
        <f>HYPERLINK("https://www.alta.ru/tnved/code/")&amp;W1629&amp;"/"</f>
        <v/>
      </c>
      <c r="AS1629" s="157" t="n"/>
      <c r="AT1629" s="162" t="n"/>
      <c r="AU1629" s="76">
        <f>IF(ISBLANK(AT1629),0,AJ1629-AT1629)</f>
        <v/>
      </c>
      <c r="AV1629" s="157" t="n"/>
      <c r="AW1629" s="75">
        <f>_xlfn.IFNA(VLOOKUP(L1629,list_vat[],3,FALSE),0)</f>
        <v/>
      </c>
      <c r="AX1629" s="76">
        <f>IFERROR(ROUND(S1629*(1+AW1629)/E1629,2),0)</f>
        <v/>
      </c>
      <c r="AY1629" s="76">
        <f>E1629*AX1629</f>
        <v/>
      </c>
      <c r="AZ1629" s="192">
        <f>S1629*(1+M1629)</f>
        <v/>
      </c>
      <c r="BA1629" s="76">
        <f>cost_fin_total*$BD1629</f>
        <v/>
      </c>
      <c r="BB1629" s="193">
        <f>credit_sales_interest*BD1629</f>
        <v/>
      </c>
      <c r="BC1629" s="102">
        <f>IFERROR(IF($I$13&gt;0,$I1629/$I$13,$S1629/$S$13),0)</f>
        <v/>
      </c>
      <c r="BD1629" s="102">
        <f>IFERROR($S1629/$S$13,0)</f>
        <v/>
      </c>
      <c r="BE1629" s="413" t="inlineStr">
        <is>
          <t>$</t>
        </is>
      </c>
    </row>
    <row r="1630" ht="12" customFormat="1" customHeight="1" s="65">
      <c r="A1630" s="43" t="n">
        <v>1615</v>
      </c>
      <c r="B1630" s="166" t="n"/>
      <c r="C1630" s="166" t="n"/>
      <c r="D1630" s="166" t="n"/>
      <c r="E1630" s="162" t="n"/>
      <c r="F1630" s="166" t="n"/>
      <c r="G1630" s="162" t="n"/>
      <c r="H1630" s="162" t="n"/>
      <c r="I1630" s="189">
        <f>E1630*G1630</f>
        <v/>
      </c>
      <c r="J1630" s="195" t="n"/>
      <c r="K1630" s="162" t="n"/>
      <c r="L1630" s="168" t="n"/>
      <c r="M1630" s="75">
        <f>_xlfn.XLOOKUP(L1630,list_vat[Страна],list_vat[Ставка НДС %],0,0)</f>
        <v/>
      </c>
      <c r="N1630" s="162">
        <f>IFERROR(IF(L1630="Китай",K1630,K1630/(1+M1630)),0)</f>
        <v/>
      </c>
      <c r="O1630" s="169" t="n"/>
      <c r="P1630" s="76">
        <f>N1630*(1-O1630)</f>
        <v/>
      </c>
      <c r="Q1630" s="162" t="n"/>
      <c r="R1630" s="162">
        <f>IF(ISBLANK(Q1630),"введи курс",P1630/Q1630)</f>
        <v/>
      </c>
      <c r="S1630" s="196">
        <f>IF(AND(ISNUMBER(E1630),ISNUMBER(Q1630)),E1630*R1630,0)</f>
        <v/>
      </c>
      <c r="T1630" s="192">
        <f>$BC1630*V$11</f>
        <v/>
      </c>
      <c r="U1630" s="76">
        <f>$BC1630*W$11</f>
        <v/>
      </c>
      <c r="V1630" s="193">
        <f>+SUM(T1630:U1630)</f>
        <v/>
      </c>
      <c r="W1630" s="191" t="n"/>
      <c r="X1630" s="170" t="n"/>
      <c r="Y1630" s="76">
        <f>ROUND(IF(offer_incoterms="DDP",X1630*(S1630*(1+AW1630)+T1630),0),2)</f>
        <v/>
      </c>
      <c r="Z1630" s="188" t="n"/>
      <c r="AA1630" s="192">
        <f>IFERROR(AB1630/E1630,0)</f>
        <v/>
      </c>
      <c r="AB1630" s="76">
        <f>ROUND(SUM(S1630,V1630,Y1630:Z1630,BA1630:BB1630),2)</f>
        <v/>
      </c>
      <c r="AC1630" s="797" t="n"/>
      <c r="AD1630" s="192">
        <f t="array" ref="AD1630">IFERROR(ROUND((_xlfn.IFS(offer_sale_type="поставка",AB1630,offer_sale_type="транзит",S1630)*(1+AC1630))/E1630,2),0)</f>
        <v/>
      </c>
      <c r="AE1630" s="76">
        <f>AD1630*E1630</f>
        <v/>
      </c>
      <c r="AF1630" s="193">
        <f t="array" ref="AF1630">IFERROR(ROUND(_xlfn.IFS(offer_sale_type="поставка",AB1630,offer_sale_type="транзит",S1630)*AC1630,2),0)</f>
        <v/>
      </c>
      <c r="AG1630" s="192">
        <f>$BD1630*VLOOKUP($AG$3,$AF$4:$AG$7,2,FALSE)</f>
        <v/>
      </c>
      <c r="AH1630" s="76">
        <f>SUM(AE1630,AG1630,AI1630)*rate_forex_risk</f>
        <v/>
      </c>
      <c r="AI1630" s="193">
        <f>IF(OR(seller_region="TR",offer_sale_type="экспорт"),0,rate_fin_comm)*SUM(AZ1630,AZ1630*AW1630,T1630)</f>
        <v/>
      </c>
      <c r="AJ1630" s="118">
        <f>IFERROR(ROUND(SUM(AB1630,AF1630:AI1630)/E1630,2),0)</f>
        <v/>
      </c>
      <c r="AK1630" s="76">
        <f>AJ1630*E1630</f>
        <v/>
      </c>
      <c r="AL1630" s="174">
        <f>ROUND(IFERROR(AM1630*E1630,0),2)</f>
        <v/>
      </c>
      <c r="AM1630" s="175">
        <f>ROUND(AJ1630*(1+IF(offer_incoterms="DDP",IF((TODAY()+offer_turnaround_time)&gt;=helpsheet!$L$17,rate_vatRU_from_26,rate_vatRu_till_25),0)),2)</f>
        <v/>
      </c>
      <c r="AN1630" s="192">
        <f>AL1630-AK1630</f>
        <v/>
      </c>
      <c r="AO1630" s="76">
        <f>SUM(AY1630,Y1630:Z1630,T1630)*IF(AND(offer_incoterms="DDP",offer_sale_type&lt;&gt;"экспорт"),IF((TODAY()+offer_turnaround_time)&gt;=helpsheet!$L$17,rate_vatRU_from_26,rate_vatRu_till_25),0)</f>
        <v/>
      </c>
      <c r="AP1630" s="193">
        <f>AN1630-AO1630</f>
        <v/>
      </c>
      <c r="AQ1630" s="118">
        <f>IF(offer_sale_type="транзит",SUM(AF1630:AI1630,BA1630,BB1630),0)</f>
        <v/>
      </c>
      <c r="AR1630" s="82">
        <f>HYPERLINK("https://www.alta.ru/tnved/code/")&amp;W1630&amp;"/"</f>
        <v/>
      </c>
      <c r="AS1630" s="157" t="n"/>
      <c r="AT1630" s="162" t="n"/>
      <c r="AU1630" s="76">
        <f>IF(ISBLANK(AT1630),0,AJ1630-AT1630)</f>
        <v/>
      </c>
      <c r="AV1630" s="157" t="n"/>
      <c r="AW1630" s="75">
        <f>_xlfn.IFNA(VLOOKUP(L1630,list_vat[],3,FALSE),0)</f>
        <v/>
      </c>
      <c r="AX1630" s="76">
        <f>IFERROR(ROUND(S1630*(1+AW1630)/E1630,2),0)</f>
        <v/>
      </c>
      <c r="AY1630" s="76">
        <f>E1630*AX1630</f>
        <v/>
      </c>
      <c r="AZ1630" s="192">
        <f>S1630*(1+M1630)</f>
        <v/>
      </c>
      <c r="BA1630" s="76">
        <f>cost_fin_total*$BD1630</f>
        <v/>
      </c>
      <c r="BB1630" s="193">
        <f>credit_sales_interest*BD1630</f>
        <v/>
      </c>
      <c r="BC1630" s="102">
        <f>IFERROR(IF($I$13&gt;0,$I1630/$I$13,$S1630/$S$13),0)</f>
        <v/>
      </c>
      <c r="BD1630" s="102">
        <f>IFERROR($S1630/$S$13,0)</f>
        <v/>
      </c>
      <c r="BE1630" s="413" t="inlineStr">
        <is>
          <t>$</t>
        </is>
      </c>
    </row>
    <row r="1631" ht="12" customFormat="1" customHeight="1" s="65">
      <c r="A1631" s="43" t="n">
        <v>1616</v>
      </c>
      <c r="B1631" s="166" t="n"/>
      <c r="C1631" s="166" t="n"/>
      <c r="D1631" s="166" t="n"/>
      <c r="E1631" s="162" t="n"/>
      <c r="F1631" s="166" t="n"/>
      <c r="G1631" s="162" t="n"/>
      <c r="H1631" s="162" t="n"/>
      <c r="I1631" s="189">
        <f>E1631*G1631</f>
        <v/>
      </c>
      <c r="J1631" s="195" t="n"/>
      <c r="K1631" s="162" t="n"/>
      <c r="L1631" s="168" t="n"/>
      <c r="M1631" s="75">
        <f>_xlfn.XLOOKUP(L1631,list_vat[Страна],list_vat[Ставка НДС %],0,0)</f>
        <v/>
      </c>
      <c r="N1631" s="162">
        <f>IFERROR(IF(L1631="Китай",K1631,K1631/(1+M1631)),0)</f>
        <v/>
      </c>
      <c r="O1631" s="169" t="n"/>
      <c r="P1631" s="76">
        <f>N1631*(1-O1631)</f>
        <v/>
      </c>
      <c r="Q1631" s="162" t="n"/>
      <c r="R1631" s="162">
        <f>IF(ISBLANK(Q1631),"введи курс",P1631/Q1631)</f>
        <v/>
      </c>
      <c r="S1631" s="196">
        <f>IF(AND(ISNUMBER(E1631),ISNUMBER(Q1631)),E1631*R1631,0)</f>
        <v/>
      </c>
      <c r="T1631" s="192">
        <f>$BC1631*V$11</f>
        <v/>
      </c>
      <c r="U1631" s="76">
        <f>$BC1631*W$11</f>
        <v/>
      </c>
      <c r="V1631" s="193">
        <f>+SUM(T1631:U1631)</f>
        <v/>
      </c>
      <c r="W1631" s="191" t="n"/>
      <c r="X1631" s="170" t="n"/>
      <c r="Y1631" s="76">
        <f>ROUND(IF(offer_incoterms="DDP",X1631*(S1631*(1+AW1631)+T1631),0),2)</f>
        <v/>
      </c>
      <c r="Z1631" s="188" t="n"/>
      <c r="AA1631" s="192">
        <f>IFERROR(AB1631/E1631,0)</f>
        <v/>
      </c>
      <c r="AB1631" s="76">
        <f>ROUND(SUM(S1631,V1631,Y1631:Z1631,BA1631:BB1631),2)</f>
        <v/>
      </c>
      <c r="AC1631" s="797" t="n"/>
      <c r="AD1631" s="192">
        <f t="array" ref="AD1631">IFERROR(ROUND((_xlfn.IFS(offer_sale_type="поставка",AB1631,offer_sale_type="транзит",S1631)*(1+AC1631))/E1631,2),0)</f>
        <v/>
      </c>
      <c r="AE1631" s="76">
        <f>AD1631*E1631</f>
        <v/>
      </c>
      <c r="AF1631" s="193">
        <f t="array" ref="AF1631">IFERROR(ROUND(_xlfn.IFS(offer_sale_type="поставка",AB1631,offer_sale_type="транзит",S1631)*AC1631,2),0)</f>
        <v/>
      </c>
      <c r="AG1631" s="192">
        <f>$BD1631*VLOOKUP($AG$3,$AF$4:$AG$7,2,FALSE)</f>
        <v/>
      </c>
      <c r="AH1631" s="76">
        <f>SUM(AE1631,AG1631,AI1631)*rate_forex_risk</f>
        <v/>
      </c>
      <c r="AI1631" s="193">
        <f>IF(OR(seller_region="TR",offer_sale_type="экспорт"),0,rate_fin_comm)*SUM(AZ1631,AZ1631*AW1631,T1631)</f>
        <v/>
      </c>
      <c r="AJ1631" s="118">
        <f>IFERROR(ROUND(SUM(AB1631,AF1631:AI1631)/E1631,2),0)</f>
        <v/>
      </c>
      <c r="AK1631" s="76">
        <f>AJ1631*E1631</f>
        <v/>
      </c>
      <c r="AL1631" s="174">
        <f>ROUND(IFERROR(AM1631*E1631,0),2)</f>
        <v/>
      </c>
      <c r="AM1631" s="175">
        <f>ROUND(AJ1631*(1+IF(offer_incoterms="DDP",IF((TODAY()+offer_turnaround_time)&gt;=helpsheet!$L$17,rate_vatRU_from_26,rate_vatRu_till_25),0)),2)</f>
        <v/>
      </c>
      <c r="AN1631" s="192">
        <f>AL1631-AK1631</f>
        <v/>
      </c>
      <c r="AO1631" s="76">
        <f>SUM(AY1631,Y1631:Z1631,T1631)*IF(AND(offer_incoterms="DDP",offer_sale_type&lt;&gt;"экспорт"),IF((TODAY()+offer_turnaround_time)&gt;=helpsheet!$L$17,rate_vatRU_from_26,rate_vatRu_till_25),0)</f>
        <v/>
      </c>
      <c r="AP1631" s="193">
        <f>AN1631-AO1631</f>
        <v/>
      </c>
      <c r="AQ1631" s="118">
        <f>IF(offer_sale_type="транзит",SUM(AF1631:AI1631,BA1631,BB1631),0)</f>
        <v/>
      </c>
      <c r="AR1631" s="82">
        <f>HYPERLINK("https://www.alta.ru/tnved/code/")&amp;W1631&amp;"/"</f>
        <v/>
      </c>
      <c r="AS1631" s="157" t="n"/>
      <c r="AT1631" s="162" t="n"/>
      <c r="AU1631" s="76">
        <f>IF(ISBLANK(AT1631),0,AJ1631-AT1631)</f>
        <v/>
      </c>
      <c r="AV1631" s="157" t="n"/>
      <c r="AW1631" s="75">
        <f>_xlfn.IFNA(VLOOKUP(L1631,list_vat[],3,FALSE),0)</f>
        <v/>
      </c>
      <c r="AX1631" s="76">
        <f>IFERROR(ROUND(S1631*(1+AW1631)/E1631,2),0)</f>
        <v/>
      </c>
      <c r="AY1631" s="76">
        <f>E1631*AX1631</f>
        <v/>
      </c>
      <c r="AZ1631" s="192">
        <f>S1631*(1+M1631)</f>
        <v/>
      </c>
      <c r="BA1631" s="76">
        <f>cost_fin_total*$BD1631</f>
        <v/>
      </c>
      <c r="BB1631" s="193">
        <f>credit_sales_interest*BD1631</f>
        <v/>
      </c>
      <c r="BC1631" s="102">
        <f>IFERROR(IF($I$13&gt;0,$I1631/$I$13,$S1631/$S$13),0)</f>
        <v/>
      </c>
      <c r="BD1631" s="102">
        <f>IFERROR($S1631/$S$13,0)</f>
        <v/>
      </c>
      <c r="BE1631" s="413" t="inlineStr">
        <is>
          <t>$</t>
        </is>
      </c>
    </row>
    <row r="1632" ht="12" customFormat="1" customHeight="1" s="65">
      <c r="A1632" s="43" t="n">
        <v>1617</v>
      </c>
      <c r="B1632" s="166" t="n"/>
      <c r="C1632" s="166" t="n"/>
      <c r="D1632" s="166" t="n"/>
      <c r="E1632" s="162" t="n"/>
      <c r="F1632" s="166" t="n"/>
      <c r="G1632" s="162" t="n"/>
      <c r="H1632" s="162" t="n"/>
      <c r="I1632" s="189">
        <f>E1632*G1632</f>
        <v/>
      </c>
      <c r="J1632" s="195" t="n"/>
      <c r="K1632" s="162" t="n"/>
      <c r="L1632" s="168" t="n"/>
      <c r="M1632" s="75">
        <f>_xlfn.XLOOKUP(L1632,list_vat[Страна],list_vat[Ставка НДС %],0,0)</f>
        <v/>
      </c>
      <c r="N1632" s="162">
        <f>IFERROR(IF(L1632="Китай",K1632,K1632/(1+M1632)),0)</f>
        <v/>
      </c>
      <c r="O1632" s="169" t="n"/>
      <c r="P1632" s="76">
        <f>N1632*(1-O1632)</f>
        <v/>
      </c>
      <c r="Q1632" s="162" t="n"/>
      <c r="R1632" s="162">
        <f>IF(ISBLANK(Q1632),"введи курс",P1632/Q1632)</f>
        <v/>
      </c>
      <c r="S1632" s="196">
        <f>IF(AND(ISNUMBER(E1632),ISNUMBER(Q1632)),E1632*R1632,0)</f>
        <v/>
      </c>
      <c r="T1632" s="192">
        <f>$BC1632*V$11</f>
        <v/>
      </c>
      <c r="U1632" s="76">
        <f>$BC1632*W$11</f>
        <v/>
      </c>
      <c r="V1632" s="193">
        <f>+SUM(T1632:U1632)</f>
        <v/>
      </c>
      <c r="W1632" s="191" t="n"/>
      <c r="X1632" s="170" t="n"/>
      <c r="Y1632" s="76">
        <f>ROUND(IF(offer_incoterms="DDP",X1632*(S1632*(1+AW1632)+T1632),0),2)</f>
        <v/>
      </c>
      <c r="Z1632" s="188" t="n"/>
      <c r="AA1632" s="192">
        <f>IFERROR(AB1632/E1632,0)</f>
        <v/>
      </c>
      <c r="AB1632" s="76">
        <f>ROUND(SUM(S1632,V1632,Y1632:Z1632,BA1632:BB1632),2)</f>
        <v/>
      </c>
      <c r="AC1632" s="797" t="n"/>
      <c r="AD1632" s="192">
        <f t="array" ref="AD1632">IFERROR(ROUND((_xlfn.IFS(offer_sale_type="поставка",AB1632,offer_sale_type="транзит",S1632)*(1+AC1632))/E1632,2),0)</f>
        <v/>
      </c>
      <c r="AE1632" s="76">
        <f>AD1632*E1632</f>
        <v/>
      </c>
      <c r="AF1632" s="193">
        <f t="array" ref="AF1632">IFERROR(ROUND(_xlfn.IFS(offer_sale_type="поставка",AB1632,offer_sale_type="транзит",S1632)*AC1632,2),0)</f>
        <v/>
      </c>
      <c r="AG1632" s="192">
        <f>$BD1632*VLOOKUP($AG$3,$AF$4:$AG$7,2,FALSE)</f>
        <v/>
      </c>
      <c r="AH1632" s="76">
        <f>SUM(AE1632,AG1632,AI1632)*rate_forex_risk</f>
        <v/>
      </c>
      <c r="AI1632" s="193">
        <f>IF(OR(seller_region="TR",offer_sale_type="экспорт"),0,rate_fin_comm)*SUM(AZ1632,AZ1632*AW1632,T1632)</f>
        <v/>
      </c>
      <c r="AJ1632" s="118">
        <f>IFERROR(ROUND(SUM(AB1632,AF1632:AI1632)/E1632,2),0)</f>
        <v/>
      </c>
      <c r="AK1632" s="76">
        <f>AJ1632*E1632</f>
        <v/>
      </c>
      <c r="AL1632" s="174">
        <f>ROUND(IFERROR(AM1632*E1632,0),2)</f>
        <v/>
      </c>
      <c r="AM1632" s="175">
        <f>ROUND(AJ1632*(1+IF(offer_incoterms="DDP",IF((TODAY()+offer_turnaround_time)&gt;=helpsheet!$L$17,rate_vatRU_from_26,rate_vatRu_till_25),0)),2)</f>
        <v/>
      </c>
      <c r="AN1632" s="192">
        <f>AL1632-AK1632</f>
        <v/>
      </c>
      <c r="AO1632" s="76">
        <f>SUM(AY1632,Y1632:Z1632,T1632)*IF(AND(offer_incoterms="DDP",offer_sale_type&lt;&gt;"экспорт"),IF((TODAY()+offer_turnaround_time)&gt;=helpsheet!$L$17,rate_vatRU_from_26,rate_vatRu_till_25),0)</f>
        <v/>
      </c>
      <c r="AP1632" s="193">
        <f>AN1632-AO1632</f>
        <v/>
      </c>
      <c r="AQ1632" s="118">
        <f>IF(offer_sale_type="транзит",SUM(AF1632:AI1632,BA1632,BB1632),0)</f>
        <v/>
      </c>
      <c r="AR1632" s="82">
        <f>HYPERLINK("https://www.alta.ru/tnved/code/")&amp;W1632&amp;"/"</f>
        <v/>
      </c>
      <c r="AS1632" s="157" t="n"/>
      <c r="AT1632" s="162" t="n"/>
      <c r="AU1632" s="76">
        <f>IF(ISBLANK(AT1632),0,AJ1632-AT1632)</f>
        <v/>
      </c>
      <c r="AV1632" s="157" t="n"/>
      <c r="AW1632" s="75">
        <f>_xlfn.IFNA(VLOOKUP(L1632,list_vat[],3,FALSE),0)</f>
        <v/>
      </c>
      <c r="AX1632" s="76">
        <f>IFERROR(ROUND(S1632*(1+AW1632)/E1632,2),0)</f>
        <v/>
      </c>
      <c r="AY1632" s="76">
        <f>E1632*AX1632</f>
        <v/>
      </c>
      <c r="AZ1632" s="192">
        <f>S1632*(1+M1632)</f>
        <v/>
      </c>
      <c r="BA1632" s="76">
        <f>cost_fin_total*$BD1632</f>
        <v/>
      </c>
      <c r="BB1632" s="193">
        <f>credit_sales_interest*BD1632</f>
        <v/>
      </c>
      <c r="BC1632" s="102">
        <f>IFERROR(IF($I$13&gt;0,$I1632/$I$13,$S1632/$S$13),0)</f>
        <v/>
      </c>
      <c r="BD1632" s="102">
        <f>IFERROR($S1632/$S$13,0)</f>
        <v/>
      </c>
      <c r="BE1632" s="413" t="inlineStr">
        <is>
          <t>$</t>
        </is>
      </c>
    </row>
    <row r="1633" ht="12" customFormat="1" customHeight="1" s="65">
      <c r="A1633" s="43" t="n">
        <v>1618</v>
      </c>
      <c r="B1633" s="166" t="n"/>
      <c r="C1633" s="166" t="n"/>
      <c r="D1633" s="166" t="n"/>
      <c r="E1633" s="162" t="n"/>
      <c r="F1633" s="166" t="n"/>
      <c r="G1633" s="162" t="n"/>
      <c r="H1633" s="162" t="n"/>
      <c r="I1633" s="189">
        <f>E1633*G1633</f>
        <v/>
      </c>
      <c r="J1633" s="195" t="n"/>
      <c r="K1633" s="162" t="n"/>
      <c r="L1633" s="168" t="n"/>
      <c r="M1633" s="75">
        <f>_xlfn.XLOOKUP(L1633,list_vat[Страна],list_vat[Ставка НДС %],0,0)</f>
        <v/>
      </c>
      <c r="N1633" s="162">
        <f>IFERROR(IF(L1633="Китай",K1633,K1633/(1+M1633)),0)</f>
        <v/>
      </c>
      <c r="O1633" s="169" t="n"/>
      <c r="P1633" s="76">
        <f>N1633*(1-O1633)</f>
        <v/>
      </c>
      <c r="Q1633" s="162" t="n"/>
      <c r="R1633" s="162">
        <f>IF(ISBLANK(Q1633),"введи курс",P1633/Q1633)</f>
        <v/>
      </c>
      <c r="S1633" s="196">
        <f>IF(AND(ISNUMBER(E1633),ISNUMBER(Q1633)),E1633*R1633,0)</f>
        <v/>
      </c>
      <c r="T1633" s="192">
        <f>$BC1633*V$11</f>
        <v/>
      </c>
      <c r="U1633" s="76">
        <f>$BC1633*W$11</f>
        <v/>
      </c>
      <c r="V1633" s="193">
        <f>+SUM(T1633:U1633)</f>
        <v/>
      </c>
      <c r="W1633" s="191" t="n"/>
      <c r="X1633" s="170" t="n"/>
      <c r="Y1633" s="76">
        <f>ROUND(IF(offer_incoterms="DDP",X1633*(S1633*(1+AW1633)+T1633),0),2)</f>
        <v/>
      </c>
      <c r="Z1633" s="188" t="n"/>
      <c r="AA1633" s="192">
        <f>IFERROR(AB1633/E1633,0)</f>
        <v/>
      </c>
      <c r="AB1633" s="76">
        <f>ROUND(SUM(S1633,V1633,Y1633:Z1633,BA1633:BB1633),2)</f>
        <v/>
      </c>
      <c r="AC1633" s="797" t="n"/>
      <c r="AD1633" s="192">
        <f t="array" ref="AD1633">IFERROR(ROUND((_xlfn.IFS(offer_sale_type="поставка",AB1633,offer_sale_type="транзит",S1633)*(1+AC1633))/E1633,2),0)</f>
        <v/>
      </c>
      <c r="AE1633" s="76">
        <f>AD1633*E1633</f>
        <v/>
      </c>
      <c r="AF1633" s="193">
        <f t="array" ref="AF1633">IFERROR(ROUND(_xlfn.IFS(offer_sale_type="поставка",AB1633,offer_sale_type="транзит",S1633)*AC1633,2),0)</f>
        <v/>
      </c>
      <c r="AG1633" s="192">
        <f>$BD1633*VLOOKUP($AG$3,$AF$4:$AG$7,2,FALSE)</f>
        <v/>
      </c>
      <c r="AH1633" s="76">
        <f>SUM(AE1633,AG1633,AI1633)*rate_forex_risk</f>
        <v/>
      </c>
      <c r="AI1633" s="193">
        <f>IF(OR(seller_region="TR",offer_sale_type="экспорт"),0,rate_fin_comm)*SUM(AZ1633,AZ1633*AW1633,T1633)</f>
        <v/>
      </c>
      <c r="AJ1633" s="118">
        <f>IFERROR(ROUND(SUM(AB1633,AF1633:AI1633)/E1633,2),0)</f>
        <v/>
      </c>
      <c r="AK1633" s="76">
        <f>AJ1633*E1633</f>
        <v/>
      </c>
      <c r="AL1633" s="174">
        <f>ROUND(IFERROR(AM1633*E1633,0),2)</f>
        <v/>
      </c>
      <c r="AM1633" s="175">
        <f>ROUND(AJ1633*(1+IF(offer_incoterms="DDP",IF((TODAY()+offer_turnaround_time)&gt;=helpsheet!$L$17,rate_vatRU_from_26,rate_vatRu_till_25),0)),2)</f>
        <v/>
      </c>
      <c r="AN1633" s="192">
        <f>AL1633-AK1633</f>
        <v/>
      </c>
      <c r="AO1633" s="76">
        <f>SUM(AY1633,Y1633:Z1633,T1633)*IF(AND(offer_incoterms="DDP",offer_sale_type&lt;&gt;"экспорт"),IF((TODAY()+offer_turnaround_time)&gt;=helpsheet!$L$17,rate_vatRU_from_26,rate_vatRu_till_25),0)</f>
        <v/>
      </c>
      <c r="AP1633" s="193">
        <f>AN1633-AO1633</f>
        <v/>
      </c>
      <c r="AQ1633" s="118">
        <f>IF(offer_sale_type="транзит",SUM(AF1633:AI1633,BA1633,BB1633),0)</f>
        <v/>
      </c>
      <c r="AR1633" s="82">
        <f>HYPERLINK("https://www.alta.ru/tnved/code/")&amp;W1633&amp;"/"</f>
        <v/>
      </c>
      <c r="AS1633" s="157" t="n"/>
      <c r="AT1633" s="162" t="n"/>
      <c r="AU1633" s="76">
        <f>IF(ISBLANK(AT1633),0,AJ1633-AT1633)</f>
        <v/>
      </c>
      <c r="AV1633" s="157" t="n"/>
      <c r="AW1633" s="75">
        <f>_xlfn.IFNA(VLOOKUP(L1633,list_vat[],3,FALSE),0)</f>
        <v/>
      </c>
      <c r="AX1633" s="76">
        <f>IFERROR(ROUND(S1633*(1+AW1633)/E1633,2),0)</f>
        <v/>
      </c>
      <c r="AY1633" s="76">
        <f>E1633*AX1633</f>
        <v/>
      </c>
      <c r="AZ1633" s="192">
        <f>S1633*(1+M1633)</f>
        <v/>
      </c>
      <c r="BA1633" s="76">
        <f>cost_fin_total*$BD1633</f>
        <v/>
      </c>
      <c r="BB1633" s="193">
        <f>credit_sales_interest*BD1633</f>
        <v/>
      </c>
      <c r="BC1633" s="102">
        <f>IFERROR(IF($I$13&gt;0,$I1633/$I$13,$S1633/$S$13),0)</f>
        <v/>
      </c>
      <c r="BD1633" s="102">
        <f>IFERROR($S1633/$S$13,0)</f>
        <v/>
      </c>
      <c r="BE1633" s="413" t="inlineStr">
        <is>
          <t>$</t>
        </is>
      </c>
    </row>
    <row r="1634" ht="12" customFormat="1" customHeight="1" s="65">
      <c r="A1634" s="43" t="n">
        <v>1619</v>
      </c>
      <c r="B1634" s="166" t="n"/>
      <c r="C1634" s="166" t="n"/>
      <c r="D1634" s="166" t="n"/>
      <c r="E1634" s="162" t="n"/>
      <c r="F1634" s="166" t="n"/>
      <c r="G1634" s="162" t="n"/>
      <c r="H1634" s="162" t="n"/>
      <c r="I1634" s="189">
        <f>E1634*G1634</f>
        <v/>
      </c>
      <c r="J1634" s="195" t="n"/>
      <c r="K1634" s="162" t="n"/>
      <c r="L1634" s="168" t="n"/>
      <c r="M1634" s="75">
        <f>_xlfn.XLOOKUP(L1634,list_vat[Страна],list_vat[Ставка НДС %],0,0)</f>
        <v/>
      </c>
      <c r="N1634" s="162">
        <f>IFERROR(IF(L1634="Китай",K1634,K1634/(1+M1634)),0)</f>
        <v/>
      </c>
      <c r="O1634" s="169" t="n"/>
      <c r="P1634" s="76">
        <f>N1634*(1-O1634)</f>
        <v/>
      </c>
      <c r="Q1634" s="162" t="n"/>
      <c r="R1634" s="162">
        <f>IF(ISBLANK(Q1634),"введи курс",P1634/Q1634)</f>
        <v/>
      </c>
      <c r="S1634" s="196">
        <f>IF(AND(ISNUMBER(E1634),ISNUMBER(Q1634)),E1634*R1634,0)</f>
        <v/>
      </c>
      <c r="T1634" s="192">
        <f>$BC1634*V$11</f>
        <v/>
      </c>
      <c r="U1634" s="76">
        <f>$BC1634*W$11</f>
        <v/>
      </c>
      <c r="V1634" s="193">
        <f>+SUM(T1634:U1634)</f>
        <v/>
      </c>
      <c r="W1634" s="191" t="n"/>
      <c r="X1634" s="170" t="n"/>
      <c r="Y1634" s="76">
        <f>ROUND(IF(offer_incoterms="DDP",X1634*(S1634*(1+AW1634)+T1634),0),2)</f>
        <v/>
      </c>
      <c r="Z1634" s="188" t="n"/>
      <c r="AA1634" s="192">
        <f>IFERROR(AB1634/E1634,0)</f>
        <v/>
      </c>
      <c r="AB1634" s="76">
        <f>ROUND(SUM(S1634,V1634,Y1634:Z1634,BA1634:BB1634),2)</f>
        <v/>
      </c>
      <c r="AC1634" s="797" t="n"/>
      <c r="AD1634" s="192">
        <f t="array" ref="AD1634">IFERROR(ROUND((_xlfn.IFS(offer_sale_type="поставка",AB1634,offer_sale_type="транзит",S1634)*(1+AC1634))/E1634,2),0)</f>
        <v/>
      </c>
      <c r="AE1634" s="76">
        <f>AD1634*E1634</f>
        <v/>
      </c>
      <c r="AF1634" s="193">
        <f t="array" ref="AF1634">IFERROR(ROUND(_xlfn.IFS(offer_sale_type="поставка",AB1634,offer_sale_type="транзит",S1634)*AC1634,2),0)</f>
        <v/>
      </c>
      <c r="AG1634" s="192">
        <f>$BD1634*VLOOKUP($AG$3,$AF$4:$AG$7,2,FALSE)</f>
        <v/>
      </c>
      <c r="AH1634" s="76">
        <f>SUM(AE1634,AG1634,AI1634)*rate_forex_risk</f>
        <v/>
      </c>
      <c r="AI1634" s="193">
        <f>IF(OR(seller_region="TR",offer_sale_type="экспорт"),0,rate_fin_comm)*SUM(AZ1634,AZ1634*AW1634,T1634)</f>
        <v/>
      </c>
      <c r="AJ1634" s="118">
        <f>IFERROR(ROUND(SUM(AB1634,AF1634:AI1634)/E1634,2),0)</f>
        <v/>
      </c>
      <c r="AK1634" s="76">
        <f>AJ1634*E1634</f>
        <v/>
      </c>
      <c r="AL1634" s="174">
        <f>ROUND(IFERROR(AM1634*E1634,0),2)</f>
        <v/>
      </c>
      <c r="AM1634" s="175">
        <f>ROUND(AJ1634*(1+IF(offer_incoterms="DDP",IF((TODAY()+offer_turnaround_time)&gt;=helpsheet!$L$17,rate_vatRU_from_26,rate_vatRu_till_25),0)),2)</f>
        <v/>
      </c>
      <c r="AN1634" s="192">
        <f>AL1634-AK1634</f>
        <v/>
      </c>
      <c r="AO1634" s="76">
        <f>SUM(AY1634,Y1634:Z1634,T1634)*IF(AND(offer_incoterms="DDP",offer_sale_type&lt;&gt;"экспорт"),IF((TODAY()+offer_turnaround_time)&gt;=helpsheet!$L$17,rate_vatRU_from_26,rate_vatRu_till_25),0)</f>
        <v/>
      </c>
      <c r="AP1634" s="193">
        <f>AN1634-AO1634</f>
        <v/>
      </c>
      <c r="AQ1634" s="118">
        <f>IF(offer_sale_type="транзит",SUM(AF1634:AI1634,BA1634,BB1634),0)</f>
        <v/>
      </c>
      <c r="AR1634" s="82">
        <f>HYPERLINK("https://www.alta.ru/tnved/code/")&amp;W1634&amp;"/"</f>
        <v/>
      </c>
      <c r="AS1634" s="157" t="n"/>
      <c r="AT1634" s="162" t="n"/>
      <c r="AU1634" s="76">
        <f>IF(ISBLANK(AT1634),0,AJ1634-AT1634)</f>
        <v/>
      </c>
      <c r="AV1634" s="157" t="n"/>
      <c r="AW1634" s="75">
        <f>_xlfn.IFNA(VLOOKUP(L1634,list_vat[],3,FALSE),0)</f>
        <v/>
      </c>
      <c r="AX1634" s="76">
        <f>IFERROR(ROUND(S1634*(1+AW1634)/E1634,2),0)</f>
        <v/>
      </c>
      <c r="AY1634" s="76">
        <f>E1634*AX1634</f>
        <v/>
      </c>
      <c r="AZ1634" s="192">
        <f>S1634*(1+M1634)</f>
        <v/>
      </c>
      <c r="BA1634" s="76">
        <f>cost_fin_total*$BD1634</f>
        <v/>
      </c>
      <c r="BB1634" s="193">
        <f>credit_sales_interest*BD1634</f>
        <v/>
      </c>
      <c r="BC1634" s="102">
        <f>IFERROR(IF($I$13&gt;0,$I1634/$I$13,$S1634/$S$13),0)</f>
        <v/>
      </c>
      <c r="BD1634" s="102">
        <f>IFERROR($S1634/$S$13,0)</f>
        <v/>
      </c>
      <c r="BE1634" s="413" t="inlineStr">
        <is>
          <t>$</t>
        </is>
      </c>
    </row>
    <row r="1635" ht="12" customFormat="1" customHeight="1" s="65">
      <c r="A1635" s="43" t="n">
        <v>1620</v>
      </c>
      <c r="B1635" s="166" t="n"/>
      <c r="C1635" s="166" t="n"/>
      <c r="D1635" s="166" t="n"/>
      <c r="E1635" s="162" t="n"/>
      <c r="F1635" s="166" t="n"/>
      <c r="G1635" s="162" t="n"/>
      <c r="H1635" s="162" t="n"/>
      <c r="I1635" s="189">
        <f>E1635*G1635</f>
        <v/>
      </c>
      <c r="J1635" s="195" t="n"/>
      <c r="K1635" s="162" t="n"/>
      <c r="L1635" s="168" t="n"/>
      <c r="M1635" s="75">
        <f>_xlfn.XLOOKUP(L1635,list_vat[Страна],list_vat[Ставка НДС %],0,0)</f>
        <v/>
      </c>
      <c r="N1635" s="162">
        <f>IFERROR(IF(L1635="Китай",K1635,K1635/(1+M1635)),0)</f>
        <v/>
      </c>
      <c r="O1635" s="169" t="n"/>
      <c r="P1635" s="76">
        <f>N1635*(1-O1635)</f>
        <v/>
      </c>
      <c r="Q1635" s="162" t="n"/>
      <c r="R1635" s="162">
        <f>IF(ISBLANK(Q1635),"введи курс",P1635/Q1635)</f>
        <v/>
      </c>
      <c r="S1635" s="196">
        <f>IF(AND(ISNUMBER(E1635),ISNUMBER(Q1635)),E1635*R1635,0)</f>
        <v/>
      </c>
      <c r="T1635" s="192">
        <f>$BC1635*V$11</f>
        <v/>
      </c>
      <c r="U1635" s="76">
        <f>$BC1635*W$11</f>
        <v/>
      </c>
      <c r="V1635" s="193">
        <f>+SUM(T1635:U1635)</f>
        <v/>
      </c>
      <c r="W1635" s="191" t="n"/>
      <c r="X1635" s="170" t="n"/>
      <c r="Y1635" s="76">
        <f>ROUND(IF(offer_incoterms="DDP",X1635*(S1635*(1+AW1635)+T1635),0),2)</f>
        <v/>
      </c>
      <c r="Z1635" s="188" t="n"/>
      <c r="AA1635" s="192">
        <f>IFERROR(AB1635/E1635,0)</f>
        <v/>
      </c>
      <c r="AB1635" s="76">
        <f>ROUND(SUM(S1635,V1635,Y1635:Z1635,BA1635:BB1635),2)</f>
        <v/>
      </c>
      <c r="AC1635" s="797" t="n"/>
      <c r="AD1635" s="192">
        <f t="array" ref="AD1635">IFERROR(ROUND((_xlfn.IFS(offer_sale_type="поставка",AB1635,offer_sale_type="транзит",S1635)*(1+AC1635))/E1635,2),0)</f>
        <v/>
      </c>
      <c r="AE1635" s="76">
        <f>AD1635*E1635</f>
        <v/>
      </c>
      <c r="AF1635" s="193">
        <f t="array" ref="AF1635">IFERROR(ROUND(_xlfn.IFS(offer_sale_type="поставка",AB1635,offer_sale_type="транзит",S1635)*AC1635,2),0)</f>
        <v/>
      </c>
      <c r="AG1635" s="192">
        <f>$BD1635*VLOOKUP($AG$3,$AF$4:$AG$7,2,FALSE)</f>
        <v/>
      </c>
      <c r="AH1635" s="76">
        <f>SUM(AE1635,AG1635,AI1635)*rate_forex_risk</f>
        <v/>
      </c>
      <c r="AI1635" s="193">
        <f>IF(OR(seller_region="TR",offer_sale_type="экспорт"),0,rate_fin_comm)*SUM(AZ1635,AZ1635*AW1635,T1635)</f>
        <v/>
      </c>
      <c r="AJ1635" s="118">
        <f>IFERROR(ROUND(SUM(AB1635,AF1635:AI1635)/E1635,2),0)</f>
        <v/>
      </c>
      <c r="AK1635" s="76">
        <f>AJ1635*E1635</f>
        <v/>
      </c>
      <c r="AL1635" s="174">
        <f>ROUND(IFERROR(AM1635*E1635,0),2)</f>
        <v/>
      </c>
      <c r="AM1635" s="175">
        <f>ROUND(AJ1635*(1+IF(offer_incoterms="DDP",IF((TODAY()+offer_turnaround_time)&gt;=helpsheet!$L$17,rate_vatRU_from_26,rate_vatRu_till_25),0)),2)</f>
        <v/>
      </c>
      <c r="AN1635" s="192">
        <f>AL1635-AK1635</f>
        <v/>
      </c>
      <c r="AO1635" s="76">
        <f>SUM(AY1635,Y1635:Z1635,T1635)*IF(AND(offer_incoterms="DDP",offer_sale_type&lt;&gt;"экспорт"),IF((TODAY()+offer_turnaround_time)&gt;=helpsheet!$L$17,rate_vatRU_from_26,rate_vatRu_till_25),0)</f>
        <v/>
      </c>
      <c r="AP1635" s="193">
        <f>AN1635-AO1635</f>
        <v/>
      </c>
      <c r="AQ1635" s="118">
        <f>IF(offer_sale_type="транзит",SUM(AF1635:AI1635,BA1635,BB1635),0)</f>
        <v/>
      </c>
      <c r="AR1635" s="82">
        <f>HYPERLINK("https://www.alta.ru/tnved/code/")&amp;W1635&amp;"/"</f>
        <v/>
      </c>
      <c r="AS1635" s="157" t="n"/>
      <c r="AT1635" s="162" t="n"/>
      <c r="AU1635" s="76">
        <f>IF(ISBLANK(AT1635),0,AJ1635-AT1635)</f>
        <v/>
      </c>
      <c r="AV1635" s="157" t="n"/>
      <c r="AW1635" s="75">
        <f>_xlfn.IFNA(VLOOKUP(L1635,list_vat[],3,FALSE),0)</f>
        <v/>
      </c>
      <c r="AX1635" s="76">
        <f>IFERROR(ROUND(S1635*(1+AW1635)/E1635,2),0)</f>
        <v/>
      </c>
      <c r="AY1635" s="76">
        <f>E1635*AX1635</f>
        <v/>
      </c>
      <c r="AZ1635" s="192">
        <f>S1635*(1+M1635)</f>
        <v/>
      </c>
      <c r="BA1635" s="76">
        <f>cost_fin_total*$BD1635</f>
        <v/>
      </c>
      <c r="BB1635" s="193">
        <f>credit_sales_interest*BD1635</f>
        <v/>
      </c>
      <c r="BC1635" s="102">
        <f>IFERROR(IF($I$13&gt;0,$I1635/$I$13,$S1635/$S$13),0)</f>
        <v/>
      </c>
      <c r="BD1635" s="102">
        <f>IFERROR($S1635/$S$13,0)</f>
        <v/>
      </c>
      <c r="BE1635" s="413" t="inlineStr">
        <is>
          <t>$</t>
        </is>
      </c>
    </row>
    <row r="1636" ht="12" customFormat="1" customHeight="1" s="65">
      <c r="A1636" s="43" t="n">
        <v>1621</v>
      </c>
      <c r="B1636" s="166" t="n"/>
      <c r="C1636" s="166" t="n"/>
      <c r="D1636" s="166" t="n"/>
      <c r="E1636" s="162" t="n"/>
      <c r="F1636" s="166" t="n"/>
      <c r="G1636" s="162" t="n"/>
      <c r="H1636" s="162" t="n"/>
      <c r="I1636" s="189">
        <f>E1636*G1636</f>
        <v/>
      </c>
      <c r="J1636" s="195" t="n"/>
      <c r="K1636" s="162" t="n"/>
      <c r="L1636" s="168" t="n"/>
      <c r="M1636" s="75">
        <f>_xlfn.XLOOKUP(L1636,list_vat[Страна],list_vat[Ставка НДС %],0,0)</f>
        <v/>
      </c>
      <c r="N1636" s="162">
        <f>IFERROR(IF(L1636="Китай",K1636,K1636/(1+M1636)),0)</f>
        <v/>
      </c>
      <c r="O1636" s="169" t="n"/>
      <c r="P1636" s="76">
        <f>N1636*(1-O1636)</f>
        <v/>
      </c>
      <c r="Q1636" s="162" t="n"/>
      <c r="R1636" s="162">
        <f>IF(ISBLANK(Q1636),"введи курс",P1636/Q1636)</f>
        <v/>
      </c>
      <c r="S1636" s="196">
        <f>IF(AND(ISNUMBER(E1636),ISNUMBER(Q1636)),E1636*R1636,0)</f>
        <v/>
      </c>
      <c r="T1636" s="192">
        <f>$BC1636*V$11</f>
        <v/>
      </c>
      <c r="U1636" s="76">
        <f>$BC1636*W$11</f>
        <v/>
      </c>
      <c r="V1636" s="193">
        <f>+SUM(T1636:U1636)</f>
        <v/>
      </c>
      <c r="W1636" s="191" t="n"/>
      <c r="X1636" s="170" t="n"/>
      <c r="Y1636" s="76">
        <f>ROUND(IF(offer_incoterms="DDP",X1636*(S1636*(1+AW1636)+T1636),0),2)</f>
        <v/>
      </c>
      <c r="Z1636" s="188" t="n"/>
      <c r="AA1636" s="192">
        <f>IFERROR(AB1636/E1636,0)</f>
        <v/>
      </c>
      <c r="AB1636" s="76">
        <f>ROUND(SUM(S1636,V1636,Y1636:Z1636,BA1636:BB1636),2)</f>
        <v/>
      </c>
      <c r="AC1636" s="797" t="n"/>
      <c r="AD1636" s="192">
        <f t="array" ref="AD1636">IFERROR(ROUND((_xlfn.IFS(offer_sale_type="поставка",AB1636,offer_sale_type="транзит",S1636)*(1+AC1636))/E1636,2),0)</f>
        <v/>
      </c>
      <c r="AE1636" s="76">
        <f>AD1636*E1636</f>
        <v/>
      </c>
      <c r="AF1636" s="193">
        <f t="array" ref="AF1636">IFERROR(ROUND(_xlfn.IFS(offer_sale_type="поставка",AB1636,offer_sale_type="транзит",S1636)*AC1636,2),0)</f>
        <v/>
      </c>
      <c r="AG1636" s="192">
        <f>$BD1636*VLOOKUP($AG$3,$AF$4:$AG$7,2,FALSE)</f>
        <v/>
      </c>
      <c r="AH1636" s="76">
        <f>SUM(AE1636,AG1636,AI1636)*rate_forex_risk</f>
        <v/>
      </c>
      <c r="AI1636" s="193">
        <f>IF(OR(seller_region="TR",offer_sale_type="экспорт"),0,rate_fin_comm)*SUM(AZ1636,AZ1636*AW1636,T1636)</f>
        <v/>
      </c>
      <c r="AJ1636" s="118">
        <f>IFERROR(ROUND(SUM(AB1636,AF1636:AI1636)/E1636,2),0)</f>
        <v/>
      </c>
      <c r="AK1636" s="76">
        <f>AJ1636*E1636</f>
        <v/>
      </c>
      <c r="AL1636" s="174">
        <f>ROUND(IFERROR(AM1636*E1636,0),2)</f>
        <v/>
      </c>
      <c r="AM1636" s="175">
        <f>ROUND(AJ1636*(1+IF(offer_incoterms="DDP",IF((TODAY()+offer_turnaround_time)&gt;=helpsheet!$L$17,rate_vatRU_from_26,rate_vatRu_till_25),0)),2)</f>
        <v/>
      </c>
      <c r="AN1636" s="192">
        <f>AL1636-AK1636</f>
        <v/>
      </c>
      <c r="AO1636" s="76">
        <f>SUM(AY1636,Y1636:Z1636,T1636)*IF(AND(offer_incoterms="DDP",offer_sale_type&lt;&gt;"экспорт"),IF((TODAY()+offer_turnaround_time)&gt;=helpsheet!$L$17,rate_vatRU_from_26,rate_vatRu_till_25),0)</f>
        <v/>
      </c>
      <c r="AP1636" s="193">
        <f>AN1636-AO1636</f>
        <v/>
      </c>
      <c r="AQ1636" s="118">
        <f>IF(offer_sale_type="транзит",SUM(AF1636:AI1636,BA1636,BB1636),0)</f>
        <v/>
      </c>
      <c r="AR1636" s="82">
        <f>HYPERLINK("https://www.alta.ru/tnved/code/")&amp;W1636&amp;"/"</f>
        <v/>
      </c>
      <c r="AS1636" s="157" t="n"/>
      <c r="AT1636" s="162" t="n"/>
      <c r="AU1636" s="76">
        <f>IF(ISBLANK(AT1636),0,AJ1636-AT1636)</f>
        <v/>
      </c>
      <c r="AV1636" s="157" t="n"/>
      <c r="AW1636" s="75">
        <f>_xlfn.IFNA(VLOOKUP(L1636,list_vat[],3,FALSE),0)</f>
        <v/>
      </c>
      <c r="AX1636" s="76">
        <f>IFERROR(ROUND(S1636*(1+AW1636)/E1636,2),0)</f>
        <v/>
      </c>
      <c r="AY1636" s="76">
        <f>E1636*AX1636</f>
        <v/>
      </c>
      <c r="AZ1636" s="192">
        <f>S1636*(1+M1636)</f>
        <v/>
      </c>
      <c r="BA1636" s="76">
        <f>cost_fin_total*$BD1636</f>
        <v/>
      </c>
      <c r="BB1636" s="193">
        <f>credit_sales_interest*BD1636</f>
        <v/>
      </c>
      <c r="BC1636" s="102">
        <f>IFERROR(IF($I$13&gt;0,$I1636/$I$13,$S1636/$S$13),0)</f>
        <v/>
      </c>
      <c r="BD1636" s="102">
        <f>IFERROR($S1636/$S$13,0)</f>
        <v/>
      </c>
      <c r="BE1636" s="413" t="inlineStr">
        <is>
          <t>$</t>
        </is>
      </c>
    </row>
    <row r="1637" ht="12" customFormat="1" customHeight="1" s="65">
      <c r="A1637" s="43" t="n">
        <v>1622</v>
      </c>
      <c r="B1637" s="166" t="n"/>
      <c r="C1637" s="166" t="n"/>
      <c r="D1637" s="166" t="n"/>
      <c r="E1637" s="162" t="n"/>
      <c r="F1637" s="166" t="n"/>
      <c r="G1637" s="162" t="n"/>
      <c r="H1637" s="162" t="n"/>
      <c r="I1637" s="189">
        <f>E1637*G1637</f>
        <v/>
      </c>
      <c r="J1637" s="195" t="n"/>
      <c r="K1637" s="162" t="n"/>
      <c r="L1637" s="168" t="n"/>
      <c r="M1637" s="75">
        <f>_xlfn.XLOOKUP(L1637,list_vat[Страна],list_vat[Ставка НДС %],0,0)</f>
        <v/>
      </c>
      <c r="N1637" s="162">
        <f>IFERROR(IF(L1637="Китай",K1637,K1637/(1+M1637)),0)</f>
        <v/>
      </c>
      <c r="O1637" s="169" t="n"/>
      <c r="P1637" s="76">
        <f>N1637*(1-O1637)</f>
        <v/>
      </c>
      <c r="Q1637" s="162" t="n"/>
      <c r="R1637" s="162">
        <f>IF(ISBLANK(Q1637),"введи курс",P1637/Q1637)</f>
        <v/>
      </c>
      <c r="S1637" s="196">
        <f>IF(AND(ISNUMBER(E1637),ISNUMBER(Q1637)),E1637*R1637,0)</f>
        <v/>
      </c>
      <c r="T1637" s="192">
        <f>$BC1637*V$11</f>
        <v/>
      </c>
      <c r="U1637" s="76">
        <f>$BC1637*W$11</f>
        <v/>
      </c>
      <c r="V1637" s="193">
        <f>+SUM(T1637:U1637)</f>
        <v/>
      </c>
      <c r="W1637" s="191" t="n"/>
      <c r="X1637" s="170" t="n"/>
      <c r="Y1637" s="76">
        <f>ROUND(IF(offer_incoterms="DDP",X1637*(S1637*(1+AW1637)+T1637),0),2)</f>
        <v/>
      </c>
      <c r="Z1637" s="188" t="n"/>
      <c r="AA1637" s="192">
        <f>IFERROR(AB1637/E1637,0)</f>
        <v/>
      </c>
      <c r="AB1637" s="76">
        <f>ROUND(SUM(S1637,V1637,Y1637:Z1637,BA1637:BB1637),2)</f>
        <v/>
      </c>
      <c r="AC1637" s="797" t="n"/>
      <c r="AD1637" s="192">
        <f t="array" ref="AD1637">IFERROR(ROUND((_xlfn.IFS(offer_sale_type="поставка",AB1637,offer_sale_type="транзит",S1637)*(1+AC1637))/E1637,2),0)</f>
        <v/>
      </c>
      <c r="AE1637" s="76">
        <f>AD1637*E1637</f>
        <v/>
      </c>
      <c r="AF1637" s="193">
        <f t="array" ref="AF1637">IFERROR(ROUND(_xlfn.IFS(offer_sale_type="поставка",AB1637,offer_sale_type="транзит",S1637)*AC1637,2),0)</f>
        <v/>
      </c>
      <c r="AG1637" s="192">
        <f>$BD1637*VLOOKUP($AG$3,$AF$4:$AG$7,2,FALSE)</f>
        <v/>
      </c>
      <c r="AH1637" s="76">
        <f>SUM(AE1637,AG1637,AI1637)*rate_forex_risk</f>
        <v/>
      </c>
      <c r="AI1637" s="193">
        <f>IF(OR(seller_region="TR",offer_sale_type="экспорт"),0,rate_fin_comm)*SUM(AZ1637,AZ1637*AW1637,T1637)</f>
        <v/>
      </c>
      <c r="AJ1637" s="118">
        <f>IFERROR(ROUND(SUM(AB1637,AF1637:AI1637)/E1637,2),0)</f>
        <v/>
      </c>
      <c r="AK1637" s="76">
        <f>AJ1637*E1637</f>
        <v/>
      </c>
      <c r="AL1637" s="174">
        <f>ROUND(IFERROR(AM1637*E1637,0),2)</f>
        <v/>
      </c>
      <c r="AM1637" s="175">
        <f>ROUND(AJ1637*(1+IF(offer_incoterms="DDP",IF((TODAY()+offer_turnaround_time)&gt;=helpsheet!$L$17,rate_vatRU_from_26,rate_vatRu_till_25),0)),2)</f>
        <v/>
      </c>
      <c r="AN1637" s="192">
        <f>AL1637-AK1637</f>
        <v/>
      </c>
      <c r="AO1637" s="76">
        <f>SUM(AY1637,Y1637:Z1637,T1637)*IF(AND(offer_incoterms="DDP",offer_sale_type&lt;&gt;"экспорт"),IF((TODAY()+offer_turnaround_time)&gt;=helpsheet!$L$17,rate_vatRU_from_26,rate_vatRu_till_25),0)</f>
        <v/>
      </c>
      <c r="AP1637" s="193">
        <f>AN1637-AO1637</f>
        <v/>
      </c>
      <c r="AQ1637" s="118">
        <f>IF(offer_sale_type="транзит",SUM(AF1637:AI1637,BA1637,BB1637),0)</f>
        <v/>
      </c>
      <c r="AR1637" s="82">
        <f>HYPERLINK("https://www.alta.ru/tnved/code/")&amp;W1637&amp;"/"</f>
        <v/>
      </c>
      <c r="AS1637" s="157" t="n"/>
      <c r="AT1637" s="162" t="n"/>
      <c r="AU1637" s="76">
        <f>IF(ISBLANK(AT1637),0,AJ1637-AT1637)</f>
        <v/>
      </c>
      <c r="AV1637" s="157" t="n"/>
      <c r="AW1637" s="75">
        <f>_xlfn.IFNA(VLOOKUP(L1637,list_vat[],3,FALSE),0)</f>
        <v/>
      </c>
      <c r="AX1637" s="76">
        <f>IFERROR(ROUND(S1637*(1+AW1637)/E1637,2),0)</f>
        <v/>
      </c>
      <c r="AY1637" s="76">
        <f>E1637*AX1637</f>
        <v/>
      </c>
      <c r="AZ1637" s="192">
        <f>S1637*(1+M1637)</f>
        <v/>
      </c>
      <c r="BA1637" s="76">
        <f>cost_fin_total*$BD1637</f>
        <v/>
      </c>
      <c r="BB1637" s="193">
        <f>credit_sales_interest*BD1637</f>
        <v/>
      </c>
      <c r="BC1637" s="102">
        <f>IFERROR(IF($I$13&gt;0,$I1637/$I$13,$S1637/$S$13),0)</f>
        <v/>
      </c>
      <c r="BD1637" s="102">
        <f>IFERROR($S1637/$S$13,0)</f>
        <v/>
      </c>
      <c r="BE1637" s="413" t="inlineStr">
        <is>
          <t>$</t>
        </is>
      </c>
    </row>
    <row r="1638" ht="12" customFormat="1" customHeight="1" s="65">
      <c r="A1638" s="43" t="n">
        <v>1623</v>
      </c>
      <c r="B1638" s="166" t="n"/>
      <c r="C1638" s="166" t="n"/>
      <c r="D1638" s="166" t="n"/>
      <c r="E1638" s="162" t="n"/>
      <c r="F1638" s="166" t="n"/>
      <c r="G1638" s="162" t="n"/>
      <c r="H1638" s="162" t="n"/>
      <c r="I1638" s="189">
        <f>E1638*G1638</f>
        <v/>
      </c>
      <c r="J1638" s="195" t="n"/>
      <c r="K1638" s="162" t="n"/>
      <c r="L1638" s="168" t="n"/>
      <c r="M1638" s="75">
        <f>_xlfn.XLOOKUP(L1638,list_vat[Страна],list_vat[Ставка НДС %],0,0)</f>
        <v/>
      </c>
      <c r="N1638" s="162">
        <f>IFERROR(IF(L1638="Китай",K1638,K1638/(1+M1638)),0)</f>
        <v/>
      </c>
      <c r="O1638" s="169" t="n"/>
      <c r="P1638" s="76">
        <f>N1638*(1-O1638)</f>
        <v/>
      </c>
      <c r="Q1638" s="162" t="n"/>
      <c r="R1638" s="162">
        <f>IF(ISBLANK(Q1638),"введи курс",P1638/Q1638)</f>
        <v/>
      </c>
      <c r="S1638" s="196">
        <f>IF(AND(ISNUMBER(E1638),ISNUMBER(Q1638)),E1638*R1638,0)</f>
        <v/>
      </c>
      <c r="T1638" s="192">
        <f>$BC1638*V$11</f>
        <v/>
      </c>
      <c r="U1638" s="76">
        <f>$BC1638*W$11</f>
        <v/>
      </c>
      <c r="V1638" s="193">
        <f>+SUM(T1638:U1638)</f>
        <v/>
      </c>
      <c r="W1638" s="191" t="n"/>
      <c r="X1638" s="170" t="n"/>
      <c r="Y1638" s="76">
        <f>ROUND(IF(offer_incoterms="DDP",X1638*(S1638*(1+AW1638)+T1638),0),2)</f>
        <v/>
      </c>
      <c r="Z1638" s="188" t="n"/>
      <c r="AA1638" s="192">
        <f>IFERROR(AB1638/E1638,0)</f>
        <v/>
      </c>
      <c r="AB1638" s="76">
        <f>ROUND(SUM(S1638,V1638,Y1638:Z1638,BA1638:BB1638),2)</f>
        <v/>
      </c>
      <c r="AC1638" s="797" t="n"/>
      <c r="AD1638" s="192">
        <f t="array" ref="AD1638">IFERROR(ROUND((_xlfn.IFS(offer_sale_type="поставка",AB1638,offer_sale_type="транзит",S1638)*(1+AC1638))/E1638,2),0)</f>
        <v/>
      </c>
      <c r="AE1638" s="76">
        <f>AD1638*E1638</f>
        <v/>
      </c>
      <c r="AF1638" s="193">
        <f t="array" ref="AF1638">IFERROR(ROUND(_xlfn.IFS(offer_sale_type="поставка",AB1638,offer_sale_type="транзит",S1638)*AC1638,2),0)</f>
        <v/>
      </c>
      <c r="AG1638" s="192">
        <f>$BD1638*VLOOKUP($AG$3,$AF$4:$AG$7,2,FALSE)</f>
        <v/>
      </c>
      <c r="AH1638" s="76">
        <f>SUM(AE1638,AG1638,AI1638)*rate_forex_risk</f>
        <v/>
      </c>
      <c r="AI1638" s="193">
        <f>IF(OR(seller_region="TR",offer_sale_type="экспорт"),0,rate_fin_comm)*SUM(AZ1638,AZ1638*AW1638,T1638)</f>
        <v/>
      </c>
      <c r="AJ1638" s="118">
        <f>IFERROR(ROUND(SUM(AB1638,AF1638:AI1638)/E1638,2),0)</f>
        <v/>
      </c>
      <c r="AK1638" s="76">
        <f>AJ1638*E1638</f>
        <v/>
      </c>
      <c r="AL1638" s="174">
        <f>ROUND(IFERROR(AM1638*E1638,0),2)</f>
        <v/>
      </c>
      <c r="AM1638" s="175">
        <f>ROUND(AJ1638*(1+IF(offer_incoterms="DDP",IF((TODAY()+offer_turnaround_time)&gt;=helpsheet!$L$17,rate_vatRU_from_26,rate_vatRu_till_25),0)),2)</f>
        <v/>
      </c>
      <c r="AN1638" s="192">
        <f>AL1638-AK1638</f>
        <v/>
      </c>
      <c r="AO1638" s="76">
        <f>SUM(AY1638,Y1638:Z1638,T1638)*IF(AND(offer_incoterms="DDP",offer_sale_type&lt;&gt;"экспорт"),IF((TODAY()+offer_turnaround_time)&gt;=helpsheet!$L$17,rate_vatRU_from_26,rate_vatRu_till_25),0)</f>
        <v/>
      </c>
      <c r="AP1638" s="193">
        <f>AN1638-AO1638</f>
        <v/>
      </c>
      <c r="AQ1638" s="118">
        <f>IF(offer_sale_type="транзит",SUM(AF1638:AI1638,BA1638,BB1638),0)</f>
        <v/>
      </c>
      <c r="AR1638" s="82">
        <f>HYPERLINK("https://www.alta.ru/tnved/code/")&amp;W1638&amp;"/"</f>
        <v/>
      </c>
      <c r="AS1638" s="157" t="n"/>
      <c r="AT1638" s="162" t="n"/>
      <c r="AU1638" s="76">
        <f>IF(ISBLANK(AT1638),0,AJ1638-AT1638)</f>
        <v/>
      </c>
      <c r="AV1638" s="157" t="n"/>
      <c r="AW1638" s="75">
        <f>_xlfn.IFNA(VLOOKUP(L1638,list_vat[],3,FALSE),0)</f>
        <v/>
      </c>
      <c r="AX1638" s="76">
        <f>IFERROR(ROUND(S1638*(1+AW1638)/E1638,2),0)</f>
        <v/>
      </c>
      <c r="AY1638" s="76">
        <f>E1638*AX1638</f>
        <v/>
      </c>
      <c r="AZ1638" s="192">
        <f>S1638*(1+M1638)</f>
        <v/>
      </c>
      <c r="BA1638" s="76">
        <f>cost_fin_total*$BD1638</f>
        <v/>
      </c>
      <c r="BB1638" s="193">
        <f>credit_sales_interest*BD1638</f>
        <v/>
      </c>
      <c r="BC1638" s="102">
        <f>IFERROR(IF($I$13&gt;0,$I1638/$I$13,$S1638/$S$13),0)</f>
        <v/>
      </c>
      <c r="BD1638" s="102">
        <f>IFERROR($S1638/$S$13,0)</f>
        <v/>
      </c>
      <c r="BE1638" s="413" t="inlineStr">
        <is>
          <t>$</t>
        </is>
      </c>
    </row>
    <row r="1639" ht="12" customFormat="1" customHeight="1" s="65">
      <c r="A1639" s="43" t="n">
        <v>1624</v>
      </c>
      <c r="B1639" s="166" t="n"/>
      <c r="C1639" s="166" t="n"/>
      <c r="D1639" s="166" t="n"/>
      <c r="E1639" s="162" t="n"/>
      <c r="F1639" s="166" t="n"/>
      <c r="G1639" s="162" t="n"/>
      <c r="H1639" s="162" t="n"/>
      <c r="I1639" s="189">
        <f>E1639*G1639</f>
        <v/>
      </c>
      <c r="J1639" s="195" t="n"/>
      <c r="K1639" s="162" t="n"/>
      <c r="L1639" s="168" t="n"/>
      <c r="M1639" s="75">
        <f>_xlfn.XLOOKUP(L1639,list_vat[Страна],list_vat[Ставка НДС %],0,0)</f>
        <v/>
      </c>
      <c r="N1639" s="162">
        <f>IFERROR(IF(L1639="Китай",K1639,K1639/(1+M1639)),0)</f>
        <v/>
      </c>
      <c r="O1639" s="169" t="n"/>
      <c r="P1639" s="76">
        <f>N1639*(1-O1639)</f>
        <v/>
      </c>
      <c r="Q1639" s="162" t="n"/>
      <c r="R1639" s="162">
        <f>IF(ISBLANK(Q1639),"введи курс",P1639/Q1639)</f>
        <v/>
      </c>
      <c r="S1639" s="196">
        <f>IF(AND(ISNUMBER(E1639),ISNUMBER(Q1639)),E1639*R1639,0)</f>
        <v/>
      </c>
      <c r="T1639" s="192">
        <f>$BC1639*V$11</f>
        <v/>
      </c>
      <c r="U1639" s="76">
        <f>$BC1639*W$11</f>
        <v/>
      </c>
      <c r="V1639" s="193">
        <f>+SUM(T1639:U1639)</f>
        <v/>
      </c>
      <c r="W1639" s="191" t="n"/>
      <c r="X1639" s="170" t="n"/>
      <c r="Y1639" s="76">
        <f>ROUND(IF(offer_incoterms="DDP",X1639*(S1639*(1+AW1639)+T1639),0),2)</f>
        <v/>
      </c>
      <c r="Z1639" s="188" t="n"/>
      <c r="AA1639" s="192">
        <f>IFERROR(AB1639/E1639,0)</f>
        <v/>
      </c>
      <c r="AB1639" s="76">
        <f>ROUND(SUM(S1639,V1639,Y1639:Z1639,BA1639:BB1639),2)</f>
        <v/>
      </c>
      <c r="AC1639" s="797" t="n"/>
      <c r="AD1639" s="192">
        <f t="array" ref="AD1639">IFERROR(ROUND((_xlfn.IFS(offer_sale_type="поставка",AB1639,offer_sale_type="транзит",S1639)*(1+AC1639))/E1639,2),0)</f>
        <v/>
      </c>
      <c r="AE1639" s="76">
        <f>AD1639*E1639</f>
        <v/>
      </c>
      <c r="AF1639" s="193">
        <f t="array" ref="AF1639">IFERROR(ROUND(_xlfn.IFS(offer_sale_type="поставка",AB1639,offer_sale_type="транзит",S1639)*AC1639,2),0)</f>
        <v/>
      </c>
      <c r="AG1639" s="192">
        <f>$BD1639*VLOOKUP($AG$3,$AF$4:$AG$7,2,FALSE)</f>
        <v/>
      </c>
      <c r="AH1639" s="76">
        <f>SUM(AE1639,AG1639,AI1639)*rate_forex_risk</f>
        <v/>
      </c>
      <c r="AI1639" s="193">
        <f>IF(OR(seller_region="TR",offer_sale_type="экспорт"),0,rate_fin_comm)*SUM(AZ1639,AZ1639*AW1639,T1639)</f>
        <v/>
      </c>
      <c r="AJ1639" s="118">
        <f>IFERROR(ROUND(SUM(AB1639,AF1639:AI1639)/E1639,2),0)</f>
        <v/>
      </c>
      <c r="AK1639" s="76">
        <f>AJ1639*E1639</f>
        <v/>
      </c>
      <c r="AL1639" s="174">
        <f>ROUND(IFERROR(AM1639*E1639,0),2)</f>
        <v/>
      </c>
      <c r="AM1639" s="175">
        <f>ROUND(AJ1639*(1+IF(offer_incoterms="DDP",IF((TODAY()+offer_turnaround_time)&gt;=helpsheet!$L$17,rate_vatRU_from_26,rate_vatRu_till_25),0)),2)</f>
        <v/>
      </c>
      <c r="AN1639" s="192">
        <f>AL1639-AK1639</f>
        <v/>
      </c>
      <c r="AO1639" s="76">
        <f>SUM(AY1639,Y1639:Z1639,T1639)*IF(AND(offer_incoterms="DDP",offer_sale_type&lt;&gt;"экспорт"),IF((TODAY()+offer_turnaround_time)&gt;=helpsheet!$L$17,rate_vatRU_from_26,rate_vatRu_till_25),0)</f>
        <v/>
      </c>
      <c r="AP1639" s="193">
        <f>AN1639-AO1639</f>
        <v/>
      </c>
      <c r="AQ1639" s="118">
        <f>IF(offer_sale_type="транзит",SUM(AF1639:AI1639,BA1639,BB1639),0)</f>
        <v/>
      </c>
      <c r="AR1639" s="82">
        <f>HYPERLINK("https://www.alta.ru/tnved/code/")&amp;W1639&amp;"/"</f>
        <v/>
      </c>
      <c r="AS1639" s="157" t="n"/>
      <c r="AT1639" s="162" t="n"/>
      <c r="AU1639" s="76">
        <f>IF(ISBLANK(AT1639),0,AJ1639-AT1639)</f>
        <v/>
      </c>
      <c r="AV1639" s="157" t="n"/>
      <c r="AW1639" s="75">
        <f>_xlfn.IFNA(VLOOKUP(L1639,list_vat[],3,FALSE),0)</f>
        <v/>
      </c>
      <c r="AX1639" s="76">
        <f>IFERROR(ROUND(S1639*(1+AW1639)/E1639,2),0)</f>
        <v/>
      </c>
      <c r="AY1639" s="76">
        <f>E1639*AX1639</f>
        <v/>
      </c>
      <c r="AZ1639" s="192">
        <f>S1639*(1+M1639)</f>
        <v/>
      </c>
      <c r="BA1639" s="76">
        <f>cost_fin_total*$BD1639</f>
        <v/>
      </c>
      <c r="BB1639" s="193">
        <f>credit_sales_interest*BD1639</f>
        <v/>
      </c>
      <c r="BC1639" s="102">
        <f>IFERROR(IF($I$13&gt;0,$I1639/$I$13,$S1639/$S$13),0)</f>
        <v/>
      </c>
      <c r="BD1639" s="102">
        <f>IFERROR($S1639/$S$13,0)</f>
        <v/>
      </c>
      <c r="BE1639" s="413" t="inlineStr">
        <is>
          <t>$</t>
        </is>
      </c>
    </row>
    <row r="1640" ht="12" customFormat="1" customHeight="1" s="65">
      <c r="A1640" s="43" t="n">
        <v>1625</v>
      </c>
      <c r="B1640" s="166" t="n"/>
      <c r="C1640" s="166" t="n"/>
      <c r="D1640" s="166" t="n"/>
      <c r="E1640" s="162" t="n"/>
      <c r="F1640" s="166" t="n"/>
      <c r="G1640" s="162" t="n"/>
      <c r="H1640" s="162" t="n"/>
      <c r="I1640" s="189">
        <f>E1640*G1640</f>
        <v/>
      </c>
      <c r="J1640" s="195" t="n"/>
      <c r="K1640" s="162" t="n"/>
      <c r="L1640" s="168" t="n"/>
      <c r="M1640" s="75">
        <f>_xlfn.XLOOKUP(L1640,list_vat[Страна],list_vat[Ставка НДС %],0,0)</f>
        <v/>
      </c>
      <c r="N1640" s="162">
        <f>IFERROR(IF(L1640="Китай",K1640,K1640/(1+M1640)),0)</f>
        <v/>
      </c>
      <c r="O1640" s="169" t="n"/>
      <c r="P1640" s="76">
        <f>N1640*(1-O1640)</f>
        <v/>
      </c>
      <c r="Q1640" s="162" t="n"/>
      <c r="R1640" s="162">
        <f>IF(ISBLANK(Q1640),"введи курс",P1640/Q1640)</f>
        <v/>
      </c>
      <c r="S1640" s="196">
        <f>IF(AND(ISNUMBER(E1640),ISNUMBER(Q1640)),E1640*R1640,0)</f>
        <v/>
      </c>
      <c r="T1640" s="192">
        <f>$BC1640*V$11</f>
        <v/>
      </c>
      <c r="U1640" s="76">
        <f>$BC1640*W$11</f>
        <v/>
      </c>
      <c r="V1640" s="193">
        <f>+SUM(T1640:U1640)</f>
        <v/>
      </c>
      <c r="W1640" s="191" t="n"/>
      <c r="X1640" s="170" t="n"/>
      <c r="Y1640" s="76">
        <f>ROUND(IF(offer_incoterms="DDP",X1640*(S1640*(1+AW1640)+T1640),0),2)</f>
        <v/>
      </c>
      <c r="Z1640" s="188" t="n"/>
      <c r="AA1640" s="192">
        <f>IFERROR(AB1640/E1640,0)</f>
        <v/>
      </c>
      <c r="AB1640" s="76">
        <f>ROUND(SUM(S1640,V1640,Y1640:Z1640,BA1640:BB1640),2)</f>
        <v/>
      </c>
      <c r="AC1640" s="797" t="n"/>
      <c r="AD1640" s="192">
        <f t="array" ref="AD1640">IFERROR(ROUND((_xlfn.IFS(offer_sale_type="поставка",AB1640,offer_sale_type="транзит",S1640)*(1+AC1640))/E1640,2),0)</f>
        <v/>
      </c>
      <c r="AE1640" s="76">
        <f>AD1640*E1640</f>
        <v/>
      </c>
      <c r="AF1640" s="193">
        <f t="array" ref="AF1640">IFERROR(ROUND(_xlfn.IFS(offer_sale_type="поставка",AB1640,offer_sale_type="транзит",S1640)*AC1640,2),0)</f>
        <v/>
      </c>
      <c r="AG1640" s="192">
        <f>$BD1640*VLOOKUP($AG$3,$AF$4:$AG$7,2,FALSE)</f>
        <v/>
      </c>
      <c r="AH1640" s="76">
        <f>SUM(AE1640,AG1640,AI1640)*rate_forex_risk</f>
        <v/>
      </c>
      <c r="AI1640" s="193">
        <f>IF(OR(seller_region="TR",offer_sale_type="экспорт"),0,rate_fin_comm)*SUM(AZ1640,AZ1640*AW1640,T1640)</f>
        <v/>
      </c>
      <c r="AJ1640" s="118">
        <f>IFERROR(ROUND(SUM(AB1640,AF1640:AI1640)/E1640,2),0)</f>
        <v/>
      </c>
      <c r="AK1640" s="76">
        <f>AJ1640*E1640</f>
        <v/>
      </c>
      <c r="AL1640" s="174">
        <f>ROUND(IFERROR(AM1640*E1640,0),2)</f>
        <v/>
      </c>
      <c r="AM1640" s="175">
        <f>ROUND(AJ1640*(1+IF(offer_incoterms="DDP",IF((TODAY()+offer_turnaround_time)&gt;=helpsheet!$L$17,rate_vatRU_from_26,rate_vatRu_till_25),0)),2)</f>
        <v/>
      </c>
      <c r="AN1640" s="192">
        <f>AL1640-AK1640</f>
        <v/>
      </c>
      <c r="AO1640" s="76">
        <f>SUM(AY1640,Y1640:Z1640,T1640)*IF(AND(offer_incoterms="DDP",offer_sale_type&lt;&gt;"экспорт"),IF((TODAY()+offer_turnaround_time)&gt;=helpsheet!$L$17,rate_vatRU_from_26,rate_vatRu_till_25),0)</f>
        <v/>
      </c>
      <c r="AP1640" s="193">
        <f>AN1640-AO1640</f>
        <v/>
      </c>
      <c r="AQ1640" s="118">
        <f>IF(offer_sale_type="транзит",SUM(AF1640:AI1640,BA1640,BB1640),0)</f>
        <v/>
      </c>
      <c r="AR1640" s="82">
        <f>HYPERLINK("https://www.alta.ru/tnved/code/")&amp;W1640&amp;"/"</f>
        <v/>
      </c>
      <c r="AS1640" s="157" t="n"/>
      <c r="AT1640" s="162" t="n"/>
      <c r="AU1640" s="76">
        <f>IF(ISBLANK(AT1640),0,AJ1640-AT1640)</f>
        <v/>
      </c>
      <c r="AV1640" s="157" t="n"/>
      <c r="AW1640" s="75">
        <f>_xlfn.IFNA(VLOOKUP(L1640,list_vat[],3,FALSE),0)</f>
        <v/>
      </c>
      <c r="AX1640" s="76">
        <f>IFERROR(ROUND(S1640*(1+AW1640)/E1640,2),0)</f>
        <v/>
      </c>
      <c r="AY1640" s="76">
        <f>E1640*AX1640</f>
        <v/>
      </c>
      <c r="AZ1640" s="192">
        <f>S1640*(1+M1640)</f>
        <v/>
      </c>
      <c r="BA1640" s="76">
        <f>cost_fin_total*$BD1640</f>
        <v/>
      </c>
      <c r="BB1640" s="193">
        <f>credit_sales_interest*BD1640</f>
        <v/>
      </c>
      <c r="BC1640" s="102">
        <f>IFERROR(IF($I$13&gt;0,$I1640/$I$13,$S1640/$S$13),0)</f>
        <v/>
      </c>
      <c r="BD1640" s="102">
        <f>IFERROR($S1640/$S$13,0)</f>
        <v/>
      </c>
      <c r="BE1640" s="413" t="inlineStr">
        <is>
          <t>$</t>
        </is>
      </c>
    </row>
    <row r="1641" ht="12" customFormat="1" customHeight="1" s="65">
      <c r="A1641" s="43" t="n">
        <v>1626</v>
      </c>
      <c r="B1641" s="166" t="n"/>
      <c r="C1641" s="166" t="n"/>
      <c r="D1641" s="166" t="n"/>
      <c r="E1641" s="162" t="n"/>
      <c r="F1641" s="166" t="n"/>
      <c r="G1641" s="162" t="n"/>
      <c r="H1641" s="162" t="n"/>
      <c r="I1641" s="189">
        <f>E1641*G1641</f>
        <v/>
      </c>
      <c r="J1641" s="195" t="n"/>
      <c r="K1641" s="162" t="n"/>
      <c r="L1641" s="168" t="n"/>
      <c r="M1641" s="75">
        <f>_xlfn.XLOOKUP(L1641,list_vat[Страна],list_vat[Ставка НДС %],0,0)</f>
        <v/>
      </c>
      <c r="N1641" s="162">
        <f>IFERROR(IF(L1641="Китай",K1641,K1641/(1+M1641)),0)</f>
        <v/>
      </c>
      <c r="O1641" s="169" t="n"/>
      <c r="P1641" s="76">
        <f>N1641*(1-O1641)</f>
        <v/>
      </c>
      <c r="Q1641" s="162" t="n"/>
      <c r="R1641" s="162">
        <f>IF(ISBLANK(Q1641),"введи курс",P1641/Q1641)</f>
        <v/>
      </c>
      <c r="S1641" s="196">
        <f>IF(AND(ISNUMBER(E1641),ISNUMBER(Q1641)),E1641*R1641,0)</f>
        <v/>
      </c>
      <c r="T1641" s="192">
        <f>$BC1641*V$11</f>
        <v/>
      </c>
      <c r="U1641" s="76">
        <f>$BC1641*W$11</f>
        <v/>
      </c>
      <c r="V1641" s="193">
        <f>+SUM(T1641:U1641)</f>
        <v/>
      </c>
      <c r="W1641" s="191" t="n"/>
      <c r="X1641" s="170" t="n"/>
      <c r="Y1641" s="76">
        <f>ROUND(IF(offer_incoterms="DDP",X1641*(S1641*(1+AW1641)+T1641),0),2)</f>
        <v/>
      </c>
      <c r="Z1641" s="188" t="n"/>
      <c r="AA1641" s="192">
        <f>IFERROR(AB1641/E1641,0)</f>
        <v/>
      </c>
      <c r="AB1641" s="76">
        <f>ROUND(SUM(S1641,V1641,Y1641:Z1641,BA1641:BB1641),2)</f>
        <v/>
      </c>
      <c r="AC1641" s="797" t="n"/>
      <c r="AD1641" s="192">
        <f t="array" ref="AD1641">IFERROR(ROUND((_xlfn.IFS(offer_sale_type="поставка",AB1641,offer_sale_type="транзит",S1641)*(1+AC1641))/E1641,2),0)</f>
        <v/>
      </c>
      <c r="AE1641" s="76">
        <f>AD1641*E1641</f>
        <v/>
      </c>
      <c r="AF1641" s="193">
        <f t="array" ref="AF1641">IFERROR(ROUND(_xlfn.IFS(offer_sale_type="поставка",AB1641,offer_sale_type="транзит",S1641)*AC1641,2),0)</f>
        <v/>
      </c>
      <c r="AG1641" s="192">
        <f>$BD1641*VLOOKUP($AG$3,$AF$4:$AG$7,2,FALSE)</f>
        <v/>
      </c>
      <c r="AH1641" s="76">
        <f>SUM(AE1641,AG1641,AI1641)*rate_forex_risk</f>
        <v/>
      </c>
      <c r="AI1641" s="193">
        <f>IF(OR(seller_region="TR",offer_sale_type="экспорт"),0,rate_fin_comm)*SUM(AZ1641,AZ1641*AW1641,T1641)</f>
        <v/>
      </c>
      <c r="AJ1641" s="118">
        <f>IFERROR(ROUND(SUM(AB1641,AF1641:AI1641)/E1641,2),0)</f>
        <v/>
      </c>
      <c r="AK1641" s="76">
        <f>AJ1641*E1641</f>
        <v/>
      </c>
      <c r="AL1641" s="174">
        <f>ROUND(IFERROR(AM1641*E1641,0),2)</f>
        <v/>
      </c>
      <c r="AM1641" s="175">
        <f>ROUND(AJ1641*(1+IF(offer_incoterms="DDP",IF((TODAY()+offer_turnaround_time)&gt;=helpsheet!$L$17,rate_vatRU_from_26,rate_vatRu_till_25),0)),2)</f>
        <v/>
      </c>
      <c r="AN1641" s="192">
        <f>AL1641-AK1641</f>
        <v/>
      </c>
      <c r="AO1641" s="76">
        <f>SUM(AY1641,Y1641:Z1641,T1641)*IF(AND(offer_incoterms="DDP",offer_sale_type&lt;&gt;"экспорт"),IF((TODAY()+offer_turnaround_time)&gt;=helpsheet!$L$17,rate_vatRU_from_26,rate_vatRu_till_25),0)</f>
        <v/>
      </c>
      <c r="AP1641" s="193">
        <f>AN1641-AO1641</f>
        <v/>
      </c>
      <c r="AQ1641" s="118">
        <f>IF(offer_sale_type="транзит",SUM(AF1641:AI1641,BA1641,BB1641),0)</f>
        <v/>
      </c>
      <c r="AR1641" s="82">
        <f>HYPERLINK("https://www.alta.ru/tnved/code/")&amp;W1641&amp;"/"</f>
        <v/>
      </c>
      <c r="AS1641" s="157" t="n"/>
      <c r="AT1641" s="162" t="n"/>
      <c r="AU1641" s="76">
        <f>IF(ISBLANK(AT1641),0,AJ1641-AT1641)</f>
        <v/>
      </c>
      <c r="AV1641" s="157" t="n"/>
      <c r="AW1641" s="75">
        <f>_xlfn.IFNA(VLOOKUP(L1641,list_vat[],3,FALSE),0)</f>
        <v/>
      </c>
      <c r="AX1641" s="76">
        <f>IFERROR(ROUND(S1641*(1+AW1641)/E1641,2),0)</f>
        <v/>
      </c>
      <c r="AY1641" s="76">
        <f>E1641*AX1641</f>
        <v/>
      </c>
      <c r="AZ1641" s="192">
        <f>S1641*(1+M1641)</f>
        <v/>
      </c>
      <c r="BA1641" s="76">
        <f>cost_fin_total*$BD1641</f>
        <v/>
      </c>
      <c r="BB1641" s="193">
        <f>credit_sales_interest*BD1641</f>
        <v/>
      </c>
      <c r="BC1641" s="102">
        <f>IFERROR(IF($I$13&gt;0,$I1641/$I$13,$S1641/$S$13),0)</f>
        <v/>
      </c>
      <c r="BD1641" s="102">
        <f>IFERROR($S1641/$S$13,0)</f>
        <v/>
      </c>
      <c r="BE1641" s="413" t="inlineStr">
        <is>
          <t>$</t>
        </is>
      </c>
    </row>
    <row r="1642" ht="12" customFormat="1" customHeight="1" s="65">
      <c r="A1642" s="43" t="n">
        <v>1627</v>
      </c>
      <c r="B1642" s="166" t="n"/>
      <c r="C1642" s="166" t="n"/>
      <c r="D1642" s="166" t="n"/>
      <c r="E1642" s="162" t="n"/>
      <c r="F1642" s="166" t="n"/>
      <c r="G1642" s="162" t="n"/>
      <c r="H1642" s="162" t="n"/>
      <c r="I1642" s="189">
        <f>E1642*G1642</f>
        <v/>
      </c>
      <c r="J1642" s="195" t="n"/>
      <c r="K1642" s="162" t="n"/>
      <c r="L1642" s="168" t="n"/>
      <c r="M1642" s="75">
        <f>_xlfn.XLOOKUP(L1642,list_vat[Страна],list_vat[Ставка НДС %],0,0)</f>
        <v/>
      </c>
      <c r="N1642" s="162">
        <f>IFERROR(IF(L1642="Китай",K1642,K1642/(1+M1642)),0)</f>
        <v/>
      </c>
      <c r="O1642" s="169" t="n"/>
      <c r="P1642" s="76">
        <f>N1642*(1-O1642)</f>
        <v/>
      </c>
      <c r="Q1642" s="162" t="n"/>
      <c r="R1642" s="162">
        <f>IF(ISBLANK(Q1642),"введи курс",P1642/Q1642)</f>
        <v/>
      </c>
      <c r="S1642" s="196">
        <f>IF(AND(ISNUMBER(E1642),ISNUMBER(Q1642)),E1642*R1642,0)</f>
        <v/>
      </c>
      <c r="T1642" s="192">
        <f>$BC1642*V$11</f>
        <v/>
      </c>
      <c r="U1642" s="76">
        <f>$BC1642*W$11</f>
        <v/>
      </c>
      <c r="V1642" s="193">
        <f>+SUM(T1642:U1642)</f>
        <v/>
      </c>
      <c r="W1642" s="191" t="n"/>
      <c r="X1642" s="170" t="n"/>
      <c r="Y1642" s="76">
        <f>ROUND(IF(offer_incoterms="DDP",X1642*(S1642*(1+AW1642)+T1642),0),2)</f>
        <v/>
      </c>
      <c r="Z1642" s="188" t="n"/>
      <c r="AA1642" s="192">
        <f>IFERROR(AB1642/E1642,0)</f>
        <v/>
      </c>
      <c r="AB1642" s="76">
        <f>ROUND(SUM(S1642,V1642,Y1642:Z1642,BA1642:BB1642),2)</f>
        <v/>
      </c>
      <c r="AC1642" s="797" t="n"/>
      <c r="AD1642" s="192">
        <f t="array" ref="AD1642">IFERROR(ROUND((_xlfn.IFS(offer_sale_type="поставка",AB1642,offer_sale_type="транзит",S1642)*(1+AC1642))/E1642,2),0)</f>
        <v/>
      </c>
      <c r="AE1642" s="76">
        <f>AD1642*E1642</f>
        <v/>
      </c>
      <c r="AF1642" s="193">
        <f t="array" ref="AF1642">IFERROR(ROUND(_xlfn.IFS(offer_sale_type="поставка",AB1642,offer_sale_type="транзит",S1642)*AC1642,2),0)</f>
        <v/>
      </c>
      <c r="AG1642" s="192">
        <f>$BD1642*VLOOKUP($AG$3,$AF$4:$AG$7,2,FALSE)</f>
        <v/>
      </c>
      <c r="AH1642" s="76">
        <f>SUM(AE1642,AG1642,AI1642)*rate_forex_risk</f>
        <v/>
      </c>
      <c r="AI1642" s="193">
        <f>IF(OR(seller_region="TR",offer_sale_type="экспорт"),0,rate_fin_comm)*SUM(AZ1642,AZ1642*AW1642,T1642)</f>
        <v/>
      </c>
      <c r="AJ1642" s="118">
        <f>IFERROR(ROUND(SUM(AB1642,AF1642:AI1642)/E1642,2),0)</f>
        <v/>
      </c>
      <c r="AK1642" s="76">
        <f>AJ1642*E1642</f>
        <v/>
      </c>
      <c r="AL1642" s="174">
        <f>ROUND(IFERROR(AM1642*E1642,0),2)</f>
        <v/>
      </c>
      <c r="AM1642" s="175">
        <f>ROUND(AJ1642*(1+IF(offer_incoterms="DDP",IF((TODAY()+offer_turnaround_time)&gt;=helpsheet!$L$17,rate_vatRU_from_26,rate_vatRu_till_25),0)),2)</f>
        <v/>
      </c>
      <c r="AN1642" s="192">
        <f>AL1642-AK1642</f>
        <v/>
      </c>
      <c r="AO1642" s="76">
        <f>SUM(AY1642,Y1642:Z1642,T1642)*IF(AND(offer_incoterms="DDP",offer_sale_type&lt;&gt;"экспорт"),IF((TODAY()+offer_turnaround_time)&gt;=helpsheet!$L$17,rate_vatRU_from_26,rate_vatRu_till_25),0)</f>
        <v/>
      </c>
      <c r="AP1642" s="193">
        <f>AN1642-AO1642</f>
        <v/>
      </c>
      <c r="AQ1642" s="118">
        <f>IF(offer_sale_type="транзит",SUM(AF1642:AI1642,BA1642,BB1642),0)</f>
        <v/>
      </c>
      <c r="AR1642" s="82">
        <f>HYPERLINK("https://www.alta.ru/tnved/code/")&amp;W1642&amp;"/"</f>
        <v/>
      </c>
      <c r="AS1642" s="157" t="n"/>
      <c r="AT1642" s="162" t="n"/>
      <c r="AU1642" s="76">
        <f>IF(ISBLANK(AT1642),0,AJ1642-AT1642)</f>
        <v/>
      </c>
      <c r="AV1642" s="157" t="n"/>
      <c r="AW1642" s="75">
        <f>_xlfn.IFNA(VLOOKUP(L1642,list_vat[],3,FALSE),0)</f>
        <v/>
      </c>
      <c r="AX1642" s="76">
        <f>IFERROR(ROUND(S1642*(1+AW1642)/E1642,2),0)</f>
        <v/>
      </c>
      <c r="AY1642" s="76">
        <f>E1642*AX1642</f>
        <v/>
      </c>
      <c r="AZ1642" s="192">
        <f>S1642*(1+M1642)</f>
        <v/>
      </c>
      <c r="BA1642" s="76">
        <f>cost_fin_total*$BD1642</f>
        <v/>
      </c>
      <c r="BB1642" s="193">
        <f>credit_sales_interest*BD1642</f>
        <v/>
      </c>
      <c r="BC1642" s="102">
        <f>IFERROR(IF($I$13&gt;0,$I1642/$I$13,$S1642/$S$13),0)</f>
        <v/>
      </c>
      <c r="BD1642" s="102">
        <f>IFERROR($S1642/$S$13,0)</f>
        <v/>
      </c>
      <c r="BE1642" s="413" t="inlineStr">
        <is>
          <t>$</t>
        </is>
      </c>
    </row>
    <row r="1643" ht="12" customFormat="1" customHeight="1" s="65">
      <c r="A1643" s="43" t="n">
        <v>1628</v>
      </c>
      <c r="B1643" s="166" t="n"/>
      <c r="C1643" s="166" t="n"/>
      <c r="D1643" s="166" t="n"/>
      <c r="E1643" s="162" t="n"/>
      <c r="F1643" s="166" t="n"/>
      <c r="G1643" s="162" t="n"/>
      <c r="H1643" s="162" t="n"/>
      <c r="I1643" s="189">
        <f>E1643*G1643</f>
        <v/>
      </c>
      <c r="J1643" s="195" t="n"/>
      <c r="K1643" s="162" t="n"/>
      <c r="L1643" s="168" t="n"/>
      <c r="M1643" s="75">
        <f>_xlfn.XLOOKUP(L1643,list_vat[Страна],list_vat[Ставка НДС %],0,0)</f>
        <v/>
      </c>
      <c r="N1643" s="162">
        <f>IFERROR(IF(L1643="Китай",K1643,K1643/(1+M1643)),0)</f>
        <v/>
      </c>
      <c r="O1643" s="169" t="n"/>
      <c r="P1643" s="76">
        <f>N1643*(1-O1643)</f>
        <v/>
      </c>
      <c r="Q1643" s="162" t="n"/>
      <c r="R1643" s="162">
        <f>IF(ISBLANK(Q1643),"введи курс",P1643/Q1643)</f>
        <v/>
      </c>
      <c r="S1643" s="196">
        <f>IF(AND(ISNUMBER(E1643),ISNUMBER(Q1643)),E1643*R1643,0)</f>
        <v/>
      </c>
      <c r="T1643" s="192">
        <f>$BC1643*V$11</f>
        <v/>
      </c>
      <c r="U1643" s="76">
        <f>$BC1643*W$11</f>
        <v/>
      </c>
      <c r="V1643" s="193">
        <f>+SUM(T1643:U1643)</f>
        <v/>
      </c>
      <c r="W1643" s="191" t="n"/>
      <c r="X1643" s="170" t="n"/>
      <c r="Y1643" s="76">
        <f>ROUND(IF(offer_incoterms="DDP",X1643*(S1643*(1+AW1643)+T1643),0),2)</f>
        <v/>
      </c>
      <c r="Z1643" s="188" t="n"/>
      <c r="AA1643" s="192">
        <f>IFERROR(AB1643/E1643,0)</f>
        <v/>
      </c>
      <c r="AB1643" s="76">
        <f>ROUND(SUM(S1643,V1643,Y1643:Z1643,BA1643:BB1643),2)</f>
        <v/>
      </c>
      <c r="AC1643" s="797" t="n"/>
      <c r="AD1643" s="192">
        <f t="array" ref="AD1643">IFERROR(ROUND((_xlfn.IFS(offer_sale_type="поставка",AB1643,offer_sale_type="транзит",S1643)*(1+AC1643))/E1643,2),0)</f>
        <v/>
      </c>
      <c r="AE1643" s="76">
        <f>AD1643*E1643</f>
        <v/>
      </c>
      <c r="AF1643" s="193">
        <f t="array" ref="AF1643">IFERROR(ROUND(_xlfn.IFS(offer_sale_type="поставка",AB1643,offer_sale_type="транзит",S1643)*AC1643,2),0)</f>
        <v/>
      </c>
      <c r="AG1643" s="192">
        <f>$BD1643*VLOOKUP($AG$3,$AF$4:$AG$7,2,FALSE)</f>
        <v/>
      </c>
      <c r="AH1643" s="76">
        <f>SUM(AE1643,AG1643,AI1643)*rate_forex_risk</f>
        <v/>
      </c>
      <c r="AI1643" s="193">
        <f>IF(OR(seller_region="TR",offer_sale_type="экспорт"),0,rate_fin_comm)*SUM(AZ1643,AZ1643*AW1643,T1643)</f>
        <v/>
      </c>
      <c r="AJ1643" s="118">
        <f>IFERROR(ROUND(SUM(AB1643,AF1643:AI1643)/E1643,2),0)</f>
        <v/>
      </c>
      <c r="AK1643" s="76">
        <f>AJ1643*E1643</f>
        <v/>
      </c>
      <c r="AL1643" s="174">
        <f>ROUND(IFERROR(AM1643*E1643,0),2)</f>
        <v/>
      </c>
      <c r="AM1643" s="175">
        <f>ROUND(AJ1643*(1+IF(offer_incoterms="DDP",IF((TODAY()+offer_turnaround_time)&gt;=helpsheet!$L$17,rate_vatRU_from_26,rate_vatRu_till_25),0)),2)</f>
        <v/>
      </c>
      <c r="AN1643" s="192">
        <f>AL1643-AK1643</f>
        <v/>
      </c>
      <c r="AO1643" s="76">
        <f>SUM(AY1643,Y1643:Z1643,T1643)*IF(AND(offer_incoterms="DDP",offer_sale_type&lt;&gt;"экспорт"),IF((TODAY()+offer_turnaround_time)&gt;=helpsheet!$L$17,rate_vatRU_from_26,rate_vatRu_till_25),0)</f>
        <v/>
      </c>
      <c r="AP1643" s="193">
        <f>AN1643-AO1643</f>
        <v/>
      </c>
      <c r="AQ1643" s="118">
        <f>IF(offer_sale_type="транзит",SUM(AF1643:AI1643,BA1643,BB1643),0)</f>
        <v/>
      </c>
      <c r="AR1643" s="82">
        <f>HYPERLINK("https://www.alta.ru/tnved/code/")&amp;W1643&amp;"/"</f>
        <v/>
      </c>
      <c r="AS1643" s="157" t="n"/>
      <c r="AT1643" s="162" t="n"/>
      <c r="AU1643" s="76">
        <f>IF(ISBLANK(AT1643),0,AJ1643-AT1643)</f>
        <v/>
      </c>
      <c r="AV1643" s="157" t="n"/>
      <c r="AW1643" s="75">
        <f>_xlfn.IFNA(VLOOKUP(L1643,list_vat[],3,FALSE),0)</f>
        <v/>
      </c>
      <c r="AX1643" s="76">
        <f>IFERROR(ROUND(S1643*(1+AW1643)/E1643,2),0)</f>
        <v/>
      </c>
      <c r="AY1643" s="76">
        <f>E1643*AX1643</f>
        <v/>
      </c>
      <c r="AZ1643" s="192">
        <f>S1643*(1+M1643)</f>
        <v/>
      </c>
      <c r="BA1643" s="76">
        <f>cost_fin_total*$BD1643</f>
        <v/>
      </c>
      <c r="BB1643" s="193">
        <f>credit_sales_interest*BD1643</f>
        <v/>
      </c>
      <c r="BC1643" s="102">
        <f>IFERROR(IF($I$13&gt;0,$I1643/$I$13,$S1643/$S$13),0)</f>
        <v/>
      </c>
      <c r="BD1643" s="102">
        <f>IFERROR($S1643/$S$13,0)</f>
        <v/>
      </c>
      <c r="BE1643" s="413" t="inlineStr">
        <is>
          <t>$</t>
        </is>
      </c>
    </row>
    <row r="1644" ht="12" customFormat="1" customHeight="1" s="65">
      <c r="A1644" s="43" t="n">
        <v>1629</v>
      </c>
      <c r="B1644" s="166" t="n"/>
      <c r="C1644" s="166" t="n"/>
      <c r="D1644" s="166" t="n"/>
      <c r="E1644" s="162" t="n"/>
      <c r="F1644" s="166" t="n"/>
      <c r="G1644" s="162" t="n"/>
      <c r="H1644" s="162" t="n"/>
      <c r="I1644" s="189">
        <f>E1644*G1644</f>
        <v/>
      </c>
      <c r="J1644" s="195" t="n"/>
      <c r="K1644" s="162" t="n"/>
      <c r="L1644" s="168" t="n"/>
      <c r="M1644" s="75">
        <f>_xlfn.XLOOKUP(L1644,list_vat[Страна],list_vat[Ставка НДС %],0,0)</f>
        <v/>
      </c>
      <c r="N1644" s="162">
        <f>IFERROR(IF(L1644="Китай",K1644,K1644/(1+M1644)),0)</f>
        <v/>
      </c>
      <c r="O1644" s="169" t="n"/>
      <c r="P1644" s="76">
        <f>N1644*(1-O1644)</f>
        <v/>
      </c>
      <c r="Q1644" s="162" t="n"/>
      <c r="R1644" s="162">
        <f>IF(ISBLANK(Q1644),"введи курс",P1644/Q1644)</f>
        <v/>
      </c>
      <c r="S1644" s="196">
        <f>IF(AND(ISNUMBER(E1644),ISNUMBER(Q1644)),E1644*R1644,0)</f>
        <v/>
      </c>
      <c r="T1644" s="192">
        <f>$BC1644*V$11</f>
        <v/>
      </c>
      <c r="U1644" s="76">
        <f>$BC1644*W$11</f>
        <v/>
      </c>
      <c r="V1644" s="193">
        <f>+SUM(T1644:U1644)</f>
        <v/>
      </c>
      <c r="W1644" s="191" t="n"/>
      <c r="X1644" s="170" t="n"/>
      <c r="Y1644" s="76">
        <f>ROUND(IF(offer_incoterms="DDP",X1644*(S1644*(1+AW1644)+T1644),0),2)</f>
        <v/>
      </c>
      <c r="Z1644" s="188" t="n"/>
      <c r="AA1644" s="192">
        <f>IFERROR(AB1644/E1644,0)</f>
        <v/>
      </c>
      <c r="AB1644" s="76">
        <f>ROUND(SUM(S1644,V1644,Y1644:Z1644,BA1644:BB1644),2)</f>
        <v/>
      </c>
      <c r="AC1644" s="797" t="n"/>
      <c r="AD1644" s="192">
        <f t="array" ref="AD1644">IFERROR(ROUND((_xlfn.IFS(offer_sale_type="поставка",AB1644,offer_sale_type="транзит",S1644)*(1+AC1644))/E1644,2),0)</f>
        <v/>
      </c>
      <c r="AE1644" s="76">
        <f>AD1644*E1644</f>
        <v/>
      </c>
      <c r="AF1644" s="193">
        <f t="array" ref="AF1644">IFERROR(ROUND(_xlfn.IFS(offer_sale_type="поставка",AB1644,offer_sale_type="транзит",S1644)*AC1644,2),0)</f>
        <v/>
      </c>
      <c r="AG1644" s="192">
        <f>$BD1644*VLOOKUP($AG$3,$AF$4:$AG$7,2,FALSE)</f>
        <v/>
      </c>
      <c r="AH1644" s="76">
        <f>SUM(AE1644,AG1644,AI1644)*rate_forex_risk</f>
        <v/>
      </c>
      <c r="AI1644" s="193">
        <f>IF(OR(seller_region="TR",offer_sale_type="экспорт"),0,rate_fin_comm)*SUM(AZ1644,AZ1644*AW1644,T1644)</f>
        <v/>
      </c>
      <c r="AJ1644" s="118">
        <f>IFERROR(ROUND(SUM(AB1644,AF1644:AI1644)/E1644,2),0)</f>
        <v/>
      </c>
      <c r="AK1644" s="76">
        <f>AJ1644*E1644</f>
        <v/>
      </c>
      <c r="AL1644" s="174">
        <f>ROUND(IFERROR(AM1644*E1644,0),2)</f>
        <v/>
      </c>
      <c r="AM1644" s="175">
        <f>ROUND(AJ1644*(1+IF(offer_incoterms="DDP",IF((TODAY()+offer_turnaround_time)&gt;=helpsheet!$L$17,rate_vatRU_from_26,rate_vatRu_till_25),0)),2)</f>
        <v/>
      </c>
      <c r="AN1644" s="192">
        <f>AL1644-AK1644</f>
        <v/>
      </c>
      <c r="AO1644" s="76">
        <f>SUM(AY1644,Y1644:Z1644,T1644)*IF(AND(offer_incoterms="DDP",offer_sale_type&lt;&gt;"экспорт"),IF((TODAY()+offer_turnaround_time)&gt;=helpsheet!$L$17,rate_vatRU_from_26,rate_vatRu_till_25),0)</f>
        <v/>
      </c>
      <c r="AP1644" s="193">
        <f>AN1644-AO1644</f>
        <v/>
      </c>
      <c r="AQ1644" s="118">
        <f>IF(offer_sale_type="транзит",SUM(AF1644:AI1644,BA1644,BB1644),0)</f>
        <v/>
      </c>
      <c r="AR1644" s="82">
        <f>HYPERLINK("https://www.alta.ru/tnved/code/")&amp;W1644&amp;"/"</f>
        <v/>
      </c>
      <c r="AS1644" s="157" t="n"/>
      <c r="AT1644" s="162" t="n"/>
      <c r="AU1644" s="76">
        <f>IF(ISBLANK(AT1644),0,AJ1644-AT1644)</f>
        <v/>
      </c>
      <c r="AV1644" s="157" t="n"/>
      <c r="AW1644" s="75">
        <f>_xlfn.IFNA(VLOOKUP(L1644,list_vat[],3,FALSE),0)</f>
        <v/>
      </c>
      <c r="AX1644" s="76">
        <f>IFERROR(ROUND(S1644*(1+AW1644)/E1644,2),0)</f>
        <v/>
      </c>
      <c r="AY1644" s="76">
        <f>E1644*AX1644</f>
        <v/>
      </c>
      <c r="AZ1644" s="192">
        <f>S1644*(1+M1644)</f>
        <v/>
      </c>
      <c r="BA1644" s="76">
        <f>cost_fin_total*$BD1644</f>
        <v/>
      </c>
      <c r="BB1644" s="193">
        <f>credit_sales_interest*BD1644</f>
        <v/>
      </c>
      <c r="BC1644" s="102">
        <f>IFERROR(IF($I$13&gt;0,$I1644/$I$13,$S1644/$S$13),0)</f>
        <v/>
      </c>
      <c r="BD1644" s="102">
        <f>IFERROR($S1644/$S$13,0)</f>
        <v/>
      </c>
      <c r="BE1644" s="413" t="inlineStr">
        <is>
          <t>$</t>
        </is>
      </c>
    </row>
    <row r="1645" ht="12" customFormat="1" customHeight="1" s="65">
      <c r="A1645" s="43" t="n">
        <v>1630</v>
      </c>
      <c r="B1645" s="166" t="n"/>
      <c r="C1645" s="166" t="n"/>
      <c r="D1645" s="166" t="n"/>
      <c r="E1645" s="162" t="n"/>
      <c r="F1645" s="166" t="n"/>
      <c r="G1645" s="162" t="n"/>
      <c r="H1645" s="162" t="n"/>
      <c r="I1645" s="189">
        <f>E1645*G1645</f>
        <v/>
      </c>
      <c r="J1645" s="195" t="n"/>
      <c r="K1645" s="162" t="n"/>
      <c r="L1645" s="168" t="n"/>
      <c r="M1645" s="75">
        <f>_xlfn.XLOOKUP(L1645,list_vat[Страна],list_vat[Ставка НДС %],0,0)</f>
        <v/>
      </c>
      <c r="N1645" s="162">
        <f>IFERROR(IF(L1645="Китай",K1645,K1645/(1+M1645)),0)</f>
        <v/>
      </c>
      <c r="O1645" s="169" t="n"/>
      <c r="P1645" s="76">
        <f>N1645*(1-O1645)</f>
        <v/>
      </c>
      <c r="Q1645" s="162" t="n"/>
      <c r="R1645" s="162">
        <f>IF(ISBLANK(Q1645),"введи курс",P1645/Q1645)</f>
        <v/>
      </c>
      <c r="S1645" s="196">
        <f>IF(AND(ISNUMBER(E1645),ISNUMBER(Q1645)),E1645*R1645,0)</f>
        <v/>
      </c>
      <c r="T1645" s="192">
        <f>$BC1645*V$11</f>
        <v/>
      </c>
      <c r="U1645" s="76">
        <f>$BC1645*W$11</f>
        <v/>
      </c>
      <c r="V1645" s="193">
        <f>+SUM(T1645:U1645)</f>
        <v/>
      </c>
      <c r="W1645" s="191" t="n"/>
      <c r="X1645" s="170" t="n"/>
      <c r="Y1645" s="76">
        <f>ROUND(IF(offer_incoterms="DDP",X1645*(S1645*(1+AW1645)+T1645),0),2)</f>
        <v/>
      </c>
      <c r="Z1645" s="188" t="n"/>
      <c r="AA1645" s="192">
        <f>IFERROR(AB1645/E1645,0)</f>
        <v/>
      </c>
      <c r="AB1645" s="76">
        <f>ROUND(SUM(S1645,V1645,Y1645:Z1645,BA1645:BB1645),2)</f>
        <v/>
      </c>
      <c r="AC1645" s="797" t="n"/>
      <c r="AD1645" s="192">
        <f t="array" ref="AD1645">IFERROR(ROUND((_xlfn.IFS(offer_sale_type="поставка",AB1645,offer_sale_type="транзит",S1645)*(1+AC1645))/E1645,2),0)</f>
        <v/>
      </c>
      <c r="AE1645" s="76">
        <f>AD1645*E1645</f>
        <v/>
      </c>
      <c r="AF1645" s="193">
        <f t="array" ref="AF1645">IFERROR(ROUND(_xlfn.IFS(offer_sale_type="поставка",AB1645,offer_sale_type="транзит",S1645)*AC1645,2),0)</f>
        <v/>
      </c>
      <c r="AG1645" s="192">
        <f>$BD1645*VLOOKUP($AG$3,$AF$4:$AG$7,2,FALSE)</f>
        <v/>
      </c>
      <c r="AH1645" s="76">
        <f>SUM(AE1645,AG1645,AI1645)*rate_forex_risk</f>
        <v/>
      </c>
      <c r="AI1645" s="193">
        <f>IF(OR(seller_region="TR",offer_sale_type="экспорт"),0,rate_fin_comm)*SUM(AZ1645,AZ1645*AW1645,T1645)</f>
        <v/>
      </c>
      <c r="AJ1645" s="118">
        <f>IFERROR(ROUND(SUM(AB1645,AF1645:AI1645)/E1645,2),0)</f>
        <v/>
      </c>
      <c r="AK1645" s="76">
        <f>AJ1645*E1645</f>
        <v/>
      </c>
      <c r="AL1645" s="174">
        <f>ROUND(IFERROR(AM1645*E1645,0),2)</f>
        <v/>
      </c>
      <c r="AM1645" s="175">
        <f>ROUND(AJ1645*(1+IF(offer_incoterms="DDP",IF((TODAY()+offer_turnaround_time)&gt;=helpsheet!$L$17,rate_vatRU_from_26,rate_vatRu_till_25),0)),2)</f>
        <v/>
      </c>
      <c r="AN1645" s="192">
        <f>AL1645-AK1645</f>
        <v/>
      </c>
      <c r="AO1645" s="76">
        <f>SUM(AY1645,Y1645:Z1645,T1645)*IF(AND(offer_incoterms="DDP",offer_sale_type&lt;&gt;"экспорт"),IF((TODAY()+offer_turnaround_time)&gt;=helpsheet!$L$17,rate_vatRU_from_26,rate_vatRu_till_25),0)</f>
        <v/>
      </c>
      <c r="AP1645" s="193">
        <f>AN1645-AO1645</f>
        <v/>
      </c>
      <c r="AQ1645" s="118">
        <f>IF(offer_sale_type="транзит",SUM(AF1645:AI1645,BA1645,BB1645),0)</f>
        <v/>
      </c>
      <c r="AR1645" s="82">
        <f>HYPERLINK("https://www.alta.ru/tnved/code/")&amp;W1645&amp;"/"</f>
        <v/>
      </c>
      <c r="AS1645" s="157" t="n"/>
      <c r="AT1645" s="162" t="n"/>
      <c r="AU1645" s="76">
        <f>IF(ISBLANK(AT1645),0,AJ1645-AT1645)</f>
        <v/>
      </c>
      <c r="AV1645" s="157" t="n"/>
      <c r="AW1645" s="75">
        <f>_xlfn.IFNA(VLOOKUP(L1645,list_vat[],3,FALSE),0)</f>
        <v/>
      </c>
      <c r="AX1645" s="76">
        <f>IFERROR(ROUND(S1645*(1+AW1645)/E1645,2),0)</f>
        <v/>
      </c>
      <c r="AY1645" s="76">
        <f>E1645*AX1645</f>
        <v/>
      </c>
      <c r="AZ1645" s="192">
        <f>S1645*(1+M1645)</f>
        <v/>
      </c>
      <c r="BA1645" s="76">
        <f>cost_fin_total*$BD1645</f>
        <v/>
      </c>
      <c r="BB1645" s="193">
        <f>credit_sales_interest*BD1645</f>
        <v/>
      </c>
      <c r="BC1645" s="102">
        <f>IFERROR(IF($I$13&gt;0,$I1645/$I$13,$S1645/$S$13),0)</f>
        <v/>
      </c>
      <c r="BD1645" s="102">
        <f>IFERROR($S1645/$S$13,0)</f>
        <v/>
      </c>
      <c r="BE1645" s="413" t="inlineStr">
        <is>
          <t>$</t>
        </is>
      </c>
    </row>
    <row r="1646" ht="12" customFormat="1" customHeight="1" s="65">
      <c r="A1646" s="43" t="n">
        <v>1631</v>
      </c>
      <c r="B1646" s="166" t="n"/>
      <c r="C1646" s="166" t="n"/>
      <c r="D1646" s="166" t="n"/>
      <c r="E1646" s="162" t="n"/>
      <c r="F1646" s="166" t="n"/>
      <c r="G1646" s="162" t="n"/>
      <c r="H1646" s="162" t="n"/>
      <c r="I1646" s="189">
        <f>E1646*G1646</f>
        <v/>
      </c>
      <c r="J1646" s="195" t="n"/>
      <c r="K1646" s="162" t="n"/>
      <c r="L1646" s="168" t="n"/>
      <c r="M1646" s="75">
        <f>_xlfn.XLOOKUP(L1646,list_vat[Страна],list_vat[Ставка НДС %],0,0)</f>
        <v/>
      </c>
      <c r="N1646" s="162">
        <f>IFERROR(IF(L1646="Китай",K1646,K1646/(1+M1646)),0)</f>
        <v/>
      </c>
      <c r="O1646" s="169" t="n"/>
      <c r="P1646" s="76">
        <f>N1646*(1-O1646)</f>
        <v/>
      </c>
      <c r="Q1646" s="162" t="n"/>
      <c r="R1646" s="162">
        <f>IF(ISBLANK(Q1646),"введи курс",P1646/Q1646)</f>
        <v/>
      </c>
      <c r="S1646" s="196">
        <f>IF(AND(ISNUMBER(E1646),ISNUMBER(Q1646)),E1646*R1646,0)</f>
        <v/>
      </c>
      <c r="T1646" s="192">
        <f>$BC1646*V$11</f>
        <v/>
      </c>
      <c r="U1646" s="76">
        <f>$BC1646*W$11</f>
        <v/>
      </c>
      <c r="V1646" s="193">
        <f>+SUM(T1646:U1646)</f>
        <v/>
      </c>
      <c r="W1646" s="191" t="n"/>
      <c r="X1646" s="170" t="n"/>
      <c r="Y1646" s="76">
        <f>ROUND(IF(offer_incoterms="DDP",X1646*(S1646*(1+AW1646)+T1646),0),2)</f>
        <v/>
      </c>
      <c r="Z1646" s="188" t="n"/>
      <c r="AA1646" s="192">
        <f>IFERROR(AB1646/E1646,0)</f>
        <v/>
      </c>
      <c r="AB1646" s="76">
        <f>ROUND(SUM(S1646,V1646,Y1646:Z1646,BA1646:BB1646),2)</f>
        <v/>
      </c>
      <c r="AC1646" s="797" t="n"/>
      <c r="AD1646" s="192">
        <f t="array" ref="AD1646">IFERROR(ROUND((_xlfn.IFS(offer_sale_type="поставка",AB1646,offer_sale_type="транзит",S1646)*(1+AC1646))/E1646,2),0)</f>
        <v/>
      </c>
      <c r="AE1646" s="76">
        <f>AD1646*E1646</f>
        <v/>
      </c>
      <c r="AF1646" s="193">
        <f t="array" ref="AF1646">IFERROR(ROUND(_xlfn.IFS(offer_sale_type="поставка",AB1646,offer_sale_type="транзит",S1646)*AC1646,2),0)</f>
        <v/>
      </c>
      <c r="AG1646" s="192">
        <f>$BD1646*VLOOKUP($AG$3,$AF$4:$AG$7,2,FALSE)</f>
        <v/>
      </c>
      <c r="AH1646" s="76">
        <f>SUM(AE1646,AG1646,AI1646)*rate_forex_risk</f>
        <v/>
      </c>
      <c r="AI1646" s="193">
        <f>IF(OR(seller_region="TR",offer_sale_type="экспорт"),0,rate_fin_comm)*SUM(AZ1646,AZ1646*AW1646,T1646)</f>
        <v/>
      </c>
      <c r="AJ1646" s="118">
        <f>IFERROR(ROUND(SUM(AB1646,AF1646:AI1646)/E1646,2),0)</f>
        <v/>
      </c>
      <c r="AK1646" s="76">
        <f>AJ1646*E1646</f>
        <v/>
      </c>
      <c r="AL1646" s="174">
        <f>ROUND(IFERROR(AM1646*E1646,0),2)</f>
        <v/>
      </c>
      <c r="AM1646" s="175">
        <f>ROUND(AJ1646*(1+IF(offer_incoterms="DDP",IF((TODAY()+offer_turnaround_time)&gt;=helpsheet!$L$17,rate_vatRU_from_26,rate_vatRu_till_25),0)),2)</f>
        <v/>
      </c>
      <c r="AN1646" s="192">
        <f>AL1646-AK1646</f>
        <v/>
      </c>
      <c r="AO1646" s="76">
        <f>SUM(AY1646,Y1646:Z1646,T1646)*IF(AND(offer_incoterms="DDP",offer_sale_type&lt;&gt;"экспорт"),IF((TODAY()+offer_turnaround_time)&gt;=helpsheet!$L$17,rate_vatRU_from_26,rate_vatRu_till_25),0)</f>
        <v/>
      </c>
      <c r="AP1646" s="193">
        <f>AN1646-AO1646</f>
        <v/>
      </c>
      <c r="AQ1646" s="118">
        <f>IF(offer_sale_type="транзит",SUM(AF1646:AI1646,BA1646,BB1646),0)</f>
        <v/>
      </c>
      <c r="AR1646" s="82">
        <f>HYPERLINK("https://www.alta.ru/tnved/code/")&amp;W1646&amp;"/"</f>
        <v/>
      </c>
      <c r="AS1646" s="157" t="n"/>
      <c r="AT1646" s="162" t="n"/>
      <c r="AU1646" s="76">
        <f>IF(ISBLANK(AT1646),0,AJ1646-AT1646)</f>
        <v/>
      </c>
      <c r="AV1646" s="157" t="n"/>
      <c r="AW1646" s="75">
        <f>_xlfn.IFNA(VLOOKUP(L1646,list_vat[],3,FALSE),0)</f>
        <v/>
      </c>
      <c r="AX1646" s="76">
        <f>IFERROR(ROUND(S1646*(1+AW1646)/E1646,2),0)</f>
        <v/>
      </c>
      <c r="AY1646" s="76">
        <f>E1646*AX1646</f>
        <v/>
      </c>
      <c r="AZ1646" s="192">
        <f>S1646*(1+M1646)</f>
        <v/>
      </c>
      <c r="BA1646" s="76">
        <f>cost_fin_total*$BD1646</f>
        <v/>
      </c>
      <c r="BB1646" s="193">
        <f>credit_sales_interest*BD1646</f>
        <v/>
      </c>
      <c r="BC1646" s="102">
        <f>IFERROR(IF($I$13&gt;0,$I1646/$I$13,$S1646/$S$13),0)</f>
        <v/>
      </c>
      <c r="BD1646" s="102">
        <f>IFERROR($S1646/$S$13,0)</f>
        <v/>
      </c>
      <c r="BE1646" s="413" t="inlineStr">
        <is>
          <t>$</t>
        </is>
      </c>
    </row>
    <row r="1647" ht="12" customFormat="1" customHeight="1" s="65">
      <c r="A1647" s="43" t="n">
        <v>1632</v>
      </c>
      <c r="B1647" s="166" t="n"/>
      <c r="C1647" s="166" t="n"/>
      <c r="D1647" s="166" t="n"/>
      <c r="E1647" s="162" t="n"/>
      <c r="F1647" s="166" t="n"/>
      <c r="G1647" s="162" t="n"/>
      <c r="H1647" s="162" t="n"/>
      <c r="I1647" s="189">
        <f>E1647*G1647</f>
        <v/>
      </c>
      <c r="J1647" s="195" t="n"/>
      <c r="K1647" s="162" t="n"/>
      <c r="L1647" s="168" t="n"/>
      <c r="M1647" s="75">
        <f>_xlfn.XLOOKUP(L1647,list_vat[Страна],list_vat[Ставка НДС %],0,0)</f>
        <v/>
      </c>
      <c r="N1647" s="162">
        <f>IFERROR(IF(L1647="Китай",K1647,K1647/(1+M1647)),0)</f>
        <v/>
      </c>
      <c r="O1647" s="169" t="n"/>
      <c r="P1647" s="76">
        <f>N1647*(1-O1647)</f>
        <v/>
      </c>
      <c r="Q1647" s="162" t="n"/>
      <c r="R1647" s="162">
        <f>IF(ISBLANK(Q1647),"введи курс",P1647/Q1647)</f>
        <v/>
      </c>
      <c r="S1647" s="196">
        <f>IF(AND(ISNUMBER(E1647),ISNUMBER(Q1647)),E1647*R1647,0)</f>
        <v/>
      </c>
      <c r="T1647" s="192">
        <f>$BC1647*V$11</f>
        <v/>
      </c>
      <c r="U1647" s="76">
        <f>$BC1647*W$11</f>
        <v/>
      </c>
      <c r="V1647" s="193">
        <f>+SUM(T1647:U1647)</f>
        <v/>
      </c>
      <c r="W1647" s="191" t="n"/>
      <c r="X1647" s="170" t="n"/>
      <c r="Y1647" s="76">
        <f>ROUND(IF(offer_incoterms="DDP",X1647*(S1647*(1+AW1647)+T1647),0),2)</f>
        <v/>
      </c>
      <c r="Z1647" s="188" t="n"/>
      <c r="AA1647" s="192">
        <f>IFERROR(AB1647/E1647,0)</f>
        <v/>
      </c>
      <c r="AB1647" s="76">
        <f>ROUND(SUM(S1647,V1647,Y1647:Z1647,BA1647:BB1647),2)</f>
        <v/>
      </c>
      <c r="AC1647" s="797" t="n"/>
      <c r="AD1647" s="192">
        <f t="array" ref="AD1647">IFERROR(ROUND((_xlfn.IFS(offer_sale_type="поставка",AB1647,offer_sale_type="транзит",S1647)*(1+AC1647))/E1647,2),0)</f>
        <v/>
      </c>
      <c r="AE1647" s="76">
        <f>AD1647*E1647</f>
        <v/>
      </c>
      <c r="AF1647" s="193">
        <f t="array" ref="AF1647">IFERROR(ROUND(_xlfn.IFS(offer_sale_type="поставка",AB1647,offer_sale_type="транзит",S1647)*AC1647,2),0)</f>
        <v/>
      </c>
      <c r="AG1647" s="192">
        <f>$BD1647*VLOOKUP($AG$3,$AF$4:$AG$7,2,FALSE)</f>
        <v/>
      </c>
      <c r="AH1647" s="76">
        <f>SUM(AE1647,AG1647,AI1647)*rate_forex_risk</f>
        <v/>
      </c>
      <c r="AI1647" s="193">
        <f>IF(OR(seller_region="TR",offer_sale_type="экспорт"),0,rate_fin_comm)*SUM(AZ1647,AZ1647*AW1647,T1647)</f>
        <v/>
      </c>
      <c r="AJ1647" s="118">
        <f>IFERROR(ROUND(SUM(AB1647,AF1647:AI1647)/E1647,2),0)</f>
        <v/>
      </c>
      <c r="AK1647" s="76">
        <f>AJ1647*E1647</f>
        <v/>
      </c>
      <c r="AL1647" s="174">
        <f>ROUND(IFERROR(AM1647*E1647,0),2)</f>
        <v/>
      </c>
      <c r="AM1647" s="175">
        <f>ROUND(AJ1647*(1+IF(offer_incoterms="DDP",IF((TODAY()+offer_turnaround_time)&gt;=helpsheet!$L$17,rate_vatRU_from_26,rate_vatRu_till_25),0)),2)</f>
        <v/>
      </c>
      <c r="AN1647" s="192">
        <f>AL1647-AK1647</f>
        <v/>
      </c>
      <c r="AO1647" s="76">
        <f>SUM(AY1647,Y1647:Z1647,T1647)*IF(AND(offer_incoterms="DDP",offer_sale_type&lt;&gt;"экспорт"),IF((TODAY()+offer_turnaround_time)&gt;=helpsheet!$L$17,rate_vatRU_from_26,rate_vatRu_till_25),0)</f>
        <v/>
      </c>
      <c r="AP1647" s="193">
        <f>AN1647-AO1647</f>
        <v/>
      </c>
      <c r="AQ1647" s="118">
        <f>IF(offer_sale_type="транзит",SUM(AF1647:AI1647,BA1647,BB1647),0)</f>
        <v/>
      </c>
      <c r="AR1647" s="82">
        <f>HYPERLINK("https://www.alta.ru/tnved/code/")&amp;W1647&amp;"/"</f>
        <v/>
      </c>
      <c r="AS1647" s="157" t="n"/>
      <c r="AT1647" s="162" t="n"/>
      <c r="AU1647" s="76">
        <f>IF(ISBLANK(AT1647),0,AJ1647-AT1647)</f>
        <v/>
      </c>
      <c r="AV1647" s="157" t="n"/>
      <c r="AW1647" s="75">
        <f>_xlfn.IFNA(VLOOKUP(L1647,list_vat[],3,FALSE),0)</f>
        <v/>
      </c>
      <c r="AX1647" s="76">
        <f>IFERROR(ROUND(S1647*(1+AW1647)/E1647,2),0)</f>
        <v/>
      </c>
      <c r="AY1647" s="76">
        <f>E1647*AX1647</f>
        <v/>
      </c>
      <c r="AZ1647" s="192">
        <f>S1647*(1+M1647)</f>
        <v/>
      </c>
      <c r="BA1647" s="76">
        <f>cost_fin_total*$BD1647</f>
        <v/>
      </c>
      <c r="BB1647" s="193">
        <f>credit_sales_interest*BD1647</f>
        <v/>
      </c>
      <c r="BC1647" s="102">
        <f>IFERROR(IF($I$13&gt;0,$I1647/$I$13,$S1647/$S$13),0)</f>
        <v/>
      </c>
      <c r="BD1647" s="102">
        <f>IFERROR($S1647/$S$13,0)</f>
        <v/>
      </c>
      <c r="BE1647" s="413" t="inlineStr">
        <is>
          <t>$</t>
        </is>
      </c>
    </row>
    <row r="1648" ht="12" customFormat="1" customHeight="1" s="65">
      <c r="A1648" s="43" t="n">
        <v>1633</v>
      </c>
      <c r="B1648" s="166" t="n"/>
      <c r="C1648" s="166" t="n"/>
      <c r="D1648" s="166" t="n"/>
      <c r="E1648" s="162" t="n"/>
      <c r="F1648" s="166" t="n"/>
      <c r="G1648" s="162" t="n"/>
      <c r="H1648" s="162" t="n"/>
      <c r="I1648" s="189">
        <f>E1648*G1648</f>
        <v/>
      </c>
      <c r="J1648" s="195" t="n"/>
      <c r="K1648" s="162" t="n"/>
      <c r="L1648" s="168" t="n"/>
      <c r="M1648" s="75">
        <f>_xlfn.XLOOKUP(L1648,list_vat[Страна],list_vat[Ставка НДС %],0,0)</f>
        <v/>
      </c>
      <c r="N1648" s="162">
        <f>IFERROR(IF(L1648="Китай",K1648,K1648/(1+M1648)),0)</f>
        <v/>
      </c>
      <c r="O1648" s="169" t="n"/>
      <c r="P1648" s="76">
        <f>N1648*(1-O1648)</f>
        <v/>
      </c>
      <c r="Q1648" s="162" t="n"/>
      <c r="R1648" s="162">
        <f>IF(ISBLANK(Q1648),"введи курс",P1648/Q1648)</f>
        <v/>
      </c>
      <c r="S1648" s="196">
        <f>IF(AND(ISNUMBER(E1648),ISNUMBER(Q1648)),E1648*R1648,0)</f>
        <v/>
      </c>
      <c r="T1648" s="192">
        <f>$BC1648*V$11</f>
        <v/>
      </c>
      <c r="U1648" s="76">
        <f>$BC1648*W$11</f>
        <v/>
      </c>
      <c r="V1648" s="193">
        <f>+SUM(T1648:U1648)</f>
        <v/>
      </c>
      <c r="W1648" s="191" t="n"/>
      <c r="X1648" s="170" t="n"/>
      <c r="Y1648" s="76">
        <f>ROUND(IF(offer_incoterms="DDP",X1648*(S1648*(1+AW1648)+T1648),0),2)</f>
        <v/>
      </c>
      <c r="Z1648" s="188" t="n"/>
      <c r="AA1648" s="192">
        <f>IFERROR(AB1648/E1648,0)</f>
        <v/>
      </c>
      <c r="AB1648" s="76">
        <f>ROUND(SUM(S1648,V1648,Y1648:Z1648,BA1648:BB1648),2)</f>
        <v/>
      </c>
      <c r="AC1648" s="797" t="n"/>
      <c r="AD1648" s="192">
        <f t="array" ref="AD1648">IFERROR(ROUND((_xlfn.IFS(offer_sale_type="поставка",AB1648,offer_sale_type="транзит",S1648)*(1+AC1648))/E1648,2),0)</f>
        <v/>
      </c>
      <c r="AE1648" s="76">
        <f>AD1648*E1648</f>
        <v/>
      </c>
      <c r="AF1648" s="193">
        <f t="array" ref="AF1648">IFERROR(ROUND(_xlfn.IFS(offer_sale_type="поставка",AB1648,offer_sale_type="транзит",S1648)*AC1648,2),0)</f>
        <v/>
      </c>
      <c r="AG1648" s="192">
        <f>$BD1648*VLOOKUP($AG$3,$AF$4:$AG$7,2,FALSE)</f>
        <v/>
      </c>
      <c r="AH1648" s="76">
        <f>SUM(AE1648,AG1648,AI1648)*rate_forex_risk</f>
        <v/>
      </c>
      <c r="AI1648" s="193">
        <f>IF(OR(seller_region="TR",offer_sale_type="экспорт"),0,rate_fin_comm)*SUM(AZ1648,AZ1648*AW1648,T1648)</f>
        <v/>
      </c>
      <c r="AJ1648" s="118">
        <f>IFERROR(ROUND(SUM(AB1648,AF1648:AI1648)/E1648,2),0)</f>
        <v/>
      </c>
      <c r="AK1648" s="76">
        <f>AJ1648*E1648</f>
        <v/>
      </c>
      <c r="AL1648" s="174">
        <f>ROUND(IFERROR(AM1648*E1648,0),2)</f>
        <v/>
      </c>
      <c r="AM1648" s="175">
        <f>ROUND(AJ1648*(1+IF(offer_incoterms="DDP",IF((TODAY()+offer_turnaround_time)&gt;=helpsheet!$L$17,rate_vatRU_from_26,rate_vatRu_till_25),0)),2)</f>
        <v/>
      </c>
      <c r="AN1648" s="192">
        <f>AL1648-AK1648</f>
        <v/>
      </c>
      <c r="AO1648" s="76">
        <f>SUM(AY1648,Y1648:Z1648,T1648)*IF(AND(offer_incoterms="DDP",offer_sale_type&lt;&gt;"экспорт"),IF((TODAY()+offer_turnaround_time)&gt;=helpsheet!$L$17,rate_vatRU_from_26,rate_vatRu_till_25),0)</f>
        <v/>
      </c>
      <c r="AP1648" s="193">
        <f>AN1648-AO1648</f>
        <v/>
      </c>
      <c r="AQ1648" s="118">
        <f>IF(offer_sale_type="транзит",SUM(AF1648:AI1648,BA1648,BB1648),0)</f>
        <v/>
      </c>
      <c r="AR1648" s="82">
        <f>HYPERLINK("https://www.alta.ru/tnved/code/")&amp;W1648&amp;"/"</f>
        <v/>
      </c>
      <c r="AS1648" s="157" t="n"/>
      <c r="AT1648" s="162" t="n"/>
      <c r="AU1648" s="76">
        <f>IF(ISBLANK(AT1648),0,AJ1648-AT1648)</f>
        <v/>
      </c>
      <c r="AV1648" s="157" t="n"/>
      <c r="AW1648" s="75">
        <f>_xlfn.IFNA(VLOOKUP(L1648,list_vat[],3,FALSE),0)</f>
        <v/>
      </c>
      <c r="AX1648" s="76">
        <f>IFERROR(ROUND(S1648*(1+AW1648)/E1648,2),0)</f>
        <v/>
      </c>
      <c r="AY1648" s="76">
        <f>E1648*AX1648</f>
        <v/>
      </c>
      <c r="AZ1648" s="192">
        <f>S1648*(1+M1648)</f>
        <v/>
      </c>
      <c r="BA1648" s="76">
        <f>cost_fin_total*$BD1648</f>
        <v/>
      </c>
      <c r="BB1648" s="193">
        <f>credit_sales_interest*BD1648</f>
        <v/>
      </c>
      <c r="BC1648" s="102">
        <f>IFERROR(IF($I$13&gt;0,$I1648/$I$13,$S1648/$S$13),0)</f>
        <v/>
      </c>
      <c r="BD1648" s="102">
        <f>IFERROR($S1648/$S$13,0)</f>
        <v/>
      </c>
      <c r="BE1648" s="413" t="inlineStr">
        <is>
          <t>$</t>
        </is>
      </c>
    </row>
    <row r="1649" ht="12" customFormat="1" customHeight="1" s="65">
      <c r="A1649" s="43" t="n">
        <v>1634</v>
      </c>
      <c r="B1649" s="166" t="n"/>
      <c r="C1649" s="166" t="n"/>
      <c r="D1649" s="166" t="n"/>
      <c r="E1649" s="162" t="n"/>
      <c r="F1649" s="166" t="n"/>
      <c r="G1649" s="162" t="n"/>
      <c r="H1649" s="162" t="n"/>
      <c r="I1649" s="189">
        <f>E1649*G1649</f>
        <v/>
      </c>
      <c r="J1649" s="195" t="n"/>
      <c r="K1649" s="162" t="n"/>
      <c r="L1649" s="168" t="n"/>
      <c r="M1649" s="75">
        <f>_xlfn.XLOOKUP(L1649,list_vat[Страна],list_vat[Ставка НДС %],0,0)</f>
        <v/>
      </c>
      <c r="N1649" s="162">
        <f>IFERROR(IF(L1649="Китай",K1649,K1649/(1+M1649)),0)</f>
        <v/>
      </c>
      <c r="O1649" s="169" t="n"/>
      <c r="P1649" s="76">
        <f>N1649*(1-O1649)</f>
        <v/>
      </c>
      <c r="Q1649" s="162" t="n"/>
      <c r="R1649" s="162">
        <f>IF(ISBLANK(Q1649),"введи курс",P1649/Q1649)</f>
        <v/>
      </c>
      <c r="S1649" s="196">
        <f>IF(AND(ISNUMBER(E1649),ISNUMBER(Q1649)),E1649*R1649,0)</f>
        <v/>
      </c>
      <c r="T1649" s="192">
        <f>$BC1649*V$11</f>
        <v/>
      </c>
      <c r="U1649" s="76">
        <f>$BC1649*W$11</f>
        <v/>
      </c>
      <c r="V1649" s="193">
        <f>+SUM(T1649:U1649)</f>
        <v/>
      </c>
      <c r="W1649" s="191" t="n"/>
      <c r="X1649" s="170" t="n"/>
      <c r="Y1649" s="76">
        <f>ROUND(IF(offer_incoterms="DDP",X1649*(S1649*(1+AW1649)+T1649),0),2)</f>
        <v/>
      </c>
      <c r="Z1649" s="188" t="n"/>
      <c r="AA1649" s="192">
        <f>IFERROR(AB1649/E1649,0)</f>
        <v/>
      </c>
      <c r="AB1649" s="76">
        <f>ROUND(SUM(S1649,V1649,Y1649:Z1649,BA1649:BB1649),2)</f>
        <v/>
      </c>
      <c r="AC1649" s="797" t="n"/>
      <c r="AD1649" s="192">
        <f t="array" ref="AD1649">IFERROR(ROUND((_xlfn.IFS(offer_sale_type="поставка",AB1649,offer_sale_type="транзит",S1649)*(1+AC1649))/E1649,2),0)</f>
        <v/>
      </c>
      <c r="AE1649" s="76">
        <f>AD1649*E1649</f>
        <v/>
      </c>
      <c r="AF1649" s="193">
        <f t="array" ref="AF1649">IFERROR(ROUND(_xlfn.IFS(offer_sale_type="поставка",AB1649,offer_sale_type="транзит",S1649)*AC1649,2),0)</f>
        <v/>
      </c>
      <c r="AG1649" s="192">
        <f>$BD1649*VLOOKUP($AG$3,$AF$4:$AG$7,2,FALSE)</f>
        <v/>
      </c>
      <c r="AH1649" s="76">
        <f>SUM(AE1649,AG1649,AI1649)*rate_forex_risk</f>
        <v/>
      </c>
      <c r="AI1649" s="193">
        <f>IF(OR(seller_region="TR",offer_sale_type="экспорт"),0,rate_fin_comm)*SUM(AZ1649,AZ1649*AW1649,T1649)</f>
        <v/>
      </c>
      <c r="AJ1649" s="118">
        <f>IFERROR(ROUND(SUM(AB1649,AF1649:AI1649)/E1649,2),0)</f>
        <v/>
      </c>
      <c r="AK1649" s="76">
        <f>AJ1649*E1649</f>
        <v/>
      </c>
      <c r="AL1649" s="174">
        <f>ROUND(IFERROR(AM1649*E1649,0),2)</f>
        <v/>
      </c>
      <c r="AM1649" s="175">
        <f>ROUND(AJ1649*(1+IF(offer_incoterms="DDP",IF((TODAY()+offer_turnaround_time)&gt;=helpsheet!$L$17,rate_vatRU_from_26,rate_vatRu_till_25),0)),2)</f>
        <v/>
      </c>
      <c r="AN1649" s="192">
        <f>AL1649-AK1649</f>
        <v/>
      </c>
      <c r="AO1649" s="76">
        <f>SUM(AY1649,Y1649:Z1649,T1649)*IF(AND(offer_incoterms="DDP",offer_sale_type&lt;&gt;"экспорт"),IF((TODAY()+offer_turnaround_time)&gt;=helpsheet!$L$17,rate_vatRU_from_26,rate_vatRu_till_25),0)</f>
        <v/>
      </c>
      <c r="AP1649" s="193">
        <f>AN1649-AO1649</f>
        <v/>
      </c>
      <c r="AQ1649" s="118">
        <f>IF(offer_sale_type="транзит",SUM(AF1649:AI1649,BA1649,BB1649),0)</f>
        <v/>
      </c>
      <c r="AR1649" s="82">
        <f>HYPERLINK("https://www.alta.ru/tnved/code/")&amp;W1649&amp;"/"</f>
        <v/>
      </c>
      <c r="AS1649" s="157" t="n"/>
      <c r="AT1649" s="162" t="n"/>
      <c r="AU1649" s="76">
        <f>IF(ISBLANK(AT1649),0,AJ1649-AT1649)</f>
        <v/>
      </c>
      <c r="AV1649" s="157" t="n"/>
      <c r="AW1649" s="75">
        <f>_xlfn.IFNA(VLOOKUP(L1649,list_vat[],3,FALSE),0)</f>
        <v/>
      </c>
      <c r="AX1649" s="76">
        <f>IFERROR(ROUND(S1649*(1+AW1649)/E1649,2),0)</f>
        <v/>
      </c>
      <c r="AY1649" s="76">
        <f>E1649*AX1649</f>
        <v/>
      </c>
      <c r="AZ1649" s="192">
        <f>S1649*(1+M1649)</f>
        <v/>
      </c>
      <c r="BA1649" s="76">
        <f>cost_fin_total*$BD1649</f>
        <v/>
      </c>
      <c r="BB1649" s="193">
        <f>credit_sales_interest*BD1649</f>
        <v/>
      </c>
      <c r="BC1649" s="102">
        <f>IFERROR(IF($I$13&gt;0,$I1649/$I$13,$S1649/$S$13),0)</f>
        <v/>
      </c>
      <c r="BD1649" s="102">
        <f>IFERROR($S1649/$S$13,0)</f>
        <v/>
      </c>
      <c r="BE1649" s="413" t="inlineStr">
        <is>
          <t>$</t>
        </is>
      </c>
    </row>
    <row r="1650" ht="12" customFormat="1" customHeight="1" s="65">
      <c r="A1650" s="43" t="n">
        <v>1635</v>
      </c>
      <c r="B1650" s="166" t="n"/>
      <c r="C1650" s="166" t="n"/>
      <c r="D1650" s="166" t="n"/>
      <c r="E1650" s="162" t="n"/>
      <c r="F1650" s="166" t="n"/>
      <c r="G1650" s="162" t="n"/>
      <c r="H1650" s="162" t="n"/>
      <c r="I1650" s="189">
        <f>E1650*G1650</f>
        <v/>
      </c>
      <c r="J1650" s="195" t="n"/>
      <c r="K1650" s="162" t="n"/>
      <c r="L1650" s="168" t="n"/>
      <c r="M1650" s="75">
        <f>_xlfn.XLOOKUP(L1650,list_vat[Страна],list_vat[Ставка НДС %],0,0)</f>
        <v/>
      </c>
      <c r="N1650" s="162">
        <f>IFERROR(IF(L1650="Китай",K1650,K1650/(1+M1650)),0)</f>
        <v/>
      </c>
      <c r="O1650" s="169" t="n"/>
      <c r="P1650" s="76">
        <f>N1650*(1-O1650)</f>
        <v/>
      </c>
      <c r="Q1650" s="162" t="n"/>
      <c r="R1650" s="162">
        <f>IF(ISBLANK(Q1650),"введи курс",P1650/Q1650)</f>
        <v/>
      </c>
      <c r="S1650" s="196">
        <f>IF(AND(ISNUMBER(E1650),ISNUMBER(Q1650)),E1650*R1650,0)</f>
        <v/>
      </c>
      <c r="T1650" s="192">
        <f>$BC1650*V$11</f>
        <v/>
      </c>
      <c r="U1650" s="76">
        <f>$BC1650*W$11</f>
        <v/>
      </c>
      <c r="V1650" s="193">
        <f>+SUM(T1650:U1650)</f>
        <v/>
      </c>
      <c r="W1650" s="191" t="n"/>
      <c r="X1650" s="170" t="n"/>
      <c r="Y1650" s="76">
        <f>ROUND(IF(offer_incoterms="DDP",X1650*(S1650*(1+AW1650)+T1650),0),2)</f>
        <v/>
      </c>
      <c r="Z1650" s="188" t="n"/>
      <c r="AA1650" s="192">
        <f>IFERROR(AB1650/E1650,0)</f>
        <v/>
      </c>
      <c r="AB1650" s="76">
        <f>ROUND(SUM(S1650,V1650,Y1650:Z1650,BA1650:BB1650),2)</f>
        <v/>
      </c>
      <c r="AC1650" s="797" t="n"/>
      <c r="AD1650" s="192">
        <f t="array" ref="AD1650">IFERROR(ROUND((_xlfn.IFS(offer_sale_type="поставка",AB1650,offer_sale_type="транзит",S1650)*(1+AC1650))/E1650,2),0)</f>
        <v/>
      </c>
      <c r="AE1650" s="76">
        <f>AD1650*E1650</f>
        <v/>
      </c>
      <c r="AF1650" s="193">
        <f t="array" ref="AF1650">IFERROR(ROUND(_xlfn.IFS(offer_sale_type="поставка",AB1650,offer_sale_type="транзит",S1650)*AC1650,2),0)</f>
        <v/>
      </c>
      <c r="AG1650" s="192">
        <f>$BD1650*VLOOKUP($AG$3,$AF$4:$AG$7,2,FALSE)</f>
        <v/>
      </c>
      <c r="AH1650" s="76">
        <f>SUM(AE1650,AG1650,AI1650)*rate_forex_risk</f>
        <v/>
      </c>
      <c r="AI1650" s="193">
        <f>IF(OR(seller_region="TR",offer_sale_type="экспорт"),0,rate_fin_comm)*SUM(AZ1650,AZ1650*AW1650,T1650)</f>
        <v/>
      </c>
      <c r="AJ1650" s="118">
        <f>IFERROR(ROUND(SUM(AB1650,AF1650:AI1650)/E1650,2),0)</f>
        <v/>
      </c>
      <c r="AK1650" s="76">
        <f>AJ1650*E1650</f>
        <v/>
      </c>
      <c r="AL1650" s="174">
        <f>ROUND(IFERROR(AM1650*E1650,0),2)</f>
        <v/>
      </c>
      <c r="AM1650" s="175">
        <f>ROUND(AJ1650*(1+IF(offer_incoterms="DDP",IF((TODAY()+offer_turnaround_time)&gt;=helpsheet!$L$17,rate_vatRU_from_26,rate_vatRu_till_25),0)),2)</f>
        <v/>
      </c>
      <c r="AN1650" s="192">
        <f>AL1650-AK1650</f>
        <v/>
      </c>
      <c r="AO1650" s="76">
        <f>SUM(AY1650,Y1650:Z1650,T1650)*IF(AND(offer_incoterms="DDP",offer_sale_type&lt;&gt;"экспорт"),IF((TODAY()+offer_turnaround_time)&gt;=helpsheet!$L$17,rate_vatRU_from_26,rate_vatRu_till_25),0)</f>
        <v/>
      </c>
      <c r="AP1650" s="193">
        <f>AN1650-AO1650</f>
        <v/>
      </c>
      <c r="AQ1650" s="118">
        <f>IF(offer_sale_type="транзит",SUM(AF1650:AI1650,BA1650,BB1650),0)</f>
        <v/>
      </c>
      <c r="AR1650" s="82">
        <f>HYPERLINK("https://www.alta.ru/tnved/code/")&amp;W1650&amp;"/"</f>
        <v/>
      </c>
      <c r="AS1650" s="157" t="n"/>
      <c r="AT1650" s="162" t="n"/>
      <c r="AU1650" s="76">
        <f>IF(ISBLANK(AT1650),0,AJ1650-AT1650)</f>
        <v/>
      </c>
      <c r="AV1650" s="157" t="n"/>
      <c r="AW1650" s="75">
        <f>_xlfn.IFNA(VLOOKUP(L1650,list_vat[],3,FALSE),0)</f>
        <v/>
      </c>
      <c r="AX1650" s="76">
        <f>IFERROR(ROUND(S1650*(1+AW1650)/E1650,2),0)</f>
        <v/>
      </c>
      <c r="AY1650" s="76">
        <f>E1650*AX1650</f>
        <v/>
      </c>
      <c r="AZ1650" s="192">
        <f>S1650*(1+M1650)</f>
        <v/>
      </c>
      <c r="BA1650" s="76">
        <f>cost_fin_total*$BD1650</f>
        <v/>
      </c>
      <c r="BB1650" s="193">
        <f>credit_sales_interest*BD1650</f>
        <v/>
      </c>
      <c r="BC1650" s="102">
        <f>IFERROR(IF($I$13&gt;0,$I1650/$I$13,$S1650/$S$13),0)</f>
        <v/>
      </c>
      <c r="BD1650" s="102">
        <f>IFERROR($S1650/$S$13,0)</f>
        <v/>
      </c>
      <c r="BE1650" s="413" t="inlineStr">
        <is>
          <t>$</t>
        </is>
      </c>
    </row>
    <row r="1651" ht="12" customFormat="1" customHeight="1" s="65">
      <c r="A1651" s="43" t="n">
        <v>1636</v>
      </c>
      <c r="B1651" s="166" t="n"/>
      <c r="C1651" s="166" t="n"/>
      <c r="D1651" s="166" t="n"/>
      <c r="E1651" s="162" t="n"/>
      <c r="F1651" s="166" t="n"/>
      <c r="G1651" s="162" t="n"/>
      <c r="H1651" s="162" t="n"/>
      <c r="I1651" s="189">
        <f>E1651*G1651</f>
        <v/>
      </c>
      <c r="J1651" s="195" t="n"/>
      <c r="K1651" s="162" t="n"/>
      <c r="L1651" s="168" t="n"/>
      <c r="M1651" s="75">
        <f>_xlfn.XLOOKUP(L1651,list_vat[Страна],list_vat[Ставка НДС %],0,0)</f>
        <v/>
      </c>
      <c r="N1651" s="162">
        <f>IFERROR(IF(L1651="Китай",K1651,K1651/(1+M1651)),0)</f>
        <v/>
      </c>
      <c r="O1651" s="169" t="n"/>
      <c r="P1651" s="76">
        <f>N1651*(1-O1651)</f>
        <v/>
      </c>
      <c r="Q1651" s="162" t="n"/>
      <c r="R1651" s="162">
        <f>IF(ISBLANK(Q1651),"введи курс",P1651/Q1651)</f>
        <v/>
      </c>
      <c r="S1651" s="196">
        <f>IF(AND(ISNUMBER(E1651),ISNUMBER(Q1651)),E1651*R1651,0)</f>
        <v/>
      </c>
      <c r="T1651" s="192">
        <f>$BC1651*V$11</f>
        <v/>
      </c>
      <c r="U1651" s="76">
        <f>$BC1651*W$11</f>
        <v/>
      </c>
      <c r="V1651" s="193">
        <f>+SUM(T1651:U1651)</f>
        <v/>
      </c>
      <c r="W1651" s="191" t="n"/>
      <c r="X1651" s="170" t="n"/>
      <c r="Y1651" s="76">
        <f>ROUND(IF(offer_incoterms="DDP",X1651*(S1651*(1+AW1651)+T1651),0),2)</f>
        <v/>
      </c>
      <c r="Z1651" s="188" t="n"/>
      <c r="AA1651" s="192">
        <f>IFERROR(AB1651/E1651,0)</f>
        <v/>
      </c>
      <c r="AB1651" s="76">
        <f>ROUND(SUM(S1651,V1651,Y1651:Z1651,BA1651:BB1651),2)</f>
        <v/>
      </c>
      <c r="AC1651" s="797" t="n"/>
      <c r="AD1651" s="192">
        <f t="array" ref="AD1651">IFERROR(ROUND((_xlfn.IFS(offer_sale_type="поставка",AB1651,offer_sale_type="транзит",S1651)*(1+AC1651))/E1651,2),0)</f>
        <v/>
      </c>
      <c r="AE1651" s="76">
        <f>AD1651*E1651</f>
        <v/>
      </c>
      <c r="AF1651" s="193">
        <f t="array" ref="AF1651">IFERROR(ROUND(_xlfn.IFS(offer_sale_type="поставка",AB1651,offer_sale_type="транзит",S1651)*AC1651,2),0)</f>
        <v/>
      </c>
      <c r="AG1651" s="192">
        <f>$BD1651*VLOOKUP($AG$3,$AF$4:$AG$7,2,FALSE)</f>
        <v/>
      </c>
      <c r="AH1651" s="76">
        <f>SUM(AE1651,AG1651,AI1651)*rate_forex_risk</f>
        <v/>
      </c>
      <c r="AI1651" s="193">
        <f>IF(OR(seller_region="TR",offer_sale_type="экспорт"),0,rate_fin_comm)*SUM(AZ1651,AZ1651*AW1651,T1651)</f>
        <v/>
      </c>
      <c r="AJ1651" s="118">
        <f>IFERROR(ROUND(SUM(AB1651,AF1651:AI1651)/E1651,2),0)</f>
        <v/>
      </c>
      <c r="AK1651" s="76">
        <f>AJ1651*E1651</f>
        <v/>
      </c>
      <c r="AL1651" s="174">
        <f>ROUND(IFERROR(AM1651*E1651,0),2)</f>
        <v/>
      </c>
      <c r="AM1651" s="175">
        <f>ROUND(AJ1651*(1+IF(offer_incoterms="DDP",IF((TODAY()+offer_turnaround_time)&gt;=helpsheet!$L$17,rate_vatRU_from_26,rate_vatRu_till_25),0)),2)</f>
        <v/>
      </c>
      <c r="AN1651" s="192">
        <f>AL1651-AK1651</f>
        <v/>
      </c>
      <c r="AO1651" s="76">
        <f>SUM(AY1651,Y1651:Z1651,T1651)*IF(AND(offer_incoterms="DDP",offer_sale_type&lt;&gt;"экспорт"),IF((TODAY()+offer_turnaround_time)&gt;=helpsheet!$L$17,rate_vatRU_from_26,rate_vatRu_till_25),0)</f>
        <v/>
      </c>
      <c r="AP1651" s="193">
        <f>AN1651-AO1651</f>
        <v/>
      </c>
      <c r="AQ1651" s="118">
        <f>IF(offer_sale_type="транзит",SUM(AF1651:AI1651,BA1651,BB1651),0)</f>
        <v/>
      </c>
      <c r="AR1651" s="82">
        <f>HYPERLINK("https://www.alta.ru/tnved/code/")&amp;W1651&amp;"/"</f>
        <v/>
      </c>
      <c r="AS1651" s="157" t="n"/>
      <c r="AT1651" s="162" t="n"/>
      <c r="AU1651" s="76">
        <f>IF(ISBLANK(AT1651),0,AJ1651-AT1651)</f>
        <v/>
      </c>
      <c r="AV1651" s="157" t="n"/>
      <c r="AW1651" s="75">
        <f>_xlfn.IFNA(VLOOKUP(L1651,list_vat[],3,FALSE),0)</f>
        <v/>
      </c>
      <c r="AX1651" s="76">
        <f>IFERROR(ROUND(S1651*(1+AW1651)/E1651,2),0)</f>
        <v/>
      </c>
      <c r="AY1651" s="76">
        <f>E1651*AX1651</f>
        <v/>
      </c>
      <c r="AZ1651" s="192">
        <f>S1651*(1+M1651)</f>
        <v/>
      </c>
      <c r="BA1651" s="76">
        <f>cost_fin_total*$BD1651</f>
        <v/>
      </c>
      <c r="BB1651" s="193">
        <f>credit_sales_interest*BD1651</f>
        <v/>
      </c>
      <c r="BC1651" s="102">
        <f>IFERROR(IF($I$13&gt;0,$I1651/$I$13,$S1651/$S$13),0)</f>
        <v/>
      </c>
      <c r="BD1651" s="102">
        <f>IFERROR($S1651/$S$13,0)</f>
        <v/>
      </c>
      <c r="BE1651" s="413" t="inlineStr">
        <is>
          <t>$</t>
        </is>
      </c>
    </row>
    <row r="1652" ht="12" customFormat="1" customHeight="1" s="65">
      <c r="A1652" s="43" t="n">
        <v>1637</v>
      </c>
      <c r="B1652" s="166" t="n"/>
      <c r="C1652" s="166" t="n"/>
      <c r="D1652" s="166" t="n"/>
      <c r="E1652" s="162" t="n"/>
      <c r="F1652" s="166" t="n"/>
      <c r="G1652" s="162" t="n"/>
      <c r="H1652" s="162" t="n"/>
      <c r="I1652" s="189">
        <f>E1652*G1652</f>
        <v/>
      </c>
      <c r="J1652" s="195" t="n"/>
      <c r="K1652" s="162" t="n"/>
      <c r="L1652" s="168" t="n"/>
      <c r="M1652" s="75">
        <f>_xlfn.XLOOKUP(L1652,list_vat[Страна],list_vat[Ставка НДС %],0,0)</f>
        <v/>
      </c>
      <c r="N1652" s="162">
        <f>IFERROR(IF(L1652="Китай",K1652,K1652/(1+M1652)),0)</f>
        <v/>
      </c>
      <c r="O1652" s="169" t="n"/>
      <c r="P1652" s="76">
        <f>N1652*(1-O1652)</f>
        <v/>
      </c>
      <c r="Q1652" s="162" t="n"/>
      <c r="R1652" s="162">
        <f>IF(ISBLANK(Q1652),"введи курс",P1652/Q1652)</f>
        <v/>
      </c>
      <c r="S1652" s="196">
        <f>IF(AND(ISNUMBER(E1652),ISNUMBER(Q1652)),E1652*R1652,0)</f>
        <v/>
      </c>
      <c r="T1652" s="192">
        <f>$BC1652*V$11</f>
        <v/>
      </c>
      <c r="U1652" s="76">
        <f>$BC1652*W$11</f>
        <v/>
      </c>
      <c r="V1652" s="193">
        <f>+SUM(T1652:U1652)</f>
        <v/>
      </c>
      <c r="W1652" s="191" t="n"/>
      <c r="X1652" s="170" t="n"/>
      <c r="Y1652" s="76">
        <f>ROUND(IF(offer_incoterms="DDP",X1652*(S1652*(1+AW1652)+T1652),0),2)</f>
        <v/>
      </c>
      <c r="Z1652" s="188" t="n"/>
      <c r="AA1652" s="192">
        <f>IFERROR(AB1652/E1652,0)</f>
        <v/>
      </c>
      <c r="AB1652" s="76">
        <f>ROUND(SUM(S1652,V1652,Y1652:Z1652,BA1652:BB1652),2)</f>
        <v/>
      </c>
      <c r="AC1652" s="797" t="n"/>
      <c r="AD1652" s="192">
        <f t="array" ref="AD1652">IFERROR(ROUND((_xlfn.IFS(offer_sale_type="поставка",AB1652,offer_sale_type="транзит",S1652)*(1+AC1652))/E1652,2),0)</f>
        <v/>
      </c>
      <c r="AE1652" s="76">
        <f>AD1652*E1652</f>
        <v/>
      </c>
      <c r="AF1652" s="193">
        <f t="array" ref="AF1652">IFERROR(ROUND(_xlfn.IFS(offer_sale_type="поставка",AB1652,offer_sale_type="транзит",S1652)*AC1652,2),0)</f>
        <v/>
      </c>
      <c r="AG1652" s="192">
        <f>$BD1652*VLOOKUP($AG$3,$AF$4:$AG$7,2,FALSE)</f>
        <v/>
      </c>
      <c r="AH1652" s="76">
        <f>SUM(AE1652,AG1652,AI1652)*rate_forex_risk</f>
        <v/>
      </c>
      <c r="AI1652" s="193">
        <f>IF(OR(seller_region="TR",offer_sale_type="экспорт"),0,rate_fin_comm)*SUM(AZ1652,AZ1652*AW1652,T1652)</f>
        <v/>
      </c>
      <c r="AJ1652" s="118">
        <f>IFERROR(ROUND(SUM(AB1652,AF1652:AI1652)/E1652,2),0)</f>
        <v/>
      </c>
      <c r="AK1652" s="76">
        <f>AJ1652*E1652</f>
        <v/>
      </c>
      <c r="AL1652" s="174">
        <f>ROUND(IFERROR(AM1652*E1652,0),2)</f>
        <v/>
      </c>
      <c r="AM1652" s="175">
        <f>ROUND(AJ1652*(1+IF(offer_incoterms="DDP",IF((TODAY()+offer_turnaround_time)&gt;=helpsheet!$L$17,rate_vatRU_from_26,rate_vatRu_till_25),0)),2)</f>
        <v/>
      </c>
      <c r="AN1652" s="192">
        <f>AL1652-AK1652</f>
        <v/>
      </c>
      <c r="AO1652" s="76">
        <f>SUM(AY1652,Y1652:Z1652,T1652)*IF(AND(offer_incoterms="DDP",offer_sale_type&lt;&gt;"экспорт"),IF((TODAY()+offer_turnaround_time)&gt;=helpsheet!$L$17,rate_vatRU_from_26,rate_vatRu_till_25),0)</f>
        <v/>
      </c>
      <c r="AP1652" s="193">
        <f>AN1652-AO1652</f>
        <v/>
      </c>
      <c r="AQ1652" s="118">
        <f>IF(offer_sale_type="транзит",SUM(AF1652:AI1652,BA1652,BB1652),0)</f>
        <v/>
      </c>
      <c r="AR1652" s="82">
        <f>HYPERLINK("https://www.alta.ru/tnved/code/")&amp;W1652&amp;"/"</f>
        <v/>
      </c>
      <c r="AS1652" s="157" t="n"/>
      <c r="AT1652" s="162" t="n"/>
      <c r="AU1652" s="76">
        <f>IF(ISBLANK(AT1652),0,AJ1652-AT1652)</f>
        <v/>
      </c>
      <c r="AV1652" s="157" t="n"/>
      <c r="AW1652" s="75">
        <f>_xlfn.IFNA(VLOOKUP(L1652,list_vat[],3,FALSE),0)</f>
        <v/>
      </c>
      <c r="AX1652" s="76">
        <f>IFERROR(ROUND(S1652*(1+AW1652)/E1652,2),0)</f>
        <v/>
      </c>
      <c r="AY1652" s="76">
        <f>E1652*AX1652</f>
        <v/>
      </c>
      <c r="AZ1652" s="192">
        <f>S1652*(1+M1652)</f>
        <v/>
      </c>
      <c r="BA1652" s="76">
        <f>cost_fin_total*$BD1652</f>
        <v/>
      </c>
      <c r="BB1652" s="193">
        <f>credit_sales_interest*BD1652</f>
        <v/>
      </c>
      <c r="BC1652" s="102">
        <f>IFERROR(IF($I$13&gt;0,$I1652/$I$13,$S1652/$S$13),0)</f>
        <v/>
      </c>
      <c r="BD1652" s="102">
        <f>IFERROR($S1652/$S$13,0)</f>
        <v/>
      </c>
      <c r="BE1652" s="413" t="inlineStr">
        <is>
          <t>$</t>
        </is>
      </c>
    </row>
    <row r="1653" ht="12" customFormat="1" customHeight="1" s="65">
      <c r="A1653" s="43" t="n">
        <v>1638</v>
      </c>
      <c r="B1653" s="166" t="n"/>
      <c r="C1653" s="166" t="n"/>
      <c r="D1653" s="166" t="n"/>
      <c r="E1653" s="162" t="n"/>
      <c r="F1653" s="166" t="n"/>
      <c r="G1653" s="162" t="n"/>
      <c r="H1653" s="162" t="n"/>
      <c r="I1653" s="189">
        <f>E1653*G1653</f>
        <v/>
      </c>
      <c r="J1653" s="195" t="n"/>
      <c r="K1653" s="162" t="n"/>
      <c r="L1653" s="168" t="n"/>
      <c r="M1653" s="75">
        <f>_xlfn.XLOOKUP(L1653,list_vat[Страна],list_vat[Ставка НДС %],0,0)</f>
        <v/>
      </c>
      <c r="N1653" s="162">
        <f>IFERROR(IF(L1653="Китай",K1653,K1653/(1+M1653)),0)</f>
        <v/>
      </c>
      <c r="O1653" s="169" t="n"/>
      <c r="P1653" s="76">
        <f>N1653*(1-O1653)</f>
        <v/>
      </c>
      <c r="Q1653" s="162" t="n"/>
      <c r="R1653" s="162">
        <f>IF(ISBLANK(Q1653),"введи курс",P1653/Q1653)</f>
        <v/>
      </c>
      <c r="S1653" s="196">
        <f>IF(AND(ISNUMBER(E1653),ISNUMBER(Q1653)),E1653*R1653,0)</f>
        <v/>
      </c>
      <c r="T1653" s="192">
        <f>$BC1653*V$11</f>
        <v/>
      </c>
      <c r="U1653" s="76">
        <f>$BC1653*W$11</f>
        <v/>
      </c>
      <c r="V1653" s="193">
        <f>+SUM(T1653:U1653)</f>
        <v/>
      </c>
      <c r="W1653" s="191" t="n"/>
      <c r="X1653" s="170" t="n"/>
      <c r="Y1653" s="76">
        <f>ROUND(IF(offer_incoterms="DDP",X1653*(S1653*(1+AW1653)+T1653),0),2)</f>
        <v/>
      </c>
      <c r="Z1653" s="188" t="n"/>
      <c r="AA1653" s="192">
        <f>IFERROR(AB1653/E1653,0)</f>
        <v/>
      </c>
      <c r="AB1653" s="76">
        <f>ROUND(SUM(S1653,V1653,Y1653:Z1653,BA1653:BB1653),2)</f>
        <v/>
      </c>
      <c r="AC1653" s="797" t="n"/>
      <c r="AD1653" s="192">
        <f t="array" ref="AD1653">IFERROR(ROUND((_xlfn.IFS(offer_sale_type="поставка",AB1653,offer_sale_type="транзит",S1653)*(1+AC1653))/E1653,2),0)</f>
        <v/>
      </c>
      <c r="AE1653" s="76">
        <f>AD1653*E1653</f>
        <v/>
      </c>
      <c r="AF1653" s="193">
        <f t="array" ref="AF1653">IFERROR(ROUND(_xlfn.IFS(offer_sale_type="поставка",AB1653,offer_sale_type="транзит",S1653)*AC1653,2),0)</f>
        <v/>
      </c>
      <c r="AG1653" s="192">
        <f>$BD1653*VLOOKUP($AG$3,$AF$4:$AG$7,2,FALSE)</f>
        <v/>
      </c>
      <c r="AH1653" s="76">
        <f>SUM(AE1653,AG1653,AI1653)*rate_forex_risk</f>
        <v/>
      </c>
      <c r="AI1653" s="193">
        <f>IF(OR(seller_region="TR",offer_sale_type="экспорт"),0,rate_fin_comm)*SUM(AZ1653,AZ1653*AW1653,T1653)</f>
        <v/>
      </c>
      <c r="AJ1653" s="118">
        <f>IFERROR(ROUND(SUM(AB1653,AF1653:AI1653)/E1653,2),0)</f>
        <v/>
      </c>
      <c r="AK1653" s="76">
        <f>AJ1653*E1653</f>
        <v/>
      </c>
      <c r="AL1653" s="174">
        <f>ROUND(IFERROR(AM1653*E1653,0),2)</f>
        <v/>
      </c>
      <c r="AM1653" s="175">
        <f>ROUND(AJ1653*(1+IF(offer_incoterms="DDP",IF((TODAY()+offer_turnaround_time)&gt;=helpsheet!$L$17,rate_vatRU_from_26,rate_vatRu_till_25),0)),2)</f>
        <v/>
      </c>
      <c r="AN1653" s="192">
        <f>AL1653-AK1653</f>
        <v/>
      </c>
      <c r="AO1653" s="76">
        <f>SUM(AY1653,Y1653:Z1653,T1653)*IF(AND(offer_incoterms="DDP",offer_sale_type&lt;&gt;"экспорт"),IF((TODAY()+offer_turnaround_time)&gt;=helpsheet!$L$17,rate_vatRU_from_26,rate_vatRu_till_25),0)</f>
        <v/>
      </c>
      <c r="AP1653" s="193">
        <f>AN1653-AO1653</f>
        <v/>
      </c>
      <c r="AQ1653" s="118">
        <f>IF(offer_sale_type="транзит",SUM(AF1653:AI1653,BA1653,BB1653),0)</f>
        <v/>
      </c>
      <c r="AR1653" s="82">
        <f>HYPERLINK("https://www.alta.ru/tnved/code/")&amp;W1653&amp;"/"</f>
        <v/>
      </c>
      <c r="AS1653" s="157" t="n"/>
      <c r="AT1653" s="162" t="n"/>
      <c r="AU1653" s="76">
        <f>IF(ISBLANK(AT1653),0,AJ1653-AT1653)</f>
        <v/>
      </c>
      <c r="AV1653" s="157" t="n"/>
      <c r="AW1653" s="75">
        <f>_xlfn.IFNA(VLOOKUP(L1653,list_vat[],3,FALSE),0)</f>
        <v/>
      </c>
      <c r="AX1653" s="76">
        <f>IFERROR(ROUND(S1653*(1+AW1653)/E1653,2),0)</f>
        <v/>
      </c>
      <c r="AY1653" s="76">
        <f>E1653*AX1653</f>
        <v/>
      </c>
      <c r="AZ1653" s="192">
        <f>S1653*(1+M1653)</f>
        <v/>
      </c>
      <c r="BA1653" s="76">
        <f>cost_fin_total*$BD1653</f>
        <v/>
      </c>
      <c r="BB1653" s="193">
        <f>credit_sales_interest*BD1653</f>
        <v/>
      </c>
      <c r="BC1653" s="102">
        <f>IFERROR(IF($I$13&gt;0,$I1653/$I$13,$S1653/$S$13),0)</f>
        <v/>
      </c>
      <c r="BD1653" s="102">
        <f>IFERROR($S1653/$S$13,0)</f>
        <v/>
      </c>
      <c r="BE1653" s="413" t="inlineStr">
        <is>
          <t>$</t>
        </is>
      </c>
    </row>
    <row r="1654" ht="12" customFormat="1" customHeight="1" s="65">
      <c r="A1654" s="43" t="n">
        <v>1639</v>
      </c>
      <c r="B1654" s="166" t="n"/>
      <c r="C1654" s="166" t="n"/>
      <c r="D1654" s="166" t="n"/>
      <c r="E1654" s="162" t="n"/>
      <c r="F1654" s="166" t="n"/>
      <c r="G1654" s="162" t="n"/>
      <c r="H1654" s="162" t="n"/>
      <c r="I1654" s="189">
        <f>E1654*G1654</f>
        <v/>
      </c>
      <c r="J1654" s="195" t="n"/>
      <c r="K1654" s="162" t="n"/>
      <c r="L1654" s="168" t="n"/>
      <c r="M1654" s="75">
        <f>_xlfn.XLOOKUP(L1654,list_vat[Страна],list_vat[Ставка НДС %],0,0)</f>
        <v/>
      </c>
      <c r="N1654" s="162">
        <f>IFERROR(IF(L1654="Китай",K1654,K1654/(1+M1654)),0)</f>
        <v/>
      </c>
      <c r="O1654" s="169" t="n"/>
      <c r="P1654" s="76">
        <f>N1654*(1-O1654)</f>
        <v/>
      </c>
      <c r="Q1654" s="162" t="n"/>
      <c r="R1654" s="162">
        <f>IF(ISBLANK(Q1654),"введи курс",P1654/Q1654)</f>
        <v/>
      </c>
      <c r="S1654" s="196">
        <f>IF(AND(ISNUMBER(E1654),ISNUMBER(Q1654)),E1654*R1654,0)</f>
        <v/>
      </c>
      <c r="T1654" s="192">
        <f>$BC1654*V$11</f>
        <v/>
      </c>
      <c r="U1654" s="76">
        <f>$BC1654*W$11</f>
        <v/>
      </c>
      <c r="V1654" s="193">
        <f>+SUM(T1654:U1654)</f>
        <v/>
      </c>
      <c r="W1654" s="191" t="n"/>
      <c r="X1654" s="170" t="n"/>
      <c r="Y1654" s="76">
        <f>ROUND(IF(offer_incoterms="DDP",X1654*(S1654*(1+AW1654)+T1654),0),2)</f>
        <v/>
      </c>
      <c r="Z1654" s="188" t="n"/>
      <c r="AA1654" s="192">
        <f>IFERROR(AB1654/E1654,0)</f>
        <v/>
      </c>
      <c r="AB1654" s="76">
        <f>ROUND(SUM(S1654,V1654,Y1654:Z1654,BA1654:BB1654),2)</f>
        <v/>
      </c>
      <c r="AC1654" s="797" t="n"/>
      <c r="AD1654" s="192">
        <f t="array" ref="AD1654">IFERROR(ROUND((_xlfn.IFS(offer_sale_type="поставка",AB1654,offer_sale_type="транзит",S1654)*(1+AC1654))/E1654,2),0)</f>
        <v/>
      </c>
      <c r="AE1654" s="76">
        <f>AD1654*E1654</f>
        <v/>
      </c>
      <c r="AF1654" s="193">
        <f t="array" ref="AF1654">IFERROR(ROUND(_xlfn.IFS(offer_sale_type="поставка",AB1654,offer_sale_type="транзит",S1654)*AC1654,2),0)</f>
        <v/>
      </c>
      <c r="AG1654" s="192">
        <f>$BD1654*VLOOKUP($AG$3,$AF$4:$AG$7,2,FALSE)</f>
        <v/>
      </c>
      <c r="AH1654" s="76">
        <f>SUM(AE1654,AG1654,AI1654)*rate_forex_risk</f>
        <v/>
      </c>
      <c r="AI1654" s="193">
        <f>IF(OR(seller_region="TR",offer_sale_type="экспорт"),0,rate_fin_comm)*SUM(AZ1654,AZ1654*AW1654,T1654)</f>
        <v/>
      </c>
      <c r="AJ1654" s="118">
        <f>IFERROR(ROUND(SUM(AB1654,AF1654:AI1654)/E1654,2),0)</f>
        <v/>
      </c>
      <c r="AK1654" s="76">
        <f>AJ1654*E1654</f>
        <v/>
      </c>
      <c r="AL1654" s="174">
        <f>ROUND(IFERROR(AM1654*E1654,0),2)</f>
        <v/>
      </c>
      <c r="AM1654" s="175">
        <f>ROUND(AJ1654*(1+IF(offer_incoterms="DDP",IF((TODAY()+offer_turnaround_time)&gt;=helpsheet!$L$17,rate_vatRU_from_26,rate_vatRu_till_25),0)),2)</f>
        <v/>
      </c>
      <c r="AN1654" s="192">
        <f>AL1654-AK1654</f>
        <v/>
      </c>
      <c r="AO1654" s="76">
        <f>SUM(AY1654,Y1654:Z1654,T1654)*IF(AND(offer_incoterms="DDP",offer_sale_type&lt;&gt;"экспорт"),IF((TODAY()+offer_turnaround_time)&gt;=helpsheet!$L$17,rate_vatRU_from_26,rate_vatRu_till_25),0)</f>
        <v/>
      </c>
      <c r="AP1654" s="193">
        <f>AN1654-AO1654</f>
        <v/>
      </c>
      <c r="AQ1654" s="118">
        <f>IF(offer_sale_type="транзит",SUM(AF1654:AI1654,BA1654,BB1654),0)</f>
        <v/>
      </c>
      <c r="AR1654" s="82">
        <f>HYPERLINK("https://www.alta.ru/tnved/code/")&amp;W1654&amp;"/"</f>
        <v/>
      </c>
      <c r="AS1654" s="157" t="n"/>
      <c r="AT1654" s="162" t="n"/>
      <c r="AU1654" s="76">
        <f>IF(ISBLANK(AT1654),0,AJ1654-AT1654)</f>
        <v/>
      </c>
      <c r="AV1654" s="157" t="n"/>
      <c r="AW1654" s="75">
        <f>_xlfn.IFNA(VLOOKUP(L1654,list_vat[],3,FALSE),0)</f>
        <v/>
      </c>
      <c r="AX1654" s="76">
        <f>IFERROR(ROUND(S1654*(1+AW1654)/E1654,2),0)</f>
        <v/>
      </c>
      <c r="AY1654" s="76">
        <f>E1654*AX1654</f>
        <v/>
      </c>
      <c r="AZ1654" s="192">
        <f>S1654*(1+M1654)</f>
        <v/>
      </c>
      <c r="BA1654" s="76">
        <f>cost_fin_total*$BD1654</f>
        <v/>
      </c>
      <c r="BB1654" s="193">
        <f>credit_sales_interest*BD1654</f>
        <v/>
      </c>
      <c r="BC1654" s="102">
        <f>IFERROR(IF($I$13&gt;0,$I1654/$I$13,$S1654/$S$13),0)</f>
        <v/>
      </c>
      <c r="BD1654" s="102">
        <f>IFERROR($S1654/$S$13,0)</f>
        <v/>
      </c>
      <c r="BE1654" s="413" t="inlineStr">
        <is>
          <t>$</t>
        </is>
      </c>
    </row>
    <row r="1655" ht="12" customFormat="1" customHeight="1" s="65">
      <c r="A1655" s="43" t="n">
        <v>1640</v>
      </c>
      <c r="B1655" s="166" t="n"/>
      <c r="C1655" s="166" t="n"/>
      <c r="D1655" s="166" t="n"/>
      <c r="E1655" s="162" t="n"/>
      <c r="F1655" s="166" t="n"/>
      <c r="G1655" s="162" t="n"/>
      <c r="H1655" s="162" t="n"/>
      <c r="I1655" s="189">
        <f>E1655*G1655</f>
        <v/>
      </c>
      <c r="J1655" s="195" t="n"/>
      <c r="K1655" s="162" t="n"/>
      <c r="L1655" s="168" t="n"/>
      <c r="M1655" s="75">
        <f>_xlfn.XLOOKUP(L1655,list_vat[Страна],list_vat[Ставка НДС %],0,0)</f>
        <v/>
      </c>
      <c r="N1655" s="162">
        <f>IFERROR(IF(L1655="Китай",K1655,K1655/(1+M1655)),0)</f>
        <v/>
      </c>
      <c r="O1655" s="169" t="n"/>
      <c r="P1655" s="76">
        <f>N1655*(1-O1655)</f>
        <v/>
      </c>
      <c r="Q1655" s="162" t="n"/>
      <c r="R1655" s="162">
        <f>IF(ISBLANK(Q1655),"введи курс",P1655/Q1655)</f>
        <v/>
      </c>
      <c r="S1655" s="196">
        <f>IF(AND(ISNUMBER(E1655),ISNUMBER(Q1655)),E1655*R1655,0)</f>
        <v/>
      </c>
      <c r="T1655" s="192">
        <f>$BC1655*V$11</f>
        <v/>
      </c>
      <c r="U1655" s="76">
        <f>$BC1655*W$11</f>
        <v/>
      </c>
      <c r="V1655" s="193">
        <f>+SUM(T1655:U1655)</f>
        <v/>
      </c>
      <c r="W1655" s="191" t="n"/>
      <c r="X1655" s="170" t="n"/>
      <c r="Y1655" s="76">
        <f>ROUND(IF(offer_incoterms="DDP",X1655*(S1655*(1+AW1655)+T1655),0),2)</f>
        <v/>
      </c>
      <c r="Z1655" s="188" t="n"/>
      <c r="AA1655" s="192">
        <f>IFERROR(AB1655/E1655,0)</f>
        <v/>
      </c>
      <c r="AB1655" s="76">
        <f>ROUND(SUM(S1655,V1655,Y1655:Z1655,BA1655:BB1655),2)</f>
        <v/>
      </c>
      <c r="AC1655" s="797" t="n"/>
      <c r="AD1655" s="192">
        <f t="array" ref="AD1655">IFERROR(ROUND((_xlfn.IFS(offer_sale_type="поставка",AB1655,offer_sale_type="транзит",S1655)*(1+AC1655))/E1655,2),0)</f>
        <v/>
      </c>
      <c r="AE1655" s="76">
        <f>AD1655*E1655</f>
        <v/>
      </c>
      <c r="AF1655" s="193">
        <f t="array" ref="AF1655">IFERROR(ROUND(_xlfn.IFS(offer_sale_type="поставка",AB1655,offer_sale_type="транзит",S1655)*AC1655,2),0)</f>
        <v/>
      </c>
      <c r="AG1655" s="192">
        <f>$BD1655*VLOOKUP($AG$3,$AF$4:$AG$7,2,FALSE)</f>
        <v/>
      </c>
      <c r="AH1655" s="76">
        <f>SUM(AE1655,AG1655,AI1655)*rate_forex_risk</f>
        <v/>
      </c>
      <c r="AI1655" s="193">
        <f>IF(OR(seller_region="TR",offer_sale_type="экспорт"),0,rate_fin_comm)*SUM(AZ1655,AZ1655*AW1655,T1655)</f>
        <v/>
      </c>
      <c r="AJ1655" s="118">
        <f>IFERROR(ROUND(SUM(AB1655,AF1655:AI1655)/E1655,2),0)</f>
        <v/>
      </c>
      <c r="AK1655" s="76">
        <f>AJ1655*E1655</f>
        <v/>
      </c>
      <c r="AL1655" s="174">
        <f>ROUND(IFERROR(AM1655*E1655,0),2)</f>
        <v/>
      </c>
      <c r="AM1655" s="175">
        <f>ROUND(AJ1655*(1+IF(offer_incoterms="DDP",IF((TODAY()+offer_turnaround_time)&gt;=helpsheet!$L$17,rate_vatRU_from_26,rate_vatRu_till_25),0)),2)</f>
        <v/>
      </c>
      <c r="AN1655" s="192">
        <f>AL1655-AK1655</f>
        <v/>
      </c>
      <c r="AO1655" s="76">
        <f>SUM(AY1655,Y1655:Z1655,T1655)*IF(AND(offer_incoterms="DDP",offer_sale_type&lt;&gt;"экспорт"),IF((TODAY()+offer_turnaround_time)&gt;=helpsheet!$L$17,rate_vatRU_from_26,rate_vatRu_till_25),0)</f>
        <v/>
      </c>
      <c r="AP1655" s="193">
        <f>AN1655-AO1655</f>
        <v/>
      </c>
      <c r="AQ1655" s="118">
        <f>IF(offer_sale_type="транзит",SUM(AF1655:AI1655,BA1655,BB1655),0)</f>
        <v/>
      </c>
      <c r="AR1655" s="82">
        <f>HYPERLINK("https://www.alta.ru/tnved/code/")&amp;W1655&amp;"/"</f>
        <v/>
      </c>
      <c r="AS1655" s="157" t="n"/>
      <c r="AT1655" s="162" t="n"/>
      <c r="AU1655" s="76">
        <f>IF(ISBLANK(AT1655),0,AJ1655-AT1655)</f>
        <v/>
      </c>
      <c r="AV1655" s="157" t="n"/>
      <c r="AW1655" s="75">
        <f>_xlfn.IFNA(VLOOKUP(L1655,list_vat[],3,FALSE),0)</f>
        <v/>
      </c>
      <c r="AX1655" s="76">
        <f>IFERROR(ROUND(S1655*(1+AW1655)/E1655,2),0)</f>
        <v/>
      </c>
      <c r="AY1655" s="76">
        <f>E1655*AX1655</f>
        <v/>
      </c>
      <c r="AZ1655" s="192">
        <f>S1655*(1+M1655)</f>
        <v/>
      </c>
      <c r="BA1655" s="76">
        <f>cost_fin_total*$BD1655</f>
        <v/>
      </c>
      <c r="BB1655" s="193">
        <f>credit_sales_interest*BD1655</f>
        <v/>
      </c>
      <c r="BC1655" s="102">
        <f>IFERROR(IF($I$13&gt;0,$I1655/$I$13,$S1655/$S$13),0)</f>
        <v/>
      </c>
      <c r="BD1655" s="102">
        <f>IFERROR($S1655/$S$13,0)</f>
        <v/>
      </c>
      <c r="BE1655" s="413" t="inlineStr">
        <is>
          <t>$</t>
        </is>
      </c>
    </row>
    <row r="1656" ht="12" customFormat="1" customHeight="1" s="65">
      <c r="A1656" s="43" t="n">
        <v>1641</v>
      </c>
      <c r="B1656" s="166" t="n"/>
      <c r="C1656" s="166" t="n"/>
      <c r="D1656" s="166" t="n"/>
      <c r="E1656" s="162" t="n"/>
      <c r="F1656" s="166" t="n"/>
      <c r="G1656" s="162" t="n"/>
      <c r="H1656" s="162" t="n"/>
      <c r="I1656" s="189">
        <f>E1656*G1656</f>
        <v/>
      </c>
      <c r="J1656" s="195" t="n"/>
      <c r="K1656" s="162" t="n"/>
      <c r="L1656" s="168" t="n"/>
      <c r="M1656" s="75">
        <f>_xlfn.XLOOKUP(L1656,list_vat[Страна],list_vat[Ставка НДС %],0,0)</f>
        <v/>
      </c>
      <c r="N1656" s="162">
        <f>IFERROR(IF(L1656="Китай",K1656,K1656/(1+M1656)),0)</f>
        <v/>
      </c>
      <c r="O1656" s="169" t="n"/>
      <c r="P1656" s="76">
        <f>N1656*(1-O1656)</f>
        <v/>
      </c>
      <c r="Q1656" s="162" t="n"/>
      <c r="R1656" s="162">
        <f>IF(ISBLANK(Q1656),"введи курс",P1656/Q1656)</f>
        <v/>
      </c>
      <c r="S1656" s="196">
        <f>IF(AND(ISNUMBER(E1656),ISNUMBER(Q1656)),E1656*R1656,0)</f>
        <v/>
      </c>
      <c r="T1656" s="192">
        <f>$BC1656*V$11</f>
        <v/>
      </c>
      <c r="U1656" s="76">
        <f>$BC1656*W$11</f>
        <v/>
      </c>
      <c r="V1656" s="193">
        <f>+SUM(T1656:U1656)</f>
        <v/>
      </c>
      <c r="W1656" s="191" t="n"/>
      <c r="X1656" s="170" t="n"/>
      <c r="Y1656" s="76">
        <f>ROUND(IF(offer_incoterms="DDP",X1656*(S1656*(1+AW1656)+T1656),0),2)</f>
        <v/>
      </c>
      <c r="Z1656" s="188" t="n"/>
      <c r="AA1656" s="192">
        <f>IFERROR(AB1656/E1656,0)</f>
        <v/>
      </c>
      <c r="AB1656" s="76">
        <f>ROUND(SUM(S1656,V1656,Y1656:Z1656,BA1656:BB1656),2)</f>
        <v/>
      </c>
      <c r="AC1656" s="797" t="n"/>
      <c r="AD1656" s="192">
        <f t="array" ref="AD1656">IFERROR(ROUND((_xlfn.IFS(offer_sale_type="поставка",AB1656,offer_sale_type="транзит",S1656)*(1+AC1656))/E1656,2),0)</f>
        <v/>
      </c>
      <c r="AE1656" s="76">
        <f>AD1656*E1656</f>
        <v/>
      </c>
      <c r="AF1656" s="193">
        <f t="array" ref="AF1656">IFERROR(ROUND(_xlfn.IFS(offer_sale_type="поставка",AB1656,offer_sale_type="транзит",S1656)*AC1656,2),0)</f>
        <v/>
      </c>
      <c r="AG1656" s="192">
        <f>$BD1656*VLOOKUP($AG$3,$AF$4:$AG$7,2,FALSE)</f>
        <v/>
      </c>
      <c r="AH1656" s="76">
        <f>SUM(AE1656,AG1656,AI1656)*rate_forex_risk</f>
        <v/>
      </c>
      <c r="AI1656" s="193">
        <f>IF(OR(seller_region="TR",offer_sale_type="экспорт"),0,rate_fin_comm)*SUM(AZ1656,AZ1656*AW1656,T1656)</f>
        <v/>
      </c>
      <c r="AJ1656" s="118">
        <f>IFERROR(ROUND(SUM(AB1656,AF1656:AI1656)/E1656,2),0)</f>
        <v/>
      </c>
      <c r="AK1656" s="76">
        <f>AJ1656*E1656</f>
        <v/>
      </c>
      <c r="AL1656" s="174">
        <f>ROUND(IFERROR(AM1656*E1656,0),2)</f>
        <v/>
      </c>
      <c r="AM1656" s="175">
        <f>ROUND(AJ1656*(1+IF(offer_incoterms="DDP",IF((TODAY()+offer_turnaround_time)&gt;=helpsheet!$L$17,rate_vatRU_from_26,rate_vatRu_till_25),0)),2)</f>
        <v/>
      </c>
      <c r="AN1656" s="192">
        <f>AL1656-AK1656</f>
        <v/>
      </c>
      <c r="AO1656" s="76">
        <f>SUM(AY1656,Y1656:Z1656,T1656)*IF(AND(offer_incoterms="DDP",offer_sale_type&lt;&gt;"экспорт"),IF((TODAY()+offer_turnaround_time)&gt;=helpsheet!$L$17,rate_vatRU_from_26,rate_vatRu_till_25),0)</f>
        <v/>
      </c>
      <c r="AP1656" s="193">
        <f>AN1656-AO1656</f>
        <v/>
      </c>
      <c r="AQ1656" s="118">
        <f>IF(offer_sale_type="транзит",SUM(AF1656:AI1656,BA1656,BB1656),0)</f>
        <v/>
      </c>
      <c r="AR1656" s="82">
        <f>HYPERLINK("https://www.alta.ru/tnved/code/")&amp;W1656&amp;"/"</f>
        <v/>
      </c>
      <c r="AS1656" s="157" t="n"/>
      <c r="AT1656" s="162" t="n"/>
      <c r="AU1656" s="76">
        <f>IF(ISBLANK(AT1656),0,AJ1656-AT1656)</f>
        <v/>
      </c>
      <c r="AV1656" s="157" t="n"/>
      <c r="AW1656" s="75">
        <f>_xlfn.IFNA(VLOOKUP(L1656,list_vat[],3,FALSE),0)</f>
        <v/>
      </c>
      <c r="AX1656" s="76">
        <f>IFERROR(ROUND(S1656*(1+AW1656)/E1656,2),0)</f>
        <v/>
      </c>
      <c r="AY1656" s="76">
        <f>E1656*AX1656</f>
        <v/>
      </c>
      <c r="AZ1656" s="192">
        <f>S1656*(1+M1656)</f>
        <v/>
      </c>
      <c r="BA1656" s="76">
        <f>cost_fin_total*$BD1656</f>
        <v/>
      </c>
      <c r="BB1656" s="193">
        <f>credit_sales_interest*BD1656</f>
        <v/>
      </c>
      <c r="BC1656" s="102">
        <f>IFERROR(IF($I$13&gt;0,$I1656/$I$13,$S1656/$S$13),0)</f>
        <v/>
      </c>
      <c r="BD1656" s="102">
        <f>IFERROR($S1656/$S$13,0)</f>
        <v/>
      </c>
      <c r="BE1656" s="413" t="inlineStr">
        <is>
          <t>$</t>
        </is>
      </c>
    </row>
    <row r="1657" ht="12" customFormat="1" customHeight="1" s="65">
      <c r="A1657" s="43" t="n">
        <v>1642</v>
      </c>
      <c r="B1657" s="166" t="n"/>
      <c r="C1657" s="166" t="n"/>
      <c r="D1657" s="166" t="n"/>
      <c r="E1657" s="162" t="n"/>
      <c r="F1657" s="166" t="n"/>
      <c r="G1657" s="162" t="n"/>
      <c r="H1657" s="162" t="n"/>
      <c r="I1657" s="189">
        <f>E1657*G1657</f>
        <v/>
      </c>
      <c r="J1657" s="195" t="n"/>
      <c r="K1657" s="162" t="n"/>
      <c r="L1657" s="168" t="n"/>
      <c r="M1657" s="75">
        <f>_xlfn.XLOOKUP(L1657,list_vat[Страна],list_vat[Ставка НДС %],0,0)</f>
        <v/>
      </c>
      <c r="N1657" s="162">
        <f>IFERROR(IF(L1657="Китай",K1657,K1657/(1+M1657)),0)</f>
        <v/>
      </c>
      <c r="O1657" s="169" t="n"/>
      <c r="P1657" s="76">
        <f>N1657*(1-O1657)</f>
        <v/>
      </c>
      <c r="Q1657" s="162" t="n"/>
      <c r="R1657" s="162">
        <f>IF(ISBLANK(Q1657),"введи курс",P1657/Q1657)</f>
        <v/>
      </c>
      <c r="S1657" s="196">
        <f>IF(AND(ISNUMBER(E1657),ISNUMBER(Q1657)),E1657*R1657,0)</f>
        <v/>
      </c>
      <c r="T1657" s="192">
        <f>$BC1657*V$11</f>
        <v/>
      </c>
      <c r="U1657" s="76">
        <f>$BC1657*W$11</f>
        <v/>
      </c>
      <c r="V1657" s="193">
        <f>+SUM(T1657:U1657)</f>
        <v/>
      </c>
      <c r="W1657" s="191" t="n"/>
      <c r="X1657" s="170" t="n"/>
      <c r="Y1657" s="76">
        <f>ROUND(IF(offer_incoterms="DDP",X1657*(S1657*(1+AW1657)+T1657),0),2)</f>
        <v/>
      </c>
      <c r="Z1657" s="188" t="n"/>
      <c r="AA1657" s="192">
        <f>IFERROR(AB1657/E1657,0)</f>
        <v/>
      </c>
      <c r="AB1657" s="76">
        <f>ROUND(SUM(S1657,V1657,Y1657:Z1657,BA1657:BB1657),2)</f>
        <v/>
      </c>
      <c r="AC1657" s="797" t="n"/>
      <c r="AD1657" s="192">
        <f t="array" ref="AD1657">IFERROR(ROUND((_xlfn.IFS(offer_sale_type="поставка",AB1657,offer_sale_type="транзит",S1657)*(1+AC1657))/E1657,2),0)</f>
        <v/>
      </c>
      <c r="AE1657" s="76">
        <f>AD1657*E1657</f>
        <v/>
      </c>
      <c r="AF1657" s="193">
        <f t="array" ref="AF1657">IFERROR(ROUND(_xlfn.IFS(offer_sale_type="поставка",AB1657,offer_sale_type="транзит",S1657)*AC1657,2),0)</f>
        <v/>
      </c>
      <c r="AG1657" s="192">
        <f>$BD1657*VLOOKUP($AG$3,$AF$4:$AG$7,2,FALSE)</f>
        <v/>
      </c>
      <c r="AH1657" s="76">
        <f>SUM(AE1657,AG1657,AI1657)*rate_forex_risk</f>
        <v/>
      </c>
      <c r="AI1657" s="193">
        <f>IF(OR(seller_region="TR",offer_sale_type="экспорт"),0,rate_fin_comm)*SUM(AZ1657,AZ1657*AW1657,T1657)</f>
        <v/>
      </c>
      <c r="AJ1657" s="118">
        <f>IFERROR(ROUND(SUM(AB1657,AF1657:AI1657)/E1657,2),0)</f>
        <v/>
      </c>
      <c r="AK1657" s="76">
        <f>AJ1657*E1657</f>
        <v/>
      </c>
      <c r="AL1657" s="174">
        <f>ROUND(IFERROR(AM1657*E1657,0),2)</f>
        <v/>
      </c>
      <c r="AM1657" s="175">
        <f>ROUND(AJ1657*(1+IF(offer_incoterms="DDP",IF((TODAY()+offer_turnaround_time)&gt;=helpsheet!$L$17,rate_vatRU_from_26,rate_vatRu_till_25),0)),2)</f>
        <v/>
      </c>
      <c r="AN1657" s="192">
        <f>AL1657-AK1657</f>
        <v/>
      </c>
      <c r="AO1657" s="76">
        <f>SUM(AY1657,Y1657:Z1657,T1657)*IF(AND(offer_incoterms="DDP",offer_sale_type&lt;&gt;"экспорт"),IF((TODAY()+offer_turnaround_time)&gt;=helpsheet!$L$17,rate_vatRU_from_26,rate_vatRu_till_25),0)</f>
        <v/>
      </c>
      <c r="AP1657" s="193">
        <f>AN1657-AO1657</f>
        <v/>
      </c>
      <c r="AQ1657" s="118">
        <f>IF(offer_sale_type="транзит",SUM(AF1657:AI1657,BA1657,BB1657),0)</f>
        <v/>
      </c>
      <c r="AR1657" s="82">
        <f>HYPERLINK("https://www.alta.ru/tnved/code/")&amp;W1657&amp;"/"</f>
        <v/>
      </c>
      <c r="AS1657" s="157" t="n"/>
      <c r="AT1657" s="162" t="n"/>
      <c r="AU1657" s="76">
        <f>IF(ISBLANK(AT1657),0,AJ1657-AT1657)</f>
        <v/>
      </c>
      <c r="AV1657" s="157" t="n"/>
      <c r="AW1657" s="75">
        <f>_xlfn.IFNA(VLOOKUP(L1657,list_vat[],3,FALSE),0)</f>
        <v/>
      </c>
      <c r="AX1657" s="76">
        <f>IFERROR(ROUND(S1657*(1+AW1657)/E1657,2),0)</f>
        <v/>
      </c>
      <c r="AY1657" s="76">
        <f>E1657*AX1657</f>
        <v/>
      </c>
      <c r="AZ1657" s="192">
        <f>S1657*(1+M1657)</f>
        <v/>
      </c>
      <c r="BA1657" s="76">
        <f>cost_fin_total*$BD1657</f>
        <v/>
      </c>
      <c r="BB1657" s="193">
        <f>credit_sales_interest*BD1657</f>
        <v/>
      </c>
      <c r="BC1657" s="102">
        <f>IFERROR(IF($I$13&gt;0,$I1657/$I$13,$S1657/$S$13),0)</f>
        <v/>
      </c>
      <c r="BD1657" s="102">
        <f>IFERROR($S1657/$S$13,0)</f>
        <v/>
      </c>
      <c r="BE1657" s="413" t="inlineStr">
        <is>
          <t>$</t>
        </is>
      </c>
    </row>
    <row r="1658" ht="12" customFormat="1" customHeight="1" s="65">
      <c r="A1658" s="43" t="n">
        <v>1643</v>
      </c>
      <c r="B1658" s="166" t="n"/>
      <c r="C1658" s="166" t="n"/>
      <c r="D1658" s="166" t="n"/>
      <c r="E1658" s="162" t="n"/>
      <c r="F1658" s="166" t="n"/>
      <c r="G1658" s="162" t="n"/>
      <c r="H1658" s="162" t="n"/>
      <c r="I1658" s="189">
        <f>E1658*G1658</f>
        <v/>
      </c>
      <c r="J1658" s="195" t="n"/>
      <c r="K1658" s="162" t="n"/>
      <c r="L1658" s="168" t="n"/>
      <c r="M1658" s="75">
        <f>_xlfn.XLOOKUP(L1658,list_vat[Страна],list_vat[Ставка НДС %],0,0)</f>
        <v/>
      </c>
      <c r="N1658" s="162">
        <f>IFERROR(IF(L1658="Китай",K1658,K1658/(1+M1658)),0)</f>
        <v/>
      </c>
      <c r="O1658" s="169" t="n"/>
      <c r="P1658" s="76">
        <f>N1658*(1-O1658)</f>
        <v/>
      </c>
      <c r="Q1658" s="162" t="n"/>
      <c r="R1658" s="162">
        <f>IF(ISBLANK(Q1658),"введи курс",P1658/Q1658)</f>
        <v/>
      </c>
      <c r="S1658" s="196">
        <f>IF(AND(ISNUMBER(E1658),ISNUMBER(Q1658)),E1658*R1658,0)</f>
        <v/>
      </c>
      <c r="T1658" s="192">
        <f>$BC1658*V$11</f>
        <v/>
      </c>
      <c r="U1658" s="76">
        <f>$BC1658*W$11</f>
        <v/>
      </c>
      <c r="V1658" s="193">
        <f>+SUM(T1658:U1658)</f>
        <v/>
      </c>
      <c r="W1658" s="191" t="n"/>
      <c r="X1658" s="170" t="n"/>
      <c r="Y1658" s="76">
        <f>ROUND(IF(offer_incoterms="DDP",X1658*(S1658*(1+AW1658)+T1658),0),2)</f>
        <v/>
      </c>
      <c r="Z1658" s="188" t="n"/>
      <c r="AA1658" s="192">
        <f>IFERROR(AB1658/E1658,0)</f>
        <v/>
      </c>
      <c r="AB1658" s="76">
        <f>ROUND(SUM(S1658,V1658,Y1658:Z1658,BA1658:BB1658),2)</f>
        <v/>
      </c>
      <c r="AC1658" s="797" t="n"/>
      <c r="AD1658" s="192">
        <f t="array" ref="AD1658">IFERROR(ROUND((_xlfn.IFS(offer_sale_type="поставка",AB1658,offer_sale_type="транзит",S1658)*(1+AC1658))/E1658,2),0)</f>
        <v/>
      </c>
      <c r="AE1658" s="76">
        <f>AD1658*E1658</f>
        <v/>
      </c>
      <c r="AF1658" s="193">
        <f t="array" ref="AF1658">IFERROR(ROUND(_xlfn.IFS(offer_sale_type="поставка",AB1658,offer_sale_type="транзит",S1658)*AC1658,2),0)</f>
        <v/>
      </c>
      <c r="AG1658" s="192">
        <f>$BD1658*VLOOKUP($AG$3,$AF$4:$AG$7,2,FALSE)</f>
        <v/>
      </c>
      <c r="AH1658" s="76">
        <f>SUM(AE1658,AG1658,AI1658)*rate_forex_risk</f>
        <v/>
      </c>
      <c r="AI1658" s="193">
        <f>IF(OR(seller_region="TR",offer_sale_type="экспорт"),0,rate_fin_comm)*SUM(AZ1658,AZ1658*AW1658,T1658)</f>
        <v/>
      </c>
      <c r="AJ1658" s="118">
        <f>IFERROR(ROUND(SUM(AB1658,AF1658:AI1658)/E1658,2),0)</f>
        <v/>
      </c>
      <c r="AK1658" s="76">
        <f>AJ1658*E1658</f>
        <v/>
      </c>
      <c r="AL1658" s="174">
        <f>ROUND(IFERROR(AM1658*E1658,0),2)</f>
        <v/>
      </c>
      <c r="AM1658" s="175">
        <f>ROUND(AJ1658*(1+IF(offer_incoterms="DDP",IF((TODAY()+offer_turnaround_time)&gt;=helpsheet!$L$17,rate_vatRU_from_26,rate_vatRu_till_25),0)),2)</f>
        <v/>
      </c>
      <c r="AN1658" s="192">
        <f>AL1658-AK1658</f>
        <v/>
      </c>
      <c r="AO1658" s="76">
        <f>SUM(AY1658,Y1658:Z1658,T1658)*IF(AND(offer_incoterms="DDP",offer_sale_type&lt;&gt;"экспорт"),IF((TODAY()+offer_turnaround_time)&gt;=helpsheet!$L$17,rate_vatRU_from_26,rate_vatRu_till_25),0)</f>
        <v/>
      </c>
      <c r="AP1658" s="193">
        <f>AN1658-AO1658</f>
        <v/>
      </c>
      <c r="AQ1658" s="118">
        <f>IF(offer_sale_type="транзит",SUM(AF1658:AI1658,BA1658,BB1658),0)</f>
        <v/>
      </c>
      <c r="AR1658" s="82">
        <f>HYPERLINK("https://www.alta.ru/tnved/code/")&amp;W1658&amp;"/"</f>
        <v/>
      </c>
      <c r="AS1658" s="157" t="n"/>
      <c r="AT1658" s="162" t="n"/>
      <c r="AU1658" s="76">
        <f>IF(ISBLANK(AT1658),0,AJ1658-AT1658)</f>
        <v/>
      </c>
      <c r="AV1658" s="157" t="n"/>
      <c r="AW1658" s="75">
        <f>_xlfn.IFNA(VLOOKUP(L1658,list_vat[],3,FALSE),0)</f>
        <v/>
      </c>
      <c r="AX1658" s="76">
        <f>IFERROR(ROUND(S1658*(1+AW1658)/E1658,2),0)</f>
        <v/>
      </c>
      <c r="AY1658" s="76">
        <f>E1658*AX1658</f>
        <v/>
      </c>
      <c r="AZ1658" s="192">
        <f>S1658*(1+M1658)</f>
        <v/>
      </c>
      <c r="BA1658" s="76">
        <f>cost_fin_total*$BD1658</f>
        <v/>
      </c>
      <c r="BB1658" s="193">
        <f>credit_sales_interest*BD1658</f>
        <v/>
      </c>
      <c r="BC1658" s="102">
        <f>IFERROR(IF($I$13&gt;0,$I1658/$I$13,$S1658/$S$13),0)</f>
        <v/>
      </c>
      <c r="BD1658" s="102">
        <f>IFERROR($S1658/$S$13,0)</f>
        <v/>
      </c>
      <c r="BE1658" s="413" t="inlineStr">
        <is>
          <t>$</t>
        </is>
      </c>
    </row>
    <row r="1659" ht="12" customFormat="1" customHeight="1" s="65">
      <c r="A1659" s="43" t="n">
        <v>1644</v>
      </c>
      <c r="B1659" s="166" t="n"/>
      <c r="C1659" s="166" t="n"/>
      <c r="D1659" s="166" t="n"/>
      <c r="E1659" s="162" t="n"/>
      <c r="F1659" s="166" t="n"/>
      <c r="G1659" s="162" t="n"/>
      <c r="H1659" s="162" t="n"/>
      <c r="I1659" s="189">
        <f>E1659*G1659</f>
        <v/>
      </c>
      <c r="J1659" s="195" t="n"/>
      <c r="K1659" s="162" t="n"/>
      <c r="L1659" s="168" t="n"/>
      <c r="M1659" s="75">
        <f>_xlfn.XLOOKUP(L1659,list_vat[Страна],list_vat[Ставка НДС %],0,0)</f>
        <v/>
      </c>
      <c r="N1659" s="162">
        <f>IFERROR(IF(L1659="Китай",K1659,K1659/(1+M1659)),0)</f>
        <v/>
      </c>
      <c r="O1659" s="169" t="n"/>
      <c r="P1659" s="76">
        <f>N1659*(1-O1659)</f>
        <v/>
      </c>
      <c r="Q1659" s="162" t="n"/>
      <c r="R1659" s="162">
        <f>IF(ISBLANK(Q1659),"введи курс",P1659/Q1659)</f>
        <v/>
      </c>
      <c r="S1659" s="196">
        <f>IF(AND(ISNUMBER(E1659),ISNUMBER(Q1659)),E1659*R1659,0)</f>
        <v/>
      </c>
      <c r="T1659" s="192">
        <f>$BC1659*V$11</f>
        <v/>
      </c>
      <c r="U1659" s="76">
        <f>$BC1659*W$11</f>
        <v/>
      </c>
      <c r="V1659" s="193">
        <f>+SUM(T1659:U1659)</f>
        <v/>
      </c>
      <c r="W1659" s="191" t="n"/>
      <c r="X1659" s="170" t="n"/>
      <c r="Y1659" s="76">
        <f>ROUND(IF(offer_incoterms="DDP",X1659*(S1659*(1+AW1659)+T1659),0),2)</f>
        <v/>
      </c>
      <c r="Z1659" s="188" t="n"/>
      <c r="AA1659" s="192">
        <f>IFERROR(AB1659/E1659,0)</f>
        <v/>
      </c>
      <c r="AB1659" s="76">
        <f>ROUND(SUM(S1659,V1659,Y1659:Z1659,BA1659:BB1659),2)</f>
        <v/>
      </c>
      <c r="AC1659" s="797" t="n"/>
      <c r="AD1659" s="192">
        <f t="array" ref="AD1659">IFERROR(ROUND((_xlfn.IFS(offer_sale_type="поставка",AB1659,offer_sale_type="транзит",S1659)*(1+AC1659))/E1659,2),0)</f>
        <v/>
      </c>
      <c r="AE1659" s="76">
        <f>AD1659*E1659</f>
        <v/>
      </c>
      <c r="AF1659" s="193">
        <f t="array" ref="AF1659">IFERROR(ROUND(_xlfn.IFS(offer_sale_type="поставка",AB1659,offer_sale_type="транзит",S1659)*AC1659,2),0)</f>
        <v/>
      </c>
      <c r="AG1659" s="192">
        <f>$BD1659*VLOOKUP($AG$3,$AF$4:$AG$7,2,FALSE)</f>
        <v/>
      </c>
      <c r="AH1659" s="76">
        <f>SUM(AE1659,AG1659,AI1659)*rate_forex_risk</f>
        <v/>
      </c>
      <c r="AI1659" s="193">
        <f>IF(OR(seller_region="TR",offer_sale_type="экспорт"),0,rate_fin_comm)*SUM(AZ1659,AZ1659*AW1659,T1659)</f>
        <v/>
      </c>
      <c r="AJ1659" s="118">
        <f>IFERROR(ROUND(SUM(AB1659,AF1659:AI1659)/E1659,2),0)</f>
        <v/>
      </c>
      <c r="AK1659" s="76">
        <f>AJ1659*E1659</f>
        <v/>
      </c>
      <c r="AL1659" s="174">
        <f>ROUND(IFERROR(AM1659*E1659,0),2)</f>
        <v/>
      </c>
      <c r="AM1659" s="175">
        <f>ROUND(AJ1659*(1+IF(offer_incoterms="DDP",IF((TODAY()+offer_turnaround_time)&gt;=helpsheet!$L$17,rate_vatRU_from_26,rate_vatRu_till_25),0)),2)</f>
        <v/>
      </c>
      <c r="AN1659" s="192">
        <f>AL1659-AK1659</f>
        <v/>
      </c>
      <c r="AO1659" s="76">
        <f>SUM(AY1659,Y1659:Z1659,T1659)*IF(AND(offer_incoterms="DDP",offer_sale_type&lt;&gt;"экспорт"),IF((TODAY()+offer_turnaround_time)&gt;=helpsheet!$L$17,rate_vatRU_from_26,rate_vatRu_till_25),0)</f>
        <v/>
      </c>
      <c r="AP1659" s="193">
        <f>AN1659-AO1659</f>
        <v/>
      </c>
      <c r="AQ1659" s="118">
        <f>IF(offer_sale_type="транзит",SUM(AF1659:AI1659,BA1659,BB1659),0)</f>
        <v/>
      </c>
      <c r="AR1659" s="82">
        <f>HYPERLINK("https://www.alta.ru/tnved/code/")&amp;W1659&amp;"/"</f>
        <v/>
      </c>
      <c r="AS1659" s="157" t="n"/>
      <c r="AT1659" s="162" t="n"/>
      <c r="AU1659" s="76">
        <f>IF(ISBLANK(AT1659),0,AJ1659-AT1659)</f>
        <v/>
      </c>
      <c r="AV1659" s="157" t="n"/>
      <c r="AW1659" s="75">
        <f>_xlfn.IFNA(VLOOKUP(L1659,list_vat[],3,FALSE),0)</f>
        <v/>
      </c>
      <c r="AX1659" s="76">
        <f>IFERROR(ROUND(S1659*(1+AW1659)/E1659,2),0)</f>
        <v/>
      </c>
      <c r="AY1659" s="76">
        <f>E1659*AX1659</f>
        <v/>
      </c>
      <c r="AZ1659" s="192">
        <f>S1659*(1+M1659)</f>
        <v/>
      </c>
      <c r="BA1659" s="76">
        <f>cost_fin_total*$BD1659</f>
        <v/>
      </c>
      <c r="BB1659" s="193">
        <f>credit_sales_interest*BD1659</f>
        <v/>
      </c>
      <c r="BC1659" s="102">
        <f>IFERROR(IF($I$13&gt;0,$I1659/$I$13,$S1659/$S$13),0)</f>
        <v/>
      </c>
      <c r="BD1659" s="102">
        <f>IFERROR($S1659/$S$13,0)</f>
        <v/>
      </c>
      <c r="BE1659" s="413" t="inlineStr">
        <is>
          <t>$</t>
        </is>
      </c>
    </row>
    <row r="1660" ht="12" customFormat="1" customHeight="1" s="65">
      <c r="A1660" s="43" t="n">
        <v>1645</v>
      </c>
      <c r="B1660" s="166" t="n"/>
      <c r="C1660" s="166" t="n"/>
      <c r="D1660" s="166" t="n"/>
      <c r="E1660" s="162" t="n"/>
      <c r="F1660" s="166" t="n"/>
      <c r="G1660" s="162" t="n"/>
      <c r="H1660" s="162" t="n"/>
      <c r="I1660" s="189">
        <f>E1660*G1660</f>
        <v/>
      </c>
      <c r="J1660" s="195" t="n"/>
      <c r="K1660" s="162" t="n"/>
      <c r="L1660" s="168" t="n"/>
      <c r="M1660" s="75">
        <f>_xlfn.XLOOKUP(L1660,list_vat[Страна],list_vat[Ставка НДС %],0,0)</f>
        <v/>
      </c>
      <c r="N1660" s="162">
        <f>IFERROR(IF(L1660="Китай",K1660,K1660/(1+M1660)),0)</f>
        <v/>
      </c>
      <c r="O1660" s="169" t="n"/>
      <c r="P1660" s="76">
        <f>N1660*(1-O1660)</f>
        <v/>
      </c>
      <c r="Q1660" s="162" t="n"/>
      <c r="R1660" s="162">
        <f>IF(ISBLANK(Q1660),"введи курс",P1660/Q1660)</f>
        <v/>
      </c>
      <c r="S1660" s="196">
        <f>IF(AND(ISNUMBER(E1660),ISNUMBER(Q1660)),E1660*R1660,0)</f>
        <v/>
      </c>
      <c r="T1660" s="192">
        <f>$BC1660*V$11</f>
        <v/>
      </c>
      <c r="U1660" s="76">
        <f>$BC1660*W$11</f>
        <v/>
      </c>
      <c r="V1660" s="193">
        <f>+SUM(T1660:U1660)</f>
        <v/>
      </c>
      <c r="W1660" s="191" t="n"/>
      <c r="X1660" s="170" t="n"/>
      <c r="Y1660" s="76">
        <f>ROUND(IF(offer_incoterms="DDP",X1660*(S1660*(1+AW1660)+T1660),0),2)</f>
        <v/>
      </c>
      <c r="Z1660" s="188" t="n"/>
      <c r="AA1660" s="192">
        <f>IFERROR(AB1660/E1660,0)</f>
        <v/>
      </c>
      <c r="AB1660" s="76">
        <f>ROUND(SUM(S1660,V1660,Y1660:Z1660,BA1660:BB1660),2)</f>
        <v/>
      </c>
      <c r="AC1660" s="797" t="n"/>
      <c r="AD1660" s="192">
        <f t="array" ref="AD1660">IFERROR(ROUND((_xlfn.IFS(offer_sale_type="поставка",AB1660,offer_sale_type="транзит",S1660)*(1+AC1660))/E1660,2),0)</f>
        <v/>
      </c>
      <c r="AE1660" s="76">
        <f>AD1660*E1660</f>
        <v/>
      </c>
      <c r="AF1660" s="193">
        <f t="array" ref="AF1660">IFERROR(ROUND(_xlfn.IFS(offer_sale_type="поставка",AB1660,offer_sale_type="транзит",S1660)*AC1660,2),0)</f>
        <v/>
      </c>
      <c r="AG1660" s="192">
        <f>$BD1660*VLOOKUP($AG$3,$AF$4:$AG$7,2,FALSE)</f>
        <v/>
      </c>
      <c r="AH1660" s="76">
        <f>SUM(AE1660,AG1660,AI1660)*rate_forex_risk</f>
        <v/>
      </c>
      <c r="AI1660" s="193">
        <f>IF(OR(seller_region="TR",offer_sale_type="экспорт"),0,rate_fin_comm)*SUM(AZ1660,AZ1660*AW1660,T1660)</f>
        <v/>
      </c>
      <c r="AJ1660" s="118">
        <f>IFERROR(ROUND(SUM(AB1660,AF1660:AI1660)/E1660,2),0)</f>
        <v/>
      </c>
      <c r="AK1660" s="76">
        <f>AJ1660*E1660</f>
        <v/>
      </c>
      <c r="AL1660" s="174">
        <f>ROUND(IFERROR(AM1660*E1660,0),2)</f>
        <v/>
      </c>
      <c r="AM1660" s="175">
        <f>ROUND(AJ1660*(1+IF(offer_incoterms="DDP",IF((TODAY()+offer_turnaround_time)&gt;=helpsheet!$L$17,rate_vatRU_from_26,rate_vatRu_till_25),0)),2)</f>
        <v/>
      </c>
      <c r="AN1660" s="192">
        <f>AL1660-AK1660</f>
        <v/>
      </c>
      <c r="AO1660" s="76">
        <f>SUM(AY1660,Y1660:Z1660,T1660)*IF(AND(offer_incoterms="DDP",offer_sale_type&lt;&gt;"экспорт"),IF((TODAY()+offer_turnaround_time)&gt;=helpsheet!$L$17,rate_vatRU_from_26,rate_vatRu_till_25),0)</f>
        <v/>
      </c>
      <c r="AP1660" s="193">
        <f>AN1660-AO1660</f>
        <v/>
      </c>
      <c r="AQ1660" s="118">
        <f>IF(offer_sale_type="транзит",SUM(AF1660:AI1660,BA1660,BB1660),0)</f>
        <v/>
      </c>
      <c r="AR1660" s="82">
        <f>HYPERLINK("https://www.alta.ru/tnved/code/")&amp;W1660&amp;"/"</f>
        <v/>
      </c>
      <c r="AS1660" s="157" t="n"/>
      <c r="AT1660" s="162" t="n"/>
      <c r="AU1660" s="76">
        <f>IF(ISBLANK(AT1660),0,AJ1660-AT1660)</f>
        <v/>
      </c>
      <c r="AV1660" s="157" t="n"/>
      <c r="AW1660" s="75">
        <f>_xlfn.IFNA(VLOOKUP(L1660,list_vat[],3,FALSE),0)</f>
        <v/>
      </c>
      <c r="AX1660" s="76">
        <f>IFERROR(ROUND(S1660*(1+AW1660)/E1660,2),0)</f>
        <v/>
      </c>
      <c r="AY1660" s="76">
        <f>E1660*AX1660</f>
        <v/>
      </c>
      <c r="AZ1660" s="192">
        <f>S1660*(1+M1660)</f>
        <v/>
      </c>
      <c r="BA1660" s="76">
        <f>cost_fin_total*$BD1660</f>
        <v/>
      </c>
      <c r="BB1660" s="193">
        <f>credit_sales_interest*BD1660</f>
        <v/>
      </c>
      <c r="BC1660" s="102">
        <f>IFERROR(IF($I$13&gt;0,$I1660/$I$13,$S1660/$S$13),0)</f>
        <v/>
      </c>
      <c r="BD1660" s="102">
        <f>IFERROR($S1660/$S$13,0)</f>
        <v/>
      </c>
      <c r="BE1660" s="413" t="inlineStr">
        <is>
          <t>$</t>
        </is>
      </c>
    </row>
    <row r="1661" ht="12" customFormat="1" customHeight="1" s="65">
      <c r="A1661" s="43" t="n">
        <v>1646</v>
      </c>
      <c r="B1661" s="166" t="n"/>
      <c r="C1661" s="166" t="n"/>
      <c r="D1661" s="166" t="n"/>
      <c r="E1661" s="162" t="n"/>
      <c r="F1661" s="166" t="n"/>
      <c r="G1661" s="162" t="n"/>
      <c r="H1661" s="162" t="n"/>
      <c r="I1661" s="189">
        <f>E1661*G1661</f>
        <v/>
      </c>
      <c r="J1661" s="195" t="n"/>
      <c r="K1661" s="162" t="n"/>
      <c r="L1661" s="168" t="n"/>
      <c r="M1661" s="75">
        <f>_xlfn.XLOOKUP(L1661,list_vat[Страна],list_vat[Ставка НДС %],0,0)</f>
        <v/>
      </c>
      <c r="N1661" s="162">
        <f>IFERROR(IF(L1661="Китай",K1661,K1661/(1+M1661)),0)</f>
        <v/>
      </c>
      <c r="O1661" s="169" t="n"/>
      <c r="P1661" s="76">
        <f>N1661*(1-O1661)</f>
        <v/>
      </c>
      <c r="Q1661" s="162" t="n"/>
      <c r="R1661" s="162">
        <f>IF(ISBLANK(Q1661),"введи курс",P1661/Q1661)</f>
        <v/>
      </c>
      <c r="S1661" s="196">
        <f>IF(AND(ISNUMBER(E1661),ISNUMBER(Q1661)),E1661*R1661,0)</f>
        <v/>
      </c>
      <c r="T1661" s="192">
        <f>$BC1661*V$11</f>
        <v/>
      </c>
      <c r="U1661" s="76">
        <f>$BC1661*W$11</f>
        <v/>
      </c>
      <c r="V1661" s="193">
        <f>+SUM(T1661:U1661)</f>
        <v/>
      </c>
      <c r="W1661" s="191" t="n"/>
      <c r="X1661" s="170" t="n"/>
      <c r="Y1661" s="76">
        <f>ROUND(IF(offer_incoterms="DDP",X1661*(S1661*(1+AW1661)+T1661),0),2)</f>
        <v/>
      </c>
      <c r="Z1661" s="188" t="n"/>
      <c r="AA1661" s="192">
        <f>IFERROR(AB1661/E1661,0)</f>
        <v/>
      </c>
      <c r="AB1661" s="76">
        <f>ROUND(SUM(S1661,V1661,Y1661:Z1661,BA1661:BB1661),2)</f>
        <v/>
      </c>
      <c r="AC1661" s="797" t="n"/>
      <c r="AD1661" s="192">
        <f t="array" ref="AD1661">IFERROR(ROUND((_xlfn.IFS(offer_sale_type="поставка",AB1661,offer_sale_type="транзит",S1661)*(1+AC1661))/E1661,2),0)</f>
        <v/>
      </c>
      <c r="AE1661" s="76">
        <f>AD1661*E1661</f>
        <v/>
      </c>
      <c r="AF1661" s="193">
        <f t="array" ref="AF1661">IFERROR(ROUND(_xlfn.IFS(offer_sale_type="поставка",AB1661,offer_sale_type="транзит",S1661)*AC1661,2),0)</f>
        <v/>
      </c>
      <c r="AG1661" s="192">
        <f>$BD1661*VLOOKUP($AG$3,$AF$4:$AG$7,2,FALSE)</f>
        <v/>
      </c>
      <c r="AH1661" s="76">
        <f>SUM(AE1661,AG1661,AI1661)*rate_forex_risk</f>
        <v/>
      </c>
      <c r="AI1661" s="193">
        <f>IF(OR(seller_region="TR",offer_sale_type="экспорт"),0,rate_fin_comm)*SUM(AZ1661,AZ1661*AW1661,T1661)</f>
        <v/>
      </c>
      <c r="AJ1661" s="118">
        <f>IFERROR(ROUND(SUM(AB1661,AF1661:AI1661)/E1661,2),0)</f>
        <v/>
      </c>
      <c r="AK1661" s="76">
        <f>AJ1661*E1661</f>
        <v/>
      </c>
      <c r="AL1661" s="174">
        <f>ROUND(IFERROR(AM1661*E1661,0),2)</f>
        <v/>
      </c>
      <c r="AM1661" s="175">
        <f>ROUND(AJ1661*(1+IF(offer_incoterms="DDP",IF((TODAY()+offer_turnaround_time)&gt;=helpsheet!$L$17,rate_vatRU_from_26,rate_vatRu_till_25),0)),2)</f>
        <v/>
      </c>
      <c r="AN1661" s="192">
        <f>AL1661-AK1661</f>
        <v/>
      </c>
      <c r="AO1661" s="76">
        <f>SUM(AY1661,Y1661:Z1661,T1661)*IF(AND(offer_incoterms="DDP",offer_sale_type&lt;&gt;"экспорт"),IF((TODAY()+offer_turnaround_time)&gt;=helpsheet!$L$17,rate_vatRU_from_26,rate_vatRu_till_25),0)</f>
        <v/>
      </c>
      <c r="AP1661" s="193">
        <f>AN1661-AO1661</f>
        <v/>
      </c>
      <c r="AQ1661" s="118">
        <f>IF(offer_sale_type="транзит",SUM(AF1661:AI1661,BA1661,BB1661),0)</f>
        <v/>
      </c>
      <c r="AR1661" s="82">
        <f>HYPERLINK("https://www.alta.ru/tnved/code/")&amp;W1661&amp;"/"</f>
        <v/>
      </c>
      <c r="AS1661" s="157" t="n"/>
      <c r="AT1661" s="162" t="n"/>
      <c r="AU1661" s="76">
        <f>IF(ISBLANK(AT1661),0,AJ1661-AT1661)</f>
        <v/>
      </c>
      <c r="AV1661" s="157" t="n"/>
      <c r="AW1661" s="75">
        <f>_xlfn.IFNA(VLOOKUP(L1661,list_vat[],3,FALSE),0)</f>
        <v/>
      </c>
      <c r="AX1661" s="76">
        <f>IFERROR(ROUND(S1661*(1+AW1661)/E1661,2),0)</f>
        <v/>
      </c>
      <c r="AY1661" s="76">
        <f>E1661*AX1661</f>
        <v/>
      </c>
      <c r="AZ1661" s="192">
        <f>S1661*(1+M1661)</f>
        <v/>
      </c>
      <c r="BA1661" s="76">
        <f>cost_fin_total*$BD1661</f>
        <v/>
      </c>
      <c r="BB1661" s="193">
        <f>credit_sales_interest*BD1661</f>
        <v/>
      </c>
      <c r="BC1661" s="102">
        <f>IFERROR(IF($I$13&gt;0,$I1661/$I$13,$S1661/$S$13),0)</f>
        <v/>
      </c>
      <c r="BD1661" s="102">
        <f>IFERROR($S1661/$S$13,0)</f>
        <v/>
      </c>
      <c r="BE1661" s="413" t="inlineStr">
        <is>
          <t>$</t>
        </is>
      </c>
    </row>
    <row r="1662" ht="12" customFormat="1" customHeight="1" s="65">
      <c r="A1662" s="43" t="n">
        <v>1647</v>
      </c>
      <c r="B1662" s="166" t="n"/>
      <c r="C1662" s="166" t="n"/>
      <c r="D1662" s="166" t="n"/>
      <c r="E1662" s="162" t="n"/>
      <c r="F1662" s="166" t="n"/>
      <c r="G1662" s="162" t="n"/>
      <c r="H1662" s="162" t="n"/>
      <c r="I1662" s="189">
        <f>E1662*G1662</f>
        <v/>
      </c>
      <c r="J1662" s="195" t="n"/>
      <c r="K1662" s="162" t="n"/>
      <c r="L1662" s="168" t="n"/>
      <c r="M1662" s="75">
        <f>_xlfn.XLOOKUP(L1662,list_vat[Страна],list_vat[Ставка НДС %],0,0)</f>
        <v/>
      </c>
      <c r="N1662" s="162">
        <f>IFERROR(IF(L1662="Китай",K1662,K1662/(1+M1662)),0)</f>
        <v/>
      </c>
      <c r="O1662" s="169" t="n"/>
      <c r="P1662" s="76">
        <f>N1662*(1-O1662)</f>
        <v/>
      </c>
      <c r="Q1662" s="162" t="n"/>
      <c r="R1662" s="162">
        <f>IF(ISBLANK(Q1662),"введи курс",P1662/Q1662)</f>
        <v/>
      </c>
      <c r="S1662" s="196">
        <f>IF(AND(ISNUMBER(E1662),ISNUMBER(Q1662)),E1662*R1662,0)</f>
        <v/>
      </c>
      <c r="T1662" s="192">
        <f>$BC1662*V$11</f>
        <v/>
      </c>
      <c r="U1662" s="76">
        <f>$BC1662*W$11</f>
        <v/>
      </c>
      <c r="V1662" s="193">
        <f>+SUM(T1662:U1662)</f>
        <v/>
      </c>
      <c r="W1662" s="191" t="n"/>
      <c r="X1662" s="170" t="n"/>
      <c r="Y1662" s="76">
        <f>ROUND(IF(offer_incoterms="DDP",X1662*(S1662*(1+AW1662)+T1662),0),2)</f>
        <v/>
      </c>
      <c r="Z1662" s="188" t="n"/>
      <c r="AA1662" s="192">
        <f>IFERROR(AB1662/E1662,0)</f>
        <v/>
      </c>
      <c r="AB1662" s="76">
        <f>ROUND(SUM(S1662,V1662,Y1662:Z1662,BA1662:BB1662),2)</f>
        <v/>
      </c>
      <c r="AC1662" s="797" t="n"/>
      <c r="AD1662" s="192">
        <f t="array" ref="AD1662">IFERROR(ROUND((_xlfn.IFS(offer_sale_type="поставка",AB1662,offer_sale_type="транзит",S1662)*(1+AC1662))/E1662,2),0)</f>
        <v/>
      </c>
      <c r="AE1662" s="76">
        <f>AD1662*E1662</f>
        <v/>
      </c>
      <c r="AF1662" s="193">
        <f t="array" ref="AF1662">IFERROR(ROUND(_xlfn.IFS(offer_sale_type="поставка",AB1662,offer_sale_type="транзит",S1662)*AC1662,2),0)</f>
        <v/>
      </c>
      <c r="AG1662" s="192">
        <f>$BD1662*VLOOKUP($AG$3,$AF$4:$AG$7,2,FALSE)</f>
        <v/>
      </c>
      <c r="AH1662" s="76">
        <f>SUM(AE1662,AG1662,AI1662)*rate_forex_risk</f>
        <v/>
      </c>
      <c r="AI1662" s="193">
        <f>IF(OR(seller_region="TR",offer_sale_type="экспорт"),0,rate_fin_comm)*SUM(AZ1662,AZ1662*AW1662,T1662)</f>
        <v/>
      </c>
      <c r="AJ1662" s="118">
        <f>IFERROR(ROUND(SUM(AB1662,AF1662:AI1662)/E1662,2),0)</f>
        <v/>
      </c>
      <c r="AK1662" s="76">
        <f>AJ1662*E1662</f>
        <v/>
      </c>
      <c r="AL1662" s="174">
        <f>ROUND(IFERROR(AM1662*E1662,0),2)</f>
        <v/>
      </c>
      <c r="AM1662" s="175">
        <f>ROUND(AJ1662*(1+IF(offer_incoterms="DDP",IF((TODAY()+offer_turnaround_time)&gt;=helpsheet!$L$17,rate_vatRU_from_26,rate_vatRu_till_25),0)),2)</f>
        <v/>
      </c>
      <c r="AN1662" s="192">
        <f>AL1662-AK1662</f>
        <v/>
      </c>
      <c r="AO1662" s="76">
        <f>SUM(AY1662,Y1662:Z1662,T1662)*IF(AND(offer_incoterms="DDP",offer_sale_type&lt;&gt;"экспорт"),IF((TODAY()+offer_turnaround_time)&gt;=helpsheet!$L$17,rate_vatRU_from_26,rate_vatRu_till_25),0)</f>
        <v/>
      </c>
      <c r="AP1662" s="193">
        <f>AN1662-AO1662</f>
        <v/>
      </c>
      <c r="AQ1662" s="118">
        <f>IF(offer_sale_type="транзит",SUM(AF1662:AI1662,BA1662,BB1662),0)</f>
        <v/>
      </c>
      <c r="AR1662" s="82">
        <f>HYPERLINK("https://www.alta.ru/tnved/code/")&amp;W1662&amp;"/"</f>
        <v/>
      </c>
      <c r="AS1662" s="157" t="n"/>
      <c r="AT1662" s="162" t="n"/>
      <c r="AU1662" s="76">
        <f>IF(ISBLANK(AT1662),0,AJ1662-AT1662)</f>
        <v/>
      </c>
      <c r="AV1662" s="157" t="n"/>
      <c r="AW1662" s="75">
        <f>_xlfn.IFNA(VLOOKUP(L1662,list_vat[],3,FALSE),0)</f>
        <v/>
      </c>
      <c r="AX1662" s="76">
        <f>IFERROR(ROUND(S1662*(1+AW1662)/E1662,2),0)</f>
        <v/>
      </c>
      <c r="AY1662" s="76">
        <f>E1662*AX1662</f>
        <v/>
      </c>
      <c r="AZ1662" s="192">
        <f>S1662*(1+M1662)</f>
        <v/>
      </c>
      <c r="BA1662" s="76">
        <f>cost_fin_total*$BD1662</f>
        <v/>
      </c>
      <c r="BB1662" s="193">
        <f>credit_sales_interest*BD1662</f>
        <v/>
      </c>
      <c r="BC1662" s="102">
        <f>IFERROR(IF($I$13&gt;0,$I1662/$I$13,$S1662/$S$13),0)</f>
        <v/>
      </c>
      <c r="BD1662" s="102">
        <f>IFERROR($S1662/$S$13,0)</f>
        <v/>
      </c>
      <c r="BE1662" s="413" t="inlineStr">
        <is>
          <t>$</t>
        </is>
      </c>
    </row>
    <row r="1663" ht="12" customFormat="1" customHeight="1" s="65">
      <c r="A1663" s="43" t="n">
        <v>1648</v>
      </c>
      <c r="B1663" s="166" t="n"/>
      <c r="C1663" s="166" t="n"/>
      <c r="D1663" s="166" t="n"/>
      <c r="E1663" s="162" t="n"/>
      <c r="F1663" s="166" t="n"/>
      <c r="G1663" s="162" t="n"/>
      <c r="H1663" s="162" t="n"/>
      <c r="I1663" s="189">
        <f>E1663*G1663</f>
        <v/>
      </c>
      <c r="J1663" s="195" t="n"/>
      <c r="K1663" s="162" t="n"/>
      <c r="L1663" s="168" t="n"/>
      <c r="M1663" s="75">
        <f>_xlfn.XLOOKUP(L1663,list_vat[Страна],list_vat[Ставка НДС %],0,0)</f>
        <v/>
      </c>
      <c r="N1663" s="162">
        <f>IFERROR(IF(L1663="Китай",K1663,K1663/(1+M1663)),0)</f>
        <v/>
      </c>
      <c r="O1663" s="169" t="n"/>
      <c r="P1663" s="76">
        <f>N1663*(1-O1663)</f>
        <v/>
      </c>
      <c r="Q1663" s="162" t="n"/>
      <c r="R1663" s="162">
        <f>IF(ISBLANK(Q1663),"введи курс",P1663/Q1663)</f>
        <v/>
      </c>
      <c r="S1663" s="196">
        <f>IF(AND(ISNUMBER(E1663),ISNUMBER(Q1663)),E1663*R1663,0)</f>
        <v/>
      </c>
      <c r="T1663" s="192">
        <f>$BC1663*V$11</f>
        <v/>
      </c>
      <c r="U1663" s="76">
        <f>$BC1663*W$11</f>
        <v/>
      </c>
      <c r="V1663" s="193">
        <f>+SUM(T1663:U1663)</f>
        <v/>
      </c>
      <c r="W1663" s="191" t="n"/>
      <c r="X1663" s="170" t="n"/>
      <c r="Y1663" s="76">
        <f>ROUND(IF(offer_incoterms="DDP",X1663*(S1663*(1+AW1663)+T1663),0),2)</f>
        <v/>
      </c>
      <c r="Z1663" s="188" t="n"/>
      <c r="AA1663" s="192">
        <f>IFERROR(AB1663/E1663,0)</f>
        <v/>
      </c>
      <c r="AB1663" s="76">
        <f>ROUND(SUM(S1663,V1663,Y1663:Z1663,BA1663:BB1663),2)</f>
        <v/>
      </c>
      <c r="AC1663" s="797" t="n"/>
      <c r="AD1663" s="192">
        <f t="array" ref="AD1663">IFERROR(ROUND((_xlfn.IFS(offer_sale_type="поставка",AB1663,offer_sale_type="транзит",S1663)*(1+AC1663))/E1663,2),0)</f>
        <v/>
      </c>
      <c r="AE1663" s="76">
        <f>AD1663*E1663</f>
        <v/>
      </c>
      <c r="AF1663" s="193">
        <f t="array" ref="AF1663">IFERROR(ROUND(_xlfn.IFS(offer_sale_type="поставка",AB1663,offer_sale_type="транзит",S1663)*AC1663,2),0)</f>
        <v/>
      </c>
      <c r="AG1663" s="192">
        <f>$BD1663*VLOOKUP($AG$3,$AF$4:$AG$7,2,FALSE)</f>
        <v/>
      </c>
      <c r="AH1663" s="76">
        <f>SUM(AE1663,AG1663,AI1663)*rate_forex_risk</f>
        <v/>
      </c>
      <c r="AI1663" s="193">
        <f>IF(OR(seller_region="TR",offer_sale_type="экспорт"),0,rate_fin_comm)*SUM(AZ1663,AZ1663*AW1663,T1663)</f>
        <v/>
      </c>
      <c r="AJ1663" s="118">
        <f>IFERROR(ROUND(SUM(AB1663,AF1663:AI1663)/E1663,2),0)</f>
        <v/>
      </c>
      <c r="AK1663" s="76">
        <f>AJ1663*E1663</f>
        <v/>
      </c>
      <c r="AL1663" s="174">
        <f>ROUND(IFERROR(AM1663*E1663,0),2)</f>
        <v/>
      </c>
      <c r="AM1663" s="175">
        <f>ROUND(AJ1663*(1+IF(offer_incoterms="DDP",IF((TODAY()+offer_turnaround_time)&gt;=helpsheet!$L$17,rate_vatRU_from_26,rate_vatRu_till_25),0)),2)</f>
        <v/>
      </c>
      <c r="AN1663" s="192">
        <f>AL1663-AK1663</f>
        <v/>
      </c>
      <c r="AO1663" s="76">
        <f>SUM(AY1663,Y1663:Z1663,T1663)*IF(AND(offer_incoterms="DDP",offer_sale_type&lt;&gt;"экспорт"),IF((TODAY()+offer_turnaround_time)&gt;=helpsheet!$L$17,rate_vatRU_from_26,rate_vatRu_till_25),0)</f>
        <v/>
      </c>
      <c r="AP1663" s="193">
        <f>AN1663-AO1663</f>
        <v/>
      </c>
      <c r="AQ1663" s="118">
        <f>IF(offer_sale_type="транзит",SUM(AF1663:AI1663,BA1663,BB1663),0)</f>
        <v/>
      </c>
      <c r="AR1663" s="82">
        <f>HYPERLINK("https://www.alta.ru/tnved/code/")&amp;W1663&amp;"/"</f>
        <v/>
      </c>
      <c r="AS1663" s="157" t="n"/>
      <c r="AT1663" s="162" t="n"/>
      <c r="AU1663" s="76">
        <f>IF(ISBLANK(AT1663),0,AJ1663-AT1663)</f>
        <v/>
      </c>
      <c r="AV1663" s="157" t="n"/>
      <c r="AW1663" s="75">
        <f>_xlfn.IFNA(VLOOKUP(L1663,list_vat[],3,FALSE),0)</f>
        <v/>
      </c>
      <c r="AX1663" s="76">
        <f>IFERROR(ROUND(S1663*(1+AW1663)/E1663,2),0)</f>
        <v/>
      </c>
      <c r="AY1663" s="76">
        <f>E1663*AX1663</f>
        <v/>
      </c>
      <c r="AZ1663" s="192">
        <f>S1663*(1+M1663)</f>
        <v/>
      </c>
      <c r="BA1663" s="76">
        <f>cost_fin_total*$BD1663</f>
        <v/>
      </c>
      <c r="BB1663" s="193">
        <f>credit_sales_interest*BD1663</f>
        <v/>
      </c>
      <c r="BC1663" s="102">
        <f>IFERROR(IF($I$13&gt;0,$I1663/$I$13,$S1663/$S$13),0)</f>
        <v/>
      </c>
      <c r="BD1663" s="102">
        <f>IFERROR($S1663/$S$13,0)</f>
        <v/>
      </c>
      <c r="BE1663" s="413" t="inlineStr">
        <is>
          <t>$</t>
        </is>
      </c>
    </row>
    <row r="1664" ht="12" customFormat="1" customHeight="1" s="65">
      <c r="A1664" s="43" t="n">
        <v>1649</v>
      </c>
      <c r="B1664" s="166" t="n"/>
      <c r="C1664" s="166" t="n"/>
      <c r="D1664" s="166" t="n"/>
      <c r="E1664" s="162" t="n"/>
      <c r="F1664" s="166" t="n"/>
      <c r="G1664" s="162" t="n"/>
      <c r="H1664" s="162" t="n"/>
      <c r="I1664" s="189">
        <f>E1664*G1664</f>
        <v/>
      </c>
      <c r="J1664" s="195" t="n"/>
      <c r="K1664" s="162" t="n"/>
      <c r="L1664" s="168" t="n"/>
      <c r="M1664" s="75">
        <f>_xlfn.XLOOKUP(L1664,list_vat[Страна],list_vat[Ставка НДС %],0,0)</f>
        <v/>
      </c>
      <c r="N1664" s="162">
        <f>IFERROR(IF(L1664="Китай",K1664,K1664/(1+M1664)),0)</f>
        <v/>
      </c>
      <c r="O1664" s="169" t="n"/>
      <c r="P1664" s="76">
        <f>N1664*(1-O1664)</f>
        <v/>
      </c>
      <c r="Q1664" s="162" t="n"/>
      <c r="R1664" s="162">
        <f>IF(ISBLANK(Q1664),"введи курс",P1664/Q1664)</f>
        <v/>
      </c>
      <c r="S1664" s="196">
        <f>IF(AND(ISNUMBER(E1664),ISNUMBER(Q1664)),E1664*R1664,0)</f>
        <v/>
      </c>
      <c r="T1664" s="192">
        <f>$BC1664*V$11</f>
        <v/>
      </c>
      <c r="U1664" s="76">
        <f>$BC1664*W$11</f>
        <v/>
      </c>
      <c r="V1664" s="193">
        <f>+SUM(T1664:U1664)</f>
        <v/>
      </c>
      <c r="W1664" s="191" t="n"/>
      <c r="X1664" s="170" t="n"/>
      <c r="Y1664" s="76">
        <f>ROUND(IF(offer_incoterms="DDP",X1664*(S1664*(1+AW1664)+T1664),0),2)</f>
        <v/>
      </c>
      <c r="Z1664" s="188" t="n"/>
      <c r="AA1664" s="192">
        <f>IFERROR(AB1664/E1664,0)</f>
        <v/>
      </c>
      <c r="AB1664" s="76">
        <f>ROUND(SUM(S1664,V1664,Y1664:Z1664,BA1664:BB1664),2)</f>
        <v/>
      </c>
      <c r="AC1664" s="797" t="n"/>
      <c r="AD1664" s="192">
        <f t="array" ref="AD1664">IFERROR(ROUND((_xlfn.IFS(offer_sale_type="поставка",AB1664,offer_sale_type="транзит",S1664)*(1+AC1664))/E1664,2),0)</f>
        <v/>
      </c>
      <c r="AE1664" s="76">
        <f>AD1664*E1664</f>
        <v/>
      </c>
      <c r="AF1664" s="193">
        <f t="array" ref="AF1664">IFERROR(ROUND(_xlfn.IFS(offer_sale_type="поставка",AB1664,offer_sale_type="транзит",S1664)*AC1664,2),0)</f>
        <v/>
      </c>
      <c r="AG1664" s="192">
        <f>$BD1664*VLOOKUP($AG$3,$AF$4:$AG$7,2,FALSE)</f>
        <v/>
      </c>
      <c r="AH1664" s="76">
        <f>SUM(AE1664,AG1664,AI1664)*rate_forex_risk</f>
        <v/>
      </c>
      <c r="AI1664" s="193">
        <f>IF(OR(seller_region="TR",offer_sale_type="экспорт"),0,rate_fin_comm)*SUM(AZ1664,AZ1664*AW1664,T1664)</f>
        <v/>
      </c>
      <c r="AJ1664" s="118">
        <f>IFERROR(ROUND(SUM(AB1664,AF1664:AI1664)/E1664,2),0)</f>
        <v/>
      </c>
      <c r="AK1664" s="76">
        <f>AJ1664*E1664</f>
        <v/>
      </c>
      <c r="AL1664" s="174">
        <f>ROUND(IFERROR(AM1664*E1664,0),2)</f>
        <v/>
      </c>
      <c r="AM1664" s="175">
        <f>ROUND(AJ1664*(1+IF(offer_incoterms="DDP",IF((TODAY()+offer_turnaround_time)&gt;=helpsheet!$L$17,rate_vatRU_from_26,rate_vatRu_till_25),0)),2)</f>
        <v/>
      </c>
      <c r="AN1664" s="192">
        <f>AL1664-AK1664</f>
        <v/>
      </c>
      <c r="AO1664" s="76">
        <f>SUM(AY1664,Y1664:Z1664,T1664)*IF(AND(offer_incoterms="DDP",offer_sale_type&lt;&gt;"экспорт"),IF((TODAY()+offer_turnaround_time)&gt;=helpsheet!$L$17,rate_vatRU_from_26,rate_vatRu_till_25),0)</f>
        <v/>
      </c>
      <c r="AP1664" s="193">
        <f>AN1664-AO1664</f>
        <v/>
      </c>
      <c r="AQ1664" s="118">
        <f>IF(offer_sale_type="транзит",SUM(AF1664:AI1664,BA1664,BB1664),0)</f>
        <v/>
      </c>
      <c r="AR1664" s="82">
        <f>HYPERLINK("https://www.alta.ru/tnved/code/")&amp;W1664&amp;"/"</f>
        <v/>
      </c>
      <c r="AS1664" s="157" t="n"/>
      <c r="AT1664" s="162" t="n"/>
      <c r="AU1664" s="76">
        <f>IF(ISBLANK(AT1664),0,AJ1664-AT1664)</f>
        <v/>
      </c>
      <c r="AV1664" s="157" t="n"/>
      <c r="AW1664" s="75">
        <f>_xlfn.IFNA(VLOOKUP(L1664,list_vat[],3,FALSE),0)</f>
        <v/>
      </c>
      <c r="AX1664" s="76">
        <f>IFERROR(ROUND(S1664*(1+AW1664)/E1664,2),0)</f>
        <v/>
      </c>
      <c r="AY1664" s="76">
        <f>E1664*AX1664</f>
        <v/>
      </c>
      <c r="AZ1664" s="192">
        <f>S1664*(1+M1664)</f>
        <v/>
      </c>
      <c r="BA1664" s="76">
        <f>cost_fin_total*$BD1664</f>
        <v/>
      </c>
      <c r="BB1664" s="193">
        <f>credit_sales_interest*BD1664</f>
        <v/>
      </c>
      <c r="BC1664" s="102">
        <f>IFERROR(IF($I$13&gt;0,$I1664/$I$13,$S1664/$S$13),0)</f>
        <v/>
      </c>
      <c r="BD1664" s="102">
        <f>IFERROR($S1664/$S$13,0)</f>
        <v/>
      </c>
      <c r="BE1664" s="413" t="inlineStr">
        <is>
          <t>$</t>
        </is>
      </c>
    </row>
    <row r="1665" ht="12" customFormat="1" customHeight="1" s="65">
      <c r="A1665" s="43" t="n">
        <v>1650</v>
      </c>
      <c r="B1665" s="166" t="n"/>
      <c r="C1665" s="166" t="n"/>
      <c r="D1665" s="166" t="n"/>
      <c r="E1665" s="162" t="n"/>
      <c r="F1665" s="166" t="n"/>
      <c r="G1665" s="162" t="n"/>
      <c r="H1665" s="162" t="n"/>
      <c r="I1665" s="189">
        <f>E1665*G1665</f>
        <v/>
      </c>
      <c r="J1665" s="195" t="n"/>
      <c r="K1665" s="162" t="n"/>
      <c r="L1665" s="168" t="n"/>
      <c r="M1665" s="75">
        <f>_xlfn.XLOOKUP(L1665,list_vat[Страна],list_vat[Ставка НДС %],0,0)</f>
        <v/>
      </c>
      <c r="N1665" s="162">
        <f>IFERROR(IF(L1665="Китай",K1665,K1665/(1+M1665)),0)</f>
        <v/>
      </c>
      <c r="O1665" s="169" t="n"/>
      <c r="P1665" s="76">
        <f>N1665*(1-O1665)</f>
        <v/>
      </c>
      <c r="Q1665" s="162" t="n"/>
      <c r="R1665" s="162">
        <f>IF(ISBLANK(Q1665),"введи курс",P1665/Q1665)</f>
        <v/>
      </c>
      <c r="S1665" s="196">
        <f>IF(AND(ISNUMBER(E1665),ISNUMBER(Q1665)),E1665*R1665,0)</f>
        <v/>
      </c>
      <c r="T1665" s="192">
        <f>$BC1665*V$11</f>
        <v/>
      </c>
      <c r="U1665" s="76">
        <f>$BC1665*W$11</f>
        <v/>
      </c>
      <c r="V1665" s="193">
        <f>+SUM(T1665:U1665)</f>
        <v/>
      </c>
      <c r="W1665" s="191" t="n"/>
      <c r="X1665" s="170" t="n"/>
      <c r="Y1665" s="76">
        <f>ROUND(IF(offer_incoterms="DDP",X1665*(S1665*(1+AW1665)+T1665),0),2)</f>
        <v/>
      </c>
      <c r="Z1665" s="188" t="n"/>
      <c r="AA1665" s="192">
        <f>IFERROR(AB1665/E1665,0)</f>
        <v/>
      </c>
      <c r="AB1665" s="76">
        <f>ROUND(SUM(S1665,V1665,Y1665:Z1665,BA1665:BB1665),2)</f>
        <v/>
      </c>
      <c r="AC1665" s="797" t="n"/>
      <c r="AD1665" s="192">
        <f t="array" ref="AD1665">IFERROR(ROUND((_xlfn.IFS(offer_sale_type="поставка",AB1665,offer_sale_type="транзит",S1665)*(1+AC1665))/E1665,2),0)</f>
        <v/>
      </c>
      <c r="AE1665" s="76">
        <f>AD1665*E1665</f>
        <v/>
      </c>
      <c r="AF1665" s="193">
        <f t="array" ref="AF1665">IFERROR(ROUND(_xlfn.IFS(offer_sale_type="поставка",AB1665,offer_sale_type="транзит",S1665)*AC1665,2),0)</f>
        <v/>
      </c>
      <c r="AG1665" s="192">
        <f>$BD1665*VLOOKUP($AG$3,$AF$4:$AG$7,2,FALSE)</f>
        <v/>
      </c>
      <c r="AH1665" s="76">
        <f>SUM(AE1665,AG1665,AI1665)*rate_forex_risk</f>
        <v/>
      </c>
      <c r="AI1665" s="193">
        <f>IF(OR(seller_region="TR",offer_sale_type="экспорт"),0,rate_fin_comm)*SUM(AZ1665,AZ1665*AW1665,T1665)</f>
        <v/>
      </c>
      <c r="AJ1665" s="118">
        <f>IFERROR(ROUND(SUM(AB1665,AF1665:AI1665)/E1665,2),0)</f>
        <v/>
      </c>
      <c r="AK1665" s="76">
        <f>AJ1665*E1665</f>
        <v/>
      </c>
      <c r="AL1665" s="174">
        <f>ROUND(IFERROR(AM1665*E1665,0),2)</f>
        <v/>
      </c>
      <c r="AM1665" s="175">
        <f>ROUND(AJ1665*(1+IF(offer_incoterms="DDP",IF((TODAY()+offer_turnaround_time)&gt;=helpsheet!$L$17,rate_vatRU_from_26,rate_vatRu_till_25),0)),2)</f>
        <v/>
      </c>
      <c r="AN1665" s="192">
        <f>AL1665-AK1665</f>
        <v/>
      </c>
      <c r="AO1665" s="76">
        <f>SUM(AY1665,Y1665:Z1665,T1665)*IF(AND(offer_incoterms="DDP",offer_sale_type&lt;&gt;"экспорт"),IF((TODAY()+offer_turnaround_time)&gt;=helpsheet!$L$17,rate_vatRU_from_26,rate_vatRu_till_25),0)</f>
        <v/>
      </c>
      <c r="AP1665" s="193">
        <f>AN1665-AO1665</f>
        <v/>
      </c>
      <c r="AQ1665" s="118">
        <f>IF(offer_sale_type="транзит",SUM(AF1665:AI1665,BA1665,BB1665),0)</f>
        <v/>
      </c>
      <c r="AR1665" s="82">
        <f>HYPERLINK("https://www.alta.ru/tnved/code/")&amp;W1665&amp;"/"</f>
        <v/>
      </c>
      <c r="AS1665" s="157" t="n"/>
      <c r="AT1665" s="162" t="n"/>
      <c r="AU1665" s="76">
        <f>IF(ISBLANK(AT1665),0,AJ1665-AT1665)</f>
        <v/>
      </c>
      <c r="AV1665" s="157" t="n"/>
      <c r="AW1665" s="75">
        <f>_xlfn.IFNA(VLOOKUP(L1665,list_vat[],3,FALSE),0)</f>
        <v/>
      </c>
      <c r="AX1665" s="76">
        <f>IFERROR(ROUND(S1665*(1+AW1665)/E1665,2),0)</f>
        <v/>
      </c>
      <c r="AY1665" s="76">
        <f>E1665*AX1665</f>
        <v/>
      </c>
      <c r="AZ1665" s="192">
        <f>S1665*(1+M1665)</f>
        <v/>
      </c>
      <c r="BA1665" s="76">
        <f>cost_fin_total*$BD1665</f>
        <v/>
      </c>
      <c r="BB1665" s="193">
        <f>credit_sales_interest*BD1665</f>
        <v/>
      </c>
      <c r="BC1665" s="102">
        <f>IFERROR(IF($I$13&gt;0,$I1665/$I$13,$S1665/$S$13),0)</f>
        <v/>
      </c>
      <c r="BD1665" s="102">
        <f>IFERROR($S1665/$S$13,0)</f>
        <v/>
      </c>
      <c r="BE1665" s="413" t="inlineStr">
        <is>
          <t>$</t>
        </is>
      </c>
    </row>
    <row r="1666" ht="12" customFormat="1" customHeight="1" s="65">
      <c r="A1666" s="43" t="n">
        <v>1651</v>
      </c>
      <c r="B1666" s="166" t="n"/>
      <c r="C1666" s="166" t="n"/>
      <c r="D1666" s="166" t="n"/>
      <c r="E1666" s="162" t="n"/>
      <c r="F1666" s="166" t="n"/>
      <c r="G1666" s="162" t="n"/>
      <c r="H1666" s="162" t="n"/>
      <c r="I1666" s="189">
        <f>E1666*G1666</f>
        <v/>
      </c>
      <c r="J1666" s="195" t="n"/>
      <c r="K1666" s="162" t="n"/>
      <c r="L1666" s="168" t="n"/>
      <c r="M1666" s="75">
        <f>_xlfn.XLOOKUP(L1666,list_vat[Страна],list_vat[Ставка НДС %],0,0)</f>
        <v/>
      </c>
      <c r="N1666" s="162">
        <f>IFERROR(IF(L1666="Китай",K1666,K1666/(1+M1666)),0)</f>
        <v/>
      </c>
      <c r="O1666" s="169" t="n"/>
      <c r="P1666" s="76">
        <f>N1666*(1-O1666)</f>
        <v/>
      </c>
      <c r="Q1666" s="162" t="n"/>
      <c r="R1666" s="162">
        <f>IF(ISBLANK(Q1666),"введи курс",P1666/Q1666)</f>
        <v/>
      </c>
      <c r="S1666" s="196">
        <f>IF(AND(ISNUMBER(E1666),ISNUMBER(Q1666)),E1666*R1666,0)</f>
        <v/>
      </c>
      <c r="T1666" s="192">
        <f>$BC1666*V$11</f>
        <v/>
      </c>
      <c r="U1666" s="76">
        <f>$BC1666*W$11</f>
        <v/>
      </c>
      <c r="V1666" s="193">
        <f>+SUM(T1666:U1666)</f>
        <v/>
      </c>
      <c r="W1666" s="191" t="n"/>
      <c r="X1666" s="170" t="n"/>
      <c r="Y1666" s="76">
        <f>ROUND(IF(offer_incoterms="DDP",X1666*(S1666*(1+AW1666)+T1666),0),2)</f>
        <v/>
      </c>
      <c r="Z1666" s="188" t="n"/>
      <c r="AA1666" s="192">
        <f>IFERROR(AB1666/E1666,0)</f>
        <v/>
      </c>
      <c r="AB1666" s="76">
        <f>ROUND(SUM(S1666,V1666,Y1666:Z1666,BA1666:BB1666),2)</f>
        <v/>
      </c>
      <c r="AC1666" s="797" t="n"/>
      <c r="AD1666" s="192">
        <f t="array" ref="AD1666">IFERROR(ROUND((_xlfn.IFS(offer_sale_type="поставка",AB1666,offer_sale_type="транзит",S1666)*(1+AC1666))/E1666,2),0)</f>
        <v/>
      </c>
      <c r="AE1666" s="76">
        <f>AD1666*E1666</f>
        <v/>
      </c>
      <c r="AF1666" s="193">
        <f t="array" ref="AF1666">IFERROR(ROUND(_xlfn.IFS(offer_sale_type="поставка",AB1666,offer_sale_type="транзит",S1666)*AC1666,2),0)</f>
        <v/>
      </c>
      <c r="AG1666" s="192">
        <f>$BD1666*VLOOKUP($AG$3,$AF$4:$AG$7,2,FALSE)</f>
        <v/>
      </c>
      <c r="AH1666" s="76">
        <f>SUM(AE1666,AG1666,AI1666)*rate_forex_risk</f>
        <v/>
      </c>
      <c r="AI1666" s="193">
        <f>IF(OR(seller_region="TR",offer_sale_type="экспорт"),0,rate_fin_comm)*SUM(AZ1666,AZ1666*AW1666,T1666)</f>
        <v/>
      </c>
      <c r="AJ1666" s="118">
        <f>IFERROR(ROUND(SUM(AB1666,AF1666:AI1666)/E1666,2),0)</f>
        <v/>
      </c>
      <c r="AK1666" s="76">
        <f>AJ1666*E1666</f>
        <v/>
      </c>
      <c r="AL1666" s="174">
        <f>ROUND(IFERROR(AM1666*E1666,0),2)</f>
        <v/>
      </c>
      <c r="AM1666" s="175">
        <f>ROUND(AJ1666*(1+IF(offer_incoterms="DDP",IF((TODAY()+offer_turnaround_time)&gt;=helpsheet!$L$17,rate_vatRU_from_26,rate_vatRu_till_25),0)),2)</f>
        <v/>
      </c>
      <c r="AN1666" s="192">
        <f>AL1666-AK1666</f>
        <v/>
      </c>
      <c r="AO1666" s="76">
        <f>SUM(AY1666,Y1666:Z1666,T1666)*IF(AND(offer_incoterms="DDP",offer_sale_type&lt;&gt;"экспорт"),IF((TODAY()+offer_turnaround_time)&gt;=helpsheet!$L$17,rate_vatRU_from_26,rate_vatRu_till_25),0)</f>
        <v/>
      </c>
      <c r="AP1666" s="193">
        <f>AN1666-AO1666</f>
        <v/>
      </c>
      <c r="AQ1666" s="118">
        <f>IF(offer_sale_type="транзит",SUM(AF1666:AI1666,BA1666,BB1666),0)</f>
        <v/>
      </c>
      <c r="AR1666" s="82">
        <f>HYPERLINK("https://www.alta.ru/tnved/code/")&amp;W1666&amp;"/"</f>
        <v/>
      </c>
      <c r="AS1666" s="157" t="n"/>
      <c r="AT1666" s="162" t="n"/>
      <c r="AU1666" s="76">
        <f>IF(ISBLANK(AT1666),0,AJ1666-AT1666)</f>
        <v/>
      </c>
      <c r="AV1666" s="157" t="n"/>
      <c r="AW1666" s="75">
        <f>_xlfn.IFNA(VLOOKUP(L1666,list_vat[],3,FALSE),0)</f>
        <v/>
      </c>
      <c r="AX1666" s="76">
        <f>IFERROR(ROUND(S1666*(1+AW1666)/E1666,2),0)</f>
        <v/>
      </c>
      <c r="AY1666" s="76">
        <f>E1666*AX1666</f>
        <v/>
      </c>
      <c r="AZ1666" s="192">
        <f>S1666*(1+M1666)</f>
        <v/>
      </c>
      <c r="BA1666" s="76">
        <f>cost_fin_total*$BD1666</f>
        <v/>
      </c>
      <c r="BB1666" s="193">
        <f>credit_sales_interest*BD1666</f>
        <v/>
      </c>
      <c r="BC1666" s="102">
        <f>IFERROR(IF($I$13&gt;0,$I1666/$I$13,$S1666/$S$13),0)</f>
        <v/>
      </c>
      <c r="BD1666" s="102">
        <f>IFERROR($S1666/$S$13,0)</f>
        <v/>
      </c>
      <c r="BE1666" s="413" t="inlineStr">
        <is>
          <t>$</t>
        </is>
      </c>
    </row>
    <row r="1667" ht="12" customFormat="1" customHeight="1" s="65">
      <c r="A1667" s="43" t="n">
        <v>1652</v>
      </c>
      <c r="B1667" s="166" t="n"/>
      <c r="C1667" s="166" t="n"/>
      <c r="D1667" s="166" t="n"/>
      <c r="E1667" s="162" t="n"/>
      <c r="F1667" s="166" t="n"/>
      <c r="G1667" s="162" t="n"/>
      <c r="H1667" s="162" t="n"/>
      <c r="I1667" s="189">
        <f>E1667*G1667</f>
        <v/>
      </c>
      <c r="J1667" s="195" t="n"/>
      <c r="K1667" s="162" t="n"/>
      <c r="L1667" s="168" t="n"/>
      <c r="M1667" s="75">
        <f>_xlfn.XLOOKUP(L1667,list_vat[Страна],list_vat[Ставка НДС %],0,0)</f>
        <v/>
      </c>
      <c r="N1667" s="162">
        <f>IFERROR(IF(L1667="Китай",K1667,K1667/(1+M1667)),0)</f>
        <v/>
      </c>
      <c r="O1667" s="169" t="n"/>
      <c r="P1667" s="76">
        <f>N1667*(1-O1667)</f>
        <v/>
      </c>
      <c r="Q1667" s="162" t="n"/>
      <c r="R1667" s="162">
        <f>IF(ISBLANK(Q1667),"введи курс",P1667/Q1667)</f>
        <v/>
      </c>
      <c r="S1667" s="196">
        <f>IF(AND(ISNUMBER(E1667),ISNUMBER(Q1667)),E1667*R1667,0)</f>
        <v/>
      </c>
      <c r="T1667" s="192">
        <f>$BC1667*V$11</f>
        <v/>
      </c>
      <c r="U1667" s="76">
        <f>$BC1667*W$11</f>
        <v/>
      </c>
      <c r="V1667" s="193">
        <f>+SUM(T1667:U1667)</f>
        <v/>
      </c>
      <c r="W1667" s="191" t="n"/>
      <c r="X1667" s="170" t="n"/>
      <c r="Y1667" s="76">
        <f>ROUND(IF(offer_incoterms="DDP",X1667*(S1667*(1+AW1667)+T1667),0),2)</f>
        <v/>
      </c>
      <c r="Z1667" s="188" t="n"/>
      <c r="AA1667" s="192">
        <f>IFERROR(AB1667/E1667,0)</f>
        <v/>
      </c>
      <c r="AB1667" s="76">
        <f>ROUND(SUM(S1667,V1667,Y1667:Z1667,BA1667:BB1667),2)</f>
        <v/>
      </c>
      <c r="AC1667" s="797" t="n"/>
      <c r="AD1667" s="192">
        <f t="array" ref="AD1667">IFERROR(ROUND((_xlfn.IFS(offer_sale_type="поставка",AB1667,offer_sale_type="транзит",S1667)*(1+AC1667))/E1667,2),0)</f>
        <v/>
      </c>
      <c r="AE1667" s="76">
        <f>AD1667*E1667</f>
        <v/>
      </c>
      <c r="AF1667" s="193">
        <f t="array" ref="AF1667">IFERROR(ROUND(_xlfn.IFS(offer_sale_type="поставка",AB1667,offer_sale_type="транзит",S1667)*AC1667,2),0)</f>
        <v/>
      </c>
      <c r="AG1667" s="192">
        <f>$BD1667*VLOOKUP($AG$3,$AF$4:$AG$7,2,FALSE)</f>
        <v/>
      </c>
      <c r="AH1667" s="76">
        <f>SUM(AE1667,AG1667,AI1667)*rate_forex_risk</f>
        <v/>
      </c>
      <c r="AI1667" s="193">
        <f>IF(OR(seller_region="TR",offer_sale_type="экспорт"),0,rate_fin_comm)*SUM(AZ1667,AZ1667*AW1667,T1667)</f>
        <v/>
      </c>
      <c r="AJ1667" s="118">
        <f>IFERROR(ROUND(SUM(AB1667,AF1667:AI1667)/E1667,2),0)</f>
        <v/>
      </c>
      <c r="AK1667" s="76">
        <f>AJ1667*E1667</f>
        <v/>
      </c>
      <c r="AL1667" s="174">
        <f>ROUND(IFERROR(AM1667*E1667,0),2)</f>
        <v/>
      </c>
      <c r="AM1667" s="175">
        <f>ROUND(AJ1667*(1+IF(offer_incoterms="DDP",IF((TODAY()+offer_turnaround_time)&gt;=helpsheet!$L$17,rate_vatRU_from_26,rate_vatRu_till_25),0)),2)</f>
        <v/>
      </c>
      <c r="AN1667" s="192">
        <f>AL1667-AK1667</f>
        <v/>
      </c>
      <c r="AO1667" s="76">
        <f>SUM(AY1667,Y1667:Z1667,T1667)*IF(AND(offer_incoterms="DDP",offer_sale_type&lt;&gt;"экспорт"),IF((TODAY()+offer_turnaround_time)&gt;=helpsheet!$L$17,rate_vatRU_from_26,rate_vatRu_till_25),0)</f>
        <v/>
      </c>
      <c r="AP1667" s="193">
        <f>AN1667-AO1667</f>
        <v/>
      </c>
      <c r="AQ1667" s="118">
        <f>IF(offer_sale_type="транзит",SUM(AF1667:AI1667,BA1667,BB1667),0)</f>
        <v/>
      </c>
      <c r="AR1667" s="82">
        <f>HYPERLINK("https://www.alta.ru/tnved/code/")&amp;W1667&amp;"/"</f>
        <v/>
      </c>
      <c r="AS1667" s="157" t="n"/>
      <c r="AT1667" s="162" t="n"/>
      <c r="AU1667" s="76">
        <f>IF(ISBLANK(AT1667),0,AJ1667-AT1667)</f>
        <v/>
      </c>
      <c r="AV1667" s="157" t="n"/>
      <c r="AW1667" s="75">
        <f>_xlfn.IFNA(VLOOKUP(L1667,list_vat[],3,FALSE),0)</f>
        <v/>
      </c>
      <c r="AX1667" s="76">
        <f>IFERROR(ROUND(S1667*(1+AW1667)/E1667,2),0)</f>
        <v/>
      </c>
      <c r="AY1667" s="76">
        <f>E1667*AX1667</f>
        <v/>
      </c>
      <c r="AZ1667" s="192">
        <f>S1667*(1+M1667)</f>
        <v/>
      </c>
      <c r="BA1667" s="76">
        <f>cost_fin_total*$BD1667</f>
        <v/>
      </c>
      <c r="BB1667" s="193">
        <f>credit_sales_interest*BD1667</f>
        <v/>
      </c>
      <c r="BC1667" s="102">
        <f>IFERROR(IF($I$13&gt;0,$I1667/$I$13,$S1667/$S$13),0)</f>
        <v/>
      </c>
      <c r="BD1667" s="102">
        <f>IFERROR($S1667/$S$13,0)</f>
        <v/>
      </c>
      <c r="BE1667" s="413" t="inlineStr">
        <is>
          <t>$</t>
        </is>
      </c>
    </row>
    <row r="1668" ht="12" customFormat="1" customHeight="1" s="65">
      <c r="A1668" s="43" t="n">
        <v>1653</v>
      </c>
      <c r="B1668" s="166" t="n"/>
      <c r="C1668" s="166" t="n"/>
      <c r="D1668" s="166" t="n"/>
      <c r="E1668" s="162" t="n"/>
      <c r="F1668" s="166" t="n"/>
      <c r="G1668" s="162" t="n"/>
      <c r="H1668" s="162" t="n"/>
      <c r="I1668" s="189">
        <f>E1668*G1668</f>
        <v/>
      </c>
      <c r="J1668" s="195" t="n"/>
      <c r="K1668" s="162" t="n"/>
      <c r="L1668" s="168" t="n"/>
      <c r="M1668" s="75">
        <f>_xlfn.XLOOKUP(L1668,list_vat[Страна],list_vat[Ставка НДС %],0,0)</f>
        <v/>
      </c>
      <c r="N1668" s="162">
        <f>IFERROR(IF(L1668="Китай",K1668,K1668/(1+M1668)),0)</f>
        <v/>
      </c>
      <c r="O1668" s="169" t="n"/>
      <c r="P1668" s="76">
        <f>N1668*(1-O1668)</f>
        <v/>
      </c>
      <c r="Q1668" s="162" t="n"/>
      <c r="R1668" s="162">
        <f>IF(ISBLANK(Q1668),"введи курс",P1668/Q1668)</f>
        <v/>
      </c>
      <c r="S1668" s="196">
        <f>IF(AND(ISNUMBER(E1668),ISNUMBER(Q1668)),E1668*R1668,0)</f>
        <v/>
      </c>
      <c r="T1668" s="192">
        <f>$BC1668*V$11</f>
        <v/>
      </c>
      <c r="U1668" s="76">
        <f>$BC1668*W$11</f>
        <v/>
      </c>
      <c r="V1668" s="193">
        <f>+SUM(T1668:U1668)</f>
        <v/>
      </c>
      <c r="W1668" s="191" t="n"/>
      <c r="X1668" s="170" t="n"/>
      <c r="Y1668" s="76">
        <f>ROUND(IF(offer_incoterms="DDP",X1668*(S1668*(1+AW1668)+T1668),0),2)</f>
        <v/>
      </c>
      <c r="Z1668" s="188" t="n"/>
      <c r="AA1668" s="192">
        <f>IFERROR(AB1668/E1668,0)</f>
        <v/>
      </c>
      <c r="AB1668" s="76">
        <f>ROUND(SUM(S1668,V1668,Y1668:Z1668,BA1668:BB1668),2)</f>
        <v/>
      </c>
      <c r="AC1668" s="797" t="n"/>
      <c r="AD1668" s="192">
        <f t="array" ref="AD1668">IFERROR(ROUND((_xlfn.IFS(offer_sale_type="поставка",AB1668,offer_sale_type="транзит",S1668)*(1+AC1668))/E1668,2),0)</f>
        <v/>
      </c>
      <c r="AE1668" s="76">
        <f>AD1668*E1668</f>
        <v/>
      </c>
      <c r="AF1668" s="193">
        <f t="array" ref="AF1668">IFERROR(ROUND(_xlfn.IFS(offer_sale_type="поставка",AB1668,offer_sale_type="транзит",S1668)*AC1668,2),0)</f>
        <v/>
      </c>
      <c r="AG1668" s="192">
        <f>$BD1668*VLOOKUP($AG$3,$AF$4:$AG$7,2,FALSE)</f>
        <v/>
      </c>
      <c r="AH1668" s="76">
        <f>SUM(AE1668,AG1668,AI1668)*rate_forex_risk</f>
        <v/>
      </c>
      <c r="AI1668" s="193">
        <f>IF(OR(seller_region="TR",offer_sale_type="экспорт"),0,rate_fin_comm)*SUM(AZ1668,AZ1668*AW1668,T1668)</f>
        <v/>
      </c>
      <c r="AJ1668" s="118">
        <f>IFERROR(ROUND(SUM(AB1668,AF1668:AI1668)/E1668,2),0)</f>
        <v/>
      </c>
      <c r="AK1668" s="76">
        <f>AJ1668*E1668</f>
        <v/>
      </c>
      <c r="AL1668" s="174">
        <f>ROUND(IFERROR(AM1668*E1668,0),2)</f>
        <v/>
      </c>
      <c r="AM1668" s="175">
        <f>ROUND(AJ1668*(1+IF(offer_incoterms="DDP",IF((TODAY()+offer_turnaround_time)&gt;=helpsheet!$L$17,rate_vatRU_from_26,rate_vatRu_till_25),0)),2)</f>
        <v/>
      </c>
      <c r="AN1668" s="192">
        <f>AL1668-AK1668</f>
        <v/>
      </c>
      <c r="AO1668" s="76">
        <f>SUM(AY1668,Y1668:Z1668,T1668)*IF(AND(offer_incoterms="DDP",offer_sale_type&lt;&gt;"экспорт"),IF((TODAY()+offer_turnaround_time)&gt;=helpsheet!$L$17,rate_vatRU_from_26,rate_vatRu_till_25),0)</f>
        <v/>
      </c>
      <c r="AP1668" s="193">
        <f>AN1668-AO1668</f>
        <v/>
      </c>
      <c r="AQ1668" s="118">
        <f>IF(offer_sale_type="транзит",SUM(AF1668:AI1668,BA1668,BB1668),0)</f>
        <v/>
      </c>
      <c r="AR1668" s="82">
        <f>HYPERLINK("https://www.alta.ru/tnved/code/")&amp;W1668&amp;"/"</f>
        <v/>
      </c>
      <c r="AS1668" s="157" t="n"/>
      <c r="AT1668" s="162" t="n"/>
      <c r="AU1668" s="76">
        <f>IF(ISBLANK(AT1668),0,AJ1668-AT1668)</f>
        <v/>
      </c>
      <c r="AV1668" s="157" t="n"/>
      <c r="AW1668" s="75">
        <f>_xlfn.IFNA(VLOOKUP(L1668,list_vat[],3,FALSE),0)</f>
        <v/>
      </c>
      <c r="AX1668" s="76">
        <f>IFERROR(ROUND(S1668*(1+AW1668)/E1668,2),0)</f>
        <v/>
      </c>
      <c r="AY1668" s="76">
        <f>E1668*AX1668</f>
        <v/>
      </c>
      <c r="AZ1668" s="192">
        <f>S1668*(1+M1668)</f>
        <v/>
      </c>
      <c r="BA1668" s="76">
        <f>cost_fin_total*$BD1668</f>
        <v/>
      </c>
      <c r="BB1668" s="193">
        <f>credit_sales_interest*BD1668</f>
        <v/>
      </c>
      <c r="BC1668" s="102">
        <f>IFERROR(IF($I$13&gt;0,$I1668/$I$13,$S1668/$S$13),0)</f>
        <v/>
      </c>
      <c r="BD1668" s="102">
        <f>IFERROR($S1668/$S$13,0)</f>
        <v/>
      </c>
      <c r="BE1668" s="413" t="inlineStr">
        <is>
          <t>$</t>
        </is>
      </c>
    </row>
    <row r="1669" ht="12" customFormat="1" customHeight="1" s="65">
      <c r="A1669" s="43" t="n">
        <v>1654</v>
      </c>
      <c r="B1669" s="166" t="n"/>
      <c r="C1669" s="166" t="n"/>
      <c r="D1669" s="166" t="n"/>
      <c r="E1669" s="162" t="n"/>
      <c r="F1669" s="166" t="n"/>
      <c r="G1669" s="162" t="n"/>
      <c r="H1669" s="162" t="n"/>
      <c r="I1669" s="189">
        <f>E1669*G1669</f>
        <v/>
      </c>
      <c r="J1669" s="195" t="n"/>
      <c r="K1669" s="162" t="n"/>
      <c r="L1669" s="168" t="n"/>
      <c r="M1669" s="75">
        <f>_xlfn.XLOOKUP(L1669,list_vat[Страна],list_vat[Ставка НДС %],0,0)</f>
        <v/>
      </c>
      <c r="N1669" s="162">
        <f>IFERROR(IF(L1669="Китай",K1669,K1669/(1+M1669)),0)</f>
        <v/>
      </c>
      <c r="O1669" s="169" t="n"/>
      <c r="P1669" s="76">
        <f>N1669*(1-O1669)</f>
        <v/>
      </c>
      <c r="Q1669" s="162" t="n"/>
      <c r="R1669" s="162">
        <f>IF(ISBLANK(Q1669),"введи курс",P1669/Q1669)</f>
        <v/>
      </c>
      <c r="S1669" s="196">
        <f>IF(AND(ISNUMBER(E1669),ISNUMBER(Q1669)),E1669*R1669,0)</f>
        <v/>
      </c>
      <c r="T1669" s="192">
        <f>$BC1669*V$11</f>
        <v/>
      </c>
      <c r="U1669" s="76">
        <f>$BC1669*W$11</f>
        <v/>
      </c>
      <c r="V1669" s="193">
        <f>+SUM(T1669:U1669)</f>
        <v/>
      </c>
      <c r="W1669" s="191" t="n"/>
      <c r="X1669" s="170" t="n"/>
      <c r="Y1669" s="76">
        <f>ROUND(IF(offer_incoterms="DDP",X1669*(S1669*(1+AW1669)+T1669),0),2)</f>
        <v/>
      </c>
      <c r="Z1669" s="188" t="n"/>
      <c r="AA1669" s="192">
        <f>IFERROR(AB1669/E1669,0)</f>
        <v/>
      </c>
      <c r="AB1669" s="76">
        <f>ROUND(SUM(S1669,V1669,Y1669:Z1669,BA1669:BB1669),2)</f>
        <v/>
      </c>
      <c r="AC1669" s="797" t="n"/>
      <c r="AD1669" s="192">
        <f t="array" ref="AD1669">IFERROR(ROUND((_xlfn.IFS(offer_sale_type="поставка",AB1669,offer_sale_type="транзит",S1669)*(1+AC1669))/E1669,2),0)</f>
        <v/>
      </c>
      <c r="AE1669" s="76">
        <f>AD1669*E1669</f>
        <v/>
      </c>
      <c r="AF1669" s="193">
        <f t="array" ref="AF1669">IFERROR(ROUND(_xlfn.IFS(offer_sale_type="поставка",AB1669,offer_sale_type="транзит",S1669)*AC1669,2),0)</f>
        <v/>
      </c>
      <c r="AG1669" s="192">
        <f>$BD1669*VLOOKUP($AG$3,$AF$4:$AG$7,2,FALSE)</f>
        <v/>
      </c>
      <c r="AH1669" s="76">
        <f>SUM(AE1669,AG1669,AI1669)*rate_forex_risk</f>
        <v/>
      </c>
      <c r="AI1669" s="193">
        <f>IF(OR(seller_region="TR",offer_sale_type="экспорт"),0,rate_fin_comm)*SUM(AZ1669,AZ1669*AW1669,T1669)</f>
        <v/>
      </c>
      <c r="AJ1669" s="118">
        <f>IFERROR(ROUND(SUM(AB1669,AF1669:AI1669)/E1669,2),0)</f>
        <v/>
      </c>
      <c r="AK1669" s="76">
        <f>AJ1669*E1669</f>
        <v/>
      </c>
      <c r="AL1669" s="174">
        <f>ROUND(IFERROR(AM1669*E1669,0),2)</f>
        <v/>
      </c>
      <c r="AM1669" s="175">
        <f>ROUND(AJ1669*(1+IF(offer_incoterms="DDP",IF((TODAY()+offer_turnaround_time)&gt;=helpsheet!$L$17,rate_vatRU_from_26,rate_vatRu_till_25),0)),2)</f>
        <v/>
      </c>
      <c r="AN1669" s="192">
        <f>AL1669-AK1669</f>
        <v/>
      </c>
      <c r="AO1669" s="76">
        <f>SUM(AY1669,Y1669:Z1669,T1669)*IF(AND(offer_incoterms="DDP",offer_sale_type&lt;&gt;"экспорт"),IF((TODAY()+offer_turnaround_time)&gt;=helpsheet!$L$17,rate_vatRU_from_26,rate_vatRu_till_25),0)</f>
        <v/>
      </c>
      <c r="AP1669" s="193">
        <f>AN1669-AO1669</f>
        <v/>
      </c>
      <c r="AQ1669" s="118">
        <f>IF(offer_sale_type="транзит",SUM(AF1669:AI1669,BA1669,BB1669),0)</f>
        <v/>
      </c>
      <c r="AR1669" s="82">
        <f>HYPERLINK("https://www.alta.ru/tnved/code/")&amp;W1669&amp;"/"</f>
        <v/>
      </c>
      <c r="AS1669" s="157" t="n"/>
      <c r="AT1669" s="162" t="n"/>
      <c r="AU1669" s="76">
        <f>IF(ISBLANK(AT1669),0,AJ1669-AT1669)</f>
        <v/>
      </c>
      <c r="AV1669" s="157" t="n"/>
      <c r="AW1669" s="75">
        <f>_xlfn.IFNA(VLOOKUP(L1669,list_vat[],3,FALSE),0)</f>
        <v/>
      </c>
      <c r="AX1669" s="76">
        <f>IFERROR(ROUND(S1669*(1+AW1669)/E1669,2),0)</f>
        <v/>
      </c>
      <c r="AY1669" s="76">
        <f>E1669*AX1669</f>
        <v/>
      </c>
      <c r="AZ1669" s="192">
        <f>S1669*(1+M1669)</f>
        <v/>
      </c>
      <c r="BA1669" s="76">
        <f>cost_fin_total*$BD1669</f>
        <v/>
      </c>
      <c r="BB1669" s="193">
        <f>credit_sales_interest*BD1669</f>
        <v/>
      </c>
      <c r="BC1669" s="102">
        <f>IFERROR(IF($I$13&gt;0,$I1669/$I$13,$S1669/$S$13),0)</f>
        <v/>
      </c>
      <c r="BD1669" s="102">
        <f>IFERROR($S1669/$S$13,0)</f>
        <v/>
      </c>
      <c r="BE1669" s="413" t="inlineStr">
        <is>
          <t>$</t>
        </is>
      </c>
    </row>
    <row r="1670" ht="12" customFormat="1" customHeight="1" s="65">
      <c r="A1670" s="43" t="n">
        <v>1655</v>
      </c>
      <c r="B1670" s="166" t="n"/>
      <c r="C1670" s="166" t="n"/>
      <c r="D1670" s="166" t="n"/>
      <c r="E1670" s="162" t="n"/>
      <c r="F1670" s="166" t="n"/>
      <c r="G1670" s="162" t="n"/>
      <c r="H1670" s="162" t="n"/>
      <c r="I1670" s="189">
        <f>E1670*G1670</f>
        <v/>
      </c>
      <c r="J1670" s="195" t="n"/>
      <c r="K1670" s="162" t="n"/>
      <c r="L1670" s="168" t="n"/>
      <c r="M1670" s="75">
        <f>_xlfn.XLOOKUP(L1670,list_vat[Страна],list_vat[Ставка НДС %],0,0)</f>
        <v/>
      </c>
      <c r="N1670" s="162">
        <f>IFERROR(IF(L1670="Китай",K1670,K1670/(1+M1670)),0)</f>
        <v/>
      </c>
      <c r="O1670" s="169" t="n"/>
      <c r="P1670" s="76">
        <f>N1670*(1-O1670)</f>
        <v/>
      </c>
      <c r="Q1670" s="162" t="n"/>
      <c r="R1670" s="162">
        <f>IF(ISBLANK(Q1670),"введи курс",P1670/Q1670)</f>
        <v/>
      </c>
      <c r="S1670" s="196">
        <f>IF(AND(ISNUMBER(E1670),ISNUMBER(Q1670)),E1670*R1670,0)</f>
        <v/>
      </c>
      <c r="T1670" s="192">
        <f>$BC1670*V$11</f>
        <v/>
      </c>
      <c r="U1670" s="76">
        <f>$BC1670*W$11</f>
        <v/>
      </c>
      <c r="V1670" s="193">
        <f>+SUM(T1670:U1670)</f>
        <v/>
      </c>
      <c r="W1670" s="191" t="n"/>
      <c r="X1670" s="170" t="n"/>
      <c r="Y1670" s="76">
        <f>ROUND(IF(offer_incoterms="DDP",X1670*(S1670*(1+AW1670)+T1670),0),2)</f>
        <v/>
      </c>
      <c r="Z1670" s="188" t="n"/>
      <c r="AA1670" s="192">
        <f>IFERROR(AB1670/E1670,0)</f>
        <v/>
      </c>
      <c r="AB1670" s="76">
        <f>ROUND(SUM(S1670,V1670,Y1670:Z1670,BA1670:BB1670),2)</f>
        <v/>
      </c>
      <c r="AC1670" s="797" t="n"/>
      <c r="AD1670" s="192">
        <f t="array" ref="AD1670">IFERROR(ROUND((_xlfn.IFS(offer_sale_type="поставка",AB1670,offer_sale_type="транзит",S1670)*(1+AC1670))/E1670,2),0)</f>
        <v/>
      </c>
      <c r="AE1670" s="76">
        <f>AD1670*E1670</f>
        <v/>
      </c>
      <c r="AF1670" s="193">
        <f t="array" ref="AF1670">IFERROR(ROUND(_xlfn.IFS(offer_sale_type="поставка",AB1670,offer_sale_type="транзит",S1670)*AC1670,2),0)</f>
        <v/>
      </c>
      <c r="AG1670" s="192">
        <f>$BD1670*VLOOKUP($AG$3,$AF$4:$AG$7,2,FALSE)</f>
        <v/>
      </c>
      <c r="AH1670" s="76">
        <f>SUM(AE1670,AG1670,AI1670)*rate_forex_risk</f>
        <v/>
      </c>
      <c r="AI1670" s="193">
        <f>IF(OR(seller_region="TR",offer_sale_type="экспорт"),0,rate_fin_comm)*SUM(AZ1670,AZ1670*AW1670,T1670)</f>
        <v/>
      </c>
      <c r="AJ1670" s="118">
        <f>IFERROR(ROUND(SUM(AB1670,AF1670:AI1670)/E1670,2),0)</f>
        <v/>
      </c>
      <c r="AK1670" s="76">
        <f>AJ1670*E1670</f>
        <v/>
      </c>
      <c r="AL1670" s="174">
        <f>ROUND(IFERROR(AM1670*E1670,0),2)</f>
        <v/>
      </c>
      <c r="AM1670" s="175">
        <f>ROUND(AJ1670*(1+IF(offer_incoterms="DDP",IF((TODAY()+offer_turnaround_time)&gt;=helpsheet!$L$17,rate_vatRU_from_26,rate_vatRu_till_25),0)),2)</f>
        <v/>
      </c>
      <c r="AN1670" s="192">
        <f>AL1670-AK1670</f>
        <v/>
      </c>
      <c r="AO1670" s="76">
        <f>SUM(AY1670,Y1670:Z1670,T1670)*IF(AND(offer_incoterms="DDP",offer_sale_type&lt;&gt;"экспорт"),IF((TODAY()+offer_turnaround_time)&gt;=helpsheet!$L$17,rate_vatRU_from_26,rate_vatRu_till_25),0)</f>
        <v/>
      </c>
      <c r="AP1670" s="193">
        <f>AN1670-AO1670</f>
        <v/>
      </c>
      <c r="AQ1670" s="118">
        <f>IF(offer_sale_type="транзит",SUM(AF1670:AI1670,BA1670,BB1670),0)</f>
        <v/>
      </c>
      <c r="AR1670" s="82">
        <f>HYPERLINK("https://www.alta.ru/tnved/code/")&amp;W1670&amp;"/"</f>
        <v/>
      </c>
      <c r="AS1670" s="157" t="n"/>
      <c r="AT1670" s="162" t="n"/>
      <c r="AU1670" s="76">
        <f>IF(ISBLANK(AT1670),0,AJ1670-AT1670)</f>
        <v/>
      </c>
      <c r="AV1670" s="157" t="n"/>
      <c r="AW1670" s="75">
        <f>_xlfn.IFNA(VLOOKUP(L1670,list_vat[],3,FALSE),0)</f>
        <v/>
      </c>
      <c r="AX1670" s="76">
        <f>IFERROR(ROUND(S1670*(1+AW1670)/E1670,2),0)</f>
        <v/>
      </c>
      <c r="AY1670" s="76">
        <f>E1670*AX1670</f>
        <v/>
      </c>
      <c r="AZ1670" s="192">
        <f>S1670*(1+M1670)</f>
        <v/>
      </c>
      <c r="BA1670" s="76">
        <f>cost_fin_total*$BD1670</f>
        <v/>
      </c>
      <c r="BB1670" s="193">
        <f>credit_sales_interest*BD1670</f>
        <v/>
      </c>
      <c r="BC1670" s="102">
        <f>IFERROR(IF($I$13&gt;0,$I1670/$I$13,$S1670/$S$13),0)</f>
        <v/>
      </c>
      <c r="BD1670" s="102">
        <f>IFERROR($S1670/$S$13,0)</f>
        <v/>
      </c>
      <c r="BE1670" s="413" t="inlineStr">
        <is>
          <t>$</t>
        </is>
      </c>
    </row>
    <row r="1671" ht="12" customFormat="1" customHeight="1" s="65">
      <c r="A1671" s="43" t="n">
        <v>1656</v>
      </c>
      <c r="B1671" s="166" t="n"/>
      <c r="C1671" s="166" t="n"/>
      <c r="D1671" s="166" t="n"/>
      <c r="E1671" s="162" t="n"/>
      <c r="F1671" s="166" t="n"/>
      <c r="G1671" s="162" t="n"/>
      <c r="H1671" s="162" t="n"/>
      <c r="I1671" s="189">
        <f>E1671*G1671</f>
        <v/>
      </c>
      <c r="J1671" s="195" t="n"/>
      <c r="K1671" s="162" t="n"/>
      <c r="L1671" s="168" t="n"/>
      <c r="M1671" s="75">
        <f>_xlfn.XLOOKUP(L1671,list_vat[Страна],list_vat[Ставка НДС %],0,0)</f>
        <v/>
      </c>
      <c r="N1671" s="162">
        <f>IFERROR(IF(L1671="Китай",K1671,K1671/(1+M1671)),0)</f>
        <v/>
      </c>
      <c r="O1671" s="169" t="n"/>
      <c r="P1671" s="76">
        <f>N1671*(1-O1671)</f>
        <v/>
      </c>
      <c r="Q1671" s="162" t="n"/>
      <c r="R1671" s="162">
        <f>IF(ISBLANK(Q1671),"введи курс",P1671/Q1671)</f>
        <v/>
      </c>
      <c r="S1671" s="196">
        <f>IF(AND(ISNUMBER(E1671),ISNUMBER(Q1671)),E1671*R1671,0)</f>
        <v/>
      </c>
      <c r="T1671" s="192">
        <f>$BC1671*V$11</f>
        <v/>
      </c>
      <c r="U1671" s="76">
        <f>$BC1671*W$11</f>
        <v/>
      </c>
      <c r="V1671" s="193">
        <f>+SUM(T1671:U1671)</f>
        <v/>
      </c>
      <c r="W1671" s="191" t="n"/>
      <c r="X1671" s="170" t="n"/>
      <c r="Y1671" s="76">
        <f>ROUND(IF(offer_incoterms="DDP",X1671*(S1671*(1+AW1671)+T1671),0),2)</f>
        <v/>
      </c>
      <c r="Z1671" s="188" t="n"/>
      <c r="AA1671" s="192">
        <f>IFERROR(AB1671/E1671,0)</f>
        <v/>
      </c>
      <c r="AB1671" s="76">
        <f>ROUND(SUM(S1671,V1671,Y1671:Z1671,BA1671:BB1671),2)</f>
        <v/>
      </c>
      <c r="AC1671" s="797" t="n"/>
      <c r="AD1671" s="192">
        <f t="array" ref="AD1671">IFERROR(ROUND((_xlfn.IFS(offer_sale_type="поставка",AB1671,offer_sale_type="транзит",S1671)*(1+AC1671))/E1671,2),0)</f>
        <v/>
      </c>
      <c r="AE1671" s="76">
        <f>AD1671*E1671</f>
        <v/>
      </c>
      <c r="AF1671" s="193">
        <f t="array" ref="AF1671">IFERROR(ROUND(_xlfn.IFS(offer_sale_type="поставка",AB1671,offer_sale_type="транзит",S1671)*AC1671,2),0)</f>
        <v/>
      </c>
      <c r="AG1671" s="192">
        <f>$BD1671*VLOOKUP($AG$3,$AF$4:$AG$7,2,FALSE)</f>
        <v/>
      </c>
      <c r="AH1671" s="76">
        <f>SUM(AE1671,AG1671,AI1671)*rate_forex_risk</f>
        <v/>
      </c>
      <c r="AI1671" s="193">
        <f>IF(OR(seller_region="TR",offer_sale_type="экспорт"),0,rate_fin_comm)*SUM(AZ1671,AZ1671*AW1671,T1671)</f>
        <v/>
      </c>
      <c r="AJ1671" s="118">
        <f>IFERROR(ROUND(SUM(AB1671,AF1671:AI1671)/E1671,2),0)</f>
        <v/>
      </c>
      <c r="AK1671" s="76">
        <f>AJ1671*E1671</f>
        <v/>
      </c>
      <c r="AL1671" s="174">
        <f>ROUND(IFERROR(AM1671*E1671,0),2)</f>
        <v/>
      </c>
      <c r="AM1671" s="175">
        <f>ROUND(AJ1671*(1+IF(offer_incoterms="DDP",IF((TODAY()+offer_turnaround_time)&gt;=helpsheet!$L$17,rate_vatRU_from_26,rate_vatRu_till_25),0)),2)</f>
        <v/>
      </c>
      <c r="AN1671" s="192">
        <f>AL1671-AK1671</f>
        <v/>
      </c>
      <c r="AO1671" s="76">
        <f>SUM(AY1671,Y1671:Z1671,T1671)*IF(AND(offer_incoterms="DDP",offer_sale_type&lt;&gt;"экспорт"),IF((TODAY()+offer_turnaround_time)&gt;=helpsheet!$L$17,rate_vatRU_from_26,rate_vatRu_till_25),0)</f>
        <v/>
      </c>
      <c r="AP1671" s="193">
        <f>AN1671-AO1671</f>
        <v/>
      </c>
      <c r="AQ1671" s="118">
        <f>IF(offer_sale_type="транзит",SUM(AF1671:AI1671,BA1671,BB1671),0)</f>
        <v/>
      </c>
      <c r="AR1671" s="82">
        <f>HYPERLINK("https://www.alta.ru/tnved/code/")&amp;W1671&amp;"/"</f>
        <v/>
      </c>
      <c r="AS1671" s="157" t="n"/>
      <c r="AT1671" s="162" t="n"/>
      <c r="AU1671" s="76">
        <f>IF(ISBLANK(AT1671),0,AJ1671-AT1671)</f>
        <v/>
      </c>
      <c r="AV1671" s="157" t="n"/>
      <c r="AW1671" s="75">
        <f>_xlfn.IFNA(VLOOKUP(L1671,list_vat[],3,FALSE),0)</f>
        <v/>
      </c>
      <c r="AX1671" s="76">
        <f>IFERROR(ROUND(S1671*(1+AW1671)/E1671,2),0)</f>
        <v/>
      </c>
      <c r="AY1671" s="76">
        <f>E1671*AX1671</f>
        <v/>
      </c>
      <c r="AZ1671" s="192">
        <f>S1671*(1+M1671)</f>
        <v/>
      </c>
      <c r="BA1671" s="76">
        <f>cost_fin_total*$BD1671</f>
        <v/>
      </c>
      <c r="BB1671" s="193">
        <f>credit_sales_interest*BD1671</f>
        <v/>
      </c>
      <c r="BC1671" s="102">
        <f>IFERROR(IF($I$13&gt;0,$I1671/$I$13,$S1671/$S$13),0)</f>
        <v/>
      </c>
      <c r="BD1671" s="102">
        <f>IFERROR($S1671/$S$13,0)</f>
        <v/>
      </c>
      <c r="BE1671" s="413" t="inlineStr">
        <is>
          <t>$</t>
        </is>
      </c>
    </row>
    <row r="1672" ht="12" customFormat="1" customHeight="1" s="65">
      <c r="A1672" s="43" t="n">
        <v>1657</v>
      </c>
      <c r="B1672" s="166" t="n"/>
      <c r="C1672" s="166" t="n"/>
      <c r="D1672" s="166" t="n"/>
      <c r="E1672" s="162" t="n"/>
      <c r="F1672" s="166" t="n"/>
      <c r="G1672" s="162" t="n"/>
      <c r="H1672" s="162" t="n"/>
      <c r="I1672" s="189">
        <f>E1672*G1672</f>
        <v/>
      </c>
      <c r="J1672" s="195" t="n"/>
      <c r="K1672" s="162" t="n"/>
      <c r="L1672" s="168" t="n"/>
      <c r="M1672" s="75">
        <f>_xlfn.XLOOKUP(L1672,list_vat[Страна],list_vat[Ставка НДС %],0,0)</f>
        <v/>
      </c>
      <c r="N1672" s="162">
        <f>IFERROR(IF(L1672="Китай",K1672,K1672/(1+M1672)),0)</f>
        <v/>
      </c>
      <c r="O1672" s="169" t="n"/>
      <c r="P1672" s="76">
        <f>N1672*(1-O1672)</f>
        <v/>
      </c>
      <c r="Q1672" s="162" t="n"/>
      <c r="R1672" s="162">
        <f>IF(ISBLANK(Q1672),"введи курс",P1672/Q1672)</f>
        <v/>
      </c>
      <c r="S1672" s="196">
        <f>IF(AND(ISNUMBER(E1672),ISNUMBER(Q1672)),E1672*R1672,0)</f>
        <v/>
      </c>
      <c r="T1672" s="192">
        <f>$BC1672*V$11</f>
        <v/>
      </c>
      <c r="U1672" s="76">
        <f>$BC1672*W$11</f>
        <v/>
      </c>
      <c r="V1672" s="193">
        <f>+SUM(T1672:U1672)</f>
        <v/>
      </c>
      <c r="W1672" s="191" t="n"/>
      <c r="X1672" s="170" t="n"/>
      <c r="Y1672" s="76">
        <f>ROUND(IF(offer_incoterms="DDP",X1672*(S1672*(1+AW1672)+T1672),0),2)</f>
        <v/>
      </c>
      <c r="Z1672" s="188" t="n"/>
      <c r="AA1672" s="192">
        <f>IFERROR(AB1672/E1672,0)</f>
        <v/>
      </c>
      <c r="AB1672" s="76">
        <f>ROUND(SUM(S1672,V1672,Y1672:Z1672,BA1672:BB1672),2)</f>
        <v/>
      </c>
      <c r="AC1672" s="797" t="n"/>
      <c r="AD1672" s="192">
        <f t="array" ref="AD1672">IFERROR(ROUND((_xlfn.IFS(offer_sale_type="поставка",AB1672,offer_sale_type="транзит",S1672)*(1+AC1672))/E1672,2),0)</f>
        <v/>
      </c>
      <c r="AE1672" s="76">
        <f>AD1672*E1672</f>
        <v/>
      </c>
      <c r="AF1672" s="193">
        <f t="array" ref="AF1672">IFERROR(ROUND(_xlfn.IFS(offer_sale_type="поставка",AB1672,offer_sale_type="транзит",S1672)*AC1672,2),0)</f>
        <v/>
      </c>
      <c r="AG1672" s="192">
        <f>$BD1672*VLOOKUP($AG$3,$AF$4:$AG$7,2,FALSE)</f>
        <v/>
      </c>
      <c r="AH1672" s="76">
        <f>SUM(AE1672,AG1672,AI1672)*rate_forex_risk</f>
        <v/>
      </c>
      <c r="AI1672" s="193">
        <f>IF(OR(seller_region="TR",offer_sale_type="экспорт"),0,rate_fin_comm)*SUM(AZ1672,AZ1672*AW1672,T1672)</f>
        <v/>
      </c>
      <c r="AJ1672" s="118">
        <f>IFERROR(ROUND(SUM(AB1672,AF1672:AI1672)/E1672,2),0)</f>
        <v/>
      </c>
      <c r="AK1672" s="76">
        <f>AJ1672*E1672</f>
        <v/>
      </c>
      <c r="AL1672" s="174">
        <f>ROUND(IFERROR(AM1672*E1672,0),2)</f>
        <v/>
      </c>
      <c r="AM1672" s="175">
        <f>ROUND(AJ1672*(1+IF(offer_incoterms="DDP",IF((TODAY()+offer_turnaround_time)&gt;=helpsheet!$L$17,rate_vatRU_from_26,rate_vatRu_till_25),0)),2)</f>
        <v/>
      </c>
      <c r="AN1672" s="192">
        <f>AL1672-AK1672</f>
        <v/>
      </c>
      <c r="AO1672" s="76">
        <f>SUM(AY1672,Y1672:Z1672,T1672)*IF(AND(offer_incoterms="DDP",offer_sale_type&lt;&gt;"экспорт"),IF((TODAY()+offer_turnaround_time)&gt;=helpsheet!$L$17,rate_vatRU_from_26,rate_vatRu_till_25),0)</f>
        <v/>
      </c>
      <c r="AP1672" s="193">
        <f>AN1672-AO1672</f>
        <v/>
      </c>
      <c r="AQ1672" s="118">
        <f>IF(offer_sale_type="транзит",SUM(AF1672:AI1672,BA1672,BB1672),0)</f>
        <v/>
      </c>
      <c r="AR1672" s="82">
        <f>HYPERLINK("https://www.alta.ru/tnved/code/")&amp;W1672&amp;"/"</f>
        <v/>
      </c>
      <c r="AS1672" s="157" t="n"/>
      <c r="AT1672" s="162" t="n"/>
      <c r="AU1672" s="76">
        <f>IF(ISBLANK(AT1672),0,AJ1672-AT1672)</f>
        <v/>
      </c>
      <c r="AV1672" s="157" t="n"/>
      <c r="AW1672" s="75">
        <f>_xlfn.IFNA(VLOOKUP(L1672,list_vat[],3,FALSE),0)</f>
        <v/>
      </c>
      <c r="AX1672" s="76">
        <f>IFERROR(ROUND(S1672*(1+AW1672)/E1672,2),0)</f>
        <v/>
      </c>
      <c r="AY1672" s="76">
        <f>E1672*AX1672</f>
        <v/>
      </c>
      <c r="AZ1672" s="192">
        <f>S1672*(1+M1672)</f>
        <v/>
      </c>
      <c r="BA1672" s="76">
        <f>cost_fin_total*$BD1672</f>
        <v/>
      </c>
      <c r="BB1672" s="193">
        <f>credit_sales_interest*BD1672</f>
        <v/>
      </c>
      <c r="BC1672" s="102">
        <f>IFERROR(IF($I$13&gt;0,$I1672/$I$13,$S1672/$S$13),0)</f>
        <v/>
      </c>
      <c r="BD1672" s="102">
        <f>IFERROR($S1672/$S$13,0)</f>
        <v/>
      </c>
      <c r="BE1672" s="413" t="inlineStr">
        <is>
          <t>$</t>
        </is>
      </c>
    </row>
    <row r="1673" ht="12" customFormat="1" customHeight="1" s="65">
      <c r="A1673" s="43" t="n">
        <v>1658</v>
      </c>
      <c r="B1673" s="166" t="n"/>
      <c r="C1673" s="166" t="n"/>
      <c r="D1673" s="166" t="n"/>
      <c r="E1673" s="162" t="n"/>
      <c r="F1673" s="166" t="n"/>
      <c r="G1673" s="162" t="n"/>
      <c r="H1673" s="162" t="n"/>
      <c r="I1673" s="189">
        <f>E1673*G1673</f>
        <v/>
      </c>
      <c r="J1673" s="195" t="n"/>
      <c r="K1673" s="162" t="n"/>
      <c r="L1673" s="168" t="n"/>
      <c r="M1673" s="75">
        <f>_xlfn.XLOOKUP(L1673,list_vat[Страна],list_vat[Ставка НДС %],0,0)</f>
        <v/>
      </c>
      <c r="N1673" s="162">
        <f>IFERROR(IF(L1673="Китай",K1673,K1673/(1+M1673)),0)</f>
        <v/>
      </c>
      <c r="O1673" s="169" t="n"/>
      <c r="P1673" s="76">
        <f>N1673*(1-O1673)</f>
        <v/>
      </c>
      <c r="Q1673" s="162" t="n"/>
      <c r="R1673" s="162">
        <f>IF(ISBLANK(Q1673),"введи курс",P1673/Q1673)</f>
        <v/>
      </c>
      <c r="S1673" s="196">
        <f>IF(AND(ISNUMBER(E1673),ISNUMBER(Q1673)),E1673*R1673,0)</f>
        <v/>
      </c>
      <c r="T1673" s="192">
        <f>$BC1673*V$11</f>
        <v/>
      </c>
      <c r="U1673" s="76">
        <f>$BC1673*W$11</f>
        <v/>
      </c>
      <c r="V1673" s="193">
        <f>+SUM(T1673:U1673)</f>
        <v/>
      </c>
      <c r="W1673" s="191" t="n"/>
      <c r="X1673" s="170" t="n"/>
      <c r="Y1673" s="76">
        <f>ROUND(IF(offer_incoterms="DDP",X1673*(S1673*(1+AW1673)+T1673),0),2)</f>
        <v/>
      </c>
      <c r="Z1673" s="188" t="n"/>
      <c r="AA1673" s="192">
        <f>IFERROR(AB1673/E1673,0)</f>
        <v/>
      </c>
      <c r="AB1673" s="76">
        <f>ROUND(SUM(S1673,V1673,Y1673:Z1673,BA1673:BB1673),2)</f>
        <v/>
      </c>
      <c r="AC1673" s="797" t="n"/>
      <c r="AD1673" s="192">
        <f t="array" ref="AD1673">IFERROR(ROUND((_xlfn.IFS(offer_sale_type="поставка",AB1673,offer_sale_type="транзит",S1673)*(1+AC1673))/E1673,2),0)</f>
        <v/>
      </c>
      <c r="AE1673" s="76">
        <f>AD1673*E1673</f>
        <v/>
      </c>
      <c r="AF1673" s="193">
        <f t="array" ref="AF1673">IFERROR(ROUND(_xlfn.IFS(offer_sale_type="поставка",AB1673,offer_sale_type="транзит",S1673)*AC1673,2),0)</f>
        <v/>
      </c>
      <c r="AG1673" s="192">
        <f>$BD1673*VLOOKUP($AG$3,$AF$4:$AG$7,2,FALSE)</f>
        <v/>
      </c>
      <c r="AH1673" s="76">
        <f>SUM(AE1673,AG1673,AI1673)*rate_forex_risk</f>
        <v/>
      </c>
      <c r="AI1673" s="193">
        <f>IF(OR(seller_region="TR",offer_sale_type="экспорт"),0,rate_fin_comm)*SUM(AZ1673,AZ1673*AW1673,T1673)</f>
        <v/>
      </c>
      <c r="AJ1673" s="118">
        <f>IFERROR(ROUND(SUM(AB1673,AF1673:AI1673)/E1673,2),0)</f>
        <v/>
      </c>
      <c r="AK1673" s="76">
        <f>AJ1673*E1673</f>
        <v/>
      </c>
      <c r="AL1673" s="174">
        <f>ROUND(IFERROR(AM1673*E1673,0),2)</f>
        <v/>
      </c>
      <c r="AM1673" s="175">
        <f>ROUND(AJ1673*(1+IF(offer_incoterms="DDP",IF((TODAY()+offer_turnaround_time)&gt;=helpsheet!$L$17,rate_vatRU_from_26,rate_vatRu_till_25),0)),2)</f>
        <v/>
      </c>
      <c r="AN1673" s="192">
        <f>AL1673-AK1673</f>
        <v/>
      </c>
      <c r="AO1673" s="76">
        <f>SUM(AY1673,Y1673:Z1673,T1673)*IF(AND(offer_incoterms="DDP",offer_sale_type&lt;&gt;"экспорт"),IF((TODAY()+offer_turnaround_time)&gt;=helpsheet!$L$17,rate_vatRU_from_26,rate_vatRu_till_25),0)</f>
        <v/>
      </c>
      <c r="AP1673" s="193">
        <f>AN1673-AO1673</f>
        <v/>
      </c>
      <c r="AQ1673" s="118">
        <f>IF(offer_sale_type="транзит",SUM(AF1673:AI1673,BA1673,BB1673),0)</f>
        <v/>
      </c>
      <c r="AR1673" s="82">
        <f>HYPERLINK("https://www.alta.ru/tnved/code/")&amp;W1673&amp;"/"</f>
        <v/>
      </c>
      <c r="AS1673" s="157" t="n"/>
      <c r="AT1673" s="162" t="n"/>
      <c r="AU1673" s="76">
        <f>IF(ISBLANK(AT1673),0,AJ1673-AT1673)</f>
        <v/>
      </c>
      <c r="AV1673" s="157" t="n"/>
      <c r="AW1673" s="75">
        <f>_xlfn.IFNA(VLOOKUP(L1673,list_vat[],3,FALSE),0)</f>
        <v/>
      </c>
      <c r="AX1673" s="76">
        <f>IFERROR(ROUND(S1673*(1+AW1673)/E1673,2),0)</f>
        <v/>
      </c>
      <c r="AY1673" s="76">
        <f>E1673*AX1673</f>
        <v/>
      </c>
      <c r="AZ1673" s="192">
        <f>S1673*(1+M1673)</f>
        <v/>
      </c>
      <c r="BA1673" s="76">
        <f>cost_fin_total*$BD1673</f>
        <v/>
      </c>
      <c r="BB1673" s="193">
        <f>credit_sales_interest*BD1673</f>
        <v/>
      </c>
      <c r="BC1673" s="102">
        <f>IFERROR(IF($I$13&gt;0,$I1673/$I$13,$S1673/$S$13),0)</f>
        <v/>
      </c>
      <c r="BD1673" s="102">
        <f>IFERROR($S1673/$S$13,0)</f>
        <v/>
      </c>
      <c r="BE1673" s="413" t="inlineStr">
        <is>
          <t>$</t>
        </is>
      </c>
    </row>
    <row r="1674" ht="12" customFormat="1" customHeight="1" s="65">
      <c r="A1674" s="43" t="n">
        <v>1659</v>
      </c>
      <c r="B1674" s="166" t="n"/>
      <c r="C1674" s="166" t="n"/>
      <c r="D1674" s="166" t="n"/>
      <c r="E1674" s="162" t="n"/>
      <c r="F1674" s="166" t="n"/>
      <c r="G1674" s="162" t="n"/>
      <c r="H1674" s="162" t="n"/>
      <c r="I1674" s="189">
        <f>E1674*G1674</f>
        <v/>
      </c>
      <c r="J1674" s="195" t="n"/>
      <c r="K1674" s="162" t="n"/>
      <c r="L1674" s="168" t="n"/>
      <c r="M1674" s="75">
        <f>_xlfn.XLOOKUP(L1674,list_vat[Страна],list_vat[Ставка НДС %],0,0)</f>
        <v/>
      </c>
      <c r="N1674" s="162">
        <f>IFERROR(IF(L1674="Китай",K1674,K1674/(1+M1674)),0)</f>
        <v/>
      </c>
      <c r="O1674" s="169" t="n"/>
      <c r="P1674" s="76">
        <f>N1674*(1-O1674)</f>
        <v/>
      </c>
      <c r="Q1674" s="162" t="n"/>
      <c r="R1674" s="162">
        <f>IF(ISBLANK(Q1674),"введи курс",P1674/Q1674)</f>
        <v/>
      </c>
      <c r="S1674" s="196">
        <f>IF(AND(ISNUMBER(E1674),ISNUMBER(Q1674)),E1674*R1674,0)</f>
        <v/>
      </c>
      <c r="T1674" s="192">
        <f>$BC1674*V$11</f>
        <v/>
      </c>
      <c r="U1674" s="76">
        <f>$BC1674*W$11</f>
        <v/>
      </c>
      <c r="V1674" s="193">
        <f>+SUM(T1674:U1674)</f>
        <v/>
      </c>
      <c r="W1674" s="191" t="n"/>
      <c r="X1674" s="170" t="n"/>
      <c r="Y1674" s="76">
        <f>ROUND(IF(offer_incoterms="DDP",X1674*(S1674*(1+AW1674)+T1674),0),2)</f>
        <v/>
      </c>
      <c r="Z1674" s="188" t="n"/>
      <c r="AA1674" s="192">
        <f>IFERROR(AB1674/E1674,0)</f>
        <v/>
      </c>
      <c r="AB1674" s="76">
        <f>ROUND(SUM(S1674,V1674,Y1674:Z1674,BA1674:BB1674),2)</f>
        <v/>
      </c>
      <c r="AC1674" s="797" t="n"/>
      <c r="AD1674" s="192">
        <f t="array" ref="AD1674">IFERROR(ROUND((_xlfn.IFS(offer_sale_type="поставка",AB1674,offer_sale_type="транзит",S1674)*(1+AC1674))/E1674,2),0)</f>
        <v/>
      </c>
      <c r="AE1674" s="76">
        <f>AD1674*E1674</f>
        <v/>
      </c>
      <c r="AF1674" s="193">
        <f t="array" ref="AF1674">IFERROR(ROUND(_xlfn.IFS(offer_sale_type="поставка",AB1674,offer_sale_type="транзит",S1674)*AC1674,2),0)</f>
        <v/>
      </c>
      <c r="AG1674" s="192">
        <f>$BD1674*VLOOKUP($AG$3,$AF$4:$AG$7,2,FALSE)</f>
        <v/>
      </c>
      <c r="AH1674" s="76">
        <f>SUM(AE1674,AG1674,AI1674)*rate_forex_risk</f>
        <v/>
      </c>
      <c r="AI1674" s="193">
        <f>IF(OR(seller_region="TR",offer_sale_type="экспорт"),0,rate_fin_comm)*SUM(AZ1674,AZ1674*AW1674,T1674)</f>
        <v/>
      </c>
      <c r="AJ1674" s="118">
        <f>IFERROR(ROUND(SUM(AB1674,AF1674:AI1674)/E1674,2),0)</f>
        <v/>
      </c>
      <c r="AK1674" s="76">
        <f>AJ1674*E1674</f>
        <v/>
      </c>
      <c r="AL1674" s="174">
        <f>ROUND(IFERROR(AM1674*E1674,0),2)</f>
        <v/>
      </c>
      <c r="AM1674" s="175">
        <f>ROUND(AJ1674*(1+IF(offer_incoterms="DDP",IF((TODAY()+offer_turnaround_time)&gt;=helpsheet!$L$17,rate_vatRU_from_26,rate_vatRu_till_25),0)),2)</f>
        <v/>
      </c>
      <c r="AN1674" s="192">
        <f>AL1674-AK1674</f>
        <v/>
      </c>
      <c r="AO1674" s="76">
        <f>SUM(AY1674,Y1674:Z1674,T1674)*IF(AND(offer_incoterms="DDP",offer_sale_type&lt;&gt;"экспорт"),IF((TODAY()+offer_turnaround_time)&gt;=helpsheet!$L$17,rate_vatRU_from_26,rate_vatRu_till_25),0)</f>
        <v/>
      </c>
      <c r="AP1674" s="193">
        <f>AN1674-AO1674</f>
        <v/>
      </c>
      <c r="AQ1674" s="118">
        <f>IF(offer_sale_type="транзит",SUM(AF1674:AI1674,BA1674,BB1674),0)</f>
        <v/>
      </c>
      <c r="AR1674" s="82">
        <f>HYPERLINK("https://www.alta.ru/tnved/code/")&amp;W1674&amp;"/"</f>
        <v/>
      </c>
      <c r="AS1674" s="157" t="n"/>
      <c r="AT1674" s="162" t="n"/>
      <c r="AU1674" s="76">
        <f>IF(ISBLANK(AT1674),0,AJ1674-AT1674)</f>
        <v/>
      </c>
      <c r="AV1674" s="157" t="n"/>
      <c r="AW1674" s="75">
        <f>_xlfn.IFNA(VLOOKUP(L1674,list_vat[],3,FALSE),0)</f>
        <v/>
      </c>
      <c r="AX1674" s="76">
        <f>IFERROR(ROUND(S1674*(1+AW1674)/E1674,2),0)</f>
        <v/>
      </c>
      <c r="AY1674" s="76">
        <f>E1674*AX1674</f>
        <v/>
      </c>
      <c r="AZ1674" s="192">
        <f>S1674*(1+M1674)</f>
        <v/>
      </c>
      <c r="BA1674" s="76">
        <f>cost_fin_total*$BD1674</f>
        <v/>
      </c>
      <c r="BB1674" s="193">
        <f>credit_sales_interest*BD1674</f>
        <v/>
      </c>
      <c r="BC1674" s="102">
        <f>IFERROR(IF($I$13&gt;0,$I1674/$I$13,$S1674/$S$13),0)</f>
        <v/>
      </c>
      <c r="BD1674" s="102">
        <f>IFERROR($S1674/$S$13,0)</f>
        <v/>
      </c>
      <c r="BE1674" s="413" t="inlineStr">
        <is>
          <t>$</t>
        </is>
      </c>
    </row>
    <row r="1675" ht="12" customFormat="1" customHeight="1" s="65">
      <c r="A1675" s="43" t="n">
        <v>1660</v>
      </c>
      <c r="B1675" s="166" t="n"/>
      <c r="C1675" s="166" t="n"/>
      <c r="D1675" s="166" t="n"/>
      <c r="E1675" s="162" t="n"/>
      <c r="F1675" s="166" t="n"/>
      <c r="G1675" s="162" t="n"/>
      <c r="H1675" s="162" t="n"/>
      <c r="I1675" s="189">
        <f>E1675*G1675</f>
        <v/>
      </c>
      <c r="J1675" s="195" t="n"/>
      <c r="K1675" s="162" t="n"/>
      <c r="L1675" s="168" t="n"/>
      <c r="M1675" s="75">
        <f>_xlfn.XLOOKUP(L1675,list_vat[Страна],list_vat[Ставка НДС %],0,0)</f>
        <v/>
      </c>
      <c r="N1675" s="162">
        <f>IFERROR(IF(L1675="Китай",K1675,K1675/(1+M1675)),0)</f>
        <v/>
      </c>
      <c r="O1675" s="169" t="n"/>
      <c r="P1675" s="76">
        <f>N1675*(1-O1675)</f>
        <v/>
      </c>
      <c r="Q1675" s="162" t="n"/>
      <c r="R1675" s="162">
        <f>IF(ISBLANK(Q1675),"введи курс",P1675/Q1675)</f>
        <v/>
      </c>
      <c r="S1675" s="196">
        <f>IF(AND(ISNUMBER(E1675),ISNUMBER(Q1675)),E1675*R1675,0)</f>
        <v/>
      </c>
      <c r="T1675" s="192">
        <f>$BC1675*V$11</f>
        <v/>
      </c>
      <c r="U1675" s="76">
        <f>$BC1675*W$11</f>
        <v/>
      </c>
      <c r="V1675" s="193">
        <f>+SUM(T1675:U1675)</f>
        <v/>
      </c>
      <c r="W1675" s="191" t="n"/>
      <c r="X1675" s="170" t="n"/>
      <c r="Y1675" s="76">
        <f>ROUND(IF(offer_incoterms="DDP",X1675*(S1675*(1+AW1675)+T1675),0),2)</f>
        <v/>
      </c>
      <c r="Z1675" s="188" t="n"/>
      <c r="AA1675" s="192">
        <f>IFERROR(AB1675/E1675,0)</f>
        <v/>
      </c>
      <c r="AB1675" s="76">
        <f>ROUND(SUM(S1675,V1675,Y1675:Z1675,BA1675:BB1675),2)</f>
        <v/>
      </c>
      <c r="AC1675" s="797" t="n"/>
      <c r="AD1675" s="192">
        <f t="array" ref="AD1675">IFERROR(ROUND((_xlfn.IFS(offer_sale_type="поставка",AB1675,offer_sale_type="транзит",S1675)*(1+AC1675))/E1675,2),0)</f>
        <v/>
      </c>
      <c r="AE1675" s="76">
        <f>AD1675*E1675</f>
        <v/>
      </c>
      <c r="AF1675" s="193">
        <f t="array" ref="AF1675">IFERROR(ROUND(_xlfn.IFS(offer_sale_type="поставка",AB1675,offer_sale_type="транзит",S1675)*AC1675,2),0)</f>
        <v/>
      </c>
      <c r="AG1675" s="192">
        <f>$BD1675*VLOOKUP($AG$3,$AF$4:$AG$7,2,FALSE)</f>
        <v/>
      </c>
      <c r="AH1675" s="76">
        <f>SUM(AE1675,AG1675,AI1675)*rate_forex_risk</f>
        <v/>
      </c>
      <c r="AI1675" s="193">
        <f>IF(OR(seller_region="TR",offer_sale_type="экспорт"),0,rate_fin_comm)*SUM(AZ1675,AZ1675*AW1675,T1675)</f>
        <v/>
      </c>
      <c r="AJ1675" s="118">
        <f>IFERROR(ROUND(SUM(AB1675,AF1675:AI1675)/E1675,2),0)</f>
        <v/>
      </c>
      <c r="AK1675" s="76">
        <f>AJ1675*E1675</f>
        <v/>
      </c>
      <c r="AL1675" s="174">
        <f>ROUND(IFERROR(AM1675*E1675,0),2)</f>
        <v/>
      </c>
      <c r="AM1675" s="175">
        <f>ROUND(AJ1675*(1+IF(offer_incoterms="DDP",IF((TODAY()+offer_turnaround_time)&gt;=helpsheet!$L$17,rate_vatRU_from_26,rate_vatRu_till_25),0)),2)</f>
        <v/>
      </c>
      <c r="AN1675" s="192">
        <f>AL1675-AK1675</f>
        <v/>
      </c>
      <c r="AO1675" s="76">
        <f>SUM(AY1675,Y1675:Z1675,T1675)*IF(AND(offer_incoterms="DDP",offer_sale_type&lt;&gt;"экспорт"),IF((TODAY()+offer_turnaround_time)&gt;=helpsheet!$L$17,rate_vatRU_from_26,rate_vatRu_till_25),0)</f>
        <v/>
      </c>
      <c r="AP1675" s="193">
        <f>AN1675-AO1675</f>
        <v/>
      </c>
      <c r="AQ1675" s="118">
        <f>IF(offer_sale_type="транзит",SUM(AF1675:AI1675,BA1675,BB1675),0)</f>
        <v/>
      </c>
      <c r="AR1675" s="82">
        <f>HYPERLINK("https://www.alta.ru/tnved/code/")&amp;W1675&amp;"/"</f>
        <v/>
      </c>
      <c r="AS1675" s="157" t="n"/>
      <c r="AT1675" s="162" t="n"/>
      <c r="AU1675" s="76">
        <f>IF(ISBLANK(AT1675),0,AJ1675-AT1675)</f>
        <v/>
      </c>
      <c r="AV1675" s="157" t="n"/>
      <c r="AW1675" s="75">
        <f>_xlfn.IFNA(VLOOKUP(L1675,list_vat[],3,FALSE),0)</f>
        <v/>
      </c>
      <c r="AX1675" s="76">
        <f>IFERROR(ROUND(S1675*(1+AW1675)/E1675,2),0)</f>
        <v/>
      </c>
      <c r="AY1675" s="76">
        <f>E1675*AX1675</f>
        <v/>
      </c>
      <c r="AZ1675" s="192">
        <f>S1675*(1+M1675)</f>
        <v/>
      </c>
      <c r="BA1675" s="76">
        <f>cost_fin_total*$BD1675</f>
        <v/>
      </c>
      <c r="BB1675" s="193">
        <f>credit_sales_interest*BD1675</f>
        <v/>
      </c>
      <c r="BC1675" s="102">
        <f>IFERROR(IF($I$13&gt;0,$I1675/$I$13,$S1675/$S$13),0)</f>
        <v/>
      </c>
      <c r="BD1675" s="102">
        <f>IFERROR($S1675/$S$13,0)</f>
        <v/>
      </c>
      <c r="BE1675" s="413" t="inlineStr">
        <is>
          <t>$</t>
        </is>
      </c>
    </row>
    <row r="1676" ht="12" customFormat="1" customHeight="1" s="65">
      <c r="A1676" s="43" t="n">
        <v>1661</v>
      </c>
      <c r="B1676" s="166" t="n"/>
      <c r="C1676" s="166" t="n"/>
      <c r="D1676" s="166" t="n"/>
      <c r="E1676" s="162" t="n"/>
      <c r="F1676" s="166" t="n"/>
      <c r="G1676" s="162" t="n"/>
      <c r="H1676" s="162" t="n"/>
      <c r="I1676" s="189">
        <f>E1676*G1676</f>
        <v/>
      </c>
      <c r="J1676" s="195" t="n"/>
      <c r="K1676" s="162" t="n"/>
      <c r="L1676" s="168" t="n"/>
      <c r="M1676" s="75">
        <f>_xlfn.XLOOKUP(L1676,list_vat[Страна],list_vat[Ставка НДС %],0,0)</f>
        <v/>
      </c>
      <c r="N1676" s="162">
        <f>IFERROR(IF(L1676="Китай",K1676,K1676/(1+M1676)),0)</f>
        <v/>
      </c>
      <c r="O1676" s="169" t="n"/>
      <c r="P1676" s="76">
        <f>N1676*(1-O1676)</f>
        <v/>
      </c>
      <c r="Q1676" s="162" t="n"/>
      <c r="R1676" s="162">
        <f>IF(ISBLANK(Q1676),"введи курс",P1676/Q1676)</f>
        <v/>
      </c>
      <c r="S1676" s="196">
        <f>IF(AND(ISNUMBER(E1676),ISNUMBER(Q1676)),E1676*R1676,0)</f>
        <v/>
      </c>
      <c r="T1676" s="192">
        <f>$BC1676*V$11</f>
        <v/>
      </c>
      <c r="U1676" s="76">
        <f>$BC1676*W$11</f>
        <v/>
      </c>
      <c r="V1676" s="193">
        <f>+SUM(T1676:U1676)</f>
        <v/>
      </c>
      <c r="W1676" s="191" t="n"/>
      <c r="X1676" s="170" t="n"/>
      <c r="Y1676" s="76">
        <f>ROUND(IF(offer_incoterms="DDP",X1676*(S1676*(1+AW1676)+T1676),0),2)</f>
        <v/>
      </c>
      <c r="Z1676" s="188" t="n"/>
      <c r="AA1676" s="192">
        <f>IFERROR(AB1676/E1676,0)</f>
        <v/>
      </c>
      <c r="AB1676" s="76">
        <f>ROUND(SUM(S1676,V1676,Y1676:Z1676,BA1676:BB1676),2)</f>
        <v/>
      </c>
      <c r="AC1676" s="797" t="n"/>
      <c r="AD1676" s="192">
        <f t="array" ref="AD1676">IFERROR(ROUND((_xlfn.IFS(offer_sale_type="поставка",AB1676,offer_sale_type="транзит",S1676)*(1+AC1676))/E1676,2),0)</f>
        <v/>
      </c>
      <c r="AE1676" s="76">
        <f>AD1676*E1676</f>
        <v/>
      </c>
      <c r="AF1676" s="193">
        <f t="array" ref="AF1676">IFERROR(ROUND(_xlfn.IFS(offer_sale_type="поставка",AB1676,offer_sale_type="транзит",S1676)*AC1676,2),0)</f>
        <v/>
      </c>
      <c r="AG1676" s="192">
        <f>$BD1676*VLOOKUP($AG$3,$AF$4:$AG$7,2,FALSE)</f>
        <v/>
      </c>
      <c r="AH1676" s="76">
        <f>SUM(AE1676,AG1676,AI1676)*rate_forex_risk</f>
        <v/>
      </c>
      <c r="AI1676" s="193">
        <f>IF(OR(seller_region="TR",offer_sale_type="экспорт"),0,rate_fin_comm)*SUM(AZ1676,AZ1676*AW1676,T1676)</f>
        <v/>
      </c>
      <c r="AJ1676" s="118">
        <f>IFERROR(ROUND(SUM(AB1676,AF1676:AI1676)/E1676,2),0)</f>
        <v/>
      </c>
      <c r="AK1676" s="76">
        <f>AJ1676*E1676</f>
        <v/>
      </c>
      <c r="AL1676" s="174">
        <f>ROUND(IFERROR(AM1676*E1676,0),2)</f>
        <v/>
      </c>
      <c r="AM1676" s="175">
        <f>ROUND(AJ1676*(1+IF(offer_incoterms="DDP",IF((TODAY()+offer_turnaround_time)&gt;=helpsheet!$L$17,rate_vatRU_from_26,rate_vatRu_till_25),0)),2)</f>
        <v/>
      </c>
      <c r="AN1676" s="192">
        <f>AL1676-AK1676</f>
        <v/>
      </c>
      <c r="AO1676" s="76">
        <f>SUM(AY1676,Y1676:Z1676,T1676)*IF(AND(offer_incoterms="DDP",offer_sale_type&lt;&gt;"экспорт"),IF((TODAY()+offer_turnaround_time)&gt;=helpsheet!$L$17,rate_vatRU_from_26,rate_vatRu_till_25),0)</f>
        <v/>
      </c>
      <c r="AP1676" s="193">
        <f>AN1676-AO1676</f>
        <v/>
      </c>
      <c r="AQ1676" s="118">
        <f>IF(offer_sale_type="транзит",SUM(AF1676:AI1676,BA1676,BB1676),0)</f>
        <v/>
      </c>
      <c r="AR1676" s="82">
        <f>HYPERLINK("https://www.alta.ru/tnved/code/")&amp;W1676&amp;"/"</f>
        <v/>
      </c>
      <c r="AS1676" s="157" t="n"/>
      <c r="AT1676" s="162" t="n"/>
      <c r="AU1676" s="76">
        <f>IF(ISBLANK(AT1676),0,AJ1676-AT1676)</f>
        <v/>
      </c>
      <c r="AV1676" s="157" t="n"/>
      <c r="AW1676" s="75">
        <f>_xlfn.IFNA(VLOOKUP(L1676,list_vat[],3,FALSE),0)</f>
        <v/>
      </c>
      <c r="AX1676" s="76">
        <f>IFERROR(ROUND(S1676*(1+AW1676)/E1676,2),0)</f>
        <v/>
      </c>
      <c r="AY1676" s="76">
        <f>E1676*AX1676</f>
        <v/>
      </c>
      <c r="AZ1676" s="192">
        <f>S1676*(1+M1676)</f>
        <v/>
      </c>
      <c r="BA1676" s="76">
        <f>cost_fin_total*$BD1676</f>
        <v/>
      </c>
      <c r="BB1676" s="193">
        <f>credit_sales_interest*BD1676</f>
        <v/>
      </c>
      <c r="BC1676" s="102">
        <f>IFERROR(IF($I$13&gt;0,$I1676/$I$13,$S1676/$S$13),0)</f>
        <v/>
      </c>
      <c r="BD1676" s="102">
        <f>IFERROR($S1676/$S$13,0)</f>
        <v/>
      </c>
      <c r="BE1676" s="413" t="inlineStr">
        <is>
          <t>$</t>
        </is>
      </c>
    </row>
    <row r="1677" ht="12" customFormat="1" customHeight="1" s="65">
      <c r="A1677" s="43" t="n">
        <v>1662</v>
      </c>
      <c r="B1677" s="166" t="n"/>
      <c r="C1677" s="166" t="n"/>
      <c r="D1677" s="166" t="n"/>
      <c r="E1677" s="162" t="n"/>
      <c r="F1677" s="166" t="n"/>
      <c r="G1677" s="162" t="n"/>
      <c r="H1677" s="162" t="n"/>
      <c r="I1677" s="189">
        <f>E1677*G1677</f>
        <v/>
      </c>
      <c r="J1677" s="195" t="n"/>
      <c r="K1677" s="162" t="n"/>
      <c r="L1677" s="168" t="n"/>
      <c r="M1677" s="75">
        <f>_xlfn.XLOOKUP(L1677,list_vat[Страна],list_vat[Ставка НДС %],0,0)</f>
        <v/>
      </c>
      <c r="N1677" s="162">
        <f>IFERROR(IF(L1677="Китай",K1677,K1677/(1+M1677)),0)</f>
        <v/>
      </c>
      <c r="O1677" s="169" t="n"/>
      <c r="P1677" s="76">
        <f>N1677*(1-O1677)</f>
        <v/>
      </c>
      <c r="Q1677" s="162" t="n"/>
      <c r="R1677" s="162">
        <f>IF(ISBLANK(Q1677),"введи курс",P1677/Q1677)</f>
        <v/>
      </c>
      <c r="S1677" s="196">
        <f>IF(AND(ISNUMBER(E1677),ISNUMBER(Q1677)),E1677*R1677,0)</f>
        <v/>
      </c>
      <c r="T1677" s="192">
        <f>$BC1677*V$11</f>
        <v/>
      </c>
      <c r="U1677" s="76">
        <f>$BC1677*W$11</f>
        <v/>
      </c>
      <c r="V1677" s="193">
        <f>+SUM(T1677:U1677)</f>
        <v/>
      </c>
      <c r="W1677" s="191" t="n"/>
      <c r="X1677" s="170" t="n"/>
      <c r="Y1677" s="76">
        <f>ROUND(IF(offer_incoterms="DDP",X1677*(S1677*(1+AW1677)+T1677),0),2)</f>
        <v/>
      </c>
      <c r="Z1677" s="188" t="n"/>
      <c r="AA1677" s="192">
        <f>IFERROR(AB1677/E1677,0)</f>
        <v/>
      </c>
      <c r="AB1677" s="76">
        <f>ROUND(SUM(S1677,V1677,Y1677:Z1677,BA1677:BB1677),2)</f>
        <v/>
      </c>
      <c r="AC1677" s="797" t="n"/>
      <c r="AD1677" s="192">
        <f t="array" ref="AD1677">IFERROR(ROUND((_xlfn.IFS(offer_sale_type="поставка",AB1677,offer_sale_type="транзит",S1677)*(1+AC1677))/E1677,2),0)</f>
        <v/>
      </c>
      <c r="AE1677" s="76">
        <f>AD1677*E1677</f>
        <v/>
      </c>
      <c r="AF1677" s="193">
        <f t="array" ref="AF1677">IFERROR(ROUND(_xlfn.IFS(offer_sale_type="поставка",AB1677,offer_sale_type="транзит",S1677)*AC1677,2),0)</f>
        <v/>
      </c>
      <c r="AG1677" s="192">
        <f>$BD1677*VLOOKUP($AG$3,$AF$4:$AG$7,2,FALSE)</f>
        <v/>
      </c>
      <c r="AH1677" s="76">
        <f>SUM(AE1677,AG1677,AI1677)*rate_forex_risk</f>
        <v/>
      </c>
      <c r="AI1677" s="193">
        <f>IF(OR(seller_region="TR",offer_sale_type="экспорт"),0,rate_fin_comm)*SUM(AZ1677,AZ1677*AW1677,T1677)</f>
        <v/>
      </c>
      <c r="AJ1677" s="118">
        <f>IFERROR(ROUND(SUM(AB1677,AF1677:AI1677)/E1677,2),0)</f>
        <v/>
      </c>
      <c r="AK1677" s="76">
        <f>AJ1677*E1677</f>
        <v/>
      </c>
      <c r="AL1677" s="174">
        <f>ROUND(IFERROR(AM1677*E1677,0),2)</f>
        <v/>
      </c>
      <c r="AM1677" s="175">
        <f>ROUND(AJ1677*(1+IF(offer_incoterms="DDP",IF((TODAY()+offer_turnaround_time)&gt;=helpsheet!$L$17,rate_vatRU_from_26,rate_vatRu_till_25),0)),2)</f>
        <v/>
      </c>
      <c r="AN1677" s="192">
        <f>AL1677-AK1677</f>
        <v/>
      </c>
      <c r="AO1677" s="76">
        <f>SUM(AY1677,Y1677:Z1677,T1677)*IF(AND(offer_incoterms="DDP",offer_sale_type&lt;&gt;"экспорт"),IF((TODAY()+offer_turnaround_time)&gt;=helpsheet!$L$17,rate_vatRU_from_26,rate_vatRu_till_25),0)</f>
        <v/>
      </c>
      <c r="AP1677" s="193">
        <f>AN1677-AO1677</f>
        <v/>
      </c>
      <c r="AQ1677" s="118">
        <f>IF(offer_sale_type="транзит",SUM(AF1677:AI1677,BA1677,BB1677),0)</f>
        <v/>
      </c>
      <c r="AR1677" s="82">
        <f>HYPERLINK("https://www.alta.ru/tnved/code/")&amp;W1677&amp;"/"</f>
        <v/>
      </c>
      <c r="AS1677" s="157" t="n"/>
      <c r="AT1677" s="162" t="n"/>
      <c r="AU1677" s="76">
        <f>IF(ISBLANK(AT1677),0,AJ1677-AT1677)</f>
        <v/>
      </c>
      <c r="AV1677" s="157" t="n"/>
      <c r="AW1677" s="75">
        <f>_xlfn.IFNA(VLOOKUP(L1677,list_vat[],3,FALSE),0)</f>
        <v/>
      </c>
      <c r="AX1677" s="76">
        <f>IFERROR(ROUND(S1677*(1+AW1677)/E1677,2),0)</f>
        <v/>
      </c>
      <c r="AY1677" s="76">
        <f>E1677*AX1677</f>
        <v/>
      </c>
      <c r="AZ1677" s="192">
        <f>S1677*(1+M1677)</f>
        <v/>
      </c>
      <c r="BA1677" s="76">
        <f>cost_fin_total*$BD1677</f>
        <v/>
      </c>
      <c r="BB1677" s="193">
        <f>credit_sales_interest*BD1677</f>
        <v/>
      </c>
      <c r="BC1677" s="102">
        <f>IFERROR(IF($I$13&gt;0,$I1677/$I$13,$S1677/$S$13),0)</f>
        <v/>
      </c>
      <c r="BD1677" s="102">
        <f>IFERROR($S1677/$S$13,0)</f>
        <v/>
      </c>
      <c r="BE1677" s="413" t="inlineStr">
        <is>
          <t>$</t>
        </is>
      </c>
    </row>
    <row r="1678" ht="12" customFormat="1" customHeight="1" s="65">
      <c r="A1678" s="43" t="n">
        <v>1663</v>
      </c>
      <c r="B1678" s="166" t="n"/>
      <c r="C1678" s="166" t="n"/>
      <c r="D1678" s="166" t="n"/>
      <c r="E1678" s="162" t="n"/>
      <c r="F1678" s="166" t="n"/>
      <c r="G1678" s="162" t="n"/>
      <c r="H1678" s="162" t="n"/>
      <c r="I1678" s="189">
        <f>E1678*G1678</f>
        <v/>
      </c>
      <c r="J1678" s="195" t="n"/>
      <c r="K1678" s="162" t="n"/>
      <c r="L1678" s="168" t="n"/>
      <c r="M1678" s="75">
        <f>_xlfn.XLOOKUP(L1678,list_vat[Страна],list_vat[Ставка НДС %],0,0)</f>
        <v/>
      </c>
      <c r="N1678" s="162">
        <f>IFERROR(IF(L1678="Китай",K1678,K1678/(1+M1678)),0)</f>
        <v/>
      </c>
      <c r="O1678" s="169" t="n"/>
      <c r="P1678" s="76">
        <f>N1678*(1-O1678)</f>
        <v/>
      </c>
      <c r="Q1678" s="162" t="n"/>
      <c r="R1678" s="162">
        <f>IF(ISBLANK(Q1678),"введи курс",P1678/Q1678)</f>
        <v/>
      </c>
      <c r="S1678" s="196">
        <f>IF(AND(ISNUMBER(E1678),ISNUMBER(Q1678)),E1678*R1678,0)</f>
        <v/>
      </c>
      <c r="T1678" s="192">
        <f>$BC1678*V$11</f>
        <v/>
      </c>
      <c r="U1678" s="76">
        <f>$BC1678*W$11</f>
        <v/>
      </c>
      <c r="V1678" s="193">
        <f>+SUM(T1678:U1678)</f>
        <v/>
      </c>
      <c r="W1678" s="191" t="n"/>
      <c r="X1678" s="170" t="n"/>
      <c r="Y1678" s="76">
        <f>ROUND(IF(offer_incoterms="DDP",X1678*(S1678*(1+AW1678)+T1678),0),2)</f>
        <v/>
      </c>
      <c r="Z1678" s="188" t="n"/>
      <c r="AA1678" s="192">
        <f>IFERROR(AB1678/E1678,0)</f>
        <v/>
      </c>
      <c r="AB1678" s="76">
        <f>ROUND(SUM(S1678,V1678,Y1678:Z1678,BA1678:BB1678),2)</f>
        <v/>
      </c>
      <c r="AC1678" s="797" t="n"/>
      <c r="AD1678" s="192">
        <f t="array" ref="AD1678">IFERROR(ROUND((_xlfn.IFS(offer_sale_type="поставка",AB1678,offer_sale_type="транзит",S1678)*(1+AC1678))/E1678,2),0)</f>
        <v/>
      </c>
      <c r="AE1678" s="76">
        <f>AD1678*E1678</f>
        <v/>
      </c>
      <c r="AF1678" s="193">
        <f t="array" ref="AF1678">IFERROR(ROUND(_xlfn.IFS(offer_sale_type="поставка",AB1678,offer_sale_type="транзит",S1678)*AC1678,2),0)</f>
        <v/>
      </c>
      <c r="AG1678" s="192">
        <f>$BD1678*VLOOKUP($AG$3,$AF$4:$AG$7,2,FALSE)</f>
        <v/>
      </c>
      <c r="AH1678" s="76">
        <f>SUM(AE1678,AG1678,AI1678)*rate_forex_risk</f>
        <v/>
      </c>
      <c r="AI1678" s="193">
        <f>IF(OR(seller_region="TR",offer_sale_type="экспорт"),0,rate_fin_comm)*SUM(AZ1678,AZ1678*AW1678,T1678)</f>
        <v/>
      </c>
      <c r="AJ1678" s="118">
        <f>IFERROR(ROUND(SUM(AB1678,AF1678:AI1678)/E1678,2),0)</f>
        <v/>
      </c>
      <c r="AK1678" s="76">
        <f>AJ1678*E1678</f>
        <v/>
      </c>
      <c r="AL1678" s="174">
        <f>ROUND(IFERROR(AM1678*E1678,0),2)</f>
        <v/>
      </c>
      <c r="AM1678" s="175">
        <f>ROUND(AJ1678*(1+IF(offer_incoterms="DDP",IF((TODAY()+offer_turnaround_time)&gt;=helpsheet!$L$17,rate_vatRU_from_26,rate_vatRu_till_25),0)),2)</f>
        <v/>
      </c>
      <c r="AN1678" s="192">
        <f>AL1678-AK1678</f>
        <v/>
      </c>
      <c r="AO1678" s="76">
        <f>SUM(AY1678,Y1678:Z1678,T1678)*IF(AND(offer_incoterms="DDP",offer_sale_type&lt;&gt;"экспорт"),IF((TODAY()+offer_turnaround_time)&gt;=helpsheet!$L$17,rate_vatRU_from_26,rate_vatRu_till_25),0)</f>
        <v/>
      </c>
      <c r="AP1678" s="193">
        <f>AN1678-AO1678</f>
        <v/>
      </c>
      <c r="AQ1678" s="118">
        <f>IF(offer_sale_type="транзит",SUM(AF1678:AI1678,BA1678,BB1678),0)</f>
        <v/>
      </c>
      <c r="AR1678" s="82">
        <f>HYPERLINK("https://www.alta.ru/tnved/code/")&amp;W1678&amp;"/"</f>
        <v/>
      </c>
      <c r="AS1678" s="157" t="n"/>
      <c r="AT1678" s="162" t="n"/>
      <c r="AU1678" s="76">
        <f>IF(ISBLANK(AT1678),0,AJ1678-AT1678)</f>
        <v/>
      </c>
      <c r="AV1678" s="157" t="n"/>
      <c r="AW1678" s="75">
        <f>_xlfn.IFNA(VLOOKUP(L1678,list_vat[],3,FALSE),0)</f>
        <v/>
      </c>
      <c r="AX1678" s="76">
        <f>IFERROR(ROUND(S1678*(1+AW1678)/E1678,2),0)</f>
        <v/>
      </c>
      <c r="AY1678" s="76">
        <f>E1678*AX1678</f>
        <v/>
      </c>
      <c r="AZ1678" s="192">
        <f>S1678*(1+M1678)</f>
        <v/>
      </c>
      <c r="BA1678" s="76">
        <f>cost_fin_total*$BD1678</f>
        <v/>
      </c>
      <c r="BB1678" s="193">
        <f>credit_sales_interest*BD1678</f>
        <v/>
      </c>
      <c r="BC1678" s="102">
        <f>IFERROR(IF($I$13&gt;0,$I1678/$I$13,$S1678/$S$13),0)</f>
        <v/>
      </c>
      <c r="BD1678" s="102">
        <f>IFERROR($S1678/$S$13,0)</f>
        <v/>
      </c>
      <c r="BE1678" s="413" t="inlineStr">
        <is>
          <t>$</t>
        </is>
      </c>
    </row>
    <row r="1679" ht="12" customFormat="1" customHeight="1" s="65">
      <c r="A1679" s="43" t="n">
        <v>1664</v>
      </c>
      <c r="B1679" s="166" t="n"/>
      <c r="C1679" s="166" t="n"/>
      <c r="D1679" s="166" t="n"/>
      <c r="E1679" s="162" t="n"/>
      <c r="F1679" s="166" t="n"/>
      <c r="G1679" s="162" t="n"/>
      <c r="H1679" s="162" t="n"/>
      <c r="I1679" s="189">
        <f>E1679*G1679</f>
        <v/>
      </c>
      <c r="J1679" s="195" t="n"/>
      <c r="K1679" s="162" t="n"/>
      <c r="L1679" s="168" t="n"/>
      <c r="M1679" s="75">
        <f>_xlfn.XLOOKUP(L1679,list_vat[Страна],list_vat[Ставка НДС %],0,0)</f>
        <v/>
      </c>
      <c r="N1679" s="162">
        <f>IFERROR(IF(L1679="Китай",K1679,K1679/(1+M1679)),0)</f>
        <v/>
      </c>
      <c r="O1679" s="169" t="n"/>
      <c r="P1679" s="76">
        <f>N1679*(1-O1679)</f>
        <v/>
      </c>
      <c r="Q1679" s="162" t="n"/>
      <c r="R1679" s="162">
        <f>IF(ISBLANK(Q1679),"введи курс",P1679/Q1679)</f>
        <v/>
      </c>
      <c r="S1679" s="196">
        <f>IF(AND(ISNUMBER(E1679),ISNUMBER(Q1679)),E1679*R1679,0)</f>
        <v/>
      </c>
      <c r="T1679" s="192">
        <f>$BC1679*V$11</f>
        <v/>
      </c>
      <c r="U1679" s="76">
        <f>$BC1679*W$11</f>
        <v/>
      </c>
      <c r="V1679" s="193">
        <f>+SUM(T1679:U1679)</f>
        <v/>
      </c>
      <c r="W1679" s="191" t="n"/>
      <c r="X1679" s="170" t="n"/>
      <c r="Y1679" s="76">
        <f>ROUND(IF(offer_incoterms="DDP",X1679*(S1679*(1+AW1679)+T1679),0),2)</f>
        <v/>
      </c>
      <c r="Z1679" s="188" t="n"/>
      <c r="AA1679" s="192">
        <f>IFERROR(AB1679/E1679,0)</f>
        <v/>
      </c>
      <c r="AB1679" s="76">
        <f>ROUND(SUM(S1679,V1679,Y1679:Z1679,BA1679:BB1679),2)</f>
        <v/>
      </c>
      <c r="AC1679" s="797" t="n"/>
      <c r="AD1679" s="192">
        <f t="array" ref="AD1679">IFERROR(ROUND((_xlfn.IFS(offer_sale_type="поставка",AB1679,offer_sale_type="транзит",S1679)*(1+AC1679))/E1679,2),0)</f>
        <v/>
      </c>
      <c r="AE1679" s="76">
        <f>AD1679*E1679</f>
        <v/>
      </c>
      <c r="AF1679" s="193">
        <f t="array" ref="AF1679">IFERROR(ROUND(_xlfn.IFS(offer_sale_type="поставка",AB1679,offer_sale_type="транзит",S1679)*AC1679,2),0)</f>
        <v/>
      </c>
      <c r="AG1679" s="192">
        <f>$BD1679*VLOOKUP($AG$3,$AF$4:$AG$7,2,FALSE)</f>
        <v/>
      </c>
      <c r="AH1679" s="76">
        <f>SUM(AE1679,AG1679,AI1679)*rate_forex_risk</f>
        <v/>
      </c>
      <c r="AI1679" s="193">
        <f>IF(OR(seller_region="TR",offer_sale_type="экспорт"),0,rate_fin_comm)*SUM(AZ1679,AZ1679*AW1679,T1679)</f>
        <v/>
      </c>
      <c r="AJ1679" s="118">
        <f>IFERROR(ROUND(SUM(AB1679,AF1679:AI1679)/E1679,2),0)</f>
        <v/>
      </c>
      <c r="AK1679" s="76">
        <f>AJ1679*E1679</f>
        <v/>
      </c>
      <c r="AL1679" s="174">
        <f>ROUND(IFERROR(AM1679*E1679,0),2)</f>
        <v/>
      </c>
      <c r="AM1679" s="175">
        <f>ROUND(AJ1679*(1+IF(offer_incoterms="DDP",IF((TODAY()+offer_turnaround_time)&gt;=helpsheet!$L$17,rate_vatRU_from_26,rate_vatRu_till_25),0)),2)</f>
        <v/>
      </c>
      <c r="AN1679" s="192">
        <f>AL1679-AK1679</f>
        <v/>
      </c>
      <c r="AO1679" s="76">
        <f>SUM(AY1679,Y1679:Z1679,T1679)*IF(AND(offer_incoterms="DDP",offer_sale_type&lt;&gt;"экспорт"),IF((TODAY()+offer_turnaround_time)&gt;=helpsheet!$L$17,rate_vatRU_from_26,rate_vatRu_till_25),0)</f>
        <v/>
      </c>
      <c r="AP1679" s="193">
        <f>AN1679-AO1679</f>
        <v/>
      </c>
      <c r="AQ1679" s="118">
        <f>IF(offer_sale_type="транзит",SUM(AF1679:AI1679,BA1679,BB1679),0)</f>
        <v/>
      </c>
      <c r="AR1679" s="82">
        <f>HYPERLINK("https://www.alta.ru/tnved/code/")&amp;W1679&amp;"/"</f>
        <v/>
      </c>
      <c r="AS1679" s="157" t="n"/>
      <c r="AT1679" s="162" t="n"/>
      <c r="AU1679" s="76">
        <f>IF(ISBLANK(AT1679),0,AJ1679-AT1679)</f>
        <v/>
      </c>
      <c r="AV1679" s="157" t="n"/>
      <c r="AW1679" s="75">
        <f>_xlfn.IFNA(VLOOKUP(L1679,list_vat[],3,FALSE),0)</f>
        <v/>
      </c>
      <c r="AX1679" s="76">
        <f>IFERROR(ROUND(S1679*(1+AW1679)/E1679,2),0)</f>
        <v/>
      </c>
      <c r="AY1679" s="76">
        <f>E1679*AX1679</f>
        <v/>
      </c>
      <c r="AZ1679" s="192">
        <f>S1679*(1+M1679)</f>
        <v/>
      </c>
      <c r="BA1679" s="76">
        <f>cost_fin_total*$BD1679</f>
        <v/>
      </c>
      <c r="BB1679" s="193">
        <f>credit_sales_interest*BD1679</f>
        <v/>
      </c>
      <c r="BC1679" s="102">
        <f>IFERROR(IF($I$13&gt;0,$I1679/$I$13,$S1679/$S$13),0)</f>
        <v/>
      </c>
      <c r="BD1679" s="102">
        <f>IFERROR($S1679/$S$13,0)</f>
        <v/>
      </c>
      <c r="BE1679" s="413" t="inlineStr">
        <is>
          <t>$</t>
        </is>
      </c>
    </row>
    <row r="1680" ht="12" customFormat="1" customHeight="1" s="65">
      <c r="A1680" s="43" t="n">
        <v>1665</v>
      </c>
      <c r="B1680" s="166" t="n"/>
      <c r="C1680" s="166" t="n"/>
      <c r="D1680" s="166" t="n"/>
      <c r="E1680" s="162" t="n"/>
      <c r="F1680" s="166" t="n"/>
      <c r="G1680" s="162" t="n"/>
      <c r="H1680" s="162" t="n"/>
      <c r="I1680" s="189">
        <f>E1680*G1680</f>
        <v/>
      </c>
      <c r="J1680" s="195" t="n"/>
      <c r="K1680" s="162" t="n"/>
      <c r="L1680" s="168" t="n"/>
      <c r="M1680" s="75">
        <f>_xlfn.XLOOKUP(L1680,list_vat[Страна],list_vat[Ставка НДС %],0,0)</f>
        <v/>
      </c>
      <c r="N1680" s="162">
        <f>IFERROR(IF(L1680="Китай",K1680,K1680/(1+M1680)),0)</f>
        <v/>
      </c>
      <c r="O1680" s="169" t="n"/>
      <c r="P1680" s="76">
        <f>N1680*(1-O1680)</f>
        <v/>
      </c>
      <c r="Q1680" s="162" t="n"/>
      <c r="R1680" s="162">
        <f>IF(ISBLANK(Q1680),"введи курс",P1680/Q1680)</f>
        <v/>
      </c>
      <c r="S1680" s="196">
        <f>IF(AND(ISNUMBER(E1680),ISNUMBER(Q1680)),E1680*R1680,0)</f>
        <v/>
      </c>
      <c r="T1680" s="192">
        <f>$BC1680*V$11</f>
        <v/>
      </c>
      <c r="U1680" s="76">
        <f>$BC1680*W$11</f>
        <v/>
      </c>
      <c r="V1680" s="193">
        <f>+SUM(T1680:U1680)</f>
        <v/>
      </c>
      <c r="W1680" s="191" t="n"/>
      <c r="X1680" s="170" t="n"/>
      <c r="Y1680" s="76">
        <f>ROUND(IF(offer_incoterms="DDP",X1680*(S1680*(1+AW1680)+T1680),0),2)</f>
        <v/>
      </c>
      <c r="Z1680" s="188" t="n"/>
      <c r="AA1680" s="192">
        <f>IFERROR(AB1680/E1680,0)</f>
        <v/>
      </c>
      <c r="AB1680" s="76">
        <f>ROUND(SUM(S1680,V1680,Y1680:Z1680,BA1680:BB1680),2)</f>
        <v/>
      </c>
      <c r="AC1680" s="797" t="n"/>
      <c r="AD1680" s="192">
        <f t="array" ref="AD1680">IFERROR(ROUND((_xlfn.IFS(offer_sale_type="поставка",AB1680,offer_sale_type="транзит",S1680)*(1+AC1680))/E1680,2),0)</f>
        <v/>
      </c>
      <c r="AE1680" s="76">
        <f>AD1680*E1680</f>
        <v/>
      </c>
      <c r="AF1680" s="193">
        <f t="array" ref="AF1680">IFERROR(ROUND(_xlfn.IFS(offer_sale_type="поставка",AB1680,offer_sale_type="транзит",S1680)*AC1680,2),0)</f>
        <v/>
      </c>
      <c r="AG1680" s="192">
        <f>$BD1680*VLOOKUP($AG$3,$AF$4:$AG$7,2,FALSE)</f>
        <v/>
      </c>
      <c r="AH1680" s="76">
        <f>SUM(AE1680,AG1680,AI1680)*rate_forex_risk</f>
        <v/>
      </c>
      <c r="AI1680" s="193">
        <f>IF(OR(seller_region="TR",offer_sale_type="экспорт"),0,rate_fin_comm)*SUM(AZ1680,AZ1680*AW1680,T1680)</f>
        <v/>
      </c>
      <c r="AJ1680" s="118">
        <f>IFERROR(ROUND(SUM(AB1680,AF1680:AI1680)/E1680,2),0)</f>
        <v/>
      </c>
      <c r="AK1680" s="76">
        <f>AJ1680*E1680</f>
        <v/>
      </c>
      <c r="AL1680" s="174">
        <f>ROUND(IFERROR(AM1680*E1680,0),2)</f>
        <v/>
      </c>
      <c r="AM1680" s="175">
        <f>ROUND(AJ1680*(1+IF(offer_incoterms="DDP",IF((TODAY()+offer_turnaround_time)&gt;=helpsheet!$L$17,rate_vatRU_from_26,rate_vatRu_till_25),0)),2)</f>
        <v/>
      </c>
      <c r="AN1680" s="192">
        <f>AL1680-AK1680</f>
        <v/>
      </c>
      <c r="AO1680" s="76">
        <f>SUM(AY1680,Y1680:Z1680,T1680)*IF(AND(offer_incoterms="DDP",offer_sale_type&lt;&gt;"экспорт"),IF((TODAY()+offer_turnaround_time)&gt;=helpsheet!$L$17,rate_vatRU_from_26,rate_vatRu_till_25),0)</f>
        <v/>
      </c>
      <c r="AP1680" s="193">
        <f>AN1680-AO1680</f>
        <v/>
      </c>
      <c r="AQ1680" s="118">
        <f>IF(offer_sale_type="транзит",SUM(AF1680:AI1680,BA1680,BB1680),0)</f>
        <v/>
      </c>
      <c r="AR1680" s="82">
        <f>HYPERLINK("https://www.alta.ru/tnved/code/")&amp;W1680&amp;"/"</f>
        <v/>
      </c>
      <c r="AS1680" s="157" t="n"/>
      <c r="AT1680" s="162" t="n"/>
      <c r="AU1680" s="76">
        <f>IF(ISBLANK(AT1680),0,AJ1680-AT1680)</f>
        <v/>
      </c>
      <c r="AV1680" s="157" t="n"/>
      <c r="AW1680" s="75">
        <f>_xlfn.IFNA(VLOOKUP(L1680,list_vat[],3,FALSE),0)</f>
        <v/>
      </c>
      <c r="AX1680" s="76">
        <f>IFERROR(ROUND(S1680*(1+AW1680)/E1680,2),0)</f>
        <v/>
      </c>
      <c r="AY1680" s="76">
        <f>E1680*AX1680</f>
        <v/>
      </c>
      <c r="AZ1680" s="192">
        <f>S1680*(1+M1680)</f>
        <v/>
      </c>
      <c r="BA1680" s="76">
        <f>cost_fin_total*$BD1680</f>
        <v/>
      </c>
      <c r="BB1680" s="193">
        <f>credit_sales_interest*BD1680</f>
        <v/>
      </c>
      <c r="BC1680" s="102">
        <f>IFERROR(IF($I$13&gt;0,$I1680/$I$13,$S1680/$S$13),0)</f>
        <v/>
      </c>
      <c r="BD1680" s="102">
        <f>IFERROR($S1680/$S$13,0)</f>
        <v/>
      </c>
      <c r="BE1680" s="413" t="inlineStr">
        <is>
          <t>$</t>
        </is>
      </c>
    </row>
    <row r="1681" ht="12" customFormat="1" customHeight="1" s="65">
      <c r="A1681" s="43" t="n">
        <v>1666</v>
      </c>
      <c r="B1681" s="166" t="n"/>
      <c r="C1681" s="166" t="n"/>
      <c r="D1681" s="166" t="n"/>
      <c r="E1681" s="162" t="n"/>
      <c r="F1681" s="166" t="n"/>
      <c r="G1681" s="162" t="n"/>
      <c r="H1681" s="162" t="n"/>
      <c r="I1681" s="189">
        <f>E1681*G1681</f>
        <v/>
      </c>
      <c r="J1681" s="195" t="n"/>
      <c r="K1681" s="162" t="n"/>
      <c r="L1681" s="168" t="n"/>
      <c r="M1681" s="75">
        <f>_xlfn.XLOOKUP(L1681,list_vat[Страна],list_vat[Ставка НДС %],0,0)</f>
        <v/>
      </c>
      <c r="N1681" s="162">
        <f>IFERROR(IF(L1681="Китай",K1681,K1681/(1+M1681)),0)</f>
        <v/>
      </c>
      <c r="O1681" s="169" t="n"/>
      <c r="P1681" s="76">
        <f>N1681*(1-O1681)</f>
        <v/>
      </c>
      <c r="Q1681" s="162" t="n"/>
      <c r="R1681" s="162">
        <f>IF(ISBLANK(Q1681),"введи курс",P1681/Q1681)</f>
        <v/>
      </c>
      <c r="S1681" s="196">
        <f>IF(AND(ISNUMBER(E1681),ISNUMBER(Q1681)),E1681*R1681,0)</f>
        <v/>
      </c>
      <c r="T1681" s="192">
        <f>$BC1681*V$11</f>
        <v/>
      </c>
      <c r="U1681" s="76">
        <f>$BC1681*W$11</f>
        <v/>
      </c>
      <c r="V1681" s="193">
        <f>+SUM(T1681:U1681)</f>
        <v/>
      </c>
      <c r="W1681" s="191" t="n"/>
      <c r="X1681" s="170" t="n"/>
      <c r="Y1681" s="76">
        <f>ROUND(IF(offer_incoterms="DDP",X1681*(S1681*(1+AW1681)+T1681),0),2)</f>
        <v/>
      </c>
      <c r="Z1681" s="188" t="n"/>
      <c r="AA1681" s="192">
        <f>IFERROR(AB1681/E1681,0)</f>
        <v/>
      </c>
      <c r="AB1681" s="76">
        <f>ROUND(SUM(S1681,V1681,Y1681:Z1681,BA1681:BB1681),2)</f>
        <v/>
      </c>
      <c r="AC1681" s="797" t="n"/>
      <c r="AD1681" s="192">
        <f t="array" ref="AD1681">IFERROR(ROUND((_xlfn.IFS(offer_sale_type="поставка",AB1681,offer_sale_type="транзит",S1681)*(1+AC1681))/E1681,2),0)</f>
        <v/>
      </c>
      <c r="AE1681" s="76">
        <f>AD1681*E1681</f>
        <v/>
      </c>
      <c r="AF1681" s="193">
        <f t="array" ref="AF1681">IFERROR(ROUND(_xlfn.IFS(offer_sale_type="поставка",AB1681,offer_sale_type="транзит",S1681)*AC1681,2),0)</f>
        <v/>
      </c>
      <c r="AG1681" s="192">
        <f>$BD1681*VLOOKUP($AG$3,$AF$4:$AG$7,2,FALSE)</f>
        <v/>
      </c>
      <c r="AH1681" s="76">
        <f>SUM(AE1681,AG1681,AI1681)*rate_forex_risk</f>
        <v/>
      </c>
      <c r="AI1681" s="193">
        <f>IF(OR(seller_region="TR",offer_sale_type="экспорт"),0,rate_fin_comm)*SUM(AZ1681,AZ1681*AW1681,T1681)</f>
        <v/>
      </c>
      <c r="AJ1681" s="118">
        <f>IFERROR(ROUND(SUM(AB1681,AF1681:AI1681)/E1681,2),0)</f>
        <v/>
      </c>
      <c r="AK1681" s="76">
        <f>AJ1681*E1681</f>
        <v/>
      </c>
      <c r="AL1681" s="174">
        <f>ROUND(IFERROR(AM1681*E1681,0),2)</f>
        <v/>
      </c>
      <c r="AM1681" s="175">
        <f>ROUND(AJ1681*(1+IF(offer_incoterms="DDP",IF((TODAY()+offer_turnaround_time)&gt;=helpsheet!$L$17,rate_vatRU_from_26,rate_vatRu_till_25),0)),2)</f>
        <v/>
      </c>
      <c r="AN1681" s="192">
        <f>AL1681-AK1681</f>
        <v/>
      </c>
      <c r="AO1681" s="76">
        <f>SUM(AY1681,Y1681:Z1681,T1681)*IF(AND(offer_incoterms="DDP",offer_sale_type&lt;&gt;"экспорт"),IF((TODAY()+offer_turnaround_time)&gt;=helpsheet!$L$17,rate_vatRU_from_26,rate_vatRu_till_25),0)</f>
        <v/>
      </c>
      <c r="AP1681" s="193">
        <f>AN1681-AO1681</f>
        <v/>
      </c>
      <c r="AQ1681" s="118">
        <f>IF(offer_sale_type="транзит",SUM(AF1681:AI1681,BA1681,BB1681),0)</f>
        <v/>
      </c>
      <c r="AR1681" s="82">
        <f>HYPERLINK("https://www.alta.ru/tnved/code/")&amp;W1681&amp;"/"</f>
        <v/>
      </c>
      <c r="AS1681" s="157" t="n"/>
      <c r="AT1681" s="162" t="n"/>
      <c r="AU1681" s="76">
        <f>IF(ISBLANK(AT1681),0,AJ1681-AT1681)</f>
        <v/>
      </c>
      <c r="AV1681" s="157" t="n"/>
      <c r="AW1681" s="75">
        <f>_xlfn.IFNA(VLOOKUP(L1681,list_vat[],3,FALSE),0)</f>
        <v/>
      </c>
      <c r="AX1681" s="76">
        <f>IFERROR(ROUND(S1681*(1+AW1681)/E1681,2),0)</f>
        <v/>
      </c>
      <c r="AY1681" s="76">
        <f>E1681*AX1681</f>
        <v/>
      </c>
      <c r="AZ1681" s="192">
        <f>S1681*(1+M1681)</f>
        <v/>
      </c>
      <c r="BA1681" s="76">
        <f>cost_fin_total*$BD1681</f>
        <v/>
      </c>
      <c r="BB1681" s="193">
        <f>credit_sales_interest*BD1681</f>
        <v/>
      </c>
      <c r="BC1681" s="102">
        <f>IFERROR(IF($I$13&gt;0,$I1681/$I$13,$S1681/$S$13),0)</f>
        <v/>
      </c>
      <c r="BD1681" s="102">
        <f>IFERROR($S1681/$S$13,0)</f>
        <v/>
      </c>
      <c r="BE1681" s="413" t="inlineStr">
        <is>
          <t>$</t>
        </is>
      </c>
    </row>
    <row r="1682" ht="12" customFormat="1" customHeight="1" s="65">
      <c r="A1682" s="43" t="n">
        <v>1667</v>
      </c>
      <c r="B1682" s="166" t="n"/>
      <c r="C1682" s="166" t="n"/>
      <c r="D1682" s="166" t="n"/>
      <c r="E1682" s="162" t="n"/>
      <c r="F1682" s="166" t="n"/>
      <c r="G1682" s="162" t="n"/>
      <c r="H1682" s="162" t="n"/>
      <c r="I1682" s="189">
        <f>E1682*G1682</f>
        <v/>
      </c>
      <c r="J1682" s="195" t="n"/>
      <c r="K1682" s="162" t="n"/>
      <c r="L1682" s="168" t="n"/>
      <c r="M1682" s="75">
        <f>_xlfn.XLOOKUP(L1682,list_vat[Страна],list_vat[Ставка НДС %],0,0)</f>
        <v/>
      </c>
      <c r="N1682" s="162">
        <f>IFERROR(IF(L1682="Китай",K1682,K1682/(1+M1682)),0)</f>
        <v/>
      </c>
      <c r="O1682" s="169" t="n"/>
      <c r="P1682" s="76">
        <f>N1682*(1-O1682)</f>
        <v/>
      </c>
      <c r="Q1682" s="162" t="n"/>
      <c r="R1682" s="162">
        <f>IF(ISBLANK(Q1682),"введи курс",P1682/Q1682)</f>
        <v/>
      </c>
      <c r="S1682" s="196">
        <f>IF(AND(ISNUMBER(E1682),ISNUMBER(Q1682)),E1682*R1682,0)</f>
        <v/>
      </c>
      <c r="T1682" s="192">
        <f>$BC1682*V$11</f>
        <v/>
      </c>
      <c r="U1682" s="76">
        <f>$BC1682*W$11</f>
        <v/>
      </c>
      <c r="V1682" s="193">
        <f>+SUM(T1682:U1682)</f>
        <v/>
      </c>
      <c r="W1682" s="191" t="n"/>
      <c r="X1682" s="170" t="n"/>
      <c r="Y1682" s="76">
        <f>ROUND(IF(offer_incoterms="DDP",X1682*(S1682*(1+AW1682)+T1682),0),2)</f>
        <v/>
      </c>
      <c r="Z1682" s="188" t="n"/>
      <c r="AA1682" s="192">
        <f>IFERROR(AB1682/E1682,0)</f>
        <v/>
      </c>
      <c r="AB1682" s="76">
        <f>ROUND(SUM(S1682,V1682,Y1682:Z1682,BA1682:BB1682),2)</f>
        <v/>
      </c>
      <c r="AC1682" s="797" t="n"/>
      <c r="AD1682" s="192">
        <f t="array" ref="AD1682">IFERROR(ROUND((_xlfn.IFS(offer_sale_type="поставка",AB1682,offer_sale_type="транзит",S1682)*(1+AC1682))/E1682,2),0)</f>
        <v/>
      </c>
      <c r="AE1682" s="76">
        <f>AD1682*E1682</f>
        <v/>
      </c>
      <c r="AF1682" s="193">
        <f t="array" ref="AF1682">IFERROR(ROUND(_xlfn.IFS(offer_sale_type="поставка",AB1682,offer_sale_type="транзит",S1682)*AC1682,2),0)</f>
        <v/>
      </c>
      <c r="AG1682" s="192">
        <f>$BD1682*VLOOKUP($AG$3,$AF$4:$AG$7,2,FALSE)</f>
        <v/>
      </c>
      <c r="AH1682" s="76">
        <f>SUM(AE1682,AG1682,AI1682)*rate_forex_risk</f>
        <v/>
      </c>
      <c r="AI1682" s="193">
        <f>IF(OR(seller_region="TR",offer_sale_type="экспорт"),0,rate_fin_comm)*SUM(AZ1682,AZ1682*AW1682,T1682)</f>
        <v/>
      </c>
      <c r="AJ1682" s="118">
        <f>IFERROR(ROUND(SUM(AB1682,AF1682:AI1682)/E1682,2),0)</f>
        <v/>
      </c>
      <c r="AK1682" s="76">
        <f>AJ1682*E1682</f>
        <v/>
      </c>
      <c r="AL1682" s="174">
        <f>ROUND(IFERROR(AM1682*E1682,0),2)</f>
        <v/>
      </c>
      <c r="AM1682" s="175">
        <f>ROUND(AJ1682*(1+IF(offer_incoterms="DDP",IF((TODAY()+offer_turnaround_time)&gt;=helpsheet!$L$17,rate_vatRU_from_26,rate_vatRu_till_25),0)),2)</f>
        <v/>
      </c>
      <c r="AN1682" s="192">
        <f>AL1682-AK1682</f>
        <v/>
      </c>
      <c r="AO1682" s="76">
        <f>SUM(AY1682,Y1682:Z1682,T1682)*IF(AND(offer_incoterms="DDP",offer_sale_type&lt;&gt;"экспорт"),IF((TODAY()+offer_turnaround_time)&gt;=helpsheet!$L$17,rate_vatRU_from_26,rate_vatRu_till_25),0)</f>
        <v/>
      </c>
      <c r="AP1682" s="193">
        <f>AN1682-AO1682</f>
        <v/>
      </c>
      <c r="AQ1682" s="118">
        <f>IF(offer_sale_type="транзит",SUM(AF1682:AI1682,BA1682,BB1682),0)</f>
        <v/>
      </c>
      <c r="AR1682" s="82">
        <f>HYPERLINK("https://www.alta.ru/tnved/code/")&amp;W1682&amp;"/"</f>
        <v/>
      </c>
      <c r="AS1682" s="157" t="n"/>
      <c r="AT1682" s="162" t="n"/>
      <c r="AU1682" s="76">
        <f>IF(ISBLANK(AT1682),0,AJ1682-AT1682)</f>
        <v/>
      </c>
      <c r="AV1682" s="157" t="n"/>
      <c r="AW1682" s="75">
        <f>_xlfn.IFNA(VLOOKUP(L1682,list_vat[],3,FALSE),0)</f>
        <v/>
      </c>
      <c r="AX1682" s="76">
        <f>IFERROR(ROUND(S1682*(1+AW1682)/E1682,2),0)</f>
        <v/>
      </c>
      <c r="AY1682" s="76">
        <f>E1682*AX1682</f>
        <v/>
      </c>
      <c r="AZ1682" s="192">
        <f>S1682*(1+M1682)</f>
        <v/>
      </c>
      <c r="BA1682" s="76">
        <f>cost_fin_total*$BD1682</f>
        <v/>
      </c>
      <c r="BB1682" s="193">
        <f>credit_sales_interest*BD1682</f>
        <v/>
      </c>
      <c r="BC1682" s="102">
        <f>IFERROR(IF($I$13&gt;0,$I1682/$I$13,$S1682/$S$13),0)</f>
        <v/>
      </c>
      <c r="BD1682" s="102">
        <f>IFERROR($S1682/$S$13,0)</f>
        <v/>
      </c>
      <c r="BE1682" s="413" t="inlineStr">
        <is>
          <t>$</t>
        </is>
      </c>
    </row>
    <row r="1683" ht="12" customFormat="1" customHeight="1" s="65">
      <c r="A1683" s="43" t="n">
        <v>1668</v>
      </c>
      <c r="B1683" s="166" t="n"/>
      <c r="C1683" s="166" t="n"/>
      <c r="D1683" s="166" t="n"/>
      <c r="E1683" s="162" t="n"/>
      <c r="F1683" s="166" t="n"/>
      <c r="G1683" s="162" t="n"/>
      <c r="H1683" s="162" t="n"/>
      <c r="I1683" s="189">
        <f>E1683*G1683</f>
        <v/>
      </c>
      <c r="J1683" s="195" t="n"/>
      <c r="K1683" s="162" t="n"/>
      <c r="L1683" s="168" t="n"/>
      <c r="M1683" s="75">
        <f>_xlfn.XLOOKUP(L1683,list_vat[Страна],list_vat[Ставка НДС %],0,0)</f>
        <v/>
      </c>
      <c r="N1683" s="162">
        <f>IFERROR(IF(L1683="Китай",K1683,K1683/(1+M1683)),0)</f>
        <v/>
      </c>
      <c r="O1683" s="169" t="n"/>
      <c r="P1683" s="76">
        <f>N1683*(1-O1683)</f>
        <v/>
      </c>
      <c r="Q1683" s="162" t="n"/>
      <c r="R1683" s="162">
        <f>IF(ISBLANK(Q1683),"введи курс",P1683/Q1683)</f>
        <v/>
      </c>
      <c r="S1683" s="196">
        <f>IF(AND(ISNUMBER(E1683),ISNUMBER(Q1683)),E1683*R1683,0)</f>
        <v/>
      </c>
      <c r="T1683" s="192">
        <f>$BC1683*V$11</f>
        <v/>
      </c>
      <c r="U1683" s="76">
        <f>$BC1683*W$11</f>
        <v/>
      </c>
      <c r="V1683" s="193">
        <f>+SUM(T1683:U1683)</f>
        <v/>
      </c>
      <c r="W1683" s="191" t="n"/>
      <c r="X1683" s="170" t="n"/>
      <c r="Y1683" s="76">
        <f>ROUND(IF(offer_incoterms="DDP",X1683*(S1683*(1+AW1683)+T1683),0),2)</f>
        <v/>
      </c>
      <c r="Z1683" s="188" t="n"/>
      <c r="AA1683" s="192">
        <f>IFERROR(AB1683/E1683,0)</f>
        <v/>
      </c>
      <c r="AB1683" s="76">
        <f>ROUND(SUM(S1683,V1683,Y1683:Z1683,BA1683:BB1683),2)</f>
        <v/>
      </c>
      <c r="AC1683" s="797" t="n"/>
      <c r="AD1683" s="192">
        <f t="array" ref="AD1683">IFERROR(ROUND((_xlfn.IFS(offer_sale_type="поставка",AB1683,offer_sale_type="транзит",S1683)*(1+AC1683))/E1683,2),0)</f>
        <v/>
      </c>
      <c r="AE1683" s="76">
        <f>AD1683*E1683</f>
        <v/>
      </c>
      <c r="AF1683" s="193">
        <f t="array" ref="AF1683">IFERROR(ROUND(_xlfn.IFS(offer_sale_type="поставка",AB1683,offer_sale_type="транзит",S1683)*AC1683,2),0)</f>
        <v/>
      </c>
      <c r="AG1683" s="192">
        <f>$BD1683*VLOOKUP($AG$3,$AF$4:$AG$7,2,FALSE)</f>
        <v/>
      </c>
      <c r="AH1683" s="76">
        <f>SUM(AE1683,AG1683,AI1683)*rate_forex_risk</f>
        <v/>
      </c>
      <c r="AI1683" s="193">
        <f>IF(OR(seller_region="TR",offer_sale_type="экспорт"),0,rate_fin_comm)*SUM(AZ1683,AZ1683*AW1683,T1683)</f>
        <v/>
      </c>
      <c r="AJ1683" s="118">
        <f>IFERROR(ROUND(SUM(AB1683,AF1683:AI1683)/E1683,2),0)</f>
        <v/>
      </c>
      <c r="AK1683" s="76">
        <f>AJ1683*E1683</f>
        <v/>
      </c>
      <c r="AL1683" s="174">
        <f>ROUND(IFERROR(AM1683*E1683,0),2)</f>
        <v/>
      </c>
      <c r="AM1683" s="175">
        <f>ROUND(AJ1683*(1+IF(offer_incoterms="DDP",IF((TODAY()+offer_turnaround_time)&gt;=helpsheet!$L$17,rate_vatRU_from_26,rate_vatRu_till_25),0)),2)</f>
        <v/>
      </c>
      <c r="AN1683" s="192">
        <f>AL1683-AK1683</f>
        <v/>
      </c>
      <c r="AO1683" s="76">
        <f>SUM(AY1683,Y1683:Z1683,T1683)*IF(AND(offer_incoterms="DDP",offer_sale_type&lt;&gt;"экспорт"),IF((TODAY()+offer_turnaround_time)&gt;=helpsheet!$L$17,rate_vatRU_from_26,rate_vatRu_till_25),0)</f>
        <v/>
      </c>
      <c r="AP1683" s="193">
        <f>AN1683-AO1683</f>
        <v/>
      </c>
      <c r="AQ1683" s="118">
        <f>IF(offer_sale_type="транзит",SUM(AF1683:AI1683,BA1683,BB1683),0)</f>
        <v/>
      </c>
      <c r="AR1683" s="82">
        <f>HYPERLINK("https://www.alta.ru/tnved/code/")&amp;W1683&amp;"/"</f>
        <v/>
      </c>
      <c r="AS1683" s="157" t="n"/>
      <c r="AT1683" s="162" t="n"/>
      <c r="AU1683" s="76">
        <f>IF(ISBLANK(AT1683),0,AJ1683-AT1683)</f>
        <v/>
      </c>
      <c r="AV1683" s="157" t="n"/>
      <c r="AW1683" s="75">
        <f>_xlfn.IFNA(VLOOKUP(L1683,list_vat[],3,FALSE),0)</f>
        <v/>
      </c>
      <c r="AX1683" s="76">
        <f>IFERROR(ROUND(S1683*(1+AW1683)/E1683,2),0)</f>
        <v/>
      </c>
      <c r="AY1683" s="76">
        <f>E1683*AX1683</f>
        <v/>
      </c>
      <c r="AZ1683" s="192">
        <f>S1683*(1+M1683)</f>
        <v/>
      </c>
      <c r="BA1683" s="76">
        <f>cost_fin_total*$BD1683</f>
        <v/>
      </c>
      <c r="BB1683" s="193">
        <f>credit_sales_interest*BD1683</f>
        <v/>
      </c>
      <c r="BC1683" s="102">
        <f>IFERROR(IF($I$13&gt;0,$I1683/$I$13,$S1683/$S$13),0)</f>
        <v/>
      </c>
      <c r="BD1683" s="102">
        <f>IFERROR($S1683/$S$13,0)</f>
        <v/>
      </c>
      <c r="BE1683" s="413" t="inlineStr">
        <is>
          <t>$</t>
        </is>
      </c>
    </row>
    <row r="1684" ht="12" customFormat="1" customHeight="1" s="65">
      <c r="A1684" s="43" t="n">
        <v>1669</v>
      </c>
      <c r="B1684" s="166" t="n"/>
      <c r="C1684" s="166" t="n"/>
      <c r="D1684" s="166" t="n"/>
      <c r="E1684" s="162" t="n"/>
      <c r="F1684" s="166" t="n"/>
      <c r="G1684" s="162" t="n"/>
      <c r="H1684" s="162" t="n"/>
      <c r="I1684" s="189">
        <f>E1684*G1684</f>
        <v/>
      </c>
      <c r="J1684" s="195" t="n"/>
      <c r="K1684" s="162" t="n"/>
      <c r="L1684" s="168" t="n"/>
      <c r="M1684" s="75">
        <f>_xlfn.XLOOKUP(L1684,list_vat[Страна],list_vat[Ставка НДС %],0,0)</f>
        <v/>
      </c>
      <c r="N1684" s="162">
        <f>IFERROR(IF(L1684="Китай",K1684,K1684/(1+M1684)),0)</f>
        <v/>
      </c>
      <c r="O1684" s="169" t="n"/>
      <c r="P1684" s="76">
        <f>N1684*(1-O1684)</f>
        <v/>
      </c>
      <c r="Q1684" s="162" t="n"/>
      <c r="R1684" s="162">
        <f>IF(ISBLANK(Q1684),"введи курс",P1684/Q1684)</f>
        <v/>
      </c>
      <c r="S1684" s="196">
        <f>IF(AND(ISNUMBER(E1684),ISNUMBER(Q1684)),E1684*R1684,0)</f>
        <v/>
      </c>
      <c r="T1684" s="192">
        <f>$BC1684*V$11</f>
        <v/>
      </c>
      <c r="U1684" s="76">
        <f>$BC1684*W$11</f>
        <v/>
      </c>
      <c r="V1684" s="193">
        <f>+SUM(T1684:U1684)</f>
        <v/>
      </c>
      <c r="W1684" s="191" t="n"/>
      <c r="X1684" s="170" t="n"/>
      <c r="Y1684" s="76">
        <f>ROUND(IF(offer_incoterms="DDP",X1684*(S1684*(1+AW1684)+T1684),0),2)</f>
        <v/>
      </c>
      <c r="Z1684" s="188" t="n"/>
      <c r="AA1684" s="192">
        <f>IFERROR(AB1684/E1684,0)</f>
        <v/>
      </c>
      <c r="AB1684" s="76">
        <f>ROUND(SUM(S1684,V1684,Y1684:Z1684,BA1684:BB1684),2)</f>
        <v/>
      </c>
      <c r="AC1684" s="797" t="n"/>
      <c r="AD1684" s="192">
        <f t="array" ref="AD1684">IFERROR(ROUND((_xlfn.IFS(offer_sale_type="поставка",AB1684,offer_sale_type="транзит",S1684)*(1+AC1684))/E1684,2),0)</f>
        <v/>
      </c>
      <c r="AE1684" s="76">
        <f>AD1684*E1684</f>
        <v/>
      </c>
      <c r="AF1684" s="193">
        <f t="array" ref="AF1684">IFERROR(ROUND(_xlfn.IFS(offer_sale_type="поставка",AB1684,offer_sale_type="транзит",S1684)*AC1684,2),0)</f>
        <v/>
      </c>
      <c r="AG1684" s="192">
        <f>$BD1684*VLOOKUP($AG$3,$AF$4:$AG$7,2,FALSE)</f>
        <v/>
      </c>
      <c r="AH1684" s="76">
        <f>SUM(AE1684,AG1684,AI1684)*rate_forex_risk</f>
        <v/>
      </c>
      <c r="AI1684" s="193">
        <f>IF(OR(seller_region="TR",offer_sale_type="экспорт"),0,rate_fin_comm)*SUM(AZ1684,AZ1684*AW1684,T1684)</f>
        <v/>
      </c>
      <c r="AJ1684" s="118">
        <f>IFERROR(ROUND(SUM(AB1684,AF1684:AI1684)/E1684,2),0)</f>
        <v/>
      </c>
      <c r="AK1684" s="76">
        <f>AJ1684*E1684</f>
        <v/>
      </c>
      <c r="AL1684" s="174">
        <f>ROUND(IFERROR(AM1684*E1684,0),2)</f>
        <v/>
      </c>
      <c r="AM1684" s="175">
        <f>ROUND(AJ1684*(1+IF(offer_incoterms="DDP",IF((TODAY()+offer_turnaround_time)&gt;=helpsheet!$L$17,rate_vatRU_from_26,rate_vatRu_till_25),0)),2)</f>
        <v/>
      </c>
      <c r="AN1684" s="192">
        <f>AL1684-AK1684</f>
        <v/>
      </c>
      <c r="AO1684" s="76">
        <f>SUM(AY1684,Y1684:Z1684,T1684)*IF(AND(offer_incoterms="DDP",offer_sale_type&lt;&gt;"экспорт"),IF((TODAY()+offer_turnaround_time)&gt;=helpsheet!$L$17,rate_vatRU_from_26,rate_vatRu_till_25),0)</f>
        <v/>
      </c>
      <c r="AP1684" s="193">
        <f>AN1684-AO1684</f>
        <v/>
      </c>
      <c r="AQ1684" s="118">
        <f>IF(offer_sale_type="транзит",SUM(AF1684:AI1684,BA1684,BB1684),0)</f>
        <v/>
      </c>
      <c r="AR1684" s="82">
        <f>HYPERLINK("https://www.alta.ru/tnved/code/")&amp;W1684&amp;"/"</f>
        <v/>
      </c>
      <c r="AS1684" s="157" t="n"/>
      <c r="AT1684" s="162" t="n"/>
      <c r="AU1684" s="76">
        <f>IF(ISBLANK(AT1684),0,AJ1684-AT1684)</f>
        <v/>
      </c>
      <c r="AV1684" s="157" t="n"/>
      <c r="AW1684" s="75">
        <f>_xlfn.IFNA(VLOOKUP(L1684,list_vat[],3,FALSE),0)</f>
        <v/>
      </c>
      <c r="AX1684" s="76">
        <f>IFERROR(ROUND(S1684*(1+AW1684)/E1684,2),0)</f>
        <v/>
      </c>
      <c r="AY1684" s="76">
        <f>E1684*AX1684</f>
        <v/>
      </c>
      <c r="AZ1684" s="192">
        <f>S1684*(1+M1684)</f>
        <v/>
      </c>
      <c r="BA1684" s="76">
        <f>cost_fin_total*$BD1684</f>
        <v/>
      </c>
      <c r="BB1684" s="193">
        <f>credit_sales_interest*BD1684</f>
        <v/>
      </c>
      <c r="BC1684" s="102">
        <f>IFERROR(IF($I$13&gt;0,$I1684/$I$13,$S1684/$S$13),0)</f>
        <v/>
      </c>
      <c r="BD1684" s="102">
        <f>IFERROR($S1684/$S$13,0)</f>
        <v/>
      </c>
      <c r="BE1684" s="413" t="inlineStr">
        <is>
          <t>$</t>
        </is>
      </c>
    </row>
    <row r="1685" ht="12" customFormat="1" customHeight="1" s="65">
      <c r="A1685" s="43" t="n">
        <v>1670</v>
      </c>
      <c r="B1685" s="166" t="n"/>
      <c r="C1685" s="166" t="n"/>
      <c r="D1685" s="166" t="n"/>
      <c r="E1685" s="162" t="n"/>
      <c r="F1685" s="166" t="n"/>
      <c r="G1685" s="162" t="n"/>
      <c r="H1685" s="162" t="n"/>
      <c r="I1685" s="189">
        <f>E1685*G1685</f>
        <v/>
      </c>
      <c r="J1685" s="195" t="n"/>
      <c r="K1685" s="162" t="n"/>
      <c r="L1685" s="168" t="n"/>
      <c r="M1685" s="75">
        <f>_xlfn.XLOOKUP(L1685,list_vat[Страна],list_vat[Ставка НДС %],0,0)</f>
        <v/>
      </c>
      <c r="N1685" s="162">
        <f>IFERROR(IF(L1685="Китай",K1685,K1685/(1+M1685)),0)</f>
        <v/>
      </c>
      <c r="O1685" s="169" t="n"/>
      <c r="P1685" s="76">
        <f>N1685*(1-O1685)</f>
        <v/>
      </c>
      <c r="Q1685" s="162" t="n"/>
      <c r="R1685" s="162">
        <f>IF(ISBLANK(Q1685),"введи курс",P1685/Q1685)</f>
        <v/>
      </c>
      <c r="S1685" s="196">
        <f>IF(AND(ISNUMBER(E1685),ISNUMBER(Q1685)),E1685*R1685,0)</f>
        <v/>
      </c>
      <c r="T1685" s="192">
        <f>$BC1685*V$11</f>
        <v/>
      </c>
      <c r="U1685" s="76">
        <f>$BC1685*W$11</f>
        <v/>
      </c>
      <c r="V1685" s="193">
        <f>+SUM(T1685:U1685)</f>
        <v/>
      </c>
      <c r="W1685" s="191" t="n"/>
      <c r="X1685" s="170" t="n"/>
      <c r="Y1685" s="76">
        <f>ROUND(IF(offer_incoterms="DDP",X1685*(S1685*(1+AW1685)+T1685),0),2)</f>
        <v/>
      </c>
      <c r="Z1685" s="188" t="n"/>
      <c r="AA1685" s="192">
        <f>IFERROR(AB1685/E1685,0)</f>
        <v/>
      </c>
      <c r="AB1685" s="76">
        <f>ROUND(SUM(S1685,V1685,Y1685:Z1685,BA1685:BB1685),2)</f>
        <v/>
      </c>
      <c r="AC1685" s="797" t="n"/>
      <c r="AD1685" s="192">
        <f t="array" ref="AD1685">IFERROR(ROUND((_xlfn.IFS(offer_sale_type="поставка",AB1685,offer_sale_type="транзит",S1685)*(1+AC1685))/E1685,2),0)</f>
        <v/>
      </c>
      <c r="AE1685" s="76">
        <f>AD1685*E1685</f>
        <v/>
      </c>
      <c r="AF1685" s="193">
        <f t="array" ref="AF1685">IFERROR(ROUND(_xlfn.IFS(offer_sale_type="поставка",AB1685,offer_sale_type="транзит",S1685)*AC1685,2),0)</f>
        <v/>
      </c>
      <c r="AG1685" s="192">
        <f>$BD1685*VLOOKUP($AG$3,$AF$4:$AG$7,2,FALSE)</f>
        <v/>
      </c>
      <c r="AH1685" s="76">
        <f>SUM(AE1685,AG1685,AI1685)*rate_forex_risk</f>
        <v/>
      </c>
      <c r="AI1685" s="193">
        <f>IF(OR(seller_region="TR",offer_sale_type="экспорт"),0,rate_fin_comm)*SUM(AZ1685,AZ1685*AW1685,T1685)</f>
        <v/>
      </c>
      <c r="AJ1685" s="118">
        <f>IFERROR(ROUND(SUM(AB1685,AF1685:AI1685)/E1685,2),0)</f>
        <v/>
      </c>
      <c r="AK1685" s="76">
        <f>AJ1685*E1685</f>
        <v/>
      </c>
      <c r="AL1685" s="174">
        <f>ROUND(IFERROR(AM1685*E1685,0),2)</f>
        <v/>
      </c>
      <c r="AM1685" s="175">
        <f>ROUND(AJ1685*(1+IF(offer_incoterms="DDP",IF((TODAY()+offer_turnaround_time)&gt;=helpsheet!$L$17,rate_vatRU_from_26,rate_vatRu_till_25),0)),2)</f>
        <v/>
      </c>
      <c r="AN1685" s="192">
        <f>AL1685-AK1685</f>
        <v/>
      </c>
      <c r="AO1685" s="76">
        <f>SUM(AY1685,Y1685:Z1685,T1685)*IF(AND(offer_incoterms="DDP",offer_sale_type&lt;&gt;"экспорт"),IF((TODAY()+offer_turnaround_time)&gt;=helpsheet!$L$17,rate_vatRU_from_26,rate_vatRu_till_25),0)</f>
        <v/>
      </c>
      <c r="AP1685" s="193">
        <f>AN1685-AO1685</f>
        <v/>
      </c>
      <c r="AQ1685" s="118">
        <f>IF(offer_sale_type="транзит",SUM(AF1685:AI1685,BA1685,BB1685),0)</f>
        <v/>
      </c>
      <c r="AR1685" s="82">
        <f>HYPERLINK("https://www.alta.ru/tnved/code/")&amp;W1685&amp;"/"</f>
        <v/>
      </c>
      <c r="AS1685" s="157" t="n"/>
      <c r="AT1685" s="162" t="n"/>
      <c r="AU1685" s="76">
        <f>IF(ISBLANK(AT1685),0,AJ1685-AT1685)</f>
        <v/>
      </c>
      <c r="AV1685" s="157" t="n"/>
      <c r="AW1685" s="75">
        <f>_xlfn.IFNA(VLOOKUP(L1685,list_vat[],3,FALSE),0)</f>
        <v/>
      </c>
      <c r="AX1685" s="76">
        <f>IFERROR(ROUND(S1685*(1+AW1685)/E1685,2),0)</f>
        <v/>
      </c>
      <c r="AY1685" s="76">
        <f>E1685*AX1685</f>
        <v/>
      </c>
      <c r="AZ1685" s="192">
        <f>S1685*(1+M1685)</f>
        <v/>
      </c>
      <c r="BA1685" s="76">
        <f>cost_fin_total*$BD1685</f>
        <v/>
      </c>
      <c r="BB1685" s="193">
        <f>credit_sales_interest*BD1685</f>
        <v/>
      </c>
      <c r="BC1685" s="102">
        <f>IFERROR(IF($I$13&gt;0,$I1685/$I$13,$S1685/$S$13),0)</f>
        <v/>
      </c>
      <c r="BD1685" s="102">
        <f>IFERROR($S1685/$S$13,0)</f>
        <v/>
      </c>
      <c r="BE1685" s="413" t="inlineStr">
        <is>
          <t>$</t>
        </is>
      </c>
    </row>
    <row r="1686" ht="12" customFormat="1" customHeight="1" s="65">
      <c r="A1686" s="43" t="n">
        <v>1671</v>
      </c>
      <c r="B1686" s="166" t="n"/>
      <c r="C1686" s="166" t="n"/>
      <c r="D1686" s="166" t="n"/>
      <c r="E1686" s="162" t="n"/>
      <c r="F1686" s="166" t="n"/>
      <c r="G1686" s="162" t="n"/>
      <c r="H1686" s="162" t="n"/>
      <c r="I1686" s="189">
        <f>E1686*G1686</f>
        <v/>
      </c>
      <c r="J1686" s="195" t="n"/>
      <c r="K1686" s="162" t="n"/>
      <c r="L1686" s="168" t="n"/>
      <c r="M1686" s="75">
        <f>_xlfn.XLOOKUP(L1686,list_vat[Страна],list_vat[Ставка НДС %],0,0)</f>
        <v/>
      </c>
      <c r="N1686" s="162">
        <f>IFERROR(IF(L1686="Китай",K1686,K1686/(1+M1686)),0)</f>
        <v/>
      </c>
      <c r="O1686" s="169" t="n"/>
      <c r="P1686" s="76">
        <f>N1686*(1-O1686)</f>
        <v/>
      </c>
      <c r="Q1686" s="162" t="n"/>
      <c r="R1686" s="162">
        <f>IF(ISBLANK(Q1686),"введи курс",P1686/Q1686)</f>
        <v/>
      </c>
      <c r="S1686" s="196">
        <f>IF(AND(ISNUMBER(E1686),ISNUMBER(Q1686)),E1686*R1686,0)</f>
        <v/>
      </c>
      <c r="T1686" s="192">
        <f>$BC1686*V$11</f>
        <v/>
      </c>
      <c r="U1686" s="76">
        <f>$BC1686*W$11</f>
        <v/>
      </c>
      <c r="V1686" s="193">
        <f>+SUM(T1686:U1686)</f>
        <v/>
      </c>
      <c r="W1686" s="191" t="n"/>
      <c r="X1686" s="170" t="n"/>
      <c r="Y1686" s="76">
        <f>ROUND(IF(offer_incoterms="DDP",X1686*(S1686*(1+AW1686)+T1686),0),2)</f>
        <v/>
      </c>
      <c r="Z1686" s="188" t="n"/>
      <c r="AA1686" s="192">
        <f>IFERROR(AB1686/E1686,0)</f>
        <v/>
      </c>
      <c r="AB1686" s="76">
        <f>ROUND(SUM(S1686,V1686,Y1686:Z1686,BA1686:BB1686),2)</f>
        <v/>
      </c>
      <c r="AC1686" s="797" t="n"/>
      <c r="AD1686" s="192">
        <f t="array" ref="AD1686">IFERROR(ROUND((_xlfn.IFS(offer_sale_type="поставка",AB1686,offer_sale_type="транзит",S1686)*(1+AC1686))/E1686,2),0)</f>
        <v/>
      </c>
      <c r="AE1686" s="76">
        <f>AD1686*E1686</f>
        <v/>
      </c>
      <c r="AF1686" s="193">
        <f t="array" ref="AF1686">IFERROR(ROUND(_xlfn.IFS(offer_sale_type="поставка",AB1686,offer_sale_type="транзит",S1686)*AC1686,2),0)</f>
        <v/>
      </c>
      <c r="AG1686" s="192">
        <f>$BD1686*VLOOKUP($AG$3,$AF$4:$AG$7,2,FALSE)</f>
        <v/>
      </c>
      <c r="AH1686" s="76">
        <f>SUM(AE1686,AG1686,AI1686)*rate_forex_risk</f>
        <v/>
      </c>
      <c r="AI1686" s="193">
        <f>IF(OR(seller_region="TR",offer_sale_type="экспорт"),0,rate_fin_comm)*SUM(AZ1686,AZ1686*AW1686,T1686)</f>
        <v/>
      </c>
      <c r="AJ1686" s="118">
        <f>IFERROR(ROUND(SUM(AB1686,AF1686:AI1686)/E1686,2),0)</f>
        <v/>
      </c>
      <c r="AK1686" s="76">
        <f>AJ1686*E1686</f>
        <v/>
      </c>
      <c r="AL1686" s="174">
        <f>ROUND(IFERROR(AM1686*E1686,0),2)</f>
        <v/>
      </c>
      <c r="AM1686" s="175">
        <f>ROUND(AJ1686*(1+IF(offer_incoterms="DDP",IF((TODAY()+offer_turnaround_time)&gt;=helpsheet!$L$17,rate_vatRU_from_26,rate_vatRu_till_25),0)),2)</f>
        <v/>
      </c>
      <c r="AN1686" s="192">
        <f>AL1686-AK1686</f>
        <v/>
      </c>
      <c r="AO1686" s="76">
        <f>SUM(AY1686,Y1686:Z1686,T1686)*IF(AND(offer_incoterms="DDP",offer_sale_type&lt;&gt;"экспорт"),IF((TODAY()+offer_turnaround_time)&gt;=helpsheet!$L$17,rate_vatRU_from_26,rate_vatRu_till_25),0)</f>
        <v/>
      </c>
      <c r="AP1686" s="193">
        <f>AN1686-AO1686</f>
        <v/>
      </c>
      <c r="AQ1686" s="118">
        <f>IF(offer_sale_type="транзит",SUM(AF1686:AI1686,BA1686,BB1686),0)</f>
        <v/>
      </c>
      <c r="AR1686" s="82">
        <f>HYPERLINK("https://www.alta.ru/tnved/code/")&amp;W1686&amp;"/"</f>
        <v/>
      </c>
      <c r="AS1686" s="157" t="n"/>
      <c r="AT1686" s="162" t="n"/>
      <c r="AU1686" s="76">
        <f>IF(ISBLANK(AT1686),0,AJ1686-AT1686)</f>
        <v/>
      </c>
      <c r="AV1686" s="157" t="n"/>
      <c r="AW1686" s="75">
        <f>_xlfn.IFNA(VLOOKUP(L1686,list_vat[],3,FALSE),0)</f>
        <v/>
      </c>
      <c r="AX1686" s="76">
        <f>IFERROR(ROUND(S1686*(1+AW1686)/E1686,2),0)</f>
        <v/>
      </c>
      <c r="AY1686" s="76">
        <f>E1686*AX1686</f>
        <v/>
      </c>
      <c r="AZ1686" s="192">
        <f>S1686*(1+M1686)</f>
        <v/>
      </c>
      <c r="BA1686" s="76">
        <f>cost_fin_total*$BD1686</f>
        <v/>
      </c>
      <c r="BB1686" s="193">
        <f>credit_sales_interest*BD1686</f>
        <v/>
      </c>
      <c r="BC1686" s="102">
        <f>IFERROR(IF($I$13&gt;0,$I1686/$I$13,$S1686/$S$13),0)</f>
        <v/>
      </c>
      <c r="BD1686" s="102">
        <f>IFERROR($S1686/$S$13,0)</f>
        <v/>
      </c>
      <c r="BE1686" s="413" t="inlineStr">
        <is>
          <t>$</t>
        </is>
      </c>
    </row>
    <row r="1687" ht="12" customFormat="1" customHeight="1" s="65">
      <c r="A1687" s="43" t="n">
        <v>1672</v>
      </c>
      <c r="B1687" s="166" t="n"/>
      <c r="C1687" s="166" t="n"/>
      <c r="D1687" s="166" t="n"/>
      <c r="E1687" s="162" t="n"/>
      <c r="F1687" s="166" t="n"/>
      <c r="G1687" s="162" t="n"/>
      <c r="H1687" s="162" t="n"/>
      <c r="I1687" s="189">
        <f>E1687*G1687</f>
        <v/>
      </c>
      <c r="J1687" s="195" t="n"/>
      <c r="K1687" s="162" t="n"/>
      <c r="L1687" s="168" t="n"/>
      <c r="M1687" s="75">
        <f>_xlfn.XLOOKUP(L1687,list_vat[Страна],list_vat[Ставка НДС %],0,0)</f>
        <v/>
      </c>
      <c r="N1687" s="162">
        <f>IFERROR(IF(L1687="Китай",K1687,K1687/(1+M1687)),0)</f>
        <v/>
      </c>
      <c r="O1687" s="169" t="n"/>
      <c r="P1687" s="76">
        <f>N1687*(1-O1687)</f>
        <v/>
      </c>
      <c r="Q1687" s="162" t="n"/>
      <c r="R1687" s="162">
        <f>IF(ISBLANK(Q1687),"введи курс",P1687/Q1687)</f>
        <v/>
      </c>
      <c r="S1687" s="196">
        <f>IF(AND(ISNUMBER(E1687),ISNUMBER(Q1687)),E1687*R1687,0)</f>
        <v/>
      </c>
      <c r="T1687" s="192">
        <f>$BC1687*V$11</f>
        <v/>
      </c>
      <c r="U1687" s="76">
        <f>$BC1687*W$11</f>
        <v/>
      </c>
      <c r="V1687" s="193">
        <f>+SUM(T1687:U1687)</f>
        <v/>
      </c>
      <c r="W1687" s="191" t="n"/>
      <c r="X1687" s="170" t="n"/>
      <c r="Y1687" s="76">
        <f>ROUND(IF(offer_incoterms="DDP",X1687*(S1687*(1+AW1687)+T1687),0),2)</f>
        <v/>
      </c>
      <c r="Z1687" s="188" t="n"/>
      <c r="AA1687" s="192">
        <f>IFERROR(AB1687/E1687,0)</f>
        <v/>
      </c>
      <c r="AB1687" s="76">
        <f>ROUND(SUM(S1687,V1687,Y1687:Z1687,BA1687:BB1687),2)</f>
        <v/>
      </c>
      <c r="AC1687" s="797" t="n"/>
      <c r="AD1687" s="192">
        <f t="array" ref="AD1687">IFERROR(ROUND((_xlfn.IFS(offer_sale_type="поставка",AB1687,offer_sale_type="транзит",S1687)*(1+AC1687))/E1687,2),0)</f>
        <v/>
      </c>
      <c r="AE1687" s="76">
        <f>AD1687*E1687</f>
        <v/>
      </c>
      <c r="AF1687" s="193">
        <f t="array" ref="AF1687">IFERROR(ROUND(_xlfn.IFS(offer_sale_type="поставка",AB1687,offer_sale_type="транзит",S1687)*AC1687,2),0)</f>
        <v/>
      </c>
      <c r="AG1687" s="192">
        <f>$BD1687*VLOOKUP($AG$3,$AF$4:$AG$7,2,FALSE)</f>
        <v/>
      </c>
      <c r="AH1687" s="76">
        <f>SUM(AE1687,AG1687,AI1687)*rate_forex_risk</f>
        <v/>
      </c>
      <c r="AI1687" s="193">
        <f>IF(OR(seller_region="TR",offer_sale_type="экспорт"),0,rate_fin_comm)*SUM(AZ1687,AZ1687*AW1687,T1687)</f>
        <v/>
      </c>
      <c r="AJ1687" s="118">
        <f>IFERROR(ROUND(SUM(AB1687,AF1687:AI1687)/E1687,2),0)</f>
        <v/>
      </c>
      <c r="AK1687" s="76">
        <f>AJ1687*E1687</f>
        <v/>
      </c>
      <c r="AL1687" s="174">
        <f>ROUND(IFERROR(AM1687*E1687,0),2)</f>
        <v/>
      </c>
      <c r="AM1687" s="175">
        <f>ROUND(AJ1687*(1+IF(offer_incoterms="DDP",IF((TODAY()+offer_turnaround_time)&gt;=helpsheet!$L$17,rate_vatRU_from_26,rate_vatRu_till_25),0)),2)</f>
        <v/>
      </c>
      <c r="AN1687" s="192">
        <f>AL1687-AK1687</f>
        <v/>
      </c>
      <c r="AO1687" s="76">
        <f>SUM(AY1687,Y1687:Z1687,T1687)*IF(AND(offer_incoterms="DDP",offer_sale_type&lt;&gt;"экспорт"),IF((TODAY()+offer_turnaround_time)&gt;=helpsheet!$L$17,rate_vatRU_from_26,rate_vatRu_till_25),0)</f>
        <v/>
      </c>
      <c r="AP1687" s="193">
        <f>AN1687-AO1687</f>
        <v/>
      </c>
      <c r="AQ1687" s="118">
        <f>IF(offer_sale_type="транзит",SUM(AF1687:AI1687,BA1687,BB1687),0)</f>
        <v/>
      </c>
      <c r="AR1687" s="82">
        <f>HYPERLINK("https://www.alta.ru/tnved/code/")&amp;W1687&amp;"/"</f>
        <v/>
      </c>
      <c r="AS1687" s="157" t="n"/>
      <c r="AT1687" s="162" t="n"/>
      <c r="AU1687" s="76">
        <f>IF(ISBLANK(AT1687),0,AJ1687-AT1687)</f>
        <v/>
      </c>
      <c r="AV1687" s="157" t="n"/>
      <c r="AW1687" s="75">
        <f>_xlfn.IFNA(VLOOKUP(L1687,list_vat[],3,FALSE),0)</f>
        <v/>
      </c>
      <c r="AX1687" s="76">
        <f>IFERROR(ROUND(S1687*(1+AW1687)/E1687,2),0)</f>
        <v/>
      </c>
      <c r="AY1687" s="76">
        <f>E1687*AX1687</f>
        <v/>
      </c>
      <c r="AZ1687" s="192">
        <f>S1687*(1+M1687)</f>
        <v/>
      </c>
      <c r="BA1687" s="76">
        <f>cost_fin_total*$BD1687</f>
        <v/>
      </c>
      <c r="BB1687" s="193">
        <f>credit_sales_interest*BD1687</f>
        <v/>
      </c>
      <c r="BC1687" s="102">
        <f>IFERROR(IF($I$13&gt;0,$I1687/$I$13,$S1687/$S$13),0)</f>
        <v/>
      </c>
      <c r="BD1687" s="102">
        <f>IFERROR($S1687/$S$13,0)</f>
        <v/>
      </c>
      <c r="BE1687" s="413" t="inlineStr">
        <is>
          <t>$</t>
        </is>
      </c>
    </row>
    <row r="1688" ht="12" customFormat="1" customHeight="1" s="65">
      <c r="A1688" s="43" t="n">
        <v>1673</v>
      </c>
      <c r="B1688" s="166" t="n"/>
      <c r="C1688" s="166" t="n"/>
      <c r="D1688" s="166" t="n"/>
      <c r="E1688" s="162" t="n"/>
      <c r="F1688" s="166" t="n"/>
      <c r="G1688" s="162" t="n"/>
      <c r="H1688" s="162" t="n"/>
      <c r="I1688" s="189">
        <f>E1688*G1688</f>
        <v/>
      </c>
      <c r="J1688" s="195" t="n"/>
      <c r="K1688" s="162" t="n"/>
      <c r="L1688" s="168" t="n"/>
      <c r="M1688" s="75">
        <f>_xlfn.XLOOKUP(L1688,list_vat[Страна],list_vat[Ставка НДС %],0,0)</f>
        <v/>
      </c>
      <c r="N1688" s="162">
        <f>IFERROR(IF(L1688="Китай",K1688,K1688/(1+M1688)),0)</f>
        <v/>
      </c>
      <c r="O1688" s="169" t="n"/>
      <c r="P1688" s="76">
        <f>N1688*(1-O1688)</f>
        <v/>
      </c>
      <c r="Q1688" s="162" t="n"/>
      <c r="R1688" s="162">
        <f>IF(ISBLANK(Q1688),"введи курс",P1688/Q1688)</f>
        <v/>
      </c>
      <c r="S1688" s="196">
        <f>IF(AND(ISNUMBER(E1688),ISNUMBER(Q1688)),E1688*R1688,0)</f>
        <v/>
      </c>
      <c r="T1688" s="192">
        <f>$BC1688*V$11</f>
        <v/>
      </c>
      <c r="U1688" s="76">
        <f>$BC1688*W$11</f>
        <v/>
      </c>
      <c r="V1688" s="193">
        <f>+SUM(T1688:U1688)</f>
        <v/>
      </c>
      <c r="W1688" s="191" t="n"/>
      <c r="X1688" s="170" t="n"/>
      <c r="Y1688" s="76">
        <f>ROUND(IF(offer_incoterms="DDP",X1688*(S1688*(1+AW1688)+T1688),0),2)</f>
        <v/>
      </c>
      <c r="Z1688" s="188" t="n"/>
      <c r="AA1688" s="192">
        <f>IFERROR(AB1688/E1688,0)</f>
        <v/>
      </c>
      <c r="AB1688" s="76">
        <f>ROUND(SUM(S1688,V1688,Y1688:Z1688,BA1688:BB1688),2)</f>
        <v/>
      </c>
      <c r="AC1688" s="797" t="n"/>
      <c r="AD1688" s="192">
        <f t="array" ref="AD1688">IFERROR(ROUND((_xlfn.IFS(offer_sale_type="поставка",AB1688,offer_sale_type="транзит",S1688)*(1+AC1688))/E1688,2),0)</f>
        <v/>
      </c>
      <c r="AE1688" s="76">
        <f>AD1688*E1688</f>
        <v/>
      </c>
      <c r="AF1688" s="193">
        <f t="array" ref="AF1688">IFERROR(ROUND(_xlfn.IFS(offer_sale_type="поставка",AB1688,offer_sale_type="транзит",S1688)*AC1688,2),0)</f>
        <v/>
      </c>
      <c r="AG1688" s="192">
        <f>$BD1688*VLOOKUP($AG$3,$AF$4:$AG$7,2,FALSE)</f>
        <v/>
      </c>
      <c r="AH1688" s="76">
        <f>SUM(AE1688,AG1688,AI1688)*rate_forex_risk</f>
        <v/>
      </c>
      <c r="AI1688" s="193">
        <f>IF(OR(seller_region="TR",offer_sale_type="экспорт"),0,rate_fin_comm)*SUM(AZ1688,AZ1688*AW1688,T1688)</f>
        <v/>
      </c>
      <c r="AJ1688" s="118">
        <f>IFERROR(ROUND(SUM(AB1688,AF1688:AI1688)/E1688,2),0)</f>
        <v/>
      </c>
      <c r="AK1688" s="76">
        <f>AJ1688*E1688</f>
        <v/>
      </c>
      <c r="AL1688" s="174">
        <f>ROUND(IFERROR(AM1688*E1688,0),2)</f>
        <v/>
      </c>
      <c r="AM1688" s="175">
        <f>ROUND(AJ1688*(1+IF(offer_incoterms="DDP",IF((TODAY()+offer_turnaround_time)&gt;=helpsheet!$L$17,rate_vatRU_from_26,rate_vatRu_till_25),0)),2)</f>
        <v/>
      </c>
      <c r="AN1688" s="192">
        <f>AL1688-AK1688</f>
        <v/>
      </c>
      <c r="AO1688" s="76">
        <f>SUM(AY1688,Y1688:Z1688,T1688)*IF(AND(offer_incoterms="DDP",offer_sale_type&lt;&gt;"экспорт"),IF((TODAY()+offer_turnaround_time)&gt;=helpsheet!$L$17,rate_vatRU_from_26,rate_vatRu_till_25),0)</f>
        <v/>
      </c>
      <c r="AP1688" s="193">
        <f>AN1688-AO1688</f>
        <v/>
      </c>
      <c r="AQ1688" s="118">
        <f>IF(offer_sale_type="транзит",SUM(AF1688:AI1688,BA1688,BB1688),0)</f>
        <v/>
      </c>
      <c r="AR1688" s="82">
        <f>HYPERLINK("https://www.alta.ru/tnved/code/")&amp;W1688&amp;"/"</f>
        <v/>
      </c>
      <c r="AS1688" s="157" t="n"/>
      <c r="AT1688" s="162" t="n"/>
      <c r="AU1688" s="76">
        <f>IF(ISBLANK(AT1688),0,AJ1688-AT1688)</f>
        <v/>
      </c>
      <c r="AV1688" s="157" t="n"/>
      <c r="AW1688" s="75">
        <f>_xlfn.IFNA(VLOOKUP(L1688,list_vat[],3,FALSE),0)</f>
        <v/>
      </c>
      <c r="AX1688" s="76">
        <f>IFERROR(ROUND(S1688*(1+AW1688)/E1688,2),0)</f>
        <v/>
      </c>
      <c r="AY1688" s="76">
        <f>E1688*AX1688</f>
        <v/>
      </c>
      <c r="AZ1688" s="192">
        <f>S1688*(1+M1688)</f>
        <v/>
      </c>
      <c r="BA1688" s="76">
        <f>cost_fin_total*$BD1688</f>
        <v/>
      </c>
      <c r="BB1688" s="193">
        <f>credit_sales_interest*BD1688</f>
        <v/>
      </c>
      <c r="BC1688" s="102">
        <f>IFERROR(IF($I$13&gt;0,$I1688/$I$13,$S1688/$S$13),0)</f>
        <v/>
      </c>
      <c r="BD1688" s="102">
        <f>IFERROR($S1688/$S$13,0)</f>
        <v/>
      </c>
      <c r="BE1688" s="413" t="inlineStr">
        <is>
          <t>$</t>
        </is>
      </c>
    </row>
    <row r="1689" ht="12" customFormat="1" customHeight="1" s="65">
      <c r="A1689" s="43" t="n">
        <v>1674</v>
      </c>
      <c r="B1689" s="166" t="n"/>
      <c r="C1689" s="166" t="n"/>
      <c r="D1689" s="166" t="n"/>
      <c r="E1689" s="162" t="n"/>
      <c r="F1689" s="166" t="n"/>
      <c r="G1689" s="162" t="n"/>
      <c r="H1689" s="162" t="n"/>
      <c r="I1689" s="189">
        <f>E1689*G1689</f>
        <v/>
      </c>
      <c r="J1689" s="195" t="n"/>
      <c r="K1689" s="162" t="n"/>
      <c r="L1689" s="168" t="n"/>
      <c r="M1689" s="75">
        <f>_xlfn.XLOOKUP(L1689,list_vat[Страна],list_vat[Ставка НДС %],0,0)</f>
        <v/>
      </c>
      <c r="N1689" s="162">
        <f>IFERROR(IF(L1689="Китай",K1689,K1689/(1+M1689)),0)</f>
        <v/>
      </c>
      <c r="O1689" s="169" t="n"/>
      <c r="P1689" s="76">
        <f>N1689*(1-O1689)</f>
        <v/>
      </c>
      <c r="Q1689" s="162" t="n"/>
      <c r="R1689" s="162">
        <f>IF(ISBLANK(Q1689),"введи курс",P1689/Q1689)</f>
        <v/>
      </c>
      <c r="S1689" s="196">
        <f>IF(AND(ISNUMBER(E1689),ISNUMBER(Q1689)),E1689*R1689,0)</f>
        <v/>
      </c>
      <c r="T1689" s="192">
        <f>$BC1689*V$11</f>
        <v/>
      </c>
      <c r="U1689" s="76">
        <f>$BC1689*W$11</f>
        <v/>
      </c>
      <c r="V1689" s="193">
        <f>+SUM(T1689:U1689)</f>
        <v/>
      </c>
      <c r="W1689" s="191" t="n"/>
      <c r="X1689" s="170" t="n"/>
      <c r="Y1689" s="76">
        <f>ROUND(IF(offer_incoterms="DDP",X1689*(S1689*(1+AW1689)+T1689),0),2)</f>
        <v/>
      </c>
      <c r="Z1689" s="188" t="n"/>
      <c r="AA1689" s="192">
        <f>IFERROR(AB1689/E1689,0)</f>
        <v/>
      </c>
      <c r="AB1689" s="76">
        <f>ROUND(SUM(S1689,V1689,Y1689:Z1689,BA1689:BB1689),2)</f>
        <v/>
      </c>
      <c r="AC1689" s="797" t="n"/>
      <c r="AD1689" s="192">
        <f t="array" ref="AD1689">IFERROR(ROUND((_xlfn.IFS(offer_sale_type="поставка",AB1689,offer_sale_type="транзит",S1689)*(1+AC1689))/E1689,2),0)</f>
        <v/>
      </c>
      <c r="AE1689" s="76">
        <f>AD1689*E1689</f>
        <v/>
      </c>
      <c r="AF1689" s="193">
        <f t="array" ref="AF1689">IFERROR(ROUND(_xlfn.IFS(offer_sale_type="поставка",AB1689,offer_sale_type="транзит",S1689)*AC1689,2),0)</f>
        <v/>
      </c>
      <c r="AG1689" s="192">
        <f>$BD1689*VLOOKUP($AG$3,$AF$4:$AG$7,2,FALSE)</f>
        <v/>
      </c>
      <c r="AH1689" s="76">
        <f>SUM(AE1689,AG1689,AI1689)*rate_forex_risk</f>
        <v/>
      </c>
      <c r="AI1689" s="193">
        <f>IF(OR(seller_region="TR",offer_sale_type="экспорт"),0,rate_fin_comm)*SUM(AZ1689,AZ1689*AW1689,T1689)</f>
        <v/>
      </c>
      <c r="AJ1689" s="118">
        <f>IFERROR(ROUND(SUM(AB1689,AF1689:AI1689)/E1689,2),0)</f>
        <v/>
      </c>
      <c r="AK1689" s="76">
        <f>AJ1689*E1689</f>
        <v/>
      </c>
      <c r="AL1689" s="174">
        <f>ROUND(IFERROR(AM1689*E1689,0),2)</f>
        <v/>
      </c>
      <c r="AM1689" s="175">
        <f>ROUND(AJ1689*(1+IF(offer_incoterms="DDP",IF((TODAY()+offer_turnaround_time)&gt;=helpsheet!$L$17,rate_vatRU_from_26,rate_vatRu_till_25),0)),2)</f>
        <v/>
      </c>
      <c r="AN1689" s="192">
        <f>AL1689-AK1689</f>
        <v/>
      </c>
      <c r="AO1689" s="76">
        <f>SUM(AY1689,Y1689:Z1689,T1689)*IF(AND(offer_incoterms="DDP",offer_sale_type&lt;&gt;"экспорт"),IF((TODAY()+offer_turnaround_time)&gt;=helpsheet!$L$17,rate_vatRU_from_26,rate_vatRu_till_25),0)</f>
        <v/>
      </c>
      <c r="AP1689" s="193">
        <f>AN1689-AO1689</f>
        <v/>
      </c>
      <c r="AQ1689" s="118">
        <f>IF(offer_sale_type="транзит",SUM(AF1689:AI1689,BA1689,BB1689),0)</f>
        <v/>
      </c>
      <c r="AR1689" s="82">
        <f>HYPERLINK("https://www.alta.ru/tnved/code/")&amp;W1689&amp;"/"</f>
        <v/>
      </c>
      <c r="AS1689" s="157" t="n"/>
      <c r="AT1689" s="162" t="n"/>
      <c r="AU1689" s="76">
        <f>IF(ISBLANK(AT1689),0,AJ1689-AT1689)</f>
        <v/>
      </c>
      <c r="AV1689" s="157" t="n"/>
      <c r="AW1689" s="75">
        <f>_xlfn.IFNA(VLOOKUP(L1689,list_vat[],3,FALSE),0)</f>
        <v/>
      </c>
      <c r="AX1689" s="76">
        <f>IFERROR(ROUND(S1689*(1+AW1689)/E1689,2),0)</f>
        <v/>
      </c>
      <c r="AY1689" s="76">
        <f>E1689*AX1689</f>
        <v/>
      </c>
      <c r="AZ1689" s="192">
        <f>S1689*(1+M1689)</f>
        <v/>
      </c>
      <c r="BA1689" s="76">
        <f>cost_fin_total*$BD1689</f>
        <v/>
      </c>
      <c r="BB1689" s="193">
        <f>credit_sales_interest*BD1689</f>
        <v/>
      </c>
      <c r="BC1689" s="102">
        <f>IFERROR(IF($I$13&gt;0,$I1689/$I$13,$S1689/$S$13),0)</f>
        <v/>
      </c>
      <c r="BD1689" s="102">
        <f>IFERROR($S1689/$S$13,0)</f>
        <v/>
      </c>
      <c r="BE1689" s="413" t="inlineStr">
        <is>
          <t>$</t>
        </is>
      </c>
    </row>
    <row r="1690" ht="12" customFormat="1" customHeight="1" s="65">
      <c r="A1690" s="43" t="n">
        <v>1675</v>
      </c>
      <c r="B1690" s="166" t="n"/>
      <c r="C1690" s="166" t="n"/>
      <c r="D1690" s="166" t="n"/>
      <c r="E1690" s="162" t="n"/>
      <c r="F1690" s="166" t="n"/>
      <c r="G1690" s="162" t="n"/>
      <c r="H1690" s="162" t="n"/>
      <c r="I1690" s="189">
        <f>E1690*G1690</f>
        <v/>
      </c>
      <c r="J1690" s="195" t="n"/>
      <c r="K1690" s="162" t="n"/>
      <c r="L1690" s="168" t="n"/>
      <c r="M1690" s="75">
        <f>_xlfn.XLOOKUP(L1690,list_vat[Страна],list_vat[Ставка НДС %],0,0)</f>
        <v/>
      </c>
      <c r="N1690" s="162">
        <f>IFERROR(IF(L1690="Китай",K1690,K1690/(1+M1690)),0)</f>
        <v/>
      </c>
      <c r="O1690" s="169" t="n"/>
      <c r="P1690" s="76">
        <f>N1690*(1-O1690)</f>
        <v/>
      </c>
      <c r="Q1690" s="162" t="n"/>
      <c r="R1690" s="162">
        <f>IF(ISBLANK(Q1690),"введи курс",P1690/Q1690)</f>
        <v/>
      </c>
      <c r="S1690" s="196">
        <f>IF(AND(ISNUMBER(E1690),ISNUMBER(Q1690)),E1690*R1690,0)</f>
        <v/>
      </c>
      <c r="T1690" s="192">
        <f>$BC1690*V$11</f>
        <v/>
      </c>
      <c r="U1690" s="76">
        <f>$BC1690*W$11</f>
        <v/>
      </c>
      <c r="V1690" s="193">
        <f>+SUM(T1690:U1690)</f>
        <v/>
      </c>
      <c r="W1690" s="191" t="n"/>
      <c r="X1690" s="170" t="n"/>
      <c r="Y1690" s="76">
        <f>ROUND(IF(offer_incoterms="DDP",X1690*(S1690*(1+AW1690)+T1690),0),2)</f>
        <v/>
      </c>
      <c r="Z1690" s="188" t="n"/>
      <c r="AA1690" s="192">
        <f>IFERROR(AB1690/E1690,0)</f>
        <v/>
      </c>
      <c r="AB1690" s="76">
        <f>ROUND(SUM(S1690,V1690,Y1690:Z1690,BA1690:BB1690),2)</f>
        <v/>
      </c>
      <c r="AC1690" s="797" t="n"/>
      <c r="AD1690" s="192">
        <f t="array" ref="AD1690">IFERROR(ROUND((_xlfn.IFS(offer_sale_type="поставка",AB1690,offer_sale_type="транзит",S1690)*(1+AC1690))/E1690,2),0)</f>
        <v/>
      </c>
      <c r="AE1690" s="76">
        <f>AD1690*E1690</f>
        <v/>
      </c>
      <c r="AF1690" s="193">
        <f t="array" ref="AF1690">IFERROR(ROUND(_xlfn.IFS(offer_sale_type="поставка",AB1690,offer_sale_type="транзит",S1690)*AC1690,2),0)</f>
        <v/>
      </c>
      <c r="AG1690" s="192">
        <f>$BD1690*VLOOKUP($AG$3,$AF$4:$AG$7,2,FALSE)</f>
        <v/>
      </c>
      <c r="AH1690" s="76">
        <f>SUM(AE1690,AG1690,AI1690)*rate_forex_risk</f>
        <v/>
      </c>
      <c r="AI1690" s="193">
        <f>IF(OR(seller_region="TR",offer_sale_type="экспорт"),0,rate_fin_comm)*SUM(AZ1690,AZ1690*AW1690,T1690)</f>
        <v/>
      </c>
      <c r="AJ1690" s="118">
        <f>IFERROR(ROUND(SUM(AB1690,AF1690:AI1690)/E1690,2),0)</f>
        <v/>
      </c>
      <c r="AK1690" s="76">
        <f>AJ1690*E1690</f>
        <v/>
      </c>
      <c r="AL1690" s="174">
        <f>ROUND(IFERROR(AM1690*E1690,0),2)</f>
        <v/>
      </c>
      <c r="AM1690" s="175">
        <f>ROUND(AJ1690*(1+IF(offer_incoterms="DDP",IF((TODAY()+offer_turnaround_time)&gt;=helpsheet!$L$17,rate_vatRU_from_26,rate_vatRu_till_25),0)),2)</f>
        <v/>
      </c>
      <c r="AN1690" s="192">
        <f>AL1690-AK1690</f>
        <v/>
      </c>
      <c r="AO1690" s="76">
        <f>SUM(AY1690,Y1690:Z1690,T1690)*IF(AND(offer_incoterms="DDP",offer_sale_type&lt;&gt;"экспорт"),IF((TODAY()+offer_turnaround_time)&gt;=helpsheet!$L$17,rate_vatRU_from_26,rate_vatRu_till_25),0)</f>
        <v/>
      </c>
      <c r="AP1690" s="193">
        <f>AN1690-AO1690</f>
        <v/>
      </c>
      <c r="AQ1690" s="118">
        <f>IF(offer_sale_type="транзит",SUM(AF1690:AI1690,BA1690,BB1690),0)</f>
        <v/>
      </c>
      <c r="AR1690" s="82">
        <f>HYPERLINK("https://www.alta.ru/tnved/code/")&amp;W1690&amp;"/"</f>
        <v/>
      </c>
      <c r="AS1690" s="157" t="n"/>
      <c r="AT1690" s="162" t="n"/>
      <c r="AU1690" s="76">
        <f>IF(ISBLANK(AT1690),0,AJ1690-AT1690)</f>
        <v/>
      </c>
      <c r="AV1690" s="157" t="n"/>
      <c r="AW1690" s="75">
        <f>_xlfn.IFNA(VLOOKUP(L1690,list_vat[],3,FALSE),0)</f>
        <v/>
      </c>
      <c r="AX1690" s="76">
        <f>IFERROR(ROUND(S1690*(1+AW1690)/E1690,2),0)</f>
        <v/>
      </c>
      <c r="AY1690" s="76">
        <f>E1690*AX1690</f>
        <v/>
      </c>
      <c r="AZ1690" s="192">
        <f>S1690*(1+M1690)</f>
        <v/>
      </c>
      <c r="BA1690" s="76">
        <f>cost_fin_total*$BD1690</f>
        <v/>
      </c>
      <c r="BB1690" s="193">
        <f>credit_sales_interest*BD1690</f>
        <v/>
      </c>
      <c r="BC1690" s="102">
        <f>IFERROR(IF($I$13&gt;0,$I1690/$I$13,$S1690/$S$13),0)</f>
        <v/>
      </c>
      <c r="BD1690" s="102">
        <f>IFERROR($S1690/$S$13,0)</f>
        <v/>
      </c>
      <c r="BE1690" s="413" t="inlineStr">
        <is>
          <t>$</t>
        </is>
      </c>
    </row>
    <row r="1691" ht="12" customFormat="1" customHeight="1" s="65">
      <c r="A1691" s="43" t="n">
        <v>1676</v>
      </c>
      <c r="B1691" s="166" t="n"/>
      <c r="C1691" s="166" t="n"/>
      <c r="D1691" s="166" t="n"/>
      <c r="E1691" s="162" t="n"/>
      <c r="F1691" s="166" t="n"/>
      <c r="G1691" s="162" t="n"/>
      <c r="H1691" s="162" t="n"/>
      <c r="I1691" s="189">
        <f>E1691*G1691</f>
        <v/>
      </c>
      <c r="J1691" s="195" t="n"/>
      <c r="K1691" s="162" t="n"/>
      <c r="L1691" s="168" t="n"/>
      <c r="M1691" s="75">
        <f>_xlfn.XLOOKUP(L1691,list_vat[Страна],list_vat[Ставка НДС %],0,0)</f>
        <v/>
      </c>
      <c r="N1691" s="162">
        <f>IFERROR(IF(L1691="Китай",K1691,K1691/(1+M1691)),0)</f>
        <v/>
      </c>
      <c r="O1691" s="169" t="n"/>
      <c r="P1691" s="76">
        <f>N1691*(1-O1691)</f>
        <v/>
      </c>
      <c r="Q1691" s="162" t="n"/>
      <c r="R1691" s="162">
        <f>IF(ISBLANK(Q1691),"введи курс",P1691/Q1691)</f>
        <v/>
      </c>
      <c r="S1691" s="196">
        <f>IF(AND(ISNUMBER(E1691),ISNUMBER(Q1691)),E1691*R1691,0)</f>
        <v/>
      </c>
      <c r="T1691" s="192">
        <f>$BC1691*V$11</f>
        <v/>
      </c>
      <c r="U1691" s="76">
        <f>$BC1691*W$11</f>
        <v/>
      </c>
      <c r="V1691" s="193">
        <f>+SUM(T1691:U1691)</f>
        <v/>
      </c>
      <c r="W1691" s="191" t="n"/>
      <c r="X1691" s="170" t="n"/>
      <c r="Y1691" s="76">
        <f>ROUND(IF(offer_incoterms="DDP",X1691*(S1691*(1+AW1691)+T1691),0),2)</f>
        <v/>
      </c>
      <c r="Z1691" s="188" t="n"/>
      <c r="AA1691" s="192">
        <f>IFERROR(AB1691/E1691,0)</f>
        <v/>
      </c>
      <c r="AB1691" s="76">
        <f>ROUND(SUM(S1691,V1691,Y1691:Z1691,BA1691:BB1691),2)</f>
        <v/>
      </c>
      <c r="AC1691" s="797" t="n"/>
      <c r="AD1691" s="192">
        <f t="array" ref="AD1691">IFERROR(ROUND((_xlfn.IFS(offer_sale_type="поставка",AB1691,offer_sale_type="транзит",S1691)*(1+AC1691))/E1691,2),0)</f>
        <v/>
      </c>
      <c r="AE1691" s="76">
        <f>AD1691*E1691</f>
        <v/>
      </c>
      <c r="AF1691" s="193">
        <f t="array" ref="AF1691">IFERROR(ROUND(_xlfn.IFS(offer_sale_type="поставка",AB1691,offer_sale_type="транзит",S1691)*AC1691,2),0)</f>
        <v/>
      </c>
      <c r="AG1691" s="192">
        <f>$BD1691*VLOOKUP($AG$3,$AF$4:$AG$7,2,FALSE)</f>
        <v/>
      </c>
      <c r="AH1691" s="76">
        <f>SUM(AE1691,AG1691,AI1691)*rate_forex_risk</f>
        <v/>
      </c>
      <c r="AI1691" s="193">
        <f>IF(OR(seller_region="TR",offer_sale_type="экспорт"),0,rate_fin_comm)*SUM(AZ1691,AZ1691*AW1691,T1691)</f>
        <v/>
      </c>
      <c r="AJ1691" s="118">
        <f>IFERROR(ROUND(SUM(AB1691,AF1691:AI1691)/E1691,2),0)</f>
        <v/>
      </c>
      <c r="AK1691" s="76">
        <f>AJ1691*E1691</f>
        <v/>
      </c>
      <c r="AL1691" s="174">
        <f>ROUND(IFERROR(AM1691*E1691,0),2)</f>
        <v/>
      </c>
      <c r="AM1691" s="175">
        <f>ROUND(AJ1691*(1+IF(offer_incoterms="DDP",IF((TODAY()+offer_turnaround_time)&gt;=helpsheet!$L$17,rate_vatRU_from_26,rate_vatRu_till_25),0)),2)</f>
        <v/>
      </c>
      <c r="AN1691" s="192">
        <f>AL1691-AK1691</f>
        <v/>
      </c>
      <c r="AO1691" s="76">
        <f>SUM(AY1691,Y1691:Z1691,T1691)*IF(AND(offer_incoterms="DDP",offer_sale_type&lt;&gt;"экспорт"),IF((TODAY()+offer_turnaround_time)&gt;=helpsheet!$L$17,rate_vatRU_from_26,rate_vatRu_till_25),0)</f>
        <v/>
      </c>
      <c r="AP1691" s="193">
        <f>AN1691-AO1691</f>
        <v/>
      </c>
      <c r="AQ1691" s="118">
        <f>IF(offer_sale_type="транзит",SUM(AF1691:AI1691,BA1691,BB1691),0)</f>
        <v/>
      </c>
      <c r="AR1691" s="82">
        <f>HYPERLINK("https://www.alta.ru/tnved/code/")&amp;W1691&amp;"/"</f>
        <v/>
      </c>
      <c r="AS1691" s="157" t="n"/>
      <c r="AT1691" s="162" t="n"/>
      <c r="AU1691" s="76">
        <f>IF(ISBLANK(AT1691),0,AJ1691-AT1691)</f>
        <v/>
      </c>
      <c r="AV1691" s="157" t="n"/>
      <c r="AW1691" s="75">
        <f>_xlfn.IFNA(VLOOKUP(L1691,list_vat[],3,FALSE),0)</f>
        <v/>
      </c>
      <c r="AX1691" s="76">
        <f>IFERROR(ROUND(S1691*(1+AW1691)/E1691,2),0)</f>
        <v/>
      </c>
      <c r="AY1691" s="76">
        <f>E1691*AX1691</f>
        <v/>
      </c>
      <c r="AZ1691" s="192">
        <f>S1691*(1+M1691)</f>
        <v/>
      </c>
      <c r="BA1691" s="76">
        <f>cost_fin_total*$BD1691</f>
        <v/>
      </c>
      <c r="BB1691" s="193">
        <f>credit_sales_interest*BD1691</f>
        <v/>
      </c>
      <c r="BC1691" s="102">
        <f>IFERROR(IF($I$13&gt;0,$I1691/$I$13,$S1691/$S$13),0)</f>
        <v/>
      </c>
      <c r="BD1691" s="102">
        <f>IFERROR($S1691/$S$13,0)</f>
        <v/>
      </c>
      <c r="BE1691" s="413" t="inlineStr">
        <is>
          <t>$</t>
        </is>
      </c>
    </row>
    <row r="1692" ht="12" customFormat="1" customHeight="1" s="65">
      <c r="A1692" s="43" t="n">
        <v>1677</v>
      </c>
      <c r="B1692" s="166" t="n"/>
      <c r="C1692" s="166" t="n"/>
      <c r="D1692" s="166" t="n"/>
      <c r="E1692" s="162" t="n"/>
      <c r="F1692" s="166" t="n"/>
      <c r="G1692" s="162" t="n"/>
      <c r="H1692" s="162" t="n"/>
      <c r="I1692" s="189">
        <f>E1692*G1692</f>
        <v/>
      </c>
      <c r="J1692" s="195" t="n"/>
      <c r="K1692" s="162" t="n"/>
      <c r="L1692" s="168" t="n"/>
      <c r="M1692" s="75">
        <f>_xlfn.XLOOKUP(L1692,list_vat[Страна],list_vat[Ставка НДС %],0,0)</f>
        <v/>
      </c>
      <c r="N1692" s="162">
        <f>IFERROR(IF(L1692="Китай",K1692,K1692/(1+M1692)),0)</f>
        <v/>
      </c>
      <c r="O1692" s="169" t="n"/>
      <c r="P1692" s="76">
        <f>N1692*(1-O1692)</f>
        <v/>
      </c>
      <c r="Q1692" s="162" t="n"/>
      <c r="R1692" s="162">
        <f>IF(ISBLANK(Q1692),"введи курс",P1692/Q1692)</f>
        <v/>
      </c>
      <c r="S1692" s="196">
        <f>IF(AND(ISNUMBER(E1692),ISNUMBER(Q1692)),E1692*R1692,0)</f>
        <v/>
      </c>
      <c r="T1692" s="192">
        <f>$BC1692*V$11</f>
        <v/>
      </c>
      <c r="U1692" s="76">
        <f>$BC1692*W$11</f>
        <v/>
      </c>
      <c r="V1692" s="193">
        <f>+SUM(T1692:U1692)</f>
        <v/>
      </c>
      <c r="W1692" s="191" t="n"/>
      <c r="X1692" s="170" t="n"/>
      <c r="Y1692" s="76">
        <f>ROUND(IF(offer_incoterms="DDP",X1692*(S1692*(1+AW1692)+T1692),0),2)</f>
        <v/>
      </c>
      <c r="Z1692" s="188" t="n"/>
      <c r="AA1692" s="192">
        <f>IFERROR(AB1692/E1692,0)</f>
        <v/>
      </c>
      <c r="AB1692" s="76">
        <f>ROUND(SUM(S1692,V1692,Y1692:Z1692,BA1692:BB1692),2)</f>
        <v/>
      </c>
      <c r="AC1692" s="797" t="n"/>
      <c r="AD1692" s="192">
        <f t="array" ref="AD1692">IFERROR(ROUND((_xlfn.IFS(offer_sale_type="поставка",AB1692,offer_sale_type="транзит",S1692)*(1+AC1692))/E1692,2),0)</f>
        <v/>
      </c>
      <c r="AE1692" s="76">
        <f>AD1692*E1692</f>
        <v/>
      </c>
      <c r="AF1692" s="193">
        <f t="array" ref="AF1692">IFERROR(ROUND(_xlfn.IFS(offer_sale_type="поставка",AB1692,offer_sale_type="транзит",S1692)*AC1692,2),0)</f>
        <v/>
      </c>
      <c r="AG1692" s="192">
        <f>$BD1692*VLOOKUP($AG$3,$AF$4:$AG$7,2,FALSE)</f>
        <v/>
      </c>
      <c r="AH1692" s="76">
        <f>SUM(AE1692,AG1692,AI1692)*rate_forex_risk</f>
        <v/>
      </c>
      <c r="AI1692" s="193">
        <f>IF(OR(seller_region="TR",offer_sale_type="экспорт"),0,rate_fin_comm)*SUM(AZ1692,AZ1692*AW1692,T1692)</f>
        <v/>
      </c>
      <c r="AJ1692" s="118">
        <f>IFERROR(ROUND(SUM(AB1692,AF1692:AI1692)/E1692,2),0)</f>
        <v/>
      </c>
      <c r="AK1692" s="76">
        <f>AJ1692*E1692</f>
        <v/>
      </c>
      <c r="AL1692" s="174">
        <f>ROUND(IFERROR(AM1692*E1692,0),2)</f>
        <v/>
      </c>
      <c r="AM1692" s="175">
        <f>ROUND(AJ1692*(1+IF(offer_incoterms="DDP",IF((TODAY()+offer_turnaround_time)&gt;=helpsheet!$L$17,rate_vatRU_from_26,rate_vatRu_till_25),0)),2)</f>
        <v/>
      </c>
      <c r="AN1692" s="192">
        <f>AL1692-AK1692</f>
        <v/>
      </c>
      <c r="AO1692" s="76">
        <f>SUM(AY1692,Y1692:Z1692,T1692)*IF(AND(offer_incoterms="DDP",offer_sale_type&lt;&gt;"экспорт"),IF((TODAY()+offer_turnaround_time)&gt;=helpsheet!$L$17,rate_vatRU_from_26,rate_vatRu_till_25),0)</f>
        <v/>
      </c>
      <c r="AP1692" s="193">
        <f>AN1692-AO1692</f>
        <v/>
      </c>
      <c r="AQ1692" s="118">
        <f>IF(offer_sale_type="транзит",SUM(AF1692:AI1692,BA1692,BB1692),0)</f>
        <v/>
      </c>
      <c r="AR1692" s="82">
        <f>HYPERLINK("https://www.alta.ru/tnved/code/")&amp;W1692&amp;"/"</f>
        <v/>
      </c>
      <c r="AS1692" s="157" t="n"/>
      <c r="AT1692" s="162" t="n"/>
      <c r="AU1692" s="76">
        <f>IF(ISBLANK(AT1692),0,AJ1692-AT1692)</f>
        <v/>
      </c>
      <c r="AV1692" s="157" t="n"/>
      <c r="AW1692" s="75">
        <f>_xlfn.IFNA(VLOOKUP(L1692,list_vat[],3,FALSE),0)</f>
        <v/>
      </c>
      <c r="AX1692" s="76">
        <f>IFERROR(ROUND(S1692*(1+AW1692)/E1692,2),0)</f>
        <v/>
      </c>
      <c r="AY1692" s="76">
        <f>E1692*AX1692</f>
        <v/>
      </c>
      <c r="AZ1692" s="192">
        <f>S1692*(1+M1692)</f>
        <v/>
      </c>
      <c r="BA1692" s="76">
        <f>cost_fin_total*$BD1692</f>
        <v/>
      </c>
      <c r="BB1692" s="193">
        <f>credit_sales_interest*BD1692</f>
        <v/>
      </c>
      <c r="BC1692" s="102">
        <f>IFERROR(IF($I$13&gt;0,$I1692/$I$13,$S1692/$S$13),0)</f>
        <v/>
      </c>
      <c r="BD1692" s="102">
        <f>IFERROR($S1692/$S$13,0)</f>
        <v/>
      </c>
      <c r="BE1692" s="413" t="inlineStr">
        <is>
          <t>$</t>
        </is>
      </c>
    </row>
    <row r="1693" ht="12" customFormat="1" customHeight="1" s="65">
      <c r="A1693" s="43" t="n">
        <v>1678</v>
      </c>
      <c r="B1693" s="166" t="n"/>
      <c r="C1693" s="166" t="n"/>
      <c r="D1693" s="166" t="n"/>
      <c r="E1693" s="162" t="n"/>
      <c r="F1693" s="166" t="n"/>
      <c r="G1693" s="162" t="n"/>
      <c r="H1693" s="162" t="n"/>
      <c r="I1693" s="189">
        <f>E1693*G1693</f>
        <v/>
      </c>
      <c r="J1693" s="195" t="n"/>
      <c r="K1693" s="162" t="n"/>
      <c r="L1693" s="168" t="n"/>
      <c r="M1693" s="75">
        <f>_xlfn.XLOOKUP(L1693,list_vat[Страна],list_vat[Ставка НДС %],0,0)</f>
        <v/>
      </c>
      <c r="N1693" s="162">
        <f>IFERROR(IF(L1693="Китай",K1693,K1693/(1+M1693)),0)</f>
        <v/>
      </c>
      <c r="O1693" s="169" t="n"/>
      <c r="P1693" s="76">
        <f>N1693*(1-O1693)</f>
        <v/>
      </c>
      <c r="Q1693" s="162" t="n"/>
      <c r="R1693" s="162">
        <f>IF(ISBLANK(Q1693),"введи курс",P1693/Q1693)</f>
        <v/>
      </c>
      <c r="S1693" s="196">
        <f>IF(AND(ISNUMBER(E1693),ISNUMBER(Q1693)),E1693*R1693,0)</f>
        <v/>
      </c>
      <c r="T1693" s="192">
        <f>$BC1693*V$11</f>
        <v/>
      </c>
      <c r="U1693" s="76">
        <f>$BC1693*W$11</f>
        <v/>
      </c>
      <c r="V1693" s="193">
        <f>+SUM(T1693:U1693)</f>
        <v/>
      </c>
      <c r="W1693" s="191" t="n"/>
      <c r="X1693" s="170" t="n"/>
      <c r="Y1693" s="76">
        <f>ROUND(IF(offer_incoterms="DDP",X1693*(S1693*(1+AW1693)+T1693),0),2)</f>
        <v/>
      </c>
      <c r="Z1693" s="188" t="n"/>
      <c r="AA1693" s="192">
        <f>IFERROR(AB1693/E1693,0)</f>
        <v/>
      </c>
      <c r="AB1693" s="76">
        <f>ROUND(SUM(S1693,V1693,Y1693:Z1693,BA1693:BB1693),2)</f>
        <v/>
      </c>
      <c r="AC1693" s="797" t="n"/>
      <c r="AD1693" s="192">
        <f t="array" ref="AD1693">IFERROR(ROUND((_xlfn.IFS(offer_sale_type="поставка",AB1693,offer_sale_type="транзит",S1693)*(1+AC1693))/E1693,2),0)</f>
        <v/>
      </c>
      <c r="AE1693" s="76">
        <f>AD1693*E1693</f>
        <v/>
      </c>
      <c r="AF1693" s="193">
        <f t="array" ref="AF1693">IFERROR(ROUND(_xlfn.IFS(offer_sale_type="поставка",AB1693,offer_sale_type="транзит",S1693)*AC1693,2),0)</f>
        <v/>
      </c>
      <c r="AG1693" s="192">
        <f>$BD1693*VLOOKUP($AG$3,$AF$4:$AG$7,2,FALSE)</f>
        <v/>
      </c>
      <c r="AH1693" s="76">
        <f>SUM(AE1693,AG1693,AI1693)*rate_forex_risk</f>
        <v/>
      </c>
      <c r="AI1693" s="193">
        <f>IF(OR(seller_region="TR",offer_sale_type="экспорт"),0,rate_fin_comm)*SUM(AZ1693,AZ1693*AW1693,T1693)</f>
        <v/>
      </c>
      <c r="AJ1693" s="118">
        <f>IFERROR(ROUND(SUM(AB1693,AF1693:AI1693)/E1693,2),0)</f>
        <v/>
      </c>
      <c r="AK1693" s="76">
        <f>AJ1693*E1693</f>
        <v/>
      </c>
      <c r="AL1693" s="174">
        <f>ROUND(IFERROR(AM1693*E1693,0),2)</f>
        <v/>
      </c>
      <c r="AM1693" s="175">
        <f>ROUND(AJ1693*(1+IF(offer_incoterms="DDP",IF((TODAY()+offer_turnaround_time)&gt;=helpsheet!$L$17,rate_vatRU_from_26,rate_vatRu_till_25),0)),2)</f>
        <v/>
      </c>
      <c r="AN1693" s="192">
        <f>AL1693-AK1693</f>
        <v/>
      </c>
      <c r="AO1693" s="76">
        <f>SUM(AY1693,Y1693:Z1693,T1693)*IF(AND(offer_incoterms="DDP",offer_sale_type&lt;&gt;"экспорт"),IF((TODAY()+offer_turnaround_time)&gt;=helpsheet!$L$17,rate_vatRU_from_26,rate_vatRu_till_25),0)</f>
        <v/>
      </c>
      <c r="AP1693" s="193">
        <f>AN1693-AO1693</f>
        <v/>
      </c>
      <c r="AQ1693" s="118">
        <f>IF(offer_sale_type="транзит",SUM(AF1693:AI1693,BA1693,BB1693),0)</f>
        <v/>
      </c>
      <c r="AR1693" s="82">
        <f>HYPERLINK("https://www.alta.ru/tnved/code/")&amp;W1693&amp;"/"</f>
        <v/>
      </c>
      <c r="AS1693" s="157" t="n"/>
      <c r="AT1693" s="162" t="n"/>
      <c r="AU1693" s="76">
        <f>IF(ISBLANK(AT1693),0,AJ1693-AT1693)</f>
        <v/>
      </c>
      <c r="AV1693" s="157" t="n"/>
      <c r="AW1693" s="75">
        <f>_xlfn.IFNA(VLOOKUP(L1693,list_vat[],3,FALSE),0)</f>
        <v/>
      </c>
      <c r="AX1693" s="76">
        <f>IFERROR(ROUND(S1693*(1+AW1693)/E1693,2),0)</f>
        <v/>
      </c>
      <c r="AY1693" s="76">
        <f>E1693*AX1693</f>
        <v/>
      </c>
      <c r="AZ1693" s="192">
        <f>S1693*(1+M1693)</f>
        <v/>
      </c>
      <c r="BA1693" s="76">
        <f>cost_fin_total*$BD1693</f>
        <v/>
      </c>
      <c r="BB1693" s="193">
        <f>credit_sales_interest*BD1693</f>
        <v/>
      </c>
      <c r="BC1693" s="102">
        <f>IFERROR(IF($I$13&gt;0,$I1693/$I$13,$S1693/$S$13),0)</f>
        <v/>
      </c>
      <c r="BD1693" s="102">
        <f>IFERROR($S1693/$S$13,0)</f>
        <v/>
      </c>
      <c r="BE1693" s="413" t="inlineStr">
        <is>
          <t>$</t>
        </is>
      </c>
    </row>
    <row r="1694" ht="12" customFormat="1" customHeight="1" s="65">
      <c r="A1694" s="43" t="n">
        <v>1679</v>
      </c>
      <c r="B1694" s="166" t="n"/>
      <c r="C1694" s="166" t="n"/>
      <c r="D1694" s="166" t="n"/>
      <c r="E1694" s="162" t="n"/>
      <c r="F1694" s="166" t="n"/>
      <c r="G1694" s="162" t="n"/>
      <c r="H1694" s="162" t="n"/>
      <c r="I1694" s="189">
        <f>E1694*G1694</f>
        <v/>
      </c>
      <c r="J1694" s="195" t="n"/>
      <c r="K1694" s="162" t="n"/>
      <c r="L1694" s="168" t="n"/>
      <c r="M1694" s="75">
        <f>_xlfn.XLOOKUP(L1694,list_vat[Страна],list_vat[Ставка НДС %],0,0)</f>
        <v/>
      </c>
      <c r="N1694" s="162">
        <f>IFERROR(IF(L1694="Китай",K1694,K1694/(1+M1694)),0)</f>
        <v/>
      </c>
      <c r="O1694" s="169" t="n"/>
      <c r="P1694" s="76">
        <f>N1694*(1-O1694)</f>
        <v/>
      </c>
      <c r="Q1694" s="162" t="n"/>
      <c r="R1694" s="162">
        <f>IF(ISBLANK(Q1694),"введи курс",P1694/Q1694)</f>
        <v/>
      </c>
      <c r="S1694" s="196">
        <f>IF(AND(ISNUMBER(E1694),ISNUMBER(Q1694)),E1694*R1694,0)</f>
        <v/>
      </c>
      <c r="T1694" s="192">
        <f>$BC1694*V$11</f>
        <v/>
      </c>
      <c r="U1694" s="76">
        <f>$BC1694*W$11</f>
        <v/>
      </c>
      <c r="V1694" s="193">
        <f>+SUM(T1694:U1694)</f>
        <v/>
      </c>
      <c r="W1694" s="191" t="n"/>
      <c r="X1694" s="170" t="n"/>
      <c r="Y1694" s="76">
        <f>ROUND(IF(offer_incoterms="DDP",X1694*(S1694*(1+AW1694)+T1694),0),2)</f>
        <v/>
      </c>
      <c r="Z1694" s="188" t="n"/>
      <c r="AA1694" s="192">
        <f>IFERROR(AB1694/E1694,0)</f>
        <v/>
      </c>
      <c r="AB1694" s="76">
        <f>ROUND(SUM(S1694,V1694,Y1694:Z1694,BA1694:BB1694),2)</f>
        <v/>
      </c>
      <c r="AC1694" s="797" t="n"/>
      <c r="AD1694" s="192">
        <f t="array" ref="AD1694">IFERROR(ROUND((_xlfn.IFS(offer_sale_type="поставка",AB1694,offer_sale_type="транзит",S1694)*(1+AC1694))/E1694,2),0)</f>
        <v/>
      </c>
      <c r="AE1694" s="76">
        <f>AD1694*E1694</f>
        <v/>
      </c>
      <c r="AF1694" s="193">
        <f t="array" ref="AF1694">IFERROR(ROUND(_xlfn.IFS(offer_sale_type="поставка",AB1694,offer_sale_type="транзит",S1694)*AC1694,2),0)</f>
        <v/>
      </c>
      <c r="AG1694" s="192">
        <f>$BD1694*VLOOKUP($AG$3,$AF$4:$AG$7,2,FALSE)</f>
        <v/>
      </c>
      <c r="AH1694" s="76">
        <f>SUM(AE1694,AG1694,AI1694)*rate_forex_risk</f>
        <v/>
      </c>
      <c r="AI1694" s="193">
        <f>IF(OR(seller_region="TR",offer_sale_type="экспорт"),0,rate_fin_comm)*SUM(AZ1694,AZ1694*AW1694,T1694)</f>
        <v/>
      </c>
      <c r="AJ1694" s="118">
        <f>IFERROR(ROUND(SUM(AB1694,AF1694:AI1694)/E1694,2),0)</f>
        <v/>
      </c>
      <c r="AK1694" s="76">
        <f>AJ1694*E1694</f>
        <v/>
      </c>
      <c r="AL1694" s="174">
        <f>ROUND(IFERROR(AM1694*E1694,0),2)</f>
        <v/>
      </c>
      <c r="AM1694" s="175">
        <f>ROUND(AJ1694*(1+IF(offer_incoterms="DDP",IF((TODAY()+offer_turnaround_time)&gt;=helpsheet!$L$17,rate_vatRU_from_26,rate_vatRu_till_25),0)),2)</f>
        <v/>
      </c>
      <c r="AN1694" s="192">
        <f>AL1694-AK1694</f>
        <v/>
      </c>
      <c r="AO1694" s="76">
        <f>SUM(AY1694,Y1694:Z1694,T1694)*IF(AND(offer_incoterms="DDP",offer_sale_type&lt;&gt;"экспорт"),IF((TODAY()+offer_turnaround_time)&gt;=helpsheet!$L$17,rate_vatRU_from_26,rate_vatRu_till_25),0)</f>
        <v/>
      </c>
      <c r="AP1694" s="193">
        <f>AN1694-AO1694</f>
        <v/>
      </c>
      <c r="AQ1694" s="118">
        <f>IF(offer_sale_type="транзит",SUM(AF1694:AI1694,BA1694,BB1694),0)</f>
        <v/>
      </c>
      <c r="AR1694" s="82">
        <f>HYPERLINK("https://www.alta.ru/tnved/code/")&amp;W1694&amp;"/"</f>
        <v/>
      </c>
      <c r="AS1694" s="157" t="n"/>
      <c r="AT1694" s="162" t="n"/>
      <c r="AU1694" s="76">
        <f>IF(ISBLANK(AT1694),0,AJ1694-AT1694)</f>
        <v/>
      </c>
      <c r="AV1694" s="157" t="n"/>
      <c r="AW1694" s="75">
        <f>_xlfn.IFNA(VLOOKUP(L1694,list_vat[],3,FALSE),0)</f>
        <v/>
      </c>
      <c r="AX1694" s="76">
        <f>IFERROR(ROUND(S1694*(1+AW1694)/E1694,2),0)</f>
        <v/>
      </c>
      <c r="AY1694" s="76">
        <f>E1694*AX1694</f>
        <v/>
      </c>
      <c r="AZ1694" s="192">
        <f>S1694*(1+M1694)</f>
        <v/>
      </c>
      <c r="BA1694" s="76">
        <f>cost_fin_total*$BD1694</f>
        <v/>
      </c>
      <c r="BB1694" s="193">
        <f>credit_sales_interest*BD1694</f>
        <v/>
      </c>
      <c r="BC1694" s="102">
        <f>IFERROR(IF($I$13&gt;0,$I1694/$I$13,$S1694/$S$13),0)</f>
        <v/>
      </c>
      <c r="BD1694" s="102">
        <f>IFERROR($S1694/$S$13,0)</f>
        <v/>
      </c>
      <c r="BE1694" s="413" t="inlineStr">
        <is>
          <t>$</t>
        </is>
      </c>
    </row>
    <row r="1695" ht="12" customFormat="1" customHeight="1" s="65">
      <c r="A1695" s="43" t="n">
        <v>1680</v>
      </c>
      <c r="B1695" s="166" t="n"/>
      <c r="C1695" s="166" t="n"/>
      <c r="D1695" s="166" t="n"/>
      <c r="E1695" s="162" t="n"/>
      <c r="F1695" s="166" t="n"/>
      <c r="G1695" s="162" t="n"/>
      <c r="H1695" s="162" t="n"/>
      <c r="I1695" s="189">
        <f>E1695*G1695</f>
        <v/>
      </c>
      <c r="J1695" s="195" t="n"/>
      <c r="K1695" s="162" t="n"/>
      <c r="L1695" s="168" t="n"/>
      <c r="M1695" s="75">
        <f>_xlfn.XLOOKUP(L1695,list_vat[Страна],list_vat[Ставка НДС %],0,0)</f>
        <v/>
      </c>
      <c r="N1695" s="162">
        <f>IFERROR(IF(L1695="Китай",K1695,K1695/(1+M1695)),0)</f>
        <v/>
      </c>
      <c r="O1695" s="169" t="n"/>
      <c r="P1695" s="76">
        <f>N1695*(1-O1695)</f>
        <v/>
      </c>
      <c r="Q1695" s="162" t="n"/>
      <c r="R1695" s="162">
        <f>IF(ISBLANK(Q1695),"введи курс",P1695/Q1695)</f>
        <v/>
      </c>
      <c r="S1695" s="196">
        <f>IF(AND(ISNUMBER(E1695),ISNUMBER(Q1695)),E1695*R1695,0)</f>
        <v/>
      </c>
      <c r="T1695" s="192">
        <f>$BC1695*V$11</f>
        <v/>
      </c>
      <c r="U1695" s="76">
        <f>$BC1695*W$11</f>
        <v/>
      </c>
      <c r="V1695" s="193">
        <f>+SUM(T1695:U1695)</f>
        <v/>
      </c>
      <c r="W1695" s="191" t="n"/>
      <c r="X1695" s="170" t="n"/>
      <c r="Y1695" s="76">
        <f>ROUND(IF(offer_incoterms="DDP",X1695*(S1695*(1+AW1695)+T1695),0),2)</f>
        <v/>
      </c>
      <c r="Z1695" s="188" t="n"/>
      <c r="AA1695" s="192">
        <f>IFERROR(AB1695/E1695,0)</f>
        <v/>
      </c>
      <c r="AB1695" s="76">
        <f>ROUND(SUM(S1695,V1695,Y1695:Z1695,BA1695:BB1695),2)</f>
        <v/>
      </c>
      <c r="AC1695" s="797" t="n"/>
      <c r="AD1695" s="192">
        <f t="array" ref="AD1695">IFERROR(ROUND((_xlfn.IFS(offer_sale_type="поставка",AB1695,offer_sale_type="транзит",S1695)*(1+AC1695))/E1695,2),0)</f>
        <v/>
      </c>
      <c r="AE1695" s="76">
        <f>AD1695*E1695</f>
        <v/>
      </c>
      <c r="AF1695" s="193">
        <f t="array" ref="AF1695">IFERROR(ROUND(_xlfn.IFS(offer_sale_type="поставка",AB1695,offer_sale_type="транзит",S1695)*AC1695,2),0)</f>
        <v/>
      </c>
      <c r="AG1695" s="192">
        <f>$BD1695*VLOOKUP($AG$3,$AF$4:$AG$7,2,FALSE)</f>
        <v/>
      </c>
      <c r="AH1695" s="76">
        <f>SUM(AE1695,AG1695,AI1695)*rate_forex_risk</f>
        <v/>
      </c>
      <c r="AI1695" s="193">
        <f>IF(OR(seller_region="TR",offer_sale_type="экспорт"),0,rate_fin_comm)*SUM(AZ1695,AZ1695*AW1695,T1695)</f>
        <v/>
      </c>
      <c r="AJ1695" s="118">
        <f>IFERROR(ROUND(SUM(AB1695,AF1695:AI1695)/E1695,2),0)</f>
        <v/>
      </c>
      <c r="AK1695" s="76">
        <f>AJ1695*E1695</f>
        <v/>
      </c>
      <c r="AL1695" s="174">
        <f>ROUND(IFERROR(AM1695*E1695,0),2)</f>
        <v/>
      </c>
      <c r="AM1695" s="175">
        <f>ROUND(AJ1695*(1+IF(offer_incoterms="DDP",IF((TODAY()+offer_turnaround_time)&gt;=helpsheet!$L$17,rate_vatRU_from_26,rate_vatRu_till_25),0)),2)</f>
        <v/>
      </c>
      <c r="AN1695" s="192">
        <f>AL1695-AK1695</f>
        <v/>
      </c>
      <c r="AO1695" s="76">
        <f>SUM(AY1695,Y1695:Z1695,T1695)*IF(AND(offer_incoterms="DDP",offer_sale_type&lt;&gt;"экспорт"),IF((TODAY()+offer_turnaround_time)&gt;=helpsheet!$L$17,rate_vatRU_from_26,rate_vatRu_till_25),0)</f>
        <v/>
      </c>
      <c r="AP1695" s="193">
        <f>AN1695-AO1695</f>
        <v/>
      </c>
      <c r="AQ1695" s="118">
        <f>IF(offer_sale_type="транзит",SUM(AF1695:AI1695,BA1695,BB1695),0)</f>
        <v/>
      </c>
      <c r="AR1695" s="82">
        <f>HYPERLINK("https://www.alta.ru/tnved/code/")&amp;W1695&amp;"/"</f>
        <v/>
      </c>
      <c r="AS1695" s="157" t="n"/>
      <c r="AT1695" s="162" t="n"/>
      <c r="AU1695" s="76">
        <f>IF(ISBLANK(AT1695),0,AJ1695-AT1695)</f>
        <v/>
      </c>
      <c r="AV1695" s="157" t="n"/>
      <c r="AW1695" s="75">
        <f>_xlfn.IFNA(VLOOKUP(L1695,list_vat[],3,FALSE),0)</f>
        <v/>
      </c>
      <c r="AX1695" s="76">
        <f>IFERROR(ROUND(S1695*(1+AW1695)/E1695,2),0)</f>
        <v/>
      </c>
      <c r="AY1695" s="76">
        <f>E1695*AX1695</f>
        <v/>
      </c>
      <c r="AZ1695" s="192">
        <f>S1695*(1+M1695)</f>
        <v/>
      </c>
      <c r="BA1695" s="76">
        <f>cost_fin_total*$BD1695</f>
        <v/>
      </c>
      <c r="BB1695" s="193">
        <f>credit_sales_interest*BD1695</f>
        <v/>
      </c>
      <c r="BC1695" s="102">
        <f>IFERROR(IF($I$13&gt;0,$I1695/$I$13,$S1695/$S$13),0)</f>
        <v/>
      </c>
      <c r="BD1695" s="102">
        <f>IFERROR($S1695/$S$13,0)</f>
        <v/>
      </c>
      <c r="BE1695" s="413" t="inlineStr">
        <is>
          <t>$</t>
        </is>
      </c>
    </row>
    <row r="1696" ht="12" customFormat="1" customHeight="1" s="65">
      <c r="A1696" s="43" t="n">
        <v>1681</v>
      </c>
      <c r="B1696" s="166" t="n"/>
      <c r="C1696" s="166" t="n"/>
      <c r="D1696" s="166" t="n"/>
      <c r="E1696" s="162" t="n"/>
      <c r="F1696" s="166" t="n"/>
      <c r="G1696" s="162" t="n"/>
      <c r="H1696" s="162" t="n"/>
      <c r="I1696" s="189">
        <f>E1696*G1696</f>
        <v/>
      </c>
      <c r="J1696" s="195" t="n"/>
      <c r="K1696" s="162" t="n"/>
      <c r="L1696" s="168" t="n"/>
      <c r="M1696" s="75">
        <f>_xlfn.XLOOKUP(L1696,list_vat[Страна],list_vat[Ставка НДС %],0,0)</f>
        <v/>
      </c>
      <c r="N1696" s="162">
        <f>IFERROR(IF(L1696="Китай",K1696,K1696/(1+M1696)),0)</f>
        <v/>
      </c>
      <c r="O1696" s="169" t="n"/>
      <c r="P1696" s="76">
        <f>N1696*(1-O1696)</f>
        <v/>
      </c>
      <c r="Q1696" s="162" t="n"/>
      <c r="R1696" s="162">
        <f>IF(ISBLANK(Q1696),"введи курс",P1696/Q1696)</f>
        <v/>
      </c>
      <c r="S1696" s="196">
        <f>IF(AND(ISNUMBER(E1696),ISNUMBER(Q1696)),E1696*R1696,0)</f>
        <v/>
      </c>
      <c r="T1696" s="192">
        <f>$BC1696*V$11</f>
        <v/>
      </c>
      <c r="U1696" s="76">
        <f>$BC1696*W$11</f>
        <v/>
      </c>
      <c r="V1696" s="193">
        <f>+SUM(T1696:U1696)</f>
        <v/>
      </c>
      <c r="W1696" s="191" t="n"/>
      <c r="X1696" s="170" t="n"/>
      <c r="Y1696" s="76">
        <f>ROUND(IF(offer_incoterms="DDP",X1696*(S1696*(1+AW1696)+T1696),0),2)</f>
        <v/>
      </c>
      <c r="Z1696" s="188" t="n"/>
      <c r="AA1696" s="192">
        <f>IFERROR(AB1696/E1696,0)</f>
        <v/>
      </c>
      <c r="AB1696" s="76">
        <f>ROUND(SUM(S1696,V1696,Y1696:Z1696,BA1696:BB1696),2)</f>
        <v/>
      </c>
      <c r="AC1696" s="797" t="n"/>
      <c r="AD1696" s="192">
        <f t="array" ref="AD1696">IFERROR(ROUND((_xlfn.IFS(offer_sale_type="поставка",AB1696,offer_sale_type="транзит",S1696)*(1+AC1696))/E1696,2),0)</f>
        <v/>
      </c>
      <c r="AE1696" s="76">
        <f>AD1696*E1696</f>
        <v/>
      </c>
      <c r="AF1696" s="193">
        <f t="array" ref="AF1696">IFERROR(ROUND(_xlfn.IFS(offer_sale_type="поставка",AB1696,offer_sale_type="транзит",S1696)*AC1696,2),0)</f>
        <v/>
      </c>
      <c r="AG1696" s="192">
        <f>$BD1696*VLOOKUP($AG$3,$AF$4:$AG$7,2,FALSE)</f>
        <v/>
      </c>
      <c r="AH1696" s="76">
        <f>SUM(AE1696,AG1696,AI1696)*rate_forex_risk</f>
        <v/>
      </c>
      <c r="AI1696" s="193">
        <f>IF(OR(seller_region="TR",offer_sale_type="экспорт"),0,rate_fin_comm)*SUM(AZ1696,AZ1696*AW1696,T1696)</f>
        <v/>
      </c>
      <c r="AJ1696" s="118">
        <f>IFERROR(ROUND(SUM(AB1696,AF1696:AI1696)/E1696,2),0)</f>
        <v/>
      </c>
      <c r="AK1696" s="76">
        <f>AJ1696*E1696</f>
        <v/>
      </c>
      <c r="AL1696" s="174">
        <f>ROUND(IFERROR(AM1696*E1696,0),2)</f>
        <v/>
      </c>
      <c r="AM1696" s="175">
        <f>ROUND(AJ1696*(1+IF(offer_incoterms="DDP",IF((TODAY()+offer_turnaround_time)&gt;=helpsheet!$L$17,rate_vatRU_from_26,rate_vatRu_till_25),0)),2)</f>
        <v/>
      </c>
      <c r="AN1696" s="192">
        <f>AL1696-AK1696</f>
        <v/>
      </c>
      <c r="AO1696" s="76">
        <f>SUM(AY1696,Y1696:Z1696,T1696)*IF(AND(offer_incoterms="DDP",offer_sale_type&lt;&gt;"экспорт"),IF((TODAY()+offer_turnaround_time)&gt;=helpsheet!$L$17,rate_vatRU_from_26,rate_vatRu_till_25),0)</f>
        <v/>
      </c>
      <c r="AP1696" s="193">
        <f>AN1696-AO1696</f>
        <v/>
      </c>
      <c r="AQ1696" s="118">
        <f>IF(offer_sale_type="транзит",SUM(AF1696:AI1696,BA1696,BB1696),0)</f>
        <v/>
      </c>
      <c r="AR1696" s="82">
        <f>HYPERLINK("https://www.alta.ru/tnved/code/")&amp;W1696&amp;"/"</f>
        <v/>
      </c>
      <c r="AS1696" s="157" t="n"/>
      <c r="AT1696" s="162" t="n"/>
      <c r="AU1696" s="76">
        <f>IF(ISBLANK(AT1696),0,AJ1696-AT1696)</f>
        <v/>
      </c>
      <c r="AV1696" s="157" t="n"/>
      <c r="AW1696" s="75">
        <f>_xlfn.IFNA(VLOOKUP(L1696,list_vat[],3,FALSE),0)</f>
        <v/>
      </c>
      <c r="AX1696" s="76">
        <f>IFERROR(ROUND(S1696*(1+AW1696)/E1696,2),0)</f>
        <v/>
      </c>
      <c r="AY1696" s="76">
        <f>E1696*AX1696</f>
        <v/>
      </c>
      <c r="AZ1696" s="192">
        <f>S1696*(1+M1696)</f>
        <v/>
      </c>
      <c r="BA1696" s="76">
        <f>cost_fin_total*$BD1696</f>
        <v/>
      </c>
      <c r="BB1696" s="193">
        <f>credit_sales_interest*BD1696</f>
        <v/>
      </c>
      <c r="BC1696" s="102">
        <f>IFERROR(IF($I$13&gt;0,$I1696/$I$13,$S1696/$S$13),0)</f>
        <v/>
      </c>
      <c r="BD1696" s="102">
        <f>IFERROR($S1696/$S$13,0)</f>
        <v/>
      </c>
      <c r="BE1696" s="413" t="inlineStr">
        <is>
          <t>$</t>
        </is>
      </c>
    </row>
    <row r="1697" ht="12" customFormat="1" customHeight="1" s="65">
      <c r="A1697" s="43" t="n">
        <v>1682</v>
      </c>
      <c r="B1697" s="166" t="n"/>
      <c r="C1697" s="166" t="n"/>
      <c r="D1697" s="166" t="n"/>
      <c r="E1697" s="162" t="n"/>
      <c r="F1697" s="166" t="n"/>
      <c r="G1697" s="162" t="n"/>
      <c r="H1697" s="162" t="n"/>
      <c r="I1697" s="189">
        <f>E1697*G1697</f>
        <v/>
      </c>
      <c r="J1697" s="195" t="n"/>
      <c r="K1697" s="162" t="n"/>
      <c r="L1697" s="168" t="n"/>
      <c r="M1697" s="75">
        <f>_xlfn.XLOOKUP(L1697,list_vat[Страна],list_vat[Ставка НДС %],0,0)</f>
        <v/>
      </c>
      <c r="N1697" s="162">
        <f>IFERROR(IF(L1697="Китай",K1697,K1697/(1+M1697)),0)</f>
        <v/>
      </c>
      <c r="O1697" s="169" t="n"/>
      <c r="P1697" s="76">
        <f>N1697*(1-O1697)</f>
        <v/>
      </c>
      <c r="Q1697" s="162" t="n"/>
      <c r="R1697" s="162">
        <f>IF(ISBLANK(Q1697),"введи курс",P1697/Q1697)</f>
        <v/>
      </c>
      <c r="S1697" s="196">
        <f>IF(AND(ISNUMBER(E1697),ISNUMBER(Q1697)),E1697*R1697,0)</f>
        <v/>
      </c>
      <c r="T1697" s="192">
        <f>$BC1697*V$11</f>
        <v/>
      </c>
      <c r="U1697" s="76">
        <f>$BC1697*W$11</f>
        <v/>
      </c>
      <c r="V1697" s="193">
        <f>+SUM(T1697:U1697)</f>
        <v/>
      </c>
      <c r="W1697" s="191" t="n"/>
      <c r="X1697" s="170" t="n"/>
      <c r="Y1697" s="76">
        <f>ROUND(IF(offer_incoterms="DDP",X1697*(S1697*(1+AW1697)+T1697),0),2)</f>
        <v/>
      </c>
      <c r="Z1697" s="188" t="n"/>
      <c r="AA1697" s="192">
        <f>IFERROR(AB1697/E1697,0)</f>
        <v/>
      </c>
      <c r="AB1697" s="76">
        <f>ROUND(SUM(S1697,V1697,Y1697:Z1697,BA1697:BB1697),2)</f>
        <v/>
      </c>
      <c r="AC1697" s="797" t="n"/>
      <c r="AD1697" s="192">
        <f t="array" ref="AD1697">IFERROR(ROUND((_xlfn.IFS(offer_sale_type="поставка",AB1697,offer_sale_type="транзит",S1697)*(1+AC1697))/E1697,2),0)</f>
        <v/>
      </c>
      <c r="AE1697" s="76">
        <f>AD1697*E1697</f>
        <v/>
      </c>
      <c r="AF1697" s="193">
        <f t="array" ref="AF1697">IFERROR(ROUND(_xlfn.IFS(offer_sale_type="поставка",AB1697,offer_sale_type="транзит",S1697)*AC1697,2),0)</f>
        <v/>
      </c>
      <c r="AG1697" s="192">
        <f>$BD1697*VLOOKUP($AG$3,$AF$4:$AG$7,2,FALSE)</f>
        <v/>
      </c>
      <c r="AH1697" s="76">
        <f>SUM(AE1697,AG1697,AI1697)*rate_forex_risk</f>
        <v/>
      </c>
      <c r="AI1697" s="193">
        <f>IF(OR(seller_region="TR",offer_sale_type="экспорт"),0,rate_fin_comm)*SUM(AZ1697,AZ1697*AW1697,T1697)</f>
        <v/>
      </c>
      <c r="AJ1697" s="118">
        <f>IFERROR(ROUND(SUM(AB1697,AF1697:AI1697)/E1697,2),0)</f>
        <v/>
      </c>
      <c r="AK1697" s="76">
        <f>AJ1697*E1697</f>
        <v/>
      </c>
      <c r="AL1697" s="174">
        <f>ROUND(IFERROR(AM1697*E1697,0),2)</f>
        <v/>
      </c>
      <c r="AM1697" s="175">
        <f>ROUND(AJ1697*(1+IF(offer_incoterms="DDP",IF((TODAY()+offer_turnaround_time)&gt;=helpsheet!$L$17,rate_vatRU_from_26,rate_vatRu_till_25),0)),2)</f>
        <v/>
      </c>
      <c r="AN1697" s="192">
        <f>AL1697-AK1697</f>
        <v/>
      </c>
      <c r="AO1697" s="76">
        <f>SUM(AY1697,Y1697:Z1697,T1697)*IF(AND(offer_incoterms="DDP",offer_sale_type&lt;&gt;"экспорт"),IF((TODAY()+offer_turnaround_time)&gt;=helpsheet!$L$17,rate_vatRU_from_26,rate_vatRu_till_25),0)</f>
        <v/>
      </c>
      <c r="AP1697" s="193">
        <f>AN1697-AO1697</f>
        <v/>
      </c>
      <c r="AQ1697" s="118">
        <f>IF(offer_sale_type="транзит",SUM(AF1697:AI1697,BA1697,BB1697),0)</f>
        <v/>
      </c>
      <c r="AR1697" s="82">
        <f>HYPERLINK("https://www.alta.ru/tnved/code/")&amp;W1697&amp;"/"</f>
        <v/>
      </c>
      <c r="AS1697" s="157" t="n"/>
      <c r="AT1697" s="162" t="n"/>
      <c r="AU1697" s="76">
        <f>IF(ISBLANK(AT1697),0,AJ1697-AT1697)</f>
        <v/>
      </c>
      <c r="AV1697" s="157" t="n"/>
      <c r="AW1697" s="75">
        <f>_xlfn.IFNA(VLOOKUP(L1697,list_vat[],3,FALSE),0)</f>
        <v/>
      </c>
      <c r="AX1697" s="76">
        <f>IFERROR(ROUND(S1697*(1+AW1697)/E1697,2),0)</f>
        <v/>
      </c>
      <c r="AY1697" s="76">
        <f>E1697*AX1697</f>
        <v/>
      </c>
      <c r="AZ1697" s="192">
        <f>S1697*(1+M1697)</f>
        <v/>
      </c>
      <c r="BA1697" s="76">
        <f>cost_fin_total*$BD1697</f>
        <v/>
      </c>
      <c r="BB1697" s="193">
        <f>credit_sales_interest*BD1697</f>
        <v/>
      </c>
      <c r="BC1697" s="102">
        <f>IFERROR(IF($I$13&gt;0,$I1697/$I$13,$S1697/$S$13),0)</f>
        <v/>
      </c>
      <c r="BD1697" s="102">
        <f>IFERROR($S1697/$S$13,0)</f>
        <v/>
      </c>
      <c r="BE1697" s="413" t="inlineStr">
        <is>
          <t>$</t>
        </is>
      </c>
    </row>
    <row r="1698" ht="12" customFormat="1" customHeight="1" s="65">
      <c r="A1698" s="43" t="n">
        <v>1683</v>
      </c>
      <c r="B1698" s="166" t="n"/>
      <c r="C1698" s="166" t="n"/>
      <c r="D1698" s="166" t="n"/>
      <c r="E1698" s="162" t="n"/>
      <c r="F1698" s="166" t="n"/>
      <c r="G1698" s="162" t="n"/>
      <c r="H1698" s="162" t="n"/>
      <c r="I1698" s="189">
        <f>E1698*G1698</f>
        <v/>
      </c>
      <c r="J1698" s="195" t="n"/>
      <c r="K1698" s="162" t="n"/>
      <c r="L1698" s="168" t="n"/>
      <c r="M1698" s="75">
        <f>_xlfn.XLOOKUP(L1698,list_vat[Страна],list_vat[Ставка НДС %],0,0)</f>
        <v/>
      </c>
      <c r="N1698" s="162">
        <f>IFERROR(IF(L1698="Китай",K1698,K1698/(1+M1698)),0)</f>
        <v/>
      </c>
      <c r="O1698" s="169" t="n"/>
      <c r="P1698" s="76">
        <f>N1698*(1-O1698)</f>
        <v/>
      </c>
      <c r="Q1698" s="162" t="n"/>
      <c r="R1698" s="162">
        <f>IF(ISBLANK(Q1698),"введи курс",P1698/Q1698)</f>
        <v/>
      </c>
      <c r="S1698" s="196">
        <f>IF(AND(ISNUMBER(E1698),ISNUMBER(Q1698)),E1698*R1698,0)</f>
        <v/>
      </c>
      <c r="T1698" s="192">
        <f>$BC1698*V$11</f>
        <v/>
      </c>
      <c r="U1698" s="76">
        <f>$BC1698*W$11</f>
        <v/>
      </c>
      <c r="V1698" s="193">
        <f>+SUM(T1698:U1698)</f>
        <v/>
      </c>
      <c r="W1698" s="191" t="n"/>
      <c r="X1698" s="170" t="n"/>
      <c r="Y1698" s="76">
        <f>ROUND(IF(offer_incoterms="DDP",X1698*(S1698*(1+AW1698)+T1698),0),2)</f>
        <v/>
      </c>
      <c r="Z1698" s="188" t="n"/>
      <c r="AA1698" s="192">
        <f>IFERROR(AB1698/E1698,0)</f>
        <v/>
      </c>
      <c r="AB1698" s="76">
        <f>ROUND(SUM(S1698,V1698,Y1698:Z1698,BA1698:BB1698),2)</f>
        <v/>
      </c>
      <c r="AC1698" s="797" t="n"/>
      <c r="AD1698" s="192">
        <f t="array" ref="AD1698">IFERROR(ROUND((_xlfn.IFS(offer_sale_type="поставка",AB1698,offer_sale_type="транзит",S1698)*(1+AC1698))/E1698,2),0)</f>
        <v/>
      </c>
      <c r="AE1698" s="76">
        <f>AD1698*E1698</f>
        <v/>
      </c>
      <c r="AF1698" s="193">
        <f t="array" ref="AF1698">IFERROR(ROUND(_xlfn.IFS(offer_sale_type="поставка",AB1698,offer_sale_type="транзит",S1698)*AC1698,2),0)</f>
        <v/>
      </c>
      <c r="AG1698" s="192">
        <f>$BD1698*VLOOKUP($AG$3,$AF$4:$AG$7,2,FALSE)</f>
        <v/>
      </c>
      <c r="AH1698" s="76">
        <f>SUM(AE1698,AG1698,AI1698)*rate_forex_risk</f>
        <v/>
      </c>
      <c r="AI1698" s="193">
        <f>IF(OR(seller_region="TR",offer_sale_type="экспорт"),0,rate_fin_comm)*SUM(AZ1698,AZ1698*AW1698,T1698)</f>
        <v/>
      </c>
      <c r="AJ1698" s="118">
        <f>IFERROR(ROUND(SUM(AB1698,AF1698:AI1698)/E1698,2),0)</f>
        <v/>
      </c>
      <c r="AK1698" s="76">
        <f>AJ1698*E1698</f>
        <v/>
      </c>
      <c r="AL1698" s="174">
        <f>ROUND(IFERROR(AM1698*E1698,0),2)</f>
        <v/>
      </c>
      <c r="AM1698" s="175">
        <f>ROUND(AJ1698*(1+IF(offer_incoterms="DDP",IF((TODAY()+offer_turnaround_time)&gt;=helpsheet!$L$17,rate_vatRU_from_26,rate_vatRu_till_25),0)),2)</f>
        <v/>
      </c>
      <c r="AN1698" s="192">
        <f>AL1698-AK1698</f>
        <v/>
      </c>
      <c r="AO1698" s="76">
        <f>SUM(AY1698,Y1698:Z1698,T1698)*IF(AND(offer_incoterms="DDP",offer_sale_type&lt;&gt;"экспорт"),IF((TODAY()+offer_turnaround_time)&gt;=helpsheet!$L$17,rate_vatRU_from_26,rate_vatRu_till_25),0)</f>
        <v/>
      </c>
      <c r="AP1698" s="193">
        <f>AN1698-AO1698</f>
        <v/>
      </c>
      <c r="AQ1698" s="118">
        <f>IF(offer_sale_type="транзит",SUM(AF1698:AI1698,BA1698,BB1698),0)</f>
        <v/>
      </c>
      <c r="AR1698" s="82">
        <f>HYPERLINK("https://www.alta.ru/tnved/code/")&amp;W1698&amp;"/"</f>
        <v/>
      </c>
      <c r="AS1698" s="157" t="n"/>
      <c r="AT1698" s="162" t="n"/>
      <c r="AU1698" s="76">
        <f>IF(ISBLANK(AT1698),0,AJ1698-AT1698)</f>
        <v/>
      </c>
      <c r="AV1698" s="157" t="n"/>
      <c r="AW1698" s="75">
        <f>_xlfn.IFNA(VLOOKUP(L1698,list_vat[],3,FALSE),0)</f>
        <v/>
      </c>
      <c r="AX1698" s="76">
        <f>IFERROR(ROUND(S1698*(1+AW1698)/E1698,2),0)</f>
        <v/>
      </c>
      <c r="AY1698" s="76">
        <f>E1698*AX1698</f>
        <v/>
      </c>
      <c r="AZ1698" s="192">
        <f>S1698*(1+M1698)</f>
        <v/>
      </c>
      <c r="BA1698" s="76">
        <f>cost_fin_total*$BD1698</f>
        <v/>
      </c>
      <c r="BB1698" s="193">
        <f>credit_sales_interest*BD1698</f>
        <v/>
      </c>
      <c r="BC1698" s="102">
        <f>IFERROR(IF($I$13&gt;0,$I1698/$I$13,$S1698/$S$13),0)</f>
        <v/>
      </c>
      <c r="BD1698" s="102">
        <f>IFERROR($S1698/$S$13,0)</f>
        <v/>
      </c>
      <c r="BE1698" s="413" t="inlineStr">
        <is>
          <t>$</t>
        </is>
      </c>
    </row>
    <row r="1699" ht="12" customFormat="1" customHeight="1" s="65">
      <c r="A1699" s="43" t="n">
        <v>1684</v>
      </c>
      <c r="B1699" s="166" t="n"/>
      <c r="C1699" s="166" t="n"/>
      <c r="D1699" s="166" t="n"/>
      <c r="E1699" s="162" t="n"/>
      <c r="F1699" s="166" t="n"/>
      <c r="G1699" s="162" t="n"/>
      <c r="H1699" s="162" t="n"/>
      <c r="I1699" s="189">
        <f>E1699*G1699</f>
        <v/>
      </c>
      <c r="J1699" s="195" t="n"/>
      <c r="K1699" s="162" t="n"/>
      <c r="L1699" s="168" t="n"/>
      <c r="M1699" s="75">
        <f>_xlfn.XLOOKUP(L1699,list_vat[Страна],list_vat[Ставка НДС %],0,0)</f>
        <v/>
      </c>
      <c r="N1699" s="162">
        <f>IFERROR(IF(L1699="Китай",K1699,K1699/(1+M1699)),0)</f>
        <v/>
      </c>
      <c r="O1699" s="169" t="n"/>
      <c r="P1699" s="76">
        <f>N1699*(1-O1699)</f>
        <v/>
      </c>
      <c r="Q1699" s="162" t="n"/>
      <c r="R1699" s="162">
        <f>IF(ISBLANK(Q1699),"введи курс",P1699/Q1699)</f>
        <v/>
      </c>
      <c r="S1699" s="196">
        <f>IF(AND(ISNUMBER(E1699),ISNUMBER(Q1699)),E1699*R1699,0)</f>
        <v/>
      </c>
      <c r="T1699" s="192">
        <f>$BC1699*V$11</f>
        <v/>
      </c>
      <c r="U1699" s="76">
        <f>$BC1699*W$11</f>
        <v/>
      </c>
      <c r="V1699" s="193">
        <f>+SUM(T1699:U1699)</f>
        <v/>
      </c>
      <c r="W1699" s="191" t="n"/>
      <c r="X1699" s="170" t="n"/>
      <c r="Y1699" s="76">
        <f>ROUND(IF(offer_incoterms="DDP",X1699*(S1699*(1+AW1699)+T1699),0),2)</f>
        <v/>
      </c>
      <c r="Z1699" s="188" t="n"/>
      <c r="AA1699" s="192">
        <f>IFERROR(AB1699/E1699,0)</f>
        <v/>
      </c>
      <c r="AB1699" s="76">
        <f>ROUND(SUM(S1699,V1699,Y1699:Z1699,BA1699:BB1699),2)</f>
        <v/>
      </c>
      <c r="AC1699" s="797" t="n"/>
      <c r="AD1699" s="192">
        <f t="array" ref="AD1699">IFERROR(ROUND((_xlfn.IFS(offer_sale_type="поставка",AB1699,offer_sale_type="транзит",S1699)*(1+AC1699))/E1699,2),0)</f>
        <v/>
      </c>
      <c r="AE1699" s="76">
        <f>AD1699*E1699</f>
        <v/>
      </c>
      <c r="AF1699" s="193">
        <f t="array" ref="AF1699">IFERROR(ROUND(_xlfn.IFS(offer_sale_type="поставка",AB1699,offer_sale_type="транзит",S1699)*AC1699,2),0)</f>
        <v/>
      </c>
      <c r="AG1699" s="192">
        <f>$BD1699*VLOOKUP($AG$3,$AF$4:$AG$7,2,FALSE)</f>
        <v/>
      </c>
      <c r="AH1699" s="76">
        <f>SUM(AE1699,AG1699,AI1699)*rate_forex_risk</f>
        <v/>
      </c>
      <c r="AI1699" s="193">
        <f>IF(OR(seller_region="TR",offer_sale_type="экспорт"),0,rate_fin_comm)*SUM(AZ1699,AZ1699*AW1699,T1699)</f>
        <v/>
      </c>
      <c r="AJ1699" s="118">
        <f>IFERROR(ROUND(SUM(AB1699,AF1699:AI1699)/E1699,2),0)</f>
        <v/>
      </c>
      <c r="AK1699" s="76">
        <f>AJ1699*E1699</f>
        <v/>
      </c>
      <c r="AL1699" s="174">
        <f>ROUND(IFERROR(AM1699*E1699,0),2)</f>
        <v/>
      </c>
      <c r="AM1699" s="175">
        <f>ROUND(AJ1699*(1+IF(offer_incoterms="DDP",IF((TODAY()+offer_turnaround_time)&gt;=helpsheet!$L$17,rate_vatRU_from_26,rate_vatRu_till_25),0)),2)</f>
        <v/>
      </c>
      <c r="AN1699" s="192">
        <f>AL1699-AK1699</f>
        <v/>
      </c>
      <c r="AO1699" s="76">
        <f>SUM(AY1699,Y1699:Z1699,T1699)*IF(AND(offer_incoterms="DDP",offer_sale_type&lt;&gt;"экспорт"),IF((TODAY()+offer_turnaround_time)&gt;=helpsheet!$L$17,rate_vatRU_from_26,rate_vatRu_till_25),0)</f>
        <v/>
      </c>
      <c r="AP1699" s="193">
        <f>AN1699-AO1699</f>
        <v/>
      </c>
      <c r="AQ1699" s="118">
        <f>IF(offer_sale_type="транзит",SUM(AF1699:AI1699,BA1699,BB1699),0)</f>
        <v/>
      </c>
      <c r="AR1699" s="82">
        <f>HYPERLINK("https://www.alta.ru/tnved/code/")&amp;W1699&amp;"/"</f>
        <v/>
      </c>
      <c r="AS1699" s="157" t="n"/>
      <c r="AT1699" s="162" t="n"/>
      <c r="AU1699" s="76">
        <f>IF(ISBLANK(AT1699),0,AJ1699-AT1699)</f>
        <v/>
      </c>
      <c r="AV1699" s="157" t="n"/>
      <c r="AW1699" s="75">
        <f>_xlfn.IFNA(VLOOKUP(L1699,list_vat[],3,FALSE),0)</f>
        <v/>
      </c>
      <c r="AX1699" s="76">
        <f>IFERROR(ROUND(S1699*(1+AW1699)/E1699,2),0)</f>
        <v/>
      </c>
      <c r="AY1699" s="76">
        <f>E1699*AX1699</f>
        <v/>
      </c>
      <c r="AZ1699" s="192">
        <f>S1699*(1+M1699)</f>
        <v/>
      </c>
      <c r="BA1699" s="76">
        <f>cost_fin_total*$BD1699</f>
        <v/>
      </c>
      <c r="BB1699" s="193">
        <f>credit_sales_interest*BD1699</f>
        <v/>
      </c>
      <c r="BC1699" s="102">
        <f>IFERROR(IF($I$13&gt;0,$I1699/$I$13,$S1699/$S$13),0)</f>
        <v/>
      </c>
      <c r="BD1699" s="102">
        <f>IFERROR($S1699/$S$13,0)</f>
        <v/>
      </c>
      <c r="BE1699" s="413" t="inlineStr">
        <is>
          <t>$</t>
        </is>
      </c>
    </row>
    <row r="1700" ht="12" customFormat="1" customHeight="1" s="65">
      <c r="A1700" s="43" t="n">
        <v>1685</v>
      </c>
      <c r="B1700" s="166" t="n"/>
      <c r="C1700" s="166" t="n"/>
      <c r="D1700" s="166" t="n"/>
      <c r="E1700" s="162" t="n"/>
      <c r="F1700" s="166" t="n"/>
      <c r="G1700" s="162" t="n"/>
      <c r="H1700" s="162" t="n"/>
      <c r="I1700" s="189">
        <f>E1700*G1700</f>
        <v/>
      </c>
      <c r="J1700" s="195" t="n"/>
      <c r="K1700" s="162" t="n"/>
      <c r="L1700" s="168" t="n"/>
      <c r="M1700" s="75">
        <f>_xlfn.XLOOKUP(L1700,list_vat[Страна],list_vat[Ставка НДС %],0,0)</f>
        <v/>
      </c>
      <c r="N1700" s="162">
        <f>IFERROR(IF(L1700="Китай",K1700,K1700/(1+M1700)),0)</f>
        <v/>
      </c>
      <c r="O1700" s="169" t="n"/>
      <c r="P1700" s="76">
        <f>N1700*(1-O1700)</f>
        <v/>
      </c>
      <c r="Q1700" s="162" t="n"/>
      <c r="R1700" s="162">
        <f>IF(ISBLANK(Q1700),"введи курс",P1700/Q1700)</f>
        <v/>
      </c>
      <c r="S1700" s="196">
        <f>IF(AND(ISNUMBER(E1700),ISNUMBER(Q1700)),E1700*R1700,0)</f>
        <v/>
      </c>
      <c r="T1700" s="192">
        <f>$BC1700*V$11</f>
        <v/>
      </c>
      <c r="U1700" s="76">
        <f>$BC1700*W$11</f>
        <v/>
      </c>
      <c r="V1700" s="193">
        <f>+SUM(T1700:U1700)</f>
        <v/>
      </c>
      <c r="W1700" s="191" t="n"/>
      <c r="X1700" s="170" t="n"/>
      <c r="Y1700" s="76">
        <f>ROUND(IF(offer_incoterms="DDP",X1700*(S1700*(1+AW1700)+T1700),0),2)</f>
        <v/>
      </c>
      <c r="Z1700" s="188" t="n"/>
      <c r="AA1700" s="192">
        <f>IFERROR(AB1700/E1700,0)</f>
        <v/>
      </c>
      <c r="AB1700" s="76">
        <f>ROUND(SUM(S1700,V1700,Y1700:Z1700,BA1700:BB1700),2)</f>
        <v/>
      </c>
      <c r="AC1700" s="797" t="n"/>
      <c r="AD1700" s="192">
        <f t="array" ref="AD1700">IFERROR(ROUND((_xlfn.IFS(offer_sale_type="поставка",AB1700,offer_sale_type="транзит",S1700)*(1+AC1700))/E1700,2),0)</f>
        <v/>
      </c>
      <c r="AE1700" s="76">
        <f>AD1700*E1700</f>
        <v/>
      </c>
      <c r="AF1700" s="193">
        <f t="array" ref="AF1700">IFERROR(ROUND(_xlfn.IFS(offer_sale_type="поставка",AB1700,offer_sale_type="транзит",S1700)*AC1700,2),0)</f>
        <v/>
      </c>
      <c r="AG1700" s="192">
        <f>$BD1700*VLOOKUP($AG$3,$AF$4:$AG$7,2,FALSE)</f>
        <v/>
      </c>
      <c r="AH1700" s="76">
        <f>SUM(AE1700,AG1700,AI1700)*rate_forex_risk</f>
        <v/>
      </c>
      <c r="AI1700" s="193">
        <f>IF(OR(seller_region="TR",offer_sale_type="экспорт"),0,rate_fin_comm)*SUM(AZ1700,AZ1700*AW1700,T1700)</f>
        <v/>
      </c>
      <c r="AJ1700" s="118">
        <f>IFERROR(ROUND(SUM(AB1700,AF1700:AI1700)/E1700,2),0)</f>
        <v/>
      </c>
      <c r="AK1700" s="76">
        <f>AJ1700*E1700</f>
        <v/>
      </c>
      <c r="AL1700" s="174">
        <f>ROUND(IFERROR(AM1700*E1700,0),2)</f>
        <v/>
      </c>
      <c r="AM1700" s="175">
        <f>ROUND(AJ1700*(1+IF(offer_incoterms="DDP",IF((TODAY()+offer_turnaround_time)&gt;=helpsheet!$L$17,rate_vatRU_from_26,rate_vatRu_till_25),0)),2)</f>
        <v/>
      </c>
      <c r="AN1700" s="192">
        <f>AL1700-AK1700</f>
        <v/>
      </c>
      <c r="AO1700" s="76">
        <f>SUM(AY1700,Y1700:Z1700,T1700)*IF(AND(offer_incoterms="DDP",offer_sale_type&lt;&gt;"экспорт"),IF((TODAY()+offer_turnaround_time)&gt;=helpsheet!$L$17,rate_vatRU_from_26,rate_vatRu_till_25),0)</f>
        <v/>
      </c>
      <c r="AP1700" s="193">
        <f>AN1700-AO1700</f>
        <v/>
      </c>
      <c r="AQ1700" s="118">
        <f>IF(offer_sale_type="транзит",SUM(AF1700:AI1700,BA1700,BB1700),0)</f>
        <v/>
      </c>
      <c r="AR1700" s="82">
        <f>HYPERLINK("https://www.alta.ru/tnved/code/")&amp;W1700&amp;"/"</f>
        <v/>
      </c>
      <c r="AS1700" s="157" t="n"/>
      <c r="AT1700" s="162" t="n"/>
      <c r="AU1700" s="76">
        <f>IF(ISBLANK(AT1700),0,AJ1700-AT1700)</f>
        <v/>
      </c>
      <c r="AV1700" s="157" t="n"/>
      <c r="AW1700" s="75">
        <f>_xlfn.IFNA(VLOOKUP(L1700,list_vat[],3,FALSE),0)</f>
        <v/>
      </c>
      <c r="AX1700" s="76">
        <f>IFERROR(ROUND(S1700*(1+AW1700)/E1700,2),0)</f>
        <v/>
      </c>
      <c r="AY1700" s="76">
        <f>E1700*AX1700</f>
        <v/>
      </c>
      <c r="AZ1700" s="192">
        <f>S1700*(1+M1700)</f>
        <v/>
      </c>
      <c r="BA1700" s="76">
        <f>cost_fin_total*$BD1700</f>
        <v/>
      </c>
      <c r="BB1700" s="193">
        <f>credit_sales_interest*BD1700</f>
        <v/>
      </c>
      <c r="BC1700" s="102">
        <f>IFERROR(IF($I$13&gt;0,$I1700/$I$13,$S1700/$S$13),0)</f>
        <v/>
      </c>
      <c r="BD1700" s="102">
        <f>IFERROR($S1700/$S$13,0)</f>
        <v/>
      </c>
      <c r="BE1700" s="413" t="inlineStr">
        <is>
          <t>$</t>
        </is>
      </c>
    </row>
    <row r="1701" ht="12" customFormat="1" customHeight="1" s="65">
      <c r="A1701" s="43" t="n">
        <v>1686</v>
      </c>
      <c r="B1701" s="166" t="n"/>
      <c r="C1701" s="166" t="n"/>
      <c r="D1701" s="166" t="n"/>
      <c r="E1701" s="162" t="n"/>
      <c r="F1701" s="166" t="n"/>
      <c r="G1701" s="162" t="n"/>
      <c r="H1701" s="162" t="n"/>
      <c r="I1701" s="189">
        <f>E1701*G1701</f>
        <v/>
      </c>
      <c r="J1701" s="195" t="n"/>
      <c r="K1701" s="162" t="n"/>
      <c r="L1701" s="168" t="n"/>
      <c r="M1701" s="75">
        <f>_xlfn.XLOOKUP(L1701,list_vat[Страна],list_vat[Ставка НДС %],0,0)</f>
        <v/>
      </c>
      <c r="N1701" s="162">
        <f>IFERROR(IF(L1701="Китай",K1701,K1701/(1+M1701)),0)</f>
        <v/>
      </c>
      <c r="O1701" s="169" t="n"/>
      <c r="P1701" s="76">
        <f>N1701*(1-O1701)</f>
        <v/>
      </c>
      <c r="Q1701" s="162" t="n"/>
      <c r="R1701" s="162">
        <f>IF(ISBLANK(Q1701),"введи курс",P1701/Q1701)</f>
        <v/>
      </c>
      <c r="S1701" s="196">
        <f>IF(AND(ISNUMBER(E1701),ISNUMBER(Q1701)),E1701*R1701,0)</f>
        <v/>
      </c>
      <c r="T1701" s="192">
        <f>$BC1701*V$11</f>
        <v/>
      </c>
      <c r="U1701" s="76">
        <f>$BC1701*W$11</f>
        <v/>
      </c>
      <c r="V1701" s="193">
        <f>+SUM(T1701:U1701)</f>
        <v/>
      </c>
      <c r="W1701" s="191" t="n"/>
      <c r="X1701" s="170" t="n"/>
      <c r="Y1701" s="76">
        <f>ROUND(IF(offer_incoterms="DDP",X1701*(S1701*(1+AW1701)+T1701),0),2)</f>
        <v/>
      </c>
      <c r="Z1701" s="188" t="n"/>
      <c r="AA1701" s="192">
        <f>IFERROR(AB1701/E1701,0)</f>
        <v/>
      </c>
      <c r="AB1701" s="76">
        <f>ROUND(SUM(S1701,V1701,Y1701:Z1701,BA1701:BB1701),2)</f>
        <v/>
      </c>
      <c r="AC1701" s="797" t="n"/>
      <c r="AD1701" s="192">
        <f t="array" ref="AD1701">IFERROR(ROUND((_xlfn.IFS(offer_sale_type="поставка",AB1701,offer_sale_type="транзит",S1701)*(1+AC1701))/E1701,2),0)</f>
        <v/>
      </c>
      <c r="AE1701" s="76">
        <f>AD1701*E1701</f>
        <v/>
      </c>
      <c r="AF1701" s="193">
        <f t="array" ref="AF1701">IFERROR(ROUND(_xlfn.IFS(offer_sale_type="поставка",AB1701,offer_sale_type="транзит",S1701)*AC1701,2),0)</f>
        <v/>
      </c>
      <c r="AG1701" s="192">
        <f>$BD1701*VLOOKUP($AG$3,$AF$4:$AG$7,2,FALSE)</f>
        <v/>
      </c>
      <c r="AH1701" s="76">
        <f>SUM(AE1701,AG1701,AI1701)*rate_forex_risk</f>
        <v/>
      </c>
      <c r="AI1701" s="193">
        <f>IF(OR(seller_region="TR",offer_sale_type="экспорт"),0,rate_fin_comm)*SUM(AZ1701,AZ1701*AW1701,T1701)</f>
        <v/>
      </c>
      <c r="AJ1701" s="118">
        <f>IFERROR(ROUND(SUM(AB1701,AF1701:AI1701)/E1701,2),0)</f>
        <v/>
      </c>
      <c r="AK1701" s="76">
        <f>AJ1701*E1701</f>
        <v/>
      </c>
      <c r="AL1701" s="174">
        <f>ROUND(IFERROR(AM1701*E1701,0),2)</f>
        <v/>
      </c>
      <c r="AM1701" s="175">
        <f>ROUND(AJ1701*(1+IF(offer_incoterms="DDP",IF((TODAY()+offer_turnaround_time)&gt;=helpsheet!$L$17,rate_vatRU_from_26,rate_vatRu_till_25),0)),2)</f>
        <v/>
      </c>
      <c r="AN1701" s="192">
        <f>AL1701-AK1701</f>
        <v/>
      </c>
      <c r="AO1701" s="76">
        <f>SUM(AY1701,Y1701:Z1701,T1701)*IF(AND(offer_incoterms="DDP",offer_sale_type&lt;&gt;"экспорт"),IF((TODAY()+offer_turnaround_time)&gt;=helpsheet!$L$17,rate_vatRU_from_26,rate_vatRu_till_25),0)</f>
        <v/>
      </c>
      <c r="AP1701" s="193">
        <f>AN1701-AO1701</f>
        <v/>
      </c>
      <c r="AQ1701" s="118">
        <f>IF(offer_sale_type="транзит",SUM(AF1701:AI1701,BA1701,BB1701),0)</f>
        <v/>
      </c>
      <c r="AR1701" s="82">
        <f>HYPERLINK("https://www.alta.ru/tnved/code/")&amp;W1701&amp;"/"</f>
        <v/>
      </c>
      <c r="AS1701" s="157" t="n"/>
      <c r="AT1701" s="162" t="n"/>
      <c r="AU1701" s="76">
        <f>IF(ISBLANK(AT1701),0,AJ1701-AT1701)</f>
        <v/>
      </c>
      <c r="AV1701" s="157" t="n"/>
      <c r="AW1701" s="75">
        <f>_xlfn.IFNA(VLOOKUP(L1701,list_vat[],3,FALSE),0)</f>
        <v/>
      </c>
      <c r="AX1701" s="76">
        <f>IFERROR(ROUND(S1701*(1+AW1701)/E1701,2),0)</f>
        <v/>
      </c>
      <c r="AY1701" s="76">
        <f>E1701*AX1701</f>
        <v/>
      </c>
      <c r="AZ1701" s="192">
        <f>S1701*(1+M1701)</f>
        <v/>
      </c>
      <c r="BA1701" s="76">
        <f>cost_fin_total*$BD1701</f>
        <v/>
      </c>
      <c r="BB1701" s="193">
        <f>credit_sales_interest*BD1701</f>
        <v/>
      </c>
      <c r="BC1701" s="102">
        <f>IFERROR(IF($I$13&gt;0,$I1701/$I$13,$S1701/$S$13),0)</f>
        <v/>
      </c>
      <c r="BD1701" s="102">
        <f>IFERROR($S1701/$S$13,0)</f>
        <v/>
      </c>
      <c r="BE1701" s="413" t="inlineStr">
        <is>
          <t>$</t>
        </is>
      </c>
    </row>
    <row r="1702" ht="12" customFormat="1" customHeight="1" s="65">
      <c r="A1702" s="43" t="n">
        <v>1687</v>
      </c>
      <c r="B1702" s="166" t="n"/>
      <c r="C1702" s="166" t="n"/>
      <c r="D1702" s="166" t="n"/>
      <c r="E1702" s="162" t="n"/>
      <c r="F1702" s="166" t="n"/>
      <c r="G1702" s="162" t="n"/>
      <c r="H1702" s="162" t="n"/>
      <c r="I1702" s="189">
        <f>E1702*G1702</f>
        <v/>
      </c>
      <c r="J1702" s="195" t="n"/>
      <c r="K1702" s="162" t="n"/>
      <c r="L1702" s="168" t="n"/>
      <c r="M1702" s="75">
        <f>_xlfn.XLOOKUP(L1702,list_vat[Страна],list_vat[Ставка НДС %],0,0)</f>
        <v/>
      </c>
      <c r="N1702" s="162">
        <f>IFERROR(IF(L1702="Китай",K1702,K1702/(1+M1702)),0)</f>
        <v/>
      </c>
      <c r="O1702" s="169" t="n"/>
      <c r="P1702" s="76">
        <f>N1702*(1-O1702)</f>
        <v/>
      </c>
      <c r="Q1702" s="162" t="n"/>
      <c r="R1702" s="162">
        <f>IF(ISBLANK(Q1702),"введи курс",P1702/Q1702)</f>
        <v/>
      </c>
      <c r="S1702" s="196">
        <f>IF(AND(ISNUMBER(E1702),ISNUMBER(Q1702)),E1702*R1702,0)</f>
        <v/>
      </c>
      <c r="T1702" s="192">
        <f>$BC1702*V$11</f>
        <v/>
      </c>
      <c r="U1702" s="76">
        <f>$BC1702*W$11</f>
        <v/>
      </c>
      <c r="V1702" s="193">
        <f>+SUM(T1702:U1702)</f>
        <v/>
      </c>
      <c r="W1702" s="191" t="n"/>
      <c r="X1702" s="170" t="n"/>
      <c r="Y1702" s="76">
        <f>ROUND(IF(offer_incoterms="DDP",X1702*(S1702*(1+AW1702)+T1702),0),2)</f>
        <v/>
      </c>
      <c r="Z1702" s="188" t="n"/>
      <c r="AA1702" s="192">
        <f>IFERROR(AB1702/E1702,0)</f>
        <v/>
      </c>
      <c r="AB1702" s="76">
        <f>ROUND(SUM(S1702,V1702,Y1702:Z1702,BA1702:BB1702),2)</f>
        <v/>
      </c>
      <c r="AC1702" s="797" t="n"/>
      <c r="AD1702" s="192">
        <f t="array" ref="AD1702">IFERROR(ROUND((_xlfn.IFS(offer_sale_type="поставка",AB1702,offer_sale_type="транзит",S1702)*(1+AC1702))/E1702,2),0)</f>
        <v/>
      </c>
      <c r="AE1702" s="76">
        <f>AD1702*E1702</f>
        <v/>
      </c>
      <c r="AF1702" s="193">
        <f t="array" ref="AF1702">IFERROR(ROUND(_xlfn.IFS(offer_sale_type="поставка",AB1702,offer_sale_type="транзит",S1702)*AC1702,2),0)</f>
        <v/>
      </c>
      <c r="AG1702" s="192">
        <f>$BD1702*VLOOKUP($AG$3,$AF$4:$AG$7,2,FALSE)</f>
        <v/>
      </c>
      <c r="AH1702" s="76">
        <f>SUM(AE1702,AG1702,AI1702)*rate_forex_risk</f>
        <v/>
      </c>
      <c r="AI1702" s="193">
        <f>IF(OR(seller_region="TR",offer_sale_type="экспорт"),0,rate_fin_comm)*SUM(AZ1702,AZ1702*AW1702,T1702)</f>
        <v/>
      </c>
      <c r="AJ1702" s="118">
        <f>IFERROR(ROUND(SUM(AB1702,AF1702:AI1702)/E1702,2),0)</f>
        <v/>
      </c>
      <c r="AK1702" s="76">
        <f>AJ1702*E1702</f>
        <v/>
      </c>
      <c r="AL1702" s="174">
        <f>ROUND(IFERROR(AM1702*E1702,0),2)</f>
        <v/>
      </c>
      <c r="AM1702" s="175">
        <f>ROUND(AJ1702*(1+IF(offer_incoterms="DDP",IF((TODAY()+offer_turnaround_time)&gt;=helpsheet!$L$17,rate_vatRU_from_26,rate_vatRu_till_25),0)),2)</f>
        <v/>
      </c>
      <c r="AN1702" s="192">
        <f>AL1702-AK1702</f>
        <v/>
      </c>
      <c r="AO1702" s="76">
        <f>SUM(AY1702,Y1702:Z1702,T1702)*IF(AND(offer_incoterms="DDP",offer_sale_type&lt;&gt;"экспорт"),IF((TODAY()+offer_turnaround_time)&gt;=helpsheet!$L$17,rate_vatRU_from_26,rate_vatRu_till_25),0)</f>
        <v/>
      </c>
      <c r="AP1702" s="193">
        <f>AN1702-AO1702</f>
        <v/>
      </c>
      <c r="AQ1702" s="118">
        <f>IF(offer_sale_type="транзит",SUM(AF1702:AI1702,BA1702,BB1702),0)</f>
        <v/>
      </c>
      <c r="AR1702" s="82">
        <f>HYPERLINK("https://www.alta.ru/tnved/code/")&amp;W1702&amp;"/"</f>
        <v/>
      </c>
      <c r="AS1702" s="157" t="n"/>
      <c r="AT1702" s="162" t="n"/>
      <c r="AU1702" s="76">
        <f>IF(ISBLANK(AT1702),0,AJ1702-AT1702)</f>
        <v/>
      </c>
      <c r="AV1702" s="157" t="n"/>
      <c r="AW1702" s="75">
        <f>_xlfn.IFNA(VLOOKUP(L1702,list_vat[],3,FALSE),0)</f>
        <v/>
      </c>
      <c r="AX1702" s="76">
        <f>IFERROR(ROUND(S1702*(1+AW1702)/E1702,2),0)</f>
        <v/>
      </c>
      <c r="AY1702" s="76">
        <f>E1702*AX1702</f>
        <v/>
      </c>
      <c r="AZ1702" s="192">
        <f>S1702*(1+M1702)</f>
        <v/>
      </c>
      <c r="BA1702" s="76">
        <f>cost_fin_total*$BD1702</f>
        <v/>
      </c>
      <c r="BB1702" s="193">
        <f>credit_sales_interest*BD1702</f>
        <v/>
      </c>
      <c r="BC1702" s="102">
        <f>IFERROR(IF($I$13&gt;0,$I1702/$I$13,$S1702/$S$13),0)</f>
        <v/>
      </c>
      <c r="BD1702" s="102">
        <f>IFERROR($S1702/$S$13,0)</f>
        <v/>
      </c>
      <c r="BE1702" s="413" t="inlineStr">
        <is>
          <t>$</t>
        </is>
      </c>
    </row>
    <row r="1703" ht="12" customFormat="1" customHeight="1" s="65">
      <c r="A1703" s="43" t="n">
        <v>1688</v>
      </c>
      <c r="B1703" s="166" t="n"/>
      <c r="C1703" s="166" t="n"/>
      <c r="D1703" s="166" t="n"/>
      <c r="E1703" s="162" t="n"/>
      <c r="F1703" s="166" t="n"/>
      <c r="G1703" s="162" t="n"/>
      <c r="H1703" s="162" t="n"/>
      <c r="I1703" s="189">
        <f>E1703*G1703</f>
        <v/>
      </c>
      <c r="J1703" s="195" t="n"/>
      <c r="K1703" s="162" t="n"/>
      <c r="L1703" s="168" t="n"/>
      <c r="M1703" s="75">
        <f>_xlfn.XLOOKUP(L1703,list_vat[Страна],list_vat[Ставка НДС %],0,0)</f>
        <v/>
      </c>
      <c r="N1703" s="162">
        <f>IFERROR(IF(L1703="Китай",K1703,K1703/(1+M1703)),0)</f>
        <v/>
      </c>
      <c r="O1703" s="169" t="n"/>
      <c r="P1703" s="76">
        <f>N1703*(1-O1703)</f>
        <v/>
      </c>
      <c r="Q1703" s="162" t="n"/>
      <c r="R1703" s="162">
        <f>IF(ISBLANK(Q1703),"введи курс",P1703/Q1703)</f>
        <v/>
      </c>
      <c r="S1703" s="196">
        <f>IF(AND(ISNUMBER(E1703),ISNUMBER(Q1703)),E1703*R1703,0)</f>
        <v/>
      </c>
      <c r="T1703" s="192">
        <f>$BC1703*V$11</f>
        <v/>
      </c>
      <c r="U1703" s="76">
        <f>$BC1703*W$11</f>
        <v/>
      </c>
      <c r="V1703" s="193">
        <f>+SUM(T1703:U1703)</f>
        <v/>
      </c>
      <c r="W1703" s="191" t="n"/>
      <c r="X1703" s="170" t="n"/>
      <c r="Y1703" s="76">
        <f>ROUND(IF(offer_incoterms="DDP",X1703*(S1703*(1+AW1703)+T1703),0),2)</f>
        <v/>
      </c>
      <c r="Z1703" s="188" t="n"/>
      <c r="AA1703" s="192">
        <f>IFERROR(AB1703/E1703,0)</f>
        <v/>
      </c>
      <c r="AB1703" s="76">
        <f>ROUND(SUM(S1703,V1703,Y1703:Z1703,BA1703:BB1703),2)</f>
        <v/>
      </c>
      <c r="AC1703" s="797" t="n"/>
      <c r="AD1703" s="192">
        <f t="array" ref="AD1703">IFERROR(ROUND((_xlfn.IFS(offer_sale_type="поставка",AB1703,offer_sale_type="транзит",S1703)*(1+AC1703))/E1703,2),0)</f>
        <v/>
      </c>
      <c r="AE1703" s="76">
        <f>AD1703*E1703</f>
        <v/>
      </c>
      <c r="AF1703" s="193">
        <f t="array" ref="AF1703">IFERROR(ROUND(_xlfn.IFS(offer_sale_type="поставка",AB1703,offer_sale_type="транзит",S1703)*AC1703,2),0)</f>
        <v/>
      </c>
      <c r="AG1703" s="192">
        <f>$BD1703*VLOOKUP($AG$3,$AF$4:$AG$7,2,FALSE)</f>
        <v/>
      </c>
      <c r="AH1703" s="76">
        <f>SUM(AE1703,AG1703,AI1703)*rate_forex_risk</f>
        <v/>
      </c>
      <c r="AI1703" s="193">
        <f>IF(OR(seller_region="TR",offer_sale_type="экспорт"),0,rate_fin_comm)*SUM(AZ1703,AZ1703*AW1703,T1703)</f>
        <v/>
      </c>
      <c r="AJ1703" s="118">
        <f>IFERROR(ROUND(SUM(AB1703,AF1703:AI1703)/E1703,2),0)</f>
        <v/>
      </c>
      <c r="AK1703" s="76">
        <f>AJ1703*E1703</f>
        <v/>
      </c>
      <c r="AL1703" s="174">
        <f>ROUND(IFERROR(AM1703*E1703,0),2)</f>
        <v/>
      </c>
      <c r="AM1703" s="175">
        <f>ROUND(AJ1703*(1+IF(offer_incoterms="DDP",IF((TODAY()+offer_turnaround_time)&gt;=helpsheet!$L$17,rate_vatRU_from_26,rate_vatRu_till_25),0)),2)</f>
        <v/>
      </c>
      <c r="AN1703" s="192">
        <f>AL1703-AK1703</f>
        <v/>
      </c>
      <c r="AO1703" s="76">
        <f>SUM(AY1703,Y1703:Z1703,T1703)*IF(AND(offer_incoterms="DDP",offer_sale_type&lt;&gt;"экспорт"),IF((TODAY()+offer_turnaround_time)&gt;=helpsheet!$L$17,rate_vatRU_from_26,rate_vatRu_till_25),0)</f>
        <v/>
      </c>
      <c r="AP1703" s="193">
        <f>AN1703-AO1703</f>
        <v/>
      </c>
      <c r="AQ1703" s="118">
        <f>IF(offer_sale_type="транзит",SUM(AF1703:AI1703,BA1703,BB1703),0)</f>
        <v/>
      </c>
      <c r="AR1703" s="82">
        <f>HYPERLINK("https://www.alta.ru/tnved/code/")&amp;W1703&amp;"/"</f>
        <v/>
      </c>
      <c r="AS1703" s="157" t="n"/>
      <c r="AT1703" s="162" t="n"/>
      <c r="AU1703" s="76">
        <f>IF(ISBLANK(AT1703),0,AJ1703-AT1703)</f>
        <v/>
      </c>
      <c r="AV1703" s="157" t="n"/>
      <c r="AW1703" s="75">
        <f>_xlfn.IFNA(VLOOKUP(L1703,list_vat[],3,FALSE),0)</f>
        <v/>
      </c>
      <c r="AX1703" s="76">
        <f>IFERROR(ROUND(S1703*(1+AW1703)/E1703,2),0)</f>
        <v/>
      </c>
      <c r="AY1703" s="76">
        <f>E1703*AX1703</f>
        <v/>
      </c>
      <c r="AZ1703" s="192">
        <f>S1703*(1+M1703)</f>
        <v/>
      </c>
      <c r="BA1703" s="76">
        <f>cost_fin_total*$BD1703</f>
        <v/>
      </c>
      <c r="BB1703" s="193">
        <f>credit_sales_interest*BD1703</f>
        <v/>
      </c>
      <c r="BC1703" s="102">
        <f>IFERROR(IF($I$13&gt;0,$I1703/$I$13,$S1703/$S$13),0)</f>
        <v/>
      </c>
      <c r="BD1703" s="102">
        <f>IFERROR($S1703/$S$13,0)</f>
        <v/>
      </c>
      <c r="BE1703" s="413" t="inlineStr">
        <is>
          <t>$</t>
        </is>
      </c>
    </row>
    <row r="1704" ht="12" customFormat="1" customHeight="1" s="65">
      <c r="A1704" s="43" t="n">
        <v>1689</v>
      </c>
      <c r="B1704" s="166" t="n"/>
      <c r="C1704" s="166" t="n"/>
      <c r="D1704" s="166" t="n"/>
      <c r="E1704" s="162" t="n"/>
      <c r="F1704" s="166" t="n"/>
      <c r="G1704" s="162" t="n"/>
      <c r="H1704" s="162" t="n"/>
      <c r="I1704" s="189">
        <f>E1704*G1704</f>
        <v/>
      </c>
      <c r="J1704" s="195" t="n"/>
      <c r="K1704" s="162" t="n"/>
      <c r="L1704" s="168" t="n"/>
      <c r="M1704" s="75">
        <f>_xlfn.XLOOKUP(L1704,list_vat[Страна],list_vat[Ставка НДС %],0,0)</f>
        <v/>
      </c>
      <c r="N1704" s="162">
        <f>IFERROR(IF(L1704="Китай",K1704,K1704/(1+M1704)),0)</f>
        <v/>
      </c>
      <c r="O1704" s="169" t="n"/>
      <c r="P1704" s="76">
        <f>N1704*(1-O1704)</f>
        <v/>
      </c>
      <c r="Q1704" s="162" t="n"/>
      <c r="R1704" s="162">
        <f>IF(ISBLANK(Q1704),"введи курс",P1704/Q1704)</f>
        <v/>
      </c>
      <c r="S1704" s="196">
        <f>IF(AND(ISNUMBER(E1704),ISNUMBER(Q1704)),E1704*R1704,0)</f>
        <v/>
      </c>
      <c r="T1704" s="192">
        <f>$BC1704*V$11</f>
        <v/>
      </c>
      <c r="U1704" s="76">
        <f>$BC1704*W$11</f>
        <v/>
      </c>
      <c r="V1704" s="193">
        <f>+SUM(T1704:U1704)</f>
        <v/>
      </c>
      <c r="W1704" s="191" t="n"/>
      <c r="X1704" s="170" t="n"/>
      <c r="Y1704" s="76">
        <f>ROUND(IF(offer_incoterms="DDP",X1704*(S1704*(1+AW1704)+T1704),0),2)</f>
        <v/>
      </c>
      <c r="Z1704" s="188" t="n"/>
      <c r="AA1704" s="192">
        <f>IFERROR(AB1704/E1704,0)</f>
        <v/>
      </c>
      <c r="AB1704" s="76">
        <f>ROUND(SUM(S1704,V1704,Y1704:Z1704,BA1704:BB1704),2)</f>
        <v/>
      </c>
      <c r="AC1704" s="797" t="n"/>
      <c r="AD1704" s="192">
        <f t="array" ref="AD1704">IFERROR(ROUND((_xlfn.IFS(offer_sale_type="поставка",AB1704,offer_sale_type="транзит",S1704)*(1+AC1704))/E1704,2),0)</f>
        <v/>
      </c>
      <c r="AE1704" s="76">
        <f>AD1704*E1704</f>
        <v/>
      </c>
      <c r="AF1704" s="193">
        <f t="array" ref="AF1704">IFERROR(ROUND(_xlfn.IFS(offer_sale_type="поставка",AB1704,offer_sale_type="транзит",S1704)*AC1704,2),0)</f>
        <v/>
      </c>
      <c r="AG1704" s="192">
        <f>$BD1704*VLOOKUP($AG$3,$AF$4:$AG$7,2,FALSE)</f>
        <v/>
      </c>
      <c r="AH1704" s="76">
        <f>SUM(AE1704,AG1704,AI1704)*rate_forex_risk</f>
        <v/>
      </c>
      <c r="AI1704" s="193">
        <f>IF(OR(seller_region="TR",offer_sale_type="экспорт"),0,rate_fin_comm)*SUM(AZ1704,AZ1704*AW1704,T1704)</f>
        <v/>
      </c>
      <c r="AJ1704" s="118">
        <f>IFERROR(ROUND(SUM(AB1704,AF1704:AI1704)/E1704,2),0)</f>
        <v/>
      </c>
      <c r="AK1704" s="76">
        <f>AJ1704*E1704</f>
        <v/>
      </c>
      <c r="AL1704" s="174">
        <f>ROUND(IFERROR(AM1704*E1704,0),2)</f>
        <v/>
      </c>
      <c r="AM1704" s="175">
        <f>ROUND(AJ1704*(1+IF(offer_incoterms="DDP",IF((TODAY()+offer_turnaround_time)&gt;=helpsheet!$L$17,rate_vatRU_from_26,rate_vatRu_till_25),0)),2)</f>
        <v/>
      </c>
      <c r="AN1704" s="192">
        <f>AL1704-AK1704</f>
        <v/>
      </c>
      <c r="AO1704" s="76">
        <f>SUM(AY1704,Y1704:Z1704,T1704)*IF(AND(offer_incoterms="DDP",offer_sale_type&lt;&gt;"экспорт"),IF((TODAY()+offer_turnaround_time)&gt;=helpsheet!$L$17,rate_vatRU_from_26,rate_vatRu_till_25),0)</f>
        <v/>
      </c>
      <c r="AP1704" s="193">
        <f>AN1704-AO1704</f>
        <v/>
      </c>
      <c r="AQ1704" s="118">
        <f>IF(offer_sale_type="транзит",SUM(AF1704:AI1704,BA1704,BB1704),0)</f>
        <v/>
      </c>
      <c r="AR1704" s="82">
        <f>HYPERLINK("https://www.alta.ru/tnved/code/")&amp;W1704&amp;"/"</f>
        <v/>
      </c>
      <c r="AS1704" s="157" t="n"/>
      <c r="AT1704" s="162" t="n"/>
      <c r="AU1704" s="76">
        <f>IF(ISBLANK(AT1704),0,AJ1704-AT1704)</f>
        <v/>
      </c>
      <c r="AV1704" s="157" t="n"/>
      <c r="AW1704" s="75">
        <f>_xlfn.IFNA(VLOOKUP(L1704,list_vat[],3,FALSE),0)</f>
        <v/>
      </c>
      <c r="AX1704" s="76">
        <f>IFERROR(ROUND(S1704*(1+AW1704)/E1704,2),0)</f>
        <v/>
      </c>
      <c r="AY1704" s="76">
        <f>E1704*AX1704</f>
        <v/>
      </c>
      <c r="AZ1704" s="192">
        <f>S1704*(1+M1704)</f>
        <v/>
      </c>
      <c r="BA1704" s="76">
        <f>cost_fin_total*$BD1704</f>
        <v/>
      </c>
      <c r="BB1704" s="193">
        <f>credit_sales_interest*BD1704</f>
        <v/>
      </c>
      <c r="BC1704" s="102">
        <f>IFERROR(IF($I$13&gt;0,$I1704/$I$13,$S1704/$S$13),0)</f>
        <v/>
      </c>
      <c r="BD1704" s="102">
        <f>IFERROR($S1704/$S$13,0)</f>
        <v/>
      </c>
      <c r="BE1704" s="413" t="inlineStr">
        <is>
          <t>$</t>
        </is>
      </c>
    </row>
    <row r="1705" ht="12" customFormat="1" customHeight="1" s="65">
      <c r="A1705" s="43" t="n">
        <v>1690</v>
      </c>
      <c r="B1705" s="166" t="n"/>
      <c r="C1705" s="166" t="n"/>
      <c r="D1705" s="166" t="n"/>
      <c r="E1705" s="162" t="n"/>
      <c r="F1705" s="166" t="n"/>
      <c r="G1705" s="162" t="n"/>
      <c r="H1705" s="162" t="n"/>
      <c r="I1705" s="189">
        <f>E1705*G1705</f>
        <v/>
      </c>
      <c r="J1705" s="195" t="n"/>
      <c r="K1705" s="162" t="n"/>
      <c r="L1705" s="168" t="n"/>
      <c r="M1705" s="75">
        <f>_xlfn.XLOOKUP(L1705,list_vat[Страна],list_vat[Ставка НДС %],0,0)</f>
        <v/>
      </c>
      <c r="N1705" s="162">
        <f>IFERROR(IF(L1705="Китай",K1705,K1705/(1+M1705)),0)</f>
        <v/>
      </c>
      <c r="O1705" s="169" t="n"/>
      <c r="P1705" s="76">
        <f>N1705*(1-O1705)</f>
        <v/>
      </c>
      <c r="Q1705" s="162" t="n"/>
      <c r="R1705" s="162">
        <f>IF(ISBLANK(Q1705),"введи курс",P1705/Q1705)</f>
        <v/>
      </c>
      <c r="S1705" s="196">
        <f>IF(AND(ISNUMBER(E1705),ISNUMBER(Q1705)),E1705*R1705,0)</f>
        <v/>
      </c>
      <c r="T1705" s="192">
        <f>$BC1705*V$11</f>
        <v/>
      </c>
      <c r="U1705" s="76">
        <f>$BC1705*W$11</f>
        <v/>
      </c>
      <c r="V1705" s="193">
        <f>+SUM(T1705:U1705)</f>
        <v/>
      </c>
      <c r="W1705" s="191" t="n"/>
      <c r="X1705" s="170" t="n"/>
      <c r="Y1705" s="76">
        <f>ROUND(IF(offer_incoterms="DDP",X1705*(S1705*(1+AW1705)+T1705),0),2)</f>
        <v/>
      </c>
      <c r="Z1705" s="188" t="n"/>
      <c r="AA1705" s="192">
        <f>IFERROR(AB1705/E1705,0)</f>
        <v/>
      </c>
      <c r="AB1705" s="76">
        <f>ROUND(SUM(S1705,V1705,Y1705:Z1705,BA1705:BB1705),2)</f>
        <v/>
      </c>
      <c r="AC1705" s="797" t="n"/>
      <c r="AD1705" s="192">
        <f t="array" ref="AD1705">IFERROR(ROUND((_xlfn.IFS(offer_sale_type="поставка",AB1705,offer_sale_type="транзит",S1705)*(1+AC1705))/E1705,2),0)</f>
        <v/>
      </c>
      <c r="AE1705" s="76">
        <f>AD1705*E1705</f>
        <v/>
      </c>
      <c r="AF1705" s="193">
        <f t="array" ref="AF1705">IFERROR(ROUND(_xlfn.IFS(offer_sale_type="поставка",AB1705,offer_sale_type="транзит",S1705)*AC1705,2),0)</f>
        <v/>
      </c>
      <c r="AG1705" s="192">
        <f>$BD1705*VLOOKUP($AG$3,$AF$4:$AG$7,2,FALSE)</f>
        <v/>
      </c>
      <c r="AH1705" s="76">
        <f>SUM(AE1705,AG1705,AI1705)*rate_forex_risk</f>
        <v/>
      </c>
      <c r="AI1705" s="193">
        <f>IF(OR(seller_region="TR",offer_sale_type="экспорт"),0,rate_fin_comm)*SUM(AZ1705,AZ1705*AW1705,T1705)</f>
        <v/>
      </c>
      <c r="AJ1705" s="118">
        <f>IFERROR(ROUND(SUM(AB1705,AF1705:AI1705)/E1705,2),0)</f>
        <v/>
      </c>
      <c r="AK1705" s="76">
        <f>AJ1705*E1705</f>
        <v/>
      </c>
      <c r="AL1705" s="174">
        <f>ROUND(IFERROR(AM1705*E1705,0),2)</f>
        <v/>
      </c>
      <c r="AM1705" s="175">
        <f>ROUND(AJ1705*(1+IF(offer_incoterms="DDP",IF((TODAY()+offer_turnaround_time)&gt;=helpsheet!$L$17,rate_vatRU_from_26,rate_vatRu_till_25),0)),2)</f>
        <v/>
      </c>
      <c r="AN1705" s="192">
        <f>AL1705-AK1705</f>
        <v/>
      </c>
      <c r="AO1705" s="76">
        <f>SUM(AY1705,Y1705:Z1705,T1705)*IF(AND(offer_incoterms="DDP",offer_sale_type&lt;&gt;"экспорт"),IF((TODAY()+offer_turnaround_time)&gt;=helpsheet!$L$17,rate_vatRU_from_26,rate_vatRu_till_25),0)</f>
        <v/>
      </c>
      <c r="AP1705" s="193">
        <f>AN1705-AO1705</f>
        <v/>
      </c>
      <c r="AQ1705" s="118">
        <f>IF(offer_sale_type="транзит",SUM(AF1705:AI1705,BA1705,BB1705),0)</f>
        <v/>
      </c>
      <c r="AR1705" s="82">
        <f>HYPERLINK("https://www.alta.ru/tnved/code/")&amp;W1705&amp;"/"</f>
        <v/>
      </c>
      <c r="AS1705" s="157" t="n"/>
      <c r="AT1705" s="162" t="n"/>
      <c r="AU1705" s="76">
        <f>IF(ISBLANK(AT1705),0,AJ1705-AT1705)</f>
        <v/>
      </c>
      <c r="AV1705" s="157" t="n"/>
      <c r="AW1705" s="75">
        <f>_xlfn.IFNA(VLOOKUP(L1705,list_vat[],3,FALSE),0)</f>
        <v/>
      </c>
      <c r="AX1705" s="76">
        <f>IFERROR(ROUND(S1705*(1+AW1705)/E1705,2),0)</f>
        <v/>
      </c>
      <c r="AY1705" s="76">
        <f>E1705*AX1705</f>
        <v/>
      </c>
      <c r="AZ1705" s="192">
        <f>S1705*(1+M1705)</f>
        <v/>
      </c>
      <c r="BA1705" s="76">
        <f>cost_fin_total*$BD1705</f>
        <v/>
      </c>
      <c r="BB1705" s="193">
        <f>credit_sales_interest*BD1705</f>
        <v/>
      </c>
      <c r="BC1705" s="102">
        <f>IFERROR(IF($I$13&gt;0,$I1705/$I$13,$S1705/$S$13),0)</f>
        <v/>
      </c>
      <c r="BD1705" s="102">
        <f>IFERROR($S1705/$S$13,0)</f>
        <v/>
      </c>
      <c r="BE1705" s="413" t="inlineStr">
        <is>
          <t>$</t>
        </is>
      </c>
    </row>
    <row r="1706" ht="12" customFormat="1" customHeight="1" s="65">
      <c r="A1706" s="43" t="n">
        <v>1691</v>
      </c>
      <c r="B1706" s="166" t="n"/>
      <c r="C1706" s="166" t="n"/>
      <c r="D1706" s="166" t="n"/>
      <c r="E1706" s="162" t="n"/>
      <c r="F1706" s="166" t="n"/>
      <c r="G1706" s="162" t="n"/>
      <c r="H1706" s="162" t="n"/>
      <c r="I1706" s="189">
        <f>E1706*G1706</f>
        <v/>
      </c>
      <c r="J1706" s="195" t="n"/>
      <c r="K1706" s="162" t="n"/>
      <c r="L1706" s="168" t="n"/>
      <c r="M1706" s="75">
        <f>_xlfn.XLOOKUP(L1706,list_vat[Страна],list_vat[Ставка НДС %],0,0)</f>
        <v/>
      </c>
      <c r="N1706" s="162">
        <f>IFERROR(IF(L1706="Китай",K1706,K1706/(1+M1706)),0)</f>
        <v/>
      </c>
      <c r="O1706" s="169" t="n"/>
      <c r="P1706" s="76">
        <f>N1706*(1-O1706)</f>
        <v/>
      </c>
      <c r="Q1706" s="162" t="n"/>
      <c r="R1706" s="162">
        <f>IF(ISBLANK(Q1706),"введи курс",P1706/Q1706)</f>
        <v/>
      </c>
      <c r="S1706" s="196">
        <f>IF(AND(ISNUMBER(E1706),ISNUMBER(Q1706)),E1706*R1706,0)</f>
        <v/>
      </c>
      <c r="T1706" s="192">
        <f>$BC1706*V$11</f>
        <v/>
      </c>
      <c r="U1706" s="76">
        <f>$BC1706*W$11</f>
        <v/>
      </c>
      <c r="V1706" s="193">
        <f>+SUM(T1706:U1706)</f>
        <v/>
      </c>
      <c r="W1706" s="191" t="n"/>
      <c r="X1706" s="170" t="n"/>
      <c r="Y1706" s="76">
        <f>ROUND(IF(offer_incoterms="DDP",X1706*(S1706*(1+AW1706)+T1706),0),2)</f>
        <v/>
      </c>
      <c r="Z1706" s="188" t="n"/>
      <c r="AA1706" s="192">
        <f>IFERROR(AB1706/E1706,0)</f>
        <v/>
      </c>
      <c r="AB1706" s="76">
        <f>ROUND(SUM(S1706,V1706,Y1706:Z1706,BA1706:BB1706),2)</f>
        <v/>
      </c>
      <c r="AC1706" s="797" t="n"/>
      <c r="AD1706" s="192">
        <f t="array" ref="AD1706">IFERROR(ROUND((_xlfn.IFS(offer_sale_type="поставка",AB1706,offer_sale_type="транзит",S1706)*(1+AC1706))/E1706,2),0)</f>
        <v/>
      </c>
      <c r="AE1706" s="76">
        <f>AD1706*E1706</f>
        <v/>
      </c>
      <c r="AF1706" s="193">
        <f t="array" ref="AF1706">IFERROR(ROUND(_xlfn.IFS(offer_sale_type="поставка",AB1706,offer_sale_type="транзит",S1706)*AC1706,2),0)</f>
        <v/>
      </c>
      <c r="AG1706" s="192">
        <f>$BD1706*VLOOKUP($AG$3,$AF$4:$AG$7,2,FALSE)</f>
        <v/>
      </c>
      <c r="AH1706" s="76">
        <f>SUM(AE1706,AG1706,AI1706)*rate_forex_risk</f>
        <v/>
      </c>
      <c r="AI1706" s="193">
        <f>IF(OR(seller_region="TR",offer_sale_type="экспорт"),0,rate_fin_comm)*SUM(AZ1706,AZ1706*AW1706,T1706)</f>
        <v/>
      </c>
      <c r="AJ1706" s="118">
        <f>IFERROR(ROUND(SUM(AB1706,AF1706:AI1706)/E1706,2),0)</f>
        <v/>
      </c>
      <c r="AK1706" s="76">
        <f>AJ1706*E1706</f>
        <v/>
      </c>
      <c r="AL1706" s="174">
        <f>ROUND(IFERROR(AM1706*E1706,0),2)</f>
        <v/>
      </c>
      <c r="AM1706" s="175">
        <f>ROUND(AJ1706*(1+IF(offer_incoterms="DDP",IF((TODAY()+offer_turnaround_time)&gt;=helpsheet!$L$17,rate_vatRU_from_26,rate_vatRu_till_25),0)),2)</f>
        <v/>
      </c>
      <c r="AN1706" s="192">
        <f>AL1706-AK1706</f>
        <v/>
      </c>
      <c r="AO1706" s="76">
        <f>SUM(AY1706,Y1706:Z1706,T1706)*IF(AND(offer_incoterms="DDP",offer_sale_type&lt;&gt;"экспорт"),IF((TODAY()+offer_turnaround_time)&gt;=helpsheet!$L$17,rate_vatRU_from_26,rate_vatRu_till_25),0)</f>
        <v/>
      </c>
      <c r="AP1706" s="193">
        <f>AN1706-AO1706</f>
        <v/>
      </c>
      <c r="AQ1706" s="118">
        <f>IF(offer_sale_type="транзит",SUM(AF1706:AI1706,BA1706,BB1706),0)</f>
        <v/>
      </c>
      <c r="AR1706" s="82">
        <f>HYPERLINK("https://www.alta.ru/tnved/code/")&amp;W1706&amp;"/"</f>
        <v/>
      </c>
      <c r="AS1706" s="157" t="n"/>
      <c r="AT1706" s="162" t="n"/>
      <c r="AU1706" s="76">
        <f>IF(ISBLANK(AT1706),0,AJ1706-AT1706)</f>
        <v/>
      </c>
      <c r="AV1706" s="157" t="n"/>
      <c r="AW1706" s="75">
        <f>_xlfn.IFNA(VLOOKUP(L1706,list_vat[],3,FALSE),0)</f>
        <v/>
      </c>
      <c r="AX1706" s="76">
        <f>IFERROR(ROUND(S1706*(1+AW1706)/E1706,2),0)</f>
        <v/>
      </c>
      <c r="AY1706" s="76">
        <f>E1706*AX1706</f>
        <v/>
      </c>
      <c r="AZ1706" s="192">
        <f>S1706*(1+M1706)</f>
        <v/>
      </c>
      <c r="BA1706" s="76">
        <f>cost_fin_total*$BD1706</f>
        <v/>
      </c>
      <c r="BB1706" s="193">
        <f>credit_sales_interest*BD1706</f>
        <v/>
      </c>
      <c r="BC1706" s="102">
        <f>IFERROR(IF($I$13&gt;0,$I1706/$I$13,$S1706/$S$13),0)</f>
        <v/>
      </c>
      <c r="BD1706" s="102">
        <f>IFERROR($S1706/$S$13,0)</f>
        <v/>
      </c>
      <c r="BE1706" s="413" t="inlineStr">
        <is>
          <t>$</t>
        </is>
      </c>
    </row>
    <row r="1707" ht="12" customFormat="1" customHeight="1" s="65">
      <c r="A1707" s="43" t="n">
        <v>1692</v>
      </c>
      <c r="B1707" s="166" t="n"/>
      <c r="C1707" s="166" t="n"/>
      <c r="D1707" s="166" t="n"/>
      <c r="E1707" s="162" t="n"/>
      <c r="F1707" s="166" t="n"/>
      <c r="G1707" s="162" t="n"/>
      <c r="H1707" s="162" t="n"/>
      <c r="I1707" s="189">
        <f>E1707*G1707</f>
        <v/>
      </c>
      <c r="J1707" s="195" t="n"/>
      <c r="K1707" s="162" t="n"/>
      <c r="L1707" s="168" t="n"/>
      <c r="M1707" s="75">
        <f>_xlfn.XLOOKUP(L1707,list_vat[Страна],list_vat[Ставка НДС %],0,0)</f>
        <v/>
      </c>
      <c r="N1707" s="162">
        <f>IFERROR(IF(L1707="Китай",K1707,K1707/(1+M1707)),0)</f>
        <v/>
      </c>
      <c r="O1707" s="169" t="n"/>
      <c r="P1707" s="76">
        <f>N1707*(1-O1707)</f>
        <v/>
      </c>
      <c r="Q1707" s="162" t="n"/>
      <c r="R1707" s="162">
        <f>IF(ISBLANK(Q1707),"введи курс",P1707/Q1707)</f>
        <v/>
      </c>
      <c r="S1707" s="196">
        <f>IF(AND(ISNUMBER(E1707),ISNUMBER(Q1707)),E1707*R1707,0)</f>
        <v/>
      </c>
      <c r="T1707" s="192">
        <f>$BC1707*V$11</f>
        <v/>
      </c>
      <c r="U1707" s="76">
        <f>$BC1707*W$11</f>
        <v/>
      </c>
      <c r="V1707" s="193">
        <f>+SUM(T1707:U1707)</f>
        <v/>
      </c>
      <c r="W1707" s="191" t="n"/>
      <c r="X1707" s="170" t="n"/>
      <c r="Y1707" s="76">
        <f>ROUND(IF(offer_incoterms="DDP",X1707*(S1707*(1+AW1707)+T1707),0),2)</f>
        <v/>
      </c>
      <c r="Z1707" s="188" t="n"/>
      <c r="AA1707" s="192">
        <f>IFERROR(AB1707/E1707,0)</f>
        <v/>
      </c>
      <c r="AB1707" s="76">
        <f>ROUND(SUM(S1707,V1707,Y1707:Z1707,BA1707:BB1707),2)</f>
        <v/>
      </c>
      <c r="AC1707" s="797" t="n"/>
      <c r="AD1707" s="192">
        <f t="array" ref="AD1707">IFERROR(ROUND((_xlfn.IFS(offer_sale_type="поставка",AB1707,offer_sale_type="транзит",S1707)*(1+AC1707))/E1707,2),0)</f>
        <v/>
      </c>
      <c r="AE1707" s="76">
        <f>AD1707*E1707</f>
        <v/>
      </c>
      <c r="AF1707" s="193">
        <f t="array" ref="AF1707">IFERROR(ROUND(_xlfn.IFS(offer_sale_type="поставка",AB1707,offer_sale_type="транзит",S1707)*AC1707,2),0)</f>
        <v/>
      </c>
      <c r="AG1707" s="192">
        <f>$BD1707*VLOOKUP($AG$3,$AF$4:$AG$7,2,FALSE)</f>
        <v/>
      </c>
      <c r="AH1707" s="76">
        <f>SUM(AE1707,AG1707,AI1707)*rate_forex_risk</f>
        <v/>
      </c>
      <c r="AI1707" s="193">
        <f>IF(OR(seller_region="TR",offer_sale_type="экспорт"),0,rate_fin_comm)*SUM(AZ1707,AZ1707*AW1707,T1707)</f>
        <v/>
      </c>
      <c r="AJ1707" s="118">
        <f>IFERROR(ROUND(SUM(AB1707,AF1707:AI1707)/E1707,2),0)</f>
        <v/>
      </c>
      <c r="AK1707" s="76">
        <f>AJ1707*E1707</f>
        <v/>
      </c>
      <c r="AL1707" s="174">
        <f>ROUND(IFERROR(AM1707*E1707,0),2)</f>
        <v/>
      </c>
      <c r="AM1707" s="175">
        <f>ROUND(AJ1707*(1+IF(offer_incoterms="DDP",IF((TODAY()+offer_turnaround_time)&gt;=helpsheet!$L$17,rate_vatRU_from_26,rate_vatRu_till_25),0)),2)</f>
        <v/>
      </c>
      <c r="AN1707" s="192">
        <f>AL1707-AK1707</f>
        <v/>
      </c>
      <c r="AO1707" s="76">
        <f>SUM(AY1707,Y1707:Z1707,T1707)*IF(AND(offer_incoterms="DDP",offer_sale_type&lt;&gt;"экспорт"),IF((TODAY()+offer_turnaround_time)&gt;=helpsheet!$L$17,rate_vatRU_from_26,rate_vatRu_till_25),0)</f>
        <v/>
      </c>
      <c r="AP1707" s="193">
        <f>AN1707-AO1707</f>
        <v/>
      </c>
      <c r="AQ1707" s="118">
        <f>IF(offer_sale_type="транзит",SUM(AF1707:AI1707,BA1707,BB1707),0)</f>
        <v/>
      </c>
      <c r="AR1707" s="82">
        <f>HYPERLINK("https://www.alta.ru/tnved/code/")&amp;W1707&amp;"/"</f>
        <v/>
      </c>
      <c r="AS1707" s="157" t="n"/>
      <c r="AT1707" s="162" t="n"/>
      <c r="AU1707" s="76">
        <f>IF(ISBLANK(AT1707),0,AJ1707-AT1707)</f>
        <v/>
      </c>
      <c r="AV1707" s="157" t="n"/>
      <c r="AW1707" s="75">
        <f>_xlfn.IFNA(VLOOKUP(L1707,list_vat[],3,FALSE),0)</f>
        <v/>
      </c>
      <c r="AX1707" s="76">
        <f>IFERROR(ROUND(S1707*(1+AW1707)/E1707,2),0)</f>
        <v/>
      </c>
      <c r="AY1707" s="76">
        <f>E1707*AX1707</f>
        <v/>
      </c>
      <c r="AZ1707" s="192">
        <f>S1707*(1+M1707)</f>
        <v/>
      </c>
      <c r="BA1707" s="76">
        <f>cost_fin_total*$BD1707</f>
        <v/>
      </c>
      <c r="BB1707" s="193">
        <f>credit_sales_interest*BD1707</f>
        <v/>
      </c>
      <c r="BC1707" s="102">
        <f>IFERROR(IF($I$13&gt;0,$I1707/$I$13,$S1707/$S$13),0)</f>
        <v/>
      </c>
      <c r="BD1707" s="102">
        <f>IFERROR($S1707/$S$13,0)</f>
        <v/>
      </c>
      <c r="BE1707" s="413" t="inlineStr">
        <is>
          <t>$</t>
        </is>
      </c>
    </row>
    <row r="1708" ht="12" customFormat="1" customHeight="1" s="65">
      <c r="A1708" s="43" t="n">
        <v>1693</v>
      </c>
      <c r="B1708" s="166" t="n"/>
      <c r="C1708" s="166" t="n"/>
      <c r="D1708" s="166" t="n"/>
      <c r="E1708" s="162" t="n"/>
      <c r="F1708" s="166" t="n"/>
      <c r="G1708" s="162" t="n"/>
      <c r="H1708" s="162" t="n"/>
      <c r="I1708" s="189">
        <f>E1708*G1708</f>
        <v/>
      </c>
      <c r="J1708" s="195" t="n"/>
      <c r="K1708" s="162" t="n"/>
      <c r="L1708" s="168" t="n"/>
      <c r="M1708" s="75">
        <f>_xlfn.XLOOKUP(L1708,list_vat[Страна],list_vat[Ставка НДС %],0,0)</f>
        <v/>
      </c>
      <c r="N1708" s="162">
        <f>IFERROR(IF(L1708="Китай",K1708,K1708/(1+M1708)),0)</f>
        <v/>
      </c>
      <c r="O1708" s="169" t="n"/>
      <c r="P1708" s="76">
        <f>N1708*(1-O1708)</f>
        <v/>
      </c>
      <c r="Q1708" s="162" t="n"/>
      <c r="R1708" s="162">
        <f>IF(ISBLANK(Q1708),"введи курс",P1708/Q1708)</f>
        <v/>
      </c>
      <c r="S1708" s="196">
        <f>IF(AND(ISNUMBER(E1708),ISNUMBER(Q1708)),E1708*R1708,0)</f>
        <v/>
      </c>
      <c r="T1708" s="192">
        <f>$BC1708*V$11</f>
        <v/>
      </c>
      <c r="U1708" s="76">
        <f>$BC1708*W$11</f>
        <v/>
      </c>
      <c r="V1708" s="193">
        <f>+SUM(T1708:U1708)</f>
        <v/>
      </c>
      <c r="W1708" s="191" t="n"/>
      <c r="X1708" s="170" t="n"/>
      <c r="Y1708" s="76">
        <f>ROUND(IF(offer_incoterms="DDP",X1708*(S1708*(1+AW1708)+T1708),0),2)</f>
        <v/>
      </c>
      <c r="Z1708" s="188" t="n"/>
      <c r="AA1708" s="192">
        <f>IFERROR(AB1708/E1708,0)</f>
        <v/>
      </c>
      <c r="AB1708" s="76">
        <f>ROUND(SUM(S1708,V1708,Y1708:Z1708,BA1708:BB1708),2)</f>
        <v/>
      </c>
      <c r="AC1708" s="797" t="n"/>
      <c r="AD1708" s="192">
        <f t="array" ref="AD1708">IFERROR(ROUND((_xlfn.IFS(offer_sale_type="поставка",AB1708,offer_sale_type="транзит",S1708)*(1+AC1708))/E1708,2),0)</f>
        <v/>
      </c>
      <c r="AE1708" s="76">
        <f>AD1708*E1708</f>
        <v/>
      </c>
      <c r="AF1708" s="193">
        <f t="array" ref="AF1708">IFERROR(ROUND(_xlfn.IFS(offer_sale_type="поставка",AB1708,offer_sale_type="транзит",S1708)*AC1708,2),0)</f>
        <v/>
      </c>
      <c r="AG1708" s="192">
        <f>$BD1708*VLOOKUP($AG$3,$AF$4:$AG$7,2,FALSE)</f>
        <v/>
      </c>
      <c r="AH1708" s="76">
        <f>SUM(AE1708,AG1708,AI1708)*rate_forex_risk</f>
        <v/>
      </c>
      <c r="AI1708" s="193">
        <f>IF(OR(seller_region="TR",offer_sale_type="экспорт"),0,rate_fin_comm)*SUM(AZ1708,AZ1708*AW1708,T1708)</f>
        <v/>
      </c>
      <c r="AJ1708" s="118">
        <f>IFERROR(ROUND(SUM(AB1708,AF1708:AI1708)/E1708,2),0)</f>
        <v/>
      </c>
      <c r="AK1708" s="76">
        <f>AJ1708*E1708</f>
        <v/>
      </c>
      <c r="AL1708" s="174">
        <f>ROUND(IFERROR(AM1708*E1708,0),2)</f>
        <v/>
      </c>
      <c r="AM1708" s="175">
        <f>ROUND(AJ1708*(1+IF(offer_incoterms="DDP",IF((TODAY()+offer_turnaround_time)&gt;=helpsheet!$L$17,rate_vatRU_from_26,rate_vatRu_till_25),0)),2)</f>
        <v/>
      </c>
      <c r="AN1708" s="192">
        <f>AL1708-AK1708</f>
        <v/>
      </c>
      <c r="AO1708" s="76">
        <f>SUM(AY1708,Y1708:Z1708,T1708)*IF(AND(offer_incoterms="DDP",offer_sale_type&lt;&gt;"экспорт"),IF((TODAY()+offer_turnaround_time)&gt;=helpsheet!$L$17,rate_vatRU_from_26,rate_vatRu_till_25),0)</f>
        <v/>
      </c>
      <c r="AP1708" s="193">
        <f>AN1708-AO1708</f>
        <v/>
      </c>
      <c r="AQ1708" s="118">
        <f>IF(offer_sale_type="транзит",SUM(AF1708:AI1708,BA1708,BB1708),0)</f>
        <v/>
      </c>
      <c r="AR1708" s="82">
        <f>HYPERLINK("https://www.alta.ru/tnved/code/")&amp;W1708&amp;"/"</f>
        <v/>
      </c>
      <c r="AS1708" s="157" t="n"/>
      <c r="AT1708" s="162" t="n"/>
      <c r="AU1708" s="76">
        <f>IF(ISBLANK(AT1708),0,AJ1708-AT1708)</f>
        <v/>
      </c>
      <c r="AV1708" s="157" t="n"/>
      <c r="AW1708" s="75">
        <f>_xlfn.IFNA(VLOOKUP(L1708,list_vat[],3,FALSE),0)</f>
        <v/>
      </c>
      <c r="AX1708" s="76">
        <f>IFERROR(ROUND(S1708*(1+AW1708)/E1708,2),0)</f>
        <v/>
      </c>
      <c r="AY1708" s="76">
        <f>E1708*AX1708</f>
        <v/>
      </c>
      <c r="AZ1708" s="192">
        <f>S1708*(1+M1708)</f>
        <v/>
      </c>
      <c r="BA1708" s="76">
        <f>cost_fin_total*$BD1708</f>
        <v/>
      </c>
      <c r="BB1708" s="193">
        <f>credit_sales_interest*BD1708</f>
        <v/>
      </c>
      <c r="BC1708" s="102">
        <f>IFERROR(IF($I$13&gt;0,$I1708/$I$13,$S1708/$S$13),0)</f>
        <v/>
      </c>
      <c r="BD1708" s="102">
        <f>IFERROR($S1708/$S$13,0)</f>
        <v/>
      </c>
      <c r="BE1708" s="413" t="inlineStr">
        <is>
          <t>$</t>
        </is>
      </c>
    </row>
    <row r="1709" ht="12" customFormat="1" customHeight="1" s="65">
      <c r="A1709" s="43" t="n">
        <v>1694</v>
      </c>
      <c r="B1709" s="166" t="n"/>
      <c r="C1709" s="166" t="n"/>
      <c r="D1709" s="166" t="n"/>
      <c r="E1709" s="162" t="n"/>
      <c r="F1709" s="166" t="n"/>
      <c r="G1709" s="162" t="n"/>
      <c r="H1709" s="162" t="n"/>
      <c r="I1709" s="189">
        <f>E1709*G1709</f>
        <v/>
      </c>
      <c r="J1709" s="195" t="n"/>
      <c r="K1709" s="162" t="n"/>
      <c r="L1709" s="168" t="n"/>
      <c r="M1709" s="75">
        <f>_xlfn.XLOOKUP(L1709,list_vat[Страна],list_vat[Ставка НДС %],0,0)</f>
        <v/>
      </c>
      <c r="N1709" s="162">
        <f>IFERROR(IF(L1709="Китай",K1709,K1709/(1+M1709)),0)</f>
        <v/>
      </c>
      <c r="O1709" s="169" t="n"/>
      <c r="P1709" s="76">
        <f>N1709*(1-O1709)</f>
        <v/>
      </c>
      <c r="Q1709" s="162" t="n"/>
      <c r="R1709" s="162">
        <f>IF(ISBLANK(Q1709),"введи курс",P1709/Q1709)</f>
        <v/>
      </c>
      <c r="S1709" s="196">
        <f>IF(AND(ISNUMBER(E1709),ISNUMBER(Q1709)),E1709*R1709,0)</f>
        <v/>
      </c>
      <c r="T1709" s="192">
        <f>$BC1709*V$11</f>
        <v/>
      </c>
      <c r="U1709" s="76">
        <f>$BC1709*W$11</f>
        <v/>
      </c>
      <c r="V1709" s="193">
        <f>+SUM(T1709:U1709)</f>
        <v/>
      </c>
      <c r="W1709" s="191" t="n"/>
      <c r="X1709" s="170" t="n"/>
      <c r="Y1709" s="76">
        <f>ROUND(IF(offer_incoterms="DDP",X1709*(S1709*(1+AW1709)+T1709),0),2)</f>
        <v/>
      </c>
      <c r="Z1709" s="188" t="n"/>
      <c r="AA1709" s="192">
        <f>IFERROR(AB1709/E1709,0)</f>
        <v/>
      </c>
      <c r="AB1709" s="76">
        <f>ROUND(SUM(S1709,V1709,Y1709:Z1709,BA1709:BB1709),2)</f>
        <v/>
      </c>
      <c r="AC1709" s="797" t="n"/>
      <c r="AD1709" s="192">
        <f t="array" ref="AD1709">IFERROR(ROUND((_xlfn.IFS(offer_sale_type="поставка",AB1709,offer_sale_type="транзит",S1709)*(1+AC1709))/E1709,2),0)</f>
        <v/>
      </c>
      <c r="AE1709" s="76">
        <f>AD1709*E1709</f>
        <v/>
      </c>
      <c r="AF1709" s="193">
        <f t="array" ref="AF1709">IFERROR(ROUND(_xlfn.IFS(offer_sale_type="поставка",AB1709,offer_sale_type="транзит",S1709)*AC1709,2),0)</f>
        <v/>
      </c>
      <c r="AG1709" s="192">
        <f>$BD1709*VLOOKUP($AG$3,$AF$4:$AG$7,2,FALSE)</f>
        <v/>
      </c>
      <c r="AH1709" s="76">
        <f>SUM(AE1709,AG1709,AI1709)*rate_forex_risk</f>
        <v/>
      </c>
      <c r="AI1709" s="193">
        <f>IF(OR(seller_region="TR",offer_sale_type="экспорт"),0,rate_fin_comm)*SUM(AZ1709,AZ1709*AW1709,T1709)</f>
        <v/>
      </c>
      <c r="AJ1709" s="118">
        <f>IFERROR(ROUND(SUM(AB1709,AF1709:AI1709)/E1709,2),0)</f>
        <v/>
      </c>
      <c r="AK1709" s="76">
        <f>AJ1709*E1709</f>
        <v/>
      </c>
      <c r="AL1709" s="174">
        <f>ROUND(IFERROR(AM1709*E1709,0),2)</f>
        <v/>
      </c>
      <c r="AM1709" s="175">
        <f>ROUND(AJ1709*(1+IF(offer_incoterms="DDP",IF((TODAY()+offer_turnaround_time)&gt;=helpsheet!$L$17,rate_vatRU_from_26,rate_vatRu_till_25),0)),2)</f>
        <v/>
      </c>
      <c r="AN1709" s="192">
        <f>AL1709-AK1709</f>
        <v/>
      </c>
      <c r="AO1709" s="76">
        <f>SUM(AY1709,Y1709:Z1709,T1709)*IF(AND(offer_incoterms="DDP",offer_sale_type&lt;&gt;"экспорт"),IF((TODAY()+offer_turnaround_time)&gt;=helpsheet!$L$17,rate_vatRU_from_26,rate_vatRu_till_25),0)</f>
        <v/>
      </c>
      <c r="AP1709" s="193">
        <f>AN1709-AO1709</f>
        <v/>
      </c>
      <c r="AQ1709" s="118">
        <f>IF(offer_sale_type="транзит",SUM(AF1709:AI1709,BA1709,BB1709),0)</f>
        <v/>
      </c>
      <c r="AR1709" s="82">
        <f>HYPERLINK("https://www.alta.ru/tnved/code/")&amp;W1709&amp;"/"</f>
        <v/>
      </c>
      <c r="AS1709" s="157" t="n"/>
      <c r="AT1709" s="162" t="n"/>
      <c r="AU1709" s="76">
        <f>IF(ISBLANK(AT1709),0,AJ1709-AT1709)</f>
        <v/>
      </c>
      <c r="AV1709" s="157" t="n"/>
      <c r="AW1709" s="75">
        <f>_xlfn.IFNA(VLOOKUP(L1709,list_vat[],3,FALSE),0)</f>
        <v/>
      </c>
      <c r="AX1709" s="76">
        <f>IFERROR(ROUND(S1709*(1+AW1709)/E1709,2),0)</f>
        <v/>
      </c>
      <c r="AY1709" s="76">
        <f>E1709*AX1709</f>
        <v/>
      </c>
      <c r="AZ1709" s="192">
        <f>S1709*(1+M1709)</f>
        <v/>
      </c>
      <c r="BA1709" s="76">
        <f>cost_fin_total*$BD1709</f>
        <v/>
      </c>
      <c r="BB1709" s="193">
        <f>credit_sales_interest*BD1709</f>
        <v/>
      </c>
      <c r="BC1709" s="102">
        <f>IFERROR(IF($I$13&gt;0,$I1709/$I$13,$S1709/$S$13),0)</f>
        <v/>
      </c>
      <c r="BD1709" s="102">
        <f>IFERROR($S1709/$S$13,0)</f>
        <v/>
      </c>
      <c r="BE1709" s="413" t="inlineStr">
        <is>
          <t>$</t>
        </is>
      </c>
    </row>
    <row r="1710" ht="12" customFormat="1" customHeight="1" s="65">
      <c r="A1710" s="43" t="n">
        <v>1695</v>
      </c>
      <c r="B1710" s="166" t="n"/>
      <c r="C1710" s="166" t="n"/>
      <c r="D1710" s="166" t="n"/>
      <c r="E1710" s="162" t="n"/>
      <c r="F1710" s="166" t="n"/>
      <c r="G1710" s="162" t="n"/>
      <c r="H1710" s="162" t="n"/>
      <c r="I1710" s="189">
        <f>E1710*G1710</f>
        <v/>
      </c>
      <c r="J1710" s="195" t="n"/>
      <c r="K1710" s="162" t="n"/>
      <c r="L1710" s="168" t="n"/>
      <c r="M1710" s="75">
        <f>_xlfn.XLOOKUP(L1710,list_vat[Страна],list_vat[Ставка НДС %],0,0)</f>
        <v/>
      </c>
      <c r="N1710" s="162">
        <f>IFERROR(IF(L1710="Китай",K1710,K1710/(1+M1710)),0)</f>
        <v/>
      </c>
      <c r="O1710" s="169" t="n"/>
      <c r="P1710" s="76">
        <f>N1710*(1-O1710)</f>
        <v/>
      </c>
      <c r="Q1710" s="162" t="n"/>
      <c r="R1710" s="162">
        <f>IF(ISBLANK(Q1710),"введи курс",P1710/Q1710)</f>
        <v/>
      </c>
      <c r="S1710" s="196">
        <f>IF(AND(ISNUMBER(E1710),ISNUMBER(Q1710)),E1710*R1710,0)</f>
        <v/>
      </c>
      <c r="T1710" s="192">
        <f>$BC1710*V$11</f>
        <v/>
      </c>
      <c r="U1710" s="76">
        <f>$BC1710*W$11</f>
        <v/>
      </c>
      <c r="V1710" s="193">
        <f>+SUM(T1710:U1710)</f>
        <v/>
      </c>
      <c r="W1710" s="191" t="n"/>
      <c r="X1710" s="170" t="n"/>
      <c r="Y1710" s="76">
        <f>ROUND(IF(offer_incoterms="DDP",X1710*(S1710*(1+AW1710)+T1710),0),2)</f>
        <v/>
      </c>
      <c r="Z1710" s="188" t="n"/>
      <c r="AA1710" s="192">
        <f>IFERROR(AB1710/E1710,0)</f>
        <v/>
      </c>
      <c r="AB1710" s="76">
        <f>ROUND(SUM(S1710,V1710,Y1710:Z1710,BA1710:BB1710),2)</f>
        <v/>
      </c>
      <c r="AC1710" s="797" t="n"/>
      <c r="AD1710" s="192">
        <f t="array" ref="AD1710">IFERROR(ROUND((_xlfn.IFS(offer_sale_type="поставка",AB1710,offer_sale_type="транзит",S1710)*(1+AC1710))/E1710,2),0)</f>
        <v/>
      </c>
      <c r="AE1710" s="76">
        <f>AD1710*E1710</f>
        <v/>
      </c>
      <c r="AF1710" s="193">
        <f t="array" ref="AF1710">IFERROR(ROUND(_xlfn.IFS(offer_sale_type="поставка",AB1710,offer_sale_type="транзит",S1710)*AC1710,2),0)</f>
        <v/>
      </c>
      <c r="AG1710" s="192">
        <f>$BD1710*VLOOKUP($AG$3,$AF$4:$AG$7,2,FALSE)</f>
        <v/>
      </c>
      <c r="AH1710" s="76">
        <f>SUM(AE1710,AG1710,AI1710)*rate_forex_risk</f>
        <v/>
      </c>
      <c r="AI1710" s="193">
        <f>IF(OR(seller_region="TR",offer_sale_type="экспорт"),0,rate_fin_comm)*SUM(AZ1710,AZ1710*AW1710,T1710)</f>
        <v/>
      </c>
      <c r="AJ1710" s="118">
        <f>IFERROR(ROUND(SUM(AB1710,AF1710:AI1710)/E1710,2),0)</f>
        <v/>
      </c>
      <c r="AK1710" s="76">
        <f>AJ1710*E1710</f>
        <v/>
      </c>
      <c r="AL1710" s="174">
        <f>ROUND(IFERROR(AM1710*E1710,0),2)</f>
        <v/>
      </c>
      <c r="AM1710" s="175">
        <f>ROUND(AJ1710*(1+IF(offer_incoterms="DDP",IF((TODAY()+offer_turnaround_time)&gt;=helpsheet!$L$17,rate_vatRU_from_26,rate_vatRu_till_25),0)),2)</f>
        <v/>
      </c>
      <c r="AN1710" s="192">
        <f>AL1710-AK1710</f>
        <v/>
      </c>
      <c r="AO1710" s="76">
        <f>SUM(AY1710,Y1710:Z1710,T1710)*IF(AND(offer_incoterms="DDP",offer_sale_type&lt;&gt;"экспорт"),IF((TODAY()+offer_turnaround_time)&gt;=helpsheet!$L$17,rate_vatRU_from_26,rate_vatRu_till_25),0)</f>
        <v/>
      </c>
      <c r="AP1710" s="193">
        <f>AN1710-AO1710</f>
        <v/>
      </c>
      <c r="AQ1710" s="118">
        <f>IF(offer_sale_type="транзит",SUM(AF1710:AI1710,BA1710,BB1710),0)</f>
        <v/>
      </c>
      <c r="AR1710" s="82">
        <f>HYPERLINK("https://www.alta.ru/tnved/code/")&amp;W1710&amp;"/"</f>
        <v/>
      </c>
      <c r="AS1710" s="157" t="n"/>
      <c r="AT1710" s="162" t="n"/>
      <c r="AU1710" s="76">
        <f>IF(ISBLANK(AT1710),0,AJ1710-AT1710)</f>
        <v/>
      </c>
      <c r="AV1710" s="157" t="n"/>
      <c r="AW1710" s="75">
        <f>_xlfn.IFNA(VLOOKUP(L1710,list_vat[],3,FALSE),0)</f>
        <v/>
      </c>
      <c r="AX1710" s="76">
        <f>IFERROR(ROUND(S1710*(1+AW1710)/E1710,2),0)</f>
        <v/>
      </c>
      <c r="AY1710" s="76">
        <f>E1710*AX1710</f>
        <v/>
      </c>
      <c r="AZ1710" s="192">
        <f>S1710*(1+M1710)</f>
        <v/>
      </c>
      <c r="BA1710" s="76">
        <f>cost_fin_total*$BD1710</f>
        <v/>
      </c>
      <c r="BB1710" s="193">
        <f>credit_sales_interest*BD1710</f>
        <v/>
      </c>
      <c r="BC1710" s="102">
        <f>IFERROR(IF($I$13&gt;0,$I1710/$I$13,$S1710/$S$13),0)</f>
        <v/>
      </c>
      <c r="BD1710" s="102">
        <f>IFERROR($S1710/$S$13,0)</f>
        <v/>
      </c>
      <c r="BE1710" s="413" t="inlineStr">
        <is>
          <t>$</t>
        </is>
      </c>
    </row>
    <row r="1711" ht="12" customFormat="1" customHeight="1" s="65">
      <c r="A1711" s="43" t="n">
        <v>1696</v>
      </c>
      <c r="B1711" s="166" t="n"/>
      <c r="C1711" s="166" t="n"/>
      <c r="D1711" s="166" t="n"/>
      <c r="E1711" s="162" t="n"/>
      <c r="F1711" s="166" t="n"/>
      <c r="G1711" s="162" t="n"/>
      <c r="H1711" s="162" t="n"/>
      <c r="I1711" s="189">
        <f>E1711*G1711</f>
        <v/>
      </c>
      <c r="J1711" s="195" t="n"/>
      <c r="K1711" s="162" t="n"/>
      <c r="L1711" s="168" t="n"/>
      <c r="M1711" s="75">
        <f>_xlfn.XLOOKUP(L1711,list_vat[Страна],list_vat[Ставка НДС %],0,0)</f>
        <v/>
      </c>
      <c r="N1711" s="162">
        <f>IFERROR(IF(L1711="Китай",K1711,K1711/(1+M1711)),0)</f>
        <v/>
      </c>
      <c r="O1711" s="169" t="n"/>
      <c r="P1711" s="76">
        <f>N1711*(1-O1711)</f>
        <v/>
      </c>
      <c r="Q1711" s="162" t="n"/>
      <c r="R1711" s="162">
        <f>IF(ISBLANK(Q1711),"введи курс",P1711/Q1711)</f>
        <v/>
      </c>
      <c r="S1711" s="196">
        <f>IF(AND(ISNUMBER(E1711),ISNUMBER(Q1711)),E1711*R1711,0)</f>
        <v/>
      </c>
      <c r="T1711" s="192">
        <f>$BC1711*V$11</f>
        <v/>
      </c>
      <c r="U1711" s="76">
        <f>$BC1711*W$11</f>
        <v/>
      </c>
      <c r="V1711" s="193">
        <f>+SUM(T1711:U1711)</f>
        <v/>
      </c>
      <c r="W1711" s="191" t="n"/>
      <c r="X1711" s="170" t="n"/>
      <c r="Y1711" s="76">
        <f>ROUND(IF(offer_incoterms="DDP",X1711*(S1711*(1+AW1711)+T1711),0),2)</f>
        <v/>
      </c>
      <c r="Z1711" s="188" t="n"/>
      <c r="AA1711" s="192">
        <f>IFERROR(AB1711/E1711,0)</f>
        <v/>
      </c>
      <c r="AB1711" s="76">
        <f>ROUND(SUM(S1711,V1711,Y1711:Z1711,BA1711:BB1711),2)</f>
        <v/>
      </c>
      <c r="AC1711" s="797" t="n"/>
      <c r="AD1711" s="192">
        <f t="array" ref="AD1711">IFERROR(ROUND((_xlfn.IFS(offer_sale_type="поставка",AB1711,offer_sale_type="транзит",S1711)*(1+AC1711))/E1711,2),0)</f>
        <v/>
      </c>
      <c r="AE1711" s="76">
        <f>AD1711*E1711</f>
        <v/>
      </c>
      <c r="AF1711" s="193">
        <f t="array" ref="AF1711">IFERROR(ROUND(_xlfn.IFS(offer_sale_type="поставка",AB1711,offer_sale_type="транзит",S1711)*AC1711,2),0)</f>
        <v/>
      </c>
      <c r="AG1711" s="192">
        <f>$BD1711*VLOOKUP($AG$3,$AF$4:$AG$7,2,FALSE)</f>
        <v/>
      </c>
      <c r="AH1711" s="76">
        <f>SUM(AE1711,AG1711,AI1711)*rate_forex_risk</f>
        <v/>
      </c>
      <c r="AI1711" s="193">
        <f>IF(OR(seller_region="TR",offer_sale_type="экспорт"),0,rate_fin_comm)*SUM(AZ1711,AZ1711*AW1711,T1711)</f>
        <v/>
      </c>
      <c r="AJ1711" s="118">
        <f>IFERROR(ROUND(SUM(AB1711,AF1711:AI1711)/E1711,2),0)</f>
        <v/>
      </c>
      <c r="AK1711" s="76">
        <f>AJ1711*E1711</f>
        <v/>
      </c>
      <c r="AL1711" s="174">
        <f>ROUND(IFERROR(AM1711*E1711,0),2)</f>
        <v/>
      </c>
      <c r="AM1711" s="175">
        <f>ROUND(AJ1711*(1+IF(offer_incoterms="DDP",IF((TODAY()+offer_turnaround_time)&gt;=helpsheet!$L$17,rate_vatRU_from_26,rate_vatRu_till_25),0)),2)</f>
        <v/>
      </c>
      <c r="AN1711" s="192">
        <f>AL1711-AK1711</f>
        <v/>
      </c>
      <c r="AO1711" s="76">
        <f>SUM(AY1711,Y1711:Z1711,T1711)*IF(AND(offer_incoterms="DDP",offer_sale_type&lt;&gt;"экспорт"),IF((TODAY()+offer_turnaround_time)&gt;=helpsheet!$L$17,rate_vatRU_from_26,rate_vatRu_till_25),0)</f>
        <v/>
      </c>
      <c r="AP1711" s="193">
        <f>AN1711-AO1711</f>
        <v/>
      </c>
      <c r="AQ1711" s="118">
        <f>IF(offer_sale_type="транзит",SUM(AF1711:AI1711,BA1711,BB1711),0)</f>
        <v/>
      </c>
      <c r="AR1711" s="82">
        <f>HYPERLINK("https://www.alta.ru/tnved/code/")&amp;W1711&amp;"/"</f>
        <v/>
      </c>
      <c r="AS1711" s="157" t="n"/>
      <c r="AT1711" s="162" t="n"/>
      <c r="AU1711" s="76">
        <f>IF(ISBLANK(AT1711),0,AJ1711-AT1711)</f>
        <v/>
      </c>
      <c r="AV1711" s="157" t="n"/>
      <c r="AW1711" s="75">
        <f>_xlfn.IFNA(VLOOKUP(L1711,list_vat[],3,FALSE),0)</f>
        <v/>
      </c>
      <c r="AX1711" s="76">
        <f>IFERROR(ROUND(S1711*(1+AW1711)/E1711,2),0)</f>
        <v/>
      </c>
      <c r="AY1711" s="76">
        <f>E1711*AX1711</f>
        <v/>
      </c>
      <c r="AZ1711" s="192">
        <f>S1711*(1+M1711)</f>
        <v/>
      </c>
      <c r="BA1711" s="76">
        <f>cost_fin_total*$BD1711</f>
        <v/>
      </c>
      <c r="BB1711" s="193">
        <f>credit_sales_interest*BD1711</f>
        <v/>
      </c>
      <c r="BC1711" s="102">
        <f>IFERROR(IF($I$13&gt;0,$I1711/$I$13,$S1711/$S$13),0)</f>
        <v/>
      </c>
      <c r="BD1711" s="102">
        <f>IFERROR($S1711/$S$13,0)</f>
        <v/>
      </c>
      <c r="BE1711" s="413" t="inlineStr">
        <is>
          <t>$</t>
        </is>
      </c>
    </row>
    <row r="1712" ht="12" customFormat="1" customHeight="1" s="65">
      <c r="A1712" s="43" t="n">
        <v>1697</v>
      </c>
      <c r="B1712" s="166" t="n"/>
      <c r="C1712" s="166" t="n"/>
      <c r="D1712" s="166" t="n"/>
      <c r="E1712" s="162" t="n"/>
      <c r="F1712" s="166" t="n"/>
      <c r="G1712" s="162" t="n"/>
      <c r="H1712" s="162" t="n"/>
      <c r="I1712" s="189">
        <f>E1712*G1712</f>
        <v/>
      </c>
      <c r="J1712" s="195" t="n"/>
      <c r="K1712" s="162" t="n"/>
      <c r="L1712" s="168" t="n"/>
      <c r="M1712" s="75">
        <f>_xlfn.XLOOKUP(L1712,list_vat[Страна],list_vat[Ставка НДС %],0,0)</f>
        <v/>
      </c>
      <c r="N1712" s="162">
        <f>IFERROR(IF(L1712="Китай",K1712,K1712/(1+M1712)),0)</f>
        <v/>
      </c>
      <c r="O1712" s="169" t="n"/>
      <c r="P1712" s="76">
        <f>N1712*(1-O1712)</f>
        <v/>
      </c>
      <c r="Q1712" s="162" t="n"/>
      <c r="R1712" s="162">
        <f>IF(ISBLANK(Q1712),"введи курс",P1712/Q1712)</f>
        <v/>
      </c>
      <c r="S1712" s="196">
        <f>IF(AND(ISNUMBER(E1712),ISNUMBER(Q1712)),E1712*R1712,0)</f>
        <v/>
      </c>
      <c r="T1712" s="192">
        <f>$BC1712*V$11</f>
        <v/>
      </c>
      <c r="U1712" s="76">
        <f>$BC1712*W$11</f>
        <v/>
      </c>
      <c r="V1712" s="193">
        <f>+SUM(T1712:U1712)</f>
        <v/>
      </c>
      <c r="W1712" s="191" t="n"/>
      <c r="X1712" s="170" t="n"/>
      <c r="Y1712" s="76">
        <f>ROUND(IF(offer_incoterms="DDP",X1712*(S1712*(1+AW1712)+T1712),0),2)</f>
        <v/>
      </c>
      <c r="Z1712" s="188" t="n"/>
      <c r="AA1712" s="192">
        <f>IFERROR(AB1712/E1712,0)</f>
        <v/>
      </c>
      <c r="AB1712" s="76">
        <f>ROUND(SUM(S1712,V1712,Y1712:Z1712,BA1712:BB1712),2)</f>
        <v/>
      </c>
      <c r="AC1712" s="797" t="n"/>
      <c r="AD1712" s="192">
        <f t="array" ref="AD1712">IFERROR(ROUND((_xlfn.IFS(offer_sale_type="поставка",AB1712,offer_sale_type="транзит",S1712)*(1+AC1712))/E1712,2),0)</f>
        <v/>
      </c>
      <c r="AE1712" s="76">
        <f>AD1712*E1712</f>
        <v/>
      </c>
      <c r="AF1712" s="193">
        <f t="array" ref="AF1712">IFERROR(ROUND(_xlfn.IFS(offer_sale_type="поставка",AB1712,offer_sale_type="транзит",S1712)*AC1712,2),0)</f>
        <v/>
      </c>
      <c r="AG1712" s="192">
        <f>$BD1712*VLOOKUP($AG$3,$AF$4:$AG$7,2,FALSE)</f>
        <v/>
      </c>
      <c r="AH1712" s="76">
        <f>SUM(AE1712,AG1712,AI1712)*rate_forex_risk</f>
        <v/>
      </c>
      <c r="AI1712" s="193">
        <f>IF(OR(seller_region="TR",offer_sale_type="экспорт"),0,rate_fin_comm)*SUM(AZ1712,AZ1712*AW1712,T1712)</f>
        <v/>
      </c>
      <c r="AJ1712" s="118">
        <f>IFERROR(ROUND(SUM(AB1712,AF1712:AI1712)/E1712,2),0)</f>
        <v/>
      </c>
      <c r="AK1712" s="76">
        <f>AJ1712*E1712</f>
        <v/>
      </c>
      <c r="AL1712" s="174">
        <f>ROUND(IFERROR(AM1712*E1712,0),2)</f>
        <v/>
      </c>
      <c r="AM1712" s="175">
        <f>ROUND(AJ1712*(1+IF(offer_incoterms="DDP",IF((TODAY()+offer_turnaround_time)&gt;=helpsheet!$L$17,rate_vatRU_from_26,rate_vatRu_till_25),0)),2)</f>
        <v/>
      </c>
      <c r="AN1712" s="192">
        <f>AL1712-AK1712</f>
        <v/>
      </c>
      <c r="AO1712" s="76">
        <f>SUM(AY1712,Y1712:Z1712,T1712)*IF(AND(offer_incoterms="DDP",offer_sale_type&lt;&gt;"экспорт"),IF((TODAY()+offer_turnaround_time)&gt;=helpsheet!$L$17,rate_vatRU_from_26,rate_vatRu_till_25),0)</f>
        <v/>
      </c>
      <c r="AP1712" s="193">
        <f>AN1712-AO1712</f>
        <v/>
      </c>
      <c r="AQ1712" s="118">
        <f>IF(offer_sale_type="транзит",SUM(AF1712:AI1712,BA1712,BB1712),0)</f>
        <v/>
      </c>
      <c r="AR1712" s="82">
        <f>HYPERLINK("https://www.alta.ru/tnved/code/")&amp;W1712&amp;"/"</f>
        <v/>
      </c>
      <c r="AS1712" s="157" t="n"/>
      <c r="AT1712" s="162" t="n"/>
      <c r="AU1712" s="76">
        <f>IF(ISBLANK(AT1712),0,AJ1712-AT1712)</f>
        <v/>
      </c>
      <c r="AV1712" s="157" t="n"/>
      <c r="AW1712" s="75">
        <f>_xlfn.IFNA(VLOOKUP(L1712,list_vat[],3,FALSE),0)</f>
        <v/>
      </c>
      <c r="AX1712" s="76">
        <f>IFERROR(ROUND(S1712*(1+AW1712)/E1712,2),0)</f>
        <v/>
      </c>
      <c r="AY1712" s="76">
        <f>E1712*AX1712</f>
        <v/>
      </c>
      <c r="AZ1712" s="192">
        <f>S1712*(1+M1712)</f>
        <v/>
      </c>
      <c r="BA1712" s="76">
        <f>cost_fin_total*$BD1712</f>
        <v/>
      </c>
      <c r="BB1712" s="193">
        <f>credit_sales_interest*BD1712</f>
        <v/>
      </c>
      <c r="BC1712" s="102">
        <f>IFERROR(IF($I$13&gt;0,$I1712/$I$13,$S1712/$S$13),0)</f>
        <v/>
      </c>
      <c r="BD1712" s="102">
        <f>IFERROR($S1712/$S$13,0)</f>
        <v/>
      </c>
      <c r="BE1712" s="413" t="inlineStr">
        <is>
          <t>$</t>
        </is>
      </c>
    </row>
    <row r="1713" ht="12" customFormat="1" customHeight="1" s="65">
      <c r="A1713" s="43" t="n">
        <v>1698</v>
      </c>
      <c r="B1713" s="166" t="n"/>
      <c r="C1713" s="166" t="n"/>
      <c r="D1713" s="166" t="n"/>
      <c r="E1713" s="162" t="n"/>
      <c r="F1713" s="166" t="n"/>
      <c r="G1713" s="162" t="n"/>
      <c r="H1713" s="162" t="n"/>
      <c r="I1713" s="189">
        <f>E1713*G1713</f>
        <v/>
      </c>
      <c r="J1713" s="195" t="n"/>
      <c r="K1713" s="162" t="n"/>
      <c r="L1713" s="168" t="n"/>
      <c r="M1713" s="75">
        <f>_xlfn.XLOOKUP(L1713,list_vat[Страна],list_vat[Ставка НДС %],0,0)</f>
        <v/>
      </c>
      <c r="N1713" s="162">
        <f>IFERROR(IF(L1713="Китай",K1713,K1713/(1+M1713)),0)</f>
        <v/>
      </c>
      <c r="O1713" s="169" t="n"/>
      <c r="P1713" s="76">
        <f>N1713*(1-O1713)</f>
        <v/>
      </c>
      <c r="Q1713" s="162" t="n"/>
      <c r="R1713" s="162">
        <f>IF(ISBLANK(Q1713),"введи курс",P1713/Q1713)</f>
        <v/>
      </c>
      <c r="S1713" s="196">
        <f>IF(AND(ISNUMBER(E1713),ISNUMBER(Q1713)),E1713*R1713,0)</f>
        <v/>
      </c>
      <c r="T1713" s="192">
        <f>$BC1713*V$11</f>
        <v/>
      </c>
      <c r="U1713" s="76">
        <f>$BC1713*W$11</f>
        <v/>
      </c>
      <c r="V1713" s="193">
        <f>+SUM(T1713:U1713)</f>
        <v/>
      </c>
      <c r="W1713" s="191" t="n"/>
      <c r="X1713" s="170" t="n"/>
      <c r="Y1713" s="76">
        <f>ROUND(IF(offer_incoterms="DDP",X1713*(S1713*(1+AW1713)+T1713),0),2)</f>
        <v/>
      </c>
      <c r="Z1713" s="188" t="n"/>
      <c r="AA1713" s="192">
        <f>IFERROR(AB1713/E1713,0)</f>
        <v/>
      </c>
      <c r="AB1713" s="76">
        <f>ROUND(SUM(S1713,V1713,Y1713:Z1713,BA1713:BB1713),2)</f>
        <v/>
      </c>
      <c r="AC1713" s="797" t="n"/>
      <c r="AD1713" s="192">
        <f t="array" ref="AD1713">IFERROR(ROUND((_xlfn.IFS(offer_sale_type="поставка",AB1713,offer_sale_type="транзит",S1713)*(1+AC1713))/E1713,2),0)</f>
        <v/>
      </c>
      <c r="AE1713" s="76">
        <f>AD1713*E1713</f>
        <v/>
      </c>
      <c r="AF1713" s="193">
        <f t="array" ref="AF1713">IFERROR(ROUND(_xlfn.IFS(offer_sale_type="поставка",AB1713,offer_sale_type="транзит",S1713)*AC1713,2),0)</f>
        <v/>
      </c>
      <c r="AG1713" s="192">
        <f>$BD1713*VLOOKUP($AG$3,$AF$4:$AG$7,2,FALSE)</f>
        <v/>
      </c>
      <c r="AH1713" s="76">
        <f>SUM(AE1713,AG1713,AI1713)*rate_forex_risk</f>
        <v/>
      </c>
      <c r="AI1713" s="193">
        <f>IF(OR(seller_region="TR",offer_sale_type="экспорт"),0,rate_fin_comm)*SUM(AZ1713,AZ1713*AW1713,T1713)</f>
        <v/>
      </c>
      <c r="AJ1713" s="118">
        <f>IFERROR(ROUND(SUM(AB1713,AF1713:AI1713)/E1713,2),0)</f>
        <v/>
      </c>
      <c r="AK1713" s="76">
        <f>AJ1713*E1713</f>
        <v/>
      </c>
      <c r="AL1713" s="174">
        <f>ROUND(IFERROR(AM1713*E1713,0),2)</f>
        <v/>
      </c>
      <c r="AM1713" s="175">
        <f>ROUND(AJ1713*(1+IF(offer_incoterms="DDP",IF((TODAY()+offer_turnaround_time)&gt;=helpsheet!$L$17,rate_vatRU_from_26,rate_vatRu_till_25),0)),2)</f>
        <v/>
      </c>
      <c r="AN1713" s="192">
        <f>AL1713-AK1713</f>
        <v/>
      </c>
      <c r="AO1713" s="76">
        <f>SUM(AY1713,Y1713:Z1713,T1713)*IF(AND(offer_incoterms="DDP",offer_sale_type&lt;&gt;"экспорт"),IF((TODAY()+offer_turnaround_time)&gt;=helpsheet!$L$17,rate_vatRU_from_26,rate_vatRu_till_25),0)</f>
        <v/>
      </c>
      <c r="AP1713" s="193">
        <f>AN1713-AO1713</f>
        <v/>
      </c>
      <c r="AQ1713" s="118">
        <f>IF(offer_sale_type="транзит",SUM(AF1713:AI1713,BA1713,BB1713),0)</f>
        <v/>
      </c>
      <c r="AR1713" s="82">
        <f>HYPERLINK("https://www.alta.ru/tnved/code/")&amp;W1713&amp;"/"</f>
        <v/>
      </c>
      <c r="AS1713" s="157" t="n"/>
      <c r="AT1713" s="162" t="n"/>
      <c r="AU1713" s="76">
        <f>IF(ISBLANK(AT1713),0,AJ1713-AT1713)</f>
        <v/>
      </c>
      <c r="AV1713" s="157" t="n"/>
      <c r="AW1713" s="75">
        <f>_xlfn.IFNA(VLOOKUP(L1713,list_vat[],3,FALSE),0)</f>
        <v/>
      </c>
      <c r="AX1713" s="76">
        <f>IFERROR(ROUND(S1713*(1+AW1713)/E1713,2),0)</f>
        <v/>
      </c>
      <c r="AY1713" s="76">
        <f>E1713*AX1713</f>
        <v/>
      </c>
      <c r="AZ1713" s="192">
        <f>S1713*(1+M1713)</f>
        <v/>
      </c>
      <c r="BA1713" s="76">
        <f>cost_fin_total*$BD1713</f>
        <v/>
      </c>
      <c r="BB1713" s="193">
        <f>credit_sales_interest*BD1713</f>
        <v/>
      </c>
      <c r="BC1713" s="102">
        <f>IFERROR(IF($I$13&gt;0,$I1713/$I$13,$S1713/$S$13),0)</f>
        <v/>
      </c>
      <c r="BD1713" s="102">
        <f>IFERROR($S1713/$S$13,0)</f>
        <v/>
      </c>
      <c r="BE1713" s="413" t="inlineStr">
        <is>
          <t>$</t>
        </is>
      </c>
    </row>
    <row r="1714" ht="12" customFormat="1" customHeight="1" s="65">
      <c r="A1714" s="43" t="n">
        <v>1699</v>
      </c>
      <c r="B1714" s="166" t="n"/>
      <c r="C1714" s="166" t="n"/>
      <c r="D1714" s="166" t="n"/>
      <c r="E1714" s="162" t="n"/>
      <c r="F1714" s="166" t="n"/>
      <c r="G1714" s="162" t="n"/>
      <c r="H1714" s="162" t="n"/>
      <c r="I1714" s="189">
        <f>E1714*G1714</f>
        <v/>
      </c>
      <c r="J1714" s="195" t="n"/>
      <c r="K1714" s="162" t="n"/>
      <c r="L1714" s="168" t="n"/>
      <c r="M1714" s="75">
        <f>_xlfn.XLOOKUP(L1714,list_vat[Страна],list_vat[Ставка НДС %],0,0)</f>
        <v/>
      </c>
      <c r="N1714" s="162">
        <f>IFERROR(IF(L1714="Китай",K1714,K1714/(1+M1714)),0)</f>
        <v/>
      </c>
      <c r="O1714" s="169" t="n"/>
      <c r="P1714" s="76">
        <f>N1714*(1-O1714)</f>
        <v/>
      </c>
      <c r="Q1714" s="162" t="n"/>
      <c r="R1714" s="162">
        <f>IF(ISBLANK(Q1714),"введи курс",P1714/Q1714)</f>
        <v/>
      </c>
      <c r="S1714" s="196">
        <f>IF(AND(ISNUMBER(E1714),ISNUMBER(Q1714)),E1714*R1714,0)</f>
        <v/>
      </c>
      <c r="T1714" s="192">
        <f>$BC1714*V$11</f>
        <v/>
      </c>
      <c r="U1714" s="76">
        <f>$BC1714*W$11</f>
        <v/>
      </c>
      <c r="V1714" s="193">
        <f>+SUM(T1714:U1714)</f>
        <v/>
      </c>
      <c r="W1714" s="191" t="n"/>
      <c r="X1714" s="170" t="n"/>
      <c r="Y1714" s="76">
        <f>ROUND(IF(offer_incoterms="DDP",X1714*(S1714*(1+AW1714)+T1714),0),2)</f>
        <v/>
      </c>
      <c r="Z1714" s="188" t="n"/>
      <c r="AA1714" s="192">
        <f>IFERROR(AB1714/E1714,0)</f>
        <v/>
      </c>
      <c r="AB1714" s="76">
        <f>ROUND(SUM(S1714,V1714,Y1714:Z1714,BA1714:BB1714),2)</f>
        <v/>
      </c>
      <c r="AC1714" s="797" t="n"/>
      <c r="AD1714" s="192">
        <f t="array" ref="AD1714">IFERROR(ROUND((_xlfn.IFS(offer_sale_type="поставка",AB1714,offer_sale_type="транзит",S1714)*(1+AC1714))/E1714,2),0)</f>
        <v/>
      </c>
      <c r="AE1714" s="76">
        <f>AD1714*E1714</f>
        <v/>
      </c>
      <c r="AF1714" s="193">
        <f t="array" ref="AF1714">IFERROR(ROUND(_xlfn.IFS(offer_sale_type="поставка",AB1714,offer_sale_type="транзит",S1714)*AC1714,2),0)</f>
        <v/>
      </c>
      <c r="AG1714" s="192">
        <f>$BD1714*VLOOKUP($AG$3,$AF$4:$AG$7,2,FALSE)</f>
        <v/>
      </c>
      <c r="AH1714" s="76">
        <f>SUM(AE1714,AG1714,AI1714)*rate_forex_risk</f>
        <v/>
      </c>
      <c r="AI1714" s="193">
        <f>IF(OR(seller_region="TR",offer_sale_type="экспорт"),0,rate_fin_comm)*SUM(AZ1714,AZ1714*AW1714,T1714)</f>
        <v/>
      </c>
      <c r="AJ1714" s="118">
        <f>IFERROR(ROUND(SUM(AB1714,AF1714:AI1714)/E1714,2),0)</f>
        <v/>
      </c>
      <c r="AK1714" s="76">
        <f>AJ1714*E1714</f>
        <v/>
      </c>
      <c r="AL1714" s="174">
        <f>ROUND(IFERROR(AM1714*E1714,0),2)</f>
        <v/>
      </c>
      <c r="AM1714" s="175">
        <f>ROUND(AJ1714*(1+IF(offer_incoterms="DDP",IF((TODAY()+offer_turnaround_time)&gt;=helpsheet!$L$17,rate_vatRU_from_26,rate_vatRu_till_25),0)),2)</f>
        <v/>
      </c>
      <c r="AN1714" s="192">
        <f>AL1714-AK1714</f>
        <v/>
      </c>
      <c r="AO1714" s="76">
        <f>SUM(AY1714,Y1714:Z1714,T1714)*IF(AND(offer_incoterms="DDP",offer_sale_type&lt;&gt;"экспорт"),IF((TODAY()+offer_turnaround_time)&gt;=helpsheet!$L$17,rate_vatRU_from_26,rate_vatRu_till_25),0)</f>
        <v/>
      </c>
      <c r="AP1714" s="193">
        <f>AN1714-AO1714</f>
        <v/>
      </c>
      <c r="AQ1714" s="118">
        <f>IF(offer_sale_type="транзит",SUM(AF1714:AI1714,BA1714,BB1714),0)</f>
        <v/>
      </c>
      <c r="AR1714" s="82">
        <f>HYPERLINK("https://www.alta.ru/tnved/code/")&amp;W1714&amp;"/"</f>
        <v/>
      </c>
      <c r="AS1714" s="157" t="n"/>
      <c r="AT1714" s="162" t="n"/>
      <c r="AU1714" s="76">
        <f>IF(ISBLANK(AT1714),0,AJ1714-AT1714)</f>
        <v/>
      </c>
      <c r="AV1714" s="157" t="n"/>
      <c r="AW1714" s="75">
        <f>_xlfn.IFNA(VLOOKUP(L1714,list_vat[],3,FALSE),0)</f>
        <v/>
      </c>
      <c r="AX1714" s="76">
        <f>IFERROR(ROUND(S1714*(1+AW1714)/E1714,2),0)</f>
        <v/>
      </c>
      <c r="AY1714" s="76">
        <f>E1714*AX1714</f>
        <v/>
      </c>
      <c r="AZ1714" s="192">
        <f>S1714*(1+M1714)</f>
        <v/>
      </c>
      <c r="BA1714" s="76">
        <f>cost_fin_total*$BD1714</f>
        <v/>
      </c>
      <c r="BB1714" s="193">
        <f>credit_sales_interest*BD1714</f>
        <v/>
      </c>
      <c r="BC1714" s="102">
        <f>IFERROR(IF($I$13&gt;0,$I1714/$I$13,$S1714/$S$13),0)</f>
        <v/>
      </c>
      <c r="BD1714" s="102">
        <f>IFERROR($S1714/$S$13,0)</f>
        <v/>
      </c>
      <c r="BE1714" s="413" t="inlineStr">
        <is>
          <t>$</t>
        </is>
      </c>
    </row>
    <row r="1715" ht="12" customFormat="1" customHeight="1" s="65">
      <c r="A1715" s="43" t="n">
        <v>1700</v>
      </c>
      <c r="B1715" s="166" t="n"/>
      <c r="C1715" s="166" t="n"/>
      <c r="D1715" s="166" t="n"/>
      <c r="E1715" s="162" t="n"/>
      <c r="F1715" s="166" t="n"/>
      <c r="G1715" s="162" t="n"/>
      <c r="H1715" s="162" t="n"/>
      <c r="I1715" s="189">
        <f>E1715*G1715</f>
        <v/>
      </c>
      <c r="J1715" s="195" t="n"/>
      <c r="K1715" s="162" t="n"/>
      <c r="L1715" s="168" t="n"/>
      <c r="M1715" s="75">
        <f>_xlfn.XLOOKUP(L1715,list_vat[Страна],list_vat[Ставка НДС %],0,0)</f>
        <v/>
      </c>
      <c r="N1715" s="162">
        <f>IFERROR(IF(L1715="Китай",K1715,K1715/(1+M1715)),0)</f>
        <v/>
      </c>
      <c r="O1715" s="169" t="n"/>
      <c r="P1715" s="76">
        <f>N1715*(1-O1715)</f>
        <v/>
      </c>
      <c r="Q1715" s="162" t="n"/>
      <c r="R1715" s="162">
        <f>IF(ISBLANK(Q1715),"введи курс",P1715/Q1715)</f>
        <v/>
      </c>
      <c r="S1715" s="196">
        <f>IF(AND(ISNUMBER(E1715),ISNUMBER(Q1715)),E1715*R1715,0)</f>
        <v/>
      </c>
      <c r="T1715" s="192">
        <f>$BC1715*V$11</f>
        <v/>
      </c>
      <c r="U1715" s="76">
        <f>$BC1715*W$11</f>
        <v/>
      </c>
      <c r="V1715" s="193">
        <f>+SUM(T1715:U1715)</f>
        <v/>
      </c>
      <c r="W1715" s="191" t="n"/>
      <c r="X1715" s="170" t="n"/>
      <c r="Y1715" s="76">
        <f>ROUND(IF(offer_incoterms="DDP",X1715*(S1715*(1+AW1715)+T1715),0),2)</f>
        <v/>
      </c>
      <c r="Z1715" s="188" t="n"/>
      <c r="AA1715" s="192">
        <f>IFERROR(AB1715/E1715,0)</f>
        <v/>
      </c>
      <c r="AB1715" s="76">
        <f>ROUND(SUM(S1715,V1715,Y1715:Z1715,BA1715:BB1715),2)</f>
        <v/>
      </c>
      <c r="AC1715" s="797" t="n"/>
      <c r="AD1715" s="192">
        <f t="array" ref="AD1715">IFERROR(ROUND((_xlfn.IFS(offer_sale_type="поставка",AB1715,offer_sale_type="транзит",S1715)*(1+AC1715))/E1715,2),0)</f>
        <v/>
      </c>
      <c r="AE1715" s="76">
        <f>AD1715*E1715</f>
        <v/>
      </c>
      <c r="AF1715" s="193">
        <f t="array" ref="AF1715">IFERROR(ROUND(_xlfn.IFS(offer_sale_type="поставка",AB1715,offer_sale_type="транзит",S1715)*AC1715,2),0)</f>
        <v/>
      </c>
      <c r="AG1715" s="192">
        <f>$BD1715*VLOOKUP($AG$3,$AF$4:$AG$7,2,FALSE)</f>
        <v/>
      </c>
      <c r="AH1715" s="76">
        <f>SUM(AE1715,AG1715,AI1715)*rate_forex_risk</f>
        <v/>
      </c>
      <c r="AI1715" s="193">
        <f>IF(OR(seller_region="TR",offer_sale_type="экспорт"),0,rate_fin_comm)*SUM(AZ1715,AZ1715*AW1715,T1715)</f>
        <v/>
      </c>
      <c r="AJ1715" s="118">
        <f>IFERROR(ROUND(SUM(AB1715,AF1715:AI1715)/E1715,2),0)</f>
        <v/>
      </c>
      <c r="AK1715" s="76">
        <f>AJ1715*E1715</f>
        <v/>
      </c>
      <c r="AL1715" s="174">
        <f>ROUND(IFERROR(AM1715*E1715,0),2)</f>
        <v/>
      </c>
      <c r="AM1715" s="175">
        <f>ROUND(AJ1715*(1+IF(offer_incoterms="DDP",IF((TODAY()+offer_turnaround_time)&gt;=helpsheet!$L$17,rate_vatRU_from_26,rate_vatRu_till_25),0)),2)</f>
        <v/>
      </c>
      <c r="AN1715" s="192">
        <f>AL1715-AK1715</f>
        <v/>
      </c>
      <c r="AO1715" s="76">
        <f>SUM(AY1715,Y1715:Z1715,T1715)*IF(AND(offer_incoterms="DDP",offer_sale_type&lt;&gt;"экспорт"),IF((TODAY()+offer_turnaround_time)&gt;=helpsheet!$L$17,rate_vatRU_from_26,rate_vatRu_till_25),0)</f>
        <v/>
      </c>
      <c r="AP1715" s="193">
        <f>AN1715-AO1715</f>
        <v/>
      </c>
      <c r="AQ1715" s="118">
        <f>IF(offer_sale_type="транзит",SUM(AF1715:AI1715,BA1715,BB1715),0)</f>
        <v/>
      </c>
      <c r="AR1715" s="82">
        <f>HYPERLINK("https://www.alta.ru/tnved/code/")&amp;W1715&amp;"/"</f>
        <v/>
      </c>
      <c r="AS1715" s="157" t="n"/>
      <c r="AT1715" s="162" t="n"/>
      <c r="AU1715" s="76">
        <f>IF(ISBLANK(AT1715),0,AJ1715-AT1715)</f>
        <v/>
      </c>
      <c r="AV1715" s="157" t="n"/>
      <c r="AW1715" s="75">
        <f>_xlfn.IFNA(VLOOKUP(L1715,list_vat[],3,FALSE),0)</f>
        <v/>
      </c>
      <c r="AX1715" s="76">
        <f>IFERROR(ROUND(S1715*(1+AW1715)/E1715,2),0)</f>
        <v/>
      </c>
      <c r="AY1715" s="76">
        <f>E1715*AX1715</f>
        <v/>
      </c>
      <c r="AZ1715" s="192">
        <f>S1715*(1+M1715)</f>
        <v/>
      </c>
      <c r="BA1715" s="76">
        <f>cost_fin_total*$BD1715</f>
        <v/>
      </c>
      <c r="BB1715" s="193">
        <f>credit_sales_interest*BD1715</f>
        <v/>
      </c>
      <c r="BC1715" s="102">
        <f>IFERROR(IF($I$13&gt;0,$I1715/$I$13,$S1715/$S$13),0)</f>
        <v/>
      </c>
      <c r="BD1715" s="102">
        <f>IFERROR($S1715/$S$13,0)</f>
        <v/>
      </c>
      <c r="BE1715" s="413" t="inlineStr">
        <is>
          <t>$</t>
        </is>
      </c>
    </row>
    <row r="1716" ht="12" customFormat="1" customHeight="1" s="65">
      <c r="A1716" s="43" t="n">
        <v>1701</v>
      </c>
      <c r="B1716" s="166" t="n"/>
      <c r="C1716" s="166" t="n"/>
      <c r="D1716" s="166" t="n"/>
      <c r="E1716" s="162" t="n"/>
      <c r="F1716" s="166" t="n"/>
      <c r="G1716" s="162" t="n"/>
      <c r="H1716" s="162" t="n"/>
      <c r="I1716" s="189">
        <f>E1716*G1716</f>
        <v/>
      </c>
      <c r="J1716" s="195" t="n"/>
      <c r="K1716" s="162" t="n"/>
      <c r="L1716" s="168" t="n"/>
      <c r="M1716" s="75">
        <f>_xlfn.XLOOKUP(L1716,list_vat[Страна],list_vat[Ставка НДС %],0,0)</f>
        <v/>
      </c>
      <c r="N1716" s="162">
        <f>IFERROR(IF(L1716="Китай",K1716,K1716/(1+M1716)),0)</f>
        <v/>
      </c>
      <c r="O1716" s="169" t="n"/>
      <c r="P1716" s="76">
        <f>N1716*(1-O1716)</f>
        <v/>
      </c>
      <c r="Q1716" s="162" t="n"/>
      <c r="R1716" s="162">
        <f>IF(ISBLANK(Q1716),"введи курс",P1716/Q1716)</f>
        <v/>
      </c>
      <c r="S1716" s="196">
        <f>IF(AND(ISNUMBER(E1716),ISNUMBER(Q1716)),E1716*R1716,0)</f>
        <v/>
      </c>
      <c r="T1716" s="192">
        <f>$BC1716*V$11</f>
        <v/>
      </c>
      <c r="U1716" s="76">
        <f>$BC1716*W$11</f>
        <v/>
      </c>
      <c r="V1716" s="193">
        <f>+SUM(T1716:U1716)</f>
        <v/>
      </c>
      <c r="W1716" s="191" t="n"/>
      <c r="X1716" s="170" t="n"/>
      <c r="Y1716" s="76">
        <f>ROUND(IF(offer_incoterms="DDP",X1716*(S1716*(1+AW1716)+T1716),0),2)</f>
        <v/>
      </c>
      <c r="Z1716" s="188" t="n"/>
      <c r="AA1716" s="192">
        <f>IFERROR(AB1716/E1716,0)</f>
        <v/>
      </c>
      <c r="AB1716" s="76">
        <f>ROUND(SUM(S1716,V1716,Y1716:Z1716,BA1716:BB1716),2)</f>
        <v/>
      </c>
      <c r="AC1716" s="797" t="n"/>
      <c r="AD1716" s="192">
        <f t="array" ref="AD1716">IFERROR(ROUND((_xlfn.IFS(offer_sale_type="поставка",AB1716,offer_sale_type="транзит",S1716)*(1+AC1716))/E1716,2),0)</f>
        <v/>
      </c>
      <c r="AE1716" s="76">
        <f>AD1716*E1716</f>
        <v/>
      </c>
      <c r="AF1716" s="193">
        <f t="array" ref="AF1716">IFERROR(ROUND(_xlfn.IFS(offer_sale_type="поставка",AB1716,offer_sale_type="транзит",S1716)*AC1716,2),0)</f>
        <v/>
      </c>
      <c r="AG1716" s="192">
        <f>$BD1716*VLOOKUP($AG$3,$AF$4:$AG$7,2,FALSE)</f>
        <v/>
      </c>
      <c r="AH1716" s="76">
        <f>SUM(AE1716,AG1716,AI1716)*rate_forex_risk</f>
        <v/>
      </c>
      <c r="AI1716" s="193">
        <f>IF(OR(seller_region="TR",offer_sale_type="экспорт"),0,rate_fin_comm)*SUM(AZ1716,AZ1716*AW1716,T1716)</f>
        <v/>
      </c>
      <c r="AJ1716" s="118">
        <f>IFERROR(ROUND(SUM(AB1716,AF1716:AI1716)/E1716,2),0)</f>
        <v/>
      </c>
      <c r="AK1716" s="76">
        <f>AJ1716*E1716</f>
        <v/>
      </c>
      <c r="AL1716" s="174">
        <f>ROUND(IFERROR(AM1716*E1716,0),2)</f>
        <v/>
      </c>
      <c r="AM1716" s="175">
        <f>ROUND(AJ1716*(1+IF(offer_incoterms="DDP",IF((TODAY()+offer_turnaround_time)&gt;=helpsheet!$L$17,rate_vatRU_from_26,rate_vatRu_till_25),0)),2)</f>
        <v/>
      </c>
      <c r="AN1716" s="192">
        <f>AL1716-AK1716</f>
        <v/>
      </c>
      <c r="AO1716" s="76">
        <f>SUM(AY1716,Y1716:Z1716,T1716)*IF(AND(offer_incoterms="DDP",offer_sale_type&lt;&gt;"экспорт"),IF((TODAY()+offer_turnaround_time)&gt;=helpsheet!$L$17,rate_vatRU_from_26,rate_vatRu_till_25),0)</f>
        <v/>
      </c>
      <c r="AP1716" s="193">
        <f>AN1716-AO1716</f>
        <v/>
      </c>
      <c r="AQ1716" s="118">
        <f>IF(offer_sale_type="транзит",SUM(AF1716:AI1716,BA1716,BB1716),0)</f>
        <v/>
      </c>
      <c r="AR1716" s="82">
        <f>HYPERLINK("https://www.alta.ru/tnved/code/")&amp;W1716&amp;"/"</f>
        <v/>
      </c>
      <c r="AS1716" s="157" t="n"/>
      <c r="AT1716" s="162" t="n"/>
      <c r="AU1716" s="76">
        <f>IF(ISBLANK(AT1716),0,AJ1716-AT1716)</f>
        <v/>
      </c>
      <c r="AV1716" s="157" t="n"/>
      <c r="AW1716" s="75">
        <f>_xlfn.IFNA(VLOOKUP(L1716,list_vat[],3,FALSE),0)</f>
        <v/>
      </c>
      <c r="AX1716" s="76">
        <f>IFERROR(ROUND(S1716*(1+AW1716)/E1716,2),0)</f>
        <v/>
      </c>
      <c r="AY1716" s="76">
        <f>E1716*AX1716</f>
        <v/>
      </c>
      <c r="AZ1716" s="192">
        <f>S1716*(1+M1716)</f>
        <v/>
      </c>
      <c r="BA1716" s="76">
        <f>cost_fin_total*$BD1716</f>
        <v/>
      </c>
      <c r="BB1716" s="193">
        <f>credit_sales_interest*BD1716</f>
        <v/>
      </c>
      <c r="BC1716" s="102">
        <f>IFERROR(IF($I$13&gt;0,$I1716/$I$13,$S1716/$S$13),0)</f>
        <v/>
      </c>
      <c r="BD1716" s="102">
        <f>IFERROR($S1716/$S$13,0)</f>
        <v/>
      </c>
      <c r="BE1716" s="413" t="inlineStr">
        <is>
          <t>$</t>
        </is>
      </c>
    </row>
    <row r="1717" ht="12" customFormat="1" customHeight="1" s="65">
      <c r="A1717" s="43" t="n">
        <v>1702</v>
      </c>
      <c r="B1717" s="166" t="n"/>
      <c r="C1717" s="166" t="n"/>
      <c r="D1717" s="166" t="n"/>
      <c r="E1717" s="162" t="n"/>
      <c r="F1717" s="166" t="n"/>
      <c r="G1717" s="162" t="n"/>
      <c r="H1717" s="162" t="n"/>
      <c r="I1717" s="189">
        <f>E1717*G1717</f>
        <v/>
      </c>
      <c r="J1717" s="195" t="n"/>
      <c r="K1717" s="162" t="n"/>
      <c r="L1717" s="168" t="n"/>
      <c r="M1717" s="75">
        <f>_xlfn.XLOOKUP(L1717,list_vat[Страна],list_vat[Ставка НДС %],0,0)</f>
        <v/>
      </c>
      <c r="N1717" s="162">
        <f>IFERROR(IF(L1717="Китай",K1717,K1717/(1+M1717)),0)</f>
        <v/>
      </c>
      <c r="O1717" s="169" t="n"/>
      <c r="P1717" s="76">
        <f>N1717*(1-O1717)</f>
        <v/>
      </c>
      <c r="Q1717" s="162" t="n"/>
      <c r="R1717" s="162">
        <f>IF(ISBLANK(Q1717),"введи курс",P1717/Q1717)</f>
        <v/>
      </c>
      <c r="S1717" s="196">
        <f>IF(AND(ISNUMBER(E1717),ISNUMBER(Q1717)),E1717*R1717,0)</f>
        <v/>
      </c>
      <c r="T1717" s="192">
        <f>$BC1717*V$11</f>
        <v/>
      </c>
      <c r="U1717" s="76">
        <f>$BC1717*W$11</f>
        <v/>
      </c>
      <c r="V1717" s="193">
        <f>+SUM(T1717:U1717)</f>
        <v/>
      </c>
      <c r="W1717" s="191" t="n"/>
      <c r="X1717" s="170" t="n"/>
      <c r="Y1717" s="76">
        <f>ROUND(IF(offer_incoterms="DDP",X1717*(S1717*(1+AW1717)+T1717),0),2)</f>
        <v/>
      </c>
      <c r="Z1717" s="188" t="n"/>
      <c r="AA1717" s="192">
        <f>IFERROR(AB1717/E1717,0)</f>
        <v/>
      </c>
      <c r="AB1717" s="76">
        <f>ROUND(SUM(S1717,V1717,Y1717:Z1717,BA1717:BB1717),2)</f>
        <v/>
      </c>
      <c r="AC1717" s="797" t="n"/>
      <c r="AD1717" s="192">
        <f t="array" ref="AD1717">IFERROR(ROUND((_xlfn.IFS(offer_sale_type="поставка",AB1717,offer_sale_type="транзит",S1717)*(1+AC1717))/E1717,2),0)</f>
        <v/>
      </c>
      <c r="AE1717" s="76">
        <f>AD1717*E1717</f>
        <v/>
      </c>
      <c r="AF1717" s="193">
        <f t="array" ref="AF1717">IFERROR(ROUND(_xlfn.IFS(offer_sale_type="поставка",AB1717,offer_sale_type="транзит",S1717)*AC1717,2),0)</f>
        <v/>
      </c>
      <c r="AG1717" s="192">
        <f>$BD1717*VLOOKUP($AG$3,$AF$4:$AG$7,2,FALSE)</f>
        <v/>
      </c>
      <c r="AH1717" s="76">
        <f>SUM(AE1717,AG1717,AI1717)*rate_forex_risk</f>
        <v/>
      </c>
      <c r="AI1717" s="193">
        <f>IF(OR(seller_region="TR",offer_sale_type="экспорт"),0,rate_fin_comm)*SUM(AZ1717,AZ1717*AW1717,T1717)</f>
        <v/>
      </c>
      <c r="AJ1717" s="118">
        <f>IFERROR(ROUND(SUM(AB1717,AF1717:AI1717)/E1717,2),0)</f>
        <v/>
      </c>
      <c r="AK1717" s="76">
        <f>AJ1717*E1717</f>
        <v/>
      </c>
      <c r="AL1717" s="174">
        <f>ROUND(IFERROR(AM1717*E1717,0),2)</f>
        <v/>
      </c>
      <c r="AM1717" s="175">
        <f>ROUND(AJ1717*(1+IF(offer_incoterms="DDP",IF((TODAY()+offer_turnaround_time)&gt;=helpsheet!$L$17,rate_vatRU_from_26,rate_vatRu_till_25),0)),2)</f>
        <v/>
      </c>
      <c r="AN1717" s="192">
        <f>AL1717-AK1717</f>
        <v/>
      </c>
      <c r="AO1717" s="76">
        <f>SUM(AY1717,Y1717:Z1717,T1717)*IF(AND(offer_incoterms="DDP",offer_sale_type&lt;&gt;"экспорт"),IF((TODAY()+offer_turnaround_time)&gt;=helpsheet!$L$17,rate_vatRU_from_26,rate_vatRu_till_25),0)</f>
        <v/>
      </c>
      <c r="AP1717" s="193">
        <f>AN1717-AO1717</f>
        <v/>
      </c>
      <c r="AQ1717" s="118">
        <f>IF(offer_sale_type="транзит",SUM(AF1717:AI1717,BA1717,BB1717),0)</f>
        <v/>
      </c>
      <c r="AR1717" s="82">
        <f>HYPERLINK("https://www.alta.ru/tnved/code/")&amp;W1717&amp;"/"</f>
        <v/>
      </c>
      <c r="AS1717" s="157" t="n"/>
      <c r="AT1717" s="162" t="n"/>
      <c r="AU1717" s="76">
        <f>IF(ISBLANK(AT1717),0,AJ1717-AT1717)</f>
        <v/>
      </c>
      <c r="AV1717" s="157" t="n"/>
      <c r="AW1717" s="75">
        <f>_xlfn.IFNA(VLOOKUP(L1717,list_vat[],3,FALSE),0)</f>
        <v/>
      </c>
      <c r="AX1717" s="76">
        <f>IFERROR(ROUND(S1717*(1+AW1717)/E1717,2),0)</f>
        <v/>
      </c>
      <c r="AY1717" s="76">
        <f>E1717*AX1717</f>
        <v/>
      </c>
      <c r="AZ1717" s="192">
        <f>S1717*(1+M1717)</f>
        <v/>
      </c>
      <c r="BA1717" s="76">
        <f>cost_fin_total*$BD1717</f>
        <v/>
      </c>
      <c r="BB1717" s="193">
        <f>credit_sales_interest*BD1717</f>
        <v/>
      </c>
      <c r="BC1717" s="102">
        <f>IFERROR(IF($I$13&gt;0,$I1717/$I$13,$S1717/$S$13),0)</f>
        <v/>
      </c>
      <c r="BD1717" s="102">
        <f>IFERROR($S1717/$S$13,0)</f>
        <v/>
      </c>
      <c r="BE1717" s="413" t="inlineStr">
        <is>
          <t>$</t>
        </is>
      </c>
    </row>
    <row r="1718" ht="12" customFormat="1" customHeight="1" s="65">
      <c r="A1718" s="43" t="n">
        <v>1703</v>
      </c>
      <c r="B1718" s="166" t="n"/>
      <c r="C1718" s="166" t="n"/>
      <c r="D1718" s="166" t="n"/>
      <c r="E1718" s="162" t="n"/>
      <c r="F1718" s="166" t="n"/>
      <c r="G1718" s="162" t="n"/>
      <c r="H1718" s="162" t="n"/>
      <c r="I1718" s="189">
        <f>E1718*G1718</f>
        <v/>
      </c>
      <c r="J1718" s="195" t="n"/>
      <c r="K1718" s="162" t="n"/>
      <c r="L1718" s="168" t="n"/>
      <c r="M1718" s="75">
        <f>_xlfn.XLOOKUP(L1718,list_vat[Страна],list_vat[Ставка НДС %],0,0)</f>
        <v/>
      </c>
      <c r="N1718" s="162">
        <f>IFERROR(IF(L1718="Китай",K1718,K1718/(1+M1718)),0)</f>
        <v/>
      </c>
      <c r="O1718" s="169" t="n"/>
      <c r="P1718" s="76">
        <f>N1718*(1-O1718)</f>
        <v/>
      </c>
      <c r="Q1718" s="162" t="n"/>
      <c r="R1718" s="162">
        <f>IF(ISBLANK(Q1718),"введи курс",P1718/Q1718)</f>
        <v/>
      </c>
      <c r="S1718" s="196">
        <f>IF(AND(ISNUMBER(E1718),ISNUMBER(Q1718)),E1718*R1718,0)</f>
        <v/>
      </c>
      <c r="T1718" s="192">
        <f>$BC1718*V$11</f>
        <v/>
      </c>
      <c r="U1718" s="76">
        <f>$BC1718*W$11</f>
        <v/>
      </c>
      <c r="V1718" s="193">
        <f>+SUM(T1718:U1718)</f>
        <v/>
      </c>
      <c r="W1718" s="191" t="n"/>
      <c r="X1718" s="170" t="n"/>
      <c r="Y1718" s="76">
        <f>ROUND(IF(offer_incoterms="DDP",X1718*(S1718*(1+AW1718)+T1718),0),2)</f>
        <v/>
      </c>
      <c r="Z1718" s="188" t="n"/>
      <c r="AA1718" s="192">
        <f>IFERROR(AB1718/E1718,0)</f>
        <v/>
      </c>
      <c r="AB1718" s="76">
        <f>ROUND(SUM(S1718,V1718,Y1718:Z1718,BA1718:BB1718),2)</f>
        <v/>
      </c>
      <c r="AC1718" s="797" t="n"/>
      <c r="AD1718" s="192">
        <f t="array" ref="AD1718">IFERROR(ROUND((_xlfn.IFS(offer_sale_type="поставка",AB1718,offer_sale_type="транзит",S1718)*(1+AC1718))/E1718,2),0)</f>
        <v/>
      </c>
      <c r="AE1718" s="76">
        <f>AD1718*E1718</f>
        <v/>
      </c>
      <c r="AF1718" s="193">
        <f t="array" ref="AF1718">IFERROR(ROUND(_xlfn.IFS(offer_sale_type="поставка",AB1718,offer_sale_type="транзит",S1718)*AC1718,2),0)</f>
        <v/>
      </c>
      <c r="AG1718" s="192">
        <f>$BD1718*VLOOKUP($AG$3,$AF$4:$AG$7,2,FALSE)</f>
        <v/>
      </c>
      <c r="AH1718" s="76">
        <f>SUM(AE1718,AG1718,AI1718)*rate_forex_risk</f>
        <v/>
      </c>
      <c r="AI1718" s="193">
        <f>IF(OR(seller_region="TR",offer_sale_type="экспорт"),0,rate_fin_comm)*SUM(AZ1718,AZ1718*AW1718,T1718)</f>
        <v/>
      </c>
      <c r="AJ1718" s="118">
        <f>IFERROR(ROUND(SUM(AB1718,AF1718:AI1718)/E1718,2),0)</f>
        <v/>
      </c>
      <c r="AK1718" s="76">
        <f>AJ1718*E1718</f>
        <v/>
      </c>
      <c r="AL1718" s="174">
        <f>ROUND(IFERROR(AM1718*E1718,0),2)</f>
        <v/>
      </c>
      <c r="AM1718" s="175">
        <f>ROUND(AJ1718*(1+IF(offer_incoterms="DDP",IF((TODAY()+offer_turnaround_time)&gt;=helpsheet!$L$17,rate_vatRU_from_26,rate_vatRu_till_25),0)),2)</f>
        <v/>
      </c>
      <c r="AN1718" s="192">
        <f>AL1718-AK1718</f>
        <v/>
      </c>
      <c r="AO1718" s="76">
        <f>SUM(AY1718,Y1718:Z1718,T1718)*IF(AND(offer_incoterms="DDP",offer_sale_type&lt;&gt;"экспорт"),IF((TODAY()+offer_turnaround_time)&gt;=helpsheet!$L$17,rate_vatRU_from_26,rate_vatRu_till_25),0)</f>
        <v/>
      </c>
      <c r="AP1718" s="193">
        <f>AN1718-AO1718</f>
        <v/>
      </c>
      <c r="AQ1718" s="118">
        <f>IF(offer_sale_type="транзит",SUM(AF1718:AI1718,BA1718,BB1718),0)</f>
        <v/>
      </c>
      <c r="AR1718" s="82">
        <f>HYPERLINK("https://www.alta.ru/tnved/code/")&amp;W1718&amp;"/"</f>
        <v/>
      </c>
      <c r="AS1718" s="157" t="n"/>
      <c r="AT1718" s="162" t="n"/>
      <c r="AU1718" s="76">
        <f>IF(ISBLANK(AT1718),0,AJ1718-AT1718)</f>
        <v/>
      </c>
      <c r="AV1718" s="157" t="n"/>
      <c r="AW1718" s="75">
        <f>_xlfn.IFNA(VLOOKUP(L1718,list_vat[],3,FALSE),0)</f>
        <v/>
      </c>
      <c r="AX1718" s="76">
        <f>IFERROR(ROUND(S1718*(1+AW1718)/E1718,2),0)</f>
        <v/>
      </c>
      <c r="AY1718" s="76">
        <f>E1718*AX1718</f>
        <v/>
      </c>
      <c r="AZ1718" s="192">
        <f>S1718*(1+M1718)</f>
        <v/>
      </c>
      <c r="BA1718" s="76">
        <f>cost_fin_total*$BD1718</f>
        <v/>
      </c>
      <c r="BB1718" s="193">
        <f>credit_sales_interest*BD1718</f>
        <v/>
      </c>
      <c r="BC1718" s="102">
        <f>IFERROR(IF($I$13&gt;0,$I1718/$I$13,$S1718/$S$13),0)</f>
        <v/>
      </c>
      <c r="BD1718" s="102">
        <f>IFERROR($S1718/$S$13,0)</f>
        <v/>
      </c>
      <c r="BE1718" s="413" t="inlineStr">
        <is>
          <t>$</t>
        </is>
      </c>
    </row>
    <row r="1719" ht="12" customFormat="1" customHeight="1" s="65">
      <c r="A1719" s="43" t="n">
        <v>1704</v>
      </c>
      <c r="B1719" s="166" t="n"/>
      <c r="C1719" s="166" t="n"/>
      <c r="D1719" s="166" t="n"/>
      <c r="E1719" s="162" t="n"/>
      <c r="F1719" s="166" t="n"/>
      <c r="G1719" s="162" t="n"/>
      <c r="H1719" s="162" t="n"/>
      <c r="I1719" s="189">
        <f>E1719*G1719</f>
        <v/>
      </c>
      <c r="J1719" s="195" t="n"/>
      <c r="K1719" s="162" t="n"/>
      <c r="L1719" s="168" t="n"/>
      <c r="M1719" s="75">
        <f>_xlfn.XLOOKUP(L1719,list_vat[Страна],list_vat[Ставка НДС %],0,0)</f>
        <v/>
      </c>
      <c r="N1719" s="162">
        <f>IFERROR(IF(L1719="Китай",K1719,K1719/(1+M1719)),0)</f>
        <v/>
      </c>
      <c r="O1719" s="169" t="n"/>
      <c r="P1719" s="76">
        <f>N1719*(1-O1719)</f>
        <v/>
      </c>
      <c r="Q1719" s="162" t="n"/>
      <c r="R1719" s="162">
        <f>IF(ISBLANK(Q1719),"введи курс",P1719/Q1719)</f>
        <v/>
      </c>
      <c r="S1719" s="196">
        <f>IF(AND(ISNUMBER(E1719),ISNUMBER(Q1719)),E1719*R1719,0)</f>
        <v/>
      </c>
      <c r="T1719" s="192">
        <f>$BC1719*V$11</f>
        <v/>
      </c>
      <c r="U1719" s="76">
        <f>$BC1719*W$11</f>
        <v/>
      </c>
      <c r="V1719" s="193">
        <f>+SUM(T1719:U1719)</f>
        <v/>
      </c>
      <c r="W1719" s="191" t="n"/>
      <c r="X1719" s="170" t="n"/>
      <c r="Y1719" s="76">
        <f>ROUND(IF(offer_incoterms="DDP",X1719*(S1719*(1+AW1719)+T1719),0),2)</f>
        <v/>
      </c>
      <c r="Z1719" s="188" t="n"/>
      <c r="AA1719" s="192">
        <f>IFERROR(AB1719/E1719,0)</f>
        <v/>
      </c>
      <c r="AB1719" s="76">
        <f>ROUND(SUM(S1719,V1719,Y1719:Z1719,BA1719:BB1719),2)</f>
        <v/>
      </c>
      <c r="AC1719" s="797" t="n"/>
      <c r="AD1719" s="192">
        <f t="array" ref="AD1719">IFERROR(ROUND((_xlfn.IFS(offer_sale_type="поставка",AB1719,offer_sale_type="транзит",S1719)*(1+AC1719))/E1719,2),0)</f>
        <v/>
      </c>
      <c r="AE1719" s="76">
        <f>AD1719*E1719</f>
        <v/>
      </c>
      <c r="AF1719" s="193">
        <f t="array" ref="AF1719">IFERROR(ROUND(_xlfn.IFS(offer_sale_type="поставка",AB1719,offer_sale_type="транзит",S1719)*AC1719,2),0)</f>
        <v/>
      </c>
      <c r="AG1719" s="192">
        <f>$BD1719*VLOOKUP($AG$3,$AF$4:$AG$7,2,FALSE)</f>
        <v/>
      </c>
      <c r="AH1719" s="76">
        <f>SUM(AE1719,AG1719,AI1719)*rate_forex_risk</f>
        <v/>
      </c>
      <c r="AI1719" s="193">
        <f>IF(OR(seller_region="TR",offer_sale_type="экспорт"),0,rate_fin_comm)*SUM(AZ1719,AZ1719*AW1719,T1719)</f>
        <v/>
      </c>
      <c r="AJ1719" s="118">
        <f>IFERROR(ROUND(SUM(AB1719,AF1719:AI1719)/E1719,2),0)</f>
        <v/>
      </c>
      <c r="AK1719" s="76">
        <f>AJ1719*E1719</f>
        <v/>
      </c>
      <c r="AL1719" s="174">
        <f>ROUND(IFERROR(AM1719*E1719,0),2)</f>
        <v/>
      </c>
      <c r="AM1719" s="175">
        <f>ROUND(AJ1719*(1+IF(offer_incoterms="DDP",IF((TODAY()+offer_turnaround_time)&gt;=helpsheet!$L$17,rate_vatRU_from_26,rate_vatRu_till_25),0)),2)</f>
        <v/>
      </c>
      <c r="AN1719" s="192">
        <f>AL1719-AK1719</f>
        <v/>
      </c>
      <c r="AO1719" s="76">
        <f>SUM(AY1719,Y1719:Z1719,T1719)*IF(AND(offer_incoterms="DDP",offer_sale_type&lt;&gt;"экспорт"),IF((TODAY()+offer_turnaround_time)&gt;=helpsheet!$L$17,rate_vatRU_from_26,rate_vatRu_till_25),0)</f>
        <v/>
      </c>
      <c r="AP1719" s="193">
        <f>AN1719-AO1719</f>
        <v/>
      </c>
      <c r="AQ1719" s="118">
        <f>IF(offer_sale_type="транзит",SUM(AF1719:AI1719,BA1719,BB1719),0)</f>
        <v/>
      </c>
      <c r="AR1719" s="82">
        <f>HYPERLINK("https://www.alta.ru/tnved/code/")&amp;W1719&amp;"/"</f>
        <v/>
      </c>
      <c r="AS1719" s="157" t="n"/>
      <c r="AT1719" s="162" t="n"/>
      <c r="AU1719" s="76">
        <f>IF(ISBLANK(AT1719),0,AJ1719-AT1719)</f>
        <v/>
      </c>
      <c r="AV1719" s="157" t="n"/>
      <c r="AW1719" s="75">
        <f>_xlfn.IFNA(VLOOKUP(L1719,list_vat[],3,FALSE),0)</f>
        <v/>
      </c>
      <c r="AX1719" s="76">
        <f>IFERROR(ROUND(S1719*(1+AW1719)/E1719,2),0)</f>
        <v/>
      </c>
      <c r="AY1719" s="76">
        <f>E1719*AX1719</f>
        <v/>
      </c>
      <c r="AZ1719" s="192">
        <f>S1719*(1+M1719)</f>
        <v/>
      </c>
      <c r="BA1719" s="76">
        <f>cost_fin_total*$BD1719</f>
        <v/>
      </c>
      <c r="BB1719" s="193">
        <f>credit_sales_interest*BD1719</f>
        <v/>
      </c>
      <c r="BC1719" s="102">
        <f>IFERROR(IF($I$13&gt;0,$I1719/$I$13,$S1719/$S$13),0)</f>
        <v/>
      </c>
      <c r="BD1719" s="102">
        <f>IFERROR($S1719/$S$13,0)</f>
        <v/>
      </c>
      <c r="BE1719" s="413" t="inlineStr">
        <is>
          <t>$</t>
        </is>
      </c>
    </row>
    <row r="1720" ht="12" customFormat="1" customHeight="1" s="65">
      <c r="A1720" s="43" t="n">
        <v>1705</v>
      </c>
      <c r="B1720" s="166" t="n"/>
      <c r="C1720" s="166" t="n"/>
      <c r="D1720" s="166" t="n"/>
      <c r="E1720" s="162" t="n"/>
      <c r="F1720" s="166" t="n"/>
      <c r="G1720" s="162" t="n"/>
      <c r="H1720" s="162" t="n"/>
      <c r="I1720" s="189">
        <f>E1720*G1720</f>
        <v/>
      </c>
      <c r="J1720" s="195" t="n"/>
      <c r="K1720" s="162" t="n"/>
      <c r="L1720" s="168" t="n"/>
      <c r="M1720" s="75">
        <f>_xlfn.XLOOKUP(L1720,list_vat[Страна],list_vat[Ставка НДС %],0,0)</f>
        <v/>
      </c>
      <c r="N1720" s="162">
        <f>IFERROR(IF(L1720="Китай",K1720,K1720/(1+M1720)),0)</f>
        <v/>
      </c>
      <c r="O1720" s="169" t="n"/>
      <c r="P1720" s="76">
        <f>N1720*(1-O1720)</f>
        <v/>
      </c>
      <c r="Q1720" s="162" t="n"/>
      <c r="R1720" s="162">
        <f>IF(ISBLANK(Q1720),"введи курс",P1720/Q1720)</f>
        <v/>
      </c>
      <c r="S1720" s="196">
        <f>IF(AND(ISNUMBER(E1720),ISNUMBER(Q1720)),E1720*R1720,0)</f>
        <v/>
      </c>
      <c r="T1720" s="192">
        <f>$BC1720*V$11</f>
        <v/>
      </c>
      <c r="U1720" s="76">
        <f>$BC1720*W$11</f>
        <v/>
      </c>
      <c r="V1720" s="193">
        <f>+SUM(T1720:U1720)</f>
        <v/>
      </c>
      <c r="W1720" s="191" t="n"/>
      <c r="X1720" s="170" t="n"/>
      <c r="Y1720" s="76">
        <f>ROUND(IF(offer_incoterms="DDP",X1720*(S1720*(1+AW1720)+T1720),0),2)</f>
        <v/>
      </c>
      <c r="Z1720" s="188" t="n"/>
      <c r="AA1720" s="192">
        <f>IFERROR(AB1720/E1720,0)</f>
        <v/>
      </c>
      <c r="AB1720" s="76">
        <f>ROUND(SUM(S1720,V1720,Y1720:Z1720,BA1720:BB1720),2)</f>
        <v/>
      </c>
      <c r="AC1720" s="797" t="n"/>
      <c r="AD1720" s="192">
        <f t="array" ref="AD1720">IFERROR(ROUND((_xlfn.IFS(offer_sale_type="поставка",AB1720,offer_sale_type="транзит",S1720)*(1+AC1720))/E1720,2),0)</f>
        <v/>
      </c>
      <c r="AE1720" s="76">
        <f>AD1720*E1720</f>
        <v/>
      </c>
      <c r="AF1720" s="193">
        <f t="array" ref="AF1720">IFERROR(ROUND(_xlfn.IFS(offer_sale_type="поставка",AB1720,offer_sale_type="транзит",S1720)*AC1720,2),0)</f>
        <v/>
      </c>
      <c r="AG1720" s="192">
        <f>$BD1720*VLOOKUP($AG$3,$AF$4:$AG$7,2,FALSE)</f>
        <v/>
      </c>
      <c r="AH1720" s="76">
        <f>SUM(AE1720,AG1720,AI1720)*rate_forex_risk</f>
        <v/>
      </c>
      <c r="AI1720" s="193">
        <f>IF(OR(seller_region="TR",offer_sale_type="экспорт"),0,rate_fin_comm)*SUM(AZ1720,AZ1720*AW1720,T1720)</f>
        <v/>
      </c>
      <c r="AJ1720" s="118">
        <f>IFERROR(ROUND(SUM(AB1720,AF1720:AI1720)/E1720,2),0)</f>
        <v/>
      </c>
      <c r="AK1720" s="76">
        <f>AJ1720*E1720</f>
        <v/>
      </c>
      <c r="AL1720" s="174">
        <f>ROUND(IFERROR(AM1720*E1720,0),2)</f>
        <v/>
      </c>
      <c r="AM1720" s="175">
        <f>ROUND(AJ1720*(1+IF(offer_incoterms="DDP",IF((TODAY()+offer_turnaround_time)&gt;=helpsheet!$L$17,rate_vatRU_from_26,rate_vatRu_till_25),0)),2)</f>
        <v/>
      </c>
      <c r="AN1720" s="192">
        <f>AL1720-AK1720</f>
        <v/>
      </c>
      <c r="AO1720" s="76">
        <f>SUM(AY1720,Y1720:Z1720,T1720)*IF(AND(offer_incoterms="DDP",offer_sale_type&lt;&gt;"экспорт"),IF((TODAY()+offer_turnaround_time)&gt;=helpsheet!$L$17,rate_vatRU_from_26,rate_vatRu_till_25),0)</f>
        <v/>
      </c>
      <c r="AP1720" s="193">
        <f>AN1720-AO1720</f>
        <v/>
      </c>
      <c r="AQ1720" s="118">
        <f>IF(offer_sale_type="транзит",SUM(AF1720:AI1720,BA1720,BB1720),0)</f>
        <v/>
      </c>
      <c r="AR1720" s="82">
        <f>HYPERLINK("https://www.alta.ru/tnved/code/")&amp;W1720&amp;"/"</f>
        <v/>
      </c>
      <c r="AS1720" s="157" t="n"/>
      <c r="AT1720" s="162" t="n"/>
      <c r="AU1720" s="76">
        <f>IF(ISBLANK(AT1720),0,AJ1720-AT1720)</f>
        <v/>
      </c>
      <c r="AV1720" s="157" t="n"/>
      <c r="AW1720" s="75">
        <f>_xlfn.IFNA(VLOOKUP(L1720,list_vat[],3,FALSE),0)</f>
        <v/>
      </c>
      <c r="AX1720" s="76">
        <f>IFERROR(ROUND(S1720*(1+AW1720)/E1720,2),0)</f>
        <v/>
      </c>
      <c r="AY1720" s="76">
        <f>E1720*AX1720</f>
        <v/>
      </c>
      <c r="AZ1720" s="192">
        <f>S1720*(1+M1720)</f>
        <v/>
      </c>
      <c r="BA1720" s="76">
        <f>cost_fin_total*$BD1720</f>
        <v/>
      </c>
      <c r="BB1720" s="193">
        <f>credit_sales_interest*BD1720</f>
        <v/>
      </c>
      <c r="BC1720" s="102">
        <f>IFERROR(IF($I$13&gt;0,$I1720/$I$13,$S1720/$S$13),0)</f>
        <v/>
      </c>
      <c r="BD1720" s="102">
        <f>IFERROR($S1720/$S$13,0)</f>
        <v/>
      </c>
      <c r="BE1720" s="413" t="inlineStr">
        <is>
          <t>$</t>
        </is>
      </c>
    </row>
    <row r="1721" ht="12" customFormat="1" customHeight="1" s="65">
      <c r="A1721" s="43" t="n">
        <v>1706</v>
      </c>
      <c r="B1721" s="166" t="n"/>
      <c r="C1721" s="166" t="n"/>
      <c r="D1721" s="166" t="n"/>
      <c r="E1721" s="162" t="n"/>
      <c r="F1721" s="166" t="n"/>
      <c r="G1721" s="162" t="n"/>
      <c r="H1721" s="162" t="n"/>
      <c r="I1721" s="189">
        <f>E1721*G1721</f>
        <v/>
      </c>
      <c r="J1721" s="195" t="n"/>
      <c r="K1721" s="162" t="n"/>
      <c r="L1721" s="168" t="n"/>
      <c r="M1721" s="75">
        <f>_xlfn.XLOOKUP(L1721,list_vat[Страна],list_vat[Ставка НДС %],0,0)</f>
        <v/>
      </c>
      <c r="N1721" s="162">
        <f>IFERROR(IF(L1721="Китай",K1721,K1721/(1+M1721)),0)</f>
        <v/>
      </c>
      <c r="O1721" s="169" t="n"/>
      <c r="P1721" s="76">
        <f>N1721*(1-O1721)</f>
        <v/>
      </c>
      <c r="Q1721" s="162" t="n"/>
      <c r="R1721" s="162">
        <f>IF(ISBLANK(Q1721),"введи курс",P1721/Q1721)</f>
        <v/>
      </c>
      <c r="S1721" s="196">
        <f>IF(AND(ISNUMBER(E1721),ISNUMBER(Q1721)),E1721*R1721,0)</f>
        <v/>
      </c>
      <c r="T1721" s="192">
        <f>$BC1721*V$11</f>
        <v/>
      </c>
      <c r="U1721" s="76">
        <f>$BC1721*W$11</f>
        <v/>
      </c>
      <c r="V1721" s="193">
        <f>+SUM(T1721:U1721)</f>
        <v/>
      </c>
      <c r="W1721" s="191" t="n"/>
      <c r="X1721" s="170" t="n"/>
      <c r="Y1721" s="76">
        <f>ROUND(IF(offer_incoterms="DDP",X1721*(S1721*(1+AW1721)+T1721),0),2)</f>
        <v/>
      </c>
      <c r="Z1721" s="188" t="n"/>
      <c r="AA1721" s="192">
        <f>IFERROR(AB1721/E1721,0)</f>
        <v/>
      </c>
      <c r="AB1721" s="76">
        <f>ROUND(SUM(S1721,V1721,Y1721:Z1721,BA1721:BB1721),2)</f>
        <v/>
      </c>
      <c r="AC1721" s="797" t="n"/>
      <c r="AD1721" s="192">
        <f t="array" ref="AD1721">IFERROR(ROUND((_xlfn.IFS(offer_sale_type="поставка",AB1721,offer_sale_type="транзит",S1721)*(1+AC1721))/E1721,2),0)</f>
        <v/>
      </c>
      <c r="AE1721" s="76">
        <f>AD1721*E1721</f>
        <v/>
      </c>
      <c r="AF1721" s="193">
        <f t="array" ref="AF1721">IFERROR(ROUND(_xlfn.IFS(offer_sale_type="поставка",AB1721,offer_sale_type="транзит",S1721)*AC1721,2),0)</f>
        <v/>
      </c>
      <c r="AG1721" s="192">
        <f>$BD1721*VLOOKUP($AG$3,$AF$4:$AG$7,2,FALSE)</f>
        <v/>
      </c>
      <c r="AH1721" s="76">
        <f>SUM(AE1721,AG1721,AI1721)*rate_forex_risk</f>
        <v/>
      </c>
      <c r="AI1721" s="193">
        <f>IF(OR(seller_region="TR",offer_sale_type="экспорт"),0,rate_fin_comm)*SUM(AZ1721,AZ1721*AW1721,T1721)</f>
        <v/>
      </c>
      <c r="AJ1721" s="118">
        <f>IFERROR(ROUND(SUM(AB1721,AF1721:AI1721)/E1721,2),0)</f>
        <v/>
      </c>
      <c r="AK1721" s="76">
        <f>AJ1721*E1721</f>
        <v/>
      </c>
      <c r="AL1721" s="174">
        <f>ROUND(IFERROR(AM1721*E1721,0),2)</f>
        <v/>
      </c>
      <c r="AM1721" s="175">
        <f>ROUND(AJ1721*(1+IF(offer_incoterms="DDP",IF((TODAY()+offer_turnaround_time)&gt;=helpsheet!$L$17,rate_vatRU_from_26,rate_vatRu_till_25),0)),2)</f>
        <v/>
      </c>
      <c r="AN1721" s="192">
        <f>AL1721-AK1721</f>
        <v/>
      </c>
      <c r="AO1721" s="76">
        <f>SUM(AY1721,Y1721:Z1721,T1721)*IF(AND(offer_incoterms="DDP",offer_sale_type&lt;&gt;"экспорт"),IF((TODAY()+offer_turnaround_time)&gt;=helpsheet!$L$17,rate_vatRU_from_26,rate_vatRu_till_25),0)</f>
        <v/>
      </c>
      <c r="AP1721" s="193">
        <f>AN1721-AO1721</f>
        <v/>
      </c>
      <c r="AQ1721" s="118">
        <f>IF(offer_sale_type="транзит",SUM(AF1721:AI1721,BA1721,BB1721),0)</f>
        <v/>
      </c>
      <c r="AR1721" s="82">
        <f>HYPERLINK("https://www.alta.ru/tnved/code/")&amp;W1721&amp;"/"</f>
        <v/>
      </c>
      <c r="AS1721" s="157" t="n"/>
      <c r="AT1721" s="162" t="n"/>
      <c r="AU1721" s="76">
        <f>IF(ISBLANK(AT1721),0,AJ1721-AT1721)</f>
        <v/>
      </c>
      <c r="AV1721" s="157" t="n"/>
      <c r="AW1721" s="75">
        <f>_xlfn.IFNA(VLOOKUP(L1721,list_vat[],3,FALSE),0)</f>
        <v/>
      </c>
      <c r="AX1721" s="76">
        <f>IFERROR(ROUND(S1721*(1+AW1721)/E1721,2),0)</f>
        <v/>
      </c>
      <c r="AY1721" s="76">
        <f>E1721*AX1721</f>
        <v/>
      </c>
      <c r="AZ1721" s="192">
        <f>S1721*(1+M1721)</f>
        <v/>
      </c>
      <c r="BA1721" s="76">
        <f>cost_fin_total*$BD1721</f>
        <v/>
      </c>
      <c r="BB1721" s="193">
        <f>credit_sales_interest*BD1721</f>
        <v/>
      </c>
      <c r="BC1721" s="102">
        <f>IFERROR(IF($I$13&gt;0,$I1721/$I$13,$S1721/$S$13),0)</f>
        <v/>
      </c>
      <c r="BD1721" s="102">
        <f>IFERROR($S1721/$S$13,0)</f>
        <v/>
      </c>
      <c r="BE1721" s="413" t="inlineStr">
        <is>
          <t>$</t>
        </is>
      </c>
    </row>
    <row r="1722" ht="12" customFormat="1" customHeight="1" s="65">
      <c r="A1722" s="43" t="n">
        <v>1707</v>
      </c>
      <c r="B1722" s="166" t="n"/>
      <c r="C1722" s="166" t="n"/>
      <c r="D1722" s="166" t="n"/>
      <c r="E1722" s="162" t="n"/>
      <c r="F1722" s="166" t="n"/>
      <c r="G1722" s="162" t="n"/>
      <c r="H1722" s="162" t="n"/>
      <c r="I1722" s="189">
        <f>E1722*G1722</f>
        <v/>
      </c>
      <c r="J1722" s="195" t="n"/>
      <c r="K1722" s="162" t="n"/>
      <c r="L1722" s="168" t="n"/>
      <c r="M1722" s="75">
        <f>_xlfn.XLOOKUP(L1722,list_vat[Страна],list_vat[Ставка НДС %],0,0)</f>
        <v/>
      </c>
      <c r="N1722" s="162">
        <f>IFERROR(IF(L1722="Китай",K1722,K1722/(1+M1722)),0)</f>
        <v/>
      </c>
      <c r="O1722" s="169" t="n"/>
      <c r="P1722" s="76">
        <f>N1722*(1-O1722)</f>
        <v/>
      </c>
      <c r="Q1722" s="162" t="n"/>
      <c r="R1722" s="162">
        <f>IF(ISBLANK(Q1722),"введи курс",P1722/Q1722)</f>
        <v/>
      </c>
      <c r="S1722" s="196">
        <f>IF(AND(ISNUMBER(E1722),ISNUMBER(Q1722)),E1722*R1722,0)</f>
        <v/>
      </c>
      <c r="T1722" s="192">
        <f>$BC1722*V$11</f>
        <v/>
      </c>
      <c r="U1722" s="76">
        <f>$BC1722*W$11</f>
        <v/>
      </c>
      <c r="V1722" s="193">
        <f>+SUM(T1722:U1722)</f>
        <v/>
      </c>
      <c r="W1722" s="191" t="n"/>
      <c r="X1722" s="170" t="n"/>
      <c r="Y1722" s="76">
        <f>ROUND(IF(offer_incoterms="DDP",X1722*(S1722*(1+AW1722)+T1722),0),2)</f>
        <v/>
      </c>
      <c r="Z1722" s="188" t="n"/>
      <c r="AA1722" s="192">
        <f>IFERROR(AB1722/E1722,0)</f>
        <v/>
      </c>
      <c r="AB1722" s="76">
        <f>ROUND(SUM(S1722,V1722,Y1722:Z1722,BA1722:BB1722),2)</f>
        <v/>
      </c>
      <c r="AC1722" s="797" t="n"/>
      <c r="AD1722" s="192">
        <f t="array" ref="AD1722">IFERROR(ROUND((_xlfn.IFS(offer_sale_type="поставка",AB1722,offer_sale_type="транзит",S1722)*(1+AC1722))/E1722,2),0)</f>
        <v/>
      </c>
      <c r="AE1722" s="76">
        <f>AD1722*E1722</f>
        <v/>
      </c>
      <c r="AF1722" s="193">
        <f t="array" ref="AF1722">IFERROR(ROUND(_xlfn.IFS(offer_sale_type="поставка",AB1722,offer_sale_type="транзит",S1722)*AC1722,2),0)</f>
        <v/>
      </c>
      <c r="AG1722" s="192">
        <f>$BD1722*VLOOKUP($AG$3,$AF$4:$AG$7,2,FALSE)</f>
        <v/>
      </c>
      <c r="AH1722" s="76">
        <f>SUM(AE1722,AG1722,AI1722)*rate_forex_risk</f>
        <v/>
      </c>
      <c r="AI1722" s="193">
        <f>IF(OR(seller_region="TR",offer_sale_type="экспорт"),0,rate_fin_comm)*SUM(AZ1722,AZ1722*AW1722,T1722)</f>
        <v/>
      </c>
      <c r="AJ1722" s="118">
        <f>IFERROR(ROUND(SUM(AB1722,AF1722:AI1722)/E1722,2),0)</f>
        <v/>
      </c>
      <c r="AK1722" s="76">
        <f>AJ1722*E1722</f>
        <v/>
      </c>
      <c r="AL1722" s="174">
        <f>ROUND(IFERROR(AM1722*E1722,0),2)</f>
        <v/>
      </c>
      <c r="AM1722" s="175">
        <f>ROUND(AJ1722*(1+IF(offer_incoterms="DDP",IF((TODAY()+offer_turnaround_time)&gt;=helpsheet!$L$17,rate_vatRU_from_26,rate_vatRu_till_25),0)),2)</f>
        <v/>
      </c>
      <c r="AN1722" s="192">
        <f>AL1722-AK1722</f>
        <v/>
      </c>
      <c r="AO1722" s="76">
        <f>SUM(AY1722,Y1722:Z1722,T1722)*IF(AND(offer_incoterms="DDP",offer_sale_type&lt;&gt;"экспорт"),IF((TODAY()+offer_turnaround_time)&gt;=helpsheet!$L$17,rate_vatRU_from_26,rate_vatRu_till_25),0)</f>
        <v/>
      </c>
      <c r="AP1722" s="193">
        <f>AN1722-AO1722</f>
        <v/>
      </c>
      <c r="AQ1722" s="118">
        <f>IF(offer_sale_type="транзит",SUM(AF1722:AI1722,BA1722,BB1722),0)</f>
        <v/>
      </c>
      <c r="AR1722" s="82">
        <f>HYPERLINK("https://www.alta.ru/tnved/code/")&amp;W1722&amp;"/"</f>
        <v/>
      </c>
      <c r="AS1722" s="157" t="n"/>
      <c r="AT1722" s="162" t="n"/>
      <c r="AU1722" s="76">
        <f>IF(ISBLANK(AT1722),0,AJ1722-AT1722)</f>
        <v/>
      </c>
      <c r="AV1722" s="157" t="n"/>
      <c r="AW1722" s="75">
        <f>_xlfn.IFNA(VLOOKUP(L1722,list_vat[],3,FALSE),0)</f>
        <v/>
      </c>
      <c r="AX1722" s="76">
        <f>IFERROR(ROUND(S1722*(1+AW1722)/E1722,2),0)</f>
        <v/>
      </c>
      <c r="AY1722" s="76">
        <f>E1722*AX1722</f>
        <v/>
      </c>
      <c r="AZ1722" s="192">
        <f>S1722*(1+M1722)</f>
        <v/>
      </c>
      <c r="BA1722" s="76">
        <f>cost_fin_total*$BD1722</f>
        <v/>
      </c>
      <c r="BB1722" s="193">
        <f>credit_sales_interest*BD1722</f>
        <v/>
      </c>
      <c r="BC1722" s="102">
        <f>IFERROR(IF($I$13&gt;0,$I1722/$I$13,$S1722/$S$13),0)</f>
        <v/>
      </c>
      <c r="BD1722" s="102">
        <f>IFERROR($S1722/$S$13,0)</f>
        <v/>
      </c>
      <c r="BE1722" s="413" t="inlineStr">
        <is>
          <t>$</t>
        </is>
      </c>
    </row>
    <row r="1723" ht="12" customFormat="1" customHeight="1" s="65">
      <c r="A1723" s="43" t="n">
        <v>1708</v>
      </c>
      <c r="B1723" s="166" t="n"/>
      <c r="C1723" s="166" t="n"/>
      <c r="D1723" s="166" t="n"/>
      <c r="E1723" s="162" t="n"/>
      <c r="F1723" s="166" t="n"/>
      <c r="G1723" s="162" t="n"/>
      <c r="H1723" s="162" t="n"/>
      <c r="I1723" s="189">
        <f>E1723*G1723</f>
        <v/>
      </c>
      <c r="J1723" s="195" t="n"/>
      <c r="K1723" s="162" t="n"/>
      <c r="L1723" s="168" t="n"/>
      <c r="M1723" s="75">
        <f>_xlfn.XLOOKUP(L1723,list_vat[Страна],list_vat[Ставка НДС %],0,0)</f>
        <v/>
      </c>
      <c r="N1723" s="162">
        <f>IFERROR(IF(L1723="Китай",K1723,K1723/(1+M1723)),0)</f>
        <v/>
      </c>
      <c r="O1723" s="169" t="n"/>
      <c r="P1723" s="76">
        <f>N1723*(1-O1723)</f>
        <v/>
      </c>
      <c r="Q1723" s="162" t="n"/>
      <c r="R1723" s="162">
        <f>IF(ISBLANK(Q1723),"введи курс",P1723/Q1723)</f>
        <v/>
      </c>
      <c r="S1723" s="196">
        <f>IF(AND(ISNUMBER(E1723),ISNUMBER(Q1723)),E1723*R1723,0)</f>
        <v/>
      </c>
      <c r="T1723" s="192">
        <f>$BC1723*V$11</f>
        <v/>
      </c>
      <c r="U1723" s="76">
        <f>$BC1723*W$11</f>
        <v/>
      </c>
      <c r="V1723" s="193">
        <f>+SUM(T1723:U1723)</f>
        <v/>
      </c>
      <c r="W1723" s="191" t="n"/>
      <c r="X1723" s="170" t="n"/>
      <c r="Y1723" s="76">
        <f>ROUND(IF(offer_incoterms="DDP",X1723*(S1723*(1+AW1723)+T1723),0),2)</f>
        <v/>
      </c>
      <c r="Z1723" s="188" t="n"/>
      <c r="AA1723" s="192">
        <f>IFERROR(AB1723/E1723,0)</f>
        <v/>
      </c>
      <c r="AB1723" s="76">
        <f>ROUND(SUM(S1723,V1723,Y1723:Z1723,BA1723:BB1723),2)</f>
        <v/>
      </c>
      <c r="AC1723" s="797" t="n"/>
      <c r="AD1723" s="192">
        <f t="array" ref="AD1723">IFERROR(ROUND((_xlfn.IFS(offer_sale_type="поставка",AB1723,offer_sale_type="транзит",S1723)*(1+AC1723))/E1723,2),0)</f>
        <v/>
      </c>
      <c r="AE1723" s="76">
        <f>AD1723*E1723</f>
        <v/>
      </c>
      <c r="AF1723" s="193">
        <f t="array" ref="AF1723">IFERROR(ROUND(_xlfn.IFS(offer_sale_type="поставка",AB1723,offer_sale_type="транзит",S1723)*AC1723,2),0)</f>
        <v/>
      </c>
      <c r="AG1723" s="192">
        <f>$BD1723*VLOOKUP($AG$3,$AF$4:$AG$7,2,FALSE)</f>
        <v/>
      </c>
      <c r="AH1723" s="76">
        <f>SUM(AE1723,AG1723,AI1723)*rate_forex_risk</f>
        <v/>
      </c>
      <c r="AI1723" s="193">
        <f>IF(OR(seller_region="TR",offer_sale_type="экспорт"),0,rate_fin_comm)*SUM(AZ1723,AZ1723*AW1723,T1723)</f>
        <v/>
      </c>
      <c r="AJ1723" s="118">
        <f>IFERROR(ROUND(SUM(AB1723,AF1723:AI1723)/E1723,2),0)</f>
        <v/>
      </c>
      <c r="AK1723" s="76">
        <f>AJ1723*E1723</f>
        <v/>
      </c>
      <c r="AL1723" s="174">
        <f>ROUND(IFERROR(AM1723*E1723,0),2)</f>
        <v/>
      </c>
      <c r="AM1723" s="175">
        <f>ROUND(AJ1723*(1+IF(offer_incoterms="DDP",IF((TODAY()+offer_turnaround_time)&gt;=helpsheet!$L$17,rate_vatRU_from_26,rate_vatRu_till_25),0)),2)</f>
        <v/>
      </c>
      <c r="AN1723" s="192">
        <f>AL1723-AK1723</f>
        <v/>
      </c>
      <c r="AO1723" s="76">
        <f>SUM(AY1723,Y1723:Z1723,T1723)*IF(AND(offer_incoterms="DDP",offer_sale_type&lt;&gt;"экспорт"),IF((TODAY()+offer_turnaround_time)&gt;=helpsheet!$L$17,rate_vatRU_from_26,rate_vatRu_till_25),0)</f>
        <v/>
      </c>
      <c r="AP1723" s="193">
        <f>AN1723-AO1723</f>
        <v/>
      </c>
      <c r="AQ1723" s="118">
        <f>IF(offer_sale_type="транзит",SUM(AF1723:AI1723,BA1723,BB1723),0)</f>
        <v/>
      </c>
      <c r="AR1723" s="82">
        <f>HYPERLINK("https://www.alta.ru/tnved/code/")&amp;W1723&amp;"/"</f>
        <v/>
      </c>
      <c r="AS1723" s="157" t="n"/>
      <c r="AT1723" s="162" t="n"/>
      <c r="AU1723" s="76">
        <f>IF(ISBLANK(AT1723),0,AJ1723-AT1723)</f>
        <v/>
      </c>
      <c r="AV1723" s="157" t="n"/>
      <c r="AW1723" s="75">
        <f>_xlfn.IFNA(VLOOKUP(L1723,list_vat[],3,FALSE),0)</f>
        <v/>
      </c>
      <c r="AX1723" s="76">
        <f>IFERROR(ROUND(S1723*(1+AW1723)/E1723,2),0)</f>
        <v/>
      </c>
      <c r="AY1723" s="76">
        <f>E1723*AX1723</f>
        <v/>
      </c>
      <c r="AZ1723" s="192">
        <f>S1723*(1+M1723)</f>
        <v/>
      </c>
      <c r="BA1723" s="76">
        <f>cost_fin_total*$BD1723</f>
        <v/>
      </c>
      <c r="BB1723" s="193">
        <f>credit_sales_interest*BD1723</f>
        <v/>
      </c>
      <c r="BC1723" s="102">
        <f>IFERROR(IF($I$13&gt;0,$I1723/$I$13,$S1723/$S$13),0)</f>
        <v/>
      </c>
      <c r="BD1723" s="102">
        <f>IFERROR($S1723/$S$13,0)</f>
        <v/>
      </c>
      <c r="BE1723" s="413" t="inlineStr">
        <is>
          <t>$</t>
        </is>
      </c>
    </row>
    <row r="1724" ht="12" customFormat="1" customHeight="1" s="65">
      <c r="A1724" s="43" t="n">
        <v>1709</v>
      </c>
      <c r="B1724" s="166" t="n"/>
      <c r="C1724" s="166" t="n"/>
      <c r="D1724" s="166" t="n"/>
      <c r="E1724" s="162" t="n"/>
      <c r="F1724" s="166" t="n"/>
      <c r="G1724" s="162" t="n"/>
      <c r="H1724" s="162" t="n"/>
      <c r="I1724" s="189">
        <f>E1724*G1724</f>
        <v/>
      </c>
      <c r="J1724" s="195" t="n"/>
      <c r="K1724" s="162" t="n"/>
      <c r="L1724" s="168" t="n"/>
      <c r="M1724" s="75">
        <f>_xlfn.XLOOKUP(L1724,list_vat[Страна],list_vat[Ставка НДС %],0,0)</f>
        <v/>
      </c>
      <c r="N1724" s="162">
        <f>IFERROR(IF(L1724="Китай",K1724,K1724/(1+M1724)),0)</f>
        <v/>
      </c>
      <c r="O1724" s="169" t="n"/>
      <c r="P1724" s="76">
        <f>N1724*(1-O1724)</f>
        <v/>
      </c>
      <c r="Q1724" s="162" t="n"/>
      <c r="R1724" s="162">
        <f>IF(ISBLANK(Q1724),"введи курс",P1724/Q1724)</f>
        <v/>
      </c>
      <c r="S1724" s="196">
        <f>IF(AND(ISNUMBER(E1724),ISNUMBER(Q1724)),E1724*R1724,0)</f>
        <v/>
      </c>
      <c r="T1724" s="192">
        <f>$BC1724*V$11</f>
        <v/>
      </c>
      <c r="U1724" s="76">
        <f>$BC1724*W$11</f>
        <v/>
      </c>
      <c r="V1724" s="193">
        <f>+SUM(T1724:U1724)</f>
        <v/>
      </c>
      <c r="W1724" s="191" t="n"/>
      <c r="X1724" s="170" t="n"/>
      <c r="Y1724" s="76">
        <f>ROUND(IF(offer_incoterms="DDP",X1724*(S1724*(1+AW1724)+T1724),0),2)</f>
        <v/>
      </c>
      <c r="Z1724" s="188" t="n"/>
      <c r="AA1724" s="192">
        <f>IFERROR(AB1724/E1724,0)</f>
        <v/>
      </c>
      <c r="AB1724" s="76">
        <f>ROUND(SUM(S1724,V1724,Y1724:Z1724,BA1724:BB1724),2)</f>
        <v/>
      </c>
      <c r="AC1724" s="797" t="n"/>
      <c r="AD1724" s="192">
        <f t="array" ref="AD1724">IFERROR(ROUND((_xlfn.IFS(offer_sale_type="поставка",AB1724,offer_sale_type="транзит",S1724)*(1+AC1724))/E1724,2),0)</f>
        <v/>
      </c>
      <c r="AE1724" s="76">
        <f>AD1724*E1724</f>
        <v/>
      </c>
      <c r="AF1724" s="193">
        <f t="array" ref="AF1724">IFERROR(ROUND(_xlfn.IFS(offer_sale_type="поставка",AB1724,offer_sale_type="транзит",S1724)*AC1724,2),0)</f>
        <v/>
      </c>
      <c r="AG1724" s="192">
        <f>$BD1724*VLOOKUP($AG$3,$AF$4:$AG$7,2,FALSE)</f>
        <v/>
      </c>
      <c r="AH1724" s="76">
        <f>SUM(AE1724,AG1724,AI1724)*rate_forex_risk</f>
        <v/>
      </c>
      <c r="AI1724" s="193">
        <f>IF(OR(seller_region="TR",offer_sale_type="экспорт"),0,rate_fin_comm)*SUM(AZ1724,AZ1724*AW1724,T1724)</f>
        <v/>
      </c>
      <c r="AJ1724" s="118">
        <f>IFERROR(ROUND(SUM(AB1724,AF1724:AI1724)/E1724,2),0)</f>
        <v/>
      </c>
      <c r="AK1724" s="76">
        <f>AJ1724*E1724</f>
        <v/>
      </c>
      <c r="AL1724" s="174">
        <f>ROUND(IFERROR(AM1724*E1724,0),2)</f>
        <v/>
      </c>
      <c r="AM1724" s="175">
        <f>ROUND(AJ1724*(1+IF(offer_incoterms="DDP",IF((TODAY()+offer_turnaround_time)&gt;=helpsheet!$L$17,rate_vatRU_from_26,rate_vatRu_till_25),0)),2)</f>
        <v/>
      </c>
      <c r="AN1724" s="192">
        <f>AL1724-AK1724</f>
        <v/>
      </c>
      <c r="AO1724" s="76">
        <f>SUM(AY1724,Y1724:Z1724,T1724)*IF(AND(offer_incoterms="DDP",offer_sale_type&lt;&gt;"экспорт"),IF((TODAY()+offer_turnaround_time)&gt;=helpsheet!$L$17,rate_vatRU_from_26,rate_vatRu_till_25),0)</f>
        <v/>
      </c>
      <c r="AP1724" s="193">
        <f>AN1724-AO1724</f>
        <v/>
      </c>
      <c r="AQ1724" s="118">
        <f>IF(offer_sale_type="транзит",SUM(AF1724:AI1724,BA1724,BB1724),0)</f>
        <v/>
      </c>
      <c r="AR1724" s="82">
        <f>HYPERLINK("https://www.alta.ru/tnved/code/")&amp;W1724&amp;"/"</f>
        <v/>
      </c>
      <c r="AS1724" s="157" t="n"/>
      <c r="AT1724" s="162" t="n"/>
      <c r="AU1724" s="76">
        <f>IF(ISBLANK(AT1724),0,AJ1724-AT1724)</f>
        <v/>
      </c>
      <c r="AV1724" s="157" t="n"/>
      <c r="AW1724" s="75">
        <f>_xlfn.IFNA(VLOOKUP(L1724,list_vat[],3,FALSE),0)</f>
        <v/>
      </c>
      <c r="AX1724" s="76">
        <f>IFERROR(ROUND(S1724*(1+AW1724)/E1724,2),0)</f>
        <v/>
      </c>
      <c r="AY1724" s="76">
        <f>E1724*AX1724</f>
        <v/>
      </c>
      <c r="AZ1724" s="192">
        <f>S1724*(1+M1724)</f>
        <v/>
      </c>
      <c r="BA1724" s="76">
        <f>cost_fin_total*$BD1724</f>
        <v/>
      </c>
      <c r="BB1724" s="193">
        <f>credit_sales_interest*BD1724</f>
        <v/>
      </c>
      <c r="BC1724" s="102">
        <f>IFERROR(IF($I$13&gt;0,$I1724/$I$13,$S1724/$S$13),0)</f>
        <v/>
      </c>
      <c r="BD1724" s="102">
        <f>IFERROR($S1724/$S$13,0)</f>
        <v/>
      </c>
      <c r="BE1724" s="413" t="inlineStr">
        <is>
          <t>$</t>
        </is>
      </c>
    </row>
    <row r="1725" ht="12" customFormat="1" customHeight="1" s="65">
      <c r="A1725" s="43" t="n">
        <v>1710</v>
      </c>
      <c r="B1725" s="166" t="n"/>
      <c r="C1725" s="166" t="n"/>
      <c r="D1725" s="166" t="n"/>
      <c r="E1725" s="162" t="n"/>
      <c r="F1725" s="166" t="n"/>
      <c r="G1725" s="162" t="n"/>
      <c r="H1725" s="162" t="n"/>
      <c r="I1725" s="189">
        <f>E1725*G1725</f>
        <v/>
      </c>
      <c r="J1725" s="195" t="n"/>
      <c r="K1725" s="162" t="n"/>
      <c r="L1725" s="168" t="n"/>
      <c r="M1725" s="75">
        <f>_xlfn.XLOOKUP(L1725,list_vat[Страна],list_vat[Ставка НДС %],0,0)</f>
        <v/>
      </c>
      <c r="N1725" s="162">
        <f>IFERROR(IF(L1725="Китай",K1725,K1725/(1+M1725)),0)</f>
        <v/>
      </c>
      <c r="O1725" s="169" t="n"/>
      <c r="P1725" s="76">
        <f>N1725*(1-O1725)</f>
        <v/>
      </c>
      <c r="Q1725" s="162" t="n"/>
      <c r="R1725" s="162">
        <f>IF(ISBLANK(Q1725),"введи курс",P1725/Q1725)</f>
        <v/>
      </c>
      <c r="S1725" s="196">
        <f>IF(AND(ISNUMBER(E1725),ISNUMBER(Q1725)),E1725*R1725,0)</f>
        <v/>
      </c>
      <c r="T1725" s="192">
        <f>$BC1725*V$11</f>
        <v/>
      </c>
      <c r="U1725" s="76">
        <f>$BC1725*W$11</f>
        <v/>
      </c>
      <c r="V1725" s="193">
        <f>+SUM(T1725:U1725)</f>
        <v/>
      </c>
      <c r="W1725" s="191" t="n"/>
      <c r="X1725" s="170" t="n"/>
      <c r="Y1725" s="76">
        <f>ROUND(IF(offer_incoterms="DDP",X1725*(S1725*(1+AW1725)+T1725),0),2)</f>
        <v/>
      </c>
      <c r="Z1725" s="188" t="n"/>
      <c r="AA1725" s="192">
        <f>IFERROR(AB1725/E1725,0)</f>
        <v/>
      </c>
      <c r="AB1725" s="76">
        <f>ROUND(SUM(S1725,V1725,Y1725:Z1725,BA1725:BB1725),2)</f>
        <v/>
      </c>
      <c r="AC1725" s="797" t="n"/>
      <c r="AD1725" s="192">
        <f t="array" ref="AD1725">IFERROR(ROUND((_xlfn.IFS(offer_sale_type="поставка",AB1725,offer_sale_type="транзит",S1725)*(1+AC1725))/E1725,2),0)</f>
        <v/>
      </c>
      <c r="AE1725" s="76">
        <f>AD1725*E1725</f>
        <v/>
      </c>
      <c r="AF1725" s="193">
        <f t="array" ref="AF1725">IFERROR(ROUND(_xlfn.IFS(offer_sale_type="поставка",AB1725,offer_sale_type="транзит",S1725)*AC1725,2),0)</f>
        <v/>
      </c>
      <c r="AG1725" s="192">
        <f>$BD1725*VLOOKUP($AG$3,$AF$4:$AG$7,2,FALSE)</f>
        <v/>
      </c>
      <c r="AH1725" s="76">
        <f>SUM(AE1725,AG1725,AI1725)*rate_forex_risk</f>
        <v/>
      </c>
      <c r="AI1725" s="193">
        <f>IF(OR(seller_region="TR",offer_sale_type="экспорт"),0,rate_fin_comm)*SUM(AZ1725,AZ1725*AW1725,T1725)</f>
        <v/>
      </c>
      <c r="AJ1725" s="118">
        <f>IFERROR(ROUND(SUM(AB1725,AF1725:AI1725)/E1725,2),0)</f>
        <v/>
      </c>
      <c r="AK1725" s="76">
        <f>AJ1725*E1725</f>
        <v/>
      </c>
      <c r="AL1725" s="174">
        <f>ROUND(IFERROR(AM1725*E1725,0),2)</f>
        <v/>
      </c>
      <c r="AM1725" s="175">
        <f>ROUND(AJ1725*(1+IF(offer_incoterms="DDP",IF((TODAY()+offer_turnaround_time)&gt;=helpsheet!$L$17,rate_vatRU_from_26,rate_vatRu_till_25),0)),2)</f>
        <v/>
      </c>
      <c r="AN1725" s="192">
        <f>AL1725-AK1725</f>
        <v/>
      </c>
      <c r="AO1725" s="76">
        <f>SUM(AY1725,Y1725:Z1725,T1725)*IF(AND(offer_incoterms="DDP",offer_sale_type&lt;&gt;"экспорт"),IF((TODAY()+offer_turnaround_time)&gt;=helpsheet!$L$17,rate_vatRU_from_26,rate_vatRu_till_25),0)</f>
        <v/>
      </c>
      <c r="AP1725" s="193">
        <f>AN1725-AO1725</f>
        <v/>
      </c>
      <c r="AQ1725" s="118">
        <f>IF(offer_sale_type="транзит",SUM(AF1725:AI1725,BA1725,BB1725),0)</f>
        <v/>
      </c>
      <c r="AR1725" s="82">
        <f>HYPERLINK("https://www.alta.ru/tnved/code/")&amp;W1725&amp;"/"</f>
        <v/>
      </c>
      <c r="AS1725" s="157" t="n"/>
      <c r="AT1725" s="162" t="n"/>
      <c r="AU1725" s="76">
        <f>IF(ISBLANK(AT1725),0,AJ1725-AT1725)</f>
        <v/>
      </c>
      <c r="AV1725" s="157" t="n"/>
      <c r="AW1725" s="75">
        <f>_xlfn.IFNA(VLOOKUP(L1725,list_vat[],3,FALSE),0)</f>
        <v/>
      </c>
      <c r="AX1725" s="76">
        <f>IFERROR(ROUND(S1725*(1+AW1725)/E1725,2),0)</f>
        <v/>
      </c>
      <c r="AY1725" s="76">
        <f>E1725*AX1725</f>
        <v/>
      </c>
      <c r="AZ1725" s="192">
        <f>S1725*(1+M1725)</f>
        <v/>
      </c>
      <c r="BA1725" s="76">
        <f>cost_fin_total*$BD1725</f>
        <v/>
      </c>
      <c r="BB1725" s="193">
        <f>credit_sales_interest*BD1725</f>
        <v/>
      </c>
      <c r="BC1725" s="102">
        <f>IFERROR(IF($I$13&gt;0,$I1725/$I$13,$S1725/$S$13),0)</f>
        <v/>
      </c>
      <c r="BD1725" s="102">
        <f>IFERROR($S1725/$S$13,0)</f>
        <v/>
      </c>
      <c r="BE1725" s="413" t="inlineStr">
        <is>
          <t>$</t>
        </is>
      </c>
    </row>
    <row r="1726" ht="12" customFormat="1" customHeight="1" s="65">
      <c r="A1726" s="43" t="n">
        <v>1711</v>
      </c>
      <c r="B1726" s="166" t="n"/>
      <c r="C1726" s="166" t="n"/>
      <c r="D1726" s="166" t="n"/>
      <c r="E1726" s="162" t="n"/>
      <c r="F1726" s="166" t="n"/>
      <c r="G1726" s="162" t="n"/>
      <c r="H1726" s="162" t="n"/>
      <c r="I1726" s="189">
        <f>E1726*G1726</f>
        <v/>
      </c>
      <c r="J1726" s="195" t="n"/>
      <c r="K1726" s="162" t="n"/>
      <c r="L1726" s="168" t="n"/>
      <c r="M1726" s="75">
        <f>_xlfn.XLOOKUP(L1726,list_vat[Страна],list_vat[Ставка НДС %],0,0)</f>
        <v/>
      </c>
      <c r="N1726" s="162">
        <f>IFERROR(IF(L1726="Китай",K1726,K1726/(1+M1726)),0)</f>
        <v/>
      </c>
      <c r="O1726" s="169" t="n"/>
      <c r="P1726" s="76">
        <f>N1726*(1-O1726)</f>
        <v/>
      </c>
      <c r="Q1726" s="162" t="n"/>
      <c r="R1726" s="162">
        <f>IF(ISBLANK(Q1726),"введи курс",P1726/Q1726)</f>
        <v/>
      </c>
      <c r="S1726" s="196">
        <f>IF(AND(ISNUMBER(E1726),ISNUMBER(Q1726)),E1726*R1726,0)</f>
        <v/>
      </c>
      <c r="T1726" s="192">
        <f>$BC1726*V$11</f>
        <v/>
      </c>
      <c r="U1726" s="76">
        <f>$BC1726*W$11</f>
        <v/>
      </c>
      <c r="V1726" s="193">
        <f>+SUM(T1726:U1726)</f>
        <v/>
      </c>
      <c r="W1726" s="191" t="n"/>
      <c r="X1726" s="170" t="n"/>
      <c r="Y1726" s="76">
        <f>ROUND(IF(offer_incoterms="DDP",X1726*(S1726*(1+AW1726)+T1726),0),2)</f>
        <v/>
      </c>
      <c r="Z1726" s="188" t="n"/>
      <c r="AA1726" s="192">
        <f>IFERROR(AB1726/E1726,0)</f>
        <v/>
      </c>
      <c r="AB1726" s="76">
        <f>ROUND(SUM(S1726,V1726,Y1726:Z1726,BA1726:BB1726),2)</f>
        <v/>
      </c>
      <c r="AC1726" s="797" t="n"/>
      <c r="AD1726" s="192">
        <f t="array" ref="AD1726">IFERROR(ROUND((_xlfn.IFS(offer_sale_type="поставка",AB1726,offer_sale_type="транзит",S1726)*(1+AC1726))/E1726,2),0)</f>
        <v/>
      </c>
      <c r="AE1726" s="76">
        <f>AD1726*E1726</f>
        <v/>
      </c>
      <c r="AF1726" s="193">
        <f t="array" ref="AF1726">IFERROR(ROUND(_xlfn.IFS(offer_sale_type="поставка",AB1726,offer_sale_type="транзит",S1726)*AC1726,2),0)</f>
        <v/>
      </c>
      <c r="AG1726" s="192">
        <f>$BD1726*VLOOKUP($AG$3,$AF$4:$AG$7,2,FALSE)</f>
        <v/>
      </c>
      <c r="AH1726" s="76">
        <f>SUM(AE1726,AG1726,AI1726)*rate_forex_risk</f>
        <v/>
      </c>
      <c r="AI1726" s="193">
        <f>IF(OR(seller_region="TR",offer_sale_type="экспорт"),0,rate_fin_comm)*SUM(AZ1726,AZ1726*AW1726,T1726)</f>
        <v/>
      </c>
      <c r="AJ1726" s="118">
        <f>IFERROR(ROUND(SUM(AB1726,AF1726:AI1726)/E1726,2),0)</f>
        <v/>
      </c>
      <c r="AK1726" s="76">
        <f>AJ1726*E1726</f>
        <v/>
      </c>
      <c r="AL1726" s="174">
        <f>ROUND(IFERROR(AM1726*E1726,0),2)</f>
        <v/>
      </c>
      <c r="AM1726" s="175">
        <f>ROUND(AJ1726*(1+IF(offer_incoterms="DDP",IF((TODAY()+offer_turnaround_time)&gt;=helpsheet!$L$17,rate_vatRU_from_26,rate_vatRu_till_25),0)),2)</f>
        <v/>
      </c>
      <c r="AN1726" s="192">
        <f>AL1726-AK1726</f>
        <v/>
      </c>
      <c r="AO1726" s="76">
        <f>SUM(AY1726,Y1726:Z1726,T1726)*IF(AND(offer_incoterms="DDP",offer_sale_type&lt;&gt;"экспорт"),IF((TODAY()+offer_turnaround_time)&gt;=helpsheet!$L$17,rate_vatRU_from_26,rate_vatRu_till_25),0)</f>
        <v/>
      </c>
      <c r="AP1726" s="193">
        <f>AN1726-AO1726</f>
        <v/>
      </c>
      <c r="AQ1726" s="118">
        <f>IF(offer_sale_type="транзит",SUM(AF1726:AI1726,BA1726,BB1726),0)</f>
        <v/>
      </c>
      <c r="AR1726" s="82">
        <f>HYPERLINK("https://www.alta.ru/tnved/code/")&amp;W1726&amp;"/"</f>
        <v/>
      </c>
      <c r="AS1726" s="157" t="n"/>
      <c r="AT1726" s="162" t="n"/>
      <c r="AU1726" s="76">
        <f>IF(ISBLANK(AT1726),0,AJ1726-AT1726)</f>
        <v/>
      </c>
      <c r="AV1726" s="157" t="n"/>
      <c r="AW1726" s="75">
        <f>_xlfn.IFNA(VLOOKUP(L1726,list_vat[],3,FALSE),0)</f>
        <v/>
      </c>
      <c r="AX1726" s="76">
        <f>IFERROR(ROUND(S1726*(1+AW1726)/E1726,2),0)</f>
        <v/>
      </c>
      <c r="AY1726" s="76">
        <f>E1726*AX1726</f>
        <v/>
      </c>
      <c r="AZ1726" s="192">
        <f>S1726*(1+M1726)</f>
        <v/>
      </c>
      <c r="BA1726" s="76">
        <f>cost_fin_total*$BD1726</f>
        <v/>
      </c>
      <c r="BB1726" s="193">
        <f>credit_sales_interest*BD1726</f>
        <v/>
      </c>
      <c r="BC1726" s="102">
        <f>IFERROR(IF($I$13&gt;0,$I1726/$I$13,$S1726/$S$13),0)</f>
        <v/>
      </c>
      <c r="BD1726" s="102">
        <f>IFERROR($S1726/$S$13,0)</f>
        <v/>
      </c>
      <c r="BE1726" s="413" t="inlineStr">
        <is>
          <t>$</t>
        </is>
      </c>
    </row>
    <row r="1727" ht="12" customFormat="1" customHeight="1" s="65">
      <c r="A1727" s="43" t="n">
        <v>1712</v>
      </c>
      <c r="B1727" s="166" t="n"/>
      <c r="C1727" s="166" t="n"/>
      <c r="D1727" s="166" t="n"/>
      <c r="E1727" s="162" t="n"/>
      <c r="F1727" s="166" t="n"/>
      <c r="G1727" s="162" t="n"/>
      <c r="H1727" s="162" t="n"/>
      <c r="I1727" s="189">
        <f>E1727*G1727</f>
        <v/>
      </c>
      <c r="J1727" s="195" t="n"/>
      <c r="K1727" s="162" t="n"/>
      <c r="L1727" s="168" t="n"/>
      <c r="M1727" s="75">
        <f>_xlfn.XLOOKUP(L1727,list_vat[Страна],list_vat[Ставка НДС %],0,0)</f>
        <v/>
      </c>
      <c r="N1727" s="162">
        <f>IFERROR(IF(L1727="Китай",K1727,K1727/(1+M1727)),0)</f>
        <v/>
      </c>
      <c r="O1727" s="169" t="n"/>
      <c r="P1727" s="76">
        <f>N1727*(1-O1727)</f>
        <v/>
      </c>
      <c r="Q1727" s="162" t="n"/>
      <c r="R1727" s="162">
        <f>IF(ISBLANK(Q1727),"введи курс",P1727/Q1727)</f>
        <v/>
      </c>
      <c r="S1727" s="196">
        <f>IF(AND(ISNUMBER(E1727),ISNUMBER(Q1727)),E1727*R1727,0)</f>
        <v/>
      </c>
      <c r="T1727" s="192">
        <f>$BC1727*V$11</f>
        <v/>
      </c>
      <c r="U1727" s="76">
        <f>$BC1727*W$11</f>
        <v/>
      </c>
      <c r="V1727" s="193">
        <f>+SUM(T1727:U1727)</f>
        <v/>
      </c>
      <c r="W1727" s="191" t="n"/>
      <c r="X1727" s="170" t="n"/>
      <c r="Y1727" s="76">
        <f>ROUND(IF(offer_incoterms="DDP",X1727*(S1727*(1+AW1727)+T1727),0),2)</f>
        <v/>
      </c>
      <c r="Z1727" s="188" t="n"/>
      <c r="AA1727" s="192">
        <f>IFERROR(AB1727/E1727,0)</f>
        <v/>
      </c>
      <c r="AB1727" s="76">
        <f>ROUND(SUM(S1727,V1727,Y1727:Z1727,BA1727:BB1727),2)</f>
        <v/>
      </c>
      <c r="AC1727" s="797" t="n"/>
      <c r="AD1727" s="192">
        <f t="array" ref="AD1727">IFERROR(ROUND((_xlfn.IFS(offer_sale_type="поставка",AB1727,offer_sale_type="транзит",S1727)*(1+AC1727))/E1727,2),0)</f>
        <v/>
      </c>
      <c r="AE1727" s="76">
        <f>AD1727*E1727</f>
        <v/>
      </c>
      <c r="AF1727" s="193">
        <f t="array" ref="AF1727">IFERROR(ROUND(_xlfn.IFS(offer_sale_type="поставка",AB1727,offer_sale_type="транзит",S1727)*AC1727,2),0)</f>
        <v/>
      </c>
      <c r="AG1727" s="192">
        <f>$BD1727*VLOOKUP($AG$3,$AF$4:$AG$7,2,FALSE)</f>
        <v/>
      </c>
      <c r="AH1727" s="76">
        <f>SUM(AE1727,AG1727,AI1727)*rate_forex_risk</f>
        <v/>
      </c>
      <c r="AI1727" s="193">
        <f>IF(OR(seller_region="TR",offer_sale_type="экспорт"),0,rate_fin_comm)*SUM(AZ1727,AZ1727*AW1727,T1727)</f>
        <v/>
      </c>
      <c r="AJ1727" s="118">
        <f>IFERROR(ROUND(SUM(AB1727,AF1727:AI1727)/E1727,2),0)</f>
        <v/>
      </c>
      <c r="AK1727" s="76">
        <f>AJ1727*E1727</f>
        <v/>
      </c>
      <c r="AL1727" s="174">
        <f>ROUND(IFERROR(AM1727*E1727,0),2)</f>
        <v/>
      </c>
      <c r="AM1727" s="175">
        <f>ROUND(AJ1727*(1+IF(offer_incoterms="DDP",IF((TODAY()+offer_turnaround_time)&gt;=helpsheet!$L$17,rate_vatRU_from_26,rate_vatRu_till_25),0)),2)</f>
        <v/>
      </c>
      <c r="AN1727" s="192">
        <f>AL1727-AK1727</f>
        <v/>
      </c>
      <c r="AO1727" s="76">
        <f>SUM(AY1727,Y1727:Z1727,T1727)*IF(AND(offer_incoterms="DDP",offer_sale_type&lt;&gt;"экспорт"),IF((TODAY()+offer_turnaround_time)&gt;=helpsheet!$L$17,rate_vatRU_from_26,rate_vatRu_till_25),0)</f>
        <v/>
      </c>
      <c r="AP1727" s="193">
        <f>AN1727-AO1727</f>
        <v/>
      </c>
      <c r="AQ1727" s="118">
        <f>IF(offer_sale_type="транзит",SUM(AF1727:AI1727,BA1727,BB1727),0)</f>
        <v/>
      </c>
      <c r="AR1727" s="82">
        <f>HYPERLINK("https://www.alta.ru/tnved/code/")&amp;W1727&amp;"/"</f>
        <v/>
      </c>
      <c r="AS1727" s="157" t="n"/>
      <c r="AT1727" s="162" t="n"/>
      <c r="AU1727" s="76">
        <f>IF(ISBLANK(AT1727),0,AJ1727-AT1727)</f>
        <v/>
      </c>
      <c r="AV1727" s="157" t="n"/>
      <c r="AW1727" s="75">
        <f>_xlfn.IFNA(VLOOKUP(L1727,list_vat[],3,FALSE),0)</f>
        <v/>
      </c>
      <c r="AX1727" s="76">
        <f>IFERROR(ROUND(S1727*(1+AW1727)/E1727,2),0)</f>
        <v/>
      </c>
      <c r="AY1727" s="76">
        <f>E1727*AX1727</f>
        <v/>
      </c>
      <c r="AZ1727" s="192">
        <f>S1727*(1+M1727)</f>
        <v/>
      </c>
      <c r="BA1727" s="76">
        <f>cost_fin_total*$BD1727</f>
        <v/>
      </c>
      <c r="BB1727" s="193">
        <f>credit_sales_interest*BD1727</f>
        <v/>
      </c>
      <c r="BC1727" s="102">
        <f>IFERROR(IF($I$13&gt;0,$I1727/$I$13,$S1727/$S$13),0)</f>
        <v/>
      </c>
      <c r="BD1727" s="102">
        <f>IFERROR($S1727/$S$13,0)</f>
        <v/>
      </c>
      <c r="BE1727" s="413" t="inlineStr">
        <is>
          <t>$</t>
        </is>
      </c>
    </row>
    <row r="1728" ht="12" customFormat="1" customHeight="1" s="65">
      <c r="A1728" s="43" t="n">
        <v>1713</v>
      </c>
      <c r="B1728" s="166" t="n"/>
      <c r="C1728" s="166" t="n"/>
      <c r="D1728" s="166" t="n"/>
      <c r="E1728" s="162" t="n"/>
      <c r="F1728" s="166" t="n"/>
      <c r="G1728" s="162" t="n"/>
      <c r="H1728" s="162" t="n"/>
      <c r="I1728" s="189">
        <f>E1728*G1728</f>
        <v/>
      </c>
      <c r="J1728" s="195" t="n"/>
      <c r="K1728" s="162" t="n"/>
      <c r="L1728" s="168" t="n"/>
      <c r="M1728" s="75">
        <f>_xlfn.XLOOKUP(L1728,list_vat[Страна],list_vat[Ставка НДС %],0,0)</f>
        <v/>
      </c>
      <c r="N1728" s="162">
        <f>IFERROR(IF(L1728="Китай",K1728,K1728/(1+M1728)),0)</f>
        <v/>
      </c>
      <c r="O1728" s="169" t="n"/>
      <c r="P1728" s="76">
        <f>N1728*(1-O1728)</f>
        <v/>
      </c>
      <c r="Q1728" s="162" t="n"/>
      <c r="R1728" s="162">
        <f>IF(ISBLANK(Q1728),"введи курс",P1728/Q1728)</f>
        <v/>
      </c>
      <c r="S1728" s="196">
        <f>IF(AND(ISNUMBER(E1728),ISNUMBER(Q1728)),E1728*R1728,0)</f>
        <v/>
      </c>
      <c r="T1728" s="192">
        <f>$BC1728*V$11</f>
        <v/>
      </c>
      <c r="U1728" s="76">
        <f>$BC1728*W$11</f>
        <v/>
      </c>
      <c r="V1728" s="193">
        <f>+SUM(T1728:U1728)</f>
        <v/>
      </c>
      <c r="W1728" s="191" t="n"/>
      <c r="X1728" s="170" t="n"/>
      <c r="Y1728" s="76">
        <f>ROUND(IF(offer_incoterms="DDP",X1728*(S1728*(1+AW1728)+T1728),0),2)</f>
        <v/>
      </c>
      <c r="Z1728" s="188" t="n"/>
      <c r="AA1728" s="192">
        <f>IFERROR(AB1728/E1728,0)</f>
        <v/>
      </c>
      <c r="AB1728" s="76">
        <f>ROUND(SUM(S1728,V1728,Y1728:Z1728,BA1728:BB1728),2)</f>
        <v/>
      </c>
      <c r="AC1728" s="797" t="n"/>
      <c r="AD1728" s="192">
        <f t="array" ref="AD1728">IFERROR(ROUND((_xlfn.IFS(offer_sale_type="поставка",AB1728,offer_sale_type="транзит",S1728)*(1+AC1728))/E1728,2),0)</f>
        <v/>
      </c>
      <c r="AE1728" s="76">
        <f>AD1728*E1728</f>
        <v/>
      </c>
      <c r="AF1728" s="193">
        <f t="array" ref="AF1728">IFERROR(ROUND(_xlfn.IFS(offer_sale_type="поставка",AB1728,offer_sale_type="транзит",S1728)*AC1728,2),0)</f>
        <v/>
      </c>
      <c r="AG1728" s="192">
        <f>$BD1728*VLOOKUP($AG$3,$AF$4:$AG$7,2,FALSE)</f>
        <v/>
      </c>
      <c r="AH1728" s="76">
        <f>SUM(AE1728,AG1728,AI1728)*rate_forex_risk</f>
        <v/>
      </c>
      <c r="AI1728" s="193">
        <f>IF(OR(seller_region="TR",offer_sale_type="экспорт"),0,rate_fin_comm)*SUM(AZ1728,AZ1728*AW1728,T1728)</f>
        <v/>
      </c>
      <c r="AJ1728" s="118">
        <f>IFERROR(ROUND(SUM(AB1728,AF1728:AI1728)/E1728,2),0)</f>
        <v/>
      </c>
      <c r="AK1728" s="76">
        <f>AJ1728*E1728</f>
        <v/>
      </c>
      <c r="AL1728" s="174">
        <f>ROUND(IFERROR(AM1728*E1728,0),2)</f>
        <v/>
      </c>
      <c r="AM1728" s="175">
        <f>ROUND(AJ1728*(1+IF(offer_incoterms="DDP",IF((TODAY()+offer_turnaround_time)&gt;=helpsheet!$L$17,rate_vatRU_from_26,rate_vatRu_till_25),0)),2)</f>
        <v/>
      </c>
      <c r="AN1728" s="192">
        <f>AL1728-AK1728</f>
        <v/>
      </c>
      <c r="AO1728" s="76">
        <f>SUM(AY1728,Y1728:Z1728,T1728)*IF(AND(offer_incoterms="DDP",offer_sale_type&lt;&gt;"экспорт"),IF((TODAY()+offer_turnaround_time)&gt;=helpsheet!$L$17,rate_vatRU_from_26,rate_vatRu_till_25),0)</f>
        <v/>
      </c>
      <c r="AP1728" s="193">
        <f>AN1728-AO1728</f>
        <v/>
      </c>
      <c r="AQ1728" s="118">
        <f>IF(offer_sale_type="транзит",SUM(AF1728:AI1728,BA1728,BB1728),0)</f>
        <v/>
      </c>
      <c r="AR1728" s="82">
        <f>HYPERLINK("https://www.alta.ru/tnved/code/")&amp;W1728&amp;"/"</f>
        <v/>
      </c>
      <c r="AS1728" s="157" t="n"/>
      <c r="AT1728" s="162" t="n"/>
      <c r="AU1728" s="76">
        <f>IF(ISBLANK(AT1728),0,AJ1728-AT1728)</f>
        <v/>
      </c>
      <c r="AV1728" s="157" t="n"/>
      <c r="AW1728" s="75">
        <f>_xlfn.IFNA(VLOOKUP(L1728,list_vat[],3,FALSE),0)</f>
        <v/>
      </c>
      <c r="AX1728" s="76">
        <f>IFERROR(ROUND(S1728*(1+AW1728)/E1728,2),0)</f>
        <v/>
      </c>
      <c r="AY1728" s="76">
        <f>E1728*AX1728</f>
        <v/>
      </c>
      <c r="AZ1728" s="192">
        <f>S1728*(1+M1728)</f>
        <v/>
      </c>
      <c r="BA1728" s="76">
        <f>cost_fin_total*$BD1728</f>
        <v/>
      </c>
      <c r="BB1728" s="193">
        <f>credit_sales_interest*BD1728</f>
        <v/>
      </c>
      <c r="BC1728" s="102">
        <f>IFERROR(IF($I$13&gt;0,$I1728/$I$13,$S1728/$S$13),0)</f>
        <v/>
      </c>
      <c r="BD1728" s="102">
        <f>IFERROR($S1728/$S$13,0)</f>
        <v/>
      </c>
      <c r="BE1728" s="413" t="inlineStr">
        <is>
          <t>$</t>
        </is>
      </c>
    </row>
    <row r="1729" ht="12" customFormat="1" customHeight="1" s="65">
      <c r="A1729" s="43" t="n">
        <v>1714</v>
      </c>
      <c r="B1729" s="166" t="n"/>
      <c r="C1729" s="166" t="n"/>
      <c r="D1729" s="166" t="n"/>
      <c r="E1729" s="162" t="n"/>
      <c r="F1729" s="166" t="n"/>
      <c r="G1729" s="162" t="n"/>
      <c r="H1729" s="162" t="n"/>
      <c r="I1729" s="189">
        <f>E1729*G1729</f>
        <v/>
      </c>
      <c r="J1729" s="195" t="n"/>
      <c r="K1729" s="162" t="n"/>
      <c r="L1729" s="168" t="n"/>
      <c r="M1729" s="75">
        <f>_xlfn.XLOOKUP(L1729,list_vat[Страна],list_vat[Ставка НДС %],0,0)</f>
        <v/>
      </c>
      <c r="N1729" s="162">
        <f>IFERROR(IF(L1729="Китай",K1729,K1729/(1+M1729)),0)</f>
        <v/>
      </c>
      <c r="O1729" s="169" t="n"/>
      <c r="P1729" s="76">
        <f>N1729*(1-O1729)</f>
        <v/>
      </c>
      <c r="Q1729" s="162" t="n"/>
      <c r="R1729" s="162">
        <f>IF(ISBLANK(Q1729),"введи курс",P1729/Q1729)</f>
        <v/>
      </c>
      <c r="S1729" s="196">
        <f>IF(AND(ISNUMBER(E1729),ISNUMBER(Q1729)),E1729*R1729,0)</f>
        <v/>
      </c>
      <c r="T1729" s="192">
        <f>$BC1729*V$11</f>
        <v/>
      </c>
      <c r="U1729" s="76">
        <f>$BC1729*W$11</f>
        <v/>
      </c>
      <c r="V1729" s="193">
        <f>+SUM(T1729:U1729)</f>
        <v/>
      </c>
      <c r="W1729" s="191" t="n"/>
      <c r="X1729" s="170" t="n"/>
      <c r="Y1729" s="76">
        <f>ROUND(IF(offer_incoterms="DDP",X1729*(S1729*(1+AW1729)+T1729),0),2)</f>
        <v/>
      </c>
      <c r="Z1729" s="188" t="n"/>
      <c r="AA1729" s="192">
        <f>IFERROR(AB1729/E1729,0)</f>
        <v/>
      </c>
      <c r="AB1729" s="76">
        <f>ROUND(SUM(S1729,V1729,Y1729:Z1729,BA1729:BB1729),2)</f>
        <v/>
      </c>
      <c r="AC1729" s="797" t="n"/>
      <c r="AD1729" s="192">
        <f t="array" ref="AD1729">IFERROR(ROUND((_xlfn.IFS(offer_sale_type="поставка",AB1729,offer_sale_type="транзит",S1729)*(1+AC1729))/E1729,2),0)</f>
        <v/>
      </c>
      <c r="AE1729" s="76">
        <f>AD1729*E1729</f>
        <v/>
      </c>
      <c r="AF1729" s="193">
        <f t="array" ref="AF1729">IFERROR(ROUND(_xlfn.IFS(offer_sale_type="поставка",AB1729,offer_sale_type="транзит",S1729)*AC1729,2),0)</f>
        <v/>
      </c>
      <c r="AG1729" s="192">
        <f>$BD1729*VLOOKUP($AG$3,$AF$4:$AG$7,2,FALSE)</f>
        <v/>
      </c>
      <c r="AH1729" s="76">
        <f>SUM(AE1729,AG1729,AI1729)*rate_forex_risk</f>
        <v/>
      </c>
      <c r="AI1729" s="193">
        <f>IF(OR(seller_region="TR",offer_sale_type="экспорт"),0,rate_fin_comm)*SUM(AZ1729,AZ1729*AW1729,T1729)</f>
        <v/>
      </c>
      <c r="AJ1729" s="118">
        <f>IFERROR(ROUND(SUM(AB1729,AF1729:AI1729)/E1729,2),0)</f>
        <v/>
      </c>
      <c r="AK1729" s="76">
        <f>AJ1729*E1729</f>
        <v/>
      </c>
      <c r="AL1729" s="174">
        <f>ROUND(IFERROR(AM1729*E1729,0),2)</f>
        <v/>
      </c>
      <c r="AM1729" s="175">
        <f>ROUND(AJ1729*(1+IF(offer_incoterms="DDP",IF((TODAY()+offer_turnaround_time)&gt;=helpsheet!$L$17,rate_vatRU_from_26,rate_vatRu_till_25),0)),2)</f>
        <v/>
      </c>
      <c r="AN1729" s="192">
        <f>AL1729-AK1729</f>
        <v/>
      </c>
      <c r="AO1729" s="76">
        <f>SUM(AY1729,Y1729:Z1729,T1729)*IF(AND(offer_incoterms="DDP",offer_sale_type&lt;&gt;"экспорт"),IF((TODAY()+offer_turnaround_time)&gt;=helpsheet!$L$17,rate_vatRU_from_26,rate_vatRu_till_25),0)</f>
        <v/>
      </c>
      <c r="AP1729" s="193">
        <f>AN1729-AO1729</f>
        <v/>
      </c>
      <c r="AQ1729" s="118">
        <f>IF(offer_sale_type="транзит",SUM(AF1729:AI1729,BA1729,BB1729),0)</f>
        <v/>
      </c>
      <c r="AR1729" s="82">
        <f>HYPERLINK("https://www.alta.ru/tnved/code/")&amp;W1729&amp;"/"</f>
        <v/>
      </c>
      <c r="AS1729" s="157" t="n"/>
      <c r="AT1729" s="162" t="n"/>
      <c r="AU1729" s="76">
        <f>IF(ISBLANK(AT1729),0,AJ1729-AT1729)</f>
        <v/>
      </c>
      <c r="AV1729" s="157" t="n"/>
      <c r="AW1729" s="75">
        <f>_xlfn.IFNA(VLOOKUP(L1729,list_vat[],3,FALSE),0)</f>
        <v/>
      </c>
      <c r="AX1729" s="76">
        <f>IFERROR(ROUND(S1729*(1+AW1729)/E1729,2),0)</f>
        <v/>
      </c>
      <c r="AY1729" s="76">
        <f>E1729*AX1729</f>
        <v/>
      </c>
      <c r="AZ1729" s="192">
        <f>S1729*(1+M1729)</f>
        <v/>
      </c>
      <c r="BA1729" s="76">
        <f>cost_fin_total*$BD1729</f>
        <v/>
      </c>
      <c r="BB1729" s="193">
        <f>credit_sales_interest*BD1729</f>
        <v/>
      </c>
      <c r="BC1729" s="102">
        <f>IFERROR(IF($I$13&gt;0,$I1729/$I$13,$S1729/$S$13),0)</f>
        <v/>
      </c>
      <c r="BD1729" s="102">
        <f>IFERROR($S1729/$S$13,0)</f>
        <v/>
      </c>
      <c r="BE1729" s="413" t="inlineStr">
        <is>
          <t>$</t>
        </is>
      </c>
    </row>
    <row r="1730" ht="12" customFormat="1" customHeight="1" s="65">
      <c r="A1730" s="43" t="n">
        <v>1715</v>
      </c>
      <c r="B1730" s="166" t="n"/>
      <c r="C1730" s="166" t="n"/>
      <c r="D1730" s="166" t="n"/>
      <c r="E1730" s="162" t="n"/>
      <c r="F1730" s="166" t="n"/>
      <c r="G1730" s="162" t="n"/>
      <c r="H1730" s="162" t="n"/>
      <c r="I1730" s="189">
        <f>E1730*G1730</f>
        <v/>
      </c>
      <c r="J1730" s="195" t="n"/>
      <c r="K1730" s="162" t="n"/>
      <c r="L1730" s="168" t="n"/>
      <c r="M1730" s="75">
        <f>_xlfn.XLOOKUP(L1730,list_vat[Страна],list_vat[Ставка НДС %],0,0)</f>
        <v/>
      </c>
      <c r="N1730" s="162">
        <f>IFERROR(IF(L1730="Китай",K1730,K1730/(1+M1730)),0)</f>
        <v/>
      </c>
      <c r="O1730" s="169" t="n"/>
      <c r="P1730" s="76">
        <f>N1730*(1-O1730)</f>
        <v/>
      </c>
      <c r="Q1730" s="162" t="n"/>
      <c r="R1730" s="162">
        <f>IF(ISBLANK(Q1730),"введи курс",P1730/Q1730)</f>
        <v/>
      </c>
      <c r="S1730" s="196">
        <f>IF(AND(ISNUMBER(E1730),ISNUMBER(Q1730)),E1730*R1730,0)</f>
        <v/>
      </c>
      <c r="T1730" s="192">
        <f>$BC1730*V$11</f>
        <v/>
      </c>
      <c r="U1730" s="76">
        <f>$BC1730*W$11</f>
        <v/>
      </c>
      <c r="V1730" s="193">
        <f>+SUM(T1730:U1730)</f>
        <v/>
      </c>
      <c r="W1730" s="191" t="n"/>
      <c r="X1730" s="170" t="n"/>
      <c r="Y1730" s="76">
        <f>ROUND(IF(offer_incoterms="DDP",X1730*(S1730*(1+AW1730)+T1730),0),2)</f>
        <v/>
      </c>
      <c r="Z1730" s="188" t="n"/>
      <c r="AA1730" s="192">
        <f>IFERROR(AB1730/E1730,0)</f>
        <v/>
      </c>
      <c r="AB1730" s="76">
        <f>ROUND(SUM(S1730,V1730,Y1730:Z1730,BA1730:BB1730),2)</f>
        <v/>
      </c>
      <c r="AC1730" s="797" t="n"/>
      <c r="AD1730" s="192">
        <f t="array" ref="AD1730">IFERROR(ROUND((_xlfn.IFS(offer_sale_type="поставка",AB1730,offer_sale_type="транзит",S1730)*(1+AC1730))/E1730,2),0)</f>
        <v/>
      </c>
      <c r="AE1730" s="76">
        <f>AD1730*E1730</f>
        <v/>
      </c>
      <c r="AF1730" s="193">
        <f t="array" ref="AF1730">IFERROR(ROUND(_xlfn.IFS(offer_sale_type="поставка",AB1730,offer_sale_type="транзит",S1730)*AC1730,2),0)</f>
        <v/>
      </c>
      <c r="AG1730" s="192">
        <f>$BD1730*VLOOKUP($AG$3,$AF$4:$AG$7,2,FALSE)</f>
        <v/>
      </c>
      <c r="AH1730" s="76">
        <f>SUM(AE1730,AG1730,AI1730)*rate_forex_risk</f>
        <v/>
      </c>
      <c r="AI1730" s="193">
        <f>IF(OR(seller_region="TR",offer_sale_type="экспорт"),0,rate_fin_comm)*SUM(AZ1730,AZ1730*AW1730,T1730)</f>
        <v/>
      </c>
      <c r="AJ1730" s="118">
        <f>IFERROR(ROUND(SUM(AB1730,AF1730:AI1730)/E1730,2),0)</f>
        <v/>
      </c>
      <c r="AK1730" s="76">
        <f>AJ1730*E1730</f>
        <v/>
      </c>
      <c r="AL1730" s="174">
        <f>ROUND(IFERROR(AM1730*E1730,0),2)</f>
        <v/>
      </c>
      <c r="AM1730" s="175">
        <f>ROUND(AJ1730*(1+IF(offer_incoterms="DDP",IF((TODAY()+offer_turnaround_time)&gt;=helpsheet!$L$17,rate_vatRU_from_26,rate_vatRu_till_25),0)),2)</f>
        <v/>
      </c>
      <c r="AN1730" s="192">
        <f>AL1730-AK1730</f>
        <v/>
      </c>
      <c r="AO1730" s="76">
        <f>SUM(AY1730,Y1730:Z1730,T1730)*IF(AND(offer_incoterms="DDP",offer_sale_type&lt;&gt;"экспорт"),IF((TODAY()+offer_turnaround_time)&gt;=helpsheet!$L$17,rate_vatRU_from_26,rate_vatRu_till_25),0)</f>
        <v/>
      </c>
      <c r="AP1730" s="193">
        <f>AN1730-AO1730</f>
        <v/>
      </c>
      <c r="AQ1730" s="118">
        <f>IF(offer_sale_type="транзит",SUM(AF1730:AI1730,BA1730,BB1730),0)</f>
        <v/>
      </c>
      <c r="AR1730" s="82">
        <f>HYPERLINK("https://www.alta.ru/tnved/code/")&amp;W1730&amp;"/"</f>
        <v/>
      </c>
      <c r="AS1730" s="157" t="n"/>
      <c r="AT1730" s="162" t="n"/>
      <c r="AU1730" s="76">
        <f>IF(ISBLANK(AT1730),0,AJ1730-AT1730)</f>
        <v/>
      </c>
      <c r="AV1730" s="157" t="n"/>
      <c r="AW1730" s="75">
        <f>_xlfn.IFNA(VLOOKUP(L1730,list_vat[],3,FALSE),0)</f>
        <v/>
      </c>
      <c r="AX1730" s="76">
        <f>IFERROR(ROUND(S1730*(1+AW1730)/E1730,2),0)</f>
        <v/>
      </c>
      <c r="AY1730" s="76">
        <f>E1730*AX1730</f>
        <v/>
      </c>
      <c r="AZ1730" s="192">
        <f>S1730*(1+M1730)</f>
        <v/>
      </c>
      <c r="BA1730" s="76">
        <f>cost_fin_total*$BD1730</f>
        <v/>
      </c>
      <c r="BB1730" s="193">
        <f>credit_sales_interest*BD1730</f>
        <v/>
      </c>
      <c r="BC1730" s="102">
        <f>IFERROR(IF($I$13&gt;0,$I1730/$I$13,$S1730/$S$13),0)</f>
        <v/>
      </c>
      <c r="BD1730" s="102">
        <f>IFERROR($S1730/$S$13,0)</f>
        <v/>
      </c>
      <c r="BE1730" s="413" t="inlineStr">
        <is>
          <t>$</t>
        </is>
      </c>
    </row>
    <row r="1731" ht="12" customFormat="1" customHeight="1" s="65">
      <c r="A1731" s="43" t="n">
        <v>1716</v>
      </c>
      <c r="B1731" s="166" t="n"/>
      <c r="C1731" s="166" t="n"/>
      <c r="D1731" s="166" t="n"/>
      <c r="E1731" s="162" t="n"/>
      <c r="F1731" s="166" t="n"/>
      <c r="G1731" s="162" t="n"/>
      <c r="H1731" s="162" t="n"/>
      <c r="I1731" s="189">
        <f>E1731*G1731</f>
        <v/>
      </c>
      <c r="J1731" s="195" t="n"/>
      <c r="K1731" s="162" t="n"/>
      <c r="L1731" s="168" t="n"/>
      <c r="M1731" s="75">
        <f>_xlfn.XLOOKUP(L1731,list_vat[Страна],list_vat[Ставка НДС %],0,0)</f>
        <v/>
      </c>
      <c r="N1731" s="162">
        <f>IFERROR(IF(L1731="Китай",K1731,K1731/(1+M1731)),0)</f>
        <v/>
      </c>
      <c r="O1731" s="169" t="n"/>
      <c r="P1731" s="76">
        <f>N1731*(1-O1731)</f>
        <v/>
      </c>
      <c r="Q1731" s="162" t="n"/>
      <c r="R1731" s="162">
        <f>IF(ISBLANK(Q1731),"введи курс",P1731/Q1731)</f>
        <v/>
      </c>
      <c r="S1731" s="196">
        <f>IF(AND(ISNUMBER(E1731),ISNUMBER(Q1731)),E1731*R1731,0)</f>
        <v/>
      </c>
      <c r="T1731" s="192">
        <f>$BC1731*V$11</f>
        <v/>
      </c>
      <c r="U1731" s="76">
        <f>$BC1731*W$11</f>
        <v/>
      </c>
      <c r="V1731" s="193">
        <f>+SUM(T1731:U1731)</f>
        <v/>
      </c>
      <c r="W1731" s="191" t="n"/>
      <c r="X1731" s="170" t="n"/>
      <c r="Y1731" s="76">
        <f>ROUND(IF(offer_incoterms="DDP",X1731*(S1731*(1+AW1731)+T1731),0),2)</f>
        <v/>
      </c>
      <c r="Z1731" s="188" t="n"/>
      <c r="AA1731" s="192">
        <f>IFERROR(AB1731/E1731,0)</f>
        <v/>
      </c>
      <c r="AB1731" s="76">
        <f>ROUND(SUM(S1731,V1731,Y1731:Z1731,BA1731:BB1731),2)</f>
        <v/>
      </c>
      <c r="AC1731" s="797" t="n"/>
      <c r="AD1731" s="192">
        <f t="array" ref="AD1731">IFERROR(ROUND((_xlfn.IFS(offer_sale_type="поставка",AB1731,offer_sale_type="транзит",S1731)*(1+AC1731))/E1731,2),0)</f>
        <v/>
      </c>
      <c r="AE1731" s="76">
        <f>AD1731*E1731</f>
        <v/>
      </c>
      <c r="AF1731" s="193">
        <f t="array" ref="AF1731">IFERROR(ROUND(_xlfn.IFS(offer_sale_type="поставка",AB1731,offer_sale_type="транзит",S1731)*AC1731,2),0)</f>
        <v/>
      </c>
      <c r="AG1731" s="192">
        <f>$BD1731*VLOOKUP($AG$3,$AF$4:$AG$7,2,FALSE)</f>
        <v/>
      </c>
      <c r="AH1731" s="76">
        <f>SUM(AE1731,AG1731,AI1731)*rate_forex_risk</f>
        <v/>
      </c>
      <c r="AI1731" s="193">
        <f>IF(OR(seller_region="TR",offer_sale_type="экспорт"),0,rate_fin_comm)*SUM(AZ1731,AZ1731*AW1731,T1731)</f>
        <v/>
      </c>
      <c r="AJ1731" s="118">
        <f>IFERROR(ROUND(SUM(AB1731,AF1731:AI1731)/E1731,2),0)</f>
        <v/>
      </c>
      <c r="AK1731" s="76">
        <f>AJ1731*E1731</f>
        <v/>
      </c>
      <c r="AL1731" s="174">
        <f>ROUND(IFERROR(AM1731*E1731,0),2)</f>
        <v/>
      </c>
      <c r="AM1731" s="175">
        <f>ROUND(AJ1731*(1+IF(offer_incoterms="DDP",IF((TODAY()+offer_turnaround_time)&gt;=helpsheet!$L$17,rate_vatRU_from_26,rate_vatRu_till_25),0)),2)</f>
        <v/>
      </c>
      <c r="AN1731" s="192">
        <f>AL1731-AK1731</f>
        <v/>
      </c>
      <c r="AO1731" s="76">
        <f>SUM(AY1731,Y1731:Z1731,T1731)*IF(AND(offer_incoterms="DDP",offer_sale_type&lt;&gt;"экспорт"),IF((TODAY()+offer_turnaround_time)&gt;=helpsheet!$L$17,rate_vatRU_from_26,rate_vatRu_till_25),0)</f>
        <v/>
      </c>
      <c r="AP1731" s="193">
        <f>AN1731-AO1731</f>
        <v/>
      </c>
      <c r="AQ1731" s="118">
        <f>IF(offer_sale_type="транзит",SUM(AF1731:AI1731,BA1731,BB1731),0)</f>
        <v/>
      </c>
      <c r="AR1731" s="82">
        <f>HYPERLINK("https://www.alta.ru/tnved/code/")&amp;W1731&amp;"/"</f>
        <v/>
      </c>
      <c r="AS1731" s="157" t="n"/>
      <c r="AT1731" s="162" t="n"/>
      <c r="AU1731" s="76">
        <f>IF(ISBLANK(AT1731),0,AJ1731-AT1731)</f>
        <v/>
      </c>
      <c r="AV1731" s="157" t="n"/>
      <c r="AW1731" s="75">
        <f>_xlfn.IFNA(VLOOKUP(L1731,list_vat[],3,FALSE),0)</f>
        <v/>
      </c>
      <c r="AX1731" s="76">
        <f>IFERROR(ROUND(S1731*(1+AW1731)/E1731,2),0)</f>
        <v/>
      </c>
      <c r="AY1731" s="76">
        <f>E1731*AX1731</f>
        <v/>
      </c>
      <c r="AZ1731" s="192">
        <f>S1731*(1+M1731)</f>
        <v/>
      </c>
      <c r="BA1731" s="76">
        <f>cost_fin_total*$BD1731</f>
        <v/>
      </c>
      <c r="BB1731" s="193">
        <f>credit_sales_interest*BD1731</f>
        <v/>
      </c>
      <c r="BC1731" s="102">
        <f>IFERROR(IF($I$13&gt;0,$I1731/$I$13,$S1731/$S$13),0)</f>
        <v/>
      </c>
      <c r="BD1731" s="102">
        <f>IFERROR($S1731/$S$13,0)</f>
        <v/>
      </c>
      <c r="BE1731" s="413" t="inlineStr">
        <is>
          <t>$</t>
        </is>
      </c>
    </row>
    <row r="1732" ht="12" customFormat="1" customHeight="1" s="65">
      <c r="A1732" s="43" t="n">
        <v>1717</v>
      </c>
      <c r="B1732" s="166" t="n"/>
      <c r="C1732" s="166" t="n"/>
      <c r="D1732" s="166" t="n"/>
      <c r="E1732" s="162" t="n"/>
      <c r="F1732" s="166" t="n"/>
      <c r="G1732" s="162" t="n"/>
      <c r="H1732" s="162" t="n"/>
      <c r="I1732" s="189">
        <f>E1732*G1732</f>
        <v/>
      </c>
      <c r="J1732" s="195" t="n"/>
      <c r="K1732" s="162" t="n"/>
      <c r="L1732" s="168" t="n"/>
      <c r="M1732" s="75">
        <f>_xlfn.XLOOKUP(L1732,list_vat[Страна],list_vat[Ставка НДС %],0,0)</f>
        <v/>
      </c>
      <c r="N1732" s="162">
        <f>IFERROR(IF(L1732="Китай",K1732,K1732/(1+M1732)),0)</f>
        <v/>
      </c>
      <c r="O1732" s="169" t="n"/>
      <c r="P1732" s="76">
        <f>N1732*(1-O1732)</f>
        <v/>
      </c>
      <c r="Q1732" s="162" t="n"/>
      <c r="R1732" s="162">
        <f>IF(ISBLANK(Q1732),"введи курс",P1732/Q1732)</f>
        <v/>
      </c>
      <c r="S1732" s="196">
        <f>IF(AND(ISNUMBER(E1732),ISNUMBER(Q1732)),E1732*R1732,0)</f>
        <v/>
      </c>
      <c r="T1732" s="192">
        <f>$BC1732*V$11</f>
        <v/>
      </c>
      <c r="U1732" s="76">
        <f>$BC1732*W$11</f>
        <v/>
      </c>
      <c r="V1732" s="193">
        <f>+SUM(T1732:U1732)</f>
        <v/>
      </c>
      <c r="W1732" s="191" t="n"/>
      <c r="X1732" s="170" t="n"/>
      <c r="Y1732" s="76">
        <f>ROUND(IF(offer_incoterms="DDP",X1732*(S1732*(1+AW1732)+T1732),0),2)</f>
        <v/>
      </c>
      <c r="Z1732" s="188" t="n"/>
      <c r="AA1732" s="192">
        <f>IFERROR(AB1732/E1732,0)</f>
        <v/>
      </c>
      <c r="AB1732" s="76">
        <f>ROUND(SUM(S1732,V1732,Y1732:Z1732,BA1732:BB1732),2)</f>
        <v/>
      </c>
      <c r="AC1732" s="797" t="n"/>
      <c r="AD1732" s="192">
        <f t="array" ref="AD1732">IFERROR(ROUND((_xlfn.IFS(offer_sale_type="поставка",AB1732,offer_sale_type="транзит",S1732)*(1+AC1732))/E1732,2),0)</f>
        <v/>
      </c>
      <c r="AE1732" s="76">
        <f>AD1732*E1732</f>
        <v/>
      </c>
      <c r="AF1732" s="193">
        <f t="array" ref="AF1732">IFERROR(ROUND(_xlfn.IFS(offer_sale_type="поставка",AB1732,offer_sale_type="транзит",S1732)*AC1732,2),0)</f>
        <v/>
      </c>
      <c r="AG1732" s="192">
        <f>$BD1732*VLOOKUP($AG$3,$AF$4:$AG$7,2,FALSE)</f>
        <v/>
      </c>
      <c r="AH1732" s="76">
        <f>SUM(AE1732,AG1732,AI1732)*rate_forex_risk</f>
        <v/>
      </c>
      <c r="AI1732" s="193">
        <f>IF(OR(seller_region="TR",offer_sale_type="экспорт"),0,rate_fin_comm)*SUM(AZ1732,AZ1732*AW1732,T1732)</f>
        <v/>
      </c>
      <c r="AJ1732" s="118">
        <f>IFERROR(ROUND(SUM(AB1732,AF1732:AI1732)/E1732,2),0)</f>
        <v/>
      </c>
      <c r="AK1732" s="76">
        <f>AJ1732*E1732</f>
        <v/>
      </c>
      <c r="AL1732" s="174">
        <f>ROUND(IFERROR(AM1732*E1732,0),2)</f>
        <v/>
      </c>
      <c r="AM1732" s="175">
        <f>ROUND(AJ1732*(1+IF(offer_incoterms="DDP",IF((TODAY()+offer_turnaround_time)&gt;=helpsheet!$L$17,rate_vatRU_from_26,rate_vatRu_till_25),0)),2)</f>
        <v/>
      </c>
      <c r="AN1732" s="192">
        <f>AL1732-AK1732</f>
        <v/>
      </c>
      <c r="AO1732" s="76">
        <f>SUM(AY1732,Y1732:Z1732,T1732)*IF(AND(offer_incoterms="DDP",offer_sale_type&lt;&gt;"экспорт"),IF((TODAY()+offer_turnaround_time)&gt;=helpsheet!$L$17,rate_vatRU_from_26,rate_vatRu_till_25),0)</f>
        <v/>
      </c>
      <c r="AP1732" s="193">
        <f>AN1732-AO1732</f>
        <v/>
      </c>
      <c r="AQ1732" s="118">
        <f>IF(offer_sale_type="транзит",SUM(AF1732:AI1732,BA1732,BB1732),0)</f>
        <v/>
      </c>
      <c r="AR1732" s="82">
        <f>HYPERLINK("https://www.alta.ru/tnved/code/")&amp;W1732&amp;"/"</f>
        <v/>
      </c>
      <c r="AS1732" s="157" t="n"/>
      <c r="AT1732" s="162" t="n"/>
      <c r="AU1732" s="76">
        <f>IF(ISBLANK(AT1732),0,AJ1732-AT1732)</f>
        <v/>
      </c>
      <c r="AV1732" s="157" t="n"/>
      <c r="AW1732" s="75">
        <f>_xlfn.IFNA(VLOOKUP(L1732,list_vat[],3,FALSE),0)</f>
        <v/>
      </c>
      <c r="AX1732" s="76">
        <f>IFERROR(ROUND(S1732*(1+AW1732)/E1732,2),0)</f>
        <v/>
      </c>
      <c r="AY1732" s="76">
        <f>E1732*AX1732</f>
        <v/>
      </c>
      <c r="AZ1732" s="192">
        <f>S1732*(1+M1732)</f>
        <v/>
      </c>
      <c r="BA1732" s="76">
        <f>cost_fin_total*$BD1732</f>
        <v/>
      </c>
      <c r="BB1732" s="193">
        <f>credit_sales_interest*BD1732</f>
        <v/>
      </c>
      <c r="BC1732" s="102">
        <f>IFERROR(IF($I$13&gt;0,$I1732/$I$13,$S1732/$S$13),0)</f>
        <v/>
      </c>
      <c r="BD1732" s="102">
        <f>IFERROR($S1732/$S$13,0)</f>
        <v/>
      </c>
      <c r="BE1732" s="413" t="inlineStr">
        <is>
          <t>$</t>
        </is>
      </c>
    </row>
    <row r="1733" ht="12" customFormat="1" customHeight="1" s="65">
      <c r="A1733" s="43" t="n">
        <v>1718</v>
      </c>
      <c r="B1733" s="166" t="n"/>
      <c r="C1733" s="166" t="n"/>
      <c r="D1733" s="166" t="n"/>
      <c r="E1733" s="162" t="n"/>
      <c r="F1733" s="166" t="n"/>
      <c r="G1733" s="162" t="n"/>
      <c r="H1733" s="162" t="n"/>
      <c r="I1733" s="189">
        <f>E1733*G1733</f>
        <v/>
      </c>
      <c r="J1733" s="195" t="n"/>
      <c r="K1733" s="162" t="n"/>
      <c r="L1733" s="168" t="n"/>
      <c r="M1733" s="75">
        <f>_xlfn.XLOOKUP(L1733,list_vat[Страна],list_vat[Ставка НДС %],0,0)</f>
        <v/>
      </c>
      <c r="N1733" s="162">
        <f>IFERROR(IF(L1733="Китай",K1733,K1733/(1+M1733)),0)</f>
        <v/>
      </c>
      <c r="O1733" s="169" t="n"/>
      <c r="P1733" s="76">
        <f>N1733*(1-O1733)</f>
        <v/>
      </c>
      <c r="Q1733" s="162" t="n"/>
      <c r="R1733" s="162">
        <f>IF(ISBLANK(Q1733),"введи курс",P1733/Q1733)</f>
        <v/>
      </c>
      <c r="S1733" s="196">
        <f>IF(AND(ISNUMBER(E1733),ISNUMBER(Q1733)),E1733*R1733,0)</f>
        <v/>
      </c>
      <c r="T1733" s="192">
        <f>$BC1733*V$11</f>
        <v/>
      </c>
      <c r="U1733" s="76">
        <f>$BC1733*W$11</f>
        <v/>
      </c>
      <c r="V1733" s="193">
        <f>+SUM(T1733:U1733)</f>
        <v/>
      </c>
      <c r="W1733" s="191" t="n"/>
      <c r="X1733" s="170" t="n"/>
      <c r="Y1733" s="76">
        <f>ROUND(IF(offer_incoterms="DDP",X1733*(S1733*(1+AW1733)+T1733),0),2)</f>
        <v/>
      </c>
      <c r="Z1733" s="188" t="n"/>
      <c r="AA1733" s="192">
        <f>IFERROR(AB1733/E1733,0)</f>
        <v/>
      </c>
      <c r="AB1733" s="76">
        <f>ROUND(SUM(S1733,V1733,Y1733:Z1733,BA1733:BB1733),2)</f>
        <v/>
      </c>
      <c r="AC1733" s="797" t="n"/>
      <c r="AD1733" s="192">
        <f t="array" ref="AD1733">IFERROR(ROUND((_xlfn.IFS(offer_sale_type="поставка",AB1733,offer_sale_type="транзит",S1733)*(1+AC1733))/E1733,2),0)</f>
        <v/>
      </c>
      <c r="AE1733" s="76">
        <f>AD1733*E1733</f>
        <v/>
      </c>
      <c r="AF1733" s="193">
        <f t="array" ref="AF1733">IFERROR(ROUND(_xlfn.IFS(offer_sale_type="поставка",AB1733,offer_sale_type="транзит",S1733)*AC1733,2),0)</f>
        <v/>
      </c>
      <c r="AG1733" s="192">
        <f>$BD1733*VLOOKUP($AG$3,$AF$4:$AG$7,2,FALSE)</f>
        <v/>
      </c>
      <c r="AH1733" s="76">
        <f>SUM(AE1733,AG1733,AI1733)*rate_forex_risk</f>
        <v/>
      </c>
      <c r="AI1733" s="193">
        <f>IF(OR(seller_region="TR",offer_sale_type="экспорт"),0,rate_fin_comm)*SUM(AZ1733,AZ1733*AW1733,T1733)</f>
        <v/>
      </c>
      <c r="AJ1733" s="118">
        <f>IFERROR(ROUND(SUM(AB1733,AF1733:AI1733)/E1733,2),0)</f>
        <v/>
      </c>
      <c r="AK1733" s="76">
        <f>AJ1733*E1733</f>
        <v/>
      </c>
      <c r="AL1733" s="174">
        <f>ROUND(IFERROR(AM1733*E1733,0),2)</f>
        <v/>
      </c>
      <c r="AM1733" s="175">
        <f>ROUND(AJ1733*(1+IF(offer_incoterms="DDP",IF((TODAY()+offer_turnaround_time)&gt;=helpsheet!$L$17,rate_vatRU_from_26,rate_vatRu_till_25),0)),2)</f>
        <v/>
      </c>
      <c r="AN1733" s="192">
        <f>AL1733-AK1733</f>
        <v/>
      </c>
      <c r="AO1733" s="76">
        <f>SUM(AY1733,Y1733:Z1733,T1733)*IF(AND(offer_incoterms="DDP",offer_sale_type&lt;&gt;"экспорт"),IF((TODAY()+offer_turnaround_time)&gt;=helpsheet!$L$17,rate_vatRU_from_26,rate_vatRu_till_25),0)</f>
        <v/>
      </c>
      <c r="AP1733" s="193">
        <f>AN1733-AO1733</f>
        <v/>
      </c>
      <c r="AQ1733" s="118">
        <f>IF(offer_sale_type="транзит",SUM(AF1733:AI1733,BA1733,BB1733),0)</f>
        <v/>
      </c>
      <c r="AR1733" s="82">
        <f>HYPERLINK("https://www.alta.ru/tnved/code/")&amp;W1733&amp;"/"</f>
        <v/>
      </c>
      <c r="AS1733" s="157" t="n"/>
      <c r="AT1733" s="162" t="n"/>
      <c r="AU1733" s="76">
        <f>IF(ISBLANK(AT1733),0,AJ1733-AT1733)</f>
        <v/>
      </c>
      <c r="AV1733" s="157" t="n"/>
      <c r="AW1733" s="75">
        <f>_xlfn.IFNA(VLOOKUP(L1733,list_vat[],3,FALSE),0)</f>
        <v/>
      </c>
      <c r="AX1733" s="76">
        <f>IFERROR(ROUND(S1733*(1+AW1733)/E1733,2),0)</f>
        <v/>
      </c>
      <c r="AY1733" s="76">
        <f>E1733*AX1733</f>
        <v/>
      </c>
      <c r="AZ1733" s="192">
        <f>S1733*(1+M1733)</f>
        <v/>
      </c>
      <c r="BA1733" s="76">
        <f>cost_fin_total*$BD1733</f>
        <v/>
      </c>
      <c r="BB1733" s="193">
        <f>credit_sales_interest*BD1733</f>
        <v/>
      </c>
      <c r="BC1733" s="102">
        <f>IFERROR(IF($I$13&gt;0,$I1733/$I$13,$S1733/$S$13),0)</f>
        <v/>
      </c>
      <c r="BD1733" s="102">
        <f>IFERROR($S1733/$S$13,0)</f>
        <v/>
      </c>
      <c r="BE1733" s="413" t="inlineStr">
        <is>
          <t>$</t>
        </is>
      </c>
    </row>
    <row r="1734" ht="12" customFormat="1" customHeight="1" s="65">
      <c r="A1734" s="43" t="n">
        <v>1719</v>
      </c>
      <c r="B1734" s="166" t="n"/>
      <c r="C1734" s="166" t="n"/>
      <c r="D1734" s="166" t="n"/>
      <c r="E1734" s="162" t="n"/>
      <c r="F1734" s="166" t="n"/>
      <c r="G1734" s="162" t="n"/>
      <c r="H1734" s="162" t="n"/>
      <c r="I1734" s="189">
        <f>E1734*G1734</f>
        <v/>
      </c>
      <c r="J1734" s="195" t="n"/>
      <c r="K1734" s="162" t="n"/>
      <c r="L1734" s="168" t="n"/>
      <c r="M1734" s="75">
        <f>_xlfn.XLOOKUP(L1734,list_vat[Страна],list_vat[Ставка НДС %],0,0)</f>
        <v/>
      </c>
      <c r="N1734" s="162">
        <f>IFERROR(IF(L1734="Китай",K1734,K1734/(1+M1734)),0)</f>
        <v/>
      </c>
      <c r="O1734" s="169" t="n"/>
      <c r="P1734" s="76">
        <f>N1734*(1-O1734)</f>
        <v/>
      </c>
      <c r="Q1734" s="162" t="n"/>
      <c r="R1734" s="162">
        <f>IF(ISBLANK(Q1734),"введи курс",P1734/Q1734)</f>
        <v/>
      </c>
      <c r="S1734" s="196">
        <f>IF(AND(ISNUMBER(E1734),ISNUMBER(Q1734)),E1734*R1734,0)</f>
        <v/>
      </c>
      <c r="T1734" s="192">
        <f>$BC1734*V$11</f>
        <v/>
      </c>
      <c r="U1734" s="76">
        <f>$BC1734*W$11</f>
        <v/>
      </c>
      <c r="V1734" s="193">
        <f>+SUM(T1734:U1734)</f>
        <v/>
      </c>
      <c r="W1734" s="191" t="n"/>
      <c r="X1734" s="170" t="n"/>
      <c r="Y1734" s="76">
        <f>ROUND(IF(offer_incoterms="DDP",X1734*(S1734*(1+AW1734)+T1734),0),2)</f>
        <v/>
      </c>
      <c r="Z1734" s="188" t="n"/>
      <c r="AA1734" s="192">
        <f>IFERROR(AB1734/E1734,0)</f>
        <v/>
      </c>
      <c r="AB1734" s="76">
        <f>ROUND(SUM(S1734,V1734,Y1734:Z1734,BA1734:BB1734),2)</f>
        <v/>
      </c>
      <c r="AC1734" s="797" t="n"/>
      <c r="AD1734" s="192">
        <f t="array" ref="AD1734">IFERROR(ROUND((_xlfn.IFS(offer_sale_type="поставка",AB1734,offer_sale_type="транзит",S1734)*(1+AC1734))/E1734,2),0)</f>
        <v/>
      </c>
      <c r="AE1734" s="76">
        <f>AD1734*E1734</f>
        <v/>
      </c>
      <c r="AF1734" s="193">
        <f t="array" ref="AF1734">IFERROR(ROUND(_xlfn.IFS(offer_sale_type="поставка",AB1734,offer_sale_type="транзит",S1734)*AC1734,2),0)</f>
        <v/>
      </c>
      <c r="AG1734" s="192">
        <f>$BD1734*VLOOKUP($AG$3,$AF$4:$AG$7,2,FALSE)</f>
        <v/>
      </c>
      <c r="AH1734" s="76">
        <f>SUM(AE1734,AG1734,AI1734)*rate_forex_risk</f>
        <v/>
      </c>
      <c r="AI1734" s="193">
        <f>IF(OR(seller_region="TR",offer_sale_type="экспорт"),0,rate_fin_comm)*SUM(AZ1734,AZ1734*AW1734,T1734)</f>
        <v/>
      </c>
      <c r="AJ1734" s="118">
        <f>IFERROR(ROUND(SUM(AB1734,AF1734:AI1734)/E1734,2),0)</f>
        <v/>
      </c>
      <c r="AK1734" s="76">
        <f>AJ1734*E1734</f>
        <v/>
      </c>
      <c r="AL1734" s="174">
        <f>ROUND(IFERROR(AM1734*E1734,0),2)</f>
        <v/>
      </c>
      <c r="AM1734" s="175">
        <f>ROUND(AJ1734*(1+IF(offer_incoterms="DDP",IF((TODAY()+offer_turnaround_time)&gt;=helpsheet!$L$17,rate_vatRU_from_26,rate_vatRu_till_25),0)),2)</f>
        <v/>
      </c>
      <c r="AN1734" s="192">
        <f>AL1734-AK1734</f>
        <v/>
      </c>
      <c r="AO1734" s="76">
        <f>SUM(AY1734,Y1734:Z1734,T1734)*IF(AND(offer_incoterms="DDP",offer_sale_type&lt;&gt;"экспорт"),IF((TODAY()+offer_turnaround_time)&gt;=helpsheet!$L$17,rate_vatRU_from_26,rate_vatRu_till_25),0)</f>
        <v/>
      </c>
      <c r="AP1734" s="193">
        <f>AN1734-AO1734</f>
        <v/>
      </c>
      <c r="AQ1734" s="118">
        <f>IF(offer_sale_type="транзит",SUM(AF1734:AI1734,BA1734,BB1734),0)</f>
        <v/>
      </c>
      <c r="AR1734" s="82">
        <f>HYPERLINK("https://www.alta.ru/tnved/code/")&amp;W1734&amp;"/"</f>
        <v/>
      </c>
      <c r="AS1734" s="157" t="n"/>
      <c r="AT1734" s="162" t="n"/>
      <c r="AU1734" s="76">
        <f>IF(ISBLANK(AT1734),0,AJ1734-AT1734)</f>
        <v/>
      </c>
      <c r="AV1734" s="157" t="n"/>
      <c r="AW1734" s="75">
        <f>_xlfn.IFNA(VLOOKUP(L1734,list_vat[],3,FALSE),0)</f>
        <v/>
      </c>
      <c r="AX1734" s="76">
        <f>IFERROR(ROUND(S1734*(1+AW1734)/E1734,2),0)</f>
        <v/>
      </c>
      <c r="AY1734" s="76">
        <f>E1734*AX1734</f>
        <v/>
      </c>
      <c r="AZ1734" s="192">
        <f>S1734*(1+M1734)</f>
        <v/>
      </c>
      <c r="BA1734" s="76">
        <f>cost_fin_total*$BD1734</f>
        <v/>
      </c>
      <c r="BB1734" s="193">
        <f>credit_sales_interest*BD1734</f>
        <v/>
      </c>
      <c r="BC1734" s="102">
        <f>IFERROR(IF($I$13&gt;0,$I1734/$I$13,$S1734/$S$13),0)</f>
        <v/>
      </c>
      <c r="BD1734" s="102">
        <f>IFERROR($S1734/$S$13,0)</f>
        <v/>
      </c>
      <c r="BE1734" s="413" t="inlineStr">
        <is>
          <t>$</t>
        </is>
      </c>
    </row>
    <row r="1735" ht="12" customFormat="1" customHeight="1" s="65">
      <c r="A1735" s="43" t="n">
        <v>1720</v>
      </c>
      <c r="B1735" s="166" t="n"/>
      <c r="C1735" s="166" t="n"/>
      <c r="D1735" s="166" t="n"/>
      <c r="E1735" s="162" t="n"/>
      <c r="F1735" s="166" t="n"/>
      <c r="G1735" s="162" t="n"/>
      <c r="H1735" s="162" t="n"/>
      <c r="I1735" s="189">
        <f>E1735*G1735</f>
        <v/>
      </c>
      <c r="J1735" s="195" t="n"/>
      <c r="K1735" s="162" t="n"/>
      <c r="L1735" s="168" t="n"/>
      <c r="M1735" s="75">
        <f>_xlfn.XLOOKUP(L1735,list_vat[Страна],list_vat[Ставка НДС %],0,0)</f>
        <v/>
      </c>
      <c r="N1735" s="162">
        <f>IFERROR(IF(L1735="Китай",K1735,K1735/(1+M1735)),0)</f>
        <v/>
      </c>
      <c r="O1735" s="169" t="n"/>
      <c r="P1735" s="76">
        <f>N1735*(1-O1735)</f>
        <v/>
      </c>
      <c r="Q1735" s="162" t="n"/>
      <c r="R1735" s="162">
        <f>IF(ISBLANK(Q1735),"введи курс",P1735/Q1735)</f>
        <v/>
      </c>
      <c r="S1735" s="196">
        <f>IF(AND(ISNUMBER(E1735),ISNUMBER(Q1735)),E1735*R1735,0)</f>
        <v/>
      </c>
      <c r="T1735" s="192">
        <f>$BC1735*V$11</f>
        <v/>
      </c>
      <c r="U1735" s="76">
        <f>$BC1735*W$11</f>
        <v/>
      </c>
      <c r="V1735" s="193">
        <f>+SUM(T1735:U1735)</f>
        <v/>
      </c>
      <c r="W1735" s="191" t="n"/>
      <c r="X1735" s="170" t="n"/>
      <c r="Y1735" s="76">
        <f>ROUND(IF(offer_incoterms="DDP",X1735*(S1735*(1+AW1735)+T1735),0),2)</f>
        <v/>
      </c>
      <c r="Z1735" s="188" t="n"/>
      <c r="AA1735" s="192">
        <f>IFERROR(AB1735/E1735,0)</f>
        <v/>
      </c>
      <c r="AB1735" s="76">
        <f>ROUND(SUM(S1735,V1735,Y1735:Z1735,BA1735:BB1735),2)</f>
        <v/>
      </c>
      <c r="AC1735" s="797" t="n"/>
      <c r="AD1735" s="192">
        <f t="array" ref="AD1735">IFERROR(ROUND((_xlfn.IFS(offer_sale_type="поставка",AB1735,offer_sale_type="транзит",S1735)*(1+AC1735))/E1735,2),0)</f>
        <v/>
      </c>
      <c r="AE1735" s="76">
        <f>AD1735*E1735</f>
        <v/>
      </c>
      <c r="AF1735" s="193">
        <f t="array" ref="AF1735">IFERROR(ROUND(_xlfn.IFS(offer_sale_type="поставка",AB1735,offer_sale_type="транзит",S1735)*AC1735,2),0)</f>
        <v/>
      </c>
      <c r="AG1735" s="192">
        <f>$BD1735*VLOOKUP($AG$3,$AF$4:$AG$7,2,FALSE)</f>
        <v/>
      </c>
      <c r="AH1735" s="76">
        <f>SUM(AE1735,AG1735,AI1735)*rate_forex_risk</f>
        <v/>
      </c>
      <c r="AI1735" s="193">
        <f>IF(OR(seller_region="TR",offer_sale_type="экспорт"),0,rate_fin_comm)*SUM(AZ1735,AZ1735*AW1735,T1735)</f>
        <v/>
      </c>
      <c r="AJ1735" s="118">
        <f>IFERROR(ROUND(SUM(AB1735,AF1735:AI1735)/E1735,2),0)</f>
        <v/>
      </c>
      <c r="AK1735" s="76">
        <f>AJ1735*E1735</f>
        <v/>
      </c>
      <c r="AL1735" s="174">
        <f>ROUND(IFERROR(AM1735*E1735,0),2)</f>
        <v/>
      </c>
      <c r="AM1735" s="175">
        <f>ROUND(AJ1735*(1+IF(offer_incoterms="DDP",IF((TODAY()+offer_turnaround_time)&gt;=helpsheet!$L$17,rate_vatRU_from_26,rate_vatRu_till_25),0)),2)</f>
        <v/>
      </c>
      <c r="AN1735" s="192">
        <f>AL1735-AK1735</f>
        <v/>
      </c>
      <c r="AO1735" s="76">
        <f>SUM(AY1735,Y1735:Z1735,T1735)*IF(AND(offer_incoterms="DDP",offer_sale_type&lt;&gt;"экспорт"),IF((TODAY()+offer_turnaround_time)&gt;=helpsheet!$L$17,rate_vatRU_from_26,rate_vatRu_till_25),0)</f>
        <v/>
      </c>
      <c r="AP1735" s="193">
        <f>AN1735-AO1735</f>
        <v/>
      </c>
      <c r="AQ1735" s="118">
        <f>IF(offer_sale_type="транзит",SUM(AF1735:AI1735,BA1735,BB1735),0)</f>
        <v/>
      </c>
      <c r="AR1735" s="82">
        <f>HYPERLINK("https://www.alta.ru/tnved/code/")&amp;W1735&amp;"/"</f>
        <v/>
      </c>
      <c r="AS1735" s="157" t="n"/>
      <c r="AT1735" s="162" t="n"/>
      <c r="AU1735" s="76">
        <f>IF(ISBLANK(AT1735),0,AJ1735-AT1735)</f>
        <v/>
      </c>
      <c r="AV1735" s="157" t="n"/>
      <c r="AW1735" s="75">
        <f>_xlfn.IFNA(VLOOKUP(L1735,list_vat[],3,FALSE),0)</f>
        <v/>
      </c>
      <c r="AX1735" s="76">
        <f>IFERROR(ROUND(S1735*(1+AW1735)/E1735,2),0)</f>
        <v/>
      </c>
      <c r="AY1735" s="76">
        <f>E1735*AX1735</f>
        <v/>
      </c>
      <c r="AZ1735" s="192">
        <f>S1735*(1+M1735)</f>
        <v/>
      </c>
      <c r="BA1735" s="76">
        <f>cost_fin_total*$BD1735</f>
        <v/>
      </c>
      <c r="BB1735" s="193">
        <f>credit_sales_interest*BD1735</f>
        <v/>
      </c>
      <c r="BC1735" s="102">
        <f>IFERROR(IF($I$13&gt;0,$I1735/$I$13,$S1735/$S$13),0)</f>
        <v/>
      </c>
      <c r="BD1735" s="102">
        <f>IFERROR($S1735/$S$13,0)</f>
        <v/>
      </c>
      <c r="BE1735" s="413" t="inlineStr">
        <is>
          <t>$</t>
        </is>
      </c>
    </row>
    <row r="1736" ht="12" customFormat="1" customHeight="1" s="65">
      <c r="A1736" s="43" t="n">
        <v>1721</v>
      </c>
      <c r="B1736" s="166" t="n"/>
      <c r="C1736" s="166" t="n"/>
      <c r="D1736" s="166" t="n"/>
      <c r="E1736" s="162" t="n"/>
      <c r="F1736" s="166" t="n"/>
      <c r="G1736" s="162" t="n"/>
      <c r="H1736" s="162" t="n"/>
      <c r="I1736" s="189">
        <f>E1736*G1736</f>
        <v/>
      </c>
      <c r="J1736" s="195" t="n"/>
      <c r="K1736" s="162" t="n"/>
      <c r="L1736" s="168" t="n"/>
      <c r="M1736" s="75">
        <f>_xlfn.XLOOKUP(L1736,list_vat[Страна],list_vat[Ставка НДС %],0,0)</f>
        <v/>
      </c>
      <c r="N1736" s="162">
        <f>IFERROR(IF(L1736="Китай",K1736,K1736/(1+M1736)),0)</f>
        <v/>
      </c>
      <c r="O1736" s="169" t="n"/>
      <c r="P1736" s="76">
        <f>N1736*(1-O1736)</f>
        <v/>
      </c>
      <c r="Q1736" s="162" t="n"/>
      <c r="R1736" s="162">
        <f>IF(ISBLANK(Q1736),"введи курс",P1736/Q1736)</f>
        <v/>
      </c>
      <c r="S1736" s="196">
        <f>IF(AND(ISNUMBER(E1736),ISNUMBER(Q1736)),E1736*R1736,0)</f>
        <v/>
      </c>
      <c r="T1736" s="192">
        <f>$BC1736*V$11</f>
        <v/>
      </c>
      <c r="U1736" s="76">
        <f>$BC1736*W$11</f>
        <v/>
      </c>
      <c r="V1736" s="193">
        <f>+SUM(T1736:U1736)</f>
        <v/>
      </c>
      <c r="W1736" s="191" t="n"/>
      <c r="X1736" s="170" t="n"/>
      <c r="Y1736" s="76">
        <f>ROUND(IF(offer_incoterms="DDP",X1736*(S1736*(1+AW1736)+T1736),0),2)</f>
        <v/>
      </c>
      <c r="Z1736" s="188" t="n"/>
      <c r="AA1736" s="192">
        <f>IFERROR(AB1736/E1736,0)</f>
        <v/>
      </c>
      <c r="AB1736" s="76">
        <f>ROUND(SUM(S1736,V1736,Y1736:Z1736,BA1736:BB1736),2)</f>
        <v/>
      </c>
      <c r="AC1736" s="797" t="n"/>
      <c r="AD1736" s="192">
        <f t="array" ref="AD1736">IFERROR(ROUND((_xlfn.IFS(offer_sale_type="поставка",AB1736,offer_sale_type="транзит",S1736)*(1+AC1736))/E1736,2),0)</f>
        <v/>
      </c>
      <c r="AE1736" s="76">
        <f>AD1736*E1736</f>
        <v/>
      </c>
      <c r="AF1736" s="193">
        <f t="array" ref="AF1736">IFERROR(ROUND(_xlfn.IFS(offer_sale_type="поставка",AB1736,offer_sale_type="транзит",S1736)*AC1736,2),0)</f>
        <v/>
      </c>
      <c r="AG1736" s="192">
        <f>$BD1736*VLOOKUP($AG$3,$AF$4:$AG$7,2,FALSE)</f>
        <v/>
      </c>
      <c r="AH1736" s="76">
        <f>SUM(AE1736,AG1736,AI1736)*rate_forex_risk</f>
        <v/>
      </c>
      <c r="AI1736" s="193">
        <f>IF(OR(seller_region="TR",offer_sale_type="экспорт"),0,rate_fin_comm)*SUM(AZ1736,AZ1736*AW1736,T1736)</f>
        <v/>
      </c>
      <c r="AJ1736" s="118">
        <f>IFERROR(ROUND(SUM(AB1736,AF1736:AI1736)/E1736,2),0)</f>
        <v/>
      </c>
      <c r="AK1736" s="76">
        <f>AJ1736*E1736</f>
        <v/>
      </c>
      <c r="AL1736" s="174">
        <f>ROUND(IFERROR(AM1736*E1736,0),2)</f>
        <v/>
      </c>
      <c r="AM1736" s="175">
        <f>ROUND(AJ1736*(1+IF(offer_incoterms="DDP",IF((TODAY()+offer_turnaround_time)&gt;=helpsheet!$L$17,rate_vatRU_from_26,rate_vatRu_till_25),0)),2)</f>
        <v/>
      </c>
      <c r="AN1736" s="192">
        <f>AL1736-AK1736</f>
        <v/>
      </c>
      <c r="AO1736" s="76">
        <f>SUM(AY1736,Y1736:Z1736,T1736)*IF(AND(offer_incoterms="DDP",offer_sale_type&lt;&gt;"экспорт"),IF((TODAY()+offer_turnaround_time)&gt;=helpsheet!$L$17,rate_vatRU_from_26,rate_vatRu_till_25),0)</f>
        <v/>
      </c>
      <c r="AP1736" s="193">
        <f>AN1736-AO1736</f>
        <v/>
      </c>
      <c r="AQ1736" s="118">
        <f>IF(offer_sale_type="транзит",SUM(AF1736:AI1736,BA1736,BB1736),0)</f>
        <v/>
      </c>
      <c r="AR1736" s="82">
        <f>HYPERLINK("https://www.alta.ru/tnved/code/")&amp;W1736&amp;"/"</f>
        <v/>
      </c>
      <c r="AS1736" s="157" t="n"/>
      <c r="AT1736" s="162" t="n"/>
      <c r="AU1736" s="76">
        <f>IF(ISBLANK(AT1736),0,AJ1736-AT1736)</f>
        <v/>
      </c>
      <c r="AV1736" s="157" t="n"/>
      <c r="AW1736" s="75">
        <f>_xlfn.IFNA(VLOOKUP(L1736,list_vat[],3,FALSE),0)</f>
        <v/>
      </c>
      <c r="AX1736" s="76">
        <f>IFERROR(ROUND(S1736*(1+AW1736)/E1736,2),0)</f>
        <v/>
      </c>
      <c r="AY1736" s="76">
        <f>E1736*AX1736</f>
        <v/>
      </c>
      <c r="AZ1736" s="192">
        <f>S1736*(1+M1736)</f>
        <v/>
      </c>
      <c r="BA1736" s="76">
        <f>cost_fin_total*$BD1736</f>
        <v/>
      </c>
      <c r="BB1736" s="193">
        <f>credit_sales_interest*BD1736</f>
        <v/>
      </c>
      <c r="BC1736" s="102">
        <f>IFERROR(IF($I$13&gt;0,$I1736/$I$13,$S1736/$S$13),0)</f>
        <v/>
      </c>
      <c r="BD1736" s="102">
        <f>IFERROR($S1736/$S$13,0)</f>
        <v/>
      </c>
      <c r="BE1736" s="413" t="inlineStr">
        <is>
          <t>$</t>
        </is>
      </c>
    </row>
    <row r="1737" ht="12" customFormat="1" customHeight="1" s="65">
      <c r="A1737" s="43" t="n">
        <v>1722</v>
      </c>
      <c r="B1737" s="166" t="n"/>
      <c r="C1737" s="166" t="n"/>
      <c r="D1737" s="166" t="n"/>
      <c r="E1737" s="162" t="n"/>
      <c r="F1737" s="166" t="n"/>
      <c r="G1737" s="162" t="n"/>
      <c r="H1737" s="162" t="n"/>
      <c r="I1737" s="189">
        <f>E1737*G1737</f>
        <v/>
      </c>
      <c r="J1737" s="195" t="n"/>
      <c r="K1737" s="162" t="n"/>
      <c r="L1737" s="168" t="n"/>
      <c r="M1737" s="75">
        <f>_xlfn.XLOOKUP(L1737,list_vat[Страна],list_vat[Ставка НДС %],0,0)</f>
        <v/>
      </c>
      <c r="N1737" s="162">
        <f>IFERROR(IF(L1737="Китай",K1737,K1737/(1+M1737)),0)</f>
        <v/>
      </c>
      <c r="O1737" s="169" t="n"/>
      <c r="P1737" s="76">
        <f>N1737*(1-O1737)</f>
        <v/>
      </c>
      <c r="Q1737" s="162" t="n"/>
      <c r="R1737" s="162">
        <f>IF(ISBLANK(Q1737),"введи курс",P1737/Q1737)</f>
        <v/>
      </c>
      <c r="S1737" s="196">
        <f>IF(AND(ISNUMBER(E1737),ISNUMBER(Q1737)),E1737*R1737,0)</f>
        <v/>
      </c>
      <c r="T1737" s="192">
        <f>$BC1737*V$11</f>
        <v/>
      </c>
      <c r="U1737" s="76">
        <f>$BC1737*W$11</f>
        <v/>
      </c>
      <c r="V1737" s="193">
        <f>+SUM(T1737:U1737)</f>
        <v/>
      </c>
      <c r="W1737" s="191" t="n"/>
      <c r="X1737" s="170" t="n"/>
      <c r="Y1737" s="76">
        <f>ROUND(IF(offer_incoterms="DDP",X1737*(S1737*(1+AW1737)+T1737),0),2)</f>
        <v/>
      </c>
      <c r="Z1737" s="188" t="n"/>
      <c r="AA1737" s="192">
        <f>IFERROR(AB1737/E1737,0)</f>
        <v/>
      </c>
      <c r="AB1737" s="76">
        <f>ROUND(SUM(S1737,V1737,Y1737:Z1737,BA1737:BB1737),2)</f>
        <v/>
      </c>
      <c r="AC1737" s="797" t="n"/>
      <c r="AD1737" s="192">
        <f t="array" ref="AD1737">IFERROR(ROUND((_xlfn.IFS(offer_sale_type="поставка",AB1737,offer_sale_type="транзит",S1737)*(1+AC1737))/E1737,2),0)</f>
        <v/>
      </c>
      <c r="AE1737" s="76">
        <f>AD1737*E1737</f>
        <v/>
      </c>
      <c r="AF1737" s="193">
        <f t="array" ref="AF1737">IFERROR(ROUND(_xlfn.IFS(offer_sale_type="поставка",AB1737,offer_sale_type="транзит",S1737)*AC1737,2),0)</f>
        <v/>
      </c>
      <c r="AG1737" s="192">
        <f>$BD1737*VLOOKUP($AG$3,$AF$4:$AG$7,2,FALSE)</f>
        <v/>
      </c>
      <c r="AH1737" s="76">
        <f>SUM(AE1737,AG1737,AI1737)*rate_forex_risk</f>
        <v/>
      </c>
      <c r="AI1737" s="193">
        <f>IF(OR(seller_region="TR",offer_sale_type="экспорт"),0,rate_fin_comm)*SUM(AZ1737,AZ1737*AW1737,T1737)</f>
        <v/>
      </c>
      <c r="AJ1737" s="118">
        <f>IFERROR(ROUND(SUM(AB1737,AF1737:AI1737)/E1737,2),0)</f>
        <v/>
      </c>
      <c r="AK1737" s="76">
        <f>AJ1737*E1737</f>
        <v/>
      </c>
      <c r="AL1737" s="174">
        <f>ROUND(IFERROR(AM1737*E1737,0),2)</f>
        <v/>
      </c>
      <c r="AM1737" s="175">
        <f>ROUND(AJ1737*(1+IF(offer_incoterms="DDP",IF((TODAY()+offer_turnaround_time)&gt;=helpsheet!$L$17,rate_vatRU_from_26,rate_vatRu_till_25),0)),2)</f>
        <v/>
      </c>
      <c r="AN1737" s="192">
        <f>AL1737-AK1737</f>
        <v/>
      </c>
      <c r="AO1737" s="76">
        <f>SUM(AY1737,Y1737:Z1737,T1737)*IF(AND(offer_incoterms="DDP",offer_sale_type&lt;&gt;"экспорт"),IF((TODAY()+offer_turnaround_time)&gt;=helpsheet!$L$17,rate_vatRU_from_26,rate_vatRu_till_25),0)</f>
        <v/>
      </c>
      <c r="AP1737" s="193">
        <f>AN1737-AO1737</f>
        <v/>
      </c>
      <c r="AQ1737" s="118">
        <f>IF(offer_sale_type="транзит",SUM(AF1737:AI1737,BA1737,BB1737),0)</f>
        <v/>
      </c>
      <c r="AR1737" s="82">
        <f>HYPERLINK("https://www.alta.ru/tnved/code/")&amp;W1737&amp;"/"</f>
        <v/>
      </c>
      <c r="AS1737" s="157" t="n"/>
      <c r="AT1737" s="162" t="n"/>
      <c r="AU1737" s="76">
        <f>IF(ISBLANK(AT1737),0,AJ1737-AT1737)</f>
        <v/>
      </c>
      <c r="AV1737" s="157" t="n"/>
      <c r="AW1737" s="75">
        <f>_xlfn.IFNA(VLOOKUP(L1737,list_vat[],3,FALSE),0)</f>
        <v/>
      </c>
      <c r="AX1737" s="76">
        <f>IFERROR(ROUND(S1737*(1+AW1737)/E1737,2),0)</f>
        <v/>
      </c>
      <c r="AY1737" s="76">
        <f>E1737*AX1737</f>
        <v/>
      </c>
      <c r="AZ1737" s="192">
        <f>S1737*(1+M1737)</f>
        <v/>
      </c>
      <c r="BA1737" s="76">
        <f>cost_fin_total*$BD1737</f>
        <v/>
      </c>
      <c r="BB1737" s="193">
        <f>credit_sales_interest*BD1737</f>
        <v/>
      </c>
      <c r="BC1737" s="102">
        <f>IFERROR(IF($I$13&gt;0,$I1737/$I$13,$S1737/$S$13),0)</f>
        <v/>
      </c>
      <c r="BD1737" s="102">
        <f>IFERROR($S1737/$S$13,0)</f>
        <v/>
      </c>
      <c r="BE1737" s="413" t="inlineStr">
        <is>
          <t>$</t>
        </is>
      </c>
    </row>
    <row r="1738" ht="12" customFormat="1" customHeight="1" s="65">
      <c r="A1738" s="43" t="n">
        <v>1723</v>
      </c>
      <c r="B1738" s="166" t="n"/>
      <c r="C1738" s="166" t="n"/>
      <c r="D1738" s="166" t="n"/>
      <c r="E1738" s="162" t="n"/>
      <c r="F1738" s="166" t="n"/>
      <c r="G1738" s="162" t="n"/>
      <c r="H1738" s="162" t="n"/>
      <c r="I1738" s="189">
        <f>E1738*G1738</f>
        <v/>
      </c>
      <c r="J1738" s="195" t="n"/>
      <c r="K1738" s="162" t="n"/>
      <c r="L1738" s="168" t="n"/>
      <c r="M1738" s="75">
        <f>_xlfn.XLOOKUP(L1738,list_vat[Страна],list_vat[Ставка НДС %],0,0)</f>
        <v/>
      </c>
      <c r="N1738" s="162">
        <f>IFERROR(IF(L1738="Китай",K1738,K1738/(1+M1738)),0)</f>
        <v/>
      </c>
      <c r="O1738" s="169" t="n"/>
      <c r="P1738" s="76">
        <f>N1738*(1-O1738)</f>
        <v/>
      </c>
      <c r="Q1738" s="162" t="n"/>
      <c r="R1738" s="162">
        <f>IF(ISBLANK(Q1738),"введи курс",P1738/Q1738)</f>
        <v/>
      </c>
      <c r="S1738" s="196">
        <f>IF(AND(ISNUMBER(E1738),ISNUMBER(Q1738)),E1738*R1738,0)</f>
        <v/>
      </c>
      <c r="T1738" s="192">
        <f>$BC1738*V$11</f>
        <v/>
      </c>
      <c r="U1738" s="76">
        <f>$BC1738*W$11</f>
        <v/>
      </c>
      <c r="V1738" s="193">
        <f>+SUM(T1738:U1738)</f>
        <v/>
      </c>
      <c r="W1738" s="191" t="n"/>
      <c r="X1738" s="170" t="n"/>
      <c r="Y1738" s="76">
        <f>ROUND(IF(offer_incoterms="DDP",X1738*(S1738*(1+AW1738)+T1738),0),2)</f>
        <v/>
      </c>
      <c r="Z1738" s="188" t="n"/>
      <c r="AA1738" s="192">
        <f>IFERROR(AB1738/E1738,0)</f>
        <v/>
      </c>
      <c r="AB1738" s="76">
        <f>ROUND(SUM(S1738,V1738,Y1738:Z1738,BA1738:BB1738),2)</f>
        <v/>
      </c>
      <c r="AC1738" s="797" t="n"/>
      <c r="AD1738" s="192">
        <f t="array" ref="AD1738">IFERROR(ROUND((_xlfn.IFS(offer_sale_type="поставка",AB1738,offer_sale_type="транзит",S1738)*(1+AC1738))/E1738,2),0)</f>
        <v/>
      </c>
      <c r="AE1738" s="76">
        <f>AD1738*E1738</f>
        <v/>
      </c>
      <c r="AF1738" s="193">
        <f t="array" ref="AF1738">IFERROR(ROUND(_xlfn.IFS(offer_sale_type="поставка",AB1738,offer_sale_type="транзит",S1738)*AC1738,2),0)</f>
        <v/>
      </c>
      <c r="AG1738" s="192">
        <f>$BD1738*VLOOKUP($AG$3,$AF$4:$AG$7,2,FALSE)</f>
        <v/>
      </c>
      <c r="AH1738" s="76">
        <f>SUM(AE1738,AG1738,AI1738)*rate_forex_risk</f>
        <v/>
      </c>
      <c r="AI1738" s="193">
        <f>IF(OR(seller_region="TR",offer_sale_type="экспорт"),0,rate_fin_comm)*SUM(AZ1738,AZ1738*AW1738,T1738)</f>
        <v/>
      </c>
      <c r="AJ1738" s="118">
        <f>IFERROR(ROUND(SUM(AB1738,AF1738:AI1738)/E1738,2),0)</f>
        <v/>
      </c>
      <c r="AK1738" s="76">
        <f>AJ1738*E1738</f>
        <v/>
      </c>
      <c r="AL1738" s="174">
        <f>ROUND(IFERROR(AM1738*E1738,0),2)</f>
        <v/>
      </c>
      <c r="AM1738" s="175">
        <f>ROUND(AJ1738*(1+IF(offer_incoterms="DDP",IF((TODAY()+offer_turnaround_time)&gt;=helpsheet!$L$17,rate_vatRU_from_26,rate_vatRu_till_25),0)),2)</f>
        <v/>
      </c>
      <c r="AN1738" s="192">
        <f>AL1738-AK1738</f>
        <v/>
      </c>
      <c r="AO1738" s="76">
        <f>SUM(AY1738,Y1738:Z1738,T1738)*IF(AND(offer_incoterms="DDP",offer_sale_type&lt;&gt;"экспорт"),IF((TODAY()+offer_turnaround_time)&gt;=helpsheet!$L$17,rate_vatRU_from_26,rate_vatRu_till_25),0)</f>
        <v/>
      </c>
      <c r="AP1738" s="193">
        <f>AN1738-AO1738</f>
        <v/>
      </c>
      <c r="AQ1738" s="118">
        <f>IF(offer_sale_type="транзит",SUM(AF1738:AI1738,BA1738,BB1738),0)</f>
        <v/>
      </c>
      <c r="AR1738" s="82">
        <f>HYPERLINK("https://www.alta.ru/tnved/code/")&amp;W1738&amp;"/"</f>
        <v/>
      </c>
      <c r="AS1738" s="157" t="n"/>
      <c r="AT1738" s="162" t="n"/>
      <c r="AU1738" s="76">
        <f>IF(ISBLANK(AT1738),0,AJ1738-AT1738)</f>
        <v/>
      </c>
      <c r="AV1738" s="157" t="n"/>
      <c r="AW1738" s="75">
        <f>_xlfn.IFNA(VLOOKUP(L1738,list_vat[],3,FALSE),0)</f>
        <v/>
      </c>
      <c r="AX1738" s="76">
        <f>IFERROR(ROUND(S1738*(1+AW1738)/E1738,2),0)</f>
        <v/>
      </c>
      <c r="AY1738" s="76">
        <f>E1738*AX1738</f>
        <v/>
      </c>
      <c r="AZ1738" s="192">
        <f>S1738*(1+M1738)</f>
        <v/>
      </c>
      <c r="BA1738" s="76">
        <f>cost_fin_total*$BD1738</f>
        <v/>
      </c>
      <c r="BB1738" s="193">
        <f>credit_sales_interest*BD1738</f>
        <v/>
      </c>
      <c r="BC1738" s="102">
        <f>IFERROR(IF($I$13&gt;0,$I1738/$I$13,$S1738/$S$13),0)</f>
        <v/>
      </c>
      <c r="BD1738" s="102">
        <f>IFERROR($S1738/$S$13,0)</f>
        <v/>
      </c>
      <c r="BE1738" s="413" t="inlineStr">
        <is>
          <t>$</t>
        </is>
      </c>
    </row>
    <row r="1739" ht="12" customFormat="1" customHeight="1" s="65">
      <c r="A1739" s="43" t="n">
        <v>1724</v>
      </c>
      <c r="B1739" s="166" t="n"/>
      <c r="C1739" s="166" t="n"/>
      <c r="D1739" s="166" t="n"/>
      <c r="E1739" s="162" t="n"/>
      <c r="F1739" s="166" t="n"/>
      <c r="G1739" s="162" t="n"/>
      <c r="H1739" s="162" t="n"/>
      <c r="I1739" s="189">
        <f>E1739*G1739</f>
        <v/>
      </c>
      <c r="J1739" s="195" t="n"/>
      <c r="K1739" s="162" t="n"/>
      <c r="L1739" s="168" t="n"/>
      <c r="M1739" s="75">
        <f>_xlfn.XLOOKUP(L1739,list_vat[Страна],list_vat[Ставка НДС %],0,0)</f>
        <v/>
      </c>
      <c r="N1739" s="162">
        <f>IFERROR(IF(L1739="Китай",K1739,K1739/(1+M1739)),0)</f>
        <v/>
      </c>
      <c r="O1739" s="169" t="n"/>
      <c r="P1739" s="76">
        <f>N1739*(1-O1739)</f>
        <v/>
      </c>
      <c r="Q1739" s="162" t="n"/>
      <c r="R1739" s="162">
        <f>IF(ISBLANK(Q1739),"введи курс",P1739/Q1739)</f>
        <v/>
      </c>
      <c r="S1739" s="196">
        <f>IF(AND(ISNUMBER(E1739),ISNUMBER(Q1739)),E1739*R1739,0)</f>
        <v/>
      </c>
      <c r="T1739" s="192">
        <f>$BC1739*V$11</f>
        <v/>
      </c>
      <c r="U1739" s="76">
        <f>$BC1739*W$11</f>
        <v/>
      </c>
      <c r="V1739" s="193">
        <f>+SUM(T1739:U1739)</f>
        <v/>
      </c>
      <c r="W1739" s="191" t="n"/>
      <c r="X1739" s="170" t="n"/>
      <c r="Y1739" s="76">
        <f>ROUND(IF(offer_incoterms="DDP",X1739*(S1739*(1+AW1739)+T1739),0),2)</f>
        <v/>
      </c>
      <c r="Z1739" s="188" t="n"/>
      <c r="AA1739" s="192">
        <f>IFERROR(AB1739/E1739,0)</f>
        <v/>
      </c>
      <c r="AB1739" s="76">
        <f>ROUND(SUM(S1739,V1739,Y1739:Z1739,BA1739:BB1739),2)</f>
        <v/>
      </c>
      <c r="AC1739" s="797" t="n"/>
      <c r="AD1739" s="192">
        <f t="array" ref="AD1739">IFERROR(ROUND((_xlfn.IFS(offer_sale_type="поставка",AB1739,offer_sale_type="транзит",S1739)*(1+AC1739))/E1739,2),0)</f>
        <v/>
      </c>
      <c r="AE1739" s="76">
        <f>AD1739*E1739</f>
        <v/>
      </c>
      <c r="AF1739" s="193">
        <f t="array" ref="AF1739">IFERROR(ROUND(_xlfn.IFS(offer_sale_type="поставка",AB1739,offer_sale_type="транзит",S1739)*AC1739,2),0)</f>
        <v/>
      </c>
      <c r="AG1739" s="192">
        <f>$BD1739*VLOOKUP($AG$3,$AF$4:$AG$7,2,FALSE)</f>
        <v/>
      </c>
      <c r="AH1739" s="76">
        <f>SUM(AE1739,AG1739,AI1739)*rate_forex_risk</f>
        <v/>
      </c>
      <c r="AI1739" s="193">
        <f>IF(OR(seller_region="TR",offer_sale_type="экспорт"),0,rate_fin_comm)*SUM(AZ1739,AZ1739*AW1739,T1739)</f>
        <v/>
      </c>
      <c r="AJ1739" s="118">
        <f>IFERROR(ROUND(SUM(AB1739,AF1739:AI1739)/E1739,2),0)</f>
        <v/>
      </c>
      <c r="AK1739" s="76">
        <f>AJ1739*E1739</f>
        <v/>
      </c>
      <c r="AL1739" s="174">
        <f>ROUND(IFERROR(AM1739*E1739,0),2)</f>
        <v/>
      </c>
      <c r="AM1739" s="175">
        <f>ROUND(AJ1739*(1+IF(offer_incoterms="DDP",IF((TODAY()+offer_turnaround_time)&gt;=helpsheet!$L$17,rate_vatRU_from_26,rate_vatRu_till_25),0)),2)</f>
        <v/>
      </c>
      <c r="AN1739" s="192">
        <f>AL1739-AK1739</f>
        <v/>
      </c>
      <c r="AO1739" s="76">
        <f>SUM(AY1739,Y1739:Z1739,T1739)*IF(AND(offer_incoterms="DDP",offer_sale_type&lt;&gt;"экспорт"),IF((TODAY()+offer_turnaround_time)&gt;=helpsheet!$L$17,rate_vatRU_from_26,rate_vatRu_till_25),0)</f>
        <v/>
      </c>
      <c r="AP1739" s="193">
        <f>AN1739-AO1739</f>
        <v/>
      </c>
      <c r="AQ1739" s="118">
        <f>IF(offer_sale_type="транзит",SUM(AF1739:AI1739,BA1739,BB1739),0)</f>
        <v/>
      </c>
      <c r="AR1739" s="82">
        <f>HYPERLINK("https://www.alta.ru/tnved/code/")&amp;W1739&amp;"/"</f>
        <v/>
      </c>
      <c r="AS1739" s="157" t="n"/>
      <c r="AT1739" s="162" t="n"/>
      <c r="AU1739" s="76">
        <f>IF(ISBLANK(AT1739),0,AJ1739-AT1739)</f>
        <v/>
      </c>
      <c r="AV1739" s="157" t="n"/>
      <c r="AW1739" s="75">
        <f>_xlfn.IFNA(VLOOKUP(L1739,list_vat[],3,FALSE),0)</f>
        <v/>
      </c>
      <c r="AX1739" s="76">
        <f>IFERROR(ROUND(S1739*(1+AW1739)/E1739,2),0)</f>
        <v/>
      </c>
      <c r="AY1739" s="76">
        <f>E1739*AX1739</f>
        <v/>
      </c>
      <c r="AZ1739" s="192">
        <f>S1739*(1+M1739)</f>
        <v/>
      </c>
      <c r="BA1739" s="76">
        <f>cost_fin_total*$BD1739</f>
        <v/>
      </c>
      <c r="BB1739" s="193">
        <f>credit_sales_interest*BD1739</f>
        <v/>
      </c>
      <c r="BC1739" s="102">
        <f>IFERROR(IF($I$13&gt;0,$I1739/$I$13,$S1739/$S$13),0)</f>
        <v/>
      </c>
      <c r="BD1739" s="102">
        <f>IFERROR($S1739/$S$13,0)</f>
        <v/>
      </c>
      <c r="BE1739" s="413" t="inlineStr">
        <is>
          <t>$</t>
        </is>
      </c>
    </row>
    <row r="1740" ht="12" customFormat="1" customHeight="1" s="65">
      <c r="A1740" s="43" t="n">
        <v>1725</v>
      </c>
      <c r="B1740" s="166" t="n"/>
      <c r="C1740" s="166" t="n"/>
      <c r="D1740" s="166" t="n"/>
      <c r="E1740" s="162" t="n"/>
      <c r="F1740" s="166" t="n"/>
      <c r="G1740" s="162" t="n"/>
      <c r="H1740" s="162" t="n"/>
      <c r="I1740" s="189">
        <f>E1740*G1740</f>
        <v/>
      </c>
      <c r="J1740" s="195" t="n"/>
      <c r="K1740" s="162" t="n"/>
      <c r="L1740" s="168" t="n"/>
      <c r="M1740" s="75">
        <f>_xlfn.XLOOKUP(L1740,list_vat[Страна],list_vat[Ставка НДС %],0,0)</f>
        <v/>
      </c>
      <c r="N1740" s="162">
        <f>IFERROR(IF(L1740="Китай",K1740,K1740/(1+M1740)),0)</f>
        <v/>
      </c>
      <c r="O1740" s="169" t="n"/>
      <c r="P1740" s="76">
        <f>N1740*(1-O1740)</f>
        <v/>
      </c>
      <c r="Q1740" s="162" t="n"/>
      <c r="R1740" s="162">
        <f>IF(ISBLANK(Q1740),"введи курс",P1740/Q1740)</f>
        <v/>
      </c>
      <c r="S1740" s="196">
        <f>IF(AND(ISNUMBER(E1740),ISNUMBER(Q1740)),E1740*R1740,0)</f>
        <v/>
      </c>
      <c r="T1740" s="192">
        <f>$BC1740*V$11</f>
        <v/>
      </c>
      <c r="U1740" s="76">
        <f>$BC1740*W$11</f>
        <v/>
      </c>
      <c r="V1740" s="193">
        <f>+SUM(T1740:U1740)</f>
        <v/>
      </c>
      <c r="W1740" s="191" t="n"/>
      <c r="X1740" s="170" t="n"/>
      <c r="Y1740" s="76">
        <f>ROUND(IF(offer_incoterms="DDP",X1740*(S1740*(1+AW1740)+T1740),0),2)</f>
        <v/>
      </c>
      <c r="Z1740" s="188" t="n"/>
      <c r="AA1740" s="192">
        <f>IFERROR(AB1740/E1740,0)</f>
        <v/>
      </c>
      <c r="AB1740" s="76">
        <f>ROUND(SUM(S1740,V1740,Y1740:Z1740,BA1740:BB1740),2)</f>
        <v/>
      </c>
      <c r="AC1740" s="797" t="n"/>
      <c r="AD1740" s="192">
        <f t="array" ref="AD1740">IFERROR(ROUND((_xlfn.IFS(offer_sale_type="поставка",AB1740,offer_sale_type="транзит",S1740)*(1+AC1740))/E1740,2),0)</f>
        <v/>
      </c>
      <c r="AE1740" s="76">
        <f>AD1740*E1740</f>
        <v/>
      </c>
      <c r="AF1740" s="193">
        <f t="array" ref="AF1740">IFERROR(ROUND(_xlfn.IFS(offer_sale_type="поставка",AB1740,offer_sale_type="транзит",S1740)*AC1740,2),0)</f>
        <v/>
      </c>
      <c r="AG1740" s="192">
        <f>$BD1740*VLOOKUP($AG$3,$AF$4:$AG$7,2,FALSE)</f>
        <v/>
      </c>
      <c r="AH1740" s="76">
        <f>SUM(AE1740,AG1740,AI1740)*rate_forex_risk</f>
        <v/>
      </c>
      <c r="AI1740" s="193">
        <f>IF(OR(seller_region="TR",offer_sale_type="экспорт"),0,rate_fin_comm)*SUM(AZ1740,AZ1740*AW1740,T1740)</f>
        <v/>
      </c>
      <c r="AJ1740" s="118">
        <f>IFERROR(ROUND(SUM(AB1740,AF1740:AI1740)/E1740,2),0)</f>
        <v/>
      </c>
      <c r="AK1740" s="76">
        <f>AJ1740*E1740</f>
        <v/>
      </c>
      <c r="AL1740" s="174">
        <f>ROUND(IFERROR(AM1740*E1740,0),2)</f>
        <v/>
      </c>
      <c r="AM1740" s="175">
        <f>ROUND(AJ1740*(1+IF(offer_incoterms="DDP",IF((TODAY()+offer_turnaround_time)&gt;=helpsheet!$L$17,rate_vatRU_from_26,rate_vatRu_till_25),0)),2)</f>
        <v/>
      </c>
      <c r="AN1740" s="192">
        <f>AL1740-AK1740</f>
        <v/>
      </c>
      <c r="AO1740" s="76">
        <f>SUM(AY1740,Y1740:Z1740,T1740)*IF(AND(offer_incoterms="DDP",offer_sale_type&lt;&gt;"экспорт"),IF((TODAY()+offer_turnaround_time)&gt;=helpsheet!$L$17,rate_vatRU_from_26,rate_vatRu_till_25),0)</f>
        <v/>
      </c>
      <c r="AP1740" s="193">
        <f>AN1740-AO1740</f>
        <v/>
      </c>
      <c r="AQ1740" s="118">
        <f>IF(offer_sale_type="транзит",SUM(AF1740:AI1740,BA1740,BB1740),0)</f>
        <v/>
      </c>
      <c r="AR1740" s="82">
        <f>HYPERLINK("https://www.alta.ru/tnved/code/")&amp;W1740&amp;"/"</f>
        <v/>
      </c>
      <c r="AS1740" s="157" t="n"/>
      <c r="AT1740" s="162" t="n"/>
      <c r="AU1740" s="76">
        <f>IF(ISBLANK(AT1740),0,AJ1740-AT1740)</f>
        <v/>
      </c>
      <c r="AV1740" s="157" t="n"/>
      <c r="AW1740" s="75">
        <f>_xlfn.IFNA(VLOOKUP(L1740,list_vat[],3,FALSE),0)</f>
        <v/>
      </c>
      <c r="AX1740" s="76">
        <f>IFERROR(ROUND(S1740*(1+AW1740)/E1740,2),0)</f>
        <v/>
      </c>
      <c r="AY1740" s="76">
        <f>E1740*AX1740</f>
        <v/>
      </c>
      <c r="AZ1740" s="192">
        <f>S1740*(1+M1740)</f>
        <v/>
      </c>
      <c r="BA1740" s="76">
        <f>cost_fin_total*$BD1740</f>
        <v/>
      </c>
      <c r="BB1740" s="193">
        <f>credit_sales_interest*BD1740</f>
        <v/>
      </c>
      <c r="BC1740" s="102">
        <f>IFERROR(IF($I$13&gt;0,$I1740/$I$13,$S1740/$S$13),0)</f>
        <v/>
      </c>
      <c r="BD1740" s="102">
        <f>IFERROR($S1740/$S$13,0)</f>
        <v/>
      </c>
      <c r="BE1740" s="413" t="inlineStr">
        <is>
          <t>$</t>
        </is>
      </c>
    </row>
    <row r="1741" ht="12" customFormat="1" customHeight="1" s="65">
      <c r="A1741" s="43" t="n">
        <v>1726</v>
      </c>
      <c r="B1741" s="166" t="n"/>
      <c r="C1741" s="166" t="n"/>
      <c r="D1741" s="166" t="n"/>
      <c r="E1741" s="162" t="n"/>
      <c r="F1741" s="166" t="n"/>
      <c r="G1741" s="162" t="n"/>
      <c r="H1741" s="162" t="n"/>
      <c r="I1741" s="189">
        <f>E1741*G1741</f>
        <v/>
      </c>
      <c r="J1741" s="195" t="n"/>
      <c r="K1741" s="162" t="n"/>
      <c r="L1741" s="168" t="n"/>
      <c r="M1741" s="75">
        <f>_xlfn.XLOOKUP(L1741,list_vat[Страна],list_vat[Ставка НДС %],0,0)</f>
        <v/>
      </c>
      <c r="N1741" s="162">
        <f>IFERROR(IF(L1741="Китай",K1741,K1741/(1+M1741)),0)</f>
        <v/>
      </c>
      <c r="O1741" s="169" t="n"/>
      <c r="P1741" s="76">
        <f>N1741*(1-O1741)</f>
        <v/>
      </c>
      <c r="Q1741" s="162" t="n"/>
      <c r="R1741" s="162">
        <f>IF(ISBLANK(Q1741),"введи курс",P1741/Q1741)</f>
        <v/>
      </c>
      <c r="S1741" s="196">
        <f>IF(AND(ISNUMBER(E1741),ISNUMBER(Q1741)),E1741*R1741,0)</f>
        <v/>
      </c>
      <c r="T1741" s="192">
        <f>$BC1741*V$11</f>
        <v/>
      </c>
      <c r="U1741" s="76">
        <f>$BC1741*W$11</f>
        <v/>
      </c>
      <c r="V1741" s="193">
        <f>+SUM(T1741:U1741)</f>
        <v/>
      </c>
      <c r="W1741" s="191" t="n"/>
      <c r="X1741" s="170" t="n"/>
      <c r="Y1741" s="76">
        <f>ROUND(IF(offer_incoterms="DDP",X1741*(S1741*(1+AW1741)+T1741),0),2)</f>
        <v/>
      </c>
      <c r="Z1741" s="188" t="n"/>
      <c r="AA1741" s="192">
        <f>IFERROR(AB1741/E1741,0)</f>
        <v/>
      </c>
      <c r="AB1741" s="76">
        <f>ROUND(SUM(S1741,V1741,Y1741:Z1741,BA1741:BB1741),2)</f>
        <v/>
      </c>
      <c r="AC1741" s="797" t="n"/>
      <c r="AD1741" s="192">
        <f t="array" ref="AD1741">IFERROR(ROUND((_xlfn.IFS(offer_sale_type="поставка",AB1741,offer_sale_type="транзит",S1741)*(1+AC1741))/E1741,2),0)</f>
        <v/>
      </c>
      <c r="AE1741" s="76">
        <f>AD1741*E1741</f>
        <v/>
      </c>
      <c r="AF1741" s="193">
        <f t="array" ref="AF1741">IFERROR(ROUND(_xlfn.IFS(offer_sale_type="поставка",AB1741,offer_sale_type="транзит",S1741)*AC1741,2),0)</f>
        <v/>
      </c>
      <c r="AG1741" s="192">
        <f>$BD1741*VLOOKUP($AG$3,$AF$4:$AG$7,2,FALSE)</f>
        <v/>
      </c>
      <c r="AH1741" s="76">
        <f>SUM(AE1741,AG1741,AI1741)*rate_forex_risk</f>
        <v/>
      </c>
      <c r="AI1741" s="193">
        <f>IF(OR(seller_region="TR",offer_sale_type="экспорт"),0,rate_fin_comm)*SUM(AZ1741,AZ1741*AW1741,T1741)</f>
        <v/>
      </c>
      <c r="AJ1741" s="118">
        <f>IFERROR(ROUND(SUM(AB1741,AF1741:AI1741)/E1741,2),0)</f>
        <v/>
      </c>
      <c r="AK1741" s="76">
        <f>AJ1741*E1741</f>
        <v/>
      </c>
      <c r="AL1741" s="174">
        <f>ROUND(IFERROR(AM1741*E1741,0),2)</f>
        <v/>
      </c>
      <c r="AM1741" s="175">
        <f>ROUND(AJ1741*(1+IF(offer_incoterms="DDP",IF((TODAY()+offer_turnaround_time)&gt;=helpsheet!$L$17,rate_vatRU_from_26,rate_vatRu_till_25),0)),2)</f>
        <v/>
      </c>
      <c r="AN1741" s="192">
        <f>AL1741-AK1741</f>
        <v/>
      </c>
      <c r="AO1741" s="76">
        <f>SUM(AY1741,Y1741:Z1741,T1741)*IF(AND(offer_incoterms="DDP",offer_sale_type&lt;&gt;"экспорт"),IF((TODAY()+offer_turnaround_time)&gt;=helpsheet!$L$17,rate_vatRU_from_26,rate_vatRu_till_25),0)</f>
        <v/>
      </c>
      <c r="AP1741" s="193">
        <f>AN1741-AO1741</f>
        <v/>
      </c>
      <c r="AQ1741" s="118">
        <f>IF(offer_sale_type="транзит",SUM(AF1741:AI1741,BA1741,BB1741),0)</f>
        <v/>
      </c>
      <c r="AR1741" s="82">
        <f>HYPERLINK("https://www.alta.ru/tnved/code/")&amp;W1741&amp;"/"</f>
        <v/>
      </c>
      <c r="AS1741" s="157" t="n"/>
      <c r="AT1741" s="162" t="n"/>
      <c r="AU1741" s="76">
        <f>IF(ISBLANK(AT1741),0,AJ1741-AT1741)</f>
        <v/>
      </c>
      <c r="AV1741" s="157" t="n"/>
      <c r="AW1741" s="75">
        <f>_xlfn.IFNA(VLOOKUP(L1741,list_vat[],3,FALSE),0)</f>
        <v/>
      </c>
      <c r="AX1741" s="76">
        <f>IFERROR(ROUND(S1741*(1+AW1741)/E1741,2),0)</f>
        <v/>
      </c>
      <c r="AY1741" s="76">
        <f>E1741*AX1741</f>
        <v/>
      </c>
      <c r="AZ1741" s="192">
        <f>S1741*(1+M1741)</f>
        <v/>
      </c>
      <c r="BA1741" s="76">
        <f>cost_fin_total*$BD1741</f>
        <v/>
      </c>
      <c r="BB1741" s="193">
        <f>credit_sales_interest*BD1741</f>
        <v/>
      </c>
      <c r="BC1741" s="102">
        <f>IFERROR(IF($I$13&gt;0,$I1741/$I$13,$S1741/$S$13),0)</f>
        <v/>
      </c>
      <c r="BD1741" s="102">
        <f>IFERROR($S1741/$S$13,0)</f>
        <v/>
      </c>
      <c r="BE1741" s="413" t="inlineStr">
        <is>
          <t>$</t>
        </is>
      </c>
    </row>
    <row r="1742" ht="12" customFormat="1" customHeight="1" s="65">
      <c r="A1742" s="43" t="n">
        <v>1727</v>
      </c>
      <c r="B1742" s="166" t="n"/>
      <c r="C1742" s="166" t="n"/>
      <c r="D1742" s="166" t="n"/>
      <c r="E1742" s="162" t="n"/>
      <c r="F1742" s="166" t="n"/>
      <c r="G1742" s="162" t="n"/>
      <c r="H1742" s="162" t="n"/>
      <c r="I1742" s="189">
        <f>E1742*G1742</f>
        <v/>
      </c>
      <c r="J1742" s="195" t="n"/>
      <c r="K1742" s="162" t="n"/>
      <c r="L1742" s="168" t="n"/>
      <c r="M1742" s="75">
        <f>_xlfn.XLOOKUP(L1742,list_vat[Страна],list_vat[Ставка НДС %],0,0)</f>
        <v/>
      </c>
      <c r="N1742" s="162">
        <f>IFERROR(IF(L1742="Китай",K1742,K1742/(1+M1742)),0)</f>
        <v/>
      </c>
      <c r="O1742" s="169" t="n"/>
      <c r="P1742" s="76">
        <f>N1742*(1-O1742)</f>
        <v/>
      </c>
      <c r="Q1742" s="162" t="n"/>
      <c r="R1742" s="162">
        <f>IF(ISBLANK(Q1742),"введи курс",P1742/Q1742)</f>
        <v/>
      </c>
      <c r="S1742" s="196">
        <f>IF(AND(ISNUMBER(E1742),ISNUMBER(Q1742)),E1742*R1742,0)</f>
        <v/>
      </c>
      <c r="T1742" s="192">
        <f>$BC1742*V$11</f>
        <v/>
      </c>
      <c r="U1742" s="76">
        <f>$BC1742*W$11</f>
        <v/>
      </c>
      <c r="V1742" s="193">
        <f>+SUM(T1742:U1742)</f>
        <v/>
      </c>
      <c r="W1742" s="191" t="n"/>
      <c r="X1742" s="170" t="n"/>
      <c r="Y1742" s="76">
        <f>ROUND(IF(offer_incoterms="DDP",X1742*(S1742*(1+AW1742)+T1742),0),2)</f>
        <v/>
      </c>
      <c r="Z1742" s="188" t="n"/>
      <c r="AA1742" s="192">
        <f>IFERROR(AB1742/E1742,0)</f>
        <v/>
      </c>
      <c r="AB1742" s="76">
        <f>ROUND(SUM(S1742,V1742,Y1742:Z1742,BA1742:BB1742),2)</f>
        <v/>
      </c>
      <c r="AC1742" s="797" t="n"/>
      <c r="AD1742" s="192">
        <f t="array" ref="AD1742">IFERROR(ROUND((_xlfn.IFS(offer_sale_type="поставка",AB1742,offer_sale_type="транзит",S1742)*(1+AC1742))/E1742,2),0)</f>
        <v/>
      </c>
      <c r="AE1742" s="76">
        <f>AD1742*E1742</f>
        <v/>
      </c>
      <c r="AF1742" s="193">
        <f t="array" ref="AF1742">IFERROR(ROUND(_xlfn.IFS(offer_sale_type="поставка",AB1742,offer_sale_type="транзит",S1742)*AC1742,2),0)</f>
        <v/>
      </c>
      <c r="AG1742" s="192">
        <f>$BD1742*VLOOKUP($AG$3,$AF$4:$AG$7,2,FALSE)</f>
        <v/>
      </c>
      <c r="AH1742" s="76">
        <f>SUM(AE1742,AG1742,AI1742)*rate_forex_risk</f>
        <v/>
      </c>
      <c r="AI1742" s="193">
        <f>IF(OR(seller_region="TR",offer_sale_type="экспорт"),0,rate_fin_comm)*SUM(AZ1742,AZ1742*AW1742,T1742)</f>
        <v/>
      </c>
      <c r="AJ1742" s="118">
        <f>IFERROR(ROUND(SUM(AB1742,AF1742:AI1742)/E1742,2),0)</f>
        <v/>
      </c>
      <c r="AK1742" s="76">
        <f>AJ1742*E1742</f>
        <v/>
      </c>
      <c r="AL1742" s="174">
        <f>ROUND(IFERROR(AM1742*E1742,0),2)</f>
        <v/>
      </c>
      <c r="AM1742" s="175">
        <f>ROUND(AJ1742*(1+IF(offer_incoterms="DDP",IF((TODAY()+offer_turnaround_time)&gt;=helpsheet!$L$17,rate_vatRU_from_26,rate_vatRu_till_25),0)),2)</f>
        <v/>
      </c>
      <c r="AN1742" s="192">
        <f>AL1742-AK1742</f>
        <v/>
      </c>
      <c r="AO1742" s="76">
        <f>SUM(AY1742,Y1742:Z1742,T1742)*IF(AND(offer_incoterms="DDP",offer_sale_type&lt;&gt;"экспорт"),IF((TODAY()+offer_turnaround_time)&gt;=helpsheet!$L$17,rate_vatRU_from_26,rate_vatRu_till_25),0)</f>
        <v/>
      </c>
      <c r="AP1742" s="193">
        <f>AN1742-AO1742</f>
        <v/>
      </c>
      <c r="AQ1742" s="118">
        <f>IF(offer_sale_type="транзит",SUM(AF1742:AI1742,BA1742,BB1742),0)</f>
        <v/>
      </c>
      <c r="AR1742" s="82">
        <f>HYPERLINK("https://www.alta.ru/tnved/code/")&amp;W1742&amp;"/"</f>
        <v/>
      </c>
      <c r="AS1742" s="157" t="n"/>
      <c r="AT1742" s="162" t="n"/>
      <c r="AU1742" s="76">
        <f>IF(ISBLANK(AT1742),0,AJ1742-AT1742)</f>
        <v/>
      </c>
      <c r="AV1742" s="157" t="n"/>
      <c r="AW1742" s="75">
        <f>_xlfn.IFNA(VLOOKUP(L1742,list_vat[],3,FALSE),0)</f>
        <v/>
      </c>
      <c r="AX1742" s="76">
        <f>IFERROR(ROUND(S1742*(1+AW1742)/E1742,2),0)</f>
        <v/>
      </c>
      <c r="AY1742" s="76">
        <f>E1742*AX1742</f>
        <v/>
      </c>
      <c r="AZ1742" s="192">
        <f>S1742*(1+M1742)</f>
        <v/>
      </c>
      <c r="BA1742" s="76">
        <f>cost_fin_total*$BD1742</f>
        <v/>
      </c>
      <c r="BB1742" s="193">
        <f>credit_sales_interest*BD1742</f>
        <v/>
      </c>
      <c r="BC1742" s="102">
        <f>IFERROR(IF($I$13&gt;0,$I1742/$I$13,$S1742/$S$13),0)</f>
        <v/>
      </c>
      <c r="BD1742" s="102">
        <f>IFERROR($S1742/$S$13,0)</f>
        <v/>
      </c>
      <c r="BE1742" s="413" t="inlineStr">
        <is>
          <t>$</t>
        </is>
      </c>
    </row>
    <row r="1743" ht="12" customFormat="1" customHeight="1" s="65">
      <c r="A1743" s="43" t="n">
        <v>1728</v>
      </c>
      <c r="B1743" s="166" t="n"/>
      <c r="C1743" s="166" t="n"/>
      <c r="D1743" s="166" t="n"/>
      <c r="E1743" s="162" t="n"/>
      <c r="F1743" s="166" t="n"/>
      <c r="G1743" s="162" t="n"/>
      <c r="H1743" s="162" t="n"/>
      <c r="I1743" s="189">
        <f>E1743*G1743</f>
        <v/>
      </c>
      <c r="J1743" s="195" t="n"/>
      <c r="K1743" s="162" t="n"/>
      <c r="L1743" s="168" t="n"/>
      <c r="M1743" s="75">
        <f>_xlfn.XLOOKUP(L1743,list_vat[Страна],list_vat[Ставка НДС %],0,0)</f>
        <v/>
      </c>
      <c r="N1743" s="162">
        <f>IFERROR(IF(L1743="Китай",K1743,K1743/(1+M1743)),0)</f>
        <v/>
      </c>
      <c r="O1743" s="169" t="n"/>
      <c r="P1743" s="76">
        <f>N1743*(1-O1743)</f>
        <v/>
      </c>
      <c r="Q1743" s="162" t="n"/>
      <c r="R1743" s="162">
        <f>IF(ISBLANK(Q1743),"введи курс",P1743/Q1743)</f>
        <v/>
      </c>
      <c r="S1743" s="196">
        <f>IF(AND(ISNUMBER(E1743),ISNUMBER(Q1743)),E1743*R1743,0)</f>
        <v/>
      </c>
      <c r="T1743" s="192">
        <f>$BC1743*V$11</f>
        <v/>
      </c>
      <c r="U1743" s="76">
        <f>$BC1743*W$11</f>
        <v/>
      </c>
      <c r="V1743" s="193">
        <f>+SUM(T1743:U1743)</f>
        <v/>
      </c>
      <c r="W1743" s="191" t="n"/>
      <c r="X1743" s="170" t="n"/>
      <c r="Y1743" s="76">
        <f>ROUND(IF(offer_incoterms="DDP",X1743*(S1743*(1+AW1743)+T1743),0),2)</f>
        <v/>
      </c>
      <c r="Z1743" s="188" t="n"/>
      <c r="AA1743" s="192">
        <f>IFERROR(AB1743/E1743,0)</f>
        <v/>
      </c>
      <c r="AB1743" s="76">
        <f>ROUND(SUM(S1743,V1743,Y1743:Z1743,BA1743:BB1743),2)</f>
        <v/>
      </c>
      <c r="AC1743" s="797" t="n"/>
      <c r="AD1743" s="192">
        <f t="array" ref="AD1743">IFERROR(ROUND((_xlfn.IFS(offer_sale_type="поставка",AB1743,offer_sale_type="транзит",S1743)*(1+AC1743))/E1743,2),0)</f>
        <v/>
      </c>
      <c r="AE1743" s="76">
        <f>AD1743*E1743</f>
        <v/>
      </c>
      <c r="AF1743" s="193">
        <f t="array" ref="AF1743">IFERROR(ROUND(_xlfn.IFS(offer_sale_type="поставка",AB1743,offer_sale_type="транзит",S1743)*AC1743,2),0)</f>
        <v/>
      </c>
      <c r="AG1743" s="192">
        <f>$BD1743*VLOOKUP($AG$3,$AF$4:$AG$7,2,FALSE)</f>
        <v/>
      </c>
      <c r="AH1743" s="76">
        <f>SUM(AE1743,AG1743,AI1743)*rate_forex_risk</f>
        <v/>
      </c>
      <c r="AI1743" s="193">
        <f>IF(OR(seller_region="TR",offer_sale_type="экспорт"),0,rate_fin_comm)*SUM(AZ1743,AZ1743*AW1743,T1743)</f>
        <v/>
      </c>
      <c r="AJ1743" s="118">
        <f>IFERROR(ROUND(SUM(AB1743,AF1743:AI1743)/E1743,2),0)</f>
        <v/>
      </c>
      <c r="AK1743" s="76">
        <f>AJ1743*E1743</f>
        <v/>
      </c>
      <c r="AL1743" s="174">
        <f>ROUND(IFERROR(AM1743*E1743,0),2)</f>
        <v/>
      </c>
      <c r="AM1743" s="175">
        <f>ROUND(AJ1743*(1+IF(offer_incoterms="DDP",IF((TODAY()+offer_turnaround_time)&gt;=helpsheet!$L$17,rate_vatRU_from_26,rate_vatRu_till_25),0)),2)</f>
        <v/>
      </c>
      <c r="AN1743" s="192">
        <f>AL1743-AK1743</f>
        <v/>
      </c>
      <c r="AO1743" s="76">
        <f>SUM(AY1743,Y1743:Z1743,T1743)*IF(AND(offer_incoterms="DDP",offer_sale_type&lt;&gt;"экспорт"),IF((TODAY()+offer_turnaround_time)&gt;=helpsheet!$L$17,rate_vatRU_from_26,rate_vatRu_till_25),0)</f>
        <v/>
      </c>
      <c r="AP1743" s="193">
        <f>AN1743-AO1743</f>
        <v/>
      </c>
      <c r="AQ1743" s="118">
        <f>IF(offer_sale_type="транзит",SUM(AF1743:AI1743,BA1743,BB1743),0)</f>
        <v/>
      </c>
      <c r="AR1743" s="82">
        <f>HYPERLINK("https://www.alta.ru/tnved/code/")&amp;W1743&amp;"/"</f>
        <v/>
      </c>
      <c r="AS1743" s="157" t="n"/>
      <c r="AT1743" s="162" t="n"/>
      <c r="AU1743" s="76">
        <f>IF(ISBLANK(AT1743),0,AJ1743-AT1743)</f>
        <v/>
      </c>
      <c r="AV1743" s="157" t="n"/>
      <c r="AW1743" s="75">
        <f>_xlfn.IFNA(VLOOKUP(L1743,list_vat[],3,FALSE),0)</f>
        <v/>
      </c>
      <c r="AX1743" s="76">
        <f>IFERROR(ROUND(S1743*(1+AW1743)/E1743,2),0)</f>
        <v/>
      </c>
      <c r="AY1743" s="76">
        <f>E1743*AX1743</f>
        <v/>
      </c>
      <c r="AZ1743" s="192">
        <f>S1743*(1+M1743)</f>
        <v/>
      </c>
      <c r="BA1743" s="76">
        <f>cost_fin_total*$BD1743</f>
        <v/>
      </c>
      <c r="BB1743" s="193">
        <f>credit_sales_interest*BD1743</f>
        <v/>
      </c>
      <c r="BC1743" s="102">
        <f>IFERROR(IF($I$13&gt;0,$I1743/$I$13,$S1743/$S$13),0)</f>
        <v/>
      </c>
      <c r="BD1743" s="102">
        <f>IFERROR($S1743/$S$13,0)</f>
        <v/>
      </c>
      <c r="BE1743" s="413" t="inlineStr">
        <is>
          <t>$</t>
        </is>
      </c>
    </row>
    <row r="1744" ht="12" customFormat="1" customHeight="1" s="65">
      <c r="A1744" s="43" t="n">
        <v>1729</v>
      </c>
      <c r="B1744" s="166" t="n"/>
      <c r="C1744" s="166" t="n"/>
      <c r="D1744" s="166" t="n"/>
      <c r="E1744" s="162" t="n"/>
      <c r="F1744" s="166" t="n"/>
      <c r="G1744" s="162" t="n"/>
      <c r="H1744" s="162" t="n"/>
      <c r="I1744" s="189">
        <f>E1744*G1744</f>
        <v/>
      </c>
      <c r="J1744" s="195" t="n"/>
      <c r="K1744" s="162" t="n"/>
      <c r="L1744" s="168" t="n"/>
      <c r="M1744" s="75">
        <f>_xlfn.XLOOKUP(L1744,list_vat[Страна],list_vat[Ставка НДС %],0,0)</f>
        <v/>
      </c>
      <c r="N1744" s="162">
        <f>IFERROR(IF(L1744="Китай",K1744,K1744/(1+M1744)),0)</f>
        <v/>
      </c>
      <c r="O1744" s="169" t="n"/>
      <c r="P1744" s="76">
        <f>N1744*(1-O1744)</f>
        <v/>
      </c>
      <c r="Q1744" s="162" t="n"/>
      <c r="R1744" s="162">
        <f>IF(ISBLANK(Q1744),"введи курс",P1744/Q1744)</f>
        <v/>
      </c>
      <c r="S1744" s="196">
        <f>IF(AND(ISNUMBER(E1744),ISNUMBER(Q1744)),E1744*R1744,0)</f>
        <v/>
      </c>
      <c r="T1744" s="192">
        <f>$BC1744*V$11</f>
        <v/>
      </c>
      <c r="U1744" s="76">
        <f>$BC1744*W$11</f>
        <v/>
      </c>
      <c r="V1744" s="193">
        <f>+SUM(T1744:U1744)</f>
        <v/>
      </c>
      <c r="W1744" s="191" t="n"/>
      <c r="X1744" s="170" t="n"/>
      <c r="Y1744" s="76">
        <f>ROUND(IF(offer_incoterms="DDP",X1744*(S1744*(1+AW1744)+T1744),0),2)</f>
        <v/>
      </c>
      <c r="Z1744" s="188" t="n"/>
      <c r="AA1744" s="192">
        <f>IFERROR(AB1744/E1744,0)</f>
        <v/>
      </c>
      <c r="AB1744" s="76">
        <f>ROUND(SUM(S1744,V1744,Y1744:Z1744,BA1744:BB1744),2)</f>
        <v/>
      </c>
      <c r="AC1744" s="797" t="n"/>
      <c r="AD1744" s="192">
        <f t="array" ref="AD1744">IFERROR(ROUND((_xlfn.IFS(offer_sale_type="поставка",AB1744,offer_sale_type="транзит",S1744)*(1+AC1744))/E1744,2),0)</f>
        <v/>
      </c>
      <c r="AE1744" s="76">
        <f>AD1744*E1744</f>
        <v/>
      </c>
      <c r="AF1744" s="193">
        <f t="array" ref="AF1744">IFERROR(ROUND(_xlfn.IFS(offer_sale_type="поставка",AB1744,offer_sale_type="транзит",S1744)*AC1744,2),0)</f>
        <v/>
      </c>
      <c r="AG1744" s="192">
        <f>$BD1744*VLOOKUP($AG$3,$AF$4:$AG$7,2,FALSE)</f>
        <v/>
      </c>
      <c r="AH1744" s="76">
        <f>SUM(AE1744,AG1744,AI1744)*rate_forex_risk</f>
        <v/>
      </c>
      <c r="AI1744" s="193">
        <f>IF(OR(seller_region="TR",offer_sale_type="экспорт"),0,rate_fin_comm)*SUM(AZ1744,AZ1744*AW1744,T1744)</f>
        <v/>
      </c>
      <c r="AJ1744" s="118">
        <f>IFERROR(ROUND(SUM(AB1744,AF1744:AI1744)/E1744,2),0)</f>
        <v/>
      </c>
      <c r="AK1744" s="76">
        <f>AJ1744*E1744</f>
        <v/>
      </c>
      <c r="AL1744" s="174">
        <f>ROUND(IFERROR(AM1744*E1744,0),2)</f>
        <v/>
      </c>
      <c r="AM1744" s="175">
        <f>ROUND(AJ1744*(1+IF(offer_incoterms="DDP",IF((TODAY()+offer_turnaround_time)&gt;=helpsheet!$L$17,rate_vatRU_from_26,rate_vatRu_till_25),0)),2)</f>
        <v/>
      </c>
      <c r="AN1744" s="192">
        <f>AL1744-AK1744</f>
        <v/>
      </c>
      <c r="AO1744" s="76">
        <f>SUM(AY1744,Y1744:Z1744,T1744)*IF(AND(offer_incoterms="DDP",offer_sale_type&lt;&gt;"экспорт"),IF((TODAY()+offer_turnaround_time)&gt;=helpsheet!$L$17,rate_vatRU_from_26,rate_vatRu_till_25),0)</f>
        <v/>
      </c>
      <c r="AP1744" s="193">
        <f>AN1744-AO1744</f>
        <v/>
      </c>
      <c r="AQ1744" s="118">
        <f>IF(offer_sale_type="транзит",SUM(AF1744:AI1744,BA1744,BB1744),0)</f>
        <v/>
      </c>
      <c r="AR1744" s="82">
        <f>HYPERLINK("https://www.alta.ru/tnved/code/")&amp;W1744&amp;"/"</f>
        <v/>
      </c>
      <c r="AS1744" s="157" t="n"/>
      <c r="AT1744" s="162" t="n"/>
      <c r="AU1744" s="76">
        <f>IF(ISBLANK(AT1744),0,AJ1744-AT1744)</f>
        <v/>
      </c>
      <c r="AV1744" s="157" t="n"/>
      <c r="AW1744" s="75">
        <f>_xlfn.IFNA(VLOOKUP(L1744,list_vat[],3,FALSE),0)</f>
        <v/>
      </c>
      <c r="AX1744" s="76">
        <f>IFERROR(ROUND(S1744*(1+AW1744)/E1744,2),0)</f>
        <v/>
      </c>
      <c r="AY1744" s="76">
        <f>E1744*AX1744</f>
        <v/>
      </c>
      <c r="AZ1744" s="192">
        <f>S1744*(1+M1744)</f>
        <v/>
      </c>
      <c r="BA1744" s="76">
        <f>cost_fin_total*$BD1744</f>
        <v/>
      </c>
      <c r="BB1744" s="193">
        <f>credit_sales_interest*BD1744</f>
        <v/>
      </c>
      <c r="BC1744" s="102">
        <f>IFERROR(IF($I$13&gt;0,$I1744/$I$13,$S1744/$S$13),0)</f>
        <v/>
      </c>
      <c r="BD1744" s="102">
        <f>IFERROR($S1744/$S$13,0)</f>
        <v/>
      </c>
      <c r="BE1744" s="413" t="inlineStr">
        <is>
          <t>$</t>
        </is>
      </c>
    </row>
    <row r="1745" ht="12" customFormat="1" customHeight="1" s="65">
      <c r="A1745" s="43" t="n">
        <v>1730</v>
      </c>
      <c r="B1745" s="166" t="n"/>
      <c r="C1745" s="166" t="n"/>
      <c r="D1745" s="166" t="n"/>
      <c r="E1745" s="162" t="n"/>
      <c r="F1745" s="166" t="n"/>
      <c r="G1745" s="162" t="n"/>
      <c r="H1745" s="162" t="n"/>
      <c r="I1745" s="189">
        <f>E1745*G1745</f>
        <v/>
      </c>
      <c r="J1745" s="195" t="n"/>
      <c r="K1745" s="162" t="n"/>
      <c r="L1745" s="168" t="n"/>
      <c r="M1745" s="75">
        <f>_xlfn.XLOOKUP(L1745,list_vat[Страна],list_vat[Ставка НДС %],0,0)</f>
        <v/>
      </c>
      <c r="N1745" s="162">
        <f>IFERROR(IF(L1745="Китай",K1745,K1745/(1+M1745)),0)</f>
        <v/>
      </c>
      <c r="O1745" s="169" t="n"/>
      <c r="P1745" s="76">
        <f>N1745*(1-O1745)</f>
        <v/>
      </c>
      <c r="Q1745" s="162" t="n"/>
      <c r="R1745" s="162">
        <f>IF(ISBLANK(Q1745),"введи курс",P1745/Q1745)</f>
        <v/>
      </c>
      <c r="S1745" s="196">
        <f>IF(AND(ISNUMBER(E1745),ISNUMBER(Q1745)),E1745*R1745,0)</f>
        <v/>
      </c>
      <c r="T1745" s="192">
        <f>$BC1745*V$11</f>
        <v/>
      </c>
      <c r="U1745" s="76">
        <f>$BC1745*W$11</f>
        <v/>
      </c>
      <c r="V1745" s="193">
        <f>+SUM(T1745:U1745)</f>
        <v/>
      </c>
      <c r="W1745" s="191" t="n"/>
      <c r="X1745" s="170" t="n"/>
      <c r="Y1745" s="76">
        <f>ROUND(IF(offer_incoterms="DDP",X1745*(S1745*(1+AW1745)+T1745),0),2)</f>
        <v/>
      </c>
      <c r="Z1745" s="188" t="n"/>
      <c r="AA1745" s="192">
        <f>IFERROR(AB1745/E1745,0)</f>
        <v/>
      </c>
      <c r="AB1745" s="76">
        <f>ROUND(SUM(S1745,V1745,Y1745:Z1745,BA1745:BB1745),2)</f>
        <v/>
      </c>
      <c r="AC1745" s="797" t="n"/>
      <c r="AD1745" s="192">
        <f t="array" ref="AD1745">IFERROR(ROUND((_xlfn.IFS(offer_sale_type="поставка",AB1745,offer_sale_type="транзит",S1745)*(1+AC1745))/E1745,2),0)</f>
        <v/>
      </c>
      <c r="AE1745" s="76">
        <f>AD1745*E1745</f>
        <v/>
      </c>
      <c r="AF1745" s="193">
        <f t="array" ref="AF1745">IFERROR(ROUND(_xlfn.IFS(offer_sale_type="поставка",AB1745,offer_sale_type="транзит",S1745)*AC1745,2),0)</f>
        <v/>
      </c>
      <c r="AG1745" s="192">
        <f>$BD1745*VLOOKUP($AG$3,$AF$4:$AG$7,2,FALSE)</f>
        <v/>
      </c>
      <c r="AH1745" s="76">
        <f>SUM(AE1745,AG1745,AI1745)*rate_forex_risk</f>
        <v/>
      </c>
      <c r="AI1745" s="193">
        <f>IF(OR(seller_region="TR",offer_sale_type="экспорт"),0,rate_fin_comm)*SUM(AZ1745,AZ1745*AW1745,T1745)</f>
        <v/>
      </c>
      <c r="AJ1745" s="118">
        <f>IFERROR(ROUND(SUM(AB1745,AF1745:AI1745)/E1745,2),0)</f>
        <v/>
      </c>
      <c r="AK1745" s="76">
        <f>AJ1745*E1745</f>
        <v/>
      </c>
      <c r="AL1745" s="174">
        <f>ROUND(IFERROR(AM1745*E1745,0),2)</f>
        <v/>
      </c>
      <c r="AM1745" s="175">
        <f>ROUND(AJ1745*(1+IF(offer_incoterms="DDP",IF((TODAY()+offer_turnaround_time)&gt;=helpsheet!$L$17,rate_vatRU_from_26,rate_vatRu_till_25),0)),2)</f>
        <v/>
      </c>
      <c r="AN1745" s="192">
        <f>AL1745-AK1745</f>
        <v/>
      </c>
      <c r="AO1745" s="76">
        <f>SUM(AY1745,Y1745:Z1745,T1745)*IF(AND(offer_incoterms="DDP",offer_sale_type&lt;&gt;"экспорт"),IF((TODAY()+offer_turnaround_time)&gt;=helpsheet!$L$17,rate_vatRU_from_26,rate_vatRu_till_25),0)</f>
        <v/>
      </c>
      <c r="AP1745" s="193">
        <f>AN1745-AO1745</f>
        <v/>
      </c>
      <c r="AQ1745" s="118">
        <f>IF(offer_sale_type="транзит",SUM(AF1745:AI1745,BA1745,BB1745),0)</f>
        <v/>
      </c>
      <c r="AR1745" s="82">
        <f>HYPERLINK("https://www.alta.ru/tnved/code/")&amp;W1745&amp;"/"</f>
        <v/>
      </c>
      <c r="AS1745" s="157" t="n"/>
      <c r="AT1745" s="162" t="n"/>
      <c r="AU1745" s="76">
        <f>IF(ISBLANK(AT1745),0,AJ1745-AT1745)</f>
        <v/>
      </c>
      <c r="AV1745" s="157" t="n"/>
      <c r="AW1745" s="75">
        <f>_xlfn.IFNA(VLOOKUP(L1745,list_vat[],3,FALSE),0)</f>
        <v/>
      </c>
      <c r="AX1745" s="76">
        <f>IFERROR(ROUND(S1745*(1+AW1745)/E1745,2),0)</f>
        <v/>
      </c>
      <c r="AY1745" s="76">
        <f>E1745*AX1745</f>
        <v/>
      </c>
      <c r="AZ1745" s="192">
        <f>S1745*(1+M1745)</f>
        <v/>
      </c>
      <c r="BA1745" s="76">
        <f>cost_fin_total*$BD1745</f>
        <v/>
      </c>
      <c r="BB1745" s="193">
        <f>credit_sales_interest*BD1745</f>
        <v/>
      </c>
      <c r="BC1745" s="102">
        <f>IFERROR(IF($I$13&gt;0,$I1745/$I$13,$S1745/$S$13),0)</f>
        <v/>
      </c>
      <c r="BD1745" s="102">
        <f>IFERROR($S1745/$S$13,0)</f>
        <v/>
      </c>
      <c r="BE1745" s="413" t="inlineStr">
        <is>
          <t>$</t>
        </is>
      </c>
    </row>
    <row r="1746" ht="12" customFormat="1" customHeight="1" s="65">
      <c r="A1746" s="43" t="n">
        <v>1731</v>
      </c>
      <c r="B1746" s="166" t="n"/>
      <c r="C1746" s="166" t="n"/>
      <c r="D1746" s="166" t="n"/>
      <c r="E1746" s="162" t="n"/>
      <c r="F1746" s="166" t="n"/>
      <c r="G1746" s="162" t="n"/>
      <c r="H1746" s="162" t="n"/>
      <c r="I1746" s="189">
        <f>E1746*G1746</f>
        <v/>
      </c>
      <c r="J1746" s="195" t="n"/>
      <c r="K1746" s="162" t="n"/>
      <c r="L1746" s="168" t="n"/>
      <c r="M1746" s="75">
        <f>_xlfn.XLOOKUP(L1746,list_vat[Страна],list_vat[Ставка НДС %],0,0)</f>
        <v/>
      </c>
      <c r="N1746" s="162">
        <f>IFERROR(IF(L1746="Китай",K1746,K1746/(1+M1746)),0)</f>
        <v/>
      </c>
      <c r="O1746" s="169" t="n"/>
      <c r="P1746" s="76">
        <f>N1746*(1-O1746)</f>
        <v/>
      </c>
      <c r="Q1746" s="162" t="n"/>
      <c r="R1746" s="162">
        <f>IF(ISBLANK(Q1746),"введи курс",P1746/Q1746)</f>
        <v/>
      </c>
      <c r="S1746" s="196">
        <f>IF(AND(ISNUMBER(E1746),ISNUMBER(Q1746)),E1746*R1746,0)</f>
        <v/>
      </c>
      <c r="T1746" s="192">
        <f>$BC1746*V$11</f>
        <v/>
      </c>
      <c r="U1746" s="76">
        <f>$BC1746*W$11</f>
        <v/>
      </c>
      <c r="V1746" s="193">
        <f>+SUM(T1746:U1746)</f>
        <v/>
      </c>
      <c r="W1746" s="191" t="n"/>
      <c r="X1746" s="170" t="n"/>
      <c r="Y1746" s="76">
        <f>ROUND(IF(offer_incoterms="DDP",X1746*(S1746*(1+AW1746)+T1746),0),2)</f>
        <v/>
      </c>
      <c r="Z1746" s="188" t="n"/>
      <c r="AA1746" s="192">
        <f>IFERROR(AB1746/E1746,0)</f>
        <v/>
      </c>
      <c r="AB1746" s="76">
        <f>ROUND(SUM(S1746,V1746,Y1746:Z1746,BA1746:BB1746),2)</f>
        <v/>
      </c>
      <c r="AC1746" s="797" t="n"/>
      <c r="AD1746" s="192">
        <f t="array" ref="AD1746">IFERROR(ROUND((_xlfn.IFS(offer_sale_type="поставка",AB1746,offer_sale_type="транзит",S1746)*(1+AC1746))/E1746,2),0)</f>
        <v/>
      </c>
      <c r="AE1746" s="76">
        <f>AD1746*E1746</f>
        <v/>
      </c>
      <c r="AF1746" s="193">
        <f t="array" ref="AF1746">IFERROR(ROUND(_xlfn.IFS(offer_sale_type="поставка",AB1746,offer_sale_type="транзит",S1746)*AC1746,2),0)</f>
        <v/>
      </c>
      <c r="AG1746" s="192">
        <f>$BD1746*VLOOKUP($AG$3,$AF$4:$AG$7,2,FALSE)</f>
        <v/>
      </c>
      <c r="AH1746" s="76">
        <f>SUM(AE1746,AG1746,AI1746)*rate_forex_risk</f>
        <v/>
      </c>
      <c r="AI1746" s="193">
        <f>IF(OR(seller_region="TR",offer_sale_type="экспорт"),0,rate_fin_comm)*SUM(AZ1746,AZ1746*AW1746,T1746)</f>
        <v/>
      </c>
      <c r="AJ1746" s="118">
        <f>IFERROR(ROUND(SUM(AB1746,AF1746:AI1746)/E1746,2),0)</f>
        <v/>
      </c>
      <c r="AK1746" s="76">
        <f>AJ1746*E1746</f>
        <v/>
      </c>
      <c r="AL1746" s="174">
        <f>ROUND(IFERROR(AM1746*E1746,0),2)</f>
        <v/>
      </c>
      <c r="AM1746" s="175">
        <f>ROUND(AJ1746*(1+IF(offer_incoterms="DDP",IF((TODAY()+offer_turnaround_time)&gt;=helpsheet!$L$17,rate_vatRU_from_26,rate_vatRu_till_25),0)),2)</f>
        <v/>
      </c>
      <c r="AN1746" s="192">
        <f>AL1746-AK1746</f>
        <v/>
      </c>
      <c r="AO1746" s="76">
        <f>SUM(AY1746,Y1746:Z1746,T1746)*IF(AND(offer_incoterms="DDP",offer_sale_type&lt;&gt;"экспорт"),IF((TODAY()+offer_turnaround_time)&gt;=helpsheet!$L$17,rate_vatRU_from_26,rate_vatRu_till_25),0)</f>
        <v/>
      </c>
      <c r="AP1746" s="193">
        <f>AN1746-AO1746</f>
        <v/>
      </c>
      <c r="AQ1746" s="118">
        <f>IF(offer_sale_type="транзит",SUM(AF1746:AI1746,BA1746,BB1746),0)</f>
        <v/>
      </c>
      <c r="AR1746" s="82">
        <f>HYPERLINK("https://www.alta.ru/tnved/code/")&amp;W1746&amp;"/"</f>
        <v/>
      </c>
      <c r="AS1746" s="157" t="n"/>
      <c r="AT1746" s="162" t="n"/>
      <c r="AU1746" s="76">
        <f>IF(ISBLANK(AT1746),0,AJ1746-AT1746)</f>
        <v/>
      </c>
      <c r="AV1746" s="157" t="n"/>
      <c r="AW1746" s="75">
        <f>_xlfn.IFNA(VLOOKUP(L1746,list_vat[],3,FALSE),0)</f>
        <v/>
      </c>
      <c r="AX1746" s="76">
        <f>IFERROR(ROUND(S1746*(1+AW1746)/E1746,2),0)</f>
        <v/>
      </c>
      <c r="AY1746" s="76">
        <f>E1746*AX1746</f>
        <v/>
      </c>
      <c r="AZ1746" s="192">
        <f>S1746*(1+M1746)</f>
        <v/>
      </c>
      <c r="BA1746" s="76">
        <f>cost_fin_total*$BD1746</f>
        <v/>
      </c>
      <c r="BB1746" s="193">
        <f>credit_sales_interest*BD1746</f>
        <v/>
      </c>
      <c r="BC1746" s="102">
        <f>IFERROR(IF($I$13&gt;0,$I1746/$I$13,$S1746/$S$13),0)</f>
        <v/>
      </c>
      <c r="BD1746" s="102">
        <f>IFERROR($S1746/$S$13,0)</f>
        <v/>
      </c>
      <c r="BE1746" s="413" t="inlineStr">
        <is>
          <t>$</t>
        </is>
      </c>
    </row>
    <row r="1747" ht="12" customFormat="1" customHeight="1" s="65">
      <c r="A1747" s="43" t="n">
        <v>1732</v>
      </c>
      <c r="B1747" s="166" t="n"/>
      <c r="C1747" s="166" t="n"/>
      <c r="D1747" s="166" t="n"/>
      <c r="E1747" s="162" t="n"/>
      <c r="F1747" s="166" t="n"/>
      <c r="G1747" s="162" t="n"/>
      <c r="H1747" s="162" t="n"/>
      <c r="I1747" s="189">
        <f>E1747*G1747</f>
        <v/>
      </c>
      <c r="J1747" s="195" t="n"/>
      <c r="K1747" s="162" t="n"/>
      <c r="L1747" s="168" t="n"/>
      <c r="M1747" s="75">
        <f>_xlfn.XLOOKUP(L1747,list_vat[Страна],list_vat[Ставка НДС %],0,0)</f>
        <v/>
      </c>
      <c r="N1747" s="162">
        <f>IFERROR(IF(L1747="Китай",K1747,K1747/(1+M1747)),0)</f>
        <v/>
      </c>
      <c r="O1747" s="169" t="n"/>
      <c r="P1747" s="76">
        <f>N1747*(1-O1747)</f>
        <v/>
      </c>
      <c r="Q1747" s="162" t="n"/>
      <c r="R1747" s="162">
        <f>IF(ISBLANK(Q1747),"введи курс",P1747/Q1747)</f>
        <v/>
      </c>
      <c r="S1747" s="196">
        <f>IF(AND(ISNUMBER(E1747),ISNUMBER(Q1747)),E1747*R1747,0)</f>
        <v/>
      </c>
      <c r="T1747" s="192">
        <f>$BC1747*V$11</f>
        <v/>
      </c>
      <c r="U1747" s="76">
        <f>$BC1747*W$11</f>
        <v/>
      </c>
      <c r="V1747" s="193">
        <f>+SUM(T1747:U1747)</f>
        <v/>
      </c>
      <c r="W1747" s="191" t="n"/>
      <c r="X1747" s="170" t="n"/>
      <c r="Y1747" s="76">
        <f>ROUND(IF(offer_incoterms="DDP",X1747*(S1747*(1+AW1747)+T1747),0),2)</f>
        <v/>
      </c>
      <c r="Z1747" s="188" t="n"/>
      <c r="AA1747" s="192">
        <f>IFERROR(AB1747/E1747,0)</f>
        <v/>
      </c>
      <c r="AB1747" s="76">
        <f>ROUND(SUM(S1747,V1747,Y1747:Z1747,BA1747:BB1747),2)</f>
        <v/>
      </c>
      <c r="AC1747" s="797" t="n"/>
      <c r="AD1747" s="192">
        <f t="array" ref="AD1747">IFERROR(ROUND((_xlfn.IFS(offer_sale_type="поставка",AB1747,offer_sale_type="транзит",S1747)*(1+AC1747))/E1747,2),0)</f>
        <v/>
      </c>
      <c r="AE1747" s="76">
        <f>AD1747*E1747</f>
        <v/>
      </c>
      <c r="AF1747" s="193">
        <f t="array" ref="AF1747">IFERROR(ROUND(_xlfn.IFS(offer_sale_type="поставка",AB1747,offer_sale_type="транзит",S1747)*AC1747,2),0)</f>
        <v/>
      </c>
      <c r="AG1747" s="192">
        <f>$BD1747*VLOOKUP($AG$3,$AF$4:$AG$7,2,FALSE)</f>
        <v/>
      </c>
      <c r="AH1747" s="76">
        <f>SUM(AE1747,AG1747,AI1747)*rate_forex_risk</f>
        <v/>
      </c>
      <c r="AI1747" s="193">
        <f>IF(OR(seller_region="TR",offer_sale_type="экспорт"),0,rate_fin_comm)*SUM(AZ1747,AZ1747*AW1747,T1747)</f>
        <v/>
      </c>
      <c r="AJ1747" s="118">
        <f>IFERROR(ROUND(SUM(AB1747,AF1747:AI1747)/E1747,2),0)</f>
        <v/>
      </c>
      <c r="AK1747" s="76">
        <f>AJ1747*E1747</f>
        <v/>
      </c>
      <c r="AL1747" s="174">
        <f>ROUND(IFERROR(AM1747*E1747,0),2)</f>
        <v/>
      </c>
      <c r="AM1747" s="175">
        <f>ROUND(AJ1747*(1+IF(offer_incoterms="DDP",IF((TODAY()+offer_turnaround_time)&gt;=helpsheet!$L$17,rate_vatRU_from_26,rate_vatRu_till_25),0)),2)</f>
        <v/>
      </c>
      <c r="AN1747" s="192">
        <f>AL1747-AK1747</f>
        <v/>
      </c>
      <c r="AO1747" s="76">
        <f>SUM(AY1747,Y1747:Z1747,T1747)*IF(AND(offer_incoterms="DDP",offer_sale_type&lt;&gt;"экспорт"),IF((TODAY()+offer_turnaround_time)&gt;=helpsheet!$L$17,rate_vatRU_from_26,rate_vatRu_till_25),0)</f>
        <v/>
      </c>
      <c r="AP1747" s="193">
        <f>AN1747-AO1747</f>
        <v/>
      </c>
      <c r="AQ1747" s="118">
        <f>IF(offer_sale_type="транзит",SUM(AF1747:AI1747,BA1747,BB1747),0)</f>
        <v/>
      </c>
      <c r="AR1747" s="82">
        <f>HYPERLINK("https://www.alta.ru/tnved/code/")&amp;W1747&amp;"/"</f>
        <v/>
      </c>
      <c r="AS1747" s="157" t="n"/>
      <c r="AT1747" s="162" t="n"/>
      <c r="AU1747" s="76">
        <f>IF(ISBLANK(AT1747),0,AJ1747-AT1747)</f>
        <v/>
      </c>
      <c r="AV1747" s="157" t="n"/>
      <c r="AW1747" s="75">
        <f>_xlfn.IFNA(VLOOKUP(L1747,list_vat[],3,FALSE),0)</f>
        <v/>
      </c>
      <c r="AX1747" s="76">
        <f>IFERROR(ROUND(S1747*(1+AW1747)/E1747,2),0)</f>
        <v/>
      </c>
      <c r="AY1747" s="76">
        <f>E1747*AX1747</f>
        <v/>
      </c>
      <c r="AZ1747" s="192">
        <f>S1747*(1+M1747)</f>
        <v/>
      </c>
      <c r="BA1747" s="76">
        <f>cost_fin_total*$BD1747</f>
        <v/>
      </c>
      <c r="BB1747" s="193">
        <f>credit_sales_interest*BD1747</f>
        <v/>
      </c>
      <c r="BC1747" s="102">
        <f>IFERROR(IF($I$13&gt;0,$I1747/$I$13,$S1747/$S$13),0)</f>
        <v/>
      </c>
      <c r="BD1747" s="102">
        <f>IFERROR($S1747/$S$13,0)</f>
        <v/>
      </c>
      <c r="BE1747" s="413" t="inlineStr">
        <is>
          <t>$</t>
        </is>
      </c>
    </row>
    <row r="1748" ht="12" customFormat="1" customHeight="1" s="65">
      <c r="A1748" s="43" t="n">
        <v>1733</v>
      </c>
      <c r="B1748" s="166" t="n"/>
      <c r="C1748" s="166" t="n"/>
      <c r="D1748" s="166" t="n"/>
      <c r="E1748" s="162" t="n"/>
      <c r="F1748" s="166" t="n"/>
      <c r="G1748" s="162" t="n"/>
      <c r="H1748" s="162" t="n"/>
      <c r="I1748" s="189">
        <f>E1748*G1748</f>
        <v/>
      </c>
      <c r="J1748" s="195" t="n"/>
      <c r="K1748" s="162" t="n"/>
      <c r="L1748" s="168" t="n"/>
      <c r="M1748" s="75">
        <f>_xlfn.XLOOKUP(L1748,list_vat[Страна],list_vat[Ставка НДС %],0,0)</f>
        <v/>
      </c>
      <c r="N1748" s="162">
        <f>IFERROR(IF(L1748="Китай",K1748,K1748/(1+M1748)),0)</f>
        <v/>
      </c>
      <c r="O1748" s="169" t="n"/>
      <c r="P1748" s="76">
        <f>N1748*(1-O1748)</f>
        <v/>
      </c>
      <c r="Q1748" s="162" t="n"/>
      <c r="R1748" s="162">
        <f>IF(ISBLANK(Q1748),"введи курс",P1748/Q1748)</f>
        <v/>
      </c>
      <c r="S1748" s="196">
        <f>IF(AND(ISNUMBER(E1748),ISNUMBER(Q1748)),E1748*R1748,0)</f>
        <v/>
      </c>
      <c r="T1748" s="192">
        <f>$BC1748*V$11</f>
        <v/>
      </c>
      <c r="U1748" s="76">
        <f>$BC1748*W$11</f>
        <v/>
      </c>
      <c r="V1748" s="193">
        <f>+SUM(T1748:U1748)</f>
        <v/>
      </c>
      <c r="W1748" s="191" t="n"/>
      <c r="X1748" s="170" t="n"/>
      <c r="Y1748" s="76">
        <f>ROUND(IF(offer_incoterms="DDP",X1748*(S1748*(1+AW1748)+T1748),0),2)</f>
        <v/>
      </c>
      <c r="Z1748" s="188" t="n"/>
      <c r="AA1748" s="192">
        <f>IFERROR(AB1748/E1748,0)</f>
        <v/>
      </c>
      <c r="AB1748" s="76">
        <f>ROUND(SUM(S1748,V1748,Y1748:Z1748,BA1748:BB1748),2)</f>
        <v/>
      </c>
      <c r="AC1748" s="797" t="n"/>
      <c r="AD1748" s="192">
        <f t="array" ref="AD1748">IFERROR(ROUND((_xlfn.IFS(offer_sale_type="поставка",AB1748,offer_sale_type="транзит",S1748)*(1+AC1748))/E1748,2),0)</f>
        <v/>
      </c>
      <c r="AE1748" s="76">
        <f>AD1748*E1748</f>
        <v/>
      </c>
      <c r="AF1748" s="193">
        <f t="array" ref="AF1748">IFERROR(ROUND(_xlfn.IFS(offer_sale_type="поставка",AB1748,offer_sale_type="транзит",S1748)*AC1748,2),0)</f>
        <v/>
      </c>
      <c r="AG1748" s="192">
        <f>$BD1748*VLOOKUP($AG$3,$AF$4:$AG$7,2,FALSE)</f>
        <v/>
      </c>
      <c r="AH1748" s="76">
        <f>SUM(AE1748,AG1748,AI1748)*rate_forex_risk</f>
        <v/>
      </c>
      <c r="AI1748" s="193">
        <f>IF(OR(seller_region="TR",offer_sale_type="экспорт"),0,rate_fin_comm)*SUM(AZ1748,AZ1748*AW1748,T1748)</f>
        <v/>
      </c>
      <c r="AJ1748" s="118">
        <f>IFERROR(ROUND(SUM(AB1748,AF1748:AI1748)/E1748,2),0)</f>
        <v/>
      </c>
      <c r="AK1748" s="76">
        <f>AJ1748*E1748</f>
        <v/>
      </c>
      <c r="AL1748" s="174">
        <f>ROUND(IFERROR(AM1748*E1748,0),2)</f>
        <v/>
      </c>
      <c r="AM1748" s="175">
        <f>ROUND(AJ1748*(1+IF(offer_incoterms="DDP",IF((TODAY()+offer_turnaround_time)&gt;=helpsheet!$L$17,rate_vatRU_from_26,rate_vatRu_till_25),0)),2)</f>
        <v/>
      </c>
      <c r="AN1748" s="192">
        <f>AL1748-AK1748</f>
        <v/>
      </c>
      <c r="AO1748" s="76">
        <f>SUM(AY1748,Y1748:Z1748,T1748)*IF(AND(offer_incoterms="DDP",offer_sale_type&lt;&gt;"экспорт"),IF((TODAY()+offer_turnaround_time)&gt;=helpsheet!$L$17,rate_vatRU_from_26,rate_vatRu_till_25),0)</f>
        <v/>
      </c>
      <c r="AP1748" s="193">
        <f>AN1748-AO1748</f>
        <v/>
      </c>
      <c r="AQ1748" s="118">
        <f>IF(offer_sale_type="транзит",SUM(AF1748:AI1748,BA1748,BB1748),0)</f>
        <v/>
      </c>
      <c r="AR1748" s="82">
        <f>HYPERLINK("https://www.alta.ru/tnved/code/")&amp;W1748&amp;"/"</f>
        <v/>
      </c>
      <c r="AS1748" s="157" t="n"/>
      <c r="AT1748" s="162" t="n"/>
      <c r="AU1748" s="76">
        <f>IF(ISBLANK(AT1748),0,AJ1748-AT1748)</f>
        <v/>
      </c>
      <c r="AV1748" s="157" t="n"/>
      <c r="AW1748" s="75">
        <f>_xlfn.IFNA(VLOOKUP(L1748,list_vat[],3,FALSE),0)</f>
        <v/>
      </c>
      <c r="AX1748" s="76">
        <f>IFERROR(ROUND(S1748*(1+AW1748)/E1748,2),0)</f>
        <v/>
      </c>
      <c r="AY1748" s="76">
        <f>E1748*AX1748</f>
        <v/>
      </c>
      <c r="AZ1748" s="192">
        <f>S1748*(1+M1748)</f>
        <v/>
      </c>
      <c r="BA1748" s="76">
        <f>cost_fin_total*$BD1748</f>
        <v/>
      </c>
      <c r="BB1748" s="193">
        <f>credit_sales_interest*BD1748</f>
        <v/>
      </c>
      <c r="BC1748" s="102">
        <f>IFERROR(IF($I$13&gt;0,$I1748/$I$13,$S1748/$S$13),0)</f>
        <v/>
      </c>
      <c r="BD1748" s="102">
        <f>IFERROR($S1748/$S$13,0)</f>
        <v/>
      </c>
      <c r="BE1748" s="413" t="inlineStr">
        <is>
          <t>$</t>
        </is>
      </c>
    </row>
    <row r="1749" ht="12" customFormat="1" customHeight="1" s="65">
      <c r="A1749" s="43" t="n">
        <v>1734</v>
      </c>
      <c r="B1749" s="166" t="n"/>
      <c r="C1749" s="166" t="n"/>
      <c r="D1749" s="166" t="n"/>
      <c r="E1749" s="162" t="n"/>
      <c r="F1749" s="166" t="n"/>
      <c r="G1749" s="162" t="n"/>
      <c r="H1749" s="162" t="n"/>
      <c r="I1749" s="189">
        <f>E1749*G1749</f>
        <v/>
      </c>
      <c r="J1749" s="195" t="n"/>
      <c r="K1749" s="162" t="n"/>
      <c r="L1749" s="168" t="n"/>
      <c r="M1749" s="75">
        <f>_xlfn.XLOOKUP(L1749,list_vat[Страна],list_vat[Ставка НДС %],0,0)</f>
        <v/>
      </c>
      <c r="N1749" s="162">
        <f>IFERROR(IF(L1749="Китай",K1749,K1749/(1+M1749)),0)</f>
        <v/>
      </c>
      <c r="O1749" s="169" t="n"/>
      <c r="P1749" s="76">
        <f>N1749*(1-O1749)</f>
        <v/>
      </c>
      <c r="Q1749" s="162" t="n"/>
      <c r="R1749" s="162">
        <f>IF(ISBLANK(Q1749),"введи курс",P1749/Q1749)</f>
        <v/>
      </c>
      <c r="S1749" s="196">
        <f>IF(AND(ISNUMBER(E1749),ISNUMBER(Q1749)),E1749*R1749,0)</f>
        <v/>
      </c>
      <c r="T1749" s="192">
        <f>$BC1749*V$11</f>
        <v/>
      </c>
      <c r="U1749" s="76">
        <f>$BC1749*W$11</f>
        <v/>
      </c>
      <c r="V1749" s="193">
        <f>+SUM(T1749:U1749)</f>
        <v/>
      </c>
      <c r="W1749" s="191" t="n"/>
      <c r="X1749" s="170" t="n"/>
      <c r="Y1749" s="76">
        <f>ROUND(IF(offer_incoterms="DDP",X1749*(S1749*(1+AW1749)+T1749),0),2)</f>
        <v/>
      </c>
      <c r="Z1749" s="188" t="n"/>
      <c r="AA1749" s="192">
        <f>IFERROR(AB1749/E1749,0)</f>
        <v/>
      </c>
      <c r="AB1749" s="76">
        <f>ROUND(SUM(S1749,V1749,Y1749:Z1749,BA1749:BB1749),2)</f>
        <v/>
      </c>
      <c r="AC1749" s="797" t="n"/>
      <c r="AD1749" s="192">
        <f t="array" ref="AD1749">IFERROR(ROUND((_xlfn.IFS(offer_sale_type="поставка",AB1749,offer_sale_type="транзит",S1749)*(1+AC1749))/E1749,2),0)</f>
        <v/>
      </c>
      <c r="AE1749" s="76">
        <f>AD1749*E1749</f>
        <v/>
      </c>
      <c r="AF1749" s="193">
        <f t="array" ref="AF1749">IFERROR(ROUND(_xlfn.IFS(offer_sale_type="поставка",AB1749,offer_sale_type="транзит",S1749)*AC1749,2),0)</f>
        <v/>
      </c>
      <c r="AG1749" s="192">
        <f>$BD1749*VLOOKUP($AG$3,$AF$4:$AG$7,2,FALSE)</f>
        <v/>
      </c>
      <c r="AH1749" s="76">
        <f>SUM(AE1749,AG1749,AI1749)*rate_forex_risk</f>
        <v/>
      </c>
      <c r="AI1749" s="193">
        <f>IF(OR(seller_region="TR",offer_sale_type="экспорт"),0,rate_fin_comm)*SUM(AZ1749,AZ1749*AW1749,T1749)</f>
        <v/>
      </c>
      <c r="AJ1749" s="118">
        <f>IFERROR(ROUND(SUM(AB1749,AF1749:AI1749)/E1749,2),0)</f>
        <v/>
      </c>
      <c r="AK1749" s="76">
        <f>AJ1749*E1749</f>
        <v/>
      </c>
      <c r="AL1749" s="174">
        <f>ROUND(IFERROR(AM1749*E1749,0),2)</f>
        <v/>
      </c>
      <c r="AM1749" s="175">
        <f>ROUND(AJ1749*(1+IF(offer_incoterms="DDP",IF((TODAY()+offer_turnaround_time)&gt;=helpsheet!$L$17,rate_vatRU_from_26,rate_vatRu_till_25),0)),2)</f>
        <v/>
      </c>
      <c r="AN1749" s="192">
        <f>AL1749-AK1749</f>
        <v/>
      </c>
      <c r="AO1749" s="76">
        <f>SUM(AY1749,Y1749:Z1749,T1749)*IF(AND(offer_incoterms="DDP",offer_sale_type&lt;&gt;"экспорт"),IF((TODAY()+offer_turnaround_time)&gt;=helpsheet!$L$17,rate_vatRU_from_26,rate_vatRu_till_25),0)</f>
        <v/>
      </c>
      <c r="AP1749" s="193">
        <f>AN1749-AO1749</f>
        <v/>
      </c>
      <c r="AQ1749" s="118">
        <f>IF(offer_sale_type="транзит",SUM(AF1749:AI1749,BA1749,BB1749),0)</f>
        <v/>
      </c>
      <c r="AR1749" s="82">
        <f>HYPERLINK("https://www.alta.ru/tnved/code/")&amp;W1749&amp;"/"</f>
        <v/>
      </c>
      <c r="AS1749" s="157" t="n"/>
      <c r="AT1749" s="162" t="n"/>
      <c r="AU1749" s="76">
        <f>IF(ISBLANK(AT1749),0,AJ1749-AT1749)</f>
        <v/>
      </c>
      <c r="AV1749" s="157" t="n"/>
      <c r="AW1749" s="75">
        <f>_xlfn.IFNA(VLOOKUP(L1749,list_vat[],3,FALSE),0)</f>
        <v/>
      </c>
      <c r="AX1749" s="76">
        <f>IFERROR(ROUND(S1749*(1+AW1749)/E1749,2),0)</f>
        <v/>
      </c>
      <c r="AY1749" s="76">
        <f>E1749*AX1749</f>
        <v/>
      </c>
      <c r="AZ1749" s="192">
        <f>S1749*(1+M1749)</f>
        <v/>
      </c>
      <c r="BA1749" s="76">
        <f>cost_fin_total*$BD1749</f>
        <v/>
      </c>
      <c r="BB1749" s="193">
        <f>credit_sales_interest*BD1749</f>
        <v/>
      </c>
      <c r="BC1749" s="102">
        <f>IFERROR(IF($I$13&gt;0,$I1749/$I$13,$S1749/$S$13),0)</f>
        <v/>
      </c>
      <c r="BD1749" s="102">
        <f>IFERROR($S1749/$S$13,0)</f>
        <v/>
      </c>
      <c r="BE1749" s="413" t="inlineStr">
        <is>
          <t>$</t>
        </is>
      </c>
    </row>
    <row r="1750" ht="12" customFormat="1" customHeight="1" s="65">
      <c r="A1750" s="43" t="n">
        <v>1735</v>
      </c>
      <c r="B1750" s="166" t="n"/>
      <c r="C1750" s="166" t="n"/>
      <c r="D1750" s="166" t="n"/>
      <c r="E1750" s="162" t="n"/>
      <c r="F1750" s="166" t="n"/>
      <c r="G1750" s="162" t="n"/>
      <c r="H1750" s="162" t="n"/>
      <c r="I1750" s="189">
        <f>E1750*G1750</f>
        <v/>
      </c>
      <c r="J1750" s="195" t="n"/>
      <c r="K1750" s="162" t="n"/>
      <c r="L1750" s="168" t="n"/>
      <c r="M1750" s="75">
        <f>_xlfn.XLOOKUP(L1750,list_vat[Страна],list_vat[Ставка НДС %],0,0)</f>
        <v/>
      </c>
      <c r="N1750" s="162">
        <f>IFERROR(IF(L1750="Китай",K1750,K1750/(1+M1750)),0)</f>
        <v/>
      </c>
      <c r="O1750" s="169" t="n"/>
      <c r="P1750" s="76">
        <f>N1750*(1-O1750)</f>
        <v/>
      </c>
      <c r="Q1750" s="162" t="n"/>
      <c r="R1750" s="162">
        <f>IF(ISBLANK(Q1750),"введи курс",P1750/Q1750)</f>
        <v/>
      </c>
      <c r="S1750" s="196">
        <f>IF(AND(ISNUMBER(E1750),ISNUMBER(Q1750)),E1750*R1750,0)</f>
        <v/>
      </c>
      <c r="T1750" s="192">
        <f>$BC1750*V$11</f>
        <v/>
      </c>
      <c r="U1750" s="76">
        <f>$BC1750*W$11</f>
        <v/>
      </c>
      <c r="V1750" s="193">
        <f>+SUM(T1750:U1750)</f>
        <v/>
      </c>
      <c r="W1750" s="191" t="n"/>
      <c r="X1750" s="170" t="n"/>
      <c r="Y1750" s="76">
        <f>ROUND(IF(offer_incoterms="DDP",X1750*(S1750*(1+AW1750)+T1750),0),2)</f>
        <v/>
      </c>
      <c r="Z1750" s="188" t="n"/>
      <c r="AA1750" s="192">
        <f>IFERROR(AB1750/E1750,0)</f>
        <v/>
      </c>
      <c r="AB1750" s="76">
        <f>ROUND(SUM(S1750,V1750,Y1750:Z1750,BA1750:BB1750),2)</f>
        <v/>
      </c>
      <c r="AC1750" s="797" t="n"/>
      <c r="AD1750" s="192">
        <f t="array" ref="AD1750">IFERROR(ROUND((_xlfn.IFS(offer_sale_type="поставка",AB1750,offer_sale_type="транзит",S1750)*(1+AC1750))/E1750,2),0)</f>
        <v/>
      </c>
      <c r="AE1750" s="76">
        <f>AD1750*E1750</f>
        <v/>
      </c>
      <c r="AF1750" s="193">
        <f t="array" ref="AF1750">IFERROR(ROUND(_xlfn.IFS(offer_sale_type="поставка",AB1750,offer_sale_type="транзит",S1750)*AC1750,2),0)</f>
        <v/>
      </c>
      <c r="AG1750" s="192">
        <f>$BD1750*VLOOKUP($AG$3,$AF$4:$AG$7,2,FALSE)</f>
        <v/>
      </c>
      <c r="AH1750" s="76">
        <f>SUM(AE1750,AG1750,AI1750)*rate_forex_risk</f>
        <v/>
      </c>
      <c r="AI1750" s="193">
        <f>IF(OR(seller_region="TR",offer_sale_type="экспорт"),0,rate_fin_comm)*SUM(AZ1750,AZ1750*AW1750,T1750)</f>
        <v/>
      </c>
      <c r="AJ1750" s="118">
        <f>IFERROR(ROUND(SUM(AB1750,AF1750:AI1750)/E1750,2),0)</f>
        <v/>
      </c>
      <c r="AK1750" s="76">
        <f>AJ1750*E1750</f>
        <v/>
      </c>
      <c r="AL1750" s="174">
        <f>ROUND(IFERROR(AM1750*E1750,0),2)</f>
        <v/>
      </c>
      <c r="AM1750" s="175">
        <f>ROUND(AJ1750*(1+IF(offer_incoterms="DDP",IF((TODAY()+offer_turnaround_time)&gt;=helpsheet!$L$17,rate_vatRU_from_26,rate_vatRu_till_25),0)),2)</f>
        <v/>
      </c>
      <c r="AN1750" s="192">
        <f>AL1750-AK1750</f>
        <v/>
      </c>
      <c r="AO1750" s="76">
        <f>SUM(AY1750,Y1750:Z1750,T1750)*IF(AND(offer_incoterms="DDP",offer_sale_type&lt;&gt;"экспорт"),IF((TODAY()+offer_turnaround_time)&gt;=helpsheet!$L$17,rate_vatRU_from_26,rate_vatRu_till_25),0)</f>
        <v/>
      </c>
      <c r="AP1750" s="193">
        <f>AN1750-AO1750</f>
        <v/>
      </c>
      <c r="AQ1750" s="118">
        <f>IF(offer_sale_type="транзит",SUM(AF1750:AI1750,BA1750,BB1750),0)</f>
        <v/>
      </c>
      <c r="AR1750" s="82">
        <f>HYPERLINK("https://www.alta.ru/tnved/code/")&amp;W1750&amp;"/"</f>
        <v/>
      </c>
      <c r="AS1750" s="157" t="n"/>
      <c r="AT1750" s="162" t="n"/>
      <c r="AU1750" s="76">
        <f>IF(ISBLANK(AT1750),0,AJ1750-AT1750)</f>
        <v/>
      </c>
      <c r="AV1750" s="157" t="n"/>
      <c r="AW1750" s="75">
        <f>_xlfn.IFNA(VLOOKUP(L1750,list_vat[],3,FALSE),0)</f>
        <v/>
      </c>
      <c r="AX1750" s="76">
        <f>IFERROR(ROUND(S1750*(1+AW1750)/E1750,2),0)</f>
        <v/>
      </c>
      <c r="AY1750" s="76">
        <f>E1750*AX1750</f>
        <v/>
      </c>
      <c r="AZ1750" s="192">
        <f>S1750*(1+M1750)</f>
        <v/>
      </c>
      <c r="BA1750" s="76">
        <f>cost_fin_total*$BD1750</f>
        <v/>
      </c>
      <c r="BB1750" s="193">
        <f>credit_sales_interest*BD1750</f>
        <v/>
      </c>
      <c r="BC1750" s="102">
        <f>IFERROR(IF($I$13&gt;0,$I1750/$I$13,$S1750/$S$13),0)</f>
        <v/>
      </c>
      <c r="BD1750" s="102">
        <f>IFERROR($S1750/$S$13,0)</f>
        <v/>
      </c>
      <c r="BE1750" s="413" t="inlineStr">
        <is>
          <t>$</t>
        </is>
      </c>
    </row>
    <row r="1751" ht="12" customFormat="1" customHeight="1" s="65">
      <c r="A1751" s="43" t="n">
        <v>1736</v>
      </c>
      <c r="B1751" s="166" t="n"/>
      <c r="C1751" s="166" t="n"/>
      <c r="D1751" s="166" t="n"/>
      <c r="E1751" s="162" t="n"/>
      <c r="F1751" s="166" t="n"/>
      <c r="G1751" s="162" t="n"/>
      <c r="H1751" s="162" t="n"/>
      <c r="I1751" s="189">
        <f>E1751*G1751</f>
        <v/>
      </c>
      <c r="J1751" s="195" t="n"/>
      <c r="K1751" s="162" t="n"/>
      <c r="L1751" s="168" t="n"/>
      <c r="M1751" s="75">
        <f>_xlfn.XLOOKUP(L1751,list_vat[Страна],list_vat[Ставка НДС %],0,0)</f>
        <v/>
      </c>
      <c r="N1751" s="162">
        <f>IFERROR(IF(L1751="Китай",K1751,K1751/(1+M1751)),0)</f>
        <v/>
      </c>
      <c r="O1751" s="169" t="n"/>
      <c r="P1751" s="76">
        <f>N1751*(1-O1751)</f>
        <v/>
      </c>
      <c r="Q1751" s="162" t="n"/>
      <c r="R1751" s="162">
        <f>IF(ISBLANK(Q1751),"введи курс",P1751/Q1751)</f>
        <v/>
      </c>
      <c r="S1751" s="196">
        <f>IF(AND(ISNUMBER(E1751),ISNUMBER(Q1751)),E1751*R1751,0)</f>
        <v/>
      </c>
      <c r="T1751" s="192">
        <f>$BC1751*V$11</f>
        <v/>
      </c>
      <c r="U1751" s="76">
        <f>$BC1751*W$11</f>
        <v/>
      </c>
      <c r="V1751" s="193">
        <f>+SUM(T1751:U1751)</f>
        <v/>
      </c>
      <c r="W1751" s="191" t="n"/>
      <c r="X1751" s="170" t="n"/>
      <c r="Y1751" s="76">
        <f>ROUND(IF(offer_incoterms="DDP",X1751*(S1751*(1+AW1751)+T1751),0),2)</f>
        <v/>
      </c>
      <c r="Z1751" s="188" t="n"/>
      <c r="AA1751" s="192">
        <f>IFERROR(AB1751/E1751,0)</f>
        <v/>
      </c>
      <c r="AB1751" s="76">
        <f>ROUND(SUM(S1751,V1751,Y1751:Z1751,BA1751:BB1751),2)</f>
        <v/>
      </c>
      <c r="AC1751" s="797" t="n"/>
      <c r="AD1751" s="192">
        <f t="array" ref="AD1751">IFERROR(ROUND((_xlfn.IFS(offer_sale_type="поставка",AB1751,offer_sale_type="транзит",S1751)*(1+AC1751))/E1751,2),0)</f>
        <v/>
      </c>
      <c r="AE1751" s="76">
        <f>AD1751*E1751</f>
        <v/>
      </c>
      <c r="AF1751" s="193">
        <f t="array" ref="AF1751">IFERROR(ROUND(_xlfn.IFS(offer_sale_type="поставка",AB1751,offer_sale_type="транзит",S1751)*AC1751,2),0)</f>
        <v/>
      </c>
      <c r="AG1751" s="192">
        <f>$BD1751*VLOOKUP($AG$3,$AF$4:$AG$7,2,FALSE)</f>
        <v/>
      </c>
      <c r="AH1751" s="76">
        <f>SUM(AE1751,AG1751,AI1751)*rate_forex_risk</f>
        <v/>
      </c>
      <c r="AI1751" s="193">
        <f>IF(OR(seller_region="TR",offer_sale_type="экспорт"),0,rate_fin_comm)*SUM(AZ1751,AZ1751*AW1751,T1751)</f>
        <v/>
      </c>
      <c r="AJ1751" s="118">
        <f>IFERROR(ROUND(SUM(AB1751,AF1751:AI1751)/E1751,2),0)</f>
        <v/>
      </c>
      <c r="AK1751" s="76">
        <f>AJ1751*E1751</f>
        <v/>
      </c>
      <c r="AL1751" s="174">
        <f>ROUND(IFERROR(AM1751*E1751,0),2)</f>
        <v/>
      </c>
      <c r="AM1751" s="175">
        <f>ROUND(AJ1751*(1+IF(offer_incoterms="DDP",IF((TODAY()+offer_turnaround_time)&gt;=helpsheet!$L$17,rate_vatRU_from_26,rate_vatRu_till_25),0)),2)</f>
        <v/>
      </c>
      <c r="AN1751" s="192">
        <f>AL1751-AK1751</f>
        <v/>
      </c>
      <c r="AO1751" s="76">
        <f>SUM(AY1751,Y1751:Z1751,T1751)*IF(AND(offer_incoterms="DDP",offer_sale_type&lt;&gt;"экспорт"),IF((TODAY()+offer_turnaround_time)&gt;=helpsheet!$L$17,rate_vatRU_from_26,rate_vatRu_till_25),0)</f>
        <v/>
      </c>
      <c r="AP1751" s="193">
        <f>AN1751-AO1751</f>
        <v/>
      </c>
      <c r="AQ1751" s="118">
        <f>IF(offer_sale_type="транзит",SUM(AF1751:AI1751,BA1751,BB1751),0)</f>
        <v/>
      </c>
      <c r="AR1751" s="82">
        <f>HYPERLINK("https://www.alta.ru/tnved/code/")&amp;W1751&amp;"/"</f>
        <v/>
      </c>
      <c r="AS1751" s="157" t="n"/>
      <c r="AT1751" s="162" t="n"/>
      <c r="AU1751" s="76">
        <f>IF(ISBLANK(AT1751),0,AJ1751-AT1751)</f>
        <v/>
      </c>
      <c r="AV1751" s="157" t="n"/>
      <c r="AW1751" s="75">
        <f>_xlfn.IFNA(VLOOKUP(L1751,list_vat[],3,FALSE),0)</f>
        <v/>
      </c>
      <c r="AX1751" s="76">
        <f>IFERROR(ROUND(S1751*(1+AW1751)/E1751,2),0)</f>
        <v/>
      </c>
      <c r="AY1751" s="76">
        <f>E1751*AX1751</f>
        <v/>
      </c>
      <c r="AZ1751" s="192">
        <f>S1751*(1+M1751)</f>
        <v/>
      </c>
      <c r="BA1751" s="76">
        <f>cost_fin_total*$BD1751</f>
        <v/>
      </c>
      <c r="BB1751" s="193">
        <f>credit_sales_interest*BD1751</f>
        <v/>
      </c>
      <c r="BC1751" s="102">
        <f>IFERROR(IF($I$13&gt;0,$I1751/$I$13,$S1751/$S$13),0)</f>
        <v/>
      </c>
      <c r="BD1751" s="102">
        <f>IFERROR($S1751/$S$13,0)</f>
        <v/>
      </c>
      <c r="BE1751" s="413" t="inlineStr">
        <is>
          <t>$</t>
        </is>
      </c>
    </row>
    <row r="1752" ht="12" customFormat="1" customHeight="1" s="65">
      <c r="A1752" s="43" t="n">
        <v>1737</v>
      </c>
      <c r="B1752" s="166" t="n"/>
      <c r="C1752" s="166" t="n"/>
      <c r="D1752" s="166" t="n"/>
      <c r="E1752" s="162" t="n"/>
      <c r="F1752" s="166" t="n"/>
      <c r="G1752" s="162" t="n"/>
      <c r="H1752" s="162" t="n"/>
      <c r="I1752" s="189">
        <f>E1752*G1752</f>
        <v/>
      </c>
      <c r="J1752" s="195" t="n"/>
      <c r="K1752" s="162" t="n"/>
      <c r="L1752" s="168" t="n"/>
      <c r="M1752" s="75">
        <f>_xlfn.XLOOKUP(L1752,list_vat[Страна],list_vat[Ставка НДС %],0,0)</f>
        <v/>
      </c>
      <c r="N1752" s="162">
        <f>IFERROR(IF(L1752="Китай",K1752,K1752/(1+M1752)),0)</f>
        <v/>
      </c>
      <c r="O1752" s="169" t="n"/>
      <c r="P1752" s="76">
        <f>N1752*(1-O1752)</f>
        <v/>
      </c>
      <c r="Q1752" s="162" t="n"/>
      <c r="R1752" s="162">
        <f>IF(ISBLANK(Q1752),"введи курс",P1752/Q1752)</f>
        <v/>
      </c>
      <c r="S1752" s="196">
        <f>IF(AND(ISNUMBER(E1752),ISNUMBER(Q1752)),E1752*R1752,0)</f>
        <v/>
      </c>
      <c r="T1752" s="192">
        <f>$BC1752*V$11</f>
        <v/>
      </c>
      <c r="U1752" s="76">
        <f>$BC1752*W$11</f>
        <v/>
      </c>
      <c r="V1752" s="193">
        <f>+SUM(T1752:U1752)</f>
        <v/>
      </c>
      <c r="W1752" s="191" t="n"/>
      <c r="X1752" s="170" t="n"/>
      <c r="Y1752" s="76">
        <f>ROUND(IF(offer_incoterms="DDP",X1752*(S1752*(1+AW1752)+T1752),0),2)</f>
        <v/>
      </c>
      <c r="Z1752" s="188" t="n"/>
      <c r="AA1752" s="192">
        <f>IFERROR(AB1752/E1752,0)</f>
        <v/>
      </c>
      <c r="AB1752" s="76">
        <f>ROUND(SUM(S1752,V1752,Y1752:Z1752,BA1752:BB1752),2)</f>
        <v/>
      </c>
      <c r="AC1752" s="797" t="n"/>
      <c r="AD1752" s="192">
        <f t="array" ref="AD1752">IFERROR(ROUND((_xlfn.IFS(offer_sale_type="поставка",AB1752,offer_sale_type="транзит",S1752)*(1+AC1752))/E1752,2),0)</f>
        <v/>
      </c>
      <c r="AE1752" s="76">
        <f>AD1752*E1752</f>
        <v/>
      </c>
      <c r="AF1752" s="193">
        <f t="array" ref="AF1752">IFERROR(ROUND(_xlfn.IFS(offer_sale_type="поставка",AB1752,offer_sale_type="транзит",S1752)*AC1752,2),0)</f>
        <v/>
      </c>
      <c r="AG1752" s="192">
        <f>$BD1752*VLOOKUP($AG$3,$AF$4:$AG$7,2,FALSE)</f>
        <v/>
      </c>
      <c r="AH1752" s="76">
        <f>SUM(AE1752,AG1752,AI1752)*rate_forex_risk</f>
        <v/>
      </c>
      <c r="AI1752" s="193">
        <f>IF(OR(seller_region="TR",offer_sale_type="экспорт"),0,rate_fin_comm)*SUM(AZ1752,AZ1752*AW1752,T1752)</f>
        <v/>
      </c>
      <c r="AJ1752" s="118">
        <f>IFERROR(ROUND(SUM(AB1752,AF1752:AI1752)/E1752,2),0)</f>
        <v/>
      </c>
      <c r="AK1752" s="76">
        <f>AJ1752*E1752</f>
        <v/>
      </c>
      <c r="AL1752" s="174">
        <f>ROUND(IFERROR(AM1752*E1752,0),2)</f>
        <v/>
      </c>
      <c r="AM1752" s="175">
        <f>ROUND(AJ1752*(1+IF(offer_incoterms="DDP",IF((TODAY()+offer_turnaround_time)&gt;=helpsheet!$L$17,rate_vatRU_from_26,rate_vatRu_till_25),0)),2)</f>
        <v/>
      </c>
      <c r="AN1752" s="192">
        <f>AL1752-AK1752</f>
        <v/>
      </c>
      <c r="AO1752" s="76">
        <f>SUM(AY1752,Y1752:Z1752,T1752)*IF(AND(offer_incoterms="DDP",offer_sale_type&lt;&gt;"экспорт"),IF((TODAY()+offer_turnaround_time)&gt;=helpsheet!$L$17,rate_vatRU_from_26,rate_vatRu_till_25),0)</f>
        <v/>
      </c>
      <c r="AP1752" s="193">
        <f>AN1752-AO1752</f>
        <v/>
      </c>
      <c r="AQ1752" s="118">
        <f>IF(offer_sale_type="транзит",SUM(AF1752:AI1752,BA1752,BB1752),0)</f>
        <v/>
      </c>
      <c r="AR1752" s="82">
        <f>HYPERLINK("https://www.alta.ru/tnved/code/")&amp;W1752&amp;"/"</f>
        <v/>
      </c>
      <c r="AS1752" s="157" t="n"/>
      <c r="AT1752" s="162" t="n"/>
      <c r="AU1752" s="76">
        <f>IF(ISBLANK(AT1752),0,AJ1752-AT1752)</f>
        <v/>
      </c>
      <c r="AV1752" s="157" t="n"/>
      <c r="AW1752" s="75">
        <f>_xlfn.IFNA(VLOOKUP(L1752,list_vat[],3,FALSE),0)</f>
        <v/>
      </c>
      <c r="AX1752" s="76">
        <f>IFERROR(ROUND(S1752*(1+AW1752)/E1752,2),0)</f>
        <v/>
      </c>
      <c r="AY1752" s="76">
        <f>E1752*AX1752</f>
        <v/>
      </c>
      <c r="AZ1752" s="192">
        <f>S1752*(1+M1752)</f>
        <v/>
      </c>
      <c r="BA1752" s="76">
        <f>cost_fin_total*$BD1752</f>
        <v/>
      </c>
      <c r="BB1752" s="193">
        <f>credit_sales_interest*BD1752</f>
        <v/>
      </c>
      <c r="BC1752" s="102">
        <f>IFERROR(IF($I$13&gt;0,$I1752/$I$13,$S1752/$S$13),0)</f>
        <v/>
      </c>
      <c r="BD1752" s="102">
        <f>IFERROR($S1752/$S$13,0)</f>
        <v/>
      </c>
      <c r="BE1752" s="413" t="inlineStr">
        <is>
          <t>$</t>
        </is>
      </c>
    </row>
    <row r="1753" ht="12" customFormat="1" customHeight="1" s="65">
      <c r="A1753" s="43" t="n">
        <v>1738</v>
      </c>
      <c r="B1753" s="166" t="n"/>
      <c r="C1753" s="166" t="n"/>
      <c r="D1753" s="166" t="n"/>
      <c r="E1753" s="162" t="n"/>
      <c r="F1753" s="166" t="n"/>
      <c r="G1753" s="162" t="n"/>
      <c r="H1753" s="162" t="n"/>
      <c r="I1753" s="189">
        <f>E1753*G1753</f>
        <v/>
      </c>
      <c r="J1753" s="195" t="n"/>
      <c r="K1753" s="162" t="n"/>
      <c r="L1753" s="168" t="n"/>
      <c r="M1753" s="75">
        <f>_xlfn.XLOOKUP(L1753,list_vat[Страна],list_vat[Ставка НДС %],0,0)</f>
        <v/>
      </c>
      <c r="N1753" s="162">
        <f>IFERROR(IF(L1753="Китай",K1753,K1753/(1+M1753)),0)</f>
        <v/>
      </c>
      <c r="O1753" s="169" t="n"/>
      <c r="P1753" s="76">
        <f>N1753*(1-O1753)</f>
        <v/>
      </c>
      <c r="Q1753" s="162" t="n"/>
      <c r="R1753" s="162">
        <f>IF(ISBLANK(Q1753),"введи курс",P1753/Q1753)</f>
        <v/>
      </c>
      <c r="S1753" s="196">
        <f>IF(AND(ISNUMBER(E1753),ISNUMBER(Q1753)),E1753*R1753,0)</f>
        <v/>
      </c>
      <c r="T1753" s="192">
        <f>$BC1753*V$11</f>
        <v/>
      </c>
      <c r="U1753" s="76">
        <f>$BC1753*W$11</f>
        <v/>
      </c>
      <c r="V1753" s="193">
        <f>+SUM(T1753:U1753)</f>
        <v/>
      </c>
      <c r="W1753" s="191" t="n"/>
      <c r="X1753" s="170" t="n"/>
      <c r="Y1753" s="76">
        <f>ROUND(IF(offer_incoterms="DDP",X1753*(S1753*(1+AW1753)+T1753),0),2)</f>
        <v/>
      </c>
      <c r="Z1753" s="188" t="n"/>
      <c r="AA1753" s="192">
        <f>IFERROR(AB1753/E1753,0)</f>
        <v/>
      </c>
      <c r="AB1753" s="76">
        <f>ROUND(SUM(S1753,V1753,Y1753:Z1753,BA1753:BB1753),2)</f>
        <v/>
      </c>
      <c r="AC1753" s="797" t="n"/>
      <c r="AD1753" s="192">
        <f t="array" ref="AD1753">IFERROR(ROUND((_xlfn.IFS(offer_sale_type="поставка",AB1753,offer_sale_type="транзит",S1753)*(1+AC1753))/E1753,2),0)</f>
        <v/>
      </c>
      <c r="AE1753" s="76">
        <f>AD1753*E1753</f>
        <v/>
      </c>
      <c r="AF1753" s="193">
        <f t="array" ref="AF1753">IFERROR(ROUND(_xlfn.IFS(offer_sale_type="поставка",AB1753,offer_sale_type="транзит",S1753)*AC1753,2),0)</f>
        <v/>
      </c>
      <c r="AG1753" s="192">
        <f>$BD1753*VLOOKUP($AG$3,$AF$4:$AG$7,2,FALSE)</f>
        <v/>
      </c>
      <c r="AH1753" s="76">
        <f>SUM(AE1753,AG1753,AI1753)*rate_forex_risk</f>
        <v/>
      </c>
      <c r="AI1753" s="193">
        <f>IF(OR(seller_region="TR",offer_sale_type="экспорт"),0,rate_fin_comm)*SUM(AZ1753,AZ1753*AW1753,T1753)</f>
        <v/>
      </c>
      <c r="AJ1753" s="118">
        <f>IFERROR(ROUND(SUM(AB1753,AF1753:AI1753)/E1753,2),0)</f>
        <v/>
      </c>
      <c r="AK1753" s="76">
        <f>AJ1753*E1753</f>
        <v/>
      </c>
      <c r="AL1753" s="174">
        <f>ROUND(IFERROR(AM1753*E1753,0),2)</f>
        <v/>
      </c>
      <c r="AM1753" s="175">
        <f>ROUND(AJ1753*(1+IF(offer_incoterms="DDP",IF((TODAY()+offer_turnaround_time)&gt;=helpsheet!$L$17,rate_vatRU_from_26,rate_vatRu_till_25),0)),2)</f>
        <v/>
      </c>
      <c r="AN1753" s="192">
        <f>AL1753-AK1753</f>
        <v/>
      </c>
      <c r="AO1753" s="76">
        <f>SUM(AY1753,Y1753:Z1753,T1753)*IF(AND(offer_incoterms="DDP",offer_sale_type&lt;&gt;"экспорт"),IF((TODAY()+offer_turnaround_time)&gt;=helpsheet!$L$17,rate_vatRU_from_26,rate_vatRu_till_25),0)</f>
        <v/>
      </c>
      <c r="AP1753" s="193">
        <f>AN1753-AO1753</f>
        <v/>
      </c>
      <c r="AQ1753" s="118">
        <f>IF(offer_sale_type="транзит",SUM(AF1753:AI1753,BA1753,BB1753),0)</f>
        <v/>
      </c>
      <c r="AR1753" s="82">
        <f>HYPERLINK("https://www.alta.ru/tnved/code/")&amp;W1753&amp;"/"</f>
        <v/>
      </c>
      <c r="AS1753" s="157" t="n"/>
      <c r="AT1753" s="162" t="n"/>
      <c r="AU1753" s="76">
        <f>IF(ISBLANK(AT1753),0,AJ1753-AT1753)</f>
        <v/>
      </c>
      <c r="AV1753" s="157" t="n"/>
      <c r="AW1753" s="75">
        <f>_xlfn.IFNA(VLOOKUP(L1753,list_vat[],3,FALSE),0)</f>
        <v/>
      </c>
      <c r="AX1753" s="76">
        <f>IFERROR(ROUND(S1753*(1+AW1753)/E1753,2),0)</f>
        <v/>
      </c>
      <c r="AY1753" s="76">
        <f>E1753*AX1753</f>
        <v/>
      </c>
      <c r="AZ1753" s="192">
        <f>S1753*(1+M1753)</f>
        <v/>
      </c>
      <c r="BA1753" s="76">
        <f>cost_fin_total*$BD1753</f>
        <v/>
      </c>
      <c r="BB1753" s="193">
        <f>credit_sales_interest*BD1753</f>
        <v/>
      </c>
      <c r="BC1753" s="102">
        <f>IFERROR(IF($I$13&gt;0,$I1753/$I$13,$S1753/$S$13),0)</f>
        <v/>
      </c>
      <c r="BD1753" s="102">
        <f>IFERROR($S1753/$S$13,0)</f>
        <v/>
      </c>
      <c r="BE1753" s="413" t="inlineStr">
        <is>
          <t>$</t>
        </is>
      </c>
    </row>
    <row r="1754" ht="12" customFormat="1" customHeight="1" s="65">
      <c r="A1754" s="43" t="n">
        <v>1739</v>
      </c>
      <c r="B1754" s="166" t="n"/>
      <c r="C1754" s="166" t="n"/>
      <c r="D1754" s="166" t="n"/>
      <c r="E1754" s="162" t="n"/>
      <c r="F1754" s="166" t="n"/>
      <c r="G1754" s="162" t="n"/>
      <c r="H1754" s="162" t="n"/>
      <c r="I1754" s="189">
        <f>E1754*G1754</f>
        <v/>
      </c>
      <c r="J1754" s="195" t="n"/>
      <c r="K1754" s="162" t="n"/>
      <c r="L1754" s="168" t="n"/>
      <c r="M1754" s="75">
        <f>_xlfn.XLOOKUP(L1754,list_vat[Страна],list_vat[Ставка НДС %],0,0)</f>
        <v/>
      </c>
      <c r="N1754" s="162">
        <f>IFERROR(IF(L1754="Китай",K1754,K1754/(1+M1754)),0)</f>
        <v/>
      </c>
      <c r="O1754" s="169" t="n"/>
      <c r="P1754" s="76">
        <f>N1754*(1-O1754)</f>
        <v/>
      </c>
      <c r="Q1754" s="162" t="n"/>
      <c r="R1754" s="162">
        <f>IF(ISBLANK(Q1754),"введи курс",P1754/Q1754)</f>
        <v/>
      </c>
      <c r="S1754" s="196">
        <f>IF(AND(ISNUMBER(E1754),ISNUMBER(Q1754)),E1754*R1754,0)</f>
        <v/>
      </c>
      <c r="T1754" s="192">
        <f>$BC1754*V$11</f>
        <v/>
      </c>
      <c r="U1754" s="76">
        <f>$BC1754*W$11</f>
        <v/>
      </c>
      <c r="V1754" s="193">
        <f>+SUM(T1754:U1754)</f>
        <v/>
      </c>
      <c r="W1754" s="191" t="n"/>
      <c r="X1754" s="170" t="n"/>
      <c r="Y1754" s="76">
        <f>ROUND(IF(offer_incoterms="DDP",X1754*(S1754*(1+AW1754)+T1754),0),2)</f>
        <v/>
      </c>
      <c r="Z1754" s="188" t="n"/>
      <c r="AA1754" s="192">
        <f>IFERROR(AB1754/E1754,0)</f>
        <v/>
      </c>
      <c r="AB1754" s="76">
        <f>ROUND(SUM(S1754,V1754,Y1754:Z1754,BA1754:BB1754),2)</f>
        <v/>
      </c>
      <c r="AC1754" s="797" t="n"/>
      <c r="AD1754" s="192">
        <f t="array" ref="AD1754">IFERROR(ROUND((_xlfn.IFS(offer_sale_type="поставка",AB1754,offer_sale_type="транзит",S1754)*(1+AC1754))/E1754,2),0)</f>
        <v/>
      </c>
      <c r="AE1754" s="76">
        <f>AD1754*E1754</f>
        <v/>
      </c>
      <c r="AF1754" s="193">
        <f t="array" ref="AF1754">IFERROR(ROUND(_xlfn.IFS(offer_sale_type="поставка",AB1754,offer_sale_type="транзит",S1754)*AC1754,2),0)</f>
        <v/>
      </c>
      <c r="AG1754" s="192">
        <f>$BD1754*VLOOKUP($AG$3,$AF$4:$AG$7,2,FALSE)</f>
        <v/>
      </c>
      <c r="AH1754" s="76">
        <f>SUM(AE1754,AG1754,AI1754)*rate_forex_risk</f>
        <v/>
      </c>
      <c r="AI1754" s="193">
        <f>IF(OR(seller_region="TR",offer_sale_type="экспорт"),0,rate_fin_comm)*SUM(AZ1754,AZ1754*AW1754,T1754)</f>
        <v/>
      </c>
      <c r="AJ1754" s="118">
        <f>IFERROR(ROUND(SUM(AB1754,AF1754:AI1754)/E1754,2),0)</f>
        <v/>
      </c>
      <c r="AK1754" s="76">
        <f>AJ1754*E1754</f>
        <v/>
      </c>
      <c r="AL1754" s="174">
        <f>ROUND(IFERROR(AM1754*E1754,0),2)</f>
        <v/>
      </c>
      <c r="AM1754" s="175">
        <f>ROUND(AJ1754*(1+IF(offer_incoterms="DDP",IF((TODAY()+offer_turnaround_time)&gt;=helpsheet!$L$17,rate_vatRU_from_26,rate_vatRu_till_25),0)),2)</f>
        <v/>
      </c>
      <c r="AN1754" s="192">
        <f>AL1754-AK1754</f>
        <v/>
      </c>
      <c r="AO1754" s="76">
        <f>SUM(AY1754,Y1754:Z1754,T1754)*IF(AND(offer_incoterms="DDP",offer_sale_type&lt;&gt;"экспорт"),IF((TODAY()+offer_turnaround_time)&gt;=helpsheet!$L$17,rate_vatRU_from_26,rate_vatRu_till_25),0)</f>
        <v/>
      </c>
      <c r="AP1754" s="193">
        <f>AN1754-AO1754</f>
        <v/>
      </c>
      <c r="AQ1754" s="118">
        <f>IF(offer_sale_type="транзит",SUM(AF1754:AI1754,BA1754,BB1754),0)</f>
        <v/>
      </c>
      <c r="AR1754" s="82">
        <f>HYPERLINK("https://www.alta.ru/tnved/code/")&amp;W1754&amp;"/"</f>
        <v/>
      </c>
      <c r="AS1754" s="157" t="n"/>
      <c r="AT1754" s="162" t="n"/>
      <c r="AU1754" s="76">
        <f>IF(ISBLANK(AT1754),0,AJ1754-AT1754)</f>
        <v/>
      </c>
      <c r="AV1754" s="157" t="n"/>
      <c r="AW1754" s="75">
        <f>_xlfn.IFNA(VLOOKUP(L1754,list_vat[],3,FALSE),0)</f>
        <v/>
      </c>
      <c r="AX1754" s="76">
        <f>IFERROR(ROUND(S1754*(1+AW1754)/E1754,2),0)</f>
        <v/>
      </c>
      <c r="AY1754" s="76">
        <f>E1754*AX1754</f>
        <v/>
      </c>
      <c r="AZ1754" s="192">
        <f>S1754*(1+M1754)</f>
        <v/>
      </c>
      <c r="BA1754" s="76">
        <f>cost_fin_total*$BD1754</f>
        <v/>
      </c>
      <c r="BB1754" s="193">
        <f>credit_sales_interest*BD1754</f>
        <v/>
      </c>
      <c r="BC1754" s="102">
        <f>IFERROR(IF($I$13&gt;0,$I1754/$I$13,$S1754/$S$13),0)</f>
        <v/>
      </c>
      <c r="BD1754" s="102">
        <f>IFERROR($S1754/$S$13,0)</f>
        <v/>
      </c>
      <c r="BE1754" s="413" t="inlineStr">
        <is>
          <t>$</t>
        </is>
      </c>
    </row>
    <row r="1755" ht="12" customFormat="1" customHeight="1" s="65">
      <c r="A1755" s="43" t="n">
        <v>1740</v>
      </c>
      <c r="B1755" s="166" t="n"/>
      <c r="C1755" s="166" t="n"/>
      <c r="D1755" s="166" t="n"/>
      <c r="E1755" s="162" t="n"/>
      <c r="F1755" s="166" t="n"/>
      <c r="G1755" s="162" t="n"/>
      <c r="H1755" s="162" t="n"/>
      <c r="I1755" s="189">
        <f>E1755*G1755</f>
        <v/>
      </c>
      <c r="J1755" s="195" t="n"/>
      <c r="K1755" s="162" t="n"/>
      <c r="L1755" s="168" t="n"/>
      <c r="M1755" s="75">
        <f>_xlfn.XLOOKUP(L1755,list_vat[Страна],list_vat[Ставка НДС %],0,0)</f>
        <v/>
      </c>
      <c r="N1755" s="162">
        <f>IFERROR(IF(L1755="Китай",K1755,K1755/(1+M1755)),0)</f>
        <v/>
      </c>
      <c r="O1755" s="169" t="n"/>
      <c r="P1755" s="76">
        <f>N1755*(1-O1755)</f>
        <v/>
      </c>
      <c r="Q1755" s="162" t="n"/>
      <c r="R1755" s="162">
        <f>IF(ISBLANK(Q1755),"введи курс",P1755/Q1755)</f>
        <v/>
      </c>
      <c r="S1755" s="196">
        <f>IF(AND(ISNUMBER(E1755),ISNUMBER(Q1755)),E1755*R1755,0)</f>
        <v/>
      </c>
      <c r="T1755" s="192">
        <f>$BC1755*V$11</f>
        <v/>
      </c>
      <c r="U1755" s="76">
        <f>$BC1755*W$11</f>
        <v/>
      </c>
      <c r="V1755" s="193">
        <f>+SUM(T1755:U1755)</f>
        <v/>
      </c>
      <c r="W1755" s="191" t="n"/>
      <c r="X1755" s="170" t="n"/>
      <c r="Y1755" s="76">
        <f>ROUND(IF(offer_incoterms="DDP",X1755*(S1755*(1+AW1755)+T1755),0),2)</f>
        <v/>
      </c>
      <c r="Z1755" s="188" t="n"/>
      <c r="AA1755" s="192">
        <f>IFERROR(AB1755/E1755,0)</f>
        <v/>
      </c>
      <c r="AB1755" s="76">
        <f>ROUND(SUM(S1755,V1755,Y1755:Z1755,BA1755:BB1755),2)</f>
        <v/>
      </c>
      <c r="AC1755" s="797" t="n"/>
      <c r="AD1755" s="192">
        <f t="array" ref="AD1755">IFERROR(ROUND((_xlfn.IFS(offer_sale_type="поставка",AB1755,offer_sale_type="транзит",S1755)*(1+AC1755))/E1755,2),0)</f>
        <v/>
      </c>
      <c r="AE1755" s="76">
        <f>AD1755*E1755</f>
        <v/>
      </c>
      <c r="AF1755" s="193">
        <f t="array" ref="AF1755">IFERROR(ROUND(_xlfn.IFS(offer_sale_type="поставка",AB1755,offer_sale_type="транзит",S1755)*AC1755,2),0)</f>
        <v/>
      </c>
      <c r="AG1755" s="192">
        <f>$BD1755*VLOOKUP($AG$3,$AF$4:$AG$7,2,FALSE)</f>
        <v/>
      </c>
      <c r="AH1755" s="76">
        <f>SUM(AE1755,AG1755,AI1755)*rate_forex_risk</f>
        <v/>
      </c>
      <c r="AI1755" s="193">
        <f>IF(OR(seller_region="TR",offer_sale_type="экспорт"),0,rate_fin_comm)*SUM(AZ1755,AZ1755*AW1755,T1755)</f>
        <v/>
      </c>
      <c r="AJ1755" s="118">
        <f>IFERROR(ROUND(SUM(AB1755,AF1755:AI1755)/E1755,2),0)</f>
        <v/>
      </c>
      <c r="AK1755" s="76">
        <f>AJ1755*E1755</f>
        <v/>
      </c>
      <c r="AL1755" s="174">
        <f>ROUND(IFERROR(AM1755*E1755,0),2)</f>
        <v/>
      </c>
      <c r="AM1755" s="175">
        <f>ROUND(AJ1755*(1+IF(offer_incoterms="DDP",IF((TODAY()+offer_turnaround_time)&gt;=helpsheet!$L$17,rate_vatRU_from_26,rate_vatRu_till_25),0)),2)</f>
        <v/>
      </c>
      <c r="AN1755" s="192">
        <f>AL1755-AK1755</f>
        <v/>
      </c>
      <c r="AO1755" s="76">
        <f>SUM(AY1755,Y1755:Z1755,T1755)*IF(AND(offer_incoterms="DDP",offer_sale_type&lt;&gt;"экспорт"),IF((TODAY()+offer_turnaround_time)&gt;=helpsheet!$L$17,rate_vatRU_from_26,rate_vatRu_till_25),0)</f>
        <v/>
      </c>
      <c r="AP1755" s="193">
        <f>AN1755-AO1755</f>
        <v/>
      </c>
      <c r="AQ1755" s="118">
        <f>IF(offer_sale_type="транзит",SUM(AF1755:AI1755,BA1755,BB1755),0)</f>
        <v/>
      </c>
      <c r="AR1755" s="82">
        <f>HYPERLINK("https://www.alta.ru/tnved/code/")&amp;W1755&amp;"/"</f>
        <v/>
      </c>
      <c r="AS1755" s="157" t="n"/>
      <c r="AT1755" s="162" t="n"/>
      <c r="AU1755" s="76">
        <f>IF(ISBLANK(AT1755),0,AJ1755-AT1755)</f>
        <v/>
      </c>
      <c r="AV1755" s="157" t="n"/>
      <c r="AW1755" s="75">
        <f>_xlfn.IFNA(VLOOKUP(L1755,list_vat[],3,FALSE),0)</f>
        <v/>
      </c>
      <c r="AX1755" s="76">
        <f>IFERROR(ROUND(S1755*(1+AW1755)/E1755,2),0)</f>
        <v/>
      </c>
      <c r="AY1755" s="76">
        <f>E1755*AX1755</f>
        <v/>
      </c>
      <c r="AZ1755" s="192">
        <f>S1755*(1+M1755)</f>
        <v/>
      </c>
      <c r="BA1755" s="76">
        <f>cost_fin_total*$BD1755</f>
        <v/>
      </c>
      <c r="BB1755" s="193">
        <f>credit_sales_interest*BD1755</f>
        <v/>
      </c>
      <c r="BC1755" s="102">
        <f>IFERROR(IF($I$13&gt;0,$I1755/$I$13,$S1755/$S$13),0)</f>
        <v/>
      </c>
      <c r="BD1755" s="102">
        <f>IFERROR($S1755/$S$13,0)</f>
        <v/>
      </c>
      <c r="BE1755" s="413" t="inlineStr">
        <is>
          <t>$</t>
        </is>
      </c>
    </row>
    <row r="1756" ht="12" customFormat="1" customHeight="1" s="65">
      <c r="A1756" s="43" t="n">
        <v>1741</v>
      </c>
      <c r="B1756" s="166" t="n"/>
      <c r="C1756" s="166" t="n"/>
      <c r="D1756" s="166" t="n"/>
      <c r="E1756" s="162" t="n"/>
      <c r="F1756" s="166" t="n"/>
      <c r="G1756" s="162" t="n"/>
      <c r="H1756" s="162" t="n"/>
      <c r="I1756" s="189">
        <f>E1756*G1756</f>
        <v/>
      </c>
      <c r="J1756" s="195" t="n"/>
      <c r="K1756" s="162" t="n"/>
      <c r="L1756" s="168" t="n"/>
      <c r="M1756" s="75">
        <f>_xlfn.XLOOKUP(L1756,list_vat[Страна],list_vat[Ставка НДС %],0,0)</f>
        <v/>
      </c>
      <c r="N1756" s="162">
        <f>IFERROR(IF(L1756="Китай",K1756,K1756/(1+M1756)),0)</f>
        <v/>
      </c>
      <c r="O1756" s="169" t="n"/>
      <c r="P1756" s="76">
        <f>N1756*(1-O1756)</f>
        <v/>
      </c>
      <c r="Q1756" s="162" t="n"/>
      <c r="R1756" s="162">
        <f>IF(ISBLANK(Q1756),"введи курс",P1756/Q1756)</f>
        <v/>
      </c>
      <c r="S1756" s="196">
        <f>IF(AND(ISNUMBER(E1756),ISNUMBER(Q1756)),E1756*R1756,0)</f>
        <v/>
      </c>
      <c r="T1756" s="192">
        <f>$BC1756*V$11</f>
        <v/>
      </c>
      <c r="U1756" s="76">
        <f>$BC1756*W$11</f>
        <v/>
      </c>
      <c r="V1756" s="193">
        <f>+SUM(T1756:U1756)</f>
        <v/>
      </c>
      <c r="W1756" s="191" t="n"/>
      <c r="X1756" s="170" t="n"/>
      <c r="Y1756" s="76">
        <f>ROUND(IF(offer_incoterms="DDP",X1756*(S1756*(1+AW1756)+T1756),0),2)</f>
        <v/>
      </c>
      <c r="Z1756" s="188" t="n"/>
      <c r="AA1756" s="192">
        <f>IFERROR(AB1756/E1756,0)</f>
        <v/>
      </c>
      <c r="AB1756" s="76">
        <f>ROUND(SUM(S1756,V1756,Y1756:Z1756,BA1756:BB1756),2)</f>
        <v/>
      </c>
      <c r="AC1756" s="797" t="n"/>
      <c r="AD1756" s="192">
        <f t="array" ref="AD1756">IFERROR(ROUND((_xlfn.IFS(offer_sale_type="поставка",AB1756,offer_sale_type="транзит",S1756)*(1+AC1756))/E1756,2),0)</f>
        <v/>
      </c>
      <c r="AE1756" s="76">
        <f>AD1756*E1756</f>
        <v/>
      </c>
      <c r="AF1756" s="193">
        <f t="array" ref="AF1756">IFERROR(ROUND(_xlfn.IFS(offer_sale_type="поставка",AB1756,offer_sale_type="транзит",S1756)*AC1756,2),0)</f>
        <v/>
      </c>
      <c r="AG1756" s="192">
        <f>$BD1756*VLOOKUP($AG$3,$AF$4:$AG$7,2,FALSE)</f>
        <v/>
      </c>
      <c r="AH1756" s="76">
        <f>SUM(AE1756,AG1756,AI1756)*rate_forex_risk</f>
        <v/>
      </c>
      <c r="AI1756" s="193">
        <f>IF(OR(seller_region="TR",offer_sale_type="экспорт"),0,rate_fin_comm)*SUM(AZ1756,AZ1756*AW1756,T1756)</f>
        <v/>
      </c>
      <c r="AJ1756" s="118">
        <f>IFERROR(ROUND(SUM(AB1756,AF1756:AI1756)/E1756,2),0)</f>
        <v/>
      </c>
      <c r="AK1756" s="76">
        <f>AJ1756*E1756</f>
        <v/>
      </c>
      <c r="AL1756" s="174">
        <f>ROUND(IFERROR(AM1756*E1756,0),2)</f>
        <v/>
      </c>
      <c r="AM1756" s="175">
        <f>ROUND(AJ1756*(1+IF(offer_incoterms="DDP",IF((TODAY()+offer_turnaround_time)&gt;=helpsheet!$L$17,rate_vatRU_from_26,rate_vatRu_till_25),0)),2)</f>
        <v/>
      </c>
      <c r="AN1756" s="192">
        <f>AL1756-AK1756</f>
        <v/>
      </c>
      <c r="AO1756" s="76">
        <f>SUM(AY1756,Y1756:Z1756,T1756)*IF(AND(offer_incoterms="DDP",offer_sale_type&lt;&gt;"экспорт"),IF((TODAY()+offer_turnaround_time)&gt;=helpsheet!$L$17,rate_vatRU_from_26,rate_vatRu_till_25),0)</f>
        <v/>
      </c>
      <c r="AP1756" s="193">
        <f>AN1756-AO1756</f>
        <v/>
      </c>
      <c r="AQ1756" s="118">
        <f>IF(offer_sale_type="транзит",SUM(AF1756:AI1756,BA1756,BB1756),0)</f>
        <v/>
      </c>
      <c r="AR1756" s="82">
        <f>HYPERLINK("https://www.alta.ru/tnved/code/")&amp;W1756&amp;"/"</f>
        <v/>
      </c>
      <c r="AS1756" s="157" t="n"/>
      <c r="AT1756" s="162" t="n"/>
      <c r="AU1756" s="76">
        <f>IF(ISBLANK(AT1756),0,AJ1756-AT1756)</f>
        <v/>
      </c>
      <c r="AV1756" s="157" t="n"/>
      <c r="AW1756" s="75">
        <f>_xlfn.IFNA(VLOOKUP(L1756,list_vat[],3,FALSE),0)</f>
        <v/>
      </c>
      <c r="AX1756" s="76">
        <f>IFERROR(ROUND(S1756*(1+AW1756)/E1756,2),0)</f>
        <v/>
      </c>
      <c r="AY1756" s="76">
        <f>E1756*AX1756</f>
        <v/>
      </c>
      <c r="AZ1756" s="192">
        <f>S1756*(1+M1756)</f>
        <v/>
      </c>
      <c r="BA1756" s="76">
        <f>cost_fin_total*$BD1756</f>
        <v/>
      </c>
      <c r="BB1756" s="193">
        <f>credit_sales_interest*BD1756</f>
        <v/>
      </c>
      <c r="BC1756" s="102">
        <f>IFERROR(IF($I$13&gt;0,$I1756/$I$13,$S1756/$S$13),0)</f>
        <v/>
      </c>
      <c r="BD1756" s="102">
        <f>IFERROR($S1756/$S$13,0)</f>
        <v/>
      </c>
      <c r="BE1756" s="413" t="inlineStr">
        <is>
          <t>$</t>
        </is>
      </c>
    </row>
    <row r="1757" ht="12" customFormat="1" customHeight="1" s="65">
      <c r="A1757" s="43" t="n">
        <v>1742</v>
      </c>
      <c r="B1757" s="166" t="n"/>
      <c r="C1757" s="166" t="n"/>
      <c r="D1757" s="166" t="n"/>
      <c r="E1757" s="162" t="n"/>
      <c r="F1757" s="166" t="n"/>
      <c r="G1757" s="162" t="n"/>
      <c r="H1757" s="162" t="n"/>
      <c r="I1757" s="189">
        <f>E1757*G1757</f>
        <v/>
      </c>
      <c r="J1757" s="195" t="n"/>
      <c r="K1757" s="162" t="n"/>
      <c r="L1757" s="168" t="n"/>
      <c r="M1757" s="75">
        <f>_xlfn.XLOOKUP(L1757,list_vat[Страна],list_vat[Ставка НДС %],0,0)</f>
        <v/>
      </c>
      <c r="N1757" s="162">
        <f>IFERROR(IF(L1757="Китай",K1757,K1757/(1+M1757)),0)</f>
        <v/>
      </c>
      <c r="O1757" s="169" t="n"/>
      <c r="P1757" s="76">
        <f>N1757*(1-O1757)</f>
        <v/>
      </c>
      <c r="Q1757" s="162" t="n"/>
      <c r="R1757" s="162">
        <f>IF(ISBLANK(Q1757),"введи курс",P1757/Q1757)</f>
        <v/>
      </c>
      <c r="S1757" s="196">
        <f>IF(AND(ISNUMBER(E1757),ISNUMBER(Q1757)),E1757*R1757,0)</f>
        <v/>
      </c>
      <c r="T1757" s="192">
        <f>$BC1757*V$11</f>
        <v/>
      </c>
      <c r="U1757" s="76">
        <f>$BC1757*W$11</f>
        <v/>
      </c>
      <c r="V1757" s="193">
        <f>+SUM(T1757:U1757)</f>
        <v/>
      </c>
      <c r="W1757" s="191" t="n"/>
      <c r="X1757" s="170" t="n"/>
      <c r="Y1757" s="76">
        <f>ROUND(IF(offer_incoterms="DDP",X1757*(S1757*(1+AW1757)+T1757),0),2)</f>
        <v/>
      </c>
      <c r="Z1757" s="188" t="n"/>
      <c r="AA1757" s="192">
        <f>IFERROR(AB1757/E1757,0)</f>
        <v/>
      </c>
      <c r="AB1757" s="76">
        <f>ROUND(SUM(S1757,V1757,Y1757:Z1757,BA1757:BB1757),2)</f>
        <v/>
      </c>
      <c r="AC1757" s="797" t="n"/>
      <c r="AD1757" s="192">
        <f t="array" ref="AD1757">IFERROR(ROUND((_xlfn.IFS(offer_sale_type="поставка",AB1757,offer_sale_type="транзит",S1757)*(1+AC1757))/E1757,2),0)</f>
        <v/>
      </c>
      <c r="AE1757" s="76">
        <f>AD1757*E1757</f>
        <v/>
      </c>
      <c r="AF1757" s="193">
        <f t="array" ref="AF1757">IFERROR(ROUND(_xlfn.IFS(offer_sale_type="поставка",AB1757,offer_sale_type="транзит",S1757)*AC1757,2),0)</f>
        <v/>
      </c>
      <c r="AG1757" s="192">
        <f>$BD1757*VLOOKUP($AG$3,$AF$4:$AG$7,2,FALSE)</f>
        <v/>
      </c>
      <c r="AH1757" s="76">
        <f>SUM(AE1757,AG1757,AI1757)*rate_forex_risk</f>
        <v/>
      </c>
      <c r="AI1757" s="193">
        <f>IF(OR(seller_region="TR",offer_sale_type="экспорт"),0,rate_fin_comm)*SUM(AZ1757,AZ1757*AW1757,T1757)</f>
        <v/>
      </c>
      <c r="AJ1757" s="118">
        <f>IFERROR(ROUND(SUM(AB1757,AF1757:AI1757)/E1757,2),0)</f>
        <v/>
      </c>
      <c r="AK1757" s="76">
        <f>AJ1757*E1757</f>
        <v/>
      </c>
      <c r="AL1757" s="174">
        <f>ROUND(IFERROR(AM1757*E1757,0),2)</f>
        <v/>
      </c>
      <c r="AM1757" s="175">
        <f>ROUND(AJ1757*(1+IF(offer_incoterms="DDP",IF((TODAY()+offer_turnaround_time)&gt;=helpsheet!$L$17,rate_vatRU_from_26,rate_vatRu_till_25),0)),2)</f>
        <v/>
      </c>
      <c r="AN1757" s="192">
        <f>AL1757-AK1757</f>
        <v/>
      </c>
      <c r="AO1757" s="76">
        <f>SUM(AY1757,Y1757:Z1757,T1757)*IF(AND(offer_incoterms="DDP",offer_sale_type&lt;&gt;"экспорт"),IF((TODAY()+offer_turnaround_time)&gt;=helpsheet!$L$17,rate_vatRU_from_26,rate_vatRu_till_25),0)</f>
        <v/>
      </c>
      <c r="AP1757" s="193">
        <f>AN1757-AO1757</f>
        <v/>
      </c>
      <c r="AQ1757" s="118">
        <f>IF(offer_sale_type="транзит",SUM(AF1757:AI1757,BA1757,BB1757),0)</f>
        <v/>
      </c>
      <c r="AR1757" s="82">
        <f>HYPERLINK("https://www.alta.ru/tnved/code/")&amp;W1757&amp;"/"</f>
        <v/>
      </c>
      <c r="AS1757" s="157" t="n"/>
      <c r="AT1757" s="162" t="n"/>
      <c r="AU1757" s="76">
        <f>IF(ISBLANK(AT1757),0,AJ1757-AT1757)</f>
        <v/>
      </c>
      <c r="AV1757" s="157" t="n"/>
      <c r="AW1757" s="75">
        <f>_xlfn.IFNA(VLOOKUP(L1757,list_vat[],3,FALSE),0)</f>
        <v/>
      </c>
      <c r="AX1757" s="76">
        <f>IFERROR(ROUND(S1757*(1+AW1757)/E1757,2),0)</f>
        <v/>
      </c>
      <c r="AY1757" s="76">
        <f>E1757*AX1757</f>
        <v/>
      </c>
      <c r="AZ1757" s="192">
        <f>S1757*(1+M1757)</f>
        <v/>
      </c>
      <c r="BA1757" s="76">
        <f>cost_fin_total*$BD1757</f>
        <v/>
      </c>
      <c r="BB1757" s="193">
        <f>credit_sales_interest*BD1757</f>
        <v/>
      </c>
      <c r="BC1757" s="102">
        <f>IFERROR(IF($I$13&gt;0,$I1757/$I$13,$S1757/$S$13),0)</f>
        <v/>
      </c>
      <c r="BD1757" s="102">
        <f>IFERROR($S1757/$S$13,0)</f>
        <v/>
      </c>
      <c r="BE1757" s="413" t="inlineStr">
        <is>
          <t>$</t>
        </is>
      </c>
    </row>
    <row r="1758" ht="12" customFormat="1" customHeight="1" s="65">
      <c r="A1758" s="43" t="n">
        <v>1743</v>
      </c>
      <c r="B1758" s="166" t="n"/>
      <c r="C1758" s="166" t="n"/>
      <c r="D1758" s="166" t="n"/>
      <c r="E1758" s="162" t="n"/>
      <c r="F1758" s="166" t="n"/>
      <c r="G1758" s="162" t="n"/>
      <c r="H1758" s="162" t="n"/>
      <c r="I1758" s="189">
        <f>E1758*G1758</f>
        <v/>
      </c>
      <c r="J1758" s="195" t="n"/>
      <c r="K1758" s="162" t="n"/>
      <c r="L1758" s="168" t="n"/>
      <c r="M1758" s="75">
        <f>_xlfn.XLOOKUP(L1758,list_vat[Страна],list_vat[Ставка НДС %],0,0)</f>
        <v/>
      </c>
      <c r="N1758" s="162">
        <f>IFERROR(IF(L1758="Китай",K1758,K1758/(1+M1758)),0)</f>
        <v/>
      </c>
      <c r="O1758" s="169" t="n"/>
      <c r="P1758" s="76">
        <f>N1758*(1-O1758)</f>
        <v/>
      </c>
      <c r="Q1758" s="162" t="n"/>
      <c r="R1758" s="162">
        <f>IF(ISBLANK(Q1758),"введи курс",P1758/Q1758)</f>
        <v/>
      </c>
      <c r="S1758" s="196">
        <f>IF(AND(ISNUMBER(E1758),ISNUMBER(Q1758)),E1758*R1758,0)</f>
        <v/>
      </c>
      <c r="T1758" s="192">
        <f>$BC1758*V$11</f>
        <v/>
      </c>
      <c r="U1758" s="76">
        <f>$BC1758*W$11</f>
        <v/>
      </c>
      <c r="V1758" s="193">
        <f>+SUM(T1758:U1758)</f>
        <v/>
      </c>
      <c r="W1758" s="191" t="n"/>
      <c r="X1758" s="170" t="n"/>
      <c r="Y1758" s="76">
        <f>ROUND(IF(offer_incoterms="DDP",X1758*(S1758*(1+AW1758)+T1758),0),2)</f>
        <v/>
      </c>
      <c r="Z1758" s="188" t="n"/>
      <c r="AA1758" s="192">
        <f>IFERROR(AB1758/E1758,0)</f>
        <v/>
      </c>
      <c r="AB1758" s="76">
        <f>ROUND(SUM(S1758,V1758,Y1758:Z1758,BA1758:BB1758),2)</f>
        <v/>
      </c>
      <c r="AC1758" s="797" t="n"/>
      <c r="AD1758" s="192">
        <f t="array" ref="AD1758">IFERROR(ROUND((_xlfn.IFS(offer_sale_type="поставка",AB1758,offer_sale_type="транзит",S1758)*(1+AC1758))/E1758,2),0)</f>
        <v/>
      </c>
      <c r="AE1758" s="76">
        <f>AD1758*E1758</f>
        <v/>
      </c>
      <c r="AF1758" s="193">
        <f t="array" ref="AF1758">IFERROR(ROUND(_xlfn.IFS(offer_sale_type="поставка",AB1758,offer_sale_type="транзит",S1758)*AC1758,2),0)</f>
        <v/>
      </c>
      <c r="AG1758" s="192">
        <f>$BD1758*VLOOKUP($AG$3,$AF$4:$AG$7,2,FALSE)</f>
        <v/>
      </c>
      <c r="AH1758" s="76">
        <f>SUM(AE1758,AG1758,AI1758)*rate_forex_risk</f>
        <v/>
      </c>
      <c r="AI1758" s="193">
        <f>IF(OR(seller_region="TR",offer_sale_type="экспорт"),0,rate_fin_comm)*SUM(AZ1758,AZ1758*AW1758,T1758)</f>
        <v/>
      </c>
      <c r="AJ1758" s="118">
        <f>IFERROR(ROUND(SUM(AB1758,AF1758:AI1758)/E1758,2),0)</f>
        <v/>
      </c>
      <c r="AK1758" s="76">
        <f>AJ1758*E1758</f>
        <v/>
      </c>
      <c r="AL1758" s="174">
        <f>ROUND(IFERROR(AM1758*E1758,0),2)</f>
        <v/>
      </c>
      <c r="AM1758" s="175">
        <f>ROUND(AJ1758*(1+IF(offer_incoterms="DDP",IF((TODAY()+offer_turnaround_time)&gt;=helpsheet!$L$17,rate_vatRU_from_26,rate_vatRu_till_25),0)),2)</f>
        <v/>
      </c>
      <c r="AN1758" s="192">
        <f>AL1758-AK1758</f>
        <v/>
      </c>
      <c r="AO1758" s="76">
        <f>SUM(AY1758,Y1758:Z1758,T1758)*IF(AND(offer_incoterms="DDP",offer_sale_type&lt;&gt;"экспорт"),IF((TODAY()+offer_turnaround_time)&gt;=helpsheet!$L$17,rate_vatRU_from_26,rate_vatRu_till_25),0)</f>
        <v/>
      </c>
      <c r="AP1758" s="193">
        <f>AN1758-AO1758</f>
        <v/>
      </c>
      <c r="AQ1758" s="118">
        <f>IF(offer_sale_type="транзит",SUM(AF1758:AI1758,BA1758,BB1758),0)</f>
        <v/>
      </c>
      <c r="AR1758" s="82">
        <f>HYPERLINK("https://www.alta.ru/tnved/code/")&amp;W1758&amp;"/"</f>
        <v/>
      </c>
      <c r="AS1758" s="157" t="n"/>
      <c r="AT1758" s="162" t="n"/>
      <c r="AU1758" s="76">
        <f>IF(ISBLANK(AT1758),0,AJ1758-AT1758)</f>
        <v/>
      </c>
      <c r="AV1758" s="157" t="n"/>
      <c r="AW1758" s="75">
        <f>_xlfn.IFNA(VLOOKUP(L1758,list_vat[],3,FALSE),0)</f>
        <v/>
      </c>
      <c r="AX1758" s="76">
        <f>IFERROR(ROUND(S1758*(1+AW1758)/E1758,2),0)</f>
        <v/>
      </c>
      <c r="AY1758" s="76">
        <f>E1758*AX1758</f>
        <v/>
      </c>
      <c r="AZ1758" s="192">
        <f>S1758*(1+M1758)</f>
        <v/>
      </c>
      <c r="BA1758" s="76">
        <f>cost_fin_total*$BD1758</f>
        <v/>
      </c>
      <c r="BB1758" s="193">
        <f>credit_sales_interest*BD1758</f>
        <v/>
      </c>
      <c r="BC1758" s="102">
        <f>IFERROR(IF($I$13&gt;0,$I1758/$I$13,$S1758/$S$13),0)</f>
        <v/>
      </c>
      <c r="BD1758" s="102">
        <f>IFERROR($S1758/$S$13,0)</f>
        <v/>
      </c>
      <c r="BE1758" s="413" t="inlineStr">
        <is>
          <t>$</t>
        </is>
      </c>
    </row>
    <row r="1759" ht="12" customFormat="1" customHeight="1" s="65">
      <c r="A1759" s="43" t="n">
        <v>1744</v>
      </c>
      <c r="B1759" s="166" t="n"/>
      <c r="C1759" s="166" t="n"/>
      <c r="D1759" s="166" t="n"/>
      <c r="E1759" s="162" t="n"/>
      <c r="F1759" s="166" t="n"/>
      <c r="G1759" s="162" t="n"/>
      <c r="H1759" s="162" t="n"/>
      <c r="I1759" s="189">
        <f>E1759*G1759</f>
        <v/>
      </c>
      <c r="J1759" s="195" t="n"/>
      <c r="K1759" s="162" t="n"/>
      <c r="L1759" s="168" t="n"/>
      <c r="M1759" s="75">
        <f>_xlfn.XLOOKUP(L1759,list_vat[Страна],list_vat[Ставка НДС %],0,0)</f>
        <v/>
      </c>
      <c r="N1759" s="162">
        <f>IFERROR(IF(L1759="Китай",K1759,K1759/(1+M1759)),0)</f>
        <v/>
      </c>
      <c r="O1759" s="169" t="n"/>
      <c r="P1759" s="76">
        <f>N1759*(1-O1759)</f>
        <v/>
      </c>
      <c r="Q1759" s="162" t="n"/>
      <c r="R1759" s="162">
        <f>IF(ISBLANK(Q1759),"введи курс",P1759/Q1759)</f>
        <v/>
      </c>
      <c r="S1759" s="196">
        <f>IF(AND(ISNUMBER(E1759),ISNUMBER(Q1759)),E1759*R1759,0)</f>
        <v/>
      </c>
      <c r="T1759" s="192">
        <f>$BC1759*V$11</f>
        <v/>
      </c>
      <c r="U1759" s="76">
        <f>$BC1759*W$11</f>
        <v/>
      </c>
      <c r="V1759" s="193">
        <f>+SUM(T1759:U1759)</f>
        <v/>
      </c>
      <c r="W1759" s="191" t="n"/>
      <c r="X1759" s="170" t="n"/>
      <c r="Y1759" s="76">
        <f>ROUND(IF(offer_incoterms="DDP",X1759*(S1759*(1+AW1759)+T1759),0),2)</f>
        <v/>
      </c>
      <c r="Z1759" s="188" t="n"/>
      <c r="AA1759" s="192">
        <f>IFERROR(AB1759/E1759,0)</f>
        <v/>
      </c>
      <c r="AB1759" s="76">
        <f>ROUND(SUM(S1759,V1759,Y1759:Z1759,BA1759:BB1759),2)</f>
        <v/>
      </c>
      <c r="AC1759" s="797" t="n"/>
      <c r="AD1759" s="192">
        <f t="array" ref="AD1759">IFERROR(ROUND((_xlfn.IFS(offer_sale_type="поставка",AB1759,offer_sale_type="транзит",S1759)*(1+AC1759))/E1759,2),0)</f>
        <v/>
      </c>
      <c r="AE1759" s="76">
        <f>AD1759*E1759</f>
        <v/>
      </c>
      <c r="AF1759" s="193">
        <f t="array" ref="AF1759">IFERROR(ROUND(_xlfn.IFS(offer_sale_type="поставка",AB1759,offer_sale_type="транзит",S1759)*AC1759,2),0)</f>
        <v/>
      </c>
      <c r="AG1759" s="192">
        <f>$BD1759*VLOOKUP($AG$3,$AF$4:$AG$7,2,FALSE)</f>
        <v/>
      </c>
      <c r="AH1759" s="76">
        <f>SUM(AE1759,AG1759,AI1759)*rate_forex_risk</f>
        <v/>
      </c>
      <c r="AI1759" s="193">
        <f>IF(OR(seller_region="TR",offer_sale_type="экспорт"),0,rate_fin_comm)*SUM(AZ1759,AZ1759*AW1759,T1759)</f>
        <v/>
      </c>
      <c r="AJ1759" s="118">
        <f>IFERROR(ROUND(SUM(AB1759,AF1759:AI1759)/E1759,2),0)</f>
        <v/>
      </c>
      <c r="AK1759" s="76">
        <f>AJ1759*E1759</f>
        <v/>
      </c>
      <c r="AL1759" s="174">
        <f>ROUND(IFERROR(AM1759*E1759,0),2)</f>
        <v/>
      </c>
      <c r="AM1759" s="175">
        <f>ROUND(AJ1759*(1+IF(offer_incoterms="DDP",IF((TODAY()+offer_turnaround_time)&gt;=helpsheet!$L$17,rate_vatRU_from_26,rate_vatRu_till_25),0)),2)</f>
        <v/>
      </c>
      <c r="AN1759" s="192">
        <f>AL1759-AK1759</f>
        <v/>
      </c>
      <c r="AO1759" s="76">
        <f>SUM(AY1759,Y1759:Z1759,T1759)*IF(AND(offer_incoterms="DDP",offer_sale_type&lt;&gt;"экспорт"),IF((TODAY()+offer_turnaround_time)&gt;=helpsheet!$L$17,rate_vatRU_from_26,rate_vatRu_till_25),0)</f>
        <v/>
      </c>
      <c r="AP1759" s="193">
        <f>AN1759-AO1759</f>
        <v/>
      </c>
      <c r="AQ1759" s="118">
        <f>IF(offer_sale_type="транзит",SUM(AF1759:AI1759,BA1759,BB1759),0)</f>
        <v/>
      </c>
      <c r="AR1759" s="82">
        <f>HYPERLINK("https://www.alta.ru/tnved/code/")&amp;W1759&amp;"/"</f>
        <v/>
      </c>
      <c r="AS1759" s="157" t="n"/>
      <c r="AT1759" s="162" t="n"/>
      <c r="AU1759" s="76">
        <f>IF(ISBLANK(AT1759),0,AJ1759-AT1759)</f>
        <v/>
      </c>
      <c r="AV1759" s="157" t="n"/>
      <c r="AW1759" s="75">
        <f>_xlfn.IFNA(VLOOKUP(L1759,list_vat[],3,FALSE),0)</f>
        <v/>
      </c>
      <c r="AX1759" s="76">
        <f>IFERROR(ROUND(S1759*(1+AW1759)/E1759,2),0)</f>
        <v/>
      </c>
      <c r="AY1759" s="76">
        <f>E1759*AX1759</f>
        <v/>
      </c>
      <c r="AZ1759" s="192">
        <f>S1759*(1+M1759)</f>
        <v/>
      </c>
      <c r="BA1759" s="76">
        <f>cost_fin_total*$BD1759</f>
        <v/>
      </c>
      <c r="BB1759" s="193">
        <f>credit_sales_interest*BD1759</f>
        <v/>
      </c>
      <c r="BC1759" s="102">
        <f>IFERROR(IF($I$13&gt;0,$I1759/$I$13,$S1759/$S$13),0)</f>
        <v/>
      </c>
      <c r="BD1759" s="102">
        <f>IFERROR($S1759/$S$13,0)</f>
        <v/>
      </c>
      <c r="BE1759" s="413" t="inlineStr">
        <is>
          <t>$</t>
        </is>
      </c>
    </row>
    <row r="1760" ht="12" customFormat="1" customHeight="1" s="65">
      <c r="A1760" s="43" t="n">
        <v>1745</v>
      </c>
      <c r="B1760" s="166" t="n"/>
      <c r="C1760" s="166" t="n"/>
      <c r="D1760" s="166" t="n"/>
      <c r="E1760" s="162" t="n"/>
      <c r="F1760" s="166" t="n"/>
      <c r="G1760" s="162" t="n"/>
      <c r="H1760" s="162" t="n"/>
      <c r="I1760" s="189">
        <f>E1760*G1760</f>
        <v/>
      </c>
      <c r="J1760" s="195" t="n"/>
      <c r="K1760" s="162" t="n"/>
      <c r="L1760" s="168" t="n"/>
      <c r="M1760" s="75">
        <f>_xlfn.XLOOKUP(L1760,list_vat[Страна],list_vat[Ставка НДС %],0,0)</f>
        <v/>
      </c>
      <c r="N1760" s="162">
        <f>IFERROR(IF(L1760="Китай",K1760,K1760/(1+M1760)),0)</f>
        <v/>
      </c>
      <c r="O1760" s="169" t="n"/>
      <c r="P1760" s="76">
        <f>N1760*(1-O1760)</f>
        <v/>
      </c>
      <c r="Q1760" s="162" t="n"/>
      <c r="R1760" s="162">
        <f>IF(ISBLANK(Q1760),"введи курс",P1760/Q1760)</f>
        <v/>
      </c>
      <c r="S1760" s="196">
        <f>IF(AND(ISNUMBER(E1760),ISNUMBER(Q1760)),E1760*R1760,0)</f>
        <v/>
      </c>
      <c r="T1760" s="192">
        <f>$BC1760*V$11</f>
        <v/>
      </c>
      <c r="U1760" s="76">
        <f>$BC1760*W$11</f>
        <v/>
      </c>
      <c r="V1760" s="193">
        <f>+SUM(T1760:U1760)</f>
        <v/>
      </c>
      <c r="W1760" s="191" t="n"/>
      <c r="X1760" s="170" t="n"/>
      <c r="Y1760" s="76">
        <f>ROUND(IF(offer_incoterms="DDP",X1760*(S1760*(1+AW1760)+T1760),0),2)</f>
        <v/>
      </c>
      <c r="Z1760" s="188" t="n"/>
      <c r="AA1760" s="192">
        <f>IFERROR(AB1760/E1760,0)</f>
        <v/>
      </c>
      <c r="AB1760" s="76">
        <f>ROUND(SUM(S1760,V1760,Y1760:Z1760,BA1760:BB1760),2)</f>
        <v/>
      </c>
      <c r="AC1760" s="797" t="n"/>
      <c r="AD1760" s="192">
        <f t="array" ref="AD1760">IFERROR(ROUND((_xlfn.IFS(offer_sale_type="поставка",AB1760,offer_sale_type="транзит",S1760)*(1+AC1760))/E1760,2),0)</f>
        <v/>
      </c>
      <c r="AE1760" s="76">
        <f>AD1760*E1760</f>
        <v/>
      </c>
      <c r="AF1760" s="193">
        <f t="array" ref="AF1760">IFERROR(ROUND(_xlfn.IFS(offer_sale_type="поставка",AB1760,offer_sale_type="транзит",S1760)*AC1760,2),0)</f>
        <v/>
      </c>
      <c r="AG1760" s="192">
        <f>$BD1760*VLOOKUP($AG$3,$AF$4:$AG$7,2,FALSE)</f>
        <v/>
      </c>
      <c r="AH1760" s="76">
        <f>SUM(AE1760,AG1760,AI1760)*rate_forex_risk</f>
        <v/>
      </c>
      <c r="AI1760" s="193">
        <f>IF(OR(seller_region="TR",offer_sale_type="экспорт"),0,rate_fin_comm)*SUM(AZ1760,AZ1760*AW1760,T1760)</f>
        <v/>
      </c>
      <c r="AJ1760" s="118">
        <f>IFERROR(ROUND(SUM(AB1760,AF1760:AI1760)/E1760,2),0)</f>
        <v/>
      </c>
      <c r="AK1760" s="76">
        <f>AJ1760*E1760</f>
        <v/>
      </c>
      <c r="AL1760" s="174">
        <f>ROUND(IFERROR(AM1760*E1760,0),2)</f>
        <v/>
      </c>
      <c r="AM1760" s="175">
        <f>ROUND(AJ1760*(1+IF(offer_incoterms="DDP",IF((TODAY()+offer_turnaround_time)&gt;=helpsheet!$L$17,rate_vatRU_from_26,rate_vatRu_till_25),0)),2)</f>
        <v/>
      </c>
      <c r="AN1760" s="192">
        <f>AL1760-AK1760</f>
        <v/>
      </c>
      <c r="AO1760" s="76">
        <f>SUM(AY1760,Y1760:Z1760,T1760)*IF(AND(offer_incoterms="DDP",offer_sale_type&lt;&gt;"экспорт"),IF((TODAY()+offer_turnaround_time)&gt;=helpsheet!$L$17,rate_vatRU_from_26,rate_vatRu_till_25),0)</f>
        <v/>
      </c>
      <c r="AP1760" s="193">
        <f>AN1760-AO1760</f>
        <v/>
      </c>
      <c r="AQ1760" s="118">
        <f>IF(offer_sale_type="транзит",SUM(AF1760:AI1760,BA1760,BB1760),0)</f>
        <v/>
      </c>
      <c r="AR1760" s="82">
        <f>HYPERLINK("https://www.alta.ru/tnved/code/")&amp;W1760&amp;"/"</f>
        <v/>
      </c>
      <c r="AS1760" s="157" t="n"/>
      <c r="AT1760" s="162" t="n"/>
      <c r="AU1760" s="76">
        <f>IF(ISBLANK(AT1760),0,AJ1760-AT1760)</f>
        <v/>
      </c>
      <c r="AV1760" s="157" t="n"/>
      <c r="AW1760" s="75">
        <f>_xlfn.IFNA(VLOOKUP(L1760,list_vat[],3,FALSE),0)</f>
        <v/>
      </c>
      <c r="AX1760" s="76">
        <f>IFERROR(ROUND(S1760*(1+AW1760)/E1760,2),0)</f>
        <v/>
      </c>
      <c r="AY1760" s="76">
        <f>E1760*AX1760</f>
        <v/>
      </c>
      <c r="AZ1760" s="192">
        <f>S1760*(1+M1760)</f>
        <v/>
      </c>
      <c r="BA1760" s="76">
        <f>cost_fin_total*$BD1760</f>
        <v/>
      </c>
      <c r="BB1760" s="193">
        <f>credit_sales_interest*BD1760</f>
        <v/>
      </c>
      <c r="BC1760" s="102">
        <f>IFERROR(IF($I$13&gt;0,$I1760/$I$13,$S1760/$S$13),0)</f>
        <v/>
      </c>
      <c r="BD1760" s="102">
        <f>IFERROR($S1760/$S$13,0)</f>
        <v/>
      </c>
      <c r="BE1760" s="413" t="inlineStr">
        <is>
          <t>$</t>
        </is>
      </c>
    </row>
    <row r="1761" ht="12" customFormat="1" customHeight="1" s="65">
      <c r="A1761" s="43" t="n">
        <v>1746</v>
      </c>
      <c r="B1761" s="166" t="n"/>
      <c r="C1761" s="166" t="n"/>
      <c r="D1761" s="166" t="n"/>
      <c r="E1761" s="162" t="n"/>
      <c r="F1761" s="166" t="n"/>
      <c r="G1761" s="162" t="n"/>
      <c r="H1761" s="162" t="n"/>
      <c r="I1761" s="189">
        <f>E1761*G1761</f>
        <v/>
      </c>
      <c r="J1761" s="195" t="n"/>
      <c r="K1761" s="162" t="n"/>
      <c r="L1761" s="168" t="n"/>
      <c r="M1761" s="75">
        <f>_xlfn.XLOOKUP(L1761,list_vat[Страна],list_vat[Ставка НДС %],0,0)</f>
        <v/>
      </c>
      <c r="N1761" s="162">
        <f>IFERROR(IF(L1761="Китай",K1761,K1761/(1+M1761)),0)</f>
        <v/>
      </c>
      <c r="O1761" s="169" t="n"/>
      <c r="P1761" s="76">
        <f>N1761*(1-O1761)</f>
        <v/>
      </c>
      <c r="Q1761" s="162" t="n"/>
      <c r="R1761" s="162">
        <f>IF(ISBLANK(Q1761),"введи курс",P1761/Q1761)</f>
        <v/>
      </c>
      <c r="S1761" s="196">
        <f>IF(AND(ISNUMBER(E1761),ISNUMBER(Q1761)),E1761*R1761,0)</f>
        <v/>
      </c>
      <c r="T1761" s="192">
        <f>$BC1761*V$11</f>
        <v/>
      </c>
      <c r="U1761" s="76">
        <f>$BC1761*W$11</f>
        <v/>
      </c>
      <c r="V1761" s="193">
        <f>+SUM(T1761:U1761)</f>
        <v/>
      </c>
      <c r="W1761" s="191" t="n"/>
      <c r="X1761" s="170" t="n"/>
      <c r="Y1761" s="76">
        <f>ROUND(IF(offer_incoterms="DDP",X1761*(S1761*(1+AW1761)+T1761),0),2)</f>
        <v/>
      </c>
      <c r="Z1761" s="188" t="n"/>
      <c r="AA1761" s="192">
        <f>IFERROR(AB1761/E1761,0)</f>
        <v/>
      </c>
      <c r="AB1761" s="76">
        <f>ROUND(SUM(S1761,V1761,Y1761:Z1761,BA1761:BB1761),2)</f>
        <v/>
      </c>
      <c r="AC1761" s="797" t="n"/>
      <c r="AD1761" s="192">
        <f t="array" ref="AD1761">IFERROR(ROUND((_xlfn.IFS(offer_sale_type="поставка",AB1761,offer_sale_type="транзит",S1761)*(1+AC1761))/E1761,2),0)</f>
        <v/>
      </c>
      <c r="AE1761" s="76">
        <f>AD1761*E1761</f>
        <v/>
      </c>
      <c r="AF1761" s="193">
        <f t="array" ref="AF1761">IFERROR(ROUND(_xlfn.IFS(offer_sale_type="поставка",AB1761,offer_sale_type="транзит",S1761)*AC1761,2),0)</f>
        <v/>
      </c>
      <c r="AG1761" s="192">
        <f>$BD1761*VLOOKUP($AG$3,$AF$4:$AG$7,2,FALSE)</f>
        <v/>
      </c>
      <c r="AH1761" s="76">
        <f>SUM(AE1761,AG1761,AI1761)*rate_forex_risk</f>
        <v/>
      </c>
      <c r="AI1761" s="193">
        <f>IF(OR(seller_region="TR",offer_sale_type="экспорт"),0,rate_fin_comm)*SUM(AZ1761,AZ1761*AW1761,T1761)</f>
        <v/>
      </c>
      <c r="AJ1761" s="118">
        <f>IFERROR(ROUND(SUM(AB1761,AF1761:AI1761)/E1761,2),0)</f>
        <v/>
      </c>
      <c r="AK1761" s="76">
        <f>AJ1761*E1761</f>
        <v/>
      </c>
      <c r="AL1761" s="174">
        <f>ROUND(IFERROR(AM1761*E1761,0),2)</f>
        <v/>
      </c>
      <c r="AM1761" s="175">
        <f>ROUND(AJ1761*(1+IF(offer_incoterms="DDP",IF((TODAY()+offer_turnaround_time)&gt;=helpsheet!$L$17,rate_vatRU_from_26,rate_vatRu_till_25),0)),2)</f>
        <v/>
      </c>
      <c r="AN1761" s="192">
        <f>AL1761-AK1761</f>
        <v/>
      </c>
      <c r="AO1761" s="76">
        <f>SUM(AY1761,Y1761:Z1761,T1761)*IF(AND(offer_incoterms="DDP",offer_sale_type&lt;&gt;"экспорт"),IF((TODAY()+offer_turnaround_time)&gt;=helpsheet!$L$17,rate_vatRU_from_26,rate_vatRu_till_25),0)</f>
        <v/>
      </c>
      <c r="AP1761" s="193">
        <f>AN1761-AO1761</f>
        <v/>
      </c>
      <c r="AQ1761" s="118">
        <f>IF(offer_sale_type="транзит",SUM(AF1761:AI1761,BA1761,BB1761),0)</f>
        <v/>
      </c>
      <c r="AR1761" s="82">
        <f>HYPERLINK("https://www.alta.ru/tnved/code/")&amp;W1761&amp;"/"</f>
        <v/>
      </c>
      <c r="AS1761" s="157" t="n"/>
      <c r="AT1761" s="162" t="n"/>
      <c r="AU1761" s="76">
        <f>IF(ISBLANK(AT1761),0,AJ1761-AT1761)</f>
        <v/>
      </c>
      <c r="AV1761" s="157" t="n"/>
      <c r="AW1761" s="75">
        <f>_xlfn.IFNA(VLOOKUP(L1761,list_vat[],3,FALSE),0)</f>
        <v/>
      </c>
      <c r="AX1761" s="76">
        <f>IFERROR(ROUND(S1761*(1+AW1761)/E1761,2),0)</f>
        <v/>
      </c>
      <c r="AY1761" s="76">
        <f>E1761*AX1761</f>
        <v/>
      </c>
      <c r="AZ1761" s="192">
        <f>S1761*(1+M1761)</f>
        <v/>
      </c>
      <c r="BA1761" s="76">
        <f>cost_fin_total*$BD1761</f>
        <v/>
      </c>
      <c r="BB1761" s="193">
        <f>credit_sales_interest*BD1761</f>
        <v/>
      </c>
      <c r="BC1761" s="102">
        <f>IFERROR(IF($I$13&gt;0,$I1761/$I$13,$S1761/$S$13),0)</f>
        <v/>
      </c>
      <c r="BD1761" s="102">
        <f>IFERROR($S1761/$S$13,0)</f>
        <v/>
      </c>
      <c r="BE1761" s="413" t="inlineStr">
        <is>
          <t>$</t>
        </is>
      </c>
    </row>
    <row r="1762" ht="12" customFormat="1" customHeight="1" s="65">
      <c r="A1762" s="43" t="n">
        <v>1747</v>
      </c>
      <c r="B1762" s="166" t="n"/>
      <c r="C1762" s="166" t="n"/>
      <c r="D1762" s="166" t="n"/>
      <c r="E1762" s="162" t="n"/>
      <c r="F1762" s="166" t="n"/>
      <c r="G1762" s="162" t="n"/>
      <c r="H1762" s="162" t="n"/>
      <c r="I1762" s="189">
        <f>E1762*G1762</f>
        <v/>
      </c>
      <c r="J1762" s="195" t="n"/>
      <c r="K1762" s="162" t="n"/>
      <c r="L1762" s="168" t="n"/>
      <c r="M1762" s="75">
        <f>_xlfn.XLOOKUP(L1762,list_vat[Страна],list_vat[Ставка НДС %],0,0)</f>
        <v/>
      </c>
      <c r="N1762" s="162">
        <f>IFERROR(IF(L1762="Китай",K1762,K1762/(1+M1762)),0)</f>
        <v/>
      </c>
      <c r="O1762" s="169" t="n"/>
      <c r="P1762" s="76">
        <f>N1762*(1-O1762)</f>
        <v/>
      </c>
      <c r="Q1762" s="162" t="n"/>
      <c r="R1762" s="162">
        <f>IF(ISBLANK(Q1762),"введи курс",P1762/Q1762)</f>
        <v/>
      </c>
      <c r="S1762" s="196">
        <f>IF(AND(ISNUMBER(E1762),ISNUMBER(Q1762)),E1762*R1762,0)</f>
        <v/>
      </c>
      <c r="T1762" s="192">
        <f>$BC1762*V$11</f>
        <v/>
      </c>
      <c r="U1762" s="76">
        <f>$BC1762*W$11</f>
        <v/>
      </c>
      <c r="V1762" s="193">
        <f>+SUM(T1762:U1762)</f>
        <v/>
      </c>
      <c r="W1762" s="191" t="n"/>
      <c r="X1762" s="170" t="n"/>
      <c r="Y1762" s="76">
        <f>ROUND(IF(offer_incoterms="DDP",X1762*(S1762*(1+AW1762)+T1762),0),2)</f>
        <v/>
      </c>
      <c r="Z1762" s="188" t="n"/>
      <c r="AA1762" s="192">
        <f>IFERROR(AB1762/E1762,0)</f>
        <v/>
      </c>
      <c r="AB1762" s="76">
        <f>ROUND(SUM(S1762,V1762,Y1762:Z1762,BA1762:BB1762),2)</f>
        <v/>
      </c>
      <c r="AC1762" s="797" t="n"/>
      <c r="AD1762" s="192">
        <f t="array" ref="AD1762">IFERROR(ROUND((_xlfn.IFS(offer_sale_type="поставка",AB1762,offer_sale_type="транзит",S1762)*(1+AC1762))/E1762,2),0)</f>
        <v/>
      </c>
      <c r="AE1762" s="76">
        <f>AD1762*E1762</f>
        <v/>
      </c>
      <c r="AF1762" s="193">
        <f t="array" ref="AF1762">IFERROR(ROUND(_xlfn.IFS(offer_sale_type="поставка",AB1762,offer_sale_type="транзит",S1762)*AC1762,2),0)</f>
        <v/>
      </c>
      <c r="AG1762" s="192">
        <f>$BD1762*VLOOKUP($AG$3,$AF$4:$AG$7,2,FALSE)</f>
        <v/>
      </c>
      <c r="AH1762" s="76">
        <f>SUM(AE1762,AG1762,AI1762)*rate_forex_risk</f>
        <v/>
      </c>
      <c r="AI1762" s="193">
        <f>IF(OR(seller_region="TR",offer_sale_type="экспорт"),0,rate_fin_comm)*SUM(AZ1762,AZ1762*AW1762,T1762)</f>
        <v/>
      </c>
      <c r="AJ1762" s="118">
        <f>IFERROR(ROUND(SUM(AB1762,AF1762:AI1762)/E1762,2),0)</f>
        <v/>
      </c>
      <c r="AK1762" s="76">
        <f>AJ1762*E1762</f>
        <v/>
      </c>
      <c r="AL1762" s="174">
        <f>ROUND(IFERROR(AM1762*E1762,0),2)</f>
        <v/>
      </c>
      <c r="AM1762" s="175">
        <f>ROUND(AJ1762*(1+IF(offer_incoterms="DDP",IF((TODAY()+offer_turnaround_time)&gt;=helpsheet!$L$17,rate_vatRU_from_26,rate_vatRu_till_25),0)),2)</f>
        <v/>
      </c>
      <c r="AN1762" s="192">
        <f>AL1762-AK1762</f>
        <v/>
      </c>
      <c r="AO1762" s="76">
        <f>SUM(AY1762,Y1762:Z1762,T1762)*IF(AND(offer_incoterms="DDP",offer_sale_type&lt;&gt;"экспорт"),IF((TODAY()+offer_turnaround_time)&gt;=helpsheet!$L$17,rate_vatRU_from_26,rate_vatRu_till_25),0)</f>
        <v/>
      </c>
      <c r="AP1762" s="193">
        <f>AN1762-AO1762</f>
        <v/>
      </c>
      <c r="AQ1762" s="118">
        <f>IF(offer_sale_type="транзит",SUM(AF1762:AI1762,BA1762,BB1762),0)</f>
        <v/>
      </c>
      <c r="AR1762" s="82">
        <f>HYPERLINK("https://www.alta.ru/tnved/code/")&amp;W1762&amp;"/"</f>
        <v/>
      </c>
      <c r="AS1762" s="157" t="n"/>
      <c r="AT1762" s="162" t="n"/>
      <c r="AU1762" s="76">
        <f>IF(ISBLANK(AT1762),0,AJ1762-AT1762)</f>
        <v/>
      </c>
      <c r="AV1762" s="157" t="n"/>
      <c r="AW1762" s="75">
        <f>_xlfn.IFNA(VLOOKUP(L1762,list_vat[],3,FALSE),0)</f>
        <v/>
      </c>
      <c r="AX1762" s="76">
        <f>IFERROR(ROUND(S1762*(1+AW1762)/E1762,2),0)</f>
        <v/>
      </c>
      <c r="AY1762" s="76">
        <f>E1762*AX1762</f>
        <v/>
      </c>
      <c r="AZ1762" s="192">
        <f>S1762*(1+M1762)</f>
        <v/>
      </c>
      <c r="BA1762" s="76">
        <f>cost_fin_total*$BD1762</f>
        <v/>
      </c>
      <c r="BB1762" s="193">
        <f>credit_sales_interest*BD1762</f>
        <v/>
      </c>
      <c r="BC1762" s="102">
        <f>IFERROR(IF($I$13&gt;0,$I1762/$I$13,$S1762/$S$13),0)</f>
        <v/>
      </c>
      <c r="BD1762" s="102">
        <f>IFERROR($S1762/$S$13,0)</f>
        <v/>
      </c>
      <c r="BE1762" s="413" t="inlineStr">
        <is>
          <t>$</t>
        </is>
      </c>
    </row>
    <row r="1763" ht="12" customFormat="1" customHeight="1" s="65">
      <c r="A1763" s="43" t="n">
        <v>1748</v>
      </c>
      <c r="B1763" s="166" t="n"/>
      <c r="C1763" s="166" t="n"/>
      <c r="D1763" s="166" t="n"/>
      <c r="E1763" s="162" t="n"/>
      <c r="F1763" s="166" t="n"/>
      <c r="G1763" s="162" t="n"/>
      <c r="H1763" s="162" t="n"/>
      <c r="I1763" s="189">
        <f>E1763*G1763</f>
        <v/>
      </c>
      <c r="J1763" s="195" t="n"/>
      <c r="K1763" s="162" t="n"/>
      <c r="L1763" s="168" t="n"/>
      <c r="M1763" s="75">
        <f>_xlfn.XLOOKUP(L1763,list_vat[Страна],list_vat[Ставка НДС %],0,0)</f>
        <v/>
      </c>
      <c r="N1763" s="162">
        <f>IFERROR(IF(L1763="Китай",K1763,K1763/(1+M1763)),0)</f>
        <v/>
      </c>
      <c r="O1763" s="169" t="n"/>
      <c r="P1763" s="76">
        <f>N1763*(1-O1763)</f>
        <v/>
      </c>
      <c r="Q1763" s="162" t="n"/>
      <c r="R1763" s="162">
        <f>IF(ISBLANK(Q1763),"введи курс",P1763/Q1763)</f>
        <v/>
      </c>
      <c r="S1763" s="196">
        <f>IF(AND(ISNUMBER(E1763),ISNUMBER(Q1763)),E1763*R1763,0)</f>
        <v/>
      </c>
      <c r="T1763" s="192">
        <f>$BC1763*V$11</f>
        <v/>
      </c>
      <c r="U1763" s="76">
        <f>$BC1763*W$11</f>
        <v/>
      </c>
      <c r="V1763" s="193">
        <f>+SUM(T1763:U1763)</f>
        <v/>
      </c>
      <c r="W1763" s="191" t="n"/>
      <c r="X1763" s="170" t="n"/>
      <c r="Y1763" s="76">
        <f>ROUND(IF(offer_incoterms="DDP",X1763*(S1763*(1+AW1763)+T1763),0),2)</f>
        <v/>
      </c>
      <c r="Z1763" s="188" t="n"/>
      <c r="AA1763" s="192">
        <f>IFERROR(AB1763/E1763,0)</f>
        <v/>
      </c>
      <c r="AB1763" s="76">
        <f>ROUND(SUM(S1763,V1763,Y1763:Z1763,BA1763:BB1763),2)</f>
        <v/>
      </c>
      <c r="AC1763" s="797" t="n"/>
      <c r="AD1763" s="192">
        <f t="array" ref="AD1763">IFERROR(ROUND((_xlfn.IFS(offer_sale_type="поставка",AB1763,offer_sale_type="транзит",S1763)*(1+AC1763))/E1763,2),0)</f>
        <v/>
      </c>
      <c r="AE1763" s="76">
        <f>AD1763*E1763</f>
        <v/>
      </c>
      <c r="AF1763" s="193">
        <f t="array" ref="AF1763">IFERROR(ROUND(_xlfn.IFS(offer_sale_type="поставка",AB1763,offer_sale_type="транзит",S1763)*AC1763,2),0)</f>
        <v/>
      </c>
      <c r="AG1763" s="192">
        <f>$BD1763*VLOOKUP($AG$3,$AF$4:$AG$7,2,FALSE)</f>
        <v/>
      </c>
      <c r="AH1763" s="76">
        <f>SUM(AE1763,AG1763,AI1763)*rate_forex_risk</f>
        <v/>
      </c>
      <c r="AI1763" s="193">
        <f>IF(OR(seller_region="TR",offer_sale_type="экспорт"),0,rate_fin_comm)*SUM(AZ1763,AZ1763*AW1763,T1763)</f>
        <v/>
      </c>
      <c r="AJ1763" s="118">
        <f>IFERROR(ROUND(SUM(AB1763,AF1763:AI1763)/E1763,2),0)</f>
        <v/>
      </c>
      <c r="AK1763" s="76">
        <f>AJ1763*E1763</f>
        <v/>
      </c>
      <c r="AL1763" s="174">
        <f>ROUND(IFERROR(AM1763*E1763,0),2)</f>
        <v/>
      </c>
      <c r="AM1763" s="175">
        <f>ROUND(AJ1763*(1+IF(offer_incoterms="DDP",IF((TODAY()+offer_turnaround_time)&gt;=helpsheet!$L$17,rate_vatRU_from_26,rate_vatRu_till_25),0)),2)</f>
        <v/>
      </c>
      <c r="AN1763" s="192">
        <f>AL1763-AK1763</f>
        <v/>
      </c>
      <c r="AO1763" s="76">
        <f>SUM(AY1763,Y1763:Z1763,T1763)*IF(AND(offer_incoterms="DDP",offer_sale_type&lt;&gt;"экспорт"),IF((TODAY()+offer_turnaround_time)&gt;=helpsheet!$L$17,rate_vatRU_from_26,rate_vatRu_till_25),0)</f>
        <v/>
      </c>
      <c r="AP1763" s="193">
        <f>AN1763-AO1763</f>
        <v/>
      </c>
      <c r="AQ1763" s="118">
        <f>IF(offer_sale_type="транзит",SUM(AF1763:AI1763,BA1763,BB1763),0)</f>
        <v/>
      </c>
      <c r="AR1763" s="82">
        <f>HYPERLINK("https://www.alta.ru/tnved/code/")&amp;W1763&amp;"/"</f>
        <v/>
      </c>
      <c r="AS1763" s="157" t="n"/>
      <c r="AT1763" s="162" t="n"/>
      <c r="AU1763" s="76">
        <f>IF(ISBLANK(AT1763),0,AJ1763-AT1763)</f>
        <v/>
      </c>
      <c r="AV1763" s="157" t="n"/>
      <c r="AW1763" s="75">
        <f>_xlfn.IFNA(VLOOKUP(L1763,list_vat[],3,FALSE),0)</f>
        <v/>
      </c>
      <c r="AX1763" s="76">
        <f>IFERROR(ROUND(S1763*(1+AW1763)/E1763,2),0)</f>
        <v/>
      </c>
      <c r="AY1763" s="76">
        <f>E1763*AX1763</f>
        <v/>
      </c>
      <c r="AZ1763" s="192">
        <f>S1763*(1+M1763)</f>
        <v/>
      </c>
      <c r="BA1763" s="76">
        <f>cost_fin_total*$BD1763</f>
        <v/>
      </c>
      <c r="BB1763" s="193">
        <f>credit_sales_interest*BD1763</f>
        <v/>
      </c>
      <c r="BC1763" s="102">
        <f>IFERROR(IF($I$13&gt;0,$I1763/$I$13,$S1763/$S$13),0)</f>
        <v/>
      </c>
      <c r="BD1763" s="102">
        <f>IFERROR($S1763/$S$13,0)</f>
        <v/>
      </c>
      <c r="BE1763" s="413" t="inlineStr">
        <is>
          <t>$</t>
        </is>
      </c>
    </row>
    <row r="1764" ht="12" customFormat="1" customHeight="1" s="65">
      <c r="A1764" s="43" t="n">
        <v>1749</v>
      </c>
      <c r="B1764" s="166" t="n"/>
      <c r="C1764" s="166" t="n"/>
      <c r="D1764" s="166" t="n"/>
      <c r="E1764" s="162" t="n"/>
      <c r="F1764" s="166" t="n"/>
      <c r="G1764" s="162" t="n"/>
      <c r="H1764" s="162" t="n"/>
      <c r="I1764" s="189">
        <f>E1764*G1764</f>
        <v/>
      </c>
      <c r="J1764" s="195" t="n"/>
      <c r="K1764" s="162" t="n"/>
      <c r="L1764" s="168" t="n"/>
      <c r="M1764" s="75">
        <f>_xlfn.XLOOKUP(L1764,list_vat[Страна],list_vat[Ставка НДС %],0,0)</f>
        <v/>
      </c>
      <c r="N1764" s="162">
        <f>IFERROR(IF(L1764="Китай",K1764,K1764/(1+M1764)),0)</f>
        <v/>
      </c>
      <c r="O1764" s="169" t="n"/>
      <c r="P1764" s="76">
        <f>N1764*(1-O1764)</f>
        <v/>
      </c>
      <c r="Q1764" s="162" t="n"/>
      <c r="R1764" s="162">
        <f>IF(ISBLANK(Q1764),"введи курс",P1764/Q1764)</f>
        <v/>
      </c>
      <c r="S1764" s="196">
        <f>IF(AND(ISNUMBER(E1764),ISNUMBER(Q1764)),E1764*R1764,0)</f>
        <v/>
      </c>
      <c r="T1764" s="192">
        <f>$BC1764*V$11</f>
        <v/>
      </c>
      <c r="U1764" s="76">
        <f>$BC1764*W$11</f>
        <v/>
      </c>
      <c r="V1764" s="193">
        <f>+SUM(T1764:U1764)</f>
        <v/>
      </c>
      <c r="W1764" s="191" t="n"/>
      <c r="X1764" s="170" t="n"/>
      <c r="Y1764" s="76">
        <f>ROUND(IF(offer_incoterms="DDP",X1764*(S1764*(1+AW1764)+T1764),0),2)</f>
        <v/>
      </c>
      <c r="Z1764" s="188" t="n"/>
      <c r="AA1764" s="192">
        <f>IFERROR(AB1764/E1764,0)</f>
        <v/>
      </c>
      <c r="AB1764" s="76">
        <f>ROUND(SUM(S1764,V1764,Y1764:Z1764,BA1764:BB1764),2)</f>
        <v/>
      </c>
      <c r="AC1764" s="797" t="n"/>
      <c r="AD1764" s="192">
        <f t="array" ref="AD1764">IFERROR(ROUND((_xlfn.IFS(offer_sale_type="поставка",AB1764,offer_sale_type="транзит",S1764)*(1+AC1764))/E1764,2),0)</f>
        <v/>
      </c>
      <c r="AE1764" s="76">
        <f>AD1764*E1764</f>
        <v/>
      </c>
      <c r="AF1764" s="193">
        <f t="array" ref="AF1764">IFERROR(ROUND(_xlfn.IFS(offer_sale_type="поставка",AB1764,offer_sale_type="транзит",S1764)*AC1764,2),0)</f>
        <v/>
      </c>
      <c r="AG1764" s="192">
        <f>$BD1764*VLOOKUP($AG$3,$AF$4:$AG$7,2,FALSE)</f>
        <v/>
      </c>
      <c r="AH1764" s="76">
        <f>SUM(AE1764,AG1764,AI1764)*rate_forex_risk</f>
        <v/>
      </c>
      <c r="AI1764" s="193">
        <f>IF(OR(seller_region="TR",offer_sale_type="экспорт"),0,rate_fin_comm)*SUM(AZ1764,AZ1764*AW1764,T1764)</f>
        <v/>
      </c>
      <c r="AJ1764" s="118">
        <f>IFERROR(ROUND(SUM(AB1764,AF1764:AI1764)/E1764,2),0)</f>
        <v/>
      </c>
      <c r="AK1764" s="76">
        <f>AJ1764*E1764</f>
        <v/>
      </c>
      <c r="AL1764" s="174">
        <f>ROUND(IFERROR(AM1764*E1764,0),2)</f>
        <v/>
      </c>
      <c r="AM1764" s="175">
        <f>ROUND(AJ1764*(1+IF(offer_incoterms="DDP",IF((TODAY()+offer_turnaround_time)&gt;=helpsheet!$L$17,rate_vatRU_from_26,rate_vatRu_till_25),0)),2)</f>
        <v/>
      </c>
      <c r="AN1764" s="192">
        <f>AL1764-AK1764</f>
        <v/>
      </c>
      <c r="AO1764" s="76">
        <f>SUM(AY1764,Y1764:Z1764,T1764)*IF(AND(offer_incoterms="DDP",offer_sale_type&lt;&gt;"экспорт"),IF((TODAY()+offer_turnaround_time)&gt;=helpsheet!$L$17,rate_vatRU_from_26,rate_vatRu_till_25),0)</f>
        <v/>
      </c>
      <c r="AP1764" s="193">
        <f>AN1764-AO1764</f>
        <v/>
      </c>
      <c r="AQ1764" s="118">
        <f>IF(offer_sale_type="транзит",SUM(AF1764:AI1764,BA1764,BB1764),0)</f>
        <v/>
      </c>
      <c r="AR1764" s="82">
        <f>HYPERLINK("https://www.alta.ru/tnved/code/")&amp;W1764&amp;"/"</f>
        <v/>
      </c>
      <c r="AS1764" s="157" t="n"/>
      <c r="AT1764" s="162" t="n"/>
      <c r="AU1764" s="76">
        <f>IF(ISBLANK(AT1764),0,AJ1764-AT1764)</f>
        <v/>
      </c>
      <c r="AV1764" s="157" t="n"/>
      <c r="AW1764" s="75">
        <f>_xlfn.IFNA(VLOOKUP(L1764,list_vat[],3,FALSE),0)</f>
        <v/>
      </c>
      <c r="AX1764" s="76">
        <f>IFERROR(ROUND(S1764*(1+AW1764)/E1764,2),0)</f>
        <v/>
      </c>
      <c r="AY1764" s="76">
        <f>E1764*AX1764</f>
        <v/>
      </c>
      <c r="AZ1764" s="192">
        <f>S1764*(1+M1764)</f>
        <v/>
      </c>
      <c r="BA1764" s="76">
        <f>cost_fin_total*$BD1764</f>
        <v/>
      </c>
      <c r="BB1764" s="193">
        <f>credit_sales_interest*BD1764</f>
        <v/>
      </c>
      <c r="BC1764" s="102">
        <f>IFERROR(IF($I$13&gt;0,$I1764/$I$13,$S1764/$S$13),0)</f>
        <v/>
      </c>
      <c r="BD1764" s="102">
        <f>IFERROR($S1764/$S$13,0)</f>
        <v/>
      </c>
      <c r="BE1764" s="413" t="inlineStr">
        <is>
          <t>$</t>
        </is>
      </c>
    </row>
    <row r="1765" ht="12" customFormat="1" customHeight="1" s="65">
      <c r="A1765" s="43" t="n">
        <v>1750</v>
      </c>
      <c r="B1765" s="166" t="n"/>
      <c r="C1765" s="166" t="n"/>
      <c r="D1765" s="166" t="n"/>
      <c r="E1765" s="162" t="n"/>
      <c r="F1765" s="166" t="n"/>
      <c r="G1765" s="162" t="n"/>
      <c r="H1765" s="162" t="n"/>
      <c r="I1765" s="189">
        <f>E1765*G1765</f>
        <v/>
      </c>
      <c r="J1765" s="195" t="n"/>
      <c r="K1765" s="162" t="n"/>
      <c r="L1765" s="168" t="n"/>
      <c r="M1765" s="75">
        <f>_xlfn.XLOOKUP(L1765,list_vat[Страна],list_vat[Ставка НДС %],0,0)</f>
        <v/>
      </c>
      <c r="N1765" s="162">
        <f>IFERROR(IF(L1765="Китай",K1765,K1765/(1+M1765)),0)</f>
        <v/>
      </c>
      <c r="O1765" s="169" t="n"/>
      <c r="P1765" s="76">
        <f>N1765*(1-O1765)</f>
        <v/>
      </c>
      <c r="Q1765" s="162" t="n"/>
      <c r="R1765" s="162">
        <f>IF(ISBLANK(Q1765),"введи курс",P1765/Q1765)</f>
        <v/>
      </c>
      <c r="S1765" s="196">
        <f>IF(AND(ISNUMBER(E1765),ISNUMBER(Q1765)),E1765*R1765,0)</f>
        <v/>
      </c>
      <c r="T1765" s="192">
        <f>$BC1765*V$11</f>
        <v/>
      </c>
      <c r="U1765" s="76">
        <f>$BC1765*W$11</f>
        <v/>
      </c>
      <c r="V1765" s="193">
        <f>+SUM(T1765:U1765)</f>
        <v/>
      </c>
      <c r="W1765" s="191" t="n"/>
      <c r="X1765" s="170" t="n"/>
      <c r="Y1765" s="76">
        <f>ROUND(IF(offer_incoterms="DDP",X1765*(S1765*(1+AW1765)+T1765),0),2)</f>
        <v/>
      </c>
      <c r="Z1765" s="188" t="n"/>
      <c r="AA1765" s="192">
        <f>IFERROR(AB1765/E1765,0)</f>
        <v/>
      </c>
      <c r="AB1765" s="76">
        <f>ROUND(SUM(S1765,V1765,Y1765:Z1765,BA1765:BB1765),2)</f>
        <v/>
      </c>
      <c r="AC1765" s="797" t="n"/>
      <c r="AD1765" s="192">
        <f t="array" ref="AD1765">IFERROR(ROUND((_xlfn.IFS(offer_sale_type="поставка",AB1765,offer_sale_type="транзит",S1765)*(1+AC1765))/E1765,2),0)</f>
        <v/>
      </c>
      <c r="AE1765" s="76">
        <f>AD1765*E1765</f>
        <v/>
      </c>
      <c r="AF1765" s="193">
        <f t="array" ref="AF1765">IFERROR(ROUND(_xlfn.IFS(offer_sale_type="поставка",AB1765,offer_sale_type="транзит",S1765)*AC1765,2),0)</f>
        <v/>
      </c>
      <c r="AG1765" s="192">
        <f>$BD1765*VLOOKUP($AG$3,$AF$4:$AG$7,2,FALSE)</f>
        <v/>
      </c>
      <c r="AH1765" s="76">
        <f>SUM(AE1765,AG1765,AI1765)*rate_forex_risk</f>
        <v/>
      </c>
      <c r="AI1765" s="193">
        <f>IF(OR(seller_region="TR",offer_sale_type="экспорт"),0,rate_fin_comm)*SUM(AZ1765,AZ1765*AW1765,T1765)</f>
        <v/>
      </c>
      <c r="AJ1765" s="118">
        <f>IFERROR(ROUND(SUM(AB1765,AF1765:AI1765)/E1765,2),0)</f>
        <v/>
      </c>
      <c r="AK1765" s="76">
        <f>AJ1765*E1765</f>
        <v/>
      </c>
      <c r="AL1765" s="174">
        <f>ROUND(IFERROR(AM1765*E1765,0),2)</f>
        <v/>
      </c>
      <c r="AM1765" s="175">
        <f>ROUND(AJ1765*(1+IF(offer_incoterms="DDP",IF((TODAY()+offer_turnaround_time)&gt;=helpsheet!$L$17,rate_vatRU_from_26,rate_vatRu_till_25),0)),2)</f>
        <v/>
      </c>
      <c r="AN1765" s="192">
        <f>AL1765-AK1765</f>
        <v/>
      </c>
      <c r="AO1765" s="76">
        <f>SUM(AY1765,Y1765:Z1765,T1765)*IF(AND(offer_incoterms="DDP",offer_sale_type&lt;&gt;"экспорт"),IF((TODAY()+offer_turnaround_time)&gt;=helpsheet!$L$17,rate_vatRU_from_26,rate_vatRu_till_25),0)</f>
        <v/>
      </c>
      <c r="AP1765" s="193">
        <f>AN1765-AO1765</f>
        <v/>
      </c>
      <c r="AQ1765" s="118">
        <f>IF(offer_sale_type="транзит",SUM(AF1765:AI1765,BA1765,BB1765),0)</f>
        <v/>
      </c>
      <c r="AR1765" s="82">
        <f>HYPERLINK("https://www.alta.ru/tnved/code/")&amp;W1765&amp;"/"</f>
        <v/>
      </c>
      <c r="AS1765" s="157" t="n"/>
      <c r="AT1765" s="162" t="n"/>
      <c r="AU1765" s="76">
        <f>IF(ISBLANK(AT1765),0,AJ1765-AT1765)</f>
        <v/>
      </c>
      <c r="AV1765" s="157" t="n"/>
      <c r="AW1765" s="75">
        <f>_xlfn.IFNA(VLOOKUP(L1765,list_vat[],3,FALSE),0)</f>
        <v/>
      </c>
      <c r="AX1765" s="76">
        <f>IFERROR(ROUND(S1765*(1+AW1765)/E1765,2),0)</f>
        <v/>
      </c>
      <c r="AY1765" s="76">
        <f>E1765*AX1765</f>
        <v/>
      </c>
      <c r="AZ1765" s="192">
        <f>S1765*(1+M1765)</f>
        <v/>
      </c>
      <c r="BA1765" s="76">
        <f>cost_fin_total*$BD1765</f>
        <v/>
      </c>
      <c r="BB1765" s="193">
        <f>credit_sales_interest*BD1765</f>
        <v/>
      </c>
      <c r="BC1765" s="102">
        <f>IFERROR(IF($I$13&gt;0,$I1765/$I$13,$S1765/$S$13),0)</f>
        <v/>
      </c>
      <c r="BD1765" s="102">
        <f>IFERROR($S1765/$S$13,0)</f>
        <v/>
      </c>
      <c r="BE1765" s="413" t="inlineStr">
        <is>
          <t>$</t>
        </is>
      </c>
    </row>
    <row r="1766" ht="12" customFormat="1" customHeight="1" s="65">
      <c r="A1766" s="43" t="n">
        <v>1751</v>
      </c>
      <c r="B1766" s="166" t="n"/>
      <c r="C1766" s="166" t="n"/>
      <c r="D1766" s="166" t="n"/>
      <c r="E1766" s="162" t="n"/>
      <c r="F1766" s="166" t="n"/>
      <c r="G1766" s="162" t="n"/>
      <c r="H1766" s="162" t="n"/>
      <c r="I1766" s="189">
        <f>E1766*G1766</f>
        <v/>
      </c>
      <c r="J1766" s="195" t="n"/>
      <c r="K1766" s="162" t="n"/>
      <c r="L1766" s="168" t="n"/>
      <c r="M1766" s="75">
        <f>_xlfn.XLOOKUP(L1766,list_vat[Страна],list_vat[Ставка НДС %],0,0)</f>
        <v/>
      </c>
      <c r="N1766" s="162">
        <f>IFERROR(IF(L1766="Китай",K1766,K1766/(1+M1766)),0)</f>
        <v/>
      </c>
      <c r="O1766" s="169" t="n"/>
      <c r="P1766" s="76">
        <f>N1766*(1-O1766)</f>
        <v/>
      </c>
      <c r="Q1766" s="162" t="n"/>
      <c r="R1766" s="162">
        <f>IF(ISBLANK(Q1766),"введи курс",P1766/Q1766)</f>
        <v/>
      </c>
      <c r="S1766" s="196">
        <f>IF(AND(ISNUMBER(E1766),ISNUMBER(Q1766)),E1766*R1766,0)</f>
        <v/>
      </c>
      <c r="T1766" s="192">
        <f>$BC1766*V$11</f>
        <v/>
      </c>
      <c r="U1766" s="76">
        <f>$BC1766*W$11</f>
        <v/>
      </c>
      <c r="V1766" s="193">
        <f>+SUM(T1766:U1766)</f>
        <v/>
      </c>
      <c r="W1766" s="191" t="n"/>
      <c r="X1766" s="170" t="n"/>
      <c r="Y1766" s="76">
        <f>ROUND(IF(offer_incoterms="DDP",X1766*(S1766*(1+AW1766)+T1766),0),2)</f>
        <v/>
      </c>
      <c r="Z1766" s="188" t="n"/>
      <c r="AA1766" s="192">
        <f>IFERROR(AB1766/E1766,0)</f>
        <v/>
      </c>
      <c r="AB1766" s="76">
        <f>ROUND(SUM(S1766,V1766,Y1766:Z1766,BA1766:BB1766),2)</f>
        <v/>
      </c>
      <c r="AC1766" s="797" t="n"/>
      <c r="AD1766" s="192">
        <f t="array" ref="AD1766">IFERROR(ROUND((_xlfn.IFS(offer_sale_type="поставка",AB1766,offer_sale_type="транзит",S1766)*(1+AC1766))/E1766,2),0)</f>
        <v/>
      </c>
      <c r="AE1766" s="76">
        <f>AD1766*E1766</f>
        <v/>
      </c>
      <c r="AF1766" s="193">
        <f t="array" ref="AF1766">IFERROR(ROUND(_xlfn.IFS(offer_sale_type="поставка",AB1766,offer_sale_type="транзит",S1766)*AC1766,2),0)</f>
        <v/>
      </c>
      <c r="AG1766" s="192">
        <f>$BD1766*VLOOKUP($AG$3,$AF$4:$AG$7,2,FALSE)</f>
        <v/>
      </c>
      <c r="AH1766" s="76">
        <f>SUM(AE1766,AG1766,AI1766)*rate_forex_risk</f>
        <v/>
      </c>
      <c r="AI1766" s="193">
        <f>IF(OR(seller_region="TR",offer_sale_type="экспорт"),0,rate_fin_comm)*SUM(AZ1766,AZ1766*AW1766,T1766)</f>
        <v/>
      </c>
      <c r="AJ1766" s="118">
        <f>IFERROR(ROUND(SUM(AB1766,AF1766:AI1766)/E1766,2),0)</f>
        <v/>
      </c>
      <c r="AK1766" s="76">
        <f>AJ1766*E1766</f>
        <v/>
      </c>
      <c r="AL1766" s="174">
        <f>ROUND(IFERROR(AM1766*E1766,0),2)</f>
        <v/>
      </c>
      <c r="AM1766" s="175">
        <f>ROUND(AJ1766*(1+IF(offer_incoterms="DDP",IF((TODAY()+offer_turnaround_time)&gt;=helpsheet!$L$17,rate_vatRU_from_26,rate_vatRu_till_25),0)),2)</f>
        <v/>
      </c>
      <c r="AN1766" s="192">
        <f>AL1766-AK1766</f>
        <v/>
      </c>
      <c r="AO1766" s="76">
        <f>SUM(AY1766,Y1766:Z1766,T1766)*IF(AND(offer_incoterms="DDP",offer_sale_type&lt;&gt;"экспорт"),IF((TODAY()+offer_turnaround_time)&gt;=helpsheet!$L$17,rate_vatRU_from_26,rate_vatRu_till_25),0)</f>
        <v/>
      </c>
      <c r="AP1766" s="193">
        <f>AN1766-AO1766</f>
        <v/>
      </c>
      <c r="AQ1766" s="118">
        <f>IF(offer_sale_type="транзит",SUM(AF1766:AI1766,BA1766,BB1766),0)</f>
        <v/>
      </c>
      <c r="AR1766" s="82">
        <f>HYPERLINK("https://www.alta.ru/tnved/code/")&amp;W1766&amp;"/"</f>
        <v/>
      </c>
      <c r="AS1766" s="157" t="n"/>
      <c r="AT1766" s="162" t="n"/>
      <c r="AU1766" s="76">
        <f>IF(ISBLANK(AT1766),0,AJ1766-AT1766)</f>
        <v/>
      </c>
      <c r="AV1766" s="157" t="n"/>
      <c r="AW1766" s="75">
        <f>_xlfn.IFNA(VLOOKUP(L1766,list_vat[],3,FALSE),0)</f>
        <v/>
      </c>
      <c r="AX1766" s="76">
        <f>IFERROR(ROUND(S1766*(1+AW1766)/E1766,2),0)</f>
        <v/>
      </c>
      <c r="AY1766" s="76">
        <f>E1766*AX1766</f>
        <v/>
      </c>
      <c r="AZ1766" s="192">
        <f>S1766*(1+M1766)</f>
        <v/>
      </c>
      <c r="BA1766" s="76">
        <f>cost_fin_total*$BD1766</f>
        <v/>
      </c>
      <c r="BB1766" s="193">
        <f>credit_sales_interest*BD1766</f>
        <v/>
      </c>
      <c r="BC1766" s="102">
        <f>IFERROR(IF($I$13&gt;0,$I1766/$I$13,$S1766/$S$13),0)</f>
        <v/>
      </c>
      <c r="BD1766" s="102">
        <f>IFERROR($S1766/$S$13,0)</f>
        <v/>
      </c>
      <c r="BE1766" s="413" t="inlineStr">
        <is>
          <t>$</t>
        </is>
      </c>
    </row>
    <row r="1767" ht="12" customFormat="1" customHeight="1" s="65">
      <c r="A1767" s="43" t="n">
        <v>1752</v>
      </c>
      <c r="B1767" s="166" t="n"/>
      <c r="C1767" s="166" t="n"/>
      <c r="D1767" s="166" t="n"/>
      <c r="E1767" s="162" t="n"/>
      <c r="F1767" s="166" t="n"/>
      <c r="G1767" s="162" t="n"/>
      <c r="H1767" s="162" t="n"/>
      <c r="I1767" s="189">
        <f>E1767*G1767</f>
        <v/>
      </c>
      <c r="J1767" s="195" t="n"/>
      <c r="K1767" s="162" t="n"/>
      <c r="L1767" s="168" t="n"/>
      <c r="M1767" s="75">
        <f>_xlfn.XLOOKUP(L1767,list_vat[Страна],list_vat[Ставка НДС %],0,0)</f>
        <v/>
      </c>
      <c r="N1767" s="162">
        <f>IFERROR(IF(L1767="Китай",K1767,K1767/(1+M1767)),0)</f>
        <v/>
      </c>
      <c r="O1767" s="169" t="n"/>
      <c r="P1767" s="76">
        <f>N1767*(1-O1767)</f>
        <v/>
      </c>
      <c r="Q1767" s="162" t="n"/>
      <c r="R1767" s="162">
        <f>IF(ISBLANK(Q1767),"введи курс",P1767/Q1767)</f>
        <v/>
      </c>
      <c r="S1767" s="196">
        <f>IF(AND(ISNUMBER(E1767),ISNUMBER(Q1767)),E1767*R1767,0)</f>
        <v/>
      </c>
      <c r="T1767" s="192">
        <f>$BC1767*V$11</f>
        <v/>
      </c>
      <c r="U1767" s="76">
        <f>$BC1767*W$11</f>
        <v/>
      </c>
      <c r="V1767" s="193">
        <f>+SUM(T1767:U1767)</f>
        <v/>
      </c>
      <c r="W1767" s="191" t="n"/>
      <c r="X1767" s="170" t="n"/>
      <c r="Y1767" s="76">
        <f>ROUND(IF(offer_incoterms="DDP",X1767*(S1767*(1+AW1767)+T1767),0),2)</f>
        <v/>
      </c>
      <c r="Z1767" s="188" t="n"/>
      <c r="AA1767" s="192">
        <f>IFERROR(AB1767/E1767,0)</f>
        <v/>
      </c>
      <c r="AB1767" s="76">
        <f>ROUND(SUM(S1767,V1767,Y1767:Z1767,BA1767:BB1767),2)</f>
        <v/>
      </c>
      <c r="AC1767" s="797" t="n"/>
      <c r="AD1767" s="192">
        <f t="array" ref="AD1767">IFERROR(ROUND((_xlfn.IFS(offer_sale_type="поставка",AB1767,offer_sale_type="транзит",S1767)*(1+AC1767))/E1767,2),0)</f>
        <v/>
      </c>
      <c r="AE1767" s="76">
        <f>AD1767*E1767</f>
        <v/>
      </c>
      <c r="AF1767" s="193">
        <f t="array" ref="AF1767">IFERROR(ROUND(_xlfn.IFS(offer_sale_type="поставка",AB1767,offer_sale_type="транзит",S1767)*AC1767,2),0)</f>
        <v/>
      </c>
      <c r="AG1767" s="192">
        <f>$BD1767*VLOOKUP($AG$3,$AF$4:$AG$7,2,FALSE)</f>
        <v/>
      </c>
      <c r="AH1767" s="76">
        <f>SUM(AE1767,AG1767,AI1767)*rate_forex_risk</f>
        <v/>
      </c>
      <c r="AI1767" s="193">
        <f>IF(OR(seller_region="TR",offer_sale_type="экспорт"),0,rate_fin_comm)*SUM(AZ1767,AZ1767*AW1767,T1767)</f>
        <v/>
      </c>
      <c r="AJ1767" s="118">
        <f>IFERROR(ROUND(SUM(AB1767,AF1767:AI1767)/E1767,2),0)</f>
        <v/>
      </c>
      <c r="AK1767" s="76">
        <f>AJ1767*E1767</f>
        <v/>
      </c>
      <c r="AL1767" s="174">
        <f>ROUND(IFERROR(AM1767*E1767,0),2)</f>
        <v/>
      </c>
      <c r="AM1767" s="175">
        <f>ROUND(AJ1767*(1+IF(offer_incoterms="DDP",IF((TODAY()+offer_turnaround_time)&gt;=helpsheet!$L$17,rate_vatRU_from_26,rate_vatRu_till_25),0)),2)</f>
        <v/>
      </c>
      <c r="AN1767" s="192">
        <f>AL1767-AK1767</f>
        <v/>
      </c>
      <c r="AO1767" s="76">
        <f>SUM(AY1767,Y1767:Z1767,T1767)*IF(AND(offer_incoterms="DDP",offer_sale_type&lt;&gt;"экспорт"),IF((TODAY()+offer_turnaround_time)&gt;=helpsheet!$L$17,rate_vatRU_from_26,rate_vatRu_till_25),0)</f>
        <v/>
      </c>
      <c r="AP1767" s="193">
        <f>AN1767-AO1767</f>
        <v/>
      </c>
      <c r="AQ1767" s="118">
        <f>IF(offer_sale_type="транзит",SUM(AF1767:AI1767,BA1767,BB1767),0)</f>
        <v/>
      </c>
      <c r="AR1767" s="82">
        <f>HYPERLINK("https://www.alta.ru/tnved/code/")&amp;W1767&amp;"/"</f>
        <v/>
      </c>
      <c r="AS1767" s="157" t="n"/>
      <c r="AT1767" s="162" t="n"/>
      <c r="AU1767" s="76">
        <f>IF(ISBLANK(AT1767),0,AJ1767-AT1767)</f>
        <v/>
      </c>
      <c r="AV1767" s="157" t="n"/>
      <c r="AW1767" s="75">
        <f>_xlfn.IFNA(VLOOKUP(L1767,list_vat[],3,FALSE),0)</f>
        <v/>
      </c>
      <c r="AX1767" s="76">
        <f>IFERROR(ROUND(S1767*(1+AW1767)/E1767,2),0)</f>
        <v/>
      </c>
      <c r="AY1767" s="76">
        <f>E1767*AX1767</f>
        <v/>
      </c>
      <c r="AZ1767" s="192">
        <f>S1767*(1+M1767)</f>
        <v/>
      </c>
      <c r="BA1767" s="76">
        <f>cost_fin_total*$BD1767</f>
        <v/>
      </c>
      <c r="BB1767" s="193">
        <f>credit_sales_interest*BD1767</f>
        <v/>
      </c>
      <c r="BC1767" s="102">
        <f>IFERROR(IF($I$13&gt;0,$I1767/$I$13,$S1767/$S$13),0)</f>
        <v/>
      </c>
      <c r="BD1767" s="102">
        <f>IFERROR($S1767/$S$13,0)</f>
        <v/>
      </c>
      <c r="BE1767" s="413" t="inlineStr">
        <is>
          <t>$</t>
        </is>
      </c>
    </row>
    <row r="1768" ht="12" customFormat="1" customHeight="1" s="65">
      <c r="A1768" s="43" t="n">
        <v>1753</v>
      </c>
      <c r="B1768" s="166" t="n"/>
      <c r="C1768" s="166" t="n"/>
      <c r="D1768" s="166" t="n"/>
      <c r="E1768" s="162" t="n"/>
      <c r="F1768" s="166" t="n"/>
      <c r="G1768" s="162" t="n"/>
      <c r="H1768" s="162" t="n"/>
      <c r="I1768" s="189">
        <f>E1768*G1768</f>
        <v/>
      </c>
      <c r="J1768" s="195" t="n"/>
      <c r="K1768" s="162" t="n"/>
      <c r="L1768" s="168" t="n"/>
      <c r="M1768" s="75">
        <f>_xlfn.XLOOKUP(L1768,list_vat[Страна],list_vat[Ставка НДС %],0,0)</f>
        <v/>
      </c>
      <c r="N1768" s="162">
        <f>IFERROR(IF(L1768="Китай",K1768,K1768/(1+M1768)),0)</f>
        <v/>
      </c>
      <c r="O1768" s="169" t="n"/>
      <c r="P1768" s="76">
        <f>N1768*(1-O1768)</f>
        <v/>
      </c>
      <c r="Q1768" s="162" t="n"/>
      <c r="R1768" s="162">
        <f>IF(ISBLANK(Q1768),"введи курс",P1768/Q1768)</f>
        <v/>
      </c>
      <c r="S1768" s="196">
        <f>IF(AND(ISNUMBER(E1768),ISNUMBER(Q1768)),E1768*R1768,0)</f>
        <v/>
      </c>
      <c r="T1768" s="192">
        <f>$BC1768*V$11</f>
        <v/>
      </c>
      <c r="U1768" s="76">
        <f>$BC1768*W$11</f>
        <v/>
      </c>
      <c r="V1768" s="193">
        <f>+SUM(T1768:U1768)</f>
        <v/>
      </c>
      <c r="W1768" s="191" t="n"/>
      <c r="X1768" s="170" t="n"/>
      <c r="Y1768" s="76">
        <f>ROUND(IF(offer_incoterms="DDP",X1768*(S1768*(1+AW1768)+T1768),0),2)</f>
        <v/>
      </c>
      <c r="Z1768" s="188" t="n"/>
      <c r="AA1768" s="192">
        <f>IFERROR(AB1768/E1768,0)</f>
        <v/>
      </c>
      <c r="AB1768" s="76">
        <f>ROUND(SUM(S1768,V1768,Y1768:Z1768,BA1768:BB1768),2)</f>
        <v/>
      </c>
      <c r="AC1768" s="797" t="n"/>
      <c r="AD1768" s="192">
        <f t="array" ref="AD1768">IFERROR(ROUND((_xlfn.IFS(offer_sale_type="поставка",AB1768,offer_sale_type="транзит",S1768)*(1+AC1768))/E1768,2),0)</f>
        <v/>
      </c>
      <c r="AE1768" s="76">
        <f>AD1768*E1768</f>
        <v/>
      </c>
      <c r="AF1768" s="193">
        <f t="array" ref="AF1768">IFERROR(ROUND(_xlfn.IFS(offer_sale_type="поставка",AB1768,offer_sale_type="транзит",S1768)*AC1768,2),0)</f>
        <v/>
      </c>
      <c r="AG1768" s="192">
        <f>$BD1768*VLOOKUP($AG$3,$AF$4:$AG$7,2,FALSE)</f>
        <v/>
      </c>
      <c r="AH1768" s="76">
        <f>SUM(AE1768,AG1768,AI1768)*rate_forex_risk</f>
        <v/>
      </c>
      <c r="AI1768" s="193">
        <f>IF(OR(seller_region="TR",offer_sale_type="экспорт"),0,rate_fin_comm)*SUM(AZ1768,AZ1768*AW1768,T1768)</f>
        <v/>
      </c>
      <c r="AJ1768" s="118">
        <f>IFERROR(ROUND(SUM(AB1768,AF1768:AI1768)/E1768,2),0)</f>
        <v/>
      </c>
      <c r="AK1768" s="76">
        <f>AJ1768*E1768</f>
        <v/>
      </c>
      <c r="AL1768" s="174">
        <f>ROUND(IFERROR(AM1768*E1768,0),2)</f>
        <v/>
      </c>
      <c r="AM1768" s="175">
        <f>ROUND(AJ1768*(1+IF(offer_incoterms="DDP",IF((TODAY()+offer_turnaround_time)&gt;=helpsheet!$L$17,rate_vatRU_from_26,rate_vatRu_till_25),0)),2)</f>
        <v/>
      </c>
      <c r="AN1768" s="192">
        <f>AL1768-AK1768</f>
        <v/>
      </c>
      <c r="AO1768" s="76">
        <f>SUM(AY1768,Y1768:Z1768,T1768)*IF(AND(offer_incoterms="DDP",offer_sale_type&lt;&gt;"экспорт"),IF((TODAY()+offer_turnaround_time)&gt;=helpsheet!$L$17,rate_vatRU_from_26,rate_vatRu_till_25),0)</f>
        <v/>
      </c>
      <c r="AP1768" s="193">
        <f>AN1768-AO1768</f>
        <v/>
      </c>
      <c r="AQ1768" s="118">
        <f>IF(offer_sale_type="транзит",SUM(AF1768:AI1768,BA1768,BB1768),0)</f>
        <v/>
      </c>
      <c r="AR1768" s="82">
        <f>HYPERLINK("https://www.alta.ru/tnved/code/")&amp;W1768&amp;"/"</f>
        <v/>
      </c>
      <c r="AS1768" s="157" t="n"/>
      <c r="AT1768" s="162" t="n"/>
      <c r="AU1768" s="76">
        <f>IF(ISBLANK(AT1768),0,AJ1768-AT1768)</f>
        <v/>
      </c>
      <c r="AV1768" s="157" t="n"/>
      <c r="AW1768" s="75">
        <f>_xlfn.IFNA(VLOOKUP(L1768,list_vat[],3,FALSE),0)</f>
        <v/>
      </c>
      <c r="AX1768" s="76">
        <f>IFERROR(ROUND(S1768*(1+AW1768)/E1768,2),0)</f>
        <v/>
      </c>
      <c r="AY1768" s="76">
        <f>E1768*AX1768</f>
        <v/>
      </c>
      <c r="AZ1768" s="192">
        <f>S1768*(1+M1768)</f>
        <v/>
      </c>
      <c r="BA1768" s="76">
        <f>cost_fin_total*$BD1768</f>
        <v/>
      </c>
      <c r="BB1768" s="193">
        <f>credit_sales_interest*BD1768</f>
        <v/>
      </c>
      <c r="BC1768" s="102">
        <f>IFERROR(IF($I$13&gt;0,$I1768/$I$13,$S1768/$S$13),0)</f>
        <v/>
      </c>
      <c r="BD1768" s="102">
        <f>IFERROR($S1768/$S$13,0)</f>
        <v/>
      </c>
      <c r="BE1768" s="413" t="inlineStr">
        <is>
          <t>$</t>
        </is>
      </c>
    </row>
    <row r="1769" ht="12" customFormat="1" customHeight="1" s="65">
      <c r="A1769" s="43" t="n">
        <v>1754</v>
      </c>
      <c r="B1769" s="166" t="n"/>
      <c r="C1769" s="166" t="n"/>
      <c r="D1769" s="166" t="n"/>
      <c r="E1769" s="162" t="n"/>
      <c r="F1769" s="166" t="n"/>
      <c r="G1769" s="162" t="n"/>
      <c r="H1769" s="162" t="n"/>
      <c r="I1769" s="189">
        <f>E1769*G1769</f>
        <v/>
      </c>
      <c r="J1769" s="195" t="n"/>
      <c r="K1769" s="162" t="n"/>
      <c r="L1769" s="168" t="n"/>
      <c r="M1769" s="75">
        <f>_xlfn.XLOOKUP(L1769,list_vat[Страна],list_vat[Ставка НДС %],0,0)</f>
        <v/>
      </c>
      <c r="N1769" s="162">
        <f>IFERROR(IF(L1769="Китай",K1769,K1769/(1+M1769)),0)</f>
        <v/>
      </c>
      <c r="O1769" s="169" t="n"/>
      <c r="P1769" s="76">
        <f>N1769*(1-O1769)</f>
        <v/>
      </c>
      <c r="Q1769" s="162" t="n"/>
      <c r="R1769" s="162">
        <f>IF(ISBLANK(Q1769),"введи курс",P1769/Q1769)</f>
        <v/>
      </c>
      <c r="S1769" s="196">
        <f>IF(AND(ISNUMBER(E1769),ISNUMBER(Q1769)),E1769*R1769,0)</f>
        <v/>
      </c>
      <c r="T1769" s="192">
        <f>$BC1769*V$11</f>
        <v/>
      </c>
      <c r="U1769" s="76">
        <f>$BC1769*W$11</f>
        <v/>
      </c>
      <c r="V1769" s="193">
        <f>+SUM(T1769:U1769)</f>
        <v/>
      </c>
      <c r="W1769" s="191" t="n"/>
      <c r="X1769" s="170" t="n"/>
      <c r="Y1769" s="76">
        <f>ROUND(IF(offer_incoterms="DDP",X1769*(S1769*(1+AW1769)+T1769),0),2)</f>
        <v/>
      </c>
      <c r="Z1769" s="188" t="n"/>
      <c r="AA1769" s="192">
        <f>IFERROR(AB1769/E1769,0)</f>
        <v/>
      </c>
      <c r="AB1769" s="76">
        <f>ROUND(SUM(S1769,V1769,Y1769:Z1769,BA1769:BB1769),2)</f>
        <v/>
      </c>
      <c r="AC1769" s="797" t="n"/>
      <c r="AD1769" s="192">
        <f t="array" ref="AD1769">IFERROR(ROUND((_xlfn.IFS(offer_sale_type="поставка",AB1769,offer_sale_type="транзит",S1769)*(1+AC1769))/E1769,2),0)</f>
        <v/>
      </c>
      <c r="AE1769" s="76">
        <f>AD1769*E1769</f>
        <v/>
      </c>
      <c r="AF1769" s="193">
        <f t="array" ref="AF1769">IFERROR(ROUND(_xlfn.IFS(offer_sale_type="поставка",AB1769,offer_sale_type="транзит",S1769)*AC1769,2),0)</f>
        <v/>
      </c>
      <c r="AG1769" s="192">
        <f>$BD1769*VLOOKUP($AG$3,$AF$4:$AG$7,2,FALSE)</f>
        <v/>
      </c>
      <c r="AH1769" s="76">
        <f>SUM(AE1769,AG1769,AI1769)*rate_forex_risk</f>
        <v/>
      </c>
      <c r="AI1769" s="193">
        <f>IF(OR(seller_region="TR",offer_sale_type="экспорт"),0,rate_fin_comm)*SUM(AZ1769,AZ1769*AW1769,T1769)</f>
        <v/>
      </c>
      <c r="AJ1769" s="118">
        <f>IFERROR(ROUND(SUM(AB1769,AF1769:AI1769)/E1769,2),0)</f>
        <v/>
      </c>
      <c r="AK1769" s="76">
        <f>AJ1769*E1769</f>
        <v/>
      </c>
      <c r="AL1769" s="174">
        <f>ROUND(IFERROR(AM1769*E1769,0),2)</f>
        <v/>
      </c>
      <c r="AM1769" s="175">
        <f>ROUND(AJ1769*(1+IF(offer_incoterms="DDP",IF((TODAY()+offer_turnaround_time)&gt;=helpsheet!$L$17,rate_vatRU_from_26,rate_vatRu_till_25),0)),2)</f>
        <v/>
      </c>
      <c r="AN1769" s="192">
        <f>AL1769-AK1769</f>
        <v/>
      </c>
      <c r="AO1769" s="76">
        <f>SUM(AY1769,Y1769:Z1769,T1769)*IF(AND(offer_incoterms="DDP",offer_sale_type&lt;&gt;"экспорт"),IF((TODAY()+offer_turnaround_time)&gt;=helpsheet!$L$17,rate_vatRU_from_26,rate_vatRu_till_25),0)</f>
        <v/>
      </c>
      <c r="AP1769" s="193">
        <f>AN1769-AO1769</f>
        <v/>
      </c>
      <c r="AQ1769" s="118">
        <f>IF(offer_sale_type="транзит",SUM(AF1769:AI1769,BA1769,BB1769),0)</f>
        <v/>
      </c>
      <c r="AR1769" s="82">
        <f>HYPERLINK("https://www.alta.ru/tnved/code/")&amp;W1769&amp;"/"</f>
        <v/>
      </c>
      <c r="AS1769" s="157" t="n"/>
      <c r="AT1769" s="162" t="n"/>
      <c r="AU1769" s="76">
        <f>IF(ISBLANK(AT1769),0,AJ1769-AT1769)</f>
        <v/>
      </c>
      <c r="AV1769" s="157" t="n"/>
      <c r="AW1769" s="75">
        <f>_xlfn.IFNA(VLOOKUP(L1769,list_vat[],3,FALSE),0)</f>
        <v/>
      </c>
      <c r="AX1769" s="76">
        <f>IFERROR(ROUND(S1769*(1+AW1769)/E1769,2),0)</f>
        <v/>
      </c>
      <c r="AY1769" s="76">
        <f>E1769*AX1769</f>
        <v/>
      </c>
      <c r="AZ1769" s="192">
        <f>S1769*(1+M1769)</f>
        <v/>
      </c>
      <c r="BA1769" s="76">
        <f>cost_fin_total*$BD1769</f>
        <v/>
      </c>
      <c r="BB1769" s="193">
        <f>credit_sales_interest*BD1769</f>
        <v/>
      </c>
      <c r="BC1769" s="102">
        <f>IFERROR(IF($I$13&gt;0,$I1769/$I$13,$S1769/$S$13),0)</f>
        <v/>
      </c>
      <c r="BD1769" s="102">
        <f>IFERROR($S1769/$S$13,0)</f>
        <v/>
      </c>
      <c r="BE1769" s="413" t="inlineStr">
        <is>
          <t>$</t>
        </is>
      </c>
    </row>
    <row r="1770" ht="12" customFormat="1" customHeight="1" s="65">
      <c r="A1770" s="43" t="n">
        <v>1755</v>
      </c>
      <c r="B1770" s="166" t="n"/>
      <c r="C1770" s="166" t="n"/>
      <c r="D1770" s="166" t="n"/>
      <c r="E1770" s="162" t="n"/>
      <c r="F1770" s="166" t="n"/>
      <c r="G1770" s="162" t="n"/>
      <c r="H1770" s="162" t="n"/>
      <c r="I1770" s="189">
        <f>E1770*G1770</f>
        <v/>
      </c>
      <c r="J1770" s="195" t="n"/>
      <c r="K1770" s="162" t="n"/>
      <c r="L1770" s="168" t="n"/>
      <c r="M1770" s="75">
        <f>_xlfn.XLOOKUP(L1770,list_vat[Страна],list_vat[Ставка НДС %],0,0)</f>
        <v/>
      </c>
      <c r="N1770" s="162">
        <f>IFERROR(IF(L1770="Китай",K1770,K1770/(1+M1770)),0)</f>
        <v/>
      </c>
      <c r="O1770" s="169" t="n"/>
      <c r="P1770" s="76">
        <f>N1770*(1-O1770)</f>
        <v/>
      </c>
      <c r="Q1770" s="162" t="n"/>
      <c r="R1770" s="162">
        <f>IF(ISBLANK(Q1770),"введи курс",P1770/Q1770)</f>
        <v/>
      </c>
      <c r="S1770" s="196">
        <f>IF(AND(ISNUMBER(E1770),ISNUMBER(Q1770)),E1770*R1770,0)</f>
        <v/>
      </c>
      <c r="T1770" s="192">
        <f>$BC1770*V$11</f>
        <v/>
      </c>
      <c r="U1770" s="76">
        <f>$BC1770*W$11</f>
        <v/>
      </c>
      <c r="V1770" s="193">
        <f>+SUM(T1770:U1770)</f>
        <v/>
      </c>
      <c r="W1770" s="191" t="n"/>
      <c r="X1770" s="170" t="n"/>
      <c r="Y1770" s="76">
        <f>ROUND(IF(offer_incoterms="DDP",X1770*(S1770*(1+AW1770)+T1770),0),2)</f>
        <v/>
      </c>
      <c r="Z1770" s="188" t="n"/>
      <c r="AA1770" s="192">
        <f>IFERROR(AB1770/E1770,0)</f>
        <v/>
      </c>
      <c r="AB1770" s="76">
        <f>ROUND(SUM(S1770,V1770,Y1770:Z1770,BA1770:BB1770),2)</f>
        <v/>
      </c>
      <c r="AC1770" s="797" t="n"/>
      <c r="AD1770" s="192">
        <f t="array" ref="AD1770">IFERROR(ROUND((_xlfn.IFS(offer_sale_type="поставка",AB1770,offer_sale_type="транзит",S1770)*(1+AC1770))/E1770,2),0)</f>
        <v/>
      </c>
      <c r="AE1770" s="76">
        <f>AD1770*E1770</f>
        <v/>
      </c>
      <c r="AF1770" s="193">
        <f t="array" ref="AF1770">IFERROR(ROUND(_xlfn.IFS(offer_sale_type="поставка",AB1770,offer_sale_type="транзит",S1770)*AC1770,2),0)</f>
        <v/>
      </c>
      <c r="AG1770" s="192">
        <f>$BD1770*VLOOKUP($AG$3,$AF$4:$AG$7,2,FALSE)</f>
        <v/>
      </c>
      <c r="AH1770" s="76">
        <f>SUM(AE1770,AG1770,AI1770)*rate_forex_risk</f>
        <v/>
      </c>
      <c r="AI1770" s="193">
        <f>IF(OR(seller_region="TR",offer_sale_type="экспорт"),0,rate_fin_comm)*SUM(AZ1770,AZ1770*AW1770,T1770)</f>
        <v/>
      </c>
      <c r="AJ1770" s="118">
        <f>IFERROR(ROUND(SUM(AB1770,AF1770:AI1770)/E1770,2),0)</f>
        <v/>
      </c>
      <c r="AK1770" s="76">
        <f>AJ1770*E1770</f>
        <v/>
      </c>
      <c r="AL1770" s="174">
        <f>ROUND(IFERROR(AM1770*E1770,0),2)</f>
        <v/>
      </c>
      <c r="AM1770" s="175">
        <f>ROUND(AJ1770*(1+IF(offer_incoterms="DDP",IF((TODAY()+offer_turnaround_time)&gt;=helpsheet!$L$17,rate_vatRU_from_26,rate_vatRu_till_25),0)),2)</f>
        <v/>
      </c>
      <c r="AN1770" s="192">
        <f>AL1770-AK1770</f>
        <v/>
      </c>
      <c r="AO1770" s="76">
        <f>SUM(AY1770,Y1770:Z1770,T1770)*IF(AND(offer_incoterms="DDP",offer_sale_type&lt;&gt;"экспорт"),IF((TODAY()+offer_turnaround_time)&gt;=helpsheet!$L$17,rate_vatRU_from_26,rate_vatRu_till_25),0)</f>
        <v/>
      </c>
      <c r="AP1770" s="193">
        <f>AN1770-AO1770</f>
        <v/>
      </c>
      <c r="AQ1770" s="118">
        <f>IF(offer_sale_type="транзит",SUM(AF1770:AI1770,BA1770,BB1770),0)</f>
        <v/>
      </c>
      <c r="AR1770" s="82">
        <f>HYPERLINK("https://www.alta.ru/tnved/code/")&amp;W1770&amp;"/"</f>
        <v/>
      </c>
      <c r="AS1770" s="157" t="n"/>
      <c r="AT1770" s="162" t="n"/>
      <c r="AU1770" s="76">
        <f>IF(ISBLANK(AT1770),0,AJ1770-AT1770)</f>
        <v/>
      </c>
      <c r="AV1770" s="157" t="n"/>
      <c r="AW1770" s="75">
        <f>_xlfn.IFNA(VLOOKUP(L1770,list_vat[],3,FALSE),0)</f>
        <v/>
      </c>
      <c r="AX1770" s="76">
        <f>IFERROR(ROUND(S1770*(1+AW1770)/E1770,2),0)</f>
        <v/>
      </c>
      <c r="AY1770" s="76">
        <f>E1770*AX1770</f>
        <v/>
      </c>
      <c r="AZ1770" s="192">
        <f>S1770*(1+M1770)</f>
        <v/>
      </c>
      <c r="BA1770" s="76">
        <f>cost_fin_total*$BD1770</f>
        <v/>
      </c>
      <c r="BB1770" s="193">
        <f>credit_sales_interest*BD1770</f>
        <v/>
      </c>
      <c r="BC1770" s="102">
        <f>IFERROR(IF($I$13&gt;0,$I1770/$I$13,$S1770/$S$13),0)</f>
        <v/>
      </c>
      <c r="BD1770" s="102">
        <f>IFERROR($S1770/$S$13,0)</f>
        <v/>
      </c>
      <c r="BE1770" s="413" t="inlineStr">
        <is>
          <t>$</t>
        </is>
      </c>
    </row>
    <row r="1771" ht="12" customFormat="1" customHeight="1" s="65">
      <c r="A1771" s="43" t="n">
        <v>1756</v>
      </c>
      <c r="B1771" s="166" t="n"/>
      <c r="C1771" s="166" t="n"/>
      <c r="D1771" s="166" t="n"/>
      <c r="E1771" s="162" t="n"/>
      <c r="F1771" s="166" t="n"/>
      <c r="G1771" s="162" t="n"/>
      <c r="H1771" s="162" t="n"/>
      <c r="I1771" s="189">
        <f>E1771*G1771</f>
        <v/>
      </c>
      <c r="J1771" s="195" t="n"/>
      <c r="K1771" s="162" t="n"/>
      <c r="L1771" s="168" t="n"/>
      <c r="M1771" s="75">
        <f>_xlfn.XLOOKUP(L1771,list_vat[Страна],list_vat[Ставка НДС %],0,0)</f>
        <v/>
      </c>
      <c r="N1771" s="162">
        <f>IFERROR(IF(L1771="Китай",K1771,K1771/(1+M1771)),0)</f>
        <v/>
      </c>
      <c r="O1771" s="169" t="n"/>
      <c r="P1771" s="76">
        <f>N1771*(1-O1771)</f>
        <v/>
      </c>
      <c r="Q1771" s="162" t="n"/>
      <c r="R1771" s="162">
        <f>IF(ISBLANK(Q1771),"введи курс",P1771/Q1771)</f>
        <v/>
      </c>
      <c r="S1771" s="196">
        <f>IF(AND(ISNUMBER(E1771),ISNUMBER(Q1771)),E1771*R1771,0)</f>
        <v/>
      </c>
      <c r="T1771" s="192">
        <f>$BC1771*V$11</f>
        <v/>
      </c>
      <c r="U1771" s="76">
        <f>$BC1771*W$11</f>
        <v/>
      </c>
      <c r="V1771" s="193">
        <f>+SUM(T1771:U1771)</f>
        <v/>
      </c>
      <c r="W1771" s="191" t="n"/>
      <c r="X1771" s="170" t="n"/>
      <c r="Y1771" s="76">
        <f>ROUND(IF(offer_incoterms="DDP",X1771*(S1771*(1+AW1771)+T1771),0),2)</f>
        <v/>
      </c>
      <c r="Z1771" s="188" t="n"/>
      <c r="AA1771" s="192">
        <f>IFERROR(AB1771/E1771,0)</f>
        <v/>
      </c>
      <c r="AB1771" s="76">
        <f>ROUND(SUM(S1771,V1771,Y1771:Z1771,BA1771:BB1771),2)</f>
        <v/>
      </c>
      <c r="AC1771" s="797" t="n"/>
      <c r="AD1771" s="192">
        <f t="array" ref="AD1771">IFERROR(ROUND((_xlfn.IFS(offer_sale_type="поставка",AB1771,offer_sale_type="транзит",S1771)*(1+AC1771))/E1771,2),0)</f>
        <v/>
      </c>
      <c r="AE1771" s="76">
        <f>AD1771*E1771</f>
        <v/>
      </c>
      <c r="AF1771" s="193">
        <f t="array" ref="AF1771">IFERROR(ROUND(_xlfn.IFS(offer_sale_type="поставка",AB1771,offer_sale_type="транзит",S1771)*AC1771,2),0)</f>
        <v/>
      </c>
      <c r="AG1771" s="192">
        <f>$BD1771*VLOOKUP($AG$3,$AF$4:$AG$7,2,FALSE)</f>
        <v/>
      </c>
      <c r="AH1771" s="76">
        <f>SUM(AE1771,AG1771,AI1771)*rate_forex_risk</f>
        <v/>
      </c>
      <c r="AI1771" s="193">
        <f>IF(OR(seller_region="TR",offer_sale_type="экспорт"),0,rate_fin_comm)*SUM(AZ1771,AZ1771*AW1771,T1771)</f>
        <v/>
      </c>
      <c r="AJ1771" s="118">
        <f>IFERROR(ROUND(SUM(AB1771,AF1771:AI1771)/E1771,2),0)</f>
        <v/>
      </c>
      <c r="AK1771" s="76">
        <f>AJ1771*E1771</f>
        <v/>
      </c>
      <c r="AL1771" s="174">
        <f>ROUND(IFERROR(AM1771*E1771,0),2)</f>
        <v/>
      </c>
      <c r="AM1771" s="175">
        <f>ROUND(AJ1771*(1+IF(offer_incoterms="DDP",IF((TODAY()+offer_turnaround_time)&gt;=helpsheet!$L$17,rate_vatRU_from_26,rate_vatRu_till_25),0)),2)</f>
        <v/>
      </c>
      <c r="AN1771" s="192">
        <f>AL1771-AK1771</f>
        <v/>
      </c>
      <c r="AO1771" s="76">
        <f>SUM(AY1771,Y1771:Z1771,T1771)*IF(AND(offer_incoterms="DDP",offer_sale_type&lt;&gt;"экспорт"),IF((TODAY()+offer_turnaround_time)&gt;=helpsheet!$L$17,rate_vatRU_from_26,rate_vatRu_till_25),0)</f>
        <v/>
      </c>
      <c r="AP1771" s="193">
        <f>AN1771-AO1771</f>
        <v/>
      </c>
      <c r="AQ1771" s="118">
        <f>IF(offer_sale_type="транзит",SUM(AF1771:AI1771,BA1771,BB1771),0)</f>
        <v/>
      </c>
      <c r="AR1771" s="82">
        <f>HYPERLINK("https://www.alta.ru/tnved/code/")&amp;W1771&amp;"/"</f>
        <v/>
      </c>
      <c r="AS1771" s="157" t="n"/>
      <c r="AT1771" s="162" t="n"/>
      <c r="AU1771" s="76">
        <f>IF(ISBLANK(AT1771),0,AJ1771-AT1771)</f>
        <v/>
      </c>
      <c r="AV1771" s="157" t="n"/>
      <c r="AW1771" s="75">
        <f>_xlfn.IFNA(VLOOKUP(L1771,list_vat[],3,FALSE),0)</f>
        <v/>
      </c>
      <c r="AX1771" s="76">
        <f>IFERROR(ROUND(S1771*(1+AW1771)/E1771,2),0)</f>
        <v/>
      </c>
      <c r="AY1771" s="76">
        <f>E1771*AX1771</f>
        <v/>
      </c>
      <c r="AZ1771" s="192">
        <f>S1771*(1+M1771)</f>
        <v/>
      </c>
      <c r="BA1771" s="76">
        <f>cost_fin_total*$BD1771</f>
        <v/>
      </c>
      <c r="BB1771" s="193">
        <f>credit_sales_interest*BD1771</f>
        <v/>
      </c>
      <c r="BC1771" s="102">
        <f>IFERROR(IF($I$13&gt;0,$I1771/$I$13,$S1771/$S$13),0)</f>
        <v/>
      </c>
      <c r="BD1771" s="102">
        <f>IFERROR($S1771/$S$13,0)</f>
        <v/>
      </c>
      <c r="BE1771" s="413" t="inlineStr">
        <is>
          <t>$</t>
        </is>
      </c>
    </row>
    <row r="1772" ht="12" customFormat="1" customHeight="1" s="65">
      <c r="A1772" s="43" t="n">
        <v>1757</v>
      </c>
      <c r="B1772" s="166" t="n"/>
      <c r="C1772" s="166" t="n"/>
      <c r="D1772" s="166" t="n"/>
      <c r="E1772" s="162" t="n"/>
      <c r="F1772" s="166" t="n"/>
      <c r="G1772" s="162" t="n"/>
      <c r="H1772" s="162" t="n"/>
      <c r="I1772" s="189">
        <f>E1772*G1772</f>
        <v/>
      </c>
      <c r="J1772" s="195" t="n"/>
      <c r="K1772" s="162" t="n"/>
      <c r="L1772" s="168" t="n"/>
      <c r="M1772" s="75">
        <f>_xlfn.XLOOKUP(L1772,list_vat[Страна],list_vat[Ставка НДС %],0,0)</f>
        <v/>
      </c>
      <c r="N1772" s="162">
        <f>IFERROR(IF(L1772="Китай",K1772,K1772/(1+M1772)),0)</f>
        <v/>
      </c>
      <c r="O1772" s="169" t="n"/>
      <c r="P1772" s="76">
        <f>N1772*(1-O1772)</f>
        <v/>
      </c>
      <c r="Q1772" s="162" t="n"/>
      <c r="R1772" s="162">
        <f>IF(ISBLANK(Q1772),"введи курс",P1772/Q1772)</f>
        <v/>
      </c>
      <c r="S1772" s="196">
        <f>IF(AND(ISNUMBER(E1772),ISNUMBER(Q1772)),E1772*R1772,0)</f>
        <v/>
      </c>
      <c r="T1772" s="192">
        <f>$BC1772*V$11</f>
        <v/>
      </c>
      <c r="U1772" s="76">
        <f>$BC1772*W$11</f>
        <v/>
      </c>
      <c r="V1772" s="193">
        <f>+SUM(T1772:U1772)</f>
        <v/>
      </c>
      <c r="W1772" s="191" t="n"/>
      <c r="X1772" s="170" t="n"/>
      <c r="Y1772" s="76">
        <f>ROUND(IF(offer_incoterms="DDP",X1772*(S1772*(1+AW1772)+T1772),0),2)</f>
        <v/>
      </c>
      <c r="Z1772" s="188" t="n"/>
      <c r="AA1772" s="192">
        <f>IFERROR(AB1772/E1772,0)</f>
        <v/>
      </c>
      <c r="AB1772" s="76">
        <f>ROUND(SUM(S1772,V1772,Y1772:Z1772,BA1772:BB1772),2)</f>
        <v/>
      </c>
      <c r="AC1772" s="797" t="n"/>
      <c r="AD1772" s="192">
        <f t="array" ref="AD1772">IFERROR(ROUND((_xlfn.IFS(offer_sale_type="поставка",AB1772,offer_sale_type="транзит",S1772)*(1+AC1772))/E1772,2),0)</f>
        <v/>
      </c>
      <c r="AE1772" s="76">
        <f>AD1772*E1772</f>
        <v/>
      </c>
      <c r="AF1772" s="193">
        <f t="array" ref="AF1772">IFERROR(ROUND(_xlfn.IFS(offer_sale_type="поставка",AB1772,offer_sale_type="транзит",S1772)*AC1772,2),0)</f>
        <v/>
      </c>
      <c r="AG1772" s="192">
        <f>$BD1772*VLOOKUP($AG$3,$AF$4:$AG$7,2,FALSE)</f>
        <v/>
      </c>
      <c r="AH1772" s="76">
        <f>SUM(AE1772,AG1772,AI1772)*rate_forex_risk</f>
        <v/>
      </c>
      <c r="AI1772" s="193">
        <f>IF(OR(seller_region="TR",offer_sale_type="экспорт"),0,rate_fin_comm)*SUM(AZ1772,AZ1772*AW1772,T1772)</f>
        <v/>
      </c>
      <c r="AJ1772" s="118">
        <f>IFERROR(ROUND(SUM(AB1772,AF1772:AI1772)/E1772,2),0)</f>
        <v/>
      </c>
      <c r="AK1772" s="76">
        <f>AJ1772*E1772</f>
        <v/>
      </c>
      <c r="AL1772" s="174">
        <f>ROUND(IFERROR(AM1772*E1772,0),2)</f>
        <v/>
      </c>
      <c r="AM1772" s="175">
        <f>ROUND(AJ1772*(1+IF(offer_incoterms="DDP",IF((TODAY()+offer_turnaround_time)&gt;=helpsheet!$L$17,rate_vatRU_from_26,rate_vatRu_till_25),0)),2)</f>
        <v/>
      </c>
      <c r="AN1772" s="192">
        <f>AL1772-AK1772</f>
        <v/>
      </c>
      <c r="AO1772" s="76">
        <f>SUM(AY1772,Y1772:Z1772,T1772)*IF(AND(offer_incoterms="DDP",offer_sale_type&lt;&gt;"экспорт"),IF((TODAY()+offer_turnaround_time)&gt;=helpsheet!$L$17,rate_vatRU_from_26,rate_vatRu_till_25),0)</f>
        <v/>
      </c>
      <c r="AP1772" s="193">
        <f>AN1772-AO1772</f>
        <v/>
      </c>
      <c r="AQ1772" s="118">
        <f>IF(offer_sale_type="транзит",SUM(AF1772:AI1772,BA1772,BB1772),0)</f>
        <v/>
      </c>
      <c r="AR1772" s="82">
        <f>HYPERLINK("https://www.alta.ru/tnved/code/")&amp;W1772&amp;"/"</f>
        <v/>
      </c>
      <c r="AS1772" s="157" t="n"/>
      <c r="AT1772" s="162" t="n"/>
      <c r="AU1772" s="76">
        <f>IF(ISBLANK(AT1772),0,AJ1772-AT1772)</f>
        <v/>
      </c>
      <c r="AV1772" s="157" t="n"/>
      <c r="AW1772" s="75">
        <f>_xlfn.IFNA(VLOOKUP(L1772,list_vat[],3,FALSE),0)</f>
        <v/>
      </c>
      <c r="AX1772" s="76">
        <f>IFERROR(ROUND(S1772*(1+AW1772)/E1772,2),0)</f>
        <v/>
      </c>
      <c r="AY1772" s="76">
        <f>E1772*AX1772</f>
        <v/>
      </c>
      <c r="AZ1772" s="192">
        <f>S1772*(1+M1772)</f>
        <v/>
      </c>
      <c r="BA1772" s="76">
        <f>cost_fin_total*$BD1772</f>
        <v/>
      </c>
      <c r="BB1772" s="193">
        <f>credit_sales_interest*BD1772</f>
        <v/>
      </c>
      <c r="BC1772" s="102">
        <f>IFERROR(IF($I$13&gt;0,$I1772/$I$13,$S1772/$S$13),0)</f>
        <v/>
      </c>
      <c r="BD1772" s="102">
        <f>IFERROR($S1772/$S$13,0)</f>
        <v/>
      </c>
      <c r="BE1772" s="413" t="inlineStr">
        <is>
          <t>$</t>
        </is>
      </c>
    </row>
    <row r="1773" ht="12" customFormat="1" customHeight="1" s="65">
      <c r="A1773" s="43" t="n">
        <v>1758</v>
      </c>
      <c r="B1773" s="166" t="n"/>
      <c r="C1773" s="166" t="n"/>
      <c r="D1773" s="166" t="n"/>
      <c r="E1773" s="162" t="n"/>
      <c r="F1773" s="166" t="n"/>
      <c r="G1773" s="162" t="n"/>
      <c r="H1773" s="162" t="n"/>
      <c r="I1773" s="189">
        <f>E1773*G1773</f>
        <v/>
      </c>
      <c r="J1773" s="195" t="n"/>
      <c r="K1773" s="162" t="n"/>
      <c r="L1773" s="168" t="n"/>
      <c r="M1773" s="75">
        <f>_xlfn.XLOOKUP(L1773,list_vat[Страна],list_vat[Ставка НДС %],0,0)</f>
        <v/>
      </c>
      <c r="N1773" s="162">
        <f>IFERROR(IF(L1773="Китай",K1773,K1773/(1+M1773)),0)</f>
        <v/>
      </c>
      <c r="O1773" s="169" t="n"/>
      <c r="P1773" s="76">
        <f>N1773*(1-O1773)</f>
        <v/>
      </c>
      <c r="Q1773" s="162" t="n"/>
      <c r="R1773" s="162">
        <f>IF(ISBLANK(Q1773),"введи курс",P1773/Q1773)</f>
        <v/>
      </c>
      <c r="S1773" s="196">
        <f>IF(AND(ISNUMBER(E1773),ISNUMBER(Q1773)),E1773*R1773,0)</f>
        <v/>
      </c>
      <c r="T1773" s="192">
        <f>$BC1773*V$11</f>
        <v/>
      </c>
      <c r="U1773" s="76">
        <f>$BC1773*W$11</f>
        <v/>
      </c>
      <c r="V1773" s="193">
        <f>+SUM(T1773:U1773)</f>
        <v/>
      </c>
      <c r="W1773" s="191" t="n"/>
      <c r="X1773" s="170" t="n"/>
      <c r="Y1773" s="76">
        <f>ROUND(IF(offer_incoterms="DDP",X1773*(S1773*(1+AW1773)+T1773),0),2)</f>
        <v/>
      </c>
      <c r="Z1773" s="188" t="n"/>
      <c r="AA1773" s="192">
        <f>IFERROR(AB1773/E1773,0)</f>
        <v/>
      </c>
      <c r="AB1773" s="76">
        <f>ROUND(SUM(S1773,V1773,Y1773:Z1773,BA1773:BB1773),2)</f>
        <v/>
      </c>
      <c r="AC1773" s="797" t="n"/>
      <c r="AD1773" s="192">
        <f t="array" ref="AD1773">IFERROR(ROUND((_xlfn.IFS(offer_sale_type="поставка",AB1773,offer_sale_type="транзит",S1773)*(1+AC1773))/E1773,2),0)</f>
        <v/>
      </c>
      <c r="AE1773" s="76">
        <f>AD1773*E1773</f>
        <v/>
      </c>
      <c r="AF1773" s="193">
        <f t="array" ref="AF1773">IFERROR(ROUND(_xlfn.IFS(offer_sale_type="поставка",AB1773,offer_sale_type="транзит",S1773)*AC1773,2),0)</f>
        <v/>
      </c>
      <c r="AG1773" s="192">
        <f>$BD1773*VLOOKUP($AG$3,$AF$4:$AG$7,2,FALSE)</f>
        <v/>
      </c>
      <c r="AH1773" s="76">
        <f>SUM(AE1773,AG1773,AI1773)*rate_forex_risk</f>
        <v/>
      </c>
      <c r="AI1773" s="193">
        <f>IF(OR(seller_region="TR",offer_sale_type="экспорт"),0,rate_fin_comm)*SUM(AZ1773,AZ1773*AW1773,T1773)</f>
        <v/>
      </c>
      <c r="AJ1773" s="118">
        <f>IFERROR(ROUND(SUM(AB1773,AF1773:AI1773)/E1773,2),0)</f>
        <v/>
      </c>
      <c r="AK1773" s="76">
        <f>AJ1773*E1773</f>
        <v/>
      </c>
      <c r="AL1773" s="174">
        <f>ROUND(IFERROR(AM1773*E1773,0),2)</f>
        <v/>
      </c>
      <c r="AM1773" s="175">
        <f>ROUND(AJ1773*(1+IF(offer_incoterms="DDP",IF((TODAY()+offer_turnaround_time)&gt;=helpsheet!$L$17,rate_vatRU_from_26,rate_vatRu_till_25),0)),2)</f>
        <v/>
      </c>
      <c r="AN1773" s="192">
        <f>AL1773-AK1773</f>
        <v/>
      </c>
      <c r="AO1773" s="76">
        <f>SUM(AY1773,Y1773:Z1773,T1773)*IF(AND(offer_incoterms="DDP",offer_sale_type&lt;&gt;"экспорт"),IF((TODAY()+offer_turnaround_time)&gt;=helpsheet!$L$17,rate_vatRU_from_26,rate_vatRu_till_25),0)</f>
        <v/>
      </c>
      <c r="AP1773" s="193">
        <f>AN1773-AO1773</f>
        <v/>
      </c>
      <c r="AQ1773" s="118">
        <f>IF(offer_sale_type="транзит",SUM(AF1773:AI1773,BA1773,BB1773),0)</f>
        <v/>
      </c>
      <c r="AR1773" s="82">
        <f>HYPERLINK("https://www.alta.ru/tnved/code/")&amp;W1773&amp;"/"</f>
        <v/>
      </c>
      <c r="AS1773" s="157" t="n"/>
      <c r="AT1773" s="162" t="n"/>
      <c r="AU1773" s="76">
        <f>IF(ISBLANK(AT1773),0,AJ1773-AT1773)</f>
        <v/>
      </c>
      <c r="AV1773" s="157" t="n"/>
      <c r="AW1773" s="75">
        <f>_xlfn.IFNA(VLOOKUP(L1773,list_vat[],3,FALSE),0)</f>
        <v/>
      </c>
      <c r="AX1773" s="76">
        <f>IFERROR(ROUND(S1773*(1+AW1773)/E1773,2),0)</f>
        <v/>
      </c>
      <c r="AY1773" s="76">
        <f>E1773*AX1773</f>
        <v/>
      </c>
      <c r="AZ1773" s="192">
        <f>S1773*(1+M1773)</f>
        <v/>
      </c>
      <c r="BA1773" s="76">
        <f>cost_fin_total*$BD1773</f>
        <v/>
      </c>
      <c r="BB1773" s="193">
        <f>credit_sales_interest*BD1773</f>
        <v/>
      </c>
      <c r="BC1773" s="102">
        <f>IFERROR(IF($I$13&gt;0,$I1773/$I$13,$S1773/$S$13),0)</f>
        <v/>
      </c>
      <c r="BD1773" s="102">
        <f>IFERROR($S1773/$S$13,0)</f>
        <v/>
      </c>
      <c r="BE1773" s="413" t="inlineStr">
        <is>
          <t>$</t>
        </is>
      </c>
    </row>
    <row r="1774" ht="12" customFormat="1" customHeight="1" s="65">
      <c r="A1774" s="43" t="n">
        <v>1759</v>
      </c>
      <c r="B1774" s="166" t="n"/>
      <c r="C1774" s="166" t="n"/>
      <c r="D1774" s="166" t="n"/>
      <c r="E1774" s="162" t="n"/>
      <c r="F1774" s="166" t="n"/>
      <c r="G1774" s="162" t="n"/>
      <c r="H1774" s="162" t="n"/>
      <c r="I1774" s="189">
        <f>E1774*G1774</f>
        <v/>
      </c>
      <c r="J1774" s="195" t="n"/>
      <c r="K1774" s="162" t="n"/>
      <c r="L1774" s="168" t="n"/>
      <c r="M1774" s="75">
        <f>_xlfn.XLOOKUP(L1774,list_vat[Страна],list_vat[Ставка НДС %],0,0)</f>
        <v/>
      </c>
      <c r="N1774" s="162">
        <f>IFERROR(IF(L1774="Китай",K1774,K1774/(1+M1774)),0)</f>
        <v/>
      </c>
      <c r="O1774" s="169" t="n"/>
      <c r="P1774" s="76">
        <f>N1774*(1-O1774)</f>
        <v/>
      </c>
      <c r="Q1774" s="162" t="n"/>
      <c r="R1774" s="162">
        <f>IF(ISBLANK(Q1774),"введи курс",P1774/Q1774)</f>
        <v/>
      </c>
      <c r="S1774" s="196">
        <f>IF(AND(ISNUMBER(E1774),ISNUMBER(Q1774)),E1774*R1774,0)</f>
        <v/>
      </c>
      <c r="T1774" s="192">
        <f>$BC1774*V$11</f>
        <v/>
      </c>
      <c r="U1774" s="76">
        <f>$BC1774*W$11</f>
        <v/>
      </c>
      <c r="V1774" s="193">
        <f>+SUM(T1774:U1774)</f>
        <v/>
      </c>
      <c r="W1774" s="191" t="n"/>
      <c r="X1774" s="170" t="n"/>
      <c r="Y1774" s="76">
        <f>ROUND(IF(offer_incoterms="DDP",X1774*(S1774*(1+AW1774)+T1774),0),2)</f>
        <v/>
      </c>
      <c r="Z1774" s="188" t="n"/>
      <c r="AA1774" s="192">
        <f>IFERROR(AB1774/E1774,0)</f>
        <v/>
      </c>
      <c r="AB1774" s="76">
        <f>ROUND(SUM(S1774,V1774,Y1774:Z1774,BA1774:BB1774),2)</f>
        <v/>
      </c>
      <c r="AC1774" s="797" t="n"/>
      <c r="AD1774" s="192">
        <f t="array" ref="AD1774">IFERROR(ROUND((_xlfn.IFS(offer_sale_type="поставка",AB1774,offer_sale_type="транзит",S1774)*(1+AC1774))/E1774,2),0)</f>
        <v/>
      </c>
      <c r="AE1774" s="76">
        <f>AD1774*E1774</f>
        <v/>
      </c>
      <c r="AF1774" s="193">
        <f t="array" ref="AF1774">IFERROR(ROUND(_xlfn.IFS(offer_sale_type="поставка",AB1774,offer_sale_type="транзит",S1774)*AC1774,2),0)</f>
        <v/>
      </c>
      <c r="AG1774" s="192">
        <f>$BD1774*VLOOKUP($AG$3,$AF$4:$AG$7,2,FALSE)</f>
        <v/>
      </c>
      <c r="AH1774" s="76">
        <f>SUM(AE1774,AG1774,AI1774)*rate_forex_risk</f>
        <v/>
      </c>
      <c r="AI1774" s="193">
        <f>IF(OR(seller_region="TR",offer_sale_type="экспорт"),0,rate_fin_comm)*SUM(AZ1774,AZ1774*AW1774,T1774)</f>
        <v/>
      </c>
      <c r="AJ1774" s="118">
        <f>IFERROR(ROUND(SUM(AB1774,AF1774:AI1774)/E1774,2),0)</f>
        <v/>
      </c>
      <c r="AK1774" s="76">
        <f>AJ1774*E1774</f>
        <v/>
      </c>
      <c r="AL1774" s="174">
        <f>ROUND(IFERROR(AM1774*E1774,0),2)</f>
        <v/>
      </c>
      <c r="AM1774" s="175">
        <f>ROUND(AJ1774*(1+IF(offer_incoterms="DDP",IF((TODAY()+offer_turnaround_time)&gt;=helpsheet!$L$17,rate_vatRU_from_26,rate_vatRu_till_25),0)),2)</f>
        <v/>
      </c>
      <c r="AN1774" s="192">
        <f>AL1774-AK1774</f>
        <v/>
      </c>
      <c r="AO1774" s="76">
        <f>SUM(AY1774,Y1774:Z1774,T1774)*IF(AND(offer_incoterms="DDP",offer_sale_type&lt;&gt;"экспорт"),IF((TODAY()+offer_turnaround_time)&gt;=helpsheet!$L$17,rate_vatRU_from_26,rate_vatRu_till_25),0)</f>
        <v/>
      </c>
      <c r="AP1774" s="193">
        <f>AN1774-AO1774</f>
        <v/>
      </c>
      <c r="AQ1774" s="118">
        <f>IF(offer_sale_type="транзит",SUM(AF1774:AI1774,BA1774,BB1774),0)</f>
        <v/>
      </c>
      <c r="AR1774" s="82">
        <f>HYPERLINK("https://www.alta.ru/tnved/code/")&amp;W1774&amp;"/"</f>
        <v/>
      </c>
      <c r="AS1774" s="157" t="n"/>
      <c r="AT1774" s="162" t="n"/>
      <c r="AU1774" s="76">
        <f>IF(ISBLANK(AT1774),0,AJ1774-AT1774)</f>
        <v/>
      </c>
      <c r="AV1774" s="157" t="n"/>
      <c r="AW1774" s="75">
        <f>_xlfn.IFNA(VLOOKUP(L1774,list_vat[],3,FALSE),0)</f>
        <v/>
      </c>
      <c r="AX1774" s="76">
        <f>IFERROR(ROUND(S1774*(1+AW1774)/E1774,2),0)</f>
        <v/>
      </c>
      <c r="AY1774" s="76">
        <f>E1774*AX1774</f>
        <v/>
      </c>
      <c r="AZ1774" s="192">
        <f>S1774*(1+M1774)</f>
        <v/>
      </c>
      <c r="BA1774" s="76">
        <f>cost_fin_total*$BD1774</f>
        <v/>
      </c>
      <c r="BB1774" s="193">
        <f>credit_sales_interest*BD1774</f>
        <v/>
      </c>
      <c r="BC1774" s="102">
        <f>IFERROR(IF($I$13&gt;0,$I1774/$I$13,$S1774/$S$13),0)</f>
        <v/>
      </c>
      <c r="BD1774" s="102">
        <f>IFERROR($S1774/$S$13,0)</f>
        <v/>
      </c>
      <c r="BE1774" s="413" t="inlineStr">
        <is>
          <t>$</t>
        </is>
      </c>
    </row>
    <row r="1775" ht="12" customFormat="1" customHeight="1" s="65">
      <c r="A1775" s="43" t="n">
        <v>1760</v>
      </c>
      <c r="B1775" s="166" t="n"/>
      <c r="C1775" s="166" t="n"/>
      <c r="D1775" s="166" t="n"/>
      <c r="E1775" s="162" t="n"/>
      <c r="F1775" s="166" t="n"/>
      <c r="G1775" s="162" t="n"/>
      <c r="H1775" s="162" t="n"/>
      <c r="I1775" s="189">
        <f>E1775*G1775</f>
        <v/>
      </c>
      <c r="J1775" s="195" t="n"/>
      <c r="K1775" s="162" t="n"/>
      <c r="L1775" s="168" t="n"/>
      <c r="M1775" s="75">
        <f>_xlfn.XLOOKUP(L1775,list_vat[Страна],list_vat[Ставка НДС %],0,0)</f>
        <v/>
      </c>
      <c r="N1775" s="162">
        <f>IFERROR(IF(L1775="Китай",K1775,K1775/(1+M1775)),0)</f>
        <v/>
      </c>
      <c r="O1775" s="169" t="n"/>
      <c r="P1775" s="76">
        <f>N1775*(1-O1775)</f>
        <v/>
      </c>
      <c r="Q1775" s="162" t="n"/>
      <c r="R1775" s="162">
        <f>IF(ISBLANK(Q1775),"введи курс",P1775/Q1775)</f>
        <v/>
      </c>
      <c r="S1775" s="196">
        <f>IF(AND(ISNUMBER(E1775),ISNUMBER(Q1775)),E1775*R1775,0)</f>
        <v/>
      </c>
      <c r="T1775" s="192">
        <f>$BC1775*V$11</f>
        <v/>
      </c>
      <c r="U1775" s="76">
        <f>$BC1775*W$11</f>
        <v/>
      </c>
      <c r="V1775" s="193">
        <f>+SUM(T1775:U1775)</f>
        <v/>
      </c>
      <c r="W1775" s="191" t="n"/>
      <c r="X1775" s="170" t="n"/>
      <c r="Y1775" s="76">
        <f>ROUND(IF(offer_incoterms="DDP",X1775*(S1775*(1+AW1775)+T1775),0),2)</f>
        <v/>
      </c>
      <c r="Z1775" s="188" t="n"/>
      <c r="AA1775" s="192">
        <f>IFERROR(AB1775/E1775,0)</f>
        <v/>
      </c>
      <c r="AB1775" s="76">
        <f>ROUND(SUM(S1775,V1775,Y1775:Z1775,BA1775:BB1775),2)</f>
        <v/>
      </c>
      <c r="AC1775" s="797" t="n"/>
      <c r="AD1775" s="192">
        <f t="array" ref="AD1775">IFERROR(ROUND((_xlfn.IFS(offer_sale_type="поставка",AB1775,offer_sale_type="транзит",S1775)*(1+AC1775))/E1775,2),0)</f>
        <v/>
      </c>
      <c r="AE1775" s="76">
        <f>AD1775*E1775</f>
        <v/>
      </c>
      <c r="AF1775" s="193">
        <f t="array" ref="AF1775">IFERROR(ROUND(_xlfn.IFS(offer_sale_type="поставка",AB1775,offer_sale_type="транзит",S1775)*AC1775,2),0)</f>
        <v/>
      </c>
      <c r="AG1775" s="192">
        <f>$BD1775*VLOOKUP($AG$3,$AF$4:$AG$7,2,FALSE)</f>
        <v/>
      </c>
      <c r="AH1775" s="76">
        <f>SUM(AE1775,AG1775,AI1775)*rate_forex_risk</f>
        <v/>
      </c>
      <c r="AI1775" s="193">
        <f>IF(OR(seller_region="TR",offer_sale_type="экспорт"),0,rate_fin_comm)*SUM(AZ1775,AZ1775*AW1775,T1775)</f>
        <v/>
      </c>
      <c r="AJ1775" s="118">
        <f>IFERROR(ROUND(SUM(AB1775,AF1775:AI1775)/E1775,2),0)</f>
        <v/>
      </c>
      <c r="AK1775" s="76">
        <f>AJ1775*E1775</f>
        <v/>
      </c>
      <c r="AL1775" s="174">
        <f>ROUND(IFERROR(AM1775*E1775,0),2)</f>
        <v/>
      </c>
      <c r="AM1775" s="175">
        <f>ROUND(AJ1775*(1+IF(offer_incoterms="DDP",IF((TODAY()+offer_turnaround_time)&gt;=helpsheet!$L$17,rate_vatRU_from_26,rate_vatRu_till_25),0)),2)</f>
        <v/>
      </c>
      <c r="AN1775" s="192">
        <f>AL1775-AK1775</f>
        <v/>
      </c>
      <c r="AO1775" s="76">
        <f>SUM(AY1775,Y1775:Z1775,T1775)*IF(AND(offer_incoterms="DDP",offer_sale_type&lt;&gt;"экспорт"),IF((TODAY()+offer_turnaround_time)&gt;=helpsheet!$L$17,rate_vatRU_from_26,rate_vatRu_till_25),0)</f>
        <v/>
      </c>
      <c r="AP1775" s="193">
        <f>AN1775-AO1775</f>
        <v/>
      </c>
      <c r="AQ1775" s="118">
        <f>IF(offer_sale_type="транзит",SUM(AF1775:AI1775,BA1775,BB1775),0)</f>
        <v/>
      </c>
      <c r="AR1775" s="82">
        <f>HYPERLINK("https://www.alta.ru/tnved/code/")&amp;W1775&amp;"/"</f>
        <v/>
      </c>
      <c r="AS1775" s="157" t="n"/>
      <c r="AT1775" s="162" t="n"/>
      <c r="AU1775" s="76">
        <f>IF(ISBLANK(AT1775),0,AJ1775-AT1775)</f>
        <v/>
      </c>
      <c r="AV1775" s="157" t="n"/>
      <c r="AW1775" s="75">
        <f>_xlfn.IFNA(VLOOKUP(L1775,list_vat[],3,FALSE),0)</f>
        <v/>
      </c>
      <c r="AX1775" s="76">
        <f>IFERROR(ROUND(S1775*(1+AW1775)/E1775,2),0)</f>
        <v/>
      </c>
      <c r="AY1775" s="76">
        <f>E1775*AX1775</f>
        <v/>
      </c>
      <c r="AZ1775" s="192">
        <f>S1775*(1+M1775)</f>
        <v/>
      </c>
      <c r="BA1775" s="76">
        <f>cost_fin_total*$BD1775</f>
        <v/>
      </c>
      <c r="BB1775" s="193">
        <f>credit_sales_interest*BD1775</f>
        <v/>
      </c>
      <c r="BC1775" s="102">
        <f>IFERROR(IF($I$13&gt;0,$I1775/$I$13,$S1775/$S$13),0)</f>
        <v/>
      </c>
      <c r="BD1775" s="102">
        <f>IFERROR($S1775/$S$13,0)</f>
        <v/>
      </c>
      <c r="BE1775" s="413" t="inlineStr">
        <is>
          <t>$</t>
        </is>
      </c>
    </row>
    <row r="1776" ht="12" customFormat="1" customHeight="1" s="65">
      <c r="A1776" s="43" t="n">
        <v>1761</v>
      </c>
      <c r="B1776" s="166" t="n"/>
      <c r="C1776" s="166" t="n"/>
      <c r="D1776" s="166" t="n"/>
      <c r="E1776" s="162" t="n"/>
      <c r="F1776" s="166" t="n"/>
      <c r="G1776" s="162" t="n"/>
      <c r="H1776" s="162" t="n"/>
      <c r="I1776" s="189">
        <f>E1776*G1776</f>
        <v/>
      </c>
      <c r="J1776" s="195" t="n"/>
      <c r="K1776" s="162" t="n"/>
      <c r="L1776" s="168" t="n"/>
      <c r="M1776" s="75">
        <f>_xlfn.XLOOKUP(L1776,list_vat[Страна],list_vat[Ставка НДС %],0,0)</f>
        <v/>
      </c>
      <c r="N1776" s="162">
        <f>IFERROR(IF(L1776="Китай",K1776,K1776/(1+M1776)),0)</f>
        <v/>
      </c>
      <c r="O1776" s="169" t="n"/>
      <c r="P1776" s="76">
        <f>N1776*(1-O1776)</f>
        <v/>
      </c>
      <c r="Q1776" s="162" t="n"/>
      <c r="R1776" s="162">
        <f>IF(ISBLANK(Q1776),"введи курс",P1776/Q1776)</f>
        <v/>
      </c>
      <c r="S1776" s="196">
        <f>IF(AND(ISNUMBER(E1776),ISNUMBER(Q1776)),E1776*R1776,0)</f>
        <v/>
      </c>
      <c r="T1776" s="192">
        <f>$BC1776*V$11</f>
        <v/>
      </c>
      <c r="U1776" s="76">
        <f>$BC1776*W$11</f>
        <v/>
      </c>
      <c r="V1776" s="193">
        <f>+SUM(T1776:U1776)</f>
        <v/>
      </c>
      <c r="W1776" s="191" t="n"/>
      <c r="X1776" s="170" t="n"/>
      <c r="Y1776" s="76">
        <f>ROUND(IF(offer_incoterms="DDP",X1776*(S1776*(1+AW1776)+T1776),0),2)</f>
        <v/>
      </c>
      <c r="Z1776" s="188" t="n"/>
      <c r="AA1776" s="192">
        <f>IFERROR(AB1776/E1776,0)</f>
        <v/>
      </c>
      <c r="AB1776" s="76">
        <f>ROUND(SUM(S1776,V1776,Y1776:Z1776,BA1776:BB1776),2)</f>
        <v/>
      </c>
      <c r="AC1776" s="797" t="n"/>
      <c r="AD1776" s="192">
        <f t="array" ref="AD1776">IFERROR(ROUND((_xlfn.IFS(offer_sale_type="поставка",AB1776,offer_sale_type="транзит",S1776)*(1+AC1776))/E1776,2),0)</f>
        <v/>
      </c>
      <c r="AE1776" s="76">
        <f>AD1776*E1776</f>
        <v/>
      </c>
      <c r="AF1776" s="193">
        <f t="array" ref="AF1776">IFERROR(ROUND(_xlfn.IFS(offer_sale_type="поставка",AB1776,offer_sale_type="транзит",S1776)*AC1776,2),0)</f>
        <v/>
      </c>
      <c r="AG1776" s="192">
        <f>$BD1776*VLOOKUP($AG$3,$AF$4:$AG$7,2,FALSE)</f>
        <v/>
      </c>
      <c r="AH1776" s="76">
        <f>SUM(AE1776,AG1776,AI1776)*rate_forex_risk</f>
        <v/>
      </c>
      <c r="AI1776" s="193">
        <f>IF(OR(seller_region="TR",offer_sale_type="экспорт"),0,rate_fin_comm)*SUM(AZ1776,AZ1776*AW1776,T1776)</f>
        <v/>
      </c>
      <c r="AJ1776" s="118">
        <f>IFERROR(ROUND(SUM(AB1776,AF1776:AI1776)/E1776,2),0)</f>
        <v/>
      </c>
      <c r="AK1776" s="76">
        <f>AJ1776*E1776</f>
        <v/>
      </c>
      <c r="AL1776" s="174">
        <f>ROUND(IFERROR(AM1776*E1776,0),2)</f>
        <v/>
      </c>
      <c r="AM1776" s="175">
        <f>ROUND(AJ1776*(1+IF(offer_incoterms="DDP",IF((TODAY()+offer_turnaround_time)&gt;=helpsheet!$L$17,rate_vatRU_from_26,rate_vatRu_till_25),0)),2)</f>
        <v/>
      </c>
      <c r="AN1776" s="192">
        <f>AL1776-AK1776</f>
        <v/>
      </c>
      <c r="AO1776" s="76">
        <f>SUM(AY1776,Y1776:Z1776,T1776)*IF(AND(offer_incoterms="DDP",offer_sale_type&lt;&gt;"экспорт"),IF((TODAY()+offer_turnaround_time)&gt;=helpsheet!$L$17,rate_vatRU_from_26,rate_vatRu_till_25),0)</f>
        <v/>
      </c>
      <c r="AP1776" s="193">
        <f>AN1776-AO1776</f>
        <v/>
      </c>
      <c r="AQ1776" s="118">
        <f>IF(offer_sale_type="транзит",SUM(AF1776:AI1776,BA1776,BB1776),0)</f>
        <v/>
      </c>
      <c r="AR1776" s="82">
        <f>HYPERLINK("https://www.alta.ru/tnved/code/")&amp;W1776&amp;"/"</f>
        <v/>
      </c>
      <c r="AS1776" s="157" t="n"/>
      <c r="AT1776" s="162" t="n"/>
      <c r="AU1776" s="76">
        <f>IF(ISBLANK(AT1776),0,AJ1776-AT1776)</f>
        <v/>
      </c>
      <c r="AV1776" s="157" t="n"/>
      <c r="AW1776" s="75">
        <f>_xlfn.IFNA(VLOOKUP(L1776,list_vat[],3,FALSE),0)</f>
        <v/>
      </c>
      <c r="AX1776" s="76">
        <f>IFERROR(ROUND(S1776*(1+AW1776)/E1776,2),0)</f>
        <v/>
      </c>
      <c r="AY1776" s="76">
        <f>E1776*AX1776</f>
        <v/>
      </c>
      <c r="AZ1776" s="192">
        <f>S1776*(1+M1776)</f>
        <v/>
      </c>
      <c r="BA1776" s="76">
        <f>cost_fin_total*$BD1776</f>
        <v/>
      </c>
      <c r="BB1776" s="193">
        <f>credit_sales_interest*BD1776</f>
        <v/>
      </c>
      <c r="BC1776" s="102">
        <f>IFERROR(IF($I$13&gt;0,$I1776/$I$13,$S1776/$S$13),0)</f>
        <v/>
      </c>
      <c r="BD1776" s="102">
        <f>IFERROR($S1776/$S$13,0)</f>
        <v/>
      </c>
      <c r="BE1776" s="413" t="inlineStr">
        <is>
          <t>$</t>
        </is>
      </c>
    </row>
    <row r="1777" ht="12" customFormat="1" customHeight="1" s="65">
      <c r="A1777" s="43" t="n">
        <v>1762</v>
      </c>
      <c r="B1777" s="166" t="n"/>
      <c r="C1777" s="166" t="n"/>
      <c r="D1777" s="166" t="n"/>
      <c r="E1777" s="162" t="n"/>
      <c r="F1777" s="166" t="n"/>
      <c r="G1777" s="162" t="n"/>
      <c r="H1777" s="162" t="n"/>
      <c r="I1777" s="189">
        <f>E1777*G1777</f>
        <v/>
      </c>
      <c r="J1777" s="195" t="n"/>
      <c r="K1777" s="162" t="n"/>
      <c r="L1777" s="168" t="n"/>
      <c r="M1777" s="75">
        <f>_xlfn.XLOOKUP(L1777,list_vat[Страна],list_vat[Ставка НДС %],0,0)</f>
        <v/>
      </c>
      <c r="N1777" s="162">
        <f>IFERROR(IF(L1777="Китай",K1777,K1777/(1+M1777)),0)</f>
        <v/>
      </c>
      <c r="O1777" s="169" t="n"/>
      <c r="P1777" s="76">
        <f>N1777*(1-O1777)</f>
        <v/>
      </c>
      <c r="Q1777" s="162" t="n"/>
      <c r="R1777" s="162">
        <f>IF(ISBLANK(Q1777),"введи курс",P1777/Q1777)</f>
        <v/>
      </c>
      <c r="S1777" s="196">
        <f>IF(AND(ISNUMBER(E1777),ISNUMBER(Q1777)),E1777*R1777,0)</f>
        <v/>
      </c>
      <c r="T1777" s="192">
        <f>$BC1777*V$11</f>
        <v/>
      </c>
      <c r="U1777" s="76">
        <f>$BC1777*W$11</f>
        <v/>
      </c>
      <c r="V1777" s="193">
        <f>+SUM(T1777:U1777)</f>
        <v/>
      </c>
      <c r="W1777" s="191" t="n"/>
      <c r="X1777" s="170" t="n"/>
      <c r="Y1777" s="76">
        <f>ROUND(IF(offer_incoterms="DDP",X1777*(S1777*(1+AW1777)+T1777),0),2)</f>
        <v/>
      </c>
      <c r="Z1777" s="188" t="n"/>
      <c r="AA1777" s="192">
        <f>IFERROR(AB1777/E1777,0)</f>
        <v/>
      </c>
      <c r="AB1777" s="76">
        <f>ROUND(SUM(S1777,V1777,Y1777:Z1777,BA1777:BB1777),2)</f>
        <v/>
      </c>
      <c r="AC1777" s="797" t="n"/>
      <c r="AD1777" s="192">
        <f t="array" ref="AD1777">IFERROR(ROUND((_xlfn.IFS(offer_sale_type="поставка",AB1777,offer_sale_type="транзит",S1777)*(1+AC1777))/E1777,2),0)</f>
        <v/>
      </c>
      <c r="AE1777" s="76">
        <f>AD1777*E1777</f>
        <v/>
      </c>
      <c r="AF1777" s="193">
        <f t="array" ref="AF1777">IFERROR(ROUND(_xlfn.IFS(offer_sale_type="поставка",AB1777,offer_sale_type="транзит",S1777)*AC1777,2),0)</f>
        <v/>
      </c>
      <c r="AG1777" s="192">
        <f>$BD1777*VLOOKUP($AG$3,$AF$4:$AG$7,2,FALSE)</f>
        <v/>
      </c>
      <c r="AH1777" s="76">
        <f>SUM(AE1777,AG1777,AI1777)*rate_forex_risk</f>
        <v/>
      </c>
      <c r="AI1777" s="193">
        <f>IF(OR(seller_region="TR",offer_sale_type="экспорт"),0,rate_fin_comm)*SUM(AZ1777,AZ1777*AW1777,T1777)</f>
        <v/>
      </c>
      <c r="AJ1777" s="118">
        <f>IFERROR(ROUND(SUM(AB1777,AF1777:AI1777)/E1777,2),0)</f>
        <v/>
      </c>
      <c r="AK1777" s="76">
        <f>AJ1777*E1777</f>
        <v/>
      </c>
      <c r="AL1777" s="174">
        <f>ROUND(IFERROR(AM1777*E1777,0),2)</f>
        <v/>
      </c>
      <c r="AM1777" s="175">
        <f>ROUND(AJ1777*(1+IF(offer_incoterms="DDP",IF((TODAY()+offer_turnaround_time)&gt;=helpsheet!$L$17,rate_vatRU_from_26,rate_vatRu_till_25),0)),2)</f>
        <v/>
      </c>
      <c r="AN1777" s="192">
        <f>AL1777-AK1777</f>
        <v/>
      </c>
      <c r="AO1777" s="76">
        <f>SUM(AY1777,Y1777:Z1777,T1777)*IF(AND(offer_incoterms="DDP",offer_sale_type&lt;&gt;"экспорт"),IF((TODAY()+offer_turnaround_time)&gt;=helpsheet!$L$17,rate_vatRU_from_26,rate_vatRu_till_25),0)</f>
        <v/>
      </c>
      <c r="AP1777" s="193">
        <f>AN1777-AO1777</f>
        <v/>
      </c>
      <c r="AQ1777" s="118">
        <f>IF(offer_sale_type="транзит",SUM(AF1777:AI1777,BA1777,BB1777),0)</f>
        <v/>
      </c>
      <c r="AR1777" s="82">
        <f>HYPERLINK("https://www.alta.ru/tnved/code/")&amp;W1777&amp;"/"</f>
        <v/>
      </c>
      <c r="AS1777" s="157" t="n"/>
      <c r="AT1777" s="162" t="n"/>
      <c r="AU1777" s="76">
        <f>IF(ISBLANK(AT1777),0,AJ1777-AT1777)</f>
        <v/>
      </c>
      <c r="AV1777" s="157" t="n"/>
      <c r="AW1777" s="75">
        <f>_xlfn.IFNA(VLOOKUP(L1777,list_vat[],3,FALSE),0)</f>
        <v/>
      </c>
      <c r="AX1777" s="76">
        <f>IFERROR(ROUND(S1777*(1+AW1777)/E1777,2),0)</f>
        <v/>
      </c>
      <c r="AY1777" s="76">
        <f>E1777*AX1777</f>
        <v/>
      </c>
      <c r="AZ1777" s="192">
        <f>S1777*(1+M1777)</f>
        <v/>
      </c>
      <c r="BA1777" s="76">
        <f>cost_fin_total*$BD1777</f>
        <v/>
      </c>
      <c r="BB1777" s="193">
        <f>credit_sales_interest*BD1777</f>
        <v/>
      </c>
      <c r="BC1777" s="102">
        <f>IFERROR(IF($I$13&gt;0,$I1777/$I$13,$S1777/$S$13),0)</f>
        <v/>
      </c>
      <c r="BD1777" s="102">
        <f>IFERROR($S1777/$S$13,0)</f>
        <v/>
      </c>
      <c r="BE1777" s="413" t="inlineStr">
        <is>
          <t>$</t>
        </is>
      </c>
    </row>
    <row r="1778" ht="12" customFormat="1" customHeight="1" s="65">
      <c r="A1778" s="43" t="n">
        <v>1763</v>
      </c>
      <c r="B1778" s="166" t="n"/>
      <c r="C1778" s="166" t="n"/>
      <c r="D1778" s="166" t="n"/>
      <c r="E1778" s="162" t="n"/>
      <c r="F1778" s="166" t="n"/>
      <c r="G1778" s="162" t="n"/>
      <c r="H1778" s="162" t="n"/>
      <c r="I1778" s="189">
        <f>E1778*G1778</f>
        <v/>
      </c>
      <c r="J1778" s="195" t="n"/>
      <c r="K1778" s="162" t="n"/>
      <c r="L1778" s="168" t="n"/>
      <c r="M1778" s="75">
        <f>_xlfn.XLOOKUP(L1778,list_vat[Страна],list_vat[Ставка НДС %],0,0)</f>
        <v/>
      </c>
      <c r="N1778" s="162">
        <f>IFERROR(IF(L1778="Китай",K1778,K1778/(1+M1778)),0)</f>
        <v/>
      </c>
      <c r="O1778" s="169" t="n"/>
      <c r="P1778" s="76">
        <f>N1778*(1-O1778)</f>
        <v/>
      </c>
      <c r="Q1778" s="162" t="n"/>
      <c r="R1778" s="162">
        <f>IF(ISBLANK(Q1778),"введи курс",P1778/Q1778)</f>
        <v/>
      </c>
      <c r="S1778" s="196">
        <f>IF(AND(ISNUMBER(E1778),ISNUMBER(Q1778)),E1778*R1778,0)</f>
        <v/>
      </c>
      <c r="T1778" s="192">
        <f>$BC1778*V$11</f>
        <v/>
      </c>
      <c r="U1778" s="76">
        <f>$BC1778*W$11</f>
        <v/>
      </c>
      <c r="V1778" s="193">
        <f>+SUM(T1778:U1778)</f>
        <v/>
      </c>
      <c r="W1778" s="191" t="n"/>
      <c r="X1778" s="170" t="n"/>
      <c r="Y1778" s="76">
        <f>ROUND(IF(offer_incoterms="DDP",X1778*(S1778*(1+AW1778)+T1778),0),2)</f>
        <v/>
      </c>
      <c r="Z1778" s="188" t="n"/>
      <c r="AA1778" s="192">
        <f>IFERROR(AB1778/E1778,0)</f>
        <v/>
      </c>
      <c r="AB1778" s="76">
        <f>ROUND(SUM(S1778,V1778,Y1778:Z1778,BA1778:BB1778),2)</f>
        <v/>
      </c>
      <c r="AC1778" s="797" t="n"/>
      <c r="AD1778" s="192">
        <f t="array" ref="AD1778">IFERROR(ROUND((_xlfn.IFS(offer_sale_type="поставка",AB1778,offer_sale_type="транзит",S1778)*(1+AC1778))/E1778,2),0)</f>
        <v/>
      </c>
      <c r="AE1778" s="76">
        <f>AD1778*E1778</f>
        <v/>
      </c>
      <c r="AF1778" s="193">
        <f t="array" ref="AF1778">IFERROR(ROUND(_xlfn.IFS(offer_sale_type="поставка",AB1778,offer_sale_type="транзит",S1778)*AC1778,2),0)</f>
        <v/>
      </c>
      <c r="AG1778" s="192">
        <f>$BD1778*VLOOKUP($AG$3,$AF$4:$AG$7,2,FALSE)</f>
        <v/>
      </c>
      <c r="AH1778" s="76">
        <f>SUM(AE1778,AG1778,AI1778)*rate_forex_risk</f>
        <v/>
      </c>
      <c r="AI1778" s="193">
        <f>IF(OR(seller_region="TR",offer_sale_type="экспорт"),0,rate_fin_comm)*SUM(AZ1778,AZ1778*AW1778,T1778)</f>
        <v/>
      </c>
      <c r="AJ1778" s="118">
        <f>IFERROR(ROUND(SUM(AB1778,AF1778:AI1778)/E1778,2),0)</f>
        <v/>
      </c>
      <c r="AK1778" s="76">
        <f>AJ1778*E1778</f>
        <v/>
      </c>
      <c r="AL1778" s="174">
        <f>ROUND(IFERROR(AM1778*E1778,0),2)</f>
        <v/>
      </c>
      <c r="AM1778" s="175">
        <f>ROUND(AJ1778*(1+IF(offer_incoterms="DDP",IF((TODAY()+offer_turnaround_time)&gt;=helpsheet!$L$17,rate_vatRU_from_26,rate_vatRu_till_25),0)),2)</f>
        <v/>
      </c>
      <c r="AN1778" s="192">
        <f>AL1778-AK1778</f>
        <v/>
      </c>
      <c r="AO1778" s="76">
        <f>SUM(AY1778,Y1778:Z1778,T1778)*IF(AND(offer_incoterms="DDP",offer_sale_type&lt;&gt;"экспорт"),IF((TODAY()+offer_turnaround_time)&gt;=helpsheet!$L$17,rate_vatRU_from_26,rate_vatRu_till_25),0)</f>
        <v/>
      </c>
      <c r="AP1778" s="193">
        <f>AN1778-AO1778</f>
        <v/>
      </c>
      <c r="AQ1778" s="118">
        <f>IF(offer_sale_type="транзит",SUM(AF1778:AI1778,BA1778,BB1778),0)</f>
        <v/>
      </c>
      <c r="AR1778" s="82">
        <f>HYPERLINK("https://www.alta.ru/tnved/code/")&amp;W1778&amp;"/"</f>
        <v/>
      </c>
      <c r="AS1778" s="157" t="n"/>
      <c r="AT1778" s="162" t="n"/>
      <c r="AU1778" s="76">
        <f>IF(ISBLANK(AT1778),0,AJ1778-AT1778)</f>
        <v/>
      </c>
      <c r="AV1778" s="157" t="n"/>
      <c r="AW1778" s="75">
        <f>_xlfn.IFNA(VLOOKUP(L1778,list_vat[],3,FALSE),0)</f>
        <v/>
      </c>
      <c r="AX1778" s="76">
        <f>IFERROR(ROUND(S1778*(1+AW1778)/E1778,2),0)</f>
        <v/>
      </c>
      <c r="AY1778" s="76">
        <f>E1778*AX1778</f>
        <v/>
      </c>
      <c r="AZ1778" s="192">
        <f>S1778*(1+M1778)</f>
        <v/>
      </c>
      <c r="BA1778" s="76">
        <f>cost_fin_total*$BD1778</f>
        <v/>
      </c>
      <c r="BB1778" s="193">
        <f>credit_sales_interest*BD1778</f>
        <v/>
      </c>
      <c r="BC1778" s="102">
        <f>IFERROR(IF($I$13&gt;0,$I1778/$I$13,$S1778/$S$13),0)</f>
        <v/>
      </c>
      <c r="BD1778" s="102">
        <f>IFERROR($S1778/$S$13,0)</f>
        <v/>
      </c>
      <c r="BE1778" s="413" t="inlineStr">
        <is>
          <t>$</t>
        </is>
      </c>
    </row>
    <row r="1779" ht="12" customFormat="1" customHeight="1" s="65">
      <c r="A1779" s="43" t="n">
        <v>1764</v>
      </c>
      <c r="B1779" s="166" t="n"/>
      <c r="C1779" s="166" t="n"/>
      <c r="D1779" s="166" t="n"/>
      <c r="E1779" s="162" t="n"/>
      <c r="F1779" s="166" t="n"/>
      <c r="G1779" s="162" t="n"/>
      <c r="H1779" s="162" t="n"/>
      <c r="I1779" s="189">
        <f>E1779*G1779</f>
        <v/>
      </c>
      <c r="J1779" s="195" t="n"/>
      <c r="K1779" s="162" t="n"/>
      <c r="L1779" s="168" t="n"/>
      <c r="M1779" s="75">
        <f>_xlfn.XLOOKUP(L1779,list_vat[Страна],list_vat[Ставка НДС %],0,0)</f>
        <v/>
      </c>
      <c r="N1779" s="162">
        <f>IFERROR(IF(L1779="Китай",K1779,K1779/(1+M1779)),0)</f>
        <v/>
      </c>
      <c r="O1779" s="169" t="n"/>
      <c r="P1779" s="76">
        <f>N1779*(1-O1779)</f>
        <v/>
      </c>
      <c r="Q1779" s="162" t="n"/>
      <c r="R1779" s="162">
        <f>IF(ISBLANK(Q1779),"введи курс",P1779/Q1779)</f>
        <v/>
      </c>
      <c r="S1779" s="196">
        <f>IF(AND(ISNUMBER(E1779),ISNUMBER(Q1779)),E1779*R1779,0)</f>
        <v/>
      </c>
      <c r="T1779" s="192">
        <f>$BC1779*V$11</f>
        <v/>
      </c>
      <c r="U1779" s="76">
        <f>$BC1779*W$11</f>
        <v/>
      </c>
      <c r="V1779" s="193">
        <f>+SUM(T1779:U1779)</f>
        <v/>
      </c>
      <c r="W1779" s="191" t="n"/>
      <c r="X1779" s="170" t="n"/>
      <c r="Y1779" s="76">
        <f>ROUND(IF(offer_incoterms="DDP",X1779*(S1779*(1+AW1779)+T1779),0),2)</f>
        <v/>
      </c>
      <c r="Z1779" s="188" t="n"/>
      <c r="AA1779" s="192">
        <f>IFERROR(AB1779/E1779,0)</f>
        <v/>
      </c>
      <c r="AB1779" s="76">
        <f>ROUND(SUM(S1779,V1779,Y1779:Z1779,BA1779:BB1779),2)</f>
        <v/>
      </c>
      <c r="AC1779" s="797" t="n"/>
      <c r="AD1779" s="192">
        <f t="array" ref="AD1779">IFERROR(ROUND((_xlfn.IFS(offer_sale_type="поставка",AB1779,offer_sale_type="транзит",S1779)*(1+AC1779))/E1779,2),0)</f>
        <v/>
      </c>
      <c r="AE1779" s="76">
        <f>AD1779*E1779</f>
        <v/>
      </c>
      <c r="AF1779" s="193">
        <f t="array" ref="AF1779">IFERROR(ROUND(_xlfn.IFS(offer_sale_type="поставка",AB1779,offer_sale_type="транзит",S1779)*AC1779,2),0)</f>
        <v/>
      </c>
      <c r="AG1779" s="192">
        <f>$BD1779*VLOOKUP($AG$3,$AF$4:$AG$7,2,FALSE)</f>
        <v/>
      </c>
      <c r="AH1779" s="76">
        <f>SUM(AE1779,AG1779,AI1779)*rate_forex_risk</f>
        <v/>
      </c>
      <c r="AI1779" s="193">
        <f>IF(OR(seller_region="TR",offer_sale_type="экспорт"),0,rate_fin_comm)*SUM(AZ1779,AZ1779*AW1779,T1779)</f>
        <v/>
      </c>
      <c r="AJ1779" s="118">
        <f>IFERROR(ROUND(SUM(AB1779,AF1779:AI1779)/E1779,2),0)</f>
        <v/>
      </c>
      <c r="AK1779" s="76">
        <f>AJ1779*E1779</f>
        <v/>
      </c>
      <c r="AL1779" s="174">
        <f>ROUND(IFERROR(AM1779*E1779,0),2)</f>
        <v/>
      </c>
      <c r="AM1779" s="175">
        <f>ROUND(AJ1779*(1+IF(offer_incoterms="DDP",IF((TODAY()+offer_turnaround_time)&gt;=helpsheet!$L$17,rate_vatRU_from_26,rate_vatRu_till_25),0)),2)</f>
        <v/>
      </c>
      <c r="AN1779" s="192">
        <f>AL1779-AK1779</f>
        <v/>
      </c>
      <c r="AO1779" s="76">
        <f>SUM(AY1779,Y1779:Z1779,T1779)*IF(AND(offer_incoterms="DDP",offer_sale_type&lt;&gt;"экспорт"),IF((TODAY()+offer_turnaround_time)&gt;=helpsheet!$L$17,rate_vatRU_from_26,rate_vatRu_till_25),0)</f>
        <v/>
      </c>
      <c r="AP1779" s="193">
        <f>AN1779-AO1779</f>
        <v/>
      </c>
      <c r="AQ1779" s="118">
        <f>IF(offer_sale_type="транзит",SUM(AF1779:AI1779,BA1779,BB1779),0)</f>
        <v/>
      </c>
      <c r="AR1779" s="82">
        <f>HYPERLINK("https://www.alta.ru/tnved/code/")&amp;W1779&amp;"/"</f>
        <v/>
      </c>
      <c r="AS1779" s="157" t="n"/>
      <c r="AT1779" s="162" t="n"/>
      <c r="AU1779" s="76">
        <f>IF(ISBLANK(AT1779),0,AJ1779-AT1779)</f>
        <v/>
      </c>
      <c r="AV1779" s="157" t="n"/>
      <c r="AW1779" s="75">
        <f>_xlfn.IFNA(VLOOKUP(L1779,list_vat[],3,FALSE),0)</f>
        <v/>
      </c>
      <c r="AX1779" s="76">
        <f>IFERROR(ROUND(S1779*(1+AW1779)/E1779,2),0)</f>
        <v/>
      </c>
      <c r="AY1779" s="76">
        <f>E1779*AX1779</f>
        <v/>
      </c>
      <c r="AZ1779" s="192">
        <f>S1779*(1+M1779)</f>
        <v/>
      </c>
      <c r="BA1779" s="76">
        <f>cost_fin_total*$BD1779</f>
        <v/>
      </c>
      <c r="BB1779" s="193">
        <f>credit_sales_interest*BD1779</f>
        <v/>
      </c>
      <c r="BC1779" s="102">
        <f>IFERROR(IF($I$13&gt;0,$I1779/$I$13,$S1779/$S$13),0)</f>
        <v/>
      </c>
      <c r="BD1779" s="102">
        <f>IFERROR($S1779/$S$13,0)</f>
        <v/>
      </c>
      <c r="BE1779" s="413" t="inlineStr">
        <is>
          <t>$</t>
        </is>
      </c>
    </row>
    <row r="1780" ht="12" customFormat="1" customHeight="1" s="65">
      <c r="A1780" s="43" t="n">
        <v>1765</v>
      </c>
      <c r="B1780" s="166" t="n"/>
      <c r="C1780" s="166" t="n"/>
      <c r="D1780" s="166" t="n"/>
      <c r="E1780" s="162" t="n"/>
      <c r="F1780" s="166" t="n"/>
      <c r="G1780" s="162" t="n"/>
      <c r="H1780" s="162" t="n"/>
      <c r="I1780" s="189">
        <f>E1780*G1780</f>
        <v/>
      </c>
      <c r="J1780" s="195" t="n"/>
      <c r="K1780" s="162" t="n"/>
      <c r="L1780" s="168" t="n"/>
      <c r="M1780" s="75">
        <f>_xlfn.XLOOKUP(L1780,list_vat[Страна],list_vat[Ставка НДС %],0,0)</f>
        <v/>
      </c>
      <c r="N1780" s="162">
        <f>IFERROR(IF(L1780="Китай",K1780,K1780/(1+M1780)),0)</f>
        <v/>
      </c>
      <c r="O1780" s="169" t="n"/>
      <c r="P1780" s="76">
        <f>N1780*(1-O1780)</f>
        <v/>
      </c>
      <c r="Q1780" s="162" t="n"/>
      <c r="R1780" s="162">
        <f>IF(ISBLANK(Q1780),"введи курс",P1780/Q1780)</f>
        <v/>
      </c>
      <c r="S1780" s="196">
        <f>IF(AND(ISNUMBER(E1780),ISNUMBER(Q1780)),E1780*R1780,0)</f>
        <v/>
      </c>
      <c r="T1780" s="192">
        <f>$BC1780*V$11</f>
        <v/>
      </c>
      <c r="U1780" s="76">
        <f>$BC1780*W$11</f>
        <v/>
      </c>
      <c r="V1780" s="193">
        <f>+SUM(T1780:U1780)</f>
        <v/>
      </c>
      <c r="W1780" s="191" t="n"/>
      <c r="X1780" s="170" t="n"/>
      <c r="Y1780" s="76">
        <f>ROUND(IF(offer_incoterms="DDP",X1780*(S1780*(1+AW1780)+T1780),0),2)</f>
        <v/>
      </c>
      <c r="Z1780" s="188" t="n"/>
      <c r="AA1780" s="192">
        <f>IFERROR(AB1780/E1780,0)</f>
        <v/>
      </c>
      <c r="AB1780" s="76">
        <f>ROUND(SUM(S1780,V1780,Y1780:Z1780,BA1780:BB1780),2)</f>
        <v/>
      </c>
      <c r="AC1780" s="797" t="n"/>
      <c r="AD1780" s="192">
        <f t="array" ref="AD1780">IFERROR(ROUND((_xlfn.IFS(offer_sale_type="поставка",AB1780,offer_sale_type="транзит",S1780)*(1+AC1780))/E1780,2),0)</f>
        <v/>
      </c>
      <c r="AE1780" s="76">
        <f>AD1780*E1780</f>
        <v/>
      </c>
      <c r="AF1780" s="193">
        <f t="array" ref="AF1780">IFERROR(ROUND(_xlfn.IFS(offer_sale_type="поставка",AB1780,offer_sale_type="транзит",S1780)*AC1780,2),0)</f>
        <v/>
      </c>
      <c r="AG1780" s="192">
        <f>$BD1780*VLOOKUP($AG$3,$AF$4:$AG$7,2,FALSE)</f>
        <v/>
      </c>
      <c r="AH1780" s="76">
        <f>SUM(AE1780,AG1780,AI1780)*rate_forex_risk</f>
        <v/>
      </c>
      <c r="AI1780" s="193">
        <f>IF(OR(seller_region="TR",offer_sale_type="экспорт"),0,rate_fin_comm)*SUM(AZ1780,AZ1780*AW1780,T1780)</f>
        <v/>
      </c>
      <c r="AJ1780" s="118">
        <f>IFERROR(ROUND(SUM(AB1780,AF1780:AI1780)/E1780,2),0)</f>
        <v/>
      </c>
      <c r="AK1780" s="76">
        <f>AJ1780*E1780</f>
        <v/>
      </c>
      <c r="AL1780" s="174">
        <f>ROUND(IFERROR(AM1780*E1780,0),2)</f>
        <v/>
      </c>
      <c r="AM1780" s="175">
        <f>ROUND(AJ1780*(1+IF(offer_incoterms="DDP",IF((TODAY()+offer_turnaround_time)&gt;=helpsheet!$L$17,rate_vatRU_from_26,rate_vatRu_till_25),0)),2)</f>
        <v/>
      </c>
      <c r="AN1780" s="192">
        <f>AL1780-AK1780</f>
        <v/>
      </c>
      <c r="AO1780" s="76">
        <f>SUM(AY1780,Y1780:Z1780,T1780)*IF(AND(offer_incoterms="DDP",offer_sale_type&lt;&gt;"экспорт"),IF((TODAY()+offer_turnaround_time)&gt;=helpsheet!$L$17,rate_vatRU_from_26,rate_vatRu_till_25),0)</f>
        <v/>
      </c>
      <c r="AP1780" s="193">
        <f>AN1780-AO1780</f>
        <v/>
      </c>
      <c r="AQ1780" s="118">
        <f>IF(offer_sale_type="транзит",SUM(AF1780:AI1780,BA1780,BB1780),0)</f>
        <v/>
      </c>
      <c r="AR1780" s="82">
        <f>HYPERLINK("https://www.alta.ru/tnved/code/")&amp;W1780&amp;"/"</f>
        <v/>
      </c>
      <c r="AS1780" s="157" t="n"/>
      <c r="AT1780" s="162" t="n"/>
      <c r="AU1780" s="76">
        <f>IF(ISBLANK(AT1780),0,AJ1780-AT1780)</f>
        <v/>
      </c>
      <c r="AV1780" s="157" t="n"/>
      <c r="AW1780" s="75">
        <f>_xlfn.IFNA(VLOOKUP(L1780,list_vat[],3,FALSE),0)</f>
        <v/>
      </c>
      <c r="AX1780" s="76">
        <f>IFERROR(ROUND(S1780*(1+AW1780)/E1780,2),0)</f>
        <v/>
      </c>
      <c r="AY1780" s="76">
        <f>E1780*AX1780</f>
        <v/>
      </c>
      <c r="AZ1780" s="192">
        <f>S1780*(1+M1780)</f>
        <v/>
      </c>
      <c r="BA1780" s="76">
        <f>cost_fin_total*$BD1780</f>
        <v/>
      </c>
      <c r="BB1780" s="193">
        <f>credit_sales_interest*BD1780</f>
        <v/>
      </c>
      <c r="BC1780" s="102">
        <f>IFERROR(IF($I$13&gt;0,$I1780/$I$13,$S1780/$S$13),0)</f>
        <v/>
      </c>
      <c r="BD1780" s="102">
        <f>IFERROR($S1780/$S$13,0)</f>
        <v/>
      </c>
      <c r="BE1780" s="413" t="inlineStr">
        <is>
          <t>$</t>
        </is>
      </c>
    </row>
    <row r="1781" ht="12" customFormat="1" customHeight="1" s="65">
      <c r="A1781" s="43" t="n">
        <v>1766</v>
      </c>
      <c r="B1781" s="166" t="n"/>
      <c r="C1781" s="166" t="n"/>
      <c r="D1781" s="166" t="n"/>
      <c r="E1781" s="162" t="n"/>
      <c r="F1781" s="166" t="n"/>
      <c r="G1781" s="162" t="n"/>
      <c r="H1781" s="162" t="n"/>
      <c r="I1781" s="189">
        <f>E1781*G1781</f>
        <v/>
      </c>
      <c r="J1781" s="195" t="n"/>
      <c r="K1781" s="162" t="n"/>
      <c r="L1781" s="168" t="n"/>
      <c r="M1781" s="75">
        <f>_xlfn.XLOOKUP(L1781,list_vat[Страна],list_vat[Ставка НДС %],0,0)</f>
        <v/>
      </c>
      <c r="N1781" s="162">
        <f>IFERROR(IF(L1781="Китай",K1781,K1781/(1+M1781)),0)</f>
        <v/>
      </c>
      <c r="O1781" s="169" t="n"/>
      <c r="P1781" s="76">
        <f>N1781*(1-O1781)</f>
        <v/>
      </c>
      <c r="Q1781" s="162" t="n"/>
      <c r="R1781" s="162">
        <f>IF(ISBLANK(Q1781),"введи курс",P1781/Q1781)</f>
        <v/>
      </c>
      <c r="S1781" s="196">
        <f>IF(AND(ISNUMBER(E1781),ISNUMBER(Q1781)),E1781*R1781,0)</f>
        <v/>
      </c>
      <c r="T1781" s="192">
        <f>$BC1781*V$11</f>
        <v/>
      </c>
      <c r="U1781" s="76">
        <f>$BC1781*W$11</f>
        <v/>
      </c>
      <c r="V1781" s="193">
        <f>+SUM(T1781:U1781)</f>
        <v/>
      </c>
      <c r="W1781" s="191" t="n"/>
      <c r="X1781" s="170" t="n"/>
      <c r="Y1781" s="76">
        <f>ROUND(IF(offer_incoterms="DDP",X1781*(S1781*(1+AW1781)+T1781),0),2)</f>
        <v/>
      </c>
      <c r="Z1781" s="188" t="n"/>
      <c r="AA1781" s="192">
        <f>IFERROR(AB1781/E1781,0)</f>
        <v/>
      </c>
      <c r="AB1781" s="76">
        <f>ROUND(SUM(S1781,V1781,Y1781:Z1781,BA1781:BB1781),2)</f>
        <v/>
      </c>
      <c r="AC1781" s="797" t="n"/>
      <c r="AD1781" s="192">
        <f t="array" ref="AD1781">IFERROR(ROUND((_xlfn.IFS(offer_sale_type="поставка",AB1781,offer_sale_type="транзит",S1781)*(1+AC1781))/E1781,2),0)</f>
        <v/>
      </c>
      <c r="AE1781" s="76">
        <f>AD1781*E1781</f>
        <v/>
      </c>
      <c r="AF1781" s="193">
        <f t="array" ref="AF1781">IFERROR(ROUND(_xlfn.IFS(offer_sale_type="поставка",AB1781,offer_sale_type="транзит",S1781)*AC1781,2),0)</f>
        <v/>
      </c>
      <c r="AG1781" s="192">
        <f>$BD1781*VLOOKUP($AG$3,$AF$4:$AG$7,2,FALSE)</f>
        <v/>
      </c>
      <c r="AH1781" s="76">
        <f>SUM(AE1781,AG1781,AI1781)*rate_forex_risk</f>
        <v/>
      </c>
      <c r="AI1781" s="193">
        <f>IF(OR(seller_region="TR",offer_sale_type="экспорт"),0,rate_fin_comm)*SUM(AZ1781,AZ1781*AW1781,T1781)</f>
        <v/>
      </c>
      <c r="AJ1781" s="118">
        <f>IFERROR(ROUND(SUM(AB1781,AF1781:AI1781)/E1781,2),0)</f>
        <v/>
      </c>
      <c r="AK1781" s="76">
        <f>AJ1781*E1781</f>
        <v/>
      </c>
      <c r="AL1781" s="174">
        <f>ROUND(IFERROR(AM1781*E1781,0),2)</f>
        <v/>
      </c>
      <c r="AM1781" s="175">
        <f>ROUND(AJ1781*(1+IF(offer_incoterms="DDP",IF((TODAY()+offer_turnaround_time)&gt;=helpsheet!$L$17,rate_vatRU_from_26,rate_vatRu_till_25),0)),2)</f>
        <v/>
      </c>
      <c r="AN1781" s="192">
        <f>AL1781-AK1781</f>
        <v/>
      </c>
      <c r="AO1781" s="76">
        <f>SUM(AY1781,Y1781:Z1781,T1781)*IF(AND(offer_incoterms="DDP",offer_sale_type&lt;&gt;"экспорт"),IF((TODAY()+offer_turnaround_time)&gt;=helpsheet!$L$17,rate_vatRU_from_26,rate_vatRu_till_25),0)</f>
        <v/>
      </c>
      <c r="AP1781" s="193">
        <f>AN1781-AO1781</f>
        <v/>
      </c>
      <c r="AQ1781" s="118">
        <f>IF(offer_sale_type="транзит",SUM(AF1781:AI1781,BA1781,BB1781),0)</f>
        <v/>
      </c>
      <c r="AR1781" s="82">
        <f>HYPERLINK("https://www.alta.ru/tnved/code/")&amp;W1781&amp;"/"</f>
        <v/>
      </c>
      <c r="AS1781" s="157" t="n"/>
      <c r="AT1781" s="162" t="n"/>
      <c r="AU1781" s="76">
        <f>IF(ISBLANK(AT1781),0,AJ1781-AT1781)</f>
        <v/>
      </c>
      <c r="AV1781" s="157" t="n"/>
      <c r="AW1781" s="75">
        <f>_xlfn.IFNA(VLOOKUP(L1781,list_vat[],3,FALSE),0)</f>
        <v/>
      </c>
      <c r="AX1781" s="76">
        <f>IFERROR(ROUND(S1781*(1+AW1781)/E1781,2),0)</f>
        <v/>
      </c>
      <c r="AY1781" s="76">
        <f>E1781*AX1781</f>
        <v/>
      </c>
      <c r="AZ1781" s="192">
        <f>S1781*(1+M1781)</f>
        <v/>
      </c>
      <c r="BA1781" s="76">
        <f>cost_fin_total*$BD1781</f>
        <v/>
      </c>
      <c r="BB1781" s="193">
        <f>credit_sales_interest*BD1781</f>
        <v/>
      </c>
      <c r="BC1781" s="102">
        <f>IFERROR(IF($I$13&gt;0,$I1781/$I$13,$S1781/$S$13),0)</f>
        <v/>
      </c>
      <c r="BD1781" s="102">
        <f>IFERROR($S1781/$S$13,0)</f>
        <v/>
      </c>
      <c r="BE1781" s="413" t="inlineStr">
        <is>
          <t>$</t>
        </is>
      </c>
    </row>
    <row r="1782" ht="12" customFormat="1" customHeight="1" s="65">
      <c r="A1782" s="43" t="n">
        <v>1767</v>
      </c>
      <c r="B1782" s="166" t="n"/>
      <c r="C1782" s="166" t="n"/>
      <c r="D1782" s="166" t="n"/>
      <c r="E1782" s="162" t="n"/>
      <c r="F1782" s="166" t="n"/>
      <c r="G1782" s="162" t="n"/>
      <c r="H1782" s="162" t="n"/>
      <c r="I1782" s="189">
        <f>E1782*G1782</f>
        <v/>
      </c>
      <c r="J1782" s="195" t="n"/>
      <c r="K1782" s="162" t="n"/>
      <c r="L1782" s="168" t="n"/>
      <c r="M1782" s="75">
        <f>_xlfn.XLOOKUP(L1782,list_vat[Страна],list_vat[Ставка НДС %],0,0)</f>
        <v/>
      </c>
      <c r="N1782" s="162">
        <f>IFERROR(IF(L1782="Китай",K1782,K1782/(1+M1782)),0)</f>
        <v/>
      </c>
      <c r="O1782" s="169" t="n"/>
      <c r="P1782" s="76">
        <f>N1782*(1-O1782)</f>
        <v/>
      </c>
      <c r="Q1782" s="162" t="n"/>
      <c r="R1782" s="162">
        <f>IF(ISBLANK(Q1782),"введи курс",P1782/Q1782)</f>
        <v/>
      </c>
      <c r="S1782" s="196">
        <f>IF(AND(ISNUMBER(E1782),ISNUMBER(Q1782)),E1782*R1782,0)</f>
        <v/>
      </c>
      <c r="T1782" s="192">
        <f>$BC1782*V$11</f>
        <v/>
      </c>
      <c r="U1782" s="76">
        <f>$BC1782*W$11</f>
        <v/>
      </c>
      <c r="V1782" s="193">
        <f>+SUM(T1782:U1782)</f>
        <v/>
      </c>
      <c r="W1782" s="191" t="n"/>
      <c r="X1782" s="170" t="n"/>
      <c r="Y1782" s="76">
        <f>ROUND(IF(offer_incoterms="DDP",X1782*(S1782*(1+AW1782)+T1782),0),2)</f>
        <v/>
      </c>
      <c r="Z1782" s="188" t="n"/>
      <c r="AA1782" s="192">
        <f>IFERROR(AB1782/E1782,0)</f>
        <v/>
      </c>
      <c r="AB1782" s="76">
        <f>ROUND(SUM(S1782,V1782,Y1782:Z1782,BA1782:BB1782),2)</f>
        <v/>
      </c>
      <c r="AC1782" s="797" t="n"/>
      <c r="AD1782" s="192">
        <f t="array" ref="AD1782">IFERROR(ROUND((_xlfn.IFS(offer_sale_type="поставка",AB1782,offer_sale_type="транзит",S1782)*(1+AC1782))/E1782,2),0)</f>
        <v/>
      </c>
      <c r="AE1782" s="76">
        <f>AD1782*E1782</f>
        <v/>
      </c>
      <c r="AF1782" s="193">
        <f t="array" ref="AF1782">IFERROR(ROUND(_xlfn.IFS(offer_sale_type="поставка",AB1782,offer_sale_type="транзит",S1782)*AC1782,2),0)</f>
        <v/>
      </c>
      <c r="AG1782" s="192">
        <f>$BD1782*VLOOKUP($AG$3,$AF$4:$AG$7,2,FALSE)</f>
        <v/>
      </c>
      <c r="AH1782" s="76">
        <f>SUM(AE1782,AG1782,AI1782)*rate_forex_risk</f>
        <v/>
      </c>
      <c r="AI1782" s="193">
        <f>IF(OR(seller_region="TR",offer_sale_type="экспорт"),0,rate_fin_comm)*SUM(AZ1782,AZ1782*AW1782,T1782)</f>
        <v/>
      </c>
      <c r="AJ1782" s="118">
        <f>IFERROR(ROUND(SUM(AB1782,AF1782:AI1782)/E1782,2),0)</f>
        <v/>
      </c>
      <c r="AK1782" s="76">
        <f>AJ1782*E1782</f>
        <v/>
      </c>
      <c r="AL1782" s="174">
        <f>ROUND(IFERROR(AM1782*E1782,0),2)</f>
        <v/>
      </c>
      <c r="AM1782" s="175">
        <f>ROUND(AJ1782*(1+IF(offer_incoterms="DDP",IF((TODAY()+offer_turnaround_time)&gt;=helpsheet!$L$17,rate_vatRU_from_26,rate_vatRu_till_25),0)),2)</f>
        <v/>
      </c>
      <c r="AN1782" s="192">
        <f>AL1782-AK1782</f>
        <v/>
      </c>
      <c r="AO1782" s="76">
        <f>SUM(AY1782,Y1782:Z1782,T1782)*IF(AND(offer_incoterms="DDP",offer_sale_type&lt;&gt;"экспорт"),IF((TODAY()+offer_turnaround_time)&gt;=helpsheet!$L$17,rate_vatRU_from_26,rate_vatRu_till_25),0)</f>
        <v/>
      </c>
      <c r="AP1782" s="193">
        <f>AN1782-AO1782</f>
        <v/>
      </c>
      <c r="AQ1782" s="118">
        <f>IF(offer_sale_type="транзит",SUM(AF1782:AI1782,BA1782,BB1782),0)</f>
        <v/>
      </c>
      <c r="AR1782" s="82">
        <f>HYPERLINK("https://www.alta.ru/tnved/code/")&amp;W1782&amp;"/"</f>
        <v/>
      </c>
      <c r="AS1782" s="157" t="n"/>
      <c r="AT1782" s="162" t="n"/>
      <c r="AU1782" s="76">
        <f>IF(ISBLANK(AT1782),0,AJ1782-AT1782)</f>
        <v/>
      </c>
      <c r="AV1782" s="157" t="n"/>
      <c r="AW1782" s="75">
        <f>_xlfn.IFNA(VLOOKUP(L1782,list_vat[],3,FALSE),0)</f>
        <v/>
      </c>
      <c r="AX1782" s="76">
        <f>IFERROR(ROUND(S1782*(1+AW1782)/E1782,2),0)</f>
        <v/>
      </c>
      <c r="AY1782" s="76">
        <f>E1782*AX1782</f>
        <v/>
      </c>
      <c r="AZ1782" s="192">
        <f>S1782*(1+M1782)</f>
        <v/>
      </c>
      <c r="BA1782" s="76">
        <f>cost_fin_total*$BD1782</f>
        <v/>
      </c>
      <c r="BB1782" s="193">
        <f>credit_sales_interest*BD1782</f>
        <v/>
      </c>
      <c r="BC1782" s="102">
        <f>IFERROR(IF($I$13&gt;0,$I1782/$I$13,$S1782/$S$13),0)</f>
        <v/>
      </c>
      <c r="BD1782" s="102">
        <f>IFERROR($S1782/$S$13,0)</f>
        <v/>
      </c>
      <c r="BE1782" s="413" t="inlineStr">
        <is>
          <t>$</t>
        </is>
      </c>
    </row>
    <row r="1783" ht="12" customFormat="1" customHeight="1" s="65">
      <c r="A1783" s="43" t="n">
        <v>1768</v>
      </c>
      <c r="B1783" s="166" t="n"/>
      <c r="C1783" s="166" t="n"/>
      <c r="D1783" s="166" t="n"/>
      <c r="E1783" s="162" t="n"/>
      <c r="F1783" s="166" t="n"/>
      <c r="G1783" s="162" t="n"/>
      <c r="H1783" s="162" t="n"/>
      <c r="I1783" s="189">
        <f>E1783*G1783</f>
        <v/>
      </c>
      <c r="J1783" s="195" t="n"/>
      <c r="K1783" s="162" t="n"/>
      <c r="L1783" s="168" t="n"/>
      <c r="M1783" s="75">
        <f>_xlfn.XLOOKUP(L1783,list_vat[Страна],list_vat[Ставка НДС %],0,0)</f>
        <v/>
      </c>
      <c r="N1783" s="162">
        <f>IFERROR(IF(L1783="Китай",K1783,K1783/(1+M1783)),0)</f>
        <v/>
      </c>
      <c r="O1783" s="169" t="n"/>
      <c r="P1783" s="76">
        <f>N1783*(1-O1783)</f>
        <v/>
      </c>
      <c r="Q1783" s="162" t="n"/>
      <c r="R1783" s="162">
        <f>IF(ISBLANK(Q1783),"введи курс",P1783/Q1783)</f>
        <v/>
      </c>
      <c r="S1783" s="196">
        <f>IF(AND(ISNUMBER(E1783),ISNUMBER(Q1783)),E1783*R1783,0)</f>
        <v/>
      </c>
      <c r="T1783" s="192">
        <f>$BC1783*V$11</f>
        <v/>
      </c>
      <c r="U1783" s="76">
        <f>$BC1783*W$11</f>
        <v/>
      </c>
      <c r="V1783" s="193">
        <f>+SUM(T1783:U1783)</f>
        <v/>
      </c>
      <c r="W1783" s="191" t="n"/>
      <c r="X1783" s="170" t="n"/>
      <c r="Y1783" s="76">
        <f>ROUND(IF(offer_incoterms="DDP",X1783*(S1783*(1+AW1783)+T1783),0),2)</f>
        <v/>
      </c>
      <c r="Z1783" s="188" t="n"/>
      <c r="AA1783" s="192">
        <f>IFERROR(AB1783/E1783,0)</f>
        <v/>
      </c>
      <c r="AB1783" s="76">
        <f>ROUND(SUM(S1783,V1783,Y1783:Z1783,BA1783:BB1783),2)</f>
        <v/>
      </c>
      <c r="AC1783" s="797" t="n"/>
      <c r="AD1783" s="192">
        <f t="array" ref="AD1783">IFERROR(ROUND((_xlfn.IFS(offer_sale_type="поставка",AB1783,offer_sale_type="транзит",S1783)*(1+AC1783))/E1783,2),0)</f>
        <v/>
      </c>
      <c r="AE1783" s="76">
        <f>AD1783*E1783</f>
        <v/>
      </c>
      <c r="AF1783" s="193">
        <f t="array" ref="AF1783">IFERROR(ROUND(_xlfn.IFS(offer_sale_type="поставка",AB1783,offer_sale_type="транзит",S1783)*AC1783,2),0)</f>
        <v/>
      </c>
      <c r="AG1783" s="192">
        <f>$BD1783*VLOOKUP($AG$3,$AF$4:$AG$7,2,FALSE)</f>
        <v/>
      </c>
      <c r="AH1783" s="76">
        <f>SUM(AE1783,AG1783,AI1783)*rate_forex_risk</f>
        <v/>
      </c>
      <c r="AI1783" s="193">
        <f>IF(OR(seller_region="TR",offer_sale_type="экспорт"),0,rate_fin_comm)*SUM(AZ1783,AZ1783*AW1783,T1783)</f>
        <v/>
      </c>
      <c r="AJ1783" s="118">
        <f>IFERROR(ROUND(SUM(AB1783,AF1783:AI1783)/E1783,2),0)</f>
        <v/>
      </c>
      <c r="AK1783" s="76">
        <f>AJ1783*E1783</f>
        <v/>
      </c>
      <c r="AL1783" s="174">
        <f>ROUND(IFERROR(AM1783*E1783,0),2)</f>
        <v/>
      </c>
      <c r="AM1783" s="175">
        <f>ROUND(AJ1783*(1+IF(offer_incoterms="DDP",IF((TODAY()+offer_turnaround_time)&gt;=helpsheet!$L$17,rate_vatRU_from_26,rate_vatRu_till_25),0)),2)</f>
        <v/>
      </c>
      <c r="AN1783" s="192">
        <f>AL1783-AK1783</f>
        <v/>
      </c>
      <c r="AO1783" s="76">
        <f>SUM(AY1783,Y1783:Z1783,T1783)*IF(AND(offer_incoterms="DDP",offer_sale_type&lt;&gt;"экспорт"),IF((TODAY()+offer_turnaround_time)&gt;=helpsheet!$L$17,rate_vatRU_from_26,rate_vatRu_till_25),0)</f>
        <v/>
      </c>
      <c r="AP1783" s="193">
        <f>AN1783-AO1783</f>
        <v/>
      </c>
      <c r="AQ1783" s="118">
        <f>IF(offer_sale_type="транзит",SUM(AF1783:AI1783,BA1783,BB1783),0)</f>
        <v/>
      </c>
      <c r="AR1783" s="82">
        <f>HYPERLINK("https://www.alta.ru/tnved/code/")&amp;W1783&amp;"/"</f>
        <v/>
      </c>
      <c r="AS1783" s="157" t="n"/>
      <c r="AT1783" s="162" t="n"/>
      <c r="AU1783" s="76">
        <f>IF(ISBLANK(AT1783),0,AJ1783-AT1783)</f>
        <v/>
      </c>
      <c r="AV1783" s="157" t="n"/>
      <c r="AW1783" s="75">
        <f>_xlfn.IFNA(VLOOKUP(L1783,list_vat[],3,FALSE),0)</f>
        <v/>
      </c>
      <c r="AX1783" s="76">
        <f>IFERROR(ROUND(S1783*(1+AW1783)/E1783,2),0)</f>
        <v/>
      </c>
      <c r="AY1783" s="76">
        <f>E1783*AX1783</f>
        <v/>
      </c>
      <c r="AZ1783" s="192">
        <f>S1783*(1+M1783)</f>
        <v/>
      </c>
      <c r="BA1783" s="76">
        <f>cost_fin_total*$BD1783</f>
        <v/>
      </c>
      <c r="BB1783" s="193">
        <f>credit_sales_interest*BD1783</f>
        <v/>
      </c>
      <c r="BC1783" s="102">
        <f>IFERROR(IF($I$13&gt;0,$I1783/$I$13,$S1783/$S$13),0)</f>
        <v/>
      </c>
      <c r="BD1783" s="102">
        <f>IFERROR($S1783/$S$13,0)</f>
        <v/>
      </c>
      <c r="BE1783" s="413" t="inlineStr">
        <is>
          <t>$</t>
        </is>
      </c>
    </row>
    <row r="1784" ht="12" customFormat="1" customHeight="1" s="65">
      <c r="A1784" s="43" t="n">
        <v>1769</v>
      </c>
      <c r="B1784" s="166" t="n"/>
      <c r="C1784" s="166" t="n"/>
      <c r="D1784" s="166" t="n"/>
      <c r="E1784" s="162" t="n"/>
      <c r="F1784" s="166" t="n"/>
      <c r="G1784" s="162" t="n"/>
      <c r="H1784" s="162" t="n"/>
      <c r="I1784" s="189">
        <f>E1784*G1784</f>
        <v/>
      </c>
      <c r="J1784" s="195" t="n"/>
      <c r="K1784" s="162" t="n"/>
      <c r="L1784" s="168" t="n"/>
      <c r="M1784" s="75">
        <f>_xlfn.XLOOKUP(L1784,list_vat[Страна],list_vat[Ставка НДС %],0,0)</f>
        <v/>
      </c>
      <c r="N1784" s="162">
        <f>IFERROR(IF(L1784="Китай",K1784,K1784/(1+M1784)),0)</f>
        <v/>
      </c>
      <c r="O1784" s="169" t="n"/>
      <c r="P1784" s="76">
        <f>N1784*(1-O1784)</f>
        <v/>
      </c>
      <c r="Q1784" s="162" t="n"/>
      <c r="R1784" s="162">
        <f>IF(ISBLANK(Q1784),"введи курс",P1784/Q1784)</f>
        <v/>
      </c>
      <c r="S1784" s="196">
        <f>IF(AND(ISNUMBER(E1784),ISNUMBER(Q1784)),E1784*R1784,0)</f>
        <v/>
      </c>
      <c r="T1784" s="192">
        <f>$BC1784*V$11</f>
        <v/>
      </c>
      <c r="U1784" s="76">
        <f>$BC1784*W$11</f>
        <v/>
      </c>
      <c r="V1784" s="193">
        <f>+SUM(T1784:U1784)</f>
        <v/>
      </c>
      <c r="W1784" s="191" t="n"/>
      <c r="X1784" s="170" t="n"/>
      <c r="Y1784" s="76">
        <f>ROUND(IF(offer_incoterms="DDP",X1784*(S1784*(1+AW1784)+T1784),0),2)</f>
        <v/>
      </c>
      <c r="Z1784" s="188" t="n"/>
      <c r="AA1784" s="192">
        <f>IFERROR(AB1784/E1784,0)</f>
        <v/>
      </c>
      <c r="AB1784" s="76">
        <f>ROUND(SUM(S1784,V1784,Y1784:Z1784,BA1784:BB1784),2)</f>
        <v/>
      </c>
      <c r="AC1784" s="797" t="n"/>
      <c r="AD1784" s="192">
        <f t="array" ref="AD1784">IFERROR(ROUND((_xlfn.IFS(offer_sale_type="поставка",AB1784,offer_sale_type="транзит",S1784)*(1+AC1784))/E1784,2),0)</f>
        <v/>
      </c>
      <c r="AE1784" s="76">
        <f>AD1784*E1784</f>
        <v/>
      </c>
      <c r="AF1784" s="193">
        <f t="array" ref="AF1784">IFERROR(ROUND(_xlfn.IFS(offer_sale_type="поставка",AB1784,offer_sale_type="транзит",S1784)*AC1784,2),0)</f>
        <v/>
      </c>
      <c r="AG1784" s="192">
        <f>$BD1784*VLOOKUP($AG$3,$AF$4:$AG$7,2,FALSE)</f>
        <v/>
      </c>
      <c r="AH1784" s="76">
        <f>SUM(AE1784,AG1784,AI1784)*rate_forex_risk</f>
        <v/>
      </c>
      <c r="AI1784" s="193">
        <f>IF(OR(seller_region="TR",offer_sale_type="экспорт"),0,rate_fin_comm)*SUM(AZ1784,AZ1784*AW1784,T1784)</f>
        <v/>
      </c>
      <c r="AJ1784" s="118">
        <f>IFERROR(ROUND(SUM(AB1784,AF1784:AI1784)/E1784,2),0)</f>
        <v/>
      </c>
      <c r="AK1784" s="76">
        <f>AJ1784*E1784</f>
        <v/>
      </c>
      <c r="AL1784" s="174">
        <f>ROUND(IFERROR(AM1784*E1784,0),2)</f>
        <v/>
      </c>
      <c r="AM1784" s="175">
        <f>ROUND(AJ1784*(1+IF(offer_incoterms="DDP",IF((TODAY()+offer_turnaround_time)&gt;=helpsheet!$L$17,rate_vatRU_from_26,rate_vatRu_till_25),0)),2)</f>
        <v/>
      </c>
      <c r="AN1784" s="192">
        <f>AL1784-AK1784</f>
        <v/>
      </c>
      <c r="AO1784" s="76">
        <f>SUM(AY1784,Y1784:Z1784,T1784)*IF(AND(offer_incoterms="DDP",offer_sale_type&lt;&gt;"экспорт"),IF((TODAY()+offer_turnaround_time)&gt;=helpsheet!$L$17,rate_vatRU_from_26,rate_vatRu_till_25),0)</f>
        <v/>
      </c>
      <c r="AP1784" s="193">
        <f>AN1784-AO1784</f>
        <v/>
      </c>
      <c r="AQ1784" s="118">
        <f>IF(offer_sale_type="транзит",SUM(AF1784:AI1784,BA1784,BB1784),0)</f>
        <v/>
      </c>
      <c r="AR1784" s="82">
        <f>HYPERLINK("https://www.alta.ru/tnved/code/")&amp;W1784&amp;"/"</f>
        <v/>
      </c>
      <c r="AS1784" s="157" t="n"/>
      <c r="AT1784" s="162" t="n"/>
      <c r="AU1784" s="76">
        <f>IF(ISBLANK(AT1784),0,AJ1784-AT1784)</f>
        <v/>
      </c>
      <c r="AV1784" s="157" t="n"/>
      <c r="AW1784" s="75">
        <f>_xlfn.IFNA(VLOOKUP(L1784,list_vat[],3,FALSE),0)</f>
        <v/>
      </c>
      <c r="AX1784" s="76">
        <f>IFERROR(ROUND(S1784*(1+AW1784)/E1784,2),0)</f>
        <v/>
      </c>
      <c r="AY1784" s="76">
        <f>E1784*AX1784</f>
        <v/>
      </c>
      <c r="AZ1784" s="192">
        <f>S1784*(1+M1784)</f>
        <v/>
      </c>
      <c r="BA1784" s="76">
        <f>cost_fin_total*$BD1784</f>
        <v/>
      </c>
      <c r="BB1784" s="193">
        <f>credit_sales_interest*BD1784</f>
        <v/>
      </c>
      <c r="BC1784" s="102">
        <f>IFERROR(IF($I$13&gt;0,$I1784/$I$13,$S1784/$S$13),0)</f>
        <v/>
      </c>
      <c r="BD1784" s="102">
        <f>IFERROR($S1784/$S$13,0)</f>
        <v/>
      </c>
      <c r="BE1784" s="413" t="inlineStr">
        <is>
          <t>$</t>
        </is>
      </c>
    </row>
    <row r="1785" ht="12" customFormat="1" customHeight="1" s="65">
      <c r="A1785" s="43" t="n">
        <v>1770</v>
      </c>
      <c r="B1785" s="166" t="n"/>
      <c r="C1785" s="166" t="n"/>
      <c r="D1785" s="166" t="n"/>
      <c r="E1785" s="162" t="n"/>
      <c r="F1785" s="166" t="n"/>
      <c r="G1785" s="162" t="n"/>
      <c r="H1785" s="162" t="n"/>
      <c r="I1785" s="189">
        <f>E1785*G1785</f>
        <v/>
      </c>
      <c r="J1785" s="195" t="n"/>
      <c r="K1785" s="162" t="n"/>
      <c r="L1785" s="168" t="n"/>
      <c r="M1785" s="75">
        <f>_xlfn.XLOOKUP(L1785,list_vat[Страна],list_vat[Ставка НДС %],0,0)</f>
        <v/>
      </c>
      <c r="N1785" s="162">
        <f>IFERROR(IF(L1785="Китай",K1785,K1785/(1+M1785)),0)</f>
        <v/>
      </c>
      <c r="O1785" s="169" t="n"/>
      <c r="P1785" s="76">
        <f>N1785*(1-O1785)</f>
        <v/>
      </c>
      <c r="Q1785" s="162" t="n"/>
      <c r="R1785" s="162">
        <f>IF(ISBLANK(Q1785),"введи курс",P1785/Q1785)</f>
        <v/>
      </c>
      <c r="S1785" s="196">
        <f>IF(AND(ISNUMBER(E1785),ISNUMBER(Q1785)),E1785*R1785,0)</f>
        <v/>
      </c>
      <c r="T1785" s="192">
        <f>$BC1785*V$11</f>
        <v/>
      </c>
      <c r="U1785" s="76">
        <f>$BC1785*W$11</f>
        <v/>
      </c>
      <c r="V1785" s="193">
        <f>+SUM(T1785:U1785)</f>
        <v/>
      </c>
      <c r="W1785" s="191" t="n"/>
      <c r="X1785" s="170" t="n"/>
      <c r="Y1785" s="76">
        <f>ROUND(IF(offer_incoterms="DDP",X1785*(S1785*(1+AW1785)+T1785),0),2)</f>
        <v/>
      </c>
      <c r="Z1785" s="188" t="n"/>
      <c r="AA1785" s="192">
        <f>IFERROR(AB1785/E1785,0)</f>
        <v/>
      </c>
      <c r="AB1785" s="76">
        <f>ROUND(SUM(S1785,V1785,Y1785:Z1785,BA1785:BB1785),2)</f>
        <v/>
      </c>
      <c r="AC1785" s="797" t="n"/>
      <c r="AD1785" s="192">
        <f t="array" ref="AD1785">IFERROR(ROUND((_xlfn.IFS(offer_sale_type="поставка",AB1785,offer_sale_type="транзит",S1785)*(1+AC1785))/E1785,2),0)</f>
        <v/>
      </c>
      <c r="AE1785" s="76">
        <f>AD1785*E1785</f>
        <v/>
      </c>
      <c r="AF1785" s="193">
        <f t="array" ref="AF1785">IFERROR(ROUND(_xlfn.IFS(offer_sale_type="поставка",AB1785,offer_sale_type="транзит",S1785)*AC1785,2),0)</f>
        <v/>
      </c>
      <c r="AG1785" s="192">
        <f>$BD1785*VLOOKUP($AG$3,$AF$4:$AG$7,2,FALSE)</f>
        <v/>
      </c>
      <c r="AH1785" s="76">
        <f>SUM(AE1785,AG1785,AI1785)*rate_forex_risk</f>
        <v/>
      </c>
      <c r="AI1785" s="193">
        <f>IF(OR(seller_region="TR",offer_sale_type="экспорт"),0,rate_fin_comm)*SUM(AZ1785,AZ1785*AW1785,T1785)</f>
        <v/>
      </c>
      <c r="AJ1785" s="118">
        <f>IFERROR(ROUND(SUM(AB1785,AF1785:AI1785)/E1785,2),0)</f>
        <v/>
      </c>
      <c r="AK1785" s="76">
        <f>AJ1785*E1785</f>
        <v/>
      </c>
      <c r="AL1785" s="174">
        <f>ROUND(IFERROR(AM1785*E1785,0),2)</f>
        <v/>
      </c>
      <c r="AM1785" s="175">
        <f>ROUND(AJ1785*(1+IF(offer_incoterms="DDP",IF((TODAY()+offer_turnaround_time)&gt;=helpsheet!$L$17,rate_vatRU_from_26,rate_vatRu_till_25),0)),2)</f>
        <v/>
      </c>
      <c r="AN1785" s="192">
        <f>AL1785-AK1785</f>
        <v/>
      </c>
      <c r="AO1785" s="76">
        <f>SUM(AY1785,Y1785:Z1785,T1785)*IF(AND(offer_incoterms="DDP",offer_sale_type&lt;&gt;"экспорт"),IF((TODAY()+offer_turnaround_time)&gt;=helpsheet!$L$17,rate_vatRU_from_26,rate_vatRu_till_25),0)</f>
        <v/>
      </c>
      <c r="AP1785" s="193">
        <f>AN1785-AO1785</f>
        <v/>
      </c>
      <c r="AQ1785" s="118">
        <f>IF(offer_sale_type="транзит",SUM(AF1785:AI1785,BA1785,BB1785),0)</f>
        <v/>
      </c>
      <c r="AR1785" s="82">
        <f>HYPERLINK("https://www.alta.ru/tnved/code/")&amp;W1785&amp;"/"</f>
        <v/>
      </c>
      <c r="AS1785" s="157" t="n"/>
      <c r="AT1785" s="162" t="n"/>
      <c r="AU1785" s="76">
        <f>IF(ISBLANK(AT1785),0,AJ1785-AT1785)</f>
        <v/>
      </c>
      <c r="AV1785" s="157" t="n"/>
      <c r="AW1785" s="75">
        <f>_xlfn.IFNA(VLOOKUP(L1785,list_vat[],3,FALSE),0)</f>
        <v/>
      </c>
      <c r="AX1785" s="76">
        <f>IFERROR(ROUND(S1785*(1+AW1785)/E1785,2),0)</f>
        <v/>
      </c>
      <c r="AY1785" s="76">
        <f>E1785*AX1785</f>
        <v/>
      </c>
      <c r="AZ1785" s="192">
        <f>S1785*(1+M1785)</f>
        <v/>
      </c>
      <c r="BA1785" s="76">
        <f>cost_fin_total*$BD1785</f>
        <v/>
      </c>
      <c r="BB1785" s="193">
        <f>credit_sales_interest*BD1785</f>
        <v/>
      </c>
      <c r="BC1785" s="102">
        <f>IFERROR(IF($I$13&gt;0,$I1785/$I$13,$S1785/$S$13),0)</f>
        <v/>
      </c>
      <c r="BD1785" s="102">
        <f>IFERROR($S1785/$S$13,0)</f>
        <v/>
      </c>
      <c r="BE1785" s="413" t="inlineStr">
        <is>
          <t>$</t>
        </is>
      </c>
    </row>
    <row r="1786" ht="12" customFormat="1" customHeight="1" s="65">
      <c r="A1786" s="43" t="n">
        <v>1771</v>
      </c>
      <c r="B1786" s="166" t="n"/>
      <c r="C1786" s="166" t="n"/>
      <c r="D1786" s="166" t="n"/>
      <c r="E1786" s="162" t="n"/>
      <c r="F1786" s="166" t="n"/>
      <c r="G1786" s="162" t="n"/>
      <c r="H1786" s="162" t="n"/>
      <c r="I1786" s="189">
        <f>E1786*G1786</f>
        <v/>
      </c>
      <c r="J1786" s="195" t="n"/>
      <c r="K1786" s="162" t="n"/>
      <c r="L1786" s="168" t="n"/>
      <c r="M1786" s="75">
        <f>_xlfn.XLOOKUP(L1786,list_vat[Страна],list_vat[Ставка НДС %],0,0)</f>
        <v/>
      </c>
      <c r="N1786" s="162">
        <f>IFERROR(IF(L1786="Китай",K1786,K1786/(1+M1786)),0)</f>
        <v/>
      </c>
      <c r="O1786" s="169" t="n"/>
      <c r="P1786" s="76">
        <f>N1786*(1-O1786)</f>
        <v/>
      </c>
      <c r="Q1786" s="162" t="n"/>
      <c r="R1786" s="162">
        <f>IF(ISBLANK(Q1786),"введи курс",P1786/Q1786)</f>
        <v/>
      </c>
      <c r="S1786" s="196">
        <f>IF(AND(ISNUMBER(E1786),ISNUMBER(Q1786)),E1786*R1786,0)</f>
        <v/>
      </c>
      <c r="T1786" s="192">
        <f>$BC1786*V$11</f>
        <v/>
      </c>
      <c r="U1786" s="76">
        <f>$BC1786*W$11</f>
        <v/>
      </c>
      <c r="V1786" s="193">
        <f>+SUM(T1786:U1786)</f>
        <v/>
      </c>
      <c r="W1786" s="191" t="n"/>
      <c r="X1786" s="170" t="n"/>
      <c r="Y1786" s="76">
        <f>ROUND(IF(offer_incoterms="DDP",X1786*(S1786*(1+AW1786)+T1786),0),2)</f>
        <v/>
      </c>
      <c r="Z1786" s="188" t="n"/>
      <c r="AA1786" s="192">
        <f>IFERROR(AB1786/E1786,0)</f>
        <v/>
      </c>
      <c r="AB1786" s="76">
        <f>ROUND(SUM(S1786,V1786,Y1786:Z1786,BA1786:BB1786),2)</f>
        <v/>
      </c>
      <c r="AC1786" s="797" t="n"/>
      <c r="AD1786" s="192">
        <f t="array" ref="AD1786">IFERROR(ROUND((_xlfn.IFS(offer_sale_type="поставка",AB1786,offer_sale_type="транзит",S1786)*(1+AC1786))/E1786,2),0)</f>
        <v/>
      </c>
      <c r="AE1786" s="76">
        <f>AD1786*E1786</f>
        <v/>
      </c>
      <c r="AF1786" s="193">
        <f t="array" ref="AF1786">IFERROR(ROUND(_xlfn.IFS(offer_sale_type="поставка",AB1786,offer_sale_type="транзит",S1786)*AC1786,2),0)</f>
        <v/>
      </c>
      <c r="AG1786" s="192">
        <f>$BD1786*VLOOKUP($AG$3,$AF$4:$AG$7,2,FALSE)</f>
        <v/>
      </c>
      <c r="AH1786" s="76">
        <f>SUM(AE1786,AG1786,AI1786)*rate_forex_risk</f>
        <v/>
      </c>
      <c r="AI1786" s="193">
        <f>IF(OR(seller_region="TR",offer_sale_type="экспорт"),0,rate_fin_comm)*SUM(AZ1786,AZ1786*AW1786,T1786)</f>
        <v/>
      </c>
      <c r="AJ1786" s="118">
        <f>IFERROR(ROUND(SUM(AB1786,AF1786:AI1786)/E1786,2),0)</f>
        <v/>
      </c>
      <c r="AK1786" s="76">
        <f>AJ1786*E1786</f>
        <v/>
      </c>
      <c r="AL1786" s="174">
        <f>ROUND(IFERROR(AM1786*E1786,0),2)</f>
        <v/>
      </c>
      <c r="AM1786" s="175">
        <f>ROUND(AJ1786*(1+IF(offer_incoterms="DDP",IF((TODAY()+offer_turnaround_time)&gt;=helpsheet!$L$17,rate_vatRU_from_26,rate_vatRu_till_25),0)),2)</f>
        <v/>
      </c>
      <c r="AN1786" s="192">
        <f>AL1786-AK1786</f>
        <v/>
      </c>
      <c r="AO1786" s="76">
        <f>SUM(AY1786,Y1786:Z1786,T1786)*IF(AND(offer_incoterms="DDP",offer_sale_type&lt;&gt;"экспорт"),IF((TODAY()+offer_turnaround_time)&gt;=helpsheet!$L$17,rate_vatRU_from_26,rate_vatRu_till_25),0)</f>
        <v/>
      </c>
      <c r="AP1786" s="193">
        <f>AN1786-AO1786</f>
        <v/>
      </c>
      <c r="AQ1786" s="118">
        <f>IF(offer_sale_type="транзит",SUM(AF1786:AI1786,BA1786,BB1786),0)</f>
        <v/>
      </c>
      <c r="AR1786" s="82">
        <f>HYPERLINK("https://www.alta.ru/tnved/code/")&amp;W1786&amp;"/"</f>
        <v/>
      </c>
      <c r="AS1786" s="157" t="n"/>
      <c r="AT1786" s="162" t="n"/>
      <c r="AU1786" s="76">
        <f>IF(ISBLANK(AT1786),0,AJ1786-AT1786)</f>
        <v/>
      </c>
      <c r="AV1786" s="157" t="n"/>
      <c r="AW1786" s="75">
        <f>_xlfn.IFNA(VLOOKUP(L1786,list_vat[],3,FALSE),0)</f>
        <v/>
      </c>
      <c r="AX1786" s="76">
        <f>IFERROR(ROUND(S1786*(1+AW1786)/E1786,2),0)</f>
        <v/>
      </c>
      <c r="AY1786" s="76">
        <f>E1786*AX1786</f>
        <v/>
      </c>
      <c r="AZ1786" s="192">
        <f>S1786*(1+M1786)</f>
        <v/>
      </c>
      <c r="BA1786" s="76">
        <f>cost_fin_total*$BD1786</f>
        <v/>
      </c>
      <c r="BB1786" s="193">
        <f>credit_sales_interest*BD1786</f>
        <v/>
      </c>
      <c r="BC1786" s="102">
        <f>IFERROR(IF($I$13&gt;0,$I1786/$I$13,$S1786/$S$13),0)</f>
        <v/>
      </c>
      <c r="BD1786" s="102">
        <f>IFERROR($S1786/$S$13,0)</f>
        <v/>
      </c>
      <c r="BE1786" s="413" t="inlineStr">
        <is>
          <t>$</t>
        </is>
      </c>
    </row>
    <row r="1787" ht="12" customFormat="1" customHeight="1" s="65">
      <c r="A1787" s="43" t="n">
        <v>1772</v>
      </c>
      <c r="B1787" s="166" t="n"/>
      <c r="C1787" s="166" t="n"/>
      <c r="D1787" s="166" t="n"/>
      <c r="E1787" s="162" t="n"/>
      <c r="F1787" s="166" t="n"/>
      <c r="G1787" s="162" t="n"/>
      <c r="H1787" s="162" t="n"/>
      <c r="I1787" s="189">
        <f>E1787*G1787</f>
        <v/>
      </c>
      <c r="J1787" s="195" t="n"/>
      <c r="K1787" s="162" t="n"/>
      <c r="L1787" s="168" t="n"/>
      <c r="M1787" s="75">
        <f>_xlfn.XLOOKUP(L1787,list_vat[Страна],list_vat[Ставка НДС %],0,0)</f>
        <v/>
      </c>
      <c r="N1787" s="162">
        <f>IFERROR(IF(L1787="Китай",K1787,K1787/(1+M1787)),0)</f>
        <v/>
      </c>
      <c r="O1787" s="169" t="n"/>
      <c r="P1787" s="76">
        <f>N1787*(1-O1787)</f>
        <v/>
      </c>
      <c r="Q1787" s="162" t="n"/>
      <c r="R1787" s="162">
        <f>IF(ISBLANK(Q1787),"введи курс",P1787/Q1787)</f>
        <v/>
      </c>
      <c r="S1787" s="196">
        <f>IF(AND(ISNUMBER(E1787),ISNUMBER(Q1787)),E1787*R1787,0)</f>
        <v/>
      </c>
      <c r="T1787" s="192">
        <f>$BC1787*V$11</f>
        <v/>
      </c>
      <c r="U1787" s="76">
        <f>$BC1787*W$11</f>
        <v/>
      </c>
      <c r="V1787" s="193">
        <f>+SUM(T1787:U1787)</f>
        <v/>
      </c>
      <c r="W1787" s="191" t="n"/>
      <c r="X1787" s="170" t="n"/>
      <c r="Y1787" s="76">
        <f>ROUND(IF(offer_incoterms="DDP",X1787*(S1787*(1+AW1787)+T1787),0),2)</f>
        <v/>
      </c>
      <c r="Z1787" s="188" t="n"/>
      <c r="AA1787" s="192">
        <f>IFERROR(AB1787/E1787,0)</f>
        <v/>
      </c>
      <c r="AB1787" s="76">
        <f>ROUND(SUM(S1787,V1787,Y1787:Z1787,BA1787:BB1787),2)</f>
        <v/>
      </c>
      <c r="AC1787" s="797" t="n"/>
      <c r="AD1787" s="192">
        <f t="array" ref="AD1787">IFERROR(ROUND((_xlfn.IFS(offer_sale_type="поставка",AB1787,offer_sale_type="транзит",S1787)*(1+AC1787))/E1787,2),0)</f>
        <v/>
      </c>
      <c r="AE1787" s="76">
        <f>AD1787*E1787</f>
        <v/>
      </c>
      <c r="AF1787" s="193">
        <f t="array" ref="AF1787">IFERROR(ROUND(_xlfn.IFS(offer_sale_type="поставка",AB1787,offer_sale_type="транзит",S1787)*AC1787,2),0)</f>
        <v/>
      </c>
      <c r="AG1787" s="192">
        <f>$BD1787*VLOOKUP($AG$3,$AF$4:$AG$7,2,FALSE)</f>
        <v/>
      </c>
      <c r="AH1787" s="76">
        <f>SUM(AE1787,AG1787,AI1787)*rate_forex_risk</f>
        <v/>
      </c>
      <c r="AI1787" s="193">
        <f>IF(OR(seller_region="TR",offer_sale_type="экспорт"),0,rate_fin_comm)*SUM(AZ1787,AZ1787*AW1787,T1787)</f>
        <v/>
      </c>
      <c r="AJ1787" s="118">
        <f>IFERROR(ROUND(SUM(AB1787,AF1787:AI1787)/E1787,2),0)</f>
        <v/>
      </c>
      <c r="AK1787" s="76">
        <f>AJ1787*E1787</f>
        <v/>
      </c>
      <c r="AL1787" s="174">
        <f>ROUND(IFERROR(AM1787*E1787,0),2)</f>
        <v/>
      </c>
      <c r="AM1787" s="175">
        <f>ROUND(AJ1787*(1+IF(offer_incoterms="DDP",IF((TODAY()+offer_turnaround_time)&gt;=helpsheet!$L$17,rate_vatRU_from_26,rate_vatRu_till_25),0)),2)</f>
        <v/>
      </c>
      <c r="AN1787" s="192">
        <f>AL1787-AK1787</f>
        <v/>
      </c>
      <c r="AO1787" s="76">
        <f>SUM(AY1787,Y1787:Z1787,T1787)*IF(AND(offer_incoterms="DDP",offer_sale_type&lt;&gt;"экспорт"),IF((TODAY()+offer_turnaround_time)&gt;=helpsheet!$L$17,rate_vatRU_from_26,rate_vatRu_till_25),0)</f>
        <v/>
      </c>
      <c r="AP1787" s="193">
        <f>AN1787-AO1787</f>
        <v/>
      </c>
      <c r="AQ1787" s="118">
        <f>IF(offer_sale_type="транзит",SUM(AF1787:AI1787,BA1787,BB1787),0)</f>
        <v/>
      </c>
      <c r="AR1787" s="82">
        <f>HYPERLINK("https://www.alta.ru/tnved/code/")&amp;W1787&amp;"/"</f>
        <v/>
      </c>
      <c r="AS1787" s="157" t="n"/>
      <c r="AT1787" s="162" t="n"/>
      <c r="AU1787" s="76">
        <f>IF(ISBLANK(AT1787),0,AJ1787-AT1787)</f>
        <v/>
      </c>
      <c r="AV1787" s="157" t="n"/>
      <c r="AW1787" s="75">
        <f>_xlfn.IFNA(VLOOKUP(L1787,list_vat[],3,FALSE),0)</f>
        <v/>
      </c>
      <c r="AX1787" s="76">
        <f>IFERROR(ROUND(S1787*(1+AW1787)/E1787,2),0)</f>
        <v/>
      </c>
      <c r="AY1787" s="76">
        <f>E1787*AX1787</f>
        <v/>
      </c>
      <c r="AZ1787" s="192">
        <f>S1787*(1+M1787)</f>
        <v/>
      </c>
      <c r="BA1787" s="76">
        <f>cost_fin_total*$BD1787</f>
        <v/>
      </c>
      <c r="BB1787" s="193">
        <f>credit_sales_interest*BD1787</f>
        <v/>
      </c>
      <c r="BC1787" s="102">
        <f>IFERROR(IF($I$13&gt;0,$I1787/$I$13,$S1787/$S$13),0)</f>
        <v/>
      </c>
      <c r="BD1787" s="102">
        <f>IFERROR($S1787/$S$13,0)</f>
        <v/>
      </c>
      <c r="BE1787" s="413" t="inlineStr">
        <is>
          <t>$</t>
        </is>
      </c>
    </row>
    <row r="1788" ht="12" customFormat="1" customHeight="1" s="65">
      <c r="A1788" s="43" t="n">
        <v>1773</v>
      </c>
      <c r="B1788" s="166" t="n"/>
      <c r="C1788" s="166" t="n"/>
      <c r="D1788" s="166" t="n"/>
      <c r="E1788" s="162" t="n"/>
      <c r="F1788" s="166" t="n"/>
      <c r="G1788" s="162" t="n"/>
      <c r="H1788" s="162" t="n"/>
      <c r="I1788" s="189">
        <f>E1788*G1788</f>
        <v/>
      </c>
      <c r="J1788" s="195" t="n"/>
      <c r="K1788" s="162" t="n"/>
      <c r="L1788" s="168" t="n"/>
      <c r="M1788" s="75">
        <f>_xlfn.XLOOKUP(L1788,list_vat[Страна],list_vat[Ставка НДС %],0,0)</f>
        <v/>
      </c>
      <c r="N1788" s="162">
        <f>IFERROR(IF(L1788="Китай",K1788,K1788/(1+M1788)),0)</f>
        <v/>
      </c>
      <c r="O1788" s="169" t="n"/>
      <c r="P1788" s="76">
        <f>N1788*(1-O1788)</f>
        <v/>
      </c>
      <c r="Q1788" s="162" t="n"/>
      <c r="R1788" s="162">
        <f>IF(ISBLANK(Q1788),"введи курс",P1788/Q1788)</f>
        <v/>
      </c>
      <c r="S1788" s="196">
        <f>IF(AND(ISNUMBER(E1788),ISNUMBER(Q1788)),E1788*R1788,0)</f>
        <v/>
      </c>
      <c r="T1788" s="192">
        <f>$BC1788*V$11</f>
        <v/>
      </c>
      <c r="U1788" s="76">
        <f>$BC1788*W$11</f>
        <v/>
      </c>
      <c r="V1788" s="193">
        <f>+SUM(T1788:U1788)</f>
        <v/>
      </c>
      <c r="W1788" s="191" t="n"/>
      <c r="X1788" s="170" t="n"/>
      <c r="Y1788" s="76">
        <f>ROUND(IF(offer_incoterms="DDP",X1788*(S1788*(1+AW1788)+T1788),0),2)</f>
        <v/>
      </c>
      <c r="Z1788" s="188" t="n"/>
      <c r="AA1788" s="192">
        <f>IFERROR(AB1788/E1788,0)</f>
        <v/>
      </c>
      <c r="AB1788" s="76">
        <f>ROUND(SUM(S1788,V1788,Y1788:Z1788,BA1788:BB1788),2)</f>
        <v/>
      </c>
      <c r="AC1788" s="797" t="n"/>
      <c r="AD1788" s="192">
        <f t="array" ref="AD1788">IFERROR(ROUND((_xlfn.IFS(offer_sale_type="поставка",AB1788,offer_sale_type="транзит",S1788)*(1+AC1788))/E1788,2),0)</f>
        <v/>
      </c>
      <c r="AE1788" s="76">
        <f>AD1788*E1788</f>
        <v/>
      </c>
      <c r="AF1788" s="193">
        <f t="array" ref="AF1788">IFERROR(ROUND(_xlfn.IFS(offer_sale_type="поставка",AB1788,offer_sale_type="транзит",S1788)*AC1788,2),0)</f>
        <v/>
      </c>
      <c r="AG1788" s="192">
        <f>$BD1788*VLOOKUP($AG$3,$AF$4:$AG$7,2,FALSE)</f>
        <v/>
      </c>
      <c r="AH1788" s="76">
        <f>SUM(AE1788,AG1788,AI1788)*rate_forex_risk</f>
        <v/>
      </c>
      <c r="AI1788" s="193">
        <f>IF(OR(seller_region="TR",offer_sale_type="экспорт"),0,rate_fin_comm)*SUM(AZ1788,AZ1788*AW1788,T1788)</f>
        <v/>
      </c>
      <c r="AJ1788" s="118">
        <f>IFERROR(ROUND(SUM(AB1788,AF1788:AI1788)/E1788,2),0)</f>
        <v/>
      </c>
      <c r="AK1788" s="76">
        <f>AJ1788*E1788</f>
        <v/>
      </c>
      <c r="AL1788" s="174">
        <f>ROUND(IFERROR(AM1788*E1788,0),2)</f>
        <v/>
      </c>
      <c r="AM1788" s="175">
        <f>ROUND(AJ1788*(1+IF(offer_incoterms="DDP",IF((TODAY()+offer_turnaround_time)&gt;=helpsheet!$L$17,rate_vatRU_from_26,rate_vatRu_till_25),0)),2)</f>
        <v/>
      </c>
      <c r="AN1788" s="192">
        <f>AL1788-AK1788</f>
        <v/>
      </c>
      <c r="AO1788" s="76">
        <f>SUM(AY1788,Y1788:Z1788,T1788)*IF(AND(offer_incoterms="DDP",offer_sale_type&lt;&gt;"экспорт"),IF((TODAY()+offer_turnaround_time)&gt;=helpsheet!$L$17,rate_vatRU_from_26,rate_vatRu_till_25),0)</f>
        <v/>
      </c>
      <c r="AP1788" s="193">
        <f>AN1788-AO1788</f>
        <v/>
      </c>
      <c r="AQ1788" s="118">
        <f>IF(offer_sale_type="транзит",SUM(AF1788:AI1788,BA1788,BB1788),0)</f>
        <v/>
      </c>
      <c r="AR1788" s="82">
        <f>HYPERLINK("https://www.alta.ru/tnved/code/")&amp;W1788&amp;"/"</f>
        <v/>
      </c>
      <c r="AS1788" s="157" t="n"/>
      <c r="AT1788" s="162" t="n"/>
      <c r="AU1788" s="76">
        <f>IF(ISBLANK(AT1788),0,AJ1788-AT1788)</f>
        <v/>
      </c>
      <c r="AV1788" s="157" t="n"/>
      <c r="AW1788" s="75">
        <f>_xlfn.IFNA(VLOOKUP(L1788,list_vat[],3,FALSE),0)</f>
        <v/>
      </c>
      <c r="AX1788" s="76">
        <f>IFERROR(ROUND(S1788*(1+AW1788)/E1788,2),0)</f>
        <v/>
      </c>
      <c r="AY1788" s="76">
        <f>E1788*AX1788</f>
        <v/>
      </c>
      <c r="AZ1788" s="192">
        <f>S1788*(1+M1788)</f>
        <v/>
      </c>
      <c r="BA1788" s="76">
        <f>cost_fin_total*$BD1788</f>
        <v/>
      </c>
      <c r="BB1788" s="193">
        <f>credit_sales_interest*BD1788</f>
        <v/>
      </c>
      <c r="BC1788" s="102">
        <f>IFERROR(IF($I$13&gt;0,$I1788/$I$13,$S1788/$S$13),0)</f>
        <v/>
      </c>
      <c r="BD1788" s="102">
        <f>IFERROR($S1788/$S$13,0)</f>
        <v/>
      </c>
      <c r="BE1788" s="413" t="inlineStr">
        <is>
          <t>$</t>
        </is>
      </c>
    </row>
    <row r="1789" ht="12" customFormat="1" customHeight="1" s="65">
      <c r="A1789" s="43" t="n">
        <v>1774</v>
      </c>
      <c r="B1789" s="166" t="n"/>
      <c r="C1789" s="166" t="n"/>
      <c r="D1789" s="166" t="n"/>
      <c r="E1789" s="162" t="n"/>
      <c r="F1789" s="166" t="n"/>
      <c r="G1789" s="162" t="n"/>
      <c r="H1789" s="162" t="n"/>
      <c r="I1789" s="189">
        <f>E1789*G1789</f>
        <v/>
      </c>
      <c r="J1789" s="195" t="n"/>
      <c r="K1789" s="162" t="n"/>
      <c r="L1789" s="168" t="n"/>
      <c r="M1789" s="75">
        <f>_xlfn.XLOOKUP(L1789,list_vat[Страна],list_vat[Ставка НДС %],0,0)</f>
        <v/>
      </c>
      <c r="N1789" s="162">
        <f>IFERROR(IF(L1789="Китай",K1789,K1789/(1+M1789)),0)</f>
        <v/>
      </c>
      <c r="O1789" s="169" t="n"/>
      <c r="P1789" s="76">
        <f>N1789*(1-O1789)</f>
        <v/>
      </c>
      <c r="Q1789" s="162" t="n"/>
      <c r="R1789" s="162">
        <f>IF(ISBLANK(Q1789),"введи курс",P1789/Q1789)</f>
        <v/>
      </c>
      <c r="S1789" s="196">
        <f>IF(AND(ISNUMBER(E1789),ISNUMBER(Q1789)),E1789*R1789,0)</f>
        <v/>
      </c>
      <c r="T1789" s="192">
        <f>$BC1789*V$11</f>
        <v/>
      </c>
      <c r="U1789" s="76">
        <f>$BC1789*W$11</f>
        <v/>
      </c>
      <c r="V1789" s="193">
        <f>+SUM(T1789:U1789)</f>
        <v/>
      </c>
      <c r="W1789" s="191" t="n"/>
      <c r="X1789" s="170" t="n"/>
      <c r="Y1789" s="76">
        <f>ROUND(IF(offer_incoterms="DDP",X1789*(S1789*(1+AW1789)+T1789),0),2)</f>
        <v/>
      </c>
      <c r="Z1789" s="188" t="n"/>
      <c r="AA1789" s="192">
        <f>IFERROR(AB1789/E1789,0)</f>
        <v/>
      </c>
      <c r="AB1789" s="76">
        <f>ROUND(SUM(S1789,V1789,Y1789:Z1789,BA1789:BB1789),2)</f>
        <v/>
      </c>
      <c r="AC1789" s="797" t="n"/>
      <c r="AD1789" s="192">
        <f t="array" ref="AD1789">IFERROR(ROUND((_xlfn.IFS(offer_sale_type="поставка",AB1789,offer_sale_type="транзит",S1789)*(1+AC1789))/E1789,2),0)</f>
        <v/>
      </c>
      <c r="AE1789" s="76">
        <f>AD1789*E1789</f>
        <v/>
      </c>
      <c r="AF1789" s="193">
        <f t="array" ref="AF1789">IFERROR(ROUND(_xlfn.IFS(offer_sale_type="поставка",AB1789,offer_sale_type="транзит",S1789)*AC1789,2),0)</f>
        <v/>
      </c>
      <c r="AG1789" s="192">
        <f>$BD1789*VLOOKUP($AG$3,$AF$4:$AG$7,2,FALSE)</f>
        <v/>
      </c>
      <c r="AH1789" s="76">
        <f>SUM(AE1789,AG1789,AI1789)*rate_forex_risk</f>
        <v/>
      </c>
      <c r="AI1789" s="193">
        <f>IF(OR(seller_region="TR",offer_sale_type="экспорт"),0,rate_fin_comm)*SUM(AZ1789,AZ1789*AW1789,T1789)</f>
        <v/>
      </c>
      <c r="AJ1789" s="118">
        <f>IFERROR(ROUND(SUM(AB1789,AF1789:AI1789)/E1789,2),0)</f>
        <v/>
      </c>
      <c r="AK1789" s="76">
        <f>AJ1789*E1789</f>
        <v/>
      </c>
      <c r="AL1789" s="174">
        <f>ROUND(IFERROR(AM1789*E1789,0),2)</f>
        <v/>
      </c>
      <c r="AM1789" s="175">
        <f>ROUND(AJ1789*(1+IF(offer_incoterms="DDP",IF((TODAY()+offer_turnaround_time)&gt;=helpsheet!$L$17,rate_vatRU_from_26,rate_vatRu_till_25),0)),2)</f>
        <v/>
      </c>
      <c r="AN1789" s="192">
        <f>AL1789-AK1789</f>
        <v/>
      </c>
      <c r="AO1789" s="76">
        <f>SUM(AY1789,Y1789:Z1789,T1789)*IF(AND(offer_incoterms="DDP",offer_sale_type&lt;&gt;"экспорт"),IF((TODAY()+offer_turnaround_time)&gt;=helpsheet!$L$17,rate_vatRU_from_26,rate_vatRu_till_25),0)</f>
        <v/>
      </c>
      <c r="AP1789" s="193">
        <f>AN1789-AO1789</f>
        <v/>
      </c>
      <c r="AQ1789" s="118">
        <f>IF(offer_sale_type="транзит",SUM(AF1789:AI1789,BA1789,BB1789),0)</f>
        <v/>
      </c>
      <c r="AR1789" s="82">
        <f>HYPERLINK("https://www.alta.ru/tnved/code/")&amp;W1789&amp;"/"</f>
        <v/>
      </c>
      <c r="AS1789" s="157" t="n"/>
      <c r="AT1789" s="162" t="n"/>
      <c r="AU1789" s="76">
        <f>IF(ISBLANK(AT1789),0,AJ1789-AT1789)</f>
        <v/>
      </c>
      <c r="AV1789" s="157" t="n"/>
      <c r="AW1789" s="75">
        <f>_xlfn.IFNA(VLOOKUP(L1789,list_vat[],3,FALSE),0)</f>
        <v/>
      </c>
      <c r="AX1789" s="76">
        <f>IFERROR(ROUND(S1789*(1+AW1789)/E1789,2),0)</f>
        <v/>
      </c>
      <c r="AY1789" s="76">
        <f>E1789*AX1789</f>
        <v/>
      </c>
      <c r="AZ1789" s="192">
        <f>S1789*(1+M1789)</f>
        <v/>
      </c>
      <c r="BA1789" s="76">
        <f>cost_fin_total*$BD1789</f>
        <v/>
      </c>
      <c r="BB1789" s="193">
        <f>credit_sales_interest*BD1789</f>
        <v/>
      </c>
      <c r="BC1789" s="102">
        <f>IFERROR(IF($I$13&gt;0,$I1789/$I$13,$S1789/$S$13),0)</f>
        <v/>
      </c>
      <c r="BD1789" s="102">
        <f>IFERROR($S1789/$S$13,0)</f>
        <v/>
      </c>
      <c r="BE1789" s="413" t="inlineStr">
        <is>
          <t>$</t>
        </is>
      </c>
    </row>
    <row r="1790" ht="12" customFormat="1" customHeight="1" s="65">
      <c r="A1790" s="43" t="n">
        <v>1775</v>
      </c>
      <c r="B1790" s="166" t="n"/>
      <c r="C1790" s="166" t="n"/>
      <c r="D1790" s="166" t="n"/>
      <c r="E1790" s="162" t="n"/>
      <c r="F1790" s="166" t="n"/>
      <c r="G1790" s="162" t="n"/>
      <c r="H1790" s="162" t="n"/>
      <c r="I1790" s="189">
        <f>E1790*G1790</f>
        <v/>
      </c>
      <c r="J1790" s="195" t="n"/>
      <c r="K1790" s="162" t="n"/>
      <c r="L1790" s="168" t="n"/>
      <c r="M1790" s="75">
        <f>_xlfn.XLOOKUP(L1790,list_vat[Страна],list_vat[Ставка НДС %],0,0)</f>
        <v/>
      </c>
      <c r="N1790" s="162">
        <f>IFERROR(IF(L1790="Китай",K1790,K1790/(1+M1790)),0)</f>
        <v/>
      </c>
      <c r="O1790" s="169" t="n"/>
      <c r="P1790" s="76">
        <f>N1790*(1-O1790)</f>
        <v/>
      </c>
      <c r="Q1790" s="162" t="n"/>
      <c r="R1790" s="162">
        <f>IF(ISBLANK(Q1790),"введи курс",P1790/Q1790)</f>
        <v/>
      </c>
      <c r="S1790" s="196">
        <f>IF(AND(ISNUMBER(E1790),ISNUMBER(Q1790)),E1790*R1790,0)</f>
        <v/>
      </c>
      <c r="T1790" s="192">
        <f>$BC1790*V$11</f>
        <v/>
      </c>
      <c r="U1790" s="76">
        <f>$BC1790*W$11</f>
        <v/>
      </c>
      <c r="V1790" s="193">
        <f>+SUM(T1790:U1790)</f>
        <v/>
      </c>
      <c r="W1790" s="191" t="n"/>
      <c r="X1790" s="170" t="n"/>
      <c r="Y1790" s="76">
        <f>ROUND(IF(offer_incoterms="DDP",X1790*(S1790*(1+AW1790)+T1790),0),2)</f>
        <v/>
      </c>
      <c r="Z1790" s="188" t="n"/>
      <c r="AA1790" s="192">
        <f>IFERROR(AB1790/E1790,0)</f>
        <v/>
      </c>
      <c r="AB1790" s="76">
        <f>ROUND(SUM(S1790,V1790,Y1790:Z1790,BA1790:BB1790),2)</f>
        <v/>
      </c>
      <c r="AC1790" s="797" t="n"/>
      <c r="AD1790" s="192">
        <f t="array" ref="AD1790">IFERROR(ROUND((_xlfn.IFS(offer_sale_type="поставка",AB1790,offer_sale_type="транзит",S1790)*(1+AC1790))/E1790,2),0)</f>
        <v/>
      </c>
      <c r="AE1790" s="76">
        <f>AD1790*E1790</f>
        <v/>
      </c>
      <c r="AF1790" s="193">
        <f t="array" ref="AF1790">IFERROR(ROUND(_xlfn.IFS(offer_sale_type="поставка",AB1790,offer_sale_type="транзит",S1790)*AC1790,2),0)</f>
        <v/>
      </c>
      <c r="AG1790" s="192">
        <f>$BD1790*VLOOKUP($AG$3,$AF$4:$AG$7,2,FALSE)</f>
        <v/>
      </c>
      <c r="AH1790" s="76">
        <f>SUM(AE1790,AG1790,AI1790)*rate_forex_risk</f>
        <v/>
      </c>
      <c r="AI1790" s="193">
        <f>IF(OR(seller_region="TR",offer_sale_type="экспорт"),0,rate_fin_comm)*SUM(AZ1790,AZ1790*AW1790,T1790)</f>
        <v/>
      </c>
      <c r="AJ1790" s="118">
        <f>IFERROR(ROUND(SUM(AB1790,AF1790:AI1790)/E1790,2),0)</f>
        <v/>
      </c>
      <c r="AK1790" s="76">
        <f>AJ1790*E1790</f>
        <v/>
      </c>
      <c r="AL1790" s="174">
        <f>ROUND(IFERROR(AM1790*E1790,0),2)</f>
        <v/>
      </c>
      <c r="AM1790" s="175">
        <f>ROUND(AJ1790*(1+IF(offer_incoterms="DDP",IF((TODAY()+offer_turnaround_time)&gt;=helpsheet!$L$17,rate_vatRU_from_26,rate_vatRu_till_25),0)),2)</f>
        <v/>
      </c>
      <c r="AN1790" s="192">
        <f>AL1790-AK1790</f>
        <v/>
      </c>
      <c r="AO1790" s="76">
        <f>SUM(AY1790,Y1790:Z1790,T1790)*IF(AND(offer_incoterms="DDP",offer_sale_type&lt;&gt;"экспорт"),IF((TODAY()+offer_turnaround_time)&gt;=helpsheet!$L$17,rate_vatRU_from_26,rate_vatRu_till_25),0)</f>
        <v/>
      </c>
      <c r="AP1790" s="193">
        <f>AN1790-AO1790</f>
        <v/>
      </c>
      <c r="AQ1790" s="118">
        <f>IF(offer_sale_type="транзит",SUM(AF1790:AI1790,BA1790,BB1790),0)</f>
        <v/>
      </c>
      <c r="AR1790" s="82">
        <f>HYPERLINK("https://www.alta.ru/tnved/code/")&amp;W1790&amp;"/"</f>
        <v/>
      </c>
      <c r="AS1790" s="157" t="n"/>
      <c r="AT1790" s="162" t="n"/>
      <c r="AU1790" s="76">
        <f>IF(ISBLANK(AT1790),0,AJ1790-AT1790)</f>
        <v/>
      </c>
      <c r="AV1790" s="157" t="n"/>
      <c r="AW1790" s="75">
        <f>_xlfn.IFNA(VLOOKUP(L1790,list_vat[],3,FALSE),0)</f>
        <v/>
      </c>
      <c r="AX1790" s="76">
        <f>IFERROR(ROUND(S1790*(1+AW1790)/E1790,2),0)</f>
        <v/>
      </c>
      <c r="AY1790" s="76">
        <f>E1790*AX1790</f>
        <v/>
      </c>
      <c r="AZ1790" s="192">
        <f>S1790*(1+M1790)</f>
        <v/>
      </c>
      <c r="BA1790" s="76">
        <f>cost_fin_total*$BD1790</f>
        <v/>
      </c>
      <c r="BB1790" s="193">
        <f>credit_sales_interest*BD1790</f>
        <v/>
      </c>
      <c r="BC1790" s="102">
        <f>IFERROR(IF($I$13&gt;0,$I1790/$I$13,$S1790/$S$13),0)</f>
        <v/>
      </c>
      <c r="BD1790" s="102">
        <f>IFERROR($S1790/$S$13,0)</f>
        <v/>
      </c>
      <c r="BE1790" s="413" t="inlineStr">
        <is>
          <t>$</t>
        </is>
      </c>
    </row>
    <row r="1791" ht="12" customFormat="1" customHeight="1" s="65">
      <c r="A1791" s="43" t="n">
        <v>1776</v>
      </c>
      <c r="B1791" s="166" t="n"/>
      <c r="C1791" s="166" t="n"/>
      <c r="D1791" s="166" t="n"/>
      <c r="E1791" s="162" t="n"/>
      <c r="F1791" s="166" t="n"/>
      <c r="G1791" s="162" t="n"/>
      <c r="H1791" s="162" t="n"/>
      <c r="I1791" s="189">
        <f>E1791*G1791</f>
        <v/>
      </c>
      <c r="J1791" s="195" t="n"/>
      <c r="K1791" s="162" t="n"/>
      <c r="L1791" s="168" t="n"/>
      <c r="M1791" s="75">
        <f>_xlfn.XLOOKUP(L1791,list_vat[Страна],list_vat[Ставка НДС %],0,0)</f>
        <v/>
      </c>
      <c r="N1791" s="162">
        <f>IFERROR(IF(L1791="Китай",K1791,K1791/(1+M1791)),0)</f>
        <v/>
      </c>
      <c r="O1791" s="169" t="n"/>
      <c r="P1791" s="76">
        <f>N1791*(1-O1791)</f>
        <v/>
      </c>
      <c r="Q1791" s="162" t="n"/>
      <c r="R1791" s="162">
        <f>IF(ISBLANK(Q1791),"введи курс",P1791/Q1791)</f>
        <v/>
      </c>
      <c r="S1791" s="196">
        <f>IF(AND(ISNUMBER(E1791),ISNUMBER(Q1791)),E1791*R1791,0)</f>
        <v/>
      </c>
      <c r="T1791" s="192">
        <f>$BC1791*V$11</f>
        <v/>
      </c>
      <c r="U1791" s="76">
        <f>$BC1791*W$11</f>
        <v/>
      </c>
      <c r="V1791" s="193">
        <f>+SUM(T1791:U1791)</f>
        <v/>
      </c>
      <c r="W1791" s="191" t="n"/>
      <c r="X1791" s="170" t="n"/>
      <c r="Y1791" s="76">
        <f>ROUND(IF(offer_incoterms="DDP",X1791*(S1791*(1+AW1791)+T1791),0),2)</f>
        <v/>
      </c>
      <c r="Z1791" s="188" t="n"/>
      <c r="AA1791" s="192">
        <f>IFERROR(AB1791/E1791,0)</f>
        <v/>
      </c>
      <c r="AB1791" s="76">
        <f>ROUND(SUM(S1791,V1791,Y1791:Z1791,BA1791:BB1791),2)</f>
        <v/>
      </c>
      <c r="AC1791" s="797" t="n"/>
      <c r="AD1791" s="192">
        <f t="array" ref="AD1791">IFERROR(ROUND((_xlfn.IFS(offer_sale_type="поставка",AB1791,offer_sale_type="транзит",S1791)*(1+AC1791))/E1791,2),0)</f>
        <v/>
      </c>
      <c r="AE1791" s="76">
        <f>AD1791*E1791</f>
        <v/>
      </c>
      <c r="AF1791" s="193">
        <f t="array" ref="AF1791">IFERROR(ROUND(_xlfn.IFS(offer_sale_type="поставка",AB1791,offer_sale_type="транзит",S1791)*AC1791,2),0)</f>
        <v/>
      </c>
      <c r="AG1791" s="192">
        <f>$BD1791*VLOOKUP($AG$3,$AF$4:$AG$7,2,FALSE)</f>
        <v/>
      </c>
      <c r="AH1791" s="76">
        <f>SUM(AE1791,AG1791,AI1791)*rate_forex_risk</f>
        <v/>
      </c>
      <c r="AI1791" s="193">
        <f>IF(OR(seller_region="TR",offer_sale_type="экспорт"),0,rate_fin_comm)*SUM(AZ1791,AZ1791*AW1791,T1791)</f>
        <v/>
      </c>
      <c r="AJ1791" s="118">
        <f>IFERROR(ROUND(SUM(AB1791,AF1791:AI1791)/E1791,2),0)</f>
        <v/>
      </c>
      <c r="AK1791" s="76">
        <f>AJ1791*E1791</f>
        <v/>
      </c>
      <c r="AL1791" s="174">
        <f>ROUND(IFERROR(AM1791*E1791,0),2)</f>
        <v/>
      </c>
      <c r="AM1791" s="175">
        <f>ROUND(AJ1791*(1+IF(offer_incoterms="DDP",IF((TODAY()+offer_turnaround_time)&gt;=helpsheet!$L$17,rate_vatRU_from_26,rate_vatRu_till_25),0)),2)</f>
        <v/>
      </c>
      <c r="AN1791" s="192">
        <f>AL1791-AK1791</f>
        <v/>
      </c>
      <c r="AO1791" s="76">
        <f>SUM(AY1791,Y1791:Z1791,T1791)*IF(AND(offer_incoterms="DDP",offer_sale_type&lt;&gt;"экспорт"),IF((TODAY()+offer_turnaround_time)&gt;=helpsheet!$L$17,rate_vatRU_from_26,rate_vatRu_till_25),0)</f>
        <v/>
      </c>
      <c r="AP1791" s="193">
        <f>AN1791-AO1791</f>
        <v/>
      </c>
      <c r="AQ1791" s="118">
        <f>IF(offer_sale_type="транзит",SUM(AF1791:AI1791,BA1791,BB1791),0)</f>
        <v/>
      </c>
      <c r="AR1791" s="82">
        <f>HYPERLINK("https://www.alta.ru/tnved/code/")&amp;W1791&amp;"/"</f>
        <v/>
      </c>
      <c r="AS1791" s="157" t="n"/>
      <c r="AT1791" s="162" t="n"/>
      <c r="AU1791" s="76">
        <f>IF(ISBLANK(AT1791),0,AJ1791-AT1791)</f>
        <v/>
      </c>
      <c r="AV1791" s="157" t="n"/>
      <c r="AW1791" s="75">
        <f>_xlfn.IFNA(VLOOKUP(L1791,list_vat[],3,FALSE),0)</f>
        <v/>
      </c>
      <c r="AX1791" s="76">
        <f>IFERROR(ROUND(S1791*(1+AW1791)/E1791,2),0)</f>
        <v/>
      </c>
      <c r="AY1791" s="76">
        <f>E1791*AX1791</f>
        <v/>
      </c>
      <c r="AZ1791" s="192">
        <f>S1791*(1+M1791)</f>
        <v/>
      </c>
      <c r="BA1791" s="76">
        <f>cost_fin_total*$BD1791</f>
        <v/>
      </c>
      <c r="BB1791" s="193">
        <f>credit_sales_interest*BD1791</f>
        <v/>
      </c>
      <c r="BC1791" s="102">
        <f>IFERROR(IF($I$13&gt;0,$I1791/$I$13,$S1791/$S$13),0)</f>
        <v/>
      </c>
      <c r="BD1791" s="102">
        <f>IFERROR($S1791/$S$13,0)</f>
        <v/>
      </c>
      <c r="BE1791" s="413" t="inlineStr">
        <is>
          <t>$</t>
        </is>
      </c>
    </row>
    <row r="1792" ht="12" customFormat="1" customHeight="1" s="65">
      <c r="A1792" s="43" t="n">
        <v>1777</v>
      </c>
      <c r="B1792" s="166" t="n"/>
      <c r="C1792" s="166" t="n"/>
      <c r="D1792" s="166" t="n"/>
      <c r="E1792" s="162" t="n"/>
      <c r="F1792" s="166" t="n"/>
      <c r="G1792" s="162" t="n"/>
      <c r="H1792" s="162" t="n"/>
      <c r="I1792" s="189">
        <f>E1792*G1792</f>
        <v/>
      </c>
      <c r="J1792" s="195" t="n"/>
      <c r="K1792" s="162" t="n"/>
      <c r="L1792" s="168" t="n"/>
      <c r="M1792" s="75">
        <f>_xlfn.XLOOKUP(L1792,list_vat[Страна],list_vat[Ставка НДС %],0,0)</f>
        <v/>
      </c>
      <c r="N1792" s="162">
        <f>IFERROR(IF(L1792="Китай",K1792,K1792/(1+M1792)),0)</f>
        <v/>
      </c>
      <c r="O1792" s="169" t="n"/>
      <c r="P1792" s="76">
        <f>N1792*(1-O1792)</f>
        <v/>
      </c>
      <c r="Q1792" s="162" t="n"/>
      <c r="R1792" s="162">
        <f>IF(ISBLANK(Q1792),"введи курс",P1792/Q1792)</f>
        <v/>
      </c>
      <c r="S1792" s="196">
        <f>IF(AND(ISNUMBER(E1792),ISNUMBER(Q1792)),E1792*R1792,0)</f>
        <v/>
      </c>
      <c r="T1792" s="192">
        <f>$BC1792*V$11</f>
        <v/>
      </c>
      <c r="U1792" s="76">
        <f>$BC1792*W$11</f>
        <v/>
      </c>
      <c r="V1792" s="193">
        <f>+SUM(T1792:U1792)</f>
        <v/>
      </c>
      <c r="W1792" s="191" t="n"/>
      <c r="X1792" s="170" t="n"/>
      <c r="Y1792" s="76">
        <f>ROUND(IF(offer_incoterms="DDP",X1792*(S1792*(1+AW1792)+T1792),0),2)</f>
        <v/>
      </c>
      <c r="Z1792" s="188" t="n"/>
      <c r="AA1792" s="192">
        <f>IFERROR(AB1792/E1792,0)</f>
        <v/>
      </c>
      <c r="AB1792" s="76">
        <f>ROUND(SUM(S1792,V1792,Y1792:Z1792,BA1792:BB1792),2)</f>
        <v/>
      </c>
      <c r="AC1792" s="797" t="n"/>
      <c r="AD1792" s="192">
        <f t="array" ref="AD1792">IFERROR(ROUND((_xlfn.IFS(offer_sale_type="поставка",AB1792,offer_sale_type="транзит",S1792)*(1+AC1792))/E1792,2),0)</f>
        <v/>
      </c>
      <c r="AE1792" s="76">
        <f>AD1792*E1792</f>
        <v/>
      </c>
      <c r="AF1792" s="193">
        <f t="array" ref="AF1792">IFERROR(ROUND(_xlfn.IFS(offer_sale_type="поставка",AB1792,offer_sale_type="транзит",S1792)*AC1792,2),0)</f>
        <v/>
      </c>
      <c r="AG1792" s="192">
        <f>$BD1792*VLOOKUP($AG$3,$AF$4:$AG$7,2,FALSE)</f>
        <v/>
      </c>
      <c r="AH1792" s="76">
        <f>SUM(AE1792,AG1792,AI1792)*rate_forex_risk</f>
        <v/>
      </c>
      <c r="AI1792" s="193">
        <f>IF(OR(seller_region="TR",offer_sale_type="экспорт"),0,rate_fin_comm)*SUM(AZ1792,AZ1792*AW1792,T1792)</f>
        <v/>
      </c>
      <c r="AJ1792" s="118">
        <f>IFERROR(ROUND(SUM(AB1792,AF1792:AI1792)/E1792,2),0)</f>
        <v/>
      </c>
      <c r="AK1792" s="76">
        <f>AJ1792*E1792</f>
        <v/>
      </c>
      <c r="AL1792" s="174">
        <f>ROUND(IFERROR(AM1792*E1792,0),2)</f>
        <v/>
      </c>
      <c r="AM1792" s="175">
        <f>ROUND(AJ1792*(1+IF(offer_incoterms="DDP",IF((TODAY()+offer_turnaround_time)&gt;=helpsheet!$L$17,rate_vatRU_from_26,rate_vatRu_till_25),0)),2)</f>
        <v/>
      </c>
      <c r="AN1792" s="192">
        <f>AL1792-AK1792</f>
        <v/>
      </c>
      <c r="AO1792" s="76">
        <f>SUM(AY1792,Y1792:Z1792,T1792)*IF(AND(offer_incoterms="DDP",offer_sale_type&lt;&gt;"экспорт"),IF((TODAY()+offer_turnaround_time)&gt;=helpsheet!$L$17,rate_vatRU_from_26,rate_vatRu_till_25),0)</f>
        <v/>
      </c>
      <c r="AP1792" s="193">
        <f>AN1792-AO1792</f>
        <v/>
      </c>
      <c r="AQ1792" s="118">
        <f>IF(offer_sale_type="транзит",SUM(AF1792:AI1792,BA1792,BB1792),0)</f>
        <v/>
      </c>
      <c r="AR1792" s="82">
        <f>HYPERLINK("https://www.alta.ru/tnved/code/")&amp;W1792&amp;"/"</f>
        <v/>
      </c>
      <c r="AS1792" s="157" t="n"/>
      <c r="AT1792" s="162" t="n"/>
      <c r="AU1792" s="76">
        <f>IF(ISBLANK(AT1792),0,AJ1792-AT1792)</f>
        <v/>
      </c>
      <c r="AV1792" s="157" t="n"/>
      <c r="AW1792" s="75">
        <f>_xlfn.IFNA(VLOOKUP(L1792,list_vat[],3,FALSE),0)</f>
        <v/>
      </c>
      <c r="AX1792" s="76">
        <f>IFERROR(ROUND(S1792*(1+AW1792)/E1792,2),0)</f>
        <v/>
      </c>
      <c r="AY1792" s="76">
        <f>E1792*AX1792</f>
        <v/>
      </c>
      <c r="AZ1792" s="192">
        <f>S1792*(1+M1792)</f>
        <v/>
      </c>
      <c r="BA1792" s="76">
        <f>cost_fin_total*$BD1792</f>
        <v/>
      </c>
      <c r="BB1792" s="193">
        <f>credit_sales_interest*BD1792</f>
        <v/>
      </c>
      <c r="BC1792" s="102">
        <f>IFERROR(IF($I$13&gt;0,$I1792/$I$13,$S1792/$S$13),0)</f>
        <v/>
      </c>
      <c r="BD1792" s="102">
        <f>IFERROR($S1792/$S$13,0)</f>
        <v/>
      </c>
      <c r="BE1792" s="413" t="inlineStr">
        <is>
          <t>$</t>
        </is>
      </c>
    </row>
    <row r="1793" ht="12" customFormat="1" customHeight="1" s="65">
      <c r="A1793" s="43" t="n">
        <v>1778</v>
      </c>
      <c r="B1793" s="166" t="n"/>
      <c r="C1793" s="166" t="n"/>
      <c r="D1793" s="166" t="n"/>
      <c r="E1793" s="162" t="n"/>
      <c r="F1793" s="166" t="n"/>
      <c r="G1793" s="162" t="n"/>
      <c r="H1793" s="162" t="n"/>
      <c r="I1793" s="189">
        <f>E1793*G1793</f>
        <v/>
      </c>
      <c r="J1793" s="195" t="n"/>
      <c r="K1793" s="162" t="n"/>
      <c r="L1793" s="168" t="n"/>
      <c r="M1793" s="75">
        <f>_xlfn.XLOOKUP(L1793,list_vat[Страна],list_vat[Ставка НДС %],0,0)</f>
        <v/>
      </c>
      <c r="N1793" s="162">
        <f>IFERROR(IF(L1793="Китай",K1793,K1793/(1+M1793)),0)</f>
        <v/>
      </c>
      <c r="O1793" s="169" t="n"/>
      <c r="P1793" s="76">
        <f>N1793*(1-O1793)</f>
        <v/>
      </c>
      <c r="Q1793" s="162" t="n"/>
      <c r="R1793" s="162">
        <f>IF(ISBLANK(Q1793),"введи курс",P1793/Q1793)</f>
        <v/>
      </c>
      <c r="S1793" s="196">
        <f>IF(AND(ISNUMBER(E1793),ISNUMBER(Q1793)),E1793*R1793,0)</f>
        <v/>
      </c>
      <c r="T1793" s="192">
        <f>$BC1793*V$11</f>
        <v/>
      </c>
      <c r="U1793" s="76">
        <f>$BC1793*W$11</f>
        <v/>
      </c>
      <c r="V1793" s="193">
        <f>+SUM(T1793:U1793)</f>
        <v/>
      </c>
      <c r="W1793" s="191" t="n"/>
      <c r="X1793" s="170" t="n"/>
      <c r="Y1793" s="76">
        <f>ROUND(IF(offer_incoterms="DDP",X1793*(S1793*(1+AW1793)+T1793),0),2)</f>
        <v/>
      </c>
      <c r="Z1793" s="188" t="n"/>
      <c r="AA1793" s="192">
        <f>IFERROR(AB1793/E1793,0)</f>
        <v/>
      </c>
      <c r="AB1793" s="76">
        <f>ROUND(SUM(S1793,V1793,Y1793:Z1793,BA1793:BB1793),2)</f>
        <v/>
      </c>
      <c r="AC1793" s="797" t="n"/>
      <c r="AD1793" s="192">
        <f t="array" ref="AD1793">IFERROR(ROUND((_xlfn.IFS(offer_sale_type="поставка",AB1793,offer_sale_type="транзит",S1793)*(1+AC1793))/E1793,2),0)</f>
        <v/>
      </c>
      <c r="AE1793" s="76">
        <f>AD1793*E1793</f>
        <v/>
      </c>
      <c r="AF1793" s="193">
        <f t="array" ref="AF1793">IFERROR(ROUND(_xlfn.IFS(offer_sale_type="поставка",AB1793,offer_sale_type="транзит",S1793)*AC1793,2),0)</f>
        <v/>
      </c>
      <c r="AG1793" s="192">
        <f>$BD1793*VLOOKUP($AG$3,$AF$4:$AG$7,2,FALSE)</f>
        <v/>
      </c>
      <c r="AH1793" s="76">
        <f>SUM(AE1793,AG1793,AI1793)*rate_forex_risk</f>
        <v/>
      </c>
      <c r="AI1793" s="193">
        <f>IF(OR(seller_region="TR",offer_sale_type="экспорт"),0,rate_fin_comm)*SUM(AZ1793,AZ1793*AW1793,T1793)</f>
        <v/>
      </c>
      <c r="AJ1793" s="118">
        <f>IFERROR(ROUND(SUM(AB1793,AF1793:AI1793)/E1793,2),0)</f>
        <v/>
      </c>
      <c r="AK1793" s="76">
        <f>AJ1793*E1793</f>
        <v/>
      </c>
      <c r="AL1793" s="174">
        <f>ROUND(IFERROR(AM1793*E1793,0),2)</f>
        <v/>
      </c>
      <c r="AM1793" s="175">
        <f>ROUND(AJ1793*(1+IF(offer_incoterms="DDP",IF((TODAY()+offer_turnaround_time)&gt;=helpsheet!$L$17,rate_vatRU_from_26,rate_vatRu_till_25),0)),2)</f>
        <v/>
      </c>
      <c r="AN1793" s="192">
        <f>AL1793-AK1793</f>
        <v/>
      </c>
      <c r="AO1793" s="76">
        <f>SUM(AY1793,Y1793:Z1793,T1793)*IF(AND(offer_incoterms="DDP",offer_sale_type&lt;&gt;"экспорт"),IF((TODAY()+offer_turnaround_time)&gt;=helpsheet!$L$17,rate_vatRU_from_26,rate_vatRu_till_25),0)</f>
        <v/>
      </c>
      <c r="AP1793" s="193">
        <f>AN1793-AO1793</f>
        <v/>
      </c>
      <c r="AQ1793" s="118">
        <f>IF(offer_sale_type="транзит",SUM(AF1793:AI1793,BA1793,BB1793),0)</f>
        <v/>
      </c>
      <c r="AR1793" s="82">
        <f>HYPERLINK("https://www.alta.ru/tnved/code/")&amp;W1793&amp;"/"</f>
        <v/>
      </c>
      <c r="AS1793" s="157" t="n"/>
      <c r="AT1793" s="162" t="n"/>
      <c r="AU1793" s="76">
        <f>IF(ISBLANK(AT1793),0,AJ1793-AT1793)</f>
        <v/>
      </c>
      <c r="AV1793" s="157" t="n"/>
      <c r="AW1793" s="75">
        <f>_xlfn.IFNA(VLOOKUP(L1793,list_vat[],3,FALSE),0)</f>
        <v/>
      </c>
      <c r="AX1793" s="76">
        <f>IFERROR(ROUND(S1793*(1+AW1793)/E1793,2),0)</f>
        <v/>
      </c>
      <c r="AY1793" s="76">
        <f>E1793*AX1793</f>
        <v/>
      </c>
      <c r="AZ1793" s="192">
        <f>S1793*(1+M1793)</f>
        <v/>
      </c>
      <c r="BA1793" s="76">
        <f>cost_fin_total*$BD1793</f>
        <v/>
      </c>
      <c r="BB1793" s="193">
        <f>credit_sales_interest*BD1793</f>
        <v/>
      </c>
      <c r="BC1793" s="102">
        <f>IFERROR(IF($I$13&gt;0,$I1793/$I$13,$S1793/$S$13),0)</f>
        <v/>
      </c>
      <c r="BD1793" s="102">
        <f>IFERROR($S1793/$S$13,0)</f>
        <v/>
      </c>
      <c r="BE1793" s="413" t="inlineStr">
        <is>
          <t>$</t>
        </is>
      </c>
    </row>
    <row r="1794" ht="12" customFormat="1" customHeight="1" s="65">
      <c r="A1794" s="43" t="n">
        <v>1779</v>
      </c>
      <c r="B1794" s="166" t="n"/>
      <c r="C1794" s="166" t="n"/>
      <c r="D1794" s="166" t="n"/>
      <c r="E1794" s="162" t="n"/>
      <c r="F1794" s="166" t="n"/>
      <c r="G1794" s="162" t="n"/>
      <c r="H1794" s="162" t="n"/>
      <c r="I1794" s="189">
        <f>E1794*G1794</f>
        <v/>
      </c>
      <c r="J1794" s="195" t="n"/>
      <c r="K1794" s="162" t="n"/>
      <c r="L1794" s="168" t="n"/>
      <c r="M1794" s="75">
        <f>_xlfn.XLOOKUP(L1794,list_vat[Страна],list_vat[Ставка НДС %],0,0)</f>
        <v/>
      </c>
      <c r="N1794" s="162">
        <f>IFERROR(IF(L1794="Китай",K1794,K1794/(1+M1794)),0)</f>
        <v/>
      </c>
      <c r="O1794" s="169" t="n"/>
      <c r="P1794" s="76">
        <f>N1794*(1-O1794)</f>
        <v/>
      </c>
      <c r="Q1794" s="162" t="n"/>
      <c r="R1794" s="162">
        <f>IF(ISBLANK(Q1794),"введи курс",P1794/Q1794)</f>
        <v/>
      </c>
      <c r="S1794" s="196">
        <f>IF(AND(ISNUMBER(E1794),ISNUMBER(Q1794)),E1794*R1794,0)</f>
        <v/>
      </c>
      <c r="T1794" s="192">
        <f>$BC1794*V$11</f>
        <v/>
      </c>
      <c r="U1794" s="76">
        <f>$BC1794*W$11</f>
        <v/>
      </c>
      <c r="V1794" s="193">
        <f>+SUM(T1794:U1794)</f>
        <v/>
      </c>
      <c r="W1794" s="191" t="n"/>
      <c r="X1794" s="170" t="n"/>
      <c r="Y1794" s="76">
        <f>ROUND(IF(offer_incoterms="DDP",X1794*(S1794*(1+AW1794)+T1794),0),2)</f>
        <v/>
      </c>
      <c r="Z1794" s="188" t="n"/>
      <c r="AA1794" s="192">
        <f>IFERROR(AB1794/E1794,0)</f>
        <v/>
      </c>
      <c r="AB1794" s="76">
        <f>ROUND(SUM(S1794,V1794,Y1794:Z1794,BA1794:BB1794),2)</f>
        <v/>
      </c>
      <c r="AC1794" s="797" t="n"/>
      <c r="AD1794" s="192">
        <f t="array" ref="AD1794">IFERROR(ROUND((_xlfn.IFS(offer_sale_type="поставка",AB1794,offer_sale_type="транзит",S1794)*(1+AC1794))/E1794,2),0)</f>
        <v/>
      </c>
      <c r="AE1794" s="76">
        <f>AD1794*E1794</f>
        <v/>
      </c>
      <c r="AF1794" s="193">
        <f t="array" ref="AF1794">IFERROR(ROUND(_xlfn.IFS(offer_sale_type="поставка",AB1794,offer_sale_type="транзит",S1794)*AC1794,2),0)</f>
        <v/>
      </c>
      <c r="AG1794" s="192">
        <f>$BD1794*VLOOKUP($AG$3,$AF$4:$AG$7,2,FALSE)</f>
        <v/>
      </c>
      <c r="AH1794" s="76">
        <f>SUM(AE1794,AG1794,AI1794)*rate_forex_risk</f>
        <v/>
      </c>
      <c r="AI1794" s="193">
        <f>IF(OR(seller_region="TR",offer_sale_type="экспорт"),0,rate_fin_comm)*SUM(AZ1794,AZ1794*AW1794,T1794)</f>
        <v/>
      </c>
      <c r="AJ1794" s="118">
        <f>IFERROR(ROUND(SUM(AB1794,AF1794:AI1794)/E1794,2),0)</f>
        <v/>
      </c>
      <c r="AK1794" s="76">
        <f>AJ1794*E1794</f>
        <v/>
      </c>
      <c r="AL1794" s="174">
        <f>ROUND(IFERROR(AM1794*E1794,0),2)</f>
        <v/>
      </c>
      <c r="AM1794" s="175">
        <f>ROUND(AJ1794*(1+IF(offer_incoterms="DDP",IF((TODAY()+offer_turnaround_time)&gt;=helpsheet!$L$17,rate_vatRU_from_26,rate_vatRu_till_25),0)),2)</f>
        <v/>
      </c>
      <c r="AN1794" s="192">
        <f>AL1794-AK1794</f>
        <v/>
      </c>
      <c r="AO1794" s="76">
        <f>SUM(AY1794,Y1794:Z1794,T1794)*IF(AND(offer_incoterms="DDP",offer_sale_type&lt;&gt;"экспорт"),IF((TODAY()+offer_turnaround_time)&gt;=helpsheet!$L$17,rate_vatRU_from_26,rate_vatRu_till_25),0)</f>
        <v/>
      </c>
      <c r="AP1794" s="193">
        <f>AN1794-AO1794</f>
        <v/>
      </c>
      <c r="AQ1794" s="118">
        <f>IF(offer_sale_type="транзит",SUM(AF1794:AI1794,BA1794,BB1794),0)</f>
        <v/>
      </c>
      <c r="AR1794" s="82">
        <f>HYPERLINK("https://www.alta.ru/tnved/code/")&amp;W1794&amp;"/"</f>
        <v/>
      </c>
      <c r="AS1794" s="157" t="n"/>
      <c r="AT1794" s="162" t="n"/>
      <c r="AU1794" s="76">
        <f>IF(ISBLANK(AT1794),0,AJ1794-AT1794)</f>
        <v/>
      </c>
      <c r="AV1794" s="157" t="n"/>
      <c r="AW1794" s="75">
        <f>_xlfn.IFNA(VLOOKUP(L1794,list_vat[],3,FALSE),0)</f>
        <v/>
      </c>
      <c r="AX1794" s="76">
        <f>IFERROR(ROUND(S1794*(1+AW1794)/E1794,2),0)</f>
        <v/>
      </c>
      <c r="AY1794" s="76">
        <f>E1794*AX1794</f>
        <v/>
      </c>
      <c r="AZ1794" s="192">
        <f>S1794*(1+M1794)</f>
        <v/>
      </c>
      <c r="BA1794" s="76">
        <f>cost_fin_total*$BD1794</f>
        <v/>
      </c>
      <c r="BB1794" s="193">
        <f>credit_sales_interest*BD1794</f>
        <v/>
      </c>
      <c r="BC1794" s="102">
        <f>IFERROR(IF($I$13&gt;0,$I1794/$I$13,$S1794/$S$13),0)</f>
        <v/>
      </c>
      <c r="BD1794" s="102">
        <f>IFERROR($S1794/$S$13,0)</f>
        <v/>
      </c>
      <c r="BE1794" s="413" t="inlineStr">
        <is>
          <t>$</t>
        </is>
      </c>
    </row>
    <row r="1795" ht="12" customFormat="1" customHeight="1" s="65">
      <c r="A1795" s="43" t="n">
        <v>1780</v>
      </c>
      <c r="B1795" s="166" t="n"/>
      <c r="C1795" s="166" t="n"/>
      <c r="D1795" s="166" t="n"/>
      <c r="E1795" s="162" t="n"/>
      <c r="F1795" s="166" t="n"/>
      <c r="G1795" s="162" t="n"/>
      <c r="H1795" s="162" t="n"/>
      <c r="I1795" s="189">
        <f>E1795*G1795</f>
        <v/>
      </c>
      <c r="J1795" s="195" t="n"/>
      <c r="K1795" s="162" t="n"/>
      <c r="L1795" s="168" t="n"/>
      <c r="M1795" s="75">
        <f>_xlfn.XLOOKUP(L1795,list_vat[Страна],list_vat[Ставка НДС %],0,0)</f>
        <v/>
      </c>
      <c r="N1795" s="162">
        <f>IFERROR(IF(L1795="Китай",K1795,K1795/(1+M1795)),0)</f>
        <v/>
      </c>
      <c r="O1795" s="169" t="n"/>
      <c r="P1795" s="76">
        <f>N1795*(1-O1795)</f>
        <v/>
      </c>
      <c r="Q1795" s="162" t="n"/>
      <c r="R1795" s="162">
        <f>IF(ISBLANK(Q1795),"введи курс",P1795/Q1795)</f>
        <v/>
      </c>
      <c r="S1795" s="196">
        <f>IF(AND(ISNUMBER(E1795),ISNUMBER(Q1795)),E1795*R1795,0)</f>
        <v/>
      </c>
      <c r="T1795" s="192">
        <f>$BC1795*V$11</f>
        <v/>
      </c>
      <c r="U1795" s="76">
        <f>$BC1795*W$11</f>
        <v/>
      </c>
      <c r="V1795" s="193">
        <f>+SUM(T1795:U1795)</f>
        <v/>
      </c>
      <c r="W1795" s="191" t="n"/>
      <c r="X1795" s="170" t="n"/>
      <c r="Y1795" s="76">
        <f>ROUND(IF(offer_incoterms="DDP",X1795*(S1795*(1+AW1795)+T1795),0),2)</f>
        <v/>
      </c>
      <c r="Z1795" s="188" t="n"/>
      <c r="AA1795" s="192">
        <f>IFERROR(AB1795/E1795,0)</f>
        <v/>
      </c>
      <c r="AB1795" s="76">
        <f>ROUND(SUM(S1795,V1795,Y1795:Z1795,BA1795:BB1795),2)</f>
        <v/>
      </c>
      <c r="AC1795" s="797" t="n"/>
      <c r="AD1795" s="192">
        <f t="array" ref="AD1795">IFERROR(ROUND((_xlfn.IFS(offer_sale_type="поставка",AB1795,offer_sale_type="транзит",S1795)*(1+AC1795))/E1795,2),0)</f>
        <v/>
      </c>
      <c r="AE1795" s="76">
        <f>AD1795*E1795</f>
        <v/>
      </c>
      <c r="AF1795" s="193">
        <f t="array" ref="AF1795">IFERROR(ROUND(_xlfn.IFS(offer_sale_type="поставка",AB1795,offer_sale_type="транзит",S1795)*AC1795,2),0)</f>
        <v/>
      </c>
      <c r="AG1795" s="192">
        <f>$BD1795*VLOOKUP($AG$3,$AF$4:$AG$7,2,FALSE)</f>
        <v/>
      </c>
      <c r="AH1795" s="76">
        <f>SUM(AE1795,AG1795,AI1795)*rate_forex_risk</f>
        <v/>
      </c>
      <c r="AI1795" s="193">
        <f>IF(OR(seller_region="TR",offer_sale_type="экспорт"),0,rate_fin_comm)*SUM(AZ1795,AZ1795*AW1795,T1795)</f>
        <v/>
      </c>
      <c r="AJ1795" s="118">
        <f>IFERROR(ROUND(SUM(AB1795,AF1795:AI1795)/E1795,2),0)</f>
        <v/>
      </c>
      <c r="AK1795" s="76">
        <f>AJ1795*E1795</f>
        <v/>
      </c>
      <c r="AL1795" s="174">
        <f>ROUND(IFERROR(AM1795*E1795,0),2)</f>
        <v/>
      </c>
      <c r="AM1795" s="175">
        <f>ROUND(AJ1795*(1+IF(offer_incoterms="DDP",IF((TODAY()+offer_turnaround_time)&gt;=helpsheet!$L$17,rate_vatRU_from_26,rate_vatRu_till_25),0)),2)</f>
        <v/>
      </c>
      <c r="AN1795" s="192">
        <f>AL1795-AK1795</f>
        <v/>
      </c>
      <c r="AO1795" s="76">
        <f>SUM(AY1795,Y1795:Z1795,T1795)*IF(AND(offer_incoterms="DDP",offer_sale_type&lt;&gt;"экспорт"),IF((TODAY()+offer_turnaround_time)&gt;=helpsheet!$L$17,rate_vatRU_from_26,rate_vatRu_till_25),0)</f>
        <v/>
      </c>
      <c r="AP1795" s="193">
        <f>AN1795-AO1795</f>
        <v/>
      </c>
      <c r="AQ1795" s="118">
        <f>IF(offer_sale_type="транзит",SUM(AF1795:AI1795,BA1795,BB1795),0)</f>
        <v/>
      </c>
      <c r="AR1795" s="82">
        <f>HYPERLINK("https://www.alta.ru/tnved/code/")&amp;W1795&amp;"/"</f>
        <v/>
      </c>
      <c r="AS1795" s="157" t="n"/>
      <c r="AT1795" s="162" t="n"/>
      <c r="AU1795" s="76">
        <f>IF(ISBLANK(AT1795),0,AJ1795-AT1795)</f>
        <v/>
      </c>
      <c r="AV1795" s="157" t="n"/>
      <c r="AW1795" s="75">
        <f>_xlfn.IFNA(VLOOKUP(L1795,list_vat[],3,FALSE),0)</f>
        <v/>
      </c>
      <c r="AX1795" s="76">
        <f>IFERROR(ROUND(S1795*(1+AW1795)/E1795,2),0)</f>
        <v/>
      </c>
      <c r="AY1795" s="76">
        <f>E1795*AX1795</f>
        <v/>
      </c>
      <c r="AZ1795" s="192">
        <f>S1795*(1+M1795)</f>
        <v/>
      </c>
      <c r="BA1795" s="76">
        <f>cost_fin_total*$BD1795</f>
        <v/>
      </c>
      <c r="BB1795" s="193">
        <f>credit_sales_interest*BD1795</f>
        <v/>
      </c>
      <c r="BC1795" s="102">
        <f>IFERROR(IF($I$13&gt;0,$I1795/$I$13,$S1795/$S$13),0)</f>
        <v/>
      </c>
      <c r="BD1795" s="102">
        <f>IFERROR($S1795/$S$13,0)</f>
        <v/>
      </c>
      <c r="BE1795" s="413" t="inlineStr">
        <is>
          <t>$</t>
        </is>
      </c>
    </row>
    <row r="1796" ht="12" customFormat="1" customHeight="1" s="65">
      <c r="A1796" s="43" t="n">
        <v>1781</v>
      </c>
      <c r="B1796" s="166" t="n"/>
      <c r="C1796" s="166" t="n"/>
      <c r="D1796" s="166" t="n"/>
      <c r="E1796" s="162" t="n"/>
      <c r="F1796" s="166" t="n"/>
      <c r="G1796" s="162" t="n"/>
      <c r="H1796" s="162" t="n"/>
      <c r="I1796" s="189">
        <f>E1796*G1796</f>
        <v/>
      </c>
      <c r="J1796" s="195" t="n"/>
      <c r="K1796" s="162" t="n"/>
      <c r="L1796" s="168" t="n"/>
      <c r="M1796" s="75">
        <f>_xlfn.XLOOKUP(L1796,list_vat[Страна],list_vat[Ставка НДС %],0,0)</f>
        <v/>
      </c>
      <c r="N1796" s="162">
        <f>IFERROR(IF(L1796="Китай",K1796,K1796/(1+M1796)),0)</f>
        <v/>
      </c>
      <c r="O1796" s="169" t="n"/>
      <c r="P1796" s="76">
        <f>N1796*(1-O1796)</f>
        <v/>
      </c>
      <c r="Q1796" s="162" t="n"/>
      <c r="R1796" s="162">
        <f>IF(ISBLANK(Q1796),"введи курс",P1796/Q1796)</f>
        <v/>
      </c>
      <c r="S1796" s="196">
        <f>IF(AND(ISNUMBER(E1796),ISNUMBER(Q1796)),E1796*R1796,0)</f>
        <v/>
      </c>
      <c r="T1796" s="192">
        <f>$BC1796*V$11</f>
        <v/>
      </c>
      <c r="U1796" s="76">
        <f>$BC1796*W$11</f>
        <v/>
      </c>
      <c r="V1796" s="193">
        <f>+SUM(T1796:U1796)</f>
        <v/>
      </c>
      <c r="W1796" s="191" t="n"/>
      <c r="X1796" s="170" t="n"/>
      <c r="Y1796" s="76">
        <f>ROUND(IF(offer_incoterms="DDP",X1796*(S1796*(1+AW1796)+T1796),0),2)</f>
        <v/>
      </c>
      <c r="Z1796" s="188" t="n"/>
      <c r="AA1796" s="192">
        <f>IFERROR(AB1796/E1796,0)</f>
        <v/>
      </c>
      <c r="AB1796" s="76">
        <f>ROUND(SUM(S1796,V1796,Y1796:Z1796,BA1796:BB1796),2)</f>
        <v/>
      </c>
      <c r="AC1796" s="797" t="n"/>
      <c r="AD1796" s="192">
        <f t="array" ref="AD1796">IFERROR(ROUND((_xlfn.IFS(offer_sale_type="поставка",AB1796,offer_sale_type="транзит",S1796)*(1+AC1796))/E1796,2),0)</f>
        <v/>
      </c>
      <c r="AE1796" s="76">
        <f>AD1796*E1796</f>
        <v/>
      </c>
      <c r="AF1796" s="193">
        <f t="array" ref="AF1796">IFERROR(ROUND(_xlfn.IFS(offer_sale_type="поставка",AB1796,offer_sale_type="транзит",S1796)*AC1796,2),0)</f>
        <v/>
      </c>
      <c r="AG1796" s="192">
        <f>$BD1796*VLOOKUP($AG$3,$AF$4:$AG$7,2,FALSE)</f>
        <v/>
      </c>
      <c r="AH1796" s="76">
        <f>SUM(AE1796,AG1796,AI1796)*rate_forex_risk</f>
        <v/>
      </c>
      <c r="AI1796" s="193">
        <f>IF(OR(seller_region="TR",offer_sale_type="экспорт"),0,rate_fin_comm)*SUM(AZ1796,AZ1796*AW1796,T1796)</f>
        <v/>
      </c>
      <c r="AJ1796" s="118">
        <f>IFERROR(ROUND(SUM(AB1796,AF1796:AI1796)/E1796,2),0)</f>
        <v/>
      </c>
      <c r="AK1796" s="76">
        <f>AJ1796*E1796</f>
        <v/>
      </c>
      <c r="AL1796" s="174">
        <f>ROUND(IFERROR(AM1796*E1796,0),2)</f>
        <v/>
      </c>
      <c r="AM1796" s="175">
        <f>ROUND(AJ1796*(1+IF(offer_incoterms="DDP",IF((TODAY()+offer_turnaround_time)&gt;=helpsheet!$L$17,rate_vatRU_from_26,rate_vatRu_till_25),0)),2)</f>
        <v/>
      </c>
      <c r="AN1796" s="192">
        <f>AL1796-AK1796</f>
        <v/>
      </c>
      <c r="AO1796" s="76">
        <f>SUM(AY1796,Y1796:Z1796,T1796)*IF(AND(offer_incoterms="DDP",offer_sale_type&lt;&gt;"экспорт"),IF((TODAY()+offer_turnaround_time)&gt;=helpsheet!$L$17,rate_vatRU_from_26,rate_vatRu_till_25),0)</f>
        <v/>
      </c>
      <c r="AP1796" s="193">
        <f>AN1796-AO1796</f>
        <v/>
      </c>
      <c r="AQ1796" s="118">
        <f>IF(offer_sale_type="транзит",SUM(AF1796:AI1796,BA1796,BB1796),0)</f>
        <v/>
      </c>
      <c r="AR1796" s="82">
        <f>HYPERLINK("https://www.alta.ru/tnved/code/")&amp;W1796&amp;"/"</f>
        <v/>
      </c>
      <c r="AS1796" s="157" t="n"/>
      <c r="AT1796" s="162" t="n"/>
      <c r="AU1796" s="76">
        <f>IF(ISBLANK(AT1796),0,AJ1796-AT1796)</f>
        <v/>
      </c>
      <c r="AV1796" s="157" t="n"/>
      <c r="AW1796" s="75">
        <f>_xlfn.IFNA(VLOOKUP(L1796,list_vat[],3,FALSE),0)</f>
        <v/>
      </c>
      <c r="AX1796" s="76">
        <f>IFERROR(ROUND(S1796*(1+AW1796)/E1796,2),0)</f>
        <v/>
      </c>
      <c r="AY1796" s="76">
        <f>E1796*AX1796</f>
        <v/>
      </c>
      <c r="AZ1796" s="192">
        <f>S1796*(1+M1796)</f>
        <v/>
      </c>
      <c r="BA1796" s="76">
        <f>cost_fin_total*$BD1796</f>
        <v/>
      </c>
      <c r="BB1796" s="193">
        <f>credit_sales_interest*BD1796</f>
        <v/>
      </c>
      <c r="BC1796" s="102">
        <f>IFERROR(IF($I$13&gt;0,$I1796/$I$13,$S1796/$S$13),0)</f>
        <v/>
      </c>
      <c r="BD1796" s="102">
        <f>IFERROR($S1796/$S$13,0)</f>
        <v/>
      </c>
      <c r="BE1796" s="413" t="inlineStr">
        <is>
          <t>$</t>
        </is>
      </c>
    </row>
    <row r="1797" ht="12" customFormat="1" customHeight="1" s="65">
      <c r="A1797" s="43" t="n">
        <v>1782</v>
      </c>
      <c r="B1797" s="166" t="n"/>
      <c r="C1797" s="166" t="n"/>
      <c r="D1797" s="166" t="n"/>
      <c r="E1797" s="162" t="n"/>
      <c r="F1797" s="166" t="n"/>
      <c r="G1797" s="162" t="n"/>
      <c r="H1797" s="162" t="n"/>
      <c r="I1797" s="189">
        <f>E1797*G1797</f>
        <v/>
      </c>
      <c r="J1797" s="195" t="n"/>
      <c r="K1797" s="162" t="n"/>
      <c r="L1797" s="168" t="n"/>
      <c r="M1797" s="75">
        <f>_xlfn.XLOOKUP(L1797,list_vat[Страна],list_vat[Ставка НДС %],0,0)</f>
        <v/>
      </c>
      <c r="N1797" s="162">
        <f>IFERROR(IF(L1797="Китай",K1797,K1797/(1+M1797)),0)</f>
        <v/>
      </c>
      <c r="O1797" s="169" t="n"/>
      <c r="P1797" s="76">
        <f>N1797*(1-O1797)</f>
        <v/>
      </c>
      <c r="Q1797" s="162" t="n"/>
      <c r="R1797" s="162">
        <f>IF(ISBLANK(Q1797),"введи курс",P1797/Q1797)</f>
        <v/>
      </c>
      <c r="S1797" s="196">
        <f>IF(AND(ISNUMBER(E1797),ISNUMBER(Q1797)),E1797*R1797,0)</f>
        <v/>
      </c>
      <c r="T1797" s="192">
        <f>$BC1797*V$11</f>
        <v/>
      </c>
      <c r="U1797" s="76">
        <f>$BC1797*W$11</f>
        <v/>
      </c>
      <c r="V1797" s="193">
        <f>+SUM(T1797:U1797)</f>
        <v/>
      </c>
      <c r="W1797" s="191" t="n"/>
      <c r="X1797" s="170" t="n"/>
      <c r="Y1797" s="76">
        <f>ROUND(IF(offer_incoterms="DDP",X1797*(S1797*(1+AW1797)+T1797),0),2)</f>
        <v/>
      </c>
      <c r="Z1797" s="188" t="n"/>
      <c r="AA1797" s="192">
        <f>IFERROR(AB1797/E1797,0)</f>
        <v/>
      </c>
      <c r="AB1797" s="76">
        <f>ROUND(SUM(S1797,V1797,Y1797:Z1797,BA1797:BB1797),2)</f>
        <v/>
      </c>
      <c r="AC1797" s="797" t="n"/>
      <c r="AD1797" s="192">
        <f t="array" ref="AD1797">IFERROR(ROUND((_xlfn.IFS(offer_sale_type="поставка",AB1797,offer_sale_type="транзит",S1797)*(1+AC1797))/E1797,2),0)</f>
        <v/>
      </c>
      <c r="AE1797" s="76">
        <f>AD1797*E1797</f>
        <v/>
      </c>
      <c r="AF1797" s="193">
        <f t="array" ref="AF1797">IFERROR(ROUND(_xlfn.IFS(offer_sale_type="поставка",AB1797,offer_sale_type="транзит",S1797)*AC1797,2),0)</f>
        <v/>
      </c>
      <c r="AG1797" s="192">
        <f>$BD1797*VLOOKUP($AG$3,$AF$4:$AG$7,2,FALSE)</f>
        <v/>
      </c>
      <c r="AH1797" s="76">
        <f>SUM(AE1797,AG1797,AI1797)*rate_forex_risk</f>
        <v/>
      </c>
      <c r="AI1797" s="193">
        <f>IF(OR(seller_region="TR",offer_sale_type="экспорт"),0,rate_fin_comm)*SUM(AZ1797,AZ1797*AW1797,T1797)</f>
        <v/>
      </c>
      <c r="AJ1797" s="118">
        <f>IFERROR(ROUND(SUM(AB1797,AF1797:AI1797)/E1797,2),0)</f>
        <v/>
      </c>
      <c r="AK1797" s="76">
        <f>AJ1797*E1797</f>
        <v/>
      </c>
      <c r="AL1797" s="174">
        <f>ROUND(IFERROR(AM1797*E1797,0),2)</f>
        <v/>
      </c>
      <c r="AM1797" s="175">
        <f>ROUND(AJ1797*(1+IF(offer_incoterms="DDP",IF((TODAY()+offer_turnaround_time)&gt;=helpsheet!$L$17,rate_vatRU_from_26,rate_vatRu_till_25),0)),2)</f>
        <v/>
      </c>
      <c r="AN1797" s="192">
        <f>AL1797-AK1797</f>
        <v/>
      </c>
      <c r="AO1797" s="76">
        <f>SUM(AY1797,Y1797:Z1797,T1797)*IF(AND(offer_incoterms="DDP",offer_sale_type&lt;&gt;"экспорт"),IF((TODAY()+offer_turnaround_time)&gt;=helpsheet!$L$17,rate_vatRU_from_26,rate_vatRu_till_25),0)</f>
        <v/>
      </c>
      <c r="AP1797" s="193">
        <f>AN1797-AO1797</f>
        <v/>
      </c>
      <c r="AQ1797" s="118">
        <f>IF(offer_sale_type="транзит",SUM(AF1797:AI1797,BA1797,BB1797),0)</f>
        <v/>
      </c>
      <c r="AR1797" s="82">
        <f>HYPERLINK("https://www.alta.ru/tnved/code/")&amp;W1797&amp;"/"</f>
        <v/>
      </c>
      <c r="AS1797" s="157" t="n"/>
      <c r="AT1797" s="162" t="n"/>
      <c r="AU1797" s="76">
        <f>IF(ISBLANK(AT1797),0,AJ1797-AT1797)</f>
        <v/>
      </c>
      <c r="AV1797" s="157" t="n"/>
      <c r="AW1797" s="75">
        <f>_xlfn.IFNA(VLOOKUP(L1797,list_vat[],3,FALSE),0)</f>
        <v/>
      </c>
      <c r="AX1797" s="76">
        <f>IFERROR(ROUND(S1797*(1+AW1797)/E1797,2),0)</f>
        <v/>
      </c>
      <c r="AY1797" s="76">
        <f>E1797*AX1797</f>
        <v/>
      </c>
      <c r="AZ1797" s="192">
        <f>S1797*(1+M1797)</f>
        <v/>
      </c>
      <c r="BA1797" s="76">
        <f>cost_fin_total*$BD1797</f>
        <v/>
      </c>
      <c r="BB1797" s="193">
        <f>credit_sales_interest*BD1797</f>
        <v/>
      </c>
      <c r="BC1797" s="102">
        <f>IFERROR(IF($I$13&gt;0,$I1797/$I$13,$S1797/$S$13),0)</f>
        <v/>
      </c>
      <c r="BD1797" s="102">
        <f>IFERROR($S1797/$S$13,0)</f>
        <v/>
      </c>
      <c r="BE1797" s="413" t="inlineStr">
        <is>
          <t>$</t>
        </is>
      </c>
    </row>
    <row r="1798" ht="12" customFormat="1" customHeight="1" s="65">
      <c r="A1798" s="43" t="n">
        <v>1783</v>
      </c>
      <c r="B1798" s="166" t="n"/>
      <c r="C1798" s="166" t="n"/>
      <c r="D1798" s="166" t="n"/>
      <c r="E1798" s="162" t="n"/>
      <c r="F1798" s="166" t="n"/>
      <c r="G1798" s="162" t="n"/>
      <c r="H1798" s="162" t="n"/>
      <c r="I1798" s="189">
        <f>E1798*G1798</f>
        <v/>
      </c>
      <c r="J1798" s="195" t="n"/>
      <c r="K1798" s="162" t="n"/>
      <c r="L1798" s="168" t="n"/>
      <c r="M1798" s="75">
        <f>_xlfn.XLOOKUP(L1798,list_vat[Страна],list_vat[Ставка НДС %],0,0)</f>
        <v/>
      </c>
      <c r="N1798" s="162">
        <f>IFERROR(IF(L1798="Китай",K1798,K1798/(1+M1798)),0)</f>
        <v/>
      </c>
      <c r="O1798" s="169" t="n"/>
      <c r="P1798" s="76">
        <f>N1798*(1-O1798)</f>
        <v/>
      </c>
      <c r="Q1798" s="162" t="n"/>
      <c r="R1798" s="162">
        <f>IF(ISBLANK(Q1798),"введи курс",P1798/Q1798)</f>
        <v/>
      </c>
      <c r="S1798" s="196">
        <f>IF(AND(ISNUMBER(E1798),ISNUMBER(Q1798)),E1798*R1798,0)</f>
        <v/>
      </c>
      <c r="T1798" s="192">
        <f>$BC1798*V$11</f>
        <v/>
      </c>
      <c r="U1798" s="76">
        <f>$BC1798*W$11</f>
        <v/>
      </c>
      <c r="V1798" s="193">
        <f>+SUM(T1798:U1798)</f>
        <v/>
      </c>
      <c r="W1798" s="191" t="n"/>
      <c r="X1798" s="170" t="n"/>
      <c r="Y1798" s="76">
        <f>ROUND(IF(offer_incoterms="DDP",X1798*(S1798*(1+AW1798)+T1798),0),2)</f>
        <v/>
      </c>
      <c r="Z1798" s="188" t="n"/>
      <c r="AA1798" s="192">
        <f>IFERROR(AB1798/E1798,0)</f>
        <v/>
      </c>
      <c r="AB1798" s="76">
        <f>ROUND(SUM(S1798,V1798,Y1798:Z1798,BA1798:BB1798),2)</f>
        <v/>
      </c>
      <c r="AC1798" s="797" t="n"/>
      <c r="AD1798" s="192">
        <f t="array" ref="AD1798">IFERROR(ROUND((_xlfn.IFS(offer_sale_type="поставка",AB1798,offer_sale_type="транзит",S1798)*(1+AC1798))/E1798,2),0)</f>
        <v/>
      </c>
      <c r="AE1798" s="76">
        <f>AD1798*E1798</f>
        <v/>
      </c>
      <c r="AF1798" s="193">
        <f t="array" ref="AF1798">IFERROR(ROUND(_xlfn.IFS(offer_sale_type="поставка",AB1798,offer_sale_type="транзит",S1798)*AC1798,2),0)</f>
        <v/>
      </c>
      <c r="AG1798" s="192">
        <f>$BD1798*VLOOKUP($AG$3,$AF$4:$AG$7,2,FALSE)</f>
        <v/>
      </c>
      <c r="AH1798" s="76">
        <f>SUM(AE1798,AG1798,AI1798)*rate_forex_risk</f>
        <v/>
      </c>
      <c r="AI1798" s="193">
        <f>IF(OR(seller_region="TR",offer_sale_type="экспорт"),0,rate_fin_comm)*SUM(AZ1798,AZ1798*AW1798,T1798)</f>
        <v/>
      </c>
      <c r="AJ1798" s="118">
        <f>IFERROR(ROUND(SUM(AB1798,AF1798:AI1798)/E1798,2),0)</f>
        <v/>
      </c>
      <c r="AK1798" s="76">
        <f>AJ1798*E1798</f>
        <v/>
      </c>
      <c r="AL1798" s="174">
        <f>ROUND(IFERROR(AM1798*E1798,0),2)</f>
        <v/>
      </c>
      <c r="AM1798" s="175">
        <f>ROUND(AJ1798*(1+IF(offer_incoterms="DDP",IF((TODAY()+offer_turnaround_time)&gt;=helpsheet!$L$17,rate_vatRU_from_26,rate_vatRu_till_25),0)),2)</f>
        <v/>
      </c>
      <c r="AN1798" s="192">
        <f>AL1798-AK1798</f>
        <v/>
      </c>
      <c r="AO1798" s="76">
        <f>SUM(AY1798,Y1798:Z1798,T1798)*IF(AND(offer_incoterms="DDP",offer_sale_type&lt;&gt;"экспорт"),IF((TODAY()+offer_turnaround_time)&gt;=helpsheet!$L$17,rate_vatRU_from_26,rate_vatRu_till_25),0)</f>
        <v/>
      </c>
      <c r="AP1798" s="193">
        <f>AN1798-AO1798</f>
        <v/>
      </c>
      <c r="AQ1798" s="118">
        <f>IF(offer_sale_type="транзит",SUM(AF1798:AI1798,BA1798,BB1798),0)</f>
        <v/>
      </c>
      <c r="AR1798" s="82">
        <f>HYPERLINK("https://www.alta.ru/tnved/code/")&amp;W1798&amp;"/"</f>
        <v/>
      </c>
      <c r="AS1798" s="157" t="n"/>
      <c r="AT1798" s="162" t="n"/>
      <c r="AU1798" s="76">
        <f>IF(ISBLANK(AT1798),0,AJ1798-AT1798)</f>
        <v/>
      </c>
      <c r="AV1798" s="157" t="n"/>
      <c r="AW1798" s="75">
        <f>_xlfn.IFNA(VLOOKUP(L1798,list_vat[],3,FALSE),0)</f>
        <v/>
      </c>
      <c r="AX1798" s="76">
        <f>IFERROR(ROUND(S1798*(1+AW1798)/E1798,2),0)</f>
        <v/>
      </c>
      <c r="AY1798" s="76">
        <f>E1798*AX1798</f>
        <v/>
      </c>
      <c r="AZ1798" s="192">
        <f>S1798*(1+M1798)</f>
        <v/>
      </c>
      <c r="BA1798" s="76">
        <f>cost_fin_total*$BD1798</f>
        <v/>
      </c>
      <c r="BB1798" s="193">
        <f>credit_sales_interest*BD1798</f>
        <v/>
      </c>
      <c r="BC1798" s="102">
        <f>IFERROR(IF($I$13&gt;0,$I1798/$I$13,$S1798/$S$13),0)</f>
        <v/>
      </c>
      <c r="BD1798" s="102">
        <f>IFERROR($S1798/$S$13,0)</f>
        <v/>
      </c>
      <c r="BE1798" s="413" t="inlineStr">
        <is>
          <t>$</t>
        </is>
      </c>
    </row>
    <row r="1799" ht="12" customFormat="1" customHeight="1" s="65">
      <c r="A1799" s="43" t="n">
        <v>1784</v>
      </c>
      <c r="B1799" s="166" t="n"/>
      <c r="C1799" s="166" t="n"/>
      <c r="D1799" s="166" t="n"/>
      <c r="E1799" s="162" t="n"/>
      <c r="F1799" s="166" t="n"/>
      <c r="G1799" s="162" t="n"/>
      <c r="H1799" s="162" t="n"/>
      <c r="I1799" s="189">
        <f>E1799*G1799</f>
        <v/>
      </c>
      <c r="J1799" s="195" t="n"/>
      <c r="K1799" s="162" t="n"/>
      <c r="L1799" s="168" t="n"/>
      <c r="M1799" s="75">
        <f>_xlfn.XLOOKUP(L1799,list_vat[Страна],list_vat[Ставка НДС %],0,0)</f>
        <v/>
      </c>
      <c r="N1799" s="162">
        <f>IFERROR(IF(L1799="Китай",K1799,K1799/(1+M1799)),0)</f>
        <v/>
      </c>
      <c r="O1799" s="169" t="n"/>
      <c r="P1799" s="76">
        <f>N1799*(1-O1799)</f>
        <v/>
      </c>
      <c r="Q1799" s="162" t="n"/>
      <c r="R1799" s="162">
        <f>IF(ISBLANK(Q1799),"введи курс",P1799/Q1799)</f>
        <v/>
      </c>
      <c r="S1799" s="196">
        <f>IF(AND(ISNUMBER(E1799),ISNUMBER(Q1799)),E1799*R1799,0)</f>
        <v/>
      </c>
      <c r="T1799" s="192">
        <f>$BC1799*V$11</f>
        <v/>
      </c>
      <c r="U1799" s="76">
        <f>$BC1799*W$11</f>
        <v/>
      </c>
      <c r="V1799" s="193">
        <f>+SUM(T1799:U1799)</f>
        <v/>
      </c>
      <c r="W1799" s="191" t="n"/>
      <c r="X1799" s="170" t="n"/>
      <c r="Y1799" s="76">
        <f>ROUND(IF(offer_incoterms="DDP",X1799*(S1799*(1+AW1799)+T1799),0),2)</f>
        <v/>
      </c>
      <c r="Z1799" s="188" t="n"/>
      <c r="AA1799" s="192">
        <f>IFERROR(AB1799/E1799,0)</f>
        <v/>
      </c>
      <c r="AB1799" s="76">
        <f>ROUND(SUM(S1799,V1799,Y1799:Z1799,BA1799:BB1799),2)</f>
        <v/>
      </c>
      <c r="AC1799" s="797" t="n"/>
      <c r="AD1799" s="192">
        <f t="array" ref="AD1799">IFERROR(ROUND((_xlfn.IFS(offer_sale_type="поставка",AB1799,offer_sale_type="транзит",S1799)*(1+AC1799))/E1799,2),0)</f>
        <v/>
      </c>
      <c r="AE1799" s="76">
        <f>AD1799*E1799</f>
        <v/>
      </c>
      <c r="AF1799" s="193">
        <f t="array" ref="AF1799">IFERROR(ROUND(_xlfn.IFS(offer_sale_type="поставка",AB1799,offer_sale_type="транзит",S1799)*AC1799,2),0)</f>
        <v/>
      </c>
      <c r="AG1799" s="192">
        <f>$BD1799*VLOOKUP($AG$3,$AF$4:$AG$7,2,FALSE)</f>
        <v/>
      </c>
      <c r="AH1799" s="76">
        <f>SUM(AE1799,AG1799,AI1799)*rate_forex_risk</f>
        <v/>
      </c>
      <c r="AI1799" s="193">
        <f>IF(OR(seller_region="TR",offer_sale_type="экспорт"),0,rate_fin_comm)*SUM(AZ1799,AZ1799*AW1799,T1799)</f>
        <v/>
      </c>
      <c r="AJ1799" s="118">
        <f>IFERROR(ROUND(SUM(AB1799,AF1799:AI1799)/E1799,2),0)</f>
        <v/>
      </c>
      <c r="AK1799" s="76">
        <f>AJ1799*E1799</f>
        <v/>
      </c>
      <c r="AL1799" s="174">
        <f>ROUND(IFERROR(AM1799*E1799,0),2)</f>
        <v/>
      </c>
      <c r="AM1799" s="175">
        <f>ROUND(AJ1799*(1+IF(offer_incoterms="DDP",IF((TODAY()+offer_turnaround_time)&gt;=helpsheet!$L$17,rate_vatRU_from_26,rate_vatRu_till_25),0)),2)</f>
        <v/>
      </c>
      <c r="AN1799" s="192">
        <f>AL1799-AK1799</f>
        <v/>
      </c>
      <c r="AO1799" s="76">
        <f>SUM(AY1799,Y1799:Z1799,T1799)*IF(AND(offer_incoterms="DDP",offer_sale_type&lt;&gt;"экспорт"),IF((TODAY()+offer_turnaround_time)&gt;=helpsheet!$L$17,rate_vatRU_from_26,rate_vatRu_till_25),0)</f>
        <v/>
      </c>
      <c r="AP1799" s="193">
        <f>AN1799-AO1799</f>
        <v/>
      </c>
      <c r="AQ1799" s="118">
        <f>IF(offer_sale_type="транзит",SUM(AF1799:AI1799,BA1799,BB1799),0)</f>
        <v/>
      </c>
      <c r="AR1799" s="82">
        <f>HYPERLINK("https://www.alta.ru/tnved/code/")&amp;W1799&amp;"/"</f>
        <v/>
      </c>
      <c r="AS1799" s="157" t="n"/>
      <c r="AT1799" s="162" t="n"/>
      <c r="AU1799" s="76">
        <f>IF(ISBLANK(AT1799),0,AJ1799-AT1799)</f>
        <v/>
      </c>
      <c r="AV1799" s="157" t="n"/>
      <c r="AW1799" s="75">
        <f>_xlfn.IFNA(VLOOKUP(L1799,list_vat[],3,FALSE),0)</f>
        <v/>
      </c>
      <c r="AX1799" s="76">
        <f>IFERROR(ROUND(S1799*(1+AW1799)/E1799,2),0)</f>
        <v/>
      </c>
      <c r="AY1799" s="76">
        <f>E1799*AX1799</f>
        <v/>
      </c>
      <c r="AZ1799" s="192">
        <f>S1799*(1+M1799)</f>
        <v/>
      </c>
      <c r="BA1799" s="76">
        <f>cost_fin_total*$BD1799</f>
        <v/>
      </c>
      <c r="BB1799" s="193">
        <f>credit_sales_interest*BD1799</f>
        <v/>
      </c>
      <c r="BC1799" s="102">
        <f>IFERROR(IF($I$13&gt;0,$I1799/$I$13,$S1799/$S$13),0)</f>
        <v/>
      </c>
      <c r="BD1799" s="102">
        <f>IFERROR($S1799/$S$13,0)</f>
        <v/>
      </c>
      <c r="BE1799" s="413" t="inlineStr">
        <is>
          <t>$</t>
        </is>
      </c>
    </row>
    <row r="1800" ht="12" customFormat="1" customHeight="1" s="65">
      <c r="A1800" s="43" t="n">
        <v>1785</v>
      </c>
      <c r="B1800" s="166" t="n"/>
      <c r="C1800" s="166" t="n"/>
      <c r="D1800" s="166" t="n"/>
      <c r="E1800" s="162" t="n"/>
      <c r="F1800" s="166" t="n"/>
      <c r="G1800" s="162" t="n"/>
      <c r="H1800" s="162" t="n"/>
      <c r="I1800" s="189">
        <f>E1800*G1800</f>
        <v/>
      </c>
      <c r="J1800" s="195" t="n"/>
      <c r="K1800" s="162" t="n"/>
      <c r="L1800" s="168" t="n"/>
      <c r="M1800" s="75">
        <f>_xlfn.XLOOKUP(L1800,list_vat[Страна],list_vat[Ставка НДС %],0,0)</f>
        <v/>
      </c>
      <c r="N1800" s="162">
        <f>IFERROR(IF(L1800="Китай",K1800,K1800/(1+M1800)),0)</f>
        <v/>
      </c>
      <c r="O1800" s="169" t="n"/>
      <c r="P1800" s="76">
        <f>N1800*(1-O1800)</f>
        <v/>
      </c>
      <c r="Q1800" s="162" t="n"/>
      <c r="R1800" s="162">
        <f>IF(ISBLANK(Q1800),"введи курс",P1800/Q1800)</f>
        <v/>
      </c>
      <c r="S1800" s="196">
        <f>IF(AND(ISNUMBER(E1800),ISNUMBER(Q1800)),E1800*R1800,0)</f>
        <v/>
      </c>
      <c r="T1800" s="192">
        <f>$BC1800*V$11</f>
        <v/>
      </c>
      <c r="U1800" s="76">
        <f>$BC1800*W$11</f>
        <v/>
      </c>
      <c r="V1800" s="193">
        <f>+SUM(T1800:U1800)</f>
        <v/>
      </c>
      <c r="W1800" s="191" t="n"/>
      <c r="X1800" s="170" t="n"/>
      <c r="Y1800" s="76">
        <f>ROUND(IF(offer_incoterms="DDP",X1800*(S1800*(1+AW1800)+T1800),0),2)</f>
        <v/>
      </c>
      <c r="Z1800" s="188" t="n"/>
      <c r="AA1800" s="192">
        <f>IFERROR(AB1800/E1800,0)</f>
        <v/>
      </c>
      <c r="AB1800" s="76">
        <f>ROUND(SUM(S1800,V1800,Y1800:Z1800,BA1800:BB1800),2)</f>
        <v/>
      </c>
      <c r="AC1800" s="797" t="n"/>
      <c r="AD1800" s="192">
        <f t="array" ref="AD1800">IFERROR(ROUND((_xlfn.IFS(offer_sale_type="поставка",AB1800,offer_sale_type="транзит",S1800)*(1+AC1800))/E1800,2),0)</f>
        <v/>
      </c>
      <c r="AE1800" s="76">
        <f>AD1800*E1800</f>
        <v/>
      </c>
      <c r="AF1800" s="193">
        <f t="array" ref="AF1800">IFERROR(ROUND(_xlfn.IFS(offer_sale_type="поставка",AB1800,offer_sale_type="транзит",S1800)*AC1800,2),0)</f>
        <v/>
      </c>
      <c r="AG1800" s="192">
        <f>$BD1800*VLOOKUP($AG$3,$AF$4:$AG$7,2,FALSE)</f>
        <v/>
      </c>
      <c r="AH1800" s="76">
        <f>SUM(AE1800,AG1800,AI1800)*rate_forex_risk</f>
        <v/>
      </c>
      <c r="AI1800" s="193">
        <f>IF(OR(seller_region="TR",offer_sale_type="экспорт"),0,rate_fin_comm)*SUM(AZ1800,AZ1800*AW1800,T1800)</f>
        <v/>
      </c>
      <c r="AJ1800" s="118">
        <f>IFERROR(ROUND(SUM(AB1800,AF1800:AI1800)/E1800,2),0)</f>
        <v/>
      </c>
      <c r="AK1800" s="76">
        <f>AJ1800*E1800</f>
        <v/>
      </c>
      <c r="AL1800" s="174">
        <f>ROUND(IFERROR(AM1800*E1800,0),2)</f>
        <v/>
      </c>
      <c r="AM1800" s="175">
        <f>ROUND(AJ1800*(1+IF(offer_incoterms="DDP",IF((TODAY()+offer_turnaround_time)&gt;=helpsheet!$L$17,rate_vatRU_from_26,rate_vatRu_till_25),0)),2)</f>
        <v/>
      </c>
      <c r="AN1800" s="192">
        <f>AL1800-AK1800</f>
        <v/>
      </c>
      <c r="AO1800" s="76">
        <f>SUM(AY1800,Y1800:Z1800,T1800)*IF(AND(offer_incoterms="DDP",offer_sale_type&lt;&gt;"экспорт"),IF((TODAY()+offer_turnaround_time)&gt;=helpsheet!$L$17,rate_vatRU_from_26,rate_vatRu_till_25),0)</f>
        <v/>
      </c>
      <c r="AP1800" s="193">
        <f>AN1800-AO1800</f>
        <v/>
      </c>
      <c r="AQ1800" s="118">
        <f>IF(offer_sale_type="транзит",SUM(AF1800:AI1800,BA1800,BB1800),0)</f>
        <v/>
      </c>
      <c r="AR1800" s="82">
        <f>HYPERLINK("https://www.alta.ru/tnved/code/")&amp;W1800&amp;"/"</f>
        <v/>
      </c>
      <c r="AS1800" s="157" t="n"/>
      <c r="AT1800" s="162" t="n"/>
      <c r="AU1800" s="76">
        <f>IF(ISBLANK(AT1800),0,AJ1800-AT1800)</f>
        <v/>
      </c>
      <c r="AV1800" s="157" t="n"/>
      <c r="AW1800" s="75">
        <f>_xlfn.IFNA(VLOOKUP(L1800,list_vat[],3,FALSE),0)</f>
        <v/>
      </c>
      <c r="AX1800" s="76">
        <f>IFERROR(ROUND(S1800*(1+AW1800)/E1800,2),0)</f>
        <v/>
      </c>
      <c r="AY1800" s="76">
        <f>E1800*AX1800</f>
        <v/>
      </c>
      <c r="AZ1800" s="192">
        <f>S1800*(1+M1800)</f>
        <v/>
      </c>
      <c r="BA1800" s="76">
        <f>cost_fin_total*$BD1800</f>
        <v/>
      </c>
      <c r="BB1800" s="193">
        <f>credit_sales_interest*BD1800</f>
        <v/>
      </c>
      <c r="BC1800" s="102">
        <f>IFERROR(IF($I$13&gt;0,$I1800/$I$13,$S1800/$S$13),0)</f>
        <v/>
      </c>
      <c r="BD1800" s="102">
        <f>IFERROR($S1800/$S$13,0)</f>
        <v/>
      </c>
      <c r="BE1800" s="413" t="inlineStr">
        <is>
          <t>$</t>
        </is>
      </c>
    </row>
    <row r="1801" ht="12" customFormat="1" customHeight="1" s="65">
      <c r="A1801" s="43" t="n">
        <v>1786</v>
      </c>
      <c r="B1801" s="166" t="n"/>
      <c r="C1801" s="166" t="n"/>
      <c r="D1801" s="166" t="n"/>
      <c r="E1801" s="162" t="n"/>
      <c r="F1801" s="166" t="n"/>
      <c r="G1801" s="162" t="n"/>
      <c r="H1801" s="162" t="n"/>
      <c r="I1801" s="189">
        <f>E1801*G1801</f>
        <v/>
      </c>
      <c r="J1801" s="195" t="n"/>
      <c r="K1801" s="162" t="n"/>
      <c r="L1801" s="168" t="n"/>
      <c r="M1801" s="75">
        <f>_xlfn.XLOOKUP(L1801,list_vat[Страна],list_vat[Ставка НДС %],0,0)</f>
        <v/>
      </c>
      <c r="N1801" s="162">
        <f>IFERROR(IF(L1801="Китай",K1801,K1801/(1+M1801)),0)</f>
        <v/>
      </c>
      <c r="O1801" s="169" t="n"/>
      <c r="P1801" s="76">
        <f>N1801*(1-O1801)</f>
        <v/>
      </c>
      <c r="Q1801" s="162" t="n"/>
      <c r="R1801" s="162">
        <f>IF(ISBLANK(Q1801),"введи курс",P1801/Q1801)</f>
        <v/>
      </c>
      <c r="S1801" s="196">
        <f>IF(AND(ISNUMBER(E1801),ISNUMBER(Q1801)),E1801*R1801,0)</f>
        <v/>
      </c>
      <c r="T1801" s="192">
        <f>$BC1801*V$11</f>
        <v/>
      </c>
      <c r="U1801" s="76">
        <f>$BC1801*W$11</f>
        <v/>
      </c>
      <c r="V1801" s="193">
        <f>+SUM(T1801:U1801)</f>
        <v/>
      </c>
      <c r="W1801" s="191" t="n"/>
      <c r="X1801" s="170" t="n"/>
      <c r="Y1801" s="76">
        <f>ROUND(IF(offer_incoterms="DDP",X1801*(S1801*(1+AW1801)+T1801),0),2)</f>
        <v/>
      </c>
      <c r="Z1801" s="188" t="n"/>
      <c r="AA1801" s="192">
        <f>IFERROR(AB1801/E1801,0)</f>
        <v/>
      </c>
      <c r="AB1801" s="76">
        <f>ROUND(SUM(S1801,V1801,Y1801:Z1801,BA1801:BB1801),2)</f>
        <v/>
      </c>
      <c r="AC1801" s="797" t="n"/>
      <c r="AD1801" s="192">
        <f t="array" ref="AD1801">IFERROR(ROUND((_xlfn.IFS(offer_sale_type="поставка",AB1801,offer_sale_type="транзит",S1801)*(1+AC1801))/E1801,2),0)</f>
        <v/>
      </c>
      <c r="AE1801" s="76">
        <f>AD1801*E1801</f>
        <v/>
      </c>
      <c r="AF1801" s="193">
        <f t="array" ref="AF1801">IFERROR(ROUND(_xlfn.IFS(offer_sale_type="поставка",AB1801,offer_sale_type="транзит",S1801)*AC1801,2),0)</f>
        <v/>
      </c>
      <c r="AG1801" s="192">
        <f>$BD1801*VLOOKUP($AG$3,$AF$4:$AG$7,2,FALSE)</f>
        <v/>
      </c>
      <c r="AH1801" s="76">
        <f>SUM(AE1801,AG1801,AI1801)*rate_forex_risk</f>
        <v/>
      </c>
      <c r="AI1801" s="193">
        <f>IF(OR(seller_region="TR",offer_sale_type="экспорт"),0,rate_fin_comm)*SUM(AZ1801,AZ1801*AW1801,T1801)</f>
        <v/>
      </c>
      <c r="AJ1801" s="118">
        <f>IFERROR(ROUND(SUM(AB1801,AF1801:AI1801)/E1801,2),0)</f>
        <v/>
      </c>
      <c r="AK1801" s="76">
        <f>AJ1801*E1801</f>
        <v/>
      </c>
      <c r="AL1801" s="174">
        <f>ROUND(IFERROR(AM1801*E1801,0),2)</f>
        <v/>
      </c>
      <c r="AM1801" s="175">
        <f>ROUND(AJ1801*(1+IF(offer_incoterms="DDP",IF((TODAY()+offer_turnaround_time)&gt;=helpsheet!$L$17,rate_vatRU_from_26,rate_vatRu_till_25),0)),2)</f>
        <v/>
      </c>
      <c r="AN1801" s="192">
        <f>AL1801-AK1801</f>
        <v/>
      </c>
      <c r="AO1801" s="76">
        <f>SUM(AY1801,Y1801:Z1801,T1801)*IF(AND(offer_incoterms="DDP",offer_sale_type&lt;&gt;"экспорт"),IF((TODAY()+offer_turnaround_time)&gt;=helpsheet!$L$17,rate_vatRU_from_26,rate_vatRu_till_25),0)</f>
        <v/>
      </c>
      <c r="AP1801" s="193">
        <f>AN1801-AO1801</f>
        <v/>
      </c>
      <c r="AQ1801" s="118">
        <f>IF(offer_sale_type="транзит",SUM(AF1801:AI1801,BA1801,BB1801),0)</f>
        <v/>
      </c>
      <c r="AR1801" s="82">
        <f>HYPERLINK("https://www.alta.ru/tnved/code/")&amp;W1801&amp;"/"</f>
        <v/>
      </c>
      <c r="AS1801" s="157" t="n"/>
      <c r="AT1801" s="162" t="n"/>
      <c r="AU1801" s="76">
        <f>IF(ISBLANK(AT1801),0,AJ1801-AT1801)</f>
        <v/>
      </c>
      <c r="AV1801" s="157" t="n"/>
      <c r="AW1801" s="75">
        <f>_xlfn.IFNA(VLOOKUP(L1801,list_vat[],3,FALSE),0)</f>
        <v/>
      </c>
      <c r="AX1801" s="76">
        <f>IFERROR(ROUND(S1801*(1+AW1801)/E1801,2),0)</f>
        <v/>
      </c>
      <c r="AY1801" s="76">
        <f>E1801*AX1801</f>
        <v/>
      </c>
      <c r="AZ1801" s="192">
        <f>S1801*(1+M1801)</f>
        <v/>
      </c>
      <c r="BA1801" s="76">
        <f>cost_fin_total*$BD1801</f>
        <v/>
      </c>
      <c r="BB1801" s="193">
        <f>credit_sales_interest*BD1801</f>
        <v/>
      </c>
      <c r="BC1801" s="102">
        <f>IFERROR(IF($I$13&gt;0,$I1801/$I$13,$S1801/$S$13),0)</f>
        <v/>
      </c>
      <c r="BD1801" s="102">
        <f>IFERROR($S1801/$S$13,0)</f>
        <v/>
      </c>
      <c r="BE1801" s="413" t="inlineStr">
        <is>
          <t>$</t>
        </is>
      </c>
    </row>
    <row r="1802" ht="12" customFormat="1" customHeight="1" s="65">
      <c r="A1802" s="43" t="n">
        <v>1787</v>
      </c>
      <c r="B1802" s="166" t="n"/>
      <c r="C1802" s="166" t="n"/>
      <c r="D1802" s="166" t="n"/>
      <c r="E1802" s="162" t="n"/>
      <c r="F1802" s="166" t="n"/>
      <c r="G1802" s="162" t="n"/>
      <c r="H1802" s="162" t="n"/>
      <c r="I1802" s="189">
        <f>E1802*G1802</f>
        <v/>
      </c>
      <c r="J1802" s="195" t="n"/>
      <c r="K1802" s="162" t="n"/>
      <c r="L1802" s="168" t="n"/>
      <c r="M1802" s="75">
        <f>_xlfn.XLOOKUP(L1802,list_vat[Страна],list_vat[Ставка НДС %],0,0)</f>
        <v/>
      </c>
      <c r="N1802" s="162">
        <f>IFERROR(IF(L1802="Китай",K1802,K1802/(1+M1802)),0)</f>
        <v/>
      </c>
      <c r="O1802" s="169" t="n"/>
      <c r="P1802" s="76">
        <f>N1802*(1-O1802)</f>
        <v/>
      </c>
      <c r="Q1802" s="162" t="n"/>
      <c r="R1802" s="162">
        <f>IF(ISBLANK(Q1802),"введи курс",P1802/Q1802)</f>
        <v/>
      </c>
      <c r="S1802" s="196">
        <f>IF(AND(ISNUMBER(E1802),ISNUMBER(Q1802)),E1802*R1802,0)</f>
        <v/>
      </c>
      <c r="T1802" s="192">
        <f>$BC1802*V$11</f>
        <v/>
      </c>
      <c r="U1802" s="76">
        <f>$BC1802*W$11</f>
        <v/>
      </c>
      <c r="V1802" s="193">
        <f>+SUM(T1802:U1802)</f>
        <v/>
      </c>
      <c r="W1802" s="191" t="n"/>
      <c r="X1802" s="170" t="n"/>
      <c r="Y1802" s="76">
        <f>ROUND(IF(offer_incoterms="DDP",X1802*(S1802*(1+AW1802)+T1802),0),2)</f>
        <v/>
      </c>
      <c r="Z1802" s="188" t="n"/>
      <c r="AA1802" s="192">
        <f>IFERROR(AB1802/E1802,0)</f>
        <v/>
      </c>
      <c r="AB1802" s="76">
        <f>ROUND(SUM(S1802,V1802,Y1802:Z1802,BA1802:BB1802),2)</f>
        <v/>
      </c>
      <c r="AC1802" s="797" t="n"/>
      <c r="AD1802" s="192">
        <f t="array" ref="AD1802">IFERROR(ROUND((_xlfn.IFS(offer_sale_type="поставка",AB1802,offer_sale_type="транзит",S1802)*(1+AC1802))/E1802,2),0)</f>
        <v/>
      </c>
      <c r="AE1802" s="76">
        <f>AD1802*E1802</f>
        <v/>
      </c>
      <c r="AF1802" s="193">
        <f t="array" ref="AF1802">IFERROR(ROUND(_xlfn.IFS(offer_sale_type="поставка",AB1802,offer_sale_type="транзит",S1802)*AC1802,2),0)</f>
        <v/>
      </c>
      <c r="AG1802" s="192">
        <f>$BD1802*VLOOKUP($AG$3,$AF$4:$AG$7,2,FALSE)</f>
        <v/>
      </c>
      <c r="AH1802" s="76">
        <f>SUM(AE1802,AG1802,AI1802)*rate_forex_risk</f>
        <v/>
      </c>
      <c r="AI1802" s="193">
        <f>IF(OR(seller_region="TR",offer_sale_type="экспорт"),0,rate_fin_comm)*SUM(AZ1802,AZ1802*AW1802,T1802)</f>
        <v/>
      </c>
      <c r="AJ1802" s="118">
        <f>IFERROR(ROUND(SUM(AB1802,AF1802:AI1802)/E1802,2),0)</f>
        <v/>
      </c>
      <c r="AK1802" s="76">
        <f>AJ1802*E1802</f>
        <v/>
      </c>
      <c r="AL1802" s="174">
        <f>ROUND(IFERROR(AM1802*E1802,0),2)</f>
        <v/>
      </c>
      <c r="AM1802" s="175">
        <f>ROUND(AJ1802*(1+IF(offer_incoterms="DDP",IF((TODAY()+offer_turnaround_time)&gt;=helpsheet!$L$17,rate_vatRU_from_26,rate_vatRu_till_25),0)),2)</f>
        <v/>
      </c>
      <c r="AN1802" s="192">
        <f>AL1802-AK1802</f>
        <v/>
      </c>
      <c r="AO1802" s="76">
        <f>SUM(AY1802,Y1802:Z1802,T1802)*IF(AND(offer_incoterms="DDP",offer_sale_type&lt;&gt;"экспорт"),IF((TODAY()+offer_turnaround_time)&gt;=helpsheet!$L$17,rate_vatRU_from_26,rate_vatRu_till_25),0)</f>
        <v/>
      </c>
      <c r="AP1802" s="193">
        <f>AN1802-AO1802</f>
        <v/>
      </c>
      <c r="AQ1802" s="118">
        <f>IF(offer_sale_type="транзит",SUM(AF1802:AI1802,BA1802,BB1802),0)</f>
        <v/>
      </c>
      <c r="AR1802" s="82">
        <f>HYPERLINK("https://www.alta.ru/tnved/code/")&amp;W1802&amp;"/"</f>
        <v/>
      </c>
      <c r="AS1802" s="157" t="n"/>
      <c r="AT1802" s="162" t="n"/>
      <c r="AU1802" s="76">
        <f>IF(ISBLANK(AT1802),0,AJ1802-AT1802)</f>
        <v/>
      </c>
      <c r="AV1802" s="157" t="n"/>
      <c r="AW1802" s="75">
        <f>_xlfn.IFNA(VLOOKUP(L1802,list_vat[],3,FALSE),0)</f>
        <v/>
      </c>
      <c r="AX1802" s="76">
        <f>IFERROR(ROUND(S1802*(1+AW1802)/E1802,2),0)</f>
        <v/>
      </c>
      <c r="AY1802" s="76">
        <f>E1802*AX1802</f>
        <v/>
      </c>
      <c r="AZ1802" s="192">
        <f>S1802*(1+M1802)</f>
        <v/>
      </c>
      <c r="BA1802" s="76">
        <f>cost_fin_total*$BD1802</f>
        <v/>
      </c>
      <c r="BB1802" s="193">
        <f>credit_sales_interest*BD1802</f>
        <v/>
      </c>
      <c r="BC1802" s="102">
        <f>IFERROR(IF($I$13&gt;0,$I1802/$I$13,$S1802/$S$13),0)</f>
        <v/>
      </c>
      <c r="BD1802" s="102">
        <f>IFERROR($S1802/$S$13,0)</f>
        <v/>
      </c>
      <c r="BE1802" s="413" t="inlineStr">
        <is>
          <t>$</t>
        </is>
      </c>
    </row>
    <row r="1803" ht="12" customFormat="1" customHeight="1" s="65">
      <c r="A1803" s="43" t="n">
        <v>1788</v>
      </c>
      <c r="B1803" s="166" t="n"/>
      <c r="C1803" s="166" t="n"/>
      <c r="D1803" s="166" t="n"/>
      <c r="E1803" s="162" t="n"/>
      <c r="F1803" s="166" t="n"/>
      <c r="G1803" s="162" t="n"/>
      <c r="H1803" s="162" t="n"/>
      <c r="I1803" s="189">
        <f>E1803*G1803</f>
        <v/>
      </c>
      <c r="J1803" s="195" t="n"/>
      <c r="K1803" s="162" t="n"/>
      <c r="L1803" s="168" t="n"/>
      <c r="M1803" s="75">
        <f>_xlfn.XLOOKUP(L1803,list_vat[Страна],list_vat[Ставка НДС %],0,0)</f>
        <v/>
      </c>
      <c r="N1803" s="162">
        <f>IFERROR(IF(L1803="Китай",K1803,K1803/(1+M1803)),0)</f>
        <v/>
      </c>
      <c r="O1803" s="169" t="n"/>
      <c r="P1803" s="76">
        <f>N1803*(1-O1803)</f>
        <v/>
      </c>
      <c r="Q1803" s="162" t="n"/>
      <c r="R1803" s="162">
        <f>IF(ISBLANK(Q1803),"введи курс",P1803/Q1803)</f>
        <v/>
      </c>
      <c r="S1803" s="196">
        <f>IF(AND(ISNUMBER(E1803),ISNUMBER(Q1803)),E1803*R1803,0)</f>
        <v/>
      </c>
      <c r="T1803" s="192">
        <f>$BC1803*V$11</f>
        <v/>
      </c>
      <c r="U1803" s="76">
        <f>$BC1803*W$11</f>
        <v/>
      </c>
      <c r="V1803" s="193">
        <f>+SUM(T1803:U1803)</f>
        <v/>
      </c>
      <c r="W1803" s="191" t="n"/>
      <c r="X1803" s="170" t="n"/>
      <c r="Y1803" s="76">
        <f>ROUND(IF(offer_incoterms="DDP",X1803*(S1803*(1+AW1803)+T1803),0),2)</f>
        <v/>
      </c>
      <c r="Z1803" s="188" t="n"/>
      <c r="AA1803" s="192">
        <f>IFERROR(AB1803/E1803,0)</f>
        <v/>
      </c>
      <c r="AB1803" s="76">
        <f>ROUND(SUM(S1803,V1803,Y1803:Z1803,BA1803:BB1803),2)</f>
        <v/>
      </c>
      <c r="AC1803" s="797" t="n"/>
      <c r="AD1803" s="192">
        <f t="array" ref="AD1803">IFERROR(ROUND((_xlfn.IFS(offer_sale_type="поставка",AB1803,offer_sale_type="транзит",S1803)*(1+AC1803))/E1803,2),0)</f>
        <v/>
      </c>
      <c r="AE1803" s="76">
        <f>AD1803*E1803</f>
        <v/>
      </c>
      <c r="AF1803" s="193">
        <f t="array" ref="AF1803">IFERROR(ROUND(_xlfn.IFS(offer_sale_type="поставка",AB1803,offer_sale_type="транзит",S1803)*AC1803,2),0)</f>
        <v/>
      </c>
      <c r="AG1803" s="192">
        <f>$BD1803*VLOOKUP($AG$3,$AF$4:$AG$7,2,FALSE)</f>
        <v/>
      </c>
      <c r="AH1803" s="76">
        <f>SUM(AE1803,AG1803,AI1803)*rate_forex_risk</f>
        <v/>
      </c>
      <c r="AI1803" s="193">
        <f>IF(OR(seller_region="TR",offer_sale_type="экспорт"),0,rate_fin_comm)*SUM(AZ1803,AZ1803*AW1803,T1803)</f>
        <v/>
      </c>
      <c r="AJ1803" s="118">
        <f>IFERROR(ROUND(SUM(AB1803,AF1803:AI1803)/E1803,2),0)</f>
        <v/>
      </c>
      <c r="AK1803" s="76">
        <f>AJ1803*E1803</f>
        <v/>
      </c>
      <c r="AL1803" s="174">
        <f>ROUND(IFERROR(AM1803*E1803,0),2)</f>
        <v/>
      </c>
      <c r="AM1803" s="175">
        <f>ROUND(AJ1803*(1+IF(offer_incoterms="DDP",IF((TODAY()+offer_turnaround_time)&gt;=helpsheet!$L$17,rate_vatRU_from_26,rate_vatRu_till_25),0)),2)</f>
        <v/>
      </c>
      <c r="AN1803" s="192">
        <f>AL1803-AK1803</f>
        <v/>
      </c>
      <c r="AO1803" s="76">
        <f>SUM(AY1803,Y1803:Z1803,T1803)*IF(AND(offer_incoterms="DDP",offer_sale_type&lt;&gt;"экспорт"),IF((TODAY()+offer_turnaround_time)&gt;=helpsheet!$L$17,rate_vatRU_from_26,rate_vatRu_till_25),0)</f>
        <v/>
      </c>
      <c r="AP1803" s="193">
        <f>AN1803-AO1803</f>
        <v/>
      </c>
      <c r="AQ1803" s="118">
        <f>IF(offer_sale_type="транзит",SUM(AF1803:AI1803,BA1803,BB1803),0)</f>
        <v/>
      </c>
      <c r="AR1803" s="82">
        <f>HYPERLINK("https://www.alta.ru/tnved/code/")&amp;W1803&amp;"/"</f>
        <v/>
      </c>
      <c r="AS1803" s="157" t="n"/>
      <c r="AT1803" s="162" t="n"/>
      <c r="AU1803" s="76">
        <f>IF(ISBLANK(AT1803),0,AJ1803-AT1803)</f>
        <v/>
      </c>
      <c r="AV1803" s="157" t="n"/>
      <c r="AW1803" s="75">
        <f>_xlfn.IFNA(VLOOKUP(L1803,list_vat[],3,FALSE),0)</f>
        <v/>
      </c>
      <c r="AX1803" s="76">
        <f>IFERROR(ROUND(S1803*(1+AW1803)/E1803,2),0)</f>
        <v/>
      </c>
      <c r="AY1803" s="76">
        <f>E1803*AX1803</f>
        <v/>
      </c>
      <c r="AZ1803" s="192">
        <f>S1803*(1+M1803)</f>
        <v/>
      </c>
      <c r="BA1803" s="76">
        <f>cost_fin_total*$BD1803</f>
        <v/>
      </c>
      <c r="BB1803" s="193">
        <f>credit_sales_interest*BD1803</f>
        <v/>
      </c>
      <c r="BC1803" s="102">
        <f>IFERROR(IF($I$13&gt;0,$I1803/$I$13,$S1803/$S$13),0)</f>
        <v/>
      </c>
      <c r="BD1803" s="102">
        <f>IFERROR($S1803/$S$13,0)</f>
        <v/>
      </c>
      <c r="BE1803" s="413" t="inlineStr">
        <is>
          <t>$</t>
        </is>
      </c>
    </row>
    <row r="1804" ht="12" customFormat="1" customHeight="1" s="65">
      <c r="A1804" s="43" t="n">
        <v>1789</v>
      </c>
      <c r="B1804" s="166" t="n"/>
      <c r="C1804" s="166" t="n"/>
      <c r="D1804" s="166" t="n"/>
      <c r="E1804" s="162" t="n"/>
      <c r="F1804" s="166" t="n"/>
      <c r="G1804" s="162" t="n"/>
      <c r="H1804" s="162" t="n"/>
      <c r="I1804" s="189">
        <f>E1804*G1804</f>
        <v/>
      </c>
      <c r="J1804" s="195" t="n"/>
      <c r="K1804" s="162" t="n"/>
      <c r="L1804" s="168" t="n"/>
      <c r="M1804" s="75">
        <f>_xlfn.XLOOKUP(L1804,list_vat[Страна],list_vat[Ставка НДС %],0,0)</f>
        <v/>
      </c>
      <c r="N1804" s="162">
        <f>IFERROR(IF(L1804="Китай",K1804,K1804/(1+M1804)),0)</f>
        <v/>
      </c>
      <c r="O1804" s="169" t="n"/>
      <c r="P1804" s="76">
        <f>N1804*(1-O1804)</f>
        <v/>
      </c>
      <c r="Q1804" s="162" t="n"/>
      <c r="R1804" s="162">
        <f>IF(ISBLANK(Q1804),"введи курс",P1804/Q1804)</f>
        <v/>
      </c>
      <c r="S1804" s="196">
        <f>IF(AND(ISNUMBER(E1804),ISNUMBER(Q1804)),E1804*R1804,0)</f>
        <v/>
      </c>
      <c r="T1804" s="192">
        <f>$BC1804*V$11</f>
        <v/>
      </c>
      <c r="U1804" s="76">
        <f>$BC1804*W$11</f>
        <v/>
      </c>
      <c r="V1804" s="193">
        <f>+SUM(T1804:U1804)</f>
        <v/>
      </c>
      <c r="W1804" s="191" t="n"/>
      <c r="X1804" s="170" t="n"/>
      <c r="Y1804" s="76">
        <f>ROUND(IF(offer_incoterms="DDP",X1804*(S1804*(1+AW1804)+T1804),0),2)</f>
        <v/>
      </c>
      <c r="Z1804" s="188" t="n"/>
      <c r="AA1804" s="192">
        <f>IFERROR(AB1804/E1804,0)</f>
        <v/>
      </c>
      <c r="AB1804" s="76">
        <f>ROUND(SUM(S1804,V1804,Y1804:Z1804,BA1804:BB1804),2)</f>
        <v/>
      </c>
      <c r="AC1804" s="797" t="n"/>
      <c r="AD1804" s="192">
        <f t="array" ref="AD1804">IFERROR(ROUND((_xlfn.IFS(offer_sale_type="поставка",AB1804,offer_sale_type="транзит",S1804)*(1+AC1804))/E1804,2),0)</f>
        <v/>
      </c>
      <c r="AE1804" s="76">
        <f>AD1804*E1804</f>
        <v/>
      </c>
      <c r="AF1804" s="193">
        <f t="array" ref="AF1804">IFERROR(ROUND(_xlfn.IFS(offer_sale_type="поставка",AB1804,offer_sale_type="транзит",S1804)*AC1804,2),0)</f>
        <v/>
      </c>
      <c r="AG1804" s="192">
        <f>$BD1804*VLOOKUP($AG$3,$AF$4:$AG$7,2,FALSE)</f>
        <v/>
      </c>
      <c r="AH1804" s="76">
        <f>SUM(AE1804,AG1804,AI1804)*rate_forex_risk</f>
        <v/>
      </c>
      <c r="AI1804" s="193">
        <f>IF(OR(seller_region="TR",offer_sale_type="экспорт"),0,rate_fin_comm)*SUM(AZ1804,AZ1804*AW1804,T1804)</f>
        <v/>
      </c>
      <c r="AJ1804" s="118">
        <f>IFERROR(ROUND(SUM(AB1804,AF1804:AI1804)/E1804,2),0)</f>
        <v/>
      </c>
      <c r="AK1804" s="76">
        <f>AJ1804*E1804</f>
        <v/>
      </c>
      <c r="AL1804" s="174">
        <f>ROUND(IFERROR(AM1804*E1804,0),2)</f>
        <v/>
      </c>
      <c r="AM1804" s="175">
        <f>ROUND(AJ1804*(1+IF(offer_incoterms="DDP",IF((TODAY()+offer_turnaround_time)&gt;=helpsheet!$L$17,rate_vatRU_from_26,rate_vatRu_till_25),0)),2)</f>
        <v/>
      </c>
      <c r="AN1804" s="192">
        <f>AL1804-AK1804</f>
        <v/>
      </c>
      <c r="AO1804" s="76">
        <f>SUM(AY1804,Y1804:Z1804,T1804)*IF(AND(offer_incoterms="DDP",offer_sale_type&lt;&gt;"экспорт"),IF((TODAY()+offer_turnaround_time)&gt;=helpsheet!$L$17,rate_vatRU_from_26,rate_vatRu_till_25),0)</f>
        <v/>
      </c>
      <c r="AP1804" s="193">
        <f>AN1804-AO1804</f>
        <v/>
      </c>
      <c r="AQ1804" s="118">
        <f>IF(offer_sale_type="транзит",SUM(AF1804:AI1804,BA1804,BB1804),0)</f>
        <v/>
      </c>
      <c r="AR1804" s="82">
        <f>HYPERLINK("https://www.alta.ru/tnved/code/")&amp;W1804&amp;"/"</f>
        <v/>
      </c>
      <c r="AS1804" s="157" t="n"/>
      <c r="AT1804" s="162" t="n"/>
      <c r="AU1804" s="76">
        <f>IF(ISBLANK(AT1804),0,AJ1804-AT1804)</f>
        <v/>
      </c>
      <c r="AV1804" s="157" t="n"/>
      <c r="AW1804" s="75">
        <f>_xlfn.IFNA(VLOOKUP(L1804,list_vat[],3,FALSE),0)</f>
        <v/>
      </c>
      <c r="AX1804" s="76">
        <f>IFERROR(ROUND(S1804*(1+AW1804)/E1804,2),0)</f>
        <v/>
      </c>
      <c r="AY1804" s="76">
        <f>E1804*AX1804</f>
        <v/>
      </c>
      <c r="AZ1804" s="192">
        <f>S1804*(1+M1804)</f>
        <v/>
      </c>
      <c r="BA1804" s="76">
        <f>cost_fin_total*$BD1804</f>
        <v/>
      </c>
      <c r="BB1804" s="193">
        <f>credit_sales_interest*BD1804</f>
        <v/>
      </c>
      <c r="BC1804" s="102">
        <f>IFERROR(IF($I$13&gt;0,$I1804/$I$13,$S1804/$S$13),0)</f>
        <v/>
      </c>
      <c r="BD1804" s="102">
        <f>IFERROR($S1804/$S$13,0)</f>
        <v/>
      </c>
      <c r="BE1804" s="413" t="inlineStr">
        <is>
          <t>$</t>
        </is>
      </c>
    </row>
    <row r="1805" ht="12" customFormat="1" customHeight="1" s="65">
      <c r="A1805" s="43" t="n">
        <v>1790</v>
      </c>
      <c r="B1805" s="166" t="n"/>
      <c r="C1805" s="166" t="n"/>
      <c r="D1805" s="166" t="n"/>
      <c r="E1805" s="162" t="n"/>
      <c r="F1805" s="166" t="n"/>
      <c r="G1805" s="162" t="n"/>
      <c r="H1805" s="162" t="n"/>
      <c r="I1805" s="189">
        <f>E1805*G1805</f>
        <v/>
      </c>
      <c r="J1805" s="195" t="n"/>
      <c r="K1805" s="162" t="n"/>
      <c r="L1805" s="168" t="n"/>
      <c r="M1805" s="75">
        <f>_xlfn.XLOOKUP(L1805,list_vat[Страна],list_vat[Ставка НДС %],0,0)</f>
        <v/>
      </c>
      <c r="N1805" s="162">
        <f>IFERROR(IF(L1805="Китай",K1805,K1805/(1+M1805)),0)</f>
        <v/>
      </c>
      <c r="O1805" s="169" t="n"/>
      <c r="P1805" s="76">
        <f>N1805*(1-O1805)</f>
        <v/>
      </c>
      <c r="Q1805" s="162" t="n"/>
      <c r="R1805" s="162">
        <f>IF(ISBLANK(Q1805),"введи курс",P1805/Q1805)</f>
        <v/>
      </c>
      <c r="S1805" s="196">
        <f>IF(AND(ISNUMBER(E1805),ISNUMBER(Q1805)),E1805*R1805,0)</f>
        <v/>
      </c>
      <c r="T1805" s="192">
        <f>$BC1805*V$11</f>
        <v/>
      </c>
      <c r="U1805" s="76">
        <f>$BC1805*W$11</f>
        <v/>
      </c>
      <c r="V1805" s="193">
        <f>+SUM(T1805:U1805)</f>
        <v/>
      </c>
      <c r="W1805" s="191" t="n"/>
      <c r="X1805" s="170" t="n"/>
      <c r="Y1805" s="76">
        <f>ROUND(IF(offer_incoterms="DDP",X1805*(S1805*(1+AW1805)+T1805),0),2)</f>
        <v/>
      </c>
      <c r="Z1805" s="188" t="n"/>
      <c r="AA1805" s="192">
        <f>IFERROR(AB1805/E1805,0)</f>
        <v/>
      </c>
      <c r="AB1805" s="76">
        <f>ROUND(SUM(S1805,V1805,Y1805:Z1805,BA1805:BB1805),2)</f>
        <v/>
      </c>
      <c r="AC1805" s="797" t="n"/>
      <c r="AD1805" s="192">
        <f t="array" ref="AD1805">IFERROR(ROUND((_xlfn.IFS(offer_sale_type="поставка",AB1805,offer_sale_type="транзит",S1805)*(1+AC1805))/E1805,2),0)</f>
        <v/>
      </c>
      <c r="AE1805" s="76">
        <f>AD1805*E1805</f>
        <v/>
      </c>
      <c r="AF1805" s="193">
        <f t="array" ref="AF1805">IFERROR(ROUND(_xlfn.IFS(offer_sale_type="поставка",AB1805,offer_sale_type="транзит",S1805)*AC1805,2),0)</f>
        <v/>
      </c>
      <c r="AG1805" s="192">
        <f>$BD1805*VLOOKUP($AG$3,$AF$4:$AG$7,2,FALSE)</f>
        <v/>
      </c>
      <c r="AH1805" s="76">
        <f>SUM(AE1805,AG1805,AI1805)*rate_forex_risk</f>
        <v/>
      </c>
      <c r="AI1805" s="193">
        <f>IF(OR(seller_region="TR",offer_sale_type="экспорт"),0,rate_fin_comm)*SUM(AZ1805,AZ1805*AW1805,T1805)</f>
        <v/>
      </c>
      <c r="AJ1805" s="118">
        <f>IFERROR(ROUND(SUM(AB1805,AF1805:AI1805)/E1805,2),0)</f>
        <v/>
      </c>
      <c r="AK1805" s="76">
        <f>AJ1805*E1805</f>
        <v/>
      </c>
      <c r="AL1805" s="174">
        <f>ROUND(IFERROR(AM1805*E1805,0),2)</f>
        <v/>
      </c>
      <c r="AM1805" s="175">
        <f>ROUND(AJ1805*(1+IF(offer_incoterms="DDP",IF((TODAY()+offer_turnaround_time)&gt;=helpsheet!$L$17,rate_vatRU_from_26,rate_vatRu_till_25),0)),2)</f>
        <v/>
      </c>
      <c r="AN1805" s="192">
        <f>AL1805-AK1805</f>
        <v/>
      </c>
      <c r="AO1805" s="76">
        <f>SUM(AY1805,Y1805:Z1805,T1805)*IF(AND(offer_incoterms="DDP",offer_sale_type&lt;&gt;"экспорт"),IF((TODAY()+offer_turnaround_time)&gt;=helpsheet!$L$17,rate_vatRU_from_26,rate_vatRu_till_25),0)</f>
        <v/>
      </c>
      <c r="AP1805" s="193">
        <f>AN1805-AO1805</f>
        <v/>
      </c>
      <c r="AQ1805" s="118">
        <f>IF(offer_sale_type="транзит",SUM(AF1805:AI1805,BA1805,BB1805),0)</f>
        <v/>
      </c>
      <c r="AR1805" s="82">
        <f>HYPERLINK("https://www.alta.ru/tnved/code/")&amp;W1805&amp;"/"</f>
        <v/>
      </c>
      <c r="AS1805" s="157" t="n"/>
      <c r="AT1805" s="162" t="n"/>
      <c r="AU1805" s="76">
        <f>IF(ISBLANK(AT1805),0,AJ1805-AT1805)</f>
        <v/>
      </c>
      <c r="AV1805" s="157" t="n"/>
      <c r="AW1805" s="75">
        <f>_xlfn.IFNA(VLOOKUP(L1805,list_vat[],3,FALSE),0)</f>
        <v/>
      </c>
      <c r="AX1805" s="76">
        <f>IFERROR(ROUND(S1805*(1+AW1805)/E1805,2),0)</f>
        <v/>
      </c>
      <c r="AY1805" s="76">
        <f>E1805*AX1805</f>
        <v/>
      </c>
      <c r="AZ1805" s="192">
        <f>S1805*(1+M1805)</f>
        <v/>
      </c>
      <c r="BA1805" s="76">
        <f>cost_fin_total*$BD1805</f>
        <v/>
      </c>
      <c r="BB1805" s="193">
        <f>credit_sales_interest*BD1805</f>
        <v/>
      </c>
      <c r="BC1805" s="102">
        <f>IFERROR(IF($I$13&gt;0,$I1805/$I$13,$S1805/$S$13),0)</f>
        <v/>
      </c>
      <c r="BD1805" s="102">
        <f>IFERROR($S1805/$S$13,0)</f>
        <v/>
      </c>
      <c r="BE1805" s="413" t="inlineStr">
        <is>
          <t>$</t>
        </is>
      </c>
    </row>
    <row r="1806" ht="12" customFormat="1" customHeight="1" s="65">
      <c r="A1806" s="43" t="n">
        <v>1791</v>
      </c>
      <c r="B1806" s="166" t="n"/>
      <c r="C1806" s="166" t="n"/>
      <c r="D1806" s="166" t="n"/>
      <c r="E1806" s="162" t="n"/>
      <c r="F1806" s="166" t="n"/>
      <c r="G1806" s="162" t="n"/>
      <c r="H1806" s="162" t="n"/>
      <c r="I1806" s="189">
        <f>E1806*G1806</f>
        <v/>
      </c>
      <c r="J1806" s="195" t="n"/>
      <c r="K1806" s="162" t="n"/>
      <c r="L1806" s="168" t="n"/>
      <c r="M1806" s="75">
        <f>_xlfn.XLOOKUP(L1806,list_vat[Страна],list_vat[Ставка НДС %],0,0)</f>
        <v/>
      </c>
      <c r="N1806" s="162">
        <f>IFERROR(IF(L1806="Китай",K1806,K1806/(1+M1806)),0)</f>
        <v/>
      </c>
      <c r="O1806" s="169" t="n"/>
      <c r="P1806" s="76">
        <f>N1806*(1-O1806)</f>
        <v/>
      </c>
      <c r="Q1806" s="162" t="n"/>
      <c r="R1806" s="162">
        <f>IF(ISBLANK(Q1806),"введи курс",P1806/Q1806)</f>
        <v/>
      </c>
      <c r="S1806" s="196">
        <f>IF(AND(ISNUMBER(E1806),ISNUMBER(Q1806)),E1806*R1806,0)</f>
        <v/>
      </c>
      <c r="T1806" s="192">
        <f>$BC1806*V$11</f>
        <v/>
      </c>
      <c r="U1806" s="76">
        <f>$BC1806*W$11</f>
        <v/>
      </c>
      <c r="V1806" s="193">
        <f>+SUM(T1806:U1806)</f>
        <v/>
      </c>
      <c r="W1806" s="191" t="n"/>
      <c r="X1806" s="170" t="n"/>
      <c r="Y1806" s="76">
        <f>ROUND(IF(offer_incoterms="DDP",X1806*(S1806*(1+AW1806)+T1806),0),2)</f>
        <v/>
      </c>
      <c r="Z1806" s="188" t="n"/>
      <c r="AA1806" s="192">
        <f>IFERROR(AB1806/E1806,0)</f>
        <v/>
      </c>
      <c r="AB1806" s="76">
        <f>ROUND(SUM(S1806,V1806,Y1806:Z1806,BA1806:BB1806),2)</f>
        <v/>
      </c>
      <c r="AC1806" s="797" t="n"/>
      <c r="AD1806" s="192">
        <f t="array" ref="AD1806">IFERROR(ROUND((_xlfn.IFS(offer_sale_type="поставка",AB1806,offer_sale_type="транзит",S1806)*(1+AC1806))/E1806,2),0)</f>
        <v/>
      </c>
      <c r="AE1806" s="76">
        <f>AD1806*E1806</f>
        <v/>
      </c>
      <c r="AF1806" s="193">
        <f t="array" ref="AF1806">IFERROR(ROUND(_xlfn.IFS(offer_sale_type="поставка",AB1806,offer_sale_type="транзит",S1806)*AC1806,2),0)</f>
        <v/>
      </c>
      <c r="AG1806" s="192">
        <f>$BD1806*VLOOKUP($AG$3,$AF$4:$AG$7,2,FALSE)</f>
        <v/>
      </c>
      <c r="AH1806" s="76">
        <f>SUM(AE1806,AG1806,AI1806)*rate_forex_risk</f>
        <v/>
      </c>
      <c r="AI1806" s="193">
        <f>IF(OR(seller_region="TR",offer_sale_type="экспорт"),0,rate_fin_comm)*SUM(AZ1806,AZ1806*AW1806,T1806)</f>
        <v/>
      </c>
      <c r="AJ1806" s="118">
        <f>IFERROR(ROUND(SUM(AB1806,AF1806:AI1806)/E1806,2),0)</f>
        <v/>
      </c>
      <c r="AK1806" s="76">
        <f>AJ1806*E1806</f>
        <v/>
      </c>
      <c r="AL1806" s="174">
        <f>ROUND(IFERROR(AM1806*E1806,0),2)</f>
        <v/>
      </c>
      <c r="AM1806" s="175">
        <f>ROUND(AJ1806*(1+IF(offer_incoterms="DDP",IF((TODAY()+offer_turnaround_time)&gt;=helpsheet!$L$17,rate_vatRU_from_26,rate_vatRu_till_25),0)),2)</f>
        <v/>
      </c>
      <c r="AN1806" s="192">
        <f>AL1806-AK1806</f>
        <v/>
      </c>
      <c r="AO1806" s="76">
        <f>SUM(AY1806,Y1806:Z1806,T1806)*IF(AND(offer_incoterms="DDP",offer_sale_type&lt;&gt;"экспорт"),IF((TODAY()+offer_turnaround_time)&gt;=helpsheet!$L$17,rate_vatRU_from_26,rate_vatRu_till_25),0)</f>
        <v/>
      </c>
      <c r="AP1806" s="193">
        <f>AN1806-AO1806</f>
        <v/>
      </c>
      <c r="AQ1806" s="118">
        <f>IF(offer_sale_type="транзит",SUM(AF1806:AI1806,BA1806,BB1806),0)</f>
        <v/>
      </c>
      <c r="AR1806" s="82">
        <f>HYPERLINK("https://www.alta.ru/tnved/code/")&amp;W1806&amp;"/"</f>
        <v/>
      </c>
      <c r="AS1806" s="157" t="n"/>
      <c r="AT1806" s="162" t="n"/>
      <c r="AU1806" s="76">
        <f>IF(ISBLANK(AT1806),0,AJ1806-AT1806)</f>
        <v/>
      </c>
      <c r="AV1806" s="157" t="n"/>
      <c r="AW1806" s="75">
        <f>_xlfn.IFNA(VLOOKUP(L1806,list_vat[],3,FALSE),0)</f>
        <v/>
      </c>
      <c r="AX1806" s="76">
        <f>IFERROR(ROUND(S1806*(1+AW1806)/E1806,2),0)</f>
        <v/>
      </c>
      <c r="AY1806" s="76">
        <f>E1806*AX1806</f>
        <v/>
      </c>
      <c r="AZ1806" s="192">
        <f>S1806*(1+M1806)</f>
        <v/>
      </c>
      <c r="BA1806" s="76">
        <f>cost_fin_total*$BD1806</f>
        <v/>
      </c>
      <c r="BB1806" s="193">
        <f>credit_sales_interest*BD1806</f>
        <v/>
      </c>
      <c r="BC1806" s="102">
        <f>IFERROR(IF($I$13&gt;0,$I1806/$I$13,$S1806/$S$13),0)</f>
        <v/>
      </c>
      <c r="BD1806" s="102">
        <f>IFERROR($S1806/$S$13,0)</f>
        <v/>
      </c>
      <c r="BE1806" s="413" t="inlineStr">
        <is>
          <t>$</t>
        </is>
      </c>
    </row>
    <row r="1807" ht="12" customFormat="1" customHeight="1" s="65">
      <c r="A1807" s="43" t="n">
        <v>1792</v>
      </c>
      <c r="B1807" s="166" t="n"/>
      <c r="C1807" s="166" t="n"/>
      <c r="D1807" s="166" t="n"/>
      <c r="E1807" s="162" t="n"/>
      <c r="F1807" s="166" t="n"/>
      <c r="G1807" s="162" t="n"/>
      <c r="H1807" s="162" t="n"/>
      <c r="I1807" s="189">
        <f>E1807*G1807</f>
        <v/>
      </c>
      <c r="J1807" s="195" t="n"/>
      <c r="K1807" s="162" t="n"/>
      <c r="L1807" s="168" t="n"/>
      <c r="M1807" s="75">
        <f>_xlfn.XLOOKUP(L1807,list_vat[Страна],list_vat[Ставка НДС %],0,0)</f>
        <v/>
      </c>
      <c r="N1807" s="162">
        <f>IFERROR(IF(L1807="Китай",K1807,K1807/(1+M1807)),0)</f>
        <v/>
      </c>
      <c r="O1807" s="169" t="n"/>
      <c r="P1807" s="76">
        <f>N1807*(1-O1807)</f>
        <v/>
      </c>
      <c r="Q1807" s="162" t="n"/>
      <c r="R1807" s="162">
        <f>IF(ISBLANK(Q1807),"введи курс",P1807/Q1807)</f>
        <v/>
      </c>
      <c r="S1807" s="196">
        <f>IF(AND(ISNUMBER(E1807),ISNUMBER(Q1807)),E1807*R1807,0)</f>
        <v/>
      </c>
      <c r="T1807" s="192">
        <f>$BC1807*V$11</f>
        <v/>
      </c>
      <c r="U1807" s="76">
        <f>$BC1807*W$11</f>
        <v/>
      </c>
      <c r="V1807" s="193">
        <f>+SUM(T1807:U1807)</f>
        <v/>
      </c>
      <c r="W1807" s="191" t="n"/>
      <c r="X1807" s="170" t="n"/>
      <c r="Y1807" s="76">
        <f>ROUND(IF(offer_incoterms="DDP",X1807*(S1807*(1+AW1807)+T1807),0),2)</f>
        <v/>
      </c>
      <c r="Z1807" s="188" t="n"/>
      <c r="AA1807" s="192">
        <f>IFERROR(AB1807/E1807,0)</f>
        <v/>
      </c>
      <c r="AB1807" s="76">
        <f>ROUND(SUM(S1807,V1807,Y1807:Z1807,BA1807:BB1807),2)</f>
        <v/>
      </c>
      <c r="AC1807" s="797" t="n"/>
      <c r="AD1807" s="192">
        <f t="array" ref="AD1807">IFERROR(ROUND((_xlfn.IFS(offer_sale_type="поставка",AB1807,offer_sale_type="транзит",S1807)*(1+AC1807))/E1807,2),0)</f>
        <v/>
      </c>
      <c r="AE1807" s="76">
        <f>AD1807*E1807</f>
        <v/>
      </c>
      <c r="AF1807" s="193">
        <f t="array" ref="AF1807">IFERROR(ROUND(_xlfn.IFS(offer_sale_type="поставка",AB1807,offer_sale_type="транзит",S1807)*AC1807,2),0)</f>
        <v/>
      </c>
      <c r="AG1807" s="192">
        <f>$BD1807*VLOOKUP($AG$3,$AF$4:$AG$7,2,FALSE)</f>
        <v/>
      </c>
      <c r="AH1807" s="76">
        <f>SUM(AE1807,AG1807,AI1807)*rate_forex_risk</f>
        <v/>
      </c>
      <c r="AI1807" s="193">
        <f>IF(OR(seller_region="TR",offer_sale_type="экспорт"),0,rate_fin_comm)*SUM(AZ1807,AZ1807*AW1807,T1807)</f>
        <v/>
      </c>
      <c r="AJ1807" s="118">
        <f>IFERROR(ROUND(SUM(AB1807,AF1807:AI1807)/E1807,2),0)</f>
        <v/>
      </c>
      <c r="AK1807" s="76">
        <f>AJ1807*E1807</f>
        <v/>
      </c>
      <c r="AL1807" s="174">
        <f>ROUND(IFERROR(AM1807*E1807,0),2)</f>
        <v/>
      </c>
      <c r="AM1807" s="175">
        <f>ROUND(AJ1807*(1+IF(offer_incoterms="DDP",IF((TODAY()+offer_turnaround_time)&gt;=helpsheet!$L$17,rate_vatRU_from_26,rate_vatRu_till_25),0)),2)</f>
        <v/>
      </c>
      <c r="AN1807" s="192">
        <f>AL1807-AK1807</f>
        <v/>
      </c>
      <c r="AO1807" s="76">
        <f>SUM(AY1807,Y1807:Z1807,T1807)*IF(AND(offer_incoterms="DDP",offer_sale_type&lt;&gt;"экспорт"),IF((TODAY()+offer_turnaround_time)&gt;=helpsheet!$L$17,rate_vatRU_from_26,rate_vatRu_till_25),0)</f>
        <v/>
      </c>
      <c r="AP1807" s="193">
        <f>AN1807-AO1807</f>
        <v/>
      </c>
      <c r="AQ1807" s="118">
        <f>IF(offer_sale_type="транзит",SUM(AF1807:AI1807,BA1807,BB1807),0)</f>
        <v/>
      </c>
      <c r="AR1807" s="82">
        <f>HYPERLINK("https://www.alta.ru/tnved/code/")&amp;W1807&amp;"/"</f>
        <v/>
      </c>
      <c r="AS1807" s="157" t="n"/>
      <c r="AT1807" s="162" t="n"/>
      <c r="AU1807" s="76">
        <f>IF(ISBLANK(AT1807),0,AJ1807-AT1807)</f>
        <v/>
      </c>
      <c r="AV1807" s="157" t="n"/>
      <c r="AW1807" s="75">
        <f>_xlfn.IFNA(VLOOKUP(L1807,list_vat[],3,FALSE),0)</f>
        <v/>
      </c>
      <c r="AX1807" s="76">
        <f>IFERROR(ROUND(S1807*(1+AW1807)/E1807,2),0)</f>
        <v/>
      </c>
      <c r="AY1807" s="76">
        <f>E1807*AX1807</f>
        <v/>
      </c>
      <c r="AZ1807" s="192">
        <f>S1807*(1+M1807)</f>
        <v/>
      </c>
      <c r="BA1807" s="76">
        <f>cost_fin_total*$BD1807</f>
        <v/>
      </c>
      <c r="BB1807" s="193">
        <f>credit_sales_interest*BD1807</f>
        <v/>
      </c>
      <c r="BC1807" s="102">
        <f>IFERROR(IF($I$13&gt;0,$I1807/$I$13,$S1807/$S$13),0)</f>
        <v/>
      </c>
      <c r="BD1807" s="102">
        <f>IFERROR($S1807/$S$13,0)</f>
        <v/>
      </c>
      <c r="BE1807" s="413" t="inlineStr">
        <is>
          <t>$</t>
        </is>
      </c>
    </row>
    <row r="1808" ht="12" customFormat="1" customHeight="1" s="65">
      <c r="A1808" s="43" t="n">
        <v>1793</v>
      </c>
      <c r="B1808" s="166" t="n"/>
      <c r="C1808" s="166" t="n"/>
      <c r="D1808" s="166" t="n"/>
      <c r="E1808" s="162" t="n"/>
      <c r="F1808" s="166" t="n"/>
      <c r="G1808" s="162" t="n"/>
      <c r="H1808" s="162" t="n"/>
      <c r="I1808" s="189">
        <f>E1808*G1808</f>
        <v/>
      </c>
      <c r="J1808" s="195" t="n"/>
      <c r="K1808" s="162" t="n"/>
      <c r="L1808" s="168" t="n"/>
      <c r="M1808" s="75">
        <f>_xlfn.XLOOKUP(L1808,list_vat[Страна],list_vat[Ставка НДС %],0,0)</f>
        <v/>
      </c>
      <c r="N1808" s="162">
        <f>IFERROR(IF(L1808="Китай",K1808,K1808/(1+M1808)),0)</f>
        <v/>
      </c>
      <c r="O1808" s="169" t="n"/>
      <c r="P1808" s="76">
        <f>N1808*(1-O1808)</f>
        <v/>
      </c>
      <c r="Q1808" s="162" t="n"/>
      <c r="R1808" s="162">
        <f>IF(ISBLANK(Q1808),"введи курс",P1808/Q1808)</f>
        <v/>
      </c>
      <c r="S1808" s="196">
        <f>IF(AND(ISNUMBER(E1808),ISNUMBER(Q1808)),E1808*R1808,0)</f>
        <v/>
      </c>
      <c r="T1808" s="192">
        <f>$BC1808*V$11</f>
        <v/>
      </c>
      <c r="U1808" s="76">
        <f>$BC1808*W$11</f>
        <v/>
      </c>
      <c r="V1808" s="193">
        <f>+SUM(T1808:U1808)</f>
        <v/>
      </c>
      <c r="W1808" s="191" t="n"/>
      <c r="X1808" s="170" t="n"/>
      <c r="Y1808" s="76">
        <f>ROUND(IF(offer_incoterms="DDP",X1808*(S1808*(1+AW1808)+T1808),0),2)</f>
        <v/>
      </c>
      <c r="Z1808" s="188" t="n"/>
      <c r="AA1808" s="192">
        <f>IFERROR(AB1808/E1808,0)</f>
        <v/>
      </c>
      <c r="AB1808" s="76">
        <f>ROUND(SUM(S1808,V1808,Y1808:Z1808,BA1808:BB1808),2)</f>
        <v/>
      </c>
      <c r="AC1808" s="797" t="n"/>
      <c r="AD1808" s="192">
        <f t="array" ref="AD1808">IFERROR(ROUND((_xlfn.IFS(offer_sale_type="поставка",AB1808,offer_sale_type="транзит",S1808)*(1+AC1808))/E1808,2),0)</f>
        <v/>
      </c>
      <c r="AE1808" s="76">
        <f>AD1808*E1808</f>
        <v/>
      </c>
      <c r="AF1808" s="193">
        <f t="array" ref="AF1808">IFERROR(ROUND(_xlfn.IFS(offer_sale_type="поставка",AB1808,offer_sale_type="транзит",S1808)*AC1808,2),0)</f>
        <v/>
      </c>
      <c r="AG1808" s="192">
        <f>$BD1808*VLOOKUP($AG$3,$AF$4:$AG$7,2,FALSE)</f>
        <v/>
      </c>
      <c r="AH1808" s="76">
        <f>SUM(AE1808,AG1808,AI1808)*rate_forex_risk</f>
        <v/>
      </c>
      <c r="AI1808" s="193">
        <f>IF(OR(seller_region="TR",offer_sale_type="экспорт"),0,rate_fin_comm)*SUM(AZ1808,AZ1808*AW1808,T1808)</f>
        <v/>
      </c>
      <c r="AJ1808" s="118">
        <f>IFERROR(ROUND(SUM(AB1808,AF1808:AI1808)/E1808,2),0)</f>
        <v/>
      </c>
      <c r="AK1808" s="76">
        <f>AJ1808*E1808</f>
        <v/>
      </c>
      <c r="AL1808" s="174">
        <f>ROUND(IFERROR(AM1808*E1808,0),2)</f>
        <v/>
      </c>
      <c r="AM1808" s="175">
        <f>ROUND(AJ1808*(1+IF(offer_incoterms="DDP",IF((TODAY()+offer_turnaround_time)&gt;=helpsheet!$L$17,rate_vatRU_from_26,rate_vatRu_till_25),0)),2)</f>
        <v/>
      </c>
      <c r="AN1808" s="192">
        <f>AL1808-AK1808</f>
        <v/>
      </c>
      <c r="AO1808" s="76">
        <f>SUM(AY1808,Y1808:Z1808,T1808)*IF(AND(offer_incoterms="DDP",offer_sale_type&lt;&gt;"экспорт"),IF((TODAY()+offer_turnaround_time)&gt;=helpsheet!$L$17,rate_vatRU_from_26,rate_vatRu_till_25),0)</f>
        <v/>
      </c>
      <c r="AP1808" s="193">
        <f>AN1808-AO1808</f>
        <v/>
      </c>
      <c r="AQ1808" s="118">
        <f>IF(offer_sale_type="транзит",SUM(AF1808:AI1808,BA1808,BB1808),0)</f>
        <v/>
      </c>
      <c r="AR1808" s="82">
        <f>HYPERLINK("https://www.alta.ru/tnved/code/")&amp;W1808&amp;"/"</f>
        <v/>
      </c>
      <c r="AS1808" s="157" t="n"/>
      <c r="AT1808" s="162" t="n"/>
      <c r="AU1808" s="76">
        <f>IF(ISBLANK(AT1808),0,AJ1808-AT1808)</f>
        <v/>
      </c>
      <c r="AV1808" s="157" t="n"/>
      <c r="AW1808" s="75">
        <f>_xlfn.IFNA(VLOOKUP(L1808,list_vat[],3,FALSE),0)</f>
        <v/>
      </c>
      <c r="AX1808" s="76">
        <f>IFERROR(ROUND(S1808*(1+AW1808)/E1808,2),0)</f>
        <v/>
      </c>
      <c r="AY1808" s="76">
        <f>E1808*AX1808</f>
        <v/>
      </c>
      <c r="AZ1808" s="192">
        <f>S1808*(1+M1808)</f>
        <v/>
      </c>
      <c r="BA1808" s="76">
        <f>cost_fin_total*$BD1808</f>
        <v/>
      </c>
      <c r="BB1808" s="193">
        <f>credit_sales_interest*BD1808</f>
        <v/>
      </c>
      <c r="BC1808" s="102">
        <f>IFERROR(IF($I$13&gt;0,$I1808/$I$13,$S1808/$S$13),0)</f>
        <v/>
      </c>
      <c r="BD1808" s="102">
        <f>IFERROR($S1808/$S$13,0)</f>
        <v/>
      </c>
      <c r="BE1808" s="413" t="inlineStr">
        <is>
          <t>$</t>
        </is>
      </c>
    </row>
    <row r="1809" ht="12" customFormat="1" customHeight="1" s="65">
      <c r="A1809" s="43" t="n">
        <v>1794</v>
      </c>
      <c r="B1809" s="166" t="n"/>
      <c r="C1809" s="166" t="n"/>
      <c r="D1809" s="166" t="n"/>
      <c r="E1809" s="162" t="n"/>
      <c r="F1809" s="166" t="n"/>
      <c r="G1809" s="162" t="n"/>
      <c r="H1809" s="162" t="n"/>
      <c r="I1809" s="189">
        <f>E1809*G1809</f>
        <v/>
      </c>
      <c r="J1809" s="195" t="n"/>
      <c r="K1809" s="162" t="n"/>
      <c r="L1809" s="168" t="n"/>
      <c r="M1809" s="75">
        <f>_xlfn.XLOOKUP(L1809,list_vat[Страна],list_vat[Ставка НДС %],0,0)</f>
        <v/>
      </c>
      <c r="N1809" s="162">
        <f>IFERROR(IF(L1809="Китай",K1809,K1809/(1+M1809)),0)</f>
        <v/>
      </c>
      <c r="O1809" s="169" t="n"/>
      <c r="P1809" s="76">
        <f>N1809*(1-O1809)</f>
        <v/>
      </c>
      <c r="Q1809" s="162" t="n"/>
      <c r="R1809" s="162">
        <f>IF(ISBLANK(Q1809),"введи курс",P1809/Q1809)</f>
        <v/>
      </c>
      <c r="S1809" s="196">
        <f>IF(AND(ISNUMBER(E1809),ISNUMBER(Q1809)),E1809*R1809,0)</f>
        <v/>
      </c>
      <c r="T1809" s="192">
        <f>$BC1809*V$11</f>
        <v/>
      </c>
      <c r="U1809" s="76">
        <f>$BC1809*W$11</f>
        <v/>
      </c>
      <c r="V1809" s="193">
        <f>+SUM(T1809:U1809)</f>
        <v/>
      </c>
      <c r="W1809" s="191" t="n"/>
      <c r="X1809" s="170" t="n"/>
      <c r="Y1809" s="76">
        <f>ROUND(IF(offer_incoterms="DDP",X1809*(S1809*(1+AW1809)+T1809),0),2)</f>
        <v/>
      </c>
      <c r="Z1809" s="188" t="n"/>
      <c r="AA1809" s="192">
        <f>IFERROR(AB1809/E1809,0)</f>
        <v/>
      </c>
      <c r="AB1809" s="76">
        <f>ROUND(SUM(S1809,V1809,Y1809:Z1809,BA1809:BB1809),2)</f>
        <v/>
      </c>
      <c r="AC1809" s="797" t="n"/>
      <c r="AD1809" s="192">
        <f t="array" ref="AD1809">IFERROR(ROUND((_xlfn.IFS(offer_sale_type="поставка",AB1809,offer_sale_type="транзит",S1809)*(1+AC1809))/E1809,2),0)</f>
        <v/>
      </c>
      <c r="AE1809" s="76">
        <f>AD1809*E1809</f>
        <v/>
      </c>
      <c r="AF1809" s="193">
        <f t="array" ref="AF1809">IFERROR(ROUND(_xlfn.IFS(offer_sale_type="поставка",AB1809,offer_sale_type="транзит",S1809)*AC1809,2),0)</f>
        <v/>
      </c>
      <c r="AG1809" s="192">
        <f>$BD1809*VLOOKUP($AG$3,$AF$4:$AG$7,2,FALSE)</f>
        <v/>
      </c>
      <c r="AH1809" s="76">
        <f>SUM(AE1809,AG1809,AI1809)*rate_forex_risk</f>
        <v/>
      </c>
      <c r="AI1809" s="193">
        <f>IF(OR(seller_region="TR",offer_sale_type="экспорт"),0,rate_fin_comm)*SUM(AZ1809,AZ1809*AW1809,T1809)</f>
        <v/>
      </c>
      <c r="AJ1809" s="118">
        <f>IFERROR(ROUND(SUM(AB1809,AF1809:AI1809)/E1809,2),0)</f>
        <v/>
      </c>
      <c r="AK1809" s="76">
        <f>AJ1809*E1809</f>
        <v/>
      </c>
      <c r="AL1809" s="174">
        <f>ROUND(IFERROR(AM1809*E1809,0),2)</f>
        <v/>
      </c>
      <c r="AM1809" s="175">
        <f>ROUND(AJ1809*(1+IF(offer_incoterms="DDP",IF((TODAY()+offer_turnaround_time)&gt;=helpsheet!$L$17,rate_vatRU_from_26,rate_vatRu_till_25),0)),2)</f>
        <v/>
      </c>
      <c r="AN1809" s="192">
        <f>AL1809-AK1809</f>
        <v/>
      </c>
      <c r="AO1809" s="76">
        <f>SUM(AY1809,Y1809:Z1809,T1809)*IF(AND(offer_incoterms="DDP",offer_sale_type&lt;&gt;"экспорт"),IF((TODAY()+offer_turnaround_time)&gt;=helpsheet!$L$17,rate_vatRU_from_26,rate_vatRu_till_25),0)</f>
        <v/>
      </c>
      <c r="AP1809" s="193">
        <f>AN1809-AO1809</f>
        <v/>
      </c>
      <c r="AQ1809" s="118">
        <f>IF(offer_sale_type="транзит",SUM(AF1809:AI1809,BA1809,BB1809),0)</f>
        <v/>
      </c>
      <c r="AR1809" s="82">
        <f>HYPERLINK("https://www.alta.ru/tnved/code/")&amp;W1809&amp;"/"</f>
        <v/>
      </c>
      <c r="AS1809" s="157" t="n"/>
      <c r="AT1809" s="162" t="n"/>
      <c r="AU1809" s="76">
        <f>IF(ISBLANK(AT1809),0,AJ1809-AT1809)</f>
        <v/>
      </c>
      <c r="AV1809" s="157" t="n"/>
      <c r="AW1809" s="75">
        <f>_xlfn.IFNA(VLOOKUP(L1809,list_vat[],3,FALSE),0)</f>
        <v/>
      </c>
      <c r="AX1809" s="76">
        <f>IFERROR(ROUND(S1809*(1+AW1809)/E1809,2),0)</f>
        <v/>
      </c>
      <c r="AY1809" s="76">
        <f>E1809*AX1809</f>
        <v/>
      </c>
      <c r="AZ1809" s="192">
        <f>S1809*(1+M1809)</f>
        <v/>
      </c>
      <c r="BA1809" s="76">
        <f>cost_fin_total*$BD1809</f>
        <v/>
      </c>
      <c r="BB1809" s="193">
        <f>credit_sales_interest*BD1809</f>
        <v/>
      </c>
      <c r="BC1809" s="102">
        <f>IFERROR(IF($I$13&gt;0,$I1809/$I$13,$S1809/$S$13),0)</f>
        <v/>
      </c>
      <c r="BD1809" s="102">
        <f>IFERROR($S1809/$S$13,0)</f>
        <v/>
      </c>
      <c r="BE1809" s="413" t="inlineStr">
        <is>
          <t>$</t>
        </is>
      </c>
    </row>
    <row r="1810" ht="12" customFormat="1" customHeight="1" s="65">
      <c r="A1810" s="43" t="n">
        <v>1795</v>
      </c>
      <c r="B1810" s="166" t="n"/>
      <c r="C1810" s="166" t="n"/>
      <c r="D1810" s="166" t="n"/>
      <c r="E1810" s="162" t="n"/>
      <c r="F1810" s="166" t="n"/>
      <c r="G1810" s="162" t="n"/>
      <c r="H1810" s="162" t="n"/>
      <c r="I1810" s="189">
        <f>E1810*G1810</f>
        <v/>
      </c>
      <c r="J1810" s="195" t="n"/>
      <c r="K1810" s="162" t="n"/>
      <c r="L1810" s="168" t="n"/>
      <c r="M1810" s="75">
        <f>_xlfn.XLOOKUP(L1810,list_vat[Страна],list_vat[Ставка НДС %],0,0)</f>
        <v/>
      </c>
      <c r="N1810" s="162">
        <f>IFERROR(IF(L1810="Китай",K1810,K1810/(1+M1810)),0)</f>
        <v/>
      </c>
      <c r="O1810" s="169" t="n"/>
      <c r="P1810" s="76">
        <f>N1810*(1-O1810)</f>
        <v/>
      </c>
      <c r="Q1810" s="162" t="n"/>
      <c r="R1810" s="162">
        <f>IF(ISBLANK(Q1810),"введи курс",P1810/Q1810)</f>
        <v/>
      </c>
      <c r="S1810" s="196">
        <f>IF(AND(ISNUMBER(E1810),ISNUMBER(Q1810)),E1810*R1810,0)</f>
        <v/>
      </c>
      <c r="T1810" s="192">
        <f>$BC1810*V$11</f>
        <v/>
      </c>
      <c r="U1810" s="76">
        <f>$BC1810*W$11</f>
        <v/>
      </c>
      <c r="V1810" s="193">
        <f>+SUM(T1810:U1810)</f>
        <v/>
      </c>
      <c r="W1810" s="191" t="n"/>
      <c r="X1810" s="170" t="n"/>
      <c r="Y1810" s="76">
        <f>ROUND(IF(offer_incoterms="DDP",X1810*(S1810*(1+AW1810)+T1810),0),2)</f>
        <v/>
      </c>
      <c r="Z1810" s="188" t="n"/>
      <c r="AA1810" s="192">
        <f>IFERROR(AB1810/E1810,0)</f>
        <v/>
      </c>
      <c r="AB1810" s="76">
        <f>ROUND(SUM(S1810,V1810,Y1810:Z1810,BA1810:BB1810),2)</f>
        <v/>
      </c>
      <c r="AC1810" s="797" t="n"/>
      <c r="AD1810" s="192">
        <f t="array" ref="AD1810">IFERROR(ROUND((_xlfn.IFS(offer_sale_type="поставка",AB1810,offer_sale_type="транзит",S1810)*(1+AC1810))/E1810,2),0)</f>
        <v/>
      </c>
      <c r="AE1810" s="76">
        <f>AD1810*E1810</f>
        <v/>
      </c>
      <c r="AF1810" s="193">
        <f t="array" ref="AF1810">IFERROR(ROUND(_xlfn.IFS(offer_sale_type="поставка",AB1810,offer_sale_type="транзит",S1810)*AC1810,2),0)</f>
        <v/>
      </c>
      <c r="AG1810" s="192">
        <f>$BD1810*VLOOKUP($AG$3,$AF$4:$AG$7,2,FALSE)</f>
        <v/>
      </c>
      <c r="AH1810" s="76">
        <f>SUM(AE1810,AG1810,AI1810)*rate_forex_risk</f>
        <v/>
      </c>
      <c r="AI1810" s="193">
        <f>IF(OR(seller_region="TR",offer_sale_type="экспорт"),0,rate_fin_comm)*SUM(AZ1810,AZ1810*AW1810,T1810)</f>
        <v/>
      </c>
      <c r="AJ1810" s="118">
        <f>IFERROR(ROUND(SUM(AB1810,AF1810:AI1810)/E1810,2),0)</f>
        <v/>
      </c>
      <c r="AK1810" s="76">
        <f>AJ1810*E1810</f>
        <v/>
      </c>
      <c r="AL1810" s="174">
        <f>ROUND(IFERROR(AM1810*E1810,0),2)</f>
        <v/>
      </c>
      <c r="AM1810" s="175">
        <f>ROUND(AJ1810*(1+IF(offer_incoterms="DDP",IF((TODAY()+offer_turnaround_time)&gt;=helpsheet!$L$17,rate_vatRU_from_26,rate_vatRu_till_25),0)),2)</f>
        <v/>
      </c>
      <c r="AN1810" s="192">
        <f>AL1810-AK1810</f>
        <v/>
      </c>
      <c r="AO1810" s="76">
        <f>SUM(AY1810,Y1810:Z1810,T1810)*IF(AND(offer_incoterms="DDP",offer_sale_type&lt;&gt;"экспорт"),IF((TODAY()+offer_turnaround_time)&gt;=helpsheet!$L$17,rate_vatRU_from_26,rate_vatRu_till_25),0)</f>
        <v/>
      </c>
      <c r="AP1810" s="193">
        <f>AN1810-AO1810</f>
        <v/>
      </c>
      <c r="AQ1810" s="118">
        <f>IF(offer_sale_type="транзит",SUM(AF1810:AI1810,BA1810,BB1810),0)</f>
        <v/>
      </c>
      <c r="AR1810" s="82">
        <f>HYPERLINK("https://www.alta.ru/tnved/code/")&amp;W1810&amp;"/"</f>
        <v/>
      </c>
      <c r="AS1810" s="157" t="n"/>
      <c r="AT1810" s="162" t="n"/>
      <c r="AU1810" s="76">
        <f>IF(ISBLANK(AT1810),0,AJ1810-AT1810)</f>
        <v/>
      </c>
      <c r="AV1810" s="157" t="n"/>
      <c r="AW1810" s="75">
        <f>_xlfn.IFNA(VLOOKUP(L1810,list_vat[],3,FALSE),0)</f>
        <v/>
      </c>
      <c r="AX1810" s="76">
        <f>IFERROR(ROUND(S1810*(1+AW1810)/E1810,2),0)</f>
        <v/>
      </c>
      <c r="AY1810" s="76">
        <f>E1810*AX1810</f>
        <v/>
      </c>
      <c r="AZ1810" s="192">
        <f>S1810*(1+M1810)</f>
        <v/>
      </c>
      <c r="BA1810" s="76">
        <f>cost_fin_total*$BD1810</f>
        <v/>
      </c>
      <c r="BB1810" s="193">
        <f>credit_sales_interest*BD1810</f>
        <v/>
      </c>
      <c r="BC1810" s="102">
        <f>IFERROR(IF($I$13&gt;0,$I1810/$I$13,$S1810/$S$13),0)</f>
        <v/>
      </c>
      <c r="BD1810" s="102">
        <f>IFERROR($S1810/$S$13,0)</f>
        <v/>
      </c>
      <c r="BE1810" s="413" t="inlineStr">
        <is>
          <t>$</t>
        </is>
      </c>
    </row>
    <row r="1811" ht="12" customFormat="1" customHeight="1" s="65">
      <c r="A1811" s="43" t="n">
        <v>1796</v>
      </c>
      <c r="B1811" s="166" t="n"/>
      <c r="C1811" s="166" t="n"/>
      <c r="D1811" s="166" t="n"/>
      <c r="E1811" s="162" t="n"/>
      <c r="F1811" s="166" t="n"/>
      <c r="G1811" s="162" t="n"/>
      <c r="H1811" s="162" t="n"/>
      <c r="I1811" s="189">
        <f>E1811*G1811</f>
        <v/>
      </c>
      <c r="J1811" s="195" t="n"/>
      <c r="K1811" s="162" t="n"/>
      <c r="L1811" s="168" t="n"/>
      <c r="M1811" s="75">
        <f>_xlfn.XLOOKUP(L1811,list_vat[Страна],list_vat[Ставка НДС %],0,0)</f>
        <v/>
      </c>
      <c r="N1811" s="162">
        <f>IFERROR(IF(L1811="Китай",K1811,K1811/(1+M1811)),0)</f>
        <v/>
      </c>
      <c r="O1811" s="169" t="n"/>
      <c r="P1811" s="76">
        <f>N1811*(1-O1811)</f>
        <v/>
      </c>
      <c r="Q1811" s="162" t="n"/>
      <c r="R1811" s="162">
        <f>IF(ISBLANK(Q1811),"введи курс",P1811/Q1811)</f>
        <v/>
      </c>
      <c r="S1811" s="196">
        <f>IF(AND(ISNUMBER(E1811),ISNUMBER(Q1811)),E1811*R1811,0)</f>
        <v/>
      </c>
      <c r="T1811" s="192">
        <f>$BC1811*V$11</f>
        <v/>
      </c>
      <c r="U1811" s="76">
        <f>$BC1811*W$11</f>
        <v/>
      </c>
      <c r="V1811" s="193">
        <f>+SUM(T1811:U1811)</f>
        <v/>
      </c>
      <c r="W1811" s="191" t="n"/>
      <c r="X1811" s="170" t="n"/>
      <c r="Y1811" s="76">
        <f>ROUND(IF(offer_incoterms="DDP",X1811*(S1811*(1+AW1811)+T1811),0),2)</f>
        <v/>
      </c>
      <c r="Z1811" s="188" t="n"/>
      <c r="AA1811" s="192">
        <f>IFERROR(AB1811/E1811,0)</f>
        <v/>
      </c>
      <c r="AB1811" s="76">
        <f>ROUND(SUM(S1811,V1811,Y1811:Z1811,BA1811:BB1811),2)</f>
        <v/>
      </c>
      <c r="AC1811" s="797" t="n"/>
      <c r="AD1811" s="192">
        <f t="array" ref="AD1811">IFERROR(ROUND((_xlfn.IFS(offer_sale_type="поставка",AB1811,offer_sale_type="транзит",S1811)*(1+AC1811))/E1811,2),0)</f>
        <v/>
      </c>
      <c r="AE1811" s="76">
        <f>AD1811*E1811</f>
        <v/>
      </c>
      <c r="AF1811" s="193">
        <f t="array" ref="AF1811">IFERROR(ROUND(_xlfn.IFS(offer_sale_type="поставка",AB1811,offer_sale_type="транзит",S1811)*AC1811,2),0)</f>
        <v/>
      </c>
      <c r="AG1811" s="192">
        <f>$BD1811*VLOOKUP($AG$3,$AF$4:$AG$7,2,FALSE)</f>
        <v/>
      </c>
      <c r="AH1811" s="76">
        <f>SUM(AE1811,AG1811,AI1811)*rate_forex_risk</f>
        <v/>
      </c>
      <c r="AI1811" s="193">
        <f>IF(OR(seller_region="TR",offer_sale_type="экспорт"),0,rate_fin_comm)*SUM(AZ1811,AZ1811*AW1811,T1811)</f>
        <v/>
      </c>
      <c r="AJ1811" s="118">
        <f>IFERROR(ROUND(SUM(AB1811,AF1811:AI1811)/E1811,2),0)</f>
        <v/>
      </c>
      <c r="AK1811" s="76">
        <f>AJ1811*E1811</f>
        <v/>
      </c>
      <c r="AL1811" s="174">
        <f>ROUND(IFERROR(AM1811*E1811,0),2)</f>
        <v/>
      </c>
      <c r="AM1811" s="175">
        <f>ROUND(AJ1811*(1+IF(offer_incoterms="DDP",IF((TODAY()+offer_turnaround_time)&gt;=helpsheet!$L$17,rate_vatRU_from_26,rate_vatRu_till_25),0)),2)</f>
        <v/>
      </c>
      <c r="AN1811" s="192">
        <f>AL1811-AK1811</f>
        <v/>
      </c>
      <c r="AO1811" s="76">
        <f>SUM(AY1811,Y1811:Z1811,T1811)*IF(AND(offer_incoterms="DDP",offer_sale_type&lt;&gt;"экспорт"),IF((TODAY()+offer_turnaround_time)&gt;=helpsheet!$L$17,rate_vatRU_from_26,rate_vatRu_till_25),0)</f>
        <v/>
      </c>
      <c r="AP1811" s="193">
        <f>AN1811-AO1811</f>
        <v/>
      </c>
      <c r="AQ1811" s="118">
        <f>IF(offer_sale_type="транзит",SUM(AF1811:AI1811,BA1811,BB1811),0)</f>
        <v/>
      </c>
      <c r="AR1811" s="82">
        <f>HYPERLINK("https://www.alta.ru/tnved/code/")&amp;W1811&amp;"/"</f>
        <v/>
      </c>
      <c r="AS1811" s="157" t="n"/>
      <c r="AT1811" s="162" t="n"/>
      <c r="AU1811" s="76">
        <f>IF(ISBLANK(AT1811),0,AJ1811-AT1811)</f>
        <v/>
      </c>
      <c r="AV1811" s="157" t="n"/>
      <c r="AW1811" s="75">
        <f>_xlfn.IFNA(VLOOKUP(L1811,list_vat[],3,FALSE),0)</f>
        <v/>
      </c>
      <c r="AX1811" s="76">
        <f>IFERROR(ROUND(S1811*(1+AW1811)/E1811,2),0)</f>
        <v/>
      </c>
      <c r="AY1811" s="76">
        <f>E1811*AX1811</f>
        <v/>
      </c>
      <c r="AZ1811" s="192">
        <f>S1811*(1+M1811)</f>
        <v/>
      </c>
      <c r="BA1811" s="76">
        <f>cost_fin_total*$BD1811</f>
        <v/>
      </c>
      <c r="BB1811" s="193">
        <f>credit_sales_interest*BD1811</f>
        <v/>
      </c>
      <c r="BC1811" s="102">
        <f>IFERROR(IF($I$13&gt;0,$I1811/$I$13,$S1811/$S$13),0)</f>
        <v/>
      </c>
      <c r="BD1811" s="102">
        <f>IFERROR($S1811/$S$13,0)</f>
        <v/>
      </c>
      <c r="BE1811" s="413" t="inlineStr">
        <is>
          <t>$</t>
        </is>
      </c>
    </row>
    <row r="1812" ht="12" customFormat="1" customHeight="1" s="65">
      <c r="A1812" s="43" t="n">
        <v>1797</v>
      </c>
      <c r="B1812" s="166" t="n"/>
      <c r="C1812" s="166" t="n"/>
      <c r="D1812" s="166" t="n"/>
      <c r="E1812" s="162" t="n"/>
      <c r="F1812" s="166" t="n"/>
      <c r="G1812" s="162" t="n"/>
      <c r="H1812" s="162" t="n"/>
      <c r="I1812" s="189">
        <f>E1812*G1812</f>
        <v/>
      </c>
      <c r="J1812" s="195" t="n"/>
      <c r="K1812" s="162" t="n"/>
      <c r="L1812" s="168" t="n"/>
      <c r="M1812" s="75">
        <f>_xlfn.XLOOKUP(L1812,list_vat[Страна],list_vat[Ставка НДС %],0,0)</f>
        <v/>
      </c>
      <c r="N1812" s="162">
        <f>IFERROR(IF(L1812="Китай",K1812,K1812/(1+M1812)),0)</f>
        <v/>
      </c>
      <c r="O1812" s="169" t="n"/>
      <c r="P1812" s="76">
        <f>N1812*(1-O1812)</f>
        <v/>
      </c>
      <c r="Q1812" s="162" t="n"/>
      <c r="R1812" s="162">
        <f>IF(ISBLANK(Q1812),"введи курс",P1812/Q1812)</f>
        <v/>
      </c>
      <c r="S1812" s="196">
        <f>IF(AND(ISNUMBER(E1812),ISNUMBER(Q1812)),E1812*R1812,0)</f>
        <v/>
      </c>
      <c r="T1812" s="192">
        <f>$BC1812*V$11</f>
        <v/>
      </c>
      <c r="U1812" s="76">
        <f>$BC1812*W$11</f>
        <v/>
      </c>
      <c r="V1812" s="193">
        <f>+SUM(T1812:U1812)</f>
        <v/>
      </c>
      <c r="W1812" s="191" t="n"/>
      <c r="X1812" s="170" t="n"/>
      <c r="Y1812" s="76">
        <f>ROUND(IF(offer_incoterms="DDP",X1812*(S1812*(1+AW1812)+T1812),0),2)</f>
        <v/>
      </c>
      <c r="Z1812" s="188" t="n"/>
      <c r="AA1812" s="192">
        <f>IFERROR(AB1812/E1812,0)</f>
        <v/>
      </c>
      <c r="AB1812" s="76">
        <f>ROUND(SUM(S1812,V1812,Y1812:Z1812,BA1812:BB1812),2)</f>
        <v/>
      </c>
      <c r="AC1812" s="797" t="n"/>
      <c r="AD1812" s="192">
        <f t="array" ref="AD1812">IFERROR(ROUND((_xlfn.IFS(offer_sale_type="поставка",AB1812,offer_sale_type="транзит",S1812)*(1+AC1812))/E1812,2),0)</f>
        <v/>
      </c>
      <c r="AE1812" s="76">
        <f>AD1812*E1812</f>
        <v/>
      </c>
      <c r="AF1812" s="193">
        <f t="array" ref="AF1812">IFERROR(ROUND(_xlfn.IFS(offer_sale_type="поставка",AB1812,offer_sale_type="транзит",S1812)*AC1812,2),0)</f>
        <v/>
      </c>
      <c r="AG1812" s="192">
        <f>$BD1812*VLOOKUP($AG$3,$AF$4:$AG$7,2,FALSE)</f>
        <v/>
      </c>
      <c r="AH1812" s="76">
        <f>SUM(AE1812,AG1812,AI1812)*rate_forex_risk</f>
        <v/>
      </c>
      <c r="AI1812" s="193">
        <f>IF(OR(seller_region="TR",offer_sale_type="экспорт"),0,rate_fin_comm)*SUM(AZ1812,AZ1812*AW1812,T1812)</f>
        <v/>
      </c>
      <c r="AJ1812" s="118">
        <f>IFERROR(ROUND(SUM(AB1812,AF1812:AI1812)/E1812,2),0)</f>
        <v/>
      </c>
      <c r="AK1812" s="76">
        <f>AJ1812*E1812</f>
        <v/>
      </c>
      <c r="AL1812" s="174">
        <f>ROUND(IFERROR(AM1812*E1812,0),2)</f>
        <v/>
      </c>
      <c r="AM1812" s="175">
        <f>ROUND(AJ1812*(1+IF(offer_incoterms="DDP",IF((TODAY()+offer_turnaround_time)&gt;=helpsheet!$L$17,rate_vatRU_from_26,rate_vatRu_till_25),0)),2)</f>
        <v/>
      </c>
      <c r="AN1812" s="192">
        <f>AL1812-AK1812</f>
        <v/>
      </c>
      <c r="AO1812" s="76">
        <f>SUM(AY1812,Y1812:Z1812,T1812)*IF(AND(offer_incoterms="DDP",offer_sale_type&lt;&gt;"экспорт"),IF((TODAY()+offer_turnaround_time)&gt;=helpsheet!$L$17,rate_vatRU_from_26,rate_vatRu_till_25),0)</f>
        <v/>
      </c>
      <c r="AP1812" s="193">
        <f>AN1812-AO1812</f>
        <v/>
      </c>
      <c r="AQ1812" s="118">
        <f>IF(offer_sale_type="транзит",SUM(AF1812:AI1812,BA1812,BB1812),0)</f>
        <v/>
      </c>
      <c r="AR1812" s="82">
        <f>HYPERLINK("https://www.alta.ru/tnved/code/")&amp;W1812&amp;"/"</f>
        <v/>
      </c>
      <c r="AS1812" s="157" t="n"/>
      <c r="AT1812" s="162" t="n"/>
      <c r="AU1812" s="76">
        <f>IF(ISBLANK(AT1812),0,AJ1812-AT1812)</f>
        <v/>
      </c>
      <c r="AV1812" s="157" t="n"/>
      <c r="AW1812" s="75">
        <f>_xlfn.IFNA(VLOOKUP(L1812,list_vat[],3,FALSE),0)</f>
        <v/>
      </c>
      <c r="AX1812" s="76">
        <f>IFERROR(ROUND(S1812*(1+AW1812)/E1812,2),0)</f>
        <v/>
      </c>
      <c r="AY1812" s="76">
        <f>E1812*AX1812</f>
        <v/>
      </c>
      <c r="AZ1812" s="192">
        <f>S1812*(1+M1812)</f>
        <v/>
      </c>
      <c r="BA1812" s="76">
        <f>cost_fin_total*$BD1812</f>
        <v/>
      </c>
      <c r="BB1812" s="193">
        <f>credit_sales_interest*BD1812</f>
        <v/>
      </c>
      <c r="BC1812" s="102">
        <f>IFERROR(IF($I$13&gt;0,$I1812/$I$13,$S1812/$S$13),0)</f>
        <v/>
      </c>
      <c r="BD1812" s="102">
        <f>IFERROR($S1812/$S$13,0)</f>
        <v/>
      </c>
      <c r="BE1812" s="413" t="inlineStr">
        <is>
          <t>$</t>
        </is>
      </c>
    </row>
    <row r="1813" ht="12" customFormat="1" customHeight="1" s="65">
      <c r="A1813" s="43" t="n">
        <v>1798</v>
      </c>
      <c r="B1813" s="166" t="n"/>
      <c r="C1813" s="166" t="n"/>
      <c r="D1813" s="166" t="n"/>
      <c r="E1813" s="162" t="n"/>
      <c r="F1813" s="166" t="n"/>
      <c r="G1813" s="162" t="n"/>
      <c r="H1813" s="162" t="n"/>
      <c r="I1813" s="189">
        <f>E1813*G1813</f>
        <v/>
      </c>
      <c r="J1813" s="195" t="n"/>
      <c r="K1813" s="162" t="n"/>
      <c r="L1813" s="168" t="n"/>
      <c r="M1813" s="75">
        <f>_xlfn.XLOOKUP(L1813,list_vat[Страна],list_vat[Ставка НДС %],0,0)</f>
        <v/>
      </c>
      <c r="N1813" s="162">
        <f>IFERROR(IF(L1813="Китай",K1813,K1813/(1+M1813)),0)</f>
        <v/>
      </c>
      <c r="O1813" s="169" t="n"/>
      <c r="P1813" s="76">
        <f>N1813*(1-O1813)</f>
        <v/>
      </c>
      <c r="Q1813" s="162" t="n"/>
      <c r="R1813" s="162">
        <f>IF(ISBLANK(Q1813),"введи курс",P1813/Q1813)</f>
        <v/>
      </c>
      <c r="S1813" s="196">
        <f>IF(AND(ISNUMBER(E1813),ISNUMBER(Q1813)),E1813*R1813,0)</f>
        <v/>
      </c>
      <c r="T1813" s="192">
        <f>$BC1813*V$11</f>
        <v/>
      </c>
      <c r="U1813" s="76">
        <f>$BC1813*W$11</f>
        <v/>
      </c>
      <c r="V1813" s="193">
        <f>+SUM(T1813:U1813)</f>
        <v/>
      </c>
      <c r="W1813" s="191" t="n"/>
      <c r="X1813" s="170" t="n"/>
      <c r="Y1813" s="76">
        <f>ROUND(IF(offer_incoterms="DDP",X1813*(S1813*(1+AW1813)+T1813),0),2)</f>
        <v/>
      </c>
      <c r="Z1813" s="188" t="n"/>
      <c r="AA1813" s="192">
        <f>IFERROR(AB1813/E1813,0)</f>
        <v/>
      </c>
      <c r="AB1813" s="76">
        <f>ROUND(SUM(S1813,V1813,Y1813:Z1813,BA1813:BB1813),2)</f>
        <v/>
      </c>
      <c r="AC1813" s="797" t="n"/>
      <c r="AD1813" s="192">
        <f t="array" ref="AD1813">IFERROR(ROUND((_xlfn.IFS(offer_sale_type="поставка",AB1813,offer_sale_type="транзит",S1813)*(1+AC1813))/E1813,2),0)</f>
        <v/>
      </c>
      <c r="AE1813" s="76">
        <f>AD1813*E1813</f>
        <v/>
      </c>
      <c r="AF1813" s="193">
        <f t="array" ref="AF1813">IFERROR(ROUND(_xlfn.IFS(offer_sale_type="поставка",AB1813,offer_sale_type="транзит",S1813)*AC1813,2),0)</f>
        <v/>
      </c>
      <c r="AG1813" s="192">
        <f>$BD1813*VLOOKUP($AG$3,$AF$4:$AG$7,2,FALSE)</f>
        <v/>
      </c>
      <c r="AH1813" s="76">
        <f>SUM(AE1813,AG1813,AI1813)*rate_forex_risk</f>
        <v/>
      </c>
      <c r="AI1813" s="193">
        <f>IF(OR(seller_region="TR",offer_sale_type="экспорт"),0,rate_fin_comm)*SUM(AZ1813,AZ1813*AW1813,T1813)</f>
        <v/>
      </c>
      <c r="AJ1813" s="118">
        <f>IFERROR(ROUND(SUM(AB1813,AF1813:AI1813)/E1813,2),0)</f>
        <v/>
      </c>
      <c r="AK1813" s="76">
        <f>AJ1813*E1813</f>
        <v/>
      </c>
      <c r="AL1813" s="174">
        <f>ROUND(IFERROR(AM1813*E1813,0),2)</f>
        <v/>
      </c>
      <c r="AM1813" s="175">
        <f>ROUND(AJ1813*(1+IF(offer_incoterms="DDP",IF((TODAY()+offer_turnaround_time)&gt;=helpsheet!$L$17,rate_vatRU_from_26,rate_vatRu_till_25),0)),2)</f>
        <v/>
      </c>
      <c r="AN1813" s="192">
        <f>AL1813-AK1813</f>
        <v/>
      </c>
      <c r="AO1813" s="76">
        <f>SUM(AY1813,Y1813:Z1813,T1813)*IF(AND(offer_incoterms="DDP",offer_sale_type&lt;&gt;"экспорт"),IF((TODAY()+offer_turnaround_time)&gt;=helpsheet!$L$17,rate_vatRU_from_26,rate_vatRu_till_25),0)</f>
        <v/>
      </c>
      <c r="AP1813" s="193">
        <f>AN1813-AO1813</f>
        <v/>
      </c>
      <c r="AQ1813" s="118">
        <f>IF(offer_sale_type="транзит",SUM(AF1813:AI1813,BA1813,BB1813),0)</f>
        <v/>
      </c>
      <c r="AR1813" s="82">
        <f>HYPERLINK("https://www.alta.ru/tnved/code/")&amp;W1813&amp;"/"</f>
        <v/>
      </c>
      <c r="AS1813" s="157" t="n"/>
      <c r="AT1813" s="162" t="n"/>
      <c r="AU1813" s="76">
        <f>IF(ISBLANK(AT1813),0,AJ1813-AT1813)</f>
        <v/>
      </c>
      <c r="AV1813" s="157" t="n"/>
      <c r="AW1813" s="75">
        <f>_xlfn.IFNA(VLOOKUP(L1813,list_vat[],3,FALSE),0)</f>
        <v/>
      </c>
      <c r="AX1813" s="76">
        <f>IFERROR(ROUND(S1813*(1+AW1813)/E1813,2),0)</f>
        <v/>
      </c>
      <c r="AY1813" s="76">
        <f>E1813*AX1813</f>
        <v/>
      </c>
      <c r="AZ1813" s="192">
        <f>S1813*(1+M1813)</f>
        <v/>
      </c>
      <c r="BA1813" s="76">
        <f>cost_fin_total*$BD1813</f>
        <v/>
      </c>
      <c r="BB1813" s="193">
        <f>credit_sales_interest*BD1813</f>
        <v/>
      </c>
      <c r="BC1813" s="102">
        <f>IFERROR(IF($I$13&gt;0,$I1813/$I$13,$S1813/$S$13),0)</f>
        <v/>
      </c>
      <c r="BD1813" s="102">
        <f>IFERROR($S1813/$S$13,0)</f>
        <v/>
      </c>
      <c r="BE1813" s="413" t="inlineStr">
        <is>
          <t>$</t>
        </is>
      </c>
    </row>
    <row r="1814" ht="12" customFormat="1" customHeight="1" s="65">
      <c r="A1814" s="43" t="n">
        <v>1799</v>
      </c>
      <c r="B1814" s="166" t="n"/>
      <c r="C1814" s="166" t="n"/>
      <c r="D1814" s="166" t="n"/>
      <c r="E1814" s="162" t="n"/>
      <c r="F1814" s="166" t="n"/>
      <c r="G1814" s="162" t="n"/>
      <c r="H1814" s="162" t="n"/>
      <c r="I1814" s="189">
        <f>E1814*G1814</f>
        <v/>
      </c>
      <c r="J1814" s="195" t="n"/>
      <c r="K1814" s="162" t="n"/>
      <c r="L1814" s="168" t="n"/>
      <c r="M1814" s="75">
        <f>_xlfn.XLOOKUP(L1814,list_vat[Страна],list_vat[Ставка НДС %],0,0)</f>
        <v/>
      </c>
      <c r="N1814" s="162">
        <f>IFERROR(IF(L1814="Китай",K1814,K1814/(1+M1814)),0)</f>
        <v/>
      </c>
      <c r="O1814" s="169" t="n"/>
      <c r="P1814" s="76">
        <f>N1814*(1-O1814)</f>
        <v/>
      </c>
      <c r="Q1814" s="162" t="n"/>
      <c r="R1814" s="162">
        <f>IF(ISBLANK(Q1814),"введи курс",P1814/Q1814)</f>
        <v/>
      </c>
      <c r="S1814" s="196">
        <f>IF(AND(ISNUMBER(E1814),ISNUMBER(Q1814)),E1814*R1814,0)</f>
        <v/>
      </c>
      <c r="T1814" s="192">
        <f>$BC1814*V$11</f>
        <v/>
      </c>
      <c r="U1814" s="76">
        <f>$BC1814*W$11</f>
        <v/>
      </c>
      <c r="V1814" s="193">
        <f>+SUM(T1814:U1814)</f>
        <v/>
      </c>
      <c r="W1814" s="191" t="n"/>
      <c r="X1814" s="170" t="n"/>
      <c r="Y1814" s="76">
        <f>ROUND(IF(offer_incoterms="DDP",X1814*(S1814*(1+AW1814)+T1814),0),2)</f>
        <v/>
      </c>
      <c r="Z1814" s="188" t="n"/>
      <c r="AA1814" s="192">
        <f>IFERROR(AB1814/E1814,0)</f>
        <v/>
      </c>
      <c r="AB1814" s="76">
        <f>ROUND(SUM(S1814,V1814,Y1814:Z1814,BA1814:BB1814),2)</f>
        <v/>
      </c>
      <c r="AC1814" s="797" t="n"/>
      <c r="AD1814" s="192">
        <f t="array" ref="AD1814">IFERROR(ROUND((_xlfn.IFS(offer_sale_type="поставка",AB1814,offer_sale_type="транзит",S1814)*(1+AC1814))/E1814,2),0)</f>
        <v/>
      </c>
      <c r="AE1814" s="76">
        <f>AD1814*E1814</f>
        <v/>
      </c>
      <c r="AF1814" s="193">
        <f t="array" ref="AF1814">IFERROR(ROUND(_xlfn.IFS(offer_sale_type="поставка",AB1814,offer_sale_type="транзит",S1814)*AC1814,2),0)</f>
        <v/>
      </c>
      <c r="AG1814" s="192">
        <f>$BD1814*VLOOKUP($AG$3,$AF$4:$AG$7,2,FALSE)</f>
        <v/>
      </c>
      <c r="AH1814" s="76">
        <f>SUM(AE1814,AG1814,AI1814)*rate_forex_risk</f>
        <v/>
      </c>
      <c r="AI1814" s="193">
        <f>IF(OR(seller_region="TR",offer_sale_type="экспорт"),0,rate_fin_comm)*SUM(AZ1814,AZ1814*AW1814,T1814)</f>
        <v/>
      </c>
      <c r="AJ1814" s="118">
        <f>IFERROR(ROUND(SUM(AB1814,AF1814:AI1814)/E1814,2),0)</f>
        <v/>
      </c>
      <c r="AK1814" s="76">
        <f>AJ1814*E1814</f>
        <v/>
      </c>
      <c r="AL1814" s="174">
        <f>ROUND(IFERROR(AM1814*E1814,0),2)</f>
        <v/>
      </c>
      <c r="AM1814" s="175">
        <f>ROUND(AJ1814*(1+IF(offer_incoterms="DDP",IF((TODAY()+offer_turnaround_time)&gt;=helpsheet!$L$17,rate_vatRU_from_26,rate_vatRu_till_25),0)),2)</f>
        <v/>
      </c>
      <c r="AN1814" s="192">
        <f>AL1814-AK1814</f>
        <v/>
      </c>
      <c r="AO1814" s="76">
        <f>SUM(AY1814,Y1814:Z1814,T1814)*IF(AND(offer_incoterms="DDP",offer_sale_type&lt;&gt;"экспорт"),IF((TODAY()+offer_turnaround_time)&gt;=helpsheet!$L$17,rate_vatRU_from_26,rate_vatRu_till_25),0)</f>
        <v/>
      </c>
      <c r="AP1814" s="193">
        <f>AN1814-AO1814</f>
        <v/>
      </c>
      <c r="AQ1814" s="118">
        <f>IF(offer_sale_type="транзит",SUM(AF1814:AI1814,BA1814,BB1814),0)</f>
        <v/>
      </c>
      <c r="AR1814" s="82">
        <f>HYPERLINK("https://www.alta.ru/tnved/code/")&amp;W1814&amp;"/"</f>
        <v/>
      </c>
      <c r="AS1814" s="157" t="n"/>
      <c r="AT1814" s="162" t="n"/>
      <c r="AU1814" s="76">
        <f>IF(ISBLANK(AT1814),0,AJ1814-AT1814)</f>
        <v/>
      </c>
      <c r="AV1814" s="157" t="n"/>
      <c r="AW1814" s="75">
        <f>_xlfn.IFNA(VLOOKUP(L1814,list_vat[],3,FALSE),0)</f>
        <v/>
      </c>
      <c r="AX1814" s="76">
        <f>IFERROR(ROUND(S1814*(1+AW1814)/E1814,2),0)</f>
        <v/>
      </c>
      <c r="AY1814" s="76">
        <f>E1814*AX1814</f>
        <v/>
      </c>
      <c r="AZ1814" s="192">
        <f>S1814*(1+M1814)</f>
        <v/>
      </c>
      <c r="BA1814" s="76">
        <f>cost_fin_total*$BD1814</f>
        <v/>
      </c>
      <c r="BB1814" s="193">
        <f>credit_sales_interest*BD1814</f>
        <v/>
      </c>
      <c r="BC1814" s="102">
        <f>IFERROR(IF($I$13&gt;0,$I1814/$I$13,$S1814/$S$13),0)</f>
        <v/>
      </c>
      <c r="BD1814" s="102">
        <f>IFERROR($S1814/$S$13,0)</f>
        <v/>
      </c>
      <c r="BE1814" s="413" t="inlineStr">
        <is>
          <t>$</t>
        </is>
      </c>
    </row>
    <row r="1815" ht="12" customFormat="1" customHeight="1" s="65">
      <c r="A1815" s="43" t="n">
        <v>1800</v>
      </c>
      <c r="B1815" s="166" t="n"/>
      <c r="C1815" s="166" t="n"/>
      <c r="D1815" s="166" t="n"/>
      <c r="E1815" s="162" t="n"/>
      <c r="F1815" s="166" t="n"/>
      <c r="G1815" s="162" t="n"/>
      <c r="H1815" s="162" t="n"/>
      <c r="I1815" s="189">
        <f>E1815*G1815</f>
        <v/>
      </c>
      <c r="J1815" s="195" t="n"/>
      <c r="K1815" s="162" t="n"/>
      <c r="L1815" s="168" t="n"/>
      <c r="M1815" s="75">
        <f>_xlfn.XLOOKUP(L1815,list_vat[Страна],list_vat[Ставка НДС %],0,0)</f>
        <v/>
      </c>
      <c r="N1815" s="162">
        <f>IFERROR(IF(L1815="Китай",K1815,K1815/(1+M1815)),0)</f>
        <v/>
      </c>
      <c r="O1815" s="169" t="n"/>
      <c r="P1815" s="76">
        <f>N1815*(1-O1815)</f>
        <v/>
      </c>
      <c r="Q1815" s="162" t="n"/>
      <c r="R1815" s="162">
        <f>IF(ISBLANK(Q1815),"введи курс",P1815/Q1815)</f>
        <v/>
      </c>
      <c r="S1815" s="196">
        <f>IF(AND(ISNUMBER(E1815),ISNUMBER(Q1815)),E1815*R1815,0)</f>
        <v/>
      </c>
      <c r="T1815" s="192">
        <f>$BC1815*V$11</f>
        <v/>
      </c>
      <c r="U1815" s="76">
        <f>$BC1815*W$11</f>
        <v/>
      </c>
      <c r="V1815" s="193">
        <f>+SUM(T1815:U1815)</f>
        <v/>
      </c>
      <c r="W1815" s="191" t="n"/>
      <c r="X1815" s="170" t="n"/>
      <c r="Y1815" s="76">
        <f>ROUND(IF(offer_incoterms="DDP",X1815*(S1815*(1+AW1815)+T1815),0),2)</f>
        <v/>
      </c>
      <c r="Z1815" s="188" t="n"/>
      <c r="AA1815" s="192">
        <f>IFERROR(AB1815/E1815,0)</f>
        <v/>
      </c>
      <c r="AB1815" s="76">
        <f>ROUND(SUM(S1815,V1815,Y1815:Z1815,BA1815:BB1815),2)</f>
        <v/>
      </c>
      <c r="AC1815" s="797" t="n"/>
      <c r="AD1815" s="192">
        <f t="array" ref="AD1815">IFERROR(ROUND((_xlfn.IFS(offer_sale_type="поставка",AB1815,offer_sale_type="транзит",S1815)*(1+AC1815))/E1815,2),0)</f>
        <v/>
      </c>
      <c r="AE1815" s="76">
        <f>AD1815*E1815</f>
        <v/>
      </c>
      <c r="AF1815" s="193">
        <f t="array" ref="AF1815">IFERROR(ROUND(_xlfn.IFS(offer_sale_type="поставка",AB1815,offer_sale_type="транзит",S1815)*AC1815,2),0)</f>
        <v/>
      </c>
      <c r="AG1815" s="192">
        <f>$BD1815*VLOOKUP($AG$3,$AF$4:$AG$7,2,FALSE)</f>
        <v/>
      </c>
      <c r="AH1815" s="76">
        <f>SUM(AE1815,AG1815,AI1815)*rate_forex_risk</f>
        <v/>
      </c>
      <c r="AI1815" s="193">
        <f>IF(OR(seller_region="TR",offer_sale_type="экспорт"),0,rate_fin_comm)*SUM(AZ1815,AZ1815*AW1815,T1815)</f>
        <v/>
      </c>
      <c r="AJ1815" s="118">
        <f>IFERROR(ROUND(SUM(AB1815,AF1815:AI1815)/E1815,2),0)</f>
        <v/>
      </c>
      <c r="AK1815" s="76">
        <f>AJ1815*E1815</f>
        <v/>
      </c>
      <c r="AL1815" s="174">
        <f>ROUND(IFERROR(AM1815*E1815,0),2)</f>
        <v/>
      </c>
      <c r="AM1815" s="175">
        <f>ROUND(AJ1815*(1+IF(offer_incoterms="DDP",IF((TODAY()+offer_turnaround_time)&gt;=helpsheet!$L$17,rate_vatRU_from_26,rate_vatRu_till_25),0)),2)</f>
        <v/>
      </c>
      <c r="AN1815" s="192">
        <f>AL1815-AK1815</f>
        <v/>
      </c>
      <c r="AO1815" s="76">
        <f>SUM(AY1815,Y1815:Z1815,T1815)*IF(AND(offer_incoterms="DDP",offer_sale_type&lt;&gt;"экспорт"),IF((TODAY()+offer_turnaround_time)&gt;=helpsheet!$L$17,rate_vatRU_from_26,rate_vatRu_till_25),0)</f>
        <v/>
      </c>
      <c r="AP1815" s="193">
        <f>AN1815-AO1815</f>
        <v/>
      </c>
      <c r="AQ1815" s="118">
        <f>IF(offer_sale_type="транзит",SUM(AF1815:AI1815,BA1815,BB1815),0)</f>
        <v/>
      </c>
      <c r="AR1815" s="82">
        <f>HYPERLINK("https://www.alta.ru/tnved/code/")&amp;W1815&amp;"/"</f>
        <v/>
      </c>
      <c r="AS1815" s="157" t="n"/>
      <c r="AT1815" s="162" t="n"/>
      <c r="AU1815" s="76">
        <f>IF(ISBLANK(AT1815),0,AJ1815-AT1815)</f>
        <v/>
      </c>
      <c r="AV1815" s="157" t="n"/>
      <c r="AW1815" s="75">
        <f>_xlfn.IFNA(VLOOKUP(L1815,list_vat[],3,FALSE),0)</f>
        <v/>
      </c>
      <c r="AX1815" s="76">
        <f>IFERROR(ROUND(S1815*(1+AW1815)/E1815,2),0)</f>
        <v/>
      </c>
      <c r="AY1815" s="76">
        <f>E1815*AX1815</f>
        <v/>
      </c>
      <c r="AZ1815" s="192">
        <f>S1815*(1+M1815)</f>
        <v/>
      </c>
      <c r="BA1815" s="76">
        <f>cost_fin_total*$BD1815</f>
        <v/>
      </c>
      <c r="BB1815" s="193">
        <f>credit_sales_interest*BD1815</f>
        <v/>
      </c>
      <c r="BC1815" s="102">
        <f>IFERROR(IF($I$13&gt;0,$I1815/$I$13,$S1815/$S$13),0)</f>
        <v/>
      </c>
      <c r="BD1815" s="102">
        <f>IFERROR($S1815/$S$13,0)</f>
        <v/>
      </c>
      <c r="BE1815" s="413" t="inlineStr">
        <is>
          <t>$</t>
        </is>
      </c>
    </row>
    <row r="1816" ht="12" customFormat="1" customHeight="1" s="65">
      <c r="A1816" s="43" t="n">
        <v>1801</v>
      </c>
      <c r="B1816" s="166" t="n"/>
      <c r="C1816" s="166" t="n"/>
      <c r="D1816" s="166" t="n"/>
      <c r="E1816" s="162" t="n"/>
      <c r="F1816" s="166" t="n"/>
      <c r="G1816" s="162" t="n"/>
      <c r="H1816" s="162" t="n"/>
      <c r="I1816" s="189">
        <f>E1816*G1816</f>
        <v/>
      </c>
      <c r="J1816" s="195" t="n"/>
      <c r="K1816" s="162" t="n"/>
      <c r="L1816" s="168" t="n"/>
      <c r="M1816" s="75">
        <f>_xlfn.XLOOKUP(L1816,list_vat[Страна],list_vat[Ставка НДС %],0,0)</f>
        <v/>
      </c>
      <c r="N1816" s="162">
        <f>IFERROR(IF(L1816="Китай",K1816,K1816/(1+M1816)),0)</f>
        <v/>
      </c>
      <c r="O1816" s="169" t="n"/>
      <c r="P1816" s="76">
        <f>N1816*(1-O1816)</f>
        <v/>
      </c>
      <c r="Q1816" s="162" t="n"/>
      <c r="R1816" s="162">
        <f>IF(ISBLANK(Q1816),"введи курс",P1816/Q1816)</f>
        <v/>
      </c>
      <c r="S1816" s="196">
        <f>IF(AND(ISNUMBER(E1816),ISNUMBER(Q1816)),E1816*R1816,0)</f>
        <v/>
      </c>
      <c r="T1816" s="192">
        <f>$BC1816*V$11</f>
        <v/>
      </c>
      <c r="U1816" s="76">
        <f>$BC1816*W$11</f>
        <v/>
      </c>
      <c r="V1816" s="193">
        <f>+SUM(T1816:U1816)</f>
        <v/>
      </c>
      <c r="W1816" s="191" t="n"/>
      <c r="X1816" s="170" t="n"/>
      <c r="Y1816" s="76">
        <f>ROUND(IF(offer_incoterms="DDP",X1816*(S1816*(1+AW1816)+T1816),0),2)</f>
        <v/>
      </c>
      <c r="Z1816" s="188" t="n"/>
      <c r="AA1816" s="192">
        <f>IFERROR(AB1816/E1816,0)</f>
        <v/>
      </c>
      <c r="AB1816" s="76">
        <f>ROUND(SUM(S1816,V1816,Y1816:Z1816,BA1816:BB1816),2)</f>
        <v/>
      </c>
      <c r="AC1816" s="797" t="n"/>
      <c r="AD1816" s="192">
        <f t="array" ref="AD1816">IFERROR(ROUND((_xlfn.IFS(offer_sale_type="поставка",AB1816,offer_sale_type="транзит",S1816)*(1+AC1816))/E1816,2),0)</f>
        <v/>
      </c>
      <c r="AE1816" s="76">
        <f>AD1816*E1816</f>
        <v/>
      </c>
      <c r="AF1816" s="193">
        <f t="array" ref="AF1816">IFERROR(ROUND(_xlfn.IFS(offer_sale_type="поставка",AB1816,offer_sale_type="транзит",S1816)*AC1816,2),0)</f>
        <v/>
      </c>
      <c r="AG1816" s="192">
        <f>$BD1816*VLOOKUP($AG$3,$AF$4:$AG$7,2,FALSE)</f>
        <v/>
      </c>
      <c r="AH1816" s="76">
        <f>SUM(AE1816,AG1816,AI1816)*rate_forex_risk</f>
        <v/>
      </c>
      <c r="AI1816" s="193">
        <f>IF(OR(seller_region="TR",offer_sale_type="экспорт"),0,rate_fin_comm)*SUM(AZ1816,AZ1816*AW1816,T1816)</f>
        <v/>
      </c>
      <c r="AJ1816" s="118">
        <f>IFERROR(ROUND(SUM(AB1816,AF1816:AI1816)/E1816,2),0)</f>
        <v/>
      </c>
      <c r="AK1816" s="76">
        <f>AJ1816*E1816</f>
        <v/>
      </c>
      <c r="AL1816" s="174">
        <f>ROUND(IFERROR(AM1816*E1816,0),2)</f>
        <v/>
      </c>
      <c r="AM1816" s="175">
        <f>ROUND(AJ1816*(1+IF(offer_incoterms="DDP",IF((TODAY()+offer_turnaround_time)&gt;=helpsheet!$L$17,rate_vatRU_from_26,rate_vatRu_till_25),0)),2)</f>
        <v/>
      </c>
      <c r="AN1816" s="192">
        <f>AL1816-AK1816</f>
        <v/>
      </c>
      <c r="AO1816" s="76">
        <f>SUM(AY1816,Y1816:Z1816,T1816)*IF(AND(offer_incoterms="DDP",offer_sale_type&lt;&gt;"экспорт"),IF((TODAY()+offer_turnaround_time)&gt;=helpsheet!$L$17,rate_vatRU_from_26,rate_vatRu_till_25),0)</f>
        <v/>
      </c>
      <c r="AP1816" s="193">
        <f>AN1816-AO1816</f>
        <v/>
      </c>
      <c r="AQ1816" s="118">
        <f>IF(offer_sale_type="транзит",SUM(AF1816:AI1816,BA1816,BB1816),0)</f>
        <v/>
      </c>
      <c r="AR1816" s="82">
        <f>HYPERLINK("https://www.alta.ru/tnved/code/")&amp;W1816&amp;"/"</f>
        <v/>
      </c>
      <c r="AS1816" s="157" t="n"/>
      <c r="AT1816" s="162" t="n"/>
      <c r="AU1816" s="76">
        <f>IF(ISBLANK(AT1816),0,AJ1816-AT1816)</f>
        <v/>
      </c>
      <c r="AV1816" s="157" t="n"/>
      <c r="AW1816" s="75">
        <f>_xlfn.IFNA(VLOOKUP(L1816,list_vat[],3,FALSE),0)</f>
        <v/>
      </c>
      <c r="AX1816" s="76">
        <f>IFERROR(ROUND(S1816*(1+AW1816)/E1816,2),0)</f>
        <v/>
      </c>
      <c r="AY1816" s="76">
        <f>E1816*AX1816</f>
        <v/>
      </c>
      <c r="AZ1816" s="192">
        <f>S1816*(1+M1816)</f>
        <v/>
      </c>
      <c r="BA1816" s="76">
        <f>cost_fin_total*$BD1816</f>
        <v/>
      </c>
      <c r="BB1816" s="193">
        <f>credit_sales_interest*BD1816</f>
        <v/>
      </c>
      <c r="BC1816" s="102">
        <f>IFERROR(IF($I$13&gt;0,$I1816/$I$13,$S1816/$S$13),0)</f>
        <v/>
      </c>
      <c r="BD1816" s="102">
        <f>IFERROR($S1816/$S$13,0)</f>
        <v/>
      </c>
      <c r="BE1816" s="413" t="inlineStr">
        <is>
          <t>$</t>
        </is>
      </c>
    </row>
    <row r="1817" ht="12" customFormat="1" customHeight="1" s="65">
      <c r="A1817" s="43" t="n">
        <v>1802</v>
      </c>
      <c r="B1817" s="166" t="n"/>
      <c r="C1817" s="166" t="n"/>
      <c r="D1817" s="166" t="n"/>
      <c r="E1817" s="162" t="n"/>
      <c r="F1817" s="166" t="n"/>
      <c r="G1817" s="162" t="n"/>
      <c r="H1817" s="162" t="n"/>
      <c r="I1817" s="189">
        <f>E1817*G1817</f>
        <v/>
      </c>
      <c r="J1817" s="195" t="n"/>
      <c r="K1817" s="162" t="n"/>
      <c r="L1817" s="168" t="n"/>
      <c r="M1817" s="75">
        <f>_xlfn.XLOOKUP(L1817,list_vat[Страна],list_vat[Ставка НДС %],0,0)</f>
        <v/>
      </c>
      <c r="N1817" s="162">
        <f>IFERROR(IF(L1817="Китай",K1817,K1817/(1+M1817)),0)</f>
        <v/>
      </c>
      <c r="O1817" s="169" t="n"/>
      <c r="P1817" s="76">
        <f>N1817*(1-O1817)</f>
        <v/>
      </c>
      <c r="Q1817" s="162" t="n"/>
      <c r="R1817" s="162">
        <f>IF(ISBLANK(Q1817),"введи курс",P1817/Q1817)</f>
        <v/>
      </c>
      <c r="S1817" s="196">
        <f>IF(AND(ISNUMBER(E1817),ISNUMBER(Q1817)),E1817*R1817,0)</f>
        <v/>
      </c>
      <c r="T1817" s="192">
        <f>$BC1817*V$11</f>
        <v/>
      </c>
      <c r="U1817" s="76">
        <f>$BC1817*W$11</f>
        <v/>
      </c>
      <c r="V1817" s="193">
        <f>+SUM(T1817:U1817)</f>
        <v/>
      </c>
      <c r="W1817" s="191" t="n"/>
      <c r="X1817" s="170" t="n"/>
      <c r="Y1817" s="76">
        <f>ROUND(IF(offer_incoterms="DDP",X1817*(S1817*(1+AW1817)+T1817),0),2)</f>
        <v/>
      </c>
      <c r="Z1817" s="188" t="n"/>
      <c r="AA1817" s="192">
        <f>IFERROR(AB1817/E1817,0)</f>
        <v/>
      </c>
      <c r="AB1817" s="76">
        <f>ROUND(SUM(S1817,V1817,Y1817:Z1817,BA1817:BB1817),2)</f>
        <v/>
      </c>
      <c r="AC1817" s="797" t="n"/>
      <c r="AD1817" s="192">
        <f t="array" ref="AD1817">IFERROR(ROUND((_xlfn.IFS(offer_sale_type="поставка",AB1817,offer_sale_type="транзит",S1817)*(1+AC1817))/E1817,2),0)</f>
        <v/>
      </c>
      <c r="AE1817" s="76">
        <f>AD1817*E1817</f>
        <v/>
      </c>
      <c r="AF1817" s="193">
        <f t="array" ref="AF1817">IFERROR(ROUND(_xlfn.IFS(offer_sale_type="поставка",AB1817,offer_sale_type="транзит",S1817)*AC1817,2),0)</f>
        <v/>
      </c>
      <c r="AG1817" s="192">
        <f>$BD1817*VLOOKUP($AG$3,$AF$4:$AG$7,2,FALSE)</f>
        <v/>
      </c>
      <c r="AH1817" s="76">
        <f>SUM(AE1817,AG1817,AI1817)*rate_forex_risk</f>
        <v/>
      </c>
      <c r="AI1817" s="193">
        <f>IF(OR(seller_region="TR",offer_sale_type="экспорт"),0,rate_fin_comm)*SUM(AZ1817,AZ1817*AW1817,T1817)</f>
        <v/>
      </c>
      <c r="AJ1817" s="118">
        <f>IFERROR(ROUND(SUM(AB1817,AF1817:AI1817)/E1817,2),0)</f>
        <v/>
      </c>
      <c r="AK1817" s="76">
        <f>AJ1817*E1817</f>
        <v/>
      </c>
      <c r="AL1817" s="174">
        <f>ROUND(IFERROR(AM1817*E1817,0),2)</f>
        <v/>
      </c>
      <c r="AM1817" s="175">
        <f>ROUND(AJ1817*(1+IF(offer_incoterms="DDP",IF((TODAY()+offer_turnaround_time)&gt;=helpsheet!$L$17,rate_vatRU_from_26,rate_vatRu_till_25),0)),2)</f>
        <v/>
      </c>
      <c r="AN1817" s="192">
        <f>AL1817-AK1817</f>
        <v/>
      </c>
      <c r="AO1817" s="76">
        <f>SUM(AY1817,Y1817:Z1817,T1817)*IF(AND(offer_incoterms="DDP",offer_sale_type&lt;&gt;"экспорт"),IF((TODAY()+offer_turnaround_time)&gt;=helpsheet!$L$17,rate_vatRU_from_26,rate_vatRu_till_25),0)</f>
        <v/>
      </c>
      <c r="AP1817" s="193">
        <f>AN1817-AO1817</f>
        <v/>
      </c>
      <c r="AQ1817" s="118">
        <f>IF(offer_sale_type="транзит",SUM(AF1817:AI1817,BA1817,BB1817),0)</f>
        <v/>
      </c>
      <c r="AR1817" s="82">
        <f>HYPERLINK("https://www.alta.ru/tnved/code/")&amp;W1817&amp;"/"</f>
        <v/>
      </c>
      <c r="AS1817" s="157" t="n"/>
      <c r="AT1817" s="162" t="n"/>
      <c r="AU1817" s="76">
        <f>IF(ISBLANK(AT1817),0,AJ1817-AT1817)</f>
        <v/>
      </c>
      <c r="AV1817" s="157" t="n"/>
      <c r="AW1817" s="75">
        <f>_xlfn.IFNA(VLOOKUP(L1817,list_vat[],3,FALSE),0)</f>
        <v/>
      </c>
      <c r="AX1817" s="76">
        <f>IFERROR(ROUND(S1817*(1+AW1817)/E1817,2),0)</f>
        <v/>
      </c>
      <c r="AY1817" s="76">
        <f>E1817*AX1817</f>
        <v/>
      </c>
      <c r="AZ1817" s="192">
        <f>S1817*(1+M1817)</f>
        <v/>
      </c>
      <c r="BA1817" s="76">
        <f>cost_fin_total*$BD1817</f>
        <v/>
      </c>
      <c r="BB1817" s="193">
        <f>credit_sales_interest*BD1817</f>
        <v/>
      </c>
      <c r="BC1817" s="102">
        <f>IFERROR(IF($I$13&gt;0,$I1817/$I$13,$S1817/$S$13),0)</f>
        <v/>
      </c>
      <c r="BD1817" s="102">
        <f>IFERROR($S1817/$S$13,0)</f>
        <v/>
      </c>
      <c r="BE1817" s="413" t="inlineStr">
        <is>
          <t>$</t>
        </is>
      </c>
    </row>
    <row r="1818" ht="12" customFormat="1" customHeight="1" s="65">
      <c r="A1818" s="43" t="n">
        <v>1803</v>
      </c>
      <c r="B1818" s="166" t="n"/>
      <c r="C1818" s="166" t="n"/>
      <c r="D1818" s="166" t="n"/>
      <c r="E1818" s="162" t="n"/>
      <c r="F1818" s="166" t="n"/>
      <c r="G1818" s="162" t="n"/>
      <c r="H1818" s="162" t="n"/>
      <c r="I1818" s="189">
        <f>E1818*G1818</f>
        <v/>
      </c>
      <c r="J1818" s="195" t="n"/>
      <c r="K1818" s="162" t="n"/>
      <c r="L1818" s="168" t="n"/>
      <c r="M1818" s="75">
        <f>_xlfn.XLOOKUP(L1818,list_vat[Страна],list_vat[Ставка НДС %],0,0)</f>
        <v/>
      </c>
      <c r="N1818" s="162">
        <f>IFERROR(IF(L1818="Китай",K1818,K1818/(1+M1818)),0)</f>
        <v/>
      </c>
      <c r="O1818" s="169" t="n"/>
      <c r="P1818" s="76">
        <f>N1818*(1-O1818)</f>
        <v/>
      </c>
      <c r="Q1818" s="162" t="n"/>
      <c r="R1818" s="162">
        <f>IF(ISBLANK(Q1818),"введи курс",P1818/Q1818)</f>
        <v/>
      </c>
      <c r="S1818" s="196">
        <f>IF(AND(ISNUMBER(E1818),ISNUMBER(Q1818)),E1818*R1818,0)</f>
        <v/>
      </c>
      <c r="T1818" s="192">
        <f>$BC1818*V$11</f>
        <v/>
      </c>
      <c r="U1818" s="76">
        <f>$BC1818*W$11</f>
        <v/>
      </c>
      <c r="V1818" s="193">
        <f>+SUM(T1818:U1818)</f>
        <v/>
      </c>
      <c r="W1818" s="191" t="n"/>
      <c r="X1818" s="170" t="n"/>
      <c r="Y1818" s="76">
        <f>ROUND(IF(offer_incoterms="DDP",X1818*(S1818*(1+AW1818)+T1818),0),2)</f>
        <v/>
      </c>
      <c r="Z1818" s="188" t="n"/>
      <c r="AA1818" s="192">
        <f>IFERROR(AB1818/E1818,0)</f>
        <v/>
      </c>
      <c r="AB1818" s="76">
        <f>ROUND(SUM(S1818,V1818,Y1818:Z1818,BA1818:BB1818),2)</f>
        <v/>
      </c>
      <c r="AC1818" s="797" t="n"/>
      <c r="AD1818" s="192">
        <f t="array" ref="AD1818">IFERROR(ROUND((_xlfn.IFS(offer_sale_type="поставка",AB1818,offer_sale_type="транзит",S1818)*(1+AC1818))/E1818,2),0)</f>
        <v/>
      </c>
      <c r="AE1818" s="76">
        <f>AD1818*E1818</f>
        <v/>
      </c>
      <c r="AF1818" s="193">
        <f t="array" ref="AF1818">IFERROR(ROUND(_xlfn.IFS(offer_sale_type="поставка",AB1818,offer_sale_type="транзит",S1818)*AC1818,2),0)</f>
        <v/>
      </c>
      <c r="AG1818" s="192">
        <f>$BD1818*VLOOKUP($AG$3,$AF$4:$AG$7,2,FALSE)</f>
        <v/>
      </c>
      <c r="AH1818" s="76">
        <f>SUM(AE1818,AG1818,AI1818)*rate_forex_risk</f>
        <v/>
      </c>
      <c r="AI1818" s="193">
        <f>IF(OR(seller_region="TR",offer_sale_type="экспорт"),0,rate_fin_comm)*SUM(AZ1818,AZ1818*AW1818,T1818)</f>
        <v/>
      </c>
      <c r="AJ1818" s="118">
        <f>IFERROR(ROUND(SUM(AB1818,AF1818:AI1818)/E1818,2),0)</f>
        <v/>
      </c>
      <c r="AK1818" s="76">
        <f>AJ1818*E1818</f>
        <v/>
      </c>
      <c r="AL1818" s="174">
        <f>ROUND(IFERROR(AM1818*E1818,0),2)</f>
        <v/>
      </c>
      <c r="AM1818" s="175">
        <f>ROUND(AJ1818*(1+IF(offer_incoterms="DDP",IF((TODAY()+offer_turnaround_time)&gt;=helpsheet!$L$17,rate_vatRU_from_26,rate_vatRu_till_25),0)),2)</f>
        <v/>
      </c>
      <c r="AN1818" s="192">
        <f>AL1818-AK1818</f>
        <v/>
      </c>
      <c r="AO1818" s="76">
        <f>SUM(AY1818,Y1818:Z1818,T1818)*IF(AND(offer_incoterms="DDP",offer_sale_type&lt;&gt;"экспорт"),IF((TODAY()+offer_turnaround_time)&gt;=helpsheet!$L$17,rate_vatRU_from_26,rate_vatRu_till_25),0)</f>
        <v/>
      </c>
      <c r="AP1818" s="193">
        <f>AN1818-AO1818</f>
        <v/>
      </c>
      <c r="AQ1818" s="118">
        <f>IF(offer_sale_type="транзит",SUM(AF1818:AI1818,BA1818,BB1818),0)</f>
        <v/>
      </c>
      <c r="AR1818" s="82">
        <f>HYPERLINK("https://www.alta.ru/tnved/code/")&amp;W1818&amp;"/"</f>
        <v/>
      </c>
      <c r="AS1818" s="157" t="n"/>
      <c r="AT1818" s="162" t="n"/>
      <c r="AU1818" s="76">
        <f>IF(ISBLANK(AT1818),0,AJ1818-AT1818)</f>
        <v/>
      </c>
      <c r="AV1818" s="157" t="n"/>
      <c r="AW1818" s="75">
        <f>_xlfn.IFNA(VLOOKUP(L1818,list_vat[],3,FALSE),0)</f>
        <v/>
      </c>
      <c r="AX1818" s="76">
        <f>IFERROR(ROUND(S1818*(1+AW1818)/E1818,2),0)</f>
        <v/>
      </c>
      <c r="AY1818" s="76">
        <f>E1818*AX1818</f>
        <v/>
      </c>
      <c r="AZ1818" s="192">
        <f>S1818*(1+M1818)</f>
        <v/>
      </c>
      <c r="BA1818" s="76">
        <f>cost_fin_total*$BD1818</f>
        <v/>
      </c>
      <c r="BB1818" s="193">
        <f>credit_sales_interest*BD1818</f>
        <v/>
      </c>
      <c r="BC1818" s="102">
        <f>IFERROR(IF($I$13&gt;0,$I1818/$I$13,$S1818/$S$13),0)</f>
        <v/>
      </c>
      <c r="BD1818" s="102">
        <f>IFERROR($S1818/$S$13,0)</f>
        <v/>
      </c>
      <c r="BE1818" s="413" t="inlineStr">
        <is>
          <t>$</t>
        </is>
      </c>
    </row>
    <row r="1819" ht="12" customFormat="1" customHeight="1" s="65">
      <c r="A1819" s="43" t="n">
        <v>1804</v>
      </c>
      <c r="B1819" s="166" t="n"/>
      <c r="C1819" s="166" t="n"/>
      <c r="D1819" s="166" t="n"/>
      <c r="E1819" s="162" t="n"/>
      <c r="F1819" s="166" t="n"/>
      <c r="G1819" s="162" t="n"/>
      <c r="H1819" s="162" t="n"/>
      <c r="I1819" s="189">
        <f>E1819*G1819</f>
        <v/>
      </c>
      <c r="J1819" s="195" t="n"/>
      <c r="K1819" s="162" t="n"/>
      <c r="L1819" s="168" t="n"/>
      <c r="M1819" s="75">
        <f>_xlfn.XLOOKUP(L1819,list_vat[Страна],list_vat[Ставка НДС %],0,0)</f>
        <v/>
      </c>
      <c r="N1819" s="162">
        <f>IFERROR(IF(L1819="Китай",K1819,K1819/(1+M1819)),0)</f>
        <v/>
      </c>
      <c r="O1819" s="169" t="n"/>
      <c r="P1819" s="76">
        <f>N1819*(1-O1819)</f>
        <v/>
      </c>
      <c r="Q1819" s="162" t="n"/>
      <c r="R1819" s="162">
        <f>IF(ISBLANK(Q1819),"введи курс",P1819/Q1819)</f>
        <v/>
      </c>
      <c r="S1819" s="196">
        <f>IF(AND(ISNUMBER(E1819),ISNUMBER(Q1819)),E1819*R1819,0)</f>
        <v/>
      </c>
      <c r="T1819" s="192">
        <f>$BC1819*V$11</f>
        <v/>
      </c>
      <c r="U1819" s="76">
        <f>$BC1819*W$11</f>
        <v/>
      </c>
      <c r="V1819" s="193">
        <f>+SUM(T1819:U1819)</f>
        <v/>
      </c>
      <c r="W1819" s="191" t="n"/>
      <c r="X1819" s="170" t="n"/>
      <c r="Y1819" s="76">
        <f>ROUND(IF(offer_incoterms="DDP",X1819*(S1819*(1+AW1819)+T1819),0),2)</f>
        <v/>
      </c>
      <c r="Z1819" s="188" t="n"/>
      <c r="AA1819" s="192">
        <f>IFERROR(AB1819/E1819,0)</f>
        <v/>
      </c>
      <c r="AB1819" s="76">
        <f>ROUND(SUM(S1819,V1819,Y1819:Z1819,BA1819:BB1819),2)</f>
        <v/>
      </c>
      <c r="AC1819" s="797" t="n"/>
      <c r="AD1819" s="192">
        <f t="array" ref="AD1819">IFERROR(ROUND((_xlfn.IFS(offer_sale_type="поставка",AB1819,offer_sale_type="транзит",S1819)*(1+AC1819))/E1819,2),0)</f>
        <v/>
      </c>
      <c r="AE1819" s="76">
        <f>AD1819*E1819</f>
        <v/>
      </c>
      <c r="AF1819" s="193">
        <f t="array" ref="AF1819">IFERROR(ROUND(_xlfn.IFS(offer_sale_type="поставка",AB1819,offer_sale_type="транзит",S1819)*AC1819,2),0)</f>
        <v/>
      </c>
      <c r="AG1819" s="192">
        <f>$BD1819*VLOOKUP($AG$3,$AF$4:$AG$7,2,FALSE)</f>
        <v/>
      </c>
      <c r="AH1819" s="76">
        <f>SUM(AE1819,AG1819,AI1819)*rate_forex_risk</f>
        <v/>
      </c>
      <c r="AI1819" s="193">
        <f>IF(OR(seller_region="TR",offer_sale_type="экспорт"),0,rate_fin_comm)*SUM(AZ1819,AZ1819*AW1819,T1819)</f>
        <v/>
      </c>
      <c r="AJ1819" s="118">
        <f>IFERROR(ROUND(SUM(AB1819,AF1819:AI1819)/E1819,2),0)</f>
        <v/>
      </c>
      <c r="AK1819" s="76">
        <f>AJ1819*E1819</f>
        <v/>
      </c>
      <c r="AL1819" s="174">
        <f>ROUND(IFERROR(AM1819*E1819,0),2)</f>
        <v/>
      </c>
      <c r="AM1819" s="175">
        <f>ROUND(AJ1819*(1+IF(offer_incoterms="DDP",IF((TODAY()+offer_turnaround_time)&gt;=helpsheet!$L$17,rate_vatRU_from_26,rate_vatRu_till_25),0)),2)</f>
        <v/>
      </c>
      <c r="AN1819" s="192">
        <f>AL1819-AK1819</f>
        <v/>
      </c>
      <c r="AO1819" s="76">
        <f>SUM(AY1819,Y1819:Z1819,T1819)*IF(AND(offer_incoterms="DDP",offer_sale_type&lt;&gt;"экспорт"),IF((TODAY()+offer_turnaround_time)&gt;=helpsheet!$L$17,rate_vatRU_from_26,rate_vatRu_till_25),0)</f>
        <v/>
      </c>
      <c r="AP1819" s="193">
        <f>AN1819-AO1819</f>
        <v/>
      </c>
      <c r="AQ1819" s="118">
        <f>IF(offer_sale_type="транзит",SUM(AF1819:AI1819,BA1819,BB1819),0)</f>
        <v/>
      </c>
      <c r="AR1819" s="82">
        <f>HYPERLINK("https://www.alta.ru/tnved/code/")&amp;W1819&amp;"/"</f>
        <v/>
      </c>
      <c r="AS1819" s="157" t="n"/>
      <c r="AT1819" s="162" t="n"/>
      <c r="AU1819" s="76">
        <f>IF(ISBLANK(AT1819),0,AJ1819-AT1819)</f>
        <v/>
      </c>
      <c r="AV1819" s="157" t="n"/>
      <c r="AW1819" s="75">
        <f>_xlfn.IFNA(VLOOKUP(L1819,list_vat[],3,FALSE),0)</f>
        <v/>
      </c>
      <c r="AX1819" s="76">
        <f>IFERROR(ROUND(S1819*(1+AW1819)/E1819,2),0)</f>
        <v/>
      </c>
      <c r="AY1819" s="76">
        <f>E1819*AX1819</f>
        <v/>
      </c>
      <c r="AZ1819" s="192">
        <f>S1819*(1+M1819)</f>
        <v/>
      </c>
      <c r="BA1819" s="76">
        <f>cost_fin_total*$BD1819</f>
        <v/>
      </c>
      <c r="BB1819" s="193">
        <f>credit_sales_interest*BD1819</f>
        <v/>
      </c>
      <c r="BC1819" s="102">
        <f>IFERROR(IF($I$13&gt;0,$I1819/$I$13,$S1819/$S$13),0)</f>
        <v/>
      </c>
      <c r="BD1819" s="102">
        <f>IFERROR($S1819/$S$13,0)</f>
        <v/>
      </c>
      <c r="BE1819" s="413" t="inlineStr">
        <is>
          <t>$</t>
        </is>
      </c>
    </row>
    <row r="1820" ht="12" customFormat="1" customHeight="1" s="65">
      <c r="A1820" s="43" t="n">
        <v>1805</v>
      </c>
      <c r="B1820" s="166" t="n"/>
      <c r="C1820" s="166" t="n"/>
      <c r="D1820" s="166" t="n"/>
      <c r="E1820" s="162" t="n"/>
      <c r="F1820" s="166" t="n"/>
      <c r="G1820" s="162" t="n"/>
      <c r="H1820" s="162" t="n"/>
      <c r="I1820" s="189">
        <f>E1820*G1820</f>
        <v/>
      </c>
      <c r="J1820" s="195" t="n"/>
      <c r="K1820" s="162" t="n"/>
      <c r="L1820" s="168" t="n"/>
      <c r="M1820" s="75">
        <f>_xlfn.XLOOKUP(L1820,list_vat[Страна],list_vat[Ставка НДС %],0,0)</f>
        <v/>
      </c>
      <c r="N1820" s="162">
        <f>IFERROR(IF(L1820="Китай",K1820,K1820/(1+M1820)),0)</f>
        <v/>
      </c>
      <c r="O1820" s="169" t="n"/>
      <c r="P1820" s="76">
        <f>N1820*(1-O1820)</f>
        <v/>
      </c>
      <c r="Q1820" s="162" t="n"/>
      <c r="R1820" s="162">
        <f>IF(ISBLANK(Q1820),"введи курс",P1820/Q1820)</f>
        <v/>
      </c>
      <c r="S1820" s="196">
        <f>IF(AND(ISNUMBER(E1820),ISNUMBER(Q1820)),E1820*R1820,0)</f>
        <v/>
      </c>
      <c r="T1820" s="192">
        <f>$BC1820*V$11</f>
        <v/>
      </c>
      <c r="U1820" s="76">
        <f>$BC1820*W$11</f>
        <v/>
      </c>
      <c r="V1820" s="193">
        <f>+SUM(T1820:U1820)</f>
        <v/>
      </c>
      <c r="W1820" s="191" t="n"/>
      <c r="X1820" s="170" t="n"/>
      <c r="Y1820" s="76">
        <f>ROUND(IF(offer_incoterms="DDP",X1820*(S1820*(1+AW1820)+T1820),0),2)</f>
        <v/>
      </c>
      <c r="Z1820" s="188" t="n"/>
      <c r="AA1820" s="192">
        <f>IFERROR(AB1820/E1820,0)</f>
        <v/>
      </c>
      <c r="AB1820" s="76">
        <f>ROUND(SUM(S1820,V1820,Y1820:Z1820,BA1820:BB1820),2)</f>
        <v/>
      </c>
      <c r="AC1820" s="797" t="n"/>
      <c r="AD1820" s="192">
        <f t="array" ref="AD1820">IFERROR(ROUND((_xlfn.IFS(offer_sale_type="поставка",AB1820,offer_sale_type="транзит",S1820)*(1+AC1820))/E1820,2),0)</f>
        <v/>
      </c>
      <c r="AE1820" s="76">
        <f>AD1820*E1820</f>
        <v/>
      </c>
      <c r="AF1820" s="193">
        <f t="array" ref="AF1820">IFERROR(ROUND(_xlfn.IFS(offer_sale_type="поставка",AB1820,offer_sale_type="транзит",S1820)*AC1820,2),0)</f>
        <v/>
      </c>
      <c r="AG1820" s="192">
        <f>$BD1820*VLOOKUP($AG$3,$AF$4:$AG$7,2,FALSE)</f>
        <v/>
      </c>
      <c r="AH1820" s="76">
        <f>SUM(AE1820,AG1820,AI1820)*rate_forex_risk</f>
        <v/>
      </c>
      <c r="AI1820" s="193">
        <f>IF(OR(seller_region="TR",offer_sale_type="экспорт"),0,rate_fin_comm)*SUM(AZ1820,AZ1820*AW1820,T1820)</f>
        <v/>
      </c>
      <c r="AJ1820" s="118">
        <f>IFERROR(ROUND(SUM(AB1820,AF1820:AI1820)/E1820,2),0)</f>
        <v/>
      </c>
      <c r="AK1820" s="76">
        <f>AJ1820*E1820</f>
        <v/>
      </c>
      <c r="AL1820" s="174">
        <f>ROUND(IFERROR(AM1820*E1820,0),2)</f>
        <v/>
      </c>
      <c r="AM1820" s="175">
        <f>ROUND(AJ1820*(1+IF(offer_incoterms="DDP",IF((TODAY()+offer_turnaround_time)&gt;=helpsheet!$L$17,rate_vatRU_from_26,rate_vatRu_till_25),0)),2)</f>
        <v/>
      </c>
      <c r="AN1820" s="192">
        <f>AL1820-AK1820</f>
        <v/>
      </c>
      <c r="AO1820" s="76">
        <f>SUM(AY1820,Y1820:Z1820,T1820)*IF(AND(offer_incoterms="DDP",offer_sale_type&lt;&gt;"экспорт"),IF((TODAY()+offer_turnaround_time)&gt;=helpsheet!$L$17,rate_vatRU_from_26,rate_vatRu_till_25),0)</f>
        <v/>
      </c>
      <c r="AP1820" s="193">
        <f>AN1820-AO1820</f>
        <v/>
      </c>
      <c r="AQ1820" s="118">
        <f>IF(offer_sale_type="транзит",SUM(AF1820:AI1820,BA1820,BB1820),0)</f>
        <v/>
      </c>
      <c r="AR1820" s="82">
        <f>HYPERLINK("https://www.alta.ru/tnved/code/")&amp;W1820&amp;"/"</f>
        <v/>
      </c>
      <c r="AS1820" s="157" t="n"/>
      <c r="AT1820" s="162" t="n"/>
      <c r="AU1820" s="76">
        <f>IF(ISBLANK(AT1820),0,AJ1820-AT1820)</f>
        <v/>
      </c>
      <c r="AV1820" s="157" t="n"/>
      <c r="AW1820" s="75">
        <f>_xlfn.IFNA(VLOOKUP(L1820,list_vat[],3,FALSE),0)</f>
        <v/>
      </c>
      <c r="AX1820" s="76">
        <f>IFERROR(ROUND(S1820*(1+AW1820)/E1820,2),0)</f>
        <v/>
      </c>
      <c r="AY1820" s="76">
        <f>E1820*AX1820</f>
        <v/>
      </c>
      <c r="AZ1820" s="192">
        <f>S1820*(1+M1820)</f>
        <v/>
      </c>
      <c r="BA1820" s="76">
        <f>cost_fin_total*$BD1820</f>
        <v/>
      </c>
      <c r="BB1820" s="193">
        <f>credit_sales_interest*BD1820</f>
        <v/>
      </c>
      <c r="BC1820" s="102">
        <f>IFERROR(IF($I$13&gt;0,$I1820/$I$13,$S1820/$S$13),0)</f>
        <v/>
      </c>
      <c r="BD1820" s="102">
        <f>IFERROR($S1820/$S$13,0)</f>
        <v/>
      </c>
      <c r="BE1820" s="413" t="inlineStr">
        <is>
          <t>$</t>
        </is>
      </c>
    </row>
    <row r="1821" ht="12" customFormat="1" customHeight="1" s="65">
      <c r="A1821" s="43" t="n">
        <v>1806</v>
      </c>
      <c r="B1821" s="166" t="n"/>
      <c r="C1821" s="166" t="n"/>
      <c r="D1821" s="166" t="n"/>
      <c r="E1821" s="162" t="n"/>
      <c r="F1821" s="166" t="n"/>
      <c r="G1821" s="162" t="n"/>
      <c r="H1821" s="162" t="n"/>
      <c r="I1821" s="189">
        <f>E1821*G1821</f>
        <v/>
      </c>
      <c r="J1821" s="195" t="n"/>
      <c r="K1821" s="162" t="n"/>
      <c r="L1821" s="168" t="n"/>
      <c r="M1821" s="75">
        <f>_xlfn.XLOOKUP(L1821,list_vat[Страна],list_vat[Ставка НДС %],0,0)</f>
        <v/>
      </c>
      <c r="N1821" s="162">
        <f>IFERROR(IF(L1821="Китай",K1821,K1821/(1+M1821)),0)</f>
        <v/>
      </c>
      <c r="O1821" s="169" t="n"/>
      <c r="P1821" s="76">
        <f>N1821*(1-O1821)</f>
        <v/>
      </c>
      <c r="Q1821" s="162" t="n"/>
      <c r="R1821" s="162">
        <f>IF(ISBLANK(Q1821),"введи курс",P1821/Q1821)</f>
        <v/>
      </c>
      <c r="S1821" s="196">
        <f>IF(AND(ISNUMBER(E1821),ISNUMBER(Q1821)),E1821*R1821,0)</f>
        <v/>
      </c>
      <c r="T1821" s="192">
        <f>$BC1821*V$11</f>
        <v/>
      </c>
      <c r="U1821" s="76">
        <f>$BC1821*W$11</f>
        <v/>
      </c>
      <c r="V1821" s="193">
        <f>+SUM(T1821:U1821)</f>
        <v/>
      </c>
      <c r="W1821" s="191" t="n"/>
      <c r="X1821" s="170" t="n"/>
      <c r="Y1821" s="76">
        <f>ROUND(IF(offer_incoterms="DDP",X1821*(S1821*(1+AW1821)+T1821),0),2)</f>
        <v/>
      </c>
      <c r="Z1821" s="188" t="n"/>
      <c r="AA1821" s="192">
        <f>IFERROR(AB1821/E1821,0)</f>
        <v/>
      </c>
      <c r="AB1821" s="76">
        <f>ROUND(SUM(S1821,V1821,Y1821:Z1821,BA1821:BB1821),2)</f>
        <v/>
      </c>
      <c r="AC1821" s="797" t="n"/>
      <c r="AD1821" s="192">
        <f t="array" ref="AD1821">IFERROR(ROUND((_xlfn.IFS(offer_sale_type="поставка",AB1821,offer_sale_type="транзит",S1821)*(1+AC1821))/E1821,2),0)</f>
        <v/>
      </c>
      <c r="AE1821" s="76">
        <f>AD1821*E1821</f>
        <v/>
      </c>
      <c r="AF1821" s="193">
        <f t="array" ref="AF1821">IFERROR(ROUND(_xlfn.IFS(offer_sale_type="поставка",AB1821,offer_sale_type="транзит",S1821)*AC1821,2),0)</f>
        <v/>
      </c>
      <c r="AG1821" s="192">
        <f>$BD1821*VLOOKUP($AG$3,$AF$4:$AG$7,2,FALSE)</f>
        <v/>
      </c>
      <c r="AH1821" s="76">
        <f>SUM(AE1821,AG1821,AI1821)*rate_forex_risk</f>
        <v/>
      </c>
      <c r="AI1821" s="193">
        <f>IF(OR(seller_region="TR",offer_sale_type="экспорт"),0,rate_fin_comm)*SUM(AZ1821,AZ1821*AW1821,T1821)</f>
        <v/>
      </c>
      <c r="AJ1821" s="118">
        <f>IFERROR(ROUND(SUM(AB1821,AF1821:AI1821)/E1821,2),0)</f>
        <v/>
      </c>
      <c r="AK1821" s="76">
        <f>AJ1821*E1821</f>
        <v/>
      </c>
      <c r="AL1821" s="174">
        <f>ROUND(IFERROR(AM1821*E1821,0),2)</f>
        <v/>
      </c>
      <c r="AM1821" s="175">
        <f>ROUND(AJ1821*(1+IF(offer_incoterms="DDP",IF((TODAY()+offer_turnaround_time)&gt;=helpsheet!$L$17,rate_vatRU_from_26,rate_vatRu_till_25),0)),2)</f>
        <v/>
      </c>
      <c r="AN1821" s="192">
        <f>AL1821-AK1821</f>
        <v/>
      </c>
      <c r="AO1821" s="76">
        <f>SUM(AY1821,Y1821:Z1821,T1821)*IF(AND(offer_incoterms="DDP",offer_sale_type&lt;&gt;"экспорт"),IF((TODAY()+offer_turnaround_time)&gt;=helpsheet!$L$17,rate_vatRU_from_26,rate_vatRu_till_25),0)</f>
        <v/>
      </c>
      <c r="AP1821" s="193">
        <f>AN1821-AO1821</f>
        <v/>
      </c>
      <c r="AQ1821" s="118">
        <f>IF(offer_sale_type="транзит",SUM(AF1821:AI1821,BA1821,BB1821),0)</f>
        <v/>
      </c>
      <c r="AR1821" s="82">
        <f>HYPERLINK("https://www.alta.ru/tnved/code/")&amp;W1821&amp;"/"</f>
        <v/>
      </c>
      <c r="AS1821" s="157" t="n"/>
      <c r="AT1821" s="162" t="n"/>
      <c r="AU1821" s="76">
        <f>IF(ISBLANK(AT1821),0,AJ1821-AT1821)</f>
        <v/>
      </c>
      <c r="AV1821" s="157" t="n"/>
      <c r="AW1821" s="75">
        <f>_xlfn.IFNA(VLOOKUP(L1821,list_vat[],3,FALSE),0)</f>
        <v/>
      </c>
      <c r="AX1821" s="76">
        <f>IFERROR(ROUND(S1821*(1+AW1821)/E1821,2),0)</f>
        <v/>
      </c>
      <c r="AY1821" s="76">
        <f>E1821*AX1821</f>
        <v/>
      </c>
      <c r="AZ1821" s="192">
        <f>S1821*(1+M1821)</f>
        <v/>
      </c>
      <c r="BA1821" s="76">
        <f>cost_fin_total*$BD1821</f>
        <v/>
      </c>
      <c r="BB1821" s="193">
        <f>credit_sales_interest*BD1821</f>
        <v/>
      </c>
      <c r="BC1821" s="102">
        <f>IFERROR(IF($I$13&gt;0,$I1821/$I$13,$S1821/$S$13),0)</f>
        <v/>
      </c>
      <c r="BD1821" s="102">
        <f>IFERROR($S1821/$S$13,0)</f>
        <v/>
      </c>
      <c r="BE1821" s="413" t="inlineStr">
        <is>
          <t>$</t>
        </is>
      </c>
    </row>
    <row r="1822" ht="12" customFormat="1" customHeight="1" s="65">
      <c r="A1822" s="43" t="n">
        <v>1807</v>
      </c>
      <c r="B1822" s="166" t="n"/>
      <c r="C1822" s="166" t="n"/>
      <c r="D1822" s="166" t="n"/>
      <c r="E1822" s="162" t="n"/>
      <c r="F1822" s="166" t="n"/>
      <c r="G1822" s="162" t="n"/>
      <c r="H1822" s="162" t="n"/>
      <c r="I1822" s="189">
        <f>E1822*G1822</f>
        <v/>
      </c>
      <c r="J1822" s="195" t="n"/>
      <c r="K1822" s="162" t="n"/>
      <c r="L1822" s="168" t="n"/>
      <c r="M1822" s="75">
        <f>_xlfn.XLOOKUP(L1822,list_vat[Страна],list_vat[Ставка НДС %],0,0)</f>
        <v/>
      </c>
      <c r="N1822" s="162">
        <f>IFERROR(IF(L1822="Китай",K1822,K1822/(1+M1822)),0)</f>
        <v/>
      </c>
      <c r="O1822" s="169" t="n"/>
      <c r="P1822" s="76">
        <f>N1822*(1-O1822)</f>
        <v/>
      </c>
      <c r="Q1822" s="162" t="n"/>
      <c r="R1822" s="162">
        <f>IF(ISBLANK(Q1822),"введи курс",P1822/Q1822)</f>
        <v/>
      </c>
      <c r="S1822" s="196">
        <f>IF(AND(ISNUMBER(E1822),ISNUMBER(Q1822)),E1822*R1822,0)</f>
        <v/>
      </c>
      <c r="T1822" s="192">
        <f>$BC1822*V$11</f>
        <v/>
      </c>
      <c r="U1822" s="76">
        <f>$BC1822*W$11</f>
        <v/>
      </c>
      <c r="V1822" s="193">
        <f>+SUM(T1822:U1822)</f>
        <v/>
      </c>
      <c r="W1822" s="191" t="n"/>
      <c r="X1822" s="170" t="n"/>
      <c r="Y1822" s="76">
        <f>ROUND(IF(offer_incoterms="DDP",X1822*(S1822*(1+AW1822)+T1822),0),2)</f>
        <v/>
      </c>
      <c r="Z1822" s="188" t="n"/>
      <c r="AA1822" s="192">
        <f>IFERROR(AB1822/E1822,0)</f>
        <v/>
      </c>
      <c r="AB1822" s="76">
        <f>ROUND(SUM(S1822,V1822,Y1822:Z1822,BA1822:BB1822),2)</f>
        <v/>
      </c>
      <c r="AC1822" s="797" t="n"/>
      <c r="AD1822" s="192">
        <f t="array" ref="AD1822">IFERROR(ROUND((_xlfn.IFS(offer_sale_type="поставка",AB1822,offer_sale_type="транзит",S1822)*(1+AC1822))/E1822,2),0)</f>
        <v/>
      </c>
      <c r="AE1822" s="76">
        <f>AD1822*E1822</f>
        <v/>
      </c>
      <c r="AF1822" s="193">
        <f t="array" ref="AF1822">IFERROR(ROUND(_xlfn.IFS(offer_sale_type="поставка",AB1822,offer_sale_type="транзит",S1822)*AC1822,2),0)</f>
        <v/>
      </c>
      <c r="AG1822" s="192">
        <f>$BD1822*VLOOKUP($AG$3,$AF$4:$AG$7,2,FALSE)</f>
        <v/>
      </c>
      <c r="AH1822" s="76">
        <f>SUM(AE1822,AG1822,AI1822)*rate_forex_risk</f>
        <v/>
      </c>
      <c r="AI1822" s="193">
        <f>IF(OR(seller_region="TR",offer_sale_type="экспорт"),0,rate_fin_comm)*SUM(AZ1822,AZ1822*AW1822,T1822)</f>
        <v/>
      </c>
      <c r="AJ1822" s="118">
        <f>IFERROR(ROUND(SUM(AB1822,AF1822:AI1822)/E1822,2),0)</f>
        <v/>
      </c>
      <c r="AK1822" s="76">
        <f>AJ1822*E1822</f>
        <v/>
      </c>
      <c r="AL1822" s="174">
        <f>ROUND(IFERROR(AM1822*E1822,0),2)</f>
        <v/>
      </c>
      <c r="AM1822" s="175">
        <f>ROUND(AJ1822*(1+IF(offer_incoterms="DDP",IF((TODAY()+offer_turnaround_time)&gt;=helpsheet!$L$17,rate_vatRU_from_26,rate_vatRu_till_25),0)),2)</f>
        <v/>
      </c>
      <c r="AN1822" s="192">
        <f>AL1822-AK1822</f>
        <v/>
      </c>
      <c r="AO1822" s="76">
        <f>SUM(AY1822,Y1822:Z1822,T1822)*IF(AND(offer_incoterms="DDP",offer_sale_type&lt;&gt;"экспорт"),IF((TODAY()+offer_turnaround_time)&gt;=helpsheet!$L$17,rate_vatRU_from_26,rate_vatRu_till_25),0)</f>
        <v/>
      </c>
      <c r="AP1822" s="193">
        <f>AN1822-AO1822</f>
        <v/>
      </c>
      <c r="AQ1822" s="118">
        <f>IF(offer_sale_type="транзит",SUM(AF1822:AI1822,BA1822,BB1822),0)</f>
        <v/>
      </c>
      <c r="AR1822" s="82">
        <f>HYPERLINK("https://www.alta.ru/tnved/code/")&amp;W1822&amp;"/"</f>
        <v/>
      </c>
      <c r="AS1822" s="157" t="n"/>
      <c r="AT1822" s="162" t="n"/>
      <c r="AU1822" s="76">
        <f>IF(ISBLANK(AT1822),0,AJ1822-AT1822)</f>
        <v/>
      </c>
      <c r="AV1822" s="157" t="n"/>
      <c r="AW1822" s="75">
        <f>_xlfn.IFNA(VLOOKUP(L1822,list_vat[],3,FALSE),0)</f>
        <v/>
      </c>
      <c r="AX1822" s="76">
        <f>IFERROR(ROUND(S1822*(1+AW1822)/E1822,2),0)</f>
        <v/>
      </c>
      <c r="AY1822" s="76">
        <f>E1822*AX1822</f>
        <v/>
      </c>
      <c r="AZ1822" s="192">
        <f>S1822*(1+M1822)</f>
        <v/>
      </c>
      <c r="BA1822" s="76">
        <f>cost_fin_total*$BD1822</f>
        <v/>
      </c>
      <c r="BB1822" s="193">
        <f>credit_sales_interest*BD1822</f>
        <v/>
      </c>
      <c r="BC1822" s="102">
        <f>IFERROR(IF($I$13&gt;0,$I1822/$I$13,$S1822/$S$13),0)</f>
        <v/>
      </c>
      <c r="BD1822" s="102">
        <f>IFERROR($S1822/$S$13,0)</f>
        <v/>
      </c>
      <c r="BE1822" s="413" t="inlineStr">
        <is>
          <t>$</t>
        </is>
      </c>
    </row>
    <row r="1823" ht="12" customFormat="1" customHeight="1" s="65">
      <c r="A1823" s="43" t="n">
        <v>1808</v>
      </c>
      <c r="B1823" s="166" t="n"/>
      <c r="C1823" s="166" t="n"/>
      <c r="D1823" s="166" t="n"/>
      <c r="E1823" s="162" t="n"/>
      <c r="F1823" s="166" t="n"/>
      <c r="G1823" s="162" t="n"/>
      <c r="H1823" s="162" t="n"/>
      <c r="I1823" s="189">
        <f>E1823*G1823</f>
        <v/>
      </c>
      <c r="J1823" s="195" t="n"/>
      <c r="K1823" s="162" t="n"/>
      <c r="L1823" s="168" t="n"/>
      <c r="M1823" s="75">
        <f>_xlfn.XLOOKUP(L1823,list_vat[Страна],list_vat[Ставка НДС %],0,0)</f>
        <v/>
      </c>
      <c r="N1823" s="162">
        <f>IFERROR(IF(L1823="Китай",K1823,K1823/(1+M1823)),0)</f>
        <v/>
      </c>
      <c r="O1823" s="169" t="n"/>
      <c r="P1823" s="76">
        <f>N1823*(1-O1823)</f>
        <v/>
      </c>
      <c r="Q1823" s="162" t="n"/>
      <c r="R1823" s="162">
        <f>IF(ISBLANK(Q1823),"введи курс",P1823/Q1823)</f>
        <v/>
      </c>
      <c r="S1823" s="196">
        <f>IF(AND(ISNUMBER(E1823),ISNUMBER(Q1823)),E1823*R1823,0)</f>
        <v/>
      </c>
      <c r="T1823" s="192">
        <f>$BC1823*V$11</f>
        <v/>
      </c>
      <c r="U1823" s="76">
        <f>$BC1823*W$11</f>
        <v/>
      </c>
      <c r="V1823" s="193">
        <f>+SUM(T1823:U1823)</f>
        <v/>
      </c>
      <c r="W1823" s="191" t="n"/>
      <c r="X1823" s="170" t="n"/>
      <c r="Y1823" s="76">
        <f>ROUND(IF(offer_incoterms="DDP",X1823*(S1823*(1+AW1823)+T1823),0),2)</f>
        <v/>
      </c>
      <c r="Z1823" s="188" t="n"/>
      <c r="AA1823" s="192">
        <f>IFERROR(AB1823/E1823,0)</f>
        <v/>
      </c>
      <c r="AB1823" s="76">
        <f>ROUND(SUM(S1823,V1823,Y1823:Z1823,BA1823:BB1823),2)</f>
        <v/>
      </c>
      <c r="AC1823" s="797" t="n"/>
      <c r="AD1823" s="192">
        <f t="array" ref="AD1823">IFERROR(ROUND((_xlfn.IFS(offer_sale_type="поставка",AB1823,offer_sale_type="транзит",S1823)*(1+AC1823))/E1823,2),0)</f>
        <v/>
      </c>
      <c r="AE1823" s="76">
        <f>AD1823*E1823</f>
        <v/>
      </c>
      <c r="AF1823" s="193">
        <f t="array" ref="AF1823">IFERROR(ROUND(_xlfn.IFS(offer_sale_type="поставка",AB1823,offer_sale_type="транзит",S1823)*AC1823,2),0)</f>
        <v/>
      </c>
      <c r="AG1823" s="192">
        <f>$BD1823*VLOOKUP($AG$3,$AF$4:$AG$7,2,FALSE)</f>
        <v/>
      </c>
      <c r="AH1823" s="76">
        <f>SUM(AE1823,AG1823,AI1823)*rate_forex_risk</f>
        <v/>
      </c>
      <c r="AI1823" s="193">
        <f>IF(OR(seller_region="TR",offer_sale_type="экспорт"),0,rate_fin_comm)*SUM(AZ1823,AZ1823*AW1823,T1823)</f>
        <v/>
      </c>
      <c r="AJ1823" s="118">
        <f>IFERROR(ROUND(SUM(AB1823,AF1823:AI1823)/E1823,2),0)</f>
        <v/>
      </c>
      <c r="AK1823" s="76">
        <f>AJ1823*E1823</f>
        <v/>
      </c>
      <c r="AL1823" s="174">
        <f>ROUND(IFERROR(AM1823*E1823,0),2)</f>
        <v/>
      </c>
      <c r="AM1823" s="175">
        <f>ROUND(AJ1823*(1+IF(offer_incoterms="DDP",IF((TODAY()+offer_turnaround_time)&gt;=helpsheet!$L$17,rate_vatRU_from_26,rate_vatRu_till_25),0)),2)</f>
        <v/>
      </c>
      <c r="AN1823" s="192">
        <f>AL1823-AK1823</f>
        <v/>
      </c>
      <c r="AO1823" s="76">
        <f>SUM(AY1823,Y1823:Z1823,T1823)*IF(AND(offer_incoterms="DDP",offer_sale_type&lt;&gt;"экспорт"),IF((TODAY()+offer_turnaround_time)&gt;=helpsheet!$L$17,rate_vatRU_from_26,rate_vatRu_till_25),0)</f>
        <v/>
      </c>
      <c r="AP1823" s="193">
        <f>AN1823-AO1823</f>
        <v/>
      </c>
      <c r="AQ1823" s="118">
        <f>IF(offer_sale_type="транзит",SUM(AF1823:AI1823,BA1823,BB1823),0)</f>
        <v/>
      </c>
      <c r="AR1823" s="82">
        <f>HYPERLINK("https://www.alta.ru/tnved/code/")&amp;W1823&amp;"/"</f>
        <v/>
      </c>
      <c r="AS1823" s="157" t="n"/>
      <c r="AT1823" s="162" t="n"/>
      <c r="AU1823" s="76">
        <f>IF(ISBLANK(AT1823),0,AJ1823-AT1823)</f>
        <v/>
      </c>
      <c r="AV1823" s="157" t="n"/>
      <c r="AW1823" s="75">
        <f>_xlfn.IFNA(VLOOKUP(L1823,list_vat[],3,FALSE),0)</f>
        <v/>
      </c>
      <c r="AX1823" s="76">
        <f>IFERROR(ROUND(S1823*(1+AW1823)/E1823,2),0)</f>
        <v/>
      </c>
      <c r="AY1823" s="76">
        <f>E1823*AX1823</f>
        <v/>
      </c>
      <c r="AZ1823" s="192">
        <f>S1823*(1+M1823)</f>
        <v/>
      </c>
      <c r="BA1823" s="76">
        <f>cost_fin_total*$BD1823</f>
        <v/>
      </c>
      <c r="BB1823" s="193">
        <f>credit_sales_interest*BD1823</f>
        <v/>
      </c>
      <c r="BC1823" s="102">
        <f>IFERROR(IF($I$13&gt;0,$I1823/$I$13,$S1823/$S$13),0)</f>
        <v/>
      </c>
      <c r="BD1823" s="102">
        <f>IFERROR($S1823/$S$13,0)</f>
        <v/>
      </c>
      <c r="BE1823" s="413" t="inlineStr">
        <is>
          <t>$</t>
        </is>
      </c>
    </row>
    <row r="1824" ht="12" customFormat="1" customHeight="1" s="65">
      <c r="A1824" s="43" t="n">
        <v>1809</v>
      </c>
      <c r="B1824" s="166" t="n"/>
      <c r="C1824" s="166" t="n"/>
      <c r="D1824" s="166" t="n"/>
      <c r="E1824" s="162" t="n"/>
      <c r="F1824" s="166" t="n"/>
      <c r="G1824" s="162" t="n"/>
      <c r="H1824" s="162" t="n"/>
      <c r="I1824" s="189">
        <f>E1824*G1824</f>
        <v/>
      </c>
      <c r="J1824" s="195" t="n"/>
      <c r="K1824" s="162" t="n"/>
      <c r="L1824" s="168" t="n"/>
      <c r="M1824" s="75">
        <f>_xlfn.XLOOKUP(L1824,list_vat[Страна],list_vat[Ставка НДС %],0,0)</f>
        <v/>
      </c>
      <c r="N1824" s="162">
        <f>IFERROR(IF(L1824="Китай",K1824,K1824/(1+M1824)),0)</f>
        <v/>
      </c>
      <c r="O1824" s="169" t="n"/>
      <c r="P1824" s="76">
        <f>N1824*(1-O1824)</f>
        <v/>
      </c>
      <c r="Q1824" s="162" t="n"/>
      <c r="R1824" s="162">
        <f>IF(ISBLANK(Q1824),"введи курс",P1824/Q1824)</f>
        <v/>
      </c>
      <c r="S1824" s="196">
        <f>IF(AND(ISNUMBER(E1824),ISNUMBER(Q1824)),E1824*R1824,0)</f>
        <v/>
      </c>
      <c r="T1824" s="192">
        <f>$BC1824*V$11</f>
        <v/>
      </c>
      <c r="U1824" s="76">
        <f>$BC1824*W$11</f>
        <v/>
      </c>
      <c r="V1824" s="193">
        <f>+SUM(T1824:U1824)</f>
        <v/>
      </c>
      <c r="W1824" s="191" t="n"/>
      <c r="X1824" s="170" t="n"/>
      <c r="Y1824" s="76">
        <f>ROUND(IF(offer_incoterms="DDP",X1824*(S1824*(1+AW1824)+T1824),0),2)</f>
        <v/>
      </c>
      <c r="Z1824" s="188" t="n"/>
      <c r="AA1824" s="192">
        <f>IFERROR(AB1824/E1824,0)</f>
        <v/>
      </c>
      <c r="AB1824" s="76">
        <f>ROUND(SUM(S1824,V1824,Y1824:Z1824,BA1824:BB1824),2)</f>
        <v/>
      </c>
      <c r="AC1824" s="797" t="n"/>
      <c r="AD1824" s="192">
        <f t="array" ref="AD1824">IFERROR(ROUND((_xlfn.IFS(offer_sale_type="поставка",AB1824,offer_sale_type="транзит",S1824)*(1+AC1824))/E1824,2),0)</f>
        <v/>
      </c>
      <c r="AE1824" s="76">
        <f>AD1824*E1824</f>
        <v/>
      </c>
      <c r="AF1824" s="193">
        <f t="array" ref="AF1824">IFERROR(ROUND(_xlfn.IFS(offer_sale_type="поставка",AB1824,offer_sale_type="транзит",S1824)*AC1824,2),0)</f>
        <v/>
      </c>
      <c r="AG1824" s="192">
        <f>$BD1824*VLOOKUP($AG$3,$AF$4:$AG$7,2,FALSE)</f>
        <v/>
      </c>
      <c r="AH1824" s="76">
        <f>SUM(AE1824,AG1824,AI1824)*rate_forex_risk</f>
        <v/>
      </c>
      <c r="AI1824" s="193">
        <f>IF(OR(seller_region="TR",offer_sale_type="экспорт"),0,rate_fin_comm)*SUM(AZ1824,AZ1824*AW1824,T1824)</f>
        <v/>
      </c>
      <c r="AJ1824" s="118">
        <f>IFERROR(ROUND(SUM(AB1824,AF1824:AI1824)/E1824,2),0)</f>
        <v/>
      </c>
      <c r="AK1824" s="76">
        <f>AJ1824*E1824</f>
        <v/>
      </c>
      <c r="AL1824" s="174">
        <f>ROUND(IFERROR(AM1824*E1824,0),2)</f>
        <v/>
      </c>
      <c r="AM1824" s="175">
        <f>ROUND(AJ1824*(1+IF(offer_incoterms="DDP",IF((TODAY()+offer_turnaround_time)&gt;=helpsheet!$L$17,rate_vatRU_from_26,rate_vatRu_till_25),0)),2)</f>
        <v/>
      </c>
      <c r="AN1824" s="192">
        <f>AL1824-AK1824</f>
        <v/>
      </c>
      <c r="AO1824" s="76">
        <f>SUM(AY1824,Y1824:Z1824,T1824)*IF(AND(offer_incoterms="DDP",offer_sale_type&lt;&gt;"экспорт"),IF((TODAY()+offer_turnaround_time)&gt;=helpsheet!$L$17,rate_vatRU_from_26,rate_vatRu_till_25),0)</f>
        <v/>
      </c>
      <c r="AP1824" s="193">
        <f>AN1824-AO1824</f>
        <v/>
      </c>
      <c r="AQ1824" s="118">
        <f>IF(offer_sale_type="транзит",SUM(AF1824:AI1824,BA1824,BB1824),0)</f>
        <v/>
      </c>
      <c r="AR1824" s="82">
        <f>HYPERLINK("https://www.alta.ru/tnved/code/")&amp;W1824&amp;"/"</f>
        <v/>
      </c>
      <c r="AS1824" s="157" t="n"/>
      <c r="AT1824" s="162" t="n"/>
      <c r="AU1824" s="76">
        <f>IF(ISBLANK(AT1824),0,AJ1824-AT1824)</f>
        <v/>
      </c>
      <c r="AV1824" s="157" t="n"/>
      <c r="AW1824" s="75">
        <f>_xlfn.IFNA(VLOOKUP(L1824,list_vat[],3,FALSE),0)</f>
        <v/>
      </c>
      <c r="AX1824" s="76">
        <f>IFERROR(ROUND(S1824*(1+AW1824)/E1824,2),0)</f>
        <v/>
      </c>
      <c r="AY1824" s="76">
        <f>E1824*AX1824</f>
        <v/>
      </c>
      <c r="AZ1824" s="192">
        <f>S1824*(1+M1824)</f>
        <v/>
      </c>
      <c r="BA1824" s="76">
        <f>cost_fin_total*$BD1824</f>
        <v/>
      </c>
      <c r="BB1824" s="193">
        <f>credit_sales_interest*BD1824</f>
        <v/>
      </c>
      <c r="BC1824" s="102">
        <f>IFERROR(IF($I$13&gt;0,$I1824/$I$13,$S1824/$S$13),0)</f>
        <v/>
      </c>
      <c r="BD1824" s="102">
        <f>IFERROR($S1824/$S$13,0)</f>
        <v/>
      </c>
      <c r="BE1824" s="413" t="inlineStr">
        <is>
          <t>$</t>
        </is>
      </c>
    </row>
    <row r="1825" ht="12" customFormat="1" customHeight="1" s="65">
      <c r="A1825" s="43" t="n">
        <v>1810</v>
      </c>
      <c r="B1825" s="166" t="n"/>
      <c r="C1825" s="166" t="n"/>
      <c r="D1825" s="166" t="n"/>
      <c r="E1825" s="162" t="n"/>
      <c r="F1825" s="166" t="n"/>
      <c r="G1825" s="162" t="n"/>
      <c r="H1825" s="162" t="n"/>
      <c r="I1825" s="189">
        <f>E1825*G1825</f>
        <v/>
      </c>
      <c r="J1825" s="195" t="n"/>
      <c r="K1825" s="162" t="n"/>
      <c r="L1825" s="168" t="n"/>
      <c r="M1825" s="75">
        <f>_xlfn.XLOOKUP(L1825,list_vat[Страна],list_vat[Ставка НДС %],0,0)</f>
        <v/>
      </c>
      <c r="N1825" s="162">
        <f>IFERROR(IF(L1825="Китай",K1825,K1825/(1+M1825)),0)</f>
        <v/>
      </c>
      <c r="O1825" s="169" t="n"/>
      <c r="P1825" s="76">
        <f>N1825*(1-O1825)</f>
        <v/>
      </c>
      <c r="Q1825" s="162" t="n"/>
      <c r="R1825" s="162">
        <f>IF(ISBLANK(Q1825),"введи курс",P1825/Q1825)</f>
        <v/>
      </c>
      <c r="S1825" s="196">
        <f>IF(AND(ISNUMBER(E1825),ISNUMBER(Q1825)),E1825*R1825,0)</f>
        <v/>
      </c>
      <c r="T1825" s="192">
        <f>$BC1825*V$11</f>
        <v/>
      </c>
      <c r="U1825" s="76">
        <f>$BC1825*W$11</f>
        <v/>
      </c>
      <c r="V1825" s="193">
        <f>+SUM(T1825:U1825)</f>
        <v/>
      </c>
      <c r="W1825" s="191" t="n"/>
      <c r="X1825" s="170" t="n"/>
      <c r="Y1825" s="76">
        <f>ROUND(IF(offer_incoterms="DDP",X1825*(S1825*(1+AW1825)+T1825),0),2)</f>
        <v/>
      </c>
      <c r="Z1825" s="188" t="n"/>
      <c r="AA1825" s="192">
        <f>IFERROR(AB1825/E1825,0)</f>
        <v/>
      </c>
      <c r="AB1825" s="76">
        <f>ROUND(SUM(S1825,V1825,Y1825:Z1825,BA1825:BB1825),2)</f>
        <v/>
      </c>
      <c r="AC1825" s="797" t="n"/>
      <c r="AD1825" s="192">
        <f t="array" ref="AD1825">IFERROR(ROUND((_xlfn.IFS(offer_sale_type="поставка",AB1825,offer_sale_type="транзит",S1825)*(1+AC1825))/E1825,2),0)</f>
        <v/>
      </c>
      <c r="AE1825" s="76">
        <f>AD1825*E1825</f>
        <v/>
      </c>
      <c r="AF1825" s="193">
        <f t="array" ref="AF1825">IFERROR(ROUND(_xlfn.IFS(offer_sale_type="поставка",AB1825,offer_sale_type="транзит",S1825)*AC1825,2),0)</f>
        <v/>
      </c>
      <c r="AG1825" s="192">
        <f>$BD1825*VLOOKUP($AG$3,$AF$4:$AG$7,2,FALSE)</f>
        <v/>
      </c>
      <c r="AH1825" s="76">
        <f>SUM(AE1825,AG1825,AI1825)*rate_forex_risk</f>
        <v/>
      </c>
      <c r="AI1825" s="193">
        <f>IF(OR(seller_region="TR",offer_sale_type="экспорт"),0,rate_fin_comm)*SUM(AZ1825,AZ1825*AW1825,T1825)</f>
        <v/>
      </c>
      <c r="AJ1825" s="118">
        <f>IFERROR(ROUND(SUM(AB1825,AF1825:AI1825)/E1825,2),0)</f>
        <v/>
      </c>
      <c r="AK1825" s="76">
        <f>AJ1825*E1825</f>
        <v/>
      </c>
      <c r="AL1825" s="174">
        <f>ROUND(IFERROR(AM1825*E1825,0),2)</f>
        <v/>
      </c>
      <c r="AM1825" s="175">
        <f>ROUND(AJ1825*(1+IF(offer_incoterms="DDP",IF((TODAY()+offer_turnaround_time)&gt;=helpsheet!$L$17,rate_vatRU_from_26,rate_vatRu_till_25),0)),2)</f>
        <v/>
      </c>
      <c r="AN1825" s="192">
        <f>AL1825-AK1825</f>
        <v/>
      </c>
      <c r="AO1825" s="76">
        <f>SUM(AY1825,Y1825:Z1825,T1825)*IF(AND(offer_incoterms="DDP",offer_sale_type&lt;&gt;"экспорт"),IF((TODAY()+offer_turnaround_time)&gt;=helpsheet!$L$17,rate_vatRU_from_26,rate_vatRu_till_25),0)</f>
        <v/>
      </c>
      <c r="AP1825" s="193">
        <f>AN1825-AO1825</f>
        <v/>
      </c>
      <c r="AQ1825" s="118">
        <f>IF(offer_sale_type="транзит",SUM(AF1825:AI1825,BA1825,BB1825),0)</f>
        <v/>
      </c>
      <c r="AR1825" s="82">
        <f>HYPERLINK("https://www.alta.ru/tnved/code/")&amp;W1825&amp;"/"</f>
        <v/>
      </c>
      <c r="AS1825" s="157" t="n"/>
      <c r="AT1825" s="162" t="n"/>
      <c r="AU1825" s="76">
        <f>IF(ISBLANK(AT1825),0,AJ1825-AT1825)</f>
        <v/>
      </c>
      <c r="AV1825" s="157" t="n"/>
      <c r="AW1825" s="75">
        <f>_xlfn.IFNA(VLOOKUP(L1825,list_vat[],3,FALSE),0)</f>
        <v/>
      </c>
      <c r="AX1825" s="76">
        <f>IFERROR(ROUND(S1825*(1+AW1825)/E1825,2),0)</f>
        <v/>
      </c>
      <c r="AY1825" s="76">
        <f>E1825*AX1825</f>
        <v/>
      </c>
      <c r="AZ1825" s="192">
        <f>S1825*(1+M1825)</f>
        <v/>
      </c>
      <c r="BA1825" s="76">
        <f>cost_fin_total*$BD1825</f>
        <v/>
      </c>
      <c r="BB1825" s="193">
        <f>credit_sales_interest*BD1825</f>
        <v/>
      </c>
      <c r="BC1825" s="102">
        <f>IFERROR(IF($I$13&gt;0,$I1825/$I$13,$S1825/$S$13),0)</f>
        <v/>
      </c>
      <c r="BD1825" s="102">
        <f>IFERROR($S1825/$S$13,0)</f>
        <v/>
      </c>
      <c r="BE1825" s="413" t="inlineStr">
        <is>
          <t>$</t>
        </is>
      </c>
    </row>
    <row r="1826" ht="12" customFormat="1" customHeight="1" s="65">
      <c r="A1826" s="43" t="n">
        <v>1811</v>
      </c>
      <c r="B1826" s="166" t="n"/>
      <c r="C1826" s="166" t="n"/>
      <c r="D1826" s="166" t="n"/>
      <c r="E1826" s="162" t="n"/>
      <c r="F1826" s="166" t="n"/>
      <c r="G1826" s="162" t="n"/>
      <c r="H1826" s="162" t="n"/>
      <c r="I1826" s="189">
        <f>E1826*G1826</f>
        <v/>
      </c>
      <c r="J1826" s="195" t="n"/>
      <c r="K1826" s="162" t="n"/>
      <c r="L1826" s="168" t="n"/>
      <c r="M1826" s="75">
        <f>_xlfn.XLOOKUP(L1826,list_vat[Страна],list_vat[Ставка НДС %],0,0)</f>
        <v/>
      </c>
      <c r="N1826" s="162">
        <f>IFERROR(IF(L1826="Китай",K1826,K1826/(1+M1826)),0)</f>
        <v/>
      </c>
      <c r="O1826" s="169" t="n"/>
      <c r="P1826" s="76">
        <f>N1826*(1-O1826)</f>
        <v/>
      </c>
      <c r="Q1826" s="162" t="n"/>
      <c r="R1826" s="162">
        <f>IF(ISBLANK(Q1826),"введи курс",P1826/Q1826)</f>
        <v/>
      </c>
      <c r="S1826" s="196">
        <f>IF(AND(ISNUMBER(E1826),ISNUMBER(Q1826)),E1826*R1826,0)</f>
        <v/>
      </c>
      <c r="T1826" s="192">
        <f>$BC1826*V$11</f>
        <v/>
      </c>
      <c r="U1826" s="76">
        <f>$BC1826*W$11</f>
        <v/>
      </c>
      <c r="V1826" s="193">
        <f>+SUM(T1826:U1826)</f>
        <v/>
      </c>
      <c r="W1826" s="191" t="n"/>
      <c r="X1826" s="170" t="n"/>
      <c r="Y1826" s="76">
        <f>ROUND(IF(offer_incoterms="DDP",X1826*(S1826*(1+AW1826)+T1826),0),2)</f>
        <v/>
      </c>
      <c r="Z1826" s="188" t="n"/>
      <c r="AA1826" s="192">
        <f>IFERROR(AB1826/E1826,0)</f>
        <v/>
      </c>
      <c r="AB1826" s="76">
        <f>ROUND(SUM(S1826,V1826,Y1826:Z1826,BA1826:BB1826),2)</f>
        <v/>
      </c>
      <c r="AC1826" s="797" t="n"/>
      <c r="AD1826" s="192">
        <f t="array" ref="AD1826">IFERROR(ROUND((_xlfn.IFS(offer_sale_type="поставка",AB1826,offer_sale_type="транзит",S1826)*(1+AC1826))/E1826,2),0)</f>
        <v/>
      </c>
      <c r="AE1826" s="76">
        <f>AD1826*E1826</f>
        <v/>
      </c>
      <c r="AF1826" s="193">
        <f t="array" ref="AF1826">IFERROR(ROUND(_xlfn.IFS(offer_sale_type="поставка",AB1826,offer_sale_type="транзит",S1826)*AC1826,2),0)</f>
        <v/>
      </c>
      <c r="AG1826" s="192">
        <f>$BD1826*VLOOKUP($AG$3,$AF$4:$AG$7,2,FALSE)</f>
        <v/>
      </c>
      <c r="AH1826" s="76">
        <f>SUM(AE1826,AG1826,AI1826)*rate_forex_risk</f>
        <v/>
      </c>
      <c r="AI1826" s="193">
        <f>IF(OR(seller_region="TR",offer_sale_type="экспорт"),0,rate_fin_comm)*SUM(AZ1826,AZ1826*AW1826,T1826)</f>
        <v/>
      </c>
      <c r="AJ1826" s="118">
        <f>IFERROR(ROUND(SUM(AB1826,AF1826:AI1826)/E1826,2),0)</f>
        <v/>
      </c>
      <c r="AK1826" s="76">
        <f>AJ1826*E1826</f>
        <v/>
      </c>
      <c r="AL1826" s="174">
        <f>ROUND(IFERROR(AM1826*E1826,0),2)</f>
        <v/>
      </c>
      <c r="AM1826" s="175">
        <f>ROUND(AJ1826*(1+IF(offer_incoterms="DDP",IF((TODAY()+offer_turnaround_time)&gt;=helpsheet!$L$17,rate_vatRU_from_26,rate_vatRu_till_25),0)),2)</f>
        <v/>
      </c>
      <c r="AN1826" s="192">
        <f>AL1826-AK1826</f>
        <v/>
      </c>
      <c r="AO1826" s="76">
        <f>SUM(AY1826,Y1826:Z1826,T1826)*IF(AND(offer_incoterms="DDP",offer_sale_type&lt;&gt;"экспорт"),IF((TODAY()+offer_turnaround_time)&gt;=helpsheet!$L$17,rate_vatRU_from_26,rate_vatRu_till_25),0)</f>
        <v/>
      </c>
      <c r="AP1826" s="193">
        <f>AN1826-AO1826</f>
        <v/>
      </c>
      <c r="AQ1826" s="118">
        <f>IF(offer_sale_type="транзит",SUM(AF1826:AI1826,BA1826,BB1826),0)</f>
        <v/>
      </c>
      <c r="AR1826" s="82">
        <f>HYPERLINK("https://www.alta.ru/tnved/code/")&amp;W1826&amp;"/"</f>
        <v/>
      </c>
      <c r="AS1826" s="157" t="n"/>
      <c r="AT1826" s="162" t="n"/>
      <c r="AU1826" s="76">
        <f>IF(ISBLANK(AT1826),0,AJ1826-AT1826)</f>
        <v/>
      </c>
      <c r="AV1826" s="157" t="n"/>
      <c r="AW1826" s="75">
        <f>_xlfn.IFNA(VLOOKUP(L1826,list_vat[],3,FALSE),0)</f>
        <v/>
      </c>
      <c r="AX1826" s="76">
        <f>IFERROR(ROUND(S1826*(1+AW1826)/E1826,2),0)</f>
        <v/>
      </c>
      <c r="AY1826" s="76">
        <f>E1826*AX1826</f>
        <v/>
      </c>
      <c r="AZ1826" s="192">
        <f>S1826*(1+M1826)</f>
        <v/>
      </c>
      <c r="BA1826" s="76">
        <f>cost_fin_total*$BD1826</f>
        <v/>
      </c>
      <c r="BB1826" s="193">
        <f>credit_sales_interest*BD1826</f>
        <v/>
      </c>
      <c r="BC1826" s="102">
        <f>IFERROR(IF($I$13&gt;0,$I1826/$I$13,$S1826/$S$13),0)</f>
        <v/>
      </c>
      <c r="BD1826" s="102">
        <f>IFERROR($S1826/$S$13,0)</f>
        <v/>
      </c>
      <c r="BE1826" s="413" t="inlineStr">
        <is>
          <t>$</t>
        </is>
      </c>
    </row>
    <row r="1827" ht="12" customFormat="1" customHeight="1" s="65">
      <c r="A1827" s="43" t="n">
        <v>1812</v>
      </c>
      <c r="B1827" s="166" t="n"/>
      <c r="C1827" s="166" t="n"/>
      <c r="D1827" s="166" t="n"/>
      <c r="E1827" s="162" t="n"/>
      <c r="F1827" s="166" t="n"/>
      <c r="G1827" s="162" t="n"/>
      <c r="H1827" s="162" t="n"/>
      <c r="I1827" s="189">
        <f>E1827*G1827</f>
        <v/>
      </c>
      <c r="J1827" s="195" t="n"/>
      <c r="K1827" s="162" t="n"/>
      <c r="L1827" s="168" t="n"/>
      <c r="M1827" s="75">
        <f>_xlfn.XLOOKUP(L1827,list_vat[Страна],list_vat[Ставка НДС %],0,0)</f>
        <v/>
      </c>
      <c r="N1827" s="162">
        <f>IFERROR(IF(L1827="Китай",K1827,K1827/(1+M1827)),0)</f>
        <v/>
      </c>
      <c r="O1827" s="169" t="n"/>
      <c r="P1827" s="76">
        <f>N1827*(1-O1827)</f>
        <v/>
      </c>
      <c r="Q1827" s="162" t="n"/>
      <c r="R1827" s="162">
        <f>IF(ISBLANK(Q1827),"введи курс",P1827/Q1827)</f>
        <v/>
      </c>
      <c r="S1827" s="196">
        <f>IF(AND(ISNUMBER(E1827),ISNUMBER(Q1827)),E1827*R1827,0)</f>
        <v/>
      </c>
      <c r="T1827" s="192">
        <f>$BC1827*V$11</f>
        <v/>
      </c>
      <c r="U1827" s="76">
        <f>$BC1827*W$11</f>
        <v/>
      </c>
      <c r="V1827" s="193">
        <f>+SUM(T1827:U1827)</f>
        <v/>
      </c>
      <c r="W1827" s="191" t="n"/>
      <c r="X1827" s="170" t="n"/>
      <c r="Y1827" s="76">
        <f>ROUND(IF(offer_incoterms="DDP",X1827*(S1827*(1+AW1827)+T1827),0),2)</f>
        <v/>
      </c>
      <c r="Z1827" s="188" t="n"/>
      <c r="AA1827" s="192">
        <f>IFERROR(AB1827/E1827,0)</f>
        <v/>
      </c>
      <c r="AB1827" s="76">
        <f>ROUND(SUM(S1827,V1827,Y1827:Z1827,BA1827:BB1827),2)</f>
        <v/>
      </c>
      <c r="AC1827" s="797" t="n"/>
      <c r="AD1827" s="192">
        <f t="array" ref="AD1827">IFERROR(ROUND((_xlfn.IFS(offer_sale_type="поставка",AB1827,offer_sale_type="транзит",S1827)*(1+AC1827))/E1827,2),0)</f>
        <v/>
      </c>
      <c r="AE1827" s="76">
        <f>AD1827*E1827</f>
        <v/>
      </c>
      <c r="AF1827" s="193">
        <f t="array" ref="AF1827">IFERROR(ROUND(_xlfn.IFS(offer_sale_type="поставка",AB1827,offer_sale_type="транзит",S1827)*AC1827,2),0)</f>
        <v/>
      </c>
      <c r="AG1827" s="192">
        <f>$BD1827*VLOOKUP($AG$3,$AF$4:$AG$7,2,FALSE)</f>
        <v/>
      </c>
      <c r="AH1827" s="76">
        <f>SUM(AE1827,AG1827,AI1827)*rate_forex_risk</f>
        <v/>
      </c>
      <c r="AI1827" s="193">
        <f>IF(OR(seller_region="TR",offer_sale_type="экспорт"),0,rate_fin_comm)*SUM(AZ1827,AZ1827*AW1827,T1827)</f>
        <v/>
      </c>
      <c r="AJ1827" s="118">
        <f>IFERROR(ROUND(SUM(AB1827,AF1827:AI1827)/E1827,2),0)</f>
        <v/>
      </c>
      <c r="AK1827" s="76">
        <f>AJ1827*E1827</f>
        <v/>
      </c>
      <c r="AL1827" s="174">
        <f>ROUND(IFERROR(AM1827*E1827,0),2)</f>
        <v/>
      </c>
      <c r="AM1827" s="175">
        <f>ROUND(AJ1827*(1+IF(offer_incoterms="DDP",IF((TODAY()+offer_turnaround_time)&gt;=helpsheet!$L$17,rate_vatRU_from_26,rate_vatRu_till_25),0)),2)</f>
        <v/>
      </c>
      <c r="AN1827" s="192">
        <f>AL1827-AK1827</f>
        <v/>
      </c>
      <c r="AO1827" s="76">
        <f>SUM(AY1827,Y1827:Z1827,T1827)*IF(AND(offer_incoterms="DDP",offer_sale_type&lt;&gt;"экспорт"),IF((TODAY()+offer_turnaround_time)&gt;=helpsheet!$L$17,rate_vatRU_from_26,rate_vatRu_till_25),0)</f>
        <v/>
      </c>
      <c r="AP1827" s="193">
        <f>AN1827-AO1827</f>
        <v/>
      </c>
      <c r="AQ1827" s="118">
        <f>IF(offer_sale_type="транзит",SUM(AF1827:AI1827,BA1827,BB1827),0)</f>
        <v/>
      </c>
      <c r="AR1827" s="82">
        <f>HYPERLINK("https://www.alta.ru/tnved/code/")&amp;W1827&amp;"/"</f>
        <v/>
      </c>
      <c r="AS1827" s="157" t="n"/>
      <c r="AT1827" s="162" t="n"/>
      <c r="AU1827" s="76">
        <f>IF(ISBLANK(AT1827),0,AJ1827-AT1827)</f>
        <v/>
      </c>
      <c r="AV1827" s="157" t="n"/>
      <c r="AW1827" s="75">
        <f>_xlfn.IFNA(VLOOKUP(L1827,list_vat[],3,FALSE),0)</f>
        <v/>
      </c>
      <c r="AX1827" s="76">
        <f>IFERROR(ROUND(S1827*(1+AW1827)/E1827,2),0)</f>
        <v/>
      </c>
      <c r="AY1827" s="76">
        <f>E1827*AX1827</f>
        <v/>
      </c>
      <c r="AZ1827" s="192">
        <f>S1827*(1+M1827)</f>
        <v/>
      </c>
      <c r="BA1827" s="76">
        <f>cost_fin_total*$BD1827</f>
        <v/>
      </c>
      <c r="BB1827" s="193">
        <f>credit_sales_interest*BD1827</f>
        <v/>
      </c>
      <c r="BC1827" s="102">
        <f>IFERROR(IF($I$13&gt;0,$I1827/$I$13,$S1827/$S$13),0)</f>
        <v/>
      </c>
      <c r="BD1827" s="102">
        <f>IFERROR($S1827/$S$13,0)</f>
        <v/>
      </c>
      <c r="BE1827" s="413" t="inlineStr">
        <is>
          <t>$</t>
        </is>
      </c>
    </row>
    <row r="1828" ht="12" customFormat="1" customHeight="1" s="65">
      <c r="A1828" s="43" t="n">
        <v>1813</v>
      </c>
      <c r="B1828" s="166" t="n"/>
      <c r="C1828" s="166" t="n"/>
      <c r="D1828" s="166" t="n"/>
      <c r="E1828" s="162" t="n"/>
      <c r="F1828" s="166" t="n"/>
      <c r="G1828" s="162" t="n"/>
      <c r="H1828" s="162" t="n"/>
      <c r="I1828" s="189">
        <f>E1828*G1828</f>
        <v/>
      </c>
      <c r="J1828" s="195" t="n"/>
      <c r="K1828" s="162" t="n"/>
      <c r="L1828" s="168" t="n"/>
      <c r="M1828" s="75">
        <f>_xlfn.XLOOKUP(L1828,list_vat[Страна],list_vat[Ставка НДС %],0,0)</f>
        <v/>
      </c>
      <c r="N1828" s="162">
        <f>IFERROR(IF(L1828="Китай",K1828,K1828/(1+M1828)),0)</f>
        <v/>
      </c>
      <c r="O1828" s="169" t="n"/>
      <c r="P1828" s="76">
        <f>N1828*(1-O1828)</f>
        <v/>
      </c>
      <c r="Q1828" s="162" t="n"/>
      <c r="R1828" s="162">
        <f>IF(ISBLANK(Q1828),"введи курс",P1828/Q1828)</f>
        <v/>
      </c>
      <c r="S1828" s="196">
        <f>IF(AND(ISNUMBER(E1828),ISNUMBER(Q1828)),E1828*R1828,0)</f>
        <v/>
      </c>
      <c r="T1828" s="192">
        <f>$BC1828*V$11</f>
        <v/>
      </c>
      <c r="U1828" s="76">
        <f>$BC1828*W$11</f>
        <v/>
      </c>
      <c r="V1828" s="193">
        <f>+SUM(T1828:U1828)</f>
        <v/>
      </c>
      <c r="W1828" s="191" t="n"/>
      <c r="X1828" s="170" t="n"/>
      <c r="Y1828" s="76">
        <f>ROUND(IF(offer_incoterms="DDP",X1828*(S1828*(1+AW1828)+T1828),0),2)</f>
        <v/>
      </c>
      <c r="Z1828" s="188" t="n"/>
      <c r="AA1828" s="192">
        <f>IFERROR(AB1828/E1828,0)</f>
        <v/>
      </c>
      <c r="AB1828" s="76">
        <f>ROUND(SUM(S1828,V1828,Y1828:Z1828,BA1828:BB1828),2)</f>
        <v/>
      </c>
      <c r="AC1828" s="797" t="n"/>
      <c r="AD1828" s="192">
        <f t="array" ref="AD1828">IFERROR(ROUND((_xlfn.IFS(offer_sale_type="поставка",AB1828,offer_sale_type="транзит",S1828)*(1+AC1828))/E1828,2),0)</f>
        <v/>
      </c>
      <c r="AE1828" s="76">
        <f>AD1828*E1828</f>
        <v/>
      </c>
      <c r="AF1828" s="193">
        <f t="array" ref="AF1828">IFERROR(ROUND(_xlfn.IFS(offer_sale_type="поставка",AB1828,offer_sale_type="транзит",S1828)*AC1828,2),0)</f>
        <v/>
      </c>
      <c r="AG1828" s="192">
        <f>$BD1828*VLOOKUP($AG$3,$AF$4:$AG$7,2,FALSE)</f>
        <v/>
      </c>
      <c r="AH1828" s="76">
        <f>SUM(AE1828,AG1828,AI1828)*rate_forex_risk</f>
        <v/>
      </c>
      <c r="AI1828" s="193">
        <f>IF(OR(seller_region="TR",offer_sale_type="экспорт"),0,rate_fin_comm)*SUM(AZ1828,AZ1828*AW1828,T1828)</f>
        <v/>
      </c>
      <c r="AJ1828" s="118">
        <f>IFERROR(ROUND(SUM(AB1828,AF1828:AI1828)/E1828,2),0)</f>
        <v/>
      </c>
      <c r="AK1828" s="76">
        <f>AJ1828*E1828</f>
        <v/>
      </c>
      <c r="AL1828" s="174">
        <f>ROUND(IFERROR(AM1828*E1828,0),2)</f>
        <v/>
      </c>
      <c r="AM1828" s="175">
        <f>ROUND(AJ1828*(1+IF(offer_incoterms="DDP",IF((TODAY()+offer_turnaround_time)&gt;=helpsheet!$L$17,rate_vatRU_from_26,rate_vatRu_till_25),0)),2)</f>
        <v/>
      </c>
      <c r="AN1828" s="192">
        <f>AL1828-AK1828</f>
        <v/>
      </c>
      <c r="AO1828" s="76">
        <f>SUM(AY1828,Y1828:Z1828,T1828)*IF(AND(offer_incoterms="DDP",offer_sale_type&lt;&gt;"экспорт"),IF((TODAY()+offer_turnaround_time)&gt;=helpsheet!$L$17,rate_vatRU_from_26,rate_vatRu_till_25),0)</f>
        <v/>
      </c>
      <c r="AP1828" s="193">
        <f>AN1828-AO1828</f>
        <v/>
      </c>
      <c r="AQ1828" s="118">
        <f>IF(offer_sale_type="транзит",SUM(AF1828:AI1828,BA1828,BB1828),0)</f>
        <v/>
      </c>
      <c r="AR1828" s="82">
        <f>HYPERLINK("https://www.alta.ru/tnved/code/")&amp;W1828&amp;"/"</f>
        <v/>
      </c>
      <c r="AS1828" s="157" t="n"/>
      <c r="AT1828" s="162" t="n"/>
      <c r="AU1828" s="76">
        <f>IF(ISBLANK(AT1828),0,AJ1828-AT1828)</f>
        <v/>
      </c>
      <c r="AV1828" s="157" t="n"/>
      <c r="AW1828" s="75">
        <f>_xlfn.IFNA(VLOOKUP(L1828,list_vat[],3,FALSE),0)</f>
        <v/>
      </c>
      <c r="AX1828" s="76">
        <f>IFERROR(ROUND(S1828*(1+AW1828)/E1828,2),0)</f>
        <v/>
      </c>
      <c r="AY1828" s="76">
        <f>E1828*AX1828</f>
        <v/>
      </c>
      <c r="AZ1828" s="192">
        <f>S1828*(1+M1828)</f>
        <v/>
      </c>
      <c r="BA1828" s="76">
        <f>cost_fin_total*$BD1828</f>
        <v/>
      </c>
      <c r="BB1828" s="193">
        <f>credit_sales_interest*BD1828</f>
        <v/>
      </c>
      <c r="BC1828" s="102">
        <f>IFERROR(IF($I$13&gt;0,$I1828/$I$13,$S1828/$S$13),0)</f>
        <v/>
      </c>
      <c r="BD1828" s="102">
        <f>IFERROR($S1828/$S$13,0)</f>
        <v/>
      </c>
      <c r="BE1828" s="413" t="inlineStr">
        <is>
          <t>$</t>
        </is>
      </c>
    </row>
    <row r="1829" ht="12" customFormat="1" customHeight="1" s="65">
      <c r="A1829" s="43" t="n">
        <v>1814</v>
      </c>
      <c r="B1829" s="166" t="n"/>
      <c r="C1829" s="166" t="n"/>
      <c r="D1829" s="166" t="n"/>
      <c r="E1829" s="162" t="n"/>
      <c r="F1829" s="166" t="n"/>
      <c r="G1829" s="162" t="n"/>
      <c r="H1829" s="162" t="n"/>
      <c r="I1829" s="189">
        <f>E1829*G1829</f>
        <v/>
      </c>
      <c r="J1829" s="195" t="n"/>
      <c r="K1829" s="162" t="n"/>
      <c r="L1829" s="168" t="n"/>
      <c r="M1829" s="75">
        <f>_xlfn.XLOOKUP(L1829,list_vat[Страна],list_vat[Ставка НДС %],0,0)</f>
        <v/>
      </c>
      <c r="N1829" s="162">
        <f>IFERROR(IF(L1829="Китай",K1829,K1829/(1+M1829)),0)</f>
        <v/>
      </c>
      <c r="O1829" s="169" t="n"/>
      <c r="P1829" s="76">
        <f>N1829*(1-O1829)</f>
        <v/>
      </c>
      <c r="Q1829" s="162" t="n"/>
      <c r="R1829" s="162">
        <f>IF(ISBLANK(Q1829),"введи курс",P1829/Q1829)</f>
        <v/>
      </c>
      <c r="S1829" s="196">
        <f>IF(AND(ISNUMBER(E1829),ISNUMBER(Q1829)),E1829*R1829,0)</f>
        <v/>
      </c>
      <c r="T1829" s="192">
        <f>$BC1829*V$11</f>
        <v/>
      </c>
      <c r="U1829" s="76">
        <f>$BC1829*W$11</f>
        <v/>
      </c>
      <c r="V1829" s="193">
        <f>+SUM(T1829:U1829)</f>
        <v/>
      </c>
      <c r="W1829" s="191" t="n"/>
      <c r="X1829" s="170" t="n"/>
      <c r="Y1829" s="76">
        <f>ROUND(IF(offer_incoterms="DDP",X1829*(S1829*(1+AW1829)+T1829),0),2)</f>
        <v/>
      </c>
      <c r="Z1829" s="188" t="n"/>
      <c r="AA1829" s="192">
        <f>IFERROR(AB1829/E1829,0)</f>
        <v/>
      </c>
      <c r="AB1829" s="76">
        <f>ROUND(SUM(S1829,V1829,Y1829:Z1829,BA1829:BB1829),2)</f>
        <v/>
      </c>
      <c r="AC1829" s="797" t="n"/>
      <c r="AD1829" s="192">
        <f t="array" ref="AD1829">IFERROR(ROUND((_xlfn.IFS(offer_sale_type="поставка",AB1829,offer_sale_type="транзит",S1829)*(1+AC1829))/E1829,2),0)</f>
        <v/>
      </c>
      <c r="AE1829" s="76">
        <f>AD1829*E1829</f>
        <v/>
      </c>
      <c r="AF1829" s="193">
        <f t="array" ref="AF1829">IFERROR(ROUND(_xlfn.IFS(offer_sale_type="поставка",AB1829,offer_sale_type="транзит",S1829)*AC1829,2),0)</f>
        <v/>
      </c>
      <c r="AG1829" s="192">
        <f>$BD1829*VLOOKUP($AG$3,$AF$4:$AG$7,2,FALSE)</f>
        <v/>
      </c>
      <c r="AH1829" s="76">
        <f>SUM(AE1829,AG1829,AI1829)*rate_forex_risk</f>
        <v/>
      </c>
      <c r="AI1829" s="193">
        <f>IF(OR(seller_region="TR",offer_sale_type="экспорт"),0,rate_fin_comm)*SUM(AZ1829,AZ1829*AW1829,T1829)</f>
        <v/>
      </c>
      <c r="AJ1829" s="118">
        <f>IFERROR(ROUND(SUM(AB1829,AF1829:AI1829)/E1829,2),0)</f>
        <v/>
      </c>
      <c r="AK1829" s="76">
        <f>AJ1829*E1829</f>
        <v/>
      </c>
      <c r="AL1829" s="174">
        <f>ROUND(IFERROR(AM1829*E1829,0),2)</f>
        <v/>
      </c>
      <c r="AM1829" s="175">
        <f>ROUND(AJ1829*(1+IF(offer_incoterms="DDP",IF((TODAY()+offer_turnaround_time)&gt;=helpsheet!$L$17,rate_vatRU_from_26,rate_vatRu_till_25),0)),2)</f>
        <v/>
      </c>
      <c r="AN1829" s="192">
        <f>AL1829-AK1829</f>
        <v/>
      </c>
      <c r="AO1829" s="76">
        <f>SUM(AY1829,Y1829:Z1829,T1829)*IF(AND(offer_incoterms="DDP",offer_sale_type&lt;&gt;"экспорт"),IF((TODAY()+offer_turnaround_time)&gt;=helpsheet!$L$17,rate_vatRU_from_26,rate_vatRu_till_25),0)</f>
        <v/>
      </c>
      <c r="AP1829" s="193">
        <f>AN1829-AO1829</f>
        <v/>
      </c>
      <c r="AQ1829" s="118">
        <f>IF(offer_sale_type="транзит",SUM(AF1829:AI1829,BA1829,BB1829),0)</f>
        <v/>
      </c>
      <c r="AR1829" s="82">
        <f>HYPERLINK("https://www.alta.ru/tnved/code/")&amp;W1829&amp;"/"</f>
        <v/>
      </c>
      <c r="AS1829" s="157" t="n"/>
      <c r="AT1829" s="162" t="n"/>
      <c r="AU1829" s="76">
        <f>IF(ISBLANK(AT1829),0,AJ1829-AT1829)</f>
        <v/>
      </c>
      <c r="AV1829" s="157" t="n"/>
      <c r="AW1829" s="75">
        <f>_xlfn.IFNA(VLOOKUP(L1829,list_vat[],3,FALSE),0)</f>
        <v/>
      </c>
      <c r="AX1829" s="76">
        <f>IFERROR(ROUND(S1829*(1+AW1829)/E1829,2),0)</f>
        <v/>
      </c>
      <c r="AY1829" s="76">
        <f>E1829*AX1829</f>
        <v/>
      </c>
      <c r="AZ1829" s="192">
        <f>S1829*(1+M1829)</f>
        <v/>
      </c>
      <c r="BA1829" s="76">
        <f>cost_fin_total*$BD1829</f>
        <v/>
      </c>
      <c r="BB1829" s="193">
        <f>credit_sales_interest*BD1829</f>
        <v/>
      </c>
      <c r="BC1829" s="102">
        <f>IFERROR(IF($I$13&gt;0,$I1829/$I$13,$S1829/$S$13),0)</f>
        <v/>
      </c>
      <c r="BD1829" s="102">
        <f>IFERROR($S1829/$S$13,0)</f>
        <v/>
      </c>
      <c r="BE1829" s="413" t="inlineStr">
        <is>
          <t>$</t>
        </is>
      </c>
    </row>
    <row r="1830" ht="12" customFormat="1" customHeight="1" s="65">
      <c r="A1830" s="43" t="n">
        <v>1815</v>
      </c>
      <c r="B1830" s="166" t="n"/>
      <c r="C1830" s="166" t="n"/>
      <c r="D1830" s="166" t="n"/>
      <c r="E1830" s="162" t="n"/>
      <c r="F1830" s="166" t="n"/>
      <c r="G1830" s="162" t="n"/>
      <c r="H1830" s="162" t="n"/>
      <c r="I1830" s="189">
        <f>E1830*G1830</f>
        <v/>
      </c>
      <c r="J1830" s="195" t="n"/>
      <c r="K1830" s="162" t="n"/>
      <c r="L1830" s="168" t="n"/>
      <c r="M1830" s="75">
        <f>_xlfn.XLOOKUP(L1830,list_vat[Страна],list_vat[Ставка НДС %],0,0)</f>
        <v/>
      </c>
      <c r="N1830" s="162">
        <f>IFERROR(IF(L1830="Китай",K1830,K1830/(1+M1830)),0)</f>
        <v/>
      </c>
      <c r="O1830" s="169" t="n"/>
      <c r="P1830" s="76">
        <f>N1830*(1-O1830)</f>
        <v/>
      </c>
      <c r="Q1830" s="162" t="n"/>
      <c r="R1830" s="162">
        <f>IF(ISBLANK(Q1830),"введи курс",P1830/Q1830)</f>
        <v/>
      </c>
      <c r="S1830" s="196">
        <f>IF(AND(ISNUMBER(E1830),ISNUMBER(Q1830)),E1830*R1830,0)</f>
        <v/>
      </c>
      <c r="T1830" s="192">
        <f>$BC1830*V$11</f>
        <v/>
      </c>
      <c r="U1830" s="76">
        <f>$BC1830*W$11</f>
        <v/>
      </c>
      <c r="V1830" s="193">
        <f>+SUM(T1830:U1830)</f>
        <v/>
      </c>
      <c r="W1830" s="191" t="n"/>
      <c r="X1830" s="170" t="n"/>
      <c r="Y1830" s="76">
        <f>ROUND(IF(offer_incoterms="DDP",X1830*(S1830*(1+AW1830)+T1830),0),2)</f>
        <v/>
      </c>
      <c r="Z1830" s="188" t="n"/>
      <c r="AA1830" s="192">
        <f>IFERROR(AB1830/E1830,0)</f>
        <v/>
      </c>
      <c r="AB1830" s="76">
        <f>ROUND(SUM(S1830,V1830,Y1830:Z1830,BA1830:BB1830),2)</f>
        <v/>
      </c>
      <c r="AC1830" s="797" t="n"/>
      <c r="AD1830" s="192">
        <f t="array" ref="AD1830">IFERROR(ROUND((_xlfn.IFS(offer_sale_type="поставка",AB1830,offer_sale_type="транзит",S1830)*(1+AC1830))/E1830,2),0)</f>
        <v/>
      </c>
      <c r="AE1830" s="76">
        <f>AD1830*E1830</f>
        <v/>
      </c>
      <c r="AF1830" s="193">
        <f t="array" ref="AF1830">IFERROR(ROUND(_xlfn.IFS(offer_sale_type="поставка",AB1830,offer_sale_type="транзит",S1830)*AC1830,2),0)</f>
        <v/>
      </c>
      <c r="AG1830" s="192">
        <f>$BD1830*VLOOKUP($AG$3,$AF$4:$AG$7,2,FALSE)</f>
        <v/>
      </c>
      <c r="AH1830" s="76">
        <f>SUM(AE1830,AG1830,AI1830)*rate_forex_risk</f>
        <v/>
      </c>
      <c r="AI1830" s="193">
        <f>IF(OR(seller_region="TR",offer_sale_type="экспорт"),0,rate_fin_comm)*SUM(AZ1830,AZ1830*AW1830,T1830)</f>
        <v/>
      </c>
      <c r="AJ1830" s="118">
        <f>IFERROR(ROUND(SUM(AB1830,AF1830:AI1830)/E1830,2),0)</f>
        <v/>
      </c>
      <c r="AK1830" s="76">
        <f>AJ1830*E1830</f>
        <v/>
      </c>
      <c r="AL1830" s="174">
        <f>ROUND(IFERROR(AM1830*E1830,0),2)</f>
        <v/>
      </c>
      <c r="AM1830" s="175">
        <f>ROUND(AJ1830*(1+IF(offer_incoterms="DDP",IF((TODAY()+offer_turnaround_time)&gt;=helpsheet!$L$17,rate_vatRU_from_26,rate_vatRu_till_25),0)),2)</f>
        <v/>
      </c>
      <c r="AN1830" s="192">
        <f>AL1830-AK1830</f>
        <v/>
      </c>
      <c r="AO1830" s="76">
        <f>SUM(AY1830,Y1830:Z1830,T1830)*IF(AND(offer_incoterms="DDP",offer_sale_type&lt;&gt;"экспорт"),IF((TODAY()+offer_turnaround_time)&gt;=helpsheet!$L$17,rate_vatRU_from_26,rate_vatRu_till_25),0)</f>
        <v/>
      </c>
      <c r="AP1830" s="193">
        <f>AN1830-AO1830</f>
        <v/>
      </c>
      <c r="AQ1830" s="118">
        <f>IF(offer_sale_type="транзит",SUM(AF1830:AI1830,BA1830,BB1830),0)</f>
        <v/>
      </c>
      <c r="AR1830" s="82">
        <f>HYPERLINK("https://www.alta.ru/tnved/code/")&amp;W1830&amp;"/"</f>
        <v/>
      </c>
      <c r="AS1830" s="157" t="n"/>
      <c r="AT1830" s="162" t="n"/>
      <c r="AU1830" s="76">
        <f>IF(ISBLANK(AT1830),0,AJ1830-AT1830)</f>
        <v/>
      </c>
      <c r="AV1830" s="157" t="n"/>
      <c r="AW1830" s="75">
        <f>_xlfn.IFNA(VLOOKUP(L1830,list_vat[],3,FALSE),0)</f>
        <v/>
      </c>
      <c r="AX1830" s="76">
        <f>IFERROR(ROUND(S1830*(1+AW1830)/E1830,2),0)</f>
        <v/>
      </c>
      <c r="AY1830" s="76">
        <f>E1830*AX1830</f>
        <v/>
      </c>
      <c r="AZ1830" s="192">
        <f>S1830*(1+M1830)</f>
        <v/>
      </c>
      <c r="BA1830" s="76">
        <f>cost_fin_total*$BD1830</f>
        <v/>
      </c>
      <c r="BB1830" s="193">
        <f>credit_sales_interest*BD1830</f>
        <v/>
      </c>
      <c r="BC1830" s="102">
        <f>IFERROR(IF($I$13&gt;0,$I1830/$I$13,$S1830/$S$13),0)</f>
        <v/>
      </c>
      <c r="BD1830" s="102">
        <f>IFERROR($S1830/$S$13,0)</f>
        <v/>
      </c>
      <c r="BE1830" s="413" t="inlineStr">
        <is>
          <t>$</t>
        </is>
      </c>
    </row>
    <row r="1831" ht="12" customFormat="1" customHeight="1" s="65">
      <c r="A1831" s="43" t="n">
        <v>1816</v>
      </c>
      <c r="B1831" s="166" t="n"/>
      <c r="C1831" s="166" t="n"/>
      <c r="D1831" s="166" t="n"/>
      <c r="E1831" s="162" t="n"/>
      <c r="F1831" s="166" t="n"/>
      <c r="G1831" s="162" t="n"/>
      <c r="H1831" s="162" t="n"/>
      <c r="I1831" s="189">
        <f>E1831*G1831</f>
        <v/>
      </c>
      <c r="J1831" s="195" t="n"/>
      <c r="K1831" s="162" t="n"/>
      <c r="L1831" s="168" t="n"/>
      <c r="M1831" s="75">
        <f>_xlfn.XLOOKUP(L1831,list_vat[Страна],list_vat[Ставка НДС %],0,0)</f>
        <v/>
      </c>
      <c r="N1831" s="162">
        <f>IFERROR(IF(L1831="Китай",K1831,K1831/(1+M1831)),0)</f>
        <v/>
      </c>
      <c r="O1831" s="169" t="n"/>
      <c r="P1831" s="76">
        <f>N1831*(1-O1831)</f>
        <v/>
      </c>
      <c r="Q1831" s="162" t="n"/>
      <c r="R1831" s="162">
        <f>IF(ISBLANK(Q1831),"введи курс",P1831/Q1831)</f>
        <v/>
      </c>
      <c r="S1831" s="196">
        <f>IF(AND(ISNUMBER(E1831),ISNUMBER(Q1831)),E1831*R1831,0)</f>
        <v/>
      </c>
      <c r="T1831" s="192">
        <f>$BC1831*V$11</f>
        <v/>
      </c>
      <c r="U1831" s="76">
        <f>$BC1831*W$11</f>
        <v/>
      </c>
      <c r="V1831" s="193">
        <f>+SUM(T1831:U1831)</f>
        <v/>
      </c>
      <c r="W1831" s="191" t="n"/>
      <c r="X1831" s="170" t="n"/>
      <c r="Y1831" s="76">
        <f>ROUND(IF(offer_incoterms="DDP",X1831*(S1831*(1+AW1831)+T1831),0),2)</f>
        <v/>
      </c>
      <c r="Z1831" s="188" t="n"/>
      <c r="AA1831" s="192">
        <f>IFERROR(AB1831/E1831,0)</f>
        <v/>
      </c>
      <c r="AB1831" s="76">
        <f>ROUND(SUM(S1831,V1831,Y1831:Z1831,BA1831:BB1831),2)</f>
        <v/>
      </c>
      <c r="AC1831" s="797" t="n"/>
      <c r="AD1831" s="192">
        <f t="array" ref="AD1831">IFERROR(ROUND((_xlfn.IFS(offer_sale_type="поставка",AB1831,offer_sale_type="транзит",S1831)*(1+AC1831))/E1831,2),0)</f>
        <v/>
      </c>
      <c r="AE1831" s="76">
        <f>AD1831*E1831</f>
        <v/>
      </c>
      <c r="AF1831" s="193">
        <f t="array" ref="AF1831">IFERROR(ROUND(_xlfn.IFS(offer_sale_type="поставка",AB1831,offer_sale_type="транзит",S1831)*AC1831,2),0)</f>
        <v/>
      </c>
      <c r="AG1831" s="192">
        <f>$BD1831*VLOOKUP($AG$3,$AF$4:$AG$7,2,FALSE)</f>
        <v/>
      </c>
      <c r="AH1831" s="76">
        <f>SUM(AE1831,AG1831,AI1831)*rate_forex_risk</f>
        <v/>
      </c>
      <c r="AI1831" s="193">
        <f>IF(OR(seller_region="TR",offer_sale_type="экспорт"),0,rate_fin_comm)*SUM(AZ1831,AZ1831*AW1831,T1831)</f>
        <v/>
      </c>
      <c r="AJ1831" s="118">
        <f>IFERROR(ROUND(SUM(AB1831,AF1831:AI1831)/E1831,2),0)</f>
        <v/>
      </c>
      <c r="AK1831" s="76">
        <f>AJ1831*E1831</f>
        <v/>
      </c>
      <c r="AL1831" s="174">
        <f>ROUND(IFERROR(AM1831*E1831,0),2)</f>
        <v/>
      </c>
      <c r="AM1831" s="175">
        <f>ROUND(AJ1831*(1+IF(offer_incoterms="DDP",IF((TODAY()+offer_turnaround_time)&gt;=helpsheet!$L$17,rate_vatRU_from_26,rate_vatRu_till_25),0)),2)</f>
        <v/>
      </c>
      <c r="AN1831" s="192">
        <f>AL1831-AK1831</f>
        <v/>
      </c>
      <c r="AO1831" s="76">
        <f>SUM(AY1831,Y1831:Z1831,T1831)*IF(AND(offer_incoterms="DDP",offer_sale_type&lt;&gt;"экспорт"),IF((TODAY()+offer_turnaround_time)&gt;=helpsheet!$L$17,rate_vatRU_from_26,rate_vatRu_till_25),0)</f>
        <v/>
      </c>
      <c r="AP1831" s="193">
        <f>AN1831-AO1831</f>
        <v/>
      </c>
      <c r="AQ1831" s="118">
        <f>IF(offer_sale_type="транзит",SUM(AF1831:AI1831,BA1831,BB1831),0)</f>
        <v/>
      </c>
      <c r="AR1831" s="82">
        <f>HYPERLINK("https://www.alta.ru/tnved/code/")&amp;W1831&amp;"/"</f>
        <v/>
      </c>
      <c r="AS1831" s="157" t="n"/>
      <c r="AT1831" s="162" t="n"/>
      <c r="AU1831" s="76">
        <f>IF(ISBLANK(AT1831),0,AJ1831-AT1831)</f>
        <v/>
      </c>
      <c r="AV1831" s="157" t="n"/>
      <c r="AW1831" s="75">
        <f>_xlfn.IFNA(VLOOKUP(L1831,list_vat[],3,FALSE),0)</f>
        <v/>
      </c>
      <c r="AX1831" s="76">
        <f>IFERROR(ROUND(S1831*(1+AW1831)/E1831,2),0)</f>
        <v/>
      </c>
      <c r="AY1831" s="76">
        <f>E1831*AX1831</f>
        <v/>
      </c>
      <c r="AZ1831" s="192">
        <f>S1831*(1+M1831)</f>
        <v/>
      </c>
      <c r="BA1831" s="76">
        <f>cost_fin_total*$BD1831</f>
        <v/>
      </c>
      <c r="BB1831" s="193">
        <f>credit_sales_interest*BD1831</f>
        <v/>
      </c>
      <c r="BC1831" s="102">
        <f>IFERROR(IF($I$13&gt;0,$I1831/$I$13,$S1831/$S$13),0)</f>
        <v/>
      </c>
      <c r="BD1831" s="102">
        <f>IFERROR($S1831/$S$13,0)</f>
        <v/>
      </c>
      <c r="BE1831" s="413" t="inlineStr">
        <is>
          <t>$</t>
        </is>
      </c>
    </row>
    <row r="1832" ht="12" customFormat="1" customHeight="1" s="65">
      <c r="A1832" s="43" t="n">
        <v>1817</v>
      </c>
      <c r="B1832" s="166" t="n"/>
      <c r="C1832" s="166" t="n"/>
      <c r="D1832" s="166" t="n"/>
      <c r="E1832" s="162" t="n"/>
      <c r="F1832" s="166" t="n"/>
      <c r="G1832" s="162" t="n"/>
      <c r="H1832" s="162" t="n"/>
      <c r="I1832" s="189">
        <f>E1832*G1832</f>
        <v/>
      </c>
      <c r="J1832" s="195" t="n"/>
      <c r="K1832" s="162" t="n"/>
      <c r="L1832" s="168" t="n"/>
      <c r="M1832" s="75">
        <f>_xlfn.XLOOKUP(L1832,list_vat[Страна],list_vat[Ставка НДС %],0,0)</f>
        <v/>
      </c>
      <c r="N1832" s="162">
        <f>IFERROR(IF(L1832="Китай",K1832,K1832/(1+M1832)),0)</f>
        <v/>
      </c>
      <c r="O1832" s="169" t="n"/>
      <c r="P1832" s="76">
        <f>N1832*(1-O1832)</f>
        <v/>
      </c>
      <c r="Q1832" s="162" t="n"/>
      <c r="R1832" s="162">
        <f>IF(ISBLANK(Q1832),"введи курс",P1832/Q1832)</f>
        <v/>
      </c>
      <c r="S1832" s="196">
        <f>IF(AND(ISNUMBER(E1832),ISNUMBER(Q1832)),E1832*R1832,0)</f>
        <v/>
      </c>
      <c r="T1832" s="192">
        <f>$BC1832*V$11</f>
        <v/>
      </c>
      <c r="U1832" s="76">
        <f>$BC1832*W$11</f>
        <v/>
      </c>
      <c r="V1832" s="193">
        <f>+SUM(T1832:U1832)</f>
        <v/>
      </c>
      <c r="W1832" s="191" t="n"/>
      <c r="X1832" s="170" t="n"/>
      <c r="Y1832" s="76">
        <f>ROUND(IF(offer_incoterms="DDP",X1832*(S1832*(1+AW1832)+T1832),0),2)</f>
        <v/>
      </c>
      <c r="Z1832" s="188" t="n"/>
      <c r="AA1832" s="192">
        <f>IFERROR(AB1832/E1832,0)</f>
        <v/>
      </c>
      <c r="AB1832" s="76">
        <f>ROUND(SUM(S1832,V1832,Y1832:Z1832,BA1832:BB1832),2)</f>
        <v/>
      </c>
      <c r="AC1832" s="797" t="n"/>
      <c r="AD1832" s="192">
        <f t="array" ref="AD1832">IFERROR(ROUND((_xlfn.IFS(offer_sale_type="поставка",AB1832,offer_sale_type="транзит",S1832)*(1+AC1832))/E1832,2),0)</f>
        <v/>
      </c>
      <c r="AE1832" s="76">
        <f>AD1832*E1832</f>
        <v/>
      </c>
      <c r="AF1832" s="193">
        <f t="array" ref="AF1832">IFERROR(ROUND(_xlfn.IFS(offer_sale_type="поставка",AB1832,offer_sale_type="транзит",S1832)*AC1832,2),0)</f>
        <v/>
      </c>
      <c r="AG1832" s="192">
        <f>$BD1832*VLOOKUP($AG$3,$AF$4:$AG$7,2,FALSE)</f>
        <v/>
      </c>
      <c r="AH1832" s="76">
        <f>SUM(AE1832,AG1832,AI1832)*rate_forex_risk</f>
        <v/>
      </c>
      <c r="AI1832" s="193">
        <f>IF(OR(seller_region="TR",offer_sale_type="экспорт"),0,rate_fin_comm)*SUM(AZ1832,AZ1832*AW1832,T1832)</f>
        <v/>
      </c>
      <c r="AJ1832" s="118">
        <f>IFERROR(ROUND(SUM(AB1832,AF1832:AI1832)/E1832,2),0)</f>
        <v/>
      </c>
      <c r="AK1832" s="76">
        <f>AJ1832*E1832</f>
        <v/>
      </c>
      <c r="AL1832" s="174">
        <f>ROUND(IFERROR(AM1832*E1832,0),2)</f>
        <v/>
      </c>
      <c r="AM1832" s="175">
        <f>ROUND(AJ1832*(1+IF(offer_incoterms="DDP",IF((TODAY()+offer_turnaround_time)&gt;=helpsheet!$L$17,rate_vatRU_from_26,rate_vatRu_till_25),0)),2)</f>
        <v/>
      </c>
      <c r="AN1832" s="192">
        <f>AL1832-AK1832</f>
        <v/>
      </c>
      <c r="AO1832" s="76">
        <f>SUM(AY1832,Y1832:Z1832,T1832)*IF(AND(offer_incoterms="DDP",offer_sale_type&lt;&gt;"экспорт"),IF((TODAY()+offer_turnaround_time)&gt;=helpsheet!$L$17,rate_vatRU_from_26,rate_vatRu_till_25),0)</f>
        <v/>
      </c>
      <c r="AP1832" s="193">
        <f>AN1832-AO1832</f>
        <v/>
      </c>
      <c r="AQ1832" s="118">
        <f>IF(offer_sale_type="транзит",SUM(AF1832:AI1832,BA1832,BB1832),0)</f>
        <v/>
      </c>
      <c r="AR1832" s="82">
        <f>HYPERLINK("https://www.alta.ru/tnved/code/")&amp;W1832&amp;"/"</f>
        <v/>
      </c>
      <c r="AS1832" s="157" t="n"/>
      <c r="AT1832" s="162" t="n"/>
      <c r="AU1832" s="76">
        <f>IF(ISBLANK(AT1832),0,AJ1832-AT1832)</f>
        <v/>
      </c>
      <c r="AV1832" s="157" t="n"/>
      <c r="AW1832" s="75">
        <f>_xlfn.IFNA(VLOOKUP(L1832,list_vat[],3,FALSE),0)</f>
        <v/>
      </c>
      <c r="AX1832" s="76">
        <f>IFERROR(ROUND(S1832*(1+AW1832)/E1832,2),0)</f>
        <v/>
      </c>
      <c r="AY1832" s="76">
        <f>E1832*AX1832</f>
        <v/>
      </c>
      <c r="AZ1832" s="192">
        <f>S1832*(1+M1832)</f>
        <v/>
      </c>
      <c r="BA1832" s="76">
        <f>cost_fin_total*$BD1832</f>
        <v/>
      </c>
      <c r="BB1832" s="193">
        <f>credit_sales_interest*BD1832</f>
        <v/>
      </c>
      <c r="BC1832" s="102">
        <f>IFERROR(IF($I$13&gt;0,$I1832/$I$13,$S1832/$S$13),0)</f>
        <v/>
      </c>
      <c r="BD1832" s="102">
        <f>IFERROR($S1832/$S$13,0)</f>
        <v/>
      </c>
      <c r="BE1832" s="413" t="inlineStr">
        <is>
          <t>$</t>
        </is>
      </c>
    </row>
    <row r="1833" ht="12" customFormat="1" customHeight="1" s="65">
      <c r="A1833" s="43" t="n">
        <v>1818</v>
      </c>
      <c r="B1833" s="166" t="n"/>
      <c r="C1833" s="166" t="n"/>
      <c r="D1833" s="166" t="n"/>
      <c r="E1833" s="162" t="n"/>
      <c r="F1833" s="166" t="n"/>
      <c r="G1833" s="162" t="n"/>
      <c r="H1833" s="162" t="n"/>
      <c r="I1833" s="189">
        <f>E1833*G1833</f>
        <v/>
      </c>
      <c r="J1833" s="195" t="n"/>
      <c r="K1833" s="162" t="n"/>
      <c r="L1833" s="168" t="n"/>
      <c r="M1833" s="75">
        <f>_xlfn.XLOOKUP(L1833,list_vat[Страна],list_vat[Ставка НДС %],0,0)</f>
        <v/>
      </c>
      <c r="N1833" s="162">
        <f>IFERROR(IF(L1833="Китай",K1833,K1833/(1+M1833)),0)</f>
        <v/>
      </c>
      <c r="O1833" s="169" t="n"/>
      <c r="P1833" s="76">
        <f>N1833*(1-O1833)</f>
        <v/>
      </c>
      <c r="Q1833" s="162" t="n"/>
      <c r="R1833" s="162">
        <f>IF(ISBLANK(Q1833),"введи курс",P1833/Q1833)</f>
        <v/>
      </c>
      <c r="S1833" s="196">
        <f>IF(AND(ISNUMBER(E1833),ISNUMBER(Q1833)),E1833*R1833,0)</f>
        <v/>
      </c>
      <c r="T1833" s="192">
        <f>$BC1833*V$11</f>
        <v/>
      </c>
      <c r="U1833" s="76">
        <f>$BC1833*W$11</f>
        <v/>
      </c>
      <c r="V1833" s="193">
        <f>+SUM(T1833:U1833)</f>
        <v/>
      </c>
      <c r="W1833" s="191" t="n"/>
      <c r="X1833" s="170" t="n"/>
      <c r="Y1833" s="76">
        <f>ROUND(IF(offer_incoterms="DDP",X1833*(S1833*(1+AW1833)+T1833),0),2)</f>
        <v/>
      </c>
      <c r="Z1833" s="188" t="n"/>
      <c r="AA1833" s="192">
        <f>IFERROR(AB1833/E1833,0)</f>
        <v/>
      </c>
      <c r="AB1833" s="76">
        <f>ROUND(SUM(S1833,V1833,Y1833:Z1833,BA1833:BB1833),2)</f>
        <v/>
      </c>
      <c r="AC1833" s="797" t="n"/>
      <c r="AD1833" s="192">
        <f t="array" ref="AD1833">IFERROR(ROUND((_xlfn.IFS(offer_sale_type="поставка",AB1833,offer_sale_type="транзит",S1833)*(1+AC1833))/E1833,2),0)</f>
        <v/>
      </c>
      <c r="AE1833" s="76">
        <f>AD1833*E1833</f>
        <v/>
      </c>
      <c r="AF1833" s="193">
        <f t="array" ref="AF1833">IFERROR(ROUND(_xlfn.IFS(offer_sale_type="поставка",AB1833,offer_sale_type="транзит",S1833)*AC1833,2),0)</f>
        <v/>
      </c>
      <c r="AG1833" s="192">
        <f>$BD1833*VLOOKUP($AG$3,$AF$4:$AG$7,2,FALSE)</f>
        <v/>
      </c>
      <c r="AH1833" s="76">
        <f>SUM(AE1833,AG1833,AI1833)*rate_forex_risk</f>
        <v/>
      </c>
      <c r="AI1833" s="193">
        <f>IF(OR(seller_region="TR",offer_sale_type="экспорт"),0,rate_fin_comm)*SUM(AZ1833,AZ1833*AW1833,T1833)</f>
        <v/>
      </c>
      <c r="AJ1833" s="118">
        <f>IFERROR(ROUND(SUM(AB1833,AF1833:AI1833)/E1833,2),0)</f>
        <v/>
      </c>
      <c r="AK1833" s="76">
        <f>AJ1833*E1833</f>
        <v/>
      </c>
      <c r="AL1833" s="174">
        <f>ROUND(IFERROR(AM1833*E1833,0),2)</f>
        <v/>
      </c>
      <c r="AM1833" s="175">
        <f>ROUND(AJ1833*(1+IF(offer_incoterms="DDP",IF((TODAY()+offer_turnaround_time)&gt;=helpsheet!$L$17,rate_vatRU_from_26,rate_vatRu_till_25),0)),2)</f>
        <v/>
      </c>
      <c r="AN1833" s="192">
        <f>AL1833-AK1833</f>
        <v/>
      </c>
      <c r="AO1833" s="76">
        <f>SUM(AY1833,Y1833:Z1833,T1833)*IF(AND(offer_incoterms="DDP",offer_sale_type&lt;&gt;"экспорт"),IF((TODAY()+offer_turnaround_time)&gt;=helpsheet!$L$17,rate_vatRU_from_26,rate_vatRu_till_25),0)</f>
        <v/>
      </c>
      <c r="AP1833" s="193">
        <f>AN1833-AO1833</f>
        <v/>
      </c>
      <c r="AQ1833" s="118">
        <f>IF(offer_sale_type="транзит",SUM(AF1833:AI1833,BA1833,BB1833),0)</f>
        <v/>
      </c>
      <c r="AR1833" s="82">
        <f>HYPERLINK("https://www.alta.ru/tnved/code/")&amp;W1833&amp;"/"</f>
        <v/>
      </c>
      <c r="AS1833" s="157" t="n"/>
      <c r="AT1833" s="162" t="n"/>
      <c r="AU1833" s="76">
        <f>IF(ISBLANK(AT1833),0,AJ1833-AT1833)</f>
        <v/>
      </c>
      <c r="AV1833" s="157" t="n"/>
      <c r="AW1833" s="75">
        <f>_xlfn.IFNA(VLOOKUP(L1833,list_vat[],3,FALSE),0)</f>
        <v/>
      </c>
      <c r="AX1833" s="76">
        <f>IFERROR(ROUND(S1833*(1+AW1833)/E1833,2),0)</f>
        <v/>
      </c>
      <c r="AY1833" s="76">
        <f>E1833*AX1833</f>
        <v/>
      </c>
      <c r="AZ1833" s="192">
        <f>S1833*(1+M1833)</f>
        <v/>
      </c>
      <c r="BA1833" s="76">
        <f>cost_fin_total*$BD1833</f>
        <v/>
      </c>
      <c r="BB1833" s="193">
        <f>credit_sales_interest*BD1833</f>
        <v/>
      </c>
      <c r="BC1833" s="102">
        <f>IFERROR(IF($I$13&gt;0,$I1833/$I$13,$S1833/$S$13),0)</f>
        <v/>
      </c>
      <c r="BD1833" s="102">
        <f>IFERROR($S1833/$S$13,0)</f>
        <v/>
      </c>
      <c r="BE1833" s="413" t="inlineStr">
        <is>
          <t>$</t>
        </is>
      </c>
    </row>
    <row r="1834" ht="12" customFormat="1" customHeight="1" s="65">
      <c r="A1834" s="43" t="n">
        <v>1819</v>
      </c>
      <c r="B1834" s="166" t="n"/>
      <c r="C1834" s="166" t="n"/>
      <c r="D1834" s="166" t="n"/>
      <c r="E1834" s="162" t="n"/>
      <c r="F1834" s="166" t="n"/>
      <c r="G1834" s="162" t="n"/>
      <c r="H1834" s="162" t="n"/>
      <c r="I1834" s="189">
        <f>E1834*G1834</f>
        <v/>
      </c>
      <c r="J1834" s="195" t="n"/>
      <c r="K1834" s="162" t="n"/>
      <c r="L1834" s="168" t="n"/>
      <c r="M1834" s="75">
        <f>_xlfn.XLOOKUP(L1834,list_vat[Страна],list_vat[Ставка НДС %],0,0)</f>
        <v/>
      </c>
      <c r="N1834" s="162">
        <f>IFERROR(IF(L1834="Китай",K1834,K1834/(1+M1834)),0)</f>
        <v/>
      </c>
      <c r="O1834" s="169" t="n"/>
      <c r="P1834" s="76">
        <f>N1834*(1-O1834)</f>
        <v/>
      </c>
      <c r="Q1834" s="162" t="n"/>
      <c r="R1834" s="162">
        <f>IF(ISBLANK(Q1834),"введи курс",P1834/Q1834)</f>
        <v/>
      </c>
      <c r="S1834" s="196">
        <f>IF(AND(ISNUMBER(E1834),ISNUMBER(Q1834)),E1834*R1834,0)</f>
        <v/>
      </c>
      <c r="T1834" s="192">
        <f>$BC1834*V$11</f>
        <v/>
      </c>
      <c r="U1834" s="76">
        <f>$BC1834*W$11</f>
        <v/>
      </c>
      <c r="V1834" s="193">
        <f>+SUM(T1834:U1834)</f>
        <v/>
      </c>
      <c r="W1834" s="191" t="n"/>
      <c r="X1834" s="170" t="n"/>
      <c r="Y1834" s="76">
        <f>ROUND(IF(offer_incoterms="DDP",X1834*(S1834*(1+AW1834)+T1834),0),2)</f>
        <v/>
      </c>
      <c r="Z1834" s="188" t="n"/>
      <c r="AA1834" s="192">
        <f>IFERROR(AB1834/E1834,0)</f>
        <v/>
      </c>
      <c r="AB1834" s="76">
        <f>ROUND(SUM(S1834,V1834,Y1834:Z1834,BA1834:BB1834),2)</f>
        <v/>
      </c>
      <c r="AC1834" s="797" t="n"/>
      <c r="AD1834" s="192">
        <f t="array" ref="AD1834">IFERROR(ROUND((_xlfn.IFS(offer_sale_type="поставка",AB1834,offer_sale_type="транзит",S1834)*(1+AC1834))/E1834,2),0)</f>
        <v/>
      </c>
      <c r="AE1834" s="76">
        <f>AD1834*E1834</f>
        <v/>
      </c>
      <c r="AF1834" s="193">
        <f t="array" ref="AF1834">IFERROR(ROUND(_xlfn.IFS(offer_sale_type="поставка",AB1834,offer_sale_type="транзит",S1834)*AC1834,2),0)</f>
        <v/>
      </c>
      <c r="AG1834" s="192">
        <f>$BD1834*VLOOKUP($AG$3,$AF$4:$AG$7,2,FALSE)</f>
        <v/>
      </c>
      <c r="AH1834" s="76">
        <f>SUM(AE1834,AG1834,AI1834)*rate_forex_risk</f>
        <v/>
      </c>
      <c r="AI1834" s="193">
        <f>IF(OR(seller_region="TR",offer_sale_type="экспорт"),0,rate_fin_comm)*SUM(AZ1834,AZ1834*AW1834,T1834)</f>
        <v/>
      </c>
      <c r="AJ1834" s="118">
        <f>IFERROR(ROUND(SUM(AB1834,AF1834:AI1834)/E1834,2),0)</f>
        <v/>
      </c>
      <c r="AK1834" s="76">
        <f>AJ1834*E1834</f>
        <v/>
      </c>
      <c r="AL1834" s="174">
        <f>ROUND(IFERROR(AM1834*E1834,0),2)</f>
        <v/>
      </c>
      <c r="AM1834" s="175">
        <f>ROUND(AJ1834*(1+IF(offer_incoterms="DDP",IF((TODAY()+offer_turnaround_time)&gt;=helpsheet!$L$17,rate_vatRU_from_26,rate_vatRu_till_25),0)),2)</f>
        <v/>
      </c>
      <c r="AN1834" s="192">
        <f>AL1834-AK1834</f>
        <v/>
      </c>
      <c r="AO1834" s="76">
        <f>SUM(AY1834,Y1834:Z1834,T1834)*IF(AND(offer_incoterms="DDP",offer_sale_type&lt;&gt;"экспорт"),IF((TODAY()+offer_turnaround_time)&gt;=helpsheet!$L$17,rate_vatRU_from_26,rate_vatRu_till_25),0)</f>
        <v/>
      </c>
      <c r="AP1834" s="193">
        <f>AN1834-AO1834</f>
        <v/>
      </c>
      <c r="AQ1834" s="118">
        <f>IF(offer_sale_type="транзит",SUM(AF1834:AI1834,BA1834,BB1834),0)</f>
        <v/>
      </c>
      <c r="AR1834" s="82">
        <f>HYPERLINK("https://www.alta.ru/tnved/code/")&amp;W1834&amp;"/"</f>
        <v/>
      </c>
      <c r="AS1834" s="157" t="n"/>
      <c r="AT1834" s="162" t="n"/>
      <c r="AU1834" s="76">
        <f>IF(ISBLANK(AT1834),0,AJ1834-AT1834)</f>
        <v/>
      </c>
      <c r="AV1834" s="157" t="n"/>
      <c r="AW1834" s="75">
        <f>_xlfn.IFNA(VLOOKUP(L1834,list_vat[],3,FALSE),0)</f>
        <v/>
      </c>
      <c r="AX1834" s="76">
        <f>IFERROR(ROUND(S1834*(1+AW1834)/E1834,2),0)</f>
        <v/>
      </c>
      <c r="AY1834" s="76">
        <f>E1834*AX1834</f>
        <v/>
      </c>
      <c r="AZ1834" s="192">
        <f>S1834*(1+M1834)</f>
        <v/>
      </c>
      <c r="BA1834" s="76">
        <f>cost_fin_total*$BD1834</f>
        <v/>
      </c>
      <c r="BB1834" s="193">
        <f>credit_sales_interest*BD1834</f>
        <v/>
      </c>
      <c r="BC1834" s="102">
        <f>IFERROR(IF($I$13&gt;0,$I1834/$I$13,$S1834/$S$13),0)</f>
        <v/>
      </c>
      <c r="BD1834" s="102">
        <f>IFERROR($S1834/$S$13,0)</f>
        <v/>
      </c>
      <c r="BE1834" s="413" t="inlineStr">
        <is>
          <t>$</t>
        </is>
      </c>
    </row>
    <row r="1835" ht="12" customFormat="1" customHeight="1" s="65">
      <c r="A1835" s="43" t="n">
        <v>1820</v>
      </c>
      <c r="B1835" s="166" t="n"/>
      <c r="C1835" s="166" t="n"/>
      <c r="D1835" s="166" t="n"/>
      <c r="E1835" s="162" t="n"/>
      <c r="F1835" s="166" t="n"/>
      <c r="G1835" s="162" t="n"/>
      <c r="H1835" s="162" t="n"/>
      <c r="I1835" s="189">
        <f>E1835*G1835</f>
        <v/>
      </c>
      <c r="J1835" s="195" t="n"/>
      <c r="K1835" s="162" t="n"/>
      <c r="L1835" s="168" t="n"/>
      <c r="M1835" s="75">
        <f>_xlfn.XLOOKUP(L1835,list_vat[Страна],list_vat[Ставка НДС %],0,0)</f>
        <v/>
      </c>
      <c r="N1835" s="162">
        <f>IFERROR(IF(L1835="Китай",K1835,K1835/(1+M1835)),0)</f>
        <v/>
      </c>
      <c r="O1835" s="169" t="n"/>
      <c r="P1835" s="76">
        <f>N1835*(1-O1835)</f>
        <v/>
      </c>
      <c r="Q1835" s="162" t="n"/>
      <c r="R1835" s="162">
        <f>IF(ISBLANK(Q1835),"введи курс",P1835/Q1835)</f>
        <v/>
      </c>
      <c r="S1835" s="196">
        <f>IF(AND(ISNUMBER(E1835),ISNUMBER(Q1835)),E1835*R1835,0)</f>
        <v/>
      </c>
      <c r="T1835" s="192">
        <f>$BC1835*V$11</f>
        <v/>
      </c>
      <c r="U1835" s="76">
        <f>$BC1835*W$11</f>
        <v/>
      </c>
      <c r="V1835" s="193">
        <f>+SUM(T1835:U1835)</f>
        <v/>
      </c>
      <c r="W1835" s="191" t="n"/>
      <c r="X1835" s="170" t="n"/>
      <c r="Y1835" s="76">
        <f>ROUND(IF(offer_incoterms="DDP",X1835*(S1835*(1+AW1835)+T1835),0),2)</f>
        <v/>
      </c>
      <c r="Z1835" s="188" t="n"/>
      <c r="AA1835" s="192">
        <f>IFERROR(AB1835/E1835,0)</f>
        <v/>
      </c>
      <c r="AB1835" s="76">
        <f>ROUND(SUM(S1835,V1835,Y1835:Z1835,BA1835:BB1835),2)</f>
        <v/>
      </c>
      <c r="AC1835" s="797" t="n"/>
      <c r="AD1835" s="192">
        <f t="array" ref="AD1835">IFERROR(ROUND((_xlfn.IFS(offer_sale_type="поставка",AB1835,offer_sale_type="транзит",S1835)*(1+AC1835))/E1835,2),0)</f>
        <v/>
      </c>
      <c r="AE1835" s="76">
        <f>AD1835*E1835</f>
        <v/>
      </c>
      <c r="AF1835" s="193">
        <f t="array" ref="AF1835">IFERROR(ROUND(_xlfn.IFS(offer_sale_type="поставка",AB1835,offer_sale_type="транзит",S1835)*AC1835,2),0)</f>
        <v/>
      </c>
      <c r="AG1835" s="192">
        <f>$BD1835*VLOOKUP($AG$3,$AF$4:$AG$7,2,FALSE)</f>
        <v/>
      </c>
      <c r="AH1835" s="76">
        <f>SUM(AE1835,AG1835,AI1835)*rate_forex_risk</f>
        <v/>
      </c>
      <c r="AI1835" s="193">
        <f>IF(OR(seller_region="TR",offer_sale_type="экспорт"),0,rate_fin_comm)*SUM(AZ1835,AZ1835*AW1835,T1835)</f>
        <v/>
      </c>
      <c r="AJ1835" s="118">
        <f>IFERROR(ROUND(SUM(AB1835,AF1835:AI1835)/E1835,2),0)</f>
        <v/>
      </c>
      <c r="AK1835" s="76">
        <f>AJ1835*E1835</f>
        <v/>
      </c>
      <c r="AL1835" s="174">
        <f>ROUND(IFERROR(AM1835*E1835,0),2)</f>
        <v/>
      </c>
      <c r="AM1835" s="175">
        <f>ROUND(AJ1835*(1+IF(offer_incoterms="DDP",IF((TODAY()+offer_turnaround_time)&gt;=helpsheet!$L$17,rate_vatRU_from_26,rate_vatRu_till_25),0)),2)</f>
        <v/>
      </c>
      <c r="AN1835" s="192">
        <f>AL1835-AK1835</f>
        <v/>
      </c>
      <c r="AO1835" s="76">
        <f>SUM(AY1835,Y1835:Z1835,T1835)*IF(AND(offer_incoterms="DDP",offer_sale_type&lt;&gt;"экспорт"),IF((TODAY()+offer_turnaround_time)&gt;=helpsheet!$L$17,rate_vatRU_from_26,rate_vatRu_till_25),0)</f>
        <v/>
      </c>
      <c r="AP1835" s="193">
        <f>AN1835-AO1835</f>
        <v/>
      </c>
      <c r="AQ1835" s="118">
        <f>IF(offer_sale_type="транзит",SUM(AF1835:AI1835,BA1835,BB1835),0)</f>
        <v/>
      </c>
      <c r="AR1835" s="82">
        <f>HYPERLINK("https://www.alta.ru/tnved/code/")&amp;W1835&amp;"/"</f>
        <v/>
      </c>
      <c r="AS1835" s="157" t="n"/>
      <c r="AT1835" s="162" t="n"/>
      <c r="AU1835" s="76">
        <f>IF(ISBLANK(AT1835),0,AJ1835-AT1835)</f>
        <v/>
      </c>
      <c r="AV1835" s="157" t="n"/>
      <c r="AW1835" s="75">
        <f>_xlfn.IFNA(VLOOKUP(L1835,list_vat[],3,FALSE),0)</f>
        <v/>
      </c>
      <c r="AX1835" s="76">
        <f>IFERROR(ROUND(S1835*(1+AW1835)/E1835,2),0)</f>
        <v/>
      </c>
      <c r="AY1835" s="76">
        <f>E1835*AX1835</f>
        <v/>
      </c>
      <c r="AZ1835" s="192">
        <f>S1835*(1+M1835)</f>
        <v/>
      </c>
      <c r="BA1835" s="76">
        <f>cost_fin_total*$BD1835</f>
        <v/>
      </c>
      <c r="BB1835" s="193">
        <f>credit_sales_interest*BD1835</f>
        <v/>
      </c>
      <c r="BC1835" s="102">
        <f>IFERROR(IF($I$13&gt;0,$I1835/$I$13,$S1835/$S$13),0)</f>
        <v/>
      </c>
      <c r="BD1835" s="102">
        <f>IFERROR($S1835/$S$13,0)</f>
        <v/>
      </c>
      <c r="BE1835" s="413" t="inlineStr">
        <is>
          <t>$</t>
        </is>
      </c>
    </row>
    <row r="1836" ht="12" customFormat="1" customHeight="1" s="65">
      <c r="A1836" s="43" t="n">
        <v>1821</v>
      </c>
      <c r="B1836" s="166" t="n"/>
      <c r="C1836" s="166" t="n"/>
      <c r="D1836" s="166" t="n"/>
      <c r="E1836" s="162" t="n"/>
      <c r="F1836" s="166" t="n"/>
      <c r="G1836" s="162" t="n"/>
      <c r="H1836" s="162" t="n"/>
      <c r="I1836" s="189">
        <f>E1836*G1836</f>
        <v/>
      </c>
      <c r="J1836" s="195" t="n"/>
      <c r="K1836" s="162" t="n"/>
      <c r="L1836" s="168" t="n"/>
      <c r="M1836" s="75">
        <f>_xlfn.XLOOKUP(L1836,list_vat[Страна],list_vat[Ставка НДС %],0,0)</f>
        <v/>
      </c>
      <c r="N1836" s="162">
        <f>IFERROR(IF(L1836="Китай",K1836,K1836/(1+M1836)),0)</f>
        <v/>
      </c>
      <c r="O1836" s="169" t="n"/>
      <c r="P1836" s="76">
        <f>N1836*(1-O1836)</f>
        <v/>
      </c>
      <c r="Q1836" s="162" t="n"/>
      <c r="R1836" s="162">
        <f>IF(ISBLANK(Q1836),"введи курс",P1836/Q1836)</f>
        <v/>
      </c>
      <c r="S1836" s="196">
        <f>IF(AND(ISNUMBER(E1836),ISNUMBER(Q1836)),E1836*R1836,0)</f>
        <v/>
      </c>
      <c r="T1836" s="192">
        <f>$BC1836*V$11</f>
        <v/>
      </c>
      <c r="U1836" s="76">
        <f>$BC1836*W$11</f>
        <v/>
      </c>
      <c r="V1836" s="193">
        <f>+SUM(T1836:U1836)</f>
        <v/>
      </c>
      <c r="W1836" s="191" t="n"/>
      <c r="X1836" s="170" t="n"/>
      <c r="Y1836" s="76">
        <f>ROUND(IF(offer_incoterms="DDP",X1836*(S1836*(1+AW1836)+T1836),0),2)</f>
        <v/>
      </c>
      <c r="Z1836" s="188" t="n"/>
      <c r="AA1836" s="192">
        <f>IFERROR(AB1836/E1836,0)</f>
        <v/>
      </c>
      <c r="AB1836" s="76">
        <f>ROUND(SUM(S1836,V1836,Y1836:Z1836,BA1836:BB1836),2)</f>
        <v/>
      </c>
      <c r="AC1836" s="797" t="n"/>
      <c r="AD1836" s="192">
        <f t="array" ref="AD1836">IFERROR(ROUND((_xlfn.IFS(offer_sale_type="поставка",AB1836,offer_sale_type="транзит",S1836)*(1+AC1836))/E1836,2),0)</f>
        <v/>
      </c>
      <c r="AE1836" s="76">
        <f>AD1836*E1836</f>
        <v/>
      </c>
      <c r="AF1836" s="193">
        <f t="array" ref="AF1836">IFERROR(ROUND(_xlfn.IFS(offer_sale_type="поставка",AB1836,offer_sale_type="транзит",S1836)*AC1836,2),0)</f>
        <v/>
      </c>
      <c r="AG1836" s="192">
        <f>$BD1836*VLOOKUP($AG$3,$AF$4:$AG$7,2,FALSE)</f>
        <v/>
      </c>
      <c r="AH1836" s="76">
        <f>SUM(AE1836,AG1836,AI1836)*rate_forex_risk</f>
        <v/>
      </c>
      <c r="AI1836" s="193">
        <f>IF(OR(seller_region="TR",offer_sale_type="экспорт"),0,rate_fin_comm)*SUM(AZ1836,AZ1836*AW1836,T1836)</f>
        <v/>
      </c>
      <c r="AJ1836" s="118">
        <f>IFERROR(ROUND(SUM(AB1836,AF1836:AI1836)/E1836,2),0)</f>
        <v/>
      </c>
      <c r="AK1836" s="76">
        <f>AJ1836*E1836</f>
        <v/>
      </c>
      <c r="AL1836" s="174">
        <f>ROUND(IFERROR(AM1836*E1836,0),2)</f>
        <v/>
      </c>
      <c r="AM1836" s="175">
        <f>ROUND(AJ1836*(1+IF(offer_incoterms="DDP",IF((TODAY()+offer_turnaround_time)&gt;=helpsheet!$L$17,rate_vatRU_from_26,rate_vatRu_till_25),0)),2)</f>
        <v/>
      </c>
      <c r="AN1836" s="192">
        <f>AL1836-AK1836</f>
        <v/>
      </c>
      <c r="AO1836" s="76">
        <f>SUM(AY1836,Y1836:Z1836,T1836)*IF(AND(offer_incoterms="DDP",offer_sale_type&lt;&gt;"экспорт"),IF((TODAY()+offer_turnaround_time)&gt;=helpsheet!$L$17,rate_vatRU_from_26,rate_vatRu_till_25),0)</f>
        <v/>
      </c>
      <c r="AP1836" s="193">
        <f>AN1836-AO1836</f>
        <v/>
      </c>
      <c r="AQ1836" s="118">
        <f>IF(offer_sale_type="транзит",SUM(AF1836:AI1836,BA1836,BB1836),0)</f>
        <v/>
      </c>
      <c r="AR1836" s="82">
        <f>HYPERLINK("https://www.alta.ru/tnved/code/")&amp;W1836&amp;"/"</f>
        <v/>
      </c>
      <c r="AS1836" s="157" t="n"/>
      <c r="AT1836" s="162" t="n"/>
      <c r="AU1836" s="76">
        <f>IF(ISBLANK(AT1836),0,AJ1836-AT1836)</f>
        <v/>
      </c>
      <c r="AV1836" s="157" t="n"/>
      <c r="AW1836" s="75">
        <f>_xlfn.IFNA(VLOOKUP(L1836,list_vat[],3,FALSE),0)</f>
        <v/>
      </c>
      <c r="AX1836" s="76">
        <f>IFERROR(ROUND(S1836*(1+AW1836)/E1836,2),0)</f>
        <v/>
      </c>
      <c r="AY1836" s="76">
        <f>E1836*AX1836</f>
        <v/>
      </c>
      <c r="AZ1836" s="192">
        <f>S1836*(1+M1836)</f>
        <v/>
      </c>
      <c r="BA1836" s="76">
        <f>cost_fin_total*$BD1836</f>
        <v/>
      </c>
      <c r="BB1836" s="193">
        <f>credit_sales_interest*BD1836</f>
        <v/>
      </c>
      <c r="BC1836" s="102">
        <f>IFERROR(IF($I$13&gt;0,$I1836/$I$13,$S1836/$S$13),0)</f>
        <v/>
      </c>
      <c r="BD1836" s="102">
        <f>IFERROR($S1836/$S$13,0)</f>
        <v/>
      </c>
      <c r="BE1836" s="413" t="inlineStr">
        <is>
          <t>$</t>
        </is>
      </c>
    </row>
    <row r="1837" ht="12" customFormat="1" customHeight="1" s="65">
      <c r="A1837" s="43" t="n">
        <v>1822</v>
      </c>
      <c r="B1837" s="166" t="n"/>
      <c r="C1837" s="166" t="n"/>
      <c r="D1837" s="166" t="n"/>
      <c r="E1837" s="162" t="n"/>
      <c r="F1837" s="166" t="n"/>
      <c r="G1837" s="162" t="n"/>
      <c r="H1837" s="162" t="n"/>
      <c r="I1837" s="189">
        <f>E1837*G1837</f>
        <v/>
      </c>
      <c r="J1837" s="195" t="n"/>
      <c r="K1837" s="162" t="n"/>
      <c r="L1837" s="168" t="n"/>
      <c r="M1837" s="75">
        <f>_xlfn.XLOOKUP(L1837,list_vat[Страна],list_vat[Ставка НДС %],0,0)</f>
        <v/>
      </c>
      <c r="N1837" s="162">
        <f>IFERROR(IF(L1837="Китай",K1837,K1837/(1+M1837)),0)</f>
        <v/>
      </c>
      <c r="O1837" s="169" t="n"/>
      <c r="P1837" s="76">
        <f>N1837*(1-O1837)</f>
        <v/>
      </c>
      <c r="Q1837" s="162" t="n"/>
      <c r="R1837" s="162">
        <f>IF(ISBLANK(Q1837),"введи курс",P1837/Q1837)</f>
        <v/>
      </c>
      <c r="S1837" s="196">
        <f>IF(AND(ISNUMBER(E1837),ISNUMBER(Q1837)),E1837*R1837,0)</f>
        <v/>
      </c>
      <c r="T1837" s="192">
        <f>$BC1837*V$11</f>
        <v/>
      </c>
      <c r="U1837" s="76">
        <f>$BC1837*W$11</f>
        <v/>
      </c>
      <c r="V1837" s="193">
        <f>+SUM(T1837:U1837)</f>
        <v/>
      </c>
      <c r="W1837" s="191" t="n"/>
      <c r="X1837" s="170" t="n"/>
      <c r="Y1837" s="76">
        <f>ROUND(IF(offer_incoterms="DDP",X1837*(S1837*(1+AW1837)+T1837),0),2)</f>
        <v/>
      </c>
      <c r="Z1837" s="188" t="n"/>
      <c r="AA1837" s="192">
        <f>IFERROR(AB1837/E1837,0)</f>
        <v/>
      </c>
      <c r="AB1837" s="76">
        <f>ROUND(SUM(S1837,V1837,Y1837:Z1837,BA1837:BB1837),2)</f>
        <v/>
      </c>
      <c r="AC1837" s="797" t="n"/>
      <c r="AD1837" s="192">
        <f t="array" ref="AD1837">IFERROR(ROUND((_xlfn.IFS(offer_sale_type="поставка",AB1837,offer_sale_type="транзит",S1837)*(1+AC1837))/E1837,2),0)</f>
        <v/>
      </c>
      <c r="AE1837" s="76">
        <f>AD1837*E1837</f>
        <v/>
      </c>
      <c r="AF1837" s="193">
        <f t="array" ref="AF1837">IFERROR(ROUND(_xlfn.IFS(offer_sale_type="поставка",AB1837,offer_sale_type="транзит",S1837)*AC1837,2),0)</f>
        <v/>
      </c>
      <c r="AG1837" s="192">
        <f>$BD1837*VLOOKUP($AG$3,$AF$4:$AG$7,2,FALSE)</f>
        <v/>
      </c>
      <c r="AH1837" s="76">
        <f>SUM(AE1837,AG1837,AI1837)*rate_forex_risk</f>
        <v/>
      </c>
      <c r="AI1837" s="193">
        <f>IF(OR(seller_region="TR",offer_sale_type="экспорт"),0,rate_fin_comm)*SUM(AZ1837,AZ1837*AW1837,T1837)</f>
        <v/>
      </c>
      <c r="AJ1837" s="118">
        <f>IFERROR(ROUND(SUM(AB1837,AF1837:AI1837)/E1837,2),0)</f>
        <v/>
      </c>
      <c r="AK1837" s="76">
        <f>AJ1837*E1837</f>
        <v/>
      </c>
      <c r="AL1837" s="174">
        <f>ROUND(IFERROR(AM1837*E1837,0),2)</f>
        <v/>
      </c>
      <c r="AM1837" s="175">
        <f>ROUND(AJ1837*(1+IF(offer_incoterms="DDP",IF((TODAY()+offer_turnaround_time)&gt;=helpsheet!$L$17,rate_vatRU_from_26,rate_vatRu_till_25),0)),2)</f>
        <v/>
      </c>
      <c r="AN1837" s="192">
        <f>AL1837-AK1837</f>
        <v/>
      </c>
      <c r="AO1837" s="76">
        <f>SUM(AY1837,Y1837:Z1837,T1837)*IF(AND(offer_incoterms="DDP",offer_sale_type&lt;&gt;"экспорт"),IF((TODAY()+offer_turnaround_time)&gt;=helpsheet!$L$17,rate_vatRU_from_26,rate_vatRu_till_25),0)</f>
        <v/>
      </c>
      <c r="AP1837" s="193">
        <f>AN1837-AO1837</f>
        <v/>
      </c>
      <c r="AQ1837" s="118">
        <f>IF(offer_sale_type="транзит",SUM(AF1837:AI1837,BA1837,BB1837),0)</f>
        <v/>
      </c>
      <c r="AR1837" s="82">
        <f>HYPERLINK("https://www.alta.ru/tnved/code/")&amp;W1837&amp;"/"</f>
        <v/>
      </c>
      <c r="AS1837" s="157" t="n"/>
      <c r="AT1837" s="162" t="n"/>
      <c r="AU1837" s="76">
        <f>IF(ISBLANK(AT1837),0,AJ1837-AT1837)</f>
        <v/>
      </c>
      <c r="AV1837" s="157" t="n"/>
      <c r="AW1837" s="75">
        <f>_xlfn.IFNA(VLOOKUP(L1837,list_vat[],3,FALSE),0)</f>
        <v/>
      </c>
      <c r="AX1837" s="76">
        <f>IFERROR(ROUND(S1837*(1+AW1837)/E1837,2),0)</f>
        <v/>
      </c>
      <c r="AY1837" s="76">
        <f>E1837*AX1837</f>
        <v/>
      </c>
      <c r="AZ1837" s="192">
        <f>S1837*(1+M1837)</f>
        <v/>
      </c>
      <c r="BA1837" s="76">
        <f>cost_fin_total*$BD1837</f>
        <v/>
      </c>
      <c r="BB1837" s="193">
        <f>credit_sales_interest*BD1837</f>
        <v/>
      </c>
      <c r="BC1837" s="102">
        <f>IFERROR(IF($I$13&gt;0,$I1837/$I$13,$S1837/$S$13),0)</f>
        <v/>
      </c>
      <c r="BD1837" s="102">
        <f>IFERROR($S1837/$S$13,0)</f>
        <v/>
      </c>
      <c r="BE1837" s="413" t="inlineStr">
        <is>
          <t>$</t>
        </is>
      </c>
    </row>
    <row r="1838" ht="12" customFormat="1" customHeight="1" s="65">
      <c r="A1838" s="43" t="n">
        <v>1823</v>
      </c>
      <c r="B1838" s="166" t="n"/>
      <c r="C1838" s="166" t="n"/>
      <c r="D1838" s="166" t="n"/>
      <c r="E1838" s="162" t="n"/>
      <c r="F1838" s="166" t="n"/>
      <c r="G1838" s="162" t="n"/>
      <c r="H1838" s="162" t="n"/>
      <c r="I1838" s="189">
        <f>E1838*G1838</f>
        <v/>
      </c>
      <c r="J1838" s="195" t="n"/>
      <c r="K1838" s="162" t="n"/>
      <c r="L1838" s="168" t="n"/>
      <c r="M1838" s="75">
        <f>_xlfn.XLOOKUP(L1838,list_vat[Страна],list_vat[Ставка НДС %],0,0)</f>
        <v/>
      </c>
      <c r="N1838" s="162">
        <f>IFERROR(IF(L1838="Китай",K1838,K1838/(1+M1838)),0)</f>
        <v/>
      </c>
      <c r="O1838" s="169" t="n"/>
      <c r="P1838" s="76">
        <f>N1838*(1-O1838)</f>
        <v/>
      </c>
      <c r="Q1838" s="162" t="n"/>
      <c r="R1838" s="162">
        <f>IF(ISBLANK(Q1838),"введи курс",P1838/Q1838)</f>
        <v/>
      </c>
      <c r="S1838" s="196">
        <f>IF(AND(ISNUMBER(E1838),ISNUMBER(Q1838)),E1838*R1838,0)</f>
        <v/>
      </c>
      <c r="T1838" s="192">
        <f>$BC1838*V$11</f>
        <v/>
      </c>
      <c r="U1838" s="76">
        <f>$BC1838*W$11</f>
        <v/>
      </c>
      <c r="V1838" s="193">
        <f>+SUM(T1838:U1838)</f>
        <v/>
      </c>
      <c r="W1838" s="191" t="n"/>
      <c r="X1838" s="170" t="n"/>
      <c r="Y1838" s="76">
        <f>ROUND(IF(offer_incoterms="DDP",X1838*(S1838*(1+AW1838)+T1838),0),2)</f>
        <v/>
      </c>
      <c r="Z1838" s="188" t="n"/>
      <c r="AA1838" s="192">
        <f>IFERROR(AB1838/E1838,0)</f>
        <v/>
      </c>
      <c r="AB1838" s="76">
        <f>ROUND(SUM(S1838,V1838,Y1838:Z1838,BA1838:BB1838),2)</f>
        <v/>
      </c>
      <c r="AC1838" s="797" t="n"/>
      <c r="AD1838" s="192">
        <f t="array" ref="AD1838">IFERROR(ROUND((_xlfn.IFS(offer_sale_type="поставка",AB1838,offer_sale_type="транзит",S1838)*(1+AC1838))/E1838,2),0)</f>
        <v/>
      </c>
      <c r="AE1838" s="76">
        <f>AD1838*E1838</f>
        <v/>
      </c>
      <c r="AF1838" s="193">
        <f t="array" ref="AF1838">IFERROR(ROUND(_xlfn.IFS(offer_sale_type="поставка",AB1838,offer_sale_type="транзит",S1838)*AC1838,2),0)</f>
        <v/>
      </c>
      <c r="AG1838" s="192">
        <f>$BD1838*VLOOKUP($AG$3,$AF$4:$AG$7,2,FALSE)</f>
        <v/>
      </c>
      <c r="AH1838" s="76">
        <f>SUM(AE1838,AG1838,AI1838)*rate_forex_risk</f>
        <v/>
      </c>
      <c r="AI1838" s="193">
        <f>IF(OR(seller_region="TR",offer_sale_type="экспорт"),0,rate_fin_comm)*SUM(AZ1838,AZ1838*AW1838,T1838)</f>
        <v/>
      </c>
      <c r="AJ1838" s="118">
        <f>IFERROR(ROUND(SUM(AB1838,AF1838:AI1838)/E1838,2),0)</f>
        <v/>
      </c>
      <c r="AK1838" s="76">
        <f>AJ1838*E1838</f>
        <v/>
      </c>
      <c r="AL1838" s="174">
        <f>ROUND(IFERROR(AM1838*E1838,0),2)</f>
        <v/>
      </c>
      <c r="AM1838" s="175">
        <f>ROUND(AJ1838*(1+IF(offer_incoterms="DDP",IF((TODAY()+offer_turnaround_time)&gt;=helpsheet!$L$17,rate_vatRU_from_26,rate_vatRu_till_25),0)),2)</f>
        <v/>
      </c>
      <c r="AN1838" s="192">
        <f>AL1838-AK1838</f>
        <v/>
      </c>
      <c r="AO1838" s="76">
        <f>SUM(AY1838,Y1838:Z1838,T1838)*IF(AND(offer_incoterms="DDP",offer_sale_type&lt;&gt;"экспорт"),IF((TODAY()+offer_turnaround_time)&gt;=helpsheet!$L$17,rate_vatRU_from_26,rate_vatRu_till_25),0)</f>
        <v/>
      </c>
      <c r="AP1838" s="193">
        <f>AN1838-AO1838</f>
        <v/>
      </c>
      <c r="AQ1838" s="118">
        <f>IF(offer_sale_type="транзит",SUM(AF1838:AI1838,BA1838,BB1838),0)</f>
        <v/>
      </c>
      <c r="AR1838" s="82">
        <f>HYPERLINK("https://www.alta.ru/tnved/code/")&amp;W1838&amp;"/"</f>
        <v/>
      </c>
      <c r="AS1838" s="157" t="n"/>
      <c r="AT1838" s="162" t="n"/>
      <c r="AU1838" s="76">
        <f>IF(ISBLANK(AT1838),0,AJ1838-AT1838)</f>
        <v/>
      </c>
      <c r="AV1838" s="157" t="n"/>
      <c r="AW1838" s="75">
        <f>_xlfn.IFNA(VLOOKUP(L1838,list_vat[],3,FALSE),0)</f>
        <v/>
      </c>
      <c r="AX1838" s="76">
        <f>IFERROR(ROUND(S1838*(1+AW1838)/E1838,2),0)</f>
        <v/>
      </c>
      <c r="AY1838" s="76">
        <f>E1838*AX1838</f>
        <v/>
      </c>
      <c r="AZ1838" s="192">
        <f>S1838*(1+M1838)</f>
        <v/>
      </c>
      <c r="BA1838" s="76">
        <f>cost_fin_total*$BD1838</f>
        <v/>
      </c>
      <c r="BB1838" s="193">
        <f>credit_sales_interest*BD1838</f>
        <v/>
      </c>
      <c r="BC1838" s="102">
        <f>IFERROR(IF($I$13&gt;0,$I1838/$I$13,$S1838/$S$13),0)</f>
        <v/>
      </c>
      <c r="BD1838" s="102">
        <f>IFERROR($S1838/$S$13,0)</f>
        <v/>
      </c>
      <c r="BE1838" s="413" t="inlineStr">
        <is>
          <t>$</t>
        </is>
      </c>
    </row>
    <row r="1839" ht="12" customFormat="1" customHeight="1" s="65">
      <c r="A1839" s="43" t="n">
        <v>1824</v>
      </c>
      <c r="B1839" s="166" t="n"/>
      <c r="C1839" s="166" t="n"/>
      <c r="D1839" s="166" t="n"/>
      <c r="E1839" s="162" t="n"/>
      <c r="F1839" s="166" t="n"/>
      <c r="G1839" s="162" t="n"/>
      <c r="H1839" s="162" t="n"/>
      <c r="I1839" s="189">
        <f>E1839*G1839</f>
        <v/>
      </c>
      <c r="J1839" s="195" t="n"/>
      <c r="K1839" s="162" t="n"/>
      <c r="L1839" s="168" t="n"/>
      <c r="M1839" s="75">
        <f>_xlfn.XLOOKUP(L1839,list_vat[Страна],list_vat[Ставка НДС %],0,0)</f>
        <v/>
      </c>
      <c r="N1839" s="162">
        <f>IFERROR(IF(L1839="Китай",K1839,K1839/(1+M1839)),0)</f>
        <v/>
      </c>
      <c r="O1839" s="169" t="n"/>
      <c r="P1839" s="76">
        <f>N1839*(1-O1839)</f>
        <v/>
      </c>
      <c r="Q1839" s="162" t="n"/>
      <c r="R1839" s="162">
        <f>IF(ISBLANK(Q1839),"введи курс",P1839/Q1839)</f>
        <v/>
      </c>
      <c r="S1839" s="196">
        <f>IF(AND(ISNUMBER(E1839),ISNUMBER(Q1839)),E1839*R1839,0)</f>
        <v/>
      </c>
      <c r="T1839" s="192">
        <f>$BC1839*V$11</f>
        <v/>
      </c>
      <c r="U1839" s="76">
        <f>$BC1839*W$11</f>
        <v/>
      </c>
      <c r="V1839" s="193">
        <f>+SUM(T1839:U1839)</f>
        <v/>
      </c>
      <c r="W1839" s="191" t="n"/>
      <c r="X1839" s="170" t="n"/>
      <c r="Y1839" s="76">
        <f>ROUND(IF(offer_incoterms="DDP",X1839*(S1839*(1+AW1839)+T1839),0),2)</f>
        <v/>
      </c>
      <c r="Z1839" s="188" t="n"/>
      <c r="AA1839" s="192">
        <f>IFERROR(AB1839/E1839,0)</f>
        <v/>
      </c>
      <c r="AB1839" s="76">
        <f>ROUND(SUM(S1839,V1839,Y1839:Z1839,BA1839:BB1839),2)</f>
        <v/>
      </c>
      <c r="AC1839" s="797" t="n"/>
      <c r="AD1839" s="192">
        <f t="array" ref="AD1839">IFERROR(ROUND((_xlfn.IFS(offer_sale_type="поставка",AB1839,offer_sale_type="транзит",S1839)*(1+AC1839))/E1839,2),0)</f>
        <v/>
      </c>
      <c r="AE1839" s="76">
        <f>AD1839*E1839</f>
        <v/>
      </c>
      <c r="AF1839" s="193">
        <f t="array" ref="AF1839">IFERROR(ROUND(_xlfn.IFS(offer_sale_type="поставка",AB1839,offer_sale_type="транзит",S1839)*AC1839,2),0)</f>
        <v/>
      </c>
      <c r="AG1839" s="192">
        <f>$BD1839*VLOOKUP($AG$3,$AF$4:$AG$7,2,FALSE)</f>
        <v/>
      </c>
      <c r="AH1839" s="76">
        <f>SUM(AE1839,AG1839,AI1839)*rate_forex_risk</f>
        <v/>
      </c>
      <c r="AI1839" s="193">
        <f>IF(OR(seller_region="TR",offer_sale_type="экспорт"),0,rate_fin_comm)*SUM(AZ1839,AZ1839*AW1839,T1839)</f>
        <v/>
      </c>
      <c r="AJ1839" s="118">
        <f>IFERROR(ROUND(SUM(AB1839,AF1839:AI1839)/E1839,2),0)</f>
        <v/>
      </c>
      <c r="AK1839" s="76">
        <f>AJ1839*E1839</f>
        <v/>
      </c>
      <c r="AL1839" s="174">
        <f>ROUND(IFERROR(AM1839*E1839,0),2)</f>
        <v/>
      </c>
      <c r="AM1839" s="175">
        <f>ROUND(AJ1839*(1+IF(offer_incoterms="DDP",IF((TODAY()+offer_turnaround_time)&gt;=helpsheet!$L$17,rate_vatRU_from_26,rate_vatRu_till_25),0)),2)</f>
        <v/>
      </c>
      <c r="AN1839" s="192">
        <f>AL1839-AK1839</f>
        <v/>
      </c>
      <c r="AO1839" s="76">
        <f>SUM(AY1839,Y1839:Z1839,T1839)*IF(AND(offer_incoterms="DDP",offer_sale_type&lt;&gt;"экспорт"),IF((TODAY()+offer_turnaround_time)&gt;=helpsheet!$L$17,rate_vatRU_from_26,rate_vatRu_till_25),0)</f>
        <v/>
      </c>
      <c r="AP1839" s="193">
        <f>AN1839-AO1839</f>
        <v/>
      </c>
      <c r="AQ1839" s="118">
        <f>IF(offer_sale_type="транзит",SUM(AF1839:AI1839,BA1839,BB1839),0)</f>
        <v/>
      </c>
      <c r="AR1839" s="82">
        <f>HYPERLINK("https://www.alta.ru/tnved/code/")&amp;W1839&amp;"/"</f>
        <v/>
      </c>
      <c r="AS1839" s="157" t="n"/>
      <c r="AT1839" s="162" t="n"/>
      <c r="AU1839" s="76">
        <f>IF(ISBLANK(AT1839),0,AJ1839-AT1839)</f>
        <v/>
      </c>
      <c r="AV1839" s="157" t="n"/>
      <c r="AW1839" s="75">
        <f>_xlfn.IFNA(VLOOKUP(L1839,list_vat[],3,FALSE),0)</f>
        <v/>
      </c>
      <c r="AX1839" s="76">
        <f>IFERROR(ROUND(S1839*(1+AW1839)/E1839,2),0)</f>
        <v/>
      </c>
      <c r="AY1839" s="76">
        <f>E1839*AX1839</f>
        <v/>
      </c>
      <c r="AZ1839" s="192">
        <f>S1839*(1+M1839)</f>
        <v/>
      </c>
      <c r="BA1839" s="76">
        <f>cost_fin_total*$BD1839</f>
        <v/>
      </c>
      <c r="BB1839" s="193">
        <f>credit_sales_interest*BD1839</f>
        <v/>
      </c>
      <c r="BC1839" s="102">
        <f>IFERROR(IF($I$13&gt;0,$I1839/$I$13,$S1839/$S$13),0)</f>
        <v/>
      </c>
      <c r="BD1839" s="102">
        <f>IFERROR($S1839/$S$13,0)</f>
        <v/>
      </c>
      <c r="BE1839" s="413" t="inlineStr">
        <is>
          <t>$</t>
        </is>
      </c>
    </row>
    <row r="1840" ht="12" customFormat="1" customHeight="1" s="65">
      <c r="A1840" s="43" t="n">
        <v>1825</v>
      </c>
      <c r="B1840" s="166" t="n"/>
      <c r="C1840" s="166" t="n"/>
      <c r="D1840" s="166" t="n"/>
      <c r="E1840" s="162" t="n"/>
      <c r="F1840" s="166" t="n"/>
      <c r="G1840" s="162" t="n"/>
      <c r="H1840" s="162" t="n"/>
      <c r="I1840" s="189">
        <f>E1840*G1840</f>
        <v/>
      </c>
      <c r="J1840" s="195" t="n"/>
      <c r="K1840" s="162" t="n"/>
      <c r="L1840" s="168" t="n"/>
      <c r="M1840" s="75">
        <f>_xlfn.XLOOKUP(L1840,list_vat[Страна],list_vat[Ставка НДС %],0,0)</f>
        <v/>
      </c>
      <c r="N1840" s="162">
        <f>IFERROR(IF(L1840="Китай",K1840,K1840/(1+M1840)),0)</f>
        <v/>
      </c>
      <c r="O1840" s="169" t="n"/>
      <c r="P1840" s="76">
        <f>N1840*(1-O1840)</f>
        <v/>
      </c>
      <c r="Q1840" s="162" t="n"/>
      <c r="R1840" s="162">
        <f>IF(ISBLANK(Q1840),"введи курс",P1840/Q1840)</f>
        <v/>
      </c>
      <c r="S1840" s="196">
        <f>IF(AND(ISNUMBER(E1840),ISNUMBER(Q1840)),E1840*R1840,0)</f>
        <v/>
      </c>
      <c r="T1840" s="192">
        <f>$BC1840*V$11</f>
        <v/>
      </c>
      <c r="U1840" s="76">
        <f>$BC1840*W$11</f>
        <v/>
      </c>
      <c r="V1840" s="193">
        <f>+SUM(T1840:U1840)</f>
        <v/>
      </c>
      <c r="W1840" s="191" t="n"/>
      <c r="X1840" s="170" t="n"/>
      <c r="Y1840" s="76">
        <f>ROUND(IF(offer_incoterms="DDP",X1840*(S1840*(1+AW1840)+T1840),0),2)</f>
        <v/>
      </c>
      <c r="Z1840" s="188" t="n"/>
      <c r="AA1840" s="192">
        <f>IFERROR(AB1840/E1840,0)</f>
        <v/>
      </c>
      <c r="AB1840" s="76">
        <f>ROUND(SUM(S1840,V1840,Y1840:Z1840,BA1840:BB1840),2)</f>
        <v/>
      </c>
      <c r="AC1840" s="797" t="n"/>
      <c r="AD1840" s="192">
        <f t="array" ref="AD1840">IFERROR(ROUND((_xlfn.IFS(offer_sale_type="поставка",AB1840,offer_sale_type="транзит",S1840)*(1+AC1840))/E1840,2),0)</f>
        <v/>
      </c>
      <c r="AE1840" s="76">
        <f>AD1840*E1840</f>
        <v/>
      </c>
      <c r="AF1840" s="193">
        <f t="array" ref="AF1840">IFERROR(ROUND(_xlfn.IFS(offer_sale_type="поставка",AB1840,offer_sale_type="транзит",S1840)*AC1840,2),0)</f>
        <v/>
      </c>
      <c r="AG1840" s="192">
        <f>$BD1840*VLOOKUP($AG$3,$AF$4:$AG$7,2,FALSE)</f>
        <v/>
      </c>
      <c r="AH1840" s="76">
        <f>SUM(AE1840,AG1840,AI1840)*rate_forex_risk</f>
        <v/>
      </c>
      <c r="AI1840" s="193">
        <f>IF(OR(seller_region="TR",offer_sale_type="экспорт"),0,rate_fin_comm)*SUM(AZ1840,AZ1840*AW1840,T1840)</f>
        <v/>
      </c>
      <c r="AJ1840" s="118">
        <f>IFERROR(ROUND(SUM(AB1840,AF1840:AI1840)/E1840,2),0)</f>
        <v/>
      </c>
      <c r="AK1840" s="76">
        <f>AJ1840*E1840</f>
        <v/>
      </c>
      <c r="AL1840" s="174">
        <f>ROUND(IFERROR(AM1840*E1840,0),2)</f>
        <v/>
      </c>
      <c r="AM1840" s="175">
        <f>ROUND(AJ1840*(1+IF(offer_incoterms="DDP",IF((TODAY()+offer_turnaround_time)&gt;=helpsheet!$L$17,rate_vatRU_from_26,rate_vatRu_till_25),0)),2)</f>
        <v/>
      </c>
      <c r="AN1840" s="192">
        <f>AL1840-AK1840</f>
        <v/>
      </c>
      <c r="AO1840" s="76">
        <f>SUM(AY1840,Y1840:Z1840,T1840)*IF(AND(offer_incoterms="DDP",offer_sale_type&lt;&gt;"экспорт"),IF((TODAY()+offer_turnaround_time)&gt;=helpsheet!$L$17,rate_vatRU_from_26,rate_vatRu_till_25),0)</f>
        <v/>
      </c>
      <c r="AP1840" s="193">
        <f>AN1840-AO1840</f>
        <v/>
      </c>
      <c r="AQ1840" s="118">
        <f>IF(offer_sale_type="транзит",SUM(AF1840:AI1840,BA1840,BB1840),0)</f>
        <v/>
      </c>
      <c r="AR1840" s="82">
        <f>HYPERLINK("https://www.alta.ru/tnved/code/")&amp;W1840&amp;"/"</f>
        <v/>
      </c>
      <c r="AS1840" s="157" t="n"/>
      <c r="AT1840" s="162" t="n"/>
      <c r="AU1840" s="76">
        <f>IF(ISBLANK(AT1840),0,AJ1840-AT1840)</f>
        <v/>
      </c>
      <c r="AV1840" s="157" t="n"/>
      <c r="AW1840" s="75">
        <f>_xlfn.IFNA(VLOOKUP(L1840,list_vat[],3,FALSE),0)</f>
        <v/>
      </c>
      <c r="AX1840" s="76">
        <f>IFERROR(ROUND(S1840*(1+AW1840)/E1840,2),0)</f>
        <v/>
      </c>
      <c r="AY1840" s="76">
        <f>E1840*AX1840</f>
        <v/>
      </c>
      <c r="AZ1840" s="192">
        <f>S1840*(1+M1840)</f>
        <v/>
      </c>
      <c r="BA1840" s="76">
        <f>cost_fin_total*$BD1840</f>
        <v/>
      </c>
      <c r="BB1840" s="193">
        <f>credit_sales_interest*BD1840</f>
        <v/>
      </c>
      <c r="BC1840" s="102">
        <f>IFERROR(IF($I$13&gt;0,$I1840/$I$13,$S1840/$S$13),0)</f>
        <v/>
      </c>
      <c r="BD1840" s="102">
        <f>IFERROR($S1840/$S$13,0)</f>
        <v/>
      </c>
      <c r="BE1840" s="413" t="inlineStr">
        <is>
          <t>$</t>
        </is>
      </c>
    </row>
    <row r="1841" ht="12" customFormat="1" customHeight="1" s="65">
      <c r="A1841" s="43" t="n">
        <v>1826</v>
      </c>
      <c r="B1841" s="166" t="n"/>
      <c r="C1841" s="166" t="n"/>
      <c r="D1841" s="166" t="n"/>
      <c r="E1841" s="162" t="n"/>
      <c r="F1841" s="166" t="n"/>
      <c r="G1841" s="162" t="n"/>
      <c r="H1841" s="162" t="n"/>
      <c r="I1841" s="189">
        <f>E1841*G1841</f>
        <v/>
      </c>
      <c r="J1841" s="195" t="n"/>
      <c r="K1841" s="162" t="n"/>
      <c r="L1841" s="168" t="n"/>
      <c r="M1841" s="75">
        <f>_xlfn.XLOOKUP(L1841,list_vat[Страна],list_vat[Ставка НДС %],0,0)</f>
        <v/>
      </c>
      <c r="N1841" s="162">
        <f>IFERROR(IF(L1841="Китай",K1841,K1841/(1+M1841)),0)</f>
        <v/>
      </c>
      <c r="O1841" s="169" t="n"/>
      <c r="P1841" s="76">
        <f>N1841*(1-O1841)</f>
        <v/>
      </c>
      <c r="Q1841" s="162" t="n"/>
      <c r="R1841" s="162">
        <f>IF(ISBLANK(Q1841),"введи курс",P1841/Q1841)</f>
        <v/>
      </c>
      <c r="S1841" s="196">
        <f>IF(AND(ISNUMBER(E1841),ISNUMBER(Q1841)),E1841*R1841,0)</f>
        <v/>
      </c>
      <c r="T1841" s="192">
        <f>$BC1841*V$11</f>
        <v/>
      </c>
      <c r="U1841" s="76">
        <f>$BC1841*W$11</f>
        <v/>
      </c>
      <c r="V1841" s="193">
        <f>+SUM(T1841:U1841)</f>
        <v/>
      </c>
      <c r="W1841" s="191" t="n"/>
      <c r="X1841" s="170" t="n"/>
      <c r="Y1841" s="76">
        <f>ROUND(IF(offer_incoterms="DDP",X1841*(S1841*(1+AW1841)+T1841),0),2)</f>
        <v/>
      </c>
      <c r="Z1841" s="188" t="n"/>
      <c r="AA1841" s="192">
        <f>IFERROR(AB1841/E1841,0)</f>
        <v/>
      </c>
      <c r="AB1841" s="76">
        <f>ROUND(SUM(S1841,V1841,Y1841:Z1841,BA1841:BB1841),2)</f>
        <v/>
      </c>
      <c r="AC1841" s="797" t="n"/>
      <c r="AD1841" s="192">
        <f t="array" ref="AD1841">IFERROR(ROUND((_xlfn.IFS(offer_sale_type="поставка",AB1841,offer_sale_type="транзит",S1841)*(1+AC1841))/E1841,2),0)</f>
        <v/>
      </c>
      <c r="AE1841" s="76">
        <f>AD1841*E1841</f>
        <v/>
      </c>
      <c r="AF1841" s="193">
        <f t="array" ref="AF1841">IFERROR(ROUND(_xlfn.IFS(offer_sale_type="поставка",AB1841,offer_sale_type="транзит",S1841)*AC1841,2),0)</f>
        <v/>
      </c>
      <c r="AG1841" s="192">
        <f>$BD1841*VLOOKUP($AG$3,$AF$4:$AG$7,2,FALSE)</f>
        <v/>
      </c>
      <c r="AH1841" s="76">
        <f>SUM(AE1841,AG1841,AI1841)*rate_forex_risk</f>
        <v/>
      </c>
      <c r="AI1841" s="193">
        <f>IF(OR(seller_region="TR",offer_sale_type="экспорт"),0,rate_fin_comm)*SUM(AZ1841,AZ1841*AW1841,T1841)</f>
        <v/>
      </c>
      <c r="AJ1841" s="118">
        <f>IFERROR(ROUND(SUM(AB1841,AF1841:AI1841)/E1841,2),0)</f>
        <v/>
      </c>
      <c r="AK1841" s="76">
        <f>AJ1841*E1841</f>
        <v/>
      </c>
      <c r="AL1841" s="174">
        <f>ROUND(IFERROR(AM1841*E1841,0),2)</f>
        <v/>
      </c>
      <c r="AM1841" s="175">
        <f>ROUND(AJ1841*(1+IF(offer_incoterms="DDP",IF((TODAY()+offer_turnaround_time)&gt;=helpsheet!$L$17,rate_vatRU_from_26,rate_vatRu_till_25),0)),2)</f>
        <v/>
      </c>
      <c r="AN1841" s="192">
        <f>AL1841-AK1841</f>
        <v/>
      </c>
      <c r="AO1841" s="76">
        <f>SUM(AY1841,Y1841:Z1841,T1841)*IF(AND(offer_incoterms="DDP",offer_sale_type&lt;&gt;"экспорт"),IF((TODAY()+offer_turnaround_time)&gt;=helpsheet!$L$17,rate_vatRU_from_26,rate_vatRu_till_25),0)</f>
        <v/>
      </c>
      <c r="AP1841" s="193">
        <f>AN1841-AO1841</f>
        <v/>
      </c>
      <c r="AQ1841" s="118">
        <f>IF(offer_sale_type="транзит",SUM(AF1841:AI1841,BA1841,BB1841),0)</f>
        <v/>
      </c>
      <c r="AR1841" s="82">
        <f>HYPERLINK("https://www.alta.ru/tnved/code/")&amp;W1841&amp;"/"</f>
        <v/>
      </c>
      <c r="AS1841" s="157" t="n"/>
      <c r="AT1841" s="162" t="n"/>
      <c r="AU1841" s="76">
        <f>IF(ISBLANK(AT1841),0,AJ1841-AT1841)</f>
        <v/>
      </c>
      <c r="AV1841" s="157" t="n"/>
      <c r="AW1841" s="75">
        <f>_xlfn.IFNA(VLOOKUP(L1841,list_vat[],3,FALSE),0)</f>
        <v/>
      </c>
      <c r="AX1841" s="76">
        <f>IFERROR(ROUND(S1841*(1+AW1841)/E1841,2),0)</f>
        <v/>
      </c>
      <c r="AY1841" s="76">
        <f>E1841*AX1841</f>
        <v/>
      </c>
      <c r="AZ1841" s="192">
        <f>S1841*(1+M1841)</f>
        <v/>
      </c>
      <c r="BA1841" s="76">
        <f>cost_fin_total*$BD1841</f>
        <v/>
      </c>
      <c r="BB1841" s="193">
        <f>credit_sales_interest*BD1841</f>
        <v/>
      </c>
      <c r="BC1841" s="102">
        <f>IFERROR(IF($I$13&gt;0,$I1841/$I$13,$S1841/$S$13),0)</f>
        <v/>
      </c>
      <c r="BD1841" s="102">
        <f>IFERROR($S1841/$S$13,0)</f>
        <v/>
      </c>
      <c r="BE1841" s="413" t="inlineStr">
        <is>
          <t>$</t>
        </is>
      </c>
    </row>
    <row r="1842" ht="12" customFormat="1" customHeight="1" s="65">
      <c r="A1842" s="43" t="n">
        <v>1827</v>
      </c>
      <c r="B1842" s="166" t="n"/>
      <c r="C1842" s="166" t="n"/>
      <c r="D1842" s="166" t="n"/>
      <c r="E1842" s="162" t="n"/>
      <c r="F1842" s="166" t="n"/>
      <c r="G1842" s="162" t="n"/>
      <c r="H1842" s="162" t="n"/>
      <c r="I1842" s="189">
        <f>E1842*G1842</f>
        <v/>
      </c>
      <c r="J1842" s="195" t="n"/>
      <c r="K1842" s="162" t="n"/>
      <c r="L1842" s="168" t="n"/>
      <c r="M1842" s="75">
        <f>_xlfn.XLOOKUP(L1842,list_vat[Страна],list_vat[Ставка НДС %],0,0)</f>
        <v/>
      </c>
      <c r="N1842" s="162">
        <f>IFERROR(IF(L1842="Китай",K1842,K1842/(1+M1842)),0)</f>
        <v/>
      </c>
      <c r="O1842" s="169" t="n"/>
      <c r="P1842" s="76">
        <f>N1842*(1-O1842)</f>
        <v/>
      </c>
      <c r="Q1842" s="162" t="n"/>
      <c r="R1842" s="162">
        <f>IF(ISBLANK(Q1842),"введи курс",P1842/Q1842)</f>
        <v/>
      </c>
      <c r="S1842" s="196">
        <f>IF(AND(ISNUMBER(E1842),ISNUMBER(Q1842)),E1842*R1842,0)</f>
        <v/>
      </c>
      <c r="T1842" s="192">
        <f>$BC1842*V$11</f>
        <v/>
      </c>
      <c r="U1842" s="76">
        <f>$BC1842*W$11</f>
        <v/>
      </c>
      <c r="V1842" s="193">
        <f>+SUM(T1842:U1842)</f>
        <v/>
      </c>
      <c r="W1842" s="191" t="n"/>
      <c r="X1842" s="170" t="n"/>
      <c r="Y1842" s="76">
        <f>ROUND(IF(offer_incoterms="DDP",X1842*(S1842*(1+AW1842)+T1842),0),2)</f>
        <v/>
      </c>
      <c r="Z1842" s="188" t="n"/>
      <c r="AA1842" s="192">
        <f>IFERROR(AB1842/E1842,0)</f>
        <v/>
      </c>
      <c r="AB1842" s="76">
        <f>ROUND(SUM(S1842,V1842,Y1842:Z1842,BA1842:BB1842),2)</f>
        <v/>
      </c>
      <c r="AC1842" s="797" t="n"/>
      <c r="AD1842" s="192">
        <f t="array" ref="AD1842">IFERROR(ROUND((_xlfn.IFS(offer_sale_type="поставка",AB1842,offer_sale_type="транзит",S1842)*(1+AC1842))/E1842,2),0)</f>
        <v/>
      </c>
      <c r="AE1842" s="76">
        <f>AD1842*E1842</f>
        <v/>
      </c>
      <c r="AF1842" s="193">
        <f t="array" ref="AF1842">IFERROR(ROUND(_xlfn.IFS(offer_sale_type="поставка",AB1842,offer_sale_type="транзит",S1842)*AC1842,2),0)</f>
        <v/>
      </c>
      <c r="AG1842" s="192">
        <f>$BD1842*VLOOKUP($AG$3,$AF$4:$AG$7,2,FALSE)</f>
        <v/>
      </c>
      <c r="AH1842" s="76">
        <f>SUM(AE1842,AG1842,AI1842)*rate_forex_risk</f>
        <v/>
      </c>
      <c r="AI1842" s="193">
        <f>IF(OR(seller_region="TR",offer_sale_type="экспорт"),0,rate_fin_comm)*SUM(AZ1842,AZ1842*AW1842,T1842)</f>
        <v/>
      </c>
      <c r="AJ1842" s="118">
        <f>IFERROR(ROUND(SUM(AB1842,AF1842:AI1842)/E1842,2),0)</f>
        <v/>
      </c>
      <c r="AK1842" s="76">
        <f>AJ1842*E1842</f>
        <v/>
      </c>
      <c r="AL1842" s="174">
        <f>ROUND(IFERROR(AM1842*E1842,0),2)</f>
        <v/>
      </c>
      <c r="AM1842" s="175">
        <f>ROUND(AJ1842*(1+IF(offer_incoterms="DDP",IF((TODAY()+offer_turnaround_time)&gt;=helpsheet!$L$17,rate_vatRU_from_26,rate_vatRu_till_25),0)),2)</f>
        <v/>
      </c>
      <c r="AN1842" s="192">
        <f>AL1842-AK1842</f>
        <v/>
      </c>
      <c r="AO1842" s="76">
        <f>SUM(AY1842,Y1842:Z1842,T1842)*IF(AND(offer_incoterms="DDP",offer_sale_type&lt;&gt;"экспорт"),IF((TODAY()+offer_turnaround_time)&gt;=helpsheet!$L$17,rate_vatRU_from_26,rate_vatRu_till_25),0)</f>
        <v/>
      </c>
      <c r="AP1842" s="193">
        <f>AN1842-AO1842</f>
        <v/>
      </c>
      <c r="AQ1842" s="118">
        <f>IF(offer_sale_type="транзит",SUM(AF1842:AI1842,BA1842,BB1842),0)</f>
        <v/>
      </c>
      <c r="AR1842" s="82">
        <f>HYPERLINK("https://www.alta.ru/tnved/code/")&amp;W1842&amp;"/"</f>
        <v/>
      </c>
      <c r="AS1842" s="157" t="n"/>
      <c r="AT1842" s="162" t="n"/>
      <c r="AU1842" s="76">
        <f>IF(ISBLANK(AT1842),0,AJ1842-AT1842)</f>
        <v/>
      </c>
      <c r="AV1842" s="157" t="n"/>
      <c r="AW1842" s="75">
        <f>_xlfn.IFNA(VLOOKUP(L1842,list_vat[],3,FALSE),0)</f>
        <v/>
      </c>
      <c r="AX1842" s="76">
        <f>IFERROR(ROUND(S1842*(1+AW1842)/E1842,2),0)</f>
        <v/>
      </c>
      <c r="AY1842" s="76">
        <f>E1842*AX1842</f>
        <v/>
      </c>
      <c r="AZ1842" s="192">
        <f>S1842*(1+M1842)</f>
        <v/>
      </c>
      <c r="BA1842" s="76">
        <f>cost_fin_total*$BD1842</f>
        <v/>
      </c>
      <c r="BB1842" s="193">
        <f>credit_sales_interest*BD1842</f>
        <v/>
      </c>
      <c r="BC1842" s="102">
        <f>IFERROR(IF($I$13&gt;0,$I1842/$I$13,$S1842/$S$13),0)</f>
        <v/>
      </c>
      <c r="BD1842" s="102">
        <f>IFERROR($S1842/$S$13,0)</f>
        <v/>
      </c>
      <c r="BE1842" s="413" t="inlineStr">
        <is>
          <t>$</t>
        </is>
      </c>
    </row>
    <row r="1843" ht="12" customFormat="1" customHeight="1" s="65">
      <c r="A1843" s="43" t="n">
        <v>1828</v>
      </c>
      <c r="B1843" s="166" t="n"/>
      <c r="C1843" s="166" t="n"/>
      <c r="D1843" s="166" t="n"/>
      <c r="E1843" s="162" t="n"/>
      <c r="F1843" s="166" t="n"/>
      <c r="G1843" s="162" t="n"/>
      <c r="H1843" s="162" t="n"/>
      <c r="I1843" s="189">
        <f>E1843*G1843</f>
        <v/>
      </c>
      <c r="J1843" s="195" t="n"/>
      <c r="K1843" s="162" t="n"/>
      <c r="L1843" s="168" t="n"/>
      <c r="M1843" s="75">
        <f>_xlfn.XLOOKUP(L1843,list_vat[Страна],list_vat[Ставка НДС %],0,0)</f>
        <v/>
      </c>
      <c r="N1843" s="162">
        <f>IFERROR(IF(L1843="Китай",K1843,K1843/(1+M1843)),0)</f>
        <v/>
      </c>
      <c r="O1843" s="169" t="n"/>
      <c r="P1843" s="76">
        <f>N1843*(1-O1843)</f>
        <v/>
      </c>
      <c r="Q1843" s="162" t="n"/>
      <c r="R1843" s="162">
        <f>IF(ISBLANK(Q1843),"введи курс",P1843/Q1843)</f>
        <v/>
      </c>
      <c r="S1843" s="196">
        <f>IF(AND(ISNUMBER(E1843),ISNUMBER(Q1843)),E1843*R1843,0)</f>
        <v/>
      </c>
      <c r="T1843" s="192">
        <f>$BC1843*V$11</f>
        <v/>
      </c>
      <c r="U1843" s="76">
        <f>$BC1843*W$11</f>
        <v/>
      </c>
      <c r="V1843" s="193">
        <f>+SUM(T1843:U1843)</f>
        <v/>
      </c>
      <c r="W1843" s="191" t="n"/>
      <c r="X1843" s="170" t="n"/>
      <c r="Y1843" s="76">
        <f>ROUND(IF(offer_incoterms="DDP",X1843*(S1843*(1+AW1843)+T1843),0),2)</f>
        <v/>
      </c>
      <c r="Z1843" s="188" t="n"/>
      <c r="AA1843" s="192">
        <f>IFERROR(AB1843/E1843,0)</f>
        <v/>
      </c>
      <c r="AB1843" s="76">
        <f>ROUND(SUM(S1843,V1843,Y1843:Z1843,BA1843:BB1843),2)</f>
        <v/>
      </c>
      <c r="AC1843" s="797" t="n"/>
      <c r="AD1843" s="192">
        <f t="array" ref="AD1843">IFERROR(ROUND((_xlfn.IFS(offer_sale_type="поставка",AB1843,offer_sale_type="транзит",S1843)*(1+AC1843))/E1843,2),0)</f>
        <v/>
      </c>
      <c r="AE1843" s="76">
        <f>AD1843*E1843</f>
        <v/>
      </c>
      <c r="AF1843" s="193">
        <f t="array" ref="AF1843">IFERROR(ROUND(_xlfn.IFS(offer_sale_type="поставка",AB1843,offer_sale_type="транзит",S1843)*AC1843,2),0)</f>
        <v/>
      </c>
      <c r="AG1843" s="192">
        <f>$BD1843*VLOOKUP($AG$3,$AF$4:$AG$7,2,FALSE)</f>
        <v/>
      </c>
      <c r="AH1843" s="76">
        <f>SUM(AE1843,AG1843,AI1843)*rate_forex_risk</f>
        <v/>
      </c>
      <c r="AI1843" s="193">
        <f>IF(OR(seller_region="TR",offer_sale_type="экспорт"),0,rate_fin_comm)*SUM(AZ1843,AZ1843*AW1843,T1843)</f>
        <v/>
      </c>
      <c r="AJ1843" s="118">
        <f>IFERROR(ROUND(SUM(AB1843,AF1843:AI1843)/E1843,2),0)</f>
        <v/>
      </c>
      <c r="AK1843" s="76">
        <f>AJ1843*E1843</f>
        <v/>
      </c>
      <c r="AL1843" s="174">
        <f>ROUND(IFERROR(AM1843*E1843,0),2)</f>
        <v/>
      </c>
      <c r="AM1843" s="175">
        <f>ROUND(AJ1843*(1+IF(offer_incoterms="DDP",IF((TODAY()+offer_turnaround_time)&gt;=helpsheet!$L$17,rate_vatRU_from_26,rate_vatRu_till_25),0)),2)</f>
        <v/>
      </c>
      <c r="AN1843" s="192">
        <f>AL1843-AK1843</f>
        <v/>
      </c>
      <c r="AO1843" s="76">
        <f>SUM(AY1843,Y1843:Z1843,T1843)*IF(AND(offer_incoterms="DDP",offer_sale_type&lt;&gt;"экспорт"),IF((TODAY()+offer_turnaround_time)&gt;=helpsheet!$L$17,rate_vatRU_from_26,rate_vatRu_till_25),0)</f>
        <v/>
      </c>
      <c r="AP1843" s="193">
        <f>AN1843-AO1843</f>
        <v/>
      </c>
      <c r="AQ1843" s="118">
        <f>IF(offer_sale_type="транзит",SUM(AF1843:AI1843,BA1843,BB1843),0)</f>
        <v/>
      </c>
      <c r="AR1843" s="82">
        <f>HYPERLINK("https://www.alta.ru/tnved/code/")&amp;W1843&amp;"/"</f>
        <v/>
      </c>
      <c r="AS1843" s="157" t="n"/>
      <c r="AT1843" s="162" t="n"/>
      <c r="AU1843" s="76">
        <f>IF(ISBLANK(AT1843),0,AJ1843-AT1843)</f>
        <v/>
      </c>
      <c r="AV1843" s="157" t="n"/>
      <c r="AW1843" s="75">
        <f>_xlfn.IFNA(VLOOKUP(L1843,list_vat[],3,FALSE),0)</f>
        <v/>
      </c>
      <c r="AX1843" s="76">
        <f>IFERROR(ROUND(S1843*(1+AW1843)/E1843,2),0)</f>
        <v/>
      </c>
      <c r="AY1843" s="76">
        <f>E1843*AX1843</f>
        <v/>
      </c>
      <c r="AZ1843" s="192">
        <f>S1843*(1+M1843)</f>
        <v/>
      </c>
      <c r="BA1843" s="76">
        <f>cost_fin_total*$BD1843</f>
        <v/>
      </c>
      <c r="BB1843" s="193">
        <f>credit_sales_interest*BD1843</f>
        <v/>
      </c>
      <c r="BC1843" s="102">
        <f>IFERROR(IF($I$13&gt;0,$I1843/$I$13,$S1843/$S$13),0)</f>
        <v/>
      </c>
      <c r="BD1843" s="102">
        <f>IFERROR($S1843/$S$13,0)</f>
        <v/>
      </c>
      <c r="BE1843" s="413" t="inlineStr">
        <is>
          <t>$</t>
        </is>
      </c>
    </row>
    <row r="1844" ht="12" customFormat="1" customHeight="1" s="65">
      <c r="A1844" s="43" t="n">
        <v>1829</v>
      </c>
      <c r="B1844" s="166" t="n"/>
      <c r="C1844" s="166" t="n"/>
      <c r="D1844" s="166" t="n"/>
      <c r="E1844" s="162" t="n"/>
      <c r="F1844" s="166" t="n"/>
      <c r="G1844" s="162" t="n"/>
      <c r="H1844" s="162" t="n"/>
      <c r="I1844" s="189">
        <f>E1844*G1844</f>
        <v/>
      </c>
      <c r="J1844" s="195" t="n"/>
      <c r="K1844" s="162" t="n"/>
      <c r="L1844" s="168" t="n"/>
      <c r="M1844" s="75">
        <f>_xlfn.XLOOKUP(L1844,list_vat[Страна],list_vat[Ставка НДС %],0,0)</f>
        <v/>
      </c>
      <c r="N1844" s="162">
        <f>IFERROR(IF(L1844="Китай",K1844,K1844/(1+M1844)),0)</f>
        <v/>
      </c>
      <c r="O1844" s="169" t="n"/>
      <c r="P1844" s="76">
        <f>N1844*(1-O1844)</f>
        <v/>
      </c>
      <c r="Q1844" s="162" t="n"/>
      <c r="R1844" s="162">
        <f>IF(ISBLANK(Q1844),"введи курс",P1844/Q1844)</f>
        <v/>
      </c>
      <c r="S1844" s="196">
        <f>IF(AND(ISNUMBER(E1844),ISNUMBER(Q1844)),E1844*R1844,0)</f>
        <v/>
      </c>
      <c r="T1844" s="192">
        <f>$BC1844*V$11</f>
        <v/>
      </c>
      <c r="U1844" s="76">
        <f>$BC1844*W$11</f>
        <v/>
      </c>
      <c r="V1844" s="193">
        <f>+SUM(T1844:U1844)</f>
        <v/>
      </c>
      <c r="W1844" s="191" t="n"/>
      <c r="X1844" s="170" t="n"/>
      <c r="Y1844" s="76">
        <f>ROUND(IF(offer_incoterms="DDP",X1844*(S1844*(1+AW1844)+T1844),0),2)</f>
        <v/>
      </c>
      <c r="Z1844" s="188" t="n"/>
      <c r="AA1844" s="192">
        <f>IFERROR(AB1844/E1844,0)</f>
        <v/>
      </c>
      <c r="AB1844" s="76">
        <f>ROUND(SUM(S1844,V1844,Y1844:Z1844,BA1844:BB1844),2)</f>
        <v/>
      </c>
      <c r="AC1844" s="797" t="n"/>
      <c r="AD1844" s="192">
        <f t="array" ref="AD1844">IFERROR(ROUND((_xlfn.IFS(offer_sale_type="поставка",AB1844,offer_sale_type="транзит",S1844)*(1+AC1844))/E1844,2),0)</f>
        <v/>
      </c>
      <c r="AE1844" s="76">
        <f>AD1844*E1844</f>
        <v/>
      </c>
      <c r="AF1844" s="193">
        <f t="array" ref="AF1844">IFERROR(ROUND(_xlfn.IFS(offer_sale_type="поставка",AB1844,offer_sale_type="транзит",S1844)*AC1844,2),0)</f>
        <v/>
      </c>
      <c r="AG1844" s="192">
        <f>$BD1844*VLOOKUP($AG$3,$AF$4:$AG$7,2,FALSE)</f>
        <v/>
      </c>
      <c r="AH1844" s="76">
        <f>SUM(AE1844,AG1844,AI1844)*rate_forex_risk</f>
        <v/>
      </c>
      <c r="AI1844" s="193">
        <f>IF(OR(seller_region="TR",offer_sale_type="экспорт"),0,rate_fin_comm)*SUM(AZ1844,AZ1844*AW1844,T1844)</f>
        <v/>
      </c>
      <c r="AJ1844" s="118">
        <f>IFERROR(ROUND(SUM(AB1844,AF1844:AI1844)/E1844,2),0)</f>
        <v/>
      </c>
      <c r="AK1844" s="76">
        <f>AJ1844*E1844</f>
        <v/>
      </c>
      <c r="AL1844" s="174">
        <f>ROUND(IFERROR(AM1844*E1844,0),2)</f>
        <v/>
      </c>
      <c r="AM1844" s="175">
        <f>ROUND(AJ1844*(1+IF(offer_incoterms="DDP",IF((TODAY()+offer_turnaround_time)&gt;=helpsheet!$L$17,rate_vatRU_from_26,rate_vatRu_till_25),0)),2)</f>
        <v/>
      </c>
      <c r="AN1844" s="192">
        <f>AL1844-AK1844</f>
        <v/>
      </c>
      <c r="AO1844" s="76">
        <f>SUM(AY1844,Y1844:Z1844,T1844)*IF(AND(offer_incoterms="DDP",offer_sale_type&lt;&gt;"экспорт"),IF((TODAY()+offer_turnaround_time)&gt;=helpsheet!$L$17,rate_vatRU_from_26,rate_vatRu_till_25),0)</f>
        <v/>
      </c>
      <c r="AP1844" s="193">
        <f>AN1844-AO1844</f>
        <v/>
      </c>
      <c r="AQ1844" s="118">
        <f>IF(offer_sale_type="транзит",SUM(AF1844:AI1844,BA1844,BB1844),0)</f>
        <v/>
      </c>
      <c r="AR1844" s="82">
        <f>HYPERLINK("https://www.alta.ru/tnved/code/")&amp;W1844&amp;"/"</f>
        <v/>
      </c>
      <c r="AS1844" s="157" t="n"/>
      <c r="AT1844" s="162" t="n"/>
      <c r="AU1844" s="76">
        <f>IF(ISBLANK(AT1844),0,AJ1844-AT1844)</f>
        <v/>
      </c>
      <c r="AV1844" s="157" t="n"/>
      <c r="AW1844" s="75">
        <f>_xlfn.IFNA(VLOOKUP(L1844,list_vat[],3,FALSE),0)</f>
        <v/>
      </c>
      <c r="AX1844" s="76">
        <f>IFERROR(ROUND(S1844*(1+AW1844)/E1844,2),0)</f>
        <v/>
      </c>
      <c r="AY1844" s="76">
        <f>E1844*AX1844</f>
        <v/>
      </c>
      <c r="AZ1844" s="192">
        <f>S1844*(1+M1844)</f>
        <v/>
      </c>
      <c r="BA1844" s="76">
        <f>cost_fin_total*$BD1844</f>
        <v/>
      </c>
      <c r="BB1844" s="193">
        <f>credit_sales_interest*BD1844</f>
        <v/>
      </c>
      <c r="BC1844" s="102">
        <f>IFERROR(IF($I$13&gt;0,$I1844/$I$13,$S1844/$S$13),0)</f>
        <v/>
      </c>
      <c r="BD1844" s="102">
        <f>IFERROR($S1844/$S$13,0)</f>
        <v/>
      </c>
      <c r="BE1844" s="413" t="inlineStr">
        <is>
          <t>$</t>
        </is>
      </c>
    </row>
    <row r="1845" ht="12" customFormat="1" customHeight="1" s="65">
      <c r="A1845" s="43" t="n">
        <v>1830</v>
      </c>
      <c r="B1845" s="166" t="n"/>
      <c r="C1845" s="166" t="n"/>
      <c r="D1845" s="166" t="n"/>
      <c r="E1845" s="162" t="n"/>
      <c r="F1845" s="166" t="n"/>
      <c r="G1845" s="162" t="n"/>
      <c r="H1845" s="162" t="n"/>
      <c r="I1845" s="189">
        <f>E1845*G1845</f>
        <v/>
      </c>
      <c r="J1845" s="195" t="n"/>
      <c r="K1845" s="162" t="n"/>
      <c r="L1845" s="168" t="n"/>
      <c r="M1845" s="75">
        <f>_xlfn.XLOOKUP(L1845,list_vat[Страна],list_vat[Ставка НДС %],0,0)</f>
        <v/>
      </c>
      <c r="N1845" s="162">
        <f>IFERROR(IF(L1845="Китай",K1845,K1845/(1+M1845)),0)</f>
        <v/>
      </c>
      <c r="O1845" s="169" t="n"/>
      <c r="P1845" s="76">
        <f>N1845*(1-O1845)</f>
        <v/>
      </c>
      <c r="Q1845" s="162" t="n"/>
      <c r="R1845" s="162">
        <f>IF(ISBLANK(Q1845),"введи курс",P1845/Q1845)</f>
        <v/>
      </c>
      <c r="S1845" s="196">
        <f>IF(AND(ISNUMBER(E1845),ISNUMBER(Q1845)),E1845*R1845,0)</f>
        <v/>
      </c>
      <c r="T1845" s="192">
        <f>$BC1845*V$11</f>
        <v/>
      </c>
      <c r="U1845" s="76">
        <f>$BC1845*W$11</f>
        <v/>
      </c>
      <c r="V1845" s="193">
        <f>+SUM(T1845:U1845)</f>
        <v/>
      </c>
      <c r="W1845" s="191" t="n"/>
      <c r="X1845" s="170" t="n"/>
      <c r="Y1845" s="76">
        <f>ROUND(IF(offer_incoterms="DDP",X1845*(S1845*(1+AW1845)+T1845),0),2)</f>
        <v/>
      </c>
      <c r="Z1845" s="188" t="n"/>
      <c r="AA1845" s="192">
        <f>IFERROR(AB1845/E1845,0)</f>
        <v/>
      </c>
      <c r="AB1845" s="76">
        <f>ROUND(SUM(S1845,V1845,Y1845:Z1845,BA1845:BB1845),2)</f>
        <v/>
      </c>
      <c r="AC1845" s="797" t="n"/>
      <c r="AD1845" s="192">
        <f t="array" ref="AD1845">IFERROR(ROUND((_xlfn.IFS(offer_sale_type="поставка",AB1845,offer_sale_type="транзит",S1845)*(1+AC1845))/E1845,2),0)</f>
        <v/>
      </c>
      <c r="AE1845" s="76">
        <f>AD1845*E1845</f>
        <v/>
      </c>
      <c r="AF1845" s="193">
        <f t="array" ref="AF1845">IFERROR(ROUND(_xlfn.IFS(offer_sale_type="поставка",AB1845,offer_sale_type="транзит",S1845)*AC1845,2),0)</f>
        <v/>
      </c>
      <c r="AG1845" s="192">
        <f>$BD1845*VLOOKUP($AG$3,$AF$4:$AG$7,2,FALSE)</f>
        <v/>
      </c>
      <c r="AH1845" s="76">
        <f>SUM(AE1845,AG1845,AI1845)*rate_forex_risk</f>
        <v/>
      </c>
      <c r="AI1845" s="193">
        <f>IF(OR(seller_region="TR",offer_sale_type="экспорт"),0,rate_fin_comm)*SUM(AZ1845,AZ1845*AW1845,T1845)</f>
        <v/>
      </c>
      <c r="AJ1845" s="118">
        <f>IFERROR(ROUND(SUM(AB1845,AF1845:AI1845)/E1845,2),0)</f>
        <v/>
      </c>
      <c r="AK1845" s="76">
        <f>AJ1845*E1845</f>
        <v/>
      </c>
      <c r="AL1845" s="174">
        <f>ROUND(IFERROR(AM1845*E1845,0),2)</f>
        <v/>
      </c>
      <c r="AM1845" s="175">
        <f>ROUND(AJ1845*(1+IF(offer_incoterms="DDP",IF((TODAY()+offer_turnaround_time)&gt;=helpsheet!$L$17,rate_vatRU_from_26,rate_vatRu_till_25),0)),2)</f>
        <v/>
      </c>
      <c r="AN1845" s="192">
        <f>AL1845-AK1845</f>
        <v/>
      </c>
      <c r="AO1845" s="76">
        <f>SUM(AY1845,Y1845:Z1845,T1845)*IF(AND(offer_incoterms="DDP",offer_sale_type&lt;&gt;"экспорт"),IF((TODAY()+offer_turnaround_time)&gt;=helpsheet!$L$17,rate_vatRU_from_26,rate_vatRu_till_25),0)</f>
        <v/>
      </c>
      <c r="AP1845" s="193">
        <f>AN1845-AO1845</f>
        <v/>
      </c>
      <c r="AQ1845" s="118">
        <f>IF(offer_sale_type="транзит",SUM(AF1845:AI1845,BA1845,BB1845),0)</f>
        <v/>
      </c>
      <c r="AR1845" s="82">
        <f>HYPERLINK("https://www.alta.ru/tnved/code/")&amp;W1845&amp;"/"</f>
        <v/>
      </c>
      <c r="AS1845" s="157" t="n"/>
      <c r="AT1845" s="162" t="n"/>
      <c r="AU1845" s="76">
        <f>IF(ISBLANK(AT1845),0,AJ1845-AT1845)</f>
        <v/>
      </c>
      <c r="AV1845" s="157" t="n"/>
      <c r="AW1845" s="75">
        <f>_xlfn.IFNA(VLOOKUP(L1845,list_vat[],3,FALSE),0)</f>
        <v/>
      </c>
      <c r="AX1845" s="76">
        <f>IFERROR(ROUND(S1845*(1+AW1845)/E1845,2),0)</f>
        <v/>
      </c>
      <c r="AY1845" s="76">
        <f>E1845*AX1845</f>
        <v/>
      </c>
      <c r="AZ1845" s="192">
        <f>S1845*(1+M1845)</f>
        <v/>
      </c>
      <c r="BA1845" s="76">
        <f>cost_fin_total*$BD1845</f>
        <v/>
      </c>
      <c r="BB1845" s="193">
        <f>credit_sales_interest*BD1845</f>
        <v/>
      </c>
      <c r="BC1845" s="102">
        <f>IFERROR(IF($I$13&gt;0,$I1845/$I$13,$S1845/$S$13),0)</f>
        <v/>
      </c>
      <c r="BD1845" s="102">
        <f>IFERROR($S1845/$S$13,0)</f>
        <v/>
      </c>
      <c r="BE1845" s="413" t="inlineStr">
        <is>
          <t>$</t>
        </is>
      </c>
    </row>
    <row r="1846" ht="12" customFormat="1" customHeight="1" s="65">
      <c r="A1846" s="43" t="n">
        <v>1831</v>
      </c>
      <c r="B1846" s="166" t="n"/>
      <c r="C1846" s="166" t="n"/>
      <c r="D1846" s="166" t="n"/>
      <c r="E1846" s="162" t="n"/>
      <c r="F1846" s="166" t="n"/>
      <c r="G1846" s="162" t="n"/>
      <c r="H1846" s="162" t="n"/>
      <c r="I1846" s="189">
        <f>E1846*G1846</f>
        <v/>
      </c>
      <c r="J1846" s="195" t="n"/>
      <c r="K1846" s="162" t="n"/>
      <c r="L1846" s="168" t="n"/>
      <c r="M1846" s="75">
        <f>_xlfn.XLOOKUP(L1846,list_vat[Страна],list_vat[Ставка НДС %],0,0)</f>
        <v/>
      </c>
      <c r="N1846" s="162">
        <f>IFERROR(IF(L1846="Китай",K1846,K1846/(1+M1846)),0)</f>
        <v/>
      </c>
      <c r="O1846" s="169" t="n"/>
      <c r="P1846" s="76">
        <f>N1846*(1-O1846)</f>
        <v/>
      </c>
      <c r="Q1846" s="162" t="n"/>
      <c r="R1846" s="162">
        <f>IF(ISBLANK(Q1846),"введи курс",P1846/Q1846)</f>
        <v/>
      </c>
      <c r="S1846" s="196">
        <f>IF(AND(ISNUMBER(E1846),ISNUMBER(Q1846)),E1846*R1846,0)</f>
        <v/>
      </c>
      <c r="T1846" s="192">
        <f>$BC1846*V$11</f>
        <v/>
      </c>
      <c r="U1846" s="76">
        <f>$BC1846*W$11</f>
        <v/>
      </c>
      <c r="V1846" s="193">
        <f>+SUM(T1846:U1846)</f>
        <v/>
      </c>
      <c r="W1846" s="191" t="n"/>
      <c r="X1846" s="170" t="n"/>
      <c r="Y1846" s="76">
        <f>ROUND(IF(offer_incoterms="DDP",X1846*(S1846*(1+AW1846)+T1846),0),2)</f>
        <v/>
      </c>
      <c r="Z1846" s="188" t="n"/>
      <c r="AA1846" s="192">
        <f>IFERROR(AB1846/E1846,0)</f>
        <v/>
      </c>
      <c r="AB1846" s="76">
        <f>ROUND(SUM(S1846,V1846,Y1846:Z1846,BA1846:BB1846),2)</f>
        <v/>
      </c>
      <c r="AC1846" s="797" t="n"/>
      <c r="AD1846" s="192">
        <f t="array" ref="AD1846">IFERROR(ROUND((_xlfn.IFS(offer_sale_type="поставка",AB1846,offer_sale_type="транзит",S1846)*(1+AC1846))/E1846,2),0)</f>
        <v/>
      </c>
      <c r="AE1846" s="76">
        <f>AD1846*E1846</f>
        <v/>
      </c>
      <c r="AF1846" s="193">
        <f t="array" ref="AF1846">IFERROR(ROUND(_xlfn.IFS(offer_sale_type="поставка",AB1846,offer_sale_type="транзит",S1846)*AC1846,2),0)</f>
        <v/>
      </c>
      <c r="AG1846" s="192">
        <f>$BD1846*VLOOKUP($AG$3,$AF$4:$AG$7,2,FALSE)</f>
        <v/>
      </c>
      <c r="AH1846" s="76">
        <f>SUM(AE1846,AG1846,AI1846)*rate_forex_risk</f>
        <v/>
      </c>
      <c r="AI1846" s="193">
        <f>IF(OR(seller_region="TR",offer_sale_type="экспорт"),0,rate_fin_comm)*SUM(AZ1846,AZ1846*AW1846,T1846)</f>
        <v/>
      </c>
      <c r="AJ1846" s="118">
        <f>IFERROR(ROUND(SUM(AB1846,AF1846:AI1846)/E1846,2),0)</f>
        <v/>
      </c>
      <c r="AK1846" s="76">
        <f>AJ1846*E1846</f>
        <v/>
      </c>
      <c r="AL1846" s="174">
        <f>ROUND(IFERROR(AM1846*E1846,0),2)</f>
        <v/>
      </c>
      <c r="AM1846" s="175">
        <f>ROUND(AJ1846*(1+IF(offer_incoterms="DDP",IF((TODAY()+offer_turnaround_time)&gt;=helpsheet!$L$17,rate_vatRU_from_26,rate_vatRu_till_25),0)),2)</f>
        <v/>
      </c>
      <c r="AN1846" s="192">
        <f>AL1846-AK1846</f>
        <v/>
      </c>
      <c r="AO1846" s="76">
        <f>SUM(AY1846,Y1846:Z1846,T1846)*IF(AND(offer_incoterms="DDP",offer_sale_type&lt;&gt;"экспорт"),IF((TODAY()+offer_turnaround_time)&gt;=helpsheet!$L$17,rate_vatRU_from_26,rate_vatRu_till_25),0)</f>
        <v/>
      </c>
      <c r="AP1846" s="193">
        <f>AN1846-AO1846</f>
        <v/>
      </c>
      <c r="AQ1846" s="118">
        <f>IF(offer_sale_type="транзит",SUM(AF1846:AI1846,BA1846,BB1846),0)</f>
        <v/>
      </c>
      <c r="AR1846" s="82">
        <f>HYPERLINK("https://www.alta.ru/tnved/code/")&amp;W1846&amp;"/"</f>
        <v/>
      </c>
      <c r="AS1846" s="157" t="n"/>
      <c r="AT1846" s="162" t="n"/>
      <c r="AU1846" s="76">
        <f>IF(ISBLANK(AT1846),0,AJ1846-AT1846)</f>
        <v/>
      </c>
      <c r="AV1846" s="157" t="n"/>
      <c r="AW1846" s="75">
        <f>_xlfn.IFNA(VLOOKUP(L1846,list_vat[],3,FALSE),0)</f>
        <v/>
      </c>
      <c r="AX1846" s="76">
        <f>IFERROR(ROUND(S1846*(1+AW1846)/E1846,2),0)</f>
        <v/>
      </c>
      <c r="AY1846" s="76">
        <f>E1846*AX1846</f>
        <v/>
      </c>
      <c r="AZ1846" s="192">
        <f>S1846*(1+M1846)</f>
        <v/>
      </c>
      <c r="BA1846" s="76">
        <f>cost_fin_total*$BD1846</f>
        <v/>
      </c>
      <c r="BB1846" s="193">
        <f>credit_sales_interest*BD1846</f>
        <v/>
      </c>
      <c r="BC1846" s="102">
        <f>IFERROR(IF($I$13&gt;0,$I1846/$I$13,$S1846/$S$13),0)</f>
        <v/>
      </c>
      <c r="BD1846" s="102">
        <f>IFERROR($S1846/$S$13,0)</f>
        <v/>
      </c>
      <c r="BE1846" s="413" t="inlineStr">
        <is>
          <t>$</t>
        </is>
      </c>
    </row>
    <row r="1847" ht="12" customFormat="1" customHeight="1" s="65">
      <c r="A1847" s="43" t="n">
        <v>1832</v>
      </c>
      <c r="B1847" s="166" t="n"/>
      <c r="C1847" s="166" t="n"/>
      <c r="D1847" s="166" t="n"/>
      <c r="E1847" s="162" t="n"/>
      <c r="F1847" s="166" t="n"/>
      <c r="G1847" s="162" t="n"/>
      <c r="H1847" s="162" t="n"/>
      <c r="I1847" s="189">
        <f>E1847*G1847</f>
        <v/>
      </c>
      <c r="J1847" s="195" t="n"/>
      <c r="K1847" s="162" t="n"/>
      <c r="L1847" s="168" t="n"/>
      <c r="M1847" s="75">
        <f>_xlfn.XLOOKUP(L1847,list_vat[Страна],list_vat[Ставка НДС %],0,0)</f>
        <v/>
      </c>
      <c r="N1847" s="162">
        <f>IFERROR(IF(L1847="Китай",K1847,K1847/(1+M1847)),0)</f>
        <v/>
      </c>
      <c r="O1847" s="169" t="n"/>
      <c r="P1847" s="76">
        <f>N1847*(1-O1847)</f>
        <v/>
      </c>
      <c r="Q1847" s="162" t="n"/>
      <c r="R1847" s="162">
        <f>IF(ISBLANK(Q1847),"введи курс",P1847/Q1847)</f>
        <v/>
      </c>
      <c r="S1847" s="196">
        <f>IF(AND(ISNUMBER(E1847),ISNUMBER(Q1847)),E1847*R1847,0)</f>
        <v/>
      </c>
      <c r="T1847" s="192">
        <f>$BC1847*V$11</f>
        <v/>
      </c>
      <c r="U1847" s="76">
        <f>$BC1847*W$11</f>
        <v/>
      </c>
      <c r="V1847" s="193">
        <f>+SUM(T1847:U1847)</f>
        <v/>
      </c>
      <c r="W1847" s="191" t="n"/>
      <c r="X1847" s="170" t="n"/>
      <c r="Y1847" s="76">
        <f>ROUND(IF(offer_incoterms="DDP",X1847*(S1847*(1+AW1847)+T1847),0),2)</f>
        <v/>
      </c>
      <c r="Z1847" s="188" t="n"/>
      <c r="AA1847" s="192">
        <f>IFERROR(AB1847/E1847,0)</f>
        <v/>
      </c>
      <c r="AB1847" s="76">
        <f>ROUND(SUM(S1847,V1847,Y1847:Z1847,BA1847:BB1847),2)</f>
        <v/>
      </c>
      <c r="AC1847" s="797" t="n"/>
      <c r="AD1847" s="192">
        <f t="array" ref="AD1847">IFERROR(ROUND((_xlfn.IFS(offer_sale_type="поставка",AB1847,offer_sale_type="транзит",S1847)*(1+AC1847))/E1847,2),0)</f>
        <v/>
      </c>
      <c r="AE1847" s="76">
        <f>AD1847*E1847</f>
        <v/>
      </c>
      <c r="AF1847" s="193">
        <f t="array" ref="AF1847">IFERROR(ROUND(_xlfn.IFS(offer_sale_type="поставка",AB1847,offer_sale_type="транзит",S1847)*AC1847,2),0)</f>
        <v/>
      </c>
      <c r="AG1847" s="192">
        <f>$BD1847*VLOOKUP($AG$3,$AF$4:$AG$7,2,FALSE)</f>
        <v/>
      </c>
      <c r="AH1847" s="76">
        <f>SUM(AE1847,AG1847,AI1847)*rate_forex_risk</f>
        <v/>
      </c>
      <c r="AI1847" s="193">
        <f>IF(OR(seller_region="TR",offer_sale_type="экспорт"),0,rate_fin_comm)*SUM(AZ1847,AZ1847*AW1847,T1847)</f>
        <v/>
      </c>
      <c r="AJ1847" s="118">
        <f>IFERROR(ROUND(SUM(AB1847,AF1847:AI1847)/E1847,2),0)</f>
        <v/>
      </c>
      <c r="AK1847" s="76">
        <f>AJ1847*E1847</f>
        <v/>
      </c>
      <c r="AL1847" s="174">
        <f>ROUND(IFERROR(AM1847*E1847,0),2)</f>
        <v/>
      </c>
      <c r="AM1847" s="175">
        <f>ROUND(AJ1847*(1+IF(offer_incoterms="DDP",IF((TODAY()+offer_turnaround_time)&gt;=helpsheet!$L$17,rate_vatRU_from_26,rate_vatRu_till_25),0)),2)</f>
        <v/>
      </c>
      <c r="AN1847" s="192">
        <f>AL1847-AK1847</f>
        <v/>
      </c>
      <c r="AO1847" s="76">
        <f>SUM(AY1847,Y1847:Z1847,T1847)*IF(AND(offer_incoterms="DDP",offer_sale_type&lt;&gt;"экспорт"),IF((TODAY()+offer_turnaround_time)&gt;=helpsheet!$L$17,rate_vatRU_from_26,rate_vatRu_till_25),0)</f>
        <v/>
      </c>
      <c r="AP1847" s="193">
        <f>AN1847-AO1847</f>
        <v/>
      </c>
      <c r="AQ1847" s="118">
        <f>IF(offer_sale_type="транзит",SUM(AF1847:AI1847,BA1847,BB1847),0)</f>
        <v/>
      </c>
      <c r="AR1847" s="82">
        <f>HYPERLINK("https://www.alta.ru/tnved/code/")&amp;W1847&amp;"/"</f>
        <v/>
      </c>
      <c r="AS1847" s="157" t="n"/>
      <c r="AT1847" s="162" t="n"/>
      <c r="AU1847" s="76">
        <f>IF(ISBLANK(AT1847),0,AJ1847-AT1847)</f>
        <v/>
      </c>
      <c r="AV1847" s="157" t="n"/>
      <c r="AW1847" s="75">
        <f>_xlfn.IFNA(VLOOKUP(L1847,list_vat[],3,FALSE),0)</f>
        <v/>
      </c>
      <c r="AX1847" s="76">
        <f>IFERROR(ROUND(S1847*(1+AW1847)/E1847,2),0)</f>
        <v/>
      </c>
      <c r="AY1847" s="76">
        <f>E1847*AX1847</f>
        <v/>
      </c>
      <c r="AZ1847" s="192">
        <f>S1847*(1+M1847)</f>
        <v/>
      </c>
      <c r="BA1847" s="76">
        <f>cost_fin_total*$BD1847</f>
        <v/>
      </c>
      <c r="BB1847" s="193">
        <f>credit_sales_interest*BD1847</f>
        <v/>
      </c>
      <c r="BC1847" s="102">
        <f>IFERROR(IF($I$13&gt;0,$I1847/$I$13,$S1847/$S$13),0)</f>
        <v/>
      </c>
      <c r="BD1847" s="102">
        <f>IFERROR($S1847/$S$13,0)</f>
        <v/>
      </c>
      <c r="BE1847" s="413" t="inlineStr">
        <is>
          <t>$</t>
        </is>
      </c>
    </row>
    <row r="1848" ht="12" customFormat="1" customHeight="1" s="65">
      <c r="A1848" s="43" t="n">
        <v>1833</v>
      </c>
      <c r="B1848" s="166" t="n"/>
      <c r="C1848" s="166" t="n"/>
      <c r="D1848" s="166" t="n"/>
      <c r="E1848" s="162" t="n"/>
      <c r="F1848" s="166" t="n"/>
      <c r="G1848" s="162" t="n"/>
      <c r="H1848" s="162" t="n"/>
      <c r="I1848" s="189">
        <f>E1848*G1848</f>
        <v/>
      </c>
      <c r="J1848" s="195" t="n"/>
      <c r="K1848" s="162" t="n"/>
      <c r="L1848" s="168" t="n"/>
      <c r="M1848" s="75">
        <f>_xlfn.XLOOKUP(L1848,list_vat[Страна],list_vat[Ставка НДС %],0,0)</f>
        <v/>
      </c>
      <c r="N1848" s="162">
        <f>IFERROR(IF(L1848="Китай",K1848,K1848/(1+M1848)),0)</f>
        <v/>
      </c>
      <c r="O1848" s="169" t="n"/>
      <c r="P1848" s="76">
        <f>N1848*(1-O1848)</f>
        <v/>
      </c>
      <c r="Q1848" s="162" t="n"/>
      <c r="R1848" s="162">
        <f>IF(ISBLANK(Q1848),"введи курс",P1848/Q1848)</f>
        <v/>
      </c>
      <c r="S1848" s="196">
        <f>IF(AND(ISNUMBER(E1848),ISNUMBER(Q1848)),E1848*R1848,0)</f>
        <v/>
      </c>
      <c r="T1848" s="192">
        <f>$BC1848*V$11</f>
        <v/>
      </c>
      <c r="U1848" s="76">
        <f>$BC1848*W$11</f>
        <v/>
      </c>
      <c r="V1848" s="193">
        <f>+SUM(T1848:U1848)</f>
        <v/>
      </c>
      <c r="W1848" s="191" t="n"/>
      <c r="X1848" s="170" t="n"/>
      <c r="Y1848" s="76">
        <f>ROUND(IF(offer_incoterms="DDP",X1848*(S1848*(1+AW1848)+T1848),0),2)</f>
        <v/>
      </c>
      <c r="Z1848" s="188" t="n"/>
      <c r="AA1848" s="192">
        <f>IFERROR(AB1848/E1848,0)</f>
        <v/>
      </c>
      <c r="AB1848" s="76">
        <f>ROUND(SUM(S1848,V1848,Y1848:Z1848,BA1848:BB1848),2)</f>
        <v/>
      </c>
      <c r="AC1848" s="797" t="n"/>
      <c r="AD1848" s="192">
        <f t="array" ref="AD1848">IFERROR(ROUND((_xlfn.IFS(offer_sale_type="поставка",AB1848,offer_sale_type="транзит",S1848)*(1+AC1848))/E1848,2),0)</f>
        <v/>
      </c>
      <c r="AE1848" s="76">
        <f>AD1848*E1848</f>
        <v/>
      </c>
      <c r="AF1848" s="193">
        <f t="array" ref="AF1848">IFERROR(ROUND(_xlfn.IFS(offer_sale_type="поставка",AB1848,offer_sale_type="транзит",S1848)*AC1848,2),0)</f>
        <v/>
      </c>
      <c r="AG1848" s="192">
        <f>$BD1848*VLOOKUP($AG$3,$AF$4:$AG$7,2,FALSE)</f>
        <v/>
      </c>
      <c r="AH1848" s="76">
        <f>SUM(AE1848,AG1848,AI1848)*rate_forex_risk</f>
        <v/>
      </c>
      <c r="AI1848" s="193">
        <f>IF(OR(seller_region="TR",offer_sale_type="экспорт"),0,rate_fin_comm)*SUM(AZ1848,AZ1848*AW1848,T1848)</f>
        <v/>
      </c>
      <c r="AJ1848" s="118">
        <f>IFERROR(ROUND(SUM(AB1848,AF1848:AI1848)/E1848,2),0)</f>
        <v/>
      </c>
      <c r="AK1848" s="76">
        <f>AJ1848*E1848</f>
        <v/>
      </c>
      <c r="AL1848" s="174">
        <f>ROUND(IFERROR(AM1848*E1848,0),2)</f>
        <v/>
      </c>
      <c r="AM1848" s="175">
        <f>ROUND(AJ1848*(1+IF(offer_incoterms="DDP",IF((TODAY()+offer_turnaround_time)&gt;=helpsheet!$L$17,rate_vatRU_from_26,rate_vatRu_till_25),0)),2)</f>
        <v/>
      </c>
      <c r="AN1848" s="192">
        <f>AL1848-AK1848</f>
        <v/>
      </c>
      <c r="AO1848" s="76">
        <f>SUM(AY1848,Y1848:Z1848,T1848)*IF(AND(offer_incoterms="DDP",offer_sale_type&lt;&gt;"экспорт"),IF((TODAY()+offer_turnaround_time)&gt;=helpsheet!$L$17,rate_vatRU_from_26,rate_vatRu_till_25),0)</f>
        <v/>
      </c>
      <c r="AP1848" s="193">
        <f>AN1848-AO1848</f>
        <v/>
      </c>
      <c r="AQ1848" s="118">
        <f>IF(offer_sale_type="транзит",SUM(AF1848:AI1848,BA1848,BB1848),0)</f>
        <v/>
      </c>
      <c r="AR1848" s="82">
        <f>HYPERLINK("https://www.alta.ru/tnved/code/")&amp;W1848&amp;"/"</f>
        <v/>
      </c>
      <c r="AS1848" s="157" t="n"/>
      <c r="AT1848" s="162" t="n"/>
      <c r="AU1848" s="76">
        <f>IF(ISBLANK(AT1848),0,AJ1848-AT1848)</f>
        <v/>
      </c>
      <c r="AV1848" s="157" t="n"/>
      <c r="AW1848" s="75">
        <f>_xlfn.IFNA(VLOOKUP(L1848,list_vat[],3,FALSE),0)</f>
        <v/>
      </c>
      <c r="AX1848" s="76">
        <f>IFERROR(ROUND(S1848*(1+AW1848)/E1848,2),0)</f>
        <v/>
      </c>
      <c r="AY1848" s="76">
        <f>E1848*AX1848</f>
        <v/>
      </c>
      <c r="AZ1848" s="192">
        <f>S1848*(1+M1848)</f>
        <v/>
      </c>
      <c r="BA1848" s="76">
        <f>cost_fin_total*$BD1848</f>
        <v/>
      </c>
      <c r="BB1848" s="193">
        <f>credit_sales_interest*BD1848</f>
        <v/>
      </c>
      <c r="BC1848" s="102">
        <f>IFERROR(IF($I$13&gt;0,$I1848/$I$13,$S1848/$S$13),0)</f>
        <v/>
      </c>
      <c r="BD1848" s="102">
        <f>IFERROR($S1848/$S$13,0)</f>
        <v/>
      </c>
      <c r="BE1848" s="413" t="inlineStr">
        <is>
          <t>$</t>
        </is>
      </c>
    </row>
    <row r="1849" ht="12" customFormat="1" customHeight="1" s="65">
      <c r="A1849" s="43" t="n">
        <v>1834</v>
      </c>
      <c r="B1849" s="166" t="n"/>
      <c r="C1849" s="166" t="n"/>
      <c r="D1849" s="166" t="n"/>
      <c r="E1849" s="162" t="n"/>
      <c r="F1849" s="166" t="n"/>
      <c r="G1849" s="162" t="n"/>
      <c r="H1849" s="162" t="n"/>
      <c r="I1849" s="189">
        <f>E1849*G1849</f>
        <v/>
      </c>
      <c r="J1849" s="195" t="n"/>
      <c r="K1849" s="162" t="n"/>
      <c r="L1849" s="168" t="n"/>
      <c r="M1849" s="75">
        <f>_xlfn.XLOOKUP(L1849,list_vat[Страна],list_vat[Ставка НДС %],0,0)</f>
        <v/>
      </c>
      <c r="N1849" s="162">
        <f>IFERROR(IF(L1849="Китай",K1849,K1849/(1+M1849)),0)</f>
        <v/>
      </c>
      <c r="O1849" s="169" t="n"/>
      <c r="P1849" s="76">
        <f>N1849*(1-O1849)</f>
        <v/>
      </c>
      <c r="Q1849" s="162" t="n"/>
      <c r="R1849" s="162">
        <f>IF(ISBLANK(Q1849),"введи курс",P1849/Q1849)</f>
        <v/>
      </c>
      <c r="S1849" s="196">
        <f>IF(AND(ISNUMBER(E1849),ISNUMBER(Q1849)),E1849*R1849,0)</f>
        <v/>
      </c>
      <c r="T1849" s="192">
        <f>$BC1849*V$11</f>
        <v/>
      </c>
      <c r="U1849" s="76">
        <f>$BC1849*W$11</f>
        <v/>
      </c>
      <c r="V1849" s="193">
        <f>+SUM(T1849:U1849)</f>
        <v/>
      </c>
      <c r="W1849" s="191" t="n"/>
      <c r="X1849" s="170" t="n"/>
      <c r="Y1849" s="76">
        <f>ROUND(IF(offer_incoterms="DDP",X1849*(S1849*(1+AW1849)+T1849),0),2)</f>
        <v/>
      </c>
      <c r="Z1849" s="188" t="n"/>
      <c r="AA1849" s="192">
        <f>IFERROR(AB1849/E1849,0)</f>
        <v/>
      </c>
      <c r="AB1849" s="76">
        <f>ROUND(SUM(S1849,V1849,Y1849:Z1849,BA1849:BB1849),2)</f>
        <v/>
      </c>
      <c r="AC1849" s="797" t="n"/>
      <c r="AD1849" s="192">
        <f t="array" ref="AD1849">IFERROR(ROUND((_xlfn.IFS(offer_sale_type="поставка",AB1849,offer_sale_type="транзит",S1849)*(1+AC1849))/E1849,2),0)</f>
        <v/>
      </c>
      <c r="AE1849" s="76">
        <f>AD1849*E1849</f>
        <v/>
      </c>
      <c r="AF1849" s="193">
        <f t="array" ref="AF1849">IFERROR(ROUND(_xlfn.IFS(offer_sale_type="поставка",AB1849,offer_sale_type="транзит",S1849)*AC1849,2),0)</f>
        <v/>
      </c>
      <c r="AG1849" s="192">
        <f>$BD1849*VLOOKUP($AG$3,$AF$4:$AG$7,2,FALSE)</f>
        <v/>
      </c>
      <c r="AH1849" s="76">
        <f>SUM(AE1849,AG1849,AI1849)*rate_forex_risk</f>
        <v/>
      </c>
      <c r="AI1849" s="193">
        <f>IF(OR(seller_region="TR",offer_sale_type="экспорт"),0,rate_fin_comm)*SUM(AZ1849,AZ1849*AW1849,T1849)</f>
        <v/>
      </c>
      <c r="AJ1849" s="118">
        <f>IFERROR(ROUND(SUM(AB1849,AF1849:AI1849)/E1849,2),0)</f>
        <v/>
      </c>
      <c r="AK1849" s="76">
        <f>AJ1849*E1849</f>
        <v/>
      </c>
      <c r="AL1849" s="174">
        <f>ROUND(IFERROR(AM1849*E1849,0),2)</f>
        <v/>
      </c>
      <c r="AM1849" s="175">
        <f>ROUND(AJ1849*(1+IF(offer_incoterms="DDP",IF((TODAY()+offer_turnaround_time)&gt;=helpsheet!$L$17,rate_vatRU_from_26,rate_vatRu_till_25),0)),2)</f>
        <v/>
      </c>
      <c r="AN1849" s="192">
        <f>AL1849-AK1849</f>
        <v/>
      </c>
      <c r="AO1849" s="76">
        <f>SUM(AY1849,Y1849:Z1849,T1849)*IF(AND(offer_incoterms="DDP",offer_sale_type&lt;&gt;"экспорт"),IF((TODAY()+offer_turnaround_time)&gt;=helpsheet!$L$17,rate_vatRU_from_26,rate_vatRu_till_25),0)</f>
        <v/>
      </c>
      <c r="AP1849" s="193">
        <f>AN1849-AO1849</f>
        <v/>
      </c>
      <c r="AQ1849" s="118">
        <f>IF(offer_sale_type="транзит",SUM(AF1849:AI1849,BA1849,BB1849),0)</f>
        <v/>
      </c>
      <c r="AR1849" s="82">
        <f>HYPERLINK("https://www.alta.ru/tnved/code/")&amp;W1849&amp;"/"</f>
        <v/>
      </c>
      <c r="AS1849" s="157" t="n"/>
      <c r="AT1849" s="162" t="n"/>
      <c r="AU1849" s="76">
        <f>IF(ISBLANK(AT1849),0,AJ1849-AT1849)</f>
        <v/>
      </c>
      <c r="AV1849" s="157" t="n"/>
      <c r="AW1849" s="75">
        <f>_xlfn.IFNA(VLOOKUP(L1849,list_vat[],3,FALSE),0)</f>
        <v/>
      </c>
      <c r="AX1849" s="76">
        <f>IFERROR(ROUND(S1849*(1+AW1849)/E1849,2),0)</f>
        <v/>
      </c>
      <c r="AY1849" s="76">
        <f>E1849*AX1849</f>
        <v/>
      </c>
      <c r="AZ1849" s="192">
        <f>S1849*(1+M1849)</f>
        <v/>
      </c>
      <c r="BA1849" s="76">
        <f>cost_fin_total*$BD1849</f>
        <v/>
      </c>
      <c r="BB1849" s="193">
        <f>credit_sales_interest*BD1849</f>
        <v/>
      </c>
      <c r="BC1849" s="102">
        <f>IFERROR(IF($I$13&gt;0,$I1849/$I$13,$S1849/$S$13),0)</f>
        <v/>
      </c>
      <c r="BD1849" s="102">
        <f>IFERROR($S1849/$S$13,0)</f>
        <v/>
      </c>
      <c r="BE1849" s="413" t="inlineStr">
        <is>
          <t>$</t>
        </is>
      </c>
    </row>
    <row r="1850" ht="12" customFormat="1" customHeight="1" s="65">
      <c r="A1850" s="43" t="n">
        <v>1835</v>
      </c>
      <c r="B1850" s="166" t="n"/>
      <c r="C1850" s="166" t="n"/>
      <c r="D1850" s="166" t="n"/>
      <c r="E1850" s="162" t="n"/>
      <c r="F1850" s="166" t="n"/>
      <c r="G1850" s="162" t="n"/>
      <c r="H1850" s="162" t="n"/>
      <c r="I1850" s="189">
        <f>E1850*G1850</f>
        <v/>
      </c>
      <c r="J1850" s="195" t="n"/>
      <c r="K1850" s="162" t="n"/>
      <c r="L1850" s="168" t="n"/>
      <c r="M1850" s="75">
        <f>_xlfn.XLOOKUP(L1850,list_vat[Страна],list_vat[Ставка НДС %],0,0)</f>
        <v/>
      </c>
      <c r="N1850" s="162">
        <f>IFERROR(IF(L1850="Китай",K1850,K1850/(1+M1850)),0)</f>
        <v/>
      </c>
      <c r="O1850" s="169" t="n"/>
      <c r="P1850" s="76">
        <f>N1850*(1-O1850)</f>
        <v/>
      </c>
      <c r="Q1850" s="162" t="n"/>
      <c r="R1850" s="162">
        <f>IF(ISBLANK(Q1850),"введи курс",P1850/Q1850)</f>
        <v/>
      </c>
      <c r="S1850" s="196">
        <f>IF(AND(ISNUMBER(E1850),ISNUMBER(Q1850)),E1850*R1850,0)</f>
        <v/>
      </c>
      <c r="T1850" s="192">
        <f>$BC1850*V$11</f>
        <v/>
      </c>
      <c r="U1850" s="76">
        <f>$BC1850*W$11</f>
        <v/>
      </c>
      <c r="V1850" s="193">
        <f>+SUM(T1850:U1850)</f>
        <v/>
      </c>
      <c r="W1850" s="191" t="n"/>
      <c r="X1850" s="170" t="n"/>
      <c r="Y1850" s="76">
        <f>ROUND(IF(offer_incoterms="DDP",X1850*(S1850*(1+AW1850)+T1850),0),2)</f>
        <v/>
      </c>
      <c r="Z1850" s="188" t="n"/>
      <c r="AA1850" s="192">
        <f>IFERROR(AB1850/E1850,0)</f>
        <v/>
      </c>
      <c r="AB1850" s="76">
        <f>ROUND(SUM(S1850,V1850,Y1850:Z1850,BA1850:BB1850),2)</f>
        <v/>
      </c>
      <c r="AC1850" s="797" t="n"/>
      <c r="AD1850" s="192">
        <f t="array" ref="AD1850">IFERROR(ROUND((_xlfn.IFS(offer_sale_type="поставка",AB1850,offer_sale_type="транзит",S1850)*(1+AC1850))/E1850,2),0)</f>
        <v/>
      </c>
      <c r="AE1850" s="76">
        <f>AD1850*E1850</f>
        <v/>
      </c>
      <c r="AF1850" s="193">
        <f t="array" ref="AF1850">IFERROR(ROUND(_xlfn.IFS(offer_sale_type="поставка",AB1850,offer_sale_type="транзит",S1850)*AC1850,2),0)</f>
        <v/>
      </c>
      <c r="AG1850" s="192">
        <f>$BD1850*VLOOKUP($AG$3,$AF$4:$AG$7,2,FALSE)</f>
        <v/>
      </c>
      <c r="AH1850" s="76">
        <f>SUM(AE1850,AG1850,AI1850)*rate_forex_risk</f>
        <v/>
      </c>
      <c r="AI1850" s="193">
        <f>IF(OR(seller_region="TR",offer_sale_type="экспорт"),0,rate_fin_comm)*SUM(AZ1850,AZ1850*AW1850,T1850)</f>
        <v/>
      </c>
      <c r="AJ1850" s="118">
        <f>IFERROR(ROUND(SUM(AB1850,AF1850:AI1850)/E1850,2),0)</f>
        <v/>
      </c>
      <c r="AK1850" s="76">
        <f>AJ1850*E1850</f>
        <v/>
      </c>
      <c r="AL1850" s="174">
        <f>ROUND(IFERROR(AM1850*E1850,0),2)</f>
        <v/>
      </c>
      <c r="AM1850" s="175">
        <f>ROUND(AJ1850*(1+IF(offer_incoterms="DDP",IF((TODAY()+offer_turnaround_time)&gt;=helpsheet!$L$17,rate_vatRU_from_26,rate_vatRu_till_25),0)),2)</f>
        <v/>
      </c>
      <c r="AN1850" s="192">
        <f>AL1850-AK1850</f>
        <v/>
      </c>
      <c r="AO1850" s="76">
        <f>SUM(AY1850,Y1850:Z1850,T1850)*IF(AND(offer_incoterms="DDP",offer_sale_type&lt;&gt;"экспорт"),IF((TODAY()+offer_turnaround_time)&gt;=helpsheet!$L$17,rate_vatRU_from_26,rate_vatRu_till_25),0)</f>
        <v/>
      </c>
      <c r="AP1850" s="193">
        <f>AN1850-AO1850</f>
        <v/>
      </c>
      <c r="AQ1850" s="118">
        <f>IF(offer_sale_type="транзит",SUM(AF1850:AI1850,BA1850,BB1850),0)</f>
        <v/>
      </c>
      <c r="AR1850" s="82">
        <f>HYPERLINK("https://www.alta.ru/tnved/code/")&amp;W1850&amp;"/"</f>
        <v/>
      </c>
      <c r="AS1850" s="157" t="n"/>
      <c r="AT1850" s="162" t="n"/>
      <c r="AU1850" s="76">
        <f>IF(ISBLANK(AT1850),0,AJ1850-AT1850)</f>
        <v/>
      </c>
      <c r="AV1850" s="157" t="n"/>
      <c r="AW1850" s="75">
        <f>_xlfn.IFNA(VLOOKUP(L1850,list_vat[],3,FALSE),0)</f>
        <v/>
      </c>
      <c r="AX1850" s="76">
        <f>IFERROR(ROUND(S1850*(1+AW1850)/E1850,2),0)</f>
        <v/>
      </c>
      <c r="AY1850" s="76">
        <f>E1850*AX1850</f>
        <v/>
      </c>
      <c r="AZ1850" s="192">
        <f>S1850*(1+M1850)</f>
        <v/>
      </c>
      <c r="BA1850" s="76">
        <f>cost_fin_total*$BD1850</f>
        <v/>
      </c>
      <c r="BB1850" s="193">
        <f>credit_sales_interest*BD1850</f>
        <v/>
      </c>
      <c r="BC1850" s="102">
        <f>IFERROR(IF($I$13&gt;0,$I1850/$I$13,$S1850/$S$13),0)</f>
        <v/>
      </c>
      <c r="BD1850" s="102">
        <f>IFERROR($S1850/$S$13,0)</f>
        <v/>
      </c>
      <c r="BE1850" s="413" t="inlineStr">
        <is>
          <t>$</t>
        </is>
      </c>
    </row>
    <row r="1851" ht="12" customFormat="1" customHeight="1" s="65">
      <c r="A1851" s="43" t="n">
        <v>1836</v>
      </c>
      <c r="B1851" s="166" t="n"/>
      <c r="C1851" s="166" t="n"/>
      <c r="D1851" s="166" t="n"/>
      <c r="E1851" s="162" t="n"/>
      <c r="F1851" s="166" t="n"/>
      <c r="G1851" s="162" t="n"/>
      <c r="H1851" s="162" t="n"/>
      <c r="I1851" s="189">
        <f>E1851*G1851</f>
        <v/>
      </c>
      <c r="J1851" s="195" t="n"/>
      <c r="K1851" s="162" t="n"/>
      <c r="L1851" s="168" t="n"/>
      <c r="M1851" s="75">
        <f>_xlfn.XLOOKUP(L1851,list_vat[Страна],list_vat[Ставка НДС %],0,0)</f>
        <v/>
      </c>
      <c r="N1851" s="162">
        <f>IFERROR(IF(L1851="Китай",K1851,K1851/(1+M1851)),0)</f>
        <v/>
      </c>
      <c r="O1851" s="169" t="n"/>
      <c r="P1851" s="76">
        <f>N1851*(1-O1851)</f>
        <v/>
      </c>
      <c r="Q1851" s="162" t="n"/>
      <c r="R1851" s="162">
        <f>IF(ISBLANK(Q1851),"введи курс",P1851/Q1851)</f>
        <v/>
      </c>
      <c r="S1851" s="196">
        <f>IF(AND(ISNUMBER(E1851),ISNUMBER(Q1851)),E1851*R1851,0)</f>
        <v/>
      </c>
      <c r="T1851" s="192">
        <f>$BC1851*V$11</f>
        <v/>
      </c>
      <c r="U1851" s="76">
        <f>$BC1851*W$11</f>
        <v/>
      </c>
      <c r="V1851" s="193">
        <f>+SUM(T1851:U1851)</f>
        <v/>
      </c>
      <c r="W1851" s="191" t="n"/>
      <c r="X1851" s="170" t="n"/>
      <c r="Y1851" s="76">
        <f>ROUND(IF(offer_incoterms="DDP",X1851*(S1851*(1+AW1851)+T1851),0),2)</f>
        <v/>
      </c>
      <c r="Z1851" s="188" t="n"/>
      <c r="AA1851" s="192">
        <f>IFERROR(AB1851/E1851,0)</f>
        <v/>
      </c>
      <c r="AB1851" s="76">
        <f>ROUND(SUM(S1851,V1851,Y1851:Z1851,BA1851:BB1851),2)</f>
        <v/>
      </c>
      <c r="AC1851" s="797" t="n"/>
      <c r="AD1851" s="192">
        <f t="array" ref="AD1851">IFERROR(ROUND((_xlfn.IFS(offer_sale_type="поставка",AB1851,offer_sale_type="транзит",S1851)*(1+AC1851))/E1851,2),0)</f>
        <v/>
      </c>
      <c r="AE1851" s="76">
        <f>AD1851*E1851</f>
        <v/>
      </c>
      <c r="AF1851" s="193">
        <f t="array" ref="AF1851">IFERROR(ROUND(_xlfn.IFS(offer_sale_type="поставка",AB1851,offer_sale_type="транзит",S1851)*AC1851,2),0)</f>
        <v/>
      </c>
      <c r="AG1851" s="192">
        <f>$BD1851*VLOOKUP($AG$3,$AF$4:$AG$7,2,FALSE)</f>
        <v/>
      </c>
      <c r="AH1851" s="76">
        <f>SUM(AE1851,AG1851,AI1851)*rate_forex_risk</f>
        <v/>
      </c>
      <c r="AI1851" s="193">
        <f>IF(OR(seller_region="TR",offer_sale_type="экспорт"),0,rate_fin_comm)*SUM(AZ1851,AZ1851*AW1851,T1851)</f>
        <v/>
      </c>
      <c r="AJ1851" s="118">
        <f>IFERROR(ROUND(SUM(AB1851,AF1851:AI1851)/E1851,2),0)</f>
        <v/>
      </c>
      <c r="AK1851" s="76">
        <f>AJ1851*E1851</f>
        <v/>
      </c>
      <c r="AL1851" s="174">
        <f>ROUND(IFERROR(AM1851*E1851,0),2)</f>
        <v/>
      </c>
      <c r="AM1851" s="175">
        <f>ROUND(AJ1851*(1+IF(offer_incoterms="DDP",IF((TODAY()+offer_turnaround_time)&gt;=helpsheet!$L$17,rate_vatRU_from_26,rate_vatRu_till_25),0)),2)</f>
        <v/>
      </c>
      <c r="AN1851" s="192">
        <f>AL1851-AK1851</f>
        <v/>
      </c>
      <c r="AO1851" s="76">
        <f>SUM(AY1851,Y1851:Z1851,T1851)*IF(AND(offer_incoterms="DDP",offer_sale_type&lt;&gt;"экспорт"),IF((TODAY()+offer_turnaround_time)&gt;=helpsheet!$L$17,rate_vatRU_from_26,rate_vatRu_till_25),0)</f>
        <v/>
      </c>
      <c r="AP1851" s="193">
        <f>AN1851-AO1851</f>
        <v/>
      </c>
      <c r="AQ1851" s="118">
        <f>IF(offer_sale_type="транзит",SUM(AF1851:AI1851,BA1851,BB1851),0)</f>
        <v/>
      </c>
      <c r="AR1851" s="82">
        <f>HYPERLINK("https://www.alta.ru/tnved/code/")&amp;W1851&amp;"/"</f>
        <v/>
      </c>
      <c r="AS1851" s="157" t="n"/>
      <c r="AT1851" s="162" t="n"/>
      <c r="AU1851" s="76">
        <f>IF(ISBLANK(AT1851),0,AJ1851-AT1851)</f>
        <v/>
      </c>
      <c r="AV1851" s="157" t="n"/>
      <c r="AW1851" s="75">
        <f>_xlfn.IFNA(VLOOKUP(L1851,list_vat[],3,FALSE),0)</f>
        <v/>
      </c>
      <c r="AX1851" s="76">
        <f>IFERROR(ROUND(S1851*(1+AW1851)/E1851,2),0)</f>
        <v/>
      </c>
      <c r="AY1851" s="76">
        <f>E1851*AX1851</f>
        <v/>
      </c>
      <c r="AZ1851" s="192">
        <f>S1851*(1+M1851)</f>
        <v/>
      </c>
      <c r="BA1851" s="76">
        <f>cost_fin_total*$BD1851</f>
        <v/>
      </c>
      <c r="BB1851" s="193">
        <f>credit_sales_interest*BD1851</f>
        <v/>
      </c>
      <c r="BC1851" s="102">
        <f>IFERROR(IF($I$13&gt;0,$I1851/$I$13,$S1851/$S$13),0)</f>
        <v/>
      </c>
      <c r="BD1851" s="102">
        <f>IFERROR($S1851/$S$13,0)</f>
        <v/>
      </c>
      <c r="BE1851" s="413" t="inlineStr">
        <is>
          <t>$</t>
        </is>
      </c>
    </row>
    <row r="1852" ht="12" customFormat="1" customHeight="1" s="65">
      <c r="A1852" s="43" t="n">
        <v>1837</v>
      </c>
      <c r="B1852" s="166" t="n"/>
      <c r="C1852" s="166" t="n"/>
      <c r="D1852" s="166" t="n"/>
      <c r="E1852" s="162" t="n"/>
      <c r="F1852" s="166" t="n"/>
      <c r="G1852" s="162" t="n"/>
      <c r="H1852" s="162" t="n"/>
      <c r="I1852" s="189">
        <f>E1852*G1852</f>
        <v/>
      </c>
      <c r="J1852" s="195" t="n"/>
      <c r="K1852" s="162" t="n"/>
      <c r="L1852" s="168" t="n"/>
      <c r="M1852" s="75">
        <f>_xlfn.XLOOKUP(L1852,list_vat[Страна],list_vat[Ставка НДС %],0,0)</f>
        <v/>
      </c>
      <c r="N1852" s="162">
        <f>IFERROR(IF(L1852="Китай",K1852,K1852/(1+M1852)),0)</f>
        <v/>
      </c>
      <c r="O1852" s="169" t="n"/>
      <c r="P1852" s="76">
        <f>N1852*(1-O1852)</f>
        <v/>
      </c>
      <c r="Q1852" s="162" t="n"/>
      <c r="R1852" s="162">
        <f>IF(ISBLANK(Q1852),"введи курс",P1852/Q1852)</f>
        <v/>
      </c>
      <c r="S1852" s="196">
        <f>IF(AND(ISNUMBER(E1852),ISNUMBER(Q1852)),E1852*R1852,0)</f>
        <v/>
      </c>
      <c r="T1852" s="192">
        <f>$BC1852*V$11</f>
        <v/>
      </c>
      <c r="U1852" s="76">
        <f>$BC1852*W$11</f>
        <v/>
      </c>
      <c r="V1852" s="193">
        <f>+SUM(T1852:U1852)</f>
        <v/>
      </c>
      <c r="W1852" s="191" t="n"/>
      <c r="X1852" s="170" t="n"/>
      <c r="Y1852" s="76">
        <f>ROUND(IF(offer_incoterms="DDP",X1852*(S1852*(1+AW1852)+T1852),0),2)</f>
        <v/>
      </c>
      <c r="Z1852" s="188" t="n"/>
      <c r="AA1852" s="192">
        <f>IFERROR(AB1852/E1852,0)</f>
        <v/>
      </c>
      <c r="AB1852" s="76">
        <f>ROUND(SUM(S1852,V1852,Y1852:Z1852,BA1852:BB1852),2)</f>
        <v/>
      </c>
      <c r="AC1852" s="797" t="n"/>
      <c r="AD1852" s="192">
        <f t="array" ref="AD1852">IFERROR(ROUND((_xlfn.IFS(offer_sale_type="поставка",AB1852,offer_sale_type="транзит",S1852)*(1+AC1852))/E1852,2),0)</f>
        <v/>
      </c>
      <c r="AE1852" s="76">
        <f>AD1852*E1852</f>
        <v/>
      </c>
      <c r="AF1852" s="193">
        <f t="array" ref="AF1852">IFERROR(ROUND(_xlfn.IFS(offer_sale_type="поставка",AB1852,offer_sale_type="транзит",S1852)*AC1852,2),0)</f>
        <v/>
      </c>
      <c r="AG1852" s="192">
        <f>$BD1852*VLOOKUP($AG$3,$AF$4:$AG$7,2,FALSE)</f>
        <v/>
      </c>
      <c r="AH1852" s="76">
        <f>SUM(AE1852,AG1852,AI1852)*rate_forex_risk</f>
        <v/>
      </c>
      <c r="AI1852" s="193">
        <f>IF(OR(seller_region="TR",offer_sale_type="экспорт"),0,rate_fin_comm)*SUM(AZ1852,AZ1852*AW1852,T1852)</f>
        <v/>
      </c>
      <c r="AJ1852" s="118">
        <f>IFERROR(ROUND(SUM(AB1852,AF1852:AI1852)/E1852,2),0)</f>
        <v/>
      </c>
      <c r="AK1852" s="76">
        <f>AJ1852*E1852</f>
        <v/>
      </c>
      <c r="AL1852" s="174">
        <f>ROUND(IFERROR(AM1852*E1852,0),2)</f>
        <v/>
      </c>
      <c r="AM1852" s="175">
        <f>ROUND(AJ1852*(1+IF(offer_incoterms="DDP",IF((TODAY()+offer_turnaround_time)&gt;=helpsheet!$L$17,rate_vatRU_from_26,rate_vatRu_till_25),0)),2)</f>
        <v/>
      </c>
      <c r="AN1852" s="192">
        <f>AL1852-AK1852</f>
        <v/>
      </c>
      <c r="AO1852" s="76">
        <f>SUM(AY1852,Y1852:Z1852,T1852)*IF(AND(offer_incoterms="DDP",offer_sale_type&lt;&gt;"экспорт"),IF((TODAY()+offer_turnaround_time)&gt;=helpsheet!$L$17,rate_vatRU_from_26,rate_vatRu_till_25),0)</f>
        <v/>
      </c>
      <c r="AP1852" s="193">
        <f>AN1852-AO1852</f>
        <v/>
      </c>
      <c r="AQ1852" s="118">
        <f>IF(offer_sale_type="транзит",SUM(AF1852:AI1852,BA1852,BB1852),0)</f>
        <v/>
      </c>
      <c r="AR1852" s="82">
        <f>HYPERLINK("https://www.alta.ru/tnved/code/")&amp;W1852&amp;"/"</f>
        <v/>
      </c>
      <c r="AS1852" s="157" t="n"/>
      <c r="AT1852" s="162" t="n"/>
      <c r="AU1852" s="76">
        <f>IF(ISBLANK(AT1852),0,AJ1852-AT1852)</f>
        <v/>
      </c>
      <c r="AV1852" s="157" t="n"/>
      <c r="AW1852" s="75">
        <f>_xlfn.IFNA(VLOOKUP(L1852,list_vat[],3,FALSE),0)</f>
        <v/>
      </c>
      <c r="AX1852" s="76">
        <f>IFERROR(ROUND(S1852*(1+AW1852)/E1852,2),0)</f>
        <v/>
      </c>
      <c r="AY1852" s="76">
        <f>E1852*AX1852</f>
        <v/>
      </c>
      <c r="AZ1852" s="192">
        <f>S1852*(1+M1852)</f>
        <v/>
      </c>
      <c r="BA1852" s="76">
        <f>cost_fin_total*$BD1852</f>
        <v/>
      </c>
      <c r="BB1852" s="193">
        <f>credit_sales_interest*BD1852</f>
        <v/>
      </c>
      <c r="BC1852" s="102">
        <f>IFERROR(IF($I$13&gt;0,$I1852/$I$13,$S1852/$S$13),0)</f>
        <v/>
      </c>
      <c r="BD1852" s="102">
        <f>IFERROR($S1852/$S$13,0)</f>
        <v/>
      </c>
      <c r="BE1852" s="413" t="inlineStr">
        <is>
          <t>$</t>
        </is>
      </c>
    </row>
    <row r="1853" ht="12" customFormat="1" customHeight="1" s="65">
      <c r="A1853" s="43" t="n">
        <v>1838</v>
      </c>
      <c r="B1853" s="166" t="n"/>
      <c r="C1853" s="166" t="n"/>
      <c r="D1853" s="166" t="n"/>
      <c r="E1853" s="162" t="n"/>
      <c r="F1853" s="166" t="n"/>
      <c r="G1853" s="162" t="n"/>
      <c r="H1853" s="162" t="n"/>
      <c r="I1853" s="189">
        <f>E1853*G1853</f>
        <v/>
      </c>
      <c r="J1853" s="195" t="n"/>
      <c r="K1853" s="162" t="n"/>
      <c r="L1853" s="168" t="n"/>
      <c r="M1853" s="75">
        <f>_xlfn.XLOOKUP(L1853,list_vat[Страна],list_vat[Ставка НДС %],0,0)</f>
        <v/>
      </c>
      <c r="N1853" s="162">
        <f>IFERROR(IF(L1853="Китай",K1853,K1853/(1+M1853)),0)</f>
        <v/>
      </c>
      <c r="O1853" s="169" t="n"/>
      <c r="P1853" s="76">
        <f>N1853*(1-O1853)</f>
        <v/>
      </c>
      <c r="Q1853" s="162" t="n"/>
      <c r="R1853" s="162">
        <f>IF(ISBLANK(Q1853),"введи курс",P1853/Q1853)</f>
        <v/>
      </c>
      <c r="S1853" s="196">
        <f>IF(AND(ISNUMBER(E1853),ISNUMBER(Q1853)),E1853*R1853,0)</f>
        <v/>
      </c>
      <c r="T1853" s="192">
        <f>$BC1853*V$11</f>
        <v/>
      </c>
      <c r="U1853" s="76">
        <f>$BC1853*W$11</f>
        <v/>
      </c>
      <c r="V1853" s="193">
        <f>+SUM(T1853:U1853)</f>
        <v/>
      </c>
      <c r="W1853" s="191" t="n"/>
      <c r="X1853" s="170" t="n"/>
      <c r="Y1853" s="76">
        <f>ROUND(IF(offer_incoterms="DDP",X1853*(S1853*(1+AW1853)+T1853),0),2)</f>
        <v/>
      </c>
      <c r="Z1853" s="188" t="n"/>
      <c r="AA1853" s="192">
        <f>IFERROR(AB1853/E1853,0)</f>
        <v/>
      </c>
      <c r="AB1853" s="76">
        <f>ROUND(SUM(S1853,V1853,Y1853:Z1853,BA1853:BB1853),2)</f>
        <v/>
      </c>
      <c r="AC1853" s="797" t="n"/>
      <c r="AD1853" s="192">
        <f t="array" ref="AD1853">IFERROR(ROUND((_xlfn.IFS(offer_sale_type="поставка",AB1853,offer_sale_type="транзит",S1853)*(1+AC1853))/E1853,2),0)</f>
        <v/>
      </c>
      <c r="AE1853" s="76">
        <f>AD1853*E1853</f>
        <v/>
      </c>
      <c r="AF1853" s="193">
        <f t="array" ref="AF1853">IFERROR(ROUND(_xlfn.IFS(offer_sale_type="поставка",AB1853,offer_sale_type="транзит",S1853)*AC1853,2),0)</f>
        <v/>
      </c>
      <c r="AG1853" s="192">
        <f>$BD1853*VLOOKUP($AG$3,$AF$4:$AG$7,2,FALSE)</f>
        <v/>
      </c>
      <c r="AH1853" s="76">
        <f>SUM(AE1853,AG1853,AI1853)*rate_forex_risk</f>
        <v/>
      </c>
      <c r="AI1853" s="193">
        <f>IF(OR(seller_region="TR",offer_sale_type="экспорт"),0,rate_fin_comm)*SUM(AZ1853,AZ1853*AW1853,T1853)</f>
        <v/>
      </c>
      <c r="AJ1853" s="118">
        <f>IFERROR(ROUND(SUM(AB1853,AF1853:AI1853)/E1853,2),0)</f>
        <v/>
      </c>
      <c r="AK1853" s="76">
        <f>AJ1853*E1853</f>
        <v/>
      </c>
      <c r="AL1853" s="174">
        <f>ROUND(IFERROR(AM1853*E1853,0),2)</f>
        <v/>
      </c>
      <c r="AM1853" s="175">
        <f>ROUND(AJ1853*(1+IF(offer_incoterms="DDP",IF((TODAY()+offer_turnaround_time)&gt;=helpsheet!$L$17,rate_vatRU_from_26,rate_vatRu_till_25),0)),2)</f>
        <v/>
      </c>
      <c r="AN1853" s="192">
        <f>AL1853-AK1853</f>
        <v/>
      </c>
      <c r="AO1853" s="76">
        <f>SUM(AY1853,Y1853:Z1853,T1853)*IF(AND(offer_incoterms="DDP",offer_sale_type&lt;&gt;"экспорт"),IF((TODAY()+offer_turnaround_time)&gt;=helpsheet!$L$17,rate_vatRU_from_26,rate_vatRu_till_25),0)</f>
        <v/>
      </c>
      <c r="AP1853" s="193">
        <f>AN1853-AO1853</f>
        <v/>
      </c>
      <c r="AQ1853" s="118">
        <f>IF(offer_sale_type="транзит",SUM(AF1853:AI1853,BA1853,BB1853),0)</f>
        <v/>
      </c>
      <c r="AR1853" s="82">
        <f>HYPERLINK("https://www.alta.ru/tnved/code/")&amp;W1853&amp;"/"</f>
        <v/>
      </c>
      <c r="AS1853" s="157" t="n"/>
      <c r="AT1853" s="162" t="n"/>
      <c r="AU1853" s="76">
        <f>IF(ISBLANK(AT1853),0,AJ1853-AT1853)</f>
        <v/>
      </c>
      <c r="AV1853" s="157" t="n"/>
      <c r="AW1853" s="75">
        <f>_xlfn.IFNA(VLOOKUP(L1853,list_vat[],3,FALSE),0)</f>
        <v/>
      </c>
      <c r="AX1853" s="76">
        <f>IFERROR(ROUND(S1853*(1+AW1853)/E1853,2),0)</f>
        <v/>
      </c>
      <c r="AY1853" s="76">
        <f>E1853*AX1853</f>
        <v/>
      </c>
      <c r="AZ1853" s="192">
        <f>S1853*(1+M1853)</f>
        <v/>
      </c>
      <c r="BA1853" s="76">
        <f>cost_fin_total*$BD1853</f>
        <v/>
      </c>
      <c r="BB1853" s="193">
        <f>credit_sales_interest*BD1853</f>
        <v/>
      </c>
      <c r="BC1853" s="102">
        <f>IFERROR(IF($I$13&gt;0,$I1853/$I$13,$S1853/$S$13),0)</f>
        <v/>
      </c>
      <c r="BD1853" s="102">
        <f>IFERROR($S1853/$S$13,0)</f>
        <v/>
      </c>
      <c r="BE1853" s="413" t="inlineStr">
        <is>
          <t>$</t>
        </is>
      </c>
    </row>
    <row r="1854" ht="12" customFormat="1" customHeight="1" s="65">
      <c r="A1854" s="43" t="n">
        <v>1839</v>
      </c>
      <c r="B1854" s="166" t="n"/>
      <c r="C1854" s="166" t="n"/>
      <c r="D1854" s="166" t="n"/>
      <c r="E1854" s="162" t="n"/>
      <c r="F1854" s="166" t="n"/>
      <c r="G1854" s="162" t="n"/>
      <c r="H1854" s="162" t="n"/>
      <c r="I1854" s="189">
        <f>E1854*G1854</f>
        <v/>
      </c>
      <c r="J1854" s="195" t="n"/>
      <c r="K1854" s="162" t="n"/>
      <c r="L1854" s="168" t="n"/>
      <c r="M1854" s="75">
        <f>_xlfn.XLOOKUP(L1854,list_vat[Страна],list_vat[Ставка НДС %],0,0)</f>
        <v/>
      </c>
      <c r="N1854" s="162">
        <f>IFERROR(IF(L1854="Китай",K1854,K1854/(1+M1854)),0)</f>
        <v/>
      </c>
      <c r="O1854" s="169" t="n"/>
      <c r="P1854" s="76">
        <f>N1854*(1-O1854)</f>
        <v/>
      </c>
      <c r="Q1854" s="162" t="n"/>
      <c r="R1854" s="162">
        <f>IF(ISBLANK(Q1854),"введи курс",P1854/Q1854)</f>
        <v/>
      </c>
      <c r="S1854" s="196">
        <f>IF(AND(ISNUMBER(E1854),ISNUMBER(Q1854)),E1854*R1854,0)</f>
        <v/>
      </c>
      <c r="T1854" s="192">
        <f>$BC1854*V$11</f>
        <v/>
      </c>
      <c r="U1854" s="76">
        <f>$BC1854*W$11</f>
        <v/>
      </c>
      <c r="V1854" s="193">
        <f>+SUM(T1854:U1854)</f>
        <v/>
      </c>
      <c r="W1854" s="191" t="n"/>
      <c r="X1854" s="170" t="n"/>
      <c r="Y1854" s="76">
        <f>ROUND(IF(offer_incoterms="DDP",X1854*(S1854*(1+AW1854)+T1854),0),2)</f>
        <v/>
      </c>
      <c r="Z1854" s="188" t="n"/>
      <c r="AA1854" s="192">
        <f>IFERROR(AB1854/E1854,0)</f>
        <v/>
      </c>
      <c r="AB1854" s="76">
        <f>ROUND(SUM(S1854,V1854,Y1854:Z1854,BA1854:BB1854),2)</f>
        <v/>
      </c>
      <c r="AC1854" s="797" t="n"/>
      <c r="AD1854" s="192">
        <f t="array" ref="AD1854">IFERROR(ROUND((_xlfn.IFS(offer_sale_type="поставка",AB1854,offer_sale_type="транзит",S1854)*(1+AC1854))/E1854,2),0)</f>
        <v/>
      </c>
      <c r="AE1854" s="76">
        <f>AD1854*E1854</f>
        <v/>
      </c>
      <c r="AF1854" s="193">
        <f t="array" ref="AF1854">IFERROR(ROUND(_xlfn.IFS(offer_sale_type="поставка",AB1854,offer_sale_type="транзит",S1854)*AC1854,2),0)</f>
        <v/>
      </c>
      <c r="AG1854" s="192">
        <f>$BD1854*VLOOKUP($AG$3,$AF$4:$AG$7,2,FALSE)</f>
        <v/>
      </c>
      <c r="AH1854" s="76">
        <f>SUM(AE1854,AG1854,AI1854)*rate_forex_risk</f>
        <v/>
      </c>
      <c r="AI1854" s="193">
        <f>IF(OR(seller_region="TR",offer_sale_type="экспорт"),0,rate_fin_comm)*SUM(AZ1854,AZ1854*AW1854,T1854)</f>
        <v/>
      </c>
      <c r="AJ1854" s="118">
        <f>IFERROR(ROUND(SUM(AB1854,AF1854:AI1854)/E1854,2),0)</f>
        <v/>
      </c>
      <c r="AK1854" s="76">
        <f>AJ1854*E1854</f>
        <v/>
      </c>
      <c r="AL1854" s="174">
        <f>ROUND(IFERROR(AM1854*E1854,0),2)</f>
        <v/>
      </c>
      <c r="AM1854" s="175">
        <f>ROUND(AJ1854*(1+IF(offer_incoterms="DDP",IF((TODAY()+offer_turnaround_time)&gt;=helpsheet!$L$17,rate_vatRU_from_26,rate_vatRu_till_25),0)),2)</f>
        <v/>
      </c>
      <c r="AN1854" s="192">
        <f>AL1854-AK1854</f>
        <v/>
      </c>
      <c r="AO1854" s="76">
        <f>SUM(AY1854,Y1854:Z1854,T1854)*IF(AND(offer_incoterms="DDP",offer_sale_type&lt;&gt;"экспорт"),IF((TODAY()+offer_turnaround_time)&gt;=helpsheet!$L$17,rate_vatRU_from_26,rate_vatRu_till_25),0)</f>
        <v/>
      </c>
      <c r="AP1854" s="193">
        <f>AN1854-AO1854</f>
        <v/>
      </c>
      <c r="AQ1854" s="118">
        <f>IF(offer_sale_type="транзит",SUM(AF1854:AI1854,BA1854,BB1854),0)</f>
        <v/>
      </c>
      <c r="AR1854" s="82">
        <f>HYPERLINK("https://www.alta.ru/tnved/code/")&amp;W1854&amp;"/"</f>
        <v/>
      </c>
      <c r="AS1854" s="157" t="n"/>
      <c r="AT1854" s="162" t="n"/>
      <c r="AU1854" s="76">
        <f>IF(ISBLANK(AT1854),0,AJ1854-AT1854)</f>
        <v/>
      </c>
      <c r="AV1854" s="157" t="n"/>
      <c r="AW1854" s="75">
        <f>_xlfn.IFNA(VLOOKUP(L1854,list_vat[],3,FALSE),0)</f>
        <v/>
      </c>
      <c r="AX1854" s="76">
        <f>IFERROR(ROUND(S1854*(1+AW1854)/E1854,2),0)</f>
        <v/>
      </c>
      <c r="AY1854" s="76">
        <f>E1854*AX1854</f>
        <v/>
      </c>
      <c r="AZ1854" s="192">
        <f>S1854*(1+M1854)</f>
        <v/>
      </c>
      <c r="BA1854" s="76">
        <f>cost_fin_total*$BD1854</f>
        <v/>
      </c>
      <c r="BB1854" s="193">
        <f>credit_sales_interest*BD1854</f>
        <v/>
      </c>
      <c r="BC1854" s="102">
        <f>IFERROR(IF($I$13&gt;0,$I1854/$I$13,$S1854/$S$13),0)</f>
        <v/>
      </c>
      <c r="BD1854" s="102">
        <f>IFERROR($S1854/$S$13,0)</f>
        <v/>
      </c>
      <c r="BE1854" s="413" t="inlineStr">
        <is>
          <t>$</t>
        </is>
      </c>
    </row>
    <row r="1855" ht="12" customFormat="1" customHeight="1" s="65">
      <c r="A1855" s="43" t="n">
        <v>1840</v>
      </c>
      <c r="B1855" s="166" t="n"/>
      <c r="C1855" s="166" t="n"/>
      <c r="D1855" s="166" t="n"/>
      <c r="E1855" s="162" t="n"/>
      <c r="F1855" s="166" t="n"/>
      <c r="G1855" s="162" t="n"/>
      <c r="H1855" s="162" t="n"/>
      <c r="I1855" s="189">
        <f>E1855*G1855</f>
        <v/>
      </c>
      <c r="J1855" s="195" t="n"/>
      <c r="K1855" s="162" t="n"/>
      <c r="L1855" s="168" t="n"/>
      <c r="M1855" s="75">
        <f>_xlfn.XLOOKUP(L1855,list_vat[Страна],list_vat[Ставка НДС %],0,0)</f>
        <v/>
      </c>
      <c r="N1855" s="162">
        <f>IFERROR(IF(L1855="Китай",K1855,K1855/(1+M1855)),0)</f>
        <v/>
      </c>
      <c r="O1855" s="169" t="n"/>
      <c r="P1855" s="76">
        <f>N1855*(1-O1855)</f>
        <v/>
      </c>
      <c r="Q1855" s="162" t="n"/>
      <c r="R1855" s="162">
        <f>IF(ISBLANK(Q1855),"введи курс",P1855/Q1855)</f>
        <v/>
      </c>
      <c r="S1855" s="196">
        <f>IF(AND(ISNUMBER(E1855),ISNUMBER(Q1855)),E1855*R1855,0)</f>
        <v/>
      </c>
      <c r="T1855" s="192">
        <f>$BC1855*V$11</f>
        <v/>
      </c>
      <c r="U1855" s="76">
        <f>$BC1855*W$11</f>
        <v/>
      </c>
      <c r="V1855" s="193">
        <f>+SUM(T1855:U1855)</f>
        <v/>
      </c>
      <c r="W1855" s="191" t="n"/>
      <c r="X1855" s="170" t="n"/>
      <c r="Y1855" s="76">
        <f>ROUND(IF(offer_incoterms="DDP",X1855*(S1855*(1+AW1855)+T1855),0),2)</f>
        <v/>
      </c>
      <c r="Z1855" s="188" t="n"/>
      <c r="AA1855" s="192">
        <f>IFERROR(AB1855/E1855,0)</f>
        <v/>
      </c>
      <c r="AB1855" s="76">
        <f>ROUND(SUM(S1855,V1855,Y1855:Z1855,BA1855:BB1855),2)</f>
        <v/>
      </c>
      <c r="AC1855" s="797" t="n"/>
      <c r="AD1855" s="192">
        <f t="array" ref="AD1855">IFERROR(ROUND((_xlfn.IFS(offer_sale_type="поставка",AB1855,offer_sale_type="транзит",S1855)*(1+AC1855))/E1855,2),0)</f>
        <v/>
      </c>
      <c r="AE1855" s="76">
        <f>AD1855*E1855</f>
        <v/>
      </c>
      <c r="AF1855" s="193">
        <f t="array" ref="AF1855">IFERROR(ROUND(_xlfn.IFS(offer_sale_type="поставка",AB1855,offer_sale_type="транзит",S1855)*AC1855,2),0)</f>
        <v/>
      </c>
      <c r="AG1855" s="192">
        <f>$BD1855*VLOOKUP($AG$3,$AF$4:$AG$7,2,FALSE)</f>
        <v/>
      </c>
      <c r="AH1855" s="76">
        <f>SUM(AE1855,AG1855,AI1855)*rate_forex_risk</f>
        <v/>
      </c>
      <c r="AI1855" s="193">
        <f>IF(OR(seller_region="TR",offer_sale_type="экспорт"),0,rate_fin_comm)*SUM(AZ1855,AZ1855*AW1855,T1855)</f>
        <v/>
      </c>
      <c r="AJ1855" s="118">
        <f>IFERROR(ROUND(SUM(AB1855,AF1855:AI1855)/E1855,2),0)</f>
        <v/>
      </c>
      <c r="AK1855" s="76">
        <f>AJ1855*E1855</f>
        <v/>
      </c>
      <c r="AL1855" s="174">
        <f>ROUND(IFERROR(AM1855*E1855,0),2)</f>
        <v/>
      </c>
      <c r="AM1855" s="175">
        <f>ROUND(AJ1855*(1+IF(offer_incoterms="DDP",IF((TODAY()+offer_turnaround_time)&gt;=helpsheet!$L$17,rate_vatRU_from_26,rate_vatRu_till_25),0)),2)</f>
        <v/>
      </c>
      <c r="AN1855" s="192">
        <f>AL1855-AK1855</f>
        <v/>
      </c>
      <c r="AO1855" s="76">
        <f>SUM(AY1855,Y1855:Z1855,T1855)*IF(AND(offer_incoterms="DDP",offer_sale_type&lt;&gt;"экспорт"),IF((TODAY()+offer_turnaround_time)&gt;=helpsheet!$L$17,rate_vatRU_from_26,rate_vatRu_till_25),0)</f>
        <v/>
      </c>
      <c r="AP1855" s="193">
        <f>AN1855-AO1855</f>
        <v/>
      </c>
      <c r="AQ1855" s="118">
        <f>IF(offer_sale_type="транзит",SUM(AF1855:AI1855,BA1855,BB1855),0)</f>
        <v/>
      </c>
      <c r="AR1855" s="82">
        <f>HYPERLINK("https://www.alta.ru/tnved/code/")&amp;W1855&amp;"/"</f>
        <v/>
      </c>
      <c r="AS1855" s="157" t="n"/>
      <c r="AT1855" s="162" t="n"/>
      <c r="AU1855" s="76">
        <f>IF(ISBLANK(AT1855),0,AJ1855-AT1855)</f>
        <v/>
      </c>
      <c r="AV1855" s="157" t="n"/>
      <c r="AW1855" s="75">
        <f>_xlfn.IFNA(VLOOKUP(L1855,list_vat[],3,FALSE),0)</f>
        <v/>
      </c>
      <c r="AX1855" s="76">
        <f>IFERROR(ROUND(S1855*(1+AW1855)/E1855,2),0)</f>
        <v/>
      </c>
      <c r="AY1855" s="76">
        <f>E1855*AX1855</f>
        <v/>
      </c>
      <c r="AZ1855" s="192">
        <f>S1855*(1+M1855)</f>
        <v/>
      </c>
      <c r="BA1855" s="76">
        <f>cost_fin_total*$BD1855</f>
        <v/>
      </c>
      <c r="BB1855" s="193">
        <f>credit_sales_interest*BD1855</f>
        <v/>
      </c>
      <c r="BC1855" s="102">
        <f>IFERROR(IF($I$13&gt;0,$I1855/$I$13,$S1855/$S$13),0)</f>
        <v/>
      </c>
      <c r="BD1855" s="102">
        <f>IFERROR($S1855/$S$13,0)</f>
        <v/>
      </c>
      <c r="BE1855" s="413" t="inlineStr">
        <is>
          <t>$</t>
        </is>
      </c>
    </row>
    <row r="1856" ht="12" customFormat="1" customHeight="1" s="65">
      <c r="A1856" s="43" t="n">
        <v>1841</v>
      </c>
      <c r="B1856" s="166" t="n"/>
      <c r="C1856" s="166" t="n"/>
      <c r="D1856" s="166" t="n"/>
      <c r="E1856" s="162" t="n"/>
      <c r="F1856" s="166" t="n"/>
      <c r="G1856" s="162" t="n"/>
      <c r="H1856" s="162" t="n"/>
      <c r="I1856" s="189">
        <f>E1856*G1856</f>
        <v/>
      </c>
      <c r="J1856" s="195" t="n"/>
      <c r="K1856" s="162" t="n"/>
      <c r="L1856" s="168" t="n"/>
      <c r="M1856" s="75">
        <f>_xlfn.XLOOKUP(L1856,list_vat[Страна],list_vat[Ставка НДС %],0,0)</f>
        <v/>
      </c>
      <c r="N1856" s="162">
        <f>IFERROR(IF(L1856="Китай",K1856,K1856/(1+M1856)),0)</f>
        <v/>
      </c>
      <c r="O1856" s="169" t="n"/>
      <c r="P1856" s="76">
        <f>N1856*(1-O1856)</f>
        <v/>
      </c>
      <c r="Q1856" s="162" t="n"/>
      <c r="R1856" s="162">
        <f>IF(ISBLANK(Q1856),"введи курс",P1856/Q1856)</f>
        <v/>
      </c>
      <c r="S1856" s="196">
        <f>IF(AND(ISNUMBER(E1856),ISNUMBER(Q1856)),E1856*R1856,0)</f>
        <v/>
      </c>
      <c r="T1856" s="192">
        <f>$BC1856*V$11</f>
        <v/>
      </c>
      <c r="U1856" s="76">
        <f>$BC1856*W$11</f>
        <v/>
      </c>
      <c r="V1856" s="193">
        <f>+SUM(T1856:U1856)</f>
        <v/>
      </c>
      <c r="W1856" s="191" t="n"/>
      <c r="X1856" s="170" t="n"/>
      <c r="Y1856" s="76">
        <f>ROUND(IF(offer_incoterms="DDP",X1856*(S1856*(1+AW1856)+T1856),0),2)</f>
        <v/>
      </c>
      <c r="Z1856" s="188" t="n"/>
      <c r="AA1856" s="192">
        <f>IFERROR(AB1856/E1856,0)</f>
        <v/>
      </c>
      <c r="AB1856" s="76">
        <f>ROUND(SUM(S1856,V1856,Y1856:Z1856,BA1856:BB1856),2)</f>
        <v/>
      </c>
      <c r="AC1856" s="797" t="n"/>
      <c r="AD1856" s="192">
        <f t="array" ref="AD1856">IFERROR(ROUND((_xlfn.IFS(offer_sale_type="поставка",AB1856,offer_sale_type="транзит",S1856)*(1+AC1856))/E1856,2),0)</f>
        <v/>
      </c>
      <c r="AE1856" s="76">
        <f>AD1856*E1856</f>
        <v/>
      </c>
      <c r="AF1856" s="193">
        <f t="array" ref="AF1856">IFERROR(ROUND(_xlfn.IFS(offer_sale_type="поставка",AB1856,offer_sale_type="транзит",S1856)*AC1856,2),0)</f>
        <v/>
      </c>
      <c r="AG1856" s="192">
        <f>$BD1856*VLOOKUP($AG$3,$AF$4:$AG$7,2,FALSE)</f>
        <v/>
      </c>
      <c r="AH1856" s="76">
        <f>SUM(AE1856,AG1856,AI1856)*rate_forex_risk</f>
        <v/>
      </c>
      <c r="AI1856" s="193">
        <f>IF(OR(seller_region="TR",offer_sale_type="экспорт"),0,rate_fin_comm)*SUM(AZ1856,AZ1856*AW1856,T1856)</f>
        <v/>
      </c>
      <c r="AJ1856" s="118">
        <f>IFERROR(ROUND(SUM(AB1856,AF1856:AI1856)/E1856,2),0)</f>
        <v/>
      </c>
      <c r="AK1856" s="76">
        <f>AJ1856*E1856</f>
        <v/>
      </c>
      <c r="AL1856" s="174">
        <f>ROUND(IFERROR(AM1856*E1856,0),2)</f>
        <v/>
      </c>
      <c r="AM1856" s="175">
        <f>ROUND(AJ1856*(1+IF(offer_incoterms="DDP",IF((TODAY()+offer_turnaround_time)&gt;=helpsheet!$L$17,rate_vatRU_from_26,rate_vatRu_till_25),0)),2)</f>
        <v/>
      </c>
      <c r="AN1856" s="192">
        <f>AL1856-AK1856</f>
        <v/>
      </c>
      <c r="AO1856" s="76">
        <f>SUM(AY1856,Y1856:Z1856,T1856)*IF(AND(offer_incoterms="DDP",offer_sale_type&lt;&gt;"экспорт"),IF((TODAY()+offer_turnaround_time)&gt;=helpsheet!$L$17,rate_vatRU_from_26,rate_vatRu_till_25),0)</f>
        <v/>
      </c>
      <c r="AP1856" s="193">
        <f>AN1856-AO1856</f>
        <v/>
      </c>
      <c r="AQ1856" s="118">
        <f>IF(offer_sale_type="транзит",SUM(AF1856:AI1856,BA1856,BB1856),0)</f>
        <v/>
      </c>
      <c r="AR1856" s="82">
        <f>HYPERLINK("https://www.alta.ru/tnved/code/")&amp;W1856&amp;"/"</f>
        <v/>
      </c>
      <c r="AS1856" s="157" t="n"/>
      <c r="AT1856" s="162" t="n"/>
      <c r="AU1856" s="76">
        <f>IF(ISBLANK(AT1856),0,AJ1856-AT1856)</f>
        <v/>
      </c>
      <c r="AV1856" s="157" t="n"/>
      <c r="AW1856" s="75">
        <f>_xlfn.IFNA(VLOOKUP(L1856,list_vat[],3,FALSE),0)</f>
        <v/>
      </c>
      <c r="AX1856" s="76">
        <f>IFERROR(ROUND(S1856*(1+AW1856)/E1856,2),0)</f>
        <v/>
      </c>
      <c r="AY1856" s="76">
        <f>E1856*AX1856</f>
        <v/>
      </c>
      <c r="AZ1856" s="192">
        <f>S1856*(1+M1856)</f>
        <v/>
      </c>
      <c r="BA1856" s="76">
        <f>cost_fin_total*$BD1856</f>
        <v/>
      </c>
      <c r="BB1856" s="193">
        <f>credit_sales_interest*BD1856</f>
        <v/>
      </c>
      <c r="BC1856" s="102">
        <f>IFERROR(IF($I$13&gt;0,$I1856/$I$13,$S1856/$S$13),0)</f>
        <v/>
      </c>
      <c r="BD1856" s="102">
        <f>IFERROR($S1856/$S$13,0)</f>
        <v/>
      </c>
      <c r="BE1856" s="413" t="inlineStr">
        <is>
          <t>$</t>
        </is>
      </c>
    </row>
    <row r="1857" ht="12" customFormat="1" customHeight="1" s="65">
      <c r="A1857" s="43" t="n">
        <v>1842</v>
      </c>
      <c r="B1857" s="166" t="n"/>
      <c r="C1857" s="166" t="n"/>
      <c r="D1857" s="166" t="n"/>
      <c r="E1857" s="162" t="n"/>
      <c r="F1857" s="166" t="n"/>
      <c r="G1857" s="162" t="n"/>
      <c r="H1857" s="162" t="n"/>
      <c r="I1857" s="189">
        <f>E1857*G1857</f>
        <v/>
      </c>
      <c r="J1857" s="195" t="n"/>
      <c r="K1857" s="162" t="n"/>
      <c r="L1857" s="168" t="n"/>
      <c r="M1857" s="75">
        <f>_xlfn.XLOOKUP(L1857,list_vat[Страна],list_vat[Ставка НДС %],0,0)</f>
        <v/>
      </c>
      <c r="N1857" s="162">
        <f>IFERROR(IF(L1857="Китай",K1857,K1857/(1+M1857)),0)</f>
        <v/>
      </c>
      <c r="O1857" s="169" t="n"/>
      <c r="P1857" s="76">
        <f>N1857*(1-O1857)</f>
        <v/>
      </c>
      <c r="Q1857" s="162" t="n"/>
      <c r="R1857" s="162">
        <f>IF(ISBLANK(Q1857),"введи курс",P1857/Q1857)</f>
        <v/>
      </c>
      <c r="S1857" s="196">
        <f>IF(AND(ISNUMBER(E1857),ISNUMBER(Q1857)),E1857*R1857,0)</f>
        <v/>
      </c>
      <c r="T1857" s="192">
        <f>$BC1857*V$11</f>
        <v/>
      </c>
      <c r="U1857" s="76">
        <f>$BC1857*W$11</f>
        <v/>
      </c>
      <c r="V1857" s="193">
        <f>+SUM(T1857:U1857)</f>
        <v/>
      </c>
      <c r="W1857" s="191" t="n"/>
      <c r="X1857" s="170" t="n"/>
      <c r="Y1857" s="76">
        <f>ROUND(IF(offer_incoterms="DDP",X1857*(S1857*(1+AW1857)+T1857),0),2)</f>
        <v/>
      </c>
      <c r="Z1857" s="188" t="n"/>
      <c r="AA1857" s="192">
        <f>IFERROR(AB1857/E1857,0)</f>
        <v/>
      </c>
      <c r="AB1857" s="76">
        <f>ROUND(SUM(S1857,V1857,Y1857:Z1857,BA1857:BB1857),2)</f>
        <v/>
      </c>
      <c r="AC1857" s="797" t="n"/>
      <c r="AD1857" s="192">
        <f t="array" ref="AD1857">IFERROR(ROUND((_xlfn.IFS(offer_sale_type="поставка",AB1857,offer_sale_type="транзит",S1857)*(1+AC1857))/E1857,2),0)</f>
        <v/>
      </c>
      <c r="AE1857" s="76">
        <f>AD1857*E1857</f>
        <v/>
      </c>
      <c r="AF1857" s="193">
        <f t="array" ref="AF1857">IFERROR(ROUND(_xlfn.IFS(offer_sale_type="поставка",AB1857,offer_sale_type="транзит",S1857)*AC1857,2),0)</f>
        <v/>
      </c>
      <c r="AG1857" s="192">
        <f>$BD1857*VLOOKUP($AG$3,$AF$4:$AG$7,2,FALSE)</f>
        <v/>
      </c>
      <c r="AH1857" s="76">
        <f>SUM(AE1857,AG1857,AI1857)*rate_forex_risk</f>
        <v/>
      </c>
      <c r="AI1857" s="193">
        <f>IF(OR(seller_region="TR",offer_sale_type="экспорт"),0,rate_fin_comm)*SUM(AZ1857,AZ1857*AW1857,T1857)</f>
        <v/>
      </c>
      <c r="AJ1857" s="118">
        <f>IFERROR(ROUND(SUM(AB1857,AF1857:AI1857)/E1857,2),0)</f>
        <v/>
      </c>
      <c r="AK1857" s="76">
        <f>AJ1857*E1857</f>
        <v/>
      </c>
      <c r="AL1857" s="174">
        <f>ROUND(IFERROR(AM1857*E1857,0),2)</f>
        <v/>
      </c>
      <c r="AM1857" s="175">
        <f>ROUND(AJ1857*(1+IF(offer_incoterms="DDP",IF((TODAY()+offer_turnaround_time)&gt;=helpsheet!$L$17,rate_vatRU_from_26,rate_vatRu_till_25),0)),2)</f>
        <v/>
      </c>
      <c r="AN1857" s="192">
        <f>AL1857-AK1857</f>
        <v/>
      </c>
      <c r="AO1857" s="76">
        <f>SUM(AY1857,Y1857:Z1857,T1857)*IF(AND(offer_incoterms="DDP",offer_sale_type&lt;&gt;"экспорт"),IF((TODAY()+offer_turnaround_time)&gt;=helpsheet!$L$17,rate_vatRU_from_26,rate_vatRu_till_25),0)</f>
        <v/>
      </c>
      <c r="AP1857" s="193">
        <f>AN1857-AO1857</f>
        <v/>
      </c>
      <c r="AQ1857" s="118">
        <f>IF(offer_sale_type="транзит",SUM(AF1857:AI1857,BA1857,BB1857),0)</f>
        <v/>
      </c>
      <c r="AR1857" s="82">
        <f>HYPERLINK("https://www.alta.ru/tnved/code/")&amp;W1857&amp;"/"</f>
        <v/>
      </c>
      <c r="AS1857" s="157" t="n"/>
      <c r="AT1857" s="162" t="n"/>
      <c r="AU1857" s="76">
        <f>IF(ISBLANK(AT1857),0,AJ1857-AT1857)</f>
        <v/>
      </c>
      <c r="AV1857" s="157" t="n"/>
      <c r="AW1857" s="75">
        <f>_xlfn.IFNA(VLOOKUP(L1857,list_vat[],3,FALSE),0)</f>
        <v/>
      </c>
      <c r="AX1857" s="76">
        <f>IFERROR(ROUND(S1857*(1+AW1857)/E1857,2),0)</f>
        <v/>
      </c>
      <c r="AY1857" s="76">
        <f>E1857*AX1857</f>
        <v/>
      </c>
      <c r="AZ1857" s="192">
        <f>S1857*(1+M1857)</f>
        <v/>
      </c>
      <c r="BA1857" s="76">
        <f>cost_fin_total*$BD1857</f>
        <v/>
      </c>
      <c r="BB1857" s="193">
        <f>credit_sales_interest*BD1857</f>
        <v/>
      </c>
      <c r="BC1857" s="102">
        <f>IFERROR(IF($I$13&gt;0,$I1857/$I$13,$S1857/$S$13),0)</f>
        <v/>
      </c>
      <c r="BD1857" s="102">
        <f>IFERROR($S1857/$S$13,0)</f>
        <v/>
      </c>
      <c r="BE1857" s="413" t="inlineStr">
        <is>
          <t>$</t>
        </is>
      </c>
    </row>
    <row r="1858" ht="12" customFormat="1" customHeight="1" s="65">
      <c r="A1858" s="43" t="n">
        <v>1843</v>
      </c>
      <c r="B1858" s="166" t="n"/>
      <c r="C1858" s="166" t="n"/>
      <c r="D1858" s="166" t="n"/>
      <c r="E1858" s="162" t="n"/>
      <c r="F1858" s="166" t="n"/>
      <c r="G1858" s="162" t="n"/>
      <c r="H1858" s="162" t="n"/>
      <c r="I1858" s="189">
        <f>E1858*G1858</f>
        <v/>
      </c>
      <c r="J1858" s="195" t="n"/>
      <c r="K1858" s="162" t="n"/>
      <c r="L1858" s="168" t="n"/>
      <c r="M1858" s="75">
        <f>_xlfn.XLOOKUP(L1858,list_vat[Страна],list_vat[Ставка НДС %],0,0)</f>
        <v/>
      </c>
      <c r="N1858" s="162">
        <f>IFERROR(IF(L1858="Китай",K1858,K1858/(1+M1858)),0)</f>
        <v/>
      </c>
      <c r="O1858" s="169" t="n"/>
      <c r="P1858" s="76">
        <f>N1858*(1-O1858)</f>
        <v/>
      </c>
      <c r="Q1858" s="162" t="n"/>
      <c r="R1858" s="162">
        <f>IF(ISBLANK(Q1858),"введи курс",P1858/Q1858)</f>
        <v/>
      </c>
      <c r="S1858" s="196">
        <f>IF(AND(ISNUMBER(E1858),ISNUMBER(Q1858)),E1858*R1858,0)</f>
        <v/>
      </c>
      <c r="T1858" s="192">
        <f>$BC1858*V$11</f>
        <v/>
      </c>
      <c r="U1858" s="76">
        <f>$BC1858*W$11</f>
        <v/>
      </c>
      <c r="V1858" s="193">
        <f>+SUM(T1858:U1858)</f>
        <v/>
      </c>
      <c r="W1858" s="191" t="n"/>
      <c r="X1858" s="170" t="n"/>
      <c r="Y1858" s="76">
        <f>ROUND(IF(offer_incoterms="DDP",X1858*(S1858*(1+AW1858)+T1858),0),2)</f>
        <v/>
      </c>
      <c r="Z1858" s="188" t="n"/>
      <c r="AA1858" s="192">
        <f>IFERROR(AB1858/E1858,0)</f>
        <v/>
      </c>
      <c r="AB1858" s="76">
        <f>ROUND(SUM(S1858,V1858,Y1858:Z1858,BA1858:BB1858),2)</f>
        <v/>
      </c>
      <c r="AC1858" s="797" t="n"/>
      <c r="AD1858" s="192">
        <f t="array" ref="AD1858">IFERROR(ROUND((_xlfn.IFS(offer_sale_type="поставка",AB1858,offer_sale_type="транзит",S1858)*(1+AC1858))/E1858,2),0)</f>
        <v/>
      </c>
      <c r="AE1858" s="76">
        <f>AD1858*E1858</f>
        <v/>
      </c>
      <c r="AF1858" s="193">
        <f t="array" ref="AF1858">IFERROR(ROUND(_xlfn.IFS(offer_sale_type="поставка",AB1858,offer_sale_type="транзит",S1858)*AC1858,2),0)</f>
        <v/>
      </c>
      <c r="AG1858" s="192">
        <f>$BD1858*VLOOKUP($AG$3,$AF$4:$AG$7,2,FALSE)</f>
        <v/>
      </c>
      <c r="AH1858" s="76">
        <f>SUM(AE1858,AG1858,AI1858)*rate_forex_risk</f>
        <v/>
      </c>
      <c r="AI1858" s="193">
        <f>IF(OR(seller_region="TR",offer_sale_type="экспорт"),0,rate_fin_comm)*SUM(AZ1858,AZ1858*AW1858,T1858)</f>
        <v/>
      </c>
      <c r="AJ1858" s="118">
        <f>IFERROR(ROUND(SUM(AB1858,AF1858:AI1858)/E1858,2),0)</f>
        <v/>
      </c>
      <c r="AK1858" s="76">
        <f>AJ1858*E1858</f>
        <v/>
      </c>
      <c r="AL1858" s="174">
        <f>ROUND(IFERROR(AM1858*E1858,0),2)</f>
        <v/>
      </c>
      <c r="AM1858" s="175">
        <f>ROUND(AJ1858*(1+IF(offer_incoterms="DDP",IF((TODAY()+offer_turnaround_time)&gt;=helpsheet!$L$17,rate_vatRU_from_26,rate_vatRu_till_25),0)),2)</f>
        <v/>
      </c>
      <c r="AN1858" s="192">
        <f>AL1858-AK1858</f>
        <v/>
      </c>
      <c r="AO1858" s="76">
        <f>SUM(AY1858,Y1858:Z1858,T1858)*IF(AND(offer_incoterms="DDP",offer_sale_type&lt;&gt;"экспорт"),IF((TODAY()+offer_turnaround_time)&gt;=helpsheet!$L$17,rate_vatRU_from_26,rate_vatRu_till_25),0)</f>
        <v/>
      </c>
      <c r="AP1858" s="193">
        <f>AN1858-AO1858</f>
        <v/>
      </c>
      <c r="AQ1858" s="118">
        <f>IF(offer_sale_type="транзит",SUM(AF1858:AI1858,BA1858,BB1858),0)</f>
        <v/>
      </c>
      <c r="AR1858" s="82">
        <f>HYPERLINK("https://www.alta.ru/tnved/code/")&amp;W1858&amp;"/"</f>
        <v/>
      </c>
      <c r="AS1858" s="157" t="n"/>
      <c r="AT1858" s="162" t="n"/>
      <c r="AU1858" s="76">
        <f>IF(ISBLANK(AT1858),0,AJ1858-AT1858)</f>
        <v/>
      </c>
      <c r="AV1858" s="157" t="n"/>
      <c r="AW1858" s="75">
        <f>_xlfn.IFNA(VLOOKUP(L1858,list_vat[],3,FALSE),0)</f>
        <v/>
      </c>
      <c r="AX1858" s="76">
        <f>IFERROR(ROUND(S1858*(1+AW1858)/E1858,2),0)</f>
        <v/>
      </c>
      <c r="AY1858" s="76">
        <f>E1858*AX1858</f>
        <v/>
      </c>
      <c r="AZ1858" s="192">
        <f>S1858*(1+M1858)</f>
        <v/>
      </c>
      <c r="BA1858" s="76">
        <f>cost_fin_total*$BD1858</f>
        <v/>
      </c>
      <c r="BB1858" s="193">
        <f>credit_sales_interest*BD1858</f>
        <v/>
      </c>
      <c r="BC1858" s="102">
        <f>IFERROR(IF($I$13&gt;0,$I1858/$I$13,$S1858/$S$13),0)</f>
        <v/>
      </c>
      <c r="BD1858" s="102">
        <f>IFERROR($S1858/$S$13,0)</f>
        <v/>
      </c>
      <c r="BE1858" s="413" t="inlineStr">
        <is>
          <t>$</t>
        </is>
      </c>
    </row>
    <row r="1859" ht="12" customFormat="1" customHeight="1" s="65">
      <c r="A1859" s="43" t="n">
        <v>1844</v>
      </c>
      <c r="B1859" s="166" t="n"/>
      <c r="C1859" s="166" t="n"/>
      <c r="D1859" s="166" t="n"/>
      <c r="E1859" s="162" t="n"/>
      <c r="F1859" s="166" t="n"/>
      <c r="G1859" s="162" t="n"/>
      <c r="H1859" s="162" t="n"/>
      <c r="I1859" s="189">
        <f>E1859*G1859</f>
        <v/>
      </c>
      <c r="J1859" s="195" t="n"/>
      <c r="K1859" s="162" t="n"/>
      <c r="L1859" s="168" t="n"/>
      <c r="M1859" s="75">
        <f>_xlfn.XLOOKUP(L1859,list_vat[Страна],list_vat[Ставка НДС %],0,0)</f>
        <v/>
      </c>
      <c r="N1859" s="162">
        <f>IFERROR(IF(L1859="Китай",K1859,K1859/(1+M1859)),0)</f>
        <v/>
      </c>
      <c r="O1859" s="169" t="n"/>
      <c r="P1859" s="76">
        <f>N1859*(1-O1859)</f>
        <v/>
      </c>
      <c r="Q1859" s="162" t="n"/>
      <c r="R1859" s="162">
        <f>IF(ISBLANK(Q1859),"введи курс",P1859/Q1859)</f>
        <v/>
      </c>
      <c r="S1859" s="196">
        <f>IF(AND(ISNUMBER(E1859),ISNUMBER(Q1859)),E1859*R1859,0)</f>
        <v/>
      </c>
      <c r="T1859" s="192">
        <f>$BC1859*V$11</f>
        <v/>
      </c>
      <c r="U1859" s="76">
        <f>$BC1859*W$11</f>
        <v/>
      </c>
      <c r="V1859" s="193">
        <f>+SUM(T1859:U1859)</f>
        <v/>
      </c>
      <c r="W1859" s="191" t="n"/>
      <c r="X1859" s="170" t="n"/>
      <c r="Y1859" s="76">
        <f>ROUND(IF(offer_incoterms="DDP",X1859*(S1859*(1+AW1859)+T1859),0),2)</f>
        <v/>
      </c>
      <c r="Z1859" s="188" t="n"/>
      <c r="AA1859" s="192">
        <f>IFERROR(AB1859/E1859,0)</f>
        <v/>
      </c>
      <c r="AB1859" s="76">
        <f>ROUND(SUM(S1859,V1859,Y1859:Z1859,BA1859:BB1859),2)</f>
        <v/>
      </c>
      <c r="AC1859" s="797" t="n"/>
      <c r="AD1859" s="192">
        <f t="array" ref="AD1859">IFERROR(ROUND((_xlfn.IFS(offer_sale_type="поставка",AB1859,offer_sale_type="транзит",S1859)*(1+AC1859))/E1859,2),0)</f>
        <v/>
      </c>
      <c r="AE1859" s="76">
        <f>AD1859*E1859</f>
        <v/>
      </c>
      <c r="AF1859" s="193">
        <f t="array" ref="AF1859">IFERROR(ROUND(_xlfn.IFS(offer_sale_type="поставка",AB1859,offer_sale_type="транзит",S1859)*AC1859,2),0)</f>
        <v/>
      </c>
      <c r="AG1859" s="192">
        <f>$BD1859*VLOOKUP($AG$3,$AF$4:$AG$7,2,FALSE)</f>
        <v/>
      </c>
      <c r="AH1859" s="76">
        <f>SUM(AE1859,AG1859,AI1859)*rate_forex_risk</f>
        <v/>
      </c>
      <c r="AI1859" s="193">
        <f>IF(OR(seller_region="TR",offer_sale_type="экспорт"),0,rate_fin_comm)*SUM(AZ1859,AZ1859*AW1859,T1859)</f>
        <v/>
      </c>
      <c r="AJ1859" s="118">
        <f>IFERROR(ROUND(SUM(AB1859,AF1859:AI1859)/E1859,2),0)</f>
        <v/>
      </c>
      <c r="AK1859" s="76">
        <f>AJ1859*E1859</f>
        <v/>
      </c>
      <c r="AL1859" s="174">
        <f>ROUND(IFERROR(AM1859*E1859,0),2)</f>
        <v/>
      </c>
      <c r="AM1859" s="175">
        <f>ROUND(AJ1859*(1+IF(offer_incoterms="DDP",IF((TODAY()+offer_turnaround_time)&gt;=helpsheet!$L$17,rate_vatRU_from_26,rate_vatRu_till_25),0)),2)</f>
        <v/>
      </c>
      <c r="AN1859" s="192">
        <f>AL1859-AK1859</f>
        <v/>
      </c>
      <c r="AO1859" s="76">
        <f>SUM(AY1859,Y1859:Z1859,T1859)*IF(AND(offer_incoterms="DDP",offer_sale_type&lt;&gt;"экспорт"),IF((TODAY()+offer_turnaround_time)&gt;=helpsheet!$L$17,rate_vatRU_from_26,rate_vatRu_till_25),0)</f>
        <v/>
      </c>
      <c r="AP1859" s="193">
        <f>AN1859-AO1859</f>
        <v/>
      </c>
      <c r="AQ1859" s="118">
        <f>IF(offer_sale_type="транзит",SUM(AF1859:AI1859,BA1859,BB1859),0)</f>
        <v/>
      </c>
      <c r="AR1859" s="82">
        <f>HYPERLINK("https://www.alta.ru/tnved/code/")&amp;W1859&amp;"/"</f>
        <v/>
      </c>
      <c r="AS1859" s="157" t="n"/>
      <c r="AT1859" s="162" t="n"/>
      <c r="AU1859" s="76">
        <f>IF(ISBLANK(AT1859),0,AJ1859-AT1859)</f>
        <v/>
      </c>
      <c r="AV1859" s="157" t="n"/>
      <c r="AW1859" s="75">
        <f>_xlfn.IFNA(VLOOKUP(L1859,list_vat[],3,FALSE),0)</f>
        <v/>
      </c>
      <c r="AX1859" s="76">
        <f>IFERROR(ROUND(S1859*(1+AW1859)/E1859,2),0)</f>
        <v/>
      </c>
      <c r="AY1859" s="76">
        <f>E1859*AX1859</f>
        <v/>
      </c>
      <c r="AZ1859" s="192">
        <f>S1859*(1+M1859)</f>
        <v/>
      </c>
      <c r="BA1859" s="76">
        <f>cost_fin_total*$BD1859</f>
        <v/>
      </c>
      <c r="BB1859" s="193">
        <f>credit_sales_interest*BD1859</f>
        <v/>
      </c>
      <c r="BC1859" s="102">
        <f>IFERROR(IF($I$13&gt;0,$I1859/$I$13,$S1859/$S$13),0)</f>
        <v/>
      </c>
      <c r="BD1859" s="102">
        <f>IFERROR($S1859/$S$13,0)</f>
        <v/>
      </c>
      <c r="BE1859" s="413" t="inlineStr">
        <is>
          <t>$</t>
        </is>
      </c>
    </row>
    <row r="1860" ht="12" customFormat="1" customHeight="1" s="65">
      <c r="A1860" s="43" t="n">
        <v>1845</v>
      </c>
      <c r="B1860" s="166" t="n"/>
      <c r="C1860" s="166" t="n"/>
      <c r="D1860" s="166" t="n"/>
      <c r="E1860" s="162" t="n"/>
      <c r="F1860" s="166" t="n"/>
      <c r="G1860" s="162" t="n"/>
      <c r="H1860" s="162" t="n"/>
      <c r="I1860" s="189">
        <f>E1860*G1860</f>
        <v/>
      </c>
      <c r="J1860" s="195" t="n"/>
      <c r="K1860" s="162" t="n"/>
      <c r="L1860" s="168" t="n"/>
      <c r="M1860" s="75">
        <f>_xlfn.XLOOKUP(L1860,list_vat[Страна],list_vat[Ставка НДС %],0,0)</f>
        <v/>
      </c>
      <c r="N1860" s="162">
        <f>IFERROR(IF(L1860="Китай",K1860,K1860/(1+M1860)),0)</f>
        <v/>
      </c>
      <c r="O1860" s="169" t="n"/>
      <c r="P1860" s="76">
        <f>N1860*(1-O1860)</f>
        <v/>
      </c>
      <c r="Q1860" s="162" t="n"/>
      <c r="R1860" s="162">
        <f>IF(ISBLANK(Q1860),"введи курс",P1860/Q1860)</f>
        <v/>
      </c>
      <c r="S1860" s="196">
        <f>IF(AND(ISNUMBER(E1860),ISNUMBER(Q1860)),E1860*R1860,0)</f>
        <v/>
      </c>
      <c r="T1860" s="192">
        <f>$BC1860*V$11</f>
        <v/>
      </c>
      <c r="U1860" s="76">
        <f>$BC1860*W$11</f>
        <v/>
      </c>
      <c r="V1860" s="193">
        <f>+SUM(T1860:U1860)</f>
        <v/>
      </c>
      <c r="W1860" s="191" t="n"/>
      <c r="X1860" s="170" t="n"/>
      <c r="Y1860" s="76">
        <f>ROUND(IF(offer_incoterms="DDP",X1860*(S1860*(1+AW1860)+T1860),0),2)</f>
        <v/>
      </c>
      <c r="Z1860" s="188" t="n"/>
      <c r="AA1860" s="192">
        <f>IFERROR(AB1860/E1860,0)</f>
        <v/>
      </c>
      <c r="AB1860" s="76">
        <f>ROUND(SUM(S1860,V1860,Y1860:Z1860,BA1860:BB1860),2)</f>
        <v/>
      </c>
      <c r="AC1860" s="797" t="n"/>
      <c r="AD1860" s="192">
        <f t="array" ref="AD1860">IFERROR(ROUND((_xlfn.IFS(offer_sale_type="поставка",AB1860,offer_sale_type="транзит",S1860)*(1+AC1860))/E1860,2),0)</f>
        <v/>
      </c>
      <c r="AE1860" s="76">
        <f>AD1860*E1860</f>
        <v/>
      </c>
      <c r="AF1860" s="193">
        <f t="array" ref="AF1860">IFERROR(ROUND(_xlfn.IFS(offer_sale_type="поставка",AB1860,offer_sale_type="транзит",S1860)*AC1860,2),0)</f>
        <v/>
      </c>
      <c r="AG1860" s="192">
        <f>$BD1860*VLOOKUP($AG$3,$AF$4:$AG$7,2,FALSE)</f>
        <v/>
      </c>
      <c r="AH1860" s="76">
        <f>SUM(AE1860,AG1860,AI1860)*rate_forex_risk</f>
        <v/>
      </c>
      <c r="AI1860" s="193">
        <f>IF(OR(seller_region="TR",offer_sale_type="экспорт"),0,rate_fin_comm)*SUM(AZ1860,AZ1860*AW1860,T1860)</f>
        <v/>
      </c>
      <c r="AJ1860" s="118">
        <f>IFERROR(ROUND(SUM(AB1860,AF1860:AI1860)/E1860,2),0)</f>
        <v/>
      </c>
      <c r="AK1860" s="76">
        <f>AJ1860*E1860</f>
        <v/>
      </c>
      <c r="AL1860" s="174">
        <f>ROUND(IFERROR(AM1860*E1860,0),2)</f>
        <v/>
      </c>
      <c r="AM1860" s="175">
        <f>ROUND(AJ1860*(1+IF(offer_incoterms="DDP",IF((TODAY()+offer_turnaround_time)&gt;=helpsheet!$L$17,rate_vatRU_from_26,rate_vatRu_till_25),0)),2)</f>
        <v/>
      </c>
      <c r="AN1860" s="192">
        <f>AL1860-AK1860</f>
        <v/>
      </c>
      <c r="AO1860" s="76">
        <f>SUM(AY1860,Y1860:Z1860,T1860)*IF(AND(offer_incoterms="DDP",offer_sale_type&lt;&gt;"экспорт"),IF((TODAY()+offer_turnaround_time)&gt;=helpsheet!$L$17,rate_vatRU_from_26,rate_vatRu_till_25),0)</f>
        <v/>
      </c>
      <c r="AP1860" s="193">
        <f>AN1860-AO1860</f>
        <v/>
      </c>
      <c r="AQ1860" s="118">
        <f>IF(offer_sale_type="транзит",SUM(AF1860:AI1860,BA1860,BB1860),0)</f>
        <v/>
      </c>
      <c r="AR1860" s="82">
        <f>HYPERLINK("https://www.alta.ru/tnved/code/")&amp;W1860&amp;"/"</f>
        <v/>
      </c>
      <c r="AS1860" s="157" t="n"/>
      <c r="AT1860" s="162" t="n"/>
      <c r="AU1860" s="76">
        <f>IF(ISBLANK(AT1860),0,AJ1860-AT1860)</f>
        <v/>
      </c>
      <c r="AV1860" s="157" t="n"/>
      <c r="AW1860" s="75">
        <f>_xlfn.IFNA(VLOOKUP(L1860,list_vat[],3,FALSE),0)</f>
        <v/>
      </c>
      <c r="AX1860" s="76">
        <f>IFERROR(ROUND(S1860*(1+AW1860)/E1860,2),0)</f>
        <v/>
      </c>
      <c r="AY1860" s="76">
        <f>E1860*AX1860</f>
        <v/>
      </c>
      <c r="AZ1860" s="192">
        <f>S1860*(1+M1860)</f>
        <v/>
      </c>
      <c r="BA1860" s="76">
        <f>cost_fin_total*$BD1860</f>
        <v/>
      </c>
      <c r="BB1860" s="193">
        <f>credit_sales_interest*BD1860</f>
        <v/>
      </c>
      <c r="BC1860" s="102">
        <f>IFERROR(IF($I$13&gt;0,$I1860/$I$13,$S1860/$S$13),0)</f>
        <v/>
      </c>
      <c r="BD1860" s="102">
        <f>IFERROR($S1860/$S$13,0)</f>
        <v/>
      </c>
      <c r="BE1860" s="413" t="inlineStr">
        <is>
          <t>$</t>
        </is>
      </c>
    </row>
    <row r="1861" ht="12" customFormat="1" customHeight="1" s="65">
      <c r="A1861" s="43" t="n">
        <v>1846</v>
      </c>
      <c r="B1861" s="166" t="n"/>
      <c r="C1861" s="166" t="n"/>
      <c r="D1861" s="166" t="n"/>
      <c r="E1861" s="162" t="n"/>
      <c r="F1861" s="166" t="n"/>
      <c r="G1861" s="162" t="n"/>
      <c r="H1861" s="162" t="n"/>
      <c r="I1861" s="189">
        <f>E1861*G1861</f>
        <v/>
      </c>
      <c r="J1861" s="195" t="n"/>
      <c r="K1861" s="162" t="n"/>
      <c r="L1861" s="168" t="n"/>
      <c r="M1861" s="75">
        <f>_xlfn.XLOOKUP(L1861,list_vat[Страна],list_vat[Ставка НДС %],0,0)</f>
        <v/>
      </c>
      <c r="N1861" s="162">
        <f>IFERROR(IF(L1861="Китай",K1861,K1861/(1+M1861)),0)</f>
        <v/>
      </c>
      <c r="O1861" s="169" t="n"/>
      <c r="P1861" s="76">
        <f>N1861*(1-O1861)</f>
        <v/>
      </c>
      <c r="Q1861" s="162" t="n"/>
      <c r="R1861" s="162">
        <f>IF(ISBLANK(Q1861),"введи курс",P1861/Q1861)</f>
        <v/>
      </c>
      <c r="S1861" s="196">
        <f>IF(AND(ISNUMBER(E1861),ISNUMBER(Q1861)),E1861*R1861,0)</f>
        <v/>
      </c>
      <c r="T1861" s="192">
        <f>$BC1861*V$11</f>
        <v/>
      </c>
      <c r="U1861" s="76">
        <f>$BC1861*W$11</f>
        <v/>
      </c>
      <c r="V1861" s="193">
        <f>+SUM(T1861:U1861)</f>
        <v/>
      </c>
      <c r="W1861" s="191" t="n"/>
      <c r="X1861" s="170" t="n"/>
      <c r="Y1861" s="76">
        <f>ROUND(IF(offer_incoterms="DDP",X1861*(S1861*(1+AW1861)+T1861),0),2)</f>
        <v/>
      </c>
      <c r="Z1861" s="188" t="n"/>
      <c r="AA1861" s="192">
        <f>IFERROR(AB1861/E1861,0)</f>
        <v/>
      </c>
      <c r="AB1861" s="76">
        <f>ROUND(SUM(S1861,V1861,Y1861:Z1861,BA1861:BB1861),2)</f>
        <v/>
      </c>
      <c r="AC1861" s="797" t="n"/>
      <c r="AD1861" s="192">
        <f t="array" ref="AD1861">IFERROR(ROUND((_xlfn.IFS(offer_sale_type="поставка",AB1861,offer_sale_type="транзит",S1861)*(1+AC1861))/E1861,2),0)</f>
        <v/>
      </c>
      <c r="AE1861" s="76">
        <f>AD1861*E1861</f>
        <v/>
      </c>
      <c r="AF1861" s="193">
        <f t="array" ref="AF1861">IFERROR(ROUND(_xlfn.IFS(offer_sale_type="поставка",AB1861,offer_sale_type="транзит",S1861)*AC1861,2),0)</f>
        <v/>
      </c>
      <c r="AG1861" s="192">
        <f>$BD1861*VLOOKUP($AG$3,$AF$4:$AG$7,2,FALSE)</f>
        <v/>
      </c>
      <c r="AH1861" s="76">
        <f>SUM(AE1861,AG1861,AI1861)*rate_forex_risk</f>
        <v/>
      </c>
      <c r="AI1861" s="193">
        <f>IF(OR(seller_region="TR",offer_sale_type="экспорт"),0,rate_fin_comm)*SUM(AZ1861,AZ1861*AW1861,T1861)</f>
        <v/>
      </c>
      <c r="AJ1861" s="118">
        <f>IFERROR(ROUND(SUM(AB1861,AF1861:AI1861)/E1861,2),0)</f>
        <v/>
      </c>
      <c r="AK1861" s="76">
        <f>AJ1861*E1861</f>
        <v/>
      </c>
      <c r="AL1861" s="174">
        <f>ROUND(IFERROR(AM1861*E1861,0),2)</f>
        <v/>
      </c>
      <c r="AM1861" s="175">
        <f>ROUND(AJ1861*(1+IF(offer_incoterms="DDP",IF((TODAY()+offer_turnaround_time)&gt;=helpsheet!$L$17,rate_vatRU_from_26,rate_vatRu_till_25),0)),2)</f>
        <v/>
      </c>
      <c r="AN1861" s="192">
        <f>AL1861-AK1861</f>
        <v/>
      </c>
      <c r="AO1861" s="76">
        <f>SUM(AY1861,Y1861:Z1861,T1861)*IF(AND(offer_incoterms="DDP",offer_sale_type&lt;&gt;"экспорт"),IF((TODAY()+offer_turnaround_time)&gt;=helpsheet!$L$17,rate_vatRU_from_26,rate_vatRu_till_25),0)</f>
        <v/>
      </c>
      <c r="AP1861" s="193">
        <f>AN1861-AO1861</f>
        <v/>
      </c>
      <c r="AQ1861" s="118">
        <f>IF(offer_sale_type="транзит",SUM(AF1861:AI1861,BA1861,BB1861),0)</f>
        <v/>
      </c>
      <c r="AR1861" s="82">
        <f>HYPERLINK("https://www.alta.ru/tnved/code/")&amp;W1861&amp;"/"</f>
        <v/>
      </c>
      <c r="AS1861" s="157" t="n"/>
      <c r="AT1861" s="162" t="n"/>
      <c r="AU1861" s="76">
        <f>IF(ISBLANK(AT1861),0,AJ1861-AT1861)</f>
        <v/>
      </c>
      <c r="AV1861" s="157" t="n"/>
      <c r="AW1861" s="75">
        <f>_xlfn.IFNA(VLOOKUP(L1861,list_vat[],3,FALSE),0)</f>
        <v/>
      </c>
      <c r="AX1861" s="76">
        <f>IFERROR(ROUND(S1861*(1+AW1861)/E1861,2),0)</f>
        <v/>
      </c>
      <c r="AY1861" s="76">
        <f>E1861*AX1861</f>
        <v/>
      </c>
      <c r="AZ1861" s="192">
        <f>S1861*(1+M1861)</f>
        <v/>
      </c>
      <c r="BA1861" s="76">
        <f>cost_fin_total*$BD1861</f>
        <v/>
      </c>
      <c r="BB1861" s="193">
        <f>credit_sales_interest*BD1861</f>
        <v/>
      </c>
      <c r="BC1861" s="102">
        <f>IFERROR(IF($I$13&gt;0,$I1861/$I$13,$S1861/$S$13),0)</f>
        <v/>
      </c>
      <c r="BD1861" s="102">
        <f>IFERROR($S1861/$S$13,0)</f>
        <v/>
      </c>
      <c r="BE1861" s="413" t="inlineStr">
        <is>
          <t>$</t>
        </is>
      </c>
    </row>
    <row r="1862" ht="12" customFormat="1" customHeight="1" s="65">
      <c r="A1862" s="43" t="n">
        <v>1847</v>
      </c>
      <c r="B1862" s="166" t="n"/>
      <c r="C1862" s="166" t="n"/>
      <c r="D1862" s="166" t="n"/>
      <c r="E1862" s="162" t="n"/>
      <c r="F1862" s="166" t="n"/>
      <c r="G1862" s="162" t="n"/>
      <c r="H1862" s="162" t="n"/>
      <c r="I1862" s="189">
        <f>E1862*G1862</f>
        <v/>
      </c>
      <c r="J1862" s="195" t="n"/>
      <c r="K1862" s="162" t="n"/>
      <c r="L1862" s="168" t="n"/>
      <c r="M1862" s="75">
        <f>_xlfn.XLOOKUP(L1862,list_vat[Страна],list_vat[Ставка НДС %],0,0)</f>
        <v/>
      </c>
      <c r="N1862" s="162">
        <f>IFERROR(IF(L1862="Китай",K1862,K1862/(1+M1862)),0)</f>
        <v/>
      </c>
      <c r="O1862" s="169" t="n"/>
      <c r="P1862" s="76">
        <f>N1862*(1-O1862)</f>
        <v/>
      </c>
      <c r="Q1862" s="162" t="n"/>
      <c r="R1862" s="162">
        <f>IF(ISBLANK(Q1862),"введи курс",P1862/Q1862)</f>
        <v/>
      </c>
      <c r="S1862" s="196">
        <f>IF(AND(ISNUMBER(E1862),ISNUMBER(Q1862)),E1862*R1862,0)</f>
        <v/>
      </c>
      <c r="T1862" s="192">
        <f>$BC1862*V$11</f>
        <v/>
      </c>
      <c r="U1862" s="76">
        <f>$BC1862*W$11</f>
        <v/>
      </c>
      <c r="V1862" s="193">
        <f>+SUM(T1862:U1862)</f>
        <v/>
      </c>
      <c r="W1862" s="191" t="n"/>
      <c r="X1862" s="170" t="n"/>
      <c r="Y1862" s="76">
        <f>ROUND(IF(offer_incoterms="DDP",X1862*(S1862*(1+AW1862)+T1862),0),2)</f>
        <v/>
      </c>
      <c r="Z1862" s="188" t="n"/>
      <c r="AA1862" s="192">
        <f>IFERROR(AB1862/E1862,0)</f>
        <v/>
      </c>
      <c r="AB1862" s="76">
        <f>ROUND(SUM(S1862,V1862,Y1862:Z1862,BA1862:BB1862),2)</f>
        <v/>
      </c>
      <c r="AC1862" s="797" t="n"/>
      <c r="AD1862" s="192">
        <f t="array" ref="AD1862">IFERROR(ROUND((_xlfn.IFS(offer_sale_type="поставка",AB1862,offer_sale_type="транзит",S1862)*(1+AC1862))/E1862,2),0)</f>
        <v/>
      </c>
      <c r="AE1862" s="76">
        <f>AD1862*E1862</f>
        <v/>
      </c>
      <c r="AF1862" s="193">
        <f t="array" ref="AF1862">IFERROR(ROUND(_xlfn.IFS(offer_sale_type="поставка",AB1862,offer_sale_type="транзит",S1862)*AC1862,2),0)</f>
        <v/>
      </c>
      <c r="AG1862" s="192">
        <f>$BD1862*VLOOKUP($AG$3,$AF$4:$AG$7,2,FALSE)</f>
        <v/>
      </c>
      <c r="AH1862" s="76">
        <f>SUM(AE1862,AG1862,AI1862)*rate_forex_risk</f>
        <v/>
      </c>
      <c r="AI1862" s="193">
        <f>IF(OR(seller_region="TR",offer_sale_type="экспорт"),0,rate_fin_comm)*SUM(AZ1862,AZ1862*AW1862,T1862)</f>
        <v/>
      </c>
      <c r="AJ1862" s="118">
        <f>IFERROR(ROUND(SUM(AB1862,AF1862:AI1862)/E1862,2),0)</f>
        <v/>
      </c>
      <c r="AK1862" s="76">
        <f>AJ1862*E1862</f>
        <v/>
      </c>
      <c r="AL1862" s="174">
        <f>ROUND(IFERROR(AM1862*E1862,0),2)</f>
        <v/>
      </c>
      <c r="AM1862" s="175">
        <f>ROUND(AJ1862*(1+IF(offer_incoterms="DDP",IF((TODAY()+offer_turnaround_time)&gt;=helpsheet!$L$17,rate_vatRU_from_26,rate_vatRu_till_25),0)),2)</f>
        <v/>
      </c>
      <c r="AN1862" s="192">
        <f>AL1862-AK1862</f>
        <v/>
      </c>
      <c r="AO1862" s="76">
        <f>SUM(AY1862,Y1862:Z1862,T1862)*IF(AND(offer_incoterms="DDP",offer_sale_type&lt;&gt;"экспорт"),IF((TODAY()+offer_turnaround_time)&gt;=helpsheet!$L$17,rate_vatRU_from_26,rate_vatRu_till_25),0)</f>
        <v/>
      </c>
      <c r="AP1862" s="193">
        <f>AN1862-AO1862</f>
        <v/>
      </c>
      <c r="AQ1862" s="118">
        <f>IF(offer_sale_type="транзит",SUM(AF1862:AI1862,BA1862,BB1862),0)</f>
        <v/>
      </c>
      <c r="AR1862" s="82">
        <f>HYPERLINK("https://www.alta.ru/tnved/code/")&amp;W1862&amp;"/"</f>
        <v/>
      </c>
      <c r="AS1862" s="157" t="n"/>
      <c r="AT1862" s="162" t="n"/>
      <c r="AU1862" s="76">
        <f>IF(ISBLANK(AT1862),0,AJ1862-AT1862)</f>
        <v/>
      </c>
      <c r="AV1862" s="157" t="n"/>
      <c r="AW1862" s="75">
        <f>_xlfn.IFNA(VLOOKUP(L1862,list_vat[],3,FALSE),0)</f>
        <v/>
      </c>
      <c r="AX1862" s="76">
        <f>IFERROR(ROUND(S1862*(1+AW1862)/E1862,2),0)</f>
        <v/>
      </c>
      <c r="AY1862" s="76">
        <f>E1862*AX1862</f>
        <v/>
      </c>
      <c r="AZ1862" s="192">
        <f>S1862*(1+M1862)</f>
        <v/>
      </c>
      <c r="BA1862" s="76">
        <f>cost_fin_total*$BD1862</f>
        <v/>
      </c>
      <c r="BB1862" s="193">
        <f>credit_sales_interest*BD1862</f>
        <v/>
      </c>
      <c r="BC1862" s="102">
        <f>IFERROR(IF($I$13&gt;0,$I1862/$I$13,$S1862/$S$13),0)</f>
        <v/>
      </c>
      <c r="BD1862" s="102">
        <f>IFERROR($S1862/$S$13,0)</f>
        <v/>
      </c>
      <c r="BE1862" s="413" t="inlineStr">
        <is>
          <t>$</t>
        </is>
      </c>
    </row>
    <row r="1863" ht="12" customFormat="1" customHeight="1" s="65">
      <c r="A1863" s="43" t="n">
        <v>1848</v>
      </c>
      <c r="B1863" s="166" t="n"/>
      <c r="C1863" s="166" t="n"/>
      <c r="D1863" s="166" t="n"/>
      <c r="E1863" s="162" t="n"/>
      <c r="F1863" s="166" t="n"/>
      <c r="G1863" s="162" t="n"/>
      <c r="H1863" s="162" t="n"/>
      <c r="I1863" s="189">
        <f>E1863*G1863</f>
        <v/>
      </c>
      <c r="J1863" s="195" t="n"/>
      <c r="K1863" s="162" t="n"/>
      <c r="L1863" s="168" t="n"/>
      <c r="M1863" s="75">
        <f>_xlfn.XLOOKUP(L1863,list_vat[Страна],list_vat[Ставка НДС %],0,0)</f>
        <v/>
      </c>
      <c r="N1863" s="162">
        <f>IFERROR(IF(L1863="Китай",K1863,K1863/(1+M1863)),0)</f>
        <v/>
      </c>
      <c r="O1863" s="169" t="n"/>
      <c r="P1863" s="76">
        <f>N1863*(1-O1863)</f>
        <v/>
      </c>
      <c r="Q1863" s="162" t="n"/>
      <c r="R1863" s="162">
        <f>IF(ISBLANK(Q1863),"введи курс",P1863/Q1863)</f>
        <v/>
      </c>
      <c r="S1863" s="196">
        <f>IF(AND(ISNUMBER(E1863),ISNUMBER(Q1863)),E1863*R1863,0)</f>
        <v/>
      </c>
      <c r="T1863" s="192">
        <f>$BC1863*V$11</f>
        <v/>
      </c>
      <c r="U1863" s="76">
        <f>$BC1863*W$11</f>
        <v/>
      </c>
      <c r="V1863" s="193">
        <f>+SUM(T1863:U1863)</f>
        <v/>
      </c>
      <c r="W1863" s="191" t="n"/>
      <c r="X1863" s="170" t="n"/>
      <c r="Y1863" s="76">
        <f>ROUND(IF(offer_incoterms="DDP",X1863*(S1863*(1+AW1863)+T1863),0),2)</f>
        <v/>
      </c>
      <c r="Z1863" s="188" t="n"/>
      <c r="AA1863" s="192">
        <f>IFERROR(AB1863/E1863,0)</f>
        <v/>
      </c>
      <c r="AB1863" s="76">
        <f>ROUND(SUM(S1863,V1863,Y1863:Z1863,BA1863:BB1863),2)</f>
        <v/>
      </c>
      <c r="AC1863" s="797" t="n"/>
      <c r="AD1863" s="192">
        <f t="array" ref="AD1863">IFERROR(ROUND((_xlfn.IFS(offer_sale_type="поставка",AB1863,offer_sale_type="транзит",S1863)*(1+AC1863))/E1863,2),0)</f>
        <v/>
      </c>
      <c r="AE1863" s="76">
        <f>AD1863*E1863</f>
        <v/>
      </c>
      <c r="AF1863" s="193">
        <f t="array" ref="AF1863">IFERROR(ROUND(_xlfn.IFS(offer_sale_type="поставка",AB1863,offer_sale_type="транзит",S1863)*AC1863,2),0)</f>
        <v/>
      </c>
      <c r="AG1863" s="192">
        <f>$BD1863*VLOOKUP($AG$3,$AF$4:$AG$7,2,FALSE)</f>
        <v/>
      </c>
      <c r="AH1863" s="76">
        <f>SUM(AE1863,AG1863,AI1863)*rate_forex_risk</f>
        <v/>
      </c>
      <c r="AI1863" s="193">
        <f>IF(OR(seller_region="TR",offer_sale_type="экспорт"),0,rate_fin_comm)*SUM(AZ1863,AZ1863*AW1863,T1863)</f>
        <v/>
      </c>
      <c r="AJ1863" s="118">
        <f>IFERROR(ROUND(SUM(AB1863,AF1863:AI1863)/E1863,2),0)</f>
        <v/>
      </c>
      <c r="AK1863" s="76">
        <f>AJ1863*E1863</f>
        <v/>
      </c>
      <c r="AL1863" s="174">
        <f>ROUND(IFERROR(AM1863*E1863,0),2)</f>
        <v/>
      </c>
      <c r="AM1863" s="175">
        <f>ROUND(AJ1863*(1+IF(offer_incoterms="DDP",IF((TODAY()+offer_turnaround_time)&gt;=helpsheet!$L$17,rate_vatRU_from_26,rate_vatRu_till_25),0)),2)</f>
        <v/>
      </c>
      <c r="AN1863" s="192">
        <f>AL1863-AK1863</f>
        <v/>
      </c>
      <c r="AO1863" s="76">
        <f>SUM(AY1863,Y1863:Z1863,T1863)*IF(AND(offer_incoterms="DDP",offer_sale_type&lt;&gt;"экспорт"),IF((TODAY()+offer_turnaround_time)&gt;=helpsheet!$L$17,rate_vatRU_from_26,rate_vatRu_till_25),0)</f>
        <v/>
      </c>
      <c r="AP1863" s="193">
        <f>AN1863-AO1863</f>
        <v/>
      </c>
      <c r="AQ1863" s="118">
        <f>IF(offer_sale_type="транзит",SUM(AF1863:AI1863,BA1863,BB1863),0)</f>
        <v/>
      </c>
      <c r="AR1863" s="82">
        <f>HYPERLINK("https://www.alta.ru/tnved/code/")&amp;W1863&amp;"/"</f>
        <v/>
      </c>
      <c r="AS1863" s="157" t="n"/>
      <c r="AT1863" s="162" t="n"/>
      <c r="AU1863" s="76">
        <f>IF(ISBLANK(AT1863),0,AJ1863-AT1863)</f>
        <v/>
      </c>
      <c r="AV1863" s="157" t="n"/>
      <c r="AW1863" s="75">
        <f>_xlfn.IFNA(VLOOKUP(L1863,list_vat[],3,FALSE),0)</f>
        <v/>
      </c>
      <c r="AX1863" s="76">
        <f>IFERROR(ROUND(S1863*(1+AW1863)/E1863,2),0)</f>
        <v/>
      </c>
      <c r="AY1863" s="76">
        <f>E1863*AX1863</f>
        <v/>
      </c>
      <c r="AZ1863" s="192">
        <f>S1863*(1+M1863)</f>
        <v/>
      </c>
      <c r="BA1863" s="76">
        <f>cost_fin_total*$BD1863</f>
        <v/>
      </c>
      <c r="BB1863" s="193">
        <f>credit_sales_interest*BD1863</f>
        <v/>
      </c>
      <c r="BC1863" s="102">
        <f>IFERROR(IF($I$13&gt;0,$I1863/$I$13,$S1863/$S$13),0)</f>
        <v/>
      </c>
      <c r="BD1863" s="102">
        <f>IFERROR($S1863/$S$13,0)</f>
        <v/>
      </c>
      <c r="BE1863" s="413" t="inlineStr">
        <is>
          <t>$</t>
        </is>
      </c>
    </row>
    <row r="1864" ht="12" customFormat="1" customHeight="1" s="65">
      <c r="A1864" s="43" t="n">
        <v>1849</v>
      </c>
      <c r="B1864" s="166" t="n"/>
      <c r="C1864" s="166" t="n"/>
      <c r="D1864" s="166" t="n"/>
      <c r="E1864" s="162" t="n"/>
      <c r="F1864" s="166" t="n"/>
      <c r="G1864" s="162" t="n"/>
      <c r="H1864" s="162" t="n"/>
      <c r="I1864" s="189">
        <f>E1864*G1864</f>
        <v/>
      </c>
      <c r="J1864" s="195" t="n"/>
      <c r="K1864" s="162" t="n"/>
      <c r="L1864" s="168" t="n"/>
      <c r="M1864" s="75">
        <f>_xlfn.XLOOKUP(L1864,list_vat[Страна],list_vat[Ставка НДС %],0,0)</f>
        <v/>
      </c>
      <c r="N1864" s="162">
        <f>IFERROR(IF(L1864="Китай",K1864,K1864/(1+M1864)),0)</f>
        <v/>
      </c>
      <c r="O1864" s="169" t="n"/>
      <c r="P1864" s="76">
        <f>N1864*(1-O1864)</f>
        <v/>
      </c>
      <c r="Q1864" s="162" t="n"/>
      <c r="R1864" s="162">
        <f>IF(ISBLANK(Q1864),"введи курс",P1864/Q1864)</f>
        <v/>
      </c>
      <c r="S1864" s="196">
        <f>IF(AND(ISNUMBER(E1864),ISNUMBER(Q1864)),E1864*R1864,0)</f>
        <v/>
      </c>
      <c r="T1864" s="192">
        <f>$BC1864*V$11</f>
        <v/>
      </c>
      <c r="U1864" s="76">
        <f>$BC1864*W$11</f>
        <v/>
      </c>
      <c r="V1864" s="193">
        <f>+SUM(T1864:U1864)</f>
        <v/>
      </c>
      <c r="W1864" s="191" t="n"/>
      <c r="X1864" s="170" t="n"/>
      <c r="Y1864" s="76">
        <f>ROUND(IF(offer_incoterms="DDP",X1864*(S1864*(1+AW1864)+T1864),0),2)</f>
        <v/>
      </c>
      <c r="Z1864" s="188" t="n"/>
      <c r="AA1864" s="192">
        <f>IFERROR(AB1864/E1864,0)</f>
        <v/>
      </c>
      <c r="AB1864" s="76">
        <f>ROUND(SUM(S1864,V1864,Y1864:Z1864,BA1864:BB1864),2)</f>
        <v/>
      </c>
      <c r="AC1864" s="797" t="n"/>
      <c r="AD1864" s="192">
        <f t="array" ref="AD1864">IFERROR(ROUND((_xlfn.IFS(offer_sale_type="поставка",AB1864,offer_sale_type="транзит",S1864)*(1+AC1864))/E1864,2),0)</f>
        <v/>
      </c>
      <c r="AE1864" s="76">
        <f>AD1864*E1864</f>
        <v/>
      </c>
      <c r="AF1864" s="193">
        <f t="array" ref="AF1864">IFERROR(ROUND(_xlfn.IFS(offer_sale_type="поставка",AB1864,offer_sale_type="транзит",S1864)*AC1864,2),0)</f>
        <v/>
      </c>
      <c r="AG1864" s="192">
        <f>$BD1864*VLOOKUP($AG$3,$AF$4:$AG$7,2,FALSE)</f>
        <v/>
      </c>
      <c r="AH1864" s="76">
        <f>SUM(AE1864,AG1864,AI1864)*rate_forex_risk</f>
        <v/>
      </c>
      <c r="AI1864" s="193">
        <f>IF(OR(seller_region="TR",offer_sale_type="экспорт"),0,rate_fin_comm)*SUM(AZ1864,AZ1864*AW1864,T1864)</f>
        <v/>
      </c>
      <c r="AJ1864" s="118">
        <f>IFERROR(ROUND(SUM(AB1864,AF1864:AI1864)/E1864,2),0)</f>
        <v/>
      </c>
      <c r="AK1864" s="76">
        <f>AJ1864*E1864</f>
        <v/>
      </c>
      <c r="AL1864" s="174">
        <f>ROUND(IFERROR(AM1864*E1864,0),2)</f>
        <v/>
      </c>
      <c r="AM1864" s="175">
        <f>ROUND(AJ1864*(1+IF(offer_incoterms="DDP",IF((TODAY()+offer_turnaround_time)&gt;=helpsheet!$L$17,rate_vatRU_from_26,rate_vatRu_till_25),0)),2)</f>
        <v/>
      </c>
      <c r="AN1864" s="192">
        <f>AL1864-AK1864</f>
        <v/>
      </c>
      <c r="AO1864" s="76">
        <f>SUM(AY1864,Y1864:Z1864,T1864)*IF(AND(offer_incoterms="DDP",offer_sale_type&lt;&gt;"экспорт"),IF((TODAY()+offer_turnaround_time)&gt;=helpsheet!$L$17,rate_vatRU_from_26,rate_vatRu_till_25),0)</f>
        <v/>
      </c>
      <c r="AP1864" s="193">
        <f>AN1864-AO1864</f>
        <v/>
      </c>
      <c r="AQ1864" s="118">
        <f>IF(offer_sale_type="транзит",SUM(AF1864:AI1864,BA1864,BB1864),0)</f>
        <v/>
      </c>
      <c r="AR1864" s="82">
        <f>HYPERLINK("https://www.alta.ru/tnved/code/")&amp;W1864&amp;"/"</f>
        <v/>
      </c>
      <c r="AS1864" s="157" t="n"/>
      <c r="AT1864" s="162" t="n"/>
      <c r="AU1864" s="76">
        <f>IF(ISBLANK(AT1864),0,AJ1864-AT1864)</f>
        <v/>
      </c>
      <c r="AV1864" s="157" t="n"/>
      <c r="AW1864" s="75">
        <f>_xlfn.IFNA(VLOOKUP(L1864,list_vat[],3,FALSE),0)</f>
        <v/>
      </c>
      <c r="AX1864" s="76">
        <f>IFERROR(ROUND(S1864*(1+AW1864)/E1864,2),0)</f>
        <v/>
      </c>
      <c r="AY1864" s="76">
        <f>E1864*AX1864</f>
        <v/>
      </c>
      <c r="AZ1864" s="192">
        <f>S1864*(1+M1864)</f>
        <v/>
      </c>
      <c r="BA1864" s="76">
        <f>cost_fin_total*$BD1864</f>
        <v/>
      </c>
      <c r="BB1864" s="193">
        <f>credit_sales_interest*BD1864</f>
        <v/>
      </c>
      <c r="BC1864" s="102">
        <f>IFERROR(IF($I$13&gt;0,$I1864/$I$13,$S1864/$S$13),0)</f>
        <v/>
      </c>
      <c r="BD1864" s="102">
        <f>IFERROR($S1864/$S$13,0)</f>
        <v/>
      </c>
      <c r="BE1864" s="413" t="inlineStr">
        <is>
          <t>$</t>
        </is>
      </c>
    </row>
    <row r="1865" ht="12" customFormat="1" customHeight="1" s="65">
      <c r="A1865" s="43" t="n">
        <v>1850</v>
      </c>
      <c r="B1865" s="166" t="n"/>
      <c r="C1865" s="166" t="n"/>
      <c r="D1865" s="166" t="n"/>
      <c r="E1865" s="162" t="n"/>
      <c r="F1865" s="166" t="n"/>
      <c r="G1865" s="162" t="n"/>
      <c r="H1865" s="162" t="n"/>
      <c r="I1865" s="189">
        <f>E1865*G1865</f>
        <v/>
      </c>
      <c r="J1865" s="195" t="n"/>
      <c r="K1865" s="162" t="n"/>
      <c r="L1865" s="168" t="n"/>
      <c r="M1865" s="75">
        <f>_xlfn.XLOOKUP(L1865,list_vat[Страна],list_vat[Ставка НДС %],0,0)</f>
        <v/>
      </c>
      <c r="N1865" s="162">
        <f>IFERROR(IF(L1865="Китай",K1865,K1865/(1+M1865)),0)</f>
        <v/>
      </c>
      <c r="O1865" s="169" t="n"/>
      <c r="P1865" s="76">
        <f>N1865*(1-O1865)</f>
        <v/>
      </c>
      <c r="Q1865" s="162" t="n"/>
      <c r="R1865" s="162">
        <f>IF(ISBLANK(Q1865),"введи курс",P1865/Q1865)</f>
        <v/>
      </c>
      <c r="S1865" s="196">
        <f>IF(AND(ISNUMBER(E1865),ISNUMBER(Q1865)),E1865*R1865,0)</f>
        <v/>
      </c>
      <c r="T1865" s="192">
        <f>$BC1865*V$11</f>
        <v/>
      </c>
      <c r="U1865" s="76">
        <f>$BC1865*W$11</f>
        <v/>
      </c>
      <c r="V1865" s="193">
        <f>+SUM(T1865:U1865)</f>
        <v/>
      </c>
      <c r="W1865" s="191" t="n"/>
      <c r="X1865" s="170" t="n"/>
      <c r="Y1865" s="76">
        <f>ROUND(IF(offer_incoterms="DDP",X1865*(S1865*(1+AW1865)+T1865),0),2)</f>
        <v/>
      </c>
      <c r="Z1865" s="188" t="n"/>
      <c r="AA1865" s="192">
        <f>IFERROR(AB1865/E1865,0)</f>
        <v/>
      </c>
      <c r="AB1865" s="76">
        <f>ROUND(SUM(S1865,V1865,Y1865:Z1865,BA1865:BB1865),2)</f>
        <v/>
      </c>
      <c r="AC1865" s="797" t="n"/>
      <c r="AD1865" s="192">
        <f t="array" ref="AD1865">IFERROR(ROUND((_xlfn.IFS(offer_sale_type="поставка",AB1865,offer_sale_type="транзит",S1865)*(1+AC1865))/E1865,2),0)</f>
        <v/>
      </c>
      <c r="AE1865" s="76">
        <f>AD1865*E1865</f>
        <v/>
      </c>
      <c r="AF1865" s="193">
        <f t="array" ref="AF1865">IFERROR(ROUND(_xlfn.IFS(offer_sale_type="поставка",AB1865,offer_sale_type="транзит",S1865)*AC1865,2),0)</f>
        <v/>
      </c>
      <c r="AG1865" s="192">
        <f>$BD1865*VLOOKUP($AG$3,$AF$4:$AG$7,2,FALSE)</f>
        <v/>
      </c>
      <c r="AH1865" s="76">
        <f>SUM(AE1865,AG1865,AI1865)*rate_forex_risk</f>
        <v/>
      </c>
      <c r="AI1865" s="193">
        <f>IF(OR(seller_region="TR",offer_sale_type="экспорт"),0,rate_fin_comm)*SUM(AZ1865,AZ1865*AW1865,T1865)</f>
        <v/>
      </c>
      <c r="AJ1865" s="118">
        <f>IFERROR(ROUND(SUM(AB1865,AF1865:AI1865)/E1865,2),0)</f>
        <v/>
      </c>
      <c r="AK1865" s="76">
        <f>AJ1865*E1865</f>
        <v/>
      </c>
      <c r="AL1865" s="174">
        <f>ROUND(IFERROR(AM1865*E1865,0),2)</f>
        <v/>
      </c>
      <c r="AM1865" s="175">
        <f>ROUND(AJ1865*(1+IF(offer_incoterms="DDP",IF((TODAY()+offer_turnaround_time)&gt;=helpsheet!$L$17,rate_vatRU_from_26,rate_vatRu_till_25),0)),2)</f>
        <v/>
      </c>
      <c r="AN1865" s="192">
        <f>AL1865-AK1865</f>
        <v/>
      </c>
      <c r="AO1865" s="76">
        <f>SUM(AY1865,Y1865:Z1865,T1865)*IF(AND(offer_incoterms="DDP",offer_sale_type&lt;&gt;"экспорт"),IF((TODAY()+offer_turnaround_time)&gt;=helpsheet!$L$17,rate_vatRU_from_26,rate_vatRu_till_25),0)</f>
        <v/>
      </c>
      <c r="AP1865" s="193">
        <f>AN1865-AO1865</f>
        <v/>
      </c>
      <c r="AQ1865" s="118">
        <f>IF(offer_sale_type="транзит",SUM(AF1865:AI1865,BA1865,BB1865),0)</f>
        <v/>
      </c>
      <c r="AR1865" s="82">
        <f>HYPERLINK("https://www.alta.ru/tnved/code/")&amp;W1865&amp;"/"</f>
        <v/>
      </c>
      <c r="AS1865" s="157" t="n"/>
      <c r="AT1865" s="162" t="n"/>
      <c r="AU1865" s="76">
        <f>IF(ISBLANK(AT1865),0,AJ1865-AT1865)</f>
        <v/>
      </c>
      <c r="AV1865" s="157" t="n"/>
      <c r="AW1865" s="75">
        <f>_xlfn.IFNA(VLOOKUP(L1865,list_vat[],3,FALSE),0)</f>
        <v/>
      </c>
      <c r="AX1865" s="76">
        <f>IFERROR(ROUND(S1865*(1+AW1865)/E1865,2),0)</f>
        <v/>
      </c>
      <c r="AY1865" s="76">
        <f>E1865*AX1865</f>
        <v/>
      </c>
      <c r="AZ1865" s="192">
        <f>S1865*(1+M1865)</f>
        <v/>
      </c>
      <c r="BA1865" s="76">
        <f>cost_fin_total*$BD1865</f>
        <v/>
      </c>
      <c r="BB1865" s="193">
        <f>credit_sales_interest*BD1865</f>
        <v/>
      </c>
      <c r="BC1865" s="102">
        <f>IFERROR(IF($I$13&gt;0,$I1865/$I$13,$S1865/$S$13),0)</f>
        <v/>
      </c>
      <c r="BD1865" s="102">
        <f>IFERROR($S1865/$S$13,0)</f>
        <v/>
      </c>
      <c r="BE1865" s="413" t="inlineStr">
        <is>
          <t>$</t>
        </is>
      </c>
    </row>
    <row r="1866" ht="12" customFormat="1" customHeight="1" s="65">
      <c r="A1866" s="43" t="n">
        <v>1851</v>
      </c>
      <c r="B1866" s="166" t="n"/>
      <c r="C1866" s="166" t="n"/>
      <c r="D1866" s="166" t="n"/>
      <c r="E1866" s="162" t="n"/>
      <c r="F1866" s="166" t="n"/>
      <c r="G1866" s="162" t="n"/>
      <c r="H1866" s="162" t="n"/>
      <c r="I1866" s="189">
        <f>E1866*G1866</f>
        <v/>
      </c>
      <c r="J1866" s="195" t="n"/>
      <c r="K1866" s="162" t="n"/>
      <c r="L1866" s="168" t="n"/>
      <c r="M1866" s="75">
        <f>_xlfn.XLOOKUP(L1866,list_vat[Страна],list_vat[Ставка НДС %],0,0)</f>
        <v/>
      </c>
      <c r="N1866" s="162">
        <f>IFERROR(IF(L1866="Китай",K1866,K1866/(1+M1866)),0)</f>
        <v/>
      </c>
      <c r="O1866" s="169" t="n"/>
      <c r="P1866" s="76">
        <f>N1866*(1-O1866)</f>
        <v/>
      </c>
      <c r="Q1866" s="162" t="n"/>
      <c r="R1866" s="162">
        <f>IF(ISBLANK(Q1866),"введи курс",P1866/Q1866)</f>
        <v/>
      </c>
      <c r="S1866" s="196">
        <f>IF(AND(ISNUMBER(E1866),ISNUMBER(Q1866)),E1866*R1866,0)</f>
        <v/>
      </c>
      <c r="T1866" s="192">
        <f>$BC1866*V$11</f>
        <v/>
      </c>
      <c r="U1866" s="76">
        <f>$BC1866*W$11</f>
        <v/>
      </c>
      <c r="V1866" s="193">
        <f>+SUM(T1866:U1866)</f>
        <v/>
      </c>
      <c r="W1866" s="191" t="n"/>
      <c r="X1866" s="170" t="n"/>
      <c r="Y1866" s="76">
        <f>ROUND(IF(offer_incoterms="DDP",X1866*(S1866*(1+AW1866)+T1866),0),2)</f>
        <v/>
      </c>
      <c r="Z1866" s="188" t="n"/>
      <c r="AA1866" s="192">
        <f>IFERROR(AB1866/E1866,0)</f>
        <v/>
      </c>
      <c r="AB1866" s="76">
        <f>ROUND(SUM(S1866,V1866,Y1866:Z1866,BA1866:BB1866),2)</f>
        <v/>
      </c>
      <c r="AC1866" s="797" t="n"/>
      <c r="AD1866" s="192">
        <f t="array" ref="AD1866">IFERROR(ROUND((_xlfn.IFS(offer_sale_type="поставка",AB1866,offer_sale_type="транзит",S1866)*(1+AC1866))/E1866,2),0)</f>
        <v/>
      </c>
      <c r="AE1866" s="76">
        <f>AD1866*E1866</f>
        <v/>
      </c>
      <c r="AF1866" s="193">
        <f t="array" ref="AF1866">IFERROR(ROUND(_xlfn.IFS(offer_sale_type="поставка",AB1866,offer_sale_type="транзит",S1866)*AC1866,2),0)</f>
        <v/>
      </c>
      <c r="AG1866" s="192">
        <f>$BD1866*VLOOKUP($AG$3,$AF$4:$AG$7,2,FALSE)</f>
        <v/>
      </c>
      <c r="AH1866" s="76">
        <f>SUM(AE1866,AG1866,AI1866)*rate_forex_risk</f>
        <v/>
      </c>
      <c r="AI1866" s="193">
        <f>IF(OR(seller_region="TR",offer_sale_type="экспорт"),0,rate_fin_comm)*SUM(AZ1866,AZ1866*AW1866,T1866)</f>
        <v/>
      </c>
      <c r="AJ1866" s="118">
        <f>IFERROR(ROUND(SUM(AB1866,AF1866:AI1866)/E1866,2),0)</f>
        <v/>
      </c>
      <c r="AK1866" s="76">
        <f>AJ1866*E1866</f>
        <v/>
      </c>
      <c r="AL1866" s="174">
        <f>ROUND(IFERROR(AM1866*E1866,0),2)</f>
        <v/>
      </c>
      <c r="AM1866" s="175">
        <f>ROUND(AJ1866*(1+IF(offer_incoterms="DDP",IF((TODAY()+offer_turnaround_time)&gt;=helpsheet!$L$17,rate_vatRU_from_26,rate_vatRu_till_25),0)),2)</f>
        <v/>
      </c>
      <c r="AN1866" s="192">
        <f>AL1866-AK1866</f>
        <v/>
      </c>
      <c r="AO1866" s="76">
        <f>SUM(AY1866,Y1866:Z1866,T1866)*IF(AND(offer_incoterms="DDP",offer_sale_type&lt;&gt;"экспорт"),IF((TODAY()+offer_turnaround_time)&gt;=helpsheet!$L$17,rate_vatRU_from_26,rate_vatRu_till_25),0)</f>
        <v/>
      </c>
      <c r="AP1866" s="193">
        <f>AN1866-AO1866</f>
        <v/>
      </c>
      <c r="AQ1866" s="118">
        <f>IF(offer_sale_type="транзит",SUM(AF1866:AI1866,BA1866,BB1866),0)</f>
        <v/>
      </c>
      <c r="AR1866" s="82">
        <f>HYPERLINK("https://www.alta.ru/tnved/code/")&amp;W1866&amp;"/"</f>
        <v/>
      </c>
      <c r="AS1866" s="157" t="n"/>
      <c r="AT1866" s="162" t="n"/>
      <c r="AU1866" s="76">
        <f>IF(ISBLANK(AT1866),0,AJ1866-AT1866)</f>
        <v/>
      </c>
      <c r="AV1866" s="157" t="n"/>
      <c r="AW1866" s="75">
        <f>_xlfn.IFNA(VLOOKUP(L1866,list_vat[],3,FALSE),0)</f>
        <v/>
      </c>
      <c r="AX1866" s="76">
        <f>IFERROR(ROUND(S1866*(1+AW1866)/E1866,2),0)</f>
        <v/>
      </c>
      <c r="AY1866" s="76">
        <f>E1866*AX1866</f>
        <v/>
      </c>
      <c r="AZ1866" s="192">
        <f>S1866*(1+M1866)</f>
        <v/>
      </c>
      <c r="BA1866" s="76">
        <f>cost_fin_total*$BD1866</f>
        <v/>
      </c>
      <c r="BB1866" s="193">
        <f>credit_sales_interest*BD1866</f>
        <v/>
      </c>
      <c r="BC1866" s="102">
        <f>IFERROR(IF($I$13&gt;0,$I1866/$I$13,$S1866/$S$13),0)</f>
        <v/>
      </c>
      <c r="BD1866" s="102">
        <f>IFERROR($S1866/$S$13,0)</f>
        <v/>
      </c>
      <c r="BE1866" s="413" t="inlineStr">
        <is>
          <t>$</t>
        </is>
      </c>
    </row>
    <row r="1867" ht="12" customFormat="1" customHeight="1" s="65">
      <c r="A1867" s="43" t="n">
        <v>1852</v>
      </c>
      <c r="B1867" s="166" t="n"/>
      <c r="C1867" s="166" t="n"/>
      <c r="D1867" s="166" t="n"/>
      <c r="E1867" s="162" t="n"/>
      <c r="F1867" s="166" t="n"/>
      <c r="G1867" s="162" t="n"/>
      <c r="H1867" s="162" t="n"/>
      <c r="I1867" s="189">
        <f>E1867*G1867</f>
        <v/>
      </c>
      <c r="J1867" s="195" t="n"/>
      <c r="K1867" s="162" t="n"/>
      <c r="L1867" s="168" t="n"/>
      <c r="M1867" s="75">
        <f>_xlfn.XLOOKUP(L1867,list_vat[Страна],list_vat[Ставка НДС %],0,0)</f>
        <v/>
      </c>
      <c r="N1867" s="162">
        <f>IFERROR(IF(L1867="Китай",K1867,K1867/(1+M1867)),0)</f>
        <v/>
      </c>
      <c r="O1867" s="169" t="n"/>
      <c r="P1867" s="76">
        <f>N1867*(1-O1867)</f>
        <v/>
      </c>
      <c r="Q1867" s="162" t="n"/>
      <c r="R1867" s="162">
        <f>IF(ISBLANK(Q1867),"введи курс",P1867/Q1867)</f>
        <v/>
      </c>
      <c r="S1867" s="196">
        <f>IF(AND(ISNUMBER(E1867),ISNUMBER(Q1867)),E1867*R1867,0)</f>
        <v/>
      </c>
      <c r="T1867" s="192">
        <f>$BC1867*V$11</f>
        <v/>
      </c>
      <c r="U1867" s="76">
        <f>$BC1867*W$11</f>
        <v/>
      </c>
      <c r="V1867" s="193">
        <f>+SUM(T1867:U1867)</f>
        <v/>
      </c>
      <c r="W1867" s="191" t="n"/>
      <c r="X1867" s="170" t="n"/>
      <c r="Y1867" s="76">
        <f>ROUND(IF(offer_incoterms="DDP",X1867*(S1867*(1+AW1867)+T1867),0),2)</f>
        <v/>
      </c>
      <c r="Z1867" s="188" t="n"/>
      <c r="AA1867" s="192">
        <f>IFERROR(AB1867/E1867,0)</f>
        <v/>
      </c>
      <c r="AB1867" s="76">
        <f>ROUND(SUM(S1867,V1867,Y1867:Z1867,BA1867:BB1867),2)</f>
        <v/>
      </c>
      <c r="AC1867" s="797" t="n"/>
      <c r="AD1867" s="192">
        <f t="array" ref="AD1867">IFERROR(ROUND((_xlfn.IFS(offer_sale_type="поставка",AB1867,offer_sale_type="транзит",S1867)*(1+AC1867))/E1867,2),0)</f>
        <v/>
      </c>
      <c r="AE1867" s="76">
        <f>AD1867*E1867</f>
        <v/>
      </c>
      <c r="AF1867" s="193">
        <f t="array" ref="AF1867">IFERROR(ROUND(_xlfn.IFS(offer_sale_type="поставка",AB1867,offer_sale_type="транзит",S1867)*AC1867,2),0)</f>
        <v/>
      </c>
      <c r="AG1867" s="192">
        <f>$BD1867*VLOOKUP($AG$3,$AF$4:$AG$7,2,FALSE)</f>
        <v/>
      </c>
      <c r="AH1867" s="76">
        <f>SUM(AE1867,AG1867,AI1867)*rate_forex_risk</f>
        <v/>
      </c>
      <c r="AI1867" s="193">
        <f>IF(OR(seller_region="TR",offer_sale_type="экспорт"),0,rate_fin_comm)*SUM(AZ1867,AZ1867*AW1867,T1867)</f>
        <v/>
      </c>
      <c r="AJ1867" s="118">
        <f>IFERROR(ROUND(SUM(AB1867,AF1867:AI1867)/E1867,2),0)</f>
        <v/>
      </c>
      <c r="AK1867" s="76">
        <f>AJ1867*E1867</f>
        <v/>
      </c>
      <c r="AL1867" s="174">
        <f>ROUND(IFERROR(AM1867*E1867,0),2)</f>
        <v/>
      </c>
      <c r="AM1867" s="175">
        <f>ROUND(AJ1867*(1+IF(offer_incoterms="DDP",IF((TODAY()+offer_turnaround_time)&gt;=helpsheet!$L$17,rate_vatRU_from_26,rate_vatRu_till_25),0)),2)</f>
        <v/>
      </c>
      <c r="AN1867" s="192">
        <f>AL1867-AK1867</f>
        <v/>
      </c>
      <c r="AO1867" s="76">
        <f>SUM(AY1867,Y1867:Z1867,T1867)*IF(AND(offer_incoterms="DDP",offer_sale_type&lt;&gt;"экспорт"),IF((TODAY()+offer_turnaround_time)&gt;=helpsheet!$L$17,rate_vatRU_from_26,rate_vatRu_till_25),0)</f>
        <v/>
      </c>
      <c r="AP1867" s="193">
        <f>AN1867-AO1867</f>
        <v/>
      </c>
      <c r="AQ1867" s="118">
        <f>IF(offer_sale_type="транзит",SUM(AF1867:AI1867,BA1867,BB1867),0)</f>
        <v/>
      </c>
      <c r="AR1867" s="82">
        <f>HYPERLINK("https://www.alta.ru/tnved/code/")&amp;W1867&amp;"/"</f>
        <v/>
      </c>
      <c r="AS1867" s="157" t="n"/>
      <c r="AT1867" s="162" t="n"/>
      <c r="AU1867" s="76">
        <f>IF(ISBLANK(AT1867),0,AJ1867-AT1867)</f>
        <v/>
      </c>
      <c r="AV1867" s="157" t="n"/>
      <c r="AW1867" s="75">
        <f>_xlfn.IFNA(VLOOKUP(L1867,list_vat[],3,FALSE),0)</f>
        <v/>
      </c>
      <c r="AX1867" s="76">
        <f>IFERROR(ROUND(S1867*(1+AW1867)/E1867,2),0)</f>
        <v/>
      </c>
      <c r="AY1867" s="76">
        <f>E1867*AX1867</f>
        <v/>
      </c>
      <c r="AZ1867" s="192">
        <f>S1867*(1+M1867)</f>
        <v/>
      </c>
      <c r="BA1867" s="76">
        <f>cost_fin_total*$BD1867</f>
        <v/>
      </c>
      <c r="BB1867" s="193">
        <f>credit_sales_interest*BD1867</f>
        <v/>
      </c>
      <c r="BC1867" s="102">
        <f>IFERROR(IF($I$13&gt;0,$I1867/$I$13,$S1867/$S$13),0)</f>
        <v/>
      </c>
      <c r="BD1867" s="102">
        <f>IFERROR($S1867/$S$13,0)</f>
        <v/>
      </c>
      <c r="BE1867" s="413" t="inlineStr">
        <is>
          <t>$</t>
        </is>
      </c>
    </row>
    <row r="1868" ht="12" customFormat="1" customHeight="1" s="65">
      <c r="A1868" s="43" t="n">
        <v>1853</v>
      </c>
      <c r="B1868" s="166" t="n"/>
      <c r="C1868" s="166" t="n"/>
      <c r="D1868" s="166" t="n"/>
      <c r="E1868" s="162" t="n"/>
      <c r="F1868" s="166" t="n"/>
      <c r="G1868" s="162" t="n"/>
      <c r="H1868" s="162" t="n"/>
      <c r="I1868" s="189">
        <f>E1868*G1868</f>
        <v/>
      </c>
      <c r="J1868" s="195" t="n"/>
      <c r="K1868" s="162" t="n"/>
      <c r="L1868" s="168" t="n"/>
      <c r="M1868" s="75">
        <f>_xlfn.XLOOKUP(L1868,list_vat[Страна],list_vat[Ставка НДС %],0,0)</f>
        <v/>
      </c>
      <c r="N1868" s="162">
        <f>IFERROR(IF(L1868="Китай",K1868,K1868/(1+M1868)),0)</f>
        <v/>
      </c>
      <c r="O1868" s="169" t="n"/>
      <c r="P1868" s="76">
        <f>N1868*(1-O1868)</f>
        <v/>
      </c>
      <c r="Q1868" s="162" t="n"/>
      <c r="R1868" s="162">
        <f>IF(ISBLANK(Q1868),"введи курс",P1868/Q1868)</f>
        <v/>
      </c>
      <c r="S1868" s="196">
        <f>IF(AND(ISNUMBER(E1868),ISNUMBER(Q1868)),E1868*R1868,0)</f>
        <v/>
      </c>
      <c r="T1868" s="192">
        <f>$BC1868*V$11</f>
        <v/>
      </c>
      <c r="U1868" s="76">
        <f>$BC1868*W$11</f>
        <v/>
      </c>
      <c r="V1868" s="193">
        <f>+SUM(T1868:U1868)</f>
        <v/>
      </c>
      <c r="W1868" s="191" t="n"/>
      <c r="X1868" s="170" t="n"/>
      <c r="Y1868" s="76">
        <f>ROUND(IF(offer_incoterms="DDP",X1868*(S1868*(1+AW1868)+T1868),0),2)</f>
        <v/>
      </c>
      <c r="Z1868" s="188" t="n"/>
      <c r="AA1868" s="192">
        <f>IFERROR(AB1868/E1868,0)</f>
        <v/>
      </c>
      <c r="AB1868" s="76">
        <f>ROUND(SUM(S1868,V1868,Y1868:Z1868,BA1868:BB1868),2)</f>
        <v/>
      </c>
      <c r="AC1868" s="797" t="n"/>
      <c r="AD1868" s="192">
        <f t="array" ref="AD1868">IFERROR(ROUND((_xlfn.IFS(offer_sale_type="поставка",AB1868,offer_sale_type="транзит",S1868)*(1+AC1868))/E1868,2),0)</f>
        <v/>
      </c>
      <c r="AE1868" s="76">
        <f>AD1868*E1868</f>
        <v/>
      </c>
      <c r="AF1868" s="193">
        <f t="array" ref="AF1868">IFERROR(ROUND(_xlfn.IFS(offer_sale_type="поставка",AB1868,offer_sale_type="транзит",S1868)*AC1868,2),0)</f>
        <v/>
      </c>
      <c r="AG1868" s="192">
        <f>$BD1868*VLOOKUP($AG$3,$AF$4:$AG$7,2,FALSE)</f>
        <v/>
      </c>
      <c r="AH1868" s="76">
        <f>SUM(AE1868,AG1868,AI1868)*rate_forex_risk</f>
        <v/>
      </c>
      <c r="AI1868" s="193">
        <f>IF(OR(seller_region="TR",offer_sale_type="экспорт"),0,rate_fin_comm)*SUM(AZ1868,AZ1868*AW1868,T1868)</f>
        <v/>
      </c>
      <c r="AJ1868" s="118">
        <f>IFERROR(ROUND(SUM(AB1868,AF1868:AI1868)/E1868,2),0)</f>
        <v/>
      </c>
      <c r="AK1868" s="76">
        <f>AJ1868*E1868</f>
        <v/>
      </c>
      <c r="AL1868" s="174">
        <f>ROUND(IFERROR(AM1868*E1868,0),2)</f>
        <v/>
      </c>
      <c r="AM1868" s="175">
        <f>ROUND(AJ1868*(1+IF(offer_incoterms="DDP",IF((TODAY()+offer_turnaround_time)&gt;=helpsheet!$L$17,rate_vatRU_from_26,rate_vatRu_till_25),0)),2)</f>
        <v/>
      </c>
      <c r="AN1868" s="192">
        <f>AL1868-AK1868</f>
        <v/>
      </c>
      <c r="AO1868" s="76">
        <f>SUM(AY1868,Y1868:Z1868,T1868)*IF(AND(offer_incoterms="DDP",offer_sale_type&lt;&gt;"экспорт"),IF((TODAY()+offer_turnaround_time)&gt;=helpsheet!$L$17,rate_vatRU_from_26,rate_vatRu_till_25),0)</f>
        <v/>
      </c>
      <c r="AP1868" s="193">
        <f>AN1868-AO1868</f>
        <v/>
      </c>
      <c r="AQ1868" s="118">
        <f>IF(offer_sale_type="транзит",SUM(AF1868:AI1868,BA1868,BB1868),0)</f>
        <v/>
      </c>
      <c r="AR1868" s="82">
        <f>HYPERLINK("https://www.alta.ru/tnved/code/")&amp;W1868&amp;"/"</f>
        <v/>
      </c>
      <c r="AS1868" s="157" t="n"/>
      <c r="AT1868" s="162" t="n"/>
      <c r="AU1868" s="76">
        <f>IF(ISBLANK(AT1868),0,AJ1868-AT1868)</f>
        <v/>
      </c>
      <c r="AV1868" s="157" t="n"/>
      <c r="AW1868" s="75">
        <f>_xlfn.IFNA(VLOOKUP(L1868,list_vat[],3,FALSE),0)</f>
        <v/>
      </c>
      <c r="AX1868" s="76">
        <f>IFERROR(ROUND(S1868*(1+AW1868)/E1868,2),0)</f>
        <v/>
      </c>
      <c r="AY1868" s="76">
        <f>E1868*AX1868</f>
        <v/>
      </c>
      <c r="AZ1868" s="192">
        <f>S1868*(1+M1868)</f>
        <v/>
      </c>
      <c r="BA1868" s="76">
        <f>cost_fin_total*$BD1868</f>
        <v/>
      </c>
      <c r="BB1868" s="193">
        <f>credit_sales_interest*BD1868</f>
        <v/>
      </c>
      <c r="BC1868" s="102">
        <f>IFERROR(IF($I$13&gt;0,$I1868/$I$13,$S1868/$S$13),0)</f>
        <v/>
      </c>
      <c r="BD1868" s="102">
        <f>IFERROR($S1868/$S$13,0)</f>
        <v/>
      </c>
      <c r="BE1868" s="413" t="inlineStr">
        <is>
          <t>$</t>
        </is>
      </c>
    </row>
    <row r="1869" ht="12" customFormat="1" customHeight="1" s="65">
      <c r="A1869" s="43" t="n">
        <v>1854</v>
      </c>
      <c r="B1869" s="166" t="n"/>
      <c r="C1869" s="166" t="n"/>
      <c r="D1869" s="166" t="n"/>
      <c r="E1869" s="162" t="n"/>
      <c r="F1869" s="166" t="n"/>
      <c r="G1869" s="162" t="n"/>
      <c r="H1869" s="162" t="n"/>
      <c r="I1869" s="189">
        <f>E1869*G1869</f>
        <v/>
      </c>
      <c r="J1869" s="195" t="n"/>
      <c r="K1869" s="162" t="n"/>
      <c r="L1869" s="168" t="n"/>
      <c r="M1869" s="75">
        <f>_xlfn.XLOOKUP(L1869,list_vat[Страна],list_vat[Ставка НДС %],0,0)</f>
        <v/>
      </c>
      <c r="N1869" s="162">
        <f>IFERROR(IF(L1869="Китай",K1869,K1869/(1+M1869)),0)</f>
        <v/>
      </c>
      <c r="O1869" s="169" t="n"/>
      <c r="P1869" s="76">
        <f>N1869*(1-O1869)</f>
        <v/>
      </c>
      <c r="Q1869" s="162" t="n"/>
      <c r="R1869" s="162">
        <f>IF(ISBLANK(Q1869),"введи курс",P1869/Q1869)</f>
        <v/>
      </c>
      <c r="S1869" s="196">
        <f>IF(AND(ISNUMBER(E1869),ISNUMBER(Q1869)),E1869*R1869,0)</f>
        <v/>
      </c>
      <c r="T1869" s="192">
        <f>$BC1869*V$11</f>
        <v/>
      </c>
      <c r="U1869" s="76">
        <f>$BC1869*W$11</f>
        <v/>
      </c>
      <c r="V1869" s="193">
        <f>+SUM(T1869:U1869)</f>
        <v/>
      </c>
      <c r="W1869" s="191" t="n"/>
      <c r="X1869" s="170" t="n"/>
      <c r="Y1869" s="76">
        <f>ROUND(IF(offer_incoterms="DDP",X1869*(S1869*(1+AW1869)+T1869),0),2)</f>
        <v/>
      </c>
      <c r="Z1869" s="188" t="n"/>
      <c r="AA1869" s="192">
        <f>IFERROR(AB1869/E1869,0)</f>
        <v/>
      </c>
      <c r="AB1869" s="76">
        <f>ROUND(SUM(S1869,V1869,Y1869:Z1869,BA1869:BB1869),2)</f>
        <v/>
      </c>
      <c r="AC1869" s="797" t="n"/>
      <c r="AD1869" s="192">
        <f t="array" ref="AD1869">IFERROR(ROUND((_xlfn.IFS(offer_sale_type="поставка",AB1869,offer_sale_type="транзит",S1869)*(1+AC1869))/E1869,2),0)</f>
        <v/>
      </c>
      <c r="AE1869" s="76">
        <f>AD1869*E1869</f>
        <v/>
      </c>
      <c r="AF1869" s="193">
        <f t="array" ref="AF1869">IFERROR(ROUND(_xlfn.IFS(offer_sale_type="поставка",AB1869,offer_sale_type="транзит",S1869)*AC1869,2),0)</f>
        <v/>
      </c>
      <c r="AG1869" s="192">
        <f>$BD1869*VLOOKUP($AG$3,$AF$4:$AG$7,2,FALSE)</f>
        <v/>
      </c>
      <c r="AH1869" s="76">
        <f>SUM(AE1869,AG1869,AI1869)*rate_forex_risk</f>
        <v/>
      </c>
      <c r="AI1869" s="193">
        <f>IF(OR(seller_region="TR",offer_sale_type="экспорт"),0,rate_fin_comm)*SUM(AZ1869,AZ1869*AW1869,T1869)</f>
        <v/>
      </c>
      <c r="AJ1869" s="118">
        <f>IFERROR(ROUND(SUM(AB1869,AF1869:AI1869)/E1869,2),0)</f>
        <v/>
      </c>
      <c r="AK1869" s="76">
        <f>AJ1869*E1869</f>
        <v/>
      </c>
      <c r="AL1869" s="174">
        <f>ROUND(IFERROR(AM1869*E1869,0),2)</f>
        <v/>
      </c>
      <c r="AM1869" s="175">
        <f>ROUND(AJ1869*(1+IF(offer_incoterms="DDP",IF((TODAY()+offer_turnaround_time)&gt;=helpsheet!$L$17,rate_vatRU_from_26,rate_vatRu_till_25),0)),2)</f>
        <v/>
      </c>
      <c r="AN1869" s="192">
        <f>AL1869-AK1869</f>
        <v/>
      </c>
      <c r="AO1869" s="76">
        <f>SUM(AY1869,Y1869:Z1869,T1869)*IF(AND(offer_incoterms="DDP",offer_sale_type&lt;&gt;"экспорт"),IF((TODAY()+offer_turnaround_time)&gt;=helpsheet!$L$17,rate_vatRU_from_26,rate_vatRu_till_25),0)</f>
        <v/>
      </c>
      <c r="AP1869" s="193">
        <f>AN1869-AO1869</f>
        <v/>
      </c>
      <c r="AQ1869" s="118">
        <f>IF(offer_sale_type="транзит",SUM(AF1869:AI1869,BA1869,BB1869),0)</f>
        <v/>
      </c>
      <c r="AR1869" s="82">
        <f>HYPERLINK("https://www.alta.ru/tnved/code/")&amp;W1869&amp;"/"</f>
        <v/>
      </c>
      <c r="AS1869" s="157" t="n"/>
      <c r="AT1869" s="162" t="n"/>
      <c r="AU1869" s="76">
        <f>IF(ISBLANK(AT1869),0,AJ1869-AT1869)</f>
        <v/>
      </c>
      <c r="AV1869" s="157" t="n"/>
      <c r="AW1869" s="75">
        <f>_xlfn.IFNA(VLOOKUP(L1869,list_vat[],3,FALSE),0)</f>
        <v/>
      </c>
      <c r="AX1869" s="76">
        <f>IFERROR(ROUND(S1869*(1+AW1869)/E1869,2),0)</f>
        <v/>
      </c>
      <c r="AY1869" s="76">
        <f>E1869*AX1869</f>
        <v/>
      </c>
      <c r="AZ1869" s="192">
        <f>S1869*(1+M1869)</f>
        <v/>
      </c>
      <c r="BA1869" s="76">
        <f>cost_fin_total*$BD1869</f>
        <v/>
      </c>
      <c r="BB1869" s="193">
        <f>credit_sales_interest*BD1869</f>
        <v/>
      </c>
      <c r="BC1869" s="102">
        <f>IFERROR(IF($I$13&gt;0,$I1869/$I$13,$S1869/$S$13),0)</f>
        <v/>
      </c>
      <c r="BD1869" s="102">
        <f>IFERROR($S1869/$S$13,0)</f>
        <v/>
      </c>
      <c r="BE1869" s="413" t="inlineStr">
        <is>
          <t>$</t>
        </is>
      </c>
    </row>
    <row r="1870" ht="12" customFormat="1" customHeight="1" s="65">
      <c r="A1870" s="43" t="n">
        <v>1855</v>
      </c>
      <c r="B1870" s="166" t="n"/>
      <c r="C1870" s="166" t="n"/>
      <c r="D1870" s="166" t="n"/>
      <c r="E1870" s="162" t="n"/>
      <c r="F1870" s="166" t="n"/>
      <c r="G1870" s="162" t="n"/>
      <c r="H1870" s="162" t="n"/>
      <c r="I1870" s="189">
        <f>E1870*G1870</f>
        <v/>
      </c>
      <c r="J1870" s="195" t="n"/>
      <c r="K1870" s="162" t="n"/>
      <c r="L1870" s="168" t="n"/>
      <c r="M1870" s="75">
        <f>_xlfn.XLOOKUP(L1870,list_vat[Страна],list_vat[Ставка НДС %],0,0)</f>
        <v/>
      </c>
      <c r="N1870" s="162">
        <f>IFERROR(IF(L1870="Китай",K1870,K1870/(1+M1870)),0)</f>
        <v/>
      </c>
      <c r="O1870" s="169" t="n"/>
      <c r="P1870" s="76">
        <f>N1870*(1-O1870)</f>
        <v/>
      </c>
      <c r="Q1870" s="162" t="n"/>
      <c r="R1870" s="162">
        <f>IF(ISBLANK(Q1870),"введи курс",P1870/Q1870)</f>
        <v/>
      </c>
      <c r="S1870" s="196">
        <f>IF(AND(ISNUMBER(E1870),ISNUMBER(Q1870)),E1870*R1870,0)</f>
        <v/>
      </c>
      <c r="T1870" s="192">
        <f>$BC1870*V$11</f>
        <v/>
      </c>
      <c r="U1870" s="76">
        <f>$BC1870*W$11</f>
        <v/>
      </c>
      <c r="V1870" s="193">
        <f>+SUM(T1870:U1870)</f>
        <v/>
      </c>
      <c r="W1870" s="191" t="n"/>
      <c r="X1870" s="170" t="n"/>
      <c r="Y1870" s="76">
        <f>ROUND(IF(offer_incoterms="DDP",X1870*(S1870*(1+AW1870)+T1870),0),2)</f>
        <v/>
      </c>
      <c r="Z1870" s="188" t="n"/>
      <c r="AA1870" s="192">
        <f>IFERROR(AB1870/E1870,0)</f>
        <v/>
      </c>
      <c r="AB1870" s="76">
        <f>ROUND(SUM(S1870,V1870,Y1870:Z1870,BA1870:BB1870),2)</f>
        <v/>
      </c>
      <c r="AC1870" s="797" t="n"/>
      <c r="AD1870" s="192">
        <f t="array" ref="AD1870">IFERROR(ROUND((_xlfn.IFS(offer_sale_type="поставка",AB1870,offer_sale_type="транзит",S1870)*(1+AC1870))/E1870,2),0)</f>
        <v/>
      </c>
      <c r="AE1870" s="76">
        <f>AD1870*E1870</f>
        <v/>
      </c>
      <c r="AF1870" s="193">
        <f t="array" ref="AF1870">IFERROR(ROUND(_xlfn.IFS(offer_sale_type="поставка",AB1870,offer_sale_type="транзит",S1870)*AC1870,2),0)</f>
        <v/>
      </c>
      <c r="AG1870" s="192">
        <f>$BD1870*VLOOKUP($AG$3,$AF$4:$AG$7,2,FALSE)</f>
        <v/>
      </c>
      <c r="AH1870" s="76">
        <f>SUM(AE1870,AG1870,AI1870)*rate_forex_risk</f>
        <v/>
      </c>
      <c r="AI1870" s="193">
        <f>IF(OR(seller_region="TR",offer_sale_type="экспорт"),0,rate_fin_comm)*SUM(AZ1870,AZ1870*AW1870,T1870)</f>
        <v/>
      </c>
      <c r="AJ1870" s="118">
        <f>IFERROR(ROUND(SUM(AB1870,AF1870:AI1870)/E1870,2),0)</f>
        <v/>
      </c>
      <c r="AK1870" s="76">
        <f>AJ1870*E1870</f>
        <v/>
      </c>
      <c r="AL1870" s="174">
        <f>ROUND(IFERROR(AM1870*E1870,0),2)</f>
        <v/>
      </c>
      <c r="AM1870" s="175">
        <f>ROUND(AJ1870*(1+IF(offer_incoterms="DDP",IF((TODAY()+offer_turnaround_time)&gt;=helpsheet!$L$17,rate_vatRU_from_26,rate_vatRu_till_25),0)),2)</f>
        <v/>
      </c>
      <c r="AN1870" s="192">
        <f>AL1870-AK1870</f>
        <v/>
      </c>
      <c r="AO1870" s="76">
        <f>SUM(AY1870,Y1870:Z1870,T1870)*IF(AND(offer_incoterms="DDP",offer_sale_type&lt;&gt;"экспорт"),IF((TODAY()+offer_turnaround_time)&gt;=helpsheet!$L$17,rate_vatRU_from_26,rate_vatRu_till_25),0)</f>
        <v/>
      </c>
      <c r="AP1870" s="193">
        <f>AN1870-AO1870</f>
        <v/>
      </c>
      <c r="AQ1870" s="118">
        <f>IF(offer_sale_type="транзит",SUM(AF1870:AI1870,BA1870,BB1870),0)</f>
        <v/>
      </c>
      <c r="AR1870" s="82">
        <f>HYPERLINK("https://www.alta.ru/tnved/code/")&amp;W1870&amp;"/"</f>
        <v/>
      </c>
      <c r="AS1870" s="157" t="n"/>
      <c r="AT1870" s="162" t="n"/>
      <c r="AU1870" s="76">
        <f>IF(ISBLANK(AT1870),0,AJ1870-AT1870)</f>
        <v/>
      </c>
      <c r="AV1870" s="157" t="n"/>
      <c r="AW1870" s="75">
        <f>_xlfn.IFNA(VLOOKUP(L1870,list_vat[],3,FALSE),0)</f>
        <v/>
      </c>
      <c r="AX1870" s="76">
        <f>IFERROR(ROUND(S1870*(1+AW1870)/E1870,2),0)</f>
        <v/>
      </c>
      <c r="AY1870" s="76">
        <f>E1870*AX1870</f>
        <v/>
      </c>
      <c r="AZ1870" s="192">
        <f>S1870*(1+M1870)</f>
        <v/>
      </c>
      <c r="BA1870" s="76">
        <f>cost_fin_total*$BD1870</f>
        <v/>
      </c>
      <c r="BB1870" s="193">
        <f>credit_sales_interest*BD1870</f>
        <v/>
      </c>
      <c r="BC1870" s="102">
        <f>IFERROR(IF($I$13&gt;0,$I1870/$I$13,$S1870/$S$13),0)</f>
        <v/>
      </c>
      <c r="BD1870" s="102">
        <f>IFERROR($S1870/$S$13,0)</f>
        <v/>
      </c>
      <c r="BE1870" s="413" t="inlineStr">
        <is>
          <t>$</t>
        </is>
      </c>
    </row>
    <row r="1871" ht="12" customFormat="1" customHeight="1" s="65">
      <c r="A1871" s="43" t="n">
        <v>1856</v>
      </c>
      <c r="B1871" s="166" t="n"/>
      <c r="C1871" s="166" t="n"/>
      <c r="D1871" s="166" t="n"/>
      <c r="E1871" s="162" t="n"/>
      <c r="F1871" s="166" t="n"/>
      <c r="G1871" s="162" t="n"/>
      <c r="H1871" s="162" t="n"/>
      <c r="I1871" s="189">
        <f>E1871*G1871</f>
        <v/>
      </c>
      <c r="J1871" s="195" t="n"/>
      <c r="K1871" s="162" t="n"/>
      <c r="L1871" s="168" t="n"/>
      <c r="M1871" s="75">
        <f>_xlfn.XLOOKUP(L1871,list_vat[Страна],list_vat[Ставка НДС %],0,0)</f>
        <v/>
      </c>
      <c r="N1871" s="162">
        <f>IFERROR(IF(L1871="Китай",K1871,K1871/(1+M1871)),0)</f>
        <v/>
      </c>
      <c r="O1871" s="169" t="n"/>
      <c r="P1871" s="76">
        <f>N1871*(1-O1871)</f>
        <v/>
      </c>
      <c r="Q1871" s="162" t="n"/>
      <c r="R1871" s="162">
        <f>IF(ISBLANK(Q1871),"введи курс",P1871/Q1871)</f>
        <v/>
      </c>
      <c r="S1871" s="196">
        <f>IF(AND(ISNUMBER(E1871),ISNUMBER(Q1871)),E1871*R1871,0)</f>
        <v/>
      </c>
      <c r="T1871" s="192">
        <f>$BC1871*V$11</f>
        <v/>
      </c>
      <c r="U1871" s="76">
        <f>$BC1871*W$11</f>
        <v/>
      </c>
      <c r="V1871" s="193">
        <f>+SUM(T1871:U1871)</f>
        <v/>
      </c>
      <c r="W1871" s="191" t="n"/>
      <c r="X1871" s="170" t="n"/>
      <c r="Y1871" s="76">
        <f>ROUND(IF(offer_incoterms="DDP",X1871*(S1871*(1+AW1871)+T1871),0),2)</f>
        <v/>
      </c>
      <c r="Z1871" s="188" t="n"/>
      <c r="AA1871" s="192">
        <f>IFERROR(AB1871/E1871,0)</f>
        <v/>
      </c>
      <c r="AB1871" s="76">
        <f>ROUND(SUM(S1871,V1871,Y1871:Z1871,BA1871:BB1871),2)</f>
        <v/>
      </c>
      <c r="AC1871" s="797" t="n"/>
      <c r="AD1871" s="192">
        <f t="array" ref="AD1871">IFERROR(ROUND((_xlfn.IFS(offer_sale_type="поставка",AB1871,offer_sale_type="транзит",S1871)*(1+AC1871))/E1871,2),0)</f>
        <v/>
      </c>
      <c r="AE1871" s="76">
        <f>AD1871*E1871</f>
        <v/>
      </c>
      <c r="AF1871" s="193">
        <f t="array" ref="AF1871">IFERROR(ROUND(_xlfn.IFS(offer_sale_type="поставка",AB1871,offer_sale_type="транзит",S1871)*AC1871,2),0)</f>
        <v/>
      </c>
      <c r="AG1871" s="192">
        <f>$BD1871*VLOOKUP($AG$3,$AF$4:$AG$7,2,FALSE)</f>
        <v/>
      </c>
      <c r="AH1871" s="76">
        <f>SUM(AE1871,AG1871,AI1871)*rate_forex_risk</f>
        <v/>
      </c>
      <c r="AI1871" s="193">
        <f>IF(OR(seller_region="TR",offer_sale_type="экспорт"),0,rate_fin_comm)*SUM(AZ1871,AZ1871*AW1871,T1871)</f>
        <v/>
      </c>
      <c r="AJ1871" s="118">
        <f>IFERROR(ROUND(SUM(AB1871,AF1871:AI1871)/E1871,2),0)</f>
        <v/>
      </c>
      <c r="AK1871" s="76">
        <f>AJ1871*E1871</f>
        <v/>
      </c>
      <c r="AL1871" s="174">
        <f>ROUND(IFERROR(AM1871*E1871,0),2)</f>
        <v/>
      </c>
      <c r="AM1871" s="175">
        <f>ROUND(AJ1871*(1+IF(offer_incoterms="DDP",IF((TODAY()+offer_turnaround_time)&gt;=helpsheet!$L$17,rate_vatRU_from_26,rate_vatRu_till_25),0)),2)</f>
        <v/>
      </c>
      <c r="AN1871" s="192">
        <f>AL1871-AK1871</f>
        <v/>
      </c>
      <c r="AO1871" s="76">
        <f>SUM(AY1871,Y1871:Z1871,T1871)*IF(AND(offer_incoterms="DDP",offer_sale_type&lt;&gt;"экспорт"),IF((TODAY()+offer_turnaround_time)&gt;=helpsheet!$L$17,rate_vatRU_from_26,rate_vatRu_till_25),0)</f>
        <v/>
      </c>
      <c r="AP1871" s="193">
        <f>AN1871-AO1871</f>
        <v/>
      </c>
      <c r="AQ1871" s="118">
        <f>IF(offer_sale_type="транзит",SUM(AF1871:AI1871,BA1871,BB1871),0)</f>
        <v/>
      </c>
      <c r="AR1871" s="82">
        <f>HYPERLINK("https://www.alta.ru/tnved/code/")&amp;W1871&amp;"/"</f>
        <v/>
      </c>
      <c r="AS1871" s="157" t="n"/>
      <c r="AT1871" s="162" t="n"/>
      <c r="AU1871" s="76">
        <f>IF(ISBLANK(AT1871),0,AJ1871-AT1871)</f>
        <v/>
      </c>
      <c r="AV1871" s="157" t="n"/>
      <c r="AW1871" s="75">
        <f>_xlfn.IFNA(VLOOKUP(L1871,list_vat[],3,FALSE),0)</f>
        <v/>
      </c>
      <c r="AX1871" s="76">
        <f>IFERROR(ROUND(S1871*(1+AW1871)/E1871,2),0)</f>
        <v/>
      </c>
      <c r="AY1871" s="76">
        <f>E1871*AX1871</f>
        <v/>
      </c>
      <c r="AZ1871" s="192">
        <f>S1871*(1+M1871)</f>
        <v/>
      </c>
      <c r="BA1871" s="76">
        <f>cost_fin_total*$BD1871</f>
        <v/>
      </c>
      <c r="BB1871" s="193">
        <f>credit_sales_interest*BD1871</f>
        <v/>
      </c>
      <c r="BC1871" s="102">
        <f>IFERROR(IF($I$13&gt;0,$I1871/$I$13,$S1871/$S$13),0)</f>
        <v/>
      </c>
      <c r="BD1871" s="102">
        <f>IFERROR($S1871/$S$13,0)</f>
        <v/>
      </c>
      <c r="BE1871" s="413" t="inlineStr">
        <is>
          <t>$</t>
        </is>
      </c>
    </row>
    <row r="1872" ht="12" customFormat="1" customHeight="1" s="65">
      <c r="A1872" s="43" t="n">
        <v>1857</v>
      </c>
      <c r="B1872" s="166" t="n"/>
      <c r="C1872" s="166" t="n"/>
      <c r="D1872" s="166" t="n"/>
      <c r="E1872" s="162" t="n"/>
      <c r="F1872" s="166" t="n"/>
      <c r="G1872" s="162" t="n"/>
      <c r="H1872" s="162" t="n"/>
      <c r="I1872" s="189">
        <f>E1872*G1872</f>
        <v/>
      </c>
      <c r="J1872" s="195" t="n"/>
      <c r="K1872" s="162" t="n"/>
      <c r="L1872" s="168" t="n"/>
      <c r="M1872" s="75">
        <f>_xlfn.XLOOKUP(L1872,list_vat[Страна],list_vat[Ставка НДС %],0,0)</f>
        <v/>
      </c>
      <c r="N1872" s="162">
        <f>IFERROR(IF(L1872="Китай",K1872,K1872/(1+M1872)),0)</f>
        <v/>
      </c>
      <c r="O1872" s="169" t="n"/>
      <c r="P1872" s="76">
        <f>N1872*(1-O1872)</f>
        <v/>
      </c>
      <c r="Q1872" s="162" t="n"/>
      <c r="R1872" s="162">
        <f>IF(ISBLANK(Q1872),"введи курс",P1872/Q1872)</f>
        <v/>
      </c>
      <c r="S1872" s="196">
        <f>IF(AND(ISNUMBER(E1872),ISNUMBER(Q1872)),E1872*R1872,0)</f>
        <v/>
      </c>
      <c r="T1872" s="192">
        <f>$BC1872*V$11</f>
        <v/>
      </c>
      <c r="U1872" s="76">
        <f>$BC1872*W$11</f>
        <v/>
      </c>
      <c r="V1872" s="193">
        <f>+SUM(T1872:U1872)</f>
        <v/>
      </c>
      <c r="W1872" s="191" t="n"/>
      <c r="X1872" s="170" t="n"/>
      <c r="Y1872" s="76">
        <f>ROUND(IF(offer_incoterms="DDP",X1872*(S1872*(1+AW1872)+T1872),0),2)</f>
        <v/>
      </c>
      <c r="Z1872" s="188" t="n"/>
      <c r="AA1872" s="192">
        <f>IFERROR(AB1872/E1872,0)</f>
        <v/>
      </c>
      <c r="AB1872" s="76">
        <f>ROUND(SUM(S1872,V1872,Y1872:Z1872,BA1872:BB1872),2)</f>
        <v/>
      </c>
      <c r="AC1872" s="797" t="n"/>
      <c r="AD1872" s="192">
        <f t="array" ref="AD1872">IFERROR(ROUND((_xlfn.IFS(offer_sale_type="поставка",AB1872,offer_sale_type="транзит",S1872)*(1+AC1872))/E1872,2),0)</f>
        <v/>
      </c>
      <c r="AE1872" s="76">
        <f>AD1872*E1872</f>
        <v/>
      </c>
      <c r="AF1872" s="193">
        <f t="array" ref="AF1872">IFERROR(ROUND(_xlfn.IFS(offer_sale_type="поставка",AB1872,offer_sale_type="транзит",S1872)*AC1872,2),0)</f>
        <v/>
      </c>
      <c r="AG1872" s="192">
        <f>$BD1872*VLOOKUP($AG$3,$AF$4:$AG$7,2,FALSE)</f>
        <v/>
      </c>
      <c r="AH1872" s="76">
        <f>SUM(AE1872,AG1872,AI1872)*rate_forex_risk</f>
        <v/>
      </c>
      <c r="AI1872" s="193">
        <f>IF(OR(seller_region="TR",offer_sale_type="экспорт"),0,rate_fin_comm)*SUM(AZ1872,AZ1872*AW1872,T1872)</f>
        <v/>
      </c>
      <c r="AJ1872" s="118">
        <f>IFERROR(ROUND(SUM(AB1872,AF1872:AI1872)/E1872,2),0)</f>
        <v/>
      </c>
      <c r="AK1872" s="76">
        <f>AJ1872*E1872</f>
        <v/>
      </c>
      <c r="AL1872" s="174">
        <f>ROUND(IFERROR(AM1872*E1872,0),2)</f>
        <v/>
      </c>
      <c r="AM1872" s="175">
        <f>ROUND(AJ1872*(1+IF(offer_incoterms="DDP",IF((TODAY()+offer_turnaround_time)&gt;=helpsheet!$L$17,rate_vatRU_from_26,rate_vatRu_till_25),0)),2)</f>
        <v/>
      </c>
      <c r="AN1872" s="192">
        <f>AL1872-AK1872</f>
        <v/>
      </c>
      <c r="AO1872" s="76">
        <f>SUM(AY1872,Y1872:Z1872,T1872)*IF(AND(offer_incoterms="DDP",offer_sale_type&lt;&gt;"экспорт"),IF((TODAY()+offer_turnaround_time)&gt;=helpsheet!$L$17,rate_vatRU_from_26,rate_vatRu_till_25),0)</f>
        <v/>
      </c>
      <c r="AP1872" s="193">
        <f>AN1872-AO1872</f>
        <v/>
      </c>
      <c r="AQ1872" s="118">
        <f>IF(offer_sale_type="транзит",SUM(AF1872:AI1872,BA1872,BB1872),0)</f>
        <v/>
      </c>
      <c r="AR1872" s="82">
        <f>HYPERLINK("https://www.alta.ru/tnved/code/")&amp;W1872&amp;"/"</f>
        <v/>
      </c>
      <c r="AS1872" s="157" t="n"/>
      <c r="AT1872" s="162" t="n"/>
      <c r="AU1872" s="76">
        <f>IF(ISBLANK(AT1872),0,AJ1872-AT1872)</f>
        <v/>
      </c>
      <c r="AV1872" s="157" t="n"/>
      <c r="AW1872" s="75">
        <f>_xlfn.IFNA(VLOOKUP(L1872,list_vat[],3,FALSE),0)</f>
        <v/>
      </c>
      <c r="AX1872" s="76">
        <f>IFERROR(ROUND(S1872*(1+AW1872)/E1872,2),0)</f>
        <v/>
      </c>
      <c r="AY1872" s="76">
        <f>E1872*AX1872</f>
        <v/>
      </c>
      <c r="AZ1872" s="192">
        <f>S1872*(1+M1872)</f>
        <v/>
      </c>
      <c r="BA1872" s="76">
        <f>cost_fin_total*$BD1872</f>
        <v/>
      </c>
      <c r="BB1872" s="193">
        <f>credit_sales_interest*BD1872</f>
        <v/>
      </c>
      <c r="BC1872" s="102">
        <f>IFERROR(IF($I$13&gt;0,$I1872/$I$13,$S1872/$S$13),0)</f>
        <v/>
      </c>
      <c r="BD1872" s="102">
        <f>IFERROR($S1872/$S$13,0)</f>
        <v/>
      </c>
      <c r="BE1872" s="413" t="inlineStr">
        <is>
          <t>$</t>
        </is>
      </c>
    </row>
    <row r="1873" ht="12" customFormat="1" customHeight="1" s="65">
      <c r="A1873" s="43" t="n">
        <v>1858</v>
      </c>
      <c r="B1873" s="166" t="n"/>
      <c r="C1873" s="166" t="n"/>
      <c r="D1873" s="166" t="n"/>
      <c r="E1873" s="162" t="n"/>
      <c r="F1873" s="166" t="n"/>
      <c r="G1873" s="162" t="n"/>
      <c r="H1873" s="162" t="n"/>
      <c r="I1873" s="189">
        <f>E1873*G1873</f>
        <v/>
      </c>
      <c r="J1873" s="195" t="n"/>
      <c r="K1873" s="162" t="n"/>
      <c r="L1873" s="168" t="n"/>
      <c r="M1873" s="75">
        <f>_xlfn.XLOOKUP(L1873,list_vat[Страна],list_vat[Ставка НДС %],0,0)</f>
        <v/>
      </c>
      <c r="N1873" s="162">
        <f>IFERROR(IF(L1873="Китай",K1873,K1873/(1+M1873)),0)</f>
        <v/>
      </c>
      <c r="O1873" s="169" t="n"/>
      <c r="P1873" s="76">
        <f>N1873*(1-O1873)</f>
        <v/>
      </c>
      <c r="Q1873" s="162" t="n"/>
      <c r="R1873" s="162">
        <f>IF(ISBLANK(Q1873),"введи курс",P1873/Q1873)</f>
        <v/>
      </c>
      <c r="S1873" s="196">
        <f>IF(AND(ISNUMBER(E1873),ISNUMBER(Q1873)),E1873*R1873,0)</f>
        <v/>
      </c>
      <c r="T1873" s="192">
        <f>$BC1873*V$11</f>
        <v/>
      </c>
      <c r="U1873" s="76">
        <f>$BC1873*W$11</f>
        <v/>
      </c>
      <c r="V1873" s="193">
        <f>+SUM(T1873:U1873)</f>
        <v/>
      </c>
      <c r="W1873" s="191" t="n"/>
      <c r="X1873" s="170" t="n"/>
      <c r="Y1873" s="76">
        <f>ROUND(IF(offer_incoterms="DDP",X1873*(S1873*(1+AW1873)+T1873),0),2)</f>
        <v/>
      </c>
      <c r="Z1873" s="188" t="n"/>
      <c r="AA1873" s="192">
        <f>IFERROR(AB1873/E1873,0)</f>
        <v/>
      </c>
      <c r="AB1873" s="76">
        <f>ROUND(SUM(S1873,V1873,Y1873:Z1873,BA1873:BB1873),2)</f>
        <v/>
      </c>
      <c r="AC1873" s="797" t="n"/>
      <c r="AD1873" s="192">
        <f t="array" ref="AD1873">IFERROR(ROUND((_xlfn.IFS(offer_sale_type="поставка",AB1873,offer_sale_type="транзит",S1873)*(1+AC1873))/E1873,2),0)</f>
        <v/>
      </c>
      <c r="AE1873" s="76">
        <f>AD1873*E1873</f>
        <v/>
      </c>
      <c r="AF1873" s="193">
        <f t="array" ref="AF1873">IFERROR(ROUND(_xlfn.IFS(offer_sale_type="поставка",AB1873,offer_sale_type="транзит",S1873)*AC1873,2),0)</f>
        <v/>
      </c>
      <c r="AG1873" s="192">
        <f>$BD1873*VLOOKUP($AG$3,$AF$4:$AG$7,2,FALSE)</f>
        <v/>
      </c>
      <c r="AH1873" s="76">
        <f>SUM(AE1873,AG1873,AI1873)*rate_forex_risk</f>
        <v/>
      </c>
      <c r="AI1873" s="193">
        <f>IF(OR(seller_region="TR",offer_sale_type="экспорт"),0,rate_fin_comm)*SUM(AZ1873,AZ1873*AW1873,T1873)</f>
        <v/>
      </c>
      <c r="AJ1873" s="118">
        <f>IFERROR(ROUND(SUM(AB1873,AF1873:AI1873)/E1873,2),0)</f>
        <v/>
      </c>
      <c r="AK1873" s="76">
        <f>AJ1873*E1873</f>
        <v/>
      </c>
      <c r="AL1873" s="174">
        <f>ROUND(IFERROR(AM1873*E1873,0),2)</f>
        <v/>
      </c>
      <c r="AM1873" s="175">
        <f>ROUND(AJ1873*(1+IF(offer_incoterms="DDP",IF((TODAY()+offer_turnaround_time)&gt;=helpsheet!$L$17,rate_vatRU_from_26,rate_vatRu_till_25),0)),2)</f>
        <v/>
      </c>
      <c r="AN1873" s="192">
        <f>AL1873-AK1873</f>
        <v/>
      </c>
      <c r="AO1873" s="76">
        <f>SUM(AY1873,Y1873:Z1873,T1873)*IF(AND(offer_incoterms="DDP",offer_sale_type&lt;&gt;"экспорт"),IF((TODAY()+offer_turnaround_time)&gt;=helpsheet!$L$17,rate_vatRU_from_26,rate_vatRu_till_25),0)</f>
        <v/>
      </c>
      <c r="AP1873" s="193">
        <f>AN1873-AO1873</f>
        <v/>
      </c>
      <c r="AQ1873" s="118">
        <f>IF(offer_sale_type="транзит",SUM(AF1873:AI1873,BA1873,BB1873),0)</f>
        <v/>
      </c>
      <c r="AR1873" s="82">
        <f>HYPERLINK("https://www.alta.ru/tnved/code/")&amp;W1873&amp;"/"</f>
        <v/>
      </c>
      <c r="AS1873" s="157" t="n"/>
      <c r="AT1873" s="162" t="n"/>
      <c r="AU1873" s="76">
        <f>IF(ISBLANK(AT1873),0,AJ1873-AT1873)</f>
        <v/>
      </c>
      <c r="AV1873" s="157" t="n"/>
      <c r="AW1873" s="75">
        <f>_xlfn.IFNA(VLOOKUP(L1873,list_vat[],3,FALSE),0)</f>
        <v/>
      </c>
      <c r="AX1873" s="76">
        <f>IFERROR(ROUND(S1873*(1+AW1873)/E1873,2),0)</f>
        <v/>
      </c>
      <c r="AY1873" s="76">
        <f>E1873*AX1873</f>
        <v/>
      </c>
      <c r="AZ1873" s="192">
        <f>S1873*(1+M1873)</f>
        <v/>
      </c>
      <c r="BA1873" s="76">
        <f>cost_fin_total*$BD1873</f>
        <v/>
      </c>
      <c r="BB1873" s="193">
        <f>credit_sales_interest*BD1873</f>
        <v/>
      </c>
      <c r="BC1873" s="102">
        <f>IFERROR(IF($I$13&gt;0,$I1873/$I$13,$S1873/$S$13),0)</f>
        <v/>
      </c>
      <c r="BD1873" s="102">
        <f>IFERROR($S1873/$S$13,0)</f>
        <v/>
      </c>
      <c r="BE1873" s="413" t="inlineStr">
        <is>
          <t>$</t>
        </is>
      </c>
    </row>
    <row r="1874" ht="12" customFormat="1" customHeight="1" s="65">
      <c r="A1874" s="43" t="n">
        <v>1859</v>
      </c>
      <c r="B1874" s="166" t="n"/>
      <c r="C1874" s="166" t="n"/>
      <c r="D1874" s="166" t="n"/>
      <c r="E1874" s="162" t="n"/>
      <c r="F1874" s="166" t="n"/>
      <c r="G1874" s="162" t="n"/>
      <c r="H1874" s="162" t="n"/>
      <c r="I1874" s="189">
        <f>E1874*G1874</f>
        <v/>
      </c>
      <c r="J1874" s="195" t="n"/>
      <c r="K1874" s="162" t="n"/>
      <c r="L1874" s="168" t="n"/>
      <c r="M1874" s="75">
        <f>_xlfn.XLOOKUP(L1874,list_vat[Страна],list_vat[Ставка НДС %],0,0)</f>
        <v/>
      </c>
      <c r="N1874" s="162">
        <f>IFERROR(IF(L1874="Китай",K1874,K1874/(1+M1874)),0)</f>
        <v/>
      </c>
      <c r="O1874" s="169" t="n"/>
      <c r="P1874" s="76">
        <f>N1874*(1-O1874)</f>
        <v/>
      </c>
      <c r="Q1874" s="162" t="n"/>
      <c r="R1874" s="162">
        <f>IF(ISBLANK(Q1874),"введи курс",P1874/Q1874)</f>
        <v/>
      </c>
      <c r="S1874" s="196">
        <f>IF(AND(ISNUMBER(E1874),ISNUMBER(Q1874)),E1874*R1874,0)</f>
        <v/>
      </c>
      <c r="T1874" s="192">
        <f>$BC1874*V$11</f>
        <v/>
      </c>
      <c r="U1874" s="76">
        <f>$BC1874*W$11</f>
        <v/>
      </c>
      <c r="V1874" s="193">
        <f>+SUM(T1874:U1874)</f>
        <v/>
      </c>
      <c r="W1874" s="191" t="n"/>
      <c r="X1874" s="170" t="n"/>
      <c r="Y1874" s="76">
        <f>ROUND(IF(offer_incoterms="DDP",X1874*(S1874*(1+AW1874)+T1874),0),2)</f>
        <v/>
      </c>
      <c r="Z1874" s="188" t="n"/>
      <c r="AA1874" s="192">
        <f>IFERROR(AB1874/E1874,0)</f>
        <v/>
      </c>
      <c r="AB1874" s="76">
        <f>ROUND(SUM(S1874,V1874,Y1874:Z1874,BA1874:BB1874),2)</f>
        <v/>
      </c>
      <c r="AC1874" s="797" t="n"/>
      <c r="AD1874" s="192">
        <f t="array" ref="AD1874">IFERROR(ROUND((_xlfn.IFS(offer_sale_type="поставка",AB1874,offer_sale_type="транзит",S1874)*(1+AC1874))/E1874,2),0)</f>
        <v/>
      </c>
      <c r="AE1874" s="76">
        <f>AD1874*E1874</f>
        <v/>
      </c>
      <c r="AF1874" s="193">
        <f t="array" ref="AF1874">IFERROR(ROUND(_xlfn.IFS(offer_sale_type="поставка",AB1874,offer_sale_type="транзит",S1874)*AC1874,2),0)</f>
        <v/>
      </c>
      <c r="AG1874" s="192">
        <f>$BD1874*VLOOKUP($AG$3,$AF$4:$AG$7,2,FALSE)</f>
        <v/>
      </c>
      <c r="AH1874" s="76">
        <f>SUM(AE1874,AG1874,AI1874)*rate_forex_risk</f>
        <v/>
      </c>
      <c r="AI1874" s="193">
        <f>IF(OR(seller_region="TR",offer_sale_type="экспорт"),0,rate_fin_comm)*SUM(AZ1874,AZ1874*AW1874,T1874)</f>
        <v/>
      </c>
      <c r="AJ1874" s="118">
        <f>IFERROR(ROUND(SUM(AB1874,AF1874:AI1874)/E1874,2),0)</f>
        <v/>
      </c>
      <c r="AK1874" s="76">
        <f>AJ1874*E1874</f>
        <v/>
      </c>
      <c r="AL1874" s="174">
        <f>ROUND(IFERROR(AM1874*E1874,0),2)</f>
        <v/>
      </c>
      <c r="AM1874" s="175">
        <f>ROUND(AJ1874*(1+IF(offer_incoterms="DDP",IF((TODAY()+offer_turnaround_time)&gt;=helpsheet!$L$17,rate_vatRU_from_26,rate_vatRu_till_25),0)),2)</f>
        <v/>
      </c>
      <c r="AN1874" s="192">
        <f>AL1874-AK1874</f>
        <v/>
      </c>
      <c r="AO1874" s="76">
        <f>SUM(AY1874,Y1874:Z1874,T1874)*IF(AND(offer_incoterms="DDP",offer_sale_type&lt;&gt;"экспорт"),IF((TODAY()+offer_turnaround_time)&gt;=helpsheet!$L$17,rate_vatRU_from_26,rate_vatRu_till_25),0)</f>
        <v/>
      </c>
      <c r="AP1874" s="193">
        <f>AN1874-AO1874</f>
        <v/>
      </c>
      <c r="AQ1874" s="118">
        <f>IF(offer_sale_type="транзит",SUM(AF1874:AI1874,BA1874,BB1874),0)</f>
        <v/>
      </c>
      <c r="AR1874" s="82">
        <f>HYPERLINK("https://www.alta.ru/tnved/code/")&amp;W1874&amp;"/"</f>
        <v/>
      </c>
      <c r="AS1874" s="157" t="n"/>
      <c r="AT1874" s="162" t="n"/>
      <c r="AU1874" s="76">
        <f>IF(ISBLANK(AT1874),0,AJ1874-AT1874)</f>
        <v/>
      </c>
      <c r="AV1874" s="157" t="n"/>
      <c r="AW1874" s="75">
        <f>_xlfn.IFNA(VLOOKUP(L1874,list_vat[],3,FALSE),0)</f>
        <v/>
      </c>
      <c r="AX1874" s="76">
        <f>IFERROR(ROUND(S1874*(1+AW1874)/E1874,2),0)</f>
        <v/>
      </c>
      <c r="AY1874" s="76">
        <f>E1874*AX1874</f>
        <v/>
      </c>
      <c r="AZ1874" s="192">
        <f>S1874*(1+M1874)</f>
        <v/>
      </c>
      <c r="BA1874" s="76">
        <f>cost_fin_total*$BD1874</f>
        <v/>
      </c>
      <c r="BB1874" s="193">
        <f>credit_sales_interest*BD1874</f>
        <v/>
      </c>
      <c r="BC1874" s="102">
        <f>IFERROR(IF($I$13&gt;0,$I1874/$I$13,$S1874/$S$13),0)</f>
        <v/>
      </c>
      <c r="BD1874" s="102">
        <f>IFERROR($S1874/$S$13,0)</f>
        <v/>
      </c>
      <c r="BE1874" s="413" t="inlineStr">
        <is>
          <t>$</t>
        </is>
      </c>
    </row>
    <row r="1875" ht="12" customFormat="1" customHeight="1" s="65">
      <c r="A1875" s="43" t="n">
        <v>1860</v>
      </c>
      <c r="B1875" s="166" t="n"/>
      <c r="C1875" s="166" t="n"/>
      <c r="D1875" s="166" t="n"/>
      <c r="E1875" s="162" t="n"/>
      <c r="F1875" s="166" t="n"/>
      <c r="G1875" s="162" t="n"/>
      <c r="H1875" s="162" t="n"/>
      <c r="I1875" s="189">
        <f>E1875*G1875</f>
        <v/>
      </c>
      <c r="J1875" s="195" t="n"/>
      <c r="K1875" s="162" t="n"/>
      <c r="L1875" s="168" t="n"/>
      <c r="M1875" s="75">
        <f>_xlfn.XLOOKUP(L1875,list_vat[Страна],list_vat[Ставка НДС %],0,0)</f>
        <v/>
      </c>
      <c r="N1875" s="162">
        <f>IFERROR(IF(L1875="Китай",K1875,K1875/(1+M1875)),0)</f>
        <v/>
      </c>
      <c r="O1875" s="169" t="n"/>
      <c r="P1875" s="76">
        <f>N1875*(1-O1875)</f>
        <v/>
      </c>
      <c r="Q1875" s="162" t="n"/>
      <c r="R1875" s="162">
        <f>IF(ISBLANK(Q1875),"введи курс",P1875/Q1875)</f>
        <v/>
      </c>
      <c r="S1875" s="196">
        <f>IF(AND(ISNUMBER(E1875),ISNUMBER(Q1875)),E1875*R1875,0)</f>
        <v/>
      </c>
      <c r="T1875" s="192">
        <f>$BC1875*V$11</f>
        <v/>
      </c>
      <c r="U1875" s="76">
        <f>$BC1875*W$11</f>
        <v/>
      </c>
      <c r="V1875" s="193">
        <f>+SUM(T1875:U1875)</f>
        <v/>
      </c>
      <c r="W1875" s="191" t="n"/>
      <c r="X1875" s="170" t="n"/>
      <c r="Y1875" s="76">
        <f>ROUND(IF(offer_incoterms="DDP",X1875*(S1875*(1+AW1875)+T1875),0),2)</f>
        <v/>
      </c>
      <c r="Z1875" s="188" t="n"/>
      <c r="AA1875" s="192">
        <f>IFERROR(AB1875/E1875,0)</f>
        <v/>
      </c>
      <c r="AB1875" s="76">
        <f>ROUND(SUM(S1875,V1875,Y1875:Z1875,BA1875:BB1875),2)</f>
        <v/>
      </c>
      <c r="AC1875" s="797" t="n"/>
      <c r="AD1875" s="192">
        <f t="array" ref="AD1875">IFERROR(ROUND((_xlfn.IFS(offer_sale_type="поставка",AB1875,offer_sale_type="транзит",S1875)*(1+AC1875))/E1875,2),0)</f>
        <v/>
      </c>
      <c r="AE1875" s="76">
        <f>AD1875*E1875</f>
        <v/>
      </c>
      <c r="AF1875" s="193">
        <f t="array" ref="AF1875">IFERROR(ROUND(_xlfn.IFS(offer_sale_type="поставка",AB1875,offer_sale_type="транзит",S1875)*AC1875,2),0)</f>
        <v/>
      </c>
      <c r="AG1875" s="192">
        <f>$BD1875*VLOOKUP($AG$3,$AF$4:$AG$7,2,FALSE)</f>
        <v/>
      </c>
      <c r="AH1875" s="76">
        <f>SUM(AE1875,AG1875,AI1875)*rate_forex_risk</f>
        <v/>
      </c>
      <c r="AI1875" s="193">
        <f>IF(OR(seller_region="TR",offer_sale_type="экспорт"),0,rate_fin_comm)*SUM(AZ1875,AZ1875*AW1875,T1875)</f>
        <v/>
      </c>
      <c r="AJ1875" s="118">
        <f>IFERROR(ROUND(SUM(AB1875,AF1875:AI1875)/E1875,2),0)</f>
        <v/>
      </c>
      <c r="AK1875" s="76">
        <f>AJ1875*E1875</f>
        <v/>
      </c>
      <c r="AL1875" s="174">
        <f>ROUND(IFERROR(AM1875*E1875,0),2)</f>
        <v/>
      </c>
      <c r="AM1875" s="175">
        <f>ROUND(AJ1875*(1+IF(offer_incoterms="DDP",IF((TODAY()+offer_turnaround_time)&gt;=helpsheet!$L$17,rate_vatRU_from_26,rate_vatRu_till_25),0)),2)</f>
        <v/>
      </c>
      <c r="AN1875" s="192">
        <f>AL1875-AK1875</f>
        <v/>
      </c>
      <c r="AO1875" s="76">
        <f>SUM(AY1875,Y1875:Z1875,T1875)*IF(AND(offer_incoterms="DDP",offer_sale_type&lt;&gt;"экспорт"),IF((TODAY()+offer_turnaround_time)&gt;=helpsheet!$L$17,rate_vatRU_from_26,rate_vatRu_till_25),0)</f>
        <v/>
      </c>
      <c r="AP1875" s="193">
        <f>AN1875-AO1875</f>
        <v/>
      </c>
      <c r="AQ1875" s="118">
        <f>IF(offer_sale_type="транзит",SUM(AF1875:AI1875,BA1875,BB1875),0)</f>
        <v/>
      </c>
      <c r="AR1875" s="82">
        <f>HYPERLINK("https://www.alta.ru/tnved/code/")&amp;W1875&amp;"/"</f>
        <v/>
      </c>
      <c r="AS1875" s="157" t="n"/>
      <c r="AT1875" s="162" t="n"/>
      <c r="AU1875" s="76">
        <f>IF(ISBLANK(AT1875),0,AJ1875-AT1875)</f>
        <v/>
      </c>
      <c r="AV1875" s="157" t="n"/>
      <c r="AW1875" s="75">
        <f>_xlfn.IFNA(VLOOKUP(L1875,list_vat[],3,FALSE),0)</f>
        <v/>
      </c>
      <c r="AX1875" s="76">
        <f>IFERROR(ROUND(S1875*(1+AW1875)/E1875,2),0)</f>
        <v/>
      </c>
      <c r="AY1875" s="76">
        <f>E1875*AX1875</f>
        <v/>
      </c>
      <c r="AZ1875" s="192">
        <f>S1875*(1+M1875)</f>
        <v/>
      </c>
      <c r="BA1875" s="76">
        <f>cost_fin_total*$BD1875</f>
        <v/>
      </c>
      <c r="BB1875" s="193">
        <f>credit_sales_interest*BD1875</f>
        <v/>
      </c>
      <c r="BC1875" s="102">
        <f>IFERROR(IF($I$13&gt;0,$I1875/$I$13,$S1875/$S$13),0)</f>
        <v/>
      </c>
      <c r="BD1875" s="102">
        <f>IFERROR($S1875/$S$13,0)</f>
        <v/>
      </c>
      <c r="BE1875" s="413" t="inlineStr">
        <is>
          <t>$</t>
        </is>
      </c>
    </row>
    <row r="1876" ht="12" customFormat="1" customHeight="1" s="65">
      <c r="A1876" s="43" t="n">
        <v>1861</v>
      </c>
      <c r="B1876" s="166" t="n"/>
      <c r="C1876" s="166" t="n"/>
      <c r="D1876" s="166" t="n"/>
      <c r="E1876" s="162" t="n"/>
      <c r="F1876" s="166" t="n"/>
      <c r="G1876" s="162" t="n"/>
      <c r="H1876" s="162" t="n"/>
      <c r="I1876" s="189">
        <f>E1876*G1876</f>
        <v/>
      </c>
      <c r="J1876" s="195" t="n"/>
      <c r="K1876" s="162" t="n"/>
      <c r="L1876" s="168" t="n"/>
      <c r="M1876" s="75">
        <f>_xlfn.XLOOKUP(L1876,list_vat[Страна],list_vat[Ставка НДС %],0,0)</f>
        <v/>
      </c>
      <c r="N1876" s="162">
        <f>IFERROR(IF(L1876="Китай",K1876,K1876/(1+M1876)),0)</f>
        <v/>
      </c>
      <c r="O1876" s="169" t="n"/>
      <c r="P1876" s="76">
        <f>N1876*(1-O1876)</f>
        <v/>
      </c>
      <c r="Q1876" s="162" t="n"/>
      <c r="R1876" s="162">
        <f>IF(ISBLANK(Q1876),"введи курс",P1876/Q1876)</f>
        <v/>
      </c>
      <c r="S1876" s="196">
        <f>IF(AND(ISNUMBER(E1876),ISNUMBER(Q1876)),E1876*R1876,0)</f>
        <v/>
      </c>
      <c r="T1876" s="192">
        <f>$BC1876*V$11</f>
        <v/>
      </c>
      <c r="U1876" s="76">
        <f>$BC1876*W$11</f>
        <v/>
      </c>
      <c r="V1876" s="193">
        <f>+SUM(T1876:U1876)</f>
        <v/>
      </c>
      <c r="W1876" s="191" t="n"/>
      <c r="X1876" s="170" t="n"/>
      <c r="Y1876" s="76">
        <f>ROUND(IF(offer_incoterms="DDP",X1876*(S1876*(1+AW1876)+T1876),0),2)</f>
        <v/>
      </c>
      <c r="Z1876" s="188" t="n"/>
      <c r="AA1876" s="192">
        <f>IFERROR(AB1876/E1876,0)</f>
        <v/>
      </c>
      <c r="AB1876" s="76">
        <f>ROUND(SUM(S1876,V1876,Y1876:Z1876,BA1876:BB1876),2)</f>
        <v/>
      </c>
      <c r="AC1876" s="797" t="n"/>
      <c r="AD1876" s="192">
        <f t="array" ref="AD1876">IFERROR(ROUND((_xlfn.IFS(offer_sale_type="поставка",AB1876,offer_sale_type="транзит",S1876)*(1+AC1876))/E1876,2),0)</f>
        <v/>
      </c>
      <c r="AE1876" s="76">
        <f>AD1876*E1876</f>
        <v/>
      </c>
      <c r="AF1876" s="193">
        <f t="array" ref="AF1876">IFERROR(ROUND(_xlfn.IFS(offer_sale_type="поставка",AB1876,offer_sale_type="транзит",S1876)*AC1876,2),0)</f>
        <v/>
      </c>
      <c r="AG1876" s="192">
        <f>$BD1876*VLOOKUP($AG$3,$AF$4:$AG$7,2,FALSE)</f>
        <v/>
      </c>
      <c r="AH1876" s="76">
        <f>SUM(AE1876,AG1876,AI1876)*rate_forex_risk</f>
        <v/>
      </c>
      <c r="AI1876" s="193">
        <f>IF(OR(seller_region="TR",offer_sale_type="экспорт"),0,rate_fin_comm)*SUM(AZ1876,AZ1876*AW1876,T1876)</f>
        <v/>
      </c>
      <c r="AJ1876" s="118">
        <f>IFERROR(ROUND(SUM(AB1876,AF1876:AI1876)/E1876,2),0)</f>
        <v/>
      </c>
      <c r="AK1876" s="76">
        <f>AJ1876*E1876</f>
        <v/>
      </c>
      <c r="AL1876" s="174">
        <f>ROUND(IFERROR(AM1876*E1876,0),2)</f>
        <v/>
      </c>
      <c r="AM1876" s="175">
        <f>ROUND(AJ1876*(1+IF(offer_incoterms="DDP",IF((TODAY()+offer_turnaround_time)&gt;=helpsheet!$L$17,rate_vatRU_from_26,rate_vatRu_till_25),0)),2)</f>
        <v/>
      </c>
      <c r="AN1876" s="192">
        <f>AL1876-AK1876</f>
        <v/>
      </c>
      <c r="AO1876" s="76">
        <f>SUM(AY1876,Y1876:Z1876,T1876)*IF(AND(offer_incoterms="DDP",offer_sale_type&lt;&gt;"экспорт"),IF((TODAY()+offer_turnaround_time)&gt;=helpsheet!$L$17,rate_vatRU_from_26,rate_vatRu_till_25),0)</f>
        <v/>
      </c>
      <c r="AP1876" s="193">
        <f>AN1876-AO1876</f>
        <v/>
      </c>
      <c r="AQ1876" s="118">
        <f>IF(offer_sale_type="транзит",SUM(AF1876:AI1876,BA1876,BB1876),0)</f>
        <v/>
      </c>
      <c r="AR1876" s="82">
        <f>HYPERLINK("https://www.alta.ru/tnved/code/")&amp;W1876&amp;"/"</f>
        <v/>
      </c>
      <c r="AS1876" s="157" t="n"/>
      <c r="AT1876" s="162" t="n"/>
      <c r="AU1876" s="76">
        <f>IF(ISBLANK(AT1876),0,AJ1876-AT1876)</f>
        <v/>
      </c>
      <c r="AV1876" s="157" t="n"/>
      <c r="AW1876" s="75">
        <f>_xlfn.IFNA(VLOOKUP(L1876,list_vat[],3,FALSE),0)</f>
        <v/>
      </c>
      <c r="AX1876" s="76">
        <f>IFERROR(ROUND(S1876*(1+AW1876)/E1876,2),0)</f>
        <v/>
      </c>
      <c r="AY1876" s="76">
        <f>E1876*AX1876</f>
        <v/>
      </c>
      <c r="AZ1876" s="192">
        <f>S1876*(1+M1876)</f>
        <v/>
      </c>
      <c r="BA1876" s="76">
        <f>cost_fin_total*$BD1876</f>
        <v/>
      </c>
      <c r="BB1876" s="193">
        <f>credit_sales_interest*BD1876</f>
        <v/>
      </c>
      <c r="BC1876" s="102">
        <f>IFERROR(IF($I$13&gt;0,$I1876/$I$13,$S1876/$S$13),0)</f>
        <v/>
      </c>
      <c r="BD1876" s="102">
        <f>IFERROR($S1876/$S$13,0)</f>
        <v/>
      </c>
      <c r="BE1876" s="413" t="inlineStr">
        <is>
          <t>$</t>
        </is>
      </c>
    </row>
    <row r="1877" ht="12" customFormat="1" customHeight="1" s="65">
      <c r="A1877" s="43" t="n">
        <v>1862</v>
      </c>
      <c r="B1877" s="166" t="n"/>
      <c r="C1877" s="166" t="n"/>
      <c r="D1877" s="166" t="n"/>
      <c r="E1877" s="162" t="n"/>
      <c r="F1877" s="166" t="n"/>
      <c r="G1877" s="162" t="n"/>
      <c r="H1877" s="162" t="n"/>
      <c r="I1877" s="189">
        <f>E1877*G1877</f>
        <v/>
      </c>
      <c r="J1877" s="195" t="n"/>
      <c r="K1877" s="162" t="n"/>
      <c r="L1877" s="168" t="n"/>
      <c r="M1877" s="75">
        <f>_xlfn.XLOOKUP(L1877,list_vat[Страна],list_vat[Ставка НДС %],0,0)</f>
        <v/>
      </c>
      <c r="N1877" s="162">
        <f>IFERROR(IF(L1877="Китай",K1877,K1877/(1+M1877)),0)</f>
        <v/>
      </c>
      <c r="O1877" s="169" t="n"/>
      <c r="P1877" s="76">
        <f>N1877*(1-O1877)</f>
        <v/>
      </c>
      <c r="Q1877" s="162" t="n"/>
      <c r="R1877" s="162">
        <f>IF(ISBLANK(Q1877),"введи курс",P1877/Q1877)</f>
        <v/>
      </c>
      <c r="S1877" s="196">
        <f>IF(AND(ISNUMBER(E1877),ISNUMBER(Q1877)),E1877*R1877,0)</f>
        <v/>
      </c>
      <c r="T1877" s="192">
        <f>$BC1877*V$11</f>
        <v/>
      </c>
      <c r="U1877" s="76">
        <f>$BC1877*W$11</f>
        <v/>
      </c>
      <c r="V1877" s="193">
        <f>+SUM(T1877:U1877)</f>
        <v/>
      </c>
      <c r="W1877" s="191" t="n"/>
      <c r="X1877" s="170" t="n"/>
      <c r="Y1877" s="76">
        <f>ROUND(IF(offer_incoterms="DDP",X1877*(S1877*(1+AW1877)+T1877),0),2)</f>
        <v/>
      </c>
      <c r="Z1877" s="188" t="n"/>
      <c r="AA1877" s="192">
        <f>IFERROR(AB1877/E1877,0)</f>
        <v/>
      </c>
      <c r="AB1877" s="76">
        <f>ROUND(SUM(S1877,V1877,Y1877:Z1877,BA1877:BB1877),2)</f>
        <v/>
      </c>
      <c r="AC1877" s="797" t="n"/>
      <c r="AD1877" s="192">
        <f t="array" ref="AD1877">IFERROR(ROUND((_xlfn.IFS(offer_sale_type="поставка",AB1877,offer_sale_type="транзит",S1877)*(1+AC1877))/E1877,2),0)</f>
        <v/>
      </c>
      <c r="AE1877" s="76">
        <f>AD1877*E1877</f>
        <v/>
      </c>
      <c r="AF1877" s="193">
        <f t="array" ref="AF1877">IFERROR(ROUND(_xlfn.IFS(offer_sale_type="поставка",AB1877,offer_sale_type="транзит",S1877)*AC1877,2),0)</f>
        <v/>
      </c>
      <c r="AG1877" s="192">
        <f>$BD1877*VLOOKUP($AG$3,$AF$4:$AG$7,2,FALSE)</f>
        <v/>
      </c>
      <c r="AH1877" s="76">
        <f>SUM(AE1877,AG1877,AI1877)*rate_forex_risk</f>
        <v/>
      </c>
      <c r="AI1877" s="193">
        <f>IF(OR(seller_region="TR",offer_sale_type="экспорт"),0,rate_fin_comm)*SUM(AZ1877,AZ1877*AW1877,T1877)</f>
        <v/>
      </c>
      <c r="AJ1877" s="118">
        <f>IFERROR(ROUND(SUM(AB1877,AF1877:AI1877)/E1877,2),0)</f>
        <v/>
      </c>
      <c r="AK1877" s="76">
        <f>AJ1877*E1877</f>
        <v/>
      </c>
      <c r="AL1877" s="174">
        <f>ROUND(IFERROR(AM1877*E1877,0),2)</f>
        <v/>
      </c>
      <c r="AM1877" s="175">
        <f>ROUND(AJ1877*(1+IF(offer_incoterms="DDP",IF((TODAY()+offer_turnaround_time)&gt;=helpsheet!$L$17,rate_vatRU_from_26,rate_vatRu_till_25),0)),2)</f>
        <v/>
      </c>
      <c r="AN1877" s="192">
        <f>AL1877-AK1877</f>
        <v/>
      </c>
      <c r="AO1877" s="76">
        <f>SUM(AY1877,Y1877:Z1877,T1877)*IF(AND(offer_incoterms="DDP",offer_sale_type&lt;&gt;"экспорт"),IF((TODAY()+offer_turnaround_time)&gt;=helpsheet!$L$17,rate_vatRU_from_26,rate_vatRu_till_25),0)</f>
        <v/>
      </c>
      <c r="AP1877" s="193">
        <f>AN1877-AO1877</f>
        <v/>
      </c>
      <c r="AQ1877" s="118">
        <f>IF(offer_sale_type="транзит",SUM(AF1877:AI1877,BA1877,BB1877),0)</f>
        <v/>
      </c>
      <c r="AR1877" s="82">
        <f>HYPERLINK("https://www.alta.ru/tnved/code/")&amp;W1877&amp;"/"</f>
        <v/>
      </c>
      <c r="AS1877" s="157" t="n"/>
      <c r="AT1877" s="162" t="n"/>
      <c r="AU1877" s="76">
        <f>IF(ISBLANK(AT1877),0,AJ1877-AT1877)</f>
        <v/>
      </c>
      <c r="AV1877" s="157" t="n"/>
      <c r="AW1877" s="75">
        <f>_xlfn.IFNA(VLOOKUP(L1877,list_vat[],3,FALSE),0)</f>
        <v/>
      </c>
      <c r="AX1877" s="76">
        <f>IFERROR(ROUND(S1877*(1+AW1877)/E1877,2),0)</f>
        <v/>
      </c>
      <c r="AY1877" s="76">
        <f>E1877*AX1877</f>
        <v/>
      </c>
      <c r="AZ1877" s="192">
        <f>S1877*(1+M1877)</f>
        <v/>
      </c>
      <c r="BA1877" s="76">
        <f>cost_fin_total*$BD1877</f>
        <v/>
      </c>
      <c r="BB1877" s="193">
        <f>credit_sales_interest*BD1877</f>
        <v/>
      </c>
      <c r="BC1877" s="102">
        <f>IFERROR(IF($I$13&gt;0,$I1877/$I$13,$S1877/$S$13),0)</f>
        <v/>
      </c>
      <c r="BD1877" s="102">
        <f>IFERROR($S1877/$S$13,0)</f>
        <v/>
      </c>
      <c r="BE1877" s="413" t="inlineStr">
        <is>
          <t>$</t>
        </is>
      </c>
    </row>
    <row r="1878" ht="12" customFormat="1" customHeight="1" s="65">
      <c r="A1878" s="43" t="n">
        <v>1863</v>
      </c>
      <c r="B1878" s="166" t="n"/>
      <c r="C1878" s="166" t="n"/>
      <c r="D1878" s="166" t="n"/>
      <c r="E1878" s="162" t="n"/>
      <c r="F1878" s="166" t="n"/>
      <c r="G1878" s="162" t="n"/>
      <c r="H1878" s="162" t="n"/>
      <c r="I1878" s="189">
        <f>E1878*G1878</f>
        <v/>
      </c>
      <c r="J1878" s="195" t="n"/>
      <c r="K1878" s="162" t="n"/>
      <c r="L1878" s="168" t="n"/>
      <c r="M1878" s="75">
        <f>_xlfn.XLOOKUP(L1878,list_vat[Страна],list_vat[Ставка НДС %],0,0)</f>
        <v/>
      </c>
      <c r="N1878" s="162">
        <f>IFERROR(IF(L1878="Китай",K1878,K1878/(1+M1878)),0)</f>
        <v/>
      </c>
      <c r="O1878" s="169" t="n"/>
      <c r="P1878" s="76">
        <f>N1878*(1-O1878)</f>
        <v/>
      </c>
      <c r="Q1878" s="162" t="n"/>
      <c r="R1878" s="162">
        <f>IF(ISBLANK(Q1878),"введи курс",P1878/Q1878)</f>
        <v/>
      </c>
      <c r="S1878" s="196">
        <f>IF(AND(ISNUMBER(E1878),ISNUMBER(Q1878)),E1878*R1878,0)</f>
        <v/>
      </c>
      <c r="T1878" s="192">
        <f>$BC1878*V$11</f>
        <v/>
      </c>
      <c r="U1878" s="76">
        <f>$BC1878*W$11</f>
        <v/>
      </c>
      <c r="V1878" s="193">
        <f>+SUM(T1878:U1878)</f>
        <v/>
      </c>
      <c r="W1878" s="191" t="n"/>
      <c r="X1878" s="170" t="n"/>
      <c r="Y1878" s="76">
        <f>ROUND(IF(offer_incoterms="DDP",X1878*(S1878*(1+AW1878)+T1878),0),2)</f>
        <v/>
      </c>
      <c r="Z1878" s="188" t="n"/>
      <c r="AA1878" s="192">
        <f>IFERROR(AB1878/E1878,0)</f>
        <v/>
      </c>
      <c r="AB1878" s="76">
        <f>ROUND(SUM(S1878,V1878,Y1878:Z1878,BA1878:BB1878),2)</f>
        <v/>
      </c>
      <c r="AC1878" s="797" t="n"/>
      <c r="AD1878" s="192">
        <f t="array" ref="AD1878">IFERROR(ROUND((_xlfn.IFS(offer_sale_type="поставка",AB1878,offer_sale_type="транзит",S1878)*(1+AC1878))/E1878,2),0)</f>
        <v/>
      </c>
      <c r="AE1878" s="76">
        <f>AD1878*E1878</f>
        <v/>
      </c>
      <c r="AF1878" s="193">
        <f t="array" ref="AF1878">IFERROR(ROUND(_xlfn.IFS(offer_sale_type="поставка",AB1878,offer_sale_type="транзит",S1878)*AC1878,2),0)</f>
        <v/>
      </c>
      <c r="AG1878" s="192">
        <f>$BD1878*VLOOKUP($AG$3,$AF$4:$AG$7,2,FALSE)</f>
        <v/>
      </c>
      <c r="AH1878" s="76">
        <f>SUM(AE1878,AG1878,AI1878)*rate_forex_risk</f>
        <v/>
      </c>
      <c r="AI1878" s="193">
        <f>IF(OR(seller_region="TR",offer_sale_type="экспорт"),0,rate_fin_comm)*SUM(AZ1878,AZ1878*AW1878,T1878)</f>
        <v/>
      </c>
      <c r="AJ1878" s="118">
        <f>IFERROR(ROUND(SUM(AB1878,AF1878:AI1878)/E1878,2),0)</f>
        <v/>
      </c>
      <c r="AK1878" s="76">
        <f>AJ1878*E1878</f>
        <v/>
      </c>
      <c r="AL1878" s="174">
        <f>ROUND(IFERROR(AM1878*E1878,0),2)</f>
        <v/>
      </c>
      <c r="AM1878" s="175">
        <f>ROUND(AJ1878*(1+IF(offer_incoterms="DDP",IF((TODAY()+offer_turnaround_time)&gt;=helpsheet!$L$17,rate_vatRU_from_26,rate_vatRu_till_25),0)),2)</f>
        <v/>
      </c>
      <c r="AN1878" s="192">
        <f>AL1878-AK1878</f>
        <v/>
      </c>
      <c r="AO1878" s="76">
        <f>SUM(AY1878,Y1878:Z1878,T1878)*IF(AND(offer_incoterms="DDP",offer_sale_type&lt;&gt;"экспорт"),IF((TODAY()+offer_turnaround_time)&gt;=helpsheet!$L$17,rate_vatRU_from_26,rate_vatRu_till_25),0)</f>
        <v/>
      </c>
      <c r="AP1878" s="193">
        <f>AN1878-AO1878</f>
        <v/>
      </c>
      <c r="AQ1878" s="118">
        <f>IF(offer_sale_type="транзит",SUM(AF1878:AI1878,BA1878,BB1878),0)</f>
        <v/>
      </c>
      <c r="AR1878" s="82">
        <f>HYPERLINK("https://www.alta.ru/tnved/code/")&amp;W1878&amp;"/"</f>
        <v/>
      </c>
      <c r="AS1878" s="157" t="n"/>
      <c r="AT1878" s="162" t="n"/>
      <c r="AU1878" s="76">
        <f>IF(ISBLANK(AT1878),0,AJ1878-AT1878)</f>
        <v/>
      </c>
      <c r="AV1878" s="157" t="n"/>
      <c r="AW1878" s="75">
        <f>_xlfn.IFNA(VLOOKUP(L1878,list_vat[],3,FALSE),0)</f>
        <v/>
      </c>
      <c r="AX1878" s="76">
        <f>IFERROR(ROUND(S1878*(1+AW1878)/E1878,2),0)</f>
        <v/>
      </c>
      <c r="AY1878" s="76">
        <f>E1878*AX1878</f>
        <v/>
      </c>
      <c r="AZ1878" s="192">
        <f>S1878*(1+M1878)</f>
        <v/>
      </c>
      <c r="BA1878" s="76">
        <f>cost_fin_total*$BD1878</f>
        <v/>
      </c>
      <c r="BB1878" s="193">
        <f>credit_sales_interest*BD1878</f>
        <v/>
      </c>
      <c r="BC1878" s="102">
        <f>IFERROR(IF($I$13&gt;0,$I1878/$I$13,$S1878/$S$13),0)</f>
        <v/>
      </c>
      <c r="BD1878" s="102">
        <f>IFERROR($S1878/$S$13,0)</f>
        <v/>
      </c>
      <c r="BE1878" s="413" t="inlineStr">
        <is>
          <t>$</t>
        </is>
      </c>
    </row>
    <row r="1879" ht="12" customFormat="1" customHeight="1" s="65">
      <c r="A1879" s="43" t="n">
        <v>1864</v>
      </c>
      <c r="B1879" s="166" t="n"/>
      <c r="C1879" s="166" t="n"/>
      <c r="D1879" s="166" t="n"/>
      <c r="E1879" s="162" t="n"/>
      <c r="F1879" s="166" t="n"/>
      <c r="G1879" s="162" t="n"/>
      <c r="H1879" s="162" t="n"/>
      <c r="I1879" s="189">
        <f>E1879*G1879</f>
        <v/>
      </c>
      <c r="J1879" s="195" t="n"/>
      <c r="K1879" s="162" t="n"/>
      <c r="L1879" s="168" t="n"/>
      <c r="M1879" s="75">
        <f>_xlfn.XLOOKUP(L1879,list_vat[Страна],list_vat[Ставка НДС %],0,0)</f>
        <v/>
      </c>
      <c r="N1879" s="162">
        <f>IFERROR(IF(L1879="Китай",K1879,K1879/(1+M1879)),0)</f>
        <v/>
      </c>
      <c r="O1879" s="169" t="n"/>
      <c r="P1879" s="76">
        <f>N1879*(1-O1879)</f>
        <v/>
      </c>
      <c r="Q1879" s="162" t="n"/>
      <c r="R1879" s="162">
        <f>IF(ISBLANK(Q1879),"введи курс",P1879/Q1879)</f>
        <v/>
      </c>
      <c r="S1879" s="196">
        <f>IF(AND(ISNUMBER(E1879),ISNUMBER(Q1879)),E1879*R1879,0)</f>
        <v/>
      </c>
      <c r="T1879" s="192">
        <f>$BC1879*V$11</f>
        <v/>
      </c>
      <c r="U1879" s="76">
        <f>$BC1879*W$11</f>
        <v/>
      </c>
      <c r="V1879" s="193">
        <f>+SUM(T1879:U1879)</f>
        <v/>
      </c>
      <c r="W1879" s="191" t="n"/>
      <c r="X1879" s="170" t="n"/>
      <c r="Y1879" s="76">
        <f>ROUND(IF(offer_incoterms="DDP",X1879*(S1879*(1+AW1879)+T1879),0),2)</f>
        <v/>
      </c>
      <c r="Z1879" s="188" t="n"/>
      <c r="AA1879" s="192">
        <f>IFERROR(AB1879/E1879,0)</f>
        <v/>
      </c>
      <c r="AB1879" s="76">
        <f>ROUND(SUM(S1879,V1879,Y1879:Z1879,BA1879:BB1879),2)</f>
        <v/>
      </c>
      <c r="AC1879" s="797" t="n"/>
      <c r="AD1879" s="192">
        <f t="array" ref="AD1879">IFERROR(ROUND((_xlfn.IFS(offer_sale_type="поставка",AB1879,offer_sale_type="транзит",S1879)*(1+AC1879))/E1879,2),0)</f>
        <v/>
      </c>
      <c r="AE1879" s="76">
        <f>AD1879*E1879</f>
        <v/>
      </c>
      <c r="AF1879" s="193">
        <f t="array" ref="AF1879">IFERROR(ROUND(_xlfn.IFS(offer_sale_type="поставка",AB1879,offer_sale_type="транзит",S1879)*AC1879,2),0)</f>
        <v/>
      </c>
      <c r="AG1879" s="192">
        <f>$BD1879*VLOOKUP($AG$3,$AF$4:$AG$7,2,FALSE)</f>
        <v/>
      </c>
      <c r="AH1879" s="76">
        <f>SUM(AE1879,AG1879,AI1879)*rate_forex_risk</f>
        <v/>
      </c>
      <c r="AI1879" s="193">
        <f>IF(OR(seller_region="TR",offer_sale_type="экспорт"),0,rate_fin_comm)*SUM(AZ1879,AZ1879*AW1879,T1879)</f>
        <v/>
      </c>
      <c r="AJ1879" s="118">
        <f>IFERROR(ROUND(SUM(AB1879,AF1879:AI1879)/E1879,2),0)</f>
        <v/>
      </c>
      <c r="AK1879" s="76">
        <f>AJ1879*E1879</f>
        <v/>
      </c>
      <c r="AL1879" s="174">
        <f>ROUND(IFERROR(AM1879*E1879,0),2)</f>
        <v/>
      </c>
      <c r="AM1879" s="175">
        <f>ROUND(AJ1879*(1+IF(offer_incoterms="DDP",IF((TODAY()+offer_turnaround_time)&gt;=helpsheet!$L$17,rate_vatRU_from_26,rate_vatRu_till_25),0)),2)</f>
        <v/>
      </c>
      <c r="AN1879" s="192">
        <f>AL1879-AK1879</f>
        <v/>
      </c>
      <c r="AO1879" s="76">
        <f>SUM(AY1879,Y1879:Z1879,T1879)*IF(AND(offer_incoterms="DDP",offer_sale_type&lt;&gt;"экспорт"),IF((TODAY()+offer_turnaround_time)&gt;=helpsheet!$L$17,rate_vatRU_from_26,rate_vatRu_till_25),0)</f>
        <v/>
      </c>
      <c r="AP1879" s="193">
        <f>AN1879-AO1879</f>
        <v/>
      </c>
      <c r="AQ1879" s="118">
        <f>IF(offer_sale_type="транзит",SUM(AF1879:AI1879,BA1879,BB1879),0)</f>
        <v/>
      </c>
      <c r="AR1879" s="82">
        <f>HYPERLINK("https://www.alta.ru/tnved/code/")&amp;W1879&amp;"/"</f>
        <v/>
      </c>
      <c r="AS1879" s="157" t="n"/>
      <c r="AT1879" s="162" t="n"/>
      <c r="AU1879" s="76">
        <f>IF(ISBLANK(AT1879),0,AJ1879-AT1879)</f>
        <v/>
      </c>
      <c r="AV1879" s="157" t="n"/>
      <c r="AW1879" s="75">
        <f>_xlfn.IFNA(VLOOKUP(L1879,list_vat[],3,FALSE),0)</f>
        <v/>
      </c>
      <c r="AX1879" s="76">
        <f>IFERROR(ROUND(S1879*(1+AW1879)/E1879,2),0)</f>
        <v/>
      </c>
      <c r="AY1879" s="76">
        <f>E1879*AX1879</f>
        <v/>
      </c>
      <c r="AZ1879" s="192">
        <f>S1879*(1+M1879)</f>
        <v/>
      </c>
      <c r="BA1879" s="76">
        <f>cost_fin_total*$BD1879</f>
        <v/>
      </c>
      <c r="BB1879" s="193">
        <f>credit_sales_interest*BD1879</f>
        <v/>
      </c>
      <c r="BC1879" s="102">
        <f>IFERROR(IF($I$13&gt;0,$I1879/$I$13,$S1879/$S$13),0)</f>
        <v/>
      </c>
      <c r="BD1879" s="102">
        <f>IFERROR($S1879/$S$13,0)</f>
        <v/>
      </c>
      <c r="BE1879" s="413" t="inlineStr">
        <is>
          <t>$</t>
        </is>
      </c>
    </row>
    <row r="1880" ht="12" customFormat="1" customHeight="1" s="65">
      <c r="A1880" s="43" t="n">
        <v>1865</v>
      </c>
      <c r="B1880" s="166" t="n"/>
      <c r="C1880" s="166" t="n"/>
      <c r="D1880" s="166" t="n"/>
      <c r="E1880" s="162" t="n"/>
      <c r="F1880" s="166" t="n"/>
      <c r="G1880" s="162" t="n"/>
      <c r="H1880" s="162" t="n"/>
      <c r="I1880" s="189">
        <f>E1880*G1880</f>
        <v/>
      </c>
      <c r="J1880" s="195" t="n"/>
      <c r="K1880" s="162" t="n"/>
      <c r="L1880" s="168" t="n"/>
      <c r="M1880" s="75">
        <f>_xlfn.XLOOKUP(L1880,list_vat[Страна],list_vat[Ставка НДС %],0,0)</f>
        <v/>
      </c>
      <c r="N1880" s="162">
        <f>IFERROR(IF(L1880="Китай",K1880,K1880/(1+M1880)),0)</f>
        <v/>
      </c>
      <c r="O1880" s="169" t="n"/>
      <c r="P1880" s="76">
        <f>N1880*(1-O1880)</f>
        <v/>
      </c>
      <c r="Q1880" s="162" t="n"/>
      <c r="R1880" s="162">
        <f>IF(ISBLANK(Q1880),"введи курс",P1880/Q1880)</f>
        <v/>
      </c>
      <c r="S1880" s="196">
        <f>IF(AND(ISNUMBER(E1880),ISNUMBER(Q1880)),E1880*R1880,0)</f>
        <v/>
      </c>
      <c r="T1880" s="192">
        <f>$BC1880*V$11</f>
        <v/>
      </c>
      <c r="U1880" s="76">
        <f>$BC1880*W$11</f>
        <v/>
      </c>
      <c r="V1880" s="193">
        <f>+SUM(T1880:U1880)</f>
        <v/>
      </c>
      <c r="W1880" s="191" t="n"/>
      <c r="X1880" s="170" t="n"/>
      <c r="Y1880" s="76">
        <f>ROUND(IF(offer_incoterms="DDP",X1880*(S1880*(1+AW1880)+T1880),0),2)</f>
        <v/>
      </c>
      <c r="Z1880" s="188" t="n"/>
      <c r="AA1880" s="192">
        <f>IFERROR(AB1880/E1880,0)</f>
        <v/>
      </c>
      <c r="AB1880" s="76">
        <f>ROUND(SUM(S1880,V1880,Y1880:Z1880,BA1880:BB1880),2)</f>
        <v/>
      </c>
      <c r="AC1880" s="797" t="n"/>
      <c r="AD1880" s="192">
        <f t="array" ref="AD1880">IFERROR(ROUND((_xlfn.IFS(offer_sale_type="поставка",AB1880,offer_sale_type="транзит",S1880)*(1+AC1880))/E1880,2),0)</f>
        <v/>
      </c>
      <c r="AE1880" s="76">
        <f>AD1880*E1880</f>
        <v/>
      </c>
      <c r="AF1880" s="193">
        <f t="array" ref="AF1880">IFERROR(ROUND(_xlfn.IFS(offer_sale_type="поставка",AB1880,offer_sale_type="транзит",S1880)*AC1880,2),0)</f>
        <v/>
      </c>
      <c r="AG1880" s="192">
        <f>$BD1880*VLOOKUP($AG$3,$AF$4:$AG$7,2,FALSE)</f>
        <v/>
      </c>
      <c r="AH1880" s="76">
        <f>SUM(AE1880,AG1880,AI1880)*rate_forex_risk</f>
        <v/>
      </c>
      <c r="AI1880" s="193">
        <f>IF(OR(seller_region="TR",offer_sale_type="экспорт"),0,rate_fin_comm)*SUM(AZ1880,AZ1880*AW1880,T1880)</f>
        <v/>
      </c>
      <c r="AJ1880" s="118">
        <f>IFERROR(ROUND(SUM(AB1880,AF1880:AI1880)/E1880,2),0)</f>
        <v/>
      </c>
      <c r="AK1880" s="76">
        <f>AJ1880*E1880</f>
        <v/>
      </c>
      <c r="AL1880" s="174">
        <f>ROUND(IFERROR(AM1880*E1880,0),2)</f>
        <v/>
      </c>
      <c r="AM1880" s="175">
        <f>ROUND(AJ1880*(1+IF(offer_incoterms="DDP",IF((TODAY()+offer_turnaround_time)&gt;=helpsheet!$L$17,rate_vatRU_from_26,rate_vatRu_till_25),0)),2)</f>
        <v/>
      </c>
      <c r="AN1880" s="192">
        <f>AL1880-AK1880</f>
        <v/>
      </c>
      <c r="AO1880" s="76">
        <f>SUM(AY1880,Y1880:Z1880,T1880)*IF(AND(offer_incoterms="DDP",offer_sale_type&lt;&gt;"экспорт"),IF((TODAY()+offer_turnaround_time)&gt;=helpsheet!$L$17,rate_vatRU_from_26,rate_vatRu_till_25),0)</f>
        <v/>
      </c>
      <c r="AP1880" s="193">
        <f>AN1880-AO1880</f>
        <v/>
      </c>
      <c r="AQ1880" s="118">
        <f>IF(offer_sale_type="транзит",SUM(AF1880:AI1880,BA1880,BB1880),0)</f>
        <v/>
      </c>
      <c r="AR1880" s="82">
        <f>HYPERLINK("https://www.alta.ru/tnved/code/")&amp;W1880&amp;"/"</f>
        <v/>
      </c>
      <c r="AS1880" s="157" t="n"/>
      <c r="AT1880" s="162" t="n"/>
      <c r="AU1880" s="76">
        <f>IF(ISBLANK(AT1880),0,AJ1880-AT1880)</f>
        <v/>
      </c>
      <c r="AV1880" s="157" t="n"/>
      <c r="AW1880" s="75">
        <f>_xlfn.IFNA(VLOOKUP(L1880,list_vat[],3,FALSE),0)</f>
        <v/>
      </c>
      <c r="AX1880" s="76">
        <f>IFERROR(ROUND(S1880*(1+AW1880)/E1880,2),0)</f>
        <v/>
      </c>
      <c r="AY1880" s="76">
        <f>E1880*AX1880</f>
        <v/>
      </c>
      <c r="AZ1880" s="192">
        <f>S1880*(1+M1880)</f>
        <v/>
      </c>
      <c r="BA1880" s="76">
        <f>cost_fin_total*$BD1880</f>
        <v/>
      </c>
      <c r="BB1880" s="193">
        <f>credit_sales_interest*BD1880</f>
        <v/>
      </c>
      <c r="BC1880" s="102">
        <f>IFERROR(IF($I$13&gt;0,$I1880/$I$13,$S1880/$S$13),0)</f>
        <v/>
      </c>
      <c r="BD1880" s="102">
        <f>IFERROR($S1880/$S$13,0)</f>
        <v/>
      </c>
      <c r="BE1880" s="413" t="inlineStr">
        <is>
          <t>$</t>
        </is>
      </c>
    </row>
    <row r="1881" ht="12" customFormat="1" customHeight="1" s="65">
      <c r="A1881" s="43" t="n">
        <v>1866</v>
      </c>
      <c r="B1881" s="166" t="n"/>
      <c r="C1881" s="166" t="n"/>
      <c r="D1881" s="166" t="n"/>
      <c r="E1881" s="162" t="n"/>
      <c r="F1881" s="166" t="n"/>
      <c r="G1881" s="162" t="n"/>
      <c r="H1881" s="162" t="n"/>
      <c r="I1881" s="189">
        <f>E1881*G1881</f>
        <v/>
      </c>
      <c r="J1881" s="195" t="n"/>
      <c r="K1881" s="162" t="n"/>
      <c r="L1881" s="168" t="n"/>
      <c r="M1881" s="75">
        <f>_xlfn.XLOOKUP(L1881,list_vat[Страна],list_vat[Ставка НДС %],0,0)</f>
        <v/>
      </c>
      <c r="N1881" s="162">
        <f>IFERROR(IF(L1881="Китай",K1881,K1881/(1+M1881)),0)</f>
        <v/>
      </c>
      <c r="O1881" s="169" t="n"/>
      <c r="P1881" s="76">
        <f>N1881*(1-O1881)</f>
        <v/>
      </c>
      <c r="Q1881" s="162" t="n"/>
      <c r="R1881" s="162">
        <f>IF(ISBLANK(Q1881),"введи курс",P1881/Q1881)</f>
        <v/>
      </c>
      <c r="S1881" s="196">
        <f>IF(AND(ISNUMBER(E1881),ISNUMBER(Q1881)),E1881*R1881,0)</f>
        <v/>
      </c>
      <c r="T1881" s="192">
        <f>$BC1881*V$11</f>
        <v/>
      </c>
      <c r="U1881" s="76">
        <f>$BC1881*W$11</f>
        <v/>
      </c>
      <c r="V1881" s="193">
        <f>+SUM(T1881:U1881)</f>
        <v/>
      </c>
      <c r="W1881" s="191" t="n"/>
      <c r="X1881" s="170" t="n"/>
      <c r="Y1881" s="76">
        <f>ROUND(IF(offer_incoterms="DDP",X1881*(S1881*(1+AW1881)+T1881),0),2)</f>
        <v/>
      </c>
      <c r="Z1881" s="188" t="n"/>
      <c r="AA1881" s="192">
        <f>IFERROR(AB1881/E1881,0)</f>
        <v/>
      </c>
      <c r="AB1881" s="76">
        <f>ROUND(SUM(S1881,V1881,Y1881:Z1881,BA1881:BB1881),2)</f>
        <v/>
      </c>
      <c r="AC1881" s="797" t="n"/>
      <c r="AD1881" s="192">
        <f t="array" ref="AD1881">IFERROR(ROUND((_xlfn.IFS(offer_sale_type="поставка",AB1881,offer_sale_type="транзит",S1881)*(1+AC1881))/E1881,2),0)</f>
        <v/>
      </c>
      <c r="AE1881" s="76">
        <f>AD1881*E1881</f>
        <v/>
      </c>
      <c r="AF1881" s="193">
        <f t="array" ref="AF1881">IFERROR(ROUND(_xlfn.IFS(offer_sale_type="поставка",AB1881,offer_sale_type="транзит",S1881)*AC1881,2),0)</f>
        <v/>
      </c>
      <c r="AG1881" s="192">
        <f>$BD1881*VLOOKUP($AG$3,$AF$4:$AG$7,2,FALSE)</f>
        <v/>
      </c>
      <c r="AH1881" s="76">
        <f>SUM(AE1881,AG1881,AI1881)*rate_forex_risk</f>
        <v/>
      </c>
      <c r="AI1881" s="193">
        <f>IF(OR(seller_region="TR",offer_sale_type="экспорт"),0,rate_fin_comm)*SUM(AZ1881,AZ1881*AW1881,T1881)</f>
        <v/>
      </c>
      <c r="AJ1881" s="118">
        <f>IFERROR(ROUND(SUM(AB1881,AF1881:AI1881)/E1881,2),0)</f>
        <v/>
      </c>
      <c r="AK1881" s="76">
        <f>AJ1881*E1881</f>
        <v/>
      </c>
      <c r="AL1881" s="174">
        <f>ROUND(IFERROR(AM1881*E1881,0),2)</f>
        <v/>
      </c>
      <c r="AM1881" s="175">
        <f>ROUND(AJ1881*(1+IF(offer_incoterms="DDP",IF((TODAY()+offer_turnaround_time)&gt;=helpsheet!$L$17,rate_vatRU_from_26,rate_vatRu_till_25),0)),2)</f>
        <v/>
      </c>
      <c r="AN1881" s="192">
        <f>AL1881-AK1881</f>
        <v/>
      </c>
      <c r="AO1881" s="76">
        <f>SUM(AY1881,Y1881:Z1881,T1881)*IF(AND(offer_incoterms="DDP",offer_sale_type&lt;&gt;"экспорт"),IF((TODAY()+offer_turnaround_time)&gt;=helpsheet!$L$17,rate_vatRU_from_26,rate_vatRu_till_25),0)</f>
        <v/>
      </c>
      <c r="AP1881" s="193">
        <f>AN1881-AO1881</f>
        <v/>
      </c>
      <c r="AQ1881" s="118">
        <f>IF(offer_sale_type="транзит",SUM(AF1881:AI1881,BA1881,BB1881),0)</f>
        <v/>
      </c>
      <c r="AR1881" s="82">
        <f>HYPERLINK("https://www.alta.ru/tnved/code/")&amp;W1881&amp;"/"</f>
        <v/>
      </c>
      <c r="AS1881" s="157" t="n"/>
      <c r="AT1881" s="162" t="n"/>
      <c r="AU1881" s="76">
        <f>IF(ISBLANK(AT1881),0,AJ1881-AT1881)</f>
        <v/>
      </c>
      <c r="AV1881" s="157" t="n"/>
      <c r="AW1881" s="75">
        <f>_xlfn.IFNA(VLOOKUP(L1881,list_vat[],3,FALSE),0)</f>
        <v/>
      </c>
      <c r="AX1881" s="76">
        <f>IFERROR(ROUND(S1881*(1+AW1881)/E1881,2),0)</f>
        <v/>
      </c>
      <c r="AY1881" s="76">
        <f>E1881*AX1881</f>
        <v/>
      </c>
      <c r="AZ1881" s="192">
        <f>S1881*(1+M1881)</f>
        <v/>
      </c>
      <c r="BA1881" s="76">
        <f>cost_fin_total*$BD1881</f>
        <v/>
      </c>
      <c r="BB1881" s="193">
        <f>credit_sales_interest*BD1881</f>
        <v/>
      </c>
      <c r="BC1881" s="102">
        <f>IFERROR(IF($I$13&gt;0,$I1881/$I$13,$S1881/$S$13),0)</f>
        <v/>
      </c>
      <c r="BD1881" s="102">
        <f>IFERROR($S1881/$S$13,0)</f>
        <v/>
      </c>
      <c r="BE1881" s="413" t="inlineStr">
        <is>
          <t>$</t>
        </is>
      </c>
    </row>
    <row r="1882" ht="12" customFormat="1" customHeight="1" s="65">
      <c r="A1882" s="43" t="n">
        <v>1867</v>
      </c>
      <c r="B1882" s="166" t="n"/>
      <c r="C1882" s="166" t="n"/>
      <c r="D1882" s="166" t="n"/>
      <c r="E1882" s="162" t="n"/>
      <c r="F1882" s="166" t="n"/>
      <c r="G1882" s="162" t="n"/>
      <c r="H1882" s="162" t="n"/>
      <c r="I1882" s="189">
        <f>E1882*G1882</f>
        <v/>
      </c>
      <c r="J1882" s="195" t="n"/>
      <c r="K1882" s="162" t="n"/>
      <c r="L1882" s="168" t="n"/>
      <c r="M1882" s="75">
        <f>_xlfn.XLOOKUP(L1882,list_vat[Страна],list_vat[Ставка НДС %],0,0)</f>
        <v/>
      </c>
      <c r="N1882" s="162">
        <f>IFERROR(IF(L1882="Китай",K1882,K1882/(1+M1882)),0)</f>
        <v/>
      </c>
      <c r="O1882" s="169" t="n"/>
      <c r="P1882" s="76">
        <f>N1882*(1-O1882)</f>
        <v/>
      </c>
      <c r="Q1882" s="162" t="n"/>
      <c r="R1882" s="162">
        <f>IF(ISBLANK(Q1882),"введи курс",P1882/Q1882)</f>
        <v/>
      </c>
      <c r="S1882" s="196">
        <f>IF(AND(ISNUMBER(E1882),ISNUMBER(Q1882)),E1882*R1882,0)</f>
        <v/>
      </c>
      <c r="T1882" s="192">
        <f>$BC1882*V$11</f>
        <v/>
      </c>
      <c r="U1882" s="76">
        <f>$BC1882*W$11</f>
        <v/>
      </c>
      <c r="V1882" s="193">
        <f>+SUM(T1882:U1882)</f>
        <v/>
      </c>
      <c r="W1882" s="191" t="n"/>
      <c r="X1882" s="170" t="n"/>
      <c r="Y1882" s="76">
        <f>ROUND(IF(offer_incoterms="DDP",X1882*(S1882*(1+AW1882)+T1882),0),2)</f>
        <v/>
      </c>
      <c r="Z1882" s="188" t="n"/>
      <c r="AA1882" s="192">
        <f>IFERROR(AB1882/E1882,0)</f>
        <v/>
      </c>
      <c r="AB1882" s="76">
        <f>ROUND(SUM(S1882,V1882,Y1882:Z1882,BA1882:BB1882),2)</f>
        <v/>
      </c>
      <c r="AC1882" s="797" t="n"/>
      <c r="AD1882" s="192">
        <f t="array" ref="AD1882">IFERROR(ROUND((_xlfn.IFS(offer_sale_type="поставка",AB1882,offer_sale_type="транзит",S1882)*(1+AC1882))/E1882,2),0)</f>
        <v/>
      </c>
      <c r="AE1882" s="76">
        <f>AD1882*E1882</f>
        <v/>
      </c>
      <c r="AF1882" s="193">
        <f t="array" ref="AF1882">IFERROR(ROUND(_xlfn.IFS(offer_sale_type="поставка",AB1882,offer_sale_type="транзит",S1882)*AC1882,2),0)</f>
        <v/>
      </c>
      <c r="AG1882" s="192">
        <f>$BD1882*VLOOKUP($AG$3,$AF$4:$AG$7,2,FALSE)</f>
        <v/>
      </c>
      <c r="AH1882" s="76">
        <f>SUM(AE1882,AG1882,AI1882)*rate_forex_risk</f>
        <v/>
      </c>
      <c r="AI1882" s="193">
        <f>IF(OR(seller_region="TR",offer_sale_type="экспорт"),0,rate_fin_comm)*SUM(AZ1882,AZ1882*AW1882,T1882)</f>
        <v/>
      </c>
      <c r="AJ1882" s="118">
        <f>IFERROR(ROUND(SUM(AB1882,AF1882:AI1882)/E1882,2),0)</f>
        <v/>
      </c>
      <c r="AK1882" s="76">
        <f>AJ1882*E1882</f>
        <v/>
      </c>
      <c r="AL1882" s="174">
        <f>ROUND(IFERROR(AM1882*E1882,0),2)</f>
        <v/>
      </c>
      <c r="AM1882" s="175">
        <f>ROUND(AJ1882*(1+IF(offer_incoterms="DDP",IF((TODAY()+offer_turnaround_time)&gt;=helpsheet!$L$17,rate_vatRU_from_26,rate_vatRu_till_25),0)),2)</f>
        <v/>
      </c>
      <c r="AN1882" s="192">
        <f>AL1882-AK1882</f>
        <v/>
      </c>
      <c r="AO1882" s="76">
        <f>SUM(AY1882,Y1882:Z1882,T1882)*IF(AND(offer_incoterms="DDP",offer_sale_type&lt;&gt;"экспорт"),IF((TODAY()+offer_turnaround_time)&gt;=helpsheet!$L$17,rate_vatRU_from_26,rate_vatRu_till_25),0)</f>
        <v/>
      </c>
      <c r="AP1882" s="193">
        <f>AN1882-AO1882</f>
        <v/>
      </c>
      <c r="AQ1882" s="118">
        <f>IF(offer_sale_type="транзит",SUM(AF1882:AI1882,BA1882,BB1882),0)</f>
        <v/>
      </c>
      <c r="AR1882" s="82">
        <f>HYPERLINK("https://www.alta.ru/tnved/code/")&amp;W1882&amp;"/"</f>
        <v/>
      </c>
      <c r="AS1882" s="157" t="n"/>
      <c r="AT1882" s="162" t="n"/>
      <c r="AU1882" s="76">
        <f>IF(ISBLANK(AT1882),0,AJ1882-AT1882)</f>
        <v/>
      </c>
      <c r="AV1882" s="157" t="n"/>
      <c r="AW1882" s="75">
        <f>_xlfn.IFNA(VLOOKUP(L1882,list_vat[],3,FALSE),0)</f>
        <v/>
      </c>
      <c r="AX1882" s="76">
        <f>IFERROR(ROUND(S1882*(1+AW1882)/E1882,2),0)</f>
        <v/>
      </c>
      <c r="AY1882" s="76">
        <f>E1882*AX1882</f>
        <v/>
      </c>
      <c r="AZ1882" s="192">
        <f>S1882*(1+M1882)</f>
        <v/>
      </c>
      <c r="BA1882" s="76">
        <f>cost_fin_total*$BD1882</f>
        <v/>
      </c>
      <c r="BB1882" s="193">
        <f>credit_sales_interest*BD1882</f>
        <v/>
      </c>
      <c r="BC1882" s="102">
        <f>IFERROR(IF($I$13&gt;0,$I1882/$I$13,$S1882/$S$13),0)</f>
        <v/>
      </c>
      <c r="BD1882" s="102">
        <f>IFERROR($S1882/$S$13,0)</f>
        <v/>
      </c>
      <c r="BE1882" s="413" t="inlineStr">
        <is>
          <t>$</t>
        </is>
      </c>
    </row>
    <row r="1883" ht="12" customFormat="1" customHeight="1" s="65">
      <c r="A1883" s="43" t="n">
        <v>1868</v>
      </c>
      <c r="B1883" s="166" t="n"/>
      <c r="C1883" s="166" t="n"/>
      <c r="D1883" s="166" t="n"/>
      <c r="E1883" s="162" t="n"/>
      <c r="F1883" s="166" t="n"/>
      <c r="G1883" s="162" t="n"/>
      <c r="H1883" s="162" t="n"/>
      <c r="I1883" s="189">
        <f>E1883*G1883</f>
        <v/>
      </c>
      <c r="J1883" s="195" t="n"/>
      <c r="K1883" s="162" t="n"/>
      <c r="L1883" s="168" t="n"/>
      <c r="M1883" s="75">
        <f>_xlfn.XLOOKUP(L1883,list_vat[Страна],list_vat[Ставка НДС %],0,0)</f>
        <v/>
      </c>
      <c r="N1883" s="162">
        <f>IFERROR(IF(L1883="Китай",K1883,K1883/(1+M1883)),0)</f>
        <v/>
      </c>
      <c r="O1883" s="169" t="n"/>
      <c r="P1883" s="76">
        <f>N1883*(1-O1883)</f>
        <v/>
      </c>
      <c r="Q1883" s="162" t="n"/>
      <c r="R1883" s="162">
        <f>IF(ISBLANK(Q1883),"введи курс",P1883/Q1883)</f>
        <v/>
      </c>
      <c r="S1883" s="196">
        <f>IF(AND(ISNUMBER(E1883),ISNUMBER(Q1883)),E1883*R1883,0)</f>
        <v/>
      </c>
      <c r="T1883" s="192">
        <f>$BC1883*V$11</f>
        <v/>
      </c>
      <c r="U1883" s="76">
        <f>$BC1883*W$11</f>
        <v/>
      </c>
      <c r="V1883" s="193">
        <f>+SUM(T1883:U1883)</f>
        <v/>
      </c>
      <c r="W1883" s="191" t="n"/>
      <c r="X1883" s="170" t="n"/>
      <c r="Y1883" s="76">
        <f>ROUND(IF(offer_incoterms="DDP",X1883*(S1883*(1+AW1883)+T1883),0),2)</f>
        <v/>
      </c>
      <c r="Z1883" s="188" t="n"/>
      <c r="AA1883" s="192">
        <f>IFERROR(AB1883/E1883,0)</f>
        <v/>
      </c>
      <c r="AB1883" s="76">
        <f>ROUND(SUM(S1883,V1883,Y1883:Z1883,BA1883:BB1883),2)</f>
        <v/>
      </c>
      <c r="AC1883" s="797" t="n"/>
      <c r="AD1883" s="192">
        <f t="array" ref="AD1883">IFERROR(ROUND((_xlfn.IFS(offer_sale_type="поставка",AB1883,offer_sale_type="транзит",S1883)*(1+AC1883))/E1883,2),0)</f>
        <v/>
      </c>
      <c r="AE1883" s="76">
        <f>AD1883*E1883</f>
        <v/>
      </c>
      <c r="AF1883" s="193">
        <f t="array" ref="AF1883">IFERROR(ROUND(_xlfn.IFS(offer_sale_type="поставка",AB1883,offer_sale_type="транзит",S1883)*AC1883,2),0)</f>
        <v/>
      </c>
      <c r="AG1883" s="192">
        <f>$BD1883*VLOOKUP($AG$3,$AF$4:$AG$7,2,FALSE)</f>
        <v/>
      </c>
      <c r="AH1883" s="76">
        <f>SUM(AE1883,AG1883,AI1883)*rate_forex_risk</f>
        <v/>
      </c>
      <c r="AI1883" s="193">
        <f>IF(OR(seller_region="TR",offer_sale_type="экспорт"),0,rate_fin_comm)*SUM(AZ1883,AZ1883*AW1883,T1883)</f>
        <v/>
      </c>
      <c r="AJ1883" s="118">
        <f>IFERROR(ROUND(SUM(AB1883,AF1883:AI1883)/E1883,2),0)</f>
        <v/>
      </c>
      <c r="AK1883" s="76">
        <f>AJ1883*E1883</f>
        <v/>
      </c>
      <c r="AL1883" s="174">
        <f>ROUND(IFERROR(AM1883*E1883,0),2)</f>
        <v/>
      </c>
      <c r="AM1883" s="175">
        <f>ROUND(AJ1883*(1+IF(offer_incoterms="DDP",IF((TODAY()+offer_turnaround_time)&gt;=helpsheet!$L$17,rate_vatRU_from_26,rate_vatRu_till_25),0)),2)</f>
        <v/>
      </c>
      <c r="AN1883" s="192">
        <f>AL1883-AK1883</f>
        <v/>
      </c>
      <c r="AO1883" s="76">
        <f>SUM(AY1883,Y1883:Z1883,T1883)*IF(AND(offer_incoterms="DDP",offer_sale_type&lt;&gt;"экспорт"),IF((TODAY()+offer_turnaround_time)&gt;=helpsheet!$L$17,rate_vatRU_from_26,rate_vatRu_till_25),0)</f>
        <v/>
      </c>
      <c r="AP1883" s="193">
        <f>AN1883-AO1883</f>
        <v/>
      </c>
      <c r="AQ1883" s="118">
        <f>IF(offer_sale_type="транзит",SUM(AF1883:AI1883,BA1883,BB1883),0)</f>
        <v/>
      </c>
      <c r="AR1883" s="82">
        <f>HYPERLINK("https://www.alta.ru/tnved/code/")&amp;W1883&amp;"/"</f>
        <v/>
      </c>
      <c r="AS1883" s="157" t="n"/>
      <c r="AT1883" s="162" t="n"/>
      <c r="AU1883" s="76">
        <f>IF(ISBLANK(AT1883),0,AJ1883-AT1883)</f>
        <v/>
      </c>
      <c r="AV1883" s="157" t="n"/>
      <c r="AW1883" s="75">
        <f>_xlfn.IFNA(VLOOKUP(L1883,list_vat[],3,FALSE),0)</f>
        <v/>
      </c>
      <c r="AX1883" s="76">
        <f>IFERROR(ROUND(S1883*(1+AW1883)/E1883,2),0)</f>
        <v/>
      </c>
      <c r="AY1883" s="76">
        <f>E1883*AX1883</f>
        <v/>
      </c>
      <c r="AZ1883" s="192">
        <f>S1883*(1+M1883)</f>
        <v/>
      </c>
      <c r="BA1883" s="76">
        <f>cost_fin_total*$BD1883</f>
        <v/>
      </c>
      <c r="BB1883" s="193">
        <f>credit_sales_interest*BD1883</f>
        <v/>
      </c>
      <c r="BC1883" s="102">
        <f>IFERROR(IF($I$13&gt;0,$I1883/$I$13,$S1883/$S$13),0)</f>
        <v/>
      </c>
      <c r="BD1883" s="102">
        <f>IFERROR($S1883/$S$13,0)</f>
        <v/>
      </c>
      <c r="BE1883" s="413" t="inlineStr">
        <is>
          <t>$</t>
        </is>
      </c>
    </row>
    <row r="1884" ht="12" customFormat="1" customHeight="1" s="65">
      <c r="A1884" s="43" t="n">
        <v>1869</v>
      </c>
      <c r="B1884" s="166" t="n"/>
      <c r="C1884" s="166" t="n"/>
      <c r="D1884" s="166" t="n"/>
      <c r="E1884" s="162" t="n"/>
      <c r="F1884" s="166" t="n"/>
      <c r="G1884" s="162" t="n"/>
      <c r="H1884" s="162" t="n"/>
      <c r="I1884" s="189">
        <f>E1884*G1884</f>
        <v/>
      </c>
      <c r="J1884" s="195" t="n"/>
      <c r="K1884" s="162" t="n"/>
      <c r="L1884" s="168" t="n"/>
      <c r="M1884" s="75">
        <f>_xlfn.XLOOKUP(L1884,list_vat[Страна],list_vat[Ставка НДС %],0,0)</f>
        <v/>
      </c>
      <c r="N1884" s="162">
        <f>IFERROR(IF(L1884="Китай",K1884,K1884/(1+M1884)),0)</f>
        <v/>
      </c>
      <c r="O1884" s="169" t="n"/>
      <c r="P1884" s="76">
        <f>N1884*(1-O1884)</f>
        <v/>
      </c>
      <c r="Q1884" s="162" t="n"/>
      <c r="R1884" s="162">
        <f>IF(ISBLANK(Q1884),"введи курс",P1884/Q1884)</f>
        <v/>
      </c>
      <c r="S1884" s="196">
        <f>IF(AND(ISNUMBER(E1884),ISNUMBER(Q1884)),E1884*R1884,0)</f>
        <v/>
      </c>
      <c r="T1884" s="192">
        <f>$BC1884*V$11</f>
        <v/>
      </c>
      <c r="U1884" s="76">
        <f>$BC1884*W$11</f>
        <v/>
      </c>
      <c r="V1884" s="193">
        <f>+SUM(T1884:U1884)</f>
        <v/>
      </c>
      <c r="W1884" s="191" t="n"/>
      <c r="X1884" s="170" t="n"/>
      <c r="Y1884" s="76">
        <f>ROUND(IF(offer_incoterms="DDP",X1884*(S1884*(1+AW1884)+T1884),0),2)</f>
        <v/>
      </c>
      <c r="Z1884" s="188" t="n"/>
      <c r="AA1884" s="192">
        <f>IFERROR(AB1884/E1884,0)</f>
        <v/>
      </c>
      <c r="AB1884" s="76">
        <f>ROUND(SUM(S1884,V1884,Y1884:Z1884,BA1884:BB1884),2)</f>
        <v/>
      </c>
      <c r="AC1884" s="797" t="n"/>
      <c r="AD1884" s="192">
        <f t="array" ref="AD1884">IFERROR(ROUND((_xlfn.IFS(offer_sale_type="поставка",AB1884,offer_sale_type="транзит",S1884)*(1+AC1884))/E1884,2),0)</f>
        <v/>
      </c>
      <c r="AE1884" s="76">
        <f>AD1884*E1884</f>
        <v/>
      </c>
      <c r="AF1884" s="193">
        <f t="array" ref="AF1884">IFERROR(ROUND(_xlfn.IFS(offer_sale_type="поставка",AB1884,offer_sale_type="транзит",S1884)*AC1884,2),0)</f>
        <v/>
      </c>
      <c r="AG1884" s="192">
        <f>$BD1884*VLOOKUP($AG$3,$AF$4:$AG$7,2,FALSE)</f>
        <v/>
      </c>
      <c r="AH1884" s="76">
        <f>SUM(AE1884,AG1884,AI1884)*rate_forex_risk</f>
        <v/>
      </c>
      <c r="AI1884" s="193">
        <f>IF(OR(seller_region="TR",offer_sale_type="экспорт"),0,rate_fin_comm)*SUM(AZ1884,AZ1884*AW1884,T1884)</f>
        <v/>
      </c>
      <c r="AJ1884" s="118">
        <f>IFERROR(ROUND(SUM(AB1884,AF1884:AI1884)/E1884,2),0)</f>
        <v/>
      </c>
      <c r="AK1884" s="76">
        <f>AJ1884*E1884</f>
        <v/>
      </c>
      <c r="AL1884" s="174">
        <f>ROUND(IFERROR(AM1884*E1884,0),2)</f>
        <v/>
      </c>
      <c r="AM1884" s="175">
        <f>ROUND(AJ1884*(1+IF(offer_incoterms="DDP",IF((TODAY()+offer_turnaround_time)&gt;=helpsheet!$L$17,rate_vatRU_from_26,rate_vatRu_till_25),0)),2)</f>
        <v/>
      </c>
      <c r="AN1884" s="192">
        <f>AL1884-AK1884</f>
        <v/>
      </c>
      <c r="AO1884" s="76">
        <f>SUM(AY1884,Y1884:Z1884,T1884)*IF(AND(offer_incoterms="DDP",offer_sale_type&lt;&gt;"экспорт"),IF((TODAY()+offer_turnaround_time)&gt;=helpsheet!$L$17,rate_vatRU_from_26,rate_vatRu_till_25),0)</f>
        <v/>
      </c>
      <c r="AP1884" s="193">
        <f>AN1884-AO1884</f>
        <v/>
      </c>
      <c r="AQ1884" s="118">
        <f>IF(offer_sale_type="транзит",SUM(AF1884:AI1884,BA1884,BB1884),0)</f>
        <v/>
      </c>
      <c r="AR1884" s="82">
        <f>HYPERLINK("https://www.alta.ru/tnved/code/")&amp;W1884&amp;"/"</f>
        <v/>
      </c>
      <c r="AS1884" s="157" t="n"/>
      <c r="AT1884" s="162" t="n"/>
      <c r="AU1884" s="76">
        <f>IF(ISBLANK(AT1884),0,AJ1884-AT1884)</f>
        <v/>
      </c>
      <c r="AV1884" s="157" t="n"/>
      <c r="AW1884" s="75">
        <f>_xlfn.IFNA(VLOOKUP(L1884,list_vat[],3,FALSE),0)</f>
        <v/>
      </c>
      <c r="AX1884" s="76">
        <f>IFERROR(ROUND(S1884*(1+AW1884)/E1884,2),0)</f>
        <v/>
      </c>
      <c r="AY1884" s="76">
        <f>E1884*AX1884</f>
        <v/>
      </c>
      <c r="AZ1884" s="192">
        <f>S1884*(1+M1884)</f>
        <v/>
      </c>
      <c r="BA1884" s="76">
        <f>cost_fin_total*$BD1884</f>
        <v/>
      </c>
      <c r="BB1884" s="193">
        <f>credit_sales_interest*BD1884</f>
        <v/>
      </c>
      <c r="BC1884" s="102">
        <f>IFERROR(IF($I$13&gt;0,$I1884/$I$13,$S1884/$S$13),0)</f>
        <v/>
      </c>
      <c r="BD1884" s="102">
        <f>IFERROR($S1884/$S$13,0)</f>
        <v/>
      </c>
      <c r="BE1884" s="413" t="inlineStr">
        <is>
          <t>$</t>
        </is>
      </c>
    </row>
    <row r="1885" ht="12" customFormat="1" customHeight="1" s="65">
      <c r="A1885" s="43" t="n">
        <v>1870</v>
      </c>
      <c r="B1885" s="166" t="n"/>
      <c r="C1885" s="166" t="n"/>
      <c r="D1885" s="166" t="n"/>
      <c r="E1885" s="162" t="n"/>
      <c r="F1885" s="166" t="n"/>
      <c r="G1885" s="162" t="n"/>
      <c r="H1885" s="162" t="n"/>
      <c r="I1885" s="189">
        <f>E1885*G1885</f>
        <v/>
      </c>
      <c r="J1885" s="195" t="n"/>
      <c r="K1885" s="162" t="n"/>
      <c r="L1885" s="168" t="n"/>
      <c r="M1885" s="75">
        <f>_xlfn.XLOOKUP(L1885,list_vat[Страна],list_vat[Ставка НДС %],0,0)</f>
        <v/>
      </c>
      <c r="N1885" s="162">
        <f>IFERROR(IF(L1885="Китай",K1885,K1885/(1+M1885)),0)</f>
        <v/>
      </c>
      <c r="O1885" s="169" t="n"/>
      <c r="P1885" s="76">
        <f>N1885*(1-O1885)</f>
        <v/>
      </c>
      <c r="Q1885" s="162" t="n"/>
      <c r="R1885" s="162">
        <f>IF(ISBLANK(Q1885),"введи курс",P1885/Q1885)</f>
        <v/>
      </c>
      <c r="S1885" s="196">
        <f>IF(AND(ISNUMBER(E1885),ISNUMBER(Q1885)),E1885*R1885,0)</f>
        <v/>
      </c>
      <c r="T1885" s="192">
        <f>$BC1885*V$11</f>
        <v/>
      </c>
      <c r="U1885" s="76">
        <f>$BC1885*W$11</f>
        <v/>
      </c>
      <c r="V1885" s="193">
        <f>+SUM(T1885:U1885)</f>
        <v/>
      </c>
      <c r="W1885" s="191" t="n"/>
      <c r="X1885" s="170" t="n"/>
      <c r="Y1885" s="76">
        <f>ROUND(IF(offer_incoterms="DDP",X1885*(S1885*(1+AW1885)+T1885),0),2)</f>
        <v/>
      </c>
      <c r="Z1885" s="188" t="n"/>
      <c r="AA1885" s="192">
        <f>IFERROR(AB1885/E1885,0)</f>
        <v/>
      </c>
      <c r="AB1885" s="76">
        <f>ROUND(SUM(S1885,V1885,Y1885:Z1885,BA1885:BB1885),2)</f>
        <v/>
      </c>
      <c r="AC1885" s="797" t="n"/>
      <c r="AD1885" s="192">
        <f t="array" ref="AD1885">IFERROR(ROUND((_xlfn.IFS(offer_sale_type="поставка",AB1885,offer_sale_type="транзит",S1885)*(1+AC1885))/E1885,2),0)</f>
        <v/>
      </c>
      <c r="AE1885" s="76">
        <f>AD1885*E1885</f>
        <v/>
      </c>
      <c r="AF1885" s="193">
        <f t="array" ref="AF1885">IFERROR(ROUND(_xlfn.IFS(offer_sale_type="поставка",AB1885,offer_sale_type="транзит",S1885)*AC1885,2),0)</f>
        <v/>
      </c>
      <c r="AG1885" s="192">
        <f>$BD1885*VLOOKUP($AG$3,$AF$4:$AG$7,2,FALSE)</f>
        <v/>
      </c>
      <c r="AH1885" s="76">
        <f>SUM(AE1885,AG1885,AI1885)*rate_forex_risk</f>
        <v/>
      </c>
      <c r="AI1885" s="193">
        <f>IF(OR(seller_region="TR",offer_sale_type="экспорт"),0,rate_fin_comm)*SUM(AZ1885,AZ1885*AW1885,T1885)</f>
        <v/>
      </c>
      <c r="AJ1885" s="118">
        <f>IFERROR(ROUND(SUM(AB1885,AF1885:AI1885)/E1885,2),0)</f>
        <v/>
      </c>
      <c r="AK1885" s="76">
        <f>AJ1885*E1885</f>
        <v/>
      </c>
      <c r="AL1885" s="174">
        <f>ROUND(IFERROR(AM1885*E1885,0),2)</f>
        <v/>
      </c>
      <c r="AM1885" s="175">
        <f>ROUND(AJ1885*(1+IF(offer_incoterms="DDP",IF((TODAY()+offer_turnaround_time)&gt;=helpsheet!$L$17,rate_vatRU_from_26,rate_vatRu_till_25),0)),2)</f>
        <v/>
      </c>
      <c r="AN1885" s="192">
        <f>AL1885-AK1885</f>
        <v/>
      </c>
      <c r="AO1885" s="76">
        <f>SUM(AY1885,Y1885:Z1885,T1885)*IF(AND(offer_incoterms="DDP",offer_sale_type&lt;&gt;"экспорт"),IF((TODAY()+offer_turnaround_time)&gt;=helpsheet!$L$17,rate_vatRU_from_26,rate_vatRu_till_25),0)</f>
        <v/>
      </c>
      <c r="AP1885" s="193">
        <f>AN1885-AO1885</f>
        <v/>
      </c>
      <c r="AQ1885" s="118">
        <f>IF(offer_sale_type="транзит",SUM(AF1885:AI1885,BA1885,BB1885),0)</f>
        <v/>
      </c>
      <c r="AR1885" s="82">
        <f>HYPERLINK("https://www.alta.ru/tnved/code/")&amp;W1885&amp;"/"</f>
        <v/>
      </c>
      <c r="AS1885" s="157" t="n"/>
      <c r="AT1885" s="162" t="n"/>
      <c r="AU1885" s="76">
        <f>IF(ISBLANK(AT1885),0,AJ1885-AT1885)</f>
        <v/>
      </c>
      <c r="AV1885" s="157" t="n"/>
      <c r="AW1885" s="75">
        <f>_xlfn.IFNA(VLOOKUP(L1885,list_vat[],3,FALSE),0)</f>
        <v/>
      </c>
      <c r="AX1885" s="76">
        <f>IFERROR(ROUND(S1885*(1+AW1885)/E1885,2),0)</f>
        <v/>
      </c>
      <c r="AY1885" s="76">
        <f>E1885*AX1885</f>
        <v/>
      </c>
      <c r="AZ1885" s="192">
        <f>S1885*(1+M1885)</f>
        <v/>
      </c>
      <c r="BA1885" s="76">
        <f>cost_fin_total*$BD1885</f>
        <v/>
      </c>
      <c r="BB1885" s="193">
        <f>credit_sales_interest*BD1885</f>
        <v/>
      </c>
      <c r="BC1885" s="102">
        <f>IFERROR(IF($I$13&gt;0,$I1885/$I$13,$S1885/$S$13),0)</f>
        <v/>
      </c>
      <c r="BD1885" s="102">
        <f>IFERROR($S1885/$S$13,0)</f>
        <v/>
      </c>
      <c r="BE1885" s="413" t="inlineStr">
        <is>
          <t>$</t>
        </is>
      </c>
    </row>
    <row r="1886" ht="12" customFormat="1" customHeight="1" s="65">
      <c r="A1886" s="43" t="n">
        <v>1871</v>
      </c>
      <c r="B1886" s="166" t="n"/>
      <c r="C1886" s="166" t="n"/>
      <c r="D1886" s="166" t="n"/>
      <c r="E1886" s="162" t="n"/>
      <c r="F1886" s="166" t="n"/>
      <c r="G1886" s="162" t="n"/>
      <c r="H1886" s="162" t="n"/>
      <c r="I1886" s="189">
        <f>E1886*G1886</f>
        <v/>
      </c>
      <c r="J1886" s="195" t="n"/>
      <c r="K1886" s="162" t="n"/>
      <c r="L1886" s="168" t="n"/>
      <c r="M1886" s="75">
        <f>_xlfn.XLOOKUP(L1886,list_vat[Страна],list_vat[Ставка НДС %],0,0)</f>
        <v/>
      </c>
      <c r="N1886" s="162">
        <f>IFERROR(IF(L1886="Китай",K1886,K1886/(1+M1886)),0)</f>
        <v/>
      </c>
      <c r="O1886" s="169" t="n"/>
      <c r="P1886" s="76">
        <f>N1886*(1-O1886)</f>
        <v/>
      </c>
      <c r="Q1886" s="162" t="n"/>
      <c r="R1886" s="162">
        <f>IF(ISBLANK(Q1886),"введи курс",P1886/Q1886)</f>
        <v/>
      </c>
      <c r="S1886" s="196">
        <f>IF(AND(ISNUMBER(E1886),ISNUMBER(Q1886)),E1886*R1886,0)</f>
        <v/>
      </c>
      <c r="T1886" s="192">
        <f>$BC1886*V$11</f>
        <v/>
      </c>
      <c r="U1886" s="76">
        <f>$BC1886*W$11</f>
        <v/>
      </c>
      <c r="V1886" s="193">
        <f>+SUM(T1886:U1886)</f>
        <v/>
      </c>
      <c r="W1886" s="191" t="n"/>
      <c r="X1886" s="170" t="n"/>
      <c r="Y1886" s="76">
        <f>ROUND(IF(offer_incoterms="DDP",X1886*(S1886*(1+AW1886)+T1886),0),2)</f>
        <v/>
      </c>
      <c r="Z1886" s="188" t="n"/>
      <c r="AA1886" s="192">
        <f>IFERROR(AB1886/E1886,0)</f>
        <v/>
      </c>
      <c r="AB1886" s="76">
        <f>ROUND(SUM(S1886,V1886,Y1886:Z1886,BA1886:BB1886),2)</f>
        <v/>
      </c>
      <c r="AC1886" s="797" t="n"/>
      <c r="AD1886" s="192">
        <f t="array" ref="AD1886">IFERROR(ROUND((_xlfn.IFS(offer_sale_type="поставка",AB1886,offer_sale_type="транзит",S1886)*(1+AC1886))/E1886,2),0)</f>
        <v/>
      </c>
      <c r="AE1886" s="76">
        <f>AD1886*E1886</f>
        <v/>
      </c>
      <c r="AF1886" s="193">
        <f t="array" ref="AF1886">IFERROR(ROUND(_xlfn.IFS(offer_sale_type="поставка",AB1886,offer_sale_type="транзит",S1886)*AC1886,2),0)</f>
        <v/>
      </c>
      <c r="AG1886" s="192">
        <f>$BD1886*VLOOKUP($AG$3,$AF$4:$AG$7,2,FALSE)</f>
        <v/>
      </c>
      <c r="AH1886" s="76">
        <f>SUM(AE1886,AG1886,AI1886)*rate_forex_risk</f>
        <v/>
      </c>
      <c r="AI1886" s="193">
        <f>IF(OR(seller_region="TR",offer_sale_type="экспорт"),0,rate_fin_comm)*SUM(AZ1886,AZ1886*AW1886,T1886)</f>
        <v/>
      </c>
      <c r="AJ1886" s="118">
        <f>IFERROR(ROUND(SUM(AB1886,AF1886:AI1886)/E1886,2),0)</f>
        <v/>
      </c>
      <c r="AK1886" s="76">
        <f>AJ1886*E1886</f>
        <v/>
      </c>
      <c r="AL1886" s="174">
        <f>ROUND(IFERROR(AM1886*E1886,0),2)</f>
        <v/>
      </c>
      <c r="AM1886" s="175">
        <f>ROUND(AJ1886*(1+IF(offer_incoterms="DDP",IF((TODAY()+offer_turnaround_time)&gt;=helpsheet!$L$17,rate_vatRU_from_26,rate_vatRu_till_25),0)),2)</f>
        <v/>
      </c>
      <c r="AN1886" s="192">
        <f>AL1886-AK1886</f>
        <v/>
      </c>
      <c r="AO1886" s="76">
        <f>SUM(AY1886,Y1886:Z1886,T1886)*IF(AND(offer_incoterms="DDP",offer_sale_type&lt;&gt;"экспорт"),IF((TODAY()+offer_turnaround_time)&gt;=helpsheet!$L$17,rate_vatRU_from_26,rate_vatRu_till_25),0)</f>
        <v/>
      </c>
      <c r="AP1886" s="193">
        <f>AN1886-AO1886</f>
        <v/>
      </c>
      <c r="AQ1886" s="118">
        <f>IF(offer_sale_type="транзит",SUM(AF1886:AI1886,BA1886,BB1886),0)</f>
        <v/>
      </c>
      <c r="AR1886" s="82">
        <f>HYPERLINK("https://www.alta.ru/tnved/code/")&amp;W1886&amp;"/"</f>
        <v/>
      </c>
      <c r="AS1886" s="157" t="n"/>
      <c r="AT1886" s="162" t="n"/>
      <c r="AU1886" s="76">
        <f>IF(ISBLANK(AT1886),0,AJ1886-AT1886)</f>
        <v/>
      </c>
      <c r="AV1886" s="157" t="n"/>
      <c r="AW1886" s="75">
        <f>_xlfn.IFNA(VLOOKUP(L1886,list_vat[],3,FALSE),0)</f>
        <v/>
      </c>
      <c r="AX1886" s="76">
        <f>IFERROR(ROUND(S1886*(1+AW1886)/E1886,2),0)</f>
        <v/>
      </c>
      <c r="AY1886" s="76">
        <f>E1886*AX1886</f>
        <v/>
      </c>
      <c r="AZ1886" s="192">
        <f>S1886*(1+M1886)</f>
        <v/>
      </c>
      <c r="BA1886" s="76">
        <f>cost_fin_total*$BD1886</f>
        <v/>
      </c>
      <c r="BB1886" s="193">
        <f>credit_sales_interest*BD1886</f>
        <v/>
      </c>
      <c r="BC1886" s="102">
        <f>IFERROR(IF($I$13&gt;0,$I1886/$I$13,$S1886/$S$13),0)</f>
        <v/>
      </c>
      <c r="BD1886" s="102">
        <f>IFERROR($S1886/$S$13,0)</f>
        <v/>
      </c>
      <c r="BE1886" s="413" t="inlineStr">
        <is>
          <t>$</t>
        </is>
      </c>
    </row>
    <row r="1887" ht="12" customFormat="1" customHeight="1" s="65">
      <c r="A1887" s="43" t="n">
        <v>1872</v>
      </c>
      <c r="B1887" s="166" t="n"/>
      <c r="C1887" s="166" t="n"/>
      <c r="D1887" s="166" t="n"/>
      <c r="E1887" s="162" t="n"/>
      <c r="F1887" s="166" t="n"/>
      <c r="G1887" s="162" t="n"/>
      <c r="H1887" s="162" t="n"/>
      <c r="I1887" s="189">
        <f>E1887*G1887</f>
        <v/>
      </c>
      <c r="J1887" s="195" t="n"/>
      <c r="K1887" s="162" t="n"/>
      <c r="L1887" s="168" t="n"/>
      <c r="M1887" s="75">
        <f>_xlfn.XLOOKUP(L1887,list_vat[Страна],list_vat[Ставка НДС %],0,0)</f>
        <v/>
      </c>
      <c r="N1887" s="162">
        <f>IFERROR(IF(L1887="Китай",K1887,K1887/(1+M1887)),0)</f>
        <v/>
      </c>
      <c r="O1887" s="169" t="n"/>
      <c r="P1887" s="76">
        <f>N1887*(1-O1887)</f>
        <v/>
      </c>
      <c r="Q1887" s="162" t="n"/>
      <c r="R1887" s="162">
        <f>IF(ISBLANK(Q1887),"введи курс",P1887/Q1887)</f>
        <v/>
      </c>
      <c r="S1887" s="196">
        <f>IF(AND(ISNUMBER(E1887),ISNUMBER(Q1887)),E1887*R1887,0)</f>
        <v/>
      </c>
      <c r="T1887" s="192">
        <f>$BC1887*V$11</f>
        <v/>
      </c>
      <c r="U1887" s="76">
        <f>$BC1887*W$11</f>
        <v/>
      </c>
      <c r="V1887" s="193">
        <f>+SUM(T1887:U1887)</f>
        <v/>
      </c>
      <c r="W1887" s="191" t="n"/>
      <c r="X1887" s="170" t="n"/>
      <c r="Y1887" s="76">
        <f>ROUND(IF(offer_incoterms="DDP",X1887*(S1887*(1+AW1887)+T1887),0),2)</f>
        <v/>
      </c>
      <c r="Z1887" s="188" t="n"/>
      <c r="AA1887" s="192">
        <f>IFERROR(AB1887/E1887,0)</f>
        <v/>
      </c>
      <c r="AB1887" s="76">
        <f>ROUND(SUM(S1887,V1887,Y1887:Z1887,BA1887:BB1887),2)</f>
        <v/>
      </c>
      <c r="AC1887" s="797" t="n"/>
      <c r="AD1887" s="192">
        <f t="array" ref="AD1887">IFERROR(ROUND((_xlfn.IFS(offer_sale_type="поставка",AB1887,offer_sale_type="транзит",S1887)*(1+AC1887))/E1887,2),0)</f>
        <v/>
      </c>
      <c r="AE1887" s="76">
        <f>AD1887*E1887</f>
        <v/>
      </c>
      <c r="AF1887" s="193">
        <f t="array" ref="AF1887">IFERROR(ROUND(_xlfn.IFS(offer_sale_type="поставка",AB1887,offer_sale_type="транзит",S1887)*AC1887,2),0)</f>
        <v/>
      </c>
      <c r="AG1887" s="192">
        <f>$BD1887*VLOOKUP($AG$3,$AF$4:$AG$7,2,FALSE)</f>
        <v/>
      </c>
      <c r="AH1887" s="76">
        <f>SUM(AE1887,AG1887,AI1887)*rate_forex_risk</f>
        <v/>
      </c>
      <c r="AI1887" s="193">
        <f>IF(OR(seller_region="TR",offer_sale_type="экспорт"),0,rate_fin_comm)*SUM(AZ1887,AZ1887*AW1887,T1887)</f>
        <v/>
      </c>
      <c r="AJ1887" s="118">
        <f>IFERROR(ROUND(SUM(AB1887,AF1887:AI1887)/E1887,2),0)</f>
        <v/>
      </c>
      <c r="AK1887" s="76">
        <f>AJ1887*E1887</f>
        <v/>
      </c>
      <c r="AL1887" s="174">
        <f>ROUND(IFERROR(AM1887*E1887,0),2)</f>
        <v/>
      </c>
      <c r="AM1887" s="175">
        <f>ROUND(AJ1887*(1+IF(offer_incoterms="DDP",IF((TODAY()+offer_turnaround_time)&gt;=helpsheet!$L$17,rate_vatRU_from_26,rate_vatRu_till_25),0)),2)</f>
        <v/>
      </c>
      <c r="AN1887" s="192">
        <f>AL1887-AK1887</f>
        <v/>
      </c>
      <c r="AO1887" s="76">
        <f>SUM(AY1887,Y1887:Z1887,T1887)*IF(AND(offer_incoterms="DDP",offer_sale_type&lt;&gt;"экспорт"),IF((TODAY()+offer_turnaround_time)&gt;=helpsheet!$L$17,rate_vatRU_from_26,rate_vatRu_till_25),0)</f>
        <v/>
      </c>
      <c r="AP1887" s="193">
        <f>AN1887-AO1887</f>
        <v/>
      </c>
      <c r="AQ1887" s="118">
        <f>IF(offer_sale_type="транзит",SUM(AF1887:AI1887,BA1887,BB1887),0)</f>
        <v/>
      </c>
      <c r="AR1887" s="82">
        <f>HYPERLINK("https://www.alta.ru/tnved/code/")&amp;W1887&amp;"/"</f>
        <v/>
      </c>
      <c r="AS1887" s="157" t="n"/>
      <c r="AT1887" s="162" t="n"/>
      <c r="AU1887" s="76">
        <f>IF(ISBLANK(AT1887),0,AJ1887-AT1887)</f>
        <v/>
      </c>
      <c r="AV1887" s="157" t="n"/>
      <c r="AW1887" s="75">
        <f>_xlfn.IFNA(VLOOKUP(L1887,list_vat[],3,FALSE),0)</f>
        <v/>
      </c>
      <c r="AX1887" s="76">
        <f>IFERROR(ROUND(S1887*(1+AW1887)/E1887,2),0)</f>
        <v/>
      </c>
      <c r="AY1887" s="76">
        <f>E1887*AX1887</f>
        <v/>
      </c>
      <c r="AZ1887" s="192">
        <f>S1887*(1+M1887)</f>
        <v/>
      </c>
      <c r="BA1887" s="76">
        <f>cost_fin_total*$BD1887</f>
        <v/>
      </c>
      <c r="BB1887" s="193">
        <f>credit_sales_interest*BD1887</f>
        <v/>
      </c>
      <c r="BC1887" s="102">
        <f>IFERROR(IF($I$13&gt;0,$I1887/$I$13,$S1887/$S$13),0)</f>
        <v/>
      </c>
      <c r="BD1887" s="102">
        <f>IFERROR($S1887/$S$13,0)</f>
        <v/>
      </c>
      <c r="BE1887" s="413" t="inlineStr">
        <is>
          <t>$</t>
        </is>
      </c>
    </row>
    <row r="1888" ht="12" customFormat="1" customHeight="1" s="65">
      <c r="A1888" s="43" t="n">
        <v>1873</v>
      </c>
      <c r="B1888" s="166" t="n"/>
      <c r="C1888" s="166" t="n"/>
      <c r="D1888" s="166" t="n"/>
      <c r="E1888" s="162" t="n"/>
      <c r="F1888" s="166" t="n"/>
      <c r="G1888" s="162" t="n"/>
      <c r="H1888" s="162" t="n"/>
      <c r="I1888" s="189">
        <f>E1888*G1888</f>
        <v/>
      </c>
      <c r="J1888" s="195" t="n"/>
      <c r="K1888" s="162" t="n"/>
      <c r="L1888" s="168" t="n"/>
      <c r="M1888" s="75">
        <f>_xlfn.XLOOKUP(L1888,list_vat[Страна],list_vat[Ставка НДС %],0,0)</f>
        <v/>
      </c>
      <c r="N1888" s="162">
        <f>IFERROR(IF(L1888="Китай",K1888,K1888/(1+M1888)),0)</f>
        <v/>
      </c>
      <c r="O1888" s="169" t="n"/>
      <c r="P1888" s="76">
        <f>N1888*(1-O1888)</f>
        <v/>
      </c>
      <c r="Q1888" s="162" t="n"/>
      <c r="R1888" s="162">
        <f>IF(ISBLANK(Q1888),"введи курс",P1888/Q1888)</f>
        <v/>
      </c>
      <c r="S1888" s="196">
        <f>IF(AND(ISNUMBER(E1888),ISNUMBER(Q1888)),E1888*R1888,0)</f>
        <v/>
      </c>
      <c r="T1888" s="192">
        <f>$BC1888*V$11</f>
        <v/>
      </c>
      <c r="U1888" s="76">
        <f>$BC1888*W$11</f>
        <v/>
      </c>
      <c r="V1888" s="193">
        <f>+SUM(T1888:U1888)</f>
        <v/>
      </c>
      <c r="W1888" s="191" t="n"/>
      <c r="X1888" s="170" t="n"/>
      <c r="Y1888" s="76">
        <f>ROUND(IF(offer_incoterms="DDP",X1888*(S1888*(1+AW1888)+T1888),0),2)</f>
        <v/>
      </c>
      <c r="Z1888" s="188" t="n"/>
      <c r="AA1888" s="192">
        <f>IFERROR(AB1888/E1888,0)</f>
        <v/>
      </c>
      <c r="AB1888" s="76">
        <f>ROUND(SUM(S1888,V1888,Y1888:Z1888,BA1888:BB1888),2)</f>
        <v/>
      </c>
      <c r="AC1888" s="797" t="n"/>
      <c r="AD1888" s="192">
        <f t="array" ref="AD1888">IFERROR(ROUND((_xlfn.IFS(offer_sale_type="поставка",AB1888,offer_sale_type="транзит",S1888)*(1+AC1888))/E1888,2),0)</f>
        <v/>
      </c>
      <c r="AE1888" s="76">
        <f>AD1888*E1888</f>
        <v/>
      </c>
      <c r="AF1888" s="193">
        <f t="array" ref="AF1888">IFERROR(ROUND(_xlfn.IFS(offer_sale_type="поставка",AB1888,offer_sale_type="транзит",S1888)*AC1888,2),0)</f>
        <v/>
      </c>
      <c r="AG1888" s="192">
        <f>$BD1888*VLOOKUP($AG$3,$AF$4:$AG$7,2,FALSE)</f>
        <v/>
      </c>
      <c r="AH1888" s="76">
        <f>SUM(AE1888,AG1888,AI1888)*rate_forex_risk</f>
        <v/>
      </c>
      <c r="AI1888" s="193">
        <f>IF(OR(seller_region="TR",offer_sale_type="экспорт"),0,rate_fin_comm)*SUM(AZ1888,AZ1888*AW1888,T1888)</f>
        <v/>
      </c>
      <c r="AJ1888" s="118">
        <f>IFERROR(ROUND(SUM(AB1888,AF1888:AI1888)/E1888,2),0)</f>
        <v/>
      </c>
      <c r="AK1888" s="76">
        <f>AJ1888*E1888</f>
        <v/>
      </c>
      <c r="AL1888" s="174">
        <f>ROUND(IFERROR(AM1888*E1888,0),2)</f>
        <v/>
      </c>
      <c r="AM1888" s="175">
        <f>ROUND(AJ1888*(1+IF(offer_incoterms="DDP",IF((TODAY()+offer_turnaround_time)&gt;=helpsheet!$L$17,rate_vatRU_from_26,rate_vatRu_till_25),0)),2)</f>
        <v/>
      </c>
      <c r="AN1888" s="192">
        <f>AL1888-AK1888</f>
        <v/>
      </c>
      <c r="AO1888" s="76">
        <f>SUM(AY1888,Y1888:Z1888,T1888)*IF(AND(offer_incoterms="DDP",offer_sale_type&lt;&gt;"экспорт"),IF((TODAY()+offer_turnaround_time)&gt;=helpsheet!$L$17,rate_vatRU_from_26,rate_vatRu_till_25),0)</f>
        <v/>
      </c>
      <c r="AP1888" s="193">
        <f>AN1888-AO1888</f>
        <v/>
      </c>
      <c r="AQ1888" s="118">
        <f>IF(offer_sale_type="транзит",SUM(AF1888:AI1888,BA1888,BB1888),0)</f>
        <v/>
      </c>
      <c r="AR1888" s="82">
        <f>HYPERLINK("https://www.alta.ru/tnved/code/")&amp;W1888&amp;"/"</f>
        <v/>
      </c>
      <c r="AS1888" s="157" t="n"/>
      <c r="AT1888" s="162" t="n"/>
      <c r="AU1888" s="76">
        <f>IF(ISBLANK(AT1888),0,AJ1888-AT1888)</f>
        <v/>
      </c>
      <c r="AV1888" s="157" t="n"/>
      <c r="AW1888" s="75">
        <f>_xlfn.IFNA(VLOOKUP(L1888,list_vat[],3,FALSE),0)</f>
        <v/>
      </c>
      <c r="AX1888" s="76">
        <f>IFERROR(ROUND(S1888*(1+AW1888)/E1888,2),0)</f>
        <v/>
      </c>
      <c r="AY1888" s="76">
        <f>E1888*AX1888</f>
        <v/>
      </c>
      <c r="AZ1888" s="192">
        <f>S1888*(1+M1888)</f>
        <v/>
      </c>
      <c r="BA1888" s="76">
        <f>cost_fin_total*$BD1888</f>
        <v/>
      </c>
      <c r="BB1888" s="193">
        <f>credit_sales_interest*BD1888</f>
        <v/>
      </c>
      <c r="BC1888" s="102">
        <f>IFERROR(IF($I$13&gt;0,$I1888/$I$13,$S1888/$S$13),0)</f>
        <v/>
      </c>
      <c r="BD1888" s="102">
        <f>IFERROR($S1888/$S$13,0)</f>
        <v/>
      </c>
      <c r="BE1888" s="413" t="inlineStr">
        <is>
          <t>$</t>
        </is>
      </c>
    </row>
    <row r="1889" ht="12" customFormat="1" customHeight="1" s="65">
      <c r="A1889" s="43" t="n">
        <v>1874</v>
      </c>
      <c r="B1889" s="166" t="n"/>
      <c r="C1889" s="166" t="n"/>
      <c r="D1889" s="166" t="n"/>
      <c r="E1889" s="162" t="n"/>
      <c r="F1889" s="166" t="n"/>
      <c r="G1889" s="162" t="n"/>
      <c r="H1889" s="162" t="n"/>
      <c r="I1889" s="189">
        <f>E1889*G1889</f>
        <v/>
      </c>
      <c r="J1889" s="195" t="n"/>
      <c r="K1889" s="162" t="n"/>
      <c r="L1889" s="168" t="n"/>
      <c r="M1889" s="75">
        <f>_xlfn.XLOOKUP(L1889,list_vat[Страна],list_vat[Ставка НДС %],0,0)</f>
        <v/>
      </c>
      <c r="N1889" s="162">
        <f>IFERROR(IF(L1889="Китай",K1889,K1889/(1+M1889)),0)</f>
        <v/>
      </c>
      <c r="O1889" s="169" t="n"/>
      <c r="P1889" s="76">
        <f>N1889*(1-O1889)</f>
        <v/>
      </c>
      <c r="Q1889" s="162" t="n"/>
      <c r="R1889" s="162">
        <f>IF(ISBLANK(Q1889),"введи курс",P1889/Q1889)</f>
        <v/>
      </c>
      <c r="S1889" s="196">
        <f>IF(AND(ISNUMBER(E1889),ISNUMBER(Q1889)),E1889*R1889,0)</f>
        <v/>
      </c>
      <c r="T1889" s="192">
        <f>$BC1889*V$11</f>
        <v/>
      </c>
      <c r="U1889" s="76">
        <f>$BC1889*W$11</f>
        <v/>
      </c>
      <c r="V1889" s="193">
        <f>+SUM(T1889:U1889)</f>
        <v/>
      </c>
      <c r="W1889" s="191" t="n"/>
      <c r="X1889" s="170" t="n"/>
      <c r="Y1889" s="76">
        <f>ROUND(IF(offer_incoterms="DDP",X1889*(S1889*(1+AW1889)+T1889),0),2)</f>
        <v/>
      </c>
      <c r="Z1889" s="188" t="n"/>
      <c r="AA1889" s="192">
        <f>IFERROR(AB1889/E1889,0)</f>
        <v/>
      </c>
      <c r="AB1889" s="76">
        <f>ROUND(SUM(S1889,V1889,Y1889:Z1889,BA1889:BB1889),2)</f>
        <v/>
      </c>
      <c r="AC1889" s="797" t="n"/>
      <c r="AD1889" s="192">
        <f t="array" ref="AD1889">IFERROR(ROUND((_xlfn.IFS(offer_sale_type="поставка",AB1889,offer_sale_type="транзит",S1889)*(1+AC1889))/E1889,2),0)</f>
        <v/>
      </c>
      <c r="AE1889" s="76">
        <f>AD1889*E1889</f>
        <v/>
      </c>
      <c r="AF1889" s="193">
        <f t="array" ref="AF1889">IFERROR(ROUND(_xlfn.IFS(offer_sale_type="поставка",AB1889,offer_sale_type="транзит",S1889)*AC1889,2),0)</f>
        <v/>
      </c>
      <c r="AG1889" s="192">
        <f>$BD1889*VLOOKUP($AG$3,$AF$4:$AG$7,2,FALSE)</f>
        <v/>
      </c>
      <c r="AH1889" s="76">
        <f>SUM(AE1889,AG1889,AI1889)*rate_forex_risk</f>
        <v/>
      </c>
      <c r="AI1889" s="193">
        <f>IF(OR(seller_region="TR",offer_sale_type="экспорт"),0,rate_fin_comm)*SUM(AZ1889,AZ1889*AW1889,T1889)</f>
        <v/>
      </c>
      <c r="AJ1889" s="118">
        <f>IFERROR(ROUND(SUM(AB1889,AF1889:AI1889)/E1889,2),0)</f>
        <v/>
      </c>
      <c r="AK1889" s="76">
        <f>AJ1889*E1889</f>
        <v/>
      </c>
      <c r="AL1889" s="174">
        <f>ROUND(IFERROR(AM1889*E1889,0),2)</f>
        <v/>
      </c>
      <c r="AM1889" s="175">
        <f>ROUND(AJ1889*(1+IF(offer_incoterms="DDP",IF((TODAY()+offer_turnaround_time)&gt;=helpsheet!$L$17,rate_vatRU_from_26,rate_vatRu_till_25),0)),2)</f>
        <v/>
      </c>
      <c r="AN1889" s="192">
        <f>AL1889-AK1889</f>
        <v/>
      </c>
      <c r="AO1889" s="76">
        <f>SUM(AY1889,Y1889:Z1889,T1889)*IF(AND(offer_incoterms="DDP",offer_sale_type&lt;&gt;"экспорт"),IF((TODAY()+offer_turnaround_time)&gt;=helpsheet!$L$17,rate_vatRU_from_26,rate_vatRu_till_25),0)</f>
        <v/>
      </c>
      <c r="AP1889" s="193">
        <f>AN1889-AO1889</f>
        <v/>
      </c>
      <c r="AQ1889" s="118">
        <f>IF(offer_sale_type="транзит",SUM(AF1889:AI1889,BA1889,BB1889),0)</f>
        <v/>
      </c>
      <c r="AR1889" s="82">
        <f>HYPERLINK("https://www.alta.ru/tnved/code/")&amp;W1889&amp;"/"</f>
        <v/>
      </c>
      <c r="AS1889" s="157" t="n"/>
      <c r="AT1889" s="162" t="n"/>
      <c r="AU1889" s="76">
        <f>IF(ISBLANK(AT1889),0,AJ1889-AT1889)</f>
        <v/>
      </c>
      <c r="AV1889" s="157" t="n"/>
      <c r="AW1889" s="75">
        <f>_xlfn.IFNA(VLOOKUP(L1889,list_vat[],3,FALSE),0)</f>
        <v/>
      </c>
      <c r="AX1889" s="76">
        <f>IFERROR(ROUND(S1889*(1+AW1889)/E1889,2),0)</f>
        <v/>
      </c>
      <c r="AY1889" s="76">
        <f>E1889*AX1889</f>
        <v/>
      </c>
      <c r="AZ1889" s="192">
        <f>S1889*(1+M1889)</f>
        <v/>
      </c>
      <c r="BA1889" s="76">
        <f>cost_fin_total*$BD1889</f>
        <v/>
      </c>
      <c r="BB1889" s="193">
        <f>credit_sales_interest*BD1889</f>
        <v/>
      </c>
      <c r="BC1889" s="102">
        <f>IFERROR(IF($I$13&gt;0,$I1889/$I$13,$S1889/$S$13),0)</f>
        <v/>
      </c>
      <c r="BD1889" s="102">
        <f>IFERROR($S1889/$S$13,0)</f>
        <v/>
      </c>
      <c r="BE1889" s="413" t="inlineStr">
        <is>
          <t>$</t>
        </is>
      </c>
    </row>
    <row r="1890" ht="12" customFormat="1" customHeight="1" s="65">
      <c r="A1890" s="43" t="n">
        <v>1875</v>
      </c>
      <c r="B1890" s="166" t="n"/>
      <c r="C1890" s="166" t="n"/>
      <c r="D1890" s="166" t="n"/>
      <c r="E1890" s="162" t="n"/>
      <c r="F1890" s="166" t="n"/>
      <c r="G1890" s="162" t="n"/>
      <c r="H1890" s="162" t="n"/>
      <c r="I1890" s="189">
        <f>E1890*G1890</f>
        <v/>
      </c>
      <c r="J1890" s="195" t="n"/>
      <c r="K1890" s="162" t="n"/>
      <c r="L1890" s="168" t="n"/>
      <c r="M1890" s="75">
        <f>_xlfn.XLOOKUP(L1890,list_vat[Страна],list_vat[Ставка НДС %],0,0)</f>
        <v/>
      </c>
      <c r="N1890" s="162">
        <f>IFERROR(IF(L1890="Китай",K1890,K1890/(1+M1890)),0)</f>
        <v/>
      </c>
      <c r="O1890" s="169" t="n"/>
      <c r="P1890" s="76">
        <f>N1890*(1-O1890)</f>
        <v/>
      </c>
      <c r="Q1890" s="162" t="n"/>
      <c r="R1890" s="162">
        <f>IF(ISBLANK(Q1890),"введи курс",P1890/Q1890)</f>
        <v/>
      </c>
      <c r="S1890" s="196">
        <f>IF(AND(ISNUMBER(E1890),ISNUMBER(Q1890)),E1890*R1890,0)</f>
        <v/>
      </c>
      <c r="T1890" s="192">
        <f>$BC1890*V$11</f>
        <v/>
      </c>
      <c r="U1890" s="76">
        <f>$BC1890*W$11</f>
        <v/>
      </c>
      <c r="V1890" s="193">
        <f>+SUM(T1890:U1890)</f>
        <v/>
      </c>
      <c r="W1890" s="191" t="n"/>
      <c r="X1890" s="170" t="n"/>
      <c r="Y1890" s="76">
        <f>ROUND(IF(offer_incoterms="DDP",X1890*(S1890*(1+AW1890)+T1890),0),2)</f>
        <v/>
      </c>
      <c r="Z1890" s="188" t="n"/>
      <c r="AA1890" s="192">
        <f>IFERROR(AB1890/E1890,0)</f>
        <v/>
      </c>
      <c r="AB1890" s="76">
        <f>ROUND(SUM(S1890,V1890,Y1890:Z1890,BA1890:BB1890),2)</f>
        <v/>
      </c>
      <c r="AC1890" s="797" t="n"/>
      <c r="AD1890" s="192">
        <f t="array" ref="AD1890">IFERROR(ROUND((_xlfn.IFS(offer_sale_type="поставка",AB1890,offer_sale_type="транзит",S1890)*(1+AC1890))/E1890,2),0)</f>
        <v/>
      </c>
      <c r="AE1890" s="76">
        <f>AD1890*E1890</f>
        <v/>
      </c>
      <c r="AF1890" s="193">
        <f t="array" ref="AF1890">IFERROR(ROUND(_xlfn.IFS(offer_sale_type="поставка",AB1890,offer_sale_type="транзит",S1890)*AC1890,2),0)</f>
        <v/>
      </c>
      <c r="AG1890" s="192">
        <f>$BD1890*VLOOKUP($AG$3,$AF$4:$AG$7,2,FALSE)</f>
        <v/>
      </c>
      <c r="AH1890" s="76">
        <f>SUM(AE1890,AG1890,AI1890)*rate_forex_risk</f>
        <v/>
      </c>
      <c r="AI1890" s="193">
        <f>IF(OR(seller_region="TR",offer_sale_type="экспорт"),0,rate_fin_comm)*SUM(AZ1890,AZ1890*AW1890,T1890)</f>
        <v/>
      </c>
      <c r="AJ1890" s="118">
        <f>IFERROR(ROUND(SUM(AB1890,AF1890:AI1890)/E1890,2),0)</f>
        <v/>
      </c>
      <c r="AK1890" s="76">
        <f>AJ1890*E1890</f>
        <v/>
      </c>
      <c r="AL1890" s="174">
        <f>ROUND(IFERROR(AM1890*E1890,0),2)</f>
        <v/>
      </c>
      <c r="AM1890" s="175">
        <f>ROUND(AJ1890*(1+IF(offer_incoterms="DDP",IF((TODAY()+offer_turnaround_time)&gt;=helpsheet!$L$17,rate_vatRU_from_26,rate_vatRu_till_25),0)),2)</f>
        <v/>
      </c>
      <c r="AN1890" s="192">
        <f>AL1890-AK1890</f>
        <v/>
      </c>
      <c r="AO1890" s="76">
        <f>SUM(AY1890,Y1890:Z1890,T1890)*IF(AND(offer_incoterms="DDP",offer_sale_type&lt;&gt;"экспорт"),IF((TODAY()+offer_turnaround_time)&gt;=helpsheet!$L$17,rate_vatRU_from_26,rate_vatRu_till_25),0)</f>
        <v/>
      </c>
      <c r="AP1890" s="193">
        <f>AN1890-AO1890</f>
        <v/>
      </c>
      <c r="AQ1890" s="118">
        <f>IF(offer_sale_type="транзит",SUM(AF1890:AI1890,BA1890,BB1890),0)</f>
        <v/>
      </c>
      <c r="AR1890" s="82">
        <f>HYPERLINK("https://www.alta.ru/tnved/code/")&amp;W1890&amp;"/"</f>
        <v/>
      </c>
      <c r="AS1890" s="157" t="n"/>
      <c r="AT1890" s="162" t="n"/>
      <c r="AU1890" s="76">
        <f>IF(ISBLANK(AT1890),0,AJ1890-AT1890)</f>
        <v/>
      </c>
      <c r="AV1890" s="157" t="n"/>
      <c r="AW1890" s="75">
        <f>_xlfn.IFNA(VLOOKUP(L1890,list_vat[],3,FALSE),0)</f>
        <v/>
      </c>
      <c r="AX1890" s="76">
        <f>IFERROR(ROUND(S1890*(1+AW1890)/E1890,2),0)</f>
        <v/>
      </c>
      <c r="AY1890" s="76">
        <f>E1890*AX1890</f>
        <v/>
      </c>
      <c r="AZ1890" s="192">
        <f>S1890*(1+M1890)</f>
        <v/>
      </c>
      <c r="BA1890" s="76">
        <f>cost_fin_total*$BD1890</f>
        <v/>
      </c>
      <c r="BB1890" s="193">
        <f>credit_sales_interest*BD1890</f>
        <v/>
      </c>
      <c r="BC1890" s="102">
        <f>IFERROR(IF($I$13&gt;0,$I1890/$I$13,$S1890/$S$13),0)</f>
        <v/>
      </c>
      <c r="BD1890" s="102">
        <f>IFERROR($S1890/$S$13,0)</f>
        <v/>
      </c>
      <c r="BE1890" s="413" t="inlineStr">
        <is>
          <t>$</t>
        </is>
      </c>
    </row>
    <row r="1891" ht="12" customFormat="1" customHeight="1" s="65">
      <c r="A1891" s="43" t="n">
        <v>1876</v>
      </c>
      <c r="B1891" s="166" t="n"/>
      <c r="C1891" s="166" t="n"/>
      <c r="D1891" s="166" t="n"/>
      <c r="E1891" s="162" t="n"/>
      <c r="F1891" s="166" t="n"/>
      <c r="G1891" s="162" t="n"/>
      <c r="H1891" s="162" t="n"/>
      <c r="I1891" s="189">
        <f>E1891*G1891</f>
        <v/>
      </c>
      <c r="J1891" s="195" t="n"/>
      <c r="K1891" s="162" t="n"/>
      <c r="L1891" s="168" t="n"/>
      <c r="M1891" s="75">
        <f>_xlfn.XLOOKUP(L1891,list_vat[Страна],list_vat[Ставка НДС %],0,0)</f>
        <v/>
      </c>
      <c r="N1891" s="162">
        <f>IFERROR(IF(L1891="Китай",K1891,K1891/(1+M1891)),0)</f>
        <v/>
      </c>
      <c r="O1891" s="169" t="n"/>
      <c r="P1891" s="76">
        <f>N1891*(1-O1891)</f>
        <v/>
      </c>
      <c r="Q1891" s="162" t="n"/>
      <c r="R1891" s="162">
        <f>IF(ISBLANK(Q1891),"введи курс",P1891/Q1891)</f>
        <v/>
      </c>
      <c r="S1891" s="196">
        <f>IF(AND(ISNUMBER(E1891),ISNUMBER(Q1891)),E1891*R1891,0)</f>
        <v/>
      </c>
      <c r="T1891" s="192">
        <f>$BC1891*V$11</f>
        <v/>
      </c>
      <c r="U1891" s="76">
        <f>$BC1891*W$11</f>
        <v/>
      </c>
      <c r="V1891" s="193">
        <f>+SUM(T1891:U1891)</f>
        <v/>
      </c>
      <c r="W1891" s="191" t="n"/>
      <c r="X1891" s="170" t="n"/>
      <c r="Y1891" s="76">
        <f>ROUND(IF(offer_incoterms="DDP",X1891*(S1891*(1+AW1891)+T1891),0),2)</f>
        <v/>
      </c>
      <c r="Z1891" s="188" t="n"/>
      <c r="AA1891" s="192">
        <f>IFERROR(AB1891/E1891,0)</f>
        <v/>
      </c>
      <c r="AB1891" s="76">
        <f>ROUND(SUM(S1891,V1891,Y1891:Z1891,BA1891:BB1891),2)</f>
        <v/>
      </c>
      <c r="AC1891" s="797" t="n"/>
      <c r="AD1891" s="192">
        <f t="array" ref="AD1891">IFERROR(ROUND((_xlfn.IFS(offer_sale_type="поставка",AB1891,offer_sale_type="транзит",S1891)*(1+AC1891))/E1891,2),0)</f>
        <v/>
      </c>
      <c r="AE1891" s="76">
        <f>AD1891*E1891</f>
        <v/>
      </c>
      <c r="AF1891" s="193">
        <f t="array" ref="AF1891">IFERROR(ROUND(_xlfn.IFS(offer_sale_type="поставка",AB1891,offer_sale_type="транзит",S1891)*AC1891,2),0)</f>
        <v/>
      </c>
      <c r="AG1891" s="192">
        <f>$BD1891*VLOOKUP($AG$3,$AF$4:$AG$7,2,FALSE)</f>
        <v/>
      </c>
      <c r="AH1891" s="76">
        <f>SUM(AE1891,AG1891,AI1891)*rate_forex_risk</f>
        <v/>
      </c>
      <c r="AI1891" s="193">
        <f>IF(OR(seller_region="TR",offer_sale_type="экспорт"),0,rate_fin_comm)*SUM(AZ1891,AZ1891*AW1891,T1891)</f>
        <v/>
      </c>
      <c r="AJ1891" s="118">
        <f>IFERROR(ROUND(SUM(AB1891,AF1891:AI1891)/E1891,2),0)</f>
        <v/>
      </c>
      <c r="AK1891" s="76">
        <f>AJ1891*E1891</f>
        <v/>
      </c>
      <c r="AL1891" s="174">
        <f>ROUND(IFERROR(AM1891*E1891,0),2)</f>
        <v/>
      </c>
      <c r="AM1891" s="175">
        <f>ROUND(AJ1891*(1+IF(offer_incoterms="DDP",IF((TODAY()+offer_turnaround_time)&gt;=helpsheet!$L$17,rate_vatRU_from_26,rate_vatRu_till_25),0)),2)</f>
        <v/>
      </c>
      <c r="AN1891" s="192">
        <f>AL1891-AK1891</f>
        <v/>
      </c>
      <c r="AO1891" s="76">
        <f>SUM(AY1891,Y1891:Z1891,T1891)*IF(AND(offer_incoterms="DDP",offer_sale_type&lt;&gt;"экспорт"),IF((TODAY()+offer_turnaround_time)&gt;=helpsheet!$L$17,rate_vatRU_from_26,rate_vatRu_till_25),0)</f>
        <v/>
      </c>
      <c r="AP1891" s="193">
        <f>AN1891-AO1891</f>
        <v/>
      </c>
      <c r="AQ1891" s="118">
        <f>IF(offer_sale_type="транзит",SUM(AF1891:AI1891,BA1891,BB1891),0)</f>
        <v/>
      </c>
      <c r="AR1891" s="82">
        <f>HYPERLINK("https://www.alta.ru/tnved/code/")&amp;W1891&amp;"/"</f>
        <v/>
      </c>
      <c r="AS1891" s="157" t="n"/>
      <c r="AT1891" s="162" t="n"/>
      <c r="AU1891" s="76">
        <f>IF(ISBLANK(AT1891),0,AJ1891-AT1891)</f>
        <v/>
      </c>
      <c r="AV1891" s="157" t="n"/>
      <c r="AW1891" s="75">
        <f>_xlfn.IFNA(VLOOKUP(L1891,list_vat[],3,FALSE),0)</f>
        <v/>
      </c>
      <c r="AX1891" s="76">
        <f>IFERROR(ROUND(S1891*(1+AW1891)/E1891,2),0)</f>
        <v/>
      </c>
      <c r="AY1891" s="76">
        <f>E1891*AX1891</f>
        <v/>
      </c>
      <c r="AZ1891" s="192">
        <f>S1891*(1+M1891)</f>
        <v/>
      </c>
      <c r="BA1891" s="76">
        <f>cost_fin_total*$BD1891</f>
        <v/>
      </c>
      <c r="BB1891" s="193">
        <f>credit_sales_interest*BD1891</f>
        <v/>
      </c>
      <c r="BC1891" s="102">
        <f>IFERROR(IF($I$13&gt;0,$I1891/$I$13,$S1891/$S$13),0)</f>
        <v/>
      </c>
      <c r="BD1891" s="102">
        <f>IFERROR($S1891/$S$13,0)</f>
        <v/>
      </c>
      <c r="BE1891" s="413" t="inlineStr">
        <is>
          <t>$</t>
        </is>
      </c>
    </row>
    <row r="1892" ht="12" customFormat="1" customHeight="1" s="65">
      <c r="A1892" s="43" t="n">
        <v>1877</v>
      </c>
      <c r="B1892" s="166" t="n"/>
      <c r="C1892" s="166" t="n"/>
      <c r="D1892" s="166" t="n"/>
      <c r="E1892" s="162" t="n"/>
      <c r="F1892" s="166" t="n"/>
      <c r="G1892" s="162" t="n"/>
      <c r="H1892" s="162" t="n"/>
      <c r="I1892" s="189">
        <f>E1892*G1892</f>
        <v/>
      </c>
      <c r="J1892" s="195" t="n"/>
      <c r="K1892" s="162" t="n"/>
      <c r="L1892" s="168" t="n"/>
      <c r="M1892" s="75">
        <f>_xlfn.XLOOKUP(L1892,list_vat[Страна],list_vat[Ставка НДС %],0,0)</f>
        <v/>
      </c>
      <c r="N1892" s="162">
        <f>IFERROR(IF(L1892="Китай",K1892,K1892/(1+M1892)),0)</f>
        <v/>
      </c>
      <c r="O1892" s="169" t="n"/>
      <c r="P1892" s="76">
        <f>N1892*(1-O1892)</f>
        <v/>
      </c>
      <c r="Q1892" s="162" t="n"/>
      <c r="R1892" s="162">
        <f>IF(ISBLANK(Q1892),"введи курс",P1892/Q1892)</f>
        <v/>
      </c>
      <c r="S1892" s="196">
        <f>IF(AND(ISNUMBER(E1892),ISNUMBER(Q1892)),E1892*R1892,0)</f>
        <v/>
      </c>
      <c r="T1892" s="192">
        <f>$BC1892*V$11</f>
        <v/>
      </c>
      <c r="U1892" s="76">
        <f>$BC1892*W$11</f>
        <v/>
      </c>
      <c r="V1892" s="193">
        <f>+SUM(T1892:U1892)</f>
        <v/>
      </c>
      <c r="W1892" s="191" t="n"/>
      <c r="X1892" s="170" t="n"/>
      <c r="Y1892" s="76">
        <f>ROUND(IF(offer_incoterms="DDP",X1892*(S1892*(1+AW1892)+T1892),0),2)</f>
        <v/>
      </c>
      <c r="Z1892" s="188" t="n"/>
      <c r="AA1892" s="192">
        <f>IFERROR(AB1892/E1892,0)</f>
        <v/>
      </c>
      <c r="AB1892" s="76">
        <f>ROUND(SUM(S1892,V1892,Y1892:Z1892,BA1892:BB1892),2)</f>
        <v/>
      </c>
      <c r="AC1892" s="797" t="n"/>
      <c r="AD1892" s="192">
        <f t="array" ref="AD1892">IFERROR(ROUND((_xlfn.IFS(offer_sale_type="поставка",AB1892,offer_sale_type="транзит",S1892)*(1+AC1892))/E1892,2),0)</f>
        <v/>
      </c>
      <c r="AE1892" s="76">
        <f>AD1892*E1892</f>
        <v/>
      </c>
      <c r="AF1892" s="193">
        <f t="array" ref="AF1892">IFERROR(ROUND(_xlfn.IFS(offer_sale_type="поставка",AB1892,offer_sale_type="транзит",S1892)*AC1892,2),0)</f>
        <v/>
      </c>
      <c r="AG1892" s="192">
        <f>$BD1892*VLOOKUP($AG$3,$AF$4:$AG$7,2,FALSE)</f>
        <v/>
      </c>
      <c r="AH1892" s="76">
        <f>SUM(AE1892,AG1892,AI1892)*rate_forex_risk</f>
        <v/>
      </c>
      <c r="AI1892" s="193">
        <f>IF(OR(seller_region="TR",offer_sale_type="экспорт"),0,rate_fin_comm)*SUM(AZ1892,AZ1892*AW1892,T1892)</f>
        <v/>
      </c>
      <c r="AJ1892" s="118">
        <f>IFERROR(ROUND(SUM(AB1892,AF1892:AI1892)/E1892,2),0)</f>
        <v/>
      </c>
      <c r="AK1892" s="76">
        <f>AJ1892*E1892</f>
        <v/>
      </c>
      <c r="AL1892" s="174">
        <f>ROUND(IFERROR(AM1892*E1892,0),2)</f>
        <v/>
      </c>
      <c r="AM1892" s="175">
        <f>ROUND(AJ1892*(1+IF(offer_incoterms="DDP",IF((TODAY()+offer_turnaround_time)&gt;=helpsheet!$L$17,rate_vatRU_from_26,rate_vatRu_till_25),0)),2)</f>
        <v/>
      </c>
      <c r="AN1892" s="192">
        <f>AL1892-AK1892</f>
        <v/>
      </c>
      <c r="AO1892" s="76">
        <f>SUM(AY1892,Y1892:Z1892,T1892)*IF(AND(offer_incoterms="DDP",offer_sale_type&lt;&gt;"экспорт"),IF((TODAY()+offer_turnaround_time)&gt;=helpsheet!$L$17,rate_vatRU_from_26,rate_vatRu_till_25),0)</f>
        <v/>
      </c>
      <c r="AP1892" s="193">
        <f>AN1892-AO1892</f>
        <v/>
      </c>
      <c r="AQ1892" s="118">
        <f>IF(offer_sale_type="транзит",SUM(AF1892:AI1892,BA1892,BB1892),0)</f>
        <v/>
      </c>
      <c r="AR1892" s="82">
        <f>HYPERLINK("https://www.alta.ru/tnved/code/")&amp;W1892&amp;"/"</f>
        <v/>
      </c>
      <c r="AS1892" s="157" t="n"/>
      <c r="AT1892" s="162" t="n"/>
      <c r="AU1892" s="76">
        <f>IF(ISBLANK(AT1892),0,AJ1892-AT1892)</f>
        <v/>
      </c>
      <c r="AV1892" s="157" t="n"/>
      <c r="AW1892" s="75">
        <f>_xlfn.IFNA(VLOOKUP(L1892,list_vat[],3,FALSE),0)</f>
        <v/>
      </c>
      <c r="AX1892" s="76">
        <f>IFERROR(ROUND(S1892*(1+AW1892)/E1892,2),0)</f>
        <v/>
      </c>
      <c r="AY1892" s="76">
        <f>E1892*AX1892</f>
        <v/>
      </c>
      <c r="AZ1892" s="192">
        <f>S1892*(1+M1892)</f>
        <v/>
      </c>
      <c r="BA1892" s="76">
        <f>cost_fin_total*$BD1892</f>
        <v/>
      </c>
      <c r="BB1892" s="193">
        <f>credit_sales_interest*BD1892</f>
        <v/>
      </c>
      <c r="BC1892" s="102">
        <f>IFERROR(IF($I$13&gt;0,$I1892/$I$13,$S1892/$S$13),0)</f>
        <v/>
      </c>
      <c r="BD1892" s="102">
        <f>IFERROR($S1892/$S$13,0)</f>
        <v/>
      </c>
      <c r="BE1892" s="413" t="inlineStr">
        <is>
          <t>$</t>
        </is>
      </c>
    </row>
    <row r="1893" ht="12" customFormat="1" customHeight="1" s="65">
      <c r="A1893" s="43" t="n">
        <v>1878</v>
      </c>
      <c r="B1893" s="166" t="n"/>
      <c r="C1893" s="166" t="n"/>
      <c r="D1893" s="166" t="n"/>
      <c r="E1893" s="162" t="n"/>
      <c r="F1893" s="166" t="n"/>
      <c r="G1893" s="162" t="n"/>
      <c r="H1893" s="162" t="n"/>
      <c r="I1893" s="189">
        <f>E1893*G1893</f>
        <v/>
      </c>
      <c r="J1893" s="195" t="n"/>
      <c r="K1893" s="162" t="n"/>
      <c r="L1893" s="168" t="n"/>
      <c r="M1893" s="75">
        <f>_xlfn.XLOOKUP(L1893,list_vat[Страна],list_vat[Ставка НДС %],0,0)</f>
        <v/>
      </c>
      <c r="N1893" s="162">
        <f>IFERROR(IF(L1893="Китай",K1893,K1893/(1+M1893)),0)</f>
        <v/>
      </c>
      <c r="O1893" s="169" t="n"/>
      <c r="P1893" s="76">
        <f>N1893*(1-O1893)</f>
        <v/>
      </c>
      <c r="Q1893" s="162" t="n"/>
      <c r="R1893" s="162">
        <f>IF(ISBLANK(Q1893),"введи курс",P1893/Q1893)</f>
        <v/>
      </c>
      <c r="S1893" s="196">
        <f>IF(AND(ISNUMBER(E1893),ISNUMBER(Q1893)),E1893*R1893,0)</f>
        <v/>
      </c>
      <c r="T1893" s="192">
        <f>$BC1893*V$11</f>
        <v/>
      </c>
      <c r="U1893" s="76">
        <f>$BC1893*W$11</f>
        <v/>
      </c>
      <c r="V1893" s="193">
        <f>+SUM(T1893:U1893)</f>
        <v/>
      </c>
      <c r="W1893" s="191" t="n"/>
      <c r="X1893" s="170" t="n"/>
      <c r="Y1893" s="76">
        <f>ROUND(IF(offer_incoterms="DDP",X1893*(S1893*(1+AW1893)+T1893),0),2)</f>
        <v/>
      </c>
      <c r="Z1893" s="188" t="n"/>
      <c r="AA1893" s="192">
        <f>IFERROR(AB1893/E1893,0)</f>
        <v/>
      </c>
      <c r="AB1893" s="76">
        <f>ROUND(SUM(S1893,V1893,Y1893:Z1893,BA1893:BB1893),2)</f>
        <v/>
      </c>
      <c r="AC1893" s="797" t="n"/>
      <c r="AD1893" s="192">
        <f t="array" ref="AD1893">IFERROR(ROUND((_xlfn.IFS(offer_sale_type="поставка",AB1893,offer_sale_type="транзит",S1893)*(1+AC1893))/E1893,2),0)</f>
        <v/>
      </c>
      <c r="AE1893" s="76">
        <f>AD1893*E1893</f>
        <v/>
      </c>
      <c r="AF1893" s="193">
        <f t="array" ref="AF1893">IFERROR(ROUND(_xlfn.IFS(offer_sale_type="поставка",AB1893,offer_sale_type="транзит",S1893)*AC1893,2),0)</f>
        <v/>
      </c>
      <c r="AG1893" s="192">
        <f>$BD1893*VLOOKUP($AG$3,$AF$4:$AG$7,2,FALSE)</f>
        <v/>
      </c>
      <c r="AH1893" s="76">
        <f>SUM(AE1893,AG1893,AI1893)*rate_forex_risk</f>
        <v/>
      </c>
      <c r="AI1893" s="193">
        <f>IF(OR(seller_region="TR",offer_sale_type="экспорт"),0,rate_fin_comm)*SUM(AZ1893,AZ1893*AW1893,T1893)</f>
        <v/>
      </c>
      <c r="AJ1893" s="118">
        <f>IFERROR(ROUND(SUM(AB1893,AF1893:AI1893)/E1893,2),0)</f>
        <v/>
      </c>
      <c r="AK1893" s="76">
        <f>AJ1893*E1893</f>
        <v/>
      </c>
      <c r="AL1893" s="174">
        <f>ROUND(IFERROR(AM1893*E1893,0),2)</f>
        <v/>
      </c>
      <c r="AM1893" s="175">
        <f>ROUND(AJ1893*(1+IF(offer_incoterms="DDP",IF((TODAY()+offer_turnaround_time)&gt;=helpsheet!$L$17,rate_vatRU_from_26,rate_vatRu_till_25),0)),2)</f>
        <v/>
      </c>
      <c r="AN1893" s="192">
        <f>AL1893-AK1893</f>
        <v/>
      </c>
      <c r="AO1893" s="76">
        <f>SUM(AY1893,Y1893:Z1893,T1893)*IF(AND(offer_incoterms="DDP",offer_sale_type&lt;&gt;"экспорт"),IF((TODAY()+offer_turnaround_time)&gt;=helpsheet!$L$17,rate_vatRU_from_26,rate_vatRu_till_25),0)</f>
        <v/>
      </c>
      <c r="AP1893" s="193">
        <f>AN1893-AO1893</f>
        <v/>
      </c>
      <c r="AQ1893" s="118">
        <f>IF(offer_sale_type="транзит",SUM(AF1893:AI1893,BA1893,BB1893),0)</f>
        <v/>
      </c>
      <c r="AR1893" s="82">
        <f>HYPERLINK("https://www.alta.ru/tnved/code/")&amp;W1893&amp;"/"</f>
        <v/>
      </c>
      <c r="AS1893" s="157" t="n"/>
      <c r="AT1893" s="162" t="n"/>
      <c r="AU1893" s="76">
        <f>IF(ISBLANK(AT1893),0,AJ1893-AT1893)</f>
        <v/>
      </c>
      <c r="AV1893" s="157" t="n"/>
      <c r="AW1893" s="75">
        <f>_xlfn.IFNA(VLOOKUP(L1893,list_vat[],3,FALSE),0)</f>
        <v/>
      </c>
      <c r="AX1893" s="76">
        <f>IFERROR(ROUND(S1893*(1+AW1893)/E1893,2),0)</f>
        <v/>
      </c>
      <c r="AY1893" s="76">
        <f>E1893*AX1893</f>
        <v/>
      </c>
      <c r="AZ1893" s="192">
        <f>S1893*(1+M1893)</f>
        <v/>
      </c>
      <c r="BA1893" s="76">
        <f>cost_fin_total*$BD1893</f>
        <v/>
      </c>
      <c r="BB1893" s="193">
        <f>credit_sales_interest*BD1893</f>
        <v/>
      </c>
      <c r="BC1893" s="102">
        <f>IFERROR(IF($I$13&gt;0,$I1893/$I$13,$S1893/$S$13),0)</f>
        <v/>
      </c>
      <c r="BD1893" s="102">
        <f>IFERROR($S1893/$S$13,0)</f>
        <v/>
      </c>
      <c r="BE1893" s="413" t="inlineStr">
        <is>
          <t>$</t>
        </is>
      </c>
    </row>
    <row r="1894" ht="12" customFormat="1" customHeight="1" s="65">
      <c r="A1894" s="43" t="n">
        <v>1879</v>
      </c>
      <c r="B1894" s="166" t="n"/>
      <c r="C1894" s="166" t="n"/>
      <c r="D1894" s="166" t="n"/>
      <c r="E1894" s="162" t="n"/>
      <c r="F1894" s="166" t="n"/>
      <c r="G1894" s="162" t="n"/>
      <c r="H1894" s="162" t="n"/>
      <c r="I1894" s="189">
        <f>E1894*G1894</f>
        <v/>
      </c>
      <c r="J1894" s="195" t="n"/>
      <c r="K1894" s="162" t="n"/>
      <c r="L1894" s="168" t="n"/>
      <c r="M1894" s="75">
        <f>_xlfn.XLOOKUP(L1894,list_vat[Страна],list_vat[Ставка НДС %],0,0)</f>
        <v/>
      </c>
      <c r="N1894" s="162">
        <f>IFERROR(IF(L1894="Китай",K1894,K1894/(1+M1894)),0)</f>
        <v/>
      </c>
      <c r="O1894" s="169" t="n"/>
      <c r="P1894" s="76">
        <f>N1894*(1-O1894)</f>
        <v/>
      </c>
      <c r="Q1894" s="162" t="n"/>
      <c r="R1894" s="162">
        <f>IF(ISBLANK(Q1894),"введи курс",P1894/Q1894)</f>
        <v/>
      </c>
      <c r="S1894" s="196">
        <f>IF(AND(ISNUMBER(E1894),ISNUMBER(Q1894)),E1894*R1894,0)</f>
        <v/>
      </c>
      <c r="T1894" s="192">
        <f>$BC1894*V$11</f>
        <v/>
      </c>
      <c r="U1894" s="76">
        <f>$BC1894*W$11</f>
        <v/>
      </c>
      <c r="V1894" s="193">
        <f>+SUM(T1894:U1894)</f>
        <v/>
      </c>
      <c r="W1894" s="191" t="n"/>
      <c r="X1894" s="170" t="n"/>
      <c r="Y1894" s="76">
        <f>ROUND(IF(offer_incoterms="DDP",X1894*(S1894*(1+AW1894)+T1894),0),2)</f>
        <v/>
      </c>
      <c r="Z1894" s="188" t="n"/>
      <c r="AA1894" s="192">
        <f>IFERROR(AB1894/E1894,0)</f>
        <v/>
      </c>
      <c r="AB1894" s="76">
        <f>ROUND(SUM(S1894,V1894,Y1894:Z1894,BA1894:BB1894),2)</f>
        <v/>
      </c>
      <c r="AC1894" s="797" t="n"/>
      <c r="AD1894" s="192">
        <f t="array" ref="AD1894">IFERROR(ROUND((_xlfn.IFS(offer_sale_type="поставка",AB1894,offer_sale_type="транзит",S1894)*(1+AC1894))/E1894,2),0)</f>
        <v/>
      </c>
      <c r="AE1894" s="76">
        <f>AD1894*E1894</f>
        <v/>
      </c>
      <c r="AF1894" s="193">
        <f t="array" ref="AF1894">IFERROR(ROUND(_xlfn.IFS(offer_sale_type="поставка",AB1894,offer_sale_type="транзит",S1894)*AC1894,2),0)</f>
        <v/>
      </c>
      <c r="AG1894" s="192">
        <f>$BD1894*VLOOKUP($AG$3,$AF$4:$AG$7,2,FALSE)</f>
        <v/>
      </c>
      <c r="AH1894" s="76">
        <f>SUM(AE1894,AG1894,AI1894)*rate_forex_risk</f>
        <v/>
      </c>
      <c r="AI1894" s="193">
        <f>IF(OR(seller_region="TR",offer_sale_type="экспорт"),0,rate_fin_comm)*SUM(AZ1894,AZ1894*AW1894,T1894)</f>
        <v/>
      </c>
      <c r="AJ1894" s="118">
        <f>IFERROR(ROUND(SUM(AB1894,AF1894:AI1894)/E1894,2),0)</f>
        <v/>
      </c>
      <c r="AK1894" s="76">
        <f>AJ1894*E1894</f>
        <v/>
      </c>
      <c r="AL1894" s="174">
        <f>ROUND(IFERROR(AM1894*E1894,0),2)</f>
        <v/>
      </c>
      <c r="AM1894" s="175">
        <f>ROUND(AJ1894*(1+IF(offer_incoterms="DDP",IF((TODAY()+offer_turnaround_time)&gt;=helpsheet!$L$17,rate_vatRU_from_26,rate_vatRu_till_25),0)),2)</f>
        <v/>
      </c>
      <c r="AN1894" s="192">
        <f>AL1894-AK1894</f>
        <v/>
      </c>
      <c r="AO1894" s="76">
        <f>SUM(AY1894,Y1894:Z1894,T1894)*IF(AND(offer_incoterms="DDP",offer_sale_type&lt;&gt;"экспорт"),IF((TODAY()+offer_turnaround_time)&gt;=helpsheet!$L$17,rate_vatRU_from_26,rate_vatRu_till_25),0)</f>
        <v/>
      </c>
      <c r="AP1894" s="193">
        <f>AN1894-AO1894</f>
        <v/>
      </c>
      <c r="AQ1894" s="118">
        <f>IF(offer_sale_type="транзит",SUM(AF1894:AI1894,BA1894,BB1894),0)</f>
        <v/>
      </c>
      <c r="AR1894" s="82">
        <f>HYPERLINK("https://www.alta.ru/tnved/code/")&amp;W1894&amp;"/"</f>
        <v/>
      </c>
      <c r="AS1894" s="157" t="n"/>
      <c r="AT1894" s="162" t="n"/>
      <c r="AU1894" s="76">
        <f>IF(ISBLANK(AT1894),0,AJ1894-AT1894)</f>
        <v/>
      </c>
      <c r="AV1894" s="157" t="n"/>
      <c r="AW1894" s="75">
        <f>_xlfn.IFNA(VLOOKUP(L1894,list_vat[],3,FALSE),0)</f>
        <v/>
      </c>
      <c r="AX1894" s="76">
        <f>IFERROR(ROUND(S1894*(1+AW1894)/E1894,2),0)</f>
        <v/>
      </c>
      <c r="AY1894" s="76">
        <f>E1894*AX1894</f>
        <v/>
      </c>
      <c r="AZ1894" s="192">
        <f>S1894*(1+M1894)</f>
        <v/>
      </c>
      <c r="BA1894" s="76">
        <f>cost_fin_total*$BD1894</f>
        <v/>
      </c>
      <c r="BB1894" s="193">
        <f>credit_sales_interest*BD1894</f>
        <v/>
      </c>
      <c r="BC1894" s="102">
        <f>IFERROR(IF($I$13&gt;0,$I1894/$I$13,$S1894/$S$13),0)</f>
        <v/>
      </c>
      <c r="BD1894" s="102">
        <f>IFERROR($S1894/$S$13,0)</f>
        <v/>
      </c>
      <c r="BE1894" s="413" t="inlineStr">
        <is>
          <t>$</t>
        </is>
      </c>
    </row>
    <row r="1895" ht="12" customFormat="1" customHeight="1" s="65">
      <c r="A1895" s="43" t="n">
        <v>1880</v>
      </c>
      <c r="B1895" s="166" t="n"/>
      <c r="C1895" s="166" t="n"/>
      <c r="D1895" s="166" t="n"/>
      <c r="E1895" s="162" t="n"/>
      <c r="F1895" s="166" t="n"/>
      <c r="G1895" s="162" t="n"/>
      <c r="H1895" s="162" t="n"/>
      <c r="I1895" s="189">
        <f>E1895*G1895</f>
        <v/>
      </c>
      <c r="J1895" s="195" t="n"/>
      <c r="K1895" s="162" t="n"/>
      <c r="L1895" s="168" t="n"/>
      <c r="M1895" s="75">
        <f>_xlfn.XLOOKUP(L1895,list_vat[Страна],list_vat[Ставка НДС %],0,0)</f>
        <v/>
      </c>
      <c r="N1895" s="162">
        <f>IFERROR(IF(L1895="Китай",K1895,K1895/(1+M1895)),0)</f>
        <v/>
      </c>
      <c r="O1895" s="169" t="n"/>
      <c r="P1895" s="76">
        <f>N1895*(1-O1895)</f>
        <v/>
      </c>
      <c r="Q1895" s="162" t="n"/>
      <c r="R1895" s="162">
        <f>IF(ISBLANK(Q1895),"введи курс",P1895/Q1895)</f>
        <v/>
      </c>
      <c r="S1895" s="196">
        <f>IF(AND(ISNUMBER(E1895),ISNUMBER(Q1895)),E1895*R1895,0)</f>
        <v/>
      </c>
      <c r="T1895" s="192">
        <f>$BC1895*V$11</f>
        <v/>
      </c>
      <c r="U1895" s="76">
        <f>$BC1895*W$11</f>
        <v/>
      </c>
      <c r="V1895" s="193">
        <f>+SUM(T1895:U1895)</f>
        <v/>
      </c>
      <c r="W1895" s="191" t="n"/>
      <c r="X1895" s="170" t="n"/>
      <c r="Y1895" s="76">
        <f>ROUND(IF(offer_incoterms="DDP",X1895*(S1895*(1+AW1895)+T1895),0),2)</f>
        <v/>
      </c>
      <c r="Z1895" s="188" t="n"/>
      <c r="AA1895" s="192">
        <f>IFERROR(AB1895/E1895,0)</f>
        <v/>
      </c>
      <c r="AB1895" s="76">
        <f>ROUND(SUM(S1895,V1895,Y1895:Z1895,BA1895:BB1895),2)</f>
        <v/>
      </c>
      <c r="AC1895" s="797" t="n"/>
      <c r="AD1895" s="192">
        <f t="array" ref="AD1895">IFERROR(ROUND((_xlfn.IFS(offer_sale_type="поставка",AB1895,offer_sale_type="транзит",S1895)*(1+AC1895))/E1895,2),0)</f>
        <v/>
      </c>
      <c r="AE1895" s="76">
        <f>AD1895*E1895</f>
        <v/>
      </c>
      <c r="AF1895" s="193">
        <f t="array" ref="AF1895">IFERROR(ROUND(_xlfn.IFS(offer_sale_type="поставка",AB1895,offer_sale_type="транзит",S1895)*AC1895,2),0)</f>
        <v/>
      </c>
      <c r="AG1895" s="192">
        <f>$BD1895*VLOOKUP($AG$3,$AF$4:$AG$7,2,FALSE)</f>
        <v/>
      </c>
      <c r="AH1895" s="76">
        <f>SUM(AE1895,AG1895,AI1895)*rate_forex_risk</f>
        <v/>
      </c>
      <c r="AI1895" s="193">
        <f>IF(OR(seller_region="TR",offer_sale_type="экспорт"),0,rate_fin_comm)*SUM(AZ1895,AZ1895*AW1895,T1895)</f>
        <v/>
      </c>
      <c r="AJ1895" s="118">
        <f>IFERROR(ROUND(SUM(AB1895,AF1895:AI1895)/E1895,2),0)</f>
        <v/>
      </c>
      <c r="AK1895" s="76">
        <f>AJ1895*E1895</f>
        <v/>
      </c>
      <c r="AL1895" s="174">
        <f>ROUND(IFERROR(AM1895*E1895,0),2)</f>
        <v/>
      </c>
      <c r="AM1895" s="175">
        <f>ROUND(AJ1895*(1+IF(offer_incoterms="DDP",IF((TODAY()+offer_turnaround_time)&gt;=helpsheet!$L$17,rate_vatRU_from_26,rate_vatRu_till_25),0)),2)</f>
        <v/>
      </c>
      <c r="AN1895" s="192">
        <f>AL1895-AK1895</f>
        <v/>
      </c>
      <c r="AO1895" s="76">
        <f>SUM(AY1895,Y1895:Z1895,T1895)*IF(AND(offer_incoterms="DDP",offer_sale_type&lt;&gt;"экспорт"),IF((TODAY()+offer_turnaround_time)&gt;=helpsheet!$L$17,rate_vatRU_from_26,rate_vatRu_till_25),0)</f>
        <v/>
      </c>
      <c r="AP1895" s="193">
        <f>AN1895-AO1895</f>
        <v/>
      </c>
      <c r="AQ1895" s="118">
        <f>IF(offer_sale_type="транзит",SUM(AF1895:AI1895,BA1895,BB1895),0)</f>
        <v/>
      </c>
      <c r="AR1895" s="82">
        <f>HYPERLINK("https://www.alta.ru/tnved/code/")&amp;W1895&amp;"/"</f>
        <v/>
      </c>
      <c r="AS1895" s="157" t="n"/>
      <c r="AT1895" s="162" t="n"/>
      <c r="AU1895" s="76">
        <f>IF(ISBLANK(AT1895),0,AJ1895-AT1895)</f>
        <v/>
      </c>
      <c r="AV1895" s="157" t="n"/>
      <c r="AW1895" s="75">
        <f>_xlfn.IFNA(VLOOKUP(L1895,list_vat[],3,FALSE),0)</f>
        <v/>
      </c>
      <c r="AX1895" s="76">
        <f>IFERROR(ROUND(S1895*(1+AW1895)/E1895,2),0)</f>
        <v/>
      </c>
      <c r="AY1895" s="76">
        <f>E1895*AX1895</f>
        <v/>
      </c>
      <c r="AZ1895" s="192">
        <f>S1895*(1+M1895)</f>
        <v/>
      </c>
      <c r="BA1895" s="76">
        <f>cost_fin_total*$BD1895</f>
        <v/>
      </c>
      <c r="BB1895" s="193">
        <f>credit_sales_interest*BD1895</f>
        <v/>
      </c>
      <c r="BC1895" s="102">
        <f>IFERROR(IF($I$13&gt;0,$I1895/$I$13,$S1895/$S$13),0)</f>
        <v/>
      </c>
      <c r="BD1895" s="102">
        <f>IFERROR($S1895/$S$13,0)</f>
        <v/>
      </c>
      <c r="BE1895" s="413" t="inlineStr">
        <is>
          <t>$</t>
        </is>
      </c>
    </row>
    <row r="1896" ht="12" customFormat="1" customHeight="1" s="65">
      <c r="A1896" s="43" t="n">
        <v>1881</v>
      </c>
      <c r="B1896" s="166" t="n"/>
      <c r="C1896" s="166" t="n"/>
      <c r="D1896" s="166" t="n"/>
      <c r="E1896" s="162" t="n"/>
      <c r="F1896" s="166" t="n"/>
      <c r="G1896" s="162" t="n"/>
      <c r="H1896" s="162" t="n"/>
      <c r="I1896" s="189">
        <f>E1896*G1896</f>
        <v/>
      </c>
      <c r="J1896" s="195" t="n"/>
      <c r="K1896" s="162" t="n"/>
      <c r="L1896" s="168" t="n"/>
      <c r="M1896" s="75">
        <f>_xlfn.XLOOKUP(L1896,list_vat[Страна],list_vat[Ставка НДС %],0,0)</f>
        <v/>
      </c>
      <c r="N1896" s="162">
        <f>IFERROR(IF(L1896="Китай",K1896,K1896/(1+M1896)),0)</f>
        <v/>
      </c>
      <c r="O1896" s="169" t="n"/>
      <c r="P1896" s="76">
        <f>N1896*(1-O1896)</f>
        <v/>
      </c>
      <c r="Q1896" s="162" t="n"/>
      <c r="R1896" s="162">
        <f>IF(ISBLANK(Q1896),"введи курс",P1896/Q1896)</f>
        <v/>
      </c>
      <c r="S1896" s="196">
        <f>IF(AND(ISNUMBER(E1896),ISNUMBER(Q1896)),E1896*R1896,0)</f>
        <v/>
      </c>
      <c r="T1896" s="192">
        <f>$BC1896*V$11</f>
        <v/>
      </c>
      <c r="U1896" s="76">
        <f>$BC1896*W$11</f>
        <v/>
      </c>
      <c r="V1896" s="193">
        <f>+SUM(T1896:U1896)</f>
        <v/>
      </c>
      <c r="W1896" s="191" t="n"/>
      <c r="X1896" s="170" t="n"/>
      <c r="Y1896" s="76">
        <f>ROUND(IF(offer_incoterms="DDP",X1896*(S1896*(1+AW1896)+T1896),0),2)</f>
        <v/>
      </c>
      <c r="Z1896" s="188" t="n"/>
      <c r="AA1896" s="192">
        <f>IFERROR(AB1896/E1896,0)</f>
        <v/>
      </c>
      <c r="AB1896" s="76">
        <f>ROUND(SUM(S1896,V1896,Y1896:Z1896,BA1896:BB1896),2)</f>
        <v/>
      </c>
      <c r="AC1896" s="797" t="n"/>
      <c r="AD1896" s="192">
        <f t="array" ref="AD1896">IFERROR(ROUND((_xlfn.IFS(offer_sale_type="поставка",AB1896,offer_sale_type="транзит",S1896)*(1+AC1896))/E1896,2),0)</f>
        <v/>
      </c>
      <c r="AE1896" s="76">
        <f>AD1896*E1896</f>
        <v/>
      </c>
      <c r="AF1896" s="193">
        <f t="array" ref="AF1896">IFERROR(ROUND(_xlfn.IFS(offer_sale_type="поставка",AB1896,offer_sale_type="транзит",S1896)*AC1896,2),0)</f>
        <v/>
      </c>
      <c r="AG1896" s="192">
        <f>$BD1896*VLOOKUP($AG$3,$AF$4:$AG$7,2,FALSE)</f>
        <v/>
      </c>
      <c r="AH1896" s="76">
        <f>SUM(AE1896,AG1896,AI1896)*rate_forex_risk</f>
        <v/>
      </c>
      <c r="AI1896" s="193">
        <f>IF(OR(seller_region="TR",offer_sale_type="экспорт"),0,rate_fin_comm)*SUM(AZ1896,AZ1896*AW1896,T1896)</f>
        <v/>
      </c>
      <c r="AJ1896" s="118">
        <f>IFERROR(ROUND(SUM(AB1896,AF1896:AI1896)/E1896,2),0)</f>
        <v/>
      </c>
      <c r="AK1896" s="76">
        <f>AJ1896*E1896</f>
        <v/>
      </c>
      <c r="AL1896" s="174">
        <f>ROUND(IFERROR(AM1896*E1896,0),2)</f>
        <v/>
      </c>
      <c r="AM1896" s="175">
        <f>ROUND(AJ1896*(1+IF(offer_incoterms="DDP",IF((TODAY()+offer_turnaround_time)&gt;=helpsheet!$L$17,rate_vatRU_from_26,rate_vatRu_till_25),0)),2)</f>
        <v/>
      </c>
      <c r="AN1896" s="192">
        <f>AL1896-AK1896</f>
        <v/>
      </c>
      <c r="AO1896" s="76">
        <f>SUM(AY1896,Y1896:Z1896,T1896)*IF(AND(offer_incoterms="DDP",offer_sale_type&lt;&gt;"экспорт"),IF((TODAY()+offer_turnaround_time)&gt;=helpsheet!$L$17,rate_vatRU_from_26,rate_vatRu_till_25),0)</f>
        <v/>
      </c>
      <c r="AP1896" s="193">
        <f>AN1896-AO1896</f>
        <v/>
      </c>
      <c r="AQ1896" s="118">
        <f>IF(offer_sale_type="транзит",SUM(AF1896:AI1896,BA1896,BB1896),0)</f>
        <v/>
      </c>
      <c r="AR1896" s="82">
        <f>HYPERLINK("https://www.alta.ru/tnved/code/")&amp;W1896&amp;"/"</f>
        <v/>
      </c>
      <c r="AS1896" s="157" t="n"/>
      <c r="AT1896" s="162" t="n"/>
      <c r="AU1896" s="76">
        <f>IF(ISBLANK(AT1896),0,AJ1896-AT1896)</f>
        <v/>
      </c>
      <c r="AV1896" s="157" t="n"/>
      <c r="AW1896" s="75">
        <f>_xlfn.IFNA(VLOOKUP(L1896,list_vat[],3,FALSE),0)</f>
        <v/>
      </c>
      <c r="AX1896" s="76">
        <f>IFERROR(ROUND(S1896*(1+AW1896)/E1896,2),0)</f>
        <v/>
      </c>
      <c r="AY1896" s="76">
        <f>E1896*AX1896</f>
        <v/>
      </c>
      <c r="AZ1896" s="192">
        <f>S1896*(1+M1896)</f>
        <v/>
      </c>
      <c r="BA1896" s="76">
        <f>cost_fin_total*$BD1896</f>
        <v/>
      </c>
      <c r="BB1896" s="193">
        <f>credit_sales_interest*BD1896</f>
        <v/>
      </c>
      <c r="BC1896" s="102">
        <f>IFERROR(IF($I$13&gt;0,$I1896/$I$13,$S1896/$S$13),0)</f>
        <v/>
      </c>
      <c r="BD1896" s="102">
        <f>IFERROR($S1896/$S$13,0)</f>
        <v/>
      </c>
      <c r="BE1896" s="413" t="inlineStr">
        <is>
          <t>$</t>
        </is>
      </c>
    </row>
    <row r="1897" ht="12" customFormat="1" customHeight="1" s="65">
      <c r="A1897" s="43" t="n">
        <v>1882</v>
      </c>
      <c r="B1897" s="166" t="n"/>
      <c r="C1897" s="166" t="n"/>
      <c r="D1897" s="166" t="n"/>
      <c r="E1897" s="162" t="n"/>
      <c r="F1897" s="166" t="n"/>
      <c r="G1897" s="162" t="n"/>
      <c r="H1897" s="162" t="n"/>
      <c r="I1897" s="189">
        <f>E1897*G1897</f>
        <v/>
      </c>
      <c r="J1897" s="195" t="n"/>
      <c r="K1897" s="162" t="n"/>
      <c r="L1897" s="168" t="n"/>
      <c r="M1897" s="75">
        <f>_xlfn.XLOOKUP(L1897,list_vat[Страна],list_vat[Ставка НДС %],0,0)</f>
        <v/>
      </c>
      <c r="N1897" s="162">
        <f>IFERROR(IF(L1897="Китай",K1897,K1897/(1+M1897)),0)</f>
        <v/>
      </c>
      <c r="O1897" s="169" t="n"/>
      <c r="P1897" s="76">
        <f>N1897*(1-O1897)</f>
        <v/>
      </c>
      <c r="Q1897" s="162" t="n"/>
      <c r="R1897" s="162">
        <f>IF(ISBLANK(Q1897),"введи курс",P1897/Q1897)</f>
        <v/>
      </c>
      <c r="S1897" s="196">
        <f>IF(AND(ISNUMBER(E1897),ISNUMBER(Q1897)),E1897*R1897,0)</f>
        <v/>
      </c>
      <c r="T1897" s="192">
        <f>$BC1897*V$11</f>
        <v/>
      </c>
      <c r="U1897" s="76">
        <f>$BC1897*W$11</f>
        <v/>
      </c>
      <c r="V1897" s="193">
        <f>+SUM(T1897:U1897)</f>
        <v/>
      </c>
      <c r="W1897" s="191" t="n"/>
      <c r="X1897" s="170" t="n"/>
      <c r="Y1897" s="76">
        <f>ROUND(IF(offer_incoterms="DDP",X1897*(S1897*(1+AW1897)+T1897),0),2)</f>
        <v/>
      </c>
      <c r="Z1897" s="188" t="n"/>
      <c r="AA1897" s="192">
        <f>IFERROR(AB1897/E1897,0)</f>
        <v/>
      </c>
      <c r="AB1897" s="76">
        <f>ROUND(SUM(S1897,V1897,Y1897:Z1897,BA1897:BB1897),2)</f>
        <v/>
      </c>
      <c r="AC1897" s="797" t="n"/>
      <c r="AD1897" s="192">
        <f t="array" ref="AD1897">IFERROR(ROUND((_xlfn.IFS(offer_sale_type="поставка",AB1897,offer_sale_type="транзит",S1897)*(1+AC1897))/E1897,2),0)</f>
        <v/>
      </c>
      <c r="AE1897" s="76">
        <f>AD1897*E1897</f>
        <v/>
      </c>
      <c r="AF1897" s="193">
        <f t="array" ref="AF1897">IFERROR(ROUND(_xlfn.IFS(offer_sale_type="поставка",AB1897,offer_sale_type="транзит",S1897)*AC1897,2),0)</f>
        <v/>
      </c>
      <c r="AG1897" s="192">
        <f>$BD1897*VLOOKUP($AG$3,$AF$4:$AG$7,2,FALSE)</f>
        <v/>
      </c>
      <c r="AH1897" s="76">
        <f>SUM(AE1897,AG1897,AI1897)*rate_forex_risk</f>
        <v/>
      </c>
      <c r="AI1897" s="193">
        <f>IF(OR(seller_region="TR",offer_sale_type="экспорт"),0,rate_fin_comm)*SUM(AZ1897,AZ1897*AW1897,T1897)</f>
        <v/>
      </c>
      <c r="AJ1897" s="118">
        <f>IFERROR(ROUND(SUM(AB1897,AF1897:AI1897)/E1897,2),0)</f>
        <v/>
      </c>
      <c r="AK1897" s="76">
        <f>AJ1897*E1897</f>
        <v/>
      </c>
      <c r="AL1897" s="174">
        <f>ROUND(IFERROR(AM1897*E1897,0),2)</f>
        <v/>
      </c>
      <c r="AM1897" s="175">
        <f>ROUND(AJ1897*(1+IF(offer_incoterms="DDP",IF((TODAY()+offer_turnaround_time)&gt;=helpsheet!$L$17,rate_vatRU_from_26,rate_vatRu_till_25),0)),2)</f>
        <v/>
      </c>
      <c r="AN1897" s="192">
        <f>AL1897-AK1897</f>
        <v/>
      </c>
      <c r="AO1897" s="76">
        <f>SUM(AY1897,Y1897:Z1897,T1897)*IF(AND(offer_incoterms="DDP",offer_sale_type&lt;&gt;"экспорт"),IF((TODAY()+offer_turnaround_time)&gt;=helpsheet!$L$17,rate_vatRU_from_26,rate_vatRu_till_25),0)</f>
        <v/>
      </c>
      <c r="AP1897" s="193">
        <f>AN1897-AO1897</f>
        <v/>
      </c>
      <c r="AQ1897" s="118">
        <f>IF(offer_sale_type="транзит",SUM(AF1897:AI1897,BA1897,BB1897),0)</f>
        <v/>
      </c>
      <c r="AR1897" s="82">
        <f>HYPERLINK("https://www.alta.ru/tnved/code/")&amp;W1897&amp;"/"</f>
        <v/>
      </c>
      <c r="AS1897" s="157" t="n"/>
      <c r="AT1897" s="162" t="n"/>
      <c r="AU1897" s="76">
        <f>IF(ISBLANK(AT1897),0,AJ1897-AT1897)</f>
        <v/>
      </c>
      <c r="AV1897" s="157" t="n"/>
      <c r="AW1897" s="75">
        <f>_xlfn.IFNA(VLOOKUP(L1897,list_vat[],3,FALSE),0)</f>
        <v/>
      </c>
      <c r="AX1897" s="76">
        <f>IFERROR(ROUND(S1897*(1+AW1897)/E1897,2),0)</f>
        <v/>
      </c>
      <c r="AY1897" s="76">
        <f>E1897*AX1897</f>
        <v/>
      </c>
      <c r="AZ1897" s="192">
        <f>S1897*(1+M1897)</f>
        <v/>
      </c>
      <c r="BA1897" s="76">
        <f>cost_fin_total*$BD1897</f>
        <v/>
      </c>
      <c r="BB1897" s="193">
        <f>credit_sales_interest*BD1897</f>
        <v/>
      </c>
      <c r="BC1897" s="102">
        <f>IFERROR(IF($I$13&gt;0,$I1897/$I$13,$S1897/$S$13),0)</f>
        <v/>
      </c>
      <c r="BD1897" s="102">
        <f>IFERROR($S1897/$S$13,0)</f>
        <v/>
      </c>
      <c r="BE1897" s="413" t="inlineStr">
        <is>
          <t>$</t>
        </is>
      </c>
    </row>
    <row r="1898" ht="12" customFormat="1" customHeight="1" s="65">
      <c r="A1898" s="43" t="n">
        <v>1883</v>
      </c>
      <c r="B1898" s="166" t="n"/>
      <c r="C1898" s="166" t="n"/>
      <c r="D1898" s="166" t="n"/>
      <c r="E1898" s="162" t="n"/>
      <c r="F1898" s="166" t="n"/>
      <c r="G1898" s="162" t="n"/>
      <c r="H1898" s="162" t="n"/>
      <c r="I1898" s="189">
        <f>E1898*G1898</f>
        <v/>
      </c>
      <c r="J1898" s="195" t="n"/>
      <c r="K1898" s="162" t="n"/>
      <c r="L1898" s="168" t="n"/>
      <c r="M1898" s="75">
        <f>_xlfn.XLOOKUP(L1898,list_vat[Страна],list_vat[Ставка НДС %],0,0)</f>
        <v/>
      </c>
      <c r="N1898" s="162">
        <f>IFERROR(IF(L1898="Китай",K1898,K1898/(1+M1898)),0)</f>
        <v/>
      </c>
      <c r="O1898" s="169" t="n"/>
      <c r="P1898" s="76">
        <f>N1898*(1-O1898)</f>
        <v/>
      </c>
      <c r="Q1898" s="162" t="n"/>
      <c r="R1898" s="162">
        <f>IF(ISBLANK(Q1898),"введи курс",P1898/Q1898)</f>
        <v/>
      </c>
      <c r="S1898" s="196">
        <f>IF(AND(ISNUMBER(E1898),ISNUMBER(Q1898)),E1898*R1898,0)</f>
        <v/>
      </c>
      <c r="T1898" s="192">
        <f>$BC1898*V$11</f>
        <v/>
      </c>
      <c r="U1898" s="76">
        <f>$BC1898*W$11</f>
        <v/>
      </c>
      <c r="V1898" s="193">
        <f>+SUM(T1898:U1898)</f>
        <v/>
      </c>
      <c r="W1898" s="191" t="n"/>
      <c r="X1898" s="170" t="n"/>
      <c r="Y1898" s="76">
        <f>ROUND(IF(offer_incoterms="DDP",X1898*(S1898*(1+AW1898)+T1898),0),2)</f>
        <v/>
      </c>
      <c r="Z1898" s="188" t="n"/>
      <c r="AA1898" s="192">
        <f>IFERROR(AB1898/E1898,0)</f>
        <v/>
      </c>
      <c r="AB1898" s="76">
        <f>ROUND(SUM(S1898,V1898,Y1898:Z1898,BA1898:BB1898),2)</f>
        <v/>
      </c>
      <c r="AC1898" s="797" t="n"/>
      <c r="AD1898" s="192">
        <f t="array" ref="AD1898">IFERROR(ROUND((_xlfn.IFS(offer_sale_type="поставка",AB1898,offer_sale_type="транзит",S1898)*(1+AC1898))/E1898,2),0)</f>
        <v/>
      </c>
      <c r="AE1898" s="76">
        <f>AD1898*E1898</f>
        <v/>
      </c>
      <c r="AF1898" s="193">
        <f t="array" ref="AF1898">IFERROR(ROUND(_xlfn.IFS(offer_sale_type="поставка",AB1898,offer_sale_type="транзит",S1898)*AC1898,2),0)</f>
        <v/>
      </c>
      <c r="AG1898" s="192">
        <f>$BD1898*VLOOKUP($AG$3,$AF$4:$AG$7,2,FALSE)</f>
        <v/>
      </c>
      <c r="AH1898" s="76">
        <f>SUM(AE1898,AG1898,AI1898)*rate_forex_risk</f>
        <v/>
      </c>
      <c r="AI1898" s="193">
        <f>IF(OR(seller_region="TR",offer_sale_type="экспорт"),0,rate_fin_comm)*SUM(AZ1898,AZ1898*AW1898,T1898)</f>
        <v/>
      </c>
      <c r="AJ1898" s="118">
        <f>IFERROR(ROUND(SUM(AB1898,AF1898:AI1898)/E1898,2),0)</f>
        <v/>
      </c>
      <c r="AK1898" s="76">
        <f>AJ1898*E1898</f>
        <v/>
      </c>
      <c r="AL1898" s="174">
        <f>ROUND(IFERROR(AM1898*E1898,0),2)</f>
        <v/>
      </c>
      <c r="AM1898" s="175">
        <f>ROUND(AJ1898*(1+IF(offer_incoterms="DDP",IF((TODAY()+offer_turnaround_time)&gt;=helpsheet!$L$17,rate_vatRU_from_26,rate_vatRu_till_25),0)),2)</f>
        <v/>
      </c>
      <c r="AN1898" s="192">
        <f>AL1898-AK1898</f>
        <v/>
      </c>
      <c r="AO1898" s="76">
        <f>SUM(AY1898,Y1898:Z1898,T1898)*IF(AND(offer_incoterms="DDP",offer_sale_type&lt;&gt;"экспорт"),IF((TODAY()+offer_turnaround_time)&gt;=helpsheet!$L$17,rate_vatRU_from_26,rate_vatRu_till_25),0)</f>
        <v/>
      </c>
      <c r="AP1898" s="193">
        <f>AN1898-AO1898</f>
        <v/>
      </c>
      <c r="AQ1898" s="118">
        <f>IF(offer_sale_type="транзит",SUM(AF1898:AI1898,BA1898,BB1898),0)</f>
        <v/>
      </c>
      <c r="AR1898" s="82">
        <f>HYPERLINK("https://www.alta.ru/tnved/code/")&amp;W1898&amp;"/"</f>
        <v/>
      </c>
      <c r="AS1898" s="157" t="n"/>
      <c r="AT1898" s="162" t="n"/>
      <c r="AU1898" s="76">
        <f>IF(ISBLANK(AT1898),0,AJ1898-AT1898)</f>
        <v/>
      </c>
      <c r="AV1898" s="157" t="n"/>
      <c r="AW1898" s="75">
        <f>_xlfn.IFNA(VLOOKUP(L1898,list_vat[],3,FALSE),0)</f>
        <v/>
      </c>
      <c r="AX1898" s="76">
        <f>IFERROR(ROUND(S1898*(1+AW1898)/E1898,2),0)</f>
        <v/>
      </c>
      <c r="AY1898" s="76">
        <f>E1898*AX1898</f>
        <v/>
      </c>
      <c r="AZ1898" s="192">
        <f>S1898*(1+M1898)</f>
        <v/>
      </c>
      <c r="BA1898" s="76">
        <f>cost_fin_total*$BD1898</f>
        <v/>
      </c>
      <c r="BB1898" s="193">
        <f>credit_sales_interest*BD1898</f>
        <v/>
      </c>
      <c r="BC1898" s="102">
        <f>IFERROR(IF($I$13&gt;0,$I1898/$I$13,$S1898/$S$13),0)</f>
        <v/>
      </c>
      <c r="BD1898" s="102">
        <f>IFERROR($S1898/$S$13,0)</f>
        <v/>
      </c>
      <c r="BE1898" s="413" t="inlineStr">
        <is>
          <t>$</t>
        </is>
      </c>
    </row>
    <row r="1899" ht="12" customFormat="1" customHeight="1" s="65">
      <c r="A1899" s="43" t="n">
        <v>1884</v>
      </c>
      <c r="B1899" s="166" t="n"/>
      <c r="C1899" s="166" t="n"/>
      <c r="D1899" s="166" t="n"/>
      <c r="E1899" s="162" t="n"/>
      <c r="F1899" s="166" t="n"/>
      <c r="G1899" s="162" t="n"/>
      <c r="H1899" s="162" t="n"/>
      <c r="I1899" s="189">
        <f>E1899*G1899</f>
        <v/>
      </c>
      <c r="J1899" s="195" t="n"/>
      <c r="K1899" s="162" t="n"/>
      <c r="L1899" s="168" t="n"/>
      <c r="M1899" s="75">
        <f>_xlfn.XLOOKUP(L1899,list_vat[Страна],list_vat[Ставка НДС %],0,0)</f>
        <v/>
      </c>
      <c r="N1899" s="162">
        <f>IFERROR(IF(L1899="Китай",K1899,K1899/(1+M1899)),0)</f>
        <v/>
      </c>
      <c r="O1899" s="169" t="n"/>
      <c r="P1899" s="76">
        <f>N1899*(1-O1899)</f>
        <v/>
      </c>
      <c r="Q1899" s="162" t="n"/>
      <c r="R1899" s="162">
        <f>IF(ISBLANK(Q1899),"введи курс",P1899/Q1899)</f>
        <v/>
      </c>
      <c r="S1899" s="196">
        <f>IF(AND(ISNUMBER(E1899),ISNUMBER(Q1899)),E1899*R1899,0)</f>
        <v/>
      </c>
      <c r="T1899" s="192">
        <f>$BC1899*V$11</f>
        <v/>
      </c>
      <c r="U1899" s="76">
        <f>$BC1899*W$11</f>
        <v/>
      </c>
      <c r="V1899" s="193">
        <f>+SUM(T1899:U1899)</f>
        <v/>
      </c>
      <c r="W1899" s="191" t="n"/>
      <c r="X1899" s="170" t="n"/>
      <c r="Y1899" s="76">
        <f>ROUND(IF(offer_incoterms="DDP",X1899*(S1899*(1+AW1899)+T1899),0),2)</f>
        <v/>
      </c>
      <c r="Z1899" s="188" t="n"/>
      <c r="AA1899" s="192">
        <f>IFERROR(AB1899/E1899,0)</f>
        <v/>
      </c>
      <c r="AB1899" s="76">
        <f>ROUND(SUM(S1899,V1899,Y1899:Z1899,BA1899:BB1899),2)</f>
        <v/>
      </c>
      <c r="AC1899" s="797" t="n"/>
      <c r="AD1899" s="192">
        <f t="array" ref="AD1899">IFERROR(ROUND((_xlfn.IFS(offer_sale_type="поставка",AB1899,offer_sale_type="транзит",S1899)*(1+AC1899))/E1899,2),0)</f>
        <v/>
      </c>
      <c r="AE1899" s="76">
        <f>AD1899*E1899</f>
        <v/>
      </c>
      <c r="AF1899" s="193">
        <f t="array" ref="AF1899">IFERROR(ROUND(_xlfn.IFS(offer_sale_type="поставка",AB1899,offer_sale_type="транзит",S1899)*AC1899,2),0)</f>
        <v/>
      </c>
      <c r="AG1899" s="192">
        <f>$BD1899*VLOOKUP($AG$3,$AF$4:$AG$7,2,FALSE)</f>
        <v/>
      </c>
      <c r="AH1899" s="76">
        <f>SUM(AE1899,AG1899,AI1899)*rate_forex_risk</f>
        <v/>
      </c>
      <c r="AI1899" s="193">
        <f>IF(OR(seller_region="TR",offer_sale_type="экспорт"),0,rate_fin_comm)*SUM(AZ1899,AZ1899*AW1899,T1899)</f>
        <v/>
      </c>
      <c r="AJ1899" s="118">
        <f>IFERROR(ROUND(SUM(AB1899,AF1899:AI1899)/E1899,2),0)</f>
        <v/>
      </c>
      <c r="AK1899" s="76">
        <f>AJ1899*E1899</f>
        <v/>
      </c>
      <c r="AL1899" s="174">
        <f>ROUND(IFERROR(AM1899*E1899,0),2)</f>
        <v/>
      </c>
      <c r="AM1899" s="175">
        <f>ROUND(AJ1899*(1+IF(offer_incoterms="DDP",IF((TODAY()+offer_turnaround_time)&gt;=helpsheet!$L$17,rate_vatRU_from_26,rate_vatRu_till_25),0)),2)</f>
        <v/>
      </c>
      <c r="AN1899" s="192">
        <f>AL1899-AK1899</f>
        <v/>
      </c>
      <c r="AO1899" s="76">
        <f>SUM(AY1899,Y1899:Z1899,T1899)*IF(AND(offer_incoterms="DDP",offer_sale_type&lt;&gt;"экспорт"),IF((TODAY()+offer_turnaround_time)&gt;=helpsheet!$L$17,rate_vatRU_from_26,rate_vatRu_till_25),0)</f>
        <v/>
      </c>
      <c r="AP1899" s="193">
        <f>AN1899-AO1899</f>
        <v/>
      </c>
      <c r="AQ1899" s="118">
        <f>IF(offer_sale_type="транзит",SUM(AF1899:AI1899,BA1899,BB1899),0)</f>
        <v/>
      </c>
      <c r="AR1899" s="82">
        <f>HYPERLINK("https://www.alta.ru/tnved/code/")&amp;W1899&amp;"/"</f>
        <v/>
      </c>
      <c r="AS1899" s="157" t="n"/>
      <c r="AT1899" s="162" t="n"/>
      <c r="AU1899" s="76">
        <f>IF(ISBLANK(AT1899),0,AJ1899-AT1899)</f>
        <v/>
      </c>
      <c r="AV1899" s="157" t="n"/>
      <c r="AW1899" s="75">
        <f>_xlfn.IFNA(VLOOKUP(L1899,list_vat[],3,FALSE),0)</f>
        <v/>
      </c>
      <c r="AX1899" s="76">
        <f>IFERROR(ROUND(S1899*(1+AW1899)/E1899,2),0)</f>
        <v/>
      </c>
      <c r="AY1899" s="76">
        <f>E1899*AX1899</f>
        <v/>
      </c>
      <c r="AZ1899" s="192">
        <f>S1899*(1+M1899)</f>
        <v/>
      </c>
      <c r="BA1899" s="76">
        <f>cost_fin_total*$BD1899</f>
        <v/>
      </c>
      <c r="BB1899" s="193">
        <f>credit_sales_interest*BD1899</f>
        <v/>
      </c>
      <c r="BC1899" s="102">
        <f>IFERROR(IF($I$13&gt;0,$I1899/$I$13,$S1899/$S$13),0)</f>
        <v/>
      </c>
      <c r="BD1899" s="102">
        <f>IFERROR($S1899/$S$13,0)</f>
        <v/>
      </c>
      <c r="BE1899" s="413" t="inlineStr">
        <is>
          <t>$</t>
        </is>
      </c>
    </row>
    <row r="1900" ht="12" customFormat="1" customHeight="1" s="65">
      <c r="A1900" s="43" t="n">
        <v>1885</v>
      </c>
      <c r="B1900" s="166" t="n"/>
      <c r="C1900" s="166" t="n"/>
      <c r="D1900" s="166" t="n"/>
      <c r="E1900" s="162" t="n"/>
      <c r="F1900" s="166" t="n"/>
      <c r="G1900" s="162" t="n"/>
      <c r="H1900" s="162" t="n"/>
      <c r="I1900" s="189">
        <f>E1900*G1900</f>
        <v/>
      </c>
      <c r="J1900" s="195" t="n"/>
      <c r="K1900" s="162" t="n"/>
      <c r="L1900" s="168" t="n"/>
      <c r="M1900" s="75">
        <f>_xlfn.XLOOKUP(L1900,list_vat[Страна],list_vat[Ставка НДС %],0,0)</f>
        <v/>
      </c>
      <c r="N1900" s="162">
        <f>IFERROR(IF(L1900="Китай",K1900,K1900/(1+M1900)),0)</f>
        <v/>
      </c>
      <c r="O1900" s="169" t="n"/>
      <c r="P1900" s="76">
        <f>N1900*(1-O1900)</f>
        <v/>
      </c>
      <c r="Q1900" s="162" t="n"/>
      <c r="R1900" s="162">
        <f>IF(ISBLANK(Q1900),"введи курс",P1900/Q1900)</f>
        <v/>
      </c>
      <c r="S1900" s="196">
        <f>IF(AND(ISNUMBER(E1900),ISNUMBER(Q1900)),E1900*R1900,0)</f>
        <v/>
      </c>
      <c r="T1900" s="192">
        <f>$BC1900*V$11</f>
        <v/>
      </c>
      <c r="U1900" s="76">
        <f>$BC1900*W$11</f>
        <v/>
      </c>
      <c r="V1900" s="193">
        <f>+SUM(T1900:U1900)</f>
        <v/>
      </c>
      <c r="W1900" s="191" t="n"/>
      <c r="X1900" s="170" t="n"/>
      <c r="Y1900" s="76">
        <f>ROUND(IF(offer_incoterms="DDP",X1900*(S1900*(1+AW1900)+T1900),0),2)</f>
        <v/>
      </c>
      <c r="Z1900" s="188" t="n"/>
      <c r="AA1900" s="192">
        <f>IFERROR(AB1900/E1900,0)</f>
        <v/>
      </c>
      <c r="AB1900" s="76">
        <f>ROUND(SUM(S1900,V1900,Y1900:Z1900,BA1900:BB1900),2)</f>
        <v/>
      </c>
      <c r="AC1900" s="797" t="n"/>
      <c r="AD1900" s="192">
        <f t="array" ref="AD1900">IFERROR(ROUND((_xlfn.IFS(offer_sale_type="поставка",AB1900,offer_sale_type="транзит",S1900)*(1+AC1900))/E1900,2),0)</f>
        <v/>
      </c>
      <c r="AE1900" s="76">
        <f>AD1900*E1900</f>
        <v/>
      </c>
      <c r="AF1900" s="193">
        <f t="array" ref="AF1900">IFERROR(ROUND(_xlfn.IFS(offer_sale_type="поставка",AB1900,offer_sale_type="транзит",S1900)*AC1900,2),0)</f>
        <v/>
      </c>
      <c r="AG1900" s="192">
        <f>$BD1900*VLOOKUP($AG$3,$AF$4:$AG$7,2,FALSE)</f>
        <v/>
      </c>
      <c r="AH1900" s="76">
        <f>SUM(AE1900,AG1900,AI1900)*rate_forex_risk</f>
        <v/>
      </c>
      <c r="AI1900" s="193">
        <f>IF(OR(seller_region="TR",offer_sale_type="экспорт"),0,rate_fin_comm)*SUM(AZ1900,AZ1900*AW1900,T1900)</f>
        <v/>
      </c>
      <c r="AJ1900" s="118">
        <f>IFERROR(ROUND(SUM(AB1900,AF1900:AI1900)/E1900,2),0)</f>
        <v/>
      </c>
      <c r="AK1900" s="76">
        <f>AJ1900*E1900</f>
        <v/>
      </c>
      <c r="AL1900" s="174">
        <f>ROUND(IFERROR(AM1900*E1900,0),2)</f>
        <v/>
      </c>
      <c r="AM1900" s="175">
        <f>ROUND(AJ1900*(1+IF(offer_incoterms="DDP",IF((TODAY()+offer_turnaround_time)&gt;=helpsheet!$L$17,rate_vatRU_from_26,rate_vatRu_till_25),0)),2)</f>
        <v/>
      </c>
      <c r="AN1900" s="192">
        <f>AL1900-AK1900</f>
        <v/>
      </c>
      <c r="AO1900" s="76">
        <f>SUM(AY1900,Y1900:Z1900,T1900)*IF(AND(offer_incoterms="DDP",offer_sale_type&lt;&gt;"экспорт"),IF((TODAY()+offer_turnaround_time)&gt;=helpsheet!$L$17,rate_vatRU_from_26,rate_vatRu_till_25),0)</f>
        <v/>
      </c>
      <c r="AP1900" s="193">
        <f>AN1900-AO1900</f>
        <v/>
      </c>
      <c r="AQ1900" s="118">
        <f>IF(offer_sale_type="транзит",SUM(AF1900:AI1900,BA1900,BB1900),0)</f>
        <v/>
      </c>
      <c r="AR1900" s="82">
        <f>HYPERLINK("https://www.alta.ru/tnved/code/")&amp;W1900&amp;"/"</f>
        <v/>
      </c>
      <c r="AS1900" s="157" t="n"/>
      <c r="AT1900" s="162" t="n"/>
      <c r="AU1900" s="76">
        <f>IF(ISBLANK(AT1900),0,AJ1900-AT1900)</f>
        <v/>
      </c>
      <c r="AV1900" s="157" t="n"/>
      <c r="AW1900" s="75">
        <f>_xlfn.IFNA(VLOOKUP(L1900,list_vat[],3,FALSE),0)</f>
        <v/>
      </c>
      <c r="AX1900" s="76">
        <f>IFERROR(ROUND(S1900*(1+AW1900)/E1900,2),0)</f>
        <v/>
      </c>
      <c r="AY1900" s="76">
        <f>E1900*AX1900</f>
        <v/>
      </c>
      <c r="AZ1900" s="192">
        <f>S1900*(1+M1900)</f>
        <v/>
      </c>
      <c r="BA1900" s="76">
        <f>cost_fin_total*$BD1900</f>
        <v/>
      </c>
      <c r="BB1900" s="193">
        <f>credit_sales_interest*BD1900</f>
        <v/>
      </c>
      <c r="BC1900" s="102">
        <f>IFERROR(IF($I$13&gt;0,$I1900/$I$13,$S1900/$S$13),0)</f>
        <v/>
      </c>
      <c r="BD1900" s="102">
        <f>IFERROR($S1900/$S$13,0)</f>
        <v/>
      </c>
      <c r="BE1900" s="413" t="inlineStr">
        <is>
          <t>$</t>
        </is>
      </c>
    </row>
    <row r="1901" ht="12" customFormat="1" customHeight="1" s="65">
      <c r="A1901" s="43" t="n">
        <v>1886</v>
      </c>
      <c r="B1901" s="166" t="n"/>
      <c r="C1901" s="166" t="n"/>
      <c r="D1901" s="166" t="n"/>
      <c r="E1901" s="162" t="n"/>
      <c r="F1901" s="166" t="n"/>
      <c r="G1901" s="162" t="n"/>
      <c r="H1901" s="162" t="n"/>
      <c r="I1901" s="189">
        <f>E1901*G1901</f>
        <v/>
      </c>
      <c r="J1901" s="195" t="n"/>
      <c r="K1901" s="162" t="n"/>
      <c r="L1901" s="168" t="n"/>
      <c r="M1901" s="75">
        <f>_xlfn.XLOOKUP(L1901,list_vat[Страна],list_vat[Ставка НДС %],0,0)</f>
        <v/>
      </c>
      <c r="N1901" s="162">
        <f>IFERROR(IF(L1901="Китай",K1901,K1901/(1+M1901)),0)</f>
        <v/>
      </c>
      <c r="O1901" s="169" t="n"/>
      <c r="P1901" s="76">
        <f>N1901*(1-O1901)</f>
        <v/>
      </c>
      <c r="Q1901" s="162" t="n"/>
      <c r="R1901" s="162">
        <f>IF(ISBLANK(Q1901),"введи курс",P1901/Q1901)</f>
        <v/>
      </c>
      <c r="S1901" s="196">
        <f>IF(AND(ISNUMBER(E1901),ISNUMBER(Q1901)),E1901*R1901,0)</f>
        <v/>
      </c>
      <c r="T1901" s="192">
        <f>$BC1901*V$11</f>
        <v/>
      </c>
      <c r="U1901" s="76">
        <f>$BC1901*W$11</f>
        <v/>
      </c>
      <c r="V1901" s="193">
        <f>+SUM(T1901:U1901)</f>
        <v/>
      </c>
      <c r="W1901" s="191" t="n"/>
      <c r="X1901" s="170" t="n"/>
      <c r="Y1901" s="76">
        <f>ROUND(IF(offer_incoterms="DDP",X1901*(S1901*(1+AW1901)+T1901),0),2)</f>
        <v/>
      </c>
      <c r="Z1901" s="188" t="n"/>
      <c r="AA1901" s="192">
        <f>IFERROR(AB1901/E1901,0)</f>
        <v/>
      </c>
      <c r="AB1901" s="76">
        <f>ROUND(SUM(S1901,V1901,Y1901:Z1901,BA1901:BB1901),2)</f>
        <v/>
      </c>
      <c r="AC1901" s="797" t="n"/>
      <c r="AD1901" s="192">
        <f t="array" ref="AD1901">IFERROR(ROUND((_xlfn.IFS(offer_sale_type="поставка",AB1901,offer_sale_type="транзит",S1901)*(1+AC1901))/E1901,2),0)</f>
        <v/>
      </c>
      <c r="AE1901" s="76">
        <f>AD1901*E1901</f>
        <v/>
      </c>
      <c r="AF1901" s="193">
        <f t="array" ref="AF1901">IFERROR(ROUND(_xlfn.IFS(offer_sale_type="поставка",AB1901,offer_sale_type="транзит",S1901)*AC1901,2),0)</f>
        <v/>
      </c>
      <c r="AG1901" s="192">
        <f>$BD1901*VLOOKUP($AG$3,$AF$4:$AG$7,2,FALSE)</f>
        <v/>
      </c>
      <c r="AH1901" s="76">
        <f>SUM(AE1901,AG1901,AI1901)*rate_forex_risk</f>
        <v/>
      </c>
      <c r="AI1901" s="193">
        <f>IF(OR(seller_region="TR",offer_sale_type="экспорт"),0,rate_fin_comm)*SUM(AZ1901,AZ1901*AW1901,T1901)</f>
        <v/>
      </c>
      <c r="AJ1901" s="118">
        <f>IFERROR(ROUND(SUM(AB1901,AF1901:AI1901)/E1901,2),0)</f>
        <v/>
      </c>
      <c r="AK1901" s="76">
        <f>AJ1901*E1901</f>
        <v/>
      </c>
      <c r="AL1901" s="174">
        <f>ROUND(IFERROR(AM1901*E1901,0),2)</f>
        <v/>
      </c>
      <c r="AM1901" s="175">
        <f>ROUND(AJ1901*(1+IF(offer_incoterms="DDP",IF((TODAY()+offer_turnaround_time)&gt;=helpsheet!$L$17,rate_vatRU_from_26,rate_vatRu_till_25),0)),2)</f>
        <v/>
      </c>
      <c r="AN1901" s="192">
        <f>AL1901-AK1901</f>
        <v/>
      </c>
      <c r="AO1901" s="76">
        <f>SUM(AY1901,Y1901:Z1901,T1901)*IF(AND(offer_incoterms="DDP",offer_sale_type&lt;&gt;"экспорт"),IF((TODAY()+offer_turnaround_time)&gt;=helpsheet!$L$17,rate_vatRU_from_26,rate_vatRu_till_25),0)</f>
        <v/>
      </c>
      <c r="AP1901" s="193">
        <f>AN1901-AO1901</f>
        <v/>
      </c>
      <c r="AQ1901" s="118">
        <f>IF(offer_sale_type="транзит",SUM(AF1901:AI1901,BA1901,BB1901),0)</f>
        <v/>
      </c>
      <c r="AR1901" s="82">
        <f>HYPERLINK("https://www.alta.ru/tnved/code/")&amp;W1901&amp;"/"</f>
        <v/>
      </c>
      <c r="AS1901" s="157" t="n"/>
      <c r="AT1901" s="162" t="n"/>
      <c r="AU1901" s="76">
        <f>IF(ISBLANK(AT1901),0,AJ1901-AT1901)</f>
        <v/>
      </c>
      <c r="AV1901" s="157" t="n"/>
      <c r="AW1901" s="75">
        <f>_xlfn.IFNA(VLOOKUP(L1901,list_vat[],3,FALSE),0)</f>
        <v/>
      </c>
      <c r="AX1901" s="76">
        <f>IFERROR(ROUND(S1901*(1+AW1901)/E1901,2),0)</f>
        <v/>
      </c>
      <c r="AY1901" s="76">
        <f>E1901*AX1901</f>
        <v/>
      </c>
      <c r="AZ1901" s="192">
        <f>S1901*(1+M1901)</f>
        <v/>
      </c>
      <c r="BA1901" s="76">
        <f>cost_fin_total*$BD1901</f>
        <v/>
      </c>
      <c r="BB1901" s="193">
        <f>credit_sales_interest*BD1901</f>
        <v/>
      </c>
      <c r="BC1901" s="102">
        <f>IFERROR(IF($I$13&gt;0,$I1901/$I$13,$S1901/$S$13),0)</f>
        <v/>
      </c>
      <c r="BD1901" s="102">
        <f>IFERROR($S1901/$S$13,0)</f>
        <v/>
      </c>
      <c r="BE1901" s="413" t="inlineStr">
        <is>
          <t>$</t>
        </is>
      </c>
    </row>
    <row r="1902" ht="12" customFormat="1" customHeight="1" s="65">
      <c r="A1902" s="43" t="n">
        <v>1887</v>
      </c>
      <c r="B1902" s="166" t="n"/>
      <c r="C1902" s="166" t="n"/>
      <c r="D1902" s="166" t="n"/>
      <c r="E1902" s="162" t="n"/>
      <c r="F1902" s="166" t="n"/>
      <c r="G1902" s="162" t="n"/>
      <c r="H1902" s="162" t="n"/>
      <c r="I1902" s="189">
        <f>E1902*G1902</f>
        <v/>
      </c>
      <c r="J1902" s="195" t="n"/>
      <c r="K1902" s="162" t="n"/>
      <c r="L1902" s="168" t="n"/>
      <c r="M1902" s="75">
        <f>_xlfn.XLOOKUP(L1902,list_vat[Страна],list_vat[Ставка НДС %],0,0)</f>
        <v/>
      </c>
      <c r="N1902" s="162">
        <f>IFERROR(IF(L1902="Китай",K1902,K1902/(1+M1902)),0)</f>
        <v/>
      </c>
      <c r="O1902" s="169" t="n"/>
      <c r="P1902" s="76">
        <f>N1902*(1-O1902)</f>
        <v/>
      </c>
      <c r="Q1902" s="162" t="n"/>
      <c r="R1902" s="162">
        <f>IF(ISBLANK(Q1902),"введи курс",P1902/Q1902)</f>
        <v/>
      </c>
      <c r="S1902" s="196">
        <f>IF(AND(ISNUMBER(E1902),ISNUMBER(Q1902)),E1902*R1902,0)</f>
        <v/>
      </c>
      <c r="T1902" s="192">
        <f>$BC1902*V$11</f>
        <v/>
      </c>
      <c r="U1902" s="76">
        <f>$BC1902*W$11</f>
        <v/>
      </c>
      <c r="V1902" s="193">
        <f>+SUM(T1902:U1902)</f>
        <v/>
      </c>
      <c r="W1902" s="191" t="n"/>
      <c r="X1902" s="170" t="n"/>
      <c r="Y1902" s="76">
        <f>ROUND(IF(offer_incoterms="DDP",X1902*(S1902*(1+AW1902)+T1902),0),2)</f>
        <v/>
      </c>
      <c r="Z1902" s="188" t="n"/>
      <c r="AA1902" s="192">
        <f>IFERROR(AB1902/E1902,0)</f>
        <v/>
      </c>
      <c r="AB1902" s="76">
        <f>ROUND(SUM(S1902,V1902,Y1902:Z1902,BA1902:BB1902),2)</f>
        <v/>
      </c>
      <c r="AC1902" s="797" t="n"/>
      <c r="AD1902" s="192">
        <f t="array" ref="AD1902">IFERROR(ROUND((_xlfn.IFS(offer_sale_type="поставка",AB1902,offer_sale_type="транзит",S1902)*(1+AC1902))/E1902,2),0)</f>
        <v/>
      </c>
      <c r="AE1902" s="76">
        <f>AD1902*E1902</f>
        <v/>
      </c>
      <c r="AF1902" s="193">
        <f t="array" ref="AF1902">IFERROR(ROUND(_xlfn.IFS(offer_sale_type="поставка",AB1902,offer_sale_type="транзит",S1902)*AC1902,2),0)</f>
        <v/>
      </c>
      <c r="AG1902" s="192">
        <f>$BD1902*VLOOKUP($AG$3,$AF$4:$AG$7,2,FALSE)</f>
        <v/>
      </c>
      <c r="AH1902" s="76">
        <f>SUM(AE1902,AG1902,AI1902)*rate_forex_risk</f>
        <v/>
      </c>
      <c r="AI1902" s="193">
        <f>IF(OR(seller_region="TR",offer_sale_type="экспорт"),0,rate_fin_comm)*SUM(AZ1902,AZ1902*AW1902,T1902)</f>
        <v/>
      </c>
      <c r="AJ1902" s="118">
        <f>IFERROR(ROUND(SUM(AB1902,AF1902:AI1902)/E1902,2),0)</f>
        <v/>
      </c>
      <c r="AK1902" s="76">
        <f>AJ1902*E1902</f>
        <v/>
      </c>
      <c r="AL1902" s="174">
        <f>ROUND(IFERROR(AM1902*E1902,0),2)</f>
        <v/>
      </c>
      <c r="AM1902" s="175">
        <f>ROUND(AJ1902*(1+IF(offer_incoterms="DDP",IF((TODAY()+offer_turnaround_time)&gt;=helpsheet!$L$17,rate_vatRU_from_26,rate_vatRu_till_25),0)),2)</f>
        <v/>
      </c>
      <c r="AN1902" s="192">
        <f>AL1902-AK1902</f>
        <v/>
      </c>
      <c r="AO1902" s="76">
        <f>SUM(AY1902,Y1902:Z1902,T1902)*IF(AND(offer_incoterms="DDP",offer_sale_type&lt;&gt;"экспорт"),IF((TODAY()+offer_turnaround_time)&gt;=helpsheet!$L$17,rate_vatRU_from_26,rate_vatRu_till_25),0)</f>
        <v/>
      </c>
      <c r="AP1902" s="193">
        <f>AN1902-AO1902</f>
        <v/>
      </c>
      <c r="AQ1902" s="118">
        <f>IF(offer_sale_type="транзит",SUM(AF1902:AI1902,BA1902,BB1902),0)</f>
        <v/>
      </c>
      <c r="AR1902" s="82">
        <f>HYPERLINK("https://www.alta.ru/tnved/code/")&amp;W1902&amp;"/"</f>
        <v/>
      </c>
      <c r="AS1902" s="157" t="n"/>
      <c r="AT1902" s="162" t="n"/>
      <c r="AU1902" s="76">
        <f>IF(ISBLANK(AT1902),0,AJ1902-AT1902)</f>
        <v/>
      </c>
      <c r="AV1902" s="157" t="n"/>
      <c r="AW1902" s="75">
        <f>_xlfn.IFNA(VLOOKUP(L1902,list_vat[],3,FALSE),0)</f>
        <v/>
      </c>
      <c r="AX1902" s="76">
        <f>IFERROR(ROUND(S1902*(1+AW1902)/E1902,2),0)</f>
        <v/>
      </c>
      <c r="AY1902" s="76">
        <f>E1902*AX1902</f>
        <v/>
      </c>
      <c r="AZ1902" s="192">
        <f>S1902*(1+M1902)</f>
        <v/>
      </c>
      <c r="BA1902" s="76">
        <f>cost_fin_total*$BD1902</f>
        <v/>
      </c>
      <c r="BB1902" s="193">
        <f>credit_sales_interest*BD1902</f>
        <v/>
      </c>
      <c r="BC1902" s="102">
        <f>IFERROR(IF($I$13&gt;0,$I1902/$I$13,$S1902/$S$13),0)</f>
        <v/>
      </c>
      <c r="BD1902" s="102">
        <f>IFERROR($S1902/$S$13,0)</f>
        <v/>
      </c>
      <c r="BE1902" s="413" t="inlineStr">
        <is>
          <t>$</t>
        </is>
      </c>
    </row>
    <row r="1903" ht="12" customFormat="1" customHeight="1" s="65">
      <c r="A1903" s="43" t="n">
        <v>1888</v>
      </c>
      <c r="B1903" s="166" t="n"/>
      <c r="C1903" s="166" t="n"/>
      <c r="D1903" s="166" t="n"/>
      <c r="E1903" s="162" t="n"/>
      <c r="F1903" s="166" t="n"/>
      <c r="G1903" s="162" t="n"/>
      <c r="H1903" s="162" t="n"/>
      <c r="I1903" s="189">
        <f>E1903*G1903</f>
        <v/>
      </c>
      <c r="J1903" s="195" t="n"/>
      <c r="K1903" s="162" t="n"/>
      <c r="L1903" s="168" t="n"/>
      <c r="M1903" s="75">
        <f>_xlfn.XLOOKUP(L1903,list_vat[Страна],list_vat[Ставка НДС %],0,0)</f>
        <v/>
      </c>
      <c r="N1903" s="162">
        <f>IFERROR(IF(L1903="Китай",K1903,K1903/(1+M1903)),0)</f>
        <v/>
      </c>
      <c r="O1903" s="169" t="n"/>
      <c r="P1903" s="76">
        <f>N1903*(1-O1903)</f>
        <v/>
      </c>
      <c r="Q1903" s="162" t="n"/>
      <c r="R1903" s="162">
        <f>IF(ISBLANK(Q1903),"введи курс",P1903/Q1903)</f>
        <v/>
      </c>
      <c r="S1903" s="196">
        <f>IF(AND(ISNUMBER(E1903),ISNUMBER(Q1903)),E1903*R1903,0)</f>
        <v/>
      </c>
      <c r="T1903" s="192">
        <f>$BC1903*V$11</f>
        <v/>
      </c>
      <c r="U1903" s="76">
        <f>$BC1903*W$11</f>
        <v/>
      </c>
      <c r="V1903" s="193">
        <f>+SUM(T1903:U1903)</f>
        <v/>
      </c>
      <c r="W1903" s="191" t="n"/>
      <c r="X1903" s="170" t="n"/>
      <c r="Y1903" s="76">
        <f>ROUND(IF(offer_incoterms="DDP",X1903*(S1903*(1+AW1903)+T1903),0),2)</f>
        <v/>
      </c>
      <c r="Z1903" s="188" t="n"/>
      <c r="AA1903" s="192">
        <f>IFERROR(AB1903/E1903,0)</f>
        <v/>
      </c>
      <c r="AB1903" s="76">
        <f>ROUND(SUM(S1903,V1903,Y1903:Z1903,BA1903:BB1903),2)</f>
        <v/>
      </c>
      <c r="AC1903" s="797" t="n"/>
      <c r="AD1903" s="192">
        <f t="array" ref="AD1903">IFERROR(ROUND((_xlfn.IFS(offer_sale_type="поставка",AB1903,offer_sale_type="транзит",S1903)*(1+AC1903))/E1903,2),0)</f>
        <v/>
      </c>
      <c r="AE1903" s="76">
        <f>AD1903*E1903</f>
        <v/>
      </c>
      <c r="AF1903" s="193">
        <f t="array" ref="AF1903">IFERROR(ROUND(_xlfn.IFS(offer_sale_type="поставка",AB1903,offer_sale_type="транзит",S1903)*AC1903,2),0)</f>
        <v/>
      </c>
      <c r="AG1903" s="192">
        <f>$BD1903*VLOOKUP($AG$3,$AF$4:$AG$7,2,FALSE)</f>
        <v/>
      </c>
      <c r="AH1903" s="76">
        <f>SUM(AE1903,AG1903,AI1903)*rate_forex_risk</f>
        <v/>
      </c>
      <c r="AI1903" s="193">
        <f>IF(OR(seller_region="TR",offer_sale_type="экспорт"),0,rate_fin_comm)*SUM(AZ1903,AZ1903*AW1903,T1903)</f>
        <v/>
      </c>
      <c r="AJ1903" s="118">
        <f>IFERROR(ROUND(SUM(AB1903,AF1903:AI1903)/E1903,2),0)</f>
        <v/>
      </c>
      <c r="AK1903" s="76">
        <f>AJ1903*E1903</f>
        <v/>
      </c>
      <c r="AL1903" s="174">
        <f>ROUND(IFERROR(AM1903*E1903,0),2)</f>
        <v/>
      </c>
      <c r="AM1903" s="175">
        <f>ROUND(AJ1903*(1+IF(offer_incoterms="DDP",IF((TODAY()+offer_turnaround_time)&gt;=helpsheet!$L$17,rate_vatRU_from_26,rate_vatRu_till_25),0)),2)</f>
        <v/>
      </c>
      <c r="AN1903" s="192">
        <f>AL1903-AK1903</f>
        <v/>
      </c>
      <c r="AO1903" s="76">
        <f>SUM(AY1903,Y1903:Z1903,T1903)*IF(AND(offer_incoterms="DDP",offer_sale_type&lt;&gt;"экспорт"),IF((TODAY()+offer_turnaround_time)&gt;=helpsheet!$L$17,rate_vatRU_from_26,rate_vatRu_till_25),0)</f>
        <v/>
      </c>
      <c r="AP1903" s="193">
        <f>AN1903-AO1903</f>
        <v/>
      </c>
      <c r="AQ1903" s="118">
        <f>IF(offer_sale_type="транзит",SUM(AF1903:AI1903,BA1903,BB1903),0)</f>
        <v/>
      </c>
      <c r="AR1903" s="82">
        <f>HYPERLINK("https://www.alta.ru/tnved/code/")&amp;W1903&amp;"/"</f>
        <v/>
      </c>
      <c r="AS1903" s="157" t="n"/>
      <c r="AT1903" s="162" t="n"/>
      <c r="AU1903" s="76">
        <f>IF(ISBLANK(AT1903),0,AJ1903-AT1903)</f>
        <v/>
      </c>
      <c r="AV1903" s="157" t="n"/>
      <c r="AW1903" s="75">
        <f>_xlfn.IFNA(VLOOKUP(L1903,list_vat[],3,FALSE),0)</f>
        <v/>
      </c>
      <c r="AX1903" s="76">
        <f>IFERROR(ROUND(S1903*(1+AW1903)/E1903,2),0)</f>
        <v/>
      </c>
      <c r="AY1903" s="76">
        <f>E1903*AX1903</f>
        <v/>
      </c>
      <c r="AZ1903" s="192">
        <f>S1903*(1+M1903)</f>
        <v/>
      </c>
      <c r="BA1903" s="76">
        <f>cost_fin_total*$BD1903</f>
        <v/>
      </c>
      <c r="BB1903" s="193">
        <f>credit_sales_interest*BD1903</f>
        <v/>
      </c>
      <c r="BC1903" s="102">
        <f>IFERROR(IF($I$13&gt;0,$I1903/$I$13,$S1903/$S$13),0)</f>
        <v/>
      </c>
      <c r="BD1903" s="102">
        <f>IFERROR($S1903/$S$13,0)</f>
        <v/>
      </c>
      <c r="BE1903" s="413" t="inlineStr">
        <is>
          <t>$</t>
        </is>
      </c>
    </row>
    <row r="1904" ht="12" customFormat="1" customHeight="1" s="65">
      <c r="A1904" s="43" t="n">
        <v>1889</v>
      </c>
      <c r="B1904" s="166" t="n"/>
      <c r="C1904" s="166" t="n"/>
      <c r="D1904" s="166" t="n"/>
      <c r="E1904" s="162" t="n"/>
      <c r="F1904" s="166" t="n"/>
      <c r="G1904" s="162" t="n"/>
      <c r="H1904" s="162" t="n"/>
      <c r="I1904" s="189">
        <f>E1904*G1904</f>
        <v/>
      </c>
      <c r="J1904" s="195" t="n"/>
      <c r="K1904" s="162" t="n"/>
      <c r="L1904" s="168" t="n"/>
      <c r="M1904" s="75">
        <f>_xlfn.XLOOKUP(L1904,list_vat[Страна],list_vat[Ставка НДС %],0,0)</f>
        <v/>
      </c>
      <c r="N1904" s="162">
        <f>IFERROR(IF(L1904="Китай",K1904,K1904/(1+M1904)),0)</f>
        <v/>
      </c>
      <c r="O1904" s="169" t="n"/>
      <c r="P1904" s="76">
        <f>N1904*(1-O1904)</f>
        <v/>
      </c>
      <c r="Q1904" s="162" t="n"/>
      <c r="R1904" s="162">
        <f>IF(ISBLANK(Q1904),"введи курс",P1904/Q1904)</f>
        <v/>
      </c>
      <c r="S1904" s="196">
        <f>IF(AND(ISNUMBER(E1904),ISNUMBER(Q1904)),E1904*R1904,0)</f>
        <v/>
      </c>
      <c r="T1904" s="192">
        <f>$BC1904*V$11</f>
        <v/>
      </c>
      <c r="U1904" s="76">
        <f>$BC1904*W$11</f>
        <v/>
      </c>
      <c r="V1904" s="193">
        <f>+SUM(T1904:U1904)</f>
        <v/>
      </c>
      <c r="W1904" s="191" t="n"/>
      <c r="X1904" s="170" t="n"/>
      <c r="Y1904" s="76">
        <f>ROUND(IF(offer_incoterms="DDP",X1904*(S1904*(1+AW1904)+T1904),0),2)</f>
        <v/>
      </c>
      <c r="Z1904" s="188" t="n"/>
      <c r="AA1904" s="192">
        <f>IFERROR(AB1904/E1904,0)</f>
        <v/>
      </c>
      <c r="AB1904" s="76">
        <f>ROUND(SUM(S1904,V1904,Y1904:Z1904,BA1904:BB1904),2)</f>
        <v/>
      </c>
      <c r="AC1904" s="797" t="n"/>
      <c r="AD1904" s="192">
        <f t="array" ref="AD1904">IFERROR(ROUND((_xlfn.IFS(offer_sale_type="поставка",AB1904,offer_sale_type="транзит",S1904)*(1+AC1904))/E1904,2),0)</f>
        <v/>
      </c>
      <c r="AE1904" s="76">
        <f>AD1904*E1904</f>
        <v/>
      </c>
      <c r="AF1904" s="193">
        <f t="array" ref="AF1904">IFERROR(ROUND(_xlfn.IFS(offer_sale_type="поставка",AB1904,offer_sale_type="транзит",S1904)*AC1904,2),0)</f>
        <v/>
      </c>
      <c r="AG1904" s="192">
        <f>$BD1904*VLOOKUP($AG$3,$AF$4:$AG$7,2,FALSE)</f>
        <v/>
      </c>
      <c r="AH1904" s="76">
        <f>SUM(AE1904,AG1904,AI1904)*rate_forex_risk</f>
        <v/>
      </c>
      <c r="AI1904" s="193">
        <f>IF(OR(seller_region="TR",offer_sale_type="экспорт"),0,rate_fin_comm)*SUM(AZ1904,AZ1904*AW1904,T1904)</f>
        <v/>
      </c>
      <c r="AJ1904" s="118">
        <f>IFERROR(ROUND(SUM(AB1904,AF1904:AI1904)/E1904,2),0)</f>
        <v/>
      </c>
      <c r="AK1904" s="76">
        <f>AJ1904*E1904</f>
        <v/>
      </c>
      <c r="AL1904" s="174">
        <f>ROUND(IFERROR(AM1904*E1904,0),2)</f>
        <v/>
      </c>
      <c r="AM1904" s="175">
        <f>ROUND(AJ1904*(1+IF(offer_incoterms="DDP",IF((TODAY()+offer_turnaround_time)&gt;=helpsheet!$L$17,rate_vatRU_from_26,rate_vatRu_till_25),0)),2)</f>
        <v/>
      </c>
      <c r="AN1904" s="192">
        <f>AL1904-AK1904</f>
        <v/>
      </c>
      <c r="AO1904" s="76">
        <f>SUM(AY1904,Y1904:Z1904,T1904)*IF(AND(offer_incoterms="DDP",offer_sale_type&lt;&gt;"экспорт"),IF((TODAY()+offer_turnaround_time)&gt;=helpsheet!$L$17,rate_vatRU_from_26,rate_vatRu_till_25),0)</f>
        <v/>
      </c>
      <c r="AP1904" s="193">
        <f>AN1904-AO1904</f>
        <v/>
      </c>
      <c r="AQ1904" s="118">
        <f>IF(offer_sale_type="транзит",SUM(AF1904:AI1904,BA1904,BB1904),0)</f>
        <v/>
      </c>
      <c r="AR1904" s="82">
        <f>HYPERLINK("https://www.alta.ru/tnved/code/")&amp;W1904&amp;"/"</f>
        <v/>
      </c>
      <c r="AS1904" s="157" t="n"/>
      <c r="AT1904" s="162" t="n"/>
      <c r="AU1904" s="76">
        <f>IF(ISBLANK(AT1904),0,AJ1904-AT1904)</f>
        <v/>
      </c>
      <c r="AV1904" s="157" t="n"/>
      <c r="AW1904" s="75">
        <f>_xlfn.IFNA(VLOOKUP(L1904,list_vat[],3,FALSE),0)</f>
        <v/>
      </c>
      <c r="AX1904" s="76">
        <f>IFERROR(ROUND(S1904*(1+AW1904)/E1904,2),0)</f>
        <v/>
      </c>
      <c r="AY1904" s="76">
        <f>E1904*AX1904</f>
        <v/>
      </c>
      <c r="AZ1904" s="192">
        <f>S1904*(1+M1904)</f>
        <v/>
      </c>
      <c r="BA1904" s="76">
        <f>cost_fin_total*$BD1904</f>
        <v/>
      </c>
      <c r="BB1904" s="193">
        <f>credit_sales_interest*BD1904</f>
        <v/>
      </c>
      <c r="BC1904" s="102">
        <f>IFERROR(IF($I$13&gt;0,$I1904/$I$13,$S1904/$S$13),0)</f>
        <v/>
      </c>
      <c r="BD1904" s="102">
        <f>IFERROR($S1904/$S$13,0)</f>
        <v/>
      </c>
      <c r="BE1904" s="413" t="inlineStr">
        <is>
          <t>$</t>
        </is>
      </c>
    </row>
    <row r="1905" ht="12" customFormat="1" customHeight="1" s="65">
      <c r="A1905" s="43" t="n">
        <v>1890</v>
      </c>
      <c r="B1905" s="166" t="n"/>
      <c r="C1905" s="166" t="n"/>
      <c r="D1905" s="166" t="n"/>
      <c r="E1905" s="162" t="n"/>
      <c r="F1905" s="166" t="n"/>
      <c r="G1905" s="162" t="n"/>
      <c r="H1905" s="162" t="n"/>
      <c r="I1905" s="189">
        <f>E1905*G1905</f>
        <v/>
      </c>
      <c r="J1905" s="195" t="n"/>
      <c r="K1905" s="162" t="n"/>
      <c r="L1905" s="168" t="n"/>
      <c r="M1905" s="75">
        <f>_xlfn.XLOOKUP(L1905,list_vat[Страна],list_vat[Ставка НДС %],0,0)</f>
        <v/>
      </c>
      <c r="N1905" s="162">
        <f>IFERROR(IF(L1905="Китай",K1905,K1905/(1+M1905)),0)</f>
        <v/>
      </c>
      <c r="O1905" s="169" t="n"/>
      <c r="P1905" s="76">
        <f>N1905*(1-O1905)</f>
        <v/>
      </c>
      <c r="Q1905" s="162" t="n"/>
      <c r="R1905" s="162">
        <f>IF(ISBLANK(Q1905),"введи курс",P1905/Q1905)</f>
        <v/>
      </c>
      <c r="S1905" s="196">
        <f>IF(AND(ISNUMBER(E1905),ISNUMBER(Q1905)),E1905*R1905,0)</f>
        <v/>
      </c>
      <c r="T1905" s="192">
        <f>$BC1905*V$11</f>
        <v/>
      </c>
      <c r="U1905" s="76">
        <f>$BC1905*W$11</f>
        <v/>
      </c>
      <c r="V1905" s="193">
        <f>+SUM(T1905:U1905)</f>
        <v/>
      </c>
      <c r="W1905" s="191" t="n"/>
      <c r="X1905" s="170" t="n"/>
      <c r="Y1905" s="76">
        <f>ROUND(IF(offer_incoterms="DDP",X1905*(S1905*(1+AW1905)+T1905),0),2)</f>
        <v/>
      </c>
      <c r="Z1905" s="188" t="n"/>
      <c r="AA1905" s="192">
        <f>IFERROR(AB1905/E1905,0)</f>
        <v/>
      </c>
      <c r="AB1905" s="76">
        <f>ROUND(SUM(S1905,V1905,Y1905:Z1905,BA1905:BB1905),2)</f>
        <v/>
      </c>
      <c r="AC1905" s="797" t="n"/>
      <c r="AD1905" s="192">
        <f t="array" ref="AD1905">IFERROR(ROUND((_xlfn.IFS(offer_sale_type="поставка",AB1905,offer_sale_type="транзит",S1905)*(1+AC1905))/E1905,2),0)</f>
        <v/>
      </c>
      <c r="AE1905" s="76">
        <f>AD1905*E1905</f>
        <v/>
      </c>
      <c r="AF1905" s="193">
        <f t="array" ref="AF1905">IFERROR(ROUND(_xlfn.IFS(offer_sale_type="поставка",AB1905,offer_sale_type="транзит",S1905)*AC1905,2),0)</f>
        <v/>
      </c>
      <c r="AG1905" s="192">
        <f>$BD1905*VLOOKUP($AG$3,$AF$4:$AG$7,2,FALSE)</f>
        <v/>
      </c>
      <c r="AH1905" s="76">
        <f>SUM(AE1905,AG1905,AI1905)*rate_forex_risk</f>
        <v/>
      </c>
      <c r="AI1905" s="193">
        <f>IF(OR(seller_region="TR",offer_sale_type="экспорт"),0,rate_fin_comm)*SUM(AZ1905,AZ1905*AW1905,T1905)</f>
        <v/>
      </c>
      <c r="AJ1905" s="118">
        <f>IFERROR(ROUND(SUM(AB1905,AF1905:AI1905)/E1905,2),0)</f>
        <v/>
      </c>
      <c r="AK1905" s="76">
        <f>AJ1905*E1905</f>
        <v/>
      </c>
      <c r="AL1905" s="174">
        <f>ROUND(IFERROR(AM1905*E1905,0),2)</f>
        <v/>
      </c>
      <c r="AM1905" s="175">
        <f>ROUND(AJ1905*(1+IF(offer_incoterms="DDP",IF((TODAY()+offer_turnaround_time)&gt;=helpsheet!$L$17,rate_vatRU_from_26,rate_vatRu_till_25),0)),2)</f>
        <v/>
      </c>
      <c r="AN1905" s="192">
        <f>AL1905-AK1905</f>
        <v/>
      </c>
      <c r="AO1905" s="76">
        <f>SUM(AY1905,Y1905:Z1905,T1905)*IF(AND(offer_incoterms="DDP",offer_sale_type&lt;&gt;"экспорт"),IF((TODAY()+offer_turnaround_time)&gt;=helpsheet!$L$17,rate_vatRU_from_26,rate_vatRu_till_25),0)</f>
        <v/>
      </c>
      <c r="AP1905" s="193">
        <f>AN1905-AO1905</f>
        <v/>
      </c>
      <c r="AQ1905" s="118">
        <f>IF(offer_sale_type="транзит",SUM(AF1905:AI1905,BA1905,BB1905),0)</f>
        <v/>
      </c>
      <c r="AR1905" s="82">
        <f>HYPERLINK("https://www.alta.ru/tnved/code/")&amp;W1905&amp;"/"</f>
        <v/>
      </c>
      <c r="AS1905" s="157" t="n"/>
      <c r="AT1905" s="162" t="n"/>
      <c r="AU1905" s="76">
        <f>IF(ISBLANK(AT1905),0,AJ1905-AT1905)</f>
        <v/>
      </c>
      <c r="AV1905" s="157" t="n"/>
      <c r="AW1905" s="75">
        <f>_xlfn.IFNA(VLOOKUP(L1905,list_vat[],3,FALSE),0)</f>
        <v/>
      </c>
      <c r="AX1905" s="76">
        <f>IFERROR(ROUND(S1905*(1+AW1905)/E1905,2),0)</f>
        <v/>
      </c>
      <c r="AY1905" s="76">
        <f>E1905*AX1905</f>
        <v/>
      </c>
      <c r="AZ1905" s="192">
        <f>S1905*(1+M1905)</f>
        <v/>
      </c>
      <c r="BA1905" s="76">
        <f>cost_fin_total*$BD1905</f>
        <v/>
      </c>
      <c r="BB1905" s="193">
        <f>credit_sales_interest*BD1905</f>
        <v/>
      </c>
      <c r="BC1905" s="102">
        <f>IFERROR(IF($I$13&gt;0,$I1905/$I$13,$S1905/$S$13),0)</f>
        <v/>
      </c>
      <c r="BD1905" s="102">
        <f>IFERROR($S1905/$S$13,0)</f>
        <v/>
      </c>
      <c r="BE1905" s="413" t="inlineStr">
        <is>
          <t>$</t>
        </is>
      </c>
    </row>
    <row r="1906" ht="12" customFormat="1" customHeight="1" s="65">
      <c r="A1906" s="43" t="n">
        <v>1891</v>
      </c>
      <c r="B1906" s="166" t="n"/>
      <c r="C1906" s="166" t="n"/>
      <c r="D1906" s="166" t="n"/>
      <c r="E1906" s="162" t="n"/>
      <c r="F1906" s="166" t="n"/>
      <c r="G1906" s="162" t="n"/>
      <c r="H1906" s="162" t="n"/>
      <c r="I1906" s="189">
        <f>E1906*G1906</f>
        <v/>
      </c>
      <c r="J1906" s="195" t="n"/>
      <c r="K1906" s="162" t="n"/>
      <c r="L1906" s="168" t="n"/>
      <c r="M1906" s="75">
        <f>_xlfn.XLOOKUP(L1906,list_vat[Страна],list_vat[Ставка НДС %],0,0)</f>
        <v/>
      </c>
      <c r="N1906" s="162">
        <f>IFERROR(IF(L1906="Китай",K1906,K1906/(1+M1906)),0)</f>
        <v/>
      </c>
      <c r="O1906" s="169" t="n"/>
      <c r="P1906" s="76">
        <f>N1906*(1-O1906)</f>
        <v/>
      </c>
      <c r="Q1906" s="162" t="n"/>
      <c r="R1906" s="162">
        <f>IF(ISBLANK(Q1906),"введи курс",P1906/Q1906)</f>
        <v/>
      </c>
      <c r="S1906" s="196">
        <f>IF(AND(ISNUMBER(E1906),ISNUMBER(Q1906)),E1906*R1906,0)</f>
        <v/>
      </c>
      <c r="T1906" s="192">
        <f>$BC1906*V$11</f>
        <v/>
      </c>
      <c r="U1906" s="76">
        <f>$BC1906*W$11</f>
        <v/>
      </c>
      <c r="V1906" s="193">
        <f>+SUM(T1906:U1906)</f>
        <v/>
      </c>
      <c r="W1906" s="191" t="n"/>
      <c r="X1906" s="170" t="n"/>
      <c r="Y1906" s="76">
        <f>ROUND(IF(offer_incoterms="DDP",X1906*(S1906*(1+AW1906)+T1906),0),2)</f>
        <v/>
      </c>
      <c r="Z1906" s="188" t="n"/>
      <c r="AA1906" s="192">
        <f>IFERROR(AB1906/E1906,0)</f>
        <v/>
      </c>
      <c r="AB1906" s="76">
        <f>ROUND(SUM(S1906,V1906,Y1906:Z1906,BA1906:BB1906),2)</f>
        <v/>
      </c>
      <c r="AC1906" s="797" t="n"/>
      <c r="AD1906" s="192">
        <f t="array" ref="AD1906">IFERROR(ROUND((_xlfn.IFS(offer_sale_type="поставка",AB1906,offer_sale_type="транзит",S1906)*(1+AC1906))/E1906,2),0)</f>
        <v/>
      </c>
      <c r="AE1906" s="76">
        <f>AD1906*E1906</f>
        <v/>
      </c>
      <c r="AF1906" s="193">
        <f t="array" ref="AF1906">IFERROR(ROUND(_xlfn.IFS(offer_sale_type="поставка",AB1906,offer_sale_type="транзит",S1906)*AC1906,2),0)</f>
        <v/>
      </c>
      <c r="AG1906" s="192">
        <f>$BD1906*VLOOKUP($AG$3,$AF$4:$AG$7,2,FALSE)</f>
        <v/>
      </c>
      <c r="AH1906" s="76">
        <f>SUM(AE1906,AG1906,AI1906)*rate_forex_risk</f>
        <v/>
      </c>
      <c r="AI1906" s="193">
        <f>IF(OR(seller_region="TR",offer_sale_type="экспорт"),0,rate_fin_comm)*SUM(AZ1906,AZ1906*AW1906,T1906)</f>
        <v/>
      </c>
      <c r="AJ1906" s="118">
        <f>IFERROR(ROUND(SUM(AB1906,AF1906:AI1906)/E1906,2),0)</f>
        <v/>
      </c>
      <c r="AK1906" s="76">
        <f>AJ1906*E1906</f>
        <v/>
      </c>
      <c r="AL1906" s="174">
        <f>ROUND(IFERROR(AM1906*E1906,0),2)</f>
        <v/>
      </c>
      <c r="AM1906" s="175">
        <f>ROUND(AJ1906*(1+IF(offer_incoterms="DDP",IF((TODAY()+offer_turnaround_time)&gt;=helpsheet!$L$17,rate_vatRU_from_26,rate_vatRu_till_25),0)),2)</f>
        <v/>
      </c>
      <c r="AN1906" s="192">
        <f>AL1906-AK1906</f>
        <v/>
      </c>
      <c r="AO1906" s="76">
        <f>SUM(AY1906,Y1906:Z1906,T1906)*IF(AND(offer_incoterms="DDP",offer_sale_type&lt;&gt;"экспорт"),IF((TODAY()+offer_turnaround_time)&gt;=helpsheet!$L$17,rate_vatRU_from_26,rate_vatRu_till_25),0)</f>
        <v/>
      </c>
      <c r="AP1906" s="193">
        <f>AN1906-AO1906</f>
        <v/>
      </c>
      <c r="AQ1906" s="118">
        <f>IF(offer_sale_type="транзит",SUM(AF1906:AI1906,BA1906,BB1906),0)</f>
        <v/>
      </c>
      <c r="AR1906" s="82">
        <f>HYPERLINK("https://www.alta.ru/tnved/code/")&amp;W1906&amp;"/"</f>
        <v/>
      </c>
      <c r="AS1906" s="157" t="n"/>
      <c r="AT1906" s="162" t="n"/>
      <c r="AU1906" s="76">
        <f>IF(ISBLANK(AT1906),0,AJ1906-AT1906)</f>
        <v/>
      </c>
      <c r="AV1906" s="157" t="n"/>
      <c r="AW1906" s="75">
        <f>_xlfn.IFNA(VLOOKUP(L1906,list_vat[],3,FALSE),0)</f>
        <v/>
      </c>
      <c r="AX1906" s="76">
        <f>IFERROR(ROUND(S1906*(1+AW1906)/E1906,2),0)</f>
        <v/>
      </c>
      <c r="AY1906" s="76">
        <f>E1906*AX1906</f>
        <v/>
      </c>
      <c r="AZ1906" s="192">
        <f>S1906*(1+M1906)</f>
        <v/>
      </c>
      <c r="BA1906" s="76">
        <f>cost_fin_total*$BD1906</f>
        <v/>
      </c>
      <c r="BB1906" s="193">
        <f>credit_sales_interest*BD1906</f>
        <v/>
      </c>
      <c r="BC1906" s="102">
        <f>IFERROR(IF($I$13&gt;0,$I1906/$I$13,$S1906/$S$13),0)</f>
        <v/>
      </c>
      <c r="BD1906" s="102">
        <f>IFERROR($S1906/$S$13,0)</f>
        <v/>
      </c>
      <c r="BE1906" s="413" t="inlineStr">
        <is>
          <t>$</t>
        </is>
      </c>
    </row>
    <row r="1907" ht="12" customFormat="1" customHeight="1" s="65">
      <c r="A1907" s="43" t="n">
        <v>1892</v>
      </c>
      <c r="B1907" s="166" t="n"/>
      <c r="C1907" s="166" t="n"/>
      <c r="D1907" s="166" t="n"/>
      <c r="E1907" s="162" t="n"/>
      <c r="F1907" s="166" t="n"/>
      <c r="G1907" s="162" t="n"/>
      <c r="H1907" s="162" t="n"/>
      <c r="I1907" s="189">
        <f>E1907*G1907</f>
        <v/>
      </c>
      <c r="J1907" s="195" t="n"/>
      <c r="K1907" s="162" t="n"/>
      <c r="L1907" s="168" t="n"/>
      <c r="M1907" s="75">
        <f>_xlfn.XLOOKUP(L1907,list_vat[Страна],list_vat[Ставка НДС %],0,0)</f>
        <v/>
      </c>
      <c r="N1907" s="162">
        <f>IFERROR(IF(L1907="Китай",K1907,K1907/(1+M1907)),0)</f>
        <v/>
      </c>
      <c r="O1907" s="169" t="n"/>
      <c r="P1907" s="76">
        <f>N1907*(1-O1907)</f>
        <v/>
      </c>
      <c r="Q1907" s="162" t="n"/>
      <c r="R1907" s="162">
        <f>IF(ISBLANK(Q1907),"введи курс",P1907/Q1907)</f>
        <v/>
      </c>
      <c r="S1907" s="196">
        <f>IF(AND(ISNUMBER(E1907),ISNUMBER(Q1907)),E1907*R1907,0)</f>
        <v/>
      </c>
      <c r="T1907" s="192">
        <f>$BC1907*V$11</f>
        <v/>
      </c>
      <c r="U1907" s="76">
        <f>$BC1907*W$11</f>
        <v/>
      </c>
      <c r="V1907" s="193">
        <f>+SUM(T1907:U1907)</f>
        <v/>
      </c>
      <c r="W1907" s="191" t="n"/>
      <c r="X1907" s="170" t="n"/>
      <c r="Y1907" s="76">
        <f>ROUND(IF(offer_incoterms="DDP",X1907*(S1907*(1+AW1907)+T1907),0),2)</f>
        <v/>
      </c>
      <c r="Z1907" s="188" t="n"/>
      <c r="AA1907" s="192">
        <f>IFERROR(AB1907/E1907,0)</f>
        <v/>
      </c>
      <c r="AB1907" s="76">
        <f>ROUND(SUM(S1907,V1907,Y1907:Z1907,BA1907:BB1907),2)</f>
        <v/>
      </c>
      <c r="AC1907" s="797" t="n"/>
      <c r="AD1907" s="192">
        <f t="array" ref="AD1907">IFERROR(ROUND((_xlfn.IFS(offer_sale_type="поставка",AB1907,offer_sale_type="транзит",S1907)*(1+AC1907))/E1907,2),0)</f>
        <v/>
      </c>
      <c r="AE1907" s="76">
        <f>AD1907*E1907</f>
        <v/>
      </c>
      <c r="AF1907" s="193">
        <f t="array" ref="AF1907">IFERROR(ROUND(_xlfn.IFS(offer_sale_type="поставка",AB1907,offer_sale_type="транзит",S1907)*AC1907,2),0)</f>
        <v/>
      </c>
      <c r="AG1907" s="192">
        <f>$BD1907*VLOOKUP($AG$3,$AF$4:$AG$7,2,FALSE)</f>
        <v/>
      </c>
      <c r="AH1907" s="76">
        <f>SUM(AE1907,AG1907,AI1907)*rate_forex_risk</f>
        <v/>
      </c>
      <c r="AI1907" s="193">
        <f>IF(OR(seller_region="TR",offer_sale_type="экспорт"),0,rate_fin_comm)*SUM(AZ1907,AZ1907*AW1907,T1907)</f>
        <v/>
      </c>
      <c r="AJ1907" s="118">
        <f>IFERROR(ROUND(SUM(AB1907,AF1907:AI1907)/E1907,2),0)</f>
        <v/>
      </c>
      <c r="AK1907" s="76">
        <f>AJ1907*E1907</f>
        <v/>
      </c>
      <c r="AL1907" s="174">
        <f>ROUND(IFERROR(AM1907*E1907,0),2)</f>
        <v/>
      </c>
      <c r="AM1907" s="175">
        <f>ROUND(AJ1907*(1+IF(offer_incoterms="DDP",IF((TODAY()+offer_turnaround_time)&gt;=helpsheet!$L$17,rate_vatRU_from_26,rate_vatRu_till_25),0)),2)</f>
        <v/>
      </c>
      <c r="AN1907" s="192">
        <f>AL1907-AK1907</f>
        <v/>
      </c>
      <c r="AO1907" s="76">
        <f>SUM(AY1907,Y1907:Z1907,T1907)*IF(AND(offer_incoterms="DDP",offer_sale_type&lt;&gt;"экспорт"),IF((TODAY()+offer_turnaround_time)&gt;=helpsheet!$L$17,rate_vatRU_from_26,rate_vatRu_till_25),0)</f>
        <v/>
      </c>
      <c r="AP1907" s="193">
        <f>AN1907-AO1907</f>
        <v/>
      </c>
      <c r="AQ1907" s="118">
        <f>IF(offer_sale_type="транзит",SUM(AF1907:AI1907,BA1907,BB1907),0)</f>
        <v/>
      </c>
      <c r="AR1907" s="82">
        <f>HYPERLINK("https://www.alta.ru/tnved/code/")&amp;W1907&amp;"/"</f>
        <v/>
      </c>
      <c r="AS1907" s="157" t="n"/>
      <c r="AT1907" s="162" t="n"/>
      <c r="AU1907" s="76">
        <f>IF(ISBLANK(AT1907),0,AJ1907-AT1907)</f>
        <v/>
      </c>
      <c r="AV1907" s="157" t="n"/>
      <c r="AW1907" s="75">
        <f>_xlfn.IFNA(VLOOKUP(L1907,list_vat[],3,FALSE),0)</f>
        <v/>
      </c>
      <c r="AX1907" s="76">
        <f>IFERROR(ROUND(S1907*(1+AW1907)/E1907,2),0)</f>
        <v/>
      </c>
      <c r="AY1907" s="76">
        <f>E1907*AX1907</f>
        <v/>
      </c>
      <c r="AZ1907" s="192">
        <f>S1907*(1+M1907)</f>
        <v/>
      </c>
      <c r="BA1907" s="76">
        <f>cost_fin_total*$BD1907</f>
        <v/>
      </c>
      <c r="BB1907" s="193">
        <f>credit_sales_interest*BD1907</f>
        <v/>
      </c>
      <c r="BC1907" s="102">
        <f>IFERROR(IF($I$13&gt;0,$I1907/$I$13,$S1907/$S$13),0)</f>
        <v/>
      </c>
      <c r="BD1907" s="102">
        <f>IFERROR($S1907/$S$13,0)</f>
        <v/>
      </c>
      <c r="BE1907" s="413" t="inlineStr">
        <is>
          <t>$</t>
        </is>
      </c>
    </row>
    <row r="1908" ht="12" customFormat="1" customHeight="1" s="65">
      <c r="A1908" s="43" t="n">
        <v>1893</v>
      </c>
      <c r="B1908" s="166" t="n"/>
      <c r="C1908" s="166" t="n"/>
      <c r="D1908" s="166" t="n"/>
      <c r="E1908" s="162" t="n"/>
      <c r="F1908" s="166" t="n"/>
      <c r="G1908" s="162" t="n"/>
      <c r="H1908" s="162" t="n"/>
      <c r="I1908" s="189">
        <f>E1908*G1908</f>
        <v/>
      </c>
      <c r="J1908" s="195" t="n"/>
      <c r="K1908" s="162" t="n"/>
      <c r="L1908" s="168" t="n"/>
      <c r="M1908" s="75">
        <f>_xlfn.XLOOKUP(L1908,list_vat[Страна],list_vat[Ставка НДС %],0,0)</f>
        <v/>
      </c>
      <c r="N1908" s="162">
        <f>IFERROR(IF(L1908="Китай",K1908,K1908/(1+M1908)),0)</f>
        <v/>
      </c>
      <c r="O1908" s="169" t="n"/>
      <c r="P1908" s="76">
        <f>N1908*(1-O1908)</f>
        <v/>
      </c>
      <c r="Q1908" s="162" t="n"/>
      <c r="R1908" s="162">
        <f>IF(ISBLANK(Q1908),"введи курс",P1908/Q1908)</f>
        <v/>
      </c>
      <c r="S1908" s="196">
        <f>IF(AND(ISNUMBER(E1908),ISNUMBER(Q1908)),E1908*R1908,0)</f>
        <v/>
      </c>
      <c r="T1908" s="192">
        <f>$BC1908*V$11</f>
        <v/>
      </c>
      <c r="U1908" s="76">
        <f>$BC1908*W$11</f>
        <v/>
      </c>
      <c r="V1908" s="193">
        <f>+SUM(T1908:U1908)</f>
        <v/>
      </c>
      <c r="W1908" s="191" t="n"/>
      <c r="X1908" s="170" t="n"/>
      <c r="Y1908" s="76">
        <f>ROUND(IF(offer_incoterms="DDP",X1908*(S1908*(1+AW1908)+T1908),0),2)</f>
        <v/>
      </c>
      <c r="Z1908" s="188" t="n"/>
      <c r="AA1908" s="192">
        <f>IFERROR(AB1908/E1908,0)</f>
        <v/>
      </c>
      <c r="AB1908" s="76">
        <f>ROUND(SUM(S1908,V1908,Y1908:Z1908,BA1908:BB1908),2)</f>
        <v/>
      </c>
      <c r="AC1908" s="797" t="n"/>
      <c r="AD1908" s="192">
        <f t="array" ref="AD1908">IFERROR(ROUND((_xlfn.IFS(offer_sale_type="поставка",AB1908,offer_sale_type="транзит",S1908)*(1+AC1908))/E1908,2),0)</f>
        <v/>
      </c>
      <c r="AE1908" s="76">
        <f>AD1908*E1908</f>
        <v/>
      </c>
      <c r="AF1908" s="193">
        <f t="array" ref="AF1908">IFERROR(ROUND(_xlfn.IFS(offer_sale_type="поставка",AB1908,offer_sale_type="транзит",S1908)*AC1908,2),0)</f>
        <v/>
      </c>
      <c r="AG1908" s="192">
        <f>$BD1908*VLOOKUP($AG$3,$AF$4:$AG$7,2,FALSE)</f>
        <v/>
      </c>
      <c r="AH1908" s="76">
        <f>SUM(AE1908,AG1908,AI1908)*rate_forex_risk</f>
        <v/>
      </c>
      <c r="AI1908" s="193">
        <f>IF(OR(seller_region="TR",offer_sale_type="экспорт"),0,rate_fin_comm)*SUM(AZ1908,AZ1908*AW1908,T1908)</f>
        <v/>
      </c>
      <c r="AJ1908" s="118">
        <f>IFERROR(ROUND(SUM(AB1908,AF1908:AI1908)/E1908,2),0)</f>
        <v/>
      </c>
      <c r="AK1908" s="76">
        <f>AJ1908*E1908</f>
        <v/>
      </c>
      <c r="AL1908" s="174">
        <f>ROUND(IFERROR(AM1908*E1908,0),2)</f>
        <v/>
      </c>
      <c r="AM1908" s="175">
        <f>ROUND(AJ1908*(1+IF(offer_incoterms="DDP",IF((TODAY()+offer_turnaround_time)&gt;=helpsheet!$L$17,rate_vatRU_from_26,rate_vatRu_till_25),0)),2)</f>
        <v/>
      </c>
      <c r="AN1908" s="192">
        <f>AL1908-AK1908</f>
        <v/>
      </c>
      <c r="AO1908" s="76">
        <f>SUM(AY1908,Y1908:Z1908,T1908)*IF(AND(offer_incoterms="DDP",offer_sale_type&lt;&gt;"экспорт"),IF((TODAY()+offer_turnaround_time)&gt;=helpsheet!$L$17,rate_vatRU_from_26,rate_vatRu_till_25),0)</f>
        <v/>
      </c>
      <c r="AP1908" s="193">
        <f>AN1908-AO1908</f>
        <v/>
      </c>
      <c r="AQ1908" s="118">
        <f>IF(offer_sale_type="транзит",SUM(AF1908:AI1908,BA1908,BB1908),0)</f>
        <v/>
      </c>
      <c r="AR1908" s="82">
        <f>HYPERLINK("https://www.alta.ru/tnved/code/")&amp;W1908&amp;"/"</f>
        <v/>
      </c>
      <c r="AS1908" s="157" t="n"/>
      <c r="AT1908" s="162" t="n"/>
      <c r="AU1908" s="76">
        <f>IF(ISBLANK(AT1908),0,AJ1908-AT1908)</f>
        <v/>
      </c>
      <c r="AV1908" s="157" t="n"/>
      <c r="AW1908" s="75">
        <f>_xlfn.IFNA(VLOOKUP(L1908,list_vat[],3,FALSE),0)</f>
        <v/>
      </c>
      <c r="AX1908" s="76">
        <f>IFERROR(ROUND(S1908*(1+AW1908)/E1908,2),0)</f>
        <v/>
      </c>
      <c r="AY1908" s="76">
        <f>E1908*AX1908</f>
        <v/>
      </c>
      <c r="AZ1908" s="192">
        <f>S1908*(1+M1908)</f>
        <v/>
      </c>
      <c r="BA1908" s="76">
        <f>cost_fin_total*$BD1908</f>
        <v/>
      </c>
      <c r="BB1908" s="193">
        <f>credit_sales_interest*BD1908</f>
        <v/>
      </c>
      <c r="BC1908" s="102">
        <f>IFERROR(IF($I$13&gt;0,$I1908/$I$13,$S1908/$S$13),0)</f>
        <v/>
      </c>
      <c r="BD1908" s="102">
        <f>IFERROR($S1908/$S$13,0)</f>
        <v/>
      </c>
      <c r="BE1908" s="413" t="inlineStr">
        <is>
          <t>$</t>
        </is>
      </c>
    </row>
    <row r="1909" ht="12" customFormat="1" customHeight="1" s="65">
      <c r="A1909" s="43" t="n">
        <v>1894</v>
      </c>
      <c r="B1909" s="166" t="n"/>
      <c r="C1909" s="166" t="n"/>
      <c r="D1909" s="166" t="n"/>
      <c r="E1909" s="162" t="n"/>
      <c r="F1909" s="166" t="n"/>
      <c r="G1909" s="162" t="n"/>
      <c r="H1909" s="162" t="n"/>
      <c r="I1909" s="189">
        <f>E1909*G1909</f>
        <v/>
      </c>
      <c r="J1909" s="195" t="n"/>
      <c r="K1909" s="162" t="n"/>
      <c r="L1909" s="168" t="n"/>
      <c r="M1909" s="75">
        <f>_xlfn.XLOOKUP(L1909,list_vat[Страна],list_vat[Ставка НДС %],0,0)</f>
        <v/>
      </c>
      <c r="N1909" s="162">
        <f>IFERROR(IF(L1909="Китай",K1909,K1909/(1+M1909)),0)</f>
        <v/>
      </c>
      <c r="O1909" s="169" t="n"/>
      <c r="P1909" s="76">
        <f>N1909*(1-O1909)</f>
        <v/>
      </c>
      <c r="Q1909" s="162" t="n"/>
      <c r="R1909" s="162">
        <f>IF(ISBLANK(Q1909),"введи курс",P1909/Q1909)</f>
        <v/>
      </c>
      <c r="S1909" s="196">
        <f>IF(AND(ISNUMBER(E1909),ISNUMBER(Q1909)),E1909*R1909,0)</f>
        <v/>
      </c>
      <c r="T1909" s="192">
        <f>$BC1909*V$11</f>
        <v/>
      </c>
      <c r="U1909" s="76">
        <f>$BC1909*W$11</f>
        <v/>
      </c>
      <c r="V1909" s="193">
        <f>+SUM(T1909:U1909)</f>
        <v/>
      </c>
      <c r="W1909" s="191" t="n"/>
      <c r="X1909" s="170" t="n"/>
      <c r="Y1909" s="76">
        <f>ROUND(IF(offer_incoterms="DDP",X1909*(S1909*(1+AW1909)+T1909),0),2)</f>
        <v/>
      </c>
      <c r="Z1909" s="188" t="n"/>
      <c r="AA1909" s="192">
        <f>IFERROR(AB1909/E1909,0)</f>
        <v/>
      </c>
      <c r="AB1909" s="76">
        <f>ROUND(SUM(S1909,V1909,Y1909:Z1909,BA1909:BB1909),2)</f>
        <v/>
      </c>
      <c r="AC1909" s="797" t="n"/>
      <c r="AD1909" s="192">
        <f t="array" ref="AD1909">IFERROR(ROUND((_xlfn.IFS(offer_sale_type="поставка",AB1909,offer_sale_type="транзит",S1909)*(1+AC1909))/E1909,2),0)</f>
        <v/>
      </c>
      <c r="AE1909" s="76">
        <f>AD1909*E1909</f>
        <v/>
      </c>
      <c r="AF1909" s="193">
        <f t="array" ref="AF1909">IFERROR(ROUND(_xlfn.IFS(offer_sale_type="поставка",AB1909,offer_sale_type="транзит",S1909)*AC1909,2),0)</f>
        <v/>
      </c>
      <c r="AG1909" s="192">
        <f>$BD1909*VLOOKUP($AG$3,$AF$4:$AG$7,2,FALSE)</f>
        <v/>
      </c>
      <c r="AH1909" s="76">
        <f>SUM(AE1909,AG1909,AI1909)*rate_forex_risk</f>
        <v/>
      </c>
      <c r="AI1909" s="193">
        <f>IF(OR(seller_region="TR",offer_sale_type="экспорт"),0,rate_fin_comm)*SUM(AZ1909,AZ1909*AW1909,T1909)</f>
        <v/>
      </c>
      <c r="AJ1909" s="118">
        <f>IFERROR(ROUND(SUM(AB1909,AF1909:AI1909)/E1909,2),0)</f>
        <v/>
      </c>
      <c r="AK1909" s="76">
        <f>AJ1909*E1909</f>
        <v/>
      </c>
      <c r="AL1909" s="174">
        <f>ROUND(IFERROR(AM1909*E1909,0),2)</f>
        <v/>
      </c>
      <c r="AM1909" s="175">
        <f>ROUND(AJ1909*(1+IF(offer_incoterms="DDP",IF((TODAY()+offer_turnaround_time)&gt;=helpsheet!$L$17,rate_vatRU_from_26,rate_vatRu_till_25),0)),2)</f>
        <v/>
      </c>
      <c r="AN1909" s="192">
        <f>AL1909-AK1909</f>
        <v/>
      </c>
      <c r="AO1909" s="76">
        <f>SUM(AY1909,Y1909:Z1909,T1909)*IF(AND(offer_incoterms="DDP",offer_sale_type&lt;&gt;"экспорт"),IF((TODAY()+offer_turnaround_time)&gt;=helpsheet!$L$17,rate_vatRU_from_26,rate_vatRu_till_25),0)</f>
        <v/>
      </c>
      <c r="AP1909" s="193">
        <f>AN1909-AO1909</f>
        <v/>
      </c>
      <c r="AQ1909" s="118">
        <f>IF(offer_sale_type="транзит",SUM(AF1909:AI1909,BA1909,BB1909),0)</f>
        <v/>
      </c>
      <c r="AR1909" s="82">
        <f>HYPERLINK("https://www.alta.ru/tnved/code/")&amp;W1909&amp;"/"</f>
        <v/>
      </c>
      <c r="AS1909" s="157" t="n"/>
      <c r="AT1909" s="162" t="n"/>
      <c r="AU1909" s="76">
        <f>IF(ISBLANK(AT1909),0,AJ1909-AT1909)</f>
        <v/>
      </c>
      <c r="AV1909" s="157" t="n"/>
      <c r="AW1909" s="75">
        <f>_xlfn.IFNA(VLOOKUP(L1909,list_vat[],3,FALSE),0)</f>
        <v/>
      </c>
      <c r="AX1909" s="76">
        <f>IFERROR(ROUND(S1909*(1+AW1909)/E1909,2),0)</f>
        <v/>
      </c>
      <c r="AY1909" s="76">
        <f>E1909*AX1909</f>
        <v/>
      </c>
      <c r="AZ1909" s="192">
        <f>S1909*(1+M1909)</f>
        <v/>
      </c>
      <c r="BA1909" s="76">
        <f>cost_fin_total*$BD1909</f>
        <v/>
      </c>
      <c r="BB1909" s="193">
        <f>credit_sales_interest*BD1909</f>
        <v/>
      </c>
      <c r="BC1909" s="102">
        <f>IFERROR(IF($I$13&gt;0,$I1909/$I$13,$S1909/$S$13),0)</f>
        <v/>
      </c>
      <c r="BD1909" s="102">
        <f>IFERROR($S1909/$S$13,0)</f>
        <v/>
      </c>
      <c r="BE1909" s="413" t="inlineStr">
        <is>
          <t>$</t>
        </is>
      </c>
    </row>
    <row r="1910" ht="12" customFormat="1" customHeight="1" s="65">
      <c r="A1910" s="43" t="n">
        <v>1895</v>
      </c>
      <c r="B1910" s="166" t="n"/>
      <c r="C1910" s="166" t="n"/>
      <c r="D1910" s="166" t="n"/>
      <c r="E1910" s="162" t="n"/>
      <c r="F1910" s="166" t="n"/>
      <c r="G1910" s="162" t="n"/>
      <c r="H1910" s="162" t="n"/>
      <c r="I1910" s="189">
        <f>E1910*G1910</f>
        <v/>
      </c>
      <c r="J1910" s="195" t="n"/>
      <c r="K1910" s="162" t="n"/>
      <c r="L1910" s="168" t="n"/>
      <c r="M1910" s="75">
        <f>_xlfn.XLOOKUP(L1910,list_vat[Страна],list_vat[Ставка НДС %],0,0)</f>
        <v/>
      </c>
      <c r="N1910" s="162">
        <f>IFERROR(IF(L1910="Китай",K1910,K1910/(1+M1910)),0)</f>
        <v/>
      </c>
      <c r="O1910" s="169" t="n"/>
      <c r="P1910" s="76">
        <f>N1910*(1-O1910)</f>
        <v/>
      </c>
      <c r="Q1910" s="162" t="n"/>
      <c r="R1910" s="162">
        <f>IF(ISBLANK(Q1910),"введи курс",P1910/Q1910)</f>
        <v/>
      </c>
      <c r="S1910" s="196">
        <f>IF(AND(ISNUMBER(E1910),ISNUMBER(Q1910)),E1910*R1910,0)</f>
        <v/>
      </c>
      <c r="T1910" s="192">
        <f>$BC1910*V$11</f>
        <v/>
      </c>
      <c r="U1910" s="76">
        <f>$BC1910*W$11</f>
        <v/>
      </c>
      <c r="V1910" s="193">
        <f>+SUM(T1910:U1910)</f>
        <v/>
      </c>
      <c r="W1910" s="191" t="n"/>
      <c r="X1910" s="170" t="n"/>
      <c r="Y1910" s="76">
        <f>ROUND(IF(offer_incoterms="DDP",X1910*(S1910*(1+AW1910)+T1910),0),2)</f>
        <v/>
      </c>
      <c r="Z1910" s="188" t="n"/>
      <c r="AA1910" s="192">
        <f>IFERROR(AB1910/E1910,0)</f>
        <v/>
      </c>
      <c r="AB1910" s="76">
        <f>ROUND(SUM(S1910,V1910,Y1910:Z1910,BA1910:BB1910),2)</f>
        <v/>
      </c>
      <c r="AC1910" s="797" t="n"/>
      <c r="AD1910" s="192">
        <f t="array" ref="AD1910">IFERROR(ROUND((_xlfn.IFS(offer_sale_type="поставка",AB1910,offer_sale_type="транзит",S1910)*(1+AC1910))/E1910,2),0)</f>
        <v/>
      </c>
      <c r="AE1910" s="76">
        <f>AD1910*E1910</f>
        <v/>
      </c>
      <c r="AF1910" s="193">
        <f t="array" ref="AF1910">IFERROR(ROUND(_xlfn.IFS(offer_sale_type="поставка",AB1910,offer_sale_type="транзит",S1910)*AC1910,2),0)</f>
        <v/>
      </c>
      <c r="AG1910" s="192">
        <f>$BD1910*VLOOKUP($AG$3,$AF$4:$AG$7,2,FALSE)</f>
        <v/>
      </c>
      <c r="AH1910" s="76">
        <f>SUM(AE1910,AG1910,AI1910)*rate_forex_risk</f>
        <v/>
      </c>
      <c r="AI1910" s="193">
        <f>IF(OR(seller_region="TR",offer_sale_type="экспорт"),0,rate_fin_comm)*SUM(AZ1910,AZ1910*AW1910,T1910)</f>
        <v/>
      </c>
      <c r="AJ1910" s="118">
        <f>IFERROR(ROUND(SUM(AB1910,AF1910:AI1910)/E1910,2),0)</f>
        <v/>
      </c>
      <c r="AK1910" s="76">
        <f>AJ1910*E1910</f>
        <v/>
      </c>
      <c r="AL1910" s="174">
        <f>ROUND(IFERROR(AM1910*E1910,0),2)</f>
        <v/>
      </c>
      <c r="AM1910" s="175">
        <f>ROUND(AJ1910*(1+IF(offer_incoterms="DDP",IF((TODAY()+offer_turnaround_time)&gt;=helpsheet!$L$17,rate_vatRU_from_26,rate_vatRu_till_25),0)),2)</f>
        <v/>
      </c>
      <c r="AN1910" s="192">
        <f>AL1910-AK1910</f>
        <v/>
      </c>
      <c r="AO1910" s="76">
        <f>SUM(AY1910,Y1910:Z1910,T1910)*IF(AND(offer_incoterms="DDP",offer_sale_type&lt;&gt;"экспорт"),IF((TODAY()+offer_turnaround_time)&gt;=helpsheet!$L$17,rate_vatRU_from_26,rate_vatRu_till_25),0)</f>
        <v/>
      </c>
      <c r="AP1910" s="193">
        <f>AN1910-AO1910</f>
        <v/>
      </c>
      <c r="AQ1910" s="118">
        <f>IF(offer_sale_type="транзит",SUM(AF1910:AI1910,BA1910,BB1910),0)</f>
        <v/>
      </c>
      <c r="AR1910" s="82">
        <f>HYPERLINK("https://www.alta.ru/tnved/code/")&amp;W1910&amp;"/"</f>
        <v/>
      </c>
      <c r="AS1910" s="157" t="n"/>
      <c r="AT1910" s="162" t="n"/>
      <c r="AU1910" s="76">
        <f>IF(ISBLANK(AT1910),0,AJ1910-AT1910)</f>
        <v/>
      </c>
      <c r="AV1910" s="157" t="n"/>
      <c r="AW1910" s="75">
        <f>_xlfn.IFNA(VLOOKUP(L1910,list_vat[],3,FALSE),0)</f>
        <v/>
      </c>
      <c r="AX1910" s="76">
        <f>IFERROR(ROUND(S1910*(1+AW1910)/E1910,2),0)</f>
        <v/>
      </c>
      <c r="AY1910" s="76">
        <f>E1910*AX1910</f>
        <v/>
      </c>
      <c r="AZ1910" s="192">
        <f>S1910*(1+M1910)</f>
        <v/>
      </c>
      <c r="BA1910" s="76">
        <f>cost_fin_total*$BD1910</f>
        <v/>
      </c>
      <c r="BB1910" s="193">
        <f>credit_sales_interest*BD1910</f>
        <v/>
      </c>
      <c r="BC1910" s="102">
        <f>IFERROR(IF($I$13&gt;0,$I1910/$I$13,$S1910/$S$13),0)</f>
        <v/>
      </c>
      <c r="BD1910" s="102">
        <f>IFERROR($S1910/$S$13,0)</f>
        <v/>
      </c>
      <c r="BE1910" s="413" t="inlineStr">
        <is>
          <t>$</t>
        </is>
      </c>
    </row>
    <row r="1911" ht="12" customFormat="1" customHeight="1" s="65">
      <c r="A1911" s="43" t="n">
        <v>1896</v>
      </c>
      <c r="B1911" s="166" t="n"/>
      <c r="C1911" s="166" t="n"/>
      <c r="D1911" s="166" t="n"/>
      <c r="E1911" s="162" t="n"/>
      <c r="F1911" s="166" t="n"/>
      <c r="G1911" s="162" t="n"/>
      <c r="H1911" s="162" t="n"/>
      <c r="I1911" s="189">
        <f>E1911*G1911</f>
        <v/>
      </c>
      <c r="J1911" s="195" t="n"/>
      <c r="K1911" s="162" t="n"/>
      <c r="L1911" s="168" t="n"/>
      <c r="M1911" s="75">
        <f>_xlfn.XLOOKUP(L1911,list_vat[Страна],list_vat[Ставка НДС %],0,0)</f>
        <v/>
      </c>
      <c r="N1911" s="162">
        <f>IFERROR(IF(L1911="Китай",K1911,K1911/(1+M1911)),0)</f>
        <v/>
      </c>
      <c r="O1911" s="169" t="n"/>
      <c r="P1911" s="76">
        <f>N1911*(1-O1911)</f>
        <v/>
      </c>
      <c r="Q1911" s="162" t="n"/>
      <c r="R1911" s="162">
        <f>IF(ISBLANK(Q1911),"введи курс",P1911/Q1911)</f>
        <v/>
      </c>
      <c r="S1911" s="196">
        <f>IF(AND(ISNUMBER(E1911),ISNUMBER(Q1911)),E1911*R1911,0)</f>
        <v/>
      </c>
      <c r="T1911" s="192">
        <f>$BC1911*V$11</f>
        <v/>
      </c>
      <c r="U1911" s="76">
        <f>$BC1911*W$11</f>
        <v/>
      </c>
      <c r="V1911" s="193">
        <f>+SUM(T1911:U1911)</f>
        <v/>
      </c>
      <c r="W1911" s="191" t="n"/>
      <c r="X1911" s="170" t="n"/>
      <c r="Y1911" s="76">
        <f>ROUND(IF(offer_incoterms="DDP",X1911*(S1911*(1+AW1911)+T1911),0),2)</f>
        <v/>
      </c>
      <c r="Z1911" s="188" t="n"/>
      <c r="AA1911" s="192">
        <f>IFERROR(AB1911/E1911,0)</f>
        <v/>
      </c>
      <c r="AB1911" s="76">
        <f>ROUND(SUM(S1911,V1911,Y1911:Z1911,BA1911:BB1911),2)</f>
        <v/>
      </c>
      <c r="AC1911" s="797" t="n"/>
      <c r="AD1911" s="192">
        <f t="array" ref="AD1911">IFERROR(ROUND((_xlfn.IFS(offer_sale_type="поставка",AB1911,offer_sale_type="транзит",S1911)*(1+AC1911))/E1911,2),0)</f>
        <v/>
      </c>
      <c r="AE1911" s="76">
        <f>AD1911*E1911</f>
        <v/>
      </c>
      <c r="AF1911" s="193">
        <f t="array" ref="AF1911">IFERROR(ROUND(_xlfn.IFS(offer_sale_type="поставка",AB1911,offer_sale_type="транзит",S1911)*AC1911,2),0)</f>
        <v/>
      </c>
      <c r="AG1911" s="192">
        <f>$BD1911*VLOOKUP($AG$3,$AF$4:$AG$7,2,FALSE)</f>
        <v/>
      </c>
      <c r="AH1911" s="76">
        <f>SUM(AE1911,AG1911,AI1911)*rate_forex_risk</f>
        <v/>
      </c>
      <c r="AI1911" s="193">
        <f>IF(OR(seller_region="TR",offer_sale_type="экспорт"),0,rate_fin_comm)*SUM(AZ1911,AZ1911*AW1911,T1911)</f>
        <v/>
      </c>
      <c r="AJ1911" s="118">
        <f>IFERROR(ROUND(SUM(AB1911,AF1911:AI1911)/E1911,2),0)</f>
        <v/>
      </c>
      <c r="AK1911" s="76">
        <f>AJ1911*E1911</f>
        <v/>
      </c>
      <c r="AL1911" s="174">
        <f>ROUND(IFERROR(AM1911*E1911,0),2)</f>
        <v/>
      </c>
      <c r="AM1911" s="175">
        <f>ROUND(AJ1911*(1+IF(offer_incoterms="DDP",IF((TODAY()+offer_turnaround_time)&gt;=helpsheet!$L$17,rate_vatRU_from_26,rate_vatRu_till_25),0)),2)</f>
        <v/>
      </c>
      <c r="AN1911" s="192">
        <f>AL1911-AK1911</f>
        <v/>
      </c>
      <c r="AO1911" s="76">
        <f>SUM(AY1911,Y1911:Z1911,T1911)*IF(AND(offer_incoterms="DDP",offer_sale_type&lt;&gt;"экспорт"),IF((TODAY()+offer_turnaround_time)&gt;=helpsheet!$L$17,rate_vatRU_from_26,rate_vatRu_till_25),0)</f>
        <v/>
      </c>
      <c r="AP1911" s="193">
        <f>AN1911-AO1911</f>
        <v/>
      </c>
      <c r="AQ1911" s="118">
        <f>IF(offer_sale_type="транзит",SUM(AF1911:AI1911,BA1911,BB1911),0)</f>
        <v/>
      </c>
      <c r="AR1911" s="82">
        <f>HYPERLINK("https://www.alta.ru/tnved/code/")&amp;W1911&amp;"/"</f>
        <v/>
      </c>
      <c r="AS1911" s="157" t="n"/>
      <c r="AT1911" s="162" t="n"/>
      <c r="AU1911" s="76">
        <f>IF(ISBLANK(AT1911),0,AJ1911-AT1911)</f>
        <v/>
      </c>
      <c r="AV1911" s="157" t="n"/>
      <c r="AW1911" s="75">
        <f>_xlfn.IFNA(VLOOKUP(L1911,list_vat[],3,FALSE),0)</f>
        <v/>
      </c>
      <c r="AX1911" s="76">
        <f>IFERROR(ROUND(S1911*(1+AW1911)/E1911,2),0)</f>
        <v/>
      </c>
      <c r="AY1911" s="76">
        <f>E1911*AX1911</f>
        <v/>
      </c>
      <c r="AZ1911" s="192">
        <f>S1911*(1+M1911)</f>
        <v/>
      </c>
      <c r="BA1911" s="76">
        <f>cost_fin_total*$BD1911</f>
        <v/>
      </c>
      <c r="BB1911" s="193">
        <f>credit_sales_interest*BD1911</f>
        <v/>
      </c>
      <c r="BC1911" s="102">
        <f>IFERROR(IF($I$13&gt;0,$I1911/$I$13,$S1911/$S$13),0)</f>
        <v/>
      </c>
      <c r="BD1911" s="102">
        <f>IFERROR($S1911/$S$13,0)</f>
        <v/>
      </c>
      <c r="BE1911" s="413" t="inlineStr">
        <is>
          <t>$</t>
        </is>
      </c>
    </row>
    <row r="1912" ht="12" customFormat="1" customHeight="1" s="65">
      <c r="A1912" s="43" t="n">
        <v>1897</v>
      </c>
      <c r="B1912" s="166" t="n"/>
      <c r="C1912" s="166" t="n"/>
      <c r="D1912" s="166" t="n"/>
      <c r="E1912" s="162" t="n"/>
      <c r="F1912" s="166" t="n"/>
      <c r="G1912" s="162" t="n"/>
      <c r="H1912" s="162" t="n"/>
      <c r="I1912" s="189">
        <f>E1912*G1912</f>
        <v/>
      </c>
      <c r="J1912" s="195" t="n"/>
      <c r="K1912" s="162" t="n"/>
      <c r="L1912" s="168" t="n"/>
      <c r="M1912" s="75">
        <f>_xlfn.XLOOKUP(L1912,list_vat[Страна],list_vat[Ставка НДС %],0,0)</f>
        <v/>
      </c>
      <c r="N1912" s="162">
        <f>IFERROR(IF(L1912="Китай",K1912,K1912/(1+M1912)),0)</f>
        <v/>
      </c>
      <c r="O1912" s="169" t="n"/>
      <c r="P1912" s="76">
        <f>N1912*(1-O1912)</f>
        <v/>
      </c>
      <c r="Q1912" s="162" t="n"/>
      <c r="R1912" s="162">
        <f>IF(ISBLANK(Q1912),"введи курс",P1912/Q1912)</f>
        <v/>
      </c>
      <c r="S1912" s="196">
        <f>IF(AND(ISNUMBER(E1912),ISNUMBER(Q1912)),E1912*R1912,0)</f>
        <v/>
      </c>
      <c r="T1912" s="192">
        <f>$BC1912*V$11</f>
        <v/>
      </c>
      <c r="U1912" s="76">
        <f>$BC1912*W$11</f>
        <v/>
      </c>
      <c r="V1912" s="193">
        <f>+SUM(T1912:U1912)</f>
        <v/>
      </c>
      <c r="W1912" s="191" t="n"/>
      <c r="X1912" s="170" t="n"/>
      <c r="Y1912" s="76">
        <f>ROUND(IF(offer_incoterms="DDP",X1912*(S1912*(1+AW1912)+T1912),0),2)</f>
        <v/>
      </c>
      <c r="Z1912" s="188" t="n"/>
      <c r="AA1912" s="192">
        <f>IFERROR(AB1912/E1912,0)</f>
        <v/>
      </c>
      <c r="AB1912" s="76">
        <f>ROUND(SUM(S1912,V1912,Y1912:Z1912,BA1912:BB1912),2)</f>
        <v/>
      </c>
      <c r="AC1912" s="797" t="n"/>
      <c r="AD1912" s="192">
        <f t="array" ref="AD1912">IFERROR(ROUND((_xlfn.IFS(offer_sale_type="поставка",AB1912,offer_sale_type="транзит",S1912)*(1+AC1912))/E1912,2),0)</f>
        <v/>
      </c>
      <c r="AE1912" s="76">
        <f>AD1912*E1912</f>
        <v/>
      </c>
      <c r="AF1912" s="193">
        <f t="array" ref="AF1912">IFERROR(ROUND(_xlfn.IFS(offer_sale_type="поставка",AB1912,offer_sale_type="транзит",S1912)*AC1912,2),0)</f>
        <v/>
      </c>
      <c r="AG1912" s="192">
        <f>$BD1912*VLOOKUP($AG$3,$AF$4:$AG$7,2,FALSE)</f>
        <v/>
      </c>
      <c r="AH1912" s="76">
        <f>SUM(AE1912,AG1912,AI1912)*rate_forex_risk</f>
        <v/>
      </c>
      <c r="AI1912" s="193">
        <f>IF(OR(seller_region="TR",offer_sale_type="экспорт"),0,rate_fin_comm)*SUM(AZ1912,AZ1912*AW1912,T1912)</f>
        <v/>
      </c>
      <c r="AJ1912" s="118">
        <f>IFERROR(ROUND(SUM(AB1912,AF1912:AI1912)/E1912,2),0)</f>
        <v/>
      </c>
      <c r="AK1912" s="76">
        <f>AJ1912*E1912</f>
        <v/>
      </c>
      <c r="AL1912" s="174">
        <f>ROUND(IFERROR(AM1912*E1912,0),2)</f>
        <v/>
      </c>
      <c r="AM1912" s="175">
        <f>ROUND(AJ1912*(1+IF(offer_incoterms="DDP",IF((TODAY()+offer_turnaround_time)&gt;=helpsheet!$L$17,rate_vatRU_from_26,rate_vatRu_till_25),0)),2)</f>
        <v/>
      </c>
      <c r="AN1912" s="192">
        <f>AL1912-AK1912</f>
        <v/>
      </c>
      <c r="AO1912" s="76">
        <f>SUM(AY1912,Y1912:Z1912,T1912)*IF(AND(offer_incoterms="DDP",offer_sale_type&lt;&gt;"экспорт"),IF((TODAY()+offer_turnaround_time)&gt;=helpsheet!$L$17,rate_vatRU_from_26,rate_vatRu_till_25),0)</f>
        <v/>
      </c>
      <c r="AP1912" s="193">
        <f>AN1912-AO1912</f>
        <v/>
      </c>
      <c r="AQ1912" s="118">
        <f>IF(offer_sale_type="транзит",SUM(AF1912:AI1912,BA1912,BB1912),0)</f>
        <v/>
      </c>
      <c r="AR1912" s="82">
        <f>HYPERLINK("https://www.alta.ru/tnved/code/")&amp;W1912&amp;"/"</f>
        <v/>
      </c>
      <c r="AS1912" s="157" t="n"/>
      <c r="AT1912" s="162" t="n"/>
      <c r="AU1912" s="76">
        <f>IF(ISBLANK(AT1912),0,AJ1912-AT1912)</f>
        <v/>
      </c>
      <c r="AV1912" s="157" t="n"/>
      <c r="AW1912" s="75">
        <f>_xlfn.IFNA(VLOOKUP(L1912,list_vat[],3,FALSE),0)</f>
        <v/>
      </c>
      <c r="AX1912" s="76">
        <f>IFERROR(ROUND(S1912*(1+AW1912)/E1912,2),0)</f>
        <v/>
      </c>
      <c r="AY1912" s="76">
        <f>E1912*AX1912</f>
        <v/>
      </c>
      <c r="AZ1912" s="192">
        <f>S1912*(1+M1912)</f>
        <v/>
      </c>
      <c r="BA1912" s="76">
        <f>cost_fin_total*$BD1912</f>
        <v/>
      </c>
      <c r="BB1912" s="193">
        <f>credit_sales_interest*BD1912</f>
        <v/>
      </c>
      <c r="BC1912" s="102">
        <f>IFERROR(IF($I$13&gt;0,$I1912/$I$13,$S1912/$S$13),0)</f>
        <v/>
      </c>
      <c r="BD1912" s="102">
        <f>IFERROR($S1912/$S$13,0)</f>
        <v/>
      </c>
      <c r="BE1912" s="413" t="inlineStr">
        <is>
          <t>$</t>
        </is>
      </c>
    </row>
    <row r="1913" ht="12" customFormat="1" customHeight="1" s="65">
      <c r="A1913" s="43" t="n">
        <v>1898</v>
      </c>
      <c r="B1913" s="166" t="n"/>
      <c r="C1913" s="166" t="n"/>
      <c r="D1913" s="166" t="n"/>
      <c r="E1913" s="162" t="n"/>
      <c r="F1913" s="166" t="n"/>
      <c r="G1913" s="162" t="n"/>
      <c r="H1913" s="162" t="n"/>
      <c r="I1913" s="189">
        <f>E1913*G1913</f>
        <v/>
      </c>
      <c r="J1913" s="195" t="n"/>
      <c r="K1913" s="162" t="n"/>
      <c r="L1913" s="168" t="n"/>
      <c r="M1913" s="75">
        <f>_xlfn.XLOOKUP(L1913,list_vat[Страна],list_vat[Ставка НДС %],0,0)</f>
        <v/>
      </c>
      <c r="N1913" s="162">
        <f>IFERROR(IF(L1913="Китай",K1913,K1913/(1+M1913)),0)</f>
        <v/>
      </c>
      <c r="O1913" s="169" t="n"/>
      <c r="P1913" s="76">
        <f>N1913*(1-O1913)</f>
        <v/>
      </c>
      <c r="Q1913" s="162" t="n"/>
      <c r="R1913" s="162">
        <f>IF(ISBLANK(Q1913),"введи курс",P1913/Q1913)</f>
        <v/>
      </c>
      <c r="S1913" s="196">
        <f>IF(AND(ISNUMBER(E1913),ISNUMBER(Q1913)),E1913*R1913,0)</f>
        <v/>
      </c>
      <c r="T1913" s="192">
        <f>$BC1913*V$11</f>
        <v/>
      </c>
      <c r="U1913" s="76">
        <f>$BC1913*W$11</f>
        <v/>
      </c>
      <c r="V1913" s="193">
        <f>+SUM(T1913:U1913)</f>
        <v/>
      </c>
      <c r="W1913" s="191" t="n"/>
      <c r="X1913" s="170" t="n"/>
      <c r="Y1913" s="76">
        <f>ROUND(IF(offer_incoterms="DDP",X1913*(S1913*(1+AW1913)+T1913),0),2)</f>
        <v/>
      </c>
      <c r="Z1913" s="188" t="n"/>
      <c r="AA1913" s="192">
        <f>IFERROR(AB1913/E1913,0)</f>
        <v/>
      </c>
      <c r="AB1913" s="76">
        <f>ROUND(SUM(S1913,V1913,Y1913:Z1913,BA1913:BB1913),2)</f>
        <v/>
      </c>
      <c r="AC1913" s="797" t="n"/>
      <c r="AD1913" s="192">
        <f t="array" ref="AD1913">IFERROR(ROUND((_xlfn.IFS(offer_sale_type="поставка",AB1913,offer_sale_type="транзит",S1913)*(1+AC1913))/E1913,2),0)</f>
        <v/>
      </c>
      <c r="AE1913" s="76">
        <f>AD1913*E1913</f>
        <v/>
      </c>
      <c r="AF1913" s="193">
        <f t="array" ref="AF1913">IFERROR(ROUND(_xlfn.IFS(offer_sale_type="поставка",AB1913,offer_sale_type="транзит",S1913)*AC1913,2),0)</f>
        <v/>
      </c>
      <c r="AG1913" s="192">
        <f>$BD1913*VLOOKUP($AG$3,$AF$4:$AG$7,2,FALSE)</f>
        <v/>
      </c>
      <c r="AH1913" s="76">
        <f>SUM(AE1913,AG1913,AI1913)*rate_forex_risk</f>
        <v/>
      </c>
      <c r="AI1913" s="193">
        <f>IF(OR(seller_region="TR",offer_sale_type="экспорт"),0,rate_fin_comm)*SUM(AZ1913,AZ1913*AW1913,T1913)</f>
        <v/>
      </c>
      <c r="AJ1913" s="118">
        <f>IFERROR(ROUND(SUM(AB1913,AF1913:AI1913)/E1913,2),0)</f>
        <v/>
      </c>
      <c r="AK1913" s="76">
        <f>AJ1913*E1913</f>
        <v/>
      </c>
      <c r="AL1913" s="174">
        <f>ROUND(IFERROR(AM1913*E1913,0),2)</f>
        <v/>
      </c>
      <c r="AM1913" s="175">
        <f>ROUND(AJ1913*(1+IF(offer_incoterms="DDP",IF((TODAY()+offer_turnaround_time)&gt;=helpsheet!$L$17,rate_vatRU_from_26,rate_vatRu_till_25),0)),2)</f>
        <v/>
      </c>
      <c r="AN1913" s="192">
        <f>AL1913-AK1913</f>
        <v/>
      </c>
      <c r="AO1913" s="76">
        <f>SUM(AY1913,Y1913:Z1913,T1913)*IF(AND(offer_incoterms="DDP",offer_sale_type&lt;&gt;"экспорт"),IF((TODAY()+offer_turnaround_time)&gt;=helpsheet!$L$17,rate_vatRU_from_26,rate_vatRu_till_25),0)</f>
        <v/>
      </c>
      <c r="AP1913" s="193">
        <f>AN1913-AO1913</f>
        <v/>
      </c>
      <c r="AQ1913" s="118">
        <f>IF(offer_sale_type="транзит",SUM(AF1913:AI1913,BA1913,BB1913),0)</f>
        <v/>
      </c>
      <c r="AR1913" s="82">
        <f>HYPERLINK("https://www.alta.ru/tnved/code/")&amp;W1913&amp;"/"</f>
        <v/>
      </c>
      <c r="AS1913" s="157" t="n"/>
      <c r="AT1913" s="162" t="n"/>
      <c r="AU1913" s="76">
        <f>IF(ISBLANK(AT1913),0,AJ1913-AT1913)</f>
        <v/>
      </c>
      <c r="AV1913" s="157" t="n"/>
      <c r="AW1913" s="75">
        <f>_xlfn.IFNA(VLOOKUP(L1913,list_vat[],3,FALSE),0)</f>
        <v/>
      </c>
      <c r="AX1913" s="76">
        <f>IFERROR(ROUND(S1913*(1+AW1913)/E1913,2),0)</f>
        <v/>
      </c>
      <c r="AY1913" s="76">
        <f>E1913*AX1913</f>
        <v/>
      </c>
      <c r="AZ1913" s="192">
        <f>S1913*(1+M1913)</f>
        <v/>
      </c>
      <c r="BA1913" s="76">
        <f>cost_fin_total*$BD1913</f>
        <v/>
      </c>
      <c r="BB1913" s="193">
        <f>credit_sales_interest*BD1913</f>
        <v/>
      </c>
      <c r="BC1913" s="102">
        <f>IFERROR(IF($I$13&gt;0,$I1913/$I$13,$S1913/$S$13),0)</f>
        <v/>
      </c>
      <c r="BD1913" s="102">
        <f>IFERROR($S1913/$S$13,0)</f>
        <v/>
      </c>
      <c r="BE1913" s="413" t="inlineStr">
        <is>
          <t>$</t>
        </is>
      </c>
    </row>
    <row r="1914" ht="12" customFormat="1" customHeight="1" s="65">
      <c r="A1914" s="43" t="n">
        <v>1899</v>
      </c>
      <c r="B1914" s="166" t="n"/>
      <c r="C1914" s="166" t="n"/>
      <c r="D1914" s="166" t="n"/>
      <c r="E1914" s="162" t="n"/>
      <c r="F1914" s="166" t="n"/>
      <c r="G1914" s="162" t="n"/>
      <c r="H1914" s="162" t="n"/>
      <c r="I1914" s="189">
        <f>E1914*G1914</f>
        <v/>
      </c>
      <c r="J1914" s="195" t="n"/>
      <c r="K1914" s="162" t="n"/>
      <c r="L1914" s="168" t="n"/>
      <c r="M1914" s="75">
        <f>_xlfn.XLOOKUP(L1914,list_vat[Страна],list_vat[Ставка НДС %],0,0)</f>
        <v/>
      </c>
      <c r="N1914" s="162">
        <f>IFERROR(IF(L1914="Китай",K1914,K1914/(1+M1914)),0)</f>
        <v/>
      </c>
      <c r="O1914" s="169" t="n"/>
      <c r="P1914" s="76">
        <f>N1914*(1-O1914)</f>
        <v/>
      </c>
      <c r="Q1914" s="162" t="n"/>
      <c r="R1914" s="162">
        <f>IF(ISBLANK(Q1914),"введи курс",P1914/Q1914)</f>
        <v/>
      </c>
      <c r="S1914" s="196">
        <f>IF(AND(ISNUMBER(E1914),ISNUMBER(Q1914)),E1914*R1914,0)</f>
        <v/>
      </c>
      <c r="T1914" s="192">
        <f>$BC1914*V$11</f>
        <v/>
      </c>
      <c r="U1914" s="76">
        <f>$BC1914*W$11</f>
        <v/>
      </c>
      <c r="V1914" s="193">
        <f>+SUM(T1914:U1914)</f>
        <v/>
      </c>
      <c r="W1914" s="191" t="n"/>
      <c r="X1914" s="170" t="n"/>
      <c r="Y1914" s="76">
        <f>ROUND(IF(offer_incoterms="DDP",X1914*(S1914*(1+AW1914)+T1914),0),2)</f>
        <v/>
      </c>
      <c r="Z1914" s="188" t="n"/>
      <c r="AA1914" s="192">
        <f>IFERROR(AB1914/E1914,0)</f>
        <v/>
      </c>
      <c r="AB1914" s="76">
        <f>ROUND(SUM(S1914,V1914,Y1914:Z1914,BA1914:BB1914),2)</f>
        <v/>
      </c>
      <c r="AC1914" s="797" t="n"/>
      <c r="AD1914" s="192">
        <f t="array" ref="AD1914">IFERROR(ROUND((_xlfn.IFS(offer_sale_type="поставка",AB1914,offer_sale_type="транзит",S1914)*(1+AC1914))/E1914,2),0)</f>
        <v/>
      </c>
      <c r="AE1914" s="76">
        <f>AD1914*E1914</f>
        <v/>
      </c>
      <c r="AF1914" s="193">
        <f t="array" ref="AF1914">IFERROR(ROUND(_xlfn.IFS(offer_sale_type="поставка",AB1914,offer_sale_type="транзит",S1914)*AC1914,2),0)</f>
        <v/>
      </c>
      <c r="AG1914" s="192">
        <f>$BD1914*VLOOKUP($AG$3,$AF$4:$AG$7,2,FALSE)</f>
        <v/>
      </c>
      <c r="AH1914" s="76">
        <f>SUM(AE1914,AG1914,AI1914)*rate_forex_risk</f>
        <v/>
      </c>
      <c r="AI1914" s="193">
        <f>IF(OR(seller_region="TR",offer_sale_type="экспорт"),0,rate_fin_comm)*SUM(AZ1914,AZ1914*AW1914,T1914)</f>
        <v/>
      </c>
      <c r="AJ1914" s="118">
        <f>IFERROR(ROUND(SUM(AB1914,AF1914:AI1914)/E1914,2),0)</f>
        <v/>
      </c>
      <c r="AK1914" s="76">
        <f>AJ1914*E1914</f>
        <v/>
      </c>
      <c r="AL1914" s="174">
        <f>ROUND(IFERROR(AM1914*E1914,0),2)</f>
        <v/>
      </c>
      <c r="AM1914" s="175">
        <f>ROUND(AJ1914*(1+IF(offer_incoterms="DDP",IF((TODAY()+offer_turnaround_time)&gt;=helpsheet!$L$17,rate_vatRU_from_26,rate_vatRu_till_25),0)),2)</f>
        <v/>
      </c>
      <c r="AN1914" s="192">
        <f>AL1914-AK1914</f>
        <v/>
      </c>
      <c r="AO1914" s="76">
        <f>SUM(AY1914,Y1914:Z1914,T1914)*IF(AND(offer_incoterms="DDP",offer_sale_type&lt;&gt;"экспорт"),IF((TODAY()+offer_turnaround_time)&gt;=helpsheet!$L$17,rate_vatRU_from_26,rate_vatRu_till_25),0)</f>
        <v/>
      </c>
      <c r="AP1914" s="193">
        <f>AN1914-AO1914</f>
        <v/>
      </c>
      <c r="AQ1914" s="118">
        <f>IF(offer_sale_type="транзит",SUM(AF1914:AI1914,BA1914,BB1914),0)</f>
        <v/>
      </c>
      <c r="AR1914" s="82">
        <f>HYPERLINK("https://www.alta.ru/tnved/code/")&amp;W1914&amp;"/"</f>
        <v/>
      </c>
      <c r="AS1914" s="157" t="n"/>
      <c r="AT1914" s="162" t="n"/>
      <c r="AU1914" s="76">
        <f>IF(ISBLANK(AT1914),0,AJ1914-AT1914)</f>
        <v/>
      </c>
      <c r="AV1914" s="157" t="n"/>
      <c r="AW1914" s="75">
        <f>_xlfn.IFNA(VLOOKUP(L1914,list_vat[],3,FALSE),0)</f>
        <v/>
      </c>
      <c r="AX1914" s="76">
        <f>IFERROR(ROUND(S1914*(1+AW1914)/E1914,2),0)</f>
        <v/>
      </c>
      <c r="AY1914" s="76">
        <f>E1914*AX1914</f>
        <v/>
      </c>
      <c r="AZ1914" s="192">
        <f>S1914*(1+M1914)</f>
        <v/>
      </c>
      <c r="BA1914" s="76">
        <f>cost_fin_total*$BD1914</f>
        <v/>
      </c>
      <c r="BB1914" s="193">
        <f>credit_sales_interest*BD1914</f>
        <v/>
      </c>
      <c r="BC1914" s="102">
        <f>IFERROR(IF($I$13&gt;0,$I1914/$I$13,$S1914/$S$13),0)</f>
        <v/>
      </c>
      <c r="BD1914" s="102">
        <f>IFERROR($S1914/$S$13,0)</f>
        <v/>
      </c>
      <c r="BE1914" s="413" t="inlineStr">
        <is>
          <t>$</t>
        </is>
      </c>
    </row>
    <row r="1915" ht="12" customFormat="1" customHeight="1" s="65">
      <c r="A1915" s="43" t="n">
        <v>1900</v>
      </c>
      <c r="B1915" s="166" t="n"/>
      <c r="C1915" s="166" t="n"/>
      <c r="D1915" s="166" t="n"/>
      <c r="E1915" s="162" t="n"/>
      <c r="F1915" s="166" t="n"/>
      <c r="G1915" s="162" t="n"/>
      <c r="H1915" s="162" t="n"/>
      <c r="I1915" s="189">
        <f>E1915*G1915</f>
        <v/>
      </c>
      <c r="J1915" s="195" t="n"/>
      <c r="K1915" s="162" t="n"/>
      <c r="L1915" s="168" t="n"/>
      <c r="M1915" s="75">
        <f>_xlfn.XLOOKUP(L1915,list_vat[Страна],list_vat[Ставка НДС %],0,0)</f>
        <v/>
      </c>
      <c r="N1915" s="162">
        <f>IFERROR(IF(L1915="Китай",K1915,K1915/(1+M1915)),0)</f>
        <v/>
      </c>
      <c r="O1915" s="169" t="n"/>
      <c r="P1915" s="76">
        <f>N1915*(1-O1915)</f>
        <v/>
      </c>
      <c r="Q1915" s="162" t="n"/>
      <c r="R1915" s="162">
        <f>IF(ISBLANK(Q1915),"введи курс",P1915/Q1915)</f>
        <v/>
      </c>
      <c r="S1915" s="196">
        <f>IF(AND(ISNUMBER(E1915),ISNUMBER(Q1915)),E1915*R1915,0)</f>
        <v/>
      </c>
      <c r="T1915" s="192">
        <f>$BC1915*V$11</f>
        <v/>
      </c>
      <c r="U1915" s="76">
        <f>$BC1915*W$11</f>
        <v/>
      </c>
      <c r="V1915" s="193">
        <f>+SUM(T1915:U1915)</f>
        <v/>
      </c>
      <c r="W1915" s="191" t="n"/>
      <c r="X1915" s="170" t="n"/>
      <c r="Y1915" s="76">
        <f>ROUND(IF(offer_incoterms="DDP",X1915*(S1915*(1+AW1915)+T1915),0),2)</f>
        <v/>
      </c>
      <c r="Z1915" s="188" t="n"/>
      <c r="AA1915" s="192">
        <f>IFERROR(AB1915/E1915,0)</f>
        <v/>
      </c>
      <c r="AB1915" s="76">
        <f>ROUND(SUM(S1915,V1915,Y1915:Z1915,BA1915:BB1915),2)</f>
        <v/>
      </c>
      <c r="AC1915" s="797" t="n"/>
      <c r="AD1915" s="192">
        <f t="array" ref="AD1915">IFERROR(ROUND((_xlfn.IFS(offer_sale_type="поставка",AB1915,offer_sale_type="транзит",S1915)*(1+AC1915))/E1915,2),0)</f>
        <v/>
      </c>
      <c r="AE1915" s="76">
        <f>AD1915*E1915</f>
        <v/>
      </c>
      <c r="AF1915" s="193">
        <f t="array" ref="AF1915">IFERROR(ROUND(_xlfn.IFS(offer_sale_type="поставка",AB1915,offer_sale_type="транзит",S1915)*AC1915,2),0)</f>
        <v/>
      </c>
      <c r="AG1915" s="192">
        <f>$BD1915*VLOOKUP($AG$3,$AF$4:$AG$7,2,FALSE)</f>
        <v/>
      </c>
      <c r="AH1915" s="76">
        <f>SUM(AE1915,AG1915,AI1915)*rate_forex_risk</f>
        <v/>
      </c>
      <c r="AI1915" s="193">
        <f>IF(OR(seller_region="TR",offer_sale_type="экспорт"),0,rate_fin_comm)*SUM(AZ1915,AZ1915*AW1915,T1915)</f>
        <v/>
      </c>
      <c r="AJ1915" s="118">
        <f>IFERROR(ROUND(SUM(AB1915,AF1915:AI1915)/E1915,2),0)</f>
        <v/>
      </c>
      <c r="AK1915" s="76">
        <f>AJ1915*E1915</f>
        <v/>
      </c>
      <c r="AL1915" s="174">
        <f>ROUND(IFERROR(AM1915*E1915,0),2)</f>
        <v/>
      </c>
      <c r="AM1915" s="175">
        <f>ROUND(AJ1915*(1+IF(offer_incoterms="DDP",IF((TODAY()+offer_turnaround_time)&gt;=helpsheet!$L$17,rate_vatRU_from_26,rate_vatRu_till_25),0)),2)</f>
        <v/>
      </c>
      <c r="AN1915" s="192">
        <f>AL1915-AK1915</f>
        <v/>
      </c>
      <c r="AO1915" s="76">
        <f>SUM(AY1915,Y1915:Z1915,T1915)*IF(AND(offer_incoterms="DDP",offer_sale_type&lt;&gt;"экспорт"),IF((TODAY()+offer_turnaround_time)&gt;=helpsheet!$L$17,rate_vatRU_from_26,rate_vatRu_till_25),0)</f>
        <v/>
      </c>
      <c r="AP1915" s="193">
        <f>AN1915-AO1915</f>
        <v/>
      </c>
      <c r="AQ1915" s="118">
        <f>IF(offer_sale_type="транзит",SUM(AF1915:AI1915,BA1915,BB1915),0)</f>
        <v/>
      </c>
      <c r="AR1915" s="82">
        <f>HYPERLINK("https://www.alta.ru/tnved/code/")&amp;W1915&amp;"/"</f>
        <v/>
      </c>
      <c r="AS1915" s="157" t="n"/>
      <c r="AT1915" s="162" t="n"/>
      <c r="AU1915" s="76">
        <f>IF(ISBLANK(AT1915),0,AJ1915-AT1915)</f>
        <v/>
      </c>
      <c r="AV1915" s="157" t="n"/>
      <c r="AW1915" s="75">
        <f>_xlfn.IFNA(VLOOKUP(L1915,list_vat[],3,FALSE),0)</f>
        <v/>
      </c>
      <c r="AX1915" s="76">
        <f>IFERROR(ROUND(S1915*(1+AW1915)/E1915,2),0)</f>
        <v/>
      </c>
      <c r="AY1915" s="76">
        <f>E1915*AX1915</f>
        <v/>
      </c>
      <c r="AZ1915" s="192">
        <f>S1915*(1+M1915)</f>
        <v/>
      </c>
      <c r="BA1915" s="76">
        <f>cost_fin_total*$BD1915</f>
        <v/>
      </c>
      <c r="BB1915" s="193">
        <f>credit_sales_interest*BD1915</f>
        <v/>
      </c>
      <c r="BC1915" s="102">
        <f>IFERROR(IF($I$13&gt;0,$I1915/$I$13,$S1915/$S$13),0)</f>
        <v/>
      </c>
      <c r="BD1915" s="102">
        <f>IFERROR($S1915/$S$13,0)</f>
        <v/>
      </c>
      <c r="BE1915" s="413" t="inlineStr">
        <is>
          <t>$</t>
        </is>
      </c>
    </row>
    <row r="1916" ht="12" customFormat="1" customHeight="1" s="65">
      <c r="A1916" s="43" t="n">
        <v>1901</v>
      </c>
      <c r="B1916" s="166" t="n"/>
      <c r="C1916" s="166" t="n"/>
      <c r="D1916" s="166" t="n"/>
      <c r="E1916" s="162" t="n"/>
      <c r="F1916" s="166" t="n"/>
      <c r="G1916" s="162" t="n"/>
      <c r="H1916" s="162" t="n"/>
      <c r="I1916" s="189">
        <f>E1916*G1916</f>
        <v/>
      </c>
      <c r="J1916" s="195" t="n"/>
      <c r="K1916" s="162" t="n"/>
      <c r="L1916" s="168" t="n"/>
      <c r="M1916" s="75">
        <f>_xlfn.XLOOKUP(L1916,list_vat[Страна],list_vat[Ставка НДС %],0,0)</f>
        <v/>
      </c>
      <c r="N1916" s="162">
        <f>IFERROR(IF(L1916="Китай",K1916,K1916/(1+M1916)),0)</f>
        <v/>
      </c>
      <c r="O1916" s="169" t="n"/>
      <c r="P1916" s="76">
        <f>N1916*(1-O1916)</f>
        <v/>
      </c>
      <c r="Q1916" s="162" t="n"/>
      <c r="R1916" s="162">
        <f>IF(ISBLANK(Q1916),"введи курс",P1916/Q1916)</f>
        <v/>
      </c>
      <c r="S1916" s="196">
        <f>IF(AND(ISNUMBER(E1916),ISNUMBER(Q1916)),E1916*R1916,0)</f>
        <v/>
      </c>
      <c r="T1916" s="192">
        <f>$BC1916*V$11</f>
        <v/>
      </c>
      <c r="U1916" s="76">
        <f>$BC1916*W$11</f>
        <v/>
      </c>
      <c r="V1916" s="193">
        <f>+SUM(T1916:U1916)</f>
        <v/>
      </c>
      <c r="W1916" s="191" t="n"/>
      <c r="X1916" s="170" t="n"/>
      <c r="Y1916" s="76">
        <f>ROUND(IF(offer_incoterms="DDP",X1916*(S1916*(1+AW1916)+T1916),0),2)</f>
        <v/>
      </c>
      <c r="Z1916" s="188" t="n"/>
      <c r="AA1916" s="192">
        <f>IFERROR(AB1916/E1916,0)</f>
        <v/>
      </c>
      <c r="AB1916" s="76">
        <f>ROUND(SUM(S1916,V1916,Y1916:Z1916,BA1916:BB1916),2)</f>
        <v/>
      </c>
      <c r="AC1916" s="797" t="n"/>
      <c r="AD1916" s="192">
        <f t="array" ref="AD1916">IFERROR(ROUND((_xlfn.IFS(offer_sale_type="поставка",AB1916,offer_sale_type="транзит",S1916)*(1+AC1916))/E1916,2),0)</f>
        <v/>
      </c>
      <c r="AE1916" s="76">
        <f>AD1916*E1916</f>
        <v/>
      </c>
      <c r="AF1916" s="193">
        <f t="array" ref="AF1916">IFERROR(ROUND(_xlfn.IFS(offer_sale_type="поставка",AB1916,offer_sale_type="транзит",S1916)*AC1916,2),0)</f>
        <v/>
      </c>
      <c r="AG1916" s="192">
        <f>$BD1916*VLOOKUP($AG$3,$AF$4:$AG$7,2,FALSE)</f>
        <v/>
      </c>
      <c r="AH1916" s="76">
        <f>SUM(AE1916,AG1916,AI1916)*rate_forex_risk</f>
        <v/>
      </c>
      <c r="AI1916" s="193">
        <f>IF(OR(seller_region="TR",offer_sale_type="экспорт"),0,rate_fin_comm)*SUM(AZ1916,AZ1916*AW1916,T1916)</f>
        <v/>
      </c>
      <c r="AJ1916" s="118">
        <f>IFERROR(ROUND(SUM(AB1916,AF1916:AI1916)/E1916,2),0)</f>
        <v/>
      </c>
      <c r="AK1916" s="76">
        <f>AJ1916*E1916</f>
        <v/>
      </c>
      <c r="AL1916" s="174">
        <f>ROUND(IFERROR(AM1916*E1916,0),2)</f>
        <v/>
      </c>
      <c r="AM1916" s="175">
        <f>ROUND(AJ1916*(1+IF(offer_incoterms="DDP",IF((TODAY()+offer_turnaround_time)&gt;=helpsheet!$L$17,rate_vatRU_from_26,rate_vatRu_till_25),0)),2)</f>
        <v/>
      </c>
      <c r="AN1916" s="192">
        <f>AL1916-AK1916</f>
        <v/>
      </c>
      <c r="AO1916" s="76">
        <f>SUM(AY1916,Y1916:Z1916,T1916)*IF(AND(offer_incoterms="DDP",offer_sale_type&lt;&gt;"экспорт"),IF((TODAY()+offer_turnaround_time)&gt;=helpsheet!$L$17,rate_vatRU_from_26,rate_vatRu_till_25),0)</f>
        <v/>
      </c>
      <c r="AP1916" s="193">
        <f>AN1916-AO1916</f>
        <v/>
      </c>
      <c r="AQ1916" s="118">
        <f>IF(offer_sale_type="транзит",SUM(AF1916:AI1916,BA1916,BB1916),0)</f>
        <v/>
      </c>
      <c r="AR1916" s="82">
        <f>HYPERLINK("https://www.alta.ru/tnved/code/")&amp;W1916&amp;"/"</f>
        <v/>
      </c>
      <c r="AS1916" s="157" t="n"/>
      <c r="AT1916" s="162" t="n"/>
      <c r="AU1916" s="76">
        <f>IF(ISBLANK(AT1916),0,AJ1916-AT1916)</f>
        <v/>
      </c>
      <c r="AV1916" s="157" t="n"/>
      <c r="AW1916" s="75">
        <f>_xlfn.IFNA(VLOOKUP(L1916,list_vat[],3,FALSE),0)</f>
        <v/>
      </c>
      <c r="AX1916" s="76">
        <f>IFERROR(ROUND(S1916*(1+AW1916)/E1916,2),0)</f>
        <v/>
      </c>
      <c r="AY1916" s="76">
        <f>E1916*AX1916</f>
        <v/>
      </c>
      <c r="AZ1916" s="192">
        <f>S1916*(1+M1916)</f>
        <v/>
      </c>
      <c r="BA1916" s="76">
        <f>cost_fin_total*$BD1916</f>
        <v/>
      </c>
      <c r="BB1916" s="193">
        <f>credit_sales_interest*BD1916</f>
        <v/>
      </c>
      <c r="BC1916" s="102">
        <f>IFERROR(IF($I$13&gt;0,$I1916/$I$13,$S1916/$S$13),0)</f>
        <v/>
      </c>
      <c r="BD1916" s="102">
        <f>IFERROR($S1916/$S$13,0)</f>
        <v/>
      </c>
      <c r="BE1916" s="413" t="inlineStr">
        <is>
          <t>$</t>
        </is>
      </c>
    </row>
    <row r="1917" ht="12" customFormat="1" customHeight="1" s="65">
      <c r="A1917" s="43" t="n">
        <v>1902</v>
      </c>
      <c r="B1917" s="166" t="n"/>
      <c r="C1917" s="166" t="n"/>
      <c r="D1917" s="166" t="n"/>
      <c r="E1917" s="162" t="n"/>
      <c r="F1917" s="166" t="n"/>
      <c r="G1917" s="162" t="n"/>
      <c r="H1917" s="162" t="n"/>
      <c r="I1917" s="189">
        <f>E1917*G1917</f>
        <v/>
      </c>
      <c r="J1917" s="195" t="n"/>
      <c r="K1917" s="162" t="n"/>
      <c r="L1917" s="168" t="n"/>
      <c r="M1917" s="75">
        <f>_xlfn.XLOOKUP(L1917,list_vat[Страна],list_vat[Ставка НДС %],0,0)</f>
        <v/>
      </c>
      <c r="N1917" s="162">
        <f>IFERROR(IF(L1917="Китай",K1917,K1917/(1+M1917)),0)</f>
        <v/>
      </c>
      <c r="O1917" s="169" t="n"/>
      <c r="P1917" s="76">
        <f>N1917*(1-O1917)</f>
        <v/>
      </c>
      <c r="Q1917" s="162" t="n"/>
      <c r="R1917" s="162">
        <f>IF(ISBLANK(Q1917),"введи курс",P1917/Q1917)</f>
        <v/>
      </c>
      <c r="S1917" s="196">
        <f>IF(AND(ISNUMBER(E1917),ISNUMBER(Q1917)),E1917*R1917,0)</f>
        <v/>
      </c>
      <c r="T1917" s="192">
        <f>$BC1917*V$11</f>
        <v/>
      </c>
      <c r="U1917" s="76">
        <f>$BC1917*W$11</f>
        <v/>
      </c>
      <c r="V1917" s="193">
        <f>+SUM(T1917:U1917)</f>
        <v/>
      </c>
      <c r="W1917" s="191" t="n"/>
      <c r="X1917" s="170" t="n"/>
      <c r="Y1917" s="76">
        <f>ROUND(IF(offer_incoterms="DDP",X1917*(S1917*(1+AW1917)+T1917),0),2)</f>
        <v/>
      </c>
      <c r="Z1917" s="188" t="n"/>
      <c r="AA1917" s="192">
        <f>IFERROR(AB1917/E1917,0)</f>
        <v/>
      </c>
      <c r="AB1917" s="76">
        <f>ROUND(SUM(S1917,V1917,Y1917:Z1917,BA1917:BB1917),2)</f>
        <v/>
      </c>
      <c r="AC1917" s="797" t="n"/>
      <c r="AD1917" s="192">
        <f t="array" ref="AD1917">IFERROR(ROUND((_xlfn.IFS(offer_sale_type="поставка",AB1917,offer_sale_type="транзит",S1917)*(1+AC1917))/E1917,2),0)</f>
        <v/>
      </c>
      <c r="AE1917" s="76">
        <f>AD1917*E1917</f>
        <v/>
      </c>
      <c r="AF1917" s="193">
        <f t="array" ref="AF1917">IFERROR(ROUND(_xlfn.IFS(offer_sale_type="поставка",AB1917,offer_sale_type="транзит",S1917)*AC1917,2),0)</f>
        <v/>
      </c>
      <c r="AG1917" s="192">
        <f>$BD1917*VLOOKUP($AG$3,$AF$4:$AG$7,2,FALSE)</f>
        <v/>
      </c>
      <c r="AH1917" s="76">
        <f>SUM(AE1917,AG1917,AI1917)*rate_forex_risk</f>
        <v/>
      </c>
      <c r="AI1917" s="193">
        <f>IF(OR(seller_region="TR",offer_sale_type="экспорт"),0,rate_fin_comm)*SUM(AZ1917,AZ1917*AW1917,T1917)</f>
        <v/>
      </c>
      <c r="AJ1917" s="118">
        <f>IFERROR(ROUND(SUM(AB1917,AF1917:AI1917)/E1917,2),0)</f>
        <v/>
      </c>
      <c r="AK1917" s="76">
        <f>AJ1917*E1917</f>
        <v/>
      </c>
      <c r="AL1917" s="174">
        <f>ROUND(IFERROR(AM1917*E1917,0),2)</f>
        <v/>
      </c>
      <c r="AM1917" s="175">
        <f>ROUND(AJ1917*(1+IF(offer_incoterms="DDP",IF((TODAY()+offer_turnaround_time)&gt;=helpsheet!$L$17,rate_vatRU_from_26,rate_vatRu_till_25),0)),2)</f>
        <v/>
      </c>
      <c r="AN1917" s="192">
        <f>AL1917-AK1917</f>
        <v/>
      </c>
      <c r="AO1917" s="76">
        <f>SUM(AY1917,Y1917:Z1917,T1917)*IF(AND(offer_incoterms="DDP",offer_sale_type&lt;&gt;"экспорт"),IF((TODAY()+offer_turnaround_time)&gt;=helpsheet!$L$17,rate_vatRU_from_26,rate_vatRu_till_25),0)</f>
        <v/>
      </c>
      <c r="AP1917" s="193">
        <f>AN1917-AO1917</f>
        <v/>
      </c>
      <c r="AQ1917" s="118">
        <f>IF(offer_sale_type="транзит",SUM(AF1917:AI1917,BA1917,BB1917),0)</f>
        <v/>
      </c>
      <c r="AR1917" s="82">
        <f>HYPERLINK("https://www.alta.ru/tnved/code/")&amp;W1917&amp;"/"</f>
        <v/>
      </c>
      <c r="AS1917" s="157" t="n"/>
      <c r="AT1917" s="162" t="n"/>
      <c r="AU1917" s="76">
        <f>IF(ISBLANK(AT1917),0,AJ1917-AT1917)</f>
        <v/>
      </c>
      <c r="AV1917" s="157" t="n"/>
      <c r="AW1917" s="75">
        <f>_xlfn.IFNA(VLOOKUP(L1917,list_vat[],3,FALSE),0)</f>
        <v/>
      </c>
      <c r="AX1917" s="76">
        <f>IFERROR(ROUND(S1917*(1+AW1917)/E1917,2),0)</f>
        <v/>
      </c>
      <c r="AY1917" s="76">
        <f>E1917*AX1917</f>
        <v/>
      </c>
      <c r="AZ1917" s="192">
        <f>S1917*(1+M1917)</f>
        <v/>
      </c>
      <c r="BA1917" s="76">
        <f>cost_fin_total*$BD1917</f>
        <v/>
      </c>
      <c r="BB1917" s="193">
        <f>credit_sales_interest*BD1917</f>
        <v/>
      </c>
      <c r="BC1917" s="102">
        <f>IFERROR(IF($I$13&gt;0,$I1917/$I$13,$S1917/$S$13),0)</f>
        <v/>
      </c>
      <c r="BD1917" s="102">
        <f>IFERROR($S1917/$S$13,0)</f>
        <v/>
      </c>
      <c r="BE1917" s="413" t="inlineStr">
        <is>
          <t>$</t>
        </is>
      </c>
    </row>
    <row r="1918" ht="12" customFormat="1" customHeight="1" s="65">
      <c r="A1918" s="43" t="n">
        <v>1903</v>
      </c>
      <c r="B1918" s="166" t="n"/>
      <c r="C1918" s="166" t="n"/>
      <c r="D1918" s="166" t="n"/>
      <c r="E1918" s="162" t="n"/>
      <c r="F1918" s="166" t="n"/>
      <c r="G1918" s="162" t="n"/>
      <c r="H1918" s="162" t="n"/>
      <c r="I1918" s="189">
        <f>E1918*G1918</f>
        <v/>
      </c>
      <c r="J1918" s="195" t="n"/>
      <c r="K1918" s="162" t="n"/>
      <c r="L1918" s="168" t="n"/>
      <c r="M1918" s="75">
        <f>_xlfn.XLOOKUP(L1918,list_vat[Страна],list_vat[Ставка НДС %],0,0)</f>
        <v/>
      </c>
      <c r="N1918" s="162">
        <f>IFERROR(IF(L1918="Китай",K1918,K1918/(1+M1918)),0)</f>
        <v/>
      </c>
      <c r="O1918" s="169" t="n"/>
      <c r="P1918" s="76">
        <f>N1918*(1-O1918)</f>
        <v/>
      </c>
      <c r="Q1918" s="162" t="n"/>
      <c r="R1918" s="162">
        <f>IF(ISBLANK(Q1918),"введи курс",P1918/Q1918)</f>
        <v/>
      </c>
      <c r="S1918" s="196">
        <f>IF(AND(ISNUMBER(E1918),ISNUMBER(Q1918)),E1918*R1918,0)</f>
        <v/>
      </c>
      <c r="T1918" s="192">
        <f>$BC1918*V$11</f>
        <v/>
      </c>
      <c r="U1918" s="76">
        <f>$BC1918*W$11</f>
        <v/>
      </c>
      <c r="V1918" s="193">
        <f>+SUM(T1918:U1918)</f>
        <v/>
      </c>
      <c r="W1918" s="191" t="n"/>
      <c r="X1918" s="170" t="n"/>
      <c r="Y1918" s="76">
        <f>ROUND(IF(offer_incoterms="DDP",X1918*(S1918*(1+AW1918)+T1918),0),2)</f>
        <v/>
      </c>
      <c r="Z1918" s="188" t="n"/>
      <c r="AA1918" s="192">
        <f>IFERROR(AB1918/E1918,0)</f>
        <v/>
      </c>
      <c r="AB1918" s="76">
        <f>ROUND(SUM(S1918,V1918,Y1918:Z1918,BA1918:BB1918),2)</f>
        <v/>
      </c>
      <c r="AC1918" s="797" t="n"/>
      <c r="AD1918" s="192">
        <f t="array" ref="AD1918">IFERROR(ROUND((_xlfn.IFS(offer_sale_type="поставка",AB1918,offer_sale_type="транзит",S1918)*(1+AC1918))/E1918,2),0)</f>
        <v/>
      </c>
      <c r="AE1918" s="76">
        <f>AD1918*E1918</f>
        <v/>
      </c>
      <c r="AF1918" s="193">
        <f t="array" ref="AF1918">IFERROR(ROUND(_xlfn.IFS(offer_sale_type="поставка",AB1918,offer_sale_type="транзит",S1918)*AC1918,2),0)</f>
        <v/>
      </c>
      <c r="AG1918" s="192">
        <f>$BD1918*VLOOKUP($AG$3,$AF$4:$AG$7,2,FALSE)</f>
        <v/>
      </c>
      <c r="AH1918" s="76">
        <f>SUM(AE1918,AG1918,AI1918)*rate_forex_risk</f>
        <v/>
      </c>
      <c r="AI1918" s="193">
        <f>IF(OR(seller_region="TR",offer_sale_type="экспорт"),0,rate_fin_comm)*SUM(AZ1918,AZ1918*AW1918,T1918)</f>
        <v/>
      </c>
      <c r="AJ1918" s="118">
        <f>IFERROR(ROUND(SUM(AB1918,AF1918:AI1918)/E1918,2),0)</f>
        <v/>
      </c>
      <c r="AK1918" s="76">
        <f>AJ1918*E1918</f>
        <v/>
      </c>
      <c r="AL1918" s="174">
        <f>ROUND(IFERROR(AM1918*E1918,0),2)</f>
        <v/>
      </c>
      <c r="AM1918" s="175">
        <f>ROUND(AJ1918*(1+IF(offer_incoterms="DDP",IF((TODAY()+offer_turnaround_time)&gt;=helpsheet!$L$17,rate_vatRU_from_26,rate_vatRu_till_25),0)),2)</f>
        <v/>
      </c>
      <c r="AN1918" s="192">
        <f>AL1918-AK1918</f>
        <v/>
      </c>
      <c r="AO1918" s="76">
        <f>SUM(AY1918,Y1918:Z1918,T1918)*IF(AND(offer_incoterms="DDP",offer_sale_type&lt;&gt;"экспорт"),IF((TODAY()+offer_turnaround_time)&gt;=helpsheet!$L$17,rate_vatRU_from_26,rate_vatRu_till_25),0)</f>
        <v/>
      </c>
      <c r="AP1918" s="193">
        <f>AN1918-AO1918</f>
        <v/>
      </c>
      <c r="AQ1918" s="118">
        <f>IF(offer_sale_type="транзит",SUM(AF1918:AI1918,BA1918,BB1918),0)</f>
        <v/>
      </c>
      <c r="AR1918" s="82">
        <f>HYPERLINK("https://www.alta.ru/tnved/code/")&amp;W1918&amp;"/"</f>
        <v/>
      </c>
      <c r="AS1918" s="157" t="n"/>
      <c r="AT1918" s="162" t="n"/>
      <c r="AU1918" s="76">
        <f>IF(ISBLANK(AT1918),0,AJ1918-AT1918)</f>
        <v/>
      </c>
      <c r="AV1918" s="157" t="n"/>
      <c r="AW1918" s="75">
        <f>_xlfn.IFNA(VLOOKUP(L1918,list_vat[],3,FALSE),0)</f>
        <v/>
      </c>
      <c r="AX1918" s="76">
        <f>IFERROR(ROUND(S1918*(1+AW1918)/E1918,2),0)</f>
        <v/>
      </c>
      <c r="AY1918" s="76">
        <f>E1918*AX1918</f>
        <v/>
      </c>
      <c r="AZ1918" s="192">
        <f>S1918*(1+M1918)</f>
        <v/>
      </c>
      <c r="BA1918" s="76">
        <f>cost_fin_total*$BD1918</f>
        <v/>
      </c>
      <c r="BB1918" s="193">
        <f>credit_sales_interest*BD1918</f>
        <v/>
      </c>
      <c r="BC1918" s="102">
        <f>IFERROR(IF($I$13&gt;0,$I1918/$I$13,$S1918/$S$13),0)</f>
        <v/>
      </c>
      <c r="BD1918" s="102">
        <f>IFERROR($S1918/$S$13,0)</f>
        <v/>
      </c>
      <c r="BE1918" s="413" t="inlineStr">
        <is>
          <t>$</t>
        </is>
      </c>
    </row>
    <row r="1919" ht="12" customFormat="1" customHeight="1" s="65">
      <c r="A1919" s="43" t="n">
        <v>1904</v>
      </c>
      <c r="B1919" s="166" t="n"/>
      <c r="C1919" s="166" t="n"/>
      <c r="D1919" s="166" t="n"/>
      <c r="E1919" s="162" t="n"/>
      <c r="F1919" s="166" t="n"/>
      <c r="G1919" s="162" t="n"/>
      <c r="H1919" s="162" t="n"/>
      <c r="I1919" s="189">
        <f>E1919*G1919</f>
        <v/>
      </c>
      <c r="J1919" s="195" t="n"/>
      <c r="K1919" s="162" t="n"/>
      <c r="L1919" s="168" t="n"/>
      <c r="M1919" s="75">
        <f>_xlfn.XLOOKUP(L1919,list_vat[Страна],list_vat[Ставка НДС %],0,0)</f>
        <v/>
      </c>
      <c r="N1919" s="162">
        <f>IFERROR(IF(L1919="Китай",K1919,K1919/(1+M1919)),0)</f>
        <v/>
      </c>
      <c r="O1919" s="169" t="n"/>
      <c r="P1919" s="76">
        <f>N1919*(1-O1919)</f>
        <v/>
      </c>
      <c r="Q1919" s="162" t="n"/>
      <c r="R1919" s="162">
        <f>IF(ISBLANK(Q1919),"введи курс",P1919/Q1919)</f>
        <v/>
      </c>
      <c r="S1919" s="196">
        <f>IF(AND(ISNUMBER(E1919),ISNUMBER(Q1919)),E1919*R1919,0)</f>
        <v/>
      </c>
      <c r="T1919" s="192">
        <f>$BC1919*V$11</f>
        <v/>
      </c>
      <c r="U1919" s="76">
        <f>$BC1919*W$11</f>
        <v/>
      </c>
      <c r="V1919" s="193">
        <f>+SUM(T1919:U1919)</f>
        <v/>
      </c>
      <c r="W1919" s="191" t="n"/>
      <c r="X1919" s="170" t="n"/>
      <c r="Y1919" s="76">
        <f>ROUND(IF(offer_incoterms="DDP",X1919*(S1919*(1+AW1919)+T1919),0),2)</f>
        <v/>
      </c>
      <c r="Z1919" s="188" t="n"/>
      <c r="AA1919" s="192">
        <f>IFERROR(AB1919/E1919,0)</f>
        <v/>
      </c>
      <c r="AB1919" s="76">
        <f>ROUND(SUM(S1919,V1919,Y1919:Z1919,BA1919:BB1919),2)</f>
        <v/>
      </c>
      <c r="AC1919" s="797" t="n"/>
      <c r="AD1919" s="192">
        <f t="array" ref="AD1919">IFERROR(ROUND((_xlfn.IFS(offer_sale_type="поставка",AB1919,offer_sale_type="транзит",S1919)*(1+AC1919))/E1919,2),0)</f>
        <v/>
      </c>
      <c r="AE1919" s="76">
        <f>AD1919*E1919</f>
        <v/>
      </c>
      <c r="AF1919" s="193">
        <f t="array" ref="AF1919">IFERROR(ROUND(_xlfn.IFS(offer_sale_type="поставка",AB1919,offer_sale_type="транзит",S1919)*AC1919,2),0)</f>
        <v/>
      </c>
      <c r="AG1919" s="192">
        <f>$BD1919*VLOOKUP($AG$3,$AF$4:$AG$7,2,FALSE)</f>
        <v/>
      </c>
      <c r="AH1919" s="76">
        <f>SUM(AE1919,AG1919,AI1919)*rate_forex_risk</f>
        <v/>
      </c>
      <c r="AI1919" s="193">
        <f>IF(OR(seller_region="TR",offer_sale_type="экспорт"),0,rate_fin_comm)*SUM(AZ1919,AZ1919*AW1919,T1919)</f>
        <v/>
      </c>
      <c r="AJ1919" s="118">
        <f>IFERROR(ROUND(SUM(AB1919,AF1919:AI1919)/E1919,2),0)</f>
        <v/>
      </c>
      <c r="AK1919" s="76">
        <f>AJ1919*E1919</f>
        <v/>
      </c>
      <c r="AL1919" s="174">
        <f>ROUND(IFERROR(AM1919*E1919,0),2)</f>
        <v/>
      </c>
      <c r="AM1919" s="175">
        <f>ROUND(AJ1919*(1+IF(offer_incoterms="DDP",IF((TODAY()+offer_turnaround_time)&gt;=helpsheet!$L$17,rate_vatRU_from_26,rate_vatRu_till_25),0)),2)</f>
        <v/>
      </c>
      <c r="AN1919" s="192">
        <f>AL1919-AK1919</f>
        <v/>
      </c>
      <c r="AO1919" s="76">
        <f>SUM(AY1919,Y1919:Z1919,T1919)*IF(AND(offer_incoterms="DDP",offer_sale_type&lt;&gt;"экспорт"),IF((TODAY()+offer_turnaround_time)&gt;=helpsheet!$L$17,rate_vatRU_from_26,rate_vatRu_till_25),0)</f>
        <v/>
      </c>
      <c r="AP1919" s="193">
        <f>AN1919-AO1919</f>
        <v/>
      </c>
      <c r="AQ1919" s="118">
        <f>IF(offer_sale_type="транзит",SUM(AF1919:AI1919,BA1919,BB1919),0)</f>
        <v/>
      </c>
      <c r="AR1919" s="82">
        <f>HYPERLINK("https://www.alta.ru/tnved/code/")&amp;W1919&amp;"/"</f>
        <v/>
      </c>
      <c r="AS1919" s="157" t="n"/>
      <c r="AT1919" s="162" t="n"/>
      <c r="AU1919" s="76">
        <f>IF(ISBLANK(AT1919),0,AJ1919-AT1919)</f>
        <v/>
      </c>
      <c r="AV1919" s="157" t="n"/>
      <c r="AW1919" s="75">
        <f>_xlfn.IFNA(VLOOKUP(L1919,list_vat[],3,FALSE),0)</f>
        <v/>
      </c>
      <c r="AX1919" s="76">
        <f>IFERROR(ROUND(S1919*(1+AW1919)/E1919,2),0)</f>
        <v/>
      </c>
      <c r="AY1919" s="76">
        <f>E1919*AX1919</f>
        <v/>
      </c>
      <c r="AZ1919" s="192">
        <f>S1919*(1+M1919)</f>
        <v/>
      </c>
      <c r="BA1919" s="76">
        <f>cost_fin_total*$BD1919</f>
        <v/>
      </c>
      <c r="BB1919" s="193">
        <f>credit_sales_interest*BD1919</f>
        <v/>
      </c>
      <c r="BC1919" s="102">
        <f>IFERROR(IF($I$13&gt;0,$I1919/$I$13,$S1919/$S$13),0)</f>
        <v/>
      </c>
      <c r="BD1919" s="102">
        <f>IFERROR($S1919/$S$13,0)</f>
        <v/>
      </c>
      <c r="BE1919" s="413" t="inlineStr">
        <is>
          <t>$</t>
        </is>
      </c>
    </row>
    <row r="1920" ht="12" customFormat="1" customHeight="1" s="65">
      <c r="A1920" s="43" t="n">
        <v>1905</v>
      </c>
      <c r="B1920" s="166" t="n"/>
      <c r="C1920" s="166" t="n"/>
      <c r="D1920" s="166" t="n"/>
      <c r="E1920" s="162" t="n"/>
      <c r="F1920" s="166" t="n"/>
      <c r="G1920" s="162" t="n"/>
      <c r="H1920" s="162" t="n"/>
      <c r="I1920" s="189">
        <f>E1920*G1920</f>
        <v/>
      </c>
      <c r="J1920" s="195" t="n"/>
      <c r="K1920" s="162" t="n"/>
      <c r="L1920" s="168" t="n"/>
      <c r="M1920" s="75">
        <f>_xlfn.XLOOKUP(L1920,list_vat[Страна],list_vat[Ставка НДС %],0,0)</f>
        <v/>
      </c>
      <c r="N1920" s="162">
        <f>IFERROR(IF(L1920="Китай",K1920,K1920/(1+M1920)),0)</f>
        <v/>
      </c>
      <c r="O1920" s="169" t="n"/>
      <c r="P1920" s="76">
        <f>N1920*(1-O1920)</f>
        <v/>
      </c>
      <c r="Q1920" s="162" t="n"/>
      <c r="R1920" s="162">
        <f>IF(ISBLANK(Q1920),"введи курс",P1920/Q1920)</f>
        <v/>
      </c>
      <c r="S1920" s="196">
        <f>IF(AND(ISNUMBER(E1920),ISNUMBER(Q1920)),E1920*R1920,0)</f>
        <v/>
      </c>
      <c r="T1920" s="192">
        <f>$BC1920*V$11</f>
        <v/>
      </c>
      <c r="U1920" s="76">
        <f>$BC1920*W$11</f>
        <v/>
      </c>
      <c r="V1920" s="193">
        <f>+SUM(T1920:U1920)</f>
        <v/>
      </c>
      <c r="W1920" s="191" t="n"/>
      <c r="X1920" s="170" t="n"/>
      <c r="Y1920" s="76">
        <f>ROUND(IF(offer_incoterms="DDP",X1920*(S1920*(1+AW1920)+T1920),0),2)</f>
        <v/>
      </c>
      <c r="Z1920" s="188" t="n"/>
      <c r="AA1920" s="192">
        <f>IFERROR(AB1920/E1920,0)</f>
        <v/>
      </c>
      <c r="AB1920" s="76">
        <f>ROUND(SUM(S1920,V1920,Y1920:Z1920,BA1920:BB1920),2)</f>
        <v/>
      </c>
      <c r="AC1920" s="797" t="n"/>
      <c r="AD1920" s="192">
        <f t="array" ref="AD1920">IFERROR(ROUND((_xlfn.IFS(offer_sale_type="поставка",AB1920,offer_sale_type="транзит",S1920)*(1+AC1920))/E1920,2),0)</f>
        <v/>
      </c>
      <c r="AE1920" s="76">
        <f>AD1920*E1920</f>
        <v/>
      </c>
      <c r="AF1920" s="193">
        <f t="array" ref="AF1920">IFERROR(ROUND(_xlfn.IFS(offer_sale_type="поставка",AB1920,offer_sale_type="транзит",S1920)*AC1920,2),0)</f>
        <v/>
      </c>
      <c r="AG1920" s="192">
        <f>$BD1920*VLOOKUP($AG$3,$AF$4:$AG$7,2,FALSE)</f>
        <v/>
      </c>
      <c r="AH1920" s="76">
        <f>SUM(AE1920,AG1920,AI1920)*rate_forex_risk</f>
        <v/>
      </c>
      <c r="AI1920" s="193">
        <f>IF(OR(seller_region="TR",offer_sale_type="экспорт"),0,rate_fin_comm)*SUM(AZ1920,AZ1920*AW1920,T1920)</f>
        <v/>
      </c>
      <c r="AJ1920" s="118">
        <f>IFERROR(ROUND(SUM(AB1920,AF1920:AI1920)/E1920,2),0)</f>
        <v/>
      </c>
      <c r="AK1920" s="76">
        <f>AJ1920*E1920</f>
        <v/>
      </c>
      <c r="AL1920" s="174">
        <f>ROUND(IFERROR(AM1920*E1920,0),2)</f>
        <v/>
      </c>
      <c r="AM1920" s="175">
        <f>ROUND(AJ1920*(1+IF(offer_incoterms="DDP",IF((TODAY()+offer_turnaround_time)&gt;=helpsheet!$L$17,rate_vatRU_from_26,rate_vatRu_till_25),0)),2)</f>
        <v/>
      </c>
      <c r="AN1920" s="192">
        <f>AL1920-AK1920</f>
        <v/>
      </c>
      <c r="AO1920" s="76">
        <f>SUM(AY1920,Y1920:Z1920,T1920)*IF(AND(offer_incoterms="DDP",offer_sale_type&lt;&gt;"экспорт"),IF((TODAY()+offer_turnaround_time)&gt;=helpsheet!$L$17,rate_vatRU_from_26,rate_vatRu_till_25),0)</f>
        <v/>
      </c>
      <c r="AP1920" s="193">
        <f>AN1920-AO1920</f>
        <v/>
      </c>
      <c r="AQ1920" s="118">
        <f>IF(offer_sale_type="транзит",SUM(AF1920:AI1920,BA1920,BB1920),0)</f>
        <v/>
      </c>
      <c r="AR1920" s="82">
        <f>HYPERLINK("https://www.alta.ru/tnved/code/")&amp;W1920&amp;"/"</f>
        <v/>
      </c>
      <c r="AS1920" s="157" t="n"/>
      <c r="AT1920" s="162" t="n"/>
      <c r="AU1920" s="76">
        <f>IF(ISBLANK(AT1920),0,AJ1920-AT1920)</f>
        <v/>
      </c>
      <c r="AV1920" s="157" t="n"/>
      <c r="AW1920" s="75">
        <f>_xlfn.IFNA(VLOOKUP(L1920,list_vat[],3,FALSE),0)</f>
        <v/>
      </c>
      <c r="AX1920" s="76">
        <f>IFERROR(ROUND(S1920*(1+AW1920)/E1920,2),0)</f>
        <v/>
      </c>
      <c r="AY1920" s="76">
        <f>E1920*AX1920</f>
        <v/>
      </c>
      <c r="AZ1920" s="192">
        <f>S1920*(1+M1920)</f>
        <v/>
      </c>
      <c r="BA1920" s="76">
        <f>cost_fin_total*$BD1920</f>
        <v/>
      </c>
      <c r="BB1920" s="193">
        <f>credit_sales_interest*BD1920</f>
        <v/>
      </c>
      <c r="BC1920" s="102">
        <f>IFERROR(IF($I$13&gt;0,$I1920/$I$13,$S1920/$S$13),0)</f>
        <v/>
      </c>
      <c r="BD1920" s="102">
        <f>IFERROR($S1920/$S$13,0)</f>
        <v/>
      </c>
      <c r="BE1920" s="413" t="inlineStr">
        <is>
          <t>$</t>
        </is>
      </c>
    </row>
    <row r="1921" ht="12" customFormat="1" customHeight="1" s="65">
      <c r="A1921" s="43" t="n">
        <v>1906</v>
      </c>
      <c r="B1921" s="166" t="n"/>
      <c r="C1921" s="166" t="n"/>
      <c r="D1921" s="166" t="n"/>
      <c r="E1921" s="162" t="n"/>
      <c r="F1921" s="166" t="n"/>
      <c r="G1921" s="162" t="n"/>
      <c r="H1921" s="162" t="n"/>
      <c r="I1921" s="189">
        <f>E1921*G1921</f>
        <v/>
      </c>
      <c r="J1921" s="195" t="n"/>
      <c r="K1921" s="162" t="n"/>
      <c r="L1921" s="168" t="n"/>
      <c r="M1921" s="75">
        <f>_xlfn.XLOOKUP(L1921,list_vat[Страна],list_vat[Ставка НДС %],0,0)</f>
        <v/>
      </c>
      <c r="N1921" s="162">
        <f>IFERROR(IF(L1921="Китай",K1921,K1921/(1+M1921)),0)</f>
        <v/>
      </c>
      <c r="O1921" s="169" t="n"/>
      <c r="P1921" s="76">
        <f>N1921*(1-O1921)</f>
        <v/>
      </c>
      <c r="Q1921" s="162" t="n"/>
      <c r="R1921" s="162">
        <f>IF(ISBLANK(Q1921),"введи курс",P1921/Q1921)</f>
        <v/>
      </c>
      <c r="S1921" s="196">
        <f>IF(AND(ISNUMBER(E1921),ISNUMBER(Q1921)),E1921*R1921,0)</f>
        <v/>
      </c>
      <c r="T1921" s="192">
        <f>$BC1921*V$11</f>
        <v/>
      </c>
      <c r="U1921" s="76">
        <f>$BC1921*W$11</f>
        <v/>
      </c>
      <c r="V1921" s="193">
        <f>+SUM(T1921:U1921)</f>
        <v/>
      </c>
      <c r="W1921" s="191" t="n"/>
      <c r="X1921" s="170" t="n"/>
      <c r="Y1921" s="76">
        <f>ROUND(IF(offer_incoterms="DDP",X1921*(S1921*(1+AW1921)+T1921),0),2)</f>
        <v/>
      </c>
      <c r="Z1921" s="188" t="n"/>
      <c r="AA1921" s="192">
        <f>IFERROR(AB1921/E1921,0)</f>
        <v/>
      </c>
      <c r="AB1921" s="76">
        <f>ROUND(SUM(S1921,V1921,Y1921:Z1921,BA1921:BB1921),2)</f>
        <v/>
      </c>
      <c r="AC1921" s="797" t="n"/>
      <c r="AD1921" s="192">
        <f t="array" ref="AD1921">IFERROR(ROUND((_xlfn.IFS(offer_sale_type="поставка",AB1921,offer_sale_type="транзит",S1921)*(1+AC1921))/E1921,2),0)</f>
        <v/>
      </c>
      <c r="AE1921" s="76">
        <f>AD1921*E1921</f>
        <v/>
      </c>
      <c r="AF1921" s="193">
        <f t="array" ref="AF1921">IFERROR(ROUND(_xlfn.IFS(offer_sale_type="поставка",AB1921,offer_sale_type="транзит",S1921)*AC1921,2),0)</f>
        <v/>
      </c>
      <c r="AG1921" s="192">
        <f>$BD1921*VLOOKUP($AG$3,$AF$4:$AG$7,2,FALSE)</f>
        <v/>
      </c>
      <c r="AH1921" s="76">
        <f>SUM(AE1921,AG1921,AI1921)*rate_forex_risk</f>
        <v/>
      </c>
      <c r="AI1921" s="193">
        <f>IF(OR(seller_region="TR",offer_sale_type="экспорт"),0,rate_fin_comm)*SUM(AZ1921,AZ1921*AW1921,T1921)</f>
        <v/>
      </c>
      <c r="AJ1921" s="118">
        <f>IFERROR(ROUND(SUM(AB1921,AF1921:AI1921)/E1921,2),0)</f>
        <v/>
      </c>
      <c r="AK1921" s="76">
        <f>AJ1921*E1921</f>
        <v/>
      </c>
      <c r="AL1921" s="174">
        <f>ROUND(IFERROR(AM1921*E1921,0),2)</f>
        <v/>
      </c>
      <c r="AM1921" s="175">
        <f>ROUND(AJ1921*(1+IF(offer_incoterms="DDP",IF((TODAY()+offer_turnaround_time)&gt;=helpsheet!$L$17,rate_vatRU_from_26,rate_vatRu_till_25),0)),2)</f>
        <v/>
      </c>
      <c r="AN1921" s="192">
        <f>AL1921-AK1921</f>
        <v/>
      </c>
      <c r="AO1921" s="76">
        <f>SUM(AY1921,Y1921:Z1921,T1921)*IF(AND(offer_incoterms="DDP",offer_sale_type&lt;&gt;"экспорт"),IF((TODAY()+offer_turnaround_time)&gt;=helpsheet!$L$17,rate_vatRU_from_26,rate_vatRu_till_25),0)</f>
        <v/>
      </c>
      <c r="AP1921" s="193">
        <f>AN1921-AO1921</f>
        <v/>
      </c>
      <c r="AQ1921" s="118">
        <f>IF(offer_sale_type="транзит",SUM(AF1921:AI1921,BA1921,BB1921),0)</f>
        <v/>
      </c>
      <c r="AR1921" s="82">
        <f>HYPERLINK("https://www.alta.ru/tnved/code/")&amp;W1921&amp;"/"</f>
        <v/>
      </c>
      <c r="AS1921" s="157" t="n"/>
      <c r="AT1921" s="162" t="n"/>
      <c r="AU1921" s="76">
        <f>IF(ISBLANK(AT1921),0,AJ1921-AT1921)</f>
        <v/>
      </c>
      <c r="AV1921" s="157" t="n"/>
      <c r="AW1921" s="75">
        <f>_xlfn.IFNA(VLOOKUP(L1921,list_vat[],3,FALSE),0)</f>
        <v/>
      </c>
      <c r="AX1921" s="76">
        <f>IFERROR(ROUND(S1921*(1+AW1921)/E1921,2),0)</f>
        <v/>
      </c>
      <c r="AY1921" s="76">
        <f>E1921*AX1921</f>
        <v/>
      </c>
      <c r="AZ1921" s="192">
        <f>S1921*(1+M1921)</f>
        <v/>
      </c>
      <c r="BA1921" s="76">
        <f>cost_fin_total*$BD1921</f>
        <v/>
      </c>
      <c r="BB1921" s="193">
        <f>credit_sales_interest*BD1921</f>
        <v/>
      </c>
      <c r="BC1921" s="102">
        <f>IFERROR(IF($I$13&gt;0,$I1921/$I$13,$S1921/$S$13),0)</f>
        <v/>
      </c>
      <c r="BD1921" s="102">
        <f>IFERROR($S1921/$S$13,0)</f>
        <v/>
      </c>
      <c r="BE1921" s="413" t="inlineStr">
        <is>
          <t>$</t>
        </is>
      </c>
    </row>
    <row r="1922" ht="12" customFormat="1" customHeight="1" s="65">
      <c r="A1922" s="43" t="n">
        <v>1907</v>
      </c>
      <c r="B1922" s="166" t="n"/>
      <c r="C1922" s="166" t="n"/>
      <c r="D1922" s="166" t="n"/>
      <c r="E1922" s="162" t="n"/>
      <c r="F1922" s="166" t="n"/>
      <c r="G1922" s="162" t="n"/>
      <c r="H1922" s="162" t="n"/>
      <c r="I1922" s="189">
        <f>E1922*G1922</f>
        <v/>
      </c>
      <c r="J1922" s="195" t="n"/>
      <c r="K1922" s="162" t="n"/>
      <c r="L1922" s="168" t="n"/>
      <c r="M1922" s="75">
        <f>_xlfn.XLOOKUP(L1922,list_vat[Страна],list_vat[Ставка НДС %],0,0)</f>
        <v/>
      </c>
      <c r="N1922" s="162">
        <f>IFERROR(IF(L1922="Китай",K1922,K1922/(1+M1922)),0)</f>
        <v/>
      </c>
      <c r="O1922" s="169" t="n"/>
      <c r="P1922" s="76">
        <f>N1922*(1-O1922)</f>
        <v/>
      </c>
      <c r="Q1922" s="162" t="n"/>
      <c r="R1922" s="162">
        <f>IF(ISBLANK(Q1922),"введи курс",P1922/Q1922)</f>
        <v/>
      </c>
      <c r="S1922" s="196">
        <f>IF(AND(ISNUMBER(E1922),ISNUMBER(Q1922)),E1922*R1922,0)</f>
        <v/>
      </c>
      <c r="T1922" s="192">
        <f>$BC1922*V$11</f>
        <v/>
      </c>
      <c r="U1922" s="76">
        <f>$BC1922*W$11</f>
        <v/>
      </c>
      <c r="V1922" s="193">
        <f>+SUM(T1922:U1922)</f>
        <v/>
      </c>
      <c r="W1922" s="191" t="n"/>
      <c r="X1922" s="170" t="n"/>
      <c r="Y1922" s="76">
        <f>ROUND(IF(offer_incoterms="DDP",X1922*(S1922*(1+AW1922)+T1922),0),2)</f>
        <v/>
      </c>
      <c r="Z1922" s="188" t="n"/>
      <c r="AA1922" s="192">
        <f>IFERROR(AB1922/E1922,0)</f>
        <v/>
      </c>
      <c r="AB1922" s="76">
        <f>ROUND(SUM(S1922,V1922,Y1922:Z1922,BA1922:BB1922),2)</f>
        <v/>
      </c>
      <c r="AC1922" s="797" t="n"/>
      <c r="AD1922" s="192">
        <f t="array" ref="AD1922">IFERROR(ROUND((_xlfn.IFS(offer_sale_type="поставка",AB1922,offer_sale_type="транзит",S1922)*(1+AC1922))/E1922,2),0)</f>
        <v/>
      </c>
      <c r="AE1922" s="76">
        <f>AD1922*E1922</f>
        <v/>
      </c>
      <c r="AF1922" s="193">
        <f t="array" ref="AF1922">IFERROR(ROUND(_xlfn.IFS(offer_sale_type="поставка",AB1922,offer_sale_type="транзит",S1922)*AC1922,2),0)</f>
        <v/>
      </c>
      <c r="AG1922" s="192">
        <f>$BD1922*VLOOKUP($AG$3,$AF$4:$AG$7,2,FALSE)</f>
        <v/>
      </c>
      <c r="AH1922" s="76">
        <f>SUM(AE1922,AG1922,AI1922)*rate_forex_risk</f>
        <v/>
      </c>
      <c r="AI1922" s="193">
        <f>IF(OR(seller_region="TR",offer_sale_type="экспорт"),0,rate_fin_comm)*SUM(AZ1922,AZ1922*AW1922,T1922)</f>
        <v/>
      </c>
      <c r="AJ1922" s="118">
        <f>IFERROR(ROUND(SUM(AB1922,AF1922:AI1922)/E1922,2),0)</f>
        <v/>
      </c>
      <c r="AK1922" s="76">
        <f>AJ1922*E1922</f>
        <v/>
      </c>
      <c r="AL1922" s="174">
        <f>ROUND(IFERROR(AM1922*E1922,0),2)</f>
        <v/>
      </c>
      <c r="AM1922" s="175">
        <f>ROUND(AJ1922*(1+IF(offer_incoterms="DDP",IF((TODAY()+offer_turnaround_time)&gt;=helpsheet!$L$17,rate_vatRU_from_26,rate_vatRu_till_25),0)),2)</f>
        <v/>
      </c>
      <c r="AN1922" s="192">
        <f>AL1922-AK1922</f>
        <v/>
      </c>
      <c r="AO1922" s="76">
        <f>SUM(AY1922,Y1922:Z1922,T1922)*IF(AND(offer_incoterms="DDP",offer_sale_type&lt;&gt;"экспорт"),IF((TODAY()+offer_turnaround_time)&gt;=helpsheet!$L$17,rate_vatRU_from_26,rate_vatRu_till_25),0)</f>
        <v/>
      </c>
      <c r="AP1922" s="193">
        <f>AN1922-AO1922</f>
        <v/>
      </c>
      <c r="AQ1922" s="118">
        <f>IF(offer_sale_type="транзит",SUM(AF1922:AI1922,BA1922,BB1922),0)</f>
        <v/>
      </c>
      <c r="AR1922" s="82">
        <f>HYPERLINK("https://www.alta.ru/tnved/code/")&amp;W1922&amp;"/"</f>
        <v/>
      </c>
      <c r="AS1922" s="157" t="n"/>
      <c r="AT1922" s="162" t="n"/>
      <c r="AU1922" s="76">
        <f>IF(ISBLANK(AT1922),0,AJ1922-AT1922)</f>
        <v/>
      </c>
      <c r="AV1922" s="157" t="n"/>
      <c r="AW1922" s="75">
        <f>_xlfn.IFNA(VLOOKUP(L1922,list_vat[],3,FALSE),0)</f>
        <v/>
      </c>
      <c r="AX1922" s="76">
        <f>IFERROR(ROUND(S1922*(1+AW1922)/E1922,2),0)</f>
        <v/>
      </c>
      <c r="AY1922" s="76">
        <f>E1922*AX1922</f>
        <v/>
      </c>
      <c r="AZ1922" s="192">
        <f>S1922*(1+M1922)</f>
        <v/>
      </c>
      <c r="BA1922" s="76">
        <f>cost_fin_total*$BD1922</f>
        <v/>
      </c>
      <c r="BB1922" s="193">
        <f>credit_sales_interest*BD1922</f>
        <v/>
      </c>
      <c r="BC1922" s="102">
        <f>IFERROR(IF($I$13&gt;0,$I1922/$I$13,$S1922/$S$13),0)</f>
        <v/>
      </c>
      <c r="BD1922" s="102">
        <f>IFERROR($S1922/$S$13,0)</f>
        <v/>
      </c>
      <c r="BE1922" s="413" t="inlineStr">
        <is>
          <t>$</t>
        </is>
      </c>
    </row>
    <row r="1923" ht="12" customFormat="1" customHeight="1" s="65">
      <c r="A1923" s="43" t="n">
        <v>1908</v>
      </c>
      <c r="B1923" s="166" t="n"/>
      <c r="C1923" s="166" t="n"/>
      <c r="D1923" s="166" t="n"/>
      <c r="E1923" s="162" t="n"/>
      <c r="F1923" s="166" t="n"/>
      <c r="G1923" s="162" t="n"/>
      <c r="H1923" s="162" t="n"/>
      <c r="I1923" s="189">
        <f>E1923*G1923</f>
        <v/>
      </c>
      <c r="J1923" s="195" t="n"/>
      <c r="K1923" s="162" t="n"/>
      <c r="L1923" s="168" t="n"/>
      <c r="M1923" s="75">
        <f>_xlfn.XLOOKUP(L1923,list_vat[Страна],list_vat[Ставка НДС %],0,0)</f>
        <v/>
      </c>
      <c r="N1923" s="162">
        <f>IFERROR(IF(L1923="Китай",K1923,K1923/(1+M1923)),0)</f>
        <v/>
      </c>
      <c r="O1923" s="169" t="n"/>
      <c r="P1923" s="76">
        <f>N1923*(1-O1923)</f>
        <v/>
      </c>
      <c r="Q1923" s="162" t="n"/>
      <c r="R1923" s="162">
        <f>IF(ISBLANK(Q1923),"введи курс",P1923/Q1923)</f>
        <v/>
      </c>
      <c r="S1923" s="196">
        <f>IF(AND(ISNUMBER(E1923),ISNUMBER(Q1923)),E1923*R1923,0)</f>
        <v/>
      </c>
      <c r="T1923" s="192">
        <f>$BC1923*V$11</f>
        <v/>
      </c>
      <c r="U1923" s="76">
        <f>$BC1923*W$11</f>
        <v/>
      </c>
      <c r="V1923" s="193">
        <f>+SUM(T1923:U1923)</f>
        <v/>
      </c>
      <c r="W1923" s="191" t="n"/>
      <c r="X1923" s="170" t="n"/>
      <c r="Y1923" s="76">
        <f>ROUND(IF(offer_incoterms="DDP",X1923*(S1923*(1+AW1923)+T1923),0),2)</f>
        <v/>
      </c>
      <c r="Z1923" s="188" t="n"/>
      <c r="AA1923" s="192">
        <f>IFERROR(AB1923/E1923,0)</f>
        <v/>
      </c>
      <c r="AB1923" s="76">
        <f>ROUND(SUM(S1923,V1923,Y1923:Z1923,BA1923:BB1923),2)</f>
        <v/>
      </c>
      <c r="AC1923" s="797" t="n"/>
      <c r="AD1923" s="192">
        <f t="array" ref="AD1923">IFERROR(ROUND((_xlfn.IFS(offer_sale_type="поставка",AB1923,offer_sale_type="транзит",S1923)*(1+AC1923))/E1923,2),0)</f>
        <v/>
      </c>
      <c r="AE1923" s="76">
        <f>AD1923*E1923</f>
        <v/>
      </c>
      <c r="AF1923" s="193">
        <f t="array" ref="AF1923">IFERROR(ROUND(_xlfn.IFS(offer_sale_type="поставка",AB1923,offer_sale_type="транзит",S1923)*AC1923,2),0)</f>
        <v/>
      </c>
      <c r="AG1923" s="192">
        <f>$BD1923*VLOOKUP($AG$3,$AF$4:$AG$7,2,FALSE)</f>
        <v/>
      </c>
      <c r="AH1923" s="76">
        <f>SUM(AE1923,AG1923,AI1923)*rate_forex_risk</f>
        <v/>
      </c>
      <c r="AI1923" s="193">
        <f>IF(OR(seller_region="TR",offer_sale_type="экспорт"),0,rate_fin_comm)*SUM(AZ1923,AZ1923*AW1923,T1923)</f>
        <v/>
      </c>
      <c r="AJ1923" s="118">
        <f>IFERROR(ROUND(SUM(AB1923,AF1923:AI1923)/E1923,2),0)</f>
        <v/>
      </c>
      <c r="AK1923" s="76">
        <f>AJ1923*E1923</f>
        <v/>
      </c>
      <c r="AL1923" s="174">
        <f>ROUND(IFERROR(AM1923*E1923,0),2)</f>
        <v/>
      </c>
      <c r="AM1923" s="175">
        <f>ROUND(AJ1923*(1+IF(offer_incoterms="DDP",IF((TODAY()+offer_turnaround_time)&gt;=helpsheet!$L$17,rate_vatRU_from_26,rate_vatRu_till_25),0)),2)</f>
        <v/>
      </c>
      <c r="AN1923" s="192">
        <f>AL1923-AK1923</f>
        <v/>
      </c>
      <c r="AO1923" s="76">
        <f>SUM(AY1923,Y1923:Z1923,T1923)*IF(AND(offer_incoterms="DDP",offer_sale_type&lt;&gt;"экспорт"),IF((TODAY()+offer_turnaround_time)&gt;=helpsheet!$L$17,rate_vatRU_from_26,rate_vatRu_till_25),0)</f>
        <v/>
      </c>
      <c r="AP1923" s="193">
        <f>AN1923-AO1923</f>
        <v/>
      </c>
      <c r="AQ1923" s="118">
        <f>IF(offer_sale_type="транзит",SUM(AF1923:AI1923,BA1923,BB1923),0)</f>
        <v/>
      </c>
      <c r="AR1923" s="82">
        <f>HYPERLINK("https://www.alta.ru/tnved/code/")&amp;W1923&amp;"/"</f>
        <v/>
      </c>
      <c r="AS1923" s="157" t="n"/>
      <c r="AT1923" s="162" t="n"/>
      <c r="AU1923" s="76">
        <f>IF(ISBLANK(AT1923),0,AJ1923-AT1923)</f>
        <v/>
      </c>
      <c r="AV1923" s="157" t="n"/>
      <c r="AW1923" s="75">
        <f>_xlfn.IFNA(VLOOKUP(L1923,list_vat[],3,FALSE),0)</f>
        <v/>
      </c>
      <c r="AX1923" s="76">
        <f>IFERROR(ROUND(S1923*(1+AW1923)/E1923,2),0)</f>
        <v/>
      </c>
      <c r="AY1923" s="76">
        <f>E1923*AX1923</f>
        <v/>
      </c>
      <c r="AZ1923" s="192">
        <f>S1923*(1+M1923)</f>
        <v/>
      </c>
      <c r="BA1923" s="76">
        <f>cost_fin_total*$BD1923</f>
        <v/>
      </c>
      <c r="BB1923" s="193">
        <f>credit_sales_interest*BD1923</f>
        <v/>
      </c>
      <c r="BC1923" s="102">
        <f>IFERROR(IF($I$13&gt;0,$I1923/$I$13,$S1923/$S$13),0)</f>
        <v/>
      </c>
      <c r="BD1923" s="102">
        <f>IFERROR($S1923/$S$13,0)</f>
        <v/>
      </c>
      <c r="BE1923" s="413" t="inlineStr">
        <is>
          <t>$</t>
        </is>
      </c>
    </row>
    <row r="1924" ht="12" customFormat="1" customHeight="1" s="65">
      <c r="A1924" s="43" t="n">
        <v>1909</v>
      </c>
      <c r="B1924" s="166" t="n"/>
      <c r="C1924" s="166" t="n"/>
      <c r="D1924" s="166" t="n"/>
      <c r="E1924" s="162" t="n"/>
      <c r="F1924" s="166" t="n"/>
      <c r="G1924" s="162" t="n"/>
      <c r="H1924" s="162" t="n"/>
      <c r="I1924" s="189">
        <f>E1924*G1924</f>
        <v/>
      </c>
      <c r="J1924" s="195" t="n"/>
      <c r="K1924" s="162" t="n"/>
      <c r="L1924" s="168" t="n"/>
      <c r="M1924" s="75">
        <f>_xlfn.XLOOKUP(L1924,list_vat[Страна],list_vat[Ставка НДС %],0,0)</f>
        <v/>
      </c>
      <c r="N1924" s="162">
        <f>IFERROR(IF(L1924="Китай",K1924,K1924/(1+M1924)),0)</f>
        <v/>
      </c>
      <c r="O1924" s="169" t="n"/>
      <c r="P1924" s="76">
        <f>N1924*(1-O1924)</f>
        <v/>
      </c>
      <c r="Q1924" s="162" t="n"/>
      <c r="R1924" s="162">
        <f>IF(ISBLANK(Q1924),"введи курс",P1924/Q1924)</f>
        <v/>
      </c>
      <c r="S1924" s="196">
        <f>IF(AND(ISNUMBER(E1924),ISNUMBER(Q1924)),E1924*R1924,0)</f>
        <v/>
      </c>
      <c r="T1924" s="192">
        <f>$BC1924*V$11</f>
        <v/>
      </c>
      <c r="U1924" s="76">
        <f>$BC1924*W$11</f>
        <v/>
      </c>
      <c r="V1924" s="193">
        <f>+SUM(T1924:U1924)</f>
        <v/>
      </c>
      <c r="W1924" s="191" t="n"/>
      <c r="X1924" s="170" t="n"/>
      <c r="Y1924" s="76">
        <f>ROUND(IF(offer_incoterms="DDP",X1924*(S1924*(1+AW1924)+T1924),0),2)</f>
        <v/>
      </c>
      <c r="Z1924" s="188" t="n"/>
      <c r="AA1924" s="192">
        <f>IFERROR(AB1924/E1924,0)</f>
        <v/>
      </c>
      <c r="AB1924" s="76">
        <f>ROUND(SUM(S1924,V1924,Y1924:Z1924,BA1924:BB1924),2)</f>
        <v/>
      </c>
      <c r="AC1924" s="797" t="n"/>
      <c r="AD1924" s="192">
        <f t="array" ref="AD1924">IFERROR(ROUND((_xlfn.IFS(offer_sale_type="поставка",AB1924,offer_sale_type="транзит",S1924)*(1+AC1924))/E1924,2),0)</f>
        <v/>
      </c>
      <c r="AE1924" s="76">
        <f>AD1924*E1924</f>
        <v/>
      </c>
      <c r="AF1924" s="193">
        <f t="array" ref="AF1924">IFERROR(ROUND(_xlfn.IFS(offer_sale_type="поставка",AB1924,offer_sale_type="транзит",S1924)*AC1924,2),0)</f>
        <v/>
      </c>
      <c r="AG1924" s="192">
        <f>$BD1924*VLOOKUP($AG$3,$AF$4:$AG$7,2,FALSE)</f>
        <v/>
      </c>
      <c r="AH1924" s="76">
        <f>SUM(AE1924,AG1924,AI1924)*rate_forex_risk</f>
        <v/>
      </c>
      <c r="AI1924" s="193">
        <f>IF(OR(seller_region="TR",offer_sale_type="экспорт"),0,rate_fin_comm)*SUM(AZ1924,AZ1924*AW1924,T1924)</f>
        <v/>
      </c>
      <c r="AJ1924" s="118">
        <f>IFERROR(ROUND(SUM(AB1924,AF1924:AI1924)/E1924,2),0)</f>
        <v/>
      </c>
      <c r="AK1924" s="76">
        <f>AJ1924*E1924</f>
        <v/>
      </c>
      <c r="AL1924" s="174">
        <f>ROUND(IFERROR(AM1924*E1924,0),2)</f>
        <v/>
      </c>
      <c r="AM1924" s="175">
        <f>ROUND(AJ1924*(1+IF(offer_incoterms="DDP",IF((TODAY()+offer_turnaround_time)&gt;=helpsheet!$L$17,rate_vatRU_from_26,rate_vatRu_till_25),0)),2)</f>
        <v/>
      </c>
      <c r="AN1924" s="192">
        <f>AL1924-AK1924</f>
        <v/>
      </c>
      <c r="AO1924" s="76">
        <f>SUM(AY1924,Y1924:Z1924,T1924)*IF(AND(offer_incoterms="DDP",offer_sale_type&lt;&gt;"экспорт"),IF((TODAY()+offer_turnaround_time)&gt;=helpsheet!$L$17,rate_vatRU_from_26,rate_vatRu_till_25),0)</f>
        <v/>
      </c>
      <c r="AP1924" s="193">
        <f>AN1924-AO1924</f>
        <v/>
      </c>
      <c r="AQ1924" s="118">
        <f>IF(offer_sale_type="транзит",SUM(AF1924:AI1924,BA1924,BB1924),0)</f>
        <v/>
      </c>
      <c r="AR1924" s="82">
        <f>HYPERLINK("https://www.alta.ru/tnved/code/")&amp;W1924&amp;"/"</f>
        <v/>
      </c>
      <c r="AS1924" s="157" t="n"/>
      <c r="AT1924" s="162" t="n"/>
      <c r="AU1924" s="76">
        <f>IF(ISBLANK(AT1924),0,AJ1924-AT1924)</f>
        <v/>
      </c>
      <c r="AV1924" s="157" t="n"/>
      <c r="AW1924" s="75">
        <f>_xlfn.IFNA(VLOOKUP(L1924,list_vat[],3,FALSE),0)</f>
        <v/>
      </c>
      <c r="AX1924" s="76">
        <f>IFERROR(ROUND(S1924*(1+AW1924)/E1924,2),0)</f>
        <v/>
      </c>
      <c r="AY1924" s="76">
        <f>E1924*AX1924</f>
        <v/>
      </c>
      <c r="AZ1924" s="192">
        <f>S1924*(1+M1924)</f>
        <v/>
      </c>
      <c r="BA1924" s="76">
        <f>cost_fin_total*$BD1924</f>
        <v/>
      </c>
      <c r="BB1924" s="193">
        <f>credit_sales_interest*BD1924</f>
        <v/>
      </c>
      <c r="BC1924" s="102">
        <f>IFERROR(IF($I$13&gt;0,$I1924/$I$13,$S1924/$S$13),0)</f>
        <v/>
      </c>
      <c r="BD1924" s="102">
        <f>IFERROR($S1924/$S$13,0)</f>
        <v/>
      </c>
      <c r="BE1924" s="413" t="inlineStr">
        <is>
          <t>$</t>
        </is>
      </c>
    </row>
    <row r="1925" ht="12" customFormat="1" customHeight="1" s="65">
      <c r="A1925" s="43" t="n">
        <v>1910</v>
      </c>
      <c r="B1925" s="166" t="n"/>
      <c r="C1925" s="166" t="n"/>
      <c r="D1925" s="166" t="n"/>
      <c r="E1925" s="162" t="n"/>
      <c r="F1925" s="166" t="n"/>
      <c r="G1925" s="162" t="n"/>
      <c r="H1925" s="162" t="n"/>
      <c r="I1925" s="189">
        <f>E1925*G1925</f>
        <v/>
      </c>
      <c r="J1925" s="195" t="n"/>
      <c r="K1925" s="162" t="n"/>
      <c r="L1925" s="168" t="n"/>
      <c r="M1925" s="75">
        <f>_xlfn.XLOOKUP(L1925,list_vat[Страна],list_vat[Ставка НДС %],0,0)</f>
        <v/>
      </c>
      <c r="N1925" s="162">
        <f>IFERROR(IF(L1925="Китай",K1925,K1925/(1+M1925)),0)</f>
        <v/>
      </c>
      <c r="O1925" s="169" t="n"/>
      <c r="P1925" s="76">
        <f>N1925*(1-O1925)</f>
        <v/>
      </c>
      <c r="Q1925" s="162" t="n"/>
      <c r="R1925" s="162">
        <f>IF(ISBLANK(Q1925),"введи курс",P1925/Q1925)</f>
        <v/>
      </c>
      <c r="S1925" s="196">
        <f>IF(AND(ISNUMBER(E1925),ISNUMBER(Q1925)),E1925*R1925,0)</f>
        <v/>
      </c>
      <c r="T1925" s="192">
        <f>$BC1925*V$11</f>
        <v/>
      </c>
      <c r="U1925" s="76">
        <f>$BC1925*W$11</f>
        <v/>
      </c>
      <c r="V1925" s="193">
        <f>+SUM(T1925:U1925)</f>
        <v/>
      </c>
      <c r="W1925" s="191" t="n"/>
      <c r="X1925" s="170" t="n"/>
      <c r="Y1925" s="76">
        <f>ROUND(IF(offer_incoterms="DDP",X1925*(S1925*(1+AW1925)+T1925),0),2)</f>
        <v/>
      </c>
      <c r="Z1925" s="188" t="n"/>
      <c r="AA1925" s="192">
        <f>IFERROR(AB1925/E1925,0)</f>
        <v/>
      </c>
      <c r="AB1925" s="76">
        <f>ROUND(SUM(S1925,V1925,Y1925:Z1925,BA1925:BB1925),2)</f>
        <v/>
      </c>
      <c r="AC1925" s="797" t="n"/>
      <c r="AD1925" s="192">
        <f t="array" ref="AD1925">IFERROR(ROUND((_xlfn.IFS(offer_sale_type="поставка",AB1925,offer_sale_type="транзит",S1925)*(1+AC1925))/E1925,2),0)</f>
        <v/>
      </c>
      <c r="AE1925" s="76">
        <f>AD1925*E1925</f>
        <v/>
      </c>
      <c r="AF1925" s="193">
        <f t="array" ref="AF1925">IFERROR(ROUND(_xlfn.IFS(offer_sale_type="поставка",AB1925,offer_sale_type="транзит",S1925)*AC1925,2),0)</f>
        <v/>
      </c>
      <c r="AG1925" s="192">
        <f>$BD1925*VLOOKUP($AG$3,$AF$4:$AG$7,2,FALSE)</f>
        <v/>
      </c>
      <c r="AH1925" s="76">
        <f>SUM(AE1925,AG1925,AI1925)*rate_forex_risk</f>
        <v/>
      </c>
      <c r="AI1925" s="193">
        <f>IF(OR(seller_region="TR",offer_sale_type="экспорт"),0,rate_fin_comm)*SUM(AZ1925,AZ1925*AW1925,T1925)</f>
        <v/>
      </c>
      <c r="AJ1925" s="118">
        <f>IFERROR(ROUND(SUM(AB1925,AF1925:AI1925)/E1925,2),0)</f>
        <v/>
      </c>
      <c r="AK1925" s="76">
        <f>AJ1925*E1925</f>
        <v/>
      </c>
      <c r="AL1925" s="174">
        <f>ROUND(IFERROR(AM1925*E1925,0),2)</f>
        <v/>
      </c>
      <c r="AM1925" s="175">
        <f>ROUND(AJ1925*(1+IF(offer_incoterms="DDP",IF((TODAY()+offer_turnaround_time)&gt;=helpsheet!$L$17,rate_vatRU_from_26,rate_vatRu_till_25),0)),2)</f>
        <v/>
      </c>
      <c r="AN1925" s="192">
        <f>AL1925-AK1925</f>
        <v/>
      </c>
      <c r="AO1925" s="76">
        <f>SUM(AY1925,Y1925:Z1925,T1925)*IF(AND(offer_incoterms="DDP",offer_sale_type&lt;&gt;"экспорт"),IF((TODAY()+offer_turnaround_time)&gt;=helpsheet!$L$17,rate_vatRU_from_26,rate_vatRu_till_25),0)</f>
        <v/>
      </c>
      <c r="AP1925" s="193">
        <f>AN1925-AO1925</f>
        <v/>
      </c>
      <c r="AQ1925" s="118">
        <f>IF(offer_sale_type="транзит",SUM(AF1925:AI1925,BA1925,BB1925),0)</f>
        <v/>
      </c>
      <c r="AR1925" s="82">
        <f>HYPERLINK("https://www.alta.ru/tnved/code/")&amp;W1925&amp;"/"</f>
        <v/>
      </c>
      <c r="AS1925" s="157" t="n"/>
      <c r="AT1925" s="162" t="n"/>
      <c r="AU1925" s="76">
        <f>IF(ISBLANK(AT1925),0,AJ1925-AT1925)</f>
        <v/>
      </c>
      <c r="AV1925" s="157" t="n"/>
      <c r="AW1925" s="75">
        <f>_xlfn.IFNA(VLOOKUP(L1925,list_vat[],3,FALSE),0)</f>
        <v/>
      </c>
      <c r="AX1925" s="76">
        <f>IFERROR(ROUND(S1925*(1+AW1925)/E1925,2),0)</f>
        <v/>
      </c>
      <c r="AY1925" s="76">
        <f>E1925*AX1925</f>
        <v/>
      </c>
      <c r="AZ1925" s="192">
        <f>S1925*(1+M1925)</f>
        <v/>
      </c>
      <c r="BA1925" s="76">
        <f>cost_fin_total*$BD1925</f>
        <v/>
      </c>
      <c r="BB1925" s="193">
        <f>credit_sales_interest*BD1925</f>
        <v/>
      </c>
      <c r="BC1925" s="102">
        <f>IFERROR(IF($I$13&gt;0,$I1925/$I$13,$S1925/$S$13),0)</f>
        <v/>
      </c>
      <c r="BD1925" s="102">
        <f>IFERROR($S1925/$S$13,0)</f>
        <v/>
      </c>
      <c r="BE1925" s="413" t="inlineStr">
        <is>
          <t>$</t>
        </is>
      </c>
    </row>
    <row r="1926" ht="12" customFormat="1" customHeight="1" s="65">
      <c r="A1926" s="43" t="n">
        <v>1911</v>
      </c>
      <c r="B1926" s="166" t="n"/>
      <c r="C1926" s="166" t="n"/>
      <c r="D1926" s="166" t="n"/>
      <c r="E1926" s="162" t="n"/>
      <c r="F1926" s="166" t="n"/>
      <c r="G1926" s="162" t="n"/>
      <c r="H1926" s="162" t="n"/>
      <c r="I1926" s="189">
        <f>E1926*G1926</f>
        <v/>
      </c>
      <c r="J1926" s="195" t="n"/>
      <c r="K1926" s="162" t="n"/>
      <c r="L1926" s="168" t="n"/>
      <c r="M1926" s="75">
        <f>_xlfn.XLOOKUP(L1926,list_vat[Страна],list_vat[Ставка НДС %],0,0)</f>
        <v/>
      </c>
      <c r="N1926" s="162">
        <f>IFERROR(IF(L1926="Китай",K1926,K1926/(1+M1926)),0)</f>
        <v/>
      </c>
      <c r="O1926" s="169" t="n"/>
      <c r="P1926" s="76">
        <f>N1926*(1-O1926)</f>
        <v/>
      </c>
      <c r="Q1926" s="162" t="n"/>
      <c r="R1926" s="162">
        <f>IF(ISBLANK(Q1926),"введи курс",P1926/Q1926)</f>
        <v/>
      </c>
      <c r="S1926" s="196">
        <f>IF(AND(ISNUMBER(E1926),ISNUMBER(Q1926)),E1926*R1926,0)</f>
        <v/>
      </c>
      <c r="T1926" s="192">
        <f>$BC1926*V$11</f>
        <v/>
      </c>
      <c r="U1926" s="76">
        <f>$BC1926*W$11</f>
        <v/>
      </c>
      <c r="V1926" s="193">
        <f>+SUM(T1926:U1926)</f>
        <v/>
      </c>
      <c r="W1926" s="191" t="n"/>
      <c r="X1926" s="170" t="n"/>
      <c r="Y1926" s="76">
        <f>ROUND(IF(offer_incoterms="DDP",X1926*(S1926*(1+AW1926)+T1926),0),2)</f>
        <v/>
      </c>
      <c r="Z1926" s="188" t="n"/>
      <c r="AA1926" s="192">
        <f>IFERROR(AB1926/E1926,0)</f>
        <v/>
      </c>
      <c r="AB1926" s="76">
        <f>ROUND(SUM(S1926,V1926,Y1926:Z1926,BA1926:BB1926),2)</f>
        <v/>
      </c>
      <c r="AC1926" s="797" t="n"/>
      <c r="AD1926" s="192">
        <f t="array" ref="AD1926">IFERROR(ROUND((_xlfn.IFS(offer_sale_type="поставка",AB1926,offer_sale_type="транзит",S1926)*(1+AC1926))/E1926,2),0)</f>
        <v/>
      </c>
      <c r="AE1926" s="76">
        <f>AD1926*E1926</f>
        <v/>
      </c>
      <c r="AF1926" s="193">
        <f t="array" ref="AF1926">IFERROR(ROUND(_xlfn.IFS(offer_sale_type="поставка",AB1926,offer_sale_type="транзит",S1926)*AC1926,2),0)</f>
        <v/>
      </c>
      <c r="AG1926" s="192">
        <f>$BD1926*VLOOKUP($AG$3,$AF$4:$AG$7,2,FALSE)</f>
        <v/>
      </c>
      <c r="AH1926" s="76">
        <f>SUM(AE1926,AG1926,AI1926)*rate_forex_risk</f>
        <v/>
      </c>
      <c r="AI1926" s="193">
        <f>IF(OR(seller_region="TR",offer_sale_type="экспорт"),0,rate_fin_comm)*SUM(AZ1926,AZ1926*AW1926,T1926)</f>
        <v/>
      </c>
      <c r="AJ1926" s="118">
        <f>IFERROR(ROUND(SUM(AB1926,AF1926:AI1926)/E1926,2),0)</f>
        <v/>
      </c>
      <c r="AK1926" s="76">
        <f>AJ1926*E1926</f>
        <v/>
      </c>
      <c r="AL1926" s="174">
        <f>ROUND(IFERROR(AM1926*E1926,0),2)</f>
        <v/>
      </c>
      <c r="AM1926" s="175">
        <f>ROUND(AJ1926*(1+IF(offer_incoterms="DDP",IF((TODAY()+offer_turnaround_time)&gt;=helpsheet!$L$17,rate_vatRU_from_26,rate_vatRu_till_25),0)),2)</f>
        <v/>
      </c>
      <c r="AN1926" s="192">
        <f>AL1926-AK1926</f>
        <v/>
      </c>
      <c r="AO1926" s="76">
        <f>SUM(AY1926,Y1926:Z1926,T1926)*IF(AND(offer_incoterms="DDP",offer_sale_type&lt;&gt;"экспорт"),IF((TODAY()+offer_turnaround_time)&gt;=helpsheet!$L$17,rate_vatRU_from_26,rate_vatRu_till_25),0)</f>
        <v/>
      </c>
      <c r="AP1926" s="193">
        <f>AN1926-AO1926</f>
        <v/>
      </c>
      <c r="AQ1926" s="118">
        <f>IF(offer_sale_type="транзит",SUM(AF1926:AI1926,BA1926,BB1926),0)</f>
        <v/>
      </c>
      <c r="AR1926" s="82">
        <f>HYPERLINK("https://www.alta.ru/tnved/code/")&amp;W1926&amp;"/"</f>
        <v/>
      </c>
      <c r="AS1926" s="157" t="n"/>
      <c r="AT1926" s="162" t="n"/>
      <c r="AU1926" s="76">
        <f>IF(ISBLANK(AT1926),0,AJ1926-AT1926)</f>
        <v/>
      </c>
      <c r="AV1926" s="157" t="n"/>
      <c r="AW1926" s="75">
        <f>_xlfn.IFNA(VLOOKUP(L1926,list_vat[],3,FALSE),0)</f>
        <v/>
      </c>
      <c r="AX1926" s="76">
        <f>IFERROR(ROUND(S1926*(1+AW1926)/E1926,2),0)</f>
        <v/>
      </c>
      <c r="AY1926" s="76">
        <f>E1926*AX1926</f>
        <v/>
      </c>
      <c r="AZ1926" s="192">
        <f>S1926*(1+M1926)</f>
        <v/>
      </c>
      <c r="BA1926" s="76">
        <f>cost_fin_total*$BD1926</f>
        <v/>
      </c>
      <c r="BB1926" s="193">
        <f>credit_sales_interest*BD1926</f>
        <v/>
      </c>
      <c r="BC1926" s="102">
        <f>IFERROR(IF($I$13&gt;0,$I1926/$I$13,$S1926/$S$13),0)</f>
        <v/>
      </c>
      <c r="BD1926" s="102">
        <f>IFERROR($S1926/$S$13,0)</f>
        <v/>
      </c>
      <c r="BE1926" s="413" t="inlineStr">
        <is>
          <t>$</t>
        </is>
      </c>
    </row>
    <row r="1927" ht="12" customFormat="1" customHeight="1" s="65">
      <c r="A1927" s="43" t="n">
        <v>1912</v>
      </c>
      <c r="B1927" s="166" t="n"/>
      <c r="C1927" s="166" t="n"/>
      <c r="D1927" s="166" t="n"/>
      <c r="E1927" s="162" t="n"/>
      <c r="F1927" s="166" t="n"/>
      <c r="G1927" s="162" t="n"/>
      <c r="H1927" s="162" t="n"/>
      <c r="I1927" s="189">
        <f>E1927*G1927</f>
        <v/>
      </c>
      <c r="J1927" s="195" t="n"/>
      <c r="K1927" s="162" t="n"/>
      <c r="L1927" s="168" t="n"/>
      <c r="M1927" s="75">
        <f>_xlfn.XLOOKUP(L1927,list_vat[Страна],list_vat[Ставка НДС %],0,0)</f>
        <v/>
      </c>
      <c r="N1927" s="162">
        <f>IFERROR(IF(L1927="Китай",K1927,K1927/(1+M1927)),0)</f>
        <v/>
      </c>
      <c r="O1927" s="169" t="n"/>
      <c r="P1927" s="76">
        <f>N1927*(1-O1927)</f>
        <v/>
      </c>
      <c r="Q1927" s="162" t="n"/>
      <c r="R1927" s="162">
        <f>IF(ISBLANK(Q1927),"введи курс",P1927/Q1927)</f>
        <v/>
      </c>
      <c r="S1927" s="196">
        <f>IF(AND(ISNUMBER(E1927),ISNUMBER(Q1927)),E1927*R1927,0)</f>
        <v/>
      </c>
      <c r="T1927" s="192">
        <f>$BC1927*V$11</f>
        <v/>
      </c>
      <c r="U1927" s="76">
        <f>$BC1927*W$11</f>
        <v/>
      </c>
      <c r="V1927" s="193">
        <f>+SUM(T1927:U1927)</f>
        <v/>
      </c>
      <c r="W1927" s="191" t="n"/>
      <c r="X1927" s="170" t="n"/>
      <c r="Y1927" s="76">
        <f>ROUND(IF(offer_incoterms="DDP",X1927*(S1927*(1+AW1927)+T1927),0),2)</f>
        <v/>
      </c>
      <c r="Z1927" s="188" t="n"/>
      <c r="AA1927" s="192">
        <f>IFERROR(AB1927/E1927,0)</f>
        <v/>
      </c>
      <c r="AB1927" s="76">
        <f>ROUND(SUM(S1927,V1927,Y1927:Z1927,BA1927:BB1927),2)</f>
        <v/>
      </c>
      <c r="AC1927" s="797" t="n"/>
      <c r="AD1927" s="192">
        <f t="array" ref="AD1927">IFERROR(ROUND((_xlfn.IFS(offer_sale_type="поставка",AB1927,offer_sale_type="транзит",S1927)*(1+AC1927))/E1927,2),0)</f>
        <v/>
      </c>
      <c r="AE1927" s="76">
        <f>AD1927*E1927</f>
        <v/>
      </c>
      <c r="AF1927" s="193">
        <f t="array" ref="AF1927">IFERROR(ROUND(_xlfn.IFS(offer_sale_type="поставка",AB1927,offer_sale_type="транзит",S1927)*AC1927,2),0)</f>
        <v/>
      </c>
      <c r="AG1927" s="192">
        <f>$BD1927*VLOOKUP($AG$3,$AF$4:$AG$7,2,FALSE)</f>
        <v/>
      </c>
      <c r="AH1927" s="76">
        <f>SUM(AE1927,AG1927,AI1927)*rate_forex_risk</f>
        <v/>
      </c>
      <c r="AI1927" s="193">
        <f>IF(OR(seller_region="TR",offer_sale_type="экспорт"),0,rate_fin_comm)*SUM(AZ1927,AZ1927*AW1927,T1927)</f>
        <v/>
      </c>
      <c r="AJ1927" s="118">
        <f>IFERROR(ROUND(SUM(AB1927,AF1927:AI1927)/E1927,2),0)</f>
        <v/>
      </c>
      <c r="AK1927" s="76">
        <f>AJ1927*E1927</f>
        <v/>
      </c>
      <c r="AL1927" s="174">
        <f>ROUND(IFERROR(AM1927*E1927,0),2)</f>
        <v/>
      </c>
      <c r="AM1927" s="175">
        <f>ROUND(AJ1927*(1+IF(offer_incoterms="DDP",IF((TODAY()+offer_turnaround_time)&gt;=helpsheet!$L$17,rate_vatRU_from_26,rate_vatRu_till_25),0)),2)</f>
        <v/>
      </c>
      <c r="AN1927" s="192">
        <f>AL1927-AK1927</f>
        <v/>
      </c>
      <c r="AO1927" s="76">
        <f>SUM(AY1927,Y1927:Z1927,T1927)*IF(AND(offer_incoterms="DDP",offer_sale_type&lt;&gt;"экспорт"),IF((TODAY()+offer_turnaround_time)&gt;=helpsheet!$L$17,rate_vatRU_from_26,rate_vatRu_till_25),0)</f>
        <v/>
      </c>
      <c r="AP1927" s="193">
        <f>AN1927-AO1927</f>
        <v/>
      </c>
      <c r="AQ1927" s="118">
        <f>IF(offer_sale_type="транзит",SUM(AF1927:AI1927,BA1927,BB1927),0)</f>
        <v/>
      </c>
      <c r="AR1927" s="82">
        <f>HYPERLINK("https://www.alta.ru/tnved/code/")&amp;W1927&amp;"/"</f>
        <v/>
      </c>
      <c r="AS1927" s="157" t="n"/>
      <c r="AT1927" s="162" t="n"/>
      <c r="AU1927" s="76">
        <f>IF(ISBLANK(AT1927),0,AJ1927-AT1927)</f>
        <v/>
      </c>
      <c r="AV1927" s="157" t="n"/>
      <c r="AW1927" s="75">
        <f>_xlfn.IFNA(VLOOKUP(L1927,list_vat[],3,FALSE),0)</f>
        <v/>
      </c>
      <c r="AX1927" s="76">
        <f>IFERROR(ROUND(S1927*(1+AW1927)/E1927,2),0)</f>
        <v/>
      </c>
      <c r="AY1927" s="76">
        <f>E1927*AX1927</f>
        <v/>
      </c>
      <c r="AZ1927" s="192">
        <f>S1927*(1+M1927)</f>
        <v/>
      </c>
      <c r="BA1927" s="76">
        <f>cost_fin_total*$BD1927</f>
        <v/>
      </c>
      <c r="BB1927" s="193">
        <f>credit_sales_interest*BD1927</f>
        <v/>
      </c>
      <c r="BC1927" s="102">
        <f>IFERROR(IF($I$13&gt;0,$I1927/$I$13,$S1927/$S$13),0)</f>
        <v/>
      </c>
      <c r="BD1927" s="102">
        <f>IFERROR($S1927/$S$13,0)</f>
        <v/>
      </c>
      <c r="BE1927" s="413" t="inlineStr">
        <is>
          <t>$</t>
        </is>
      </c>
    </row>
    <row r="1928" ht="12" customFormat="1" customHeight="1" s="65">
      <c r="A1928" s="43" t="n">
        <v>1913</v>
      </c>
      <c r="B1928" s="166" t="n"/>
      <c r="C1928" s="166" t="n"/>
      <c r="D1928" s="166" t="n"/>
      <c r="E1928" s="162" t="n"/>
      <c r="F1928" s="166" t="n"/>
      <c r="G1928" s="162" t="n"/>
      <c r="H1928" s="162" t="n"/>
      <c r="I1928" s="189">
        <f>E1928*G1928</f>
        <v/>
      </c>
      <c r="J1928" s="195" t="n"/>
      <c r="K1928" s="162" t="n"/>
      <c r="L1928" s="168" t="n"/>
      <c r="M1928" s="75">
        <f>_xlfn.XLOOKUP(L1928,list_vat[Страна],list_vat[Ставка НДС %],0,0)</f>
        <v/>
      </c>
      <c r="N1928" s="162">
        <f>IFERROR(IF(L1928="Китай",K1928,K1928/(1+M1928)),0)</f>
        <v/>
      </c>
      <c r="O1928" s="169" t="n"/>
      <c r="P1928" s="76">
        <f>N1928*(1-O1928)</f>
        <v/>
      </c>
      <c r="Q1928" s="162" t="n"/>
      <c r="R1928" s="162">
        <f>IF(ISBLANK(Q1928),"введи курс",P1928/Q1928)</f>
        <v/>
      </c>
      <c r="S1928" s="196">
        <f>IF(AND(ISNUMBER(E1928),ISNUMBER(Q1928)),E1928*R1928,0)</f>
        <v/>
      </c>
      <c r="T1928" s="192">
        <f>$BC1928*V$11</f>
        <v/>
      </c>
      <c r="U1928" s="76">
        <f>$BC1928*W$11</f>
        <v/>
      </c>
      <c r="V1928" s="193">
        <f>+SUM(T1928:U1928)</f>
        <v/>
      </c>
      <c r="W1928" s="191" t="n"/>
      <c r="X1928" s="170" t="n"/>
      <c r="Y1928" s="76">
        <f>ROUND(IF(offer_incoterms="DDP",X1928*(S1928*(1+AW1928)+T1928),0),2)</f>
        <v/>
      </c>
      <c r="Z1928" s="188" t="n"/>
      <c r="AA1928" s="192">
        <f>IFERROR(AB1928/E1928,0)</f>
        <v/>
      </c>
      <c r="AB1928" s="76">
        <f>ROUND(SUM(S1928,V1928,Y1928:Z1928,BA1928:BB1928),2)</f>
        <v/>
      </c>
      <c r="AC1928" s="797" t="n"/>
      <c r="AD1928" s="192">
        <f t="array" ref="AD1928">IFERROR(ROUND((_xlfn.IFS(offer_sale_type="поставка",AB1928,offer_sale_type="транзит",S1928)*(1+AC1928))/E1928,2),0)</f>
        <v/>
      </c>
      <c r="AE1928" s="76">
        <f>AD1928*E1928</f>
        <v/>
      </c>
      <c r="AF1928" s="193">
        <f t="array" ref="AF1928">IFERROR(ROUND(_xlfn.IFS(offer_sale_type="поставка",AB1928,offer_sale_type="транзит",S1928)*AC1928,2),0)</f>
        <v/>
      </c>
      <c r="AG1928" s="192">
        <f>$BD1928*VLOOKUP($AG$3,$AF$4:$AG$7,2,FALSE)</f>
        <v/>
      </c>
      <c r="AH1928" s="76">
        <f>SUM(AE1928,AG1928,AI1928)*rate_forex_risk</f>
        <v/>
      </c>
      <c r="AI1928" s="193">
        <f>IF(OR(seller_region="TR",offer_sale_type="экспорт"),0,rate_fin_comm)*SUM(AZ1928,AZ1928*AW1928,T1928)</f>
        <v/>
      </c>
      <c r="AJ1928" s="118">
        <f>IFERROR(ROUND(SUM(AB1928,AF1928:AI1928)/E1928,2),0)</f>
        <v/>
      </c>
      <c r="AK1928" s="76">
        <f>AJ1928*E1928</f>
        <v/>
      </c>
      <c r="AL1928" s="174">
        <f>ROUND(IFERROR(AM1928*E1928,0),2)</f>
        <v/>
      </c>
      <c r="AM1928" s="175">
        <f>ROUND(AJ1928*(1+IF(offer_incoterms="DDP",IF((TODAY()+offer_turnaround_time)&gt;=helpsheet!$L$17,rate_vatRU_from_26,rate_vatRu_till_25),0)),2)</f>
        <v/>
      </c>
      <c r="AN1928" s="192">
        <f>AL1928-AK1928</f>
        <v/>
      </c>
      <c r="AO1928" s="76">
        <f>SUM(AY1928,Y1928:Z1928,T1928)*IF(AND(offer_incoterms="DDP",offer_sale_type&lt;&gt;"экспорт"),IF((TODAY()+offer_turnaround_time)&gt;=helpsheet!$L$17,rate_vatRU_from_26,rate_vatRu_till_25),0)</f>
        <v/>
      </c>
      <c r="AP1928" s="193">
        <f>AN1928-AO1928</f>
        <v/>
      </c>
      <c r="AQ1928" s="118">
        <f>IF(offer_sale_type="транзит",SUM(AF1928:AI1928,BA1928,BB1928),0)</f>
        <v/>
      </c>
      <c r="AR1928" s="82">
        <f>HYPERLINK("https://www.alta.ru/tnved/code/")&amp;W1928&amp;"/"</f>
        <v/>
      </c>
      <c r="AS1928" s="157" t="n"/>
      <c r="AT1928" s="162" t="n"/>
      <c r="AU1928" s="76">
        <f>IF(ISBLANK(AT1928),0,AJ1928-AT1928)</f>
        <v/>
      </c>
      <c r="AV1928" s="157" t="n"/>
      <c r="AW1928" s="75">
        <f>_xlfn.IFNA(VLOOKUP(L1928,list_vat[],3,FALSE),0)</f>
        <v/>
      </c>
      <c r="AX1928" s="76">
        <f>IFERROR(ROUND(S1928*(1+AW1928)/E1928,2),0)</f>
        <v/>
      </c>
      <c r="AY1928" s="76">
        <f>E1928*AX1928</f>
        <v/>
      </c>
      <c r="AZ1928" s="192">
        <f>S1928*(1+M1928)</f>
        <v/>
      </c>
      <c r="BA1928" s="76">
        <f>cost_fin_total*$BD1928</f>
        <v/>
      </c>
      <c r="BB1928" s="193">
        <f>credit_sales_interest*BD1928</f>
        <v/>
      </c>
      <c r="BC1928" s="102">
        <f>IFERROR(IF($I$13&gt;0,$I1928/$I$13,$S1928/$S$13),0)</f>
        <v/>
      </c>
      <c r="BD1928" s="102">
        <f>IFERROR($S1928/$S$13,0)</f>
        <v/>
      </c>
      <c r="BE1928" s="413" t="inlineStr">
        <is>
          <t>$</t>
        </is>
      </c>
    </row>
    <row r="1929" ht="12" customFormat="1" customHeight="1" s="65">
      <c r="A1929" s="43" t="n">
        <v>1914</v>
      </c>
      <c r="B1929" s="166" t="n"/>
      <c r="C1929" s="166" t="n"/>
      <c r="D1929" s="166" t="n"/>
      <c r="E1929" s="162" t="n"/>
      <c r="F1929" s="166" t="n"/>
      <c r="G1929" s="162" t="n"/>
      <c r="H1929" s="162" t="n"/>
      <c r="I1929" s="189">
        <f>E1929*G1929</f>
        <v/>
      </c>
      <c r="J1929" s="195" t="n"/>
      <c r="K1929" s="162" t="n"/>
      <c r="L1929" s="168" t="n"/>
      <c r="M1929" s="75">
        <f>_xlfn.XLOOKUP(L1929,list_vat[Страна],list_vat[Ставка НДС %],0,0)</f>
        <v/>
      </c>
      <c r="N1929" s="162">
        <f>IFERROR(IF(L1929="Китай",K1929,K1929/(1+M1929)),0)</f>
        <v/>
      </c>
      <c r="O1929" s="169" t="n"/>
      <c r="P1929" s="76">
        <f>N1929*(1-O1929)</f>
        <v/>
      </c>
      <c r="Q1929" s="162" t="n"/>
      <c r="R1929" s="162">
        <f>IF(ISBLANK(Q1929),"введи курс",P1929/Q1929)</f>
        <v/>
      </c>
      <c r="S1929" s="196">
        <f>IF(AND(ISNUMBER(E1929),ISNUMBER(Q1929)),E1929*R1929,0)</f>
        <v/>
      </c>
      <c r="T1929" s="192">
        <f>$BC1929*V$11</f>
        <v/>
      </c>
      <c r="U1929" s="76">
        <f>$BC1929*W$11</f>
        <v/>
      </c>
      <c r="V1929" s="193">
        <f>+SUM(T1929:U1929)</f>
        <v/>
      </c>
      <c r="W1929" s="191" t="n"/>
      <c r="X1929" s="170" t="n"/>
      <c r="Y1929" s="76">
        <f>ROUND(IF(offer_incoterms="DDP",X1929*(S1929*(1+AW1929)+T1929),0),2)</f>
        <v/>
      </c>
      <c r="Z1929" s="188" t="n"/>
      <c r="AA1929" s="192">
        <f>IFERROR(AB1929/E1929,0)</f>
        <v/>
      </c>
      <c r="AB1929" s="76">
        <f>ROUND(SUM(S1929,V1929,Y1929:Z1929,BA1929:BB1929),2)</f>
        <v/>
      </c>
      <c r="AC1929" s="797" t="n"/>
      <c r="AD1929" s="192">
        <f t="array" ref="AD1929">IFERROR(ROUND((_xlfn.IFS(offer_sale_type="поставка",AB1929,offer_sale_type="транзит",S1929)*(1+AC1929))/E1929,2),0)</f>
        <v/>
      </c>
      <c r="AE1929" s="76">
        <f>AD1929*E1929</f>
        <v/>
      </c>
      <c r="AF1929" s="193">
        <f t="array" ref="AF1929">IFERROR(ROUND(_xlfn.IFS(offer_sale_type="поставка",AB1929,offer_sale_type="транзит",S1929)*AC1929,2),0)</f>
        <v/>
      </c>
      <c r="AG1929" s="192">
        <f>$BD1929*VLOOKUP($AG$3,$AF$4:$AG$7,2,FALSE)</f>
        <v/>
      </c>
      <c r="AH1929" s="76">
        <f>SUM(AE1929,AG1929,AI1929)*rate_forex_risk</f>
        <v/>
      </c>
      <c r="AI1929" s="193">
        <f>IF(OR(seller_region="TR",offer_sale_type="экспорт"),0,rate_fin_comm)*SUM(AZ1929,AZ1929*AW1929,T1929)</f>
        <v/>
      </c>
      <c r="AJ1929" s="118">
        <f>IFERROR(ROUND(SUM(AB1929,AF1929:AI1929)/E1929,2),0)</f>
        <v/>
      </c>
      <c r="AK1929" s="76">
        <f>AJ1929*E1929</f>
        <v/>
      </c>
      <c r="AL1929" s="174">
        <f>ROUND(IFERROR(AM1929*E1929,0),2)</f>
        <v/>
      </c>
      <c r="AM1929" s="175">
        <f>ROUND(AJ1929*(1+IF(offer_incoterms="DDP",IF((TODAY()+offer_turnaround_time)&gt;=helpsheet!$L$17,rate_vatRU_from_26,rate_vatRu_till_25),0)),2)</f>
        <v/>
      </c>
      <c r="AN1929" s="192">
        <f>AL1929-AK1929</f>
        <v/>
      </c>
      <c r="AO1929" s="76">
        <f>SUM(AY1929,Y1929:Z1929,T1929)*IF(AND(offer_incoterms="DDP",offer_sale_type&lt;&gt;"экспорт"),IF((TODAY()+offer_turnaround_time)&gt;=helpsheet!$L$17,rate_vatRU_from_26,rate_vatRu_till_25),0)</f>
        <v/>
      </c>
      <c r="AP1929" s="193">
        <f>AN1929-AO1929</f>
        <v/>
      </c>
      <c r="AQ1929" s="118">
        <f>IF(offer_sale_type="транзит",SUM(AF1929:AI1929,BA1929,BB1929),0)</f>
        <v/>
      </c>
      <c r="AR1929" s="82">
        <f>HYPERLINK("https://www.alta.ru/tnved/code/")&amp;W1929&amp;"/"</f>
        <v/>
      </c>
      <c r="AS1929" s="157" t="n"/>
      <c r="AT1929" s="162" t="n"/>
      <c r="AU1929" s="76">
        <f>IF(ISBLANK(AT1929),0,AJ1929-AT1929)</f>
        <v/>
      </c>
      <c r="AV1929" s="157" t="n"/>
      <c r="AW1929" s="75">
        <f>_xlfn.IFNA(VLOOKUP(L1929,list_vat[],3,FALSE),0)</f>
        <v/>
      </c>
      <c r="AX1929" s="76">
        <f>IFERROR(ROUND(S1929*(1+AW1929)/E1929,2),0)</f>
        <v/>
      </c>
      <c r="AY1929" s="76">
        <f>E1929*AX1929</f>
        <v/>
      </c>
      <c r="AZ1929" s="192">
        <f>S1929*(1+M1929)</f>
        <v/>
      </c>
      <c r="BA1929" s="76">
        <f>cost_fin_total*$BD1929</f>
        <v/>
      </c>
      <c r="BB1929" s="193">
        <f>credit_sales_interest*BD1929</f>
        <v/>
      </c>
      <c r="BC1929" s="102">
        <f>IFERROR(IF($I$13&gt;0,$I1929/$I$13,$S1929/$S$13),0)</f>
        <v/>
      </c>
      <c r="BD1929" s="102">
        <f>IFERROR($S1929/$S$13,0)</f>
        <v/>
      </c>
      <c r="BE1929" s="413" t="inlineStr">
        <is>
          <t>$</t>
        </is>
      </c>
    </row>
    <row r="1930" ht="12" customFormat="1" customHeight="1" s="65">
      <c r="A1930" s="43" t="n">
        <v>1915</v>
      </c>
      <c r="B1930" s="166" t="n"/>
      <c r="C1930" s="166" t="n"/>
      <c r="D1930" s="166" t="n"/>
      <c r="E1930" s="162" t="n"/>
      <c r="F1930" s="166" t="n"/>
      <c r="G1930" s="162" t="n"/>
      <c r="H1930" s="162" t="n"/>
      <c r="I1930" s="189">
        <f>E1930*G1930</f>
        <v/>
      </c>
      <c r="J1930" s="195" t="n"/>
      <c r="K1930" s="162" t="n"/>
      <c r="L1930" s="168" t="n"/>
      <c r="M1930" s="75">
        <f>_xlfn.XLOOKUP(L1930,list_vat[Страна],list_vat[Ставка НДС %],0,0)</f>
        <v/>
      </c>
      <c r="N1930" s="162">
        <f>IFERROR(IF(L1930="Китай",K1930,K1930/(1+M1930)),0)</f>
        <v/>
      </c>
      <c r="O1930" s="169" t="n"/>
      <c r="P1930" s="76">
        <f>N1930*(1-O1930)</f>
        <v/>
      </c>
      <c r="Q1930" s="162" t="n"/>
      <c r="R1930" s="162">
        <f>IF(ISBLANK(Q1930),"введи курс",P1930/Q1930)</f>
        <v/>
      </c>
      <c r="S1930" s="196">
        <f>IF(AND(ISNUMBER(E1930),ISNUMBER(Q1930)),E1930*R1930,0)</f>
        <v/>
      </c>
      <c r="T1930" s="192">
        <f>$BC1930*V$11</f>
        <v/>
      </c>
      <c r="U1930" s="76">
        <f>$BC1930*W$11</f>
        <v/>
      </c>
      <c r="V1930" s="193">
        <f>+SUM(T1930:U1930)</f>
        <v/>
      </c>
      <c r="W1930" s="191" t="n"/>
      <c r="X1930" s="170" t="n"/>
      <c r="Y1930" s="76">
        <f>ROUND(IF(offer_incoterms="DDP",X1930*(S1930*(1+AW1930)+T1930),0),2)</f>
        <v/>
      </c>
      <c r="Z1930" s="188" t="n"/>
      <c r="AA1930" s="192">
        <f>IFERROR(AB1930/E1930,0)</f>
        <v/>
      </c>
      <c r="AB1930" s="76">
        <f>ROUND(SUM(S1930,V1930,Y1930:Z1930,BA1930:BB1930),2)</f>
        <v/>
      </c>
      <c r="AC1930" s="797" t="n"/>
      <c r="AD1930" s="192">
        <f t="array" ref="AD1930">IFERROR(ROUND((_xlfn.IFS(offer_sale_type="поставка",AB1930,offer_sale_type="транзит",S1930)*(1+AC1930))/E1930,2),0)</f>
        <v/>
      </c>
      <c r="AE1930" s="76">
        <f>AD1930*E1930</f>
        <v/>
      </c>
      <c r="AF1930" s="193">
        <f t="array" ref="AF1930">IFERROR(ROUND(_xlfn.IFS(offer_sale_type="поставка",AB1930,offer_sale_type="транзит",S1930)*AC1930,2),0)</f>
        <v/>
      </c>
      <c r="AG1930" s="192">
        <f>$BD1930*VLOOKUP($AG$3,$AF$4:$AG$7,2,FALSE)</f>
        <v/>
      </c>
      <c r="AH1930" s="76">
        <f>SUM(AE1930,AG1930,AI1930)*rate_forex_risk</f>
        <v/>
      </c>
      <c r="AI1930" s="193">
        <f>IF(OR(seller_region="TR",offer_sale_type="экспорт"),0,rate_fin_comm)*SUM(AZ1930,AZ1930*AW1930,T1930)</f>
        <v/>
      </c>
      <c r="AJ1930" s="118">
        <f>IFERROR(ROUND(SUM(AB1930,AF1930:AI1930)/E1930,2),0)</f>
        <v/>
      </c>
      <c r="AK1930" s="76">
        <f>AJ1930*E1930</f>
        <v/>
      </c>
      <c r="AL1930" s="174">
        <f>ROUND(IFERROR(AM1930*E1930,0),2)</f>
        <v/>
      </c>
      <c r="AM1930" s="175">
        <f>ROUND(AJ1930*(1+IF(offer_incoterms="DDP",IF((TODAY()+offer_turnaround_time)&gt;=helpsheet!$L$17,rate_vatRU_from_26,rate_vatRu_till_25),0)),2)</f>
        <v/>
      </c>
      <c r="AN1930" s="192">
        <f>AL1930-AK1930</f>
        <v/>
      </c>
      <c r="AO1930" s="76">
        <f>SUM(AY1930,Y1930:Z1930,T1930)*IF(AND(offer_incoterms="DDP",offer_sale_type&lt;&gt;"экспорт"),IF((TODAY()+offer_turnaround_time)&gt;=helpsheet!$L$17,rate_vatRU_from_26,rate_vatRu_till_25),0)</f>
        <v/>
      </c>
      <c r="AP1930" s="193">
        <f>AN1930-AO1930</f>
        <v/>
      </c>
      <c r="AQ1930" s="118">
        <f>IF(offer_sale_type="транзит",SUM(AF1930:AI1930,BA1930,BB1930),0)</f>
        <v/>
      </c>
      <c r="AR1930" s="82">
        <f>HYPERLINK("https://www.alta.ru/tnved/code/")&amp;W1930&amp;"/"</f>
        <v/>
      </c>
      <c r="AS1930" s="157" t="n"/>
      <c r="AT1930" s="162" t="n"/>
      <c r="AU1930" s="76">
        <f>IF(ISBLANK(AT1930),0,AJ1930-AT1930)</f>
        <v/>
      </c>
      <c r="AV1930" s="157" t="n"/>
      <c r="AW1930" s="75">
        <f>_xlfn.IFNA(VLOOKUP(L1930,list_vat[],3,FALSE),0)</f>
        <v/>
      </c>
      <c r="AX1930" s="76">
        <f>IFERROR(ROUND(S1930*(1+AW1930)/E1930,2),0)</f>
        <v/>
      </c>
      <c r="AY1930" s="76">
        <f>E1930*AX1930</f>
        <v/>
      </c>
      <c r="AZ1930" s="192">
        <f>S1930*(1+M1930)</f>
        <v/>
      </c>
      <c r="BA1930" s="76">
        <f>cost_fin_total*$BD1930</f>
        <v/>
      </c>
      <c r="BB1930" s="193">
        <f>credit_sales_interest*BD1930</f>
        <v/>
      </c>
      <c r="BC1930" s="102">
        <f>IFERROR(IF($I$13&gt;0,$I1930/$I$13,$S1930/$S$13),0)</f>
        <v/>
      </c>
      <c r="BD1930" s="102">
        <f>IFERROR($S1930/$S$13,0)</f>
        <v/>
      </c>
      <c r="BE1930" s="413" t="inlineStr">
        <is>
          <t>$</t>
        </is>
      </c>
    </row>
    <row r="1931" ht="12" customFormat="1" customHeight="1" s="65">
      <c r="A1931" s="43" t="n">
        <v>1916</v>
      </c>
      <c r="B1931" s="166" t="n"/>
      <c r="C1931" s="166" t="n"/>
      <c r="D1931" s="166" t="n"/>
      <c r="E1931" s="162" t="n"/>
      <c r="F1931" s="166" t="n"/>
      <c r="G1931" s="162" t="n"/>
      <c r="H1931" s="162" t="n"/>
      <c r="I1931" s="189">
        <f>E1931*G1931</f>
        <v/>
      </c>
      <c r="J1931" s="195" t="n"/>
      <c r="K1931" s="162" t="n"/>
      <c r="L1931" s="168" t="n"/>
      <c r="M1931" s="75">
        <f>_xlfn.XLOOKUP(L1931,list_vat[Страна],list_vat[Ставка НДС %],0,0)</f>
        <v/>
      </c>
      <c r="N1931" s="162">
        <f>IFERROR(IF(L1931="Китай",K1931,K1931/(1+M1931)),0)</f>
        <v/>
      </c>
      <c r="O1931" s="169" t="n"/>
      <c r="P1931" s="76">
        <f>N1931*(1-O1931)</f>
        <v/>
      </c>
      <c r="Q1931" s="162" t="n"/>
      <c r="R1931" s="162">
        <f>IF(ISBLANK(Q1931),"введи курс",P1931/Q1931)</f>
        <v/>
      </c>
      <c r="S1931" s="196">
        <f>IF(AND(ISNUMBER(E1931),ISNUMBER(Q1931)),E1931*R1931,0)</f>
        <v/>
      </c>
      <c r="T1931" s="192">
        <f>$BC1931*V$11</f>
        <v/>
      </c>
      <c r="U1931" s="76">
        <f>$BC1931*W$11</f>
        <v/>
      </c>
      <c r="V1931" s="193">
        <f>+SUM(T1931:U1931)</f>
        <v/>
      </c>
      <c r="W1931" s="191" t="n"/>
      <c r="X1931" s="170" t="n"/>
      <c r="Y1931" s="76">
        <f>ROUND(IF(offer_incoterms="DDP",X1931*(S1931*(1+AW1931)+T1931),0),2)</f>
        <v/>
      </c>
      <c r="Z1931" s="188" t="n"/>
      <c r="AA1931" s="192">
        <f>IFERROR(AB1931/E1931,0)</f>
        <v/>
      </c>
      <c r="AB1931" s="76">
        <f>ROUND(SUM(S1931,V1931,Y1931:Z1931,BA1931:BB1931),2)</f>
        <v/>
      </c>
      <c r="AC1931" s="797" t="n"/>
      <c r="AD1931" s="192">
        <f t="array" ref="AD1931">IFERROR(ROUND((_xlfn.IFS(offer_sale_type="поставка",AB1931,offer_sale_type="транзит",S1931)*(1+AC1931))/E1931,2),0)</f>
        <v/>
      </c>
      <c r="AE1931" s="76">
        <f>AD1931*E1931</f>
        <v/>
      </c>
      <c r="AF1931" s="193">
        <f t="array" ref="AF1931">IFERROR(ROUND(_xlfn.IFS(offer_sale_type="поставка",AB1931,offer_sale_type="транзит",S1931)*AC1931,2),0)</f>
        <v/>
      </c>
      <c r="AG1931" s="192">
        <f>$BD1931*VLOOKUP($AG$3,$AF$4:$AG$7,2,FALSE)</f>
        <v/>
      </c>
      <c r="AH1931" s="76">
        <f>SUM(AE1931,AG1931,AI1931)*rate_forex_risk</f>
        <v/>
      </c>
      <c r="AI1931" s="193">
        <f>IF(OR(seller_region="TR",offer_sale_type="экспорт"),0,rate_fin_comm)*SUM(AZ1931,AZ1931*AW1931,T1931)</f>
        <v/>
      </c>
      <c r="AJ1931" s="118">
        <f>IFERROR(ROUND(SUM(AB1931,AF1931:AI1931)/E1931,2),0)</f>
        <v/>
      </c>
      <c r="AK1931" s="76">
        <f>AJ1931*E1931</f>
        <v/>
      </c>
      <c r="AL1931" s="174">
        <f>ROUND(IFERROR(AM1931*E1931,0),2)</f>
        <v/>
      </c>
      <c r="AM1931" s="175">
        <f>ROUND(AJ1931*(1+IF(offer_incoterms="DDP",IF((TODAY()+offer_turnaround_time)&gt;=helpsheet!$L$17,rate_vatRU_from_26,rate_vatRu_till_25),0)),2)</f>
        <v/>
      </c>
      <c r="AN1931" s="192">
        <f>AL1931-AK1931</f>
        <v/>
      </c>
      <c r="AO1931" s="76">
        <f>SUM(AY1931,Y1931:Z1931,T1931)*IF(AND(offer_incoterms="DDP",offer_sale_type&lt;&gt;"экспорт"),IF((TODAY()+offer_turnaround_time)&gt;=helpsheet!$L$17,rate_vatRU_from_26,rate_vatRu_till_25),0)</f>
        <v/>
      </c>
      <c r="AP1931" s="193">
        <f>AN1931-AO1931</f>
        <v/>
      </c>
      <c r="AQ1931" s="118">
        <f>IF(offer_sale_type="транзит",SUM(AF1931:AI1931,BA1931,BB1931),0)</f>
        <v/>
      </c>
      <c r="AR1931" s="82">
        <f>HYPERLINK("https://www.alta.ru/tnved/code/")&amp;W1931&amp;"/"</f>
        <v/>
      </c>
      <c r="AS1931" s="157" t="n"/>
      <c r="AT1931" s="162" t="n"/>
      <c r="AU1931" s="76">
        <f>IF(ISBLANK(AT1931),0,AJ1931-AT1931)</f>
        <v/>
      </c>
      <c r="AV1931" s="157" t="n"/>
      <c r="AW1931" s="75">
        <f>_xlfn.IFNA(VLOOKUP(L1931,list_vat[],3,FALSE),0)</f>
        <v/>
      </c>
      <c r="AX1931" s="76">
        <f>IFERROR(ROUND(S1931*(1+AW1931)/E1931,2),0)</f>
        <v/>
      </c>
      <c r="AY1931" s="76">
        <f>E1931*AX1931</f>
        <v/>
      </c>
      <c r="AZ1931" s="192">
        <f>S1931*(1+M1931)</f>
        <v/>
      </c>
      <c r="BA1931" s="76">
        <f>cost_fin_total*$BD1931</f>
        <v/>
      </c>
      <c r="BB1931" s="193">
        <f>credit_sales_interest*BD1931</f>
        <v/>
      </c>
      <c r="BC1931" s="102">
        <f>IFERROR(IF($I$13&gt;0,$I1931/$I$13,$S1931/$S$13),0)</f>
        <v/>
      </c>
      <c r="BD1931" s="102">
        <f>IFERROR($S1931/$S$13,0)</f>
        <v/>
      </c>
      <c r="BE1931" s="413" t="inlineStr">
        <is>
          <t>$</t>
        </is>
      </c>
    </row>
    <row r="1932" ht="12" customFormat="1" customHeight="1" s="65">
      <c r="A1932" s="43" t="n">
        <v>1917</v>
      </c>
      <c r="B1932" s="166" t="n"/>
      <c r="C1932" s="166" t="n"/>
      <c r="D1932" s="166" t="n"/>
      <c r="E1932" s="162" t="n"/>
      <c r="F1932" s="166" t="n"/>
      <c r="G1932" s="162" t="n"/>
      <c r="H1932" s="162" t="n"/>
      <c r="I1932" s="189">
        <f>E1932*G1932</f>
        <v/>
      </c>
      <c r="J1932" s="195" t="n"/>
      <c r="K1932" s="162" t="n"/>
      <c r="L1932" s="168" t="n"/>
      <c r="M1932" s="75">
        <f>_xlfn.XLOOKUP(L1932,list_vat[Страна],list_vat[Ставка НДС %],0,0)</f>
        <v/>
      </c>
      <c r="N1932" s="162">
        <f>IFERROR(IF(L1932="Китай",K1932,K1932/(1+M1932)),0)</f>
        <v/>
      </c>
      <c r="O1932" s="169" t="n"/>
      <c r="P1932" s="76">
        <f>N1932*(1-O1932)</f>
        <v/>
      </c>
      <c r="Q1932" s="162" t="n"/>
      <c r="R1932" s="162">
        <f>IF(ISBLANK(Q1932),"введи курс",P1932/Q1932)</f>
        <v/>
      </c>
      <c r="S1932" s="196">
        <f>IF(AND(ISNUMBER(E1932),ISNUMBER(Q1932)),E1932*R1932,0)</f>
        <v/>
      </c>
      <c r="T1932" s="192">
        <f>$BC1932*V$11</f>
        <v/>
      </c>
      <c r="U1932" s="76">
        <f>$BC1932*W$11</f>
        <v/>
      </c>
      <c r="V1932" s="193">
        <f>+SUM(T1932:U1932)</f>
        <v/>
      </c>
      <c r="W1932" s="191" t="n"/>
      <c r="X1932" s="170" t="n"/>
      <c r="Y1932" s="76">
        <f>ROUND(IF(offer_incoterms="DDP",X1932*(S1932*(1+AW1932)+T1932),0),2)</f>
        <v/>
      </c>
      <c r="Z1932" s="188" t="n"/>
      <c r="AA1932" s="192">
        <f>IFERROR(AB1932/E1932,0)</f>
        <v/>
      </c>
      <c r="AB1932" s="76">
        <f>ROUND(SUM(S1932,V1932,Y1932:Z1932,BA1932:BB1932),2)</f>
        <v/>
      </c>
      <c r="AC1932" s="797" t="n"/>
      <c r="AD1932" s="192">
        <f t="array" ref="AD1932">IFERROR(ROUND((_xlfn.IFS(offer_sale_type="поставка",AB1932,offer_sale_type="транзит",S1932)*(1+AC1932))/E1932,2),0)</f>
        <v/>
      </c>
      <c r="AE1932" s="76">
        <f>AD1932*E1932</f>
        <v/>
      </c>
      <c r="AF1932" s="193">
        <f t="array" ref="AF1932">IFERROR(ROUND(_xlfn.IFS(offer_sale_type="поставка",AB1932,offer_sale_type="транзит",S1932)*AC1932,2),0)</f>
        <v/>
      </c>
      <c r="AG1932" s="192">
        <f>$BD1932*VLOOKUP($AG$3,$AF$4:$AG$7,2,FALSE)</f>
        <v/>
      </c>
      <c r="AH1932" s="76">
        <f>SUM(AE1932,AG1932,AI1932)*rate_forex_risk</f>
        <v/>
      </c>
      <c r="AI1932" s="193">
        <f>IF(OR(seller_region="TR",offer_sale_type="экспорт"),0,rate_fin_comm)*SUM(AZ1932,AZ1932*AW1932,T1932)</f>
        <v/>
      </c>
      <c r="AJ1932" s="118">
        <f>IFERROR(ROUND(SUM(AB1932,AF1932:AI1932)/E1932,2),0)</f>
        <v/>
      </c>
      <c r="AK1932" s="76">
        <f>AJ1932*E1932</f>
        <v/>
      </c>
      <c r="AL1932" s="174">
        <f>ROUND(IFERROR(AM1932*E1932,0),2)</f>
        <v/>
      </c>
      <c r="AM1932" s="175">
        <f>ROUND(AJ1932*(1+IF(offer_incoterms="DDP",IF((TODAY()+offer_turnaround_time)&gt;=helpsheet!$L$17,rate_vatRU_from_26,rate_vatRu_till_25),0)),2)</f>
        <v/>
      </c>
      <c r="AN1932" s="192">
        <f>AL1932-AK1932</f>
        <v/>
      </c>
      <c r="AO1932" s="76">
        <f>SUM(AY1932,Y1932:Z1932,T1932)*IF(AND(offer_incoterms="DDP",offer_sale_type&lt;&gt;"экспорт"),IF((TODAY()+offer_turnaround_time)&gt;=helpsheet!$L$17,rate_vatRU_from_26,rate_vatRu_till_25),0)</f>
        <v/>
      </c>
      <c r="AP1932" s="193">
        <f>AN1932-AO1932</f>
        <v/>
      </c>
      <c r="AQ1932" s="118">
        <f>IF(offer_sale_type="транзит",SUM(AF1932:AI1932,BA1932,BB1932),0)</f>
        <v/>
      </c>
      <c r="AR1932" s="82">
        <f>HYPERLINK("https://www.alta.ru/tnved/code/")&amp;W1932&amp;"/"</f>
        <v/>
      </c>
      <c r="AS1932" s="157" t="n"/>
      <c r="AT1932" s="162" t="n"/>
      <c r="AU1932" s="76">
        <f>IF(ISBLANK(AT1932),0,AJ1932-AT1932)</f>
        <v/>
      </c>
      <c r="AV1932" s="157" t="n"/>
      <c r="AW1932" s="75">
        <f>_xlfn.IFNA(VLOOKUP(L1932,list_vat[],3,FALSE),0)</f>
        <v/>
      </c>
      <c r="AX1932" s="76">
        <f>IFERROR(ROUND(S1932*(1+AW1932)/E1932,2),0)</f>
        <v/>
      </c>
      <c r="AY1932" s="76">
        <f>E1932*AX1932</f>
        <v/>
      </c>
      <c r="AZ1932" s="192">
        <f>S1932*(1+M1932)</f>
        <v/>
      </c>
      <c r="BA1932" s="76">
        <f>cost_fin_total*$BD1932</f>
        <v/>
      </c>
      <c r="BB1932" s="193">
        <f>credit_sales_interest*BD1932</f>
        <v/>
      </c>
      <c r="BC1932" s="102">
        <f>IFERROR(IF($I$13&gt;0,$I1932/$I$13,$S1932/$S$13),0)</f>
        <v/>
      </c>
      <c r="BD1932" s="102">
        <f>IFERROR($S1932/$S$13,0)</f>
        <v/>
      </c>
      <c r="BE1932" s="413" t="inlineStr">
        <is>
          <t>$</t>
        </is>
      </c>
    </row>
    <row r="1933" ht="12" customFormat="1" customHeight="1" s="65">
      <c r="A1933" s="43" t="n">
        <v>1918</v>
      </c>
      <c r="B1933" s="166" t="n"/>
      <c r="C1933" s="166" t="n"/>
      <c r="D1933" s="166" t="n"/>
      <c r="E1933" s="162" t="n"/>
      <c r="F1933" s="166" t="n"/>
      <c r="G1933" s="162" t="n"/>
      <c r="H1933" s="162" t="n"/>
      <c r="I1933" s="189">
        <f>E1933*G1933</f>
        <v/>
      </c>
      <c r="J1933" s="195" t="n"/>
      <c r="K1933" s="162" t="n"/>
      <c r="L1933" s="168" t="n"/>
      <c r="M1933" s="75">
        <f>_xlfn.XLOOKUP(L1933,list_vat[Страна],list_vat[Ставка НДС %],0,0)</f>
        <v/>
      </c>
      <c r="N1933" s="162">
        <f>IFERROR(IF(L1933="Китай",K1933,K1933/(1+M1933)),0)</f>
        <v/>
      </c>
      <c r="O1933" s="169" t="n"/>
      <c r="P1933" s="76">
        <f>N1933*(1-O1933)</f>
        <v/>
      </c>
      <c r="Q1933" s="162" t="n"/>
      <c r="R1933" s="162">
        <f>IF(ISBLANK(Q1933),"введи курс",P1933/Q1933)</f>
        <v/>
      </c>
      <c r="S1933" s="196">
        <f>IF(AND(ISNUMBER(E1933),ISNUMBER(Q1933)),E1933*R1933,0)</f>
        <v/>
      </c>
      <c r="T1933" s="192">
        <f>$BC1933*V$11</f>
        <v/>
      </c>
      <c r="U1933" s="76">
        <f>$BC1933*W$11</f>
        <v/>
      </c>
      <c r="V1933" s="193">
        <f>+SUM(T1933:U1933)</f>
        <v/>
      </c>
      <c r="W1933" s="191" t="n"/>
      <c r="X1933" s="170" t="n"/>
      <c r="Y1933" s="76">
        <f>ROUND(IF(offer_incoterms="DDP",X1933*(S1933*(1+AW1933)+T1933),0),2)</f>
        <v/>
      </c>
      <c r="Z1933" s="188" t="n"/>
      <c r="AA1933" s="192">
        <f>IFERROR(AB1933/E1933,0)</f>
        <v/>
      </c>
      <c r="AB1933" s="76">
        <f>ROUND(SUM(S1933,V1933,Y1933:Z1933,BA1933:BB1933),2)</f>
        <v/>
      </c>
      <c r="AC1933" s="797" t="n"/>
      <c r="AD1933" s="192">
        <f t="array" ref="AD1933">IFERROR(ROUND((_xlfn.IFS(offer_sale_type="поставка",AB1933,offer_sale_type="транзит",S1933)*(1+AC1933))/E1933,2),0)</f>
        <v/>
      </c>
      <c r="AE1933" s="76">
        <f>AD1933*E1933</f>
        <v/>
      </c>
      <c r="AF1933" s="193">
        <f t="array" ref="AF1933">IFERROR(ROUND(_xlfn.IFS(offer_sale_type="поставка",AB1933,offer_sale_type="транзит",S1933)*AC1933,2),0)</f>
        <v/>
      </c>
      <c r="AG1933" s="192">
        <f>$BD1933*VLOOKUP($AG$3,$AF$4:$AG$7,2,FALSE)</f>
        <v/>
      </c>
      <c r="AH1933" s="76">
        <f>SUM(AE1933,AG1933,AI1933)*rate_forex_risk</f>
        <v/>
      </c>
      <c r="AI1933" s="193">
        <f>IF(OR(seller_region="TR",offer_sale_type="экспорт"),0,rate_fin_comm)*SUM(AZ1933,AZ1933*AW1933,T1933)</f>
        <v/>
      </c>
      <c r="AJ1933" s="118">
        <f>IFERROR(ROUND(SUM(AB1933,AF1933:AI1933)/E1933,2),0)</f>
        <v/>
      </c>
      <c r="AK1933" s="76">
        <f>AJ1933*E1933</f>
        <v/>
      </c>
      <c r="AL1933" s="174">
        <f>ROUND(IFERROR(AM1933*E1933,0),2)</f>
        <v/>
      </c>
      <c r="AM1933" s="175">
        <f>ROUND(AJ1933*(1+IF(offer_incoterms="DDP",IF((TODAY()+offer_turnaround_time)&gt;=helpsheet!$L$17,rate_vatRU_from_26,rate_vatRu_till_25),0)),2)</f>
        <v/>
      </c>
      <c r="AN1933" s="192">
        <f>AL1933-AK1933</f>
        <v/>
      </c>
      <c r="AO1933" s="76">
        <f>SUM(AY1933,Y1933:Z1933,T1933)*IF(AND(offer_incoterms="DDP",offer_sale_type&lt;&gt;"экспорт"),IF((TODAY()+offer_turnaround_time)&gt;=helpsheet!$L$17,rate_vatRU_from_26,rate_vatRu_till_25),0)</f>
        <v/>
      </c>
      <c r="AP1933" s="193">
        <f>AN1933-AO1933</f>
        <v/>
      </c>
      <c r="AQ1933" s="118">
        <f>IF(offer_sale_type="транзит",SUM(AF1933:AI1933,BA1933,BB1933),0)</f>
        <v/>
      </c>
      <c r="AR1933" s="82">
        <f>HYPERLINK("https://www.alta.ru/tnved/code/")&amp;W1933&amp;"/"</f>
        <v/>
      </c>
      <c r="AS1933" s="157" t="n"/>
      <c r="AT1933" s="162" t="n"/>
      <c r="AU1933" s="76">
        <f>IF(ISBLANK(AT1933),0,AJ1933-AT1933)</f>
        <v/>
      </c>
      <c r="AV1933" s="157" t="n"/>
      <c r="AW1933" s="75">
        <f>_xlfn.IFNA(VLOOKUP(L1933,list_vat[],3,FALSE),0)</f>
        <v/>
      </c>
      <c r="AX1933" s="76">
        <f>IFERROR(ROUND(S1933*(1+AW1933)/E1933,2),0)</f>
        <v/>
      </c>
      <c r="AY1933" s="76">
        <f>E1933*AX1933</f>
        <v/>
      </c>
      <c r="AZ1933" s="192">
        <f>S1933*(1+M1933)</f>
        <v/>
      </c>
      <c r="BA1933" s="76">
        <f>cost_fin_total*$BD1933</f>
        <v/>
      </c>
      <c r="BB1933" s="193">
        <f>credit_sales_interest*BD1933</f>
        <v/>
      </c>
      <c r="BC1933" s="102">
        <f>IFERROR(IF($I$13&gt;0,$I1933/$I$13,$S1933/$S$13),0)</f>
        <v/>
      </c>
      <c r="BD1933" s="102">
        <f>IFERROR($S1933/$S$13,0)</f>
        <v/>
      </c>
      <c r="BE1933" s="413" t="inlineStr">
        <is>
          <t>$</t>
        </is>
      </c>
    </row>
    <row r="1934" ht="12" customFormat="1" customHeight="1" s="65">
      <c r="A1934" s="43" t="n">
        <v>1919</v>
      </c>
      <c r="B1934" s="166" t="n"/>
      <c r="C1934" s="166" t="n"/>
      <c r="D1934" s="166" t="n"/>
      <c r="E1934" s="162" t="n"/>
      <c r="F1934" s="166" t="n"/>
      <c r="G1934" s="162" t="n"/>
      <c r="H1934" s="162" t="n"/>
      <c r="I1934" s="189">
        <f>E1934*G1934</f>
        <v/>
      </c>
      <c r="J1934" s="195" t="n"/>
      <c r="K1934" s="162" t="n"/>
      <c r="L1934" s="168" t="n"/>
      <c r="M1934" s="75">
        <f>_xlfn.XLOOKUP(L1934,list_vat[Страна],list_vat[Ставка НДС %],0,0)</f>
        <v/>
      </c>
      <c r="N1934" s="162">
        <f>IFERROR(IF(L1934="Китай",K1934,K1934/(1+M1934)),0)</f>
        <v/>
      </c>
      <c r="O1934" s="169" t="n"/>
      <c r="P1934" s="76">
        <f>N1934*(1-O1934)</f>
        <v/>
      </c>
      <c r="Q1934" s="162" t="n"/>
      <c r="R1934" s="162">
        <f>IF(ISBLANK(Q1934),"введи курс",P1934/Q1934)</f>
        <v/>
      </c>
      <c r="S1934" s="196">
        <f>IF(AND(ISNUMBER(E1934),ISNUMBER(Q1934)),E1934*R1934,0)</f>
        <v/>
      </c>
      <c r="T1934" s="192">
        <f>$BC1934*V$11</f>
        <v/>
      </c>
      <c r="U1934" s="76">
        <f>$BC1934*W$11</f>
        <v/>
      </c>
      <c r="V1934" s="193">
        <f>+SUM(T1934:U1934)</f>
        <v/>
      </c>
      <c r="W1934" s="191" t="n"/>
      <c r="X1934" s="170" t="n"/>
      <c r="Y1934" s="76">
        <f>ROUND(IF(offer_incoterms="DDP",X1934*(S1934*(1+AW1934)+T1934),0),2)</f>
        <v/>
      </c>
      <c r="Z1934" s="188" t="n"/>
      <c r="AA1934" s="192">
        <f>IFERROR(AB1934/E1934,0)</f>
        <v/>
      </c>
      <c r="AB1934" s="76">
        <f>ROUND(SUM(S1934,V1934,Y1934:Z1934,BA1934:BB1934),2)</f>
        <v/>
      </c>
      <c r="AC1934" s="797" t="n"/>
      <c r="AD1934" s="192">
        <f t="array" ref="AD1934">IFERROR(ROUND((_xlfn.IFS(offer_sale_type="поставка",AB1934,offer_sale_type="транзит",S1934)*(1+AC1934))/E1934,2),0)</f>
        <v/>
      </c>
      <c r="AE1934" s="76">
        <f>AD1934*E1934</f>
        <v/>
      </c>
      <c r="AF1934" s="193">
        <f t="array" ref="AF1934">IFERROR(ROUND(_xlfn.IFS(offer_sale_type="поставка",AB1934,offer_sale_type="транзит",S1934)*AC1934,2),0)</f>
        <v/>
      </c>
      <c r="AG1934" s="192">
        <f>$BD1934*VLOOKUP($AG$3,$AF$4:$AG$7,2,FALSE)</f>
        <v/>
      </c>
      <c r="AH1934" s="76">
        <f>SUM(AE1934,AG1934,AI1934)*rate_forex_risk</f>
        <v/>
      </c>
      <c r="AI1934" s="193">
        <f>IF(OR(seller_region="TR",offer_sale_type="экспорт"),0,rate_fin_comm)*SUM(AZ1934,AZ1934*AW1934,T1934)</f>
        <v/>
      </c>
      <c r="AJ1934" s="118">
        <f>IFERROR(ROUND(SUM(AB1934,AF1934:AI1934)/E1934,2),0)</f>
        <v/>
      </c>
      <c r="AK1934" s="76">
        <f>AJ1934*E1934</f>
        <v/>
      </c>
      <c r="AL1934" s="174">
        <f>ROUND(IFERROR(AM1934*E1934,0),2)</f>
        <v/>
      </c>
      <c r="AM1934" s="175">
        <f>ROUND(AJ1934*(1+IF(offer_incoterms="DDP",IF((TODAY()+offer_turnaround_time)&gt;=helpsheet!$L$17,rate_vatRU_from_26,rate_vatRu_till_25),0)),2)</f>
        <v/>
      </c>
      <c r="AN1934" s="192">
        <f>AL1934-AK1934</f>
        <v/>
      </c>
      <c r="AO1934" s="76">
        <f>SUM(AY1934,Y1934:Z1934,T1934)*IF(AND(offer_incoterms="DDP",offer_sale_type&lt;&gt;"экспорт"),IF((TODAY()+offer_turnaround_time)&gt;=helpsheet!$L$17,rate_vatRU_from_26,rate_vatRu_till_25),0)</f>
        <v/>
      </c>
      <c r="AP1934" s="193">
        <f>AN1934-AO1934</f>
        <v/>
      </c>
      <c r="AQ1934" s="118">
        <f>IF(offer_sale_type="транзит",SUM(AF1934:AI1934,BA1934,BB1934),0)</f>
        <v/>
      </c>
      <c r="AR1934" s="82">
        <f>HYPERLINK("https://www.alta.ru/tnved/code/")&amp;W1934&amp;"/"</f>
        <v/>
      </c>
      <c r="AS1934" s="157" t="n"/>
      <c r="AT1934" s="162" t="n"/>
      <c r="AU1934" s="76">
        <f>IF(ISBLANK(AT1934),0,AJ1934-AT1934)</f>
        <v/>
      </c>
      <c r="AV1934" s="157" t="n"/>
      <c r="AW1934" s="75">
        <f>_xlfn.IFNA(VLOOKUP(L1934,list_vat[],3,FALSE),0)</f>
        <v/>
      </c>
      <c r="AX1934" s="76">
        <f>IFERROR(ROUND(S1934*(1+AW1934)/E1934,2),0)</f>
        <v/>
      </c>
      <c r="AY1934" s="76">
        <f>E1934*AX1934</f>
        <v/>
      </c>
      <c r="AZ1934" s="192">
        <f>S1934*(1+M1934)</f>
        <v/>
      </c>
      <c r="BA1934" s="76">
        <f>cost_fin_total*$BD1934</f>
        <v/>
      </c>
      <c r="BB1934" s="193">
        <f>credit_sales_interest*BD1934</f>
        <v/>
      </c>
      <c r="BC1934" s="102">
        <f>IFERROR(IF($I$13&gt;0,$I1934/$I$13,$S1934/$S$13),0)</f>
        <v/>
      </c>
      <c r="BD1934" s="102">
        <f>IFERROR($S1934/$S$13,0)</f>
        <v/>
      </c>
      <c r="BE1934" s="413" t="inlineStr">
        <is>
          <t>$</t>
        </is>
      </c>
    </row>
    <row r="1935" ht="12" customFormat="1" customHeight="1" s="65">
      <c r="A1935" s="43" t="n">
        <v>1920</v>
      </c>
      <c r="B1935" s="166" t="n"/>
      <c r="C1935" s="166" t="n"/>
      <c r="D1935" s="166" t="n"/>
      <c r="E1935" s="162" t="n"/>
      <c r="F1935" s="166" t="n"/>
      <c r="G1935" s="162" t="n"/>
      <c r="H1935" s="162" t="n"/>
      <c r="I1935" s="189">
        <f>E1935*G1935</f>
        <v/>
      </c>
      <c r="J1935" s="195" t="n"/>
      <c r="K1935" s="162" t="n"/>
      <c r="L1935" s="168" t="n"/>
      <c r="M1935" s="75">
        <f>_xlfn.XLOOKUP(L1935,list_vat[Страна],list_vat[Ставка НДС %],0,0)</f>
        <v/>
      </c>
      <c r="N1935" s="162">
        <f>IFERROR(IF(L1935="Китай",K1935,K1935/(1+M1935)),0)</f>
        <v/>
      </c>
      <c r="O1935" s="169" t="n"/>
      <c r="P1935" s="76">
        <f>N1935*(1-O1935)</f>
        <v/>
      </c>
      <c r="Q1935" s="162" t="n"/>
      <c r="R1935" s="162">
        <f>IF(ISBLANK(Q1935),"введи курс",P1935/Q1935)</f>
        <v/>
      </c>
      <c r="S1935" s="196">
        <f>IF(AND(ISNUMBER(E1935),ISNUMBER(Q1935)),E1935*R1935,0)</f>
        <v/>
      </c>
      <c r="T1935" s="192">
        <f>$BC1935*V$11</f>
        <v/>
      </c>
      <c r="U1935" s="76">
        <f>$BC1935*W$11</f>
        <v/>
      </c>
      <c r="V1935" s="193">
        <f>+SUM(T1935:U1935)</f>
        <v/>
      </c>
      <c r="W1935" s="191" t="n"/>
      <c r="X1935" s="170" t="n"/>
      <c r="Y1935" s="76">
        <f>ROUND(IF(offer_incoterms="DDP",X1935*(S1935*(1+AW1935)+T1935),0),2)</f>
        <v/>
      </c>
      <c r="Z1935" s="188" t="n"/>
      <c r="AA1935" s="192">
        <f>IFERROR(AB1935/E1935,0)</f>
        <v/>
      </c>
      <c r="AB1935" s="76">
        <f>ROUND(SUM(S1935,V1935,Y1935:Z1935,BA1935:BB1935),2)</f>
        <v/>
      </c>
      <c r="AC1935" s="797" t="n"/>
      <c r="AD1935" s="192">
        <f t="array" ref="AD1935">IFERROR(ROUND((_xlfn.IFS(offer_sale_type="поставка",AB1935,offer_sale_type="транзит",S1935)*(1+AC1935))/E1935,2),0)</f>
        <v/>
      </c>
      <c r="AE1935" s="76">
        <f>AD1935*E1935</f>
        <v/>
      </c>
      <c r="AF1935" s="193">
        <f t="array" ref="AF1935">IFERROR(ROUND(_xlfn.IFS(offer_sale_type="поставка",AB1935,offer_sale_type="транзит",S1935)*AC1935,2),0)</f>
        <v/>
      </c>
      <c r="AG1935" s="192">
        <f>$BD1935*VLOOKUP($AG$3,$AF$4:$AG$7,2,FALSE)</f>
        <v/>
      </c>
      <c r="AH1935" s="76">
        <f>SUM(AE1935,AG1935,AI1935)*rate_forex_risk</f>
        <v/>
      </c>
      <c r="AI1935" s="193">
        <f>IF(OR(seller_region="TR",offer_sale_type="экспорт"),0,rate_fin_comm)*SUM(AZ1935,AZ1935*AW1935,T1935)</f>
        <v/>
      </c>
      <c r="AJ1935" s="118">
        <f>IFERROR(ROUND(SUM(AB1935,AF1935:AI1935)/E1935,2),0)</f>
        <v/>
      </c>
      <c r="AK1935" s="76">
        <f>AJ1935*E1935</f>
        <v/>
      </c>
      <c r="AL1935" s="174">
        <f>ROUND(IFERROR(AM1935*E1935,0),2)</f>
        <v/>
      </c>
      <c r="AM1935" s="175">
        <f>ROUND(AJ1935*(1+IF(offer_incoterms="DDP",IF((TODAY()+offer_turnaround_time)&gt;=helpsheet!$L$17,rate_vatRU_from_26,rate_vatRu_till_25),0)),2)</f>
        <v/>
      </c>
      <c r="AN1935" s="192">
        <f>AL1935-AK1935</f>
        <v/>
      </c>
      <c r="AO1935" s="76">
        <f>SUM(AY1935,Y1935:Z1935,T1935)*IF(AND(offer_incoterms="DDP",offer_sale_type&lt;&gt;"экспорт"),IF((TODAY()+offer_turnaround_time)&gt;=helpsheet!$L$17,rate_vatRU_from_26,rate_vatRu_till_25),0)</f>
        <v/>
      </c>
      <c r="AP1935" s="193">
        <f>AN1935-AO1935</f>
        <v/>
      </c>
      <c r="AQ1935" s="118">
        <f>IF(offer_sale_type="транзит",SUM(AF1935:AI1935,BA1935,BB1935),0)</f>
        <v/>
      </c>
      <c r="AR1935" s="82">
        <f>HYPERLINK("https://www.alta.ru/tnved/code/")&amp;W1935&amp;"/"</f>
        <v/>
      </c>
      <c r="AS1935" s="157" t="n"/>
      <c r="AT1935" s="162" t="n"/>
      <c r="AU1935" s="76">
        <f>IF(ISBLANK(AT1935),0,AJ1935-AT1935)</f>
        <v/>
      </c>
      <c r="AV1935" s="157" t="n"/>
      <c r="AW1935" s="75">
        <f>_xlfn.IFNA(VLOOKUP(L1935,list_vat[],3,FALSE),0)</f>
        <v/>
      </c>
      <c r="AX1935" s="76">
        <f>IFERROR(ROUND(S1935*(1+AW1935)/E1935,2),0)</f>
        <v/>
      </c>
      <c r="AY1935" s="76">
        <f>E1935*AX1935</f>
        <v/>
      </c>
      <c r="AZ1935" s="192">
        <f>S1935*(1+M1935)</f>
        <v/>
      </c>
      <c r="BA1935" s="76">
        <f>cost_fin_total*$BD1935</f>
        <v/>
      </c>
      <c r="BB1935" s="193">
        <f>credit_sales_interest*BD1935</f>
        <v/>
      </c>
      <c r="BC1935" s="102">
        <f>IFERROR(IF($I$13&gt;0,$I1935/$I$13,$S1935/$S$13),0)</f>
        <v/>
      </c>
      <c r="BD1935" s="102">
        <f>IFERROR($S1935/$S$13,0)</f>
        <v/>
      </c>
      <c r="BE1935" s="413" t="inlineStr">
        <is>
          <t>$</t>
        </is>
      </c>
    </row>
    <row r="1936" ht="12" customFormat="1" customHeight="1" s="65">
      <c r="A1936" s="43" t="n">
        <v>1921</v>
      </c>
      <c r="B1936" s="166" t="n"/>
      <c r="C1936" s="166" t="n"/>
      <c r="D1936" s="166" t="n"/>
      <c r="E1936" s="162" t="n"/>
      <c r="F1936" s="166" t="n"/>
      <c r="G1936" s="162" t="n"/>
      <c r="H1936" s="162" t="n"/>
      <c r="I1936" s="189">
        <f>E1936*G1936</f>
        <v/>
      </c>
      <c r="J1936" s="195" t="n"/>
      <c r="K1936" s="162" t="n"/>
      <c r="L1936" s="168" t="n"/>
      <c r="M1936" s="75">
        <f>_xlfn.XLOOKUP(L1936,list_vat[Страна],list_vat[Ставка НДС %],0,0)</f>
        <v/>
      </c>
      <c r="N1936" s="162">
        <f>IFERROR(IF(L1936="Китай",K1936,K1936/(1+M1936)),0)</f>
        <v/>
      </c>
      <c r="O1936" s="169" t="n"/>
      <c r="P1936" s="76">
        <f>N1936*(1-O1936)</f>
        <v/>
      </c>
      <c r="Q1936" s="162" t="n"/>
      <c r="R1936" s="162">
        <f>IF(ISBLANK(Q1936),"введи курс",P1936/Q1936)</f>
        <v/>
      </c>
      <c r="S1936" s="196">
        <f>IF(AND(ISNUMBER(E1936),ISNUMBER(Q1936)),E1936*R1936,0)</f>
        <v/>
      </c>
      <c r="T1936" s="192">
        <f>$BC1936*V$11</f>
        <v/>
      </c>
      <c r="U1936" s="76">
        <f>$BC1936*W$11</f>
        <v/>
      </c>
      <c r="V1936" s="193">
        <f>+SUM(T1936:U1936)</f>
        <v/>
      </c>
      <c r="W1936" s="191" t="n"/>
      <c r="X1936" s="170" t="n"/>
      <c r="Y1936" s="76">
        <f>ROUND(IF(offer_incoterms="DDP",X1936*(S1936*(1+AW1936)+T1936),0),2)</f>
        <v/>
      </c>
      <c r="Z1936" s="188" t="n"/>
      <c r="AA1936" s="192">
        <f>IFERROR(AB1936/E1936,0)</f>
        <v/>
      </c>
      <c r="AB1936" s="76">
        <f>ROUND(SUM(S1936,V1936,Y1936:Z1936,BA1936:BB1936),2)</f>
        <v/>
      </c>
      <c r="AC1936" s="797" t="n"/>
      <c r="AD1936" s="192">
        <f t="array" ref="AD1936">IFERROR(ROUND((_xlfn.IFS(offer_sale_type="поставка",AB1936,offer_sale_type="транзит",S1936)*(1+AC1936))/E1936,2),0)</f>
        <v/>
      </c>
      <c r="AE1936" s="76">
        <f>AD1936*E1936</f>
        <v/>
      </c>
      <c r="AF1936" s="193">
        <f t="array" ref="AF1936">IFERROR(ROUND(_xlfn.IFS(offer_sale_type="поставка",AB1936,offer_sale_type="транзит",S1936)*AC1936,2),0)</f>
        <v/>
      </c>
      <c r="AG1936" s="192">
        <f>$BD1936*VLOOKUP($AG$3,$AF$4:$AG$7,2,FALSE)</f>
        <v/>
      </c>
      <c r="AH1936" s="76">
        <f>SUM(AE1936,AG1936,AI1936)*rate_forex_risk</f>
        <v/>
      </c>
      <c r="AI1936" s="193">
        <f>IF(OR(seller_region="TR",offer_sale_type="экспорт"),0,rate_fin_comm)*SUM(AZ1936,AZ1936*AW1936,T1936)</f>
        <v/>
      </c>
      <c r="AJ1936" s="118">
        <f>IFERROR(ROUND(SUM(AB1936,AF1936:AI1936)/E1936,2),0)</f>
        <v/>
      </c>
      <c r="AK1936" s="76">
        <f>AJ1936*E1936</f>
        <v/>
      </c>
      <c r="AL1936" s="174">
        <f>ROUND(IFERROR(AM1936*E1936,0),2)</f>
        <v/>
      </c>
      <c r="AM1936" s="175">
        <f>ROUND(AJ1936*(1+IF(offer_incoterms="DDP",IF((TODAY()+offer_turnaround_time)&gt;=helpsheet!$L$17,rate_vatRU_from_26,rate_vatRu_till_25),0)),2)</f>
        <v/>
      </c>
      <c r="AN1936" s="192">
        <f>AL1936-AK1936</f>
        <v/>
      </c>
      <c r="AO1936" s="76">
        <f>SUM(AY1936,Y1936:Z1936,T1936)*IF(AND(offer_incoterms="DDP",offer_sale_type&lt;&gt;"экспорт"),IF((TODAY()+offer_turnaround_time)&gt;=helpsheet!$L$17,rate_vatRU_from_26,rate_vatRu_till_25),0)</f>
        <v/>
      </c>
      <c r="AP1936" s="193">
        <f>AN1936-AO1936</f>
        <v/>
      </c>
      <c r="AQ1936" s="118">
        <f>IF(offer_sale_type="транзит",SUM(AF1936:AI1936,BA1936,BB1936),0)</f>
        <v/>
      </c>
      <c r="AR1936" s="82">
        <f>HYPERLINK("https://www.alta.ru/tnved/code/")&amp;W1936&amp;"/"</f>
        <v/>
      </c>
      <c r="AS1936" s="157" t="n"/>
      <c r="AT1936" s="162" t="n"/>
      <c r="AU1936" s="76">
        <f>IF(ISBLANK(AT1936),0,AJ1936-AT1936)</f>
        <v/>
      </c>
      <c r="AV1936" s="157" t="n"/>
      <c r="AW1936" s="75">
        <f>_xlfn.IFNA(VLOOKUP(L1936,list_vat[],3,FALSE),0)</f>
        <v/>
      </c>
      <c r="AX1936" s="76">
        <f>IFERROR(ROUND(S1936*(1+AW1936)/E1936,2),0)</f>
        <v/>
      </c>
      <c r="AY1936" s="76">
        <f>E1936*AX1936</f>
        <v/>
      </c>
      <c r="AZ1936" s="192">
        <f>S1936*(1+M1936)</f>
        <v/>
      </c>
      <c r="BA1936" s="76">
        <f>cost_fin_total*$BD1936</f>
        <v/>
      </c>
      <c r="BB1936" s="193">
        <f>credit_sales_interest*BD1936</f>
        <v/>
      </c>
      <c r="BC1936" s="102">
        <f>IFERROR(IF($I$13&gt;0,$I1936/$I$13,$S1936/$S$13),0)</f>
        <v/>
      </c>
      <c r="BD1936" s="102">
        <f>IFERROR($S1936/$S$13,0)</f>
        <v/>
      </c>
      <c r="BE1936" s="413" t="inlineStr">
        <is>
          <t>$</t>
        </is>
      </c>
    </row>
    <row r="1937" ht="12" customFormat="1" customHeight="1" s="65">
      <c r="A1937" s="43" t="n">
        <v>1922</v>
      </c>
      <c r="B1937" s="166" t="n"/>
      <c r="C1937" s="166" t="n"/>
      <c r="D1937" s="166" t="n"/>
      <c r="E1937" s="162" t="n"/>
      <c r="F1937" s="166" t="n"/>
      <c r="G1937" s="162" t="n"/>
      <c r="H1937" s="162" t="n"/>
      <c r="I1937" s="189">
        <f>E1937*G1937</f>
        <v/>
      </c>
      <c r="J1937" s="195" t="n"/>
      <c r="K1937" s="162" t="n"/>
      <c r="L1937" s="168" t="n"/>
      <c r="M1937" s="75">
        <f>_xlfn.XLOOKUP(L1937,list_vat[Страна],list_vat[Ставка НДС %],0,0)</f>
        <v/>
      </c>
      <c r="N1937" s="162">
        <f>IFERROR(IF(L1937="Китай",K1937,K1937/(1+M1937)),0)</f>
        <v/>
      </c>
      <c r="O1937" s="169" t="n"/>
      <c r="P1937" s="76">
        <f>N1937*(1-O1937)</f>
        <v/>
      </c>
      <c r="Q1937" s="162" t="n"/>
      <c r="R1937" s="162">
        <f>IF(ISBLANK(Q1937),"введи курс",P1937/Q1937)</f>
        <v/>
      </c>
      <c r="S1937" s="196">
        <f>IF(AND(ISNUMBER(E1937),ISNUMBER(Q1937)),E1937*R1937,0)</f>
        <v/>
      </c>
      <c r="T1937" s="192">
        <f>$BC1937*V$11</f>
        <v/>
      </c>
      <c r="U1937" s="76">
        <f>$BC1937*W$11</f>
        <v/>
      </c>
      <c r="V1937" s="193">
        <f>+SUM(T1937:U1937)</f>
        <v/>
      </c>
      <c r="W1937" s="191" t="n"/>
      <c r="X1937" s="170" t="n"/>
      <c r="Y1937" s="76">
        <f>ROUND(IF(offer_incoterms="DDP",X1937*(S1937*(1+AW1937)+T1937),0),2)</f>
        <v/>
      </c>
      <c r="Z1937" s="188" t="n"/>
      <c r="AA1937" s="192">
        <f>IFERROR(AB1937/E1937,0)</f>
        <v/>
      </c>
      <c r="AB1937" s="76">
        <f>ROUND(SUM(S1937,V1937,Y1937:Z1937,BA1937:BB1937),2)</f>
        <v/>
      </c>
      <c r="AC1937" s="797" t="n"/>
      <c r="AD1937" s="192">
        <f t="array" ref="AD1937">IFERROR(ROUND((_xlfn.IFS(offer_sale_type="поставка",AB1937,offer_sale_type="транзит",S1937)*(1+AC1937))/E1937,2),0)</f>
        <v/>
      </c>
      <c r="AE1937" s="76">
        <f>AD1937*E1937</f>
        <v/>
      </c>
      <c r="AF1937" s="193">
        <f t="array" ref="AF1937">IFERROR(ROUND(_xlfn.IFS(offer_sale_type="поставка",AB1937,offer_sale_type="транзит",S1937)*AC1937,2),0)</f>
        <v/>
      </c>
      <c r="AG1937" s="192">
        <f>$BD1937*VLOOKUP($AG$3,$AF$4:$AG$7,2,FALSE)</f>
        <v/>
      </c>
      <c r="AH1937" s="76">
        <f>SUM(AE1937,AG1937,AI1937)*rate_forex_risk</f>
        <v/>
      </c>
      <c r="AI1937" s="193">
        <f>IF(OR(seller_region="TR",offer_sale_type="экспорт"),0,rate_fin_comm)*SUM(AZ1937,AZ1937*AW1937,T1937)</f>
        <v/>
      </c>
      <c r="AJ1937" s="118">
        <f>IFERROR(ROUND(SUM(AB1937,AF1937:AI1937)/E1937,2),0)</f>
        <v/>
      </c>
      <c r="AK1937" s="76">
        <f>AJ1937*E1937</f>
        <v/>
      </c>
      <c r="AL1937" s="174">
        <f>ROUND(IFERROR(AM1937*E1937,0),2)</f>
        <v/>
      </c>
      <c r="AM1937" s="175">
        <f>ROUND(AJ1937*(1+IF(offer_incoterms="DDP",IF((TODAY()+offer_turnaround_time)&gt;=helpsheet!$L$17,rate_vatRU_from_26,rate_vatRu_till_25),0)),2)</f>
        <v/>
      </c>
      <c r="AN1937" s="192">
        <f>AL1937-AK1937</f>
        <v/>
      </c>
      <c r="AO1937" s="76">
        <f>SUM(AY1937,Y1937:Z1937,T1937)*IF(AND(offer_incoterms="DDP",offer_sale_type&lt;&gt;"экспорт"),IF((TODAY()+offer_turnaround_time)&gt;=helpsheet!$L$17,rate_vatRU_from_26,rate_vatRu_till_25),0)</f>
        <v/>
      </c>
      <c r="AP1937" s="193">
        <f>AN1937-AO1937</f>
        <v/>
      </c>
      <c r="AQ1937" s="118">
        <f>IF(offer_sale_type="транзит",SUM(AF1937:AI1937,BA1937,BB1937),0)</f>
        <v/>
      </c>
      <c r="AR1937" s="82">
        <f>HYPERLINK("https://www.alta.ru/tnved/code/")&amp;W1937&amp;"/"</f>
        <v/>
      </c>
      <c r="AS1937" s="157" t="n"/>
      <c r="AT1937" s="162" t="n"/>
      <c r="AU1937" s="76">
        <f>IF(ISBLANK(AT1937),0,AJ1937-AT1937)</f>
        <v/>
      </c>
      <c r="AV1937" s="157" t="n"/>
      <c r="AW1937" s="75">
        <f>_xlfn.IFNA(VLOOKUP(L1937,list_vat[],3,FALSE),0)</f>
        <v/>
      </c>
      <c r="AX1937" s="76">
        <f>IFERROR(ROUND(S1937*(1+AW1937)/E1937,2),0)</f>
        <v/>
      </c>
      <c r="AY1937" s="76">
        <f>E1937*AX1937</f>
        <v/>
      </c>
      <c r="AZ1937" s="192">
        <f>S1937*(1+M1937)</f>
        <v/>
      </c>
      <c r="BA1937" s="76">
        <f>cost_fin_total*$BD1937</f>
        <v/>
      </c>
      <c r="BB1937" s="193">
        <f>credit_sales_interest*BD1937</f>
        <v/>
      </c>
      <c r="BC1937" s="102">
        <f>IFERROR(IF($I$13&gt;0,$I1937/$I$13,$S1937/$S$13),0)</f>
        <v/>
      </c>
      <c r="BD1937" s="102">
        <f>IFERROR($S1937/$S$13,0)</f>
        <v/>
      </c>
      <c r="BE1937" s="413" t="inlineStr">
        <is>
          <t>$</t>
        </is>
      </c>
    </row>
    <row r="1938" ht="12" customFormat="1" customHeight="1" s="65">
      <c r="A1938" s="43" t="n">
        <v>1923</v>
      </c>
      <c r="B1938" s="166" t="n"/>
      <c r="C1938" s="166" t="n"/>
      <c r="D1938" s="166" t="n"/>
      <c r="E1938" s="162" t="n"/>
      <c r="F1938" s="166" t="n"/>
      <c r="G1938" s="162" t="n"/>
      <c r="H1938" s="162" t="n"/>
      <c r="I1938" s="189">
        <f>E1938*G1938</f>
        <v/>
      </c>
      <c r="J1938" s="195" t="n"/>
      <c r="K1938" s="162" t="n"/>
      <c r="L1938" s="168" t="n"/>
      <c r="M1938" s="75">
        <f>_xlfn.XLOOKUP(L1938,list_vat[Страна],list_vat[Ставка НДС %],0,0)</f>
        <v/>
      </c>
      <c r="N1938" s="162">
        <f>IFERROR(IF(L1938="Китай",K1938,K1938/(1+M1938)),0)</f>
        <v/>
      </c>
      <c r="O1938" s="169" t="n"/>
      <c r="P1938" s="76">
        <f>N1938*(1-O1938)</f>
        <v/>
      </c>
      <c r="Q1938" s="162" t="n"/>
      <c r="R1938" s="162">
        <f>IF(ISBLANK(Q1938),"введи курс",P1938/Q1938)</f>
        <v/>
      </c>
      <c r="S1938" s="196">
        <f>IF(AND(ISNUMBER(E1938),ISNUMBER(Q1938)),E1938*R1938,0)</f>
        <v/>
      </c>
      <c r="T1938" s="192">
        <f>$BC1938*V$11</f>
        <v/>
      </c>
      <c r="U1938" s="76">
        <f>$BC1938*W$11</f>
        <v/>
      </c>
      <c r="V1938" s="193">
        <f>+SUM(T1938:U1938)</f>
        <v/>
      </c>
      <c r="W1938" s="191" t="n"/>
      <c r="X1938" s="170" t="n"/>
      <c r="Y1938" s="76">
        <f>ROUND(IF(offer_incoterms="DDP",X1938*(S1938*(1+AW1938)+T1938),0),2)</f>
        <v/>
      </c>
      <c r="Z1938" s="188" t="n"/>
      <c r="AA1938" s="192">
        <f>IFERROR(AB1938/E1938,0)</f>
        <v/>
      </c>
      <c r="AB1938" s="76">
        <f>ROUND(SUM(S1938,V1938,Y1938:Z1938,BA1938:BB1938),2)</f>
        <v/>
      </c>
      <c r="AC1938" s="797" t="n"/>
      <c r="AD1938" s="192">
        <f t="array" ref="AD1938">IFERROR(ROUND((_xlfn.IFS(offer_sale_type="поставка",AB1938,offer_sale_type="транзит",S1938)*(1+AC1938))/E1938,2),0)</f>
        <v/>
      </c>
      <c r="AE1938" s="76">
        <f>AD1938*E1938</f>
        <v/>
      </c>
      <c r="AF1938" s="193">
        <f t="array" ref="AF1938">IFERROR(ROUND(_xlfn.IFS(offer_sale_type="поставка",AB1938,offer_sale_type="транзит",S1938)*AC1938,2),0)</f>
        <v/>
      </c>
      <c r="AG1938" s="192">
        <f>$BD1938*VLOOKUP($AG$3,$AF$4:$AG$7,2,FALSE)</f>
        <v/>
      </c>
      <c r="AH1938" s="76">
        <f>SUM(AE1938,AG1938,AI1938)*rate_forex_risk</f>
        <v/>
      </c>
      <c r="AI1938" s="193">
        <f>IF(OR(seller_region="TR",offer_sale_type="экспорт"),0,rate_fin_comm)*SUM(AZ1938,AZ1938*AW1938,T1938)</f>
        <v/>
      </c>
      <c r="AJ1938" s="118">
        <f>IFERROR(ROUND(SUM(AB1938,AF1938:AI1938)/E1938,2),0)</f>
        <v/>
      </c>
      <c r="AK1938" s="76">
        <f>AJ1938*E1938</f>
        <v/>
      </c>
      <c r="AL1938" s="174">
        <f>ROUND(IFERROR(AM1938*E1938,0),2)</f>
        <v/>
      </c>
      <c r="AM1938" s="175">
        <f>ROUND(AJ1938*(1+IF(offer_incoterms="DDP",IF((TODAY()+offer_turnaround_time)&gt;=helpsheet!$L$17,rate_vatRU_from_26,rate_vatRu_till_25),0)),2)</f>
        <v/>
      </c>
      <c r="AN1938" s="192">
        <f>AL1938-AK1938</f>
        <v/>
      </c>
      <c r="AO1938" s="76">
        <f>SUM(AY1938,Y1938:Z1938,T1938)*IF(AND(offer_incoterms="DDP",offer_sale_type&lt;&gt;"экспорт"),IF((TODAY()+offer_turnaround_time)&gt;=helpsheet!$L$17,rate_vatRU_from_26,rate_vatRu_till_25),0)</f>
        <v/>
      </c>
      <c r="AP1938" s="193">
        <f>AN1938-AO1938</f>
        <v/>
      </c>
      <c r="AQ1938" s="118">
        <f>IF(offer_sale_type="транзит",SUM(AF1938:AI1938,BA1938,BB1938),0)</f>
        <v/>
      </c>
      <c r="AR1938" s="82">
        <f>HYPERLINK("https://www.alta.ru/tnved/code/")&amp;W1938&amp;"/"</f>
        <v/>
      </c>
      <c r="AS1938" s="157" t="n"/>
      <c r="AT1938" s="162" t="n"/>
      <c r="AU1938" s="76">
        <f>IF(ISBLANK(AT1938),0,AJ1938-AT1938)</f>
        <v/>
      </c>
      <c r="AV1938" s="157" t="n"/>
      <c r="AW1938" s="75">
        <f>_xlfn.IFNA(VLOOKUP(L1938,list_vat[],3,FALSE),0)</f>
        <v/>
      </c>
      <c r="AX1938" s="76">
        <f>IFERROR(ROUND(S1938*(1+AW1938)/E1938,2),0)</f>
        <v/>
      </c>
      <c r="AY1938" s="76">
        <f>E1938*AX1938</f>
        <v/>
      </c>
      <c r="AZ1938" s="192">
        <f>S1938*(1+M1938)</f>
        <v/>
      </c>
      <c r="BA1938" s="76">
        <f>cost_fin_total*$BD1938</f>
        <v/>
      </c>
      <c r="BB1938" s="193">
        <f>credit_sales_interest*BD1938</f>
        <v/>
      </c>
      <c r="BC1938" s="102">
        <f>IFERROR(IF($I$13&gt;0,$I1938/$I$13,$S1938/$S$13),0)</f>
        <v/>
      </c>
      <c r="BD1938" s="102">
        <f>IFERROR($S1938/$S$13,0)</f>
        <v/>
      </c>
      <c r="BE1938" s="413" t="inlineStr">
        <is>
          <t>$</t>
        </is>
      </c>
    </row>
    <row r="1939" ht="12" customFormat="1" customHeight="1" s="65">
      <c r="A1939" s="43" t="n">
        <v>1924</v>
      </c>
      <c r="B1939" s="166" t="n"/>
      <c r="C1939" s="166" t="n"/>
      <c r="D1939" s="166" t="n"/>
      <c r="E1939" s="162" t="n"/>
      <c r="F1939" s="166" t="n"/>
      <c r="G1939" s="162" t="n"/>
      <c r="H1939" s="162" t="n"/>
      <c r="I1939" s="189">
        <f>E1939*G1939</f>
        <v/>
      </c>
      <c r="J1939" s="195" t="n"/>
      <c r="K1939" s="162" t="n"/>
      <c r="L1939" s="168" t="n"/>
      <c r="M1939" s="75">
        <f>_xlfn.XLOOKUP(L1939,list_vat[Страна],list_vat[Ставка НДС %],0,0)</f>
        <v/>
      </c>
      <c r="N1939" s="162">
        <f>IFERROR(IF(L1939="Китай",K1939,K1939/(1+M1939)),0)</f>
        <v/>
      </c>
      <c r="O1939" s="169" t="n"/>
      <c r="P1939" s="76">
        <f>N1939*(1-O1939)</f>
        <v/>
      </c>
      <c r="Q1939" s="162" t="n"/>
      <c r="R1939" s="162">
        <f>IF(ISBLANK(Q1939),"введи курс",P1939/Q1939)</f>
        <v/>
      </c>
      <c r="S1939" s="196">
        <f>IF(AND(ISNUMBER(E1939),ISNUMBER(Q1939)),E1939*R1939,0)</f>
        <v/>
      </c>
      <c r="T1939" s="192">
        <f>$BC1939*V$11</f>
        <v/>
      </c>
      <c r="U1939" s="76">
        <f>$BC1939*W$11</f>
        <v/>
      </c>
      <c r="V1939" s="193">
        <f>+SUM(T1939:U1939)</f>
        <v/>
      </c>
      <c r="W1939" s="191" t="n"/>
      <c r="X1939" s="170" t="n"/>
      <c r="Y1939" s="76">
        <f>ROUND(IF(offer_incoterms="DDP",X1939*(S1939*(1+AW1939)+T1939),0),2)</f>
        <v/>
      </c>
      <c r="Z1939" s="188" t="n"/>
      <c r="AA1939" s="192">
        <f>IFERROR(AB1939/E1939,0)</f>
        <v/>
      </c>
      <c r="AB1939" s="76">
        <f>ROUND(SUM(S1939,V1939,Y1939:Z1939,BA1939:BB1939),2)</f>
        <v/>
      </c>
      <c r="AC1939" s="797" t="n"/>
      <c r="AD1939" s="192">
        <f t="array" ref="AD1939">IFERROR(ROUND((_xlfn.IFS(offer_sale_type="поставка",AB1939,offer_sale_type="транзит",S1939)*(1+AC1939))/E1939,2),0)</f>
        <v/>
      </c>
      <c r="AE1939" s="76">
        <f>AD1939*E1939</f>
        <v/>
      </c>
      <c r="AF1939" s="193">
        <f t="array" ref="AF1939">IFERROR(ROUND(_xlfn.IFS(offer_sale_type="поставка",AB1939,offer_sale_type="транзит",S1939)*AC1939,2),0)</f>
        <v/>
      </c>
      <c r="AG1939" s="192">
        <f>$BD1939*VLOOKUP($AG$3,$AF$4:$AG$7,2,FALSE)</f>
        <v/>
      </c>
      <c r="AH1939" s="76">
        <f>SUM(AE1939,AG1939,AI1939)*rate_forex_risk</f>
        <v/>
      </c>
      <c r="AI1939" s="193">
        <f>IF(OR(seller_region="TR",offer_sale_type="экспорт"),0,rate_fin_comm)*SUM(AZ1939,AZ1939*AW1939,T1939)</f>
        <v/>
      </c>
      <c r="AJ1939" s="118">
        <f>IFERROR(ROUND(SUM(AB1939,AF1939:AI1939)/E1939,2),0)</f>
        <v/>
      </c>
      <c r="AK1939" s="76">
        <f>AJ1939*E1939</f>
        <v/>
      </c>
      <c r="AL1939" s="174">
        <f>ROUND(IFERROR(AM1939*E1939,0),2)</f>
        <v/>
      </c>
      <c r="AM1939" s="175">
        <f>ROUND(AJ1939*(1+IF(offer_incoterms="DDP",IF((TODAY()+offer_turnaround_time)&gt;=helpsheet!$L$17,rate_vatRU_from_26,rate_vatRu_till_25),0)),2)</f>
        <v/>
      </c>
      <c r="AN1939" s="192">
        <f>AL1939-AK1939</f>
        <v/>
      </c>
      <c r="AO1939" s="76">
        <f>SUM(AY1939,Y1939:Z1939,T1939)*IF(AND(offer_incoterms="DDP",offer_sale_type&lt;&gt;"экспорт"),IF((TODAY()+offer_turnaround_time)&gt;=helpsheet!$L$17,rate_vatRU_from_26,rate_vatRu_till_25),0)</f>
        <v/>
      </c>
      <c r="AP1939" s="193">
        <f>AN1939-AO1939</f>
        <v/>
      </c>
      <c r="AQ1939" s="118">
        <f>IF(offer_sale_type="транзит",SUM(AF1939:AI1939,BA1939,BB1939),0)</f>
        <v/>
      </c>
      <c r="AR1939" s="82">
        <f>HYPERLINK("https://www.alta.ru/tnved/code/")&amp;W1939&amp;"/"</f>
        <v/>
      </c>
      <c r="AS1939" s="157" t="n"/>
      <c r="AT1939" s="162" t="n"/>
      <c r="AU1939" s="76">
        <f>IF(ISBLANK(AT1939),0,AJ1939-AT1939)</f>
        <v/>
      </c>
      <c r="AV1939" s="157" t="n"/>
      <c r="AW1939" s="75">
        <f>_xlfn.IFNA(VLOOKUP(L1939,list_vat[],3,FALSE),0)</f>
        <v/>
      </c>
      <c r="AX1939" s="76">
        <f>IFERROR(ROUND(S1939*(1+AW1939)/E1939,2),0)</f>
        <v/>
      </c>
      <c r="AY1939" s="76">
        <f>E1939*AX1939</f>
        <v/>
      </c>
      <c r="AZ1939" s="192">
        <f>S1939*(1+M1939)</f>
        <v/>
      </c>
      <c r="BA1939" s="76">
        <f>cost_fin_total*$BD1939</f>
        <v/>
      </c>
      <c r="BB1939" s="193">
        <f>credit_sales_interest*BD1939</f>
        <v/>
      </c>
      <c r="BC1939" s="102">
        <f>IFERROR(IF($I$13&gt;0,$I1939/$I$13,$S1939/$S$13),0)</f>
        <v/>
      </c>
      <c r="BD1939" s="102">
        <f>IFERROR($S1939/$S$13,0)</f>
        <v/>
      </c>
      <c r="BE1939" s="413" t="inlineStr">
        <is>
          <t>$</t>
        </is>
      </c>
    </row>
    <row r="1940" ht="12" customFormat="1" customHeight="1" s="65">
      <c r="A1940" s="43" t="n">
        <v>1925</v>
      </c>
      <c r="B1940" s="166" t="n"/>
      <c r="C1940" s="166" t="n"/>
      <c r="D1940" s="166" t="n"/>
      <c r="E1940" s="162" t="n"/>
      <c r="F1940" s="166" t="n"/>
      <c r="G1940" s="162" t="n"/>
      <c r="H1940" s="162" t="n"/>
      <c r="I1940" s="189">
        <f>E1940*G1940</f>
        <v/>
      </c>
      <c r="J1940" s="195" t="n"/>
      <c r="K1940" s="162" t="n"/>
      <c r="L1940" s="168" t="n"/>
      <c r="M1940" s="75">
        <f>_xlfn.XLOOKUP(L1940,list_vat[Страна],list_vat[Ставка НДС %],0,0)</f>
        <v/>
      </c>
      <c r="N1940" s="162">
        <f>IFERROR(IF(L1940="Китай",K1940,K1940/(1+M1940)),0)</f>
        <v/>
      </c>
      <c r="O1940" s="169" t="n"/>
      <c r="P1940" s="76">
        <f>N1940*(1-O1940)</f>
        <v/>
      </c>
      <c r="Q1940" s="162" t="n"/>
      <c r="R1940" s="162">
        <f>IF(ISBLANK(Q1940),"введи курс",P1940/Q1940)</f>
        <v/>
      </c>
      <c r="S1940" s="196">
        <f>IF(AND(ISNUMBER(E1940),ISNUMBER(Q1940)),E1940*R1940,0)</f>
        <v/>
      </c>
      <c r="T1940" s="192">
        <f>$BC1940*V$11</f>
        <v/>
      </c>
      <c r="U1940" s="76">
        <f>$BC1940*W$11</f>
        <v/>
      </c>
      <c r="V1940" s="193">
        <f>+SUM(T1940:U1940)</f>
        <v/>
      </c>
      <c r="W1940" s="191" t="n"/>
      <c r="X1940" s="170" t="n"/>
      <c r="Y1940" s="76">
        <f>ROUND(IF(offer_incoterms="DDP",X1940*(S1940*(1+AW1940)+T1940),0),2)</f>
        <v/>
      </c>
      <c r="Z1940" s="188" t="n"/>
      <c r="AA1940" s="192">
        <f>IFERROR(AB1940/E1940,0)</f>
        <v/>
      </c>
      <c r="AB1940" s="76">
        <f>ROUND(SUM(S1940,V1940,Y1940:Z1940,BA1940:BB1940),2)</f>
        <v/>
      </c>
      <c r="AC1940" s="797" t="n"/>
      <c r="AD1940" s="192">
        <f t="array" ref="AD1940">IFERROR(ROUND((_xlfn.IFS(offer_sale_type="поставка",AB1940,offer_sale_type="транзит",S1940)*(1+AC1940))/E1940,2),0)</f>
        <v/>
      </c>
      <c r="AE1940" s="76">
        <f>AD1940*E1940</f>
        <v/>
      </c>
      <c r="AF1940" s="193">
        <f t="array" ref="AF1940">IFERROR(ROUND(_xlfn.IFS(offer_sale_type="поставка",AB1940,offer_sale_type="транзит",S1940)*AC1940,2),0)</f>
        <v/>
      </c>
      <c r="AG1940" s="192">
        <f>$BD1940*VLOOKUP($AG$3,$AF$4:$AG$7,2,FALSE)</f>
        <v/>
      </c>
      <c r="AH1940" s="76">
        <f>SUM(AE1940,AG1940,AI1940)*rate_forex_risk</f>
        <v/>
      </c>
      <c r="AI1940" s="193">
        <f>IF(OR(seller_region="TR",offer_sale_type="экспорт"),0,rate_fin_comm)*SUM(AZ1940,AZ1940*AW1940,T1940)</f>
        <v/>
      </c>
      <c r="AJ1940" s="118">
        <f>IFERROR(ROUND(SUM(AB1940,AF1940:AI1940)/E1940,2),0)</f>
        <v/>
      </c>
      <c r="AK1940" s="76">
        <f>AJ1940*E1940</f>
        <v/>
      </c>
      <c r="AL1940" s="174">
        <f>ROUND(IFERROR(AM1940*E1940,0),2)</f>
        <v/>
      </c>
      <c r="AM1940" s="175">
        <f>ROUND(AJ1940*(1+IF(offer_incoterms="DDP",IF((TODAY()+offer_turnaround_time)&gt;=helpsheet!$L$17,rate_vatRU_from_26,rate_vatRu_till_25),0)),2)</f>
        <v/>
      </c>
      <c r="AN1940" s="192">
        <f>AL1940-AK1940</f>
        <v/>
      </c>
      <c r="AO1940" s="76">
        <f>SUM(AY1940,Y1940:Z1940,T1940)*IF(AND(offer_incoterms="DDP",offer_sale_type&lt;&gt;"экспорт"),IF((TODAY()+offer_turnaround_time)&gt;=helpsheet!$L$17,rate_vatRU_from_26,rate_vatRu_till_25),0)</f>
        <v/>
      </c>
      <c r="AP1940" s="193">
        <f>AN1940-AO1940</f>
        <v/>
      </c>
      <c r="AQ1940" s="118">
        <f>IF(offer_sale_type="транзит",SUM(AF1940:AI1940,BA1940,BB1940),0)</f>
        <v/>
      </c>
      <c r="AR1940" s="82">
        <f>HYPERLINK("https://www.alta.ru/tnved/code/")&amp;W1940&amp;"/"</f>
        <v/>
      </c>
      <c r="AS1940" s="157" t="n"/>
      <c r="AT1940" s="162" t="n"/>
      <c r="AU1940" s="76">
        <f>IF(ISBLANK(AT1940),0,AJ1940-AT1940)</f>
        <v/>
      </c>
      <c r="AV1940" s="157" t="n"/>
      <c r="AW1940" s="75">
        <f>_xlfn.IFNA(VLOOKUP(L1940,list_vat[],3,FALSE),0)</f>
        <v/>
      </c>
      <c r="AX1940" s="76">
        <f>IFERROR(ROUND(S1940*(1+AW1940)/E1940,2),0)</f>
        <v/>
      </c>
      <c r="AY1940" s="76">
        <f>E1940*AX1940</f>
        <v/>
      </c>
      <c r="AZ1940" s="192">
        <f>S1940*(1+M1940)</f>
        <v/>
      </c>
      <c r="BA1940" s="76">
        <f>cost_fin_total*$BD1940</f>
        <v/>
      </c>
      <c r="BB1940" s="193">
        <f>credit_sales_interest*BD1940</f>
        <v/>
      </c>
      <c r="BC1940" s="102">
        <f>IFERROR(IF($I$13&gt;0,$I1940/$I$13,$S1940/$S$13),0)</f>
        <v/>
      </c>
      <c r="BD1940" s="102">
        <f>IFERROR($S1940/$S$13,0)</f>
        <v/>
      </c>
      <c r="BE1940" s="413" t="inlineStr">
        <is>
          <t>$</t>
        </is>
      </c>
    </row>
    <row r="1941" ht="12" customFormat="1" customHeight="1" s="65">
      <c r="A1941" s="43" t="n">
        <v>1926</v>
      </c>
      <c r="B1941" s="166" t="n"/>
      <c r="C1941" s="166" t="n"/>
      <c r="D1941" s="166" t="n"/>
      <c r="E1941" s="162" t="n"/>
      <c r="F1941" s="166" t="n"/>
      <c r="G1941" s="162" t="n"/>
      <c r="H1941" s="162" t="n"/>
      <c r="I1941" s="189">
        <f>E1941*G1941</f>
        <v/>
      </c>
      <c r="J1941" s="195" t="n"/>
      <c r="K1941" s="162" t="n"/>
      <c r="L1941" s="168" t="n"/>
      <c r="M1941" s="75">
        <f>_xlfn.XLOOKUP(L1941,list_vat[Страна],list_vat[Ставка НДС %],0,0)</f>
        <v/>
      </c>
      <c r="N1941" s="162">
        <f>IFERROR(IF(L1941="Китай",K1941,K1941/(1+M1941)),0)</f>
        <v/>
      </c>
      <c r="O1941" s="169" t="n"/>
      <c r="P1941" s="76">
        <f>N1941*(1-O1941)</f>
        <v/>
      </c>
      <c r="Q1941" s="162" t="n"/>
      <c r="R1941" s="162">
        <f>IF(ISBLANK(Q1941),"введи курс",P1941/Q1941)</f>
        <v/>
      </c>
      <c r="S1941" s="196">
        <f>IF(AND(ISNUMBER(E1941),ISNUMBER(Q1941)),E1941*R1941,0)</f>
        <v/>
      </c>
      <c r="T1941" s="192">
        <f>$BC1941*V$11</f>
        <v/>
      </c>
      <c r="U1941" s="76">
        <f>$BC1941*W$11</f>
        <v/>
      </c>
      <c r="V1941" s="193">
        <f>+SUM(T1941:U1941)</f>
        <v/>
      </c>
      <c r="W1941" s="191" t="n"/>
      <c r="X1941" s="170" t="n"/>
      <c r="Y1941" s="76">
        <f>ROUND(IF(offer_incoterms="DDP",X1941*(S1941*(1+AW1941)+T1941),0),2)</f>
        <v/>
      </c>
      <c r="Z1941" s="188" t="n"/>
      <c r="AA1941" s="192">
        <f>IFERROR(AB1941/E1941,0)</f>
        <v/>
      </c>
      <c r="AB1941" s="76">
        <f>ROUND(SUM(S1941,V1941,Y1941:Z1941,BA1941:BB1941),2)</f>
        <v/>
      </c>
      <c r="AC1941" s="797" t="n"/>
      <c r="AD1941" s="192">
        <f t="array" ref="AD1941">IFERROR(ROUND((_xlfn.IFS(offer_sale_type="поставка",AB1941,offer_sale_type="транзит",S1941)*(1+AC1941))/E1941,2),0)</f>
        <v/>
      </c>
      <c r="AE1941" s="76">
        <f>AD1941*E1941</f>
        <v/>
      </c>
      <c r="AF1941" s="193">
        <f t="array" ref="AF1941">IFERROR(ROUND(_xlfn.IFS(offer_sale_type="поставка",AB1941,offer_sale_type="транзит",S1941)*AC1941,2),0)</f>
        <v/>
      </c>
      <c r="AG1941" s="192">
        <f>$BD1941*VLOOKUP($AG$3,$AF$4:$AG$7,2,FALSE)</f>
        <v/>
      </c>
      <c r="AH1941" s="76">
        <f>SUM(AE1941,AG1941,AI1941)*rate_forex_risk</f>
        <v/>
      </c>
      <c r="AI1941" s="193">
        <f>IF(OR(seller_region="TR",offer_sale_type="экспорт"),0,rate_fin_comm)*SUM(AZ1941,AZ1941*AW1941,T1941)</f>
        <v/>
      </c>
      <c r="AJ1941" s="118">
        <f>IFERROR(ROUND(SUM(AB1941,AF1941:AI1941)/E1941,2),0)</f>
        <v/>
      </c>
      <c r="AK1941" s="76">
        <f>AJ1941*E1941</f>
        <v/>
      </c>
      <c r="AL1941" s="174">
        <f>ROUND(IFERROR(AM1941*E1941,0),2)</f>
        <v/>
      </c>
      <c r="AM1941" s="175">
        <f>ROUND(AJ1941*(1+IF(offer_incoterms="DDP",IF((TODAY()+offer_turnaround_time)&gt;=helpsheet!$L$17,rate_vatRU_from_26,rate_vatRu_till_25),0)),2)</f>
        <v/>
      </c>
      <c r="AN1941" s="192">
        <f>AL1941-AK1941</f>
        <v/>
      </c>
      <c r="AO1941" s="76">
        <f>SUM(AY1941,Y1941:Z1941,T1941)*IF(AND(offer_incoterms="DDP",offer_sale_type&lt;&gt;"экспорт"),IF((TODAY()+offer_turnaround_time)&gt;=helpsheet!$L$17,rate_vatRU_from_26,rate_vatRu_till_25),0)</f>
        <v/>
      </c>
      <c r="AP1941" s="193">
        <f>AN1941-AO1941</f>
        <v/>
      </c>
      <c r="AQ1941" s="118">
        <f>IF(offer_sale_type="транзит",SUM(AF1941:AI1941,BA1941,BB1941),0)</f>
        <v/>
      </c>
      <c r="AR1941" s="82">
        <f>HYPERLINK("https://www.alta.ru/tnved/code/")&amp;W1941&amp;"/"</f>
        <v/>
      </c>
      <c r="AS1941" s="157" t="n"/>
      <c r="AT1941" s="162" t="n"/>
      <c r="AU1941" s="76">
        <f>IF(ISBLANK(AT1941),0,AJ1941-AT1941)</f>
        <v/>
      </c>
      <c r="AV1941" s="157" t="n"/>
      <c r="AW1941" s="75">
        <f>_xlfn.IFNA(VLOOKUP(L1941,list_vat[],3,FALSE),0)</f>
        <v/>
      </c>
      <c r="AX1941" s="76">
        <f>IFERROR(ROUND(S1941*(1+AW1941)/E1941,2),0)</f>
        <v/>
      </c>
      <c r="AY1941" s="76">
        <f>E1941*AX1941</f>
        <v/>
      </c>
      <c r="AZ1941" s="192">
        <f>S1941*(1+M1941)</f>
        <v/>
      </c>
      <c r="BA1941" s="76">
        <f>cost_fin_total*$BD1941</f>
        <v/>
      </c>
      <c r="BB1941" s="193">
        <f>credit_sales_interest*BD1941</f>
        <v/>
      </c>
      <c r="BC1941" s="102">
        <f>IFERROR(IF($I$13&gt;0,$I1941/$I$13,$S1941/$S$13),0)</f>
        <v/>
      </c>
      <c r="BD1941" s="102">
        <f>IFERROR($S1941/$S$13,0)</f>
        <v/>
      </c>
      <c r="BE1941" s="413" t="inlineStr">
        <is>
          <t>$</t>
        </is>
      </c>
    </row>
    <row r="1942" ht="12" customFormat="1" customHeight="1" s="65">
      <c r="A1942" s="43" t="n">
        <v>1927</v>
      </c>
      <c r="B1942" s="166" t="n"/>
      <c r="C1942" s="166" t="n"/>
      <c r="D1942" s="166" t="n"/>
      <c r="E1942" s="162" t="n"/>
      <c r="F1942" s="166" t="n"/>
      <c r="G1942" s="162" t="n"/>
      <c r="H1942" s="162" t="n"/>
      <c r="I1942" s="189">
        <f>E1942*G1942</f>
        <v/>
      </c>
      <c r="J1942" s="195" t="n"/>
      <c r="K1942" s="162" t="n"/>
      <c r="L1942" s="168" t="n"/>
      <c r="M1942" s="75">
        <f>_xlfn.XLOOKUP(L1942,list_vat[Страна],list_vat[Ставка НДС %],0,0)</f>
        <v/>
      </c>
      <c r="N1942" s="162">
        <f>IFERROR(IF(L1942="Китай",K1942,K1942/(1+M1942)),0)</f>
        <v/>
      </c>
      <c r="O1942" s="169" t="n"/>
      <c r="P1942" s="76">
        <f>N1942*(1-O1942)</f>
        <v/>
      </c>
      <c r="Q1942" s="162" t="n"/>
      <c r="R1942" s="162">
        <f>IF(ISBLANK(Q1942),"введи курс",P1942/Q1942)</f>
        <v/>
      </c>
      <c r="S1942" s="196">
        <f>IF(AND(ISNUMBER(E1942),ISNUMBER(Q1942)),E1942*R1942,0)</f>
        <v/>
      </c>
      <c r="T1942" s="192">
        <f>$BC1942*V$11</f>
        <v/>
      </c>
      <c r="U1942" s="76">
        <f>$BC1942*W$11</f>
        <v/>
      </c>
      <c r="V1942" s="193">
        <f>+SUM(T1942:U1942)</f>
        <v/>
      </c>
      <c r="W1942" s="191" t="n"/>
      <c r="X1942" s="170" t="n"/>
      <c r="Y1942" s="76">
        <f>ROUND(IF(offer_incoterms="DDP",X1942*(S1942*(1+AW1942)+T1942),0),2)</f>
        <v/>
      </c>
      <c r="Z1942" s="188" t="n"/>
      <c r="AA1942" s="192">
        <f>IFERROR(AB1942/E1942,0)</f>
        <v/>
      </c>
      <c r="AB1942" s="76">
        <f>ROUND(SUM(S1942,V1942,Y1942:Z1942,BA1942:BB1942),2)</f>
        <v/>
      </c>
      <c r="AC1942" s="797" t="n"/>
      <c r="AD1942" s="192">
        <f t="array" ref="AD1942">IFERROR(ROUND((_xlfn.IFS(offer_sale_type="поставка",AB1942,offer_sale_type="транзит",S1942)*(1+AC1942))/E1942,2),0)</f>
        <v/>
      </c>
      <c r="AE1942" s="76">
        <f>AD1942*E1942</f>
        <v/>
      </c>
      <c r="AF1942" s="193">
        <f t="array" ref="AF1942">IFERROR(ROUND(_xlfn.IFS(offer_sale_type="поставка",AB1942,offer_sale_type="транзит",S1942)*AC1942,2),0)</f>
        <v/>
      </c>
      <c r="AG1942" s="192">
        <f>$BD1942*VLOOKUP($AG$3,$AF$4:$AG$7,2,FALSE)</f>
        <v/>
      </c>
      <c r="AH1942" s="76">
        <f>SUM(AE1942,AG1942,AI1942)*rate_forex_risk</f>
        <v/>
      </c>
      <c r="AI1942" s="193">
        <f>IF(OR(seller_region="TR",offer_sale_type="экспорт"),0,rate_fin_comm)*SUM(AZ1942,AZ1942*AW1942,T1942)</f>
        <v/>
      </c>
      <c r="AJ1942" s="118">
        <f>IFERROR(ROUND(SUM(AB1942,AF1942:AI1942)/E1942,2),0)</f>
        <v/>
      </c>
      <c r="AK1942" s="76">
        <f>AJ1942*E1942</f>
        <v/>
      </c>
      <c r="AL1942" s="174">
        <f>ROUND(IFERROR(AM1942*E1942,0),2)</f>
        <v/>
      </c>
      <c r="AM1942" s="175">
        <f>ROUND(AJ1942*(1+IF(offer_incoterms="DDP",IF((TODAY()+offer_turnaround_time)&gt;=helpsheet!$L$17,rate_vatRU_from_26,rate_vatRu_till_25),0)),2)</f>
        <v/>
      </c>
      <c r="AN1942" s="192">
        <f>AL1942-AK1942</f>
        <v/>
      </c>
      <c r="AO1942" s="76">
        <f>SUM(AY1942,Y1942:Z1942,T1942)*IF(AND(offer_incoterms="DDP",offer_sale_type&lt;&gt;"экспорт"),IF((TODAY()+offer_turnaround_time)&gt;=helpsheet!$L$17,rate_vatRU_from_26,rate_vatRu_till_25),0)</f>
        <v/>
      </c>
      <c r="AP1942" s="193">
        <f>AN1942-AO1942</f>
        <v/>
      </c>
      <c r="AQ1942" s="118">
        <f>IF(offer_sale_type="транзит",SUM(AF1942:AI1942,BA1942,BB1942),0)</f>
        <v/>
      </c>
      <c r="AR1942" s="82">
        <f>HYPERLINK("https://www.alta.ru/tnved/code/")&amp;W1942&amp;"/"</f>
        <v/>
      </c>
      <c r="AS1942" s="157" t="n"/>
      <c r="AT1942" s="162" t="n"/>
      <c r="AU1942" s="76">
        <f>IF(ISBLANK(AT1942),0,AJ1942-AT1942)</f>
        <v/>
      </c>
      <c r="AV1942" s="157" t="n"/>
      <c r="AW1942" s="75">
        <f>_xlfn.IFNA(VLOOKUP(L1942,list_vat[],3,FALSE),0)</f>
        <v/>
      </c>
      <c r="AX1942" s="76">
        <f>IFERROR(ROUND(S1942*(1+AW1942)/E1942,2),0)</f>
        <v/>
      </c>
      <c r="AY1942" s="76">
        <f>E1942*AX1942</f>
        <v/>
      </c>
      <c r="AZ1942" s="192">
        <f>S1942*(1+M1942)</f>
        <v/>
      </c>
      <c r="BA1942" s="76">
        <f>cost_fin_total*$BD1942</f>
        <v/>
      </c>
      <c r="BB1942" s="193">
        <f>credit_sales_interest*BD1942</f>
        <v/>
      </c>
      <c r="BC1942" s="102">
        <f>IFERROR(IF($I$13&gt;0,$I1942/$I$13,$S1942/$S$13),0)</f>
        <v/>
      </c>
      <c r="BD1942" s="102">
        <f>IFERROR($S1942/$S$13,0)</f>
        <v/>
      </c>
      <c r="BE1942" s="413" t="inlineStr">
        <is>
          <t>$</t>
        </is>
      </c>
    </row>
    <row r="1943" ht="12" customFormat="1" customHeight="1" s="65">
      <c r="A1943" s="43" t="n">
        <v>1928</v>
      </c>
      <c r="B1943" s="166" t="n"/>
      <c r="C1943" s="166" t="n"/>
      <c r="D1943" s="166" t="n"/>
      <c r="E1943" s="162" t="n"/>
      <c r="F1943" s="166" t="n"/>
      <c r="G1943" s="162" t="n"/>
      <c r="H1943" s="162" t="n"/>
      <c r="I1943" s="189">
        <f>E1943*G1943</f>
        <v/>
      </c>
      <c r="J1943" s="195" t="n"/>
      <c r="K1943" s="162" t="n"/>
      <c r="L1943" s="168" t="n"/>
      <c r="M1943" s="75">
        <f>_xlfn.XLOOKUP(L1943,list_vat[Страна],list_vat[Ставка НДС %],0,0)</f>
        <v/>
      </c>
      <c r="N1943" s="162">
        <f>IFERROR(IF(L1943="Китай",K1943,K1943/(1+M1943)),0)</f>
        <v/>
      </c>
      <c r="O1943" s="169" t="n"/>
      <c r="P1943" s="76">
        <f>N1943*(1-O1943)</f>
        <v/>
      </c>
      <c r="Q1943" s="162" t="n"/>
      <c r="R1943" s="162">
        <f>IF(ISBLANK(Q1943),"введи курс",P1943/Q1943)</f>
        <v/>
      </c>
      <c r="S1943" s="196">
        <f>IF(AND(ISNUMBER(E1943),ISNUMBER(Q1943)),E1943*R1943,0)</f>
        <v/>
      </c>
      <c r="T1943" s="192">
        <f>$BC1943*V$11</f>
        <v/>
      </c>
      <c r="U1943" s="76">
        <f>$BC1943*W$11</f>
        <v/>
      </c>
      <c r="V1943" s="193">
        <f>+SUM(T1943:U1943)</f>
        <v/>
      </c>
      <c r="W1943" s="191" t="n"/>
      <c r="X1943" s="170" t="n"/>
      <c r="Y1943" s="76">
        <f>ROUND(IF(offer_incoterms="DDP",X1943*(S1943*(1+AW1943)+T1943),0),2)</f>
        <v/>
      </c>
      <c r="Z1943" s="188" t="n"/>
      <c r="AA1943" s="192">
        <f>IFERROR(AB1943/E1943,0)</f>
        <v/>
      </c>
      <c r="AB1943" s="76">
        <f>ROUND(SUM(S1943,V1943,Y1943:Z1943,BA1943:BB1943),2)</f>
        <v/>
      </c>
      <c r="AC1943" s="797" t="n"/>
      <c r="AD1943" s="192">
        <f t="array" ref="AD1943">IFERROR(ROUND((_xlfn.IFS(offer_sale_type="поставка",AB1943,offer_sale_type="транзит",S1943)*(1+AC1943))/E1943,2),0)</f>
        <v/>
      </c>
      <c r="AE1943" s="76">
        <f>AD1943*E1943</f>
        <v/>
      </c>
      <c r="AF1943" s="193">
        <f t="array" ref="AF1943">IFERROR(ROUND(_xlfn.IFS(offer_sale_type="поставка",AB1943,offer_sale_type="транзит",S1943)*AC1943,2),0)</f>
        <v/>
      </c>
      <c r="AG1943" s="192">
        <f>$BD1943*VLOOKUP($AG$3,$AF$4:$AG$7,2,FALSE)</f>
        <v/>
      </c>
      <c r="AH1943" s="76">
        <f>SUM(AE1943,AG1943,AI1943)*rate_forex_risk</f>
        <v/>
      </c>
      <c r="AI1943" s="193">
        <f>IF(OR(seller_region="TR",offer_sale_type="экспорт"),0,rate_fin_comm)*SUM(AZ1943,AZ1943*AW1943,T1943)</f>
        <v/>
      </c>
      <c r="AJ1943" s="118">
        <f>IFERROR(ROUND(SUM(AB1943,AF1943:AI1943)/E1943,2),0)</f>
        <v/>
      </c>
      <c r="AK1943" s="76">
        <f>AJ1943*E1943</f>
        <v/>
      </c>
      <c r="AL1943" s="174">
        <f>ROUND(IFERROR(AM1943*E1943,0),2)</f>
        <v/>
      </c>
      <c r="AM1943" s="175">
        <f>ROUND(AJ1943*(1+IF(offer_incoterms="DDP",IF((TODAY()+offer_turnaround_time)&gt;=helpsheet!$L$17,rate_vatRU_from_26,rate_vatRu_till_25),0)),2)</f>
        <v/>
      </c>
      <c r="AN1943" s="192">
        <f>AL1943-AK1943</f>
        <v/>
      </c>
      <c r="AO1943" s="76">
        <f>SUM(AY1943,Y1943:Z1943,T1943)*IF(AND(offer_incoterms="DDP",offer_sale_type&lt;&gt;"экспорт"),IF((TODAY()+offer_turnaround_time)&gt;=helpsheet!$L$17,rate_vatRU_from_26,rate_vatRu_till_25),0)</f>
        <v/>
      </c>
      <c r="AP1943" s="193">
        <f>AN1943-AO1943</f>
        <v/>
      </c>
      <c r="AQ1943" s="118">
        <f>IF(offer_sale_type="транзит",SUM(AF1943:AI1943,BA1943,BB1943),0)</f>
        <v/>
      </c>
      <c r="AR1943" s="82">
        <f>HYPERLINK("https://www.alta.ru/tnved/code/")&amp;W1943&amp;"/"</f>
        <v/>
      </c>
      <c r="AS1943" s="157" t="n"/>
      <c r="AT1943" s="162" t="n"/>
      <c r="AU1943" s="76">
        <f>IF(ISBLANK(AT1943),0,AJ1943-AT1943)</f>
        <v/>
      </c>
      <c r="AV1943" s="157" t="n"/>
      <c r="AW1943" s="75">
        <f>_xlfn.IFNA(VLOOKUP(L1943,list_vat[],3,FALSE),0)</f>
        <v/>
      </c>
      <c r="AX1943" s="76">
        <f>IFERROR(ROUND(S1943*(1+AW1943)/E1943,2),0)</f>
        <v/>
      </c>
      <c r="AY1943" s="76">
        <f>E1943*AX1943</f>
        <v/>
      </c>
      <c r="AZ1943" s="192">
        <f>S1943*(1+M1943)</f>
        <v/>
      </c>
      <c r="BA1943" s="76">
        <f>cost_fin_total*$BD1943</f>
        <v/>
      </c>
      <c r="BB1943" s="193">
        <f>credit_sales_interest*BD1943</f>
        <v/>
      </c>
      <c r="BC1943" s="102">
        <f>IFERROR(IF($I$13&gt;0,$I1943/$I$13,$S1943/$S$13),0)</f>
        <v/>
      </c>
      <c r="BD1943" s="102">
        <f>IFERROR($S1943/$S$13,0)</f>
        <v/>
      </c>
      <c r="BE1943" s="413" t="inlineStr">
        <is>
          <t>$</t>
        </is>
      </c>
    </row>
    <row r="1944" ht="12" customFormat="1" customHeight="1" s="65">
      <c r="A1944" s="43" t="n">
        <v>1929</v>
      </c>
      <c r="B1944" s="166" t="n"/>
      <c r="C1944" s="166" t="n"/>
      <c r="D1944" s="166" t="n"/>
      <c r="E1944" s="162" t="n"/>
      <c r="F1944" s="166" t="n"/>
      <c r="G1944" s="162" t="n"/>
      <c r="H1944" s="162" t="n"/>
      <c r="I1944" s="189">
        <f>E1944*G1944</f>
        <v/>
      </c>
      <c r="J1944" s="195" t="n"/>
      <c r="K1944" s="162" t="n"/>
      <c r="L1944" s="168" t="n"/>
      <c r="M1944" s="75">
        <f>_xlfn.XLOOKUP(L1944,list_vat[Страна],list_vat[Ставка НДС %],0,0)</f>
        <v/>
      </c>
      <c r="N1944" s="162">
        <f>IFERROR(IF(L1944="Китай",K1944,K1944/(1+M1944)),0)</f>
        <v/>
      </c>
      <c r="O1944" s="169" t="n"/>
      <c r="P1944" s="76">
        <f>N1944*(1-O1944)</f>
        <v/>
      </c>
      <c r="Q1944" s="162" t="n"/>
      <c r="R1944" s="162">
        <f>IF(ISBLANK(Q1944),"введи курс",P1944/Q1944)</f>
        <v/>
      </c>
      <c r="S1944" s="196">
        <f>IF(AND(ISNUMBER(E1944),ISNUMBER(Q1944)),E1944*R1944,0)</f>
        <v/>
      </c>
      <c r="T1944" s="192">
        <f>$BC1944*V$11</f>
        <v/>
      </c>
      <c r="U1944" s="76">
        <f>$BC1944*W$11</f>
        <v/>
      </c>
      <c r="V1944" s="193">
        <f>+SUM(T1944:U1944)</f>
        <v/>
      </c>
      <c r="W1944" s="191" t="n"/>
      <c r="X1944" s="170" t="n"/>
      <c r="Y1944" s="76">
        <f>ROUND(IF(offer_incoterms="DDP",X1944*(S1944*(1+AW1944)+T1944),0),2)</f>
        <v/>
      </c>
      <c r="Z1944" s="188" t="n"/>
      <c r="AA1944" s="192">
        <f>IFERROR(AB1944/E1944,0)</f>
        <v/>
      </c>
      <c r="AB1944" s="76">
        <f>ROUND(SUM(S1944,V1944,Y1944:Z1944,BA1944:BB1944),2)</f>
        <v/>
      </c>
      <c r="AC1944" s="797" t="n"/>
      <c r="AD1944" s="192">
        <f t="array" ref="AD1944">IFERROR(ROUND((_xlfn.IFS(offer_sale_type="поставка",AB1944,offer_sale_type="транзит",S1944)*(1+AC1944))/E1944,2),0)</f>
        <v/>
      </c>
      <c r="AE1944" s="76">
        <f>AD1944*E1944</f>
        <v/>
      </c>
      <c r="AF1944" s="193">
        <f t="array" ref="AF1944">IFERROR(ROUND(_xlfn.IFS(offer_sale_type="поставка",AB1944,offer_sale_type="транзит",S1944)*AC1944,2),0)</f>
        <v/>
      </c>
      <c r="AG1944" s="192">
        <f>$BD1944*VLOOKUP($AG$3,$AF$4:$AG$7,2,FALSE)</f>
        <v/>
      </c>
      <c r="AH1944" s="76">
        <f>SUM(AE1944,AG1944,AI1944)*rate_forex_risk</f>
        <v/>
      </c>
      <c r="AI1944" s="193">
        <f>IF(OR(seller_region="TR",offer_sale_type="экспорт"),0,rate_fin_comm)*SUM(AZ1944,AZ1944*AW1944,T1944)</f>
        <v/>
      </c>
      <c r="AJ1944" s="118">
        <f>IFERROR(ROUND(SUM(AB1944,AF1944:AI1944)/E1944,2),0)</f>
        <v/>
      </c>
      <c r="AK1944" s="76">
        <f>AJ1944*E1944</f>
        <v/>
      </c>
      <c r="AL1944" s="174">
        <f>ROUND(IFERROR(AM1944*E1944,0),2)</f>
        <v/>
      </c>
      <c r="AM1944" s="175">
        <f>ROUND(AJ1944*(1+IF(offer_incoterms="DDP",IF((TODAY()+offer_turnaround_time)&gt;=helpsheet!$L$17,rate_vatRU_from_26,rate_vatRu_till_25),0)),2)</f>
        <v/>
      </c>
      <c r="AN1944" s="192">
        <f>AL1944-AK1944</f>
        <v/>
      </c>
      <c r="AO1944" s="76">
        <f>SUM(AY1944,Y1944:Z1944,T1944)*IF(AND(offer_incoterms="DDP",offer_sale_type&lt;&gt;"экспорт"),IF((TODAY()+offer_turnaround_time)&gt;=helpsheet!$L$17,rate_vatRU_from_26,rate_vatRu_till_25),0)</f>
        <v/>
      </c>
      <c r="AP1944" s="193">
        <f>AN1944-AO1944</f>
        <v/>
      </c>
      <c r="AQ1944" s="118">
        <f>IF(offer_sale_type="транзит",SUM(AF1944:AI1944,BA1944,BB1944),0)</f>
        <v/>
      </c>
      <c r="AR1944" s="82">
        <f>HYPERLINK("https://www.alta.ru/tnved/code/")&amp;W1944&amp;"/"</f>
        <v/>
      </c>
      <c r="AS1944" s="157" t="n"/>
      <c r="AT1944" s="162" t="n"/>
      <c r="AU1944" s="76">
        <f>IF(ISBLANK(AT1944),0,AJ1944-AT1944)</f>
        <v/>
      </c>
      <c r="AV1944" s="157" t="n"/>
      <c r="AW1944" s="75">
        <f>_xlfn.IFNA(VLOOKUP(L1944,list_vat[],3,FALSE),0)</f>
        <v/>
      </c>
      <c r="AX1944" s="76">
        <f>IFERROR(ROUND(S1944*(1+AW1944)/E1944,2),0)</f>
        <v/>
      </c>
      <c r="AY1944" s="76">
        <f>E1944*AX1944</f>
        <v/>
      </c>
      <c r="AZ1944" s="192">
        <f>S1944*(1+M1944)</f>
        <v/>
      </c>
      <c r="BA1944" s="76">
        <f>cost_fin_total*$BD1944</f>
        <v/>
      </c>
      <c r="BB1944" s="193">
        <f>credit_sales_interest*BD1944</f>
        <v/>
      </c>
      <c r="BC1944" s="102">
        <f>IFERROR(IF($I$13&gt;0,$I1944/$I$13,$S1944/$S$13),0)</f>
        <v/>
      </c>
      <c r="BD1944" s="102">
        <f>IFERROR($S1944/$S$13,0)</f>
        <v/>
      </c>
      <c r="BE1944" s="413" t="inlineStr">
        <is>
          <t>$</t>
        </is>
      </c>
    </row>
    <row r="1945" ht="12" customFormat="1" customHeight="1" s="65">
      <c r="A1945" s="43" t="n">
        <v>1930</v>
      </c>
      <c r="B1945" s="166" t="n"/>
      <c r="C1945" s="166" t="n"/>
      <c r="D1945" s="166" t="n"/>
      <c r="E1945" s="162" t="n"/>
      <c r="F1945" s="166" t="n"/>
      <c r="G1945" s="162" t="n"/>
      <c r="H1945" s="162" t="n"/>
      <c r="I1945" s="189">
        <f>E1945*G1945</f>
        <v/>
      </c>
      <c r="J1945" s="195" t="n"/>
      <c r="K1945" s="162" t="n"/>
      <c r="L1945" s="168" t="n"/>
      <c r="M1945" s="75">
        <f>_xlfn.XLOOKUP(L1945,list_vat[Страна],list_vat[Ставка НДС %],0,0)</f>
        <v/>
      </c>
      <c r="N1945" s="162">
        <f>IFERROR(IF(L1945="Китай",K1945,K1945/(1+M1945)),0)</f>
        <v/>
      </c>
      <c r="O1945" s="169" t="n"/>
      <c r="P1945" s="76">
        <f>N1945*(1-O1945)</f>
        <v/>
      </c>
      <c r="Q1945" s="162" t="n"/>
      <c r="R1945" s="162">
        <f>IF(ISBLANK(Q1945),"введи курс",P1945/Q1945)</f>
        <v/>
      </c>
      <c r="S1945" s="196">
        <f>IF(AND(ISNUMBER(E1945),ISNUMBER(Q1945)),E1945*R1945,0)</f>
        <v/>
      </c>
      <c r="T1945" s="192">
        <f>$BC1945*V$11</f>
        <v/>
      </c>
      <c r="U1945" s="76">
        <f>$BC1945*W$11</f>
        <v/>
      </c>
      <c r="V1945" s="193">
        <f>+SUM(T1945:U1945)</f>
        <v/>
      </c>
      <c r="W1945" s="191" t="n"/>
      <c r="X1945" s="170" t="n"/>
      <c r="Y1945" s="76">
        <f>ROUND(IF(offer_incoterms="DDP",X1945*(S1945*(1+AW1945)+T1945),0),2)</f>
        <v/>
      </c>
      <c r="Z1945" s="188" t="n"/>
      <c r="AA1945" s="192">
        <f>IFERROR(AB1945/E1945,0)</f>
        <v/>
      </c>
      <c r="AB1945" s="76">
        <f>ROUND(SUM(S1945,V1945,Y1945:Z1945,BA1945:BB1945),2)</f>
        <v/>
      </c>
      <c r="AC1945" s="797" t="n"/>
      <c r="AD1945" s="192">
        <f t="array" ref="AD1945">IFERROR(ROUND((_xlfn.IFS(offer_sale_type="поставка",AB1945,offer_sale_type="транзит",S1945)*(1+AC1945))/E1945,2),0)</f>
        <v/>
      </c>
      <c r="AE1945" s="76">
        <f>AD1945*E1945</f>
        <v/>
      </c>
      <c r="AF1945" s="193">
        <f t="array" ref="AF1945">IFERROR(ROUND(_xlfn.IFS(offer_sale_type="поставка",AB1945,offer_sale_type="транзит",S1945)*AC1945,2),0)</f>
        <v/>
      </c>
      <c r="AG1945" s="192">
        <f>$BD1945*VLOOKUP($AG$3,$AF$4:$AG$7,2,FALSE)</f>
        <v/>
      </c>
      <c r="AH1945" s="76">
        <f>SUM(AE1945,AG1945,AI1945)*rate_forex_risk</f>
        <v/>
      </c>
      <c r="AI1945" s="193">
        <f>IF(OR(seller_region="TR",offer_sale_type="экспорт"),0,rate_fin_comm)*SUM(AZ1945,AZ1945*AW1945,T1945)</f>
        <v/>
      </c>
      <c r="AJ1945" s="118">
        <f>IFERROR(ROUND(SUM(AB1945,AF1945:AI1945)/E1945,2),0)</f>
        <v/>
      </c>
      <c r="AK1945" s="76">
        <f>AJ1945*E1945</f>
        <v/>
      </c>
      <c r="AL1945" s="174">
        <f>ROUND(IFERROR(AM1945*E1945,0),2)</f>
        <v/>
      </c>
      <c r="AM1945" s="175">
        <f>ROUND(AJ1945*(1+IF(offer_incoterms="DDP",IF((TODAY()+offer_turnaround_time)&gt;=helpsheet!$L$17,rate_vatRU_from_26,rate_vatRu_till_25),0)),2)</f>
        <v/>
      </c>
      <c r="AN1945" s="192">
        <f>AL1945-AK1945</f>
        <v/>
      </c>
      <c r="AO1945" s="76">
        <f>SUM(AY1945,Y1945:Z1945,T1945)*IF(AND(offer_incoterms="DDP",offer_sale_type&lt;&gt;"экспорт"),IF((TODAY()+offer_turnaround_time)&gt;=helpsheet!$L$17,rate_vatRU_from_26,rate_vatRu_till_25),0)</f>
        <v/>
      </c>
      <c r="AP1945" s="193">
        <f>AN1945-AO1945</f>
        <v/>
      </c>
      <c r="AQ1945" s="118">
        <f>IF(offer_sale_type="транзит",SUM(AF1945:AI1945,BA1945,BB1945),0)</f>
        <v/>
      </c>
      <c r="AR1945" s="82">
        <f>HYPERLINK("https://www.alta.ru/tnved/code/")&amp;W1945&amp;"/"</f>
        <v/>
      </c>
      <c r="AS1945" s="157" t="n"/>
      <c r="AT1945" s="162" t="n"/>
      <c r="AU1945" s="76">
        <f>IF(ISBLANK(AT1945),0,AJ1945-AT1945)</f>
        <v/>
      </c>
      <c r="AV1945" s="157" t="n"/>
      <c r="AW1945" s="75">
        <f>_xlfn.IFNA(VLOOKUP(L1945,list_vat[],3,FALSE),0)</f>
        <v/>
      </c>
      <c r="AX1945" s="76">
        <f>IFERROR(ROUND(S1945*(1+AW1945)/E1945,2),0)</f>
        <v/>
      </c>
      <c r="AY1945" s="76">
        <f>E1945*AX1945</f>
        <v/>
      </c>
      <c r="AZ1945" s="192">
        <f>S1945*(1+M1945)</f>
        <v/>
      </c>
      <c r="BA1945" s="76">
        <f>cost_fin_total*$BD1945</f>
        <v/>
      </c>
      <c r="BB1945" s="193">
        <f>credit_sales_interest*BD1945</f>
        <v/>
      </c>
      <c r="BC1945" s="102">
        <f>IFERROR(IF($I$13&gt;0,$I1945/$I$13,$S1945/$S$13),0)</f>
        <v/>
      </c>
      <c r="BD1945" s="102">
        <f>IFERROR($S1945/$S$13,0)</f>
        <v/>
      </c>
      <c r="BE1945" s="413" t="inlineStr">
        <is>
          <t>$</t>
        </is>
      </c>
    </row>
    <row r="1946" ht="12" customFormat="1" customHeight="1" s="65">
      <c r="A1946" s="43" t="n">
        <v>1931</v>
      </c>
      <c r="B1946" s="166" t="n"/>
      <c r="C1946" s="166" t="n"/>
      <c r="D1946" s="166" t="n"/>
      <c r="E1946" s="162" t="n"/>
      <c r="F1946" s="166" t="n"/>
      <c r="G1946" s="162" t="n"/>
      <c r="H1946" s="162" t="n"/>
      <c r="I1946" s="189">
        <f>E1946*G1946</f>
        <v/>
      </c>
      <c r="J1946" s="195" t="n"/>
      <c r="K1946" s="162" t="n"/>
      <c r="L1946" s="168" t="n"/>
      <c r="M1946" s="75">
        <f>_xlfn.XLOOKUP(L1946,list_vat[Страна],list_vat[Ставка НДС %],0,0)</f>
        <v/>
      </c>
      <c r="N1946" s="162">
        <f>IFERROR(IF(L1946="Китай",K1946,K1946/(1+M1946)),0)</f>
        <v/>
      </c>
      <c r="O1946" s="169" t="n"/>
      <c r="P1946" s="76">
        <f>N1946*(1-O1946)</f>
        <v/>
      </c>
      <c r="Q1946" s="162" t="n"/>
      <c r="R1946" s="162">
        <f>IF(ISBLANK(Q1946),"введи курс",P1946/Q1946)</f>
        <v/>
      </c>
      <c r="S1946" s="196">
        <f>IF(AND(ISNUMBER(E1946),ISNUMBER(Q1946)),E1946*R1946,0)</f>
        <v/>
      </c>
      <c r="T1946" s="192">
        <f>$BC1946*V$11</f>
        <v/>
      </c>
      <c r="U1946" s="76">
        <f>$BC1946*W$11</f>
        <v/>
      </c>
      <c r="V1946" s="193">
        <f>+SUM(T1946:U1946)</f>
        <v/>
      </c>
      <c r="W1946" s="191" t="n"/>
      <c r="X1946" s="170" t="n"/>
      <c r="Y1946" s="76">
        <f>ROUND(IF(offer_incoterms="DDP",X1946*(S1946*(1+AW1946)+T1946),0),2)</f>
        <v/>
      </c>
      <c r="Z1946" s="188" t="n"/>
      <c r="AA1946" s="192">
        <f>IFERROR(AB1946/E1946,0)</f>
        <v/>
      </c>
      <c r="AB1946" s="76">
        <f>ROUND(SUM(S1946,V1946,Y1946:Z1946,BA1946:BB1946),2)</f>
        <v/>
      </c>
      <c r="AC1946" s="797" t="n"/>
      <c r="AD1946" s="192">
        <f t="array" ref="AD1946">IFERROR(ROUND((_xlfn.IFS(offer_sale_type="поставка",AB1946,offer_sale_type="транзит",S1946)*(1+AC1946))/E1946,2),0)</f>
        <v/>
      </c>
      <c r="AE1946" s="76">
        <f>AD1946*E1946</f>
        <v/>
      </c>
      <c r="AF1946" s="193">
        <f t="array" ref="AF1946">IFERROR(ROUND(_xlfn.IFS(offer_sale_type="поставка",AB1946,offer_sale_type="транзит",S1946)*AC1946,2),0)</f>
        <v/>
      </c>
      <c r="AG1946" s="192">
        <f>$BD1946*VLOOKUP($AG$3,$AF$4:$AG$7,2,FALSE)</f>
        <v/>
      </c>
      <c r="AH1946" s="76">
        <f>SUM(AE1946,AG1946,AI1946)*rate_forex_risk</f>
        <v/>
      </c>
      <c r="AI1946" s="193">
        <f>IF(OR(seller_region="TR",offer_sale_type="экспорт"),0,rate_fin_comm)*SUM(AZ1946,AZ1946*AW1946,T1946)</f>
        <v/>
      </c>
      <c r="AJ1946" s="118">
        <f>IFERROR(ROUND(SUM(AB1946,AF1946:AI1946)/E1946,2),0)</f>
        <v/>
      </c>
      <c r="AK1946" s="76">
        <f>AJ1946*E1946</f>
        <v/>
      </c>
      <c r="AL1946" s="174">
        <f>ROUND(IFERROR(AM1946*E1946,0),2)</f>
        <v/>
      </c>
      <c r="AM1946" s="175">
        <f>ROUND(AJ1946*(1+IF(offer_incoterms="DDP",IF((TODAY()+offer_turnaround_time)&gt;=helpsheet!$L$17,rate_vatRU_from_26,rate_vatRu_till_25),0)),2)</f>
        <v/>
      </c>
      <c r="AN1946" s="192">
        <f>AL1946-AK1946</f>
        <v/>
      </c>
      <c r="AO1946" s="76">
        <f>SUM(AY1946,Y1946:Z1946,T1946)*IF(AND(offer_incoterms="DDP",offer_sale_type&lt;&gt;"экспорт"),IF((TODAY()+offer_turnaround_time)&gt;=helpsheet!$L$17,rate_vatRU_from_26,rate_vatRu_till_25),0)</f>
        <v/>
      </c>
      <c r="AP1946" s="193">
        <f>AN1946-AO1946</f>
        <v/>
      </c>
      <c r="AQ1946" s="118">
        <f>IF(offer_sale_type="транзит",SUM(AF1946:AI1946,BA1946,BB1946),0)</f>
        <v/>
      </c>
      <c r="AR1946" s="82">
        <f>HYPERLINK("https://www.alta.ru/tnved/code/")&amp;W1946&amp;"/"</f>
        <v/>
      </c>
      <c r="AS1946" s="157" t="n"/>
      <c r="AT1946" s="162" t="n"/>
      <c r="AU1946" s="76">
        <f>IF(ISBLANK(AT1946),0,AJ1946-AT1946)</f>
        <v/>
      </c>
      <c r="AV1946" s="157" t="n"/>
      <c r="AW1946" s="75">
        <f>_xlfn.IFNA(VLOOKUP(L1946,list_vat[],3,FALSE),0)</f>
        <v/>
      </c>
      <c r="AX1946" s="76">
        <f>IFERROR(ROUND(S1946*(1+AW1946)/E1946,2),0)</f>
        <v/>
      </c>
      <c r="AY1946" s="76">
        <f>E1946*AX1946</f>
        <v/>
      </c>
      <c r="AZ1946" s="192">
        <f>S1946*(1+M1946)</f>
        <v/>
      </c>
      <c r="BA1946" s="76">
        <f>cost_fin_total*$BD1946</f>
        <v/>
      </c>
      <c r="BB1946" s="193">
        <f>credit_sales_interest*BD1946</f>
        <v/>
      </c>
      <c r="BC1946" s="102">
        <f>IFERROR(IF($I$13&gt;0,$I1946/$I$13,$S1946/$S$13),0)</f>
        <v/>
      </c>
      <c r="BD1946" s="102">
        <f>IFERROR($S1946/$S$13,0)</f>
        <v/>
      </c>
      <c r="BE1946" s="413" t="inlineStr">
        <is>
          <t>$</t>
        </is>
      </c>
    </row>
    <row r="1947" ht="12" customFormat="1" customHeight="1" s="65">
      <c r="A1947" s="43" t="n">
        <v>1932</v>
      </c>
      <c r="B1947" s="166" t="n"/>
      <c r="C1947" s="166" t="n"/>
      <c r="D1947" s="166" t="n"/>
      <c r="E1947" s="162" t="n"/>
      <c r="F1947" s="166" t="n"/>
      <c r="G1947" s="162" t="n"/>
      <c r="H1947" s="162" t="n"/>
      <c r="I1947" s="189">
        <f>E1947*G1947</f>
        <v/>
      </c>
      <c r="J1947" s="195" t="n"/>
      <c r="K1947" s="162" t="n"/>
      <c r="L1947" s="168" t="n"/>
      <c r="M1947" s="75">
        <f>_xlfn.XLOOKUP(L1947,list_vat[Страна],list_vat[Ставка НДС %],0,0)</f>
        <v/>
      </c>
      <c r="N1947" s="162">
        <f>IFERROR(IF(L1947="Китай",K1947,K1947/(1+M1947)),0)</f>
        <v/>
      </c>
      <c r="O1947" s="169" t="n"/>
      <c r="P1947" s="76">
        <f>N1947*(1-O1947)</f>
        <v/>
      </c>
      <c r="Q1947" s="162" t="n"/>
      <c r="R1947" s="162">
        <f>IF(ISBLANK(Q1947),"введи курс",P1947/Q1947)</f>
        <v/>
      </c>
      <c r="S1947" s="196">
        <f>IF(AND(ISNUMBER(E1947),ISNUMBER(Q1947)),E1947*R1947,0)</f>
        <v/>
      </c>
      <c r="T1947" s="192">
        <f>$BC1947*V$11</f>
        <v/>
      </c>
      <c r="U1947" s="76">
        <f>$BC1947*W$11</f>
        <v/>
      </c>
      <c r="V1947" s="193">
        <f>+SUM(T1947:U1947)</f>
        <v/>
      </c>
      <c r="W1947" s="191" t="n"/>
      <c r="X1947" s="170" t="n"/>
      <c r="Y1947" s="76">
        <f>ROUND(IF(offer_incoterms="DDP",X1947*(S1947*(1+AW1947)+T1947),0),2)</f>
        <v/>
      </c>
      <c r="Z1947" s="188" t="n"/>
      <c r="AA1947" s="192">
        <f>IFERROR(AB1947/E1947,0)</f>
        <v/>
      </c>
      <c r="AB1947" s="76">
        <f>ROUND(SUM(S1947,V1947,Y1947:Z1947,BA1947:BB1947),2)</f>
        <v/>
      </c>
      <c r="AC1947" s="797" t="n"/>
      <c r="AD1947" s="192">
        <f t="array" ref="AD1947">IFERROR(ROUND((_xlfn.IFS(offer_sale_type="поставка",AB1947,offer_sale_type="транзит",S1947)*(1+AC1947))/E1947,2),0)</f>
        <v/>
      </c>
      <c r="AE1947" s="76">
        <f>AD1947*E1947</f>
        <v/>
      </c>
      <c r="AF1947" s="193">
        <f t="array" ref="AF1947">IFERROR(ROUND(_xlfn.IFS(offer_sale_type="поставка",AB1947,offer_sale_type="транзит",S1947)*AC1947,2),0)</f>
        <v/>
      </c>
      <c r="AG1947" s="192">
        <f>$BD1947*VLOOKUP($AG$3,$AF$4:$AG$7,2,FALSE)</f>
        <v/>
      </c>
      <c r="AH1947" s="76">
        <f>SUM(AE1947,AG1947,AI1947)*rate_forex_risk</f>
        <v/>
      </c>
      <c r="AI1947" s="193">
        <f>IF(OR(seller_region="TR",offer_sale_type="экспорт"),0,rate_fin_comm)*SUM(AZ1947,AZ1947*AW1947,T1947)</f>
        <v/>
      </c>
      <c r="AJ1947" s="118">
        <f>IFERROR(ROUND(SUM(AB1947,AF1947:AI1947)/E1947,2),0)</f>
        <v/>
      </c>
      <c r="AK1947" s="76">
        <f>AJ1947*E1947</f>
        <v/>
      </c>
      <c r="AL1947" s="174">
        <f>ROUND(IFERROR(AM1947*E1947,0),2)</f>
        <v/>
      </c>
      <c r="AM1947" s="175">
        <f>ROUND(AJ1947*(1+IF(offer_incoterms="DDP",IF((TODAY()+offer_turnaround_time)&gt;=helpsheet!$L$17,rate_vatRU_from_26,rate_vatRu_till_25),0)),2)</f>
        <v/>
      </c>
      <c r="AN1947" s="192">
        <f>AL1947-AK1947</f>
        <v/>
      </c>
      <c r="AO1947" s="76">
        <f>SUM(AY1947,Y1947:Z1947,T1947)*IF(AND(offer_incoterms="DDP",offer_sale_type&lt;&gt;"экспорт"),IF((TODAY()+offer_turnaround_time)&gt;=helpsheet!$L$17,rate_vatRU_from_26,rate_vatRu_till_25),0)</f>
        <v/>
      </c>
      <c r="AP1947" s="193">
        <f>AN1947-AO1947</f>
        <v/>
      </c>
      <c r="AQ1947" s="118">
        <f>IF(offer_sale_type="транзит",SUM(AF1947:AI1947,BA1947,BB1947),0)</f>
        <v/>
      </c>
      <c r="AR1947" s="82">
        <f>HYPERLINK("https://www.alta.ru/tnved/code/")&amp;W1947&amp;"/"</f>
        <v/>
      </c>
      <c r="AS1947" s="157" t="n"/>
      <c r="AT1947" s="162" t="n"/>
      <c r="AU1947" s="76">
        <f>IF(ISBLANK(AT1947),0,AJ1947-AT1947)</f>
        <v/>
      </c>
      <c r="AV1947" s="157" t="n"/>
      <c r="AW1947" s="75">
        <f>_xlfn.IFNA(VLOOKUP(L1947,list_vat[],3,FALSE),0)</f>
        <v/>
      </c>
      <c r="AX1947" s="76">
        <f>IFERROR(ROUND(S1947*(1+AW1947)/E1947,2),0)</f>
        <v/>
      </c>
      <c r="AY1947" s="76">
        <f>E1947*AX1947</f>
        <v/>
      </c>
      <c r="AZ1947" s="192">
        <f>S1947*(1+M1947)</f>
        <v/>
      </c>
      <c r="BA1947" s="76">
        <f>cost_fin_total*$BD1947</f>
        <v/>
      </c>
      <c r="BB1947" s="193">
        <f>credit_sales_interest*BD1947</f>
        <v/>
      </c>
      <c r="BC1947" s="102">
        <f>IFERROR(IF($I$13&gt;0,$I1947/$I$13,$S1947/$S$13),0)</f>
        <v/>
      </c>
      <c r="BD1947" s="102">
        <f>IFERROR($S1947/$S$13,0)</f>
        <v/>
      </c>
      <c r="BE1947" s="413" t="inlineStr">
        <is>
          <t>$</t>
        </is>
      </c>
    </row>
    <row r="1948" ht="12" customFormat="1" customHeight="1" s="65">
      <c r="A1948" s="43" t="n">
        <v>1933</v>
      </c>
      <c r="B1948" s="166" t="n"/>
      <c r="C1948" s="166" t="n"/>
      <c r="D1948" s="166" t="n"/>
      <c r="E1948" s="162" t="n"/>
      <c r="F1948" s="166" t="n"/>
      <c r="G1948" s="162" t="n"/>
      <c r="H1948" s="162" t="n"/>
      <c r="I1948" s="189">
        <f>E1948*G1948</f>
        <v/>
      </c>
      <c r="J1948" s="195" t="n"/>
      <c r="K1948" s="162" t="n"/>
      <c r="L1948" s="168" t="n"/>
      <c r="M1948" s="75">
        <f>_xlfn.XLOOKUP(L1948,list_vat[Страна],list_vat[Ставка НДС %],0,0)</f>
        <v/>
      </c>
      <c r="N1948" s="162">
        <f>IFERROR(IF(L1948="Китай",K1948,K1948/(1+M1948)),0)</f>
        <v/>
      </c>
      <c r="O1948" s="169" t="n"/>
      <c r="P1948" s="76">
        <f>N1948*(1-O1948)</f>
        <v/>
      </c>
      <c r="Q1948" s="162" t="n"/>
      <c r="R1948" s="162">
        <f>IF(ISBLANK(Q1948),"введи курс",P1948/Q1948)</f>
        <v/>
      </c>
      <c r="S1948" s="196">
        <f>IF(AND(ISNUMBER(E1948),ISNUMBER(Q1948)),E1948*R1948,0)</f>
        <v/>
      </c>
      <c r="T1948" s="192">
        <f>$BC1948*V$11</f>
        <v/>
      </c>
      <c r="U1948" s="76">
        <f>$BC1948*W$11</f>
        <v/>
      </c>
      <c r="V1948" s="193">
        <f>+SUM(T1948:U1948)</f>
        <v/>
      </c>
      <c r="W1948" s="191" t="n"/>
      <c r="X1948" s="170" t="n"/>
      <c r="Y1948" s="76">
        <f>ROUND(IF(offer_incoterms="DDP",X1948*(S1948*(1+AW1948)+T1948),0),2)</f>
        <v/>
      </c>
      <c r="Z1948" s="188" t="n"/>
      <c r="AA1948" s="192">
        <f>IFERROR(AB1948/E1948,0)</f>
        <v/>
      </c>
      <c r="AB1948" s="76">
        <f>ROUND(SUM(S1948,V1948,Y1948:Z1948,BA1948:BB1948),2)</f>
        <v/>
      </c>
      <c r="AC1948" s="797" t="n"/>
      <c r="AD1948" s="192">
        <f t="array" ref="AD1948">IFERROR(ROUND((_xlfn.IFS(offer_sale_type="поставка",AB1948,offer_sale_type="транзит",S1948)*(1+AC1948))/E1948,2),0)</f>
        <v/>
      </c>
      <c r="AE1948" s="76">
        <f>AD1948*E1948</f>
        <v/>
      </c>
      <c r="AF1948" s="193">
        <f t="array" ref="AF1948">IFERROR(ROUND(_xlfn.IFS(offer_sale_type="поставка",AB1948,offer_sale_type="транзит",S1948)*AC1948,2),0)</f>
        <v/>
      </c>
      <c r="AG1948" s="192">
        <f>$BD1948*VLOOKUP($AG$3,$AF$4:$AG$7,2,FALSE)</f>
        <v/>
      </c>
      <c r="AH1948" s="76">
        <f>SUM(AE1948,AG1948,AI1948)*rate_forex_risk</f>
        <v/>
      </c>
      <c r="AI1948" s="193">
        <f>IF(OR(seller_region="TR",offer_sale_type="экспорт"),0,rate_fin_comm)*SUM(AZ1948,AZ1948*AW1948,T1948)</f>
        <v/>
      </c>
      <c r="AJ1948" s="118">
        <f>IFERROR(ROUND(SUM(AB1948,AF1948:AI1948)/E1948,2),0)</f>
        <v/>
      </c>
      <c r="AK1948" s="76">
        <f>AJ1948*E1948</f>
        <v/>
      </c>
      <c r="AL1948" s="174">
        <f>ROUND(IFERROR(AM1948*E1948,0),2)</f>
        <v/>
      </c>
      <c r="AM1948" s="175">
        <f>ROUND(AJ1948*(1+IF(offer_incoterms="DDP",IF((TODAY()+offer_turnaround_time)&gt;=helpsheet!$L$17,rate_vatRU_from_26,rate_vatRu_till_25),0)),2)</f>
        <v/>
      </c>
      <c r="AN1948" s="192">
        <f>AL1948-AK1948</f>
        <v/>
      </c>
      <c r="AO1948" s="76">
        <f>SUM(AY1948,Y1948:Z1948,T1948)*IF(AND(offer_incoterms="DDP",offer_sale_type&lt;&gt;"экспорт"),IF((TODAY()+offer_turnaround_time)&gt;=helpsheet!$L$17,rate_vatRU_from_26,rate_vatRu_till_25),0)</f>
        <v/>
      </c>
      <c r="AP1948" s="193">
        <f>AN1948-AO1948</f>
        <v/>
      </c>
      <c r="AQ1948" s="118">
        <f>IF(offer_sale_type="транзит",SUM(AF1948:AI1948,BA1948,BB1948),0)</f>
        <v/>
      </c>
      <c r="AR1948" s="82">
        <f>HYPERLINK("https://www.alta.ru/tnved/code/")&amp;W1948&amp;"/"</f>
        <v/>
      </c>
      <c r="AS1948" s="157" t="n"/>
      <c r="AT1948" s="162" t="n"/>
      <c r="AU1948" s="76">
        <f>IF(ISBLANK(AT1948),0,AJ1948-AT1948)</f>
        <v/>
      </c>
      <c r="AV1948" s="157" t="n"/>
      <c r="AW1948" s="75">
        <f>_xlfn.IFNA(VLOOKUP(L1948,list_vat[],3,FALSE),0)</f>
        <v/>
      </c>
      <c r="AX1948" s="76">
        <f>IFERROR(ROUND(S1948*(1+AW1948)/E1948,2),0)</f>
        <v/>
      </c>
      <c r="AY1948" s="76">
        <f>E1948*AX1948</f>
        <v/>
      </c>
      <c r="AZ1948" s="192">
        <f>S1948*(1+M1948)</f>
        <v/>
      </c>
      <c r="BA1948" s="76">
        <f>cost_fin_total*$BD1948</f>
        <v/>
      </c>
      <c r="BB1948" s="193">
        <f>credit_sales_interest*BD1948</f>
        <v/>
      </c>
      <c r="BC1948" s="102">
        <f>IFERROR(IF($I$13&gt;0,$I1948/$I$13,$S1948/$S$13),0)</f>
        <v/>
      </c>
      <c r="BD1948" s="102">
        <f>IFERROR($S1948/$S$13,0)</f>
        <v/>
      </c>
      <c r="BE1948" s="413" t="inlineStr">
        <is>
          <t>$</t>
        </is>
      </c>
    </row>
    <row r="1949" ht="12" customFormat="1" customHeight="1" s="65">
      <c r="A1949" s="43" t="n">
        <v>1934</v>
      </c>
      <c r="B1949" s="166" t="n"/>
      <c r="C1949" s="166" t="n"/>
      <c r="D1949" s="166" t="n"/>
      <c r="E1949" s="162" t="n"/>
      <c r="F1949" s="166" t="n"/>
      <c r="G1949" s="162" t="n"/>
      <c r="H1949" s="162" t="n"/>
      <c r="I1949" s="189">
        <f>E1949*G1949</f>
        <v/>
      </c>
      <c r="J1949" s="195" t="n"/>
      <c r="K1949" s="162" t="n"/>
      <c r="L1949" s="168" t="n"/>
      <c r="M1949" s="75">
        <f>_xlfn.XLOOKUP(L1949,list_vat[Страна],list_vat[Ставка НДС %],0,0)</f>
        <v/>
      </c>
      <c r="N1949" s="162">
        <f>IFERROR(IF(L1949="Китай",K1949,K1949/(1+M1949)),0)</f>
        <v/>
      </c>
      <c r="O1949" s="169" t="n"/>
      <c r="P1949" s="76">
        <f>N1949*(1-O1949)</f>
        <v/>
      </c>
      <c r="Q1949" s="162" t="n"/>
      <c r="R1949" s="162">
        <f>IF(ISBLANK(Q1949),"введи курс",P1949/Q1949)</f>
        <v/>
      </c>
      <c r="S1949" s="196">
        <f>IF(AND(ISNUMBER(E1949),ISNUMBER(Q1949)),E1949*R1949,0)</f>
        <v/>
      </c>
      <c r="T1949" s="192">
        <f>$BC1949*V$11</f>
        <v/>
      </c>
      <c r="U1949" s="76">
        <f>$BC1949*W$11</f>
        <v/>
      </c>
      <c r="V1949" s="193">
        <f>+SUM(T1949:U1949)</f>
        <v/>
      </c>
      <c r="W1949" s="191" t="n"/>
      <c r="X1949" s="170" t="n"/>
      <c r="Y1949" s="76">
        <f>ROUND(IF(offer_incoterms="DDP",X1949*(S1949*(1+AW1949)+T1949),0),2)</f>
        <v/>
      </c>
      <c r="Z1949" s="188" t="n"/>
      <c r="AA1949" s="192">
        <f>IFERROR(AB1949/E1949,0)</f>
        <v/>
      </c>
      <c r="AB1949" s="76">
        <f>ROUND(SUM(S1949,V1949,Y1949:Z1949,BA1949:BB1949),2)</f>
        <v/>
      </c>
      <c r="AC1949" s="797" t="n"/>
      <c r="AD1949" s="192">
        <f t="array" ref="AD1949">IFERROR(ROUND((_xlfn.IFS(offer_sale_type="поставка",AB1949,offer_sale_type="транзит",S1949)*(1+AC1949))/E1949,2),0)</f>
        <v/>
      </c>
      <c r="AE1949" s="76">
        <f>AD1949*E1949</f>
        <v/>
      </c>
      <c r="AF1949" s="193">
        <f t="array" ref="AF1949">IFERROR(ROUND(_xlfn.IFS(offer_sale_type="поставка",AB1949,offer_sale_type="транзит",S1949)*AC1949,2),0)</f>
        <v/>
      </c>
      <c r="AG1949" s="192">
        <f>$BD1949*VLOOKUP($AG$3,$AF$4:$AG$7,2,FALSE)</f>
        <v/>
      </c>
      <c r="AH1949" s="76">
        <f>SUM(AE1949,AG1949,AI1949)*rate_forex_risk</f>
        <v/>
      </c>
      <c r="AI1949" s="193">
        <f>IF(OR(seller_region="TR",offer_sale_type="экспорт"),0,rate_fin_comm)*SUM(AZ1949,AZ1949*AW1949,T1949)</f>
        <v/>
      </c>
      <c r="AJ1949" s="118">
        <f>IFERROR(ROUND(SUM(AB1949,AF1949:AI1949)/E1949,2),0)</f>
        <v/>
      </c>
      <c r="AK1949" s="76">
        <f>AJ1949*E1949</f>
        <v/>
      </c>
      <c r="AL1949" s="174">
        <f>ROUND(IFERROR(AM1949*E1949,0),2)</f>
        <v/>
      </c>
      <c r="AM1949" s="175">
        <f>ROUND(AJ1949*(1+IF(offer_incoterms="DDP",IF((TODAY()+offer_turnaround_time)&gt;=helpsheet!$L$17,rate_vatRU_from_26,rate_vatRu_till_25),0)),2)</f>
        <v/>
      </c>
      <c r="AN1949" s="192">
        <f>AL1949-AK1949</f>
        <v/>
      </c>
      <c r="AO1949" s="76">
        <f>SUM(AY1949,Y1949:Z1949,T1949)*IF(AND(offer_incoterms="DDP",offer_sale_type&lt;&gt;"экспорт"),IF((TODAY()+offer_turnaround_time)&gt;=helpsheet!$L$17,rate_vatRU_from_26,rate_vatRu_till_25),0)</f>
        <v/>
      </c>
      <c r="AP1949" s="193">
        <f>AN1949-AO1949</f>
        <v/>
      </c>
      <c r="AQ1949" s="118">
        <f>IF(offer_sale_type="транзит",SUM(AF1949:AI1949,BA1949,BB1949),0)</f>
        <v/>
      </c>
      <c r="AR1949" s="82">
        <f>HYPERLINK("https://www.alta.ru/tnved/code/")&amp;W1949&amp;"/"</f>
        <v/>
      </c>
      <c r="AS1949" s="157" t="n"/>
      <c r="AT1949" s="162" t="n"/>
      <c r="AU1949" s="76">
        <f>IF(ISBLANK(AT1949),0,AJ1949-AT1949)</f>
        <v/>
      </c>
      <c r="AV1949" s="157" t="n"/>
      <c r="AW1949" s="75">
        <f>_xlfn.IFNA(VLOOKUP(L1949,list_vat[],3,FALSE),0)</f>
        <v/>
      </c>
      <c r="AX1949" s="76">
        <f>IFERROR(ROUND(S1949*(1+AW1949)/E1949,2),0)</f>
        <v/>
      </c>
      <c r="AY1949" s="76">
        <f>E1949*AX1949</f>
        <v/>
      </c>
      <c r="AZ1949" s="192">
        <f>S1949*(1+M1949)</f>
        <v/>
      </c>
      <c r="BA1949" s="76">
        <f>cost_fin_total*$BD1949</f>
        <v/>
      </c>
      <c r="BB1949" s="193">
        <f>credit_sales_interest*BD1949</f>
        <v/>
      </c>
      <c r="BC1949" s="102">
        <f>IFERROR(IF($I$13&gt;0,$I1949/$I$13,$S1949/$S$13),0)</f>
        <v/>
      </c>
      <c r="BD1949" s="102">
        <f>IFERROR($S1949/$S$13,0)</f>
        <v/>
      </c>
      <c r="BE1949" s="413" t="inlineStr">
        <is>
          <t>$</t>
        </is>
      </c>
    </row>
    <row r="1950" ht="12" customFormat="1" customHeight="1" s="65">
      <c r="A1950" s="43" t="n">
        <v>1935</v>
      </c>
      <c r="B1950" s="166" t="n"/>
      <c r="C1950" s="166" t="n"/>
      <c r="D1950" s="166" t="n"/>
      <c r="E1950" s="162" t="n"/>
      <c r="F1950" s="166" t="n"/>
      <c r="G1950" s="162" t="n"/>
      <c r="H1950" s="162" t="n"/>
      <c r="I1950" s="189">
        <f>E1950*G1950</f>
        <v/>
      </c>
      <c r="J1950" s="195" t="n"/>
      <c r="K1950" s="162" t="n"/>
      <c r="L1950" s="168" t="n"/>
      <c r="M1950" s="75">
        <f>_xlfn.XLOOKUP(L1950,list_vat[Страна],list_vat[Ставка НДС %],0,0)</f>
        <v/>
      </c>
      <c r="N1950" s="162">
        <f>IFERROR(IF(L1950="Китай",K1950,K1950/(1+M1950)),0)</f>
        <v/>
      </c>
      <c r="O1950" s="169" t="n"/>
      <c r="P1950" s="76">
        <f>N1950*(1-O1950)</f>
        <v/>
      </c>
      <c r="Q1950" s="162" t="n"/>
      <c r="R1950" s="162">
        <f>IF(ISBLANK(Q1950),"введи курс",P1950/Q1950)</f>
        <v/>
      </c>
      <c r="S1950" s="196">
        <f>IF(AND(ISNUMBER(E1950),ISNUMBER(Q1950)),E1950*R1950,0)</f>
        <v/>
      </c>
      <c r="T1950" s="192">
        <f>$BC1950*V$11</f>
        <v/>
      </c>
      <c r="U1950" s="76">
        <f>$BC1950*W$11</f>
        <v/>
      </c>
      <c r="V1950" s="193">
        <f>+SUM(T1950:U1950)</f>
        <v/>
      </c>
      <c r="W1950" s="191" t="n"/>
      <c r="X1950" s="170" t="n"/>
      <c r="Y1950" s="76">
        <f>ROUND(IF(offer_incoterms="DDP",X1950*(S1950*(1+AW1950)+T1950),0),2)</f>
        <v/>
      </c>
      <c r="Z1950" s="188" t="n"/>
      <c r="AA1950" s="192">
        <f>IFERROR(AB1950/E1950,0)</f>
        <v/>
      </c>
      <c r="AB1950" s="76">
        <f>ROUND(SUM(S1950,V1950,Y1950:Z1950,BA1950:BB1950),2)</f>
        <v/>
      </c>
      <c r="AC1950" s="797" t="n"/>
      <c r="AD1950" s="192">
        <f t="array" ref="AD1950">IFERROR(ROUND((_xlfn.IFS(offer_sale_type="поставка",AB1950,offer_sale_type="транзит",S1950)*(1+AC1950))/E1950,2),0)</f>
        <v/>
      </c>
      <c r="AE1950" s="76">
        <f>AD1950*E1950</f>
        <v/>
      </c>
      <c r="AF1950" s="193">
        <f t="array" ref="AF1950">IFERROR(ROUND(_xlfn.IFS(offer_sale_type="поставка",AB1950,offer_sale_type="транзит",S1950)*AC1950,2),0)</f>
        <v/>
      </c>
      <c r="AG1950" s="192">
        <f>$BD1950*VLOOKUP($AG$3,$AF$4:$AG$7,2,FALSE)</f>
        <v/>
      </c>
      <c r="AH1950" s="76">
        <f>SUM(AE1950,AG1950,AI1950)*rate_forex_risk</f>
        <v/>
      </c>
      <c r="AI1950" s="193">
        <f>IF(OR(seller_region="TR",offer_sale_type="экспорт"),0,rate_fin_comm)*SUM(AZ1950,AZ1950*AW1950,T1950)</f>
        <v/>
      </c>
      <c r="AJ1950" s="118">
        <f>IFERROR(ROUND(SUM(AB1950,AF1950:AI1950)/E1950,2),0)</f>
        <v/>
      </c>
      <c r="AK1950" s="76">
        <f>AJ1950*E1950</f>
        <v/>
      </c>
      <c r="AL1950" s="174">
        <f>ROUND(IFERROR(AM1950*E1950,0),2)</f>
        <v/>
      </c>
      <c r="AM1950" s="175">
        <f>ROUND(AJ1950*(1+IF(offer_incoterms="DDP",IF((TODAY()+offer_turnaround_time)&gt;=helpsheet!$L$17,rate_vatRU_from_26,rate_vatRu_till_25),0)),2)</f>
        <v/>
      </c>
      <c r="AN1950" s="192">
        <f>AL1950-AK1950</f>
        <v/>
      </c>
      <c r="AO1950" s="76">
        <f>SUM(AY1950,Y1950:Z1950,T1950)*IF(AND(offer_incoterms="DDP",offer_sale_type&lt;&gt;"экспорт"),IF((TODAY()+offer_turnaround_time)&gt;=helpsheet!$L$17,rate_vatRU_from_26,rate_vatRu_till_25),0)</f>
        <v/>
      </c>
      <c r="AP1950" s="193">
        <f>AN1950-AO1950</f>
        <v/>
      </c>
      <c r="AQ1950" s="118">
        <f>IF(offer_sale_type="транзит",SUM(AF1950:AI1950,BA1950,BB1950),0)</f>
        <v/>
      </c>
      <c r="AR1950" s="82">
        <f>HYPERLINK("https://www.alta.ru/tnved/code/")&amp;W1950&amp;"/"</f>
        <v/>
      </c>
      <c r="AS1950" s="157" t="n"/>
      <c r="AT1950" s="162" t="n"/>
      <c r="AU1950" s="76">
        <f>IF(ISBLANK(AT1950),0,AJ1950-AT1950)</f>
        <v/>
      </c>
      <c r="AV1950" s="157" t="n"/>
      <c r="AW1950" s="75">
        <f>_xlfn.IFNA(VLOOKUP(L1950,list_vat[],3,FALSE),0)</f>
        <v/>
      </c>
      <c r="AX1950" s="76">
        <f>IFERROR(ROUND(S1950*(1+AW1950)/E1950,2),0)</f>
        <v/>
      </c>
      <c r="AY1950" s="76">
        <f>E1950*AX1950</f>
        <v/>
      </c>
      <c r="AZ1950" s="192">
        <f>S1950*(1+M1950)</f>
        <v/>
      </c>
      <c r="BA1950" s="76">
        <f>cost_fin_total*$BD1950</f>
        <v/>
      </c>
      <c r="BB1950" s="193">
        <f>credit_sales_interest*BD1950</f>
        <v/>
      </c>
      <c r="BC1950" s="102">
        <f>IFERROR(IF($I$13&gt;0,$I1950/$I$13,$S1950/$S$13),0)</f>
        <v/>
      </c>
      <c r="BD1950" s="102">
        <f>IFERROR($S1950/$S$13,0)</f>
        <v/>
      </c>
      <c r="BE1950" s="413" t="inlineStr">
        <is>
          <t>$</t>
        </is>
      </c>
    </row>
    <row r="1951" ht="12" customFormat="1" customHeight="1" s="65">
      <c r="A1951" s="43" t="n">
        <v>1936</v>
      </c>
      <c r="B1951" s="166" t="n"/>
      <c r="C1951" s="166" t="n"/>
      <c r="D1951" s="166" t="n"/>
      <c r="E1951" s="162" t="n"/>
      <c r="F1951" s="166" t="n"/>
      <c r="G1951" s="162" t="n"/>
      <c r="H1951" s="162" t="n"/>
      <c r="I1951" s="189">
        <f>E1951*G1951</f>
        <v/>
      </c>
      <c r="J1951" s="195" t="n"/>
      <c r="K1951" s="162" t="n"/>
      <c r="L1951" s="168" t="n"/>
      <c r="M1951" s="75">
        <f>_xlfn.XLOOKUP(L1951,list_vat[Страна],list_vat[Ставка НДС %],0,0)</f>
        <v/>
      </c>
      <c r="N1951" s="162">
        <f>IFERROR(IF(L1951="Китай",K1951,K1951/(1+M1951)),0)</f>
        <v/>
      </c>
      <c r="O1951" s="169" t="n"/>
      <c r="P1951" s="76">
        <f>N1951*(1-O1951)</f>
        <v/>
      </c>
      <c r="Q1951" s="162" t="n"/>
      <c r="R1951" s="162">
        <f>IF(ISBLANK(Q1951),"введи курс",P1951/Q1951)</f>
        <v/>
      </c>
      <c r="S1951" s="196">
        <f>IF(AND(ISNUMBER(E1951),ISNUMBER(Q1951)),E1951*R1951,0)</f>
        <v/>
      </c>
      <c r="T1951" s="192">
        <f>$BC1951*V$11</f>
        <v/>
      </c>
      <c r="U1951" s="76">
        <f>$BC1951*W$11</f>
        <v/>
      </c>
      <c r="V1951" s="193">
        <f>+SUM(T1951:U1951)</f>
        <v/>
      </c>
      <c r="W1951" s="191" t="n"/>
      <c r="X1951" s="170" t="n"/>
      <c r="Y1951" s="76">
        <f>ROUND(IF(offer_incoterms="DDP",X1951*(S1951*(1+AW1951)+T1951),0),2)</f>
        <v/>
      </c>
      <c r="Z1951" s="188" t="n"/>
      <c r="AA1951" s="192">
        <f>IFERROR(AB1951/E1951,0)</f>
        <v/>
      </c>
      <c r="AB1951" s="76">
        <f>ROUND(SUM(S1951,V1951,Y1951:Z1951,BA1951:BB1951),2)</f>
        <v/>
      </c>
      <c r="AC1951" s="797" t="n"/>
      <c r="AD1951" s="192">
        <f t="array" ref="AD1951">IFERROR(ROUND((_xlfn.IFS(offer_sale_type="поставка",AB1951,offer_sale_type="транзит",S1951)*(1+AC1951))/E1951,2),0)</f>
        <v/>
      </c>
      <c r="AE1951" s="76">
        <f>AD1951*E1951</f>
        <v/>
      </c>
      <c r="AF1951" s="193">
        <f t="array" ref="AF1951">IFERROR(ROUND(_xlfn.IFS(offer_sale_type="поставка",AB1951,offer_sale_type="транзит",S1951)*AC1951,2),0)</f>
        <v/>
      </c>
      <c r="AG1951" s="192">
        <f>$BD1951*VLOOKUP($AG$3,$AF$4:$AG$7,2,FALSE)</f>
        <v/>
      </c>
      <c r="AH1951" s="76">
        <f>SUM(AE1951,AG1951,AI1951)*rate_forex_risk</f>
        <v/>
      </c>
      <c r="AI1951" s="193">
        <f>IF(OR(seller_region="TR",offer_sale_type="экспорт"),0,rate_fin_comm)*SUM(AZ1951,AZ1951*AW1951,T1951)</f>
        <v/>
      </c>
      <c r="AJ1951" s="118">
        <f>IFERROR(ROUND(SUM(AB1951,AF1951:AI1951)/E1951,2),0)</f>
        <v/>
      </c>
      <c r="AK1951" s="76">
        <f>AJ1951*E1951</f>
        <v/>
      </c>
      <c r="AL1951" s="174">
        <f>ROUND(IFERROR(AM1951*E1951,0),2)</f>
        <v/>
      </c>
      <c r="AM1951" s="175">
        <f>ROUND(AJ1951*(1+IF(offer_incoterms="DDP",IF((TODAY()+offer_turnaround_time)&gt;=helpsheet!$L$17,rate_vatRU_from_26,rate_vatRu_till_25),0)),2)</f>
        <v/>
      </c>
      <c r="AN1951" s="192">
        <f>AL1951-AK1951</f>
        <v/>
      </c>
      <c r="AO1951" s="76">
        <f>SUM(AY1951,Y1951:Z1951,T1951)*IF(AND(offer_incoterms="DDP",offer_sale_type&lt;&gt;"экспорт"),IF((TODAY()+offer_turnaround_time)&gt;=helpsheet!$L$17,rate_vatRU_from_26,rate_vatRu_till_25),0)</f>
        <v/>
      </c>
      <c r="AP1951" s="193">
        <f>AN1951-AO1951</f>
        <v/>
      </c>
      <c r="AQ1951" s="118">
        <f>IF(offer_sale_type="транзит",SUM(AF1951:AI1951,BA1951,BB1951),0)</f>
        <v/>
      </c>
      <c r="AR1951" s="82">
        <f>HYPERLINK("https://www.alta.ru/tnved/code/")&amp;W1951&amp;"/"</f>
        <v/>
      </c>
      <c r="AS1951" s="157" t="n"/>
      <c r="AT1951" s="162" t="n"/>
      <c r="AU1951" s="76">
        <f>IF(ISBLANK(AT1951),0,AJ1951-AT1951)</f>
        <v/>
      </c>
      <c r="AV1951" s="157" t="n"/>
      <c r="AW1951" s="75">
        <f>_xlfn.IFNA(VLOOKUP(L1951,list_vat[],3,FALSE),0)</f>
        <v/>
      </c>
      <c r="AX1951" s="76">
        <f>IFERROR(ROUND(S1951*(1+AW1951)/E1951,2),0)</f>
        <v/>
      </c>
      <c r="AY1951" s="76">
        <f>E1951*AX1951</f>
        <v/>
      </c>
      <c r="AZ1951" s="192">
        <f>S1951*(1+M1951)</f>
        <v/>
      </c>
      <c r="BA1951" s="76">
        <f>cost_fin_total*$BD1951</f>
        <v/>
      </c>
      <c r="BB1951" s="193">
        <f>credit_sales_interest*BD1951</f>
        <v/>
      </c>
      <c r="BC1951" s="102">
        <f>IFERROR(IF($I$13&gt;0,$I1951/$I$13,$S1951/$S$13),0)</f>
        <v/>
      </c>
      <c r="BD1951" s="102">
        <f>IFERROR($S1951/$S$13,0)</f>
        <v/>
      </c>
      <c r="BE1951" s="413" t="inlineStr">
        <is>
          <t>$</t>
        </is>
      </c>
    </row>
    <row r="1952" ht="12" customFormat="1" customHeight="1" s="65">
      <c r="A1952" s="43" t="n">
        <v>1937</v>
      </c>
      <c r="B1952" s="166" t="n"/>
      <c r="C1952" s="166" t="n"/>
      <c r="D1952" s="166" t="n"/>
      <c r="E1952" s="162" t="n"/>
      <c r="F1952" s="166" t="n"/>
      <c r="G1952" s="162" t="n"/>
      <c r="H1952" s="162" t="n"/>
      <c r="I1952" s="189">
        <f>E1952*G1952</f>
        <v/>
      </c>
      <c r="J1952" s="195" t="n"/>
      <c r="K1952" s="162" t="n"/>
      <c r="L1952" s="168" t="n"/>
      <c r="M1952" s="75">
        <f>_xlfn.XLOOKUP(L1952,list_vat[Страна],list_vat[Ставка НДС %],0,0)</f>
        <v/>
      </c>
      <c r="N1952" s="162">
        <f>IFERROR(IF(L1952="Китай",K1952,K1952/(1+M1952)),0)</f>
        <v/>
      </c>
      <c r="O1952" s="169" t="n"/>
      <c r="P1952" s="76">
        <f>N1952*(1-O1952)</f>
        <v/>
      </c>
      <c r="Q1952" s="162" t="n"/>
      <c r="R1952" s="162">
        <f>IF(ISBLANK(Q1952),"введи курс",P1952/Q1952)</f>
        <v/>
      </c>
      <c r="S1952" s="196">
        <f>IF(AND(ISNUMBER(E1952),ISNUMBER(Q1952)),E1952*R1952,0)</f>
        <v/>
      </c>
      <c r="T1952" s="192">
        <f>$BC1952*V$11</f>
        <v/>
      </c>
      <c r="U1952" s="76">
        <f>$BC1952*W$11</f>
        <v/>
      </c>
      <c r="V1952" s="193">
        <f>+SUM(T1952:U1952)</f>
        <v/>
      </c>
      <c r="W1952" s="191" t="n"/>
      <c r="X1952" s="170" t="n"/>
      <c r="Y1952" s="76">
        <f>ROUND(IF(offer_incoterms="DDP",X1952*(S1952*(1+AW1952)+T1952),0),2)</f>
        <v/>
      </c>
      <c r="Z1952" s="188" t="n"/>
      <c r="AA1952" s="192">
        <f>IFERROR(AB1952/E1952,0)</f>
        <v/>
      </c>
      <c r="AB1952" s="76">
        <f>ROUND(SUM(S1952,V1952,Y1952:Z1952,BA1952:BB1952),2)</f>
        <v/>
      </c>
      <c r="AC1952" s="797" t="n"/>
      <c r="AD1952" s="192">
        <f t="array" ref="AD1952">IFERROR(ROUND((_xlfn.IFS(offer_sale_type="поставка",AB1952,offer_sale_type="транзит",S1952)*(1+AC1952))/E1952,2),0)</f>
        <v/>
      </c>
      <c r="AE1952" s="76">
        <f>AD1952*E1952</f>
        <v/>
      </c>
      <c r="AF1952" s="193">
        <f t="array" ref="AF1952">IFERROR(ROUND(_xlfn.IFS(offer_sale_type="поставка",AB1952,offer_sale_type="транзит",S1952)*AC1952,2),0)</f>
        <v/>
      </c>
      <c r="AG1952" s="192">
        <f>$BD1952*VLOOKUP($AG$3,$AF$4:$AG$7,2,FALSE)</f>
        <v/>
      </c>
      <c r="AH1952" s="76">
        <f>SUM(AE1952,AG1952,AI1952)*rate_forex_risk</f>
        <v/>
      </c>
      <c r="AI1952" s="193">
        <f>IF(OR(seller_region="TR",offer_sale_type="экспорт"),0,rate_fin_comm)*SUM(AZ1952,AZ1952*AW1952,T1952)</f>
        <v/>
      </c>
      <c r="AJ1952" s="118">
        <f>IFERROR(ROUND(SUM(AB1952,AF1952:AI1952)/E1952,2),0)</f>
        <v/>
      </c>
      <c r="AK1952" s="76">
        <f>AJ1952*E1952</f>
        <v/>
      </c>
      <c r="AL1952" s="174">
        <f>ROUND(IFERROR(AM1952*E1952,0),2)</f>
        <v/>
      </c>
      <c r="AM1952" s="175">
        <f>ROUND(AJ1952*(1+IF(offer_incoterms="DDP",IF((TODAY()+offer_turnaround_time)&gt;=helpsheet!$L$17,rate_vatRU_from_26,rate_vatRu_till_25),0)),2)</f>
        <v/>
      </c>
      <c r="AN1952" s="192">
        <f>AL1952-AK1952</f>
        <v/>
      </c>
      <c r="AO1952" s="76">
        <f>SUM(AY1952,Y1952:Z1952,T1952)*IF(AND(offer_incoterms="DDP",offer_sale_type&lt;&gt;"экспорт"),IF((TODAY()+offer_turnaround_time)&gt;=helpsheet!$L$17,rate_vatRU_from_26,rate_vatRu_till_25),0)</f>
        <v/>
      </c>
      <c r="AP1952" s="193">
        <f>AN1952-AO1952</f>
        <v/>
      </c>
      <c r="AQ1952" s="118">
        <f>IF(offer_sale_type="транзит",SUM(AF1952:AI1952,BA1952,BB1952),0)</f>
        <v/>
      </c>
      <c r="AR1952" s="82">
        <f>HYPERLINK("https://www.alta.ru/tnved/code/")&amp;W1952&amp;"/"</f>
        <v/>
      </c>
      <c r="AS1952" s="157" t="n"/>
      <c r="AT1952" s="162" t="n"/>
      <c r="AU1952" s="76">
        <f>IF(ISBLANK(AT1952),0,AJ1952-AT1952)</f>
        <v/>
      </c>
      <c r="AV1952" s="157" t="n"/>
      <c r="AW1952" s="75">
        <f>_xlfn.IFNA(VLOOKUP(L1952,list_vat[],3,FALSE),0)</f>
        <v/>
      </c>
      <c r="AX1952" s="76">
        <f>IFERROR(ROUND(S1952*(1+AW1952)/E1952,2),0)</f>
        <v/>
      </c>
      <c r="AY1952" s="76">
        <f>E1952*AX1952</f>
        <v/>
      </c>
      <c r="AZ1952" s="192">
        <f>S1952*(1+M1952)</f>
        <v/>
      </c>
      <c r="BA1952" s="76">
        <f>cost_fin_total*$BD1952</f>
        <v/>
      </c>
      <c r="BB1952" s="193">
        <f>credit_sales_interest*BD1952</f>
        <v/>
      </c>
      <c r="BC1952" s="102">
        <f>IFERROR(IF($I$13&gt;0,$I1952/$I$13,$S1952/$S$13),0)</f>
        <v/>
      </c>
      <c r="BD1952" s="102">
        <f>IFERROR($S1952/$S$13,0)</f>
        <v/>
      </c>
      <c r="BE1952" s="413" t="inlineStr">
        <is>
          <t>$</t>
        </is>
      </c>
    </row>
    <row r="1953" ht="12" customFormat="1" customHeight="1" s="65">
      <c r="A1953" s="43" t="n">
        <v>1938</v>
      </c>
      <c r="B1953" s="166" t="n"/>
      <c r="C1953" s="166" t="n"/>
      <c r="D1953" s="166" t="n"/>
      <c r="E1953" s="162" t="n"/>
      <c r="F1953" s="166" t="n"/>
      <c r="G1953" s="162" t="n"/>
      <c r="H1953" s="162" t="n"/>
      <c r="I1953" s="189">
        <f>E1953*G1953</f>
        <v/>
      </c>
      <c r="J1953" s="195" t="n"/>
      <c r="K1953" s="162" t="n"/>
      <c r="L1953" s="168" t="n"/>
      <c r="M1953" s="75">
        <f>_xlfn.XLOOKUP(L1953,list_vat[Страна],list_vat[Ставка НДС %],0,0)</f>
        <v/>
      </c>
      <c r="N1953" s="162">
        <f>IFERROR(IF(L1953="Китай",K1953,K1953/(1+M1953)),0)</f>
        <v/>
      </c>
      <c r="O1953" s="169" t="n"/>
      <c r="P1953" s="76">
        <f>N1953*(1-O1953)</f>
        <v/>
      </c>
      <c r="Q1953" s="162" t="n"/>
      <c r="R1953" s="162">
        <f>IF(ISBLANK(Q1953),"введи курс",P1953/Q1953)</f>
        <v/>
      </c>
      <c r="S1953" s="196">
        <f>IF(AND(ISNUMBER(E1953),ISNUMBER(Q1953)),E1953*R1953,0)</f>
        <v/>
      </c>
      <c r="T1953" s="192">
        <f>$BC1953*V$11</f>
        <v/>
      </c>
      <c r="U1953" s="76">
        <f>$BC1953*W$11</f>
        <v/>
      </c>
      <c r="V1953" s="193">
        <f>+SUM(T1953:U1953)</f>
        <v/>
      </c>
      <c r="W1953" s="191" t="n"/>
      <c r="X1953" s="170" t="n"/>
      <c r="Y1953" s="76">
        <f>ROUND(IF(offer_incoterms="DDP",X1953*(S1953*(1+AW1953)+T1953),0),2)</f>
        <v/>
      </c>
      <c r="Z1953" s="188" t="n"/>
      <c r="AA1953" s="192">
        <f>IFERROR(AB1953/E1953,0)</f>
        <v/>
      </c>
      <c r="AB1953" s="76">
        <f>ROUND(SUM(S1953,V1953,Y1953:Z1953,BA1953:BB1953),2)</f>
        <v/>
      </c>
      <c r="AC1953" s="797" t="n"/>
      <c r="AD1953" s="192">
        <f t="array" ref="AD1953">IFERROR(ROUND((_xlfn.IFS(offer_sale_type="поставка",AB1953,offer_sale_type="транзит",S1953)*(1+AC1953))/E1953,2),0)</f>
        <v/>
      </c>
      <c r="AE1953" s="76">
        <f>AD1953*E1953</f>
        <v/>
      </c>
      <c r="AF1953" s="193">
        <f t="array" ref="AF1953">IFERROR(ROUND(_xlfn.IFS(offer_sale_type="поставка",AB1953,offer_sale_type="транзит",S1953)*AC1953,2),0)</f>
        <v/>
      </c>
      <c r="AG1953" s="192">
        <f>$BD1953*VLOOKUP($AG$3,$AF$4:$AG$7,2,FALSE)</f>
        <v/>
      </c>
      <c r="AH1953" s="76">
        <f>SUM(AE1953,AG1953,AI1953)*rate_forex_risk</f>
        <v/>
      </c>
      <c r="AI1953" s="193">
        <f>IF(OR(seller_region="TR",offer_sale_type="экспорт"),0,rate_fin_comm)*SUM(AZ1953,AZ1953*AW1953,T1953)</f>
        <v/>
      </c>
      <c r="AJ1953" s="118">
        <f>IFERROR(ROUND(SUM(AB1953,AF1953:AI1953)/E1953,2),0)</f>
        <v/>
      </c>
      <c r="AK1953" s="76">
        <f>AJ1953*E1953</f>
        <v/>
      </c>
      <c r="AL1953" s="174">
        <f>ROUND(IFERROR(AM1953*E1953,0),2)</f>
        <v/>
      </c>
      <c r="AM1953" s="175">
        <f>ROUND(AJ1953*(1+IF(offer_incoterms="DDP",IF((TODAY()+offer_turnaround_time)&gt;=helpsheet!$L$17,rate_vatRU_from_26,rate_vatRu_till_25),0)),2)</f>
        <v/>
      </c>
      <c r="AN1953" s="192">
        <f>AL1953-AK1953</f>
        <v/>
      </c>
      <c r="AO1953" s="76">
        <f>SUM(AY1953,Y1953:Z1953,T1953)*IF(AND(offer_incoterms="DDP",offer_sale_type&lt;&gt;"экспорт"),IF((TODAY()+offer_turnaround_time)&gt;=helpsheet!$L$17,rate_vatRU_from_26,rate_vatRu_till_25),0)</f>
        <v/>
      </c>
      <c r="AP1953" s="193">
        <f>AN1953-AO1953</f>
        <v/>
      </c>
      <c r="AQ1953" s="118">
        <f>IF(offer_sale_type="транзит",SUM(AF1953:AI1953,BA1953,BB1953),0)</f>
        <v/>
      </c>
      <c r="AR1953" s="82">
        <f>HYPERLINK("https://www.alta.ru/tnved/code/")&amp;W1953&amp;"/"</f>
        <v/>
      </c>
      <c r="AS1953" s="157" t="n"/>
      <c r="AT1953" s="162" t="n"/>
      <c r="AU1953" s="76">
        <f>IF(ISBLANK(AT1953),0,AJ1953-AT1953)</f>
        <v/>
      </c>
      <c r="AV1953" s="157" t="n"/>
      <c r="AW1953" s="75">
        <f>_xlfn.IFNA(VLOOKUP(L1953,list_vat[],3,FALSE),0)</f>
        <v/>
      </c>
      <c r="AX1953" s="76">
        <f>IFERROR(ROUND(S1953*(1+AW1953)/E1953,2),0)</f>
        <v/>
      </c>
      <c r="AY1953" s="76">
        <f>E1953*AX1953</f>
        <v/>
      </c>
      <c r="AZ1953" s="192">
        <f>S1953*(1+M1953)</f>
        <v/>
      </c>
      <c r="BA1953" s="76">
        <f>cost_fin_total*$BD1953</f>
        <v/>
      </c>
      <c r="BB1953" s="193">
        <f>credit_sales_interest*BD1953</f>
        <v/>
      </c>
      <c r="BC1953" s="102">
        <f>IFERROR(IF($I$13&gt;0,$I1953/$I$13,$S1953/$S$13),0)</f>
        <v/>
      </c>
      <c r="BD1953" s="102">
        <f>IFERROR($S1953/$S$13,0)</f>
        <v/>
      </c>
      <c r="BE1953" s="413" t="inlineStr">
        <is>
          <t>$</t>
        </is>
      </c>
    </row>
    <row r="1954" ht="12" customFormat="1" customHeight="1" s="65">
      <c r="A1954" s="43" t="n">
        <v>1939</v>
      </c>
      <c r="B1954" s="166" t="n"/>
      <c r="C1954" s="166" t="n"/>
      <c r="D1954" s="166" t="n"/>
      <c r="E1954" s="162" t="n"/>
      <c r="F1954" s="166" t="n"/>
      <c r="G1954" s="162" t="n"/>
      <c r="H1954" s="162" t="n"/>
      <c r="I1954" s="189">
        <f>E1954*G1954</f>
        <v/>
      </c>
      <c r="J1954" s="195" t="n"/>
      <c r="K1954" s="162" t="n"/>
      <c r="L1954" s="168" t="n"/>
      <c r="M1954" s="75">
        <f>_xlfn.XLOOKUP(L1954,list_vat[Страна],list_vat[Ставка НДС %],0,0)</f>
        <v/>
      </c>
      <c r="N1954" s="162">
        <f>IFERROR(IF(L1954="Китай",K1954,K1954/(1+M1954)),0)</f>
        <v/>
      </c>
      <c r="O1954" s="169" t="n"/>
      <c r="P1954" s="76">
        <f>N1954*(1-O1954)</f>
        <v/>
      </c>
      <c r="Q1954" s="162" t="n"/>
      <c r="R1954" s="162">
        <f>IF(ISBLANK(Q1954),"введи курс",P1954/Q1954)</f>
        <v/>
      </c>
      <c r="S1954" s="196">
        <f>IF(AND(ISNUMBER(E1954),ISNUMBER(Q1954)),E1954*R1954,0)</f>
        <v/>
      </c>
      <c r="T1954" s="192">
        <f>$BC1954*V$11</f>
        <v/>
      </c>
      <c r="U1954" s="76">
        <f>$BC1954*W$11</f>
        <v/>
      </c>
      <c r="V1954" s="193">
        <f>+SUM(T1954:U1954)</f>
        <v/>
      </c>
      <c r="W1954" s="191" t="n"/>
      <c r="X1954" s="170" t="n"/>
      <c r="Y1954" s="76">
        <f>ROUND(IF(offer_incoterms="DDP",X1954*(S1954*(1+AW1954)+T1954),0),2)</f>
        <v/>
      </c>
      <c r="Z1954" s="188" t="n"/>
      <c r="AA1954" s="192">
        <f>IFERROR(AB1954/E1954,0)</f>
        <v/>
      </c>
      <c r="AB1954" s="76">
        <f>ROUND(SUM(S1954,V1954,Y1954:Z1954,BA1954:BB1954),2)</f>
        <v/>
      </c>
      <c r="AC1954" s="797" t="n"/>
      <c r="AD1954" s="192">
        <f t="array" ref="AD1954">IFERROR(ROUND((_xlfn.IFS(offer_sale_type="поставка",AB1954,offer_sale_type="транзит",S1954)*(1+AC1954))/E1954,2),0)</f>
        <v/>
      </c>
      <c r="AE1954" s="76">
        <f>AD1954*E1954</f>
        <v/>
      </c>
      <c r="AF1954" s="193">
        <f t="array" ref="AF1954">IFERROR(ROUND(_xlfn.IFS(offer_sale_type="поставка",AB1954,offer_sale_type="транзит",S1954)*AC1954,2),0)</f>
        <v/>
      </c>
      <c r="AG1954" s="192">
        <f>$BD1954*VLOOKUP($AG$3,$AF$4:$AG$7,2,FALSE)</f>
        <v/>
      </c>
      <c r="AH1954" s="76">
        <f>SUM(AE1954,AG1954,AI1954)*rate_forex_risk</f>
        <v/>
      </c>
      <c r="AI1954" s="193">
        <f>IF(OR(seller_region="TR",offer_sale_type="экспорт"),0,rate_fin_comm)*SUM(AZ1954,AZ1954*AW1954,T1954)</f>
        <v/>
      </c>
      <c r="AJ1954" s="118">
        <f>IFERROR(ROUND(SUM(AB1954,AF1954:AI1954)/E1954,2),0)</f>
        <v/>
      </c>
      <c r="AK1954" s="76">
        <f>AJ1954*E1954</f>
        <v/>
      </c>
      <c r="AL1954" s="174">
        <f>ROUND(IFERROR(AM1954*E1954,0),2)</f>
        <v/>
      </c>
      <c r="AM1954" s="175">
        <f>ROUND(AJ1954*(1+IF(offer_incoterms="DDP",IF((TODAY()+offer_turnaround_time)&gt;=helpsheet!$L$17,rate_vatRU_from_26,rate_vatRu_till_25),0)),2)</f>
        <v/>
      </c>
      <c r="AN1954" s="192">
        <f>AL1954-AK1954</f>
        <v/>
      </c>
      <c r="AO1954" s="76">
        <f>SUM(AY1954,Y1954:Z1954,T1954)*IF(AND(offer_incoterms="DDP",offer_sale_type&lt;&gt;"экспорт"),IF((TODAY()+offer_turnaround_time)&gt;=helpsheet!$L$17,rate_vatRU_from_26,rate_vatRu_till_25),0)</f>
        <v/>
      </c>
      <c r="AP1954" s="193">
        <f>AN1954-AO1954</f>
        <v/>
      </c>
      <c r="AQ1954" s="118">
        <f>IF(offer_sale_type="транзит",SUM(AF1954:AI1954,BA1954,BB1954),0)</f>
        <v/>
      </c>
      <c r="AR1954" s="82">
        <f>HYPERLINK("https://www.alta.ru/tnved/code/")&amp;W1954&amp;"/"</f>
        <v/>
      </c>
      <c r="AS1954" s="157" t="n"/>
      <c r="AT1954" s="162" t="n"/>
      <c r="AU1954" s="76">
        <f>IF(ISBLANK(AT1954),0,AJ1954-AT1954)</f>
        <v/>
      </c>
      <c r="AV1954" s="157" t="n"/>
      <c r="AW1954" s="75">
        <f>_xlfn.IFNA(VLOOKUP(L1954,list_vat[],3,FALSE),0)</f>
        <v/>
      </c>
      <c r="AX1954" s="76">
        <f>IFERROR(ROUND(S1954*(1+AW1954)/E1954,2),0)</f>
        <v/>
      </c>
      <c r="AY1954" s="76">
        <f>E1954*AX1954</f>
        <v/>
      </c>
      <c r="AZ1954" s="192">
        <f>S1954*(1+M1954)</f>
        <v/>
      </c>
      <c r="BA1954" s="76">
        <f>cost_fin_total*$BD1954</f>
        <v/>
      </c>
      <c r="BB1954" s="193">
        <f>credit_sales_interest*BD1954</f>
        <v/>
      </c>
      <c r="BC1954" s="102">
        <f>IFERROR(IF($I$13&gt;0,$I1954/$I$13,$S1954/$S$13),0)</f>
        <v/>
      </c>
      <c r="BD1954" s="102">
        <f>IFERROR($S1954/$S$13,0)</f>
        <v/>
      </c>
      <c r="BE1954" s="413" t="inlineStr">
        <is>
          <t>$</t>
        </is>
      </c>
    </row>
    <row r="1955" ht="12" customFormat="1" customHeight="1" s="65">
      <c r="A1955" s="43" t="n">
        <v>1940</v>
      </c>
      <c r="B1955" s="166" t="n"/>
      <c r="C1955" s="166" t="n"/>
      <c r="D1955" s="166" t="n"/>
      <c r="E1955" s="162" t="n"/>
      <c r="F1955" s="166" t="n"/>
      <c r="G1955" s="162" t="n"/>
      <c r="H1955" s="162" t="n"/>
      <c r="I1955" s="189">
        <f>E1955*G1955</f>
        <v/>
      </c>
      <c r="J1955" s="195" t="n"/>
      <c r="K1955" s="162" t="n"/>
      <c r="L1955" s="168" t="n"/>
      <c r="M1955" s="75">
        <f>_xlfn.XLOOKUP(L1955,list_vat[Страна],list_vat[Ставка НДС %],0,0)</f>
        <v/>
      </c>
      <c r="N1955" s="162">
        <f>IFERROR(IF(L1955="Китай",K1955,K1955/(1+M1955)),0)</f>
        <v/>
      </c>
      <c r="O1955" s="169" t="n"/>
      <c r="P1955" s="76">
        <f>N1955*(1-O1955)</f>
        <v/>
      </c>
      <c r="Q1955" s="162" t="n"/>
      <c r="R1955" s="162">
        <f>IF(ISBLANK(Q1955),"введи курс",P1955/Q1955)</f>
        <v/>
      </c>
      <c r="S1955" s="196">
        <f>IF(AND(ISNUMBER(E1955),ISNUMBER(Q1955)),E1955*R1955,0)</f>
        <v/>
      </c>
      <c r="T1955" s="192">
        <f>$BC1955*V$11</f>
        <v/>
      </c>
      <c r="U1955" s="76">
        <f>$BC1955*W$11</f>
        <v/>
      </c>
      <c r="V1955" s="193">
        <f>+SUM(T1955:U1955)</f>
        <v/>
      </c>
      <c r="W1955" s="191" t="n"/>
      <c r="X1955" s="170" t="n"/>
      <c r="Y1955" s="76">
        <f>ROUND(IF(offer_incoterms="DDP",X1955*(S1955*(1+AW1955)+T1955),0),2)</f>
        <v/>
      </c>
      <c r="Z1955" s="188" t="n"/>
      <c r="AA1955" s="192">
        <f>IFERROR(AB1955/E1955,0)</f>
        <v/>
      </c>
      <c r="AB1955" s="76">
        <f>ROUND(SUM(S1955,V1955,Y1955:Z1955,BA1955:BB1955),2)</f>
        <v/>
      </c>
      <c r="AC1955" s="797" t="n"/>
      <c r="AD1955" s="192">
        <f t="array" ref="AD1955">IFERROR(ROUND((_xlfn.IFS(offer_sale_type="поставка",AB1955,offer_sale_type="транзит",S1955)*(1+AC1955))/E1955,2),0)</f>
        <v/>
      </c>
      <c r="AE1955" s="76">
        <f>AD1955*E1955</f>
        <v/>
      </c>
      <c r="AF1955" s="193">
        <f t="array" ref="AF1955">IFERROR(ROUND(_xlfn.IFS(offer_sale_type="поставка",AB1955,offer_sale_type="транзит",S1955)*AC1955,2),0)</f>
        <v/>
      </c>
      <c r="AG1955" s="192">
        <f>$BD1955*VLOOKUP($AG$3,$AF$4:$AG$7,2,FALSE)</f>
        <v/>
      </c>
      <c r="AH1955" s="76">
        <f>SUM(AE1955,AG1955,AI1955)*rate_forex_risk</f>
        <v/>
      </c>
      <c r="AI1955" s="193">
        <f>IF(OR(seller_region="TR",offer_sale_type="экспорт"),0,rate_fin_comm)*SUM(AZ1955,AZ1955*AW1955,T1955)</f>
        <v/>
      </c>
      <c r="AJ1955" s="118">
        <f>IFERROR(ROUND(SUM(AB1955,AF1955:AI1955)/E1955,2),0)</f>
        <v/>
      </c>
      <c r="AK1955" s="76">
        <f>AJ1955*E1955</f>
        <v/>
      </c>
      <c r="AL1955" s="174">
        <f>ROUND(IFERROR(AM1955*E1955,0),2)</f>
        <v/>
      </c>
      <c r="AM1955" s="175">
        <f>ROUND(AJ1955*(1+IF(offer_incoterms="DDP",IF((TODAY()+offer_turnaround_time)&gt;=helpsheet!$L$17,rate_vatRU_from_26,rate_vatRu_till_25),0)),2)</f>
        <v/>
      </c>
      <c r="AN1955" s="192">
        <f>AL1955-AK1955</f>
        <v/>
      </c>
      <c r="AO1955" s="76">
        <f>SUM(AY1955,Y1955:Z1955,T1955)*IF(AND(offer_incoterms="DDP",offer_sale_type&lt;&gt;"экспорт"),IF((TODAY()+offer_turnaround_time)&gt;=helpsheet!$L$17,rate_vatRU_from_26,rate_vatRu_till_25),0)</f>
        <v/>
      </c>
      <c r="AP1955" s="193">
        <f>AN1955-AO1955</f>
        <v/>
      </c>
      <c r="AQ1955" s="118">
        <f>IF(offer_sale_type="транзит",SUM(AF1955:AI1955,BA1955,BB1955),0)</f>
        <v/>
      </c>
      <c r="AR1955" s="82">
        <f>HYPERLINK("https://www.alta.ru/tnved/code/")&amp;W1955&amp;"/"</f>
        <v/>
      </c>
      <c r="AS1955" s="157" t="n"/>
      <c r="AT1955" s="162" t="n"/>
      <c r="AU1955" s="76">
        <f>IF(ISBLANK(AT1955),0,AJ1955-AT1955)</f>
        <v/>
      </c>
      <c r="AV1955" s="157" t="n"/>
      <c r="AW1955" s="75">
        <f>_xlfn.IFNA(VLOOKUP(L1955,list_vat[],3,FALSE),0)</f>
        <v/>
      </c>
      <c r="AX1955" s="76">
        <f>IFERROR(ROUND(S1955*(1+AW1955)/E1955,2),0)</f>
        <v/>
      </c>
      <c r="AY1955" s="76">
        <f>E1955*AX1955</f>
        <v/>
      </c>
      <c r="AZ1955" s="192">
        <f>S1955*(1+M1955)</f>
        <v/>
      </c>
      <c r="BA1955" s="76">
        <f>cost_fin_total*$BD1955</f>
        <v/>
      </c>
      <c r="BB1955" s="193">
        <f>credit_sales_interest*BD1955</f>
        <v/>
      </c>
      <c r="BC1955" s="102">
        <f>IFERROR(IF($I$13&gt;0,$I1955/$I$13,$S1955/$S$13),0)</f>
        <v/>
      </c>
      <c r="BD1955" s="102">
        <f>IFERROR($S1955/$S$13,0)</f>
        <v/>
      </c>
      <c r="BE1955" s="413" t="inlineStr">
        <is>
          <t>$</t>
        </is>
      </c>
    </row>
    <row r="1956" ht="12" customFormat="1" customHeight="1" s="65">
      <c r="A1956" s="43" t="n">
        <v>1941</v>
      </c>
      <c r="B1956" s="166" t="n"/>
      <c r="C1956" s="166" t="n"/>
      <c r="D1956" s="166" t="n"/>
      <c r="E1956" s="162" t="n"/>
      <c r="F1956" s="166" t="n"/>
      <c r="G1956" s="162" t="n"/>
      <c r="H1956" s="162" t="n"/>
      <c r="I1956" s="189">
        <f>E1956*G1956</f>
        <v/>
      </c>
      <c r="J1956" s="195" t="n"/>
      <c r="K1956" s="162" t="n"/>
      <c r="L1956" s="168" t="n"/>
      <c r="M1956" s="75">
        <f>_xlfn.XLOOKUP(L1956,list_vat[Страна],list_vat[Ставка НДС %],0,0)</f>
        <v/>
      </c>
      <c r="N1956" s="162">
        <f>IFERROR(IF(L1956="Китай",K1956,K1956/(1+M1956)),0)</f>
        <v/>
      </c>
      <c r="O1956" s="169" t="n"/>
      <c r="P1956" s="76">
        <f>N1956*(1-O1956)</f>
        <v/>
      </c>
      <c r="Q1956" s="162" t="n"/>
      <c r="R1956" s="162">
        <f>IF(ISBLANK(Q1956),"введи курс",P1956/Q1956)</f>
        <v/>
      </c>
      <c r="S1956" s="196">
        <f>IF(AND(ISNUMBER(E1956),ISNUMBER(Q1956)),E1956*R1956,0)</f>
        <v/>
      </c>
      <c r="T1956" s="192">
        <f>$BC1956*V$11</f>
        <v/>
      </c>
      <c r="U1956" s="76">
        <f>$BC1956*W$11</f>
        <v/>
      </c>
      <c r="V1956" s="193">
        <f>+SUM(T1956:U1956)</f>
        <v/>
      </c>
      <c r="W1956" s="191" t="n"/>
      <c r="X1956" s="170" t="n"/>
      <c r="Y1956" s="76">
        <f>ROUND(IF(offer_incoterms="DDP",X1956*(S1956*(1+AW1956)+T1956),0),2)</f>
        <v/>
      </c>
      <c r="Z1956" s="188" t="n"/>
      <c r="AA1956" s="192">
        <f>IFERROR(AB1956/E1956,0)</f>
        <v/>
      </c>
      <c r="AB1956" s="76">
        <f>ROUND(SUM(S1956,V1956,Y1956:Z1956,BA1956:BB1956),2)</f>
        <v/>
      </c>
      <c r="AC1956" s="797" t="n"/>
      <c r="AD1956" s="192">
        <f t="array" ref="AD1956">IFERROR(ROUND((_xlfn.IFS(offer_sale_type="поставка",AB1956,offer_sale_type="транзит",S1956)*(1+AC1956))/E1956,2),0)</f>
        <v/>
      </c>
      <c r="AE1956" s="76">
        <f>AD1956*E1956</f>
        <v/>
      </c>
      <c r="AF1956" s="193">
        <f t="array" ref="AF1956">IFERROR(ROUND(_xlfn.IFS(offer_sale_type="поставка",AB1956,offer_sale_type="транзит",S1956)*AC1956,2),0)</f>
        <v/>
      </c>
      <c r="AG1956" s="192">
        <f>$BD1956*VLOOKUP($AG$3,$AF$4:$AG$7,2,FALSE)</f>
        <v/>
      </c>
      <c r="AH1956" s="76">
        <f>SUM(AE1956,AG1956,AI1956)*rate_forex_risk</f>
        <v/>
      </c>
      <c r="AI1956" s="193">
        <f>IF(OR(seller_region="TR",offer_sale_type="экспорт"),0,rate_fin_comm)*SUM(AZ1956,AZ1956*AW1956,T1956)</f>
        <v/>
      </c>
      <c r="AJ1956" s="118">
        <f>IFERROR(ROUND(SUM(AB1956,AF1956:AI1956)/E1956,2),0)</f>
        <v/>
      </c>
      <c r="AK1956" s="76">
        <f>AJ1956*E1956</f>
        <v/>
      </c>
      <c r="AL1956" s="174">
        <f>ROUND(IFERROR(AM1956*E1956,0),2)</f>
        <v/>
      </c>
      <c r="AM1956" s="175">
        <f>ROUND(AJ1956*(1+IF(offer_incoterms="DDP",IF((TODAY()+offer_turnaround_time)&gt;=helpsheet!$L$17,rate_vatRU_from_26,rate_vatRu_till_25),0)),2)</f>
        <v/>
      </c>
      <c r="AN1956" s="192">
        <f>AL1956-AK1956</f>
        <v/>
      </c>
      <c r="AO1956" s="76">
        <f>SUM(AY1956,Y1956:Z1956,T1956)*IF(AND(offer_incoterms="DDP",offer_sale_type&lt;&gt;"экспорт"),IF((TODAY()+offer_turnaround_time)&gt;=helpsheet!$L$17,rate_vatRU_from_26,rate_vatRu_till_25),0)</f>
        <v/>
      </c>
      <c r="AP1956" s="193">
        <f>AN1956-AO1956</f>
        <v/>
      </c>
      <c r="AQ1956" s="118">
        <f>IF(offer_sale_type="транзит",SUM(AF1956:AI1956,BA1956,BB1956),0)</f>
        <v/>
      </c>
      <c r="AR1956" s="82">
        <f>HYPERLINK("https://www.alta.ru/tnved/code/")&amp;W1956&amp;"/"</f>
        <v/>
      </c>
      <c r="AS1956" s="157" t="n"/>
      <c r="AT1956" s="162" t="n"/>
      <c r="AU1956" s="76">
        <f>IF(ISBLANK(AT1956),0,AJ1956-AT1956)</f>
        <v/>
      </c>
      <c r="AV1956" s="157" t="n"/>
      <c r="AW1956" s="75">
        <f>_xlfn.IFNA(VLOOKUP(L1956,list_vat[],3,FALSE),0)</f>
        <v/>
      </c>
      <c r="AX1956" s="76">
        <f>IFERROR(ROUND(S1956*(1+AW1956)/E1956,2),0)</f>
        <v/>
      </c>
      <c r="AY1956" s="76">
        <f>E1956*AX1956</f>
        <v/>
      </c>
      <c r="AZ1956" s="192">
        <f>S1956*(1+M1956)</f>
        <v/>
      </c>
      <c r="BA1956" s="76">
        <f>cost_fin_total*$BD1956</f>
        <v/>
      </c>
      <c r="BB1956" s="193">
        <f>credit_sales_interest*BD1956</f>
        <v/>
      </c>
      <c r="BC1956" s="102">
        <f>IFERROR(IF($I$13&gt;0,$I1956/$I$13,$S1956/$S$13),0)</f>
        <v/>
      </c>
      <c r="BD1956" s="102">
        <f>IFERROR($S1956/$S$13,0)</f>
        <v/>
      </c>
      <c r="BE1956" s="413" t="inlineStr">
        <is>
          <t>$</t>
        </is>
      </c>
    </row>
    <row r="1957" ht="12" customFormat="1" customHeight="1" s="65">
      <c r="A1957" s="43" t="n">
        <v>1942</v>
      </c>
      <c r="B1957" s="166" t="n"/>
      <c r="C1957" s="166" t="n"/>
      <c r="D1957" s="166" t="n"/>
      <c r="E1957" s="162" t="n"/>
      <c r="F1957" s="166" t="n"/>
      <c r="G1957" s="162" t="n"/>
      <c r="H1957" s="162" t="n"/>
      <c r="I1957" s="189">
        <f>E1957*G1957</f>
        <v/>
      </c>
      <c r="J1957" s="195" t="n"/>
      <c r="K1957" s="162" t="n"/>
      <c r="L1957" s="168" t="n"/>
      <c r="M1957" s="75">
        <f>_xlfn.XLOOKUP(L1957,list_vat[Страна],list_vat[Ставка НДС %],0,0)</f>
        <v/>
      </c>
      <c r="N1957" s="162">
        <f>IFERROR(IF(L1957="Китай",K1957,K1957/(1+M1957)),0)</f>
        <v/>
      </c>
      <c r="O1957" s="169" t="n"/>
      <c r="P1957" s="76">
        <f>N1957*(1-O1957)</f>
        <v/>
      </c>
      <c r="Q1957" s="162" t="n"/>
      <c r="R1957" s="162">
        <f>IF(ISBLANK(Q1957),"введи курс",P1957/Q1957)</f>
        <v/>
      </c>
      <c r="S1957" s="196">
        <f>IF(AND(ISNUMBER(E1957),ISNUMBER(Q1957)),E1957*R1957,0)</f>
        <v/>
      </c>
      <c r="T1957" s="192">
        <f>$BC1957*V$11</f>
        <v/>
      </c>
      <c r="U1957" s="76">
        <f>$BC1957*W$11</f>
        <v/>
      </c>
      <c r="V1957" s="193">
        <f>+SUM(T1957:U1957)</f>
        <v/>
      </c>
      <c r="W1957" s="191" t="n"/>
      <c r="X1957" s="170" t="n"/>
      <c r="Y1957" s="76">
        <f>ROUND(IF(offer_incoterms="DDP",X1957*(S1957*(1+AW1957)+T1957),0),2)</f>
        <v/>
      </c>
      <c r="Z1957" s="188" t="n"/>
      <c r="AA1957" s="192">
        <f>IFERROR(AB1957/E1957,0)</f>
        <v/>
      </c>
      <c r="AB1957" s="76">
        <f>ROUND(SUM(S1957,V1957,Y1957:Z1957,BA1957:BB1957),2)</f>
        <v/>
      </c>
      <c r="AC1957" s="797" t="n"/>
      <c r="AD1957" s="192">
        <f t="array" ref="AD1957">IFERROR(ROUND((_xlfn.IFS(offer_sale_type="поставка",AB1957,offer_sale_type="транзит",S1957)*(1+AC1957))/E1957,2),0)</f>
        <v/>
      </c>
      <c r="AE1957" s="76">
        <f>AD1957*E1957</f>
        <v/>
      </c>
      <c r="AF1957" s="193">
        <f t="array" ref="AF1957">IFERROR(ROUND(_xlfn.IFS(offer_sale_type="поставка",AB1957,offer_sale_type="транзит",S1957)*AC1957,2),0)</f>
        <v/>
      </c>
      <c r="AG1957" s="192">
        <f>$BD1957*VLOOKUP($AG$3,$AF$4:$AG$7,2,FALSE)</f>
        <v/>
      </c>
      <c r="AH1957" s="76">
        <f>SUM(AE1957,AG1957,AI1957)*rate_forex_risk</f>
        <v/>
      </c>
      <c r="AI1957" s="193">
        <f>IF(OR(seller_region="TR",offer_sale_type="экспорт"),0,rate_fin_comm)*SUM(AZ1957,AZ1957*AW1957,T1957)</f>
        <v/>
      </c>
      <c r="AJ1957" s="118">
        <f>IFERROR(ROUND(SUM(AB1957,AF1957:AI1957)/E1957,2),0)</f>
        <v/>
      </c>
      <c r="AK1957" s="76">
        <f>AJ1957*E1957</f>
        <v/>
      </c>
      <c r="AL1957" s="174">
        <f>ROUND(IFERROR(AM1957*E1957,0),2)</f>
        <v/>
      </c>
      <c r="AM1957" s="175">
        <f>ROUND(AJ1957*(1+IF(offer_incoterms="DDP",IF((TODAY()+offer_turnaround_time)&gt;=helpsheet!$L$17,rate_vatRU_from_26,rate_vatRu_till_25),0)),2)</f>
        <v/>
      </c>
      <c r="AN1957" s="192">
        <f>AL1957-AK1957</f>
        <v/>
      </c>
      <c r="AO1957" s="76">
        <f>SUM(AY1957,Y1957:Z1957,T1957)*IF(AND(offer_incoterms="DDP",offer_sale_type&lt;&gt;"экспорт"),IF((TODAY()+offer_turnaround_time)&gt;=helpsheet!$L$17,rate_vatRU_from_26,rate_vatRu_till_25),0)</f>
        <v/>
      </c>
      <c r="AP1957" s="193">
        <f>AN1957-AO1957</f>
        <v/>
      </c>
      <c r="AQ1957" s="118">
        <f>IF(offer_sale_type="транзит",SUM(AF1957:AI1957,BA1957,BB1957),0)</f>
        <v/>
      </c>
      <c r="AR1957" s="82">
        <f>HYPERLINK("https://www.alta.ru/tnved/code/")&amp;W1957&amp;"/"</f>
        <v/>
      </c>
      <c r="AS1957" s="157" t="n"/>
      <c r="AT1957" s="162" t="n"/>
      <c r="AU1957" s="76">
        <f>IF(ISBLANK(AT1957),0,AJ1957-AT1957)</f>
        <v/>
      </c>
      <c r="AV1957" s="157" t="n"/>
      <c r="AW1957" s="75">
        <f>_xlfn.IFNA(VLOOKUP(L1957,list_vat[],3,FALSE),0)</f>
        <v/>
      </c>
      <c r="AX1957" s="76">
        <f>IFERROR(ROUND(S1957*(1+AW1957)/E1957,2),0)</f>
        <v/>
      </c>
      <c r="AY1957" s="76">
        <f>E1957*AX1957</f>
        <v/>
      </c>
      <c r="AZ1957" s="192">
        <f>S1957*(1+M1957)</f>
        <v/>
      </c>
      <c r="BA1957" s="76">
        <f>cost_fin_total*$BD1957</f>
        <v/>
      </c>
      <c r="BB1957" s="193">
        <f>credit_sales_interest*BD1957</f>
        <v/>
      </c>
      <c r="BC1957" s="102">
        <f>IFERROR(IF($I$13&gt;0,$I1957/$I$13,$S1957/$S$13),0)</f>
        <v/>
      </c>
      <c r="BD1957" s="102">
        <f>IFERROR($S1957/$S$13,0)</f>
        <v/>
      </c>
      <c r="BE1957" s="413" t="inlineStr">
        <is>
          <t>$</t>
        </is>
      </c>
    </row>
    <row r="1958" ht="12" customFormat="1" customHeight="1" s="65">
      <c r="A1958" s="43" t="n">
        <v>1943</v>
      </c>
      <c r="B1958" s="166" t="n"/>
      <c r="C1958" s="166" t="n"/>
      <c r="D1958" s="166" t="n"/>
      <c r="E1958" s="162" t="n"/>
      <c r="F1958" s="166" t="n"/>
      <c r="G1958" s="162" t="n"/>
      <c r="H1958" s="162" t="n"/>
      <c r="I1958" s="189">
        <f>E1958*G1958</f>
        <v/>
      </c>
      <c r="J1958" s="195" t="n"/>
      <c r="K1958" s="162" t="n"/>
      <c r="L1958" s="168" t="n"/>
      <c r="M1958" s="75">
        <f>_xlfn.XLOOKUP(L1958,list_vat[Страна],list_vat[Ставка НДС %],0,0)</f>
        <v/>
      </c>
      <c r="N1958" s="162">
        <f>IFERROR(IF(L1958="Китай",K1958,K1958/(1+M1958)),0)</f>
        <v/>
      </c>
      <c r="O1958" s="169" t="n"/>
      <c r="P1958" s="76">
        <f>N1958*(1-O1958)</f>
        <v/>
      </c>
      <c r="Q1958" s="162" t="n"/>
      <c r="R1958" s="162">
        <f>IF(ISBLANK(Q1958),"введи курс",P1958/Q1958)</f>
        <v/>
      </c>
      <c r="S1958" s="196">
        <f>IF(AND(ISNUMBER(E1958),ISNUMBER(Q1958)),E1958*R1958,0)</f>
        <v/>
      </c>
      <c r="T1958" s="192">
        <f>$BC1958*V$11</f>
        <v/>
      </c>
      <c r="U1958" s="76">
        <f>$BC1958*W$11</f>
        <v/>
      </c>
      <c r="V1958" s="193">
        <f>+SUM(T1958:U1958)</f>
        <v/>
      </c>
      <c r="W1958" s="191" t="n"/>
      <c r="X1958" s="170" t="n"/>
      <c r="Y1958" s="76">
        <f>ROUND(IF(offer_incoterms="DDP",X1958*(S1958*(1+AW1958)+T1958),0),2)</f>
        <v/>
      </c>
      <c r="Z1958" s="188" t="n"/>
      <c r="AA1958" s="192">
        <f>IFERROR(AB1958/E1958,0)</f>
        <v/>
      </c>
      <c r="AB1958" s="76">
        <f>ROUND(SUM(S1958,V1958,Y1958:Z1958,BA1958:BB1958),2)</f>
        <v/>
      </c>
      <c r="AC1958" s="797" t="n"/>
      <c r="AD1958" s="192">
        <f t="array" ref="AD1958">IFERROR(ROUND((_xlfn.IFS(offer_sale_type="поставка",AB1958,offer_sale_type="транзит",S1958)*(1+AC1958))/E1958,2),0)</f>
        <v/>
      </c>
      <c r="AE1958" s="76">
        <f>AD1958*E1958</f>
        <v/>
      </c>
      <c r="AF1958" s="193">
        <f t="array" ref="AF1958">IFERROR(ROUND(_xlfn.IFS(offer_sale_type="поставка",AB1958,offer_sale_type="транзит",S1958)*AC1958,2),0)</f>
        <v/>
      </c>
      <c r="AG1958" s="192">
        <f>$BD1958*VLOOKUP($AG$3,$AF$4:$AG$7,2,FALSE)</f>
        <v/>
      </c>
      <c r="AH1958" s="76">
        <f>SUM(AE1958,AG1958,AI1958)*rate_forex_risk</f>
        <v/>
      </c>
      <c r="AI1958" s="193">
        <f>IF(OR(seller_region="TR",offer_sale_type="экспорт"),0,rate_fin_comm)*SUM(AZ1958,AZ1958*AW1958,T1958)</f>
        <v/>
      </c>
      <c r="AJ1958" s="118">
        <f>IFERROR(ROUND(SUM(AB1958,AF1958:AI1958)/E1958,2),0)</f>
        <v/>
      </c>
      <c r="AK1958" s="76">
        <f>AJ1958*E1958</f>
        <v/>
      </c>
      <c r="AL1958" s="174">
        <f>ROUND(IFERROR(AM1958*E1958,0),2)</f>
        <v/>
      </c>
      <c r="AM1958" s="175">
        <f>ROUND(AJ1958*(1+IF(offer_incoterms="DDP",IF((TODAY()+offer_turnaround_time)&gt;=helpsheet!$L$17,rate_vatRU_from_26,rate_vatRu_till_25),0)),2)</f>
        <v/>
      </c>
      <c r="AN1958" s="192">
        <f>AL1958-AK1958</f>
        <v/>
      </c>
      <c r="AO1958" s="76">
        <f>SUM(AY1958,Y1958:Z1958,T1958)*IF(AND(offer_incoterms="DDP",offer_sale_type&lt;&gt;"экспорт"),IF((TODAY()+offer_turnaround_time)&gt;=helpsheet!$L$17,rate_vatRU_from_26,rate_vatRu_till_25),0)</f>
        <v/>
      </c>
      <c r="AP1958" s="193">
        <f>AN1958-AO1958</f>
        <v/>
      </c>
      <c r="AQ1958" s="118">
        <f>IF(offer_sale_type="транзит",SUM(AF1958:AI1958,BA1958,BB1958),0)</f>
        <v/>
      </c>
      <c r="AR1958" s="82">
        <f>HYPERLINK("https://www.alta.ru/tnved/code/")&amp;W1958&amp;"/"</f>
        <v/>
      </c>
      <c r="AS1958" s="157" t="n"/>
      <c r="AT1958" s="162" t="n"/>
      <c r="AU1958" s="76">
        <f>IF(ISBLANK(AT1958),0,AJ1958-AT1958)</f>
        <v/>
      </c>
      <c r="AV1958" s="157" t="n"/>
      <c r="AW1958" s="75">
        <f>_xlfn.IFNA(VLOOKUP(L1958,list_vat[],3,FALSE),0)</f>
        <v/>
      </c>
      <c r="AX1958" s="76">
        <f>IFERROR(ROUND(S1958*(1+AW1958)/E1958,2),0)</f>
        <v/>
      </c>
      <c r="AY1958" s="76">
        <f>E1958*AX1958</f>
        <v/>
      </c>
      <c r="AZ1958" s="192">
        <f>S1958*(1+M1958)</f>
        <v/>
      </c>
      <c r="BA1958" s="76">
        <f>cost_fin_total*$BD1958</f>
        <v/>
      </c>
      <c r="BB1958" s="193">
        <f>credit_sales_interest*BD1958</f>
        <v/>
      </c>
      <c r="BC1958" s="102">
        <f>IFERROR(IF($I$13&gt;0,$I1958/$I$13,$S1958/$S$13),0)</f>
        <v/>
      </c>
      <c r="BD1958" s="102">
        <f>IFERROR($S1958/$S$13,0)</f>
        <v/>
      </c>
      <c r="BE1958" s="413" t="inlineStr">
        <is>
          <t>$</t>
        </is>
      </c>
    </row>
    <row r="1959" ht="12" customFormat="1" customHeight="1" s="65">
      <c r="A1959" s="43" t="n">
        <v>1944</v>
      </c>
      <c r="B1959" s="166" t="n"/>
      <c r="C1959" s="166" t="n"/>
      <c r="D1959" s="166" t="n"/>
      <c r="E1959" s="162" t="n"/>
      <c r="F1959" s="166" t="n"/>
      <c r="G1959" s="162" t="n"/>
      <c r="H1959" s="162" t="n"/>
      <c r="I1959" s="189">
        <f>E1959*G1959</f>
        <v/>
      </c>
      <c r="J1959" s="195" t="n"/>
      <c r="K1959" s="162" t="n"/>
      <c r="L1959" s="168" t="n"/>
      <c r="M1959" s="75">
        <f>_xlfn.XLOOKUP(L1959,list_vat[Страна],list_vat[Ставка НДС %],0,0)</f>
        <v/>
      </c>
      <c r="N1959" s="162">
        <f>IFERROR(IF(L1959="Китай",K1959,K1959/(1+M1959)),0)</f>
        <v/>
      </c>
      <c r="O1959" s="169" t="n"/>
      <c r="P1959" s="76">
        <f>N1959*(1-O1959)</f>
        <v/>
      </c>
      <c r="Q1959" s="162" t="n"/>
      <c r="R1959" s="162">
        <f>IF(ISBLANK(Q1959),"введи курс",P1959/Q1959)</f>
        <v/>
      </c>
      <c r="S1959" s="196">
        <f>IF(AND(ISNUMBER(E1959),ISNUMBER(Q1959)),E1959*R1959,0)</f>
        <v/>
      </c>
      <c r="T1959" s="192">
        <f>$BC1959*V$11</f>
        <v/>
      </c>
      <c r="U1959" s="76">
        <f>$BC1959*W$11</f>
        <v/>
      </c>
      <c r="V1959" s="193">
        <f>+SUM(T1959:U1959)</f>
        <v/>
      </c>
      <c r="W1959" s="191" t="n"/>
      <c r="X1959" s="170" t="n"/>
      <c r="Y1959" s="76">
        <f>ROUND(IF(offer_incoterms="DDP",X1959*(S1959*(1+AW1959)+T1959),0),2)</f>
        <v/>
      </c>
      <c r="Z1959" s="188" t="n"/>
      <c r="AA1959" s="192">
        <f>IFERROR(AB1959/E1959,0)</f>
        <v/>
      </c>
      <c r="AB1959" s="76">
        <f>ROUND(SUM(S1959,V1959,Y1959:Z1959,BA1959:BB1959),2)</f>
        <v/>
      </c>
      <c r="AC1959" s="797" t="n"/>
      <c r="AD1959" s="192">
        <f t="array" ref="AD1959">IFERROR(ROUND((_xlfn.IFS(offer_sale_type="поставка",AB1959,offer_sale_type="транзит",S1959)*(1+AC1959))/E1959,2),0)</f>
        <v/>
      </c>
      <c r="AE1959" s="76">
        <f>AD1959*E1959</f>
        <v/>
      </c>
      <c r="AF1959" s="193">
        <f t="array" ref="AF1959">IFERROR(ROUND(_xlfn.IFS(offer_sale_type="поставка",AB1959,offer_sale_type="транзит",S1959)*AC1959,2),0)</f>
        <v/>
      </c>
      <c r="AG1959" s="192">
        <f>$BD1959*VLOOKUP($AG$3,$AF$4:$AG$7,2,FALSE)</f>
        <v/>
      </c>
      <c r="AH1959" s="76">
        <f>SUM(AE1959,AG1959,AI1959)*rate_forex_risk</f>
        <v/>
      </c>
      <c r="AI1959" s="193">
        <f>IF(OR(seller_region="TR",offer_sale_type="экспорт"),0,rate_fin_comm)*SUM(AZ1959,AZ1959*AW1959,T1959)</f>
        <v/>
      </c>
      <c r="AJ1959" s="118">
        <f>IFERROR(ROUND(SUM(AB1959,AF1959:AI1959)/E1959,2),0)</f>
        <v/>
      </c>
      <c r="AK1959" s="76">
        <f>AJ1959*E1959</f>
        <v/>
      </c>
      <c r="AL1959" s="174">
        <f>ROUND(IFERROR(AM1959*E1959,0),2)</f>
        <v/>
      </c>
      <c r="AM1959" s="175">
        <f>ROUND(AJ1959*(1+IF(offer_incoterms="DDP",IF((TODAY()+offer_turnaround_time)&gt;=helpsheet!$L$17,rate_vatRU_from_26,rate_vatRu_till_25),0)),2)</f>
        <v/>
      </c>
      <c r="AN1959" s="192">
        <f>AL1959-AK1959</f>
        <v/>
      </c>
      <c r="AO1959" s="76">
        <f>SUM(AY1959,Y1959:Z1959,T1959)*IF(AND(offer_incoterms="DDP",offer_sale_type&lt;&gt;"экспорт"),IF((TODAY()+offer_turnaround_time)&gt;=helpsheet!$L$17,rate_vatRU_from_26,rate_vatRu_till_25),0)</f>
        <v/>
      </c>
      <c r="AP1959" s="193">
        <f>AN1959-AO1959</f>
        <v/>
      </c>
      <c r="AQ1959" s="118">
        <f>IF(offer_sale_type="транзит",SUM(AF1959:AI1959,BA1959,BB1959),0)</f>
        <v/>
      </c>
      <c r="AR1959" s="82">
        <f>HYPERLINK("https://www.alta.ru/tnved/code/")&amp;W1959&amp;"/"</f>
        <v/>
      </c>
      <c r="AS1959" s="157" t="n"/>
      <c r="AT1959" s="162" t="n"/>
      <c r="AU1959" s="76">
        <f>IF(ISBLANK(AT1959),0,AJ1959-AT1959)</f>
        <v/>
      </c>
      <c r="AV1959" s="157" t="n"/>
      <c r="AW1959" s="75">
        <f>_xlfn.IFNA(VLOOKUP(L1959,list_vat[],3,FALSE),0)</f>
        <v/>
      </c>
      <c r="AX1959" s="76">
        <f>IFERROR(ROUND(S1959*(1+AW1959)/E1959,2),0)</f>
        <v/>
      </c>
      <c r="AY1959" s="76">
        <f>E1959*AX1959</f>
        <v/>
      </c>
      <c r="AZ1959" s="192">
        <f>S1959*(1+M1959)</f>
        <v/>
      </c>
      <c r="BA1959" s="76">
        <f>cost_fin_total*$BD1959</f>
        <v/>
      </c>
      <c r="BB1959" s="193">
        <f>credit_sales_interest*BD1959</f>
        <v/>
      </c>
      <c r="BC1959" s="102">
        <f>IFERROR(IF($I$13&gt;0,$I1959/$I$13,$S1959/$S$13),0)</f>
        <v/>
      </c>
      <c r="BD1959" s="102">
        <f>IFERROR($S1959/$S$13,0)</f>
        <v/>
      </c>
      <c r="BE1959" s="413" t="inlineStr">
        <is>
          <t>$</t>
        </is>
      </c>
    </row>
    <row r="1960" ht="12" customFormat="1" customHeight="1" s="65">
      <c r="A1960" s="43" t="n">
        <v>1945</v>
      </c>
      <c r="B1960" s="166" t="n"/>
      <c r="C1960" s="166" t="n"/>
      <c r="D1960" s="166" t="n"/>
      <c r="E1960" s="162" t="n"/>
      <c r="F1960" s="166" t="n"/>
      <c r="G1960" s="162" t="n"/>
      <c r="H1960" s="162" t="n"/>
      <c r="I1960" s="189">
        <f>E1960*G1960</f>
        <v/>
      </c>
      <c r="J1960" s="195" t="n"/>
      <c r="K1960" s="162" t="n"/>
      <c r="L1960" s="168" t="n"/>
      <c r="M1960" s="75">
        <f>_xlfn.XLOOKUP(L1960,list_vat[Страна],list_vat[Ставка НДС %],0,0)</f>
        <v/>
      </c>
      <c r="N1960" s="162">
        <f>IFERROR(IF(L1960="Китай",K1960,K1960/(1+M1960)),0)</f>
        <v/>
      </c>
      <c r="O1960" s="169" t="n"/>
      <c r="P1960" s="76">
        <f>N1960*(1-O1960)</f>
        <v/>
      </c>
      <c r="Q1960" s="162" t="n"/>
      <c r="R1960" s="162">
        <f>IF(ISBLANK(Q1960),"введи курс",P1960/Q1960)</f>
        <v/>
      </c>
      <c r="S1960" s="196">
        <f>IF(AND(ISNUMBER(E1960),ISNUMBER(Q1960)),E1960*R1960,0)</f>
        <v/>
      </c>
      <c r="T1960" s="192">
        <f>$BC1960*V$11</f>
        <v/>
      </c>
      <c r="U1960" s="76">
        <f>$BC1960*W$11</f>
        <v/>
      </c>
      <c r="V1960" s="193">
        <f>+SUM(T1960:U1960)</f>
        <v/>
      </c>
      <c r="W1960" s="191" t="n"/>
      <c r="X1960" s="170" t="n"/>
      <c r="Y1960" s="76">
        <f>ROUND(IF(offer_incoterms="DDP",X1960*(S1960*(1+AW1960)+T1960),0),2)</f>
        <v/>
      </c>
      <c r="Z1960" s="188" t="n"/>
      <c r="AA1960" s="192">
        <f>IFERROR(AB1960/E1960,0)</f>
        <v/>
      </c>
      <c r="AB1960" s="76">
        <f>ROUND(SUM(S1960,V1960,Y1960:Z1960,BA1960:BB1960),2)</f>
        <v/>
      </c>
      <c r="AC1960" s="797" t="n"/>
      <c r="AD1960" s="192">
        <f t="array" ref="AD1960">IFERROR(ROUND((_xlfn.IFS(offer_sale_type="поставка",AB1960,offer_sale_type="транзит",S1960)*(1+AC1960))/E1960,2),0)</f>
        <v/>
      </c>
      <c r="AE1960" s="76">
        <f>AD1960*E1960</f>
        <v/>
      </c>
      <c r="AF1960" s="193">
        <f t="array" ref="AF1960">IFERROR(ROUND(_xlfn.IFS(offer_sale_type="поставка",AB1960,offer_sale_type="транзит",S1960)*AC1960,2),0)</f>
        <v/>
      </c>
      <c r="AG1960" s="192">
        <f>$BD1960*VLOOKUP($AG$3,$AF$4:$AG$7,2,FALSE)</f>
        <v/>
      </c>
      <c r="AH1960" s="76">
        <f>SUM(AE1960,AG1960,AI1960)*rate_forex_risk</f>
        <v/>
      </c>
      <c r="AI1960" s="193">
        <f>IF(OR(seller_region="TR",offer_sale_type="экспорт"),0,rate_fin_comm)*SUM(AZ1960,AZ1960*AW1960,T1960)</f>
        <v/>
      </c>
      <c r="AJ1960" s="118">
        <f>IFERROR(ROUND(SUM(AB1960,AF1960:AI1960)/E1960,2),0)</f>
        <v/>
      </c>
      <c r="AK1960" s="76">
        <f>AJ1960*E1960</f>
        <v/>
      </c>
      <c r="AL1960" s="174">
        <f>ROUND(IFERROR(AM1960*E1960,0),2)</f>
        <v/>
      </c>
      <c r="AM1960" s="175">
        <f>ROUND(AJ1960*(1+IF(offer_incoterms="DDP",IF((TODAY()+offer_turnaround_time)&gt;=helpsheet!$L$17,rate_vatRU_from_26,rate_vatRu_till_25),0)),2)</f>
        <v/>
      </c>
      <c r="AN1960" s="192">
        <f>AL1960-AK1960</f>
        <v/>
      </c>
      <c r="AO1960" s="76">
        <f>SUM(AY1960,Y1960:Z1960,T1960)*IF(AND(offer_incoterms="DDP",offer_sale_type&lt;&gt;"экспорт"),IF((TODAY()+offer_turnaround_time)&gt;=helpsheet!$L$17,rate_vatRU_from_26,rate_vatRu_till_25),0)</f>
        <v/>
      </c>
      <c r="AP1960" s="193">
        <f>AN1960-AO1960</f>
        <v/>
      </c>
      <c r="AQ1960" s="118">
        <f>IF(offer_sale_type="транзит",SUM(AF1960:AI1960,BA1960,BB1960),0)</f>
        <v/>
      </c>
      <c r="AR1960" s="82">
        <f>HYPERLINK("https://www.alta.ru/tnved/code/")&amp;W1960&amp;"/"</f>
        <v/>
      </c>
      <c r="AS1960" s="157" t="n"/>
      <c r="AT1960" s="162" t="n"/>
      <c r="AU1960" s="76">
        <f>IF(ISBLANK(AT1960),0,AJ1960-AT1960)</f>
        <v/>
      </c>
      <c r="AV1960" s="157" t="n"/>
      <c r="AW1960" s="75">
        <f>_xlfn.IFNA(VLOOKUP(L1960,list_vat[],3,FALSE),0)</f>
        <v/>
      </c>
      <c r="AX1960" s="76">
        <f>IFERROR(ROUND(S1960*(1+AW1960)/E1960,2),0)</f>
        <v/>
      </c>
      <c r="AY1960" s="76">
        <f>E1960*AX1960</f>
        <v/>
      </c>
      <c r="AZ1960" s="192">
        <f>S1960*(1+M1960)</f>
        <v/>
      </c>
      <c r="BA1960" s="76">
        <f>cost_fin_total*$BD1960</f>
        <v/>
      </c>
      <c r="BB1960" s="193">
        <f>credit_sales_interest*BD1960</f>
        <v/>
      </c>
      <c r="BC1960" s="102">
        <f>IFERROR(IF($I$13&gt;0,$I1960/$I$13,$S1960/$S$13),0)</f>
        <v/>
      </c>
      <c r="BD1960" s="102">
        <f>IFERROR($S1960/$S$13,0)</f>
        <v/>
      </c>
      <c r="BE1960" s="413" t="inlineStr">
        <is>
          <t>$</t>
        </is>
      </c>
    </row>
    <row r="1961" ht="12" customFormat="1" customHeight="1" s="65">
      <c r="A1961" s="43" t="n">
        <v>1946</v>
      </c>
      <c r="B1961" s="166" t="n"/>
      <c r="C1961" s="166" t="n"/>
      <c r="D1961" s="166" t="n"/>
      <c r="E1961" s="162" t="n"/>
      <c r="F1961" s="166" t="n"/>
      <c r="G1961" s="162" t="n"/>
      <c r="H1961" s="162" t="n"/>
      <c r="I1961" s="189">
        <f>E1961*G1961</f>
        <v/>
      </c>
      <c r="J1961" s="195" t="n"/>
      <c r="K1961" s="162" t="n"/>
      <c r="L1961" s="168" t="n"/>
      <c r="M1961" s="75">
        <f>_xlfn.XLOOKUP(L1961,list_vat[Страна],list_vat[Ставка НДС %],0,0)</f>
        <v/>
      </c>
      <c r="N1961" s="162">
        <f>IFERROR(IF(L1961="Китай",K1961,K1961/(1+M1961)),0)</f>
        <v/>
      </c>
      <c r="O1961" s="169" t="n"/>
      <c r="P1961" s="76">
        <f>N1961*(1-O1961)</f>
        <v/>
      </c>
      <c r="Q1961" s="162" t="n"/>
      <c r="R1961" s="162">
        <f>IF(ISBLANK(Q1961),"введи курс",P1961/Q1961)</f>
        <v/>
      </c>
      <c r="S1961" s="196">
        <f>IF(AND(ISNUMBER(E1961),ISNUMBER(Q1961)),E1961*R1961,0)</f>
        <v/>
      </c>
      <c r="T1961" s="192">
        <f>$BC1961*V$11</f>
        <v/>
      </c>
      <c r="U1961" s="76">
        <f>$BC1961*W$11</f>
        <v/>
      </c>
      <c r="V1961" s="193">
        <f>+SUM(T1961:U1961)</f>
        <v/>
      </c>
      <c r="W1961" s="191" t="n"/>
      <c r="X1961" s="170" t="n"/>
      <c r="Y1961" s="76">
        <f>ROUND(IF(offer_incoterms="DDP",X1961*(S1961*(1+AW1961)+T1961),0),2)</f>
        <v/>
      </c>
      <c r="Z1961" s="188" t="n"/>
      <c r="AA1961" s="192">
        <f>IFERROR(AB1961/E1961,0)</f>
        <v/>
      </c>
      <c r="AB1961" s="76">
        <f>ROUND(SUM(S1961,V1961,Y1961:Z1961,BA1961:BB1961),2)</f>
        <v/>
      </c>
      <c r="AC1961" s="797" t="n"/>
      <c r="AD1961" s="192">
        <f t="array" ref="AD1961">IFERROR(ROUND((_xlfn.IFS(offer_sale_type="поставка",AB1961,offer_sale_type="транзит",S1961)*(1+AC1961))/E1961,2),0)</f>
        <v/>
      </c>
      <c r="AE1961" s="76">
        <f>AD1961*E1961</f>
        <v/>
      </c>
      <c r="AF1961" s="193">
        <f t="array" ref="AF1961">IFERROR(ROUND(_xlfn.IFS(offer_sale_type="поставка",AB1961,offer_sale_type="транзит",S1961)*AC1961,2),0)</f>
        <v/>
      </c>
      <c r="AG1961" s="192">
        <f>$BD1961*VLOOKUP($AG$3,$AF$4:$AG$7,2,FALSE)</f>
        <v/>
      </c>
      <c r="AH1961" s="76">
        <f>SUM(AE1961,AG1961,AI1961)*rate_forex_risk</f>
        <v/>
      </c>
      <c r="AI1961" s="193">
        <f>IF(OR(seller_region="TR",offer_sale_type="экспорт"),0,rate_fin_comm)*SUM(AZ1961,AZ1961*AW1961,T1961)</f>
        <v/>
      </c>
      <c r="AJ1961" s="118">
        <f>IFERROR(ROUND(SUM(AB1961,AF1961:AI1961)/E1961,2),0)</f>
        <v/>
      </c>
      <c r="AK1961" s="76">
        <f>AJ1961*E1961</f>
        <v/>
      </c>
      <c r="AL1961" s="174">
        <f>ROUND(IFERROR(AM1961*E1961,0),2)</f>
        <v/>
      </c>
      <c r="AM1961" s="175">
        <f>ROUND(AJ1961*(1+IF(offer_incoterms="DDP",IF((TODAY()+offer_turnaround_time)&gt;=helpsheet!$L$17,rate_vatRU_from_26,rate_vatRu_till_25),0)),2)</f>
        <v/>
      </c>
      <c r="AN1961" s="192">
        <f>AL1961-AK1961</f>
        <v/>
      </c>
      <c r="AO1961" s="76">
        <f>SUM(AY1961,Y1961:Z1961,T1961)*IF(AND(offer_incoterms="DDP",offer_sale_type&lt;&gt;"экспорт"),IF((TODAY()+offer_turnaround_time)&gt;=helpsheet!$L$17,rate_vatRU_from_26,rate_vatRu_till_25),0)</f>
        <v/>
      </c>
      <c r="AP1961" s="193">
        <f>AN1961-AO1961</f>
        <v/>
      </c>
      <c r="AQ1961" s="118">
        <f>IF(offer_sale_type="транзит",SUM(AF1961:AI1961,BA1961,BB1961),0)</f>
        <v/>
      </c>
      <c r="AR1961" s="82">
        <f>HYPERLINK("https://www.alta.ru/tnved/code/")&amp;W1961&amp;"/"</f>
        <v/>
      </c>
      <c r="AS1961" s="157" t="n"/>
      <c r="AT1961" s="162" t="n"/>
      <c r="AU1961" s="76">
        <f>IF(ISBLANK(AT1961),0,AJ1961-AT1961)</f>
        <v/>
      </c>
      <c r="AV1961" s="157" t="n"/>
      <c r="AW1961" s="75">
        <f>_xlfn.IFNA(VLOOKUP(L1961,list_vat[],3,FALSE),0)</f>
        <v/>
      </c>
      <c r="AX1961" s="76">
        <f>IFERROR(ROUND(S1961*(1+AW1961)/E1961,2),0)</f>
        <v/>
      </c>
      <c r="AY1961" s="76">
        <f>E1961*AX1961</f>
        <v/>
      </c>
      <c r="AZ1961" s="192">
        <f>S1961*(1+M1961)</f>
        <v/>
      </c>
      <c r="BA1961" s="76">
        <f>cost_fin_total*$BD1961</f>
        <v/>
      </c>
      <c r="BB1961" s="193">
        <f>credit_sales_interest*BD1961</f>
        <v/>
      </c>
      <c r="BC1961" s="102">
        <f>IFERROR(IF($I$13&gt;0,$I1961/$I$13,$S1961/$S$13),0)</f>
        <v/>
      </c>
      <c r="BD1961" s="102">
        <f>IFERROR($S1961/$S$13,0)</f>
        <v/>
      </c>
      <c r="BE1961" s="413" t="inlineStr">
        <is>
          <t>$</t>
        </is>
      </c>
    </row>
    <row r="1962" ht="12" customFormat="1" customHeight="1" s="65">
      <c r="A1962" s="43" t="n">
        <v>1947</v>
      </c>
      <c r="B1962" s="166" t="n"/>
      <c r="C1962" s="166" t="n"/>
      <c r="D1962" s="166" t="n"/>
      <c r="E1962" s="162" t="n"/>
      <c r="F1962" s="166" t="n"/>
      <c r="G1962" s="162" t="n"/>
      <c r="H1962" s="162" t="n"/>
      <c r="I1962" s="189">
        <f>E1962*G1962</f>
        <v/>
      </c>
      <c r="J1962" s="195" t="n"/>
      <c r="K1962" s="162" t="n"/>
      <c r="L1962" s="168" t="n"/>
      <c r="M1962" s="75">
        <f>_xlfn.XLOOKUP(L1962,list_vat[Страна],list_vat[Ставка НДС %],0,0)</f>
        <v/>
      </c>
      <c r="N1962" s="162">
        <f>IFERROR(IF(L1962="Китай",K1962,K1962/(1+M1962)),0)</f>
        <v/>
      </c>
      <c r="O1962" s="169" t="n"/>
      <c r="P1962" s="76">
        <f>N1962*(1-O1962)</f>
        <v/>
      </c>
      <c r="Q1962" s="162" t="n"/>
      <c r="R1962" s="162">
        <f>IF(ISBLANK(Q1962),"введи курс",P1962/Q1962)</f>
        <v/>
      </c>
      <c r="S1962" s="196">
        <f>IF(AND(ISNUMBER(E1962),ISNUMBER(Q1962)),E1962*R1962,0)</f>
        <v/>
      </c>
      <c r="T1962" s="192">
        <f>$BC1962*V$11</f>
        <v/>
      </c>
      <c r="U1962" s="76">
        <f>$BC1962*W$11</f>
        <v/>
      </c>
      <c r="V1962" s="193">
        <f>+SUM(T1962:U1962)</f>
        <v/>
      </c>
      <c r="W1962" s="191" t="n"/>
      <c r="X1962" s="170" t="n"/>
      <c r="Y1962" s="76">
        <f>ROUND(IF(offer_incoterms="DDP",X1962*(S1962*(1+AW1962)+T1962),0),2)</f>
        <v/>
      </c>
      <c r="Z1962" s="188" t="n"/>
      <c r="AA1962" s="192">
        <f>IFERROR(AB1962/E1962,0)</f>
        <v/>
      </c>
      <c r="AB1962" s="76">
        <f>ROUND(SUM(S1962,V1962,Y1962:Z1962,BA1962:BB1962),2)</f>
        <v/>
      </c>
      <c r="AC1962" s="797" t="n"/>
      <c r="AD1962" s="192">
        <f t="array" ref="AD1962">IFERROR(ROUND((_xlfn.IFS(offer_sale_type="поставка",AB1962,offer_sale_type="транзит",S1962)*(1+AC1962))/E1962,2),0)</f>
        <v/>
      </c>
      <c r="AE1962" s="76">
        <f>AD1962*E1962</f>
        <v/>
      </c>
      <c r="AF1962" s="193">
        <f t="array" ref="AF1962">IFERROR(ROUND(_xlfn.IFS(offer_sale_type="поставка",AB1962,offer_sale_type="транзит",S1962)*AC1962,2),0)</f>
        <v/>
      </c>
      <c r="AG1962" s="192">
        <f>$BD1962*VLOOKUP($AG$3,$AF$4:$AG$7,2,FALSE)</f>
        <v/>
      </c>
      <c r="AH1962" s="76">
        <f>SUM(AE1962,AG1962,AI1962)*rate_forex_risk</f>
        <v/>
      </c>
      <c r="AI1962" s="193">
        <f>IF(OR(seller_region="TR",offer_sale_type="экспорт"),0,rate_fin_comm)*SUM(AZ1962,AZ1962*AW1962,T1962)</f>
        <v/>
      </c>
      <c r="AJ1962" s="118">
        <f>IFERROR(ROUND(SUM(AB1962,AF1962:AI1962)/E1962,2),0)</f>
        <v/>
      </c>
      <c r="AK1962" s="76">
        <f>AJ1962*E1962</f>
        <v/>
      </c>
      <c r="AL1962" s="174">
        <f>ROUND(IFERROR(AM1962*E1962,0),2)</f>
        <v/>
      </c>
      <c r="AM1962" s="175">
        <f>ROUND(AJ1962*(1+IF(offer_incoterms="DDP",IF((TODAY()+offer_turnaround_time)&gt;=helpsheet!$L$17,rate_vatRU_from_26,rate_vatRu_till_25),0)),2)</f>
        <v/>
      </c>
      <c r="AN1962" s="192">
        <f>AL1962-AK1962</f>
        <v/>
      </c>
      <c r="AO1962" s="76">
        <f>SUM(AY1962,Y1962:Z1962,T1962)*IF(AND(offer_incoterms="DDP",offer_sale_type&lt;&gt;"экспорт"),IF((TODAY()+offer_turnaround_time)&gt;=helpsheet!$L$17,rate_vatRU_from_26,rate_vatRu_till_25),0)</f>
        <v/>
      </c>
      <c r="AP1962" s="193">
        <f>AN1962-AO1962</f>
        <v/>
      </c>
      <c r="AQ1962" s="118">
        <f>IF(offer_sale_type="транзит",SUM(AF1962:AI1962,BA1962,BB1962),0)</f>
        <v/>
      </c>
      <c r="AR1962" s="82">
        <f>HYPERLINK("https://www.alta.ru/tnved/code/")&amp;W1962&amp;"/"</f>
        <v/>
      </c>
      <c r="AS1962" s="157" t="n"/>
      <c r="AT1962" s="162" t="n"/>
      <c r="AU1962" s="76">
        <f>IF(ISBLANK(AT1962),0,AJ1962-AT1962)</f>
        <v/>
      </c>
      <c r="AV1962" s="157" t="n"/>
      <c r="AW1962" s="75">
        <f>_xlfn.IFNA(VLOOKUP(L1962,list_vat[],3,FALSE),0)</f>
        <v/>
      </c>
      <c r="AX1962" s="76">
        <f>IFERROR(ROUND(S1962*(1+AW1962)/E1962,2),0)</f>
        <v/>
      </c>
      <c r="AY1962" s="76">
        <f>E1962*AX1962</f>
        <v/>
      </c>
      <c r="AZ1962" s="192">
        <f>S1962*(1+M1962)</f>
        <v/>
      </c>
      <c r="BA1962" s="76">
        <f>cost_fin_total*$BD1962</f>
        <v/>
      </c>
      <c r="BB1962" s="193">
        <f>credit_sales_interest*BD1962</f>
        <v/>
      </c>
      <c r="BC1962" s="102">
        <f>IFERROR(IF($I$13&gt;0,$I1962/$I$13,$S1962/$S$13),0)</f>
        <v/>
      </c>
      <c r="BD1962" s="102">
        <f>IFERROR($S1962/$S$13,0)</f>
        <v/>
      </c>
      <c r="BE1962" s="413" t="inlineStr">
        <is>
          <t>$</t>
        </is>
      </c>
    </row>
    <row r="1963" ht="12" customFormat="1" customHeight="1" s="65">
      <c r="A1963" s="43" t="n">
        <v>1948</v>
      </c>
      <c r="B1963" s="166" t="n"/>
      <c r="C1963" s="166" t="n"/>
      <c r="D1963" s="166" t="n"/>
      <c r="E1963" s="162" t="n"/>
      <c r="F1963" s="166" t="n"/>
      <c r="G1963" s="162" t="n"/>
      <c r="H1963" s="162" t="n"/>
      <c r="I1963" s="189">
        <f>E1963*G1963</f>
        <v/>
      </c>
      <c r="J1963" s="195" t="n"/>
      <c r="K1963" s="162" t="n"/>
      <c r="L1963" s="168" t="n"/>
      <c r="M1963" s="75">
        <f>_xlfn.XLOOKUP(L1963,list_vat[Страна],list_vat[Ставка НДС %],0,0)</f>
        <v/>
      </c>
      <c r="N1963" s="162">
        <f>IFERROR(IF(L1963="Китай",K1963,K1963/(1+M1963)),0)</f>
        <v/>
      </c>
      <c r="O1963" s="169" t="n"/>
      <c r="P1963" s="76">
        <f>N1963*(1-O1963)</f>
        <v/>
      </c>
      <c r="Q1963" s="162" t="n"/>
      <c r="R1963" s="162">
        <f>IF(ISBLANK(Q1963),"введи курс",P1963/Q1963)</f>
        <v/>
      </c>
      <c r="S1963" s="196">
        <f>IF(AND(ISNUMBER(E1963),ISNUMBER(Q1963)),E1963*R1963,0)</f>
        <v/>
      </c>
      <c r="T1963" s="192">
        <f>$BC1963*V$11</f>
        <v/>
      </c>
      <c r="U1963" s="76">
        <f>$BC1963*W$11</f>
        <v/>
      </c>
      <c r="V1963" s="193">
        <f>+SUM(T1963:U1963)</f>
        <v/>
      </c>
      <c r="W1963" s="191" t="n"/>
      <c r="X1963" s="170" t="n"/>
      <c r="Y1963" s="76">
        <f>ROUND(IF(offer_incoterms="DDP",X1963*(S1963*(1+AW1963)+T1963),0),2)</f>
        <v/>
      </c>
      <c r="Z1963" s="188" t="n"/>
      <c r="AA1963" s="192">
        <f>IFERROR(AB1963/E1963,0)</f>
        <v/>
      </c>
      <c r="AB1963" s="76">
        <f>ROUND(SUM(S1963,V1963,Y1963:Z1963,BA1963:BB1963),2)</f>
        <v/>
      </c>
      <c r="AC1963" s="797" t="n"/>
      <c r="AD1963" s="192">
        <f t="array" ref="AD1963">IFERROR(ROUND((_xlfn.IFS(offer_sale_type="поставка",AB1963,offer_sale_type="транзит",S1963)*(1+AC1963))/E1963,2),0)</f>
        <v/>
      </c>
      <c r="AE1963" s="76">
        <f>AD1963*E1963</f>
        <v/>
      </c>
      <c r="AF1963" s="193">
        <f t="array" ref="AF1963">IFERROR(ROUND(_xlfn.IFS(offer_sale_type="поставка",AB1963,offer_sale_type="транзит",S1963)*AC1963,2),0)</f>
        <v/>
      </c>
      <c r="AG1963" s="192">
        <f>$BD1963*VLOOKUP($AG$3,$AF$4:$AG$7,2,FALSE)</f>
        <v/>
      </c>
      <c r="AH1963" s="76">
        <f>SUM(AE1963,AG1963,AI1963)*rate_forex_risk</f>
        <v/>
      </c>
      <c r="AI1963" s="193">
        <f>IF(OR(seller_region="TR",offer_sale_type="экспорт"),0,rate_fin_comm)*SUM(AZ1963,AZ1963*AW1963,T1963)</f>
        <v/>
      </c>
      <c r="AJ1963" s="118">
        <f>IFERROR(ROUND(SUM(AB1963,AF1963:AI1963)/E1963,2),0)</f>
        <v/>
      </c>
      <c r="AK1963" s="76">
        <f>AJ1963*E1963</f>
        <v/>
      </c>
      <c r="AL1963" s="174">
        <f>ROUND(IFERROR(AM1963*E1963,0),2)</f>
        <v/>
      </c>
      <c r="AM1963" s="175">
        <f>ROUND(AJ1963*(1+IF(offer_incoterms="DDP",IF((TODAY()+offer_turnaround_time)&gt;=helpsheet!$L$17,rate_vatRU_from_26,rate_vatRu_till_25),0)),2)</f>
        <v/>
      </c>
      <c r="AN1963" s="192">
        <f>AL1963-AK1963</f>
        <v/>
      </c>
      <c r="AO1963" s="76">
        <f>SUM(AY1963,Y1963:Z1963,T1963)*IF(AND(offer_incoterms="DDP",offer_sale_type&lt;&gt;"экспорт"),IF((TODAY()+offer_turnaround_time)&gt;=helpsheet!$L$17,rate_vatRU_from_26,rate_vatRu_till_25),0)</f>
        <v/>
      </c>
      <c r="AP1963" s="193">
        <f>AN1963-AO1963</f>
        <v/>
      </c>
      <c r="AQ1963" s="118">
        <f>IF(offer_sale_type="транзит",SUM(AF1963:AI1963,BA1963,BB1963),0)</f>
        <v/>
      </c>
      <c r="AR1963" s="82">
        <f>HYPERLINK("https://www.alta.ru/tnved/code/")&amp;W1963&amp;"/"</f>
        <v/>
      </c>
      <c r="AS1963" s="157" t="n"/>
      <c r="AT1963" s="162" t="n"/>
      <c r="AU1963" s="76">
        <f>IF(ISBLANK(AT1963),0,AJ1963-AT1963)</f>
        <v/>
      </c>
      <c r="AV1963" s="157" t="n"/>
      <c r="AW1963" s="75">
        <f>_xlfn.IFNA(VLOOKUP(L1963,list_vat[],3,FALSE),0)</f>
        <v/>
      </c>
      <c r="AX1963" s="76">
        <f>IFERROR(ROUND(S1963*(1+AW1963)/E1963,2),0)</f>
        <v/>
      </c>
      <c r="AY1963" s="76">
        <f>E1963*AX1963</f>
        <v/>
      </c>
      <c r="AZ1963" s="192">
        <f>S1963*(1+M1963)</f>
        <v/>
      </c>
      <c r="BA1963" s="76">
        <f>cost_fin_total*$BD1963</f>
        <v/>
      </c>
      <c r="BB1963" s="193">
        <f>credit_sales_interest*BD1963</f>
        <v/>
      </c>
      <c r="BC1963" s="102">
        <f>IFERROR(IF($I$13&gt;0,$I1963/$I$13,$S1963/$S$13),0)</f>
        <v/>
      </c>
      <c r="BD1963" s="102">
        <f>IFERROR($S1963/$S$13,0)</f>
        <v/>
      </c>
      <c r="BE1963" s="413" t="inlineStr">
        <is>
          <t>$</t>
        </is>
      </c>
    </row>
    <row r="1964" ht="12" customFormat="1" customHeight="1" s="65">
      <c r="A1964" s="43" t="n">
        <v>1949</v>
      </c>
      <c r="B1964" s="166" t="n"/>
      <c r="C1964" s="166" t="n"/>
      <c r="D1964" s="166" t="n"/>
      <c r="E1964" s="162" t="n"/>
      <c r="F1964" s="166" t="n"/>
      <c r="G1964" s="162" t="n"/>
      <c r="H1964" s="162" t="n"/>
      <c r="I1964" s="189">
        <f>E1964*G1964</f>
        <v/>
      </c>
      <c r="J1964" s="195" t="n"/>
      <c r="K1964" s="162" t="n"/>
      <c r="L1964" s="168" t="n"/>
      <c r="M1964" s="75">
        <f>_xlfn.XLOOKUP(L1964,list_vat[Страна],list_vat[Ставка НДС %],0,0)</f>
        <v/>
      </c>
      <c r="N1964" s="162">
        <f>IFERROR(IF(L1964="Китай",K1964,K1964/(1+M1964)),0)</f>
        <v/>
      </c>
      <c r="O1964" s="169" t="n"/>
      <c r="P1964" s="76">
        <f>N1964*(1-O1964)</f>
        <v/>
      </c>
      <c r="Q1964" s="162" t="n"/>
      <c r="R1964" s="162">
        <f>IF(ISBLANK(Q1964),"введи курс",P1964/Q1964)</f>
        <v/>
      </c>
      <c r="S1964" s="196">
        <f>IF(AND(ISNUMBER(E1964),ISNUMBER(Q1964)),E1964*R1964,0)</f>
        <v/>
      </c>
      <c r="T1964" s="192">
        <f>$BC1964*V$11</f>
        <v/>
      </c>
      <c r="U1964" s="76">
        <f>$BC1964*W$11</f>
        <v/>
      </c>
      <c r="V1964" s="193">
        <f>+SUM(T1964:U1964)</f>
        <v/>
      </c>
      <c r="W1964" s="191" t="n"/>
      <c r="X1964" s="170" t="n"/>
      <c r="Y1964" s="76">
        <f>ROUND(IF(offer_incoterms="DDP",X1964*(S1964*(1+AW1964)+T1964),0),2)</f>
        <v/>
      </c>
      <c r="Z1964" s="188" t="n"/>
      <c r="AA1964" s="192">
        <f>IFERROR(AB1964/E1964,0)</f>
        <v/>
      </c>
      <c r="AB1964" s="76">
        <f>ROUND(SUM(S1964,V1964,Y1964:Z1964,BA1964:BB1964),2)</f>
        <v/>
      </c>
      <c r="AC1964" s="797" t="n"/>
      <c r="AD1964" s="192">
        <f t="array" ref="AD1964">IFERROR(ROUND((_xlfn.IFS(offer_sale_type="поставка",AB1964,offer_sale_type="транзит",S1964)*(1+AC1964))/E1964,2),0)</f>
        <v/>
      </c>
      <c r="AE1964" s="76">
        <f>AD1964*E1964</f>
        <v/>
      </c>
      <c r="AF1964" s="193">
        <f t="array" ref="AF1964">IFERROR(ROUND(_xlfn.IFS(offer_sale_type="поставка",AB1964,offer_sale_type="транзит",S1964)*AC1964,2),0)</f>
        <v/>
      </c>
      <c r="AG1964" s="192">
        <f>$BD1964*VLOOKUP($AG$3,$AF$4:$AG$7,2,FALSE)</f>
        <v/>
      </c>
      <c r="AH1964" s="76">
        <f>SUM(AE1964,AG1964,AI1964)*rate_forex_risk</f>
        <v/>
      </c>
      <c r="AI1964" s="193">
        <f>IF(OR(seller_region="TR",offer_sale_type="экспорт"),0,rate_fin_comm)*SUM(AZ1964,AZ1964*AW1964,T1964)</f>
        <v/>
      </c>
      <c r="AJ1964" s="118">
        <f>IFERROR(ROUND(SUM(AB1964,AF1964:AI1964)/E1964,2),0)</f>
        <v/>
      </c>
      <c r="AK1964" s="76">
        <f>AJ1964*E1964</f>
        <v/>
      </c>
      <c r="AL1964" s="174">
        <f>ROUND(IFERROR(AM1964*E1964,0),2)</f>
        <v/>
      </c>
      <c r="AM1964" s="175">
        <f>ROUND(AJ1964*(1+IF(offer_incoterms="DDP",IF((TODAY()+offer_turnaround_time)&gt;=helpsheet!$L$17,rate_vatRU_from_26,rate_vatRu_till_25),0)),2)</f>
        <v/>
      </c>
      <c r="AN1964" s="192">
        <f>AL1964-AK1964</f>
        <v/>
      </c>
      <c r="AO1964" s="76">
        <f>SUM(AY1964,Y1964:Z1964,T1964)*IF(AND(offer_incoterms="DDP",offer_sale_type&lt;&gt;"экспорт"),IF((TODAY()+offer_turnaround_time)&gt;=helpsheet!$L$17,rate_vatRU_from_26,rate_vatRu_till_25),0)</f>
        <v/>
      </c>
      <c r="AP1964" s="193">
        <f>AN1964-AO1964</f>
        <v/>
      </c>
      <c r="AQ1964" s="118">
        <f>IF(offer_sale_type="транзит",SUM(AF1964:AI1964,BA1964,BB1964),0)</f>
        <v/>
      </c>
      <c r="AR1964" s="82">
        <f>HYPERLINK("https://www.alta.ru/tnved/code/")&amp;W1964&amp;"/"</f>
        <v/>
      </c>
      <c r="AS1964" s="157" t="n"/>
      <c r="AT1964" s="162" t="n"/>
      <c r="AU1964" s="76">
        <f>IF(ISBLANK(AT1964),0,AJ1964-AT1964)</f>
        <v/>
      </c>
      <c r="AV1964" s="157" t="n"/>
      <c r="AW1964" s="75">
        <f>_xlfn.IFNA(VLOOKUP(L1964,list_vat[],3,FALSE),0)</f>
        <v/>
      </c>
      <c r="AX1964" s="76">
        <f>IFERROR(ROUND(S1964*(1+AW1964)/E1964,2),0)</f>
        <v/>
      </c>
      <c r="AY1964" s="76">
        <f>E1964*AX1964</f>
        <v/>
      </c>
      <c r="AZ1964" s="192">
        <f>S1964*(1+M1964)</f>
        <v/>
      </c>
      <c r="BA1964" s="76">
        <f>cost_fin_total*$BD1964</f>
        <v/>
      </c>
      <c r="BB1964" s="193">
        <f>credit_sales_interest*BD1964</f>
        <v/>
      </c>
      <c r="BC1964" s="102">
        <f>IFERROR(IF($I$13&gt;0,$I1964/$I$13,$S1964/$S$13),0)</f>
        <v/>
      </c>
      <c r="BD1964" s="102">
        <f>IFERROR($S1964/$S$13,0)</f>
        <v/>
      </c>
      <c r="BE1964" s="413" t="inlineStr">
        <is>
          <t>$</t>
        </is>
      </c>
    </row>
    <row r="1965" ht="12" customFormat="1" customHeight="1" s="65">
      <c r="A1965" s="43" t="n">
        <v>1950</v>
      </c>
      <c r="B1965" s="166" t="n"/>
      <c r="C1965" s="166" t="n"/>
      <c r="D1965" s="166" t="n"/>
      <c r="E1965" s="162" t="n"/>
      <c r="F1965" s="166" t="n"/>
      <c r="G1965" s="162" t="n"/>
      <c r="H1965" s="162" t="n"/>
      <c r="I1965" s="189">
        <f>E1965*G1965</f>
        <v/>
      </c>
      <c r="J1965" s="195" t="n"/>
      <c r="K1965" s="162" t="n"/>
      <c r="L1965" s="168" t="n"/>
      <c r="M1965" s="75">
        <f>_xlfn.XLOOKUP(L1965,list_vat[Страна],list_vat[Ставка НДС %],0,0)</f>
        <v/>
      </c>
      <c r="N1965" s="162">
        <f>IFERROR(IF(L1965="Китай",K1965,K1965/(1+M1965)),0)</f>
        <v/>
      </c>
      <c r="O1965" s="169" t="n"/>
      <c r="P1965" s="76">
        <f>N1965*(1-O1965)</f>
        <v/>
      </c>
      <c r="Q1965" s="162" t="n"/>
      <c r="R1965" s="162">
        <f>IF(ISBLANK(Q1965),"введи курс",P1965/Q1965)</f>
        <v/>
      </c>
      <c r="S1965" s="196">
        <f>IF(AND(ISNUMBER(E1965),ISNUMBER(Q1965)),E1965*R1965,0)</f>
        <v/>
      </c>
      <c r="T1965" s="192">
        <f>$BC1965*V$11</f>
        <v/>
      </c>
      <c r="U1965" s="76">
        <f>$BC1965*W$11</f>
        <v/>
      </c>
      <c r="V1965" s="193">
        <f>+SUM(T1965:U1965)</f>
        <v/>
      </c>
      <c r="W1965" s="191" t="n"/>
      <c r="X1965" s="170" t="n"/>
      <c r="Y1965" s="76">
        <f>ROUND(IF(offer_incoterms="DDP",X1965*(S1965*(1+AW1965)+T1965),0),2)</f>
        <v/>
      </c>
      <c r="Z1965" s="188" t="n"/>
      <c r="AA1965" s="192">
        <f>IFERROR(AB1965/E1965,0)</f>
        <v/>
      </c>
      <c r="AB1965" s="76">
        <f>ROUND(SUM(S1965,V1965,Y1965:Z1965,BA1965:BB1965),2)</f>
        <v/>
      </c>
      <c r="AC1965" s="797" t="n"/>
      <c r="AD1965" s="192">
        <f t="array" ref="AD1965">IFERROR(ROUND((_xlfn.IFS(offer_sale_type="поставка",AB1965,offer_sale_type="транзит",S1965)*(1+AC1965))/E1965,2),0)</f>
        <v/>
      </c>
      <c r="AE1965" s="76">
        <f>AD1965*E1965</f>
        <v/>
      </c>
      <c r="AF1965" s="193">
        <f t="array" ref="AF1965">IFERROR(ROUND(_xlfn.IFS(offer_sale_type="поставка",AB1965,offer_sale_type="транзит",S1965)*AC1965,2),0)</f>
        <v/>
      </c>
      <c r="AG1965" s="192">
        <f>$BD1965*VLOOKUP($AG$3,$AF$4:$AG$7,2,FALSE)</f>
        <v/>
      </c>
      <c r="AH1965" s="76">
        <f>SUM(AE1965,AG1965,AI1965)*rate_forex_risk</f>
        <v/>
      </c>
      <c r="AI1965" s="193">
        <f>IF(OR(seller_region="TR",offer_sale_type="экспорт"),0,rate_fin_comm)*SUM(AZ1965,AZ1965*AW1965,T1965)</f>
        <v/>
      </c>
      <c r="AJ1965" s="118">
        <f>IFERROR(ROUND(SUM(AB1965,AF1965:AI1965)/E1965,2),0)</f>
        <v/>
      </c>
      <c r="AK1965" s="76">
        <f>AJ1965*E1965</f>
        <v/>
      </c>
      <c r="AL1965" s="174">
        <f>ROUND(IFERROR(AM1965*E1965,0),2)</f>
        <v/>
      </c>
      <c r="AM1965" s="175">
        <f>ROUND(AJ1965*(1+IF(offer_incoterms="DDP",IF((TODAY()+offer_turnaround_time)&gt;=helpsheet!$L$17,rate_vatRU_from_26,rate_vatRu_till_25),0)),2)</f>
        <v/>
      </c>
      <c r="AN1965" s="192">
        <f>AL1965-AK1965</f>
        <v/>
      </c>
      <c r="AO1965" s="76">
        <f>SUM(AY1965,Y1965:Z1965,T1965)*IF(AND(offer_incoterms="DDP",offer_sale_type&lt;&gt;"экспорт"),IF((TODAY()+offer_turnaround_time)&gt;=helpsheet!$L$17,rate_vatRU_from_26,rate_vatRu_till_25),0)</f>
        <v/>
      </c>
      <c r="AP1965" s="193">
        <f>AN1965-AO1965</f>
        <v/>
      </c>
      <c r="AQ1965" s="118">
        <f>IF(offer_sale_type="транзит",SUM(AF1965:AI1965,BA1965,BB1965),0)</f>
        <v/>
      </c>
      <c r="AR1965" s="82">
        <f>HYPERLINK("https://www.alta.ru/tnved/code/")&amp;W1965&amp;"/"</f>
        <v/>
      </c>
      <c r="AS1965" s="157" t="n"/>
      <c r="AT1965" s="162" t="n"/>
      <c r="AU1965" s="76">
        <f>IF(ISBLANK(AT1965),0,AJ1965-AT1965)</f>
        <v/>
      </c>
      <c r="AV1965" s="157" t="n"/>
      <c r="AW1965" s="75">
        <f>_xlfn.IFNA(VLOOKUP(L1965,list_vat[],3,FALSE),0)</f>
        <v/>
      </c>
      <c r="AX1965" s="76">
        <f>IFERROR(ROUND(S1965*(1+AW1965)/E1965,2),0)</f>
        <v/>
      </c>
      <c r="AY1965" s="76">
        <f>E1965*AX1965</f>
        <v/>
      </c>
      <c r="AZ1965" s="192">
        <f>S1965*(1+M1965)</f>
        <v/>
      </c>
      <c r="BA1965" s="76">
        <f>cost_fin_total*$BD1965</f>
        <v/>
      </c>
      <c r="BB1965" s="193">
        <f>credit_sales_interest*BD1965</f>
        <v/>
      </c>
      <c r="BC1965" s="102">
        <f>IFERROR(IF($I$13&gt;0,$I1965/$I$13,$S1965/$S$13),0)</f>
        <v/>
      </c>
      <c r="BD1965" s="102">
        <f>IFERROR($S1965/$S$13,0)</f>
        <v/>
      </c>
      <c r="BE1965" s="413" t="inlineStr">
        <is>
          <t>$</t>
        </is>
      </c>
    </row>
    <row r="1966" ht="12" customFormat="1" customHeight="1" s="65">
      <c r="A1966" s="43" t="n">
        <v>1951</v>
      </c>
      <c r="B1966" s="166" t="n"/>
      <c r="C1966" s="166" t="n"/>
      <c r="D1966" s="166" t="n"/>
      <c r="E1966" s="162" t="n"/>
      <c r="F1966" s="166" t="n"/>
      <c r="G1966" s="162" t="n"/>
      <c r="H1966" s="162" t="n"/>
      <c r="I1966" s="189">
        <f>E1966*G1966</f>
        <v/>
      </c>
      <c r="J1966" s="195" t="n"/>
      <c r="K1966" s="162" t="n"/>
      <c r="L1966" s="168" t="n"/>
      <c r="M1966" s="75">
        <f>_xlfn.XLOOKUP(L1966,list_vat[Страна],list_vat[Ставка НДС %],0,0)</f>
        <v/>
      </c>
      <c r="N1966" s="162">
        <f>IFERROR(IF(L1966="Китай",K1966,K1966/(1+M1966)),0)</f>
        <v/>
      </c>
      <c r="O1966" s="169" t="n"/>
      <c r="P1966" s="76">
        <f>N1966*(1-O1966)</f>
        <v/>
      </c>
      <c r="Q1966" s="162" t="n"/>
      <c r="R1966" s="162">
        <f>IF(ISBLANK(Q1966),"введи курс",P1966/Q1966)</f>
        <v/>
      </c>
      <c r="S1966" s="196">
        <f>IF(AND(ISNUMBER(E1966),ISNUMBER(Q1966)),E1966*R1966,0)</f>
        <v/>
      </c>
      <c r="T1966" s="192">
        <f>$BC1966*V$11</f>
        <v/>
      </c>
      <c r="U1966" s="76">
        <f>$BC1966*W$11</f>
        <v/>
      </c>
      <c r="V1966" s="193">
        <f>+SUM(T1966:U1966)</f>
        <v/>
      </c>
      <c r="W1966" s="191" t="n"/>
      <c r="X1966" s="170" t="n"/>
      <c r="Y1966" s="76">
        <f>ROUND(IF(offer_incoterms="DDP",X1966*(S1966*(1+AW1966)+T1966),0),2)</f>
        <v/>
      </c>
      <c r="Z1966" s="188" t="n"/>
      <c r="AA1966" s="192">
        <f>IFERROR(AB1966/E1966,0)</f>
        <v/>
      </c>
      <c r="AB1966" s="76">
        <f>ROUND(SUM(S1966,V1966,Y1966:Z1966,BA1966:BB1966),2)</f>
        <v/>
      </c>
      <c r="AC1966" s="797" t="n"/>
      <c r="AD1966" s="192">
        <f t="array" ref="AD1966">IFERROR(ROUND((_xlfn.IFS(offer_sale_type="поставка",AB1966,offer_sale_type="транзит",S1966)*(1+AC1966))/E1966,2),0)</f>
        <v/>
      </c>
      <c r="AE1966" s="76">
        <f>AD1966*E1966</f>
        <v/>
      </c>
      <c r="AF1966" s="193">
        <f t="array" ref="AF1966">IFERROR(ROUND(_xlfn.IFS(offer_sale_type="поставка",AB1966,offer_sale_type="транзит",S1966)*AC1966,2),0)</f>
        <v/>
      </c>
      <c r="AG1966" s="192">
        <f>$BD1966*VLOOKUP($AG$3,$AF$4:$AG$7,2,FALSE)</f>
        <v/>
      </c>
      <c r="AH1966" s="76">
        <f>SUM(AE1966,AG1966,AI1966)*rate_forex_risk</f>
        <v/>
      </c>
      <c r="AI1966" s="193">
        <f>IF(OR(seller_region="TR",offer_sale_type="экспорт"),0,rate_fin_comm)*SUM(AZ1966,AZ1966*AW1966,T1966)</f>
        <v/>
      </c>
      <c r="AJ1966" s="118">
        <f>IFERROR(ROUND(SUM(AB1966,AF1966:AI1966)/E1966,2),0)</f>
        <v/>
      </c>
      <c r="AK1966" s="76">
        <f>AJ1966*E1966</f>
        <v/>
      </c>
      <c r="AL1966" s="174">
        <f>ROUND(IFERROR(AM1966*E1966,0),2)</f>
        <v/>
      </c>
      <c r="AM1966" s="175">
        <f>ROUND(AJ1966*(1+IF(offer_incoterms="DDP",IF((TODAY()+offer_turnaround_time)&gt;=helpsheet!$L$17,rate_vatRU_from_26,rate_vatRu_till_25),0)),2)</f>
        <v/>
      </c>
      <c r="AN1966" s="192">
        <f>AL1966-AK1966</f>
        <v/>
      </c>
      <c r="AO1966" s="76">
        <f>SUM(AY1966,Y1966:Z1966,T1966)*IF(AND(offer_incoterms="DDP",offer_sale_type&lt;&gt;"экспорт"),IF((TODAY()+offer_turnaround_time)&gt;=helpsheet!$L$17,rate_vatRU_from_26,rate_vatRu_till_25),0)</f>
        <v/>
      </c>
      <c r="AP1966" s="193">
        <f>AN1966-AO1966</f>
        <v/>
      </c>
      <c r="AQ1966" s="118">
        <f>IF(offer_sale_type="транзит",SUM(AF1966:AI1966,BA1966,BB1966),0)</f>
        <v/>
      </c>
      <c r="AR1966" s="82">
        <f>HYPERLINK("https://www.alta.ru/tnved/code/")&amp;W1966&amp;"/"</f>
        <v/>
      </c>
      <c r="AS1966" s="157" t="n"/>
      <c r="AT1966" s="162" t="n"/>
      <c r="AU1966" s="76">
        <f>IF(ISBLANK(AT1966),0,AJ1966-AT1966)</f>
        <v/>
      </c>
      <c r="AV1966" s="157" t="n"/>
      <c r="AW1966" s="75">
        <f>_xlfn.IFNA(VLOOKUP(L1966,list_vat[],3,FALSE),0)</f>
        <v/>
      </c>
      <c r="AX1966" s="76">
        <f>IFERROR(ROUND(S1966*(1+AW1966)/E1966,2),0)</f>
        <v/>
      </c>
      <c r="AY1966" s="76">
        <f>E1966*AX1966</f>
        <v/>
      </c>
      <c r="AZ1966" s="192">
        <f>S1966*(1+M1966)</f>
        <v/>
      </c>
      <c r="BA1966" s="76">
        <f>cost_fin_total*$BD1966</f>
        <v/>
      </c>
      <c r="BB1966" s="193">
        <f>credit_sales_interest*BD1966</f>
        <v/>
      </c>
      <c r="BC1966" s="102">
        <f>IFERROR(IF($I$13&gt;0,$I1966/$I$13,$S1966/$S$13),0)</f>
        <v/>
      </c>
      <c r="BD1966" s="102">
        <f>IFERROR($S1966/$S$13,0)</f>
        <v/>
      </c>
      <c r="BE1966" s="413" t="inlineStr">
        <is>
          <t>$</t>
        </is>
      </c>
    </row>
    <row r="1967" ht="12" customFormat="1" customHeight="1" s="65">
      <c r="A1967" s="43" t="n">
        <v>1952</v>
      </c>
      <c r="B1967" s="166" t="n"/>
      <c r="C1967" s="166" t="n"/>
      <c r="D1967" s="166" t="n"/>
      <c r="E1967" s="162" t="n"/>
      <c r="F1967" s="166" t="n"/>
      <c r="G1967" s="162" t="n"/>
      <c r="H1967" s="162" t="n"/>
      <c r="I1967" s="189">
        <f>E1967*G1967</f>
        <v/>
      </c>
      <c r="J1967" s="195" t="n"/>
      <c r="K1967" s="162" t="n"/>
      <c r="L1967" s="168" t="n"/>
      <c r="M1967" s="75">
        <f>_xlfn.XLOOKUP(L1967,list_vat[Страна],list_vat[Ставка НДС %],0,0)</f>
        <v/>
      </c>
      <c r="N1967" s="162">
        <f>IFERROR(IF(L1967="Китай",K1967,K1967/(1+M1967)),0)</f>
        <v/>
      </c>
      <c r="O1967" s="169" t="n"/>
      <c r="P1967" s="76">
        <f>N1967*(1-O1967)</f>
        <v/>
      </c>
      <c r="Q1967" s="162" t="n"/>
      <c r="R1967" s="162">
        <f>IF(ISBLANK(Q1967),"введи курс",P1967/Q1967)</f>
        <v/>
      </c>
      <c r="S1967" s="196">
        <f>IF(AND(ISNUMBER(E1967),ISNUMBER(Q1967)),E1967*R1967,0)</f>
        <v/>
      </c>
      <c r="T1967" s="192">
        <f>$BC1967*V$11</f>
        <v/>
      </c>
      <c r="U1967" s="76">
        <f>$BC1967*W$11</f>
        <v/>
      </c>
      <c r="V1967" s="193">
        <f>+SUM(T1967:U1967)</f>
        <v/>
      </c>
      <c r="W1967" s="191" t="n"/>
      <c r="X1967" s="170" t="n"/>
      <c r="Y1967" s="76">
        <f>ROUND(IF(offer_incoterms="DDP",X1967*(S1967*(1+AW1967)+T1967),0),2)</f>
        <v/>
      </c>
      <c r="Z1967" s="188" t="n"/>
      <c r="AA1967" s="192">
        <f>IFERROR(AB1967/E1967,0)</f>
        <v/>
      </c>
      <c r="AB1967" s="76">
        <f>ROUND(SUM(S1967,V1967,Y1967:Z1967,BA1967:BB1967),2)</f>
        <v/>
      </c>
      <c r="AC1967" s="797" t="n"/>
      <c r="AD1967" s="192">
        <f t="array" ref="AD1967">IFERROR(ROUND((_xlfn.IFS(offer_sale_type="поставка",AB1967,offer_sale_type="транзит",S1967)*(1+AC1967))/E1967,2),0)</f>
        <v/>
      </c>
      <c r="AE1967" s="76">
        <f>AD1967*E1967</f>
        <v/>
      </c>
      <c r="AF1967" s="193">
        <f t="array" ref="AF1967">IFERROR(ROUND(_xlfn.IFS(offer_sale_type="поставка",AB1967,offer_sale_type="транзит",S1967)*AC1967,2),0)</f>
        <v/>
      </c>
      <c r="AG1967" s="192">
        <f>$BD1967*VLOOKUP($AG$3,$AF$4:$AG$7,2,FALSE)</f>
        <v/>
      </c>
      <c r="AH1967" s="76">
        <f>SUM(AE1967,AG1967,AI1967)*rate_forex_risk</f>
        <v/>
      </c>
      <c r="AI1967" s="193">
        <f>IF(OR(seller_region="TR",offer_sale_type="экспорт"),0,rate_fin_comm)*SUM(AZ1967,AZ1967*AW1967,T1967)</f>
        <v/>
      </c>
      <c r="AJ1967" s="118">
        <f>IFERROR(ROUND(SUM(AB1967,AF1967:AI1967)/E1967,2),0)</f>
        <v/>
      </c>
      <c r="AK1967" s="76">
        <f>AJ1967*E1967</f>
        <v/>
      </c>
      <c r="AL1967" s="174">
        <f>ROUND(IFERROR(AM1967*E1967,0),2)</f>
        <v/>
      </c>
      <c r="AM1967" s="175">
        <f>ROUND(AJ1967*(1+IF(offer_incoterms="DDP",IF((TODAY()+offer_turnaround_time)&gt;=helpsheet!$L$17,rate_vatRU_from_26,rate_vatRu_till_25),0)),2)</f>
        <v/>
      </c>
      <c r="AN1967" s="192">
        <f>AL1967-AK1967</f>
        <v/>
      </c>
      <c r="AO1967" s="76">
        <f>SUM(AY1967,Y1967:Z1967,T1967)*IF(AND(offer_incoterms="DDP",offer_sale_type&lt;&gt;"экспорт"),IF((TODAY()+offer_turnaround_time)&gt;=helpsheet!$L$17,rate_vatRU_from_26,rate_vatRu_till_25),0)</f>
        <v/>
      </c>
      <c r="AP1967" s="193">
        <f>AN1967-AO1967</f>
        <v/>
      </c>
      <c r="AQ1967" s="118">
        <f>IF(offer_sale_type="транзит",SUM(AF1967:AI1967,BA1967,BB1967),0)</f>
        <v/>
      </c>
      <c r="AR1967" s="82">
        <f>HYPERLINK("https://www.alta.ru/tnved/code/")&amp;W1967&amp;"/"</f>
        <v/>
      </c>
      <c r="AS1967" s="157" t="n"/>
      <c r="AT1967" s="162" t="n"/>
      <c r="AU1967" s="76">
        <f>IF(ISBLANK(AT1967),0,AJ1967-AT1967)</f>
        <v/>
      </c>
      <c r="AV1967" s="157" t="n"/>
      <c r="AW1967" s="75">
        <f>_xlfn.IFNA(VLOOKUP(L1967,list_vat[],3,FALSE),0)</f>
        <v/>
      </c>
      <c r="AX1967" s="76">
        <f>IFERROR(ROUND(S1967*(1+AW1967)/E1967,2),0)</f>
        <v/>
      </c>
      <c r="AY1967" s="76">
        <f>E1967*AX1967</f>
        <v/>
      </c>
      <c r="AZ1967" s="192">
        <f>S1967*(1+M1967)</f>
        <v/>
      </c>
      <c r="BA1967" s="76">
        <f>cost_fin_total*$BD1967</f>
        <v/>
      </c>
      <c r="BB1967" s="193">
        <f>credit_sales_interest*BD1967</f>
        <v/>
      </c>
      <c r="BC1967" s="102">
        <f>IFERROR(IF($I$13&gt;0,$I1967/$I$13,$S1967/$S$13),0)</f>
        <v/>
      </c>
      <c r="BD1967" s="102">
        <f>IFERROR($S1967/$S$13,0)</f>
        <v/>
      </c>
      <c r="BE1967" s="413" t="inlineStr">
        <is>
          <t>$</t>
        </is>
      </c>
    </row>
    <row r="1968" ht="12" customFormat="1" customHeight="1" s="65">
      <c r="A1968" s="43" t="n">
        <v>1953</v>
      </c>
      <c r="B1968" s="166" t="n"/>
      <c r="C1968" s="166" t="n"/>
      <c r="D1968" s="166" t="n"/>
      <c r="E1968" s="162" t="n"/>
      <c r="F1968" s="166" t="n"/>
      <c r="G1968" s="162" t="n"/>
      <c r="H1968" s="162" t="n"/>
      <c r="I1968" s="189">
        <f>E1968*G1968</f>
        <v/>
      </c>
      <c r="J1968" s="195" t="n"/>
      <c r="K1968" s="162" t="n"/>
      <c r="L1968" s="168" t="n"/>
      <c r="M1968" s="75">
        <f>_xlfn.XLOOKUP(L1968,list_vat[Страна],list_vat[Ставка НДС %],0,0)</f>
        <v/>
      </c>
      <c r="N1968" s="162">
        <f>IFERROR(IF(L1968="Китай",K1968,K1968/(1+M1968)),0)</f>
        <v/>
      </c>
      <c r="O1968" s="169" t="n"/>
      <c r="P1968" s="76">
        <f>N1968*(1-O1968)</f>
        <v/>
      </c>
      <c r="Q1968" s="162" t="n"/>
      <c r="R1968" s="162">
        <f>IF(ISBLANK(Q1968),"введи курс",P1968/Q1968)</f>
        <v/>
      </c>
      <c r="S1968" s="196">
        <f>IF(AND(ISNUMBER(E1968),ISNUMBER(Q1968)),E1968*R1968,0)</f>
        <v/>
      </c>
      <c r="T1968" s="192">
        <f>$BC1968*V$11</f>
        <v/>
      </c>
      <c r="U1968" s="76">
        <f>$BC1968*W$11</f>
        <v/>
      </c>
      <c r="V1968" s="193">
        <f>+SUM(T1968:U1968)</f>
        <v/>
      </c>
      <c r="W1968" s="191" t="n"/>
      <c r="X1968" s="170" t="n"/>
      <c r="Y1968" s="76">
        <f>ROUND(IF(offer_incoterms="DDP",X1968*(S1968*(1+AW1968)+T1968),0),2)</f>
        <v/>
      </c>
      <c r="Z1968" s="188" t="n"/>
      <c r="AA1968" s="192">
        <f>IFERROR(AB1968/E1968,0)</f>
        <v/>
      </c>
      <c r="AB1968" s="76">
        <f>ROUND(SUM(S1968,V1968,Y1968:Z1968,BA1968:BB1968),2)</f>
        <v/>
      </c>
      <c r="AC1968" s="797" t="n"/>
      <c r="AD1968" s="192">
        <f t="array" ref="AD1968">IFERROR(ROUND((_xlfn.IFS(offer_sale_type="поставка",AB1968,offer_sale_type="транзит",S1968)*(1+AC1968))/E1968,2),0)</f>
        <v/>
      </c>
      <c r="AE1968" s="76">
        <f>AD1968*E1968</f>
        <v/>
      </c>
      <c r="AF1968" s="193">
        <f t="array" ref="AF1968">IFERROR(ROUND(_xlfn.IFS(offer_sale_type="поставка",AB1968,offer_sale_type="транзит",S1968)*AC1968,2),0)</f>
        <v/>
      </c>
      <c r="AG1968" s="192">
        <f>$BD1968*VLOOKUP($AG$3,$AF$4:$AG$7,2,FALSE)</f>
        <v/>
      </c>
      <c r="AH1968" s="76">
        <f>SUM(AE1968,AG1968,AI1968)*rate_forex_risk</f>
        <v/>
      </c>
      <c r="AI1968" s="193">
        <f>IF(OR(seller_region="TR",offer_sale_type="экспорт"),0,rate_fin_comm)*SUM(AZ1968,AZ1968*AW1968,T1968)</f>
        <v/>
      </c>
      <c r="AJ1968" s="118">
        <f>IFERROR(ROUND(SUM(AB1968,AF1968:AI1968)/E1968,2),0)</f>
        <v/>
      </c>
      <c r="AK1968" s="76">
        <f>AJ1968*E1968</f>
        <v/>
      </c>
      <c r="AL1968" s="174">
        <f>ROUND(IFERROR(AM1968*E1968,0),2)</f>
        <v/>
      </c>
      <c r="AM1968" s="175">
        <f>ROUND(AJ1968*(1+IF(offer_incoterms="DDP",IF((TODAY()+offer_turnaround_time)&gt;=helpsheet!$L$17,rate_vatRU_from_26,rate_vatRu_till_25),0)),2)</f>
        <v/>
      </c>
      <c r="AN1968" s="192">
        <f>AL1968-AK1968</f>
        <v/>
      </c>
      <c r="AO1968" s="76">
        <f>SUM(AY1968,Y1968:Z1968,T1968)*IF(AND(offer_incoterms="DDP",offer_sale_type&lt;&gt;"экспорт"),IF((TODAY()+offer_turnaround_time)&gt;=helpsheet!$L$17,rate_vatRU_from_26,rate_vatRu_till_25),0)</f>
        <v/>
      </c>
      <c r="AP1968" s="193">
        <f>AN1968-AO1968</f>
        <v/>
      </c>
      <c r="AQ1968" s="118">
        <f>IF(offer_sale_type="транзит",SUM(AF1968:AI1968,BA1968,BB1968),0)</f>
        <v/>
      </c>
      <c r="AR1968" s="82">
        <f>HYPERLINK("https://www.alta.ru/tnved/code/")&amp;W1968&amp;"/"</f>
        <v/>
      </c>
      <c r="AS1968" s="157" t="n"/>
      <c r="AT1968" s="162" t="n"/>
      <c r="AU1968" s="76">
        <f>IF(ISBLANK(AT1968),0,AJ1968-AT1968)</f>
        <v/>
      </c>
      <c r="AV1968" s="157" t="n"/>
      <c r="AW1968" s="75">
        <f>_xlfn.IFNA(VLOOKUP(L1968,list_vat[],3,FALSE),0)</f>
        <v/>
      </c>
      <c r="AX1968" s="76">
        <f>IFERROR(ROUND(S1968*(1+AW1968)/E1968,2),0)</f>
        <v/>
      </c>
      <c r="AY1968" s="76">
        <f>E1968*AX1968</f>
        <v/>
      </c>
      <c r="AZ1968" s="192">
        <f>S1968*(1+M1968)</f>
        <v/>
      </c>
      <c r="BA1968" s="76">
        <f>cost_fin_total*$BD1968</f>
        <v/>
      </c>
      <c r="BB1968" s="193">
        <f>credit_sales_interest*BD1968</f>
        <v/>
      </c>
      <c r="BC1968" s="102">
        <f>IFERROR(IF($I$13&gt;0,$I1968/$I$13,$S1968/$S$13),0)</f>
        <v/>
      </c>
      <c r="BD1968" s="102">
        <f>IFERROR($S1968/$S$13,0)</f>
        <v/>
      </c>
      <c r="BE1968" s="413" t="inlineStr">
        <is>
          <t>$</t>
        </is>
      </c>
    </row>
    <row r="1969" ht="12" customFormat="1" customHeight="1" s="65">
      <c r="A1969" s="43" t="n">
        <v>1954</v>
      </c>
      <c r="B1969" s="166" t="n"/>
      <c r="C1969" s="166" t="n"/>
      <c r="D1969" s="166" t="n"/>
      <c r="E1969" s="162" t="n"/>
      <c r="F1969" s="166" t="n"/>
      <c r="G1969" s="162" t="n"/>
      <c r="H1969" s="162" t="n"/>
      <c r="I1969" s="189">
        <f>E1969*G1969</f>
        <v/>
      </c>
      <c r="J1969" s="195" t="n"/>
      <c r="K1969" s="162" t="n"/>
      <c r="L1969" s="168" t="n"/>
      <c r="M1969" s="75">
        <f>_xlfn.XLOOKUP(L1969,list_vat[Страна],list_vat[Ставка НДС %],0,0)</f>
        <v/>
      </c>
      <c r="N1969" s="162">
        <f>IFERROR(IF(L1969="Китай",K1969,K1969/(1+M1969)),0)</f>
        <v/>
      </c>
      <c r="O1969" s="169" t="n"/>
      <c r="P1969" s="76">
        <f>N1969*(1-O1969)</f>
        <v/>
      </c>
      <c r="Q1969" s="162" t="n"/>
      <c r="R1969" s="162">
        <f>IF(ISBLANK(Q1969),"введи курс",P1969/Q1969)</f>
        <v/>
      </c>
      <c r="S1969" s="196">
        <f>IF(AND(ISNUMBER(E1969),ISNUMBER(Q1969)),E1969*R1969,0)</f>
        <v/>
      </c>
      <c r="T1969" s="192">
        <f>$BC1969*V$11</f>
        <v/>
      </c>
      <c r="U1969" s="76">
        <f>$BC1969*W$11</f>
        <v/>
      </c>
      <c r="V1969" s="193">
        <f>+SUM(T1969:U1969)</f>
        <v/>
      </c>
      <c r="W1969" s="191" t="n"/>
      <c r="X1969" s="170" t="n"/>
      <c r="Y1969" s="76">
        <f>ROUND(IF(offer_incoterms="DDP",X1969*(S1969*(1+AW1969)+T1969),0),2)</f>
        <v/>
      </c>
      <c r="Z1969" s="188" t="n"/>
      <c r="AA1969" s="192">
        <f>IFERROR(AB1969/E1969,0)</f>
        <v/>
      </c>
      <c r="AB1969" s="76">
        <f>ROUND(SUM(S1969,V1969,Y1969:Z1969,BA1969:BB1969),2)</f>
        <v/>
      </c>
      <c r="AC1969" s="797" t="n"/>
      <c r="AD1969" s="192">
        <f t="array" ref="AD1969">IFERROR(ROUND((_xlfn.IFS(offer_sale_type="поставка",AB1969,offer_sale_type="транзит",S1969)*(1+AC1969))/E1969,2),0)</f>
        <v/>
      </c>
      <c r="AE1969" s="76">
        <f>AD1969*E1969</f>
        <v/>
      </c>
      <c r="AF1969" s="193">
        <f t="array" ref="AF1969">IFERROR(ROUND(_xlfn.IFS(offer_sale_type="поставка",AB1969,offer_sale_type="транзит",S1969)*AC1969,2),0)</f>
        <v/>
      </c>
      <c r="AG1969" s="192">
        <f>$BD1969*VLOOKUP($AG$3,$AF$4:$AG$7,2,FALSE)</f>
        <v/>
      </c>
      <c r="AH1969" s="76">
        <f>SUM(AE1969,AG1969,AI1969)*rate_forex_risk</f>
        <v/>
      </c>
      <c r="AI1969" s="193">
        <f>IF(OR(seller_region="TR",offer_sale_type="экспорт"),0,rate_fin_comm)*SUM(AZ1969,AZ1969*AW1969,T1969)</f>
        <v/>
      </c>
      <c r="AJ1969" s="118">
        <f>IFERROR(ROUND(SUM(AB1969,AF1969:AI1969)/E1969,2),0)</f>
        <v/>
      </c>
      <c r="AK1969" s="76">
        <f>AJ1969*E1969</f>
        <v/>
      </c>
      <c r="AL1969" s="174">
        <f>ROUND(IFERROR(AM1969*E1969,0),2)</f>
        <v/>
      </c>
      <c r="AM1969" s="175">
        <f>ROUND(AJ1969*(1+IF(offer_incoterms="DDP",IF((TODAY()+offer_turnaround_time)&gt;=helpsheet!$L$17,rate_vatRU_from_26,rate_vatRu_till_25),0)),2)</f>
        <v/>
      </c>
      <c r="AN1969" s="192">
        <f>AL1969-AK1969</f>
        <v/>
      </c>
      <c r="AO1969" s="76">
        <f>SUM(AY1969,Y1969:Z1969,T1969)*IF(AND(offer_incoterms="DDP",offer_sale_type&lt;&gt;"экспорт"),IF((TODAY()+offer_turnaround_time)&gt;=helpsheet!$L$17,rate_vatRU_from_26,rate_vatRu_till_25),0)</f>
        <v/>
      </c>
      <c r="AP1969" s="193">
        <f>AN1969-AO1969</f>
        <v/>
      </c>
      <c r="AQ1969" s="118">
        <f>IF(offer_sale_type="транзит",SUM(AF1969:AI1969,BA1969,BB1969),0)</f>
        <v/>
      </c>
      <c r="AR1969" s="82">
        <f>HYPERLINK("https://www.alta.ru/tnved/code/")&amp;W1969&amp;"/"</f>
        <v/>
      </c>
      <c r="AS1969" s="157" t="n"/>
      <c r="AT1969" s="162" t="n"/>
      <c r="AU1969" s="76">
        <f>IF(ISBLANK(AT1969),0,AJ1969-AT1969)</f>
        <v/>
      </c>
      <c r="AV1969" s="157" t="n"/>
      <c r="AW1969" s="75">
        <f>_xlfn.IFNA(VLOOKUP(L1969,list_vat[],3,FALSE),0)</f>
        <v/>
      </c>
      <c r="AX1969" s="76">
        <f>IFERROR(ROUND(S1969*(1+AW1969)/E1969,2),0)</f>
        <v/>
      </c>
      <c r="AY1969" s="76">
        <f>E1969*AX1969</f>
        <v/>
      </c>
      <c r="AZ1969" s="192">
        <f>S1969*(1+M1969)</f>
        <v/>
      </c>
      <c r="BA1969" s="76">
        <f>cost_fin_total*$BD1969</f>
        <v/>
      </c>
      <c r="BB1969" s="193">
        <f>credit_sales_interest*BD1969</f>
        <v/>
      </c>
      <c r="BC1969" s="102">
        <f>IFERROR(IF($I$13&gt;0,$I1969/$I$13,$S1969/$S$13),0)</f>
        <v/>
      </c>
      <c r="BD1969" s="102">
        <f>IFERROR($S1969/$S$13,0)</f>
        <v/>
      </c>
      <c r="BE1969" s="413" t="inlineStr">
        <is>
          <t>$</t>
        </is>
      </c>
    </row>
    <row r="1970" ht="12" customFormat="1" customHeight="1" s="65">
      <c r="A1970" s="43" t="n">
        <v>1955</v>
      </c>
      <c r="B1970" s="166" t="n"/>
      <c r="C1970" s="166" t="n"/>
      <c r="D1970" s="166" t="n"/>
      <c r="E1970" s="162" t="n"/>
      <c r="F1970" s="166" t="n"/>
      <c r="G1970" s="162" t="n"/>
      <c r="H1970" s="162" t="n"/>
      <c r="I1970" s="189">
        <f>E1970*G1970</f>
        <v/>
      </c>
      <c r="J1970" s="195" t="n"/>
      <c r="K1970" s="162" t="n"/>
      <c r="L1970" s="168" t="n"/>
      <c r="M1970" s="75">
        <f>_xlfn.XLOOKUP(L1970,list_vat[Страна],list_vat[Ставка НДС %],0,0)</f>
        <v/>
      </c>
      <c r="N1970" s="162">
        <f>IFERROR(IF(L1970="Китай",K1970,K1970/(1+M1970)),0)</f>
        <v/>
      </c>
      <c r="O1970" s="169" t="n"/>
      <c r="P1970" s="76">
        <f>N1970*(1-O1970)</f>
        <v/>
      </c>
      <c r="Q1970" s="162" t="n"/>
      <c r="R1970" s="162">
        <f>IF(ISBLANK(Q1970),"введи курс",P1970/Q1970)</f>
        <v/>
      </c>
      <c r="S1970" s="196">
        <f>IF(AND(ISNUMBER(E1970),ISNUMBER(Q1970)),E1970*R1970,0)</f>
        <v/>
      </c>
      <c r="T1970" s="192">
        <f>$BC1970*V$11</f>
        <v/>
      </c>
      <c r="U1970" s="76">
        <f>$BC1970*W$11</f>
        <v/>
      </c>
      <c r="V1970" s="193">
        <f>+SUM(T1970:U1970)</f>
        <v/>
      </c>
      <c r="W1970" s="191" t="n"/>
      <c r="X1970" s="170" t="n"/>
      <c r="Y1970" s="76">
        <f>ROUND(IF(offer_incoterms="DDP",X1970*(S1970*(1+AW1970)+T1970),0),2)</f>
        <v/>
      </c>
      <c r="Z1970" s="188" t="n"/>
      <c r="AA1970" s="192">
        <f>IFERROR(AB1970/E1970,0)</f>
        <v/>
      </c>
      <c r="AB1970" s="76">
        <f>ROUND(SUM(S1970,V1970,Y1970:Z1970,BA1970:BB1970),2)</f>
        <v/>
      </c>
      <c r="AC1970" s="797" t="n"/>
      <c r="AD1970" s="192">
        <f t="array" ref="AD1970">IFERROR(ROUND((_xlfn.IFS(offer_sale_type="поставка",AB1970,offer_sale_type="транзит",S1970)*(1+AC1970))/E1970,2),0)</f>
        <v/>
      </c>
      <c r="AE1970" s="76">
        <f>AD1970*E1970</f>
        <v/>
      </c>
      <c r="AF1970" s="193">
        <f t="array" ref="AF1970">IFERROR(ROUND(_xlfn.IFS(offer_sale_type="поставка",AB1970,offer_sale_type="транзит",S1970)*AC1970,2),0)</f>
        <v/>
      </c>
      <c r="AG1970" s="192">
        <f>$BD1970*VLOOKUP($AG$3,$AF$4:$AG$7,2,FALSE)</f>
        <v/>
      </c>
      <c r="AH1970" s="76">
        <f>SUM(AE1970,AG1970,AI1970)*rate_forex_risk</f>
        <v/>
      </c>
      <c r="AI1970" s="193">
        <f>IF(OR(seller_region="TR",offer_sale_type="экспорт"),0,rate_fin_comm)*SUM(AZ1970,AZ1970*AW1970,T1970)</f>
        <v/>
      </c>
      <c r="AJ1970" s="118">
        <f>IFERROR(ROUND(SUM(AB1970,AF1970:AI1970)/E1970,2),0)</f>
        <v/>
      </c>
      <c r="AK1970" s="76">
        <f>AJ1970*E1970</f>
        <v/>
      </c>
      <c r="AL1970" s="174">
        <f>ROUND(IFERROR(AM1970*E1970,0),2)</f>
        <v/>
      </c>
      <c r="AM1970" s="175">
        <f>ROUND(AJ1970*(1+IF(offer_incoterms="DDP",IF((TODAY()+offer_turnaround_time)&gt;=helpsheet!$L$17,rate_vatRU_from_26,rate_vatRu_till_25),0)),2)</f>
        <v/>
      </c>
      <c r="AN1970" s="192">
        <f>AL1970-AK1970</f>
        <v/>
      </c>
      <c r="AO1970" s="76">
        <f>SUM(AY1970,Y1970:Z1970,T1970)*IF(AND(offer_incoterms="DDP",offer_sale_type&lt;&gt;"экспорт"),IF((TODAY()+offer_turnaround_time)&gt;=helpsheet!$L$17,rate_vatRU_from_26,rate_vatRu_till_25),0)</f>
        <v/>
      </c>
      <c r="AP1970" s="193">
        <f>AN1970-AO1970</f>
        <v/>
      </c>
      <c r="AQ1970" s="118">
        <f>IF(offer_sale_type="транзит",SUM(AF1970:AI1970,BA1970,BB1970),0)</f>
        <v/>
      </c>
      <c r="AR1970" s="82">
        <f>HYPERLINK("https://www.alta.ru/tnved/code/")&amp;W1970&amp;"/"</f>
        <v/>
      </c>
      <c r="AS1970" s="157" t="n"/>
      <c r="AT1970" s="162" t="n"/>
      <c r="AU1970" s="76">
        <f>IF(ISBLANK(AT1970),0,AJ1970-AT1970)</f>
        <v/>
      </c>
      <c r="AV1970" s="157" t="n"/>
      <c r="AW1970" s="75">
        <f>_xlfn.IFNA(VLOOKUP(L1970,list_vat[],3,FALSE),0)</f>
        <v/>
      </c>
      <c r="AX1970" s="76">
        <f>IFERROR(ROUND(S1970*(1+AW1970)/E1970,2),0)</f>
        <v/>
      </c>
      <c r="AY1970" s="76">
        <f>E1970*AX1970</f>
        <v/>
      </c>
      <c r="AZ1970" s="192">
        <f>S1970*(1+M1970)</f>
        <v/>
      </c>
      <c r="BA1970" s="76">
        <f>cost_fin_total*$BD1970</f>
        <v/>
      </c>
      <c r="BB1970" s="193">
        <f>credit_sales_interest*BD1970</f>
        <v/>
      </c>
      <c r="BC1970" s="102">
        <f>IFERROR(IF($I$13&gt;0,$I1970/$I$13,$S1970/$S$13),0)</f>
        <v/>
      </c>
      <c r="BD1970" s="102">
        <f>IFERROR($S1970/$S$13,0)</f>
        <v/>
      </c>
      <c r="BE1970" s="413" t="inlineStr">
        <is>
          <t>$</t>
        </is>
      </c>
    </row>
    <row r="1971" ht="12" customFormat="1" customHeight="1" s="65">
      <c r="A1971" s="43" t="n">
        <v>1956</v>
      </c>
      <c r="B1971" s="166" t="n"/>
      <c r="C1971" s="166" t="n"/>
      <c r="D1971" s="166" t="n"/>
      <c r="E1971" s="162" t="n"/>
      <c r="F1971" s="166" t="n"/>
      <c r="G1971" s="162" t="n"/>
      <c r="H1971" s="162" t="n"/>
      <c r="I1971" s="189">
        <f>E1971*G1971</f>
        <v/>
      </c>
      <c r="J1971" s="195" t="n"/>
      <c r="K1971" s="162" t="n"/>
      <c r="L1971" s="168" t="n"/>
      <c r="M1971" s="75">
        <f>_xlfn.XLOOKUP(L1971,list_vat[Страна],list_vat[Ставка НДС %],0,0)</f>
        <v/>
      </c>
      <c r="N1971" s="162">
        <f>IFERROR(IF(L1971="Китай",K1971,K1971/(1+M1971)),0)</f>
        <v/>
      </c>
      <c r="O1971" s="169" t="n"/>
      <c r="P1971" s="76">
        <f>N1971*(1-O1971)</f>
        <v/>
      </c>
      <c r="Q1971" s="162" t="n"/>
      <c r="R1971" s="162">
        <f>IF(ISBLANK(Q1971),"введи курс",P1971/Q1971)</f>
        <v/>
      </c>
      <c r="S1971" s="196">
        <f>IF(AND(ISNUMBER(E1971),ISNUMBER(Q1971)),E1971*R1971,0)</f>
        <v/>
      </c>
      <c r="T1971" s="192">
        <f>$BC1971*V$11</f>
        <v/>
      </c>
      <c r="U1971" s="76">
        <f>$BC1971*W$11</f>
        <v/>
      </c>
      <c r="V1971" s="193">
        <f>+SUM(T1971:U1971)</f>
        <v/>
      </c>
      <c r="W1971" s="191" t="n"/>
      <c r="X1971" s="170" t="n"/>
      <c r="Y1971" s="76">
        <f>ROUND(IF(offer_incoterms="DDP",X1971*(S1971*(1+AW1971)+T1971),0),2)</f>
        <v/>
      </c>
      <c r="Z1971" s="188" t="n"/>
      <c r="AA1971" s="192">
        <f>IFERROR(AB1971/E1971,0)</f>
        <v/>
      </c>
      <c r="AB1971" s="76">
        <f>ROUND(SUM(S1971,V1971,Y1971:Z1971,BA1971:BB1971),2)</f>
        <v/>
      </c>
      <c r="AC1971" s="797" t="n"/>
      <c r="AD1971" s="192">
        <f t="array" ref="AD1971">IFERROR(ROUND((_xlfn.IFS(offer_sale_type="поставка",AB1971,offer_sale_type="транзит",S1971)*(1+AC1971))/E1971,2),0)</f>
        <v/>
      </c>
      <c r="AE1971" s="76">
        <f>AD1971*E1971</f>
        <v/>
      </c>
      <c r="AF1971" s="193">
        <f t="array" ref="AF1971">IFERROR(ROUND(_xlfn.IFS(offer_sale_type="поставка",AB1971,offer_sale_type="транзит",S1971)*AC1971,2),0)</f>
        <v/>
      </c>
      <c r="AG1971" s="192">
        <f>$BD1971*VLOOKUP($AG$3,$AF$4:$AG$7,2,FALSE)</f>
        <v/>
      </c>
      <c r="AH1971" s="76">
        <f>SUM(AE1971,AG1971,AI1971)*rate_forex_risk</f>
        <v/>
      </c>
      <c r="AI1971" s="193">
        <f>IF(OR(seller_region="TR",offer_sale_type="экспорт"),0,rate_fin_comm)*SUM(AZ1971,AZ1971*AW1971,T1971)</f>
        <v/>
      </c>
      <c r="AJ1971" s="118">
        <f>IFERROR(ROUND(SUM(AB1971,AF1971:AI1971)/E1971,2),0)</f>
        <v/>
      </c>
      <c r="AK1971" s="76">
        <f>AJ1971*E1971</f>
        <v/>
      </c>
      <c r="AL1971" s="174">
        <f>ROUND(IFERROR(AM1971*E1971,0),2)</f>
        <v/>
      </c>
      <c r="AM1971" s="175">
        <f>ROUND(AJ1971*(1+IF(offer_incoterms="DDP",IF((TODAY()+offer_turnaround_time)&gt;=helpsheet!$L$17,rate_vatRU_from_26,rate_vatRu_till_25),0)),2)</f>
        <v/>
      </c>
      <c r="AN1971" s="192">
        <f>AL1971-AK1971</f>
        <v/>
      </c>
      <c r="AO1971" s="76">
        <f>SUM(AY1971,Y1971:Z1971,T1971)*IF(AND(offer_incoterms="DDP",offer_sale_type&lt;&gt;"экспорт"),IF((TODAY()+offer_turnaround_time)&gt;=helpsheet!$L$17,rate_vatRU_from_26,rate_vatRu_till_25),0)</f>
        <v/>
      </c>
      <c r="AP1971" s="193">
        <f>AN1971-AO1971</f>
        <v/>
      </c>
      <c r="AQ1971" s="118">
        <f>IF(offer_sale_type="транзит",SUM(AF1971:AI1971,BA1971,BB1971),0)</f>
        <v/>
      </c>
      <c r="AR1971" s="82">
        <f>HYPERLINK("https://www.alta.ru/tnved/code/")&amp;W1971&amp;"/"</f>
        <v/>
      </c>
      <c r="AS1971" s="157" t="n"/>
      <c r="AT1971" s="162" t="n"/>
      <c r="AU1971" s="76">
        <f>IF(ISBLANK(AT1971),0,AJ1971-AT1971)</f>
        <v/>
      </c>
      <c r="AV1971" s="157" t="n"/>
      <c r="AW1971" s="75">
        <f>_xlfn.IFNA(VLOOKUP(L1971,list_vat[],3,FALSE),0)</f>
        <v/>
      </c>
      <c r="AX1971" s="76">
        <f>IFERROR(ROUND(S1971*(1+AW1971)/E1971,2),0)</f>
        <v/>
      </c>
      <c r="AY1971" s="76">
        <f>E1971*AX1971</f>
        <v/>
      </c>
      <c r="AZ1971" s="192">
        <f>S1971*(1+M1971)</f>
        <v/>
      </c>
      <c r="BA1971" s="76">
        <f>cost_fin_total*$BD1971</f>
        <v/>
      </c>
      <c r="BB1971" s="193">
        <f>credit_sales_interest*BD1971</f>
        <v/>
      </c>
      <c r="BC1971" s="102">
        <f>IFERROR(IF($I$13&gt;0,$I1971/$I$13,$S1971/$S$13),0)</f>
        <v/>
      </c>
      <c r="BD1971" s="102">
        <f>IFERROR($S1971/$S$13,0)</f>
        <v/>
      </c>
      <c r="BE1971" s="413" t="inlineStr">
        <is>
          <t>$</t>
        </is>
      </c>
    </row>
    <row r="1972" ht="12" customFormat="1" customHeight="1" s="65">
      <c r="A1972" s="43" t="n">
        <v>1957</v>
      </c>
      <c r="B1972" s="166" t="n"/>
      <c r="C1972" s="166" t="n"/>
      <c r="D1972" s="166" t="n"/>
      <c r="E1972" s="162" t="n"/>
      <c r="F1972" s="166" t="n"/>
      <c r="G1972" s="162" t="n"/>
      <c r="H1972" s="162" t="n"/>
      <c r="I1972" s="189">
        <f>E1972*G1972</f>
        <v/>
      </c>
      <c r="J1972" s="195" t="n"/>
      <c r="K1972" s="162" t="n"/>
      <c r="L1972" s="168" t="n"/>
      <c r="M1972" s="75">
        <f>_xlfn.XLOOKUP(L1972,list_vat[Страна],list_vat[Ставка НДС %],0,0)</f>
        <v/>
      </c>
      <c r="N1972" s="162">
        <f>IFERROR(IF(L1972="Китай",K1972,K1972/(1+M1972)),0)</f>
        <v/>
      </c>
      <c r="O1972" s="169" t="n"/>
      <c r="P1972" s="76">
        <f>N1972*(1-O1972)</f>
        <v/>
      </c>
      <c r="Q1972" s="162" t="n"/>
      <c r="R1972" s="162">
        <f>IF(ISBLANK(Q1972),"введи курс",P1972/Q1972)</f>
        <v/>
      </c>
      <c r="S1972" s="196">
        <f>IF(AND(ISNUMBER(E1972),ISNUMBER(Q1972)),E1972*R1972,0)</f>
        <v/>
      </c>
      <c r="T1972" s="192">
        <f>$BC1972*V$11</f>
        <v/>
      </c>
      <c r="U1972" s="76">
        <f>$BC1972*W$11</f>
        <v/>
      </c>
      <c r="V1972" s="193">
        <f>+SUM(T1972:U1972)</f>
        <v/>
      </c>
      <c r="W1972" s="191" t="n"/>
      <c r="X1972" s="170" t="n"/>
      <c r="Y1972" s="76">
        <f>ROUND(IF(offer_incoterms="DDP",X1972*(S1972*(1+AW1972)+T1972),0),2)</f>
        <v/>
      </c>
      <c r="Z1972" s="188" t="n"/>
      <c r="AA1972" s="192">
        <f>IFERROR(AB1972/E1972,0)</f>
        <v/>
      </c>
      <c r="AB1972" s="76">
        <f>ROUND(SUM(S1972,V1972,Y1972:Z1972,BA1972:BB1972),2)</f>
        <v/>
      </c>
      <c r="AC1972" s="797" t="n"/>
      <c r="AD1972" s="192">
        <f t="array" ref="AD1972">IFERROR(ROUND((_xlfn.IFS(offer_sale_type="поставка",AB1972,offer_sale_type="транзит",S1972)*(1+AC1972))/E1972,2),0)</f>
        <v/>
      </c>
      <c r="AE1972" s="76">
        <f>AD1972*E1972</f>
        <v/>
      </c>
      <c r="AF1972" s="193">
        <f t="array" ref="AF1972">IFERROR(ROUND(_xlfn.IFS(offer_sale_type="поставка",AB1972,offer_sale_type="транзит",S1972)*AC1972,2),0)</f>
        <v/>
      </c>
      <c r="AG1972" s="192">
        <f>$BD1972*VLOOKUP($AG$3,$AF$4:$AG$7,2,FALSE)</f>
        <v/>
      </c>
      <c r="AH1972" s="76">
        <f>SUM(AE1972,AG1972,AI1972)*rate_forex_risk</f>
        <v/>
      </c>
      <c r="AI1972" s="193">
        <f>IF(OR(seller_region="TR",offer_sale_type="экспорт"),0,rate_fin_comm)*SUM(AZ1972,AZ1972*AW1972,T1972)</f>
        <v/>
      </c>
      <c r="AJ1972" s="118">
        <f>IFERROR(ROUND(SUM(AB1972,AF1972:AI1972)/E1972,2),0)</f>
        <v/>
      </c>
      <c r="AK1972" s="76">
        <f>AJ1972*E1972</f>
        <v/>
      </c>
      <c r="AL1972" s="174">
        <f>ROUND(IFERROR(AM1972*E1972,0),2)</f>
        <v/>
      </c>
      <c r="AM1972" s="175">
        <f>ROUND(AJ1972*(1+IF(offer_incoterms="DDP",IF((TODAY()+offer_turnaround_time)&gt;=helpsheet!$L$17,rate_vatRU_from_26,rate_vatRu_till_25),0)),2)</f>
        <v/>
      </c>
      <c r="AN1972" s="192">
        <f>AL1972-AK1972</f>
        <v/>
      </c>
      <c r="AO1972" s="76">
        <f>SUM(AY1972,Y1972:Z1972,T1972)*IF(AND(offer_incoterms="DDP",offer_sale_type&lt;&gt;"экспорт"),IF((TODAY()+offer_turnaround_time)&gt;=helpsheet!$L$17,rate_vatRU_from_26,rate_vatRu_till_25),0)</f>
        <v/>
      </c>
      <c r="AP1972" s="193">
        <f>AN1972-AO1972</f>
        <v/>
      </c>
      <c r="AQ1972" s="118">
        <f>IF(offer_sale_type="транзит",SUM(AF1972:AI1972,BA1972,BB1972),0)</f>
        <v/>
      </c>
      <c r="AR1972" s="82">
        <f>HYPERLINK("https://www.alta.ru/tnved/code/")&amp;W1972&amp;"/"</f>
        <v/>
      </c>
      <c r="AS1972" s="157" t="n"/>
      <c r="AT1972" s="162" t="n"/>
      <c r="AU1972" s="76">
        <f>IF(ISBLANK(AT1972),0,AJ1972-AT1972)</f>
        <v/>
      </c>
      <c r="AV1972" s="157" t="n"/>
      <c r="AW1972" s="75">
        <f>_xlfn.IFNA(VLOOKUP(L1972,list_vat[],3,FALSE),0)</f>
        <v/>
      </c>
      <c r="AX1972" s="76">
        <f>IFERROR(ROUND(S1972*(1+AW1972)/E1972,2),0)</f>
        <v/>
      </c>
      <c r="AY1972" s="76">
        <f>E1972*AX1972</f>
        <v/>
      </c>
      <c r="AZ1972" s="192">
        <f>S1972*(1+M1972)</f>
        <v/>
      </c>
      <c r="BA1972" s="76">
        <f>cost_fin_total*$BD1972</f>
        <v/>
      </c>
      <c r="BB1972" s="193">
        <f>credit_sales_interest*BD1972</f>
        <v/>
      </c>
      <c r="BC1972" s="102">
        <f>IFERROR(IF($I$13&gt;0,$I1972/$I$13,$S1972/$S$13),0)</f>
        <v/>
      </c>
      <c r="BD1972" s="102">
        <f>IFERROR($S1972/$S$13,0)</f>
        <v/>
      </c>
      <c r="BE1972" s="413" t="inlineStr">
        <is>
          <t>$</t>
        </is>
      </c>
    </row>
    <row r="1973" ht="12" customFormat="1" customHeight="1" s="65">
      <c r="A1973" s="43" t="n">
        <v>1958</v>
      </c>
      <c r="B1973" s="166" t="n"/>
      <c r="C1973" s="166" t="n"/>
      <c r="D1973" s="166" t="n"/>
      <c r="E1973" s="162" t="n"/>
      <c r="F1973" s="166" t="n"/>
      <c r="G1973" s="162" t="n"/>
      <c r="H1973" s="162" t="n"/>
      <c r="I1973" s="189">
        <f>E1973*G1973</f>
        <v/>
      </c>
      <c r="J1973" s="195" t="n"/>
      <c r="K1973" s="162" t="n"/>
      <c r="L1973" s="168" t="n"/>
      <c r="M1973" s="75">
        <f>_xlfn.XLOOKUP(L1973,list_vat[Страна],list_vat[Ставка НДС %],0,0)</f>
        <v/>
      </c>
      <c r="N1973" s="162">
        <f>IFERROR(IF(L1973="Китай",K1973,K1973/(1+M1973)),0)</f>
        <v/>
      </c>
      <c r="O1973" s="169" t="n"/>
      <c r="P1973" s="76">
        <f>N1973*(1-O1973)</f>
        <v/>
      </c>
      <c r="Q1973" s="162" t="n"/>
      <c r="R1973" s="162">
        <f>IF(ISBLANK(Q1973),"введи курс",P1973/Q1973)</f>
        <v/>
      </c>
      <c r="S1973" s="196">
        <f>IF(AND(ISNUMBER(E1973),ISNUMBER(Q1973)),E1973*R1973,0)</f>
        <v/>
      </c>
      <c r="T1973" s="192">
        <f>$BC1973*V$11</f>
        <v/>
      </c>
      <c r="U1973" s="76">
        <f>$BC1973*W$11</f>
        <v/>
      </c>
      <c r="V1973" s="193">
        <f>+SUM(T1973:U1973)</f>
        <v/>
      </c>
      <c r="W1973" s="191" t="n"/>
      <c r="X1973" s="170" t="n"/>
      <c r="Y1973" s="76">
        <f>ROUND(IF(offer_incoterms="DDP",X1973*(S1973*(1+AW1973)+T1973),0),2)</f>
        <v/>
      </c>
      <c r="Z1973" s="188" t="n"/>
      <c r="AA1973" s="192">
        <f>IFERROR(AB1973/E1973,0)</f>
        <v/>
      </c>
      <c r="AB1973" s="76">
        <f>ROUND(SUM(S1973,V1973,Y1973:Z1973,BA1973:BB1973),2)</f>
        <v/>
      </c>
      <c r="AC1973" s="797" t="n"/>
      <c r="AD1973" s="192">
        <f t="array" ref="AD1973">IFERROR(ROUND((_xlfn.IFS(offer_sale_type="поставка",AB1973,offer_sale_type="транзит",S1973)*(1+AC1973))/E1973,2),0)</f>
        <v/>
      </c>
      <c r="AE1973" s="76">
        <f>AD1973*E1973</f>
        <v/>
      </c>
      <c r="AF1973" s="193">
        <f t="array" ref="AF1973">IFERROR(ROUND(_xlfn.IFS(offer_sale_type="поставка",AB1973,offer_sale_type="транзит",S1973)*AC1973,2),0)</f>
        <v/>
      </c>
      <c r="AG1973" s="192">
        <f>$BD1973*VLOOKUP($AG$3,$AF$4:$AG$7,2,FALSE)</f>
        <v/>
      </c>
      <c r="AH1973" s="76">
        <f>SUM(AE1973,AG1973,AI1973)*rate_forex_risk</f>
        <v/>
      </c>
      <c r="AI1973" s="193">
        <f>IF(OR(seller_region="TR",offer_sale_type="экспорт"),0,rate_fin_comm)*SUM(AZ1973,AZ1973*AW1973,T1973)</f>
        <v/>
      </c>
      <c r="AJ1973" s="118">
        <f>IFERROR(ROUND(SUM(AB1973,AF1973:AI1973)/E1973,2),0)</f>
        <v/>
      </c>
      <c r="AK1973" s="76">
        <f>AJ1973*E1973</f>
        <v/>
      </c>
      <c r="AL1973" s="174">
        <f>ROUND(IFERROR(AM1973*E1973,0),2)</f>
        <v/>
      </c>
      <c r="AM1973" s="175">
        <f>ROUND(AJ1973*(1+IF(offer_incoterms="DDP",IF((TODAY()+offer_turnaround_time)&gt;=helpsheet!$L$17,rate_vatRU_from_26,rate_vatRu_till_25),0)),2)</f>
        <v/>
      </c>
      <c r="AN1973" s="192">
        <f>AL1973-AK1973</f>
        <v/>
      </c>
      <c r="AO1973" s="76">
        <f>SUM(AY1973,Y1973:Z1973,T1973)*IF(AND(offer_incoterms="DDP",offer_sale_type&lt;&gt;"экспорт"),IF((TODAY()+offer_turnaround_time)&gt;=helpsheet!$L$17,rate_vatRU_from_26,rate_vatRu_till_25),0)</f>
        <v/>
      </c>
      <c r="AP1973" s="193">
        <f>AN1973-AO1973</f>
        <v/>
      </c>
      <c r="AQ1973" s="118">
        <f>IF(offer_sale_type="транзит",SUM(AF1973:AI1973,BA1973,BB1973),0)</f>
        <v/>
      </c>
      <c r="AR1973" s="82">
        <f>HYPERLINK("https://www.alta.ru/tnved/code/")&amp;W1973&amp;"/"</f>
        <v/>
      </c>
      <c r="AS1973" s="157" t="n"/>
      <c r="AT1973" s="162" t="n"/>
      <c r="AU1973" s="76">
        <f>IF(ISBLANK(AT1973),0,AJ1973-AT1973)</f>
        <v/>
      </c>
      <c r="AV1973" s="157" t="n"/>
      <c r="AW1973" s="75">
        <f>_xlfn.IFNA(VLOOKUP(L1973,list_vat[],3,FALSE),0)</f>
        <v/>
      </c>
      <c r="AX1973" s="76">
        <f>IFERROR(ROUND(S1973*(1+AW1973)/E1973,2),0)</f>
        <v/>
      </c>
      <c r="AY1973" s="76">
        <f>E1973*AX1973</f>
        <v/>
      </c>
      <c r="AZ1973" s="192">
        <f>S1973*(1+M1973)</f>
        <v/>
      </c>
      <c r="BA1973" s="76">
        <f>cost_fin_total*$BD1973</f>
        <v/>
      </c>
      <c r="BB1973" s="193">
        <f>credit_sales_interest*BD1973</f>
        <v/>
      </c>
      <c r="BC1973" s="102">
        <f>IFERROR(IF($I$13&gt;0,$I1973/$I$13,$S1973/$S$13),0)</f>
        <v/>
      </c>
      <c r="BD1973" s="102">
        <f>IFERROR($S1973/$S$13,0)</f>
        <v/>
      </c>
      <c r="BE1973" s="413" t="inlineStr">
        <is>
          <t>$</t>
        </is>
      </c>
    </row>
    <row r="1974" ht="12" customFormat="1" customHeight="1" s="65">
      <c r="A1974" s="43" t="n">
        <v>1959</v>
      </c>
      <c r="B1974" s="166" t="n"/>
      <c r="C1974" s="166" t="n"/>
      <c r="D1974" s="166" t="n"/>
      <c r="E1974" s="162" t="n"/>
      <c r="F1974" s="166" t="n"/>
      <c r="G1974" s="162" t="n"/>
      <c r="H1974" s="162" t="n"/>
      <c r="I1974" s="189">
        <f>E1974*G1974</f>
        <v/>
      </c>
      <c r="J1974" s="195" t="n"/>
      <c r="K1974" s="162" t="n"/>
      <c r="L1974" s="168" t="n"/>
      <c r="M1974" s="75">
        <f>_xlfn.XLOOKUP(L1974,list_vat[Страна],list_vat[Ставка НДС %],0,0)</f>
        <v/>
      </c>
      <c r="N1974" s="162">
        <f>IFERROR(IF(L1974="Китай",K1974,K1974/(1+M1974)),0)</f>
        <v/>
      </c>
      <c r="O1974" s="169" t="n"/>
      <c r="P1974" s="76">
        <f>N1974*(1-O1974)</f>
        <v/>
      </c>
      <c r="Q1974" s="162" t="n"/>
      <c r="R1974" s="162">
        <f>IF(ISBLANK(Q1974),"введи курс",P1974/Q1974)</f>
        <v/>
      </c>
      <c r="S1974" s="196">
        <f>IF(AND(ISNUMBER(E1974),ISNUMBER(Q1974)),E1974*R1974,0)</f>
        <v/>
      </c>
      <c r="T1974" s="192">
        <f>$BC1974*V$11</f>
        <v/>
      </c>
      <c r="U1974" s="76">
        <f>$BC1974*W$11</f>
        <v/>
      </c>
      <c r="V1974" s="193">
        <f>+SUM(T1974:U1974)</f>
        <v/>
      </c>
      <c r="W1974" s="191" t="n"/>
      <c r="X1974" s="170" t="n"/>
      <c r="Y1974" s="76">
        <f>ROUND(IF(offer_incoterms="DDP",X1974*(S1974*(1+AW1974)+T1974),0),2)</f>
        <v/>
      </c>
      <c r="Z1974" s="188" t="n"/>
      <c r="AA1974" s="192">
        <f>IFERROR(AB1974/E1974,0)</f>
        <v/>
      </c>
      <c r="AB1974" s="76">
        <f>ROUND(SUM(S1974,V1974,Y1974:Z1974,BA1974:BB1974),2)</f>
        <v/>
      </c>
      <c r="AC1974" s="797" t="n"/>
      <c r="AD1974" s="192">
        <f t="array" ref="AD1974">IFERROR(ROUND((_xlfn.IFS(offer_sale_type="поставка",AB1974,offer_sale_type="транзит",S1974)*(1+AC1974))/E1974,2),0)</f>
        <v/>
      </c>
      <c r="AE1974" s="76">
        <f>AD1974*E1974</f>
        <v/>
      </c>
      <c r="AF1974" s="193">
        <f t="array" ref="AF1974">IFERROR(ROUND(_xlfn.IFS(offer_sale_type="поставка",AB1974,offer_sale_type="транзит",S1974)*AC1974,2),0)</f>
        <v/>
      </c>
      <c r="AG1974" s="192">
        <f>$BD1974*VLOOKUP($AG$3,$AF$4:$AG$7,2,FALSE)</f>
        <v/>
      </c>
      <c r="AH1974" s="76">
        <f>SUM(AE1974,AG1974,AI1974)*rate_forex_risk</f>
        <v/>
      </c>
      <c r="AI1974" s="193">
        <f>IF(OR(seller_region="TR",offer_sale_type="экспорт"),0,rate_fin_comm)*SUM(AZ1974,AZ1974*AW1974,T1974)</f>
        <v/>
      </c>
      <c r="AJ1974" s="118">
        <f>IFERROR(ROUND(SUM(AB1974,AF1974:AI1974)/E1974,2),0)</f>
        <v/>
      </c>
      <c r="AK1974" s="76">
        <f>AJ1974*E1974</f>
        <v/>
      </c>
      <c r="AL1974" s="174">
        <f>ROUND(IFERROR(AM1974*E1974,0),2)</f>
        <v/>
      </c>
      <c r="AM1974" s="175">
        <f>ROUND(AJ1974*(1+IF(offer_incoterms="DDP",IF((TODAY()+offer_turnaround_time)&gt;=helpsheet!$L$17,rate_vatRU_from_26,rate_vatRu_till_25),0)),2)</f>
        <v/>
      </c>
      <c r="AN1974" s="192">
        <f>AL1974-AK1974</f>
        <v/>
      </c>
      <c r="AO1974" s="76">
        <f>SUM(AY1974,Y1974:Z1974,T1974)*IF(AND(offer_incoterms="DDP",offer_sale_type&lt;&gt;"экспорт"),IF((TODAY()+offer_turnaround_time)&gt;=helpsheet!$L$17,rate_vatRU_from_26,rate_vatRu_till_25),0)</f>
        <v/>
      </c>
      <c r="AP1974" s="193">
        <f>AN1974-AO1974</f>
        <v/>
      </c>
      <c r="AQ1974" s="118">
        <f>IF(offer_sale_type="транзит",SUM(AF1974:AI1974,BA1974,BB1974),0)</f>
        <v/>
      </c>
      <c r="AR1974" s="82">
        <f>HYPERLINK("https://www.alta.ru/tnved/code/")&amp;W1974&amp;"/"</f>
        <v/>
      </c>
      <c r="AS1974" s="157" t="n"/>
      <c r="AT1974" s="162" t="n"/>
      <c r="AU1974" s="76">
        <f>IF(ISBLANK(AT1974),0,AJ1974-AT1974)</f>
        <v/>
      </c>
      <c r="AV1974" s="157" t="n"/>
      <c r="AW1974" s="75">
        <f>_xlfn.IFNA(VLOOKUP(L1974,list_vat[],3,FALSE),0)</f>
        <v/>
      </c>
      <c r="AX1974" s="76">
        <f>IFERROR(ROUND(S1974*(1+AW1974)/E1974,2),0)</f>
        <v/>
      </c>
      <c r="AY1974" s="76">
        <f>E1974*AX1974</f>
        <v/>
      </c>
      <c r="AZ1974" s="192">
        <f>S1974*(1+M1974)</f>
        <v/>
      </c>
      <c r="BA1974" s="76">
        <f>cost_fin_total*$BD1974</f>
        <v/>
      </c>
      <c r="BB1974" s="193">
        <f>credit_sales_interest*BD1974</f>
        <v/>
      </c>
      <c r="BC1974" s="102">
        <f>IFERROR(IF($I$13&gt;0,$I1974/$I$13,$S1974/$S$13),0)</f>
        <v/>
      </c>
      <c r="BD1974" s="102">
        <f>IFERROR($S1974/$S$13,0)</f>
        <v/>
      </c>
      <c r="BE1974" s="413" t="inlineStr">
        <is>
          <t>$</t>
        </is>
      </c>
    </row>
    <row r="1975" ht="12" customFormat="1" customHeight="1" s="65">
      <c r="A1975" s="43" t="n">
        <v>1960</v>
      </c>
      <c r="B1975" s="166" t="n"/>
      <c r="C1975" s="166" t="n"/>
      <c r="D1975" s="166" t="n"/>
      <c r="E1975" s="162" t="n"/>
      <c r="F1975" s="166" t="n"/>
      <c r="G1975" s="162" t="n"/>
      <c r="H1975" s="162" t="n"/>
      <c r="I1975" s="189">
        <f>E1975*G1975</f>
        <v/>
      </c>
      <c r="J1975" s="195" t="n"/>
      <c r="K1975" s="162" t="n"/>
      <c r="L1975" s="168" t="n"/>
      <c r="M1975" s="75">
        <f>_xlfn.XLOOKUP(L1975,list_vat[Страна],list_vat[Ставка НДС %],0,0)</f>
        <v/>
      </c>
      <c r="N1975" s="162">
        <f>IFERROR(IF(L1975="Китай",K1975,K1975/(1+M1975)),0)</f>
        <v/>
      </c>
      <c r="O1975" s="169" t="n"/>
      <c r="P1975" s="76">
        <f>N1975*(1-O1975)</f>
        <v/>
      </c>
      <c r="Q1975" s="162" t="n"/>
      <c r="R1975" s="162">
        <f>IF(ISBLANK(Q1975),"введи курс",P1975/Q1975)</f>
        <v/>
      </c>
      <c r="S1975" s="196">
        <f>IF(AND(ISNUMBER(E1975),ISNUMBER(Q1975)),E1975*R1975,0)</f>
        <v/>
      </c>
      <c r="T1975" s="192">
        <f>$BC1975*V$11</f>
        <v/>
      </c>
      <c r="U1975" s="76">
        <f>$BC1975*W$11</f>
        <v/>
      </c>
      <c r="V1975" s="193">
        <f>+SUM(T1975:U1975)</f>
        <v/>
      </c>
      <c r="W1975" s="191" t="n"/>
      <c r="X1975" s="170" t="n"/>
      <c r="Y1975" s="76">
        <f>ROUND(IF(offer_incoterms="DDP",X1975*(S1975*(1+AW1975)+T1975),0),2)</f>
        <v/>
      </c>
      <c r="Z1975" s="188" t="n"/>
      <c r="AA1975" s="192">
        <f>IFERROR(AB1975/E1975,0)</f>
        <v/>
      </c>
      <c r="AB1975" s="76">
        <f>ROUND(SUM(S1975,V1975,Y1975:Z1975,BA1975:BB1975),2)</f>
        <v/>
      </c>
      <c r="AC1975" s="797" t="n"/>
      <c r="AD1975" s="192">
        <f t="array" ref="AD1975">IFERROR(ROUND((_xlfn.IFS(offer_sale_type="поставка",AB1975,offer_sale_type="транзит",S1975)*(1+AC1975))/E1975,2),0)</f>
        <v/>
      </c>
      <c r="AE1975" s="76">
        <f>AD1975*E1975</f>
        <v/>
      </c>
      <c r="AF1975" s="193">
        <f t="array" ref="AF1975">IFERROR(ROUND(_xlfn.IFS(offer_sale_type="поставка",AB1975,offer_sale_type="транзит",S1975)*AC1975,2),0)</f>
        <v/>
      </c>
      <c r="AG1975" s="192">
        <f>$BD1975*VLOOKUP($AG$3,$AF$4:$AG$7,2,FALSE)</f>
        <v/>
      </c>
      <c r="AH1975" s="76">
        <f>SUM(AE1975,AG1975,AI1975)*rate_forex_risk</f>
        <v/>
      </c>
      <c r="AI1975" s="193">
        <f>IF(OR(seller_region="TR",offer_sale_type="экспорт"),0,rate_fin_comm)*SUM(AZ1975,AZ1975*AW1975,T1975)</f>
        <v/>
      </c>
      <c r="AJ1975" s="118">
        <f>IFERROR(ROUND(SUM(AB1975,AF1975:AI1975)/E1975,2),0)</f>
        <v/>
      </c>
      <c r="AK1975" s="76">
        <f>AJ1975*E1975</f>
        <v/>
      </c>
      <c r="AL1975" s="174">
        <f>ROUND(IFERROR(AM1975*E1975,0),2)</f>
        <v/>
      </c>
      <c r="AM1975" s="175">
        <f>ROUND(AJ1975*(1+IF(offer_incoterms="DDP",IF((TODAY()+offer_turnaround_time)&gt;=helpsheet!$L$17,rate_vatRU_from_26,rate_vatRu_till_25),0)),2)</f>
        <v/>
      </c>
      <c r="AN1975" s="192">
        <f>AL1975-AK1975</f>
        <v/>
      </c>
      <c r="AO1975" s="76">
        <f>SUM(AY1975,Y1975:Z1975,T1975)*IF(AND(offer_incoterms="DDP",offer_sale_type&lt;&gt;"экспорт"),IF((TODAY()+offer_turnaround_time)&gt;=helpsheet!$L$17,rate_vatRU_from_26,rate_vatRu_till_25),0)</f>
        <v/>
      </c>
      <c r="AP1975" s="193">
        <f>AN1975-AO1975</f>
        <v/>
      </c>
      <c r="AQ1975" s="118">
        <f>IF(offer_sale_type="транзит",SUM(AF1975:AI1975,BA1975,BB1975),0)</f>
        <v/>
      </c>
      <c r="AR1975" s="82">
        <f>HYPERLINK("https://www.alta.ru/tnved/code/")&amp;W1975&amp;"/"</f>
        <v/>
      </c>
      <c r="AS1975" s="157" t="n"/>
      <c r="AT1975" s="162" t="n"/>
      <c r="AU1975" s="76">
        <f>IF(ISBLANK(AT1975),0,AJ1975-AT1975)</f>
        <v/>
      </c>
      <c r="AV1975" s="157" t="n"/>
      <c r="AW1975" s="75">
        <f>_xlfn.IFNA(VLOOKUP(L1975,list_vat[],3,FALSE),0)</f>
        <v/>
      </c>
      <c r="AX1975" s="76">
        <f>IFERROR(ROUND(S1975*(1+AW1975)/E1975,2),0)</f>
        <v/>
      </c>
      <c r="AY1975" s="76">
        <f>E1975*AX1975</f>
        <v/>
      </c>
      <c r="AZ1975" s="192">
        <f>S1975*(1+M1975)</f>
        <v/>
      </c>
      <c r="BA1975" s="76">
        <f>cost_fin_total*$BD1975</f>
        <v/>
      </c>
      <c r="BB1975" s="193">
        <f>credit_sales_interest*BD1975</f>
        <v/>
      </c>
      <c r="BC1975" s="102">
        <f>IFERROR(IF($I$13&gt;0,$I1975/$I$13,$S1975/$S$13),0)</f>
        <v/>
      </c>
      <c r="BD1975" s="102">
        <f>IFERROR($S1975/$S$13,0)</f>
        <v/>
      </c>
      <c r="BE1975" s="413" t="inlineStr">
        <is>
          <t>$</t>
        </is>
      </c>
    </row>
    <row r="1976" ht="12" customFormat="1" customHeight="1" s="65">
      <c r="A1976" s="43" t="n">
        <v>1961</v>
      </c>
      <c r="B1976" s="166" t="n"/>
      <c r="C1976" s="166" t="n"/>
      <c r="D1976" s="166" t="n"/>
      <c r="E1976" s="162" t="n"/>
      <c r="F1976" s="166" t="n"/>
      <c r="G1976" s="162" t="n"/>
      <c r="H1976" s="162" t="n"/>
      <c r="I1976" s="189">
        <f>E1976*G1976</f>
        <v/>
      </c>
      <c r="J1976" s="195" t="n"/>
      <c r="K1976" s="162" t="n"/>
      <c r="L1976" s="168" t="n"/>
      <c r="M1976" s="75">
        <f>_xlfn.XLOOKUP(L1976,list_vat[Страна],list_vat[Ставка НДС %],0,0)</f>
        <v/>
      </c>
      <c r="N1976" s="162">
        <f>IFERROR(IF(L1976="Китай",K1976,K1976/(1+M1976)),0)</f>
        <v/>
      </c>
      <c r="O1976" s="169" t="n"/>
      <c r="P1976" s="76">
        <f>N1976*(1-O1976)</f>
        <v/>
      </c>
      <c r="Q1976" s="162" t="n"/>
      <c r="R1976" s="162">
        <f>IF(ISBLANK(Q1976),"введи курс",P1976/Q1976)</f>
        <v/>
      </c>
      <c r="S1976" s="196">
        <f>IF(AND(ISNUMBER(E1976),ISNUMBER(Q1976)),E1976*R1976,0)</f>
        <v/>
      </c>
      <c r="T1976" s="192">
        <f>$BC1976*V$11</f>
        <v/>
      </c>
      <c r="U1976" s="76">
        <f>$BC1976*W$11</f>
        <v/>
      </c>
      <c r="V1976" s="193">
        <f>+SUM(T1976:U1976)</f>
        <v/>
      </c>
      <c r="W1976" s="191" t="n"/>
      <c r="X1976" s="170" t="n"/>
      <c r="Y1976" s="76">
        <f>ROUND(IF(offer_incoterms="DDP",X1976*(S1976*(1+AW1976)+T1976),0),2)</f>
        <v/>
      </c>
      <c r="Z1976" s="188" t="n"/>
      <c r="AA1976" s="192">
        <f>IFERROR(AB1976/E1976,0)</f>
        <v/>
      </c>
      <c r="AB1976" s="76">
        <f>ROUND(SUM(S1976,V1976,Y1976:Z1976,BA1976:BB1976),2)</f>
        <v/>
      </c>
      <c r="AC1976" s="797" t="n"/>
      <c r="AD1976" s="192">
        <f t="array" ref="AD1976">IFERROR(ROUND((_xlfn.IFS(offer_sale_type="поставка",AB1976,offer_sale_type="транзит",S1976)*(1+AC1976))/E1976,2),0)</f>
        <v/>
      </c>
      <c r="AE1976" s="76">
        <f>AD1976*E1976</f>
        <v/>
      </c>
      <c r="AF1976" s="193">
        <f t="array" ref="AF1976">IFERROR(ROUND(_xlfn.IFS(offer_sale_type="поставка",AB1976,offer_sale_type="транзит",S1976)*AC1976,2),0)</f>
        <v/>
      </c>
      <c r="AG1976" s="192">
        <f>$BD1976*VLOOKUP($AG$3,$AF$4:$AG$7,2,FALSE)</f>
        <v/>
      </c>
      <c r="AH1976" s="76">
        <f>SUM(AE1976,AG1976,AI1976)*rate_forex_risk</f>
        <v/>
      </c>
      <c r="AI1976" s="193">
        <f>IF(OR(seller_region="TR",offer_sale_type="экспорт"),0,rate_fin_comm)*SUM(AZ1976,AZ1976*AW1976,T1976)</f>
        <v/>
      </c>
      <c r="AJ1976" s="118">
        <f>IFERROR(ROUND(SUM(AB1976,AF1976:AI1976)/E1976,2),0)</f>
        <v/>
      </c>
      <c r="AK1976" s="76">
        <f>AJ1976*E1976</f>
        <v/>
      </c>
      <c r="AL1976" s="174">
        <f>ROUND(IFERROR(AM1976*E1976,0),2)</f>
        <v/>
      </c>
      <c r="AM1976" s="175">
        <f>ROUND(AJ1976*(1+IF(offer_incoterms="DDP",IF((TODAY()+offer_turnaround_time)&gt;=helpsheet!$L$17,rate_vatRU_from_26,rate_vatRu_till_25),0)),2)</f>
        <v/>
      </c>
      <c r="AN1976" s="192">
        <f>AL1976-AK1976</f>
        <v/>
      </c>
      <c r="AO1976" s="76">
        <f>SUM(AY1976,Y1976:Z1976,T1976)*IF(AND(offer_incoterms="DDP",offer_sale_type&lt;&gt;"экспорт"),IF((TODAY()+offer_turnaround_time)&gt;=helpsheet!$L$17,rate_vatRU_from_26,rate_vatRu_till_25),0)</f>
        <v/>
      </c>
      <c r="AP1976" s="193">
        <f>AN1976-AO1976</f>
        <v/>
      </c>
      <c r="AQ1976" s="118">
        <f>IF(offer_sale_type="транзит",SUM(AF1976:AI1976,BA1976,BB1976),0)</f>
        <v/>
      </c>
      <c r="AR1976" s="82">
        <f>HYPERLINK("https://www.alta.ru/tnved/code/")&amp;W1976&amp;"/"</f>
        <v/>
      </c>
      <c r="AS1976" s="157" t="n"/>
      <c r="AT1976" s="162" t="n"/>
      <c r="AU1976" s="76">
        <f>IF(ISBLANK(AT1976),0,AJ1976-AT1976)</f>
        <v/>
      </c>
      <c r="AV1976" s="157" t="n"/>
      <c r="AW1976" s="75">
        <f>_xlfn.IFNA(VLOOKUP(L1976,list_vat[],3,FALSE),0)</f>
        <v/>
      </c>
      <c r="AX1976" s="76">
        <f>IFERROR(ROUND(S1976*(1+AW1976)/E1976,2),0)</f>
        <v/>
      </c>
      <c r="AY1976" s="76">
        <f>E1976*AX1976</f>
        <v/>
      </c>
      <c r="AZ1976" s="192">
        <f>S1976*(1+M1976)</f>
        <v/>
      </c>
      <c r="BA1976" s="76">
        <f>cost_fin_total*$BD1976</f>
        <v/>
      </c>
      <c r="BB1976" s="193">
        <f>credit_sales_interest*BD1976</f>
        <v/>
      </c>
      <c r="BC1976" s="102">
        <f>IFERROR(IF($I$13&gt;0,$I1976/$I$13,$S1976/$S$13),0)</f>
        <v/>
      </c>
      <c r="BD1976" s="102">
        <f>IFERROR($S1976/$S$13,0)</f>
        <v/>
      </c>
      <c r="BE1976" s="413" t="inlineStr">
        <is>
          <t>$</t>
        </is>
      </c>
    </row>
    <row r="1977" ht="12" customFormat="1" customHeight="1" s="65">
      <c r="A1977" s="43" t="n">
        <v>1962</v>
      </c>
      <c r="B1977" s="166" t="n"/>
      <c r="C1977" s="166" t="n"/>
      <c r="D1977" s="166" t="n"/>
      <c r="E1977" s="162" t="n"/>
      <c r="F1977" s="166" t="n"/>
      <c r="G1977" s="162" t="n"/>
      <c r="H1977" s="162" t="n"/>
      <c r="I1977" s="189">
        <f>E1977*G1977</f>
        <v/>
      </c>
      <c r="J1977" s="195" t="n"/>
      <c r="K1977" s="162" t="n"/>
      <c r="L1977" s="168" t="n"/>
      <c r="M1977" s="75">
        <f>_xlfn.XLOOKUP(L1977,list_vat[Страна],list_vat[Ставка НДС %],0,0)</f>
        <v/>
      </c>
      <c r="N1977" s="162">
        <f>IFERROR(IF(L1977="Китай",K1977,K1977/(1+M1977)),0)</f>
        <v/>
      </c>
      <c r="O1977" s="169" t="n"/>
      <c r="P1977" s="76">
        <f>N1977*(1-O1977)</f>
        <v/>
      </c>
      <c r="Q1977" s="162" t="n"/>
      <c r="R1977" s="162">
        <f>IF(ISBLANK(Q1977),"введи курс",P1977/Q1977)</f>
        <v/>
      </c>
      <c r="S1977" s="196">
        <f>IF(AND(ISNUMBER(E1977),ISNUMBER(Q1977)),E1977*R1977,0)</f>
        <v/>
      </c>
      <c r="T1977" s="192">
        <f>$BC1977*V$11</f>
        <v/>
      </c>
      <c r="U1977" s="76">
        <f>$BC1977*W$11</f>
        <v/>
      </c>
      <c r="V1977" s="193">
        <f>+SUM(T1977:U1977)</f>
        <v/>
      </c>
      <c r="W1977" s="191" t="n"/>
      <c r="X1977" s="170" t="n"/>
      <c r="Y1977" s="76">
        <f>ROUND(IF(offer_incoterms="DDP",X1977*(S1977*(1+AW1977)+T1977),0),2)</f>
        <v/>
      </c>
      <c r="Z1977" s="188" t="n"/>
      <c r="AA1977" s="192">
        <f>IFERROR(AB1977/E1977,0)</f>
        <v/>
      </c>
      <c r="AB1977" s="76">
        <f>ROUND(SUM(S1977,V1977,Y1977:Z1977,BA1977:BB1977),2)</f>
        <v/>
      </c>
      <c r="AC1977" s="797" t="n"/>
      <c r="AD1977" s="192">
        <f t="array" ref="AD1977">IFERROR(ROUND((_xlfn.IFS(offer_sale_type="поставка",AB1977,offer_sale_type="транзит",S1977)*(1+AC1977))/E1977,2),0)</f>
        <v/>
      </c>
      <c r="AE1977" s="76">
        <f>AD1977*E1977</f>
        <v/>
      </c>
      <c r="AF1977" s="193">
        <f t="array" ref="AF1977">IFERROR(ROUND(_xlfn.IFS(offer_sale_type="поставка",AB1977,offer_sale_type="транзит",S1977)*AC1977,2),0)</f>
        <v/>
      </c>
      <c r="AG1977" s="192">
        <f>$BD1977*VLOOKUP($AG$3,$AF$4:$AG$7,2,FALSE)</f>
        <v/>
      </c>
      <c r="AH1977" s="76">
        <f>SUM(AE1977,AG1977,AI1977)*rate_forex_risk</f>
        <v/>
      </c>
      <c r="AI1977" s="193">
        <f>IF(OR(seller_region="TR",offer_sale_type="экспорт"),0,rate_fin_comm)*SUM(AZ1977,AZ1977*AW1977,T1977)</f>
        <v/>
      </c>
      <c r="AJ1977" s="118">
        <f>IFERROR(ROUND(SUM(AB1977,AF1977:AI1977)/E1977,2),0)</f>
        <v/>
      </c>
      <c r="AK1977" s="76">
        <f>AJ1977*E1977</f>
        <v/>
      </c>
      <c r="AL1977" s="174">
        <f>ROUND(IFERROR(AM1977*E1977,0),2)</f>
        <v/>
      </c>
      <c r="AM1977" s="175">
        <f>ROUND(AJ1977*(1+IF(offer_incoterms="DDP",IF((TODAY()+offer_turnaround_time)&gt;=helpsheet!$L$17,rate_vatRU_from_26,rate_vatRu_till_25),0)),2)</f>
        <v/>
      </c>
      <c r="AN1977" s="192">
        <f>AL1977-AK1977</f>
        <v/>
      </c>
      <c r="AO1977" s="76">
        <f>SUM(AY1977,Y1977:Z1977,T1977)*IF(AND(offer_incoterms="DDP",offer_sale_type&lt;&gt;"экспорт"),IF((TODAY()+offer_turnaround_time)&gt;=helpsheet!$L$17,rate_vatRU_from_26,rate_vatRu_till_25),0)</f>
        <v/>
      </c>
      <c r="AP1977" s="193">
        <f>AN1977-AO1977</f>
        <v/>
      </c>
      <c r="AQ1977" s="118">
        <f>IF(offer_sale_type="транзит",SUM(AF1977:AI1977,BA1977,BB1977),0)</f>
        <v/>
      </c>
      <c r="AR1977" s="82">
        <f>HYPERLINK("https://www.alta.ru/tnved/code/")&amp;W1977&amp;"/"</f>
        <v/>
      </c>
      <c r="AS1977" s="157" t="n"/>
      <c r="AT1977" s="162" t="n"/>
      <c r="AU1977" s="76">
        <f>IF(ISBLANK(AT1977),0,AJ1977-AT1977)</f>
        <v/>
      </c>
      <c r="AV1977" s="157" t="n"/>
      <c r="AW1977" s="75">
        <f>_xlfn.IFNA(VLOOKUP(L1977,list_vat[],3,FALSE),0)</f>
        <v/>
      </c>
      <c r="AX1977" s="76">
        <f>IFERROR(ROUND(S1977*(1+AW1977)/E1977,2),0)</f>
        <v/>
      </c>
      <c r="AY1977" s="76">
        <f>E1977*AX1977</f>
        <v/>
      </c>
      <c r="AZ1977" s="192">
        <f>S1977*(1+M1977)</f>
        <v/>
      </c>
      <c r="BA1977" s="76">
        <f>cost_fin_total*$BD1977</f>
        <v/>
      </c>
      <c r="BB1977" s="193">
        <f>credit_sales_interest*BD1977</f>
        <v/>
      </c>
      <c r="BC1977" s="102">
        <f>IFERROR(IF($I$13&gt;0,$I1977/$I$13,$S1977/$S$13),0)</f>
        <v/>
      </c>
      <c r="BD1977" s="102">
        <f>IFERROR($S1977/$S$13,0)</f>
        <v/>
      </c>
      <c r="BE1977" s="413" t="inlineStr">
        <is>
          <t>$</t>
        </is>
      </c>
    </row>
    <row r="1978" ht="12" customFormat="1" customHeight="1" s="65">
      <c r="A1978" s="43" t="n">
        <v>1963</v>
      </c>
      <c r="B1978" s="166" t="n"/>
      <c r="C1978" s="166" t="n"/>
      <c r="D1978" s="166" t="n"/>
      <c r="E1978" s="162" t="n"/>
      <c r="F1978" s="166" t="n"/>
      <c r="G1978" s="162" t="n"/>
      <c r="H1978" s="162" t="n"/>
      <c r="I1978" s="189">
        <f>E1978*G1978</f>
        <v/>
      </c>
      <c r="J1978" s="195" t="n"/>
      <c r="K1978" s="162" t="n"/>
      <c r="L1978" s="168" t="n"/>
      <c r="M1978" s="75">
        <f>_xlfn.XLOOKUP(L1978,list_vat[Страна],list_vat[Ставка НДС %],0,0)</f>
        <v/>
      </c>
      <c r="N1978" s="162">
        <f>IFERROR(IF(L1978="Китай",K1978,K1978/(1+M1978)),0)</f>
        <v/>
      </c>
      <c r="O1978" s="169" t="n"/>
      <c r="P1978" s="76">
        <f>N1978*(1-O1978)</f>
        <v/>
      </c>
      <c r="Q1978" s="162" t="n"/>
      <c r="R1978" s="162">
        <f>IF(ISBLANK(Q1978),"введи курс",P1978/Q1978)</f>
        <v/>
      </c>
      <c r="S1978" s="196">
        <f>IF(AND(ISNUMBER(E1978),ISNUMBER(Q1978)),E1978*R1978,0)</f>
        <v/>
      </c>
      <c r="T1978" s="192">
        <f>$BC1978*V$11</f>
        <v/>
      </c>
      <c r="U1978" s="76">
        <f>$BC1978*W$11</f>
        <v/>
      </c>
      <c r="V1978" s="193">
        <f>+SUM(T1978:U1978)</f>
        <v/>
      </c>
      <c r="W1978" s="191" t="n"/>
      <c r="X1978" s="170" t="n"/>
      <c r="Y1978" s="76">
        <f>ROUND(IF(offer_incoterms="DDP",X1978*(S1978*(1+AW1978)+T1978),0),2)</f>
        <v/>
      </c>
      <c r="Z1978" s="188" t="n"/>
      <c r="AA1978" s="192">
        <f>IFERROR(AB1978/E1978,0)</f>
        <v/>
      </c>
      <c r="AB1978" s="76">
        <f>ROUND(SUM(S1978,V1978,Y1978:Z1978,BA1978:BB1978),2)</f>
        <v/>
      </c>
      <c r="AC1978" s="797" t="n"/>
      <c r="AD1978" s="192">
        <f t="array" ref="AD1978">IFERROR(ROUND((_xlfn.IFS(offer_sale_type="поставка",AB1978,offer_sale_type="транзит",S1978)*(1+AC1978))/E1978,2),0)</f>
        <v/>
      </c>
      <c r="AE1978" s="76">
        <f>AD1978*E1978</f>
        <v/>
      </c>
      <c r="AF1978" s="193">
        <f t="array" ref="AF1978">IFERROR(ROUND(_xlfn.IFS(offer_sale_type="поставка",AB1978,offer_sale_type="транзит",S1978)*AC1978,2),0)</f>
        <v/>
      </c>
      <c r="AG1978" s="192">
        <f>$BD1978*VLOOKUP($AG$3,$AF$4:$AG$7,2,FALSE)</f>
        <v/>
      </c>
      <c r="AH1978" s="76">
        <f>SUM(AE1978,AG1978,AI1978)*rate_forex_risk</f>
        <v/>
      </c>
      <c r="AI1978" s="193">
        <f>IF(OR(seller_region="TR",offer_sale_type="экспорт"),0,rate_fin_comm)*SUM(AZ1978,AZ1978*AW1978,T1978)</f>
        <v/>
      </c>
      <c r="AJ1978" s="118">
        <f>IFERROR(ROUND(SUM(AB1978,AF1978:AI1978)/E1978,2),0)</f>
        <v/>
      </c>
      <c r="AK1978" s="76">
        <f>AJ1978*E1978</f>
        <v/>
      </c>
      <c r="AL1978" s="174">
        <f>ROUND(IFERROR(AM1978*E1978,0),2)</f>
        <v/>
      </c>
      <c r="AM1978" s="175">
        <f>ROUND(AJ1978*(1+IF(offer_incoterms="DDP",IF((TODAY()+offer_turnaround_time)&gt;=helpsheet!$L$17,rate_vatRU_from_26,rate_vatRu_till_25),0)),2)</f>
        <v/>
      </c>
      <c r="AN1978" s="192">
        <f>AL1978-AK1978</f>
        <v/>
      </c>
      <c r="AO1978" s="76">
        <f>SUM(AY1978,Y1978:Z1978,T1978)*IF(AND(offer_incoterms="DDP",offer_sale_type&lt;&gt;"экспорт"),IF((TODAY()+offer_turnaround_time)&gt;=helpsheet!$L$17,rate_vatRU_from_26,rate_vatRu_till_25),0)</f>
        <v/>
      </c>
      <c r="AP1978" s="193">
        <f>AN1978-AO1978</f>
        <v/>
      </c>
      <c r="AQ1978" s="118">
        <f>IF(offer_sale_type="транзит",SUM(AF1978:AI1978,BA1978,BB1978),0)</f>
        <v/>
      </c>
      <c r="AR1978" s="82">
        <f>HYPERLINK("https://www.alta.ru/tnved/code/")&amp;W1978&amp;"/"</f>
        <v/>
      </c>
      <c r="AS1978" s="157" t="n"/>
      <c r="AT1978" s="162" t="n"/>
      <c r="AU1978" s="76">
        <f>IF(ISBLANK(AT1978),0,AJ1978-AT1978)</f>
        <v/>
      </c>
      <c r="AV1978" s="157" t="n"/>
      <c r="AW1978" s="75">
        <f>_xlfn.IFNA(VLOOKUP(L1978,list_vat[],3,FALSE),0)</f>
        <v/>
      </c>
      <c r="AX1978" s="76">
        <f>IFERROR(ROUND(S1978*(1+AW1978)/E1978,2),0)</f>
        <v/>
      </c>
      <c r="AY1978" s="76">
        <f>E1978*AX1978</f>
        <v/>
      </c>
      <c r="AZ1978" s="192">
        <f>S1978*(1+M1978)</f>
        <v/>
      </c>
      <c r="BA1978" s="76">
        <f>cost_fin_total*$BD1978</f>
        <v/>
      </c>
      <c r="BB1978" s="193">
        <f>credit_sales_interest*BD1978</f>
        <v/>
      </c>
      <c r="BC1978" s="102">
        <f>IFERROR(IF($I$13&gt;0,$I1978/$I$13,$S1978/$S$13),0)</f>
        <v/>
      </c>
      <c r="BD1978" s="102">
        <f>IFERROR($S1978/$S$13,0)</f>
        <v/>
      </c>
      <c r="BE1978" s="413" t="inlineStr">
        <is>
          <t>$</t>
        </is>
      </c>
    </row>
    <row r="1979" ht="12" customFormat="1" customHeight="1" s="65">
      <c r="A1979" s="43" t="n">
        <v>1964</v>
      </c>
      <c r="B1979" s="166" t="n"/>
      <c r="C1979" s="166" t="n"/>
      <c r="D1979" s="166" t="n"/>
      <c r="E1979" s="162" t="n"/>
      <c r="F1979" s="166" t="n"/>
      <c r="G1979" s="162" t="n"/>
      <c r="H1979" s="162" t="n"/>
      <c r="I1979" s="189">
        <f>E1979*G1979</f>
        <v/>
      </c>
      <c r="J1979" s="195" t="n"/>
      <c r="K1979" s="162" t="n"/>
      <c r="L1979" s="168" t="n"/>
      <c r="M1979" s="75">
        <f>_xlfn.XLOOKUP(L1979,list_vat[Страна],list_vat[Ставка НДС %],0,0)</f>
        <v/>
      </c>
      <c r="N1979" s="162">
        <f>IFERROR(IF(L1979="Китай",K1979,K1979/(1+M1979)),0)</f>
        <v/>
      </c>
      <c r="O1979" s="169" t="n"/>
      <c r="P1979" s="76">
        <f>N1979*(1-O1979)</f>
        <v/>
      </c>
      <c r="Q1979" s="162" t="n"/>
      <c r="R1979" s="162">
        <f>IF(ISBLANK(Q1979),"введи курс",P1979/Q1979)</f>
        <v/>
      </c>
      <c r="S1979" s="196">
        <f>IF(AND(ISNUMBER(E1979),ISNUMBER(Q1979)),E1979*R1979,0)</f>
        <v/>
      </c>
      <c r="T1979" s="192">
        <f>$BC1979*V$11</f>
        <v/>
      </c>
      <c r="U1979" s="76">
        <f>$BC1979*W$11</f>
        <v/>
      </c>
      <c r="V1979" s="193">
        <f>+SUM(T1979:U1979)</f>
        <v/>
      </c>
      <c r="W1979" s="191" t="n"/>
      <c r="X1979" s="170" t="n"/>
      <c r="Y1979" s="76">
        <f>ROUND(IF(offer_incoterms="DDP",X1979*(S1979*(1+AW1979)+T1979),0),2)</f>
        <v/>
      </c>
      <c r="Z1979" s="188" t="n"/>
      <c r="AA1979" s="192">
        <f>IFERROR(AB1979/E1979,0)</f>
        <v/>
      </c>
      <c r="AB1979" s="76">
        <f>ROUND(SUM(S1979,V1979,Y1979:Z1979,BA1979:BB1979),2)</f>
        <v/>
      </c>
      <c r="AC1979" s="797" t="n"/>
      <c r="AD1979" s="192">
        <f t="array" ref="AD1979">IFERROR(ROUND((_xlfn.IFS(offer_sale_type="поставка",AB1979,offer_sale_type="транзит",S1979)*(1+AC1979))/E1979,2),0)</f>
        <v/>
      </c>
      <c r="AE1979" s="76">
        <f>AD1979*E1979</f>
        <v/>
      </c>
      <c r="AF1979" s="193">
        <f t="array" ref="AF1979">IFERROR(ROUND(_xlfn.IFS(offer_sale_type="поставка",AB1979,offer_sale_type="транзит",S1979)*AC1979,2),0)</f>
        <v/>
      </c>
      <c r="AG1979" s="192">
        <f>$BD1979*VLOOKUP($AG$3,$AF$4:$AG$7,2,FALSE)</f>
        <v/>
      </c>
      <c r="AH1979" s="76">
        <f>SUM(AE1979,AG1979,AI1979)*rate_forex_risk</f>
        <v/>
      </c>
      <c r="AI1979" s="193">
        <f>IF(OR(seller_region="TR",offer_sale_type="экспорт"),0,rate_fin_comm)*SUM(AZ1979,AZ1979*AW1979,T1979)</f>
        <v/>
      </c>
      <c r="AJ1979" s="118">
        <f>IFERROR(ROUND(SUM(AB1979,AF1979:AI1979)/E1979,2),0)</f>
        <v/>
      </c>
      <c r="AK1979" s="76">
        <f>AJ1979*E1979</f>
        <v/>
      </c>
      <c r="AL1979" s="174">
        <f>ROUND(IFERROR(AM1979*E1979,0),2)</f>
        <v/>
      </c>
      <c r="AM1979" s="175">
        <f>ROUND(AJ1979*(1+IF(offer_incoterms="DDP",IF((TODAY()+offer_turnaround_time)&gt;=helpsheet!$L$17,rate_vatRU_from_26,rate_vatRu_till_25),0)),2)</f>
        <v/>
      </c>
      <c r="AN1979" s="192">
        <f>AL1979-AK1979</f>
        <v/>
      </c>
      <c r="AO1979" s="76">
        <f>SUM(AY1979,Y1979:Z1979,T1979)*IF(AND(offer_incoterms="DDP",offer_sale_type&lt;&gt;"экспорт"),IF((TODAY()+offer_turnaround_time)&gt;=helpsheet!$L$17,rate_vatRU_from_26,rate_vatRu_till_25),0)</f>
        <v/>
      </c>
      <c r="AP1979" s="193">
        <f>AN1979-AO1979</f>
        <v/>
      </c>
      <c r="AQ1979" s="118">
        <f>IF(offer_sale_type="транзит",SUM(AF1979:AI1979,BA1979,BB1979),0)</f>
        <v/>
      </c>
      <c r="AR1979" s="82">
        <f>HYPERLINK("https://www.alta.ru/tnved/code/")&amp;W1979&amp;"/"</f>
        <v/>
      </c>
      <c r="AS1979" s="157" t="n"/>
      <c r="AT1979" s="162" t="n"/>
      <c r="AU1979" s="76">
        <f>IF(ISBLANK(AT1979),0,AJ1979-AT1979)</f>
        <v/>
      </c>
      <c r="AV1979" s="157" t="n"/>
      <c r="AW1979" s="75">
        <f>_xlfn.IFNA(VLOOKUP(L1979,list_vat[],3,FALSE),0)</f>
        <v/>
      </c>
      <c r="AX1979" s="76">
        <f>IFERROR(ROUND(S1979*(1+AW1979)/E1979,2),0)</f>
        <v/>
      </c>
      <c r="AY1979" s="76">
        <f>E1979*AX1979</f>
        <v/>
      </c>
      <c r="AZ1979" s="192">
        <f>S1979*(1+M1979)</f>
        <v/>
      </c>
      <c r="BA1979" s="76">
        <f>cost_fin_total*$BD1979</f>
        <v/>
      </c>
      <c r="BB1979" s="193">
        <f>credit_sales_interest*BD1979</f>
        <v/>
      </c>
      <c r="BC1979" s="102">
        <f>IFERROR(IF($I$13&gt;0,$I1979/$I$13,$S1979/$S$13),0)</f>
        <v/>
      </c>
      <c r="BD1979" s="102">
        <f>IFERROR($S1979/$S$13,0)</f>
        <v/>
      </c>
      <c r="BE1979" s="413" t="inlineStr">
        <is>
          <t>$</t>
        </is>
      </c>
    </row>
    <row r="1980" ht="12" customFormat="1" customHeight="1" s="65">
      <c r="A1980" s="43" t="n">
        <v>1965</v>
      </c>
      <c r="B1980" s="166" t="n"/>
      <c r="C1980" s="166" t="n"/>
      <c r="D1980" s="166" t="n"/>
      <c r="E1980" s="162" t="n"/>
      <c r="F1980" s="166" t="n"/>
      <c r="G1980" s="162" t="n"/>
      <c r="H1980" s="162" t="n"/>
      <c r="I1980" s="189">
        <f>E1980*G1980</f>
        <v/>
      </c>
      <c r="J1980" s="195" t="n"/>
      <c r="K1980" s="162" t="n"/>
      <c r="L1980" s="168" t="n"/>
      <c r="M1980" s="75">
        <f>_xlfn.XLOOKUP(L1980,list_vat[Страна],list_vat[Ставка НДС %],0,0)</f>
        <v/>
      </c>
      <c r="N1980" s="162">
        <f>IFERROR(IF(L1980="Китай",K1980,K1980/(1+M1980)),0)</f>
        <v/>
      </c>
      <c r="O1980" s="169" t="n"/>
      <c r="P1980" s="76">
        <f>N1980*(1-O1980)</f>
        <v/>
      </c>
      <c r="Q1980" s="162" t="n"/>
      <c r="R1980" s="162">
        <f>IF(ISBLANK(Q1980),"введи курс",P1980/Q1980)</f>
        <v/>
      </c>
      <c r="S1980" s="196">
        <f>IF(AND(ISNUMBER(E1980),ISNUMBER(Q1980)),E1980*R1980,0)</f>
        <v/>
      </c>
      <c r="T1980" s="192">
        <f>$BC1980*V$11</f>
        <v/>
      </c>
      <c r="U1980" s="76">
        <f>$BC1980*W$11</f>
        <v/>
      </c>
      <c r="V1980" s="193">
        <f>+SUM(T1980:U1980)</f>
        <v/>
      </c>
      <c r="W1980" s="191" t="n"/>
      <c r="X1980" s="170" t="n"/>
      <c r="Y1980" s="76">
        <f>ROUND(IF(offer_incoterms="DDP",X1980*(S1980*(1+AW1980)+T1980),0),2)</f>
        <v/>
      </c>
      <c r="Z1980" s="188" t="n"/>
      <c r="AA1980" s="192">
        <f>IFERROR(AB1980/E1980,0)</f>
        <v/>
      </c>
      <c r="AB1980" s="76">
        <f>ROUND(SUM(S1980,V1980,Y1980:Z1980,BA1980:BB1980),2)</f>
        <v/>
      </c>
      <c r="AC1980" s="797" t="n"/>
      <c r="AD1980" s="192">
        <f t="array" ref="AD1980">IFERROR(ROUND((_xlfn.IFS(offer_sale_type="поставка",AB1980,offer_sale_type="транзит",S1980)*(1+AC1980))/E1980,2),0)</f>
        <v/>
      </c>
      <c r="AE1980" s="76">
        <f>AD1980*E1980</f>
        <v/>
      </c>
      <c r="AF1980" s="193">
        <f t="array" ref="AF1980">IFERROR(ROUND(_xlfn.IFS(offer_sale_type="поставка",AB1980,offer_sale_type="транзит",S1980)*AC1980,2),0)</f>
        <v/>
      </c>
      <c r="AG1980" s="192">
        <f>$BD1980*VLOOKUP($AG$3,$AF$4:$AG$7,2,FALSE)</f>
        <v/>
      </c>
      <c r="AH1980" s="76">
        <f>SUM(AE1980,AG1980,AI1980)*rate_forex_risk</f>
        <v/>
      </c>
      <c r="AI1980" s="193">
        <f>IF(OR(seller_region="TR",offer_sale_type="экспорт"),0,rate_fin_comm)*SUM(AZ1980,AZ1980*AW1980,T1980)</f>
        <v/>
      </c>
      <c r="AJ1980" s="118">
        <f>IFERROR(ROUND(SUM(AB1980,AF1980:AI1980)/E1980,2),0)</f>
        <v/>
      </c>
      <c r="AK1980" s="76">
        <f>AJ1980*E1980</f>
        <v/>
      </c>
      <c r="AL1980" s="174">
        <f>ROUND(IFERROR(AM1980*E1980,0),2)</f>
        <v/>
      </c>
      <c r="AM1980" s="175">
        <f>ROUND(AJ1980*(1+IF(offer_incoterms="DDP",IF((TODAY()+offer_turnaround_time)&gt;=helpsheet!$L$17,rate_vatRU_from_26,rate_vatRu_till_25),0)),2)</f>
        <v/>
      </c>
      <c r="AN1980" s="192">
        <f>AL1980-AK1980</f>
        <v/>
      </c>
      <c r="AO1980" s="76">
        <f>SUM(AY1980,Y1980:Z1980,T1980)*IF(AND(offer_incoterms="DDP",offer_sale_type&lt;&gt;"экспорт"),IF((TODAY()+offer_turnaround_time)&gt;=helpsheet!$L$17,rate_vatRU_from_26,rate_vatRu_till_25),0)</f>
        <v/>
      </c>
      <c r="AP1980" s="193">
        <f>AN1980-AO1980</f>
        <v/>
      </c>
      <c r="AQ1980" s="118">
        <f>IF(offer_sale_type="транзит",SUM(AF1980:AI1980,BA1980,BB1980),0)</f>
        <v/>
      </c>
      <c r="AR1980" s="82">
        <f>HYPERLINK("https://www.alta.ru/tnved/code/")&amp;W1980&amp;"/"</f>
        <v/>
      </c>
      <c r="AS1980" s="157" t="n"/>
      <c r="AT1980" s="162" t="n"/>
      <c r="AU1980" s="76">
        <f>IF(ISBLANK(AT1980),0,AJ1980-AT1980)</f>
        <v/>
      </c>
      <c r="AV1980" s="157" t="n"/>
      <c r="AW1980" s="75">
        <f>_xlfn.IFNA(VLOOKUP(L1980,list_vat[],3,FALSE),0)</f>
        <v/>
      </c>
      <c r="AX1980" s="76">
        <f>IFERROR(ROUND(S1980*(1+AW1980)/E1980,2),0)</f>
        <v/>
      </c>
      <c r="AY1980" s="76">
        <f>E1980*AX1980</f>
        <v/>
      </c>
      <c r="AZ1980" s="192">
        <f>S1980*(1+M1980)</f>
        <v/>
      </c>
      <c r="BA1980" s="76">
        <f>cost_fin_total*$BD1980</f>
        <v/>
      </c>
      <c r="BB1980" s="193">
        <f>credit_sales_interest*BD1980</f>
        <v/>
      </c>
      <c r="BC1980" s="102">
        <f>IFERROR(IF($I$13&gt;0,$I1980/$I$13,$S1980/$S$13),0)</f>
        <v/>
      </c>
      <c r="BD1980" s="102">
        <f>IFERROR($S1980/$S$13,0)</f>
        <v/>
      </c>
      <c r="BE1980" s="413" t="inlineStr">
        <is>
          <t>$</t>
        </is>
      </c>
    </row>
    <row r="1981" ht="12" customFormat="1" customHeight="1" s="65">
      <c r="A1981" s="43" t="n">
        <v>1966</v>
      </c>
      <c r="B1981" s="166" t="n"/>
      <c r="C1981" s="166" t="n"/>
      <c r="D1981" s="166" t="n"/>
      <c r="E1981" s="162" t="n"/>
      <c r="F1981" s="166" t="n"/>
      <c r="G1981" s="162" t="n"/>
      <c r="H1981" s="162" t="n"/>
      <c r="I1981" s="189">
        <f>E1981*G1981</f>
        <v/>
      </c>
      <c r="J1981" s="195" t="n"/>
      <c r="K1981" s="162" t="n"/>
      <c r="L1981" s="168" t="n"/>
      <c r="M1981" s="75">
        <f>_xlfn.XLOOKUP(L1981,list_vat[Страна],list_vat[Ставка НДС %],0,0)</f>
        <v/>
      </c>
      <c r="N1981" s="162">
        <f>IFERROR(IF(L1981="Китай",K1981,K1981/(1+M1981)),0)</f>
        <v/>
      </c>
      <c r="O1981" s="169" t="n"/>
      <c r="P1981" s="76">
        <f>N1981*(1-O1981)</f>
        <v/>
      </c>
      <c r="Q1981" s="162" t="n"/>
      <c r="R1981" s="162">
        <f>IF(ISBLANK(Q1981),"введи курс",P1981/Q1981)</f>
        <v/>
      </c>
      <c r="S1981" s="196">
        <f>IF(AND(ISNUMBER(E1981),ISNUMBER(Q1981)),E1981*R1981,0)</f>
        <v/>
      </c>
      <c r="T1981" s="192">
        <f>$BC1981*V$11</f>
        <v/>
      </c>
      <c r="U1981" s="76">
        <f>$BC1981*W$11</f>
        <v/>
      </c>
      <c r="V1981" s="193">
        <f>+SUM(T1981:U1981)</f>
        <v/>
      </c>
      <c r="W1981" s="191" t="n"/>
      <c r="X1981" s="170" t="n"/>
      <c r="Y1981" s="76">
        <f>ROUND(IF(offer_incoterms="DDP",X1981*(S1981*(1+AW1981)+T1981),0),2)</f>
        <v/>
      </c>
      <c r="Z1981" s="188" t="n"/>
      <c r="AA1981" s="192">
        <f>IFERROR(AB1981/E1981,0)</f>
        <v/>
      </c>
      <c r="AB1981" s="76">
        <f>ROUND(SUM(S1981,V1981,Y1981:Z1981,BA1981:BB1981),2)</f>
        <v/>
      </c>
      <c r="AC1981" s="797" t="n"/>
      <c r="AD1981" s="192">
        <f t="array" ref="AD1981">IFERROR(ROUND((_xlfn.IFS(offer_sale_type="поставка",AB1981,offer_sale_type="транзит",S1981)*(1+AC1981))/E1981,2),0)</f>
        <v/>
      </c>
      <c r="AE1981" s="76">
        <f>AD1981*E1981</f>
        <v/>
      </c>
      <c r="AF1981" s="193">
        <f t="array" ref="AF1981">IFERROR(ROUND(_xlfn.IFS(offer_sale_type="поставка",AB1981,offer_sale_type="транзит",S1981)*AC1981,2),0)</f>
        <v/>
      </c>
      <c r="AG1981" s="192">
        <f>$BD1981*VLOOKUP($AG$3,$AF$4:$AG$7,2,FALSE)</f>
        <v/>
      </c>
      <c r="AH1981" s="76">
        <f>SUM(AE1981,AG1981,AI1981)*rate_forex_risk</f>
        <v/>
      </c>
      <c r="AI1981" s="193">
        <f>IF(OR(seller_region="TR",offer_sale_type="экспорт"),0,rate_fin_comm)*SUM(AZ1981,AZ1981*AW1981,T1981)</f>
        <v/>
      </c>
      <c r="AJ1981" s="118">
        <f>IFERROR(ROUND(SUM(AB1981,AF1981:AI1981)/E1981,2),0)</f>
        <v/>
      </c>
      <c r="AK1981" s="76">
        <f>AJ1981*E1981</f>
        <v/>
      </c>
      <c r="AL1981" s="174">
        <f>ROUND(IFERROR(AM1981*E1981,0),2)</f>
        <v/>
      </c>
      <c r="AM1981" s="175">
        <f>ROUND(AJ1981*(1+IF(offer_incoterms="DDP",IF((TODAY()+offer_turnaround_time)&gt;=helpsheet!$L$17,rate_vatRU_from_26,rate_vatRu_till_25),0)),2)</f>
        <v/>
      </c>
      <c r="AN1981" s="192">
        <f>AL1981-AK1981</f>
        <v/>
      </c>
      <c r="AO1981" s="76">
        <f>SUM(AY1981,Y1981:Z1981,T1981)*IF(AND(offer_incoterms="DDP",offer_sale_type&lt;&gt;"экспорт"),IF((TODAY()+offer_turnaround_time)&gt;=helpsheet!$L$17,rate_vatRU_from_26,rate_vatRu_till_25),0)</f>
        <v/>
      </c>
      <c r="AP1981" s="193">
        <f>AN1981-AO1981</f>
        <v/>
      </c>
      <c r="AQ1981" s="118">
        <f>IF(offer_sale_type="транзит",SUM(AF1981:AI1981,BA1981,BB1981),0)</f>
        <v/>
      </c>
      <c r="AR1981" s="82">
        <f>HYPERLINK("https://www.alta.ru/tnved/code/")&amp;W1981&amp;"/"</f>
        <v/>
      </c>
      <c r="AS1981" s="157" t="n"/>
      <c r="AT1981" s="162" t="n"/>
      <c r="AU1981" s="76">
        <f>IF(ISBLANK(AT1981),0,AJ1981-AT1981)</f>
        <v/>
      </c>
      <c r="AV1981" s="157" t="n"/>
      <c r="AW1981" s="75">
        <f>_xlfn.IFNA(VLOOKUP(L1981,list_vat[],3,FALSE),0)</f>
        <v/>
      </c>
      <c r="AX1981" s="76">
        <f>IFERROR(ROUND(S1981*(1+AW1981)/E1981,2),0)</f>
        <v/>
      </c>
      <c r="AY1981" s="76">
        <f>E1981*AX1981</f>
        <v/>
      </c>
      <c r="AZ1981" s="192">
        <f>S1981*(1+M1981)</f>
        <v/>
      </c>
      <c r="BA1981" s="76">
        <f>cost_fin_total*$BD1981</f>
        <v/>
      </c>
      <c r="BB1981" s="193">
        <f>credit_sales_interest*BD1981</f>
        <v/>
      </c>
      <c r="BC1981" s="102">
        <f>IFERROR(IF($I$13&gt;0,$I1981/$I$13,$S1981/$S$13),0)</f>
        <v/>
      </c>
      <c r="BD1981" s="102">
        <f>IFERROR($S1981/$S$13,0)</f>
        <v/>
      </c>
      <c r="BE1981" s="413" t="inlineStr">
        <is>
          <t>$</t>
        </is>
      </c>
    </row>
    <row r="1982" ht="12" customFormat="1" customHeight="1" s="65">
      <c r="A1982" s="43" t="n">
        <v>1967</v>
      </c>
      <c r="B1982" s="166" t="n"/>
      <c r="C1982" s="166" t="n"/>
      <c r="D1982" s="166" t="n"/>
      <c r="E1982" s="162" t="n"/>
      <c r="F1982" s="166" t="n"/>
      <c r="G1982" s="162" t="n"/>
      <c r="H1982" s="162" t="n"/>
      <c r="I1982" s="189">
        <f>E1982*G1982</f>
        <v/>
      </c>
      <c r="J1982" s="195" t="n"/>
      <c r="K1982" s="162" t="n"/>
      <c r="L1982" s="168" t="n"/>
      <c r="M1982" s="75">
        <f>_xlfn.XLOOKUP(L1982,list_vat[Страна],list_vat[Ставка НДС %],0,0)</f>
        <v/>
      </c>
      <c r="N1982" s="162">
        <f>IFERROR(IF(L1982="Китай",K1982,K1982/(1+M1982)),0)</f>
        <v/>
      </c>
      <c r="O1982" s="169" t="n"/>
      <c r="P1982" s="76">
        <f>N1982*(1-O1982)</f>
        <v/>
      </c>
      <c r="Q1982" s="162" t="n"/>
      <c r="R1982" s="162">
        <f>IF(ISBLANK(Q1982),"введи курс",P1982/Q1982)</f>
        <v/>
      </c>
      <c r="S1982" s="196">
        <f>IF(AND(ISNUMBER(E1982),ISNUMBER(Q1982)),E1982*R1982,0)</f>
        <v/>
      </c>
      <c r="T1982" s="192">
        <f>$BC1982*V$11</f>
        <v/>
      </c>
      <c r="U1982" s="76">
        <f>$BC1982*W$11</f>
        <v/>
      </c>
      <c r="V1982" s="193">
        <f>+SUM(T1982:U1982)</f>
        <v/>
      </c>
      <c r="W1982" s="191" t="n"/>
      <c r="X1982" s="170" t="n"/>
      <c r="Y1982" s="76">
        <f>ROUND(IF(offer_incoterms="DDP",X1982*(S1982*(1+AW1982)+T1982),0),2)</f>
        <v/>
      </c>
      <c r="Z1982" s="188" t="n"/>
      <c r="AA1982" s="192">
        <f>IFERROR(AB1982/E1982,0)</f>
        <v/>
      </c>
      <c r="AB1982" s="76">
        <f>ROUND(SUM(S1982,V1982,Y1982:Z1982,BA1982:BB1982),2)</f>
        <v/>
      </c>
      <c r="AC1982" s="797" t="n"/>
      <c r="AD1982" s="192">
        <f t="array" ref="AD1982">IFERROR(ROUND((_xlfn.IFS(offer_sale_type="поставка",AB1982,offer_sale_type="транзит",S1982)*(1+AC1982))/E1982,2),0)</f>
        <v/>
      </c>
      <c r="AE1982" s="76">
        <f>AD1982*E1982</f>
        <v/>
      </c>
      <c r="AF1982" s="193">
        <f t="array" ref="AF1982">IFERROR(ROUND(_xlfn.IFS(offer_sale_type="поставка",AB1982,offer_sale_type="транзит",S1982)*AC1982,2),0)</f>
        <v/>
      </c>
      <c r="AG1982" s="192">
        <f>$BD1982*VLOOKUP($AG$3,$AF$4:$AG$7,2,FALSE)</f>
        <v/>
      </c>
      <c r="AH1982" s="76">
        <f>SUM(AE1982,AG1982,AI1982)*rate_forex_risk</f>
        <v/>
      </c>
      <c r="AI1982" s="193">
        <f>IF(OR(seller_region="TR",offer_sale_type="экспорт"),0,rate_fin_comm)*SUM(AZ1982,AZ1982*AW1982,T1982)</f>
        <v/>
      </c>
      <c r="AJ1982" s="118">
        <f>IFERROR(ROUND(SUM(AB1982,AF1982:AI1982)/E1982,2),0)</f>
        <v/>
      </c>
      <c r="AK1982" s="76">
        <f>AJ1982*E1982</f>
        <v/>
      </c>
      <c r="AL1982" s="174">
        <f>ROUND(IFERROR(AM1982*E1982,0),2)</f>
        <v/>
      </c>
      <c r="AM1982" s="175">
        <f>ROUND(AJ1982*(1+IF(offer_incoterms="DDP",IF((TODAY()+offer_turnaround_time)&gt;=helpsheet!$L$17,rate_vatRU_from_26,rate_vatRu_till_25),0)),2)</f>
        <v/>
      </c>
      <c r="AN1982" s="192">
        <f>AL1982-AK1982</f>
        <v/>
      </c>
      <c r="AO1982" s="76">
        <f>SUM(AY1982,Y1982:Z1982,T1982)*IF(AND(offer_incoterms="DDP",offer_sale_type&lt;&gt;"экспорт"),IF((TODAY()+offer_turnaround_time)&gt;=helpsheet!$L$17,rate_vatRU_from_26,rate_vatRu_till_25),0)</f>
        <v/>
      </c>
      <c r="AP1982" s="193">
        <f>AN1982-AO1982</f>
        <v/>
      </c>
      <c r="AQ1982" s="118">
        <f>IF(offer_sale_type="транзит",SUM(AF1982:AI1982,BA1982,BB1982),0)</f>
        <v/>
      </c>
      <c r="AR1982" s="82">
        <f>HYPERLINK("https://www.alta.ru/tnved/code/")&amp;W1982&amp;"/"</f>
        <v/>
      </c>
      <c r="AS1982" s="157" t="n"/>
      <c r="AT1982" s="162" t="n"/>
      <c r="AU1982" s="76">
        <f>IF(ISBLANK(AT1982),0,AJ1982-AT1982)</f>
        <v/>
      </c>
      <c r="AV1982" s="157" t="n"/>
      <c r="AW1982" s="75">
        <f>_xlfn.IFNA(VLOOKUP(L1982,list_vat[],3,FALSE),0)</f>
        <v/>
      </c>
      <c r="AX1982" s="76">
        <f>IFERROR(ROUND(S1982*(1+AW1982)/E1982,2),0)</f>
        <v/>
      </c>
      <c r="AY1982" s="76">
        <f>E1982*AX1982</f>
        <v/>
      </c>
      <c r="AZ1982" s="192">
        <f>S1982*(1+M1982)</f>
        <v/>
      </c>
      <c r="BA1982" s="76">
        <f>cost_fin_total*$BD1982</f>
        <v/>
      </c>
      <c r="BB1982" s="193">
        <f>credit_sales_interest*BD1982</f>
        <v/>
      </c>
      <c r="BC1982" s="102">
        <f>IFERROR(IF($I$13&gt;0,$I1982/$I$13,$S1982/$S$13),0)</f>
        <v/>
      </c>
      <c r="BD1982" s="102">
        <f>IFERROR($S1982/$S$13,0)</f>
        <v/>
      </c>
      <c r="BE1982" s="413" t="inlineStr">
        <is>
          <t>$</t>
        </is>
      </c>
    </row>
    <row r="1983" ht="12" customFormat="1" customHeight="1" s="65">
      <c r="A1983" s="43" t="n">
        <v>1968</v>
      </c>
      <c r="B1983" s="166" t="n"/>
      <c r="C1983" s="166" t="n"/>
      <c r="D1983" s="166" t="n"/>
      <c r="E1983" s="162" t="n"/>
      <c r="F1983" s="166" t="n"/>
      <c r="G1983" s="162" t="n"/>
      <c r="H1983" s="162" t="n"/>
      <c r="I1983" s="189">
        <f>E1983*G1983</f>
        <v/>
      </c>
      <c r="J1983" s="195" t="n"/>
      <c r="K1983" s="162" t="n"/>
      <c r="L1983" s="168" t="n"/>
      <c r="M1983" s="75">
        <f>_xlfn.XLOOKUP(L1983,list_vat[Страна],list_vat[Ставка НДС %],0,0)</f>
        <v/>
      </c>
      <c r="N1983" s="162">
        <f>IFERROR(IF(L1983="Китай",K1983,K1983/(1+M1983)),0)</f>
        <v/>
      </c>
      <c r="O1983" s="169" t="n"/>
      <c r="P1983" s="76">
        <f>N1983*(1-O1983)</f>
        <v/>
      </c>
      <c r="Q1983" s="162" t="n"/>
      <c r="R1983" s="162">
        <f>IF(ISBLANK(Q1983),"введи курс",P1983/Q1983)</f>
        <v/>
      </c>
      <c r="S1983" s="196">
        <f>IF(AND(ISNUMBER(E1983),ISNUMBER(Q1983)),E1983*R1983,0)</f>
        <v/>
      </c>
      <c r="T1983" s="192">
        <f>$BC1983*V$11</f>
        <v/>
      </c>
      <c r="U1983" s="76">
        <f>$BC1983*W$11</f>
        <v/>
      </c>
      <c r="V1983" s="193">
        <f>+SUM(T1983:U1983)</f>
        <v/>
      </c>
      <c r="W1983" s="191" t="n"/>
      <c r="X1983" s="170" t="n"/>
      <c r="Y1983" s="76">
        <f>ROUND(IF(offer_incoterms="DDP",X1983*(S1983*(1+AW1983)+T1983),0),2)</f>
        <v/>
      </c>
      <c r="Z1983" s="188" t="n"/>
      <c r="AA1983" s="192">
        <f>IFERROR(AB1983/E1983,0)</f>
        <v/>
      </c>
      <c r="AB1983" s="76">
        <f>ROUND(SUM(S1983,V1983,Y1983:Z1983,BA1983:BB1983),2)</f>
        <v/>
      </c>
      <c r="AC1983" s="797" t="n"/>
      <c r="AD1983" s="192">
        <f t="array" ref="AD1983">IFERROR(ROUND((_xlfn.IFS(offer_sale_type="поставка",AB1983,offer_sale_type="транзит",S1983)*(1+AC1983))/E1983,2),0)</f>
        <v/>
      </c>
      <c r="AE1983" s="76">
        <f>AD1983*E1983</f>
        <v/>
      </c>
      <c r="AF1983" s="193">
        <f t="array" ref="AF1983">IFERROR(ROUND(_xlfn.IFS(offer_sale_type="поставка",AB1983,offer_sale_type="транзит",S1983)*AC1983,2),0)</f>
        <v/>
      </c>
      <c r="AG1983" s="192">
        <f>$BD1983*VLOOKUP($AG$3,$AF$4:$AG$7,2,FALSE)</f>
        <v/>
      </c>
      <c r="AH1983" s="76">
        <f>SUM(AE1983,AG1983,AI1983)*rate_forex_risk</f>
        <v/>
      </c>
      <c r="AI1983" s="193">
        <f>IF(OR(seller_region="TR",offer_sale_type="экспорт"),0,rate_fin_comm)*SUM(AZ1983,AZ1983*AW1983,T1983)</f>
        <v/>
      </c>
      <c r="AJ1983" s="118">
        <f>IFERROR(ROUND(SUM(AB1983,AF1983:AI1983)/E1983,2),0)</f>
        <v/>
      </c>
      <c r="AK1983" s="76">
        <f>AJ1983*E1983</f>
        <v/>
      </c>
      <c r="AL1983" s="174">
        <f>ROUND(IFERROR(AM1983*E1983,0),2)</f>
        <v/>
      </c>
      <c r="AM1983" s="175">
        <f>ROUND(AJ1983*(1+IF(offer_incoterms="DDP",IF((TODAY()+offer_turnaround_time)&gt;=helpsheet!$L$17,rate_vatRU_from_26,rate_vatRu_till_25),0)),2)</f>
        <v/>
      </c>
      <c r="AN1983" s="192">
        <f>AL1983-AK1983</f>
        <v/>
      </c>
      <c r="AO1983" s="76">
        <f>SUM(AY1983,Y1983:Z1983,T1983)*IF(AND(offer_incoterms="DDP",offer_sale_type&lt;&gt;"экспорт"),IF((TODAY()+offer_turnaround_time)&gt;=helpsheet!$L$17,rate_vatRU_from_26,rate_vatRu_till_25),0)</f>
        <v/>
      </c>
      <c r="AP1983" s="193">
        <f>AN1983-AO1983</f>
        <v/>
      </c>
      <c r="AQ1983" s="118">
        <f>IF(offer_sale_type="транзит",SUM(AF1983:AI1983,BA1983,BB1983),0)</f>
        <v/>
      </c>
      <c r="AR1983" s="82">
        <f>HYPERLINK("https://www.alta.ru/tnved/code/")&amp;W1983&amp;"/"</f>
        <v/>
      </c>
      <c r="AS1983" s="157" t="n"/>
      <c r="AT1983" s="162" t="n"/>
      <c r="AU1983" s="76">
        <f>IF(ISBLANK(AT1983),0,AJ1983-AT1983)</f>
        <v/>
      </c>
      <c r="AV1983" s="157" t="n"/>
      <c r="AW1983" s="75">
        <f>_xlfn.IFNA(VLOOKUP(L1983,list_vat[],3,FALSE),0)</f>
        <v/>
      </c>
      <c r="AX1983" s="76">
        <f>IFERROR(ROUND(S1983*(1+AW1983)/E1983,2),0)</f>
        <v/>
      </c>
      <c r="AY1983" s="76">
        <f>E1983*AX1983</f>
        <v/>
      </c>
      <c r="AZ1983" s="192">
        <f>S1983*(1+M1983)</f>
        <v/>
      </c>
      <c r="BA1983" s="76">
        <f>cost_fin_total*$BD1983</f>
        <v/>
      </c>
      <c r="BB1983" s="193">
        <f>credit_sales_interest*BD1983</f>
        <v/>
      </c>
      <c r="BC1983" s="102">
        <f>IFERROR(IF($I$13&gt;0,$I1983/$I$13,$S1983/$S$13),0)</f>
        <v/>
      </c>
      <c r="BD1983" s="102">
        <f>IFERROR($S1983/$S$13,0)</f>
        <v/>
      </c>
      <c r="BE1983" s="413" t="inlineStr">
        <is>
          <t>$</t>
        </is>
      </c>
    </row>
    <row r="1984" ht="12" customFormat="1" customHeight="1" s="65">
      <c r="A1984" s="43" t="n">
        <v>1969</v>
      </c>
      <c r="B1984" s="166" t="n"/>
      <c r="C1984" s="166" t="n"/>
      <c r="D1984" s="166" t="n"/>
      <c r="E1984" s="162" t="n"/>
      <c r="F1984" s="166" t="n"/>
      <c r="G1984" s="162" t="n"/>
      <c r="H1984" s="162" t="n"/>
      <c r="I1984" s="189">
        <f>E1984*G1984</f>
        <v/>
      </c>
      <c r="J1984" s="195" t="n"/>
      <c r="K1984" s="162" t="n"/>
      <c r="L1984" s="168" t="n"/>
      <c r="M1984" s="75">
        <f>_xlfn.XLOOKUP(L1984,list_vat[Страна],list_vat[Ставка НДС %],0,0)</f>
        <v/>
      </c>
      <c r="N1984" s="162">
        <f>IFERROR(IF(L1984="Китай",K1984,K1984/(1+M1984)),0)</f>
        <v/>
      </c>
      <c r="O1984" s="169" t="n"/>
      <c r="P1984" s="76">
        <f>N1984*(1-O1984)</f>
        <v/>
      </c>
      <c r="Q1984" s="162" t="n"/>
      <c r="R1984" s="162">
        <f>IF(ISBLANK(Q1984),"введи курс",P1984/Q1984)</f>
        <v/>
      </c>
      <c r="S1984" s="196">
        <f>IF(AND(ISNUMBER(E1984),ISNUMBER(Q1984)),E1984*R1984,0)</f>
        <v/>
      </c>
      <c r="T1984" s="192">
        <f>$BC1984*V$11</f>
        <v/>
      </c>
      <c r="U1984" s="76">
        <f>$BC1984*W$11</f>
        <v/>
      </c>
      <c r="V1984" s="193">
        <f>+SUM(T1984:U1984)</f>
        <v/>
      </c>
      <c r="W1984" s="191" t="n"/>
      <c r="X1984" s="170" t="n"/>
      <c r="Y1984" s="76">
        <f>ROUND(IF(offer_incoterms="DDP",X1984*(S1984*(1+AW1984)+T1984),0),2)</f>
        <v/>
      </c>
      <c r="Z1984" s="188" t="n"/>
      <c r="AA1984" s="192">
        <f>IFERROR(AB1984/E1984,0)</f>
        <v/>
      </c>
      <c r="AB1984" s="76">
        <f>ROUND(SUM(S1984,V1984,Y1984:Z1984,BA1984:BB1984),2)</f>
        <v/>
      </c>
      <c r="AC1984" s="797" t="n"/>
      <c r="AD1984" s="192">
        <f t="array" ref="AD1984">IFERROR(ROUND((_xlfn.IFS(offer_sale_type="поставка",AB1984,offer_sale_type="транзит",S1984)*(1+AC1984))/E1984,2),0)</f>
        <v/>
      </c>
      <c r="AE1984" s="76">
        <f>AD1984*E1984</f>
        <v/>
      </c>
      <c r="AF1984" s="193">
        <f t="array" ref="AF1984">IFERROR(ROUND(_xlfn.IFS(offer_sale_type="поставка",AB1984,offer_sale_type="транзит",S1984)*AC1984,2),0)</f>
        <v/>
      </c>
      <c r="AG1984" s="192">
        <f>$BD1984*VLOOKUP($AG$3,$AF$4:$AG$7,2,FALSE)</f>
        <v/>
      </c>
      <c r="AH1984" s="76">
        <f>SUM(AE1984,AG1984,AI1984)*rate_forex_risk</f>
        <v/>
      </c>
      <c r="AI1984" s="193">
        <f>IF(OR(seller_region="TR",offer_sale_type="экспорт"),0,rate_fin_comm)*SUM(AZ1984,AZ1984*AW1984,T1984)</f>
        <v/>
      </c>
      <c r="AJ1984" s="118">
        <f>IFERROR(ROUND(SUM(AB1984,AF1984:AI1984)/E1984,2),0)</f>
        <v/>
      </c>
      <c r="AK1984" s="76">
        <f>AJ1984*E1984</f>
        <v/>
      </c>
      <c r="AL1984" s="174">
        <f>ROUND(IFERROR(AM1984*E1984,0),2)</f>
        <v/>
      </c>
      <c r="AM1984" s="175">
        <f>ROUND(AJ1984*(1+IF(offer_incoterms="DDP",IF((TODAY()+offer_turnaround_time)&gt;=helpsheet!$L$17,rate_vatRU_from_26,rate_vatRu_till_25),0)),2)</f>
        <v/>
      </c>
      <c r="AN1984" s="192">
        <f>AL1984-AK1984</f>
        <v/>
      </c>
      <c r="AO1984" s="76">
        <f>SUM(AY1984,Y1984:Z1984,T1984)*IF(AND(offer_incoterms="DDP",offer_sale_type&lt;&gt;"экспорт"),IF((TODAY()+offer_turnaround_time)&gt;=helpsheet!$L$17,rate_vatRU_from_26,rate_vatRu_till_25),0)</f>
        <v/>
      </c>
      <c r="AP1984" s="193">
        <f>AN1984-AO1984</f>
        <v/>
      </c>
      <c r="AQ1984" s="118">
        <f>IF(offer_sale_type="транзит",SUM(AF1984:AI1984,BA1984,BB1984),0)</f>
        <v/>
      </c>
      <c r="AR1984" s="82">
        <f>HYPERLINK("https://www.alta.ru/tnved/code/")&amp;W1984&amp;"/"</f>
        <v/>
      </c>
      <c r="AS1984" s="157" t="n"/>
      <c r="AT1984" s="162" t="n"/>
      <c r="AU1984" s="76">
        <f>IF(ISBLANK(AT1984),0,AJ1984-AT1984)</f>
        <v/>
      </c>
      <c r="AV1984" s="157" t="n"/>
      <c r="AW1984" s="75">
        <f>_xlfn.IFNA(VLOOKUP(L1984,list_vat[],3,FALSE),0)</f>
        <v/>
      </c>
      <c r="AX1984" s="76">
        <f>IFERROR(ROUND(S1984*(1+AW1984)/E1984,2),0)</f>
        <v/>
      </c>
      <c r="AY1984" s="76">
        <f>E1984*AX1984</f>
        <v/>
      </c>
      <c r="AZ1984" s="192">
        <f>S1984*(1+M1984)</f>
        <v/>
      </c>
      <c r="BA1984" s="76">
        <f>cost_fin_total*$BD1984</f>
        <v/>
      </c>
      <c r="BB1984" s="193">
        <f>credit_sales_interest*BD1984</f>
        <v/>
      </c>
      <c r="BC1984" s="102">
        <f>IFERROR(IF($I$13&gt;0,$I1984/$I$13,$S1984/$S$13),0)</f>
        <v/>
      </c>
      <c r="BD1984" s="102">
        <f>IFERROR($S1984/$S$13,0)</f>
        <v/>
      </c>
      <c r="BE1984" s="413" t="inlineStr">
        <is>
          <t>$</t>
        </is>
      </c>
    </row>
    <row r="1985" ht="12" customFormat="1" customHeight="1" s="65">
      <c r="A1985" s="43" t="n">
        <v>1970</v>
      </c>
      <c r="B1985" s="166" t="n"/>
      <c r="C1985" s="166" t="n"/>
      <c r="D1985" s="166" t="n"/>
      <c r="E1985" s="162" t="n"/>
      <c r="F1985" s="166" t="n"/>
      <c r="G1985" s="162" t="n"/>
      <c r="H1985" s="162" t="n"/>
      <c r="I1985" s="189">
        <f>E1985*G1985</f>
        <v/>
      </c>
      <c r="J1985" s="195" t="n"/>
      <c r="K1985" s="162" t="n"/>
      <c r="L1985" s="168" t="n"/>
      <c r="M1985" s="75">
        <f>_xlfn.XLOOKUP(L1985,list_vat[Страна],list_vat[Ставка НДС %],0,0)</f>
        <v/>
      </c>
      <c r="N1985" s="162">
        <f>IFERROR(IF(L1985="Китай",K1985,K1985/(1+M1985)),0)</f>
        <v/>
      </c>
      <c r="O1985" s="169" t="n"/>
      <c r="P1985" s="76">
        <f>N1985*(1-O1985)</f>
        <v/>
      </c>
      <c r="Q1985" s="162" t="n"/>
      <c r="R1985" s="162">
        <f>IF(ISBLANK(Q1985),"введи курс",P1985/Q1985)</f>
        <v/>
      </c>
      <c r="S1985" s="196">
        <f>IF(AND(ISNUMBER(E1985),ISNUMBER(Q1985)),E1985*R1985,0)</f>
        <v/>
      </c>
      <c r="T1985" s="192">
        <f>$BC1985*V$11</f>
        <v/>
      </c>
      <c r="U1985" s="76">
        <f>$BC1985*W$11</f>
        <v/>
      </c>
      <c r="V1985" s="193">
        <f>+SUM(T1985:U1985)</f>
        <v/>
      </c>
      <c r="W1985" s="191" t="n"/>
      <c r="X1985" s="170" t="n"/>
      <c r="Y1985" s="76">
        <f>ROUND(IF(offer_incoterms="DDP",X1985*(S1985*(1+AW1985)+T1985),0),2)</f>
        <v/>
      </c>
      <c r="Z1985" s="188" t="n"/>
      <c r="AA1985" s="192">
        <f>IFERROR(AB1985/E1985,0)</f>
        <v/>
      </c>
      <c r="AB1985" s="76">
        <f>ROUND(SUM(S1985,V1985,Y1985:Z1985,BA1985:BB1985),2)</f>
        <v/>
      </c>
      <c r="AC1985" s="797" t="n"/>
      <c r="AD1985" s="192">
        <f t="array" ref="AD1985">IFERROR(ROUND((_xlfn.IFS(offer_sale_type="поставка",AB1985,offer_sale_type="транзит",S1985)*(1+AC1985))/E1985,2),0)</f>
        <v/>
      </c>
      <c r="AE1985" s="76">
        <f>AD1985*E1985</f>
        <v/>
      </c>
      <c r="AF1985" s="193">
        <f t="array" ref="AF1985">IFERROR(ROUND(_xlfn.IFS(offer_sale_type="поставка",AB1985,offer_sale_type="транзит",S1985)*AC1985,2),0)</f>
        <v/>
      </c>
      <c r="AG1985" s="192">
        <f>$BD1985*VLOOKUP($AG$3,$AF$4:$AG$7,2,FALSE)</f>
        <v/>
      </c>
      <c r="AH1985" s="76">
        <f>SUM(AE1985,AG1985,AI1985)*rate_forex_risk</f>
        <v/>
      </c>
      <c r="AI1985" s="193">
        <f>IF(OR(seller_region="TR",offer_sale_type="экспорт"),0,rate_fin_comm)*SUM(AZ1985,AZ1985*AW1985,T1985)</f>
        <v/>
      </c>
      <c r="AJ1985" s="118">
        <f>IFERROR(ROUND(SUM(AB1985,AF1985:AI1985)/E1985,2),0)</f>
        <v/>
      </c>
      <c r="AK1985" s="76">
        <f>AJ1985*E1985</f>
        <v/>
      </c>
      <c r="AL1985" s="174">
        <f>ROUND(IFERROR(AM1985*E1985,0),2)</f>
        <v/>
      </c>
      <c r="AM1985" s="175">
        <f>ROUND(AJ1985*(1+IF(offer_incoterms="DDP",IF((TODAY()+offer_turnaround_time)&gt;=helpsheet!$L$17,rate_vatRU_from_26,rate_vatRu_till_25),0)),2)</f>
        <v/>
      </c>
      <c r="AN1985" s="192">
        <f>AL1985-AK1985</f>
        <v/>
      </c>
      <c r="AO1985" s="76">
        <f>SUM(AY1985,Y1985:Z1985,T1985)*IF(AND(offer_incoterms="DDP",offer_sale_type&lt;&gt;"экспорт"),IF((TODAY()+offer_turnaround_time)&gt;=helpsheet!$L$17,rate_vatRU_from_26,rate_vatRu_till_25),0)</f>
        <v/>
      </c>
      <c r="AP1985" s="193">
        <f>AN1985-AO1985</f>
        <v/>
      </c>
      <c r="AQ1985" s="118">
        <f>IF(offer_sale_type="транзит",SUM(AF1985:AI1985,BA1985,BB1985),0)</f>
        <v/>
      </c>
      <c r="AR1985" s="82">
        <f>HYPERLINK("https://www.alta.ru/tnved/code/")&amp;W1985&amp;"/"</f>
        <v/>
      </c>
      <c r="AS1985" s="157" t="n"/>
      <c r="AT1985" s="162" t="n"/>
      <c r="AU1985" s="76">
        <f>IF(ISBLANK(AT1985),0,AJ1985-AT1985)</f>
        <v/>
      </c>
      <c r="AV1985" s="157" t="n"/>
      <c r="AW1985" s="75">
        <f>_xlfn.IFNA(VLOOKUP(L1985,list_vat[],3,FALSE),0)</f>
        <v/>
      </c>
      <c r="AX1985" s="76">
        <f>IFERROR(ROUND(S1985*(1+AW1985)/E1985,2),0)</f>
        <v/>
      </c>
      <c r="AY1985" s="76">
        <f>E1985*AX1985</f>
        <v/>
      </c>
      <c r="AZ1985" s="192">
        <f>S1985*(1+M1985)</f>
        <v/>
      </c>
      <c r="BA1985" s="76">
        <f>cost_fin_total*$BD1985</f>
        <v/>
      </c>
      <c r="BB1985" s="193">
        <f>credit_sales_interest*BD1985</f>
        <v/>
      </c>
      <c r="BC1985" s="102">
        <f>IFERROR(IF($I$13&gt;0,$I1985/$I$13,$S1985/$S$13),0)</f>
        <v/>
      </c>
      <c r="BD1985" s="102">
        <f>IFERROR($S1985/$S$13,0)</f>
        <v/>
      </c>
      <c r="BE1985" s="413" t="inlineStr">
        <is>
          <t>$</t>
        </is>
      </c>
    </row>
    <row r="1986" ht="12" customFormat="1" customHeight="1" s="65">
      <c r="A1986" s="43" t="n">
        <v>1971</v>
      </c>
      <c r="B1986" s="166" t="n"/>
      <c r="C1986" s="166" t="n"/>
      <c r="D1986" s="166" t="n"/>
      <c r="E1986" s="162" t="n"/>
      <c r="F1986" s="166" t="n"/>
      <c r="G1986" s="162" t="n"/>
      <c r="H1986" s="162" t="n"/>
      <c r="I1986" s="189">
        <f>E1986*G1986</f>
        <v/>
      </c>
      <c r="J1986" s="195" t="n"/>
      <c r="K1986" s="162" t="n"/>
      <c r="L1986" s="168" t="n"/>
      <c r="M1986" s="75">
        <f>_xlfn.XLOOKUP(L1986,list_vat[Страна],list_vat[Ставка НДС %],0,0)</f>
        <v/>
      </c>
      <c r="N1986" s="162">
        <f>IFERROR(IF(L1986="Китай",K1986,K1986/(1+M1986)),0)</f>
        <v/>
      </c>
      <c r="O1986" s="169" t="n"/>
      <c r="P1986" s="76">
        <f>N1986*(1-O1986)</f>
        <v/>
      </c>
      <c r="Q1986" s="162" t="n"/>
      <c r="R1986" s="162">
        <f>IF(ISBLANK(Q1986),"введи курс",P1986/Q1986)</f>
        <v/>
      </c>
      <c r="S1986" s="196">
        <f>IF(AND(ISNUMBER(E1986),ISNUMBER(Q1986)),E1986*R1986,0)</f>
        <v/>
      </c>
      <c r="T1986" s="192">
        <f>$BC1986*V$11</f>
        <v/>
      </c>
      <c r="U1986" s="76">
        <f>$BC1986*W$11</f>
        <v/>
      </c>
      <c r="V1986" s="193">
        <f>+SUM(T1986:U1986)</f>
        <v/>
      </c>
      <c r="W1986" s="191" t="n"/>
      <c r="X1986" s="170" t="n"/>
      <c r="Y1986" s="76">
        <f>ROUND(IF(offer_incoterms="DDP",X1986*(S1986*(1+AW1986)+T1986),0),2)</f>
        <v/>
      </c>
      <c r="Z1986" s="188" t="n"/>
      <c r="AA1986" s="192">
        <f>IFERROR(AB1986/E1986,0)</f>
        <v/>
      </c>
      <c r="AB1986" s="76">
        <f>ROUND(SUM(S1986,V1986,Y1986:Z1986,BA1986:BB1986),2)</f>
        <v/>
      </c>
      <c r="AC1986" s="797" t="n"/>
      <c r="AD1986" s="192">
        <f t="array" ref="AD1986">IFERROR(ROUND((_xlfn.IFS(offer_sale_type="поставка",AB1986,offer_sale_type="транзит",S1986)*(1+AC1986))/E1986,2),0)</f>
        <v/>
      </c>
      <c r="AE1986" s="76">
        <f>AD1986*E1986</f>
        <v/>
      </c>
      <c r="AF1986" s="193">
        <f t="array" ref="AF1986">IFERROR(ROUND(_xlfn.IFS(offer_sale_type="поставка",AB1986,offer_sale_type="транзит",S1986)*AC1986,2),0)</f>
        <v/>
      </c>
      <c r="AG1986" s="192">
        <f>$BD1986*VLOOKUP($AG$3,$AF$4:$AG$7,2,FALSE)</f>
        <v/>
      </c>
      <c r="AH1986" s="76">
        <f>SUM(AE1986,AG1986,AI1986)*rate_forex_risk</f>
        <v/>
      </c>
      <c r="AI1986" s="193">
        <f>IF(OR(seller_region="TR",offer_sale_type="экспорт"),0,rate_fin_comm)*SUM(AZ1986,AZ1986*AW1986,T1986)</f>
        <v/>
      </c>
      <c r="AJ1986" s="118">
        <f>IFERROR(ROUND(SUM(AB1986,AF1986:AI1986)/E1986,2),0)</f>
        <v/>
      </c>
      <c r="AK1986" s="76">
        <f>AJ1986*E1986</f>
        <v/>
      </c>
      <c r="AL1986" s="174">
        <f>ROUND(IFERROR(AM1986*E1986,0),2)</f>
        <v/>
      </c>
      <c r="AM1986" s="175">
        <f>ROUND(AJ1986*(1+IF(offer_incoterms="DDP",IF((TODAY()+offer_turnaround_time)&gt;=helpsheet!$L$17,rate_vatRU_from_26,rate_vatRu_till_25),0)),2)</f>
        <v/>
      </c>
      <c r="AN1986" s="192">
        <f>AL1986-AK1986</f>
        <v/>
      </c>
      <c r="AO1986" s="76">
        <f>SUM(AY1986,Y1986:Z1986,T1986)*IF(AND(offer_incoterms="DDP",offer_sale_type&lt;&gt;"экспорт"),IF((TODAY()+offer_turnaround_time)&gt;=helpsheet!$L$17,rate_vatRU_from_26,rate_vatRu_till_25),0)</f>
        <v/>
      </c>
      <c r="AP1986" s="193">
        <f>AN1986-AO1986</f>
        <v/>
      </c>
      <c r="AQ1986" s="118">
        <f>IF(offer_sale_type="транзит",SUM(AF1986:AI1986,BA1986,BB1986),0)</f>
        <v/>
      </c>
      <c r="AR1986" s="82">
        <f>HYPERLINK("https://www.alta.ru/tnved/code/")&amp;W1986&amp;"/"</f>
        <v/>
      </c>
      <c r="AS1986" s="157" t="n"/>
      <c r="AT1986" s="162" t="n"/>
      <c r="AU1986" s="76">
        <f>IF(ISBLANK(AT1986),0,AJ1986-AT1986)</f>
        <v/>
      </c>
      <c r="AV1986" s="157" t="n"/>
      <c r="AW1986" s="75">
        <f>_xlfn.IFNA(VLOOKUP(L1986,list_vat[],3,FALSE),0)</f>
        <v/>
      </c>
      <c r="AX1986" s="76">
        <f>IFERROR(ROUND(S1986*(1+AW1986)/E1986,2),0)</f>
        <v/>
      </c>
      <c r="AY1986" s="76">
        <f>E1986*AX1986</f>
        <v/>
      </c>
      <c r="AZ1986" s="192">
        <f>S1986*(1+M1986)</f>
        <v/>
      </c>
      <c r="BA1986" s="76">
        <f>cost_fin_total*$BD1986</f>
        <v/>
      </c>
      <c r="BB1986" s="193">
        <f>credit_sales_interest*BD1986</f>
        <v/>
      </c>
      <c r="BC1986" s="102">
        <f>IFERROR(IF($I$13&gt;0,$I1986/$I$13,$S1986/$S$13),0)</f>
        <v/>
      </c>
      <c r="BD1986" s="102">
        <f>IFERROR($S1986/$S$13,0)</f>
        <v/>
      </c>
      <c r="BE1986" s="413" t="inlineStr">
        <is>
          <t>$</t>
        </is>
      </c>
    </row>
    <row r="1987" ht="12" customFormat="1" customHeight="1" s="65">
      <c r="A1987" s="43" t="n">
        <v>1972</v>
      </c>
      <c r="B1987" s="166" t="n"/>
      <c r="C1987" s="166" t="n"/>
      <c r="D1987" s="166" t="n"/>
      <c r="E1987" s="162" t="n"/>
      <c r="F1987" s="166" t="n"/>
      <c r="G1987" s="162" t="n"/>
      <c r="H1987" s="162" t="n"/>
      <c r="I1987" s="189">
        <f>E1987*G1987</f>
        <v/>
      </c>
      <c r="J1987" s="195" t="n"/>
      <c r="K1987" s="162" t="n"/>
      <c r="L1987" s="168" t="n"/>
      <c r="M1987" s="75">
        <f>_xlfn.XLOOKUP(L1987,list_vat[Страна],list_vat[Ставка НДС %],0,0)</f>
        <v/>
      </c>
      <c r="N1987" s="162">
        <f>IFERROR(IF(L1987="Китай",K1987,K1987/(1+M1987)),0)</f>
        <v/>
      </c>
      <c r="O1987" s="169" t="n"/>
      <c r="P1987" s="76">
        <f>N1987*(1-O1987)</f>
        <v/>
      </c>
      <c r="Q1987" s="162" t="n"/>
      <c r="R1987" s="162">
        <f>IF(ISBLANK(Q1987),"введи курс",P1987/Q1987)</f>
        <v/>
      </c>
      <c r="S1987" s="196">
        <f>IF(AND(ISNUMBER(E1987),ISNUMBER(Q1987)),E1987*R1987,0)</f>
        <v/>
      </c>
      <c r="T1987" s="192">
        <f>$BC1987*V$11</f>
        <v/>
      </c>
      <c r="U1987" s="76">
        <f>$BC1987*W$11</f>
        <v/>
      </c>
      <c r="V1987" s="193">
        <f>+SUM(T1987:U1987)</f>
        <v/>
      </c>
      <c r="W1987" s="191" t="n"/>
      <c r="X1987" s="170" t="n"/>
      <c r="Y1987" s="76">
        <f>ROUND(IF(offer_incoterms="DDP",X1987*(S1987*(1+AW1987)+T1987),0),2)</f>
        <v/>
      </c>
      <c r="Z1987" s="188" t="n"/>
      <c r="AA1987" s="192">
        <f>IFERROR(AB1987/E1987,0)</f>
        <v/>
      </c>
      <c r="AB1987" s="76">
        <f>ROUND(SUM(S1987,V1987,Y1987:Z1987,BA1987:BB1987),2)</f>
        <v/>
      </c>
      <c r="AC1987" s="797" t="n"/>
      <c r="AD1987" s="192">
        <f t="array" ref="AD1987">IFERROR(ROUND((_xlfn.IFS(offer_sale_type="поставка",AB1987,offer_sale_type="транзит",S1987)*(1+AC1987))/E1987,2),0)</f>
        <v/>
      </c>
      <c r="AE1987" s="76">
        <f>AD1987*E1987</f>
        <v/>
      </c>
      <c r="AF1987" s="193">
        <f t="array" ref="AF1987">IFERROR(ROUND(_xlfn.IFS(offer_sale_type="поставка",AB1987,offer_sale_type="транзит",S1987)*AC1987,2),0)</f>
        <v/>
      </c>
      <c r="AG1987" s="192">
        <f>$BD1987*VLOOKUP($AG$3,$AF$4:$AG$7,2,FALSE)</f>
        <v/>
      </c>
      <c r="AH1987" s="76">
        <f>SUM(AE1987,AG1987,AI1987)*rate_forex_risk</f>
        <v/>
      </c>
      <c r="AI1987" s="193">
        <f>IF(OR(seller_region="TR",offer_sale_type="экспорт"),0,rate_fin_comm)*SUM(AZ1987,AZ1987*AW1987,T1987)</f>
        <v/>
      </c>
      <c r="AJ1987" s="118">
        <f>IFERROR(ROUND(SUM(AB1987,AF1987:AI1987)/E1987,2),0)</f>
        <v/>
      </c>
      <c r="AK1987" s="76">
        <f>AJ1987*E1987</f>
        <v/>
      </c>
      <c r="AL1987" s="174">
        <f>ROUND(IFERROR(AM1987*E1987,0),2)</f>
        <v/>
      </c>
      <c r="AM1987" s="175">
        <f>ROUND(AJ1987*(1+IF(offer_incoterms="DDP",IF((TODAY()+offer_turnaround_time)&gt;=helpsheet!$L$17,rate_vatRU_from_26,rate_vatRu_till_25),0)),2)</f>
        <v/>
      </c>
      <c r="AN1987" s="192">
        <f>AL1987-AK1987</f>
        <v/>
      </c>
      <c r="AO1987" s="76">
        <f>SUM(AY1987,Y1987:Z1987,T1987)*IF(AND(offer_incoterms="DDP",offer_sale_type&lt;&gt;"экспорт"),IF((TODAY()+offer_turnaround_time)&gt;=helpsheet!$L$17,rate_vatRU_from_26,rate_vatRu_till_25),0)</f>
        <v/>
      </c>
      <c r="AP1987" s="193">
        <f>AN1987-AO1987</f>
        <v/>
      </c>
      <c r="AQ1987" s="118">
        <f>IF(offer_sale_type="транзит",SUM(AF1987:AI1987,BA1987,BB1987),0)</f>
        <v/>
      </c>
      <c r="AR1987" s="82">
        <f>HYPERLINK("https://www.alta.ru/tnved/code/")&amp;W1987&amp;"/"</f>
        <v/>
      </c>
      <c r="AS1987" s="157" t="n"/>
      <c r="AT1987" s="162" t="n"/>
      <c r="AU1987" s="76">
        <f>IF(ISBLANK(AT1987),0,AJ1987-AT1987)</f>
        <v/>
      </c>
      <c r="AV1987" s="157" t="n"/>
      <c r="AW1987" s="75">
        <f>_xlfn.IFNA(VLOOKUP(L1987,list_vat[],3,FALSE),0)</f>
        <v/>
      </c>
      <c r="AX1987" s="76">
        <f>IFERROR(ROUND(S1987*(1+AW1987)/E1987,2),0)</f>
        <v/>
      </c>
      <c r="AY1987" s="76">
        <f>E1987*AX1987</f>
        <v/>
      </c>
      <c r="AZ1987" s="192">
        <f>S1987*(1+M1987)</f>
        <v/>
      </c>
      <c r="BA1987" s="76">
        <f>cost_fin_total*$BD1987</f>
        <v/>
      </c>
      <c r="BB1987" s="193">
        <f>credit_sales_interest*BD1987</f>
        <v/>
      </c>
      <c r="BC1987" s="102">
        <f>IFERROR(IF($I$13&gt;0,$I1987/$I$13,$S1987/$S$13),0)</f>
        <v/>
      </c>
      <c r="BD1987" s="102">
        <f>IFERROR($S1987/$S$13,0)</f>
        <v/>
      </c>
      <c r="BE1987" s="413" t="inlineStr">
        <is>
          <t>$</t>
        </is>
      </c>
    </row>
    <row r="1988" ht="12" customFormat="1" customHeight="1" s="65">
      <c r="A1988" s="43" t="n">
        <v>1973</v>
      </c>
      <c r="B1988" s="166" t="n"/>
      <c r="C1988" s="166" t="n"/>
      <c r="D1988" s="166" t="n"/>
      <c r="E1988" s="162" t="n"/>
      <c r="F1988" s="166" t="n"/>
      <c r="G1988" s="162" t="n"/>
      <c r="H1988" s="162" t="n"/>
      <c r="I1988" s="189">
        <f>E1988*G1988</f>
        <v/>
      </c>
      <c r="J1988" s="195" t="n"/>
      <c r="K1988" s="162" t="n"/>
      <c r="L1988" s="168" t="n"/>
      <c r="M1988" s="75">
        <f>_xlfn.XLOOKUP(L1988,list_vat[Страна],list_vat[Ставка НДС %],0,0)</f>
        <v/>
      </c>
      <c r="N1988" s="162">
        <f>IFERROR(IF(L1988="Китай",K1988,K1988/(1+M1988)),0)</f>
        <v/>
      </c>
      <c r="O1988" s="169" t="n"/>
      <c r="P1988" s="76">
        <f>N1988*(1-O1988)</f>
        <v/>
      </c>
      <c r="Q1988" s="162" t="n"/>
      <c r="R1988" s="162">
        <f>IF(ISBLANK(Q1988),"введи курс",P1988/Q1988)</f>
        <v/>
      </c>
      <c r="S1988" s="196">
        <f>IF(AND(ISNUMBER(E1988),ISNUMBER(Q1988)),E1988*R1988,0)</f>
        <v/>
      </c>
      <c r="T1988" s="192">
        <f>$BC1988*V$11</f>
        <v/>
      </c>
      <c r="U1988" s="76">
        <f>$BC1988*W$11</f>
        <v/>
      </c>
      <c r="V1988" s="193">
        <f>+SUM(T1988:U1988)</f>
        <v/>
      </c>
      <c r="W1988" s="191" t="n"/>
      <c r="X1988" s="170" t="n"/>
      <c r="Y1988" s="76">
        <f>ROUND(IF(offer_incoterms="DDP",X1988*(S1988*(1+AW1988)+T1988),0),2)</f>
        <v/>
      </c>
      <c r="Z1988" s="188" t="n"/>
      <c r="AA1988" s="192">
        <f>IFERROR(AB1988/E1988,0)</f>
        <v/>
      </c>
      <c r="AB1988" s="76">
        <f>ROUND(SUM(S1988,V1988,Y1988:Z1988,BA1988:BB1988),2)</f>
        <v/>
      </c>
      <c r="AC1988" s="797" t="n"/>
      <c r="AD1988" s="192">
        <f t="array" ref="AD1988">IFERROR(ROUND((_xlfn.IFS(offer_sale_type="поставка",AB1988,offer_sale_type="транзит",S1988)*(1+AC1988))/E1988,2),0)</f>
        <v/>
      </c>
      <c r="AE1988" s="76">
        <f>AD1988*E1988</f>
        <v/>
      </c>
      <c r="AF1988" s="193">
        <f t="array" ref="AF1988">IFERROR(ROUND(_xlfn.IFS(offer_sale_type="поставка",AB1988,offer_sale_type="транзит",S1988)*AC1988,2),0)</f>
        <v/>
      </c>
      <c r="AG1988" s="192">
        <f>$BD1988*VLOOKUP($AG$3,$AF$4:$AG$7,2,FALSE)</f>
        <v/>
      </c>
      <c r="AH1988" s="76">
        <f>SUM(AE1988,AG1988,AI1988)*rate_forex_risk</f>
        <v/>
      </c>
      <c r="AI1988" s="193">
        <f>IF(OR(seller_region="TR",offer_sale_type="экспорт"),0,rate_fin_comm)*SUM(AZ1988,AZ1988*AW1988,T1988)</f>
        <v/>
      </c>
      <c r="AJ1988" s="118">
        <f>IFERROR(ROUND(SUM(AB1988,AF1988:AI1988)/E1988,2),0)</f>
        <v/>
      </c>
      <c r="AK1988" s="76">
        <f>AJ1988*E1988</f>
        <v/>
      </c>
      <c r="AL1988" s="174">
        <f>ROUND(IFERROR(AM1988*E1988,0),2)</f>
        <v/>
      </c>
      <c r="AM1988" s="175">
        <f>ROUND(AJ1988*(1+IF(offer_incoterms="DDP",IF((TODAY()+offer_turnaround_time)&gt;=helpsheet!$L$17,rate_vatRU_from_26,rate_vatRu_till_25),0)),2)</f>
        <v/>
      </c>
      <c r="AN1988" s="192">
        <f>AL1988-AK1988</f>
        <v/>
      </c>
      <c r="AO1988" s="76">
        <f>SUM(AY1988,Y1988:Z1988,T1988)*IF(AND(offer_incoterms="DDP",offer_sale_type&lt;&gt;"экспорт"),IF((TODAY()+offer_turnaround_time)&gt;=helpsheet!$L$17,rate_vatRU_from_26,rate_vatRu_till_25),0)</f>
        <v/>
      </c>
      <c r="AP1988" s="193">
        <f>AN1988-AO1988</f>
        <v/>
      </c>
      <c r="AQ1988" s="118">
        <f>IF(offer_sale_type="транзит",SUM(AF1988:AI1988,BA1988,BB1988),0)</f>
        <v/>
      </c>
      <c r="AR1988" s="82">
        <f>HYPERLINK("https://www.alta.ru/tnved/code/")&amp;W1988&amp;"/"</f>
        <v/>
      </c>
      <c r="AS1988" s="157" t="n"/>
      <c r="AT1988" s="162" t="n"/>
      <c r="AU1988" s="76">
        <f>IF(ISBLANK(AT1988),0,AJ1988-AT1988)</f>
        <v/>
      </c>
      <c r="AV1988" s="157" t="n"/>
      <c r="AW1988" s="75">
        <f>_xlfn.IFNA(VLOOKUP(L1988,list_vat[],3,FALSE),0)</f>
        <v/>
      </c>
      <c r="AX1988" s="76">
        <f>IFERROR(ROUND(S1988*(1+AW1988)/E1988,2),0)</f>
        <v/>
      </c>
      <c r="AY1988" s="76">
        <f>E1988*AX1988</f>
        <v/>
      </c>
      <c r="AZ1988" s="192">
        <f>S1988*(1+M1988)</f>
        <v/>
      </c>
      <c r="BA1988" s="76">
        <f>cost_fin_total*$BD1988</f>
        <v/>
      </c>
      <c r="BB1988" s="193">
        <f>credit_sales_interest*BD1988</f>
        <v/>
      </c>
      <c r="BC1988" s="102">
        <f>IFERROR(IF($I$13&gt;0,$I1988/$I$13,$S1988/$S$13),0)</f>
        <v/>
      </c>
      <c r="BD1988" s="102">
        <f>IFERROR($S1988/$S$13,0)</f>
        <v/>
      </c>
      <c r="BE1988" s="413" t="inlineStr">
        <is>
          <t>$</t>
        </is>
      </c>
    </row>
    <row r="1989" ht="12" customFormat="1" customHeight="1" s="65">
      <c r="A1989" s="43" t="n">
        <v>1974</v>
      </c>
      <c r="B1989" s="166" t="n"/>
      <c r="C1989" s="166" t="n"/>
      <c r="D1989" s="166" t="n"/>
      <c r="E1989" s="162" t="n"/>
      <c r="F1989" s="166" t="n"/>
      <c r="G1989" s="162" t="n"/>
      <c r="H1989" s="162" t="n"/>
      <c r="I1989" s="189">
        <f>E1989*G1989</f>
        <v/>
      </c>
      <c r="J1989" s="195" t="n"/>
      <c r="K1989" s="162" t="n"/>
      <c r="L1989" s="168" t="n"/>
      <c r="M1989" s="75">
        <f>_xlfn.XLOOKUP(L1989,list_vat[Страна],list_vat[Ставка НДС %],0,0)</f>
        <v/>
      </c>
      <c r="N1989" s="162">
        <f>IFERROR(IF(L1989="Китай",K1989,K1989/(1+M1989)),0)</f>
        <v/>
      </c>
      <c r="O1989" s="169" t="n"/>
      <c r="P1989" s="76">
        <f>N1989*(1-O1989)</f>
        <v/>
      </c>
      <c r="Q1989" s="162" t="n"/>
      <c r="R1989" s="162">
        <f>IF(ISBLANK(Q1989),"введи курс",P1989/Q1989)</f>
        <v/>
      </c>
      <c r="S1989" s="196">
        <f>IF(AND(ISNUMBER(E1989),ISNUMBER(Q1989)),E1989*R1989,0)</f>
        <v/>
      </c>
      <c r="T1989" s="192">
        <f>$BC1989*V$11</f>
        <v/>
      </c>
      <c r="U1989" s="76">
        <f>$BC1989*W$11</f>
        <v/>
      </c>
      <c r="V1989" s="193">
        <f>+SUM(T1989:U1989)</f>
        <v/>
      </c>
      <c r="W1989" s="191" t="n"/>
      <c r="X1989" s="170" t="n"/>
      <c r="Y1989" s="76">
        <f>ROUND(IF(offer_incoterms="DDP",X1989*(S1989*(1+AW1989)+T1989),0),2)</f>
        <v/>
      </c>
      <c r="Z1989" s="188" t="n"/>
      <c r="AA1989" s="192">
        <f>IFERROR(AB1989/E1989,0)</f>
        <v/>
      </c>
      <c r="AB1989" s="76">
        <f>ROUND(SUM(S1989,V1989,Y1989:Z1989,BA1989:BB1989),2)</f>
        <v/>
      </c>
      <c r="AC1989" s="797" t="n"/>
      <c r="AD1989" s="192">
        <f t="array" ref="AD1989">IFERROR(ROUND((_xlfn.IFS(offer_sale_type="поставка",AB1989,offer_sale_type="транзит",S1989)*(1+AC1989))/E1989,2),0)</f>
        <v/>
      </c>
      <c r="AE1989" s="76">
        <f>AD1989*E1989</f>
        <v/>
      </c>
      <c r="AF1989" s="193">
        <f t="array" ref="AF1989">IFERROR(ROUND(_xlfn.IFS(offer_sale_type="поставка",AB1989,offer_sale_type="транзит",S1989)*AC1989,2),0)</f>
        <v/>
      </c>
      <c r="AG1989" s="192">
        <f>$BD1989*VLOOKUP($AG$3,$AF$4:$AG$7,2,FALSE)</f>
        <v/>
      </c>
      <c r="AH1989" s="76">
        <f>SUM(AE1989,AG1989,AI1989)*rate_forex_risk</f>
        <v/>
      </c>
      <c r="AI1989" s="193">
        <f>IF(OR(seller_region="TR",offer_sale_type="экспорт"),0,rate_fin_comm)*SUM(AZ1989,AZ1989*AW1989,T1989)</f>
        <v/>
      </c>
      <c r="AJ1989" s="118">
        <f>IFERROR(ROUND(SUM(AB1989,AF1989:AI1989)/E1989,2),0)</f>
        <v/>
      </c>
      <c r="AK1989" s="76">
        <f>AJ1989*E1989</f>
        <v/>
      </c>
      <c r="AL1989" s="174">
        <f>ROUND(IFERROR(AM1989*E1989,0),2)</f>
        <v/>
      </c>
      <c r="AM1989" s="175">
        <f>ROUND(AJ1989*(1+IF(offer_incoterms="DDP",IF((TODAY()+offer_turnaround_time)&gt;=helpsheet!$L$17,rate_vatRU_from_26,rate_vatRu_till_25),0)),2)</f>
        <v/>
      </c>
      <c r="AN1989" s="192">
        <f>AL1989-AK1989</f>
        <v/>
      </c>
      <c r="AO1989" s="76">
        <f>SUM(AY1989,Y1989:Z1989,T1989)*IF(AND(offer_incoterms="DDP",offer_sale_type&lt;&gt;"экспорт"),IF((TODAY()+offer_turnaround_time)&gt;=helpsheet!$L$17,rate_vatRU_from_26,rate_vatRu_till_25),0)</f>
        <v/>
      </c>
      <c r="AP1989" s="193">
        <f>AN1989-AO1989</f>
        <v/>
      </c>
      <c r="AQ1989" s="118">
        <f>IF(offer_sale_type="транзит",SUM(AF1989:AI1989,BA1989,BB1989),0)</f>
        <v/>
      </c>
      <c r="AR1989" s="82">
        <f>HYPERLINK("https://www.alta.ru/tnved/code/")&amp;W1989&amp;"/"</f>
        <v/>
      </c>
      <c r="AS1989" s="157" t="n"/>
      <c r="AT1989" s="162" t="n"/>
      <c r="AU1989" s="76">
        <f>IF(ISBLANK(AT1989),0,AJ1989-AT1989)</f>
        <v/>
      </c>
      <c r="AV1989" s="157" t="n"/>
      <c r="AW1989" s="75">
        <f>_xlfn.IFNA(VLOOKUP(L1989,list_vat[],3,FALSE),0)</f>
        <v/>
      </c>
      <c r="AX1989" s="76">
        <f>IFERROR(ROUND(S1989*(1+AW1989)/E1989,2),0)</f>
        <v/>
      </c>
      <c r="AY1989" s="76">
        <f>E1989*AX1989</f>
        <v/>
      </c>
      <c r="AZ1989" s="192">
        <f>S1989*(1+M1989)</f>
        <v/>
      </c>
      <c r="BA1989" s="76">
        <f>cost_fin_total*$BD1989</f>
        <v/>
      </c>
      <c r="BB1989" s="193">
        <f>credit_sales_interest*BD1989</f>
        <v/>
      </c>
      <c r="BC1989" s="102">
        <f>IFERROR(IF($I$13&gt;0,$I1989/$I$13,$S1989/$S$13),0)</f>
        <v/>
      </c>
      <c r="BD1989" s="102">
        <f>IFERROR($S1989/$S$13,0)</f>
        <v/>
      </c>
      <c r="BE1989" s="413" t="inlineStr">
        <is>
          <t>$</t>
        </is>
      </c>
    </row>
    <row r="1990" ht="12" customFormat="1" customHeight="1" s="65">
      <c r="A1990" s="43" t="n">
        <v>1975</v>
      </c>
      <c r="B1990" s="166" t="n"/>
      <c r="C1990" s="166" t="n"/>
      <c r="D1990" s="166" t="n"/>
      <c r="E1990" s="162" t="n"/>
      <c r="F1990" s="166" t="n"/>
      <c r="G1990" s="162" t="n"/>
      <c r="H1990" s="162" t="n"/>
      <c r="I1990" s="189">
        <f>E1990*G1990</f>
        <v/>
      </c>
      <c r="J1990" s="195" t="n"/>
      <c r="K1990" s="162" t="n"/>
      <c r="L1990" s="168" t="n"/>
      <c r="M1990" s="75">
        <f>_xlfn.XLOOKUP(L1990,list_vat[Страна],list_vat[Ставка НДС %],0,0)</f>
        <v/>
      </c>
      <c r="N1990" s="162">
        <f>IFERROR(IF(L1990="Китай",K1990,K1990/(1+M1990)),0)</f>
        <v/>
      </c>
      <c r="O1990" s="169" t="n"/>
      <c r="P1990" s="76">
        <f>N1990*(1-O1990)</f>
        <v/>
      </c>
      <c r="Q1990" s="162" t="n"/>
      <c r="R1990" s="162">
        <f>IF(ISBLANK(Q1990),"введи курс",P1990/Q1990)</f>
        <v/>
      </c>
      <c r="S1990" s="196">
        <f>IF(AND(ISNUMBER(E1990),ISNUMBER(Q1990)),E1990*R1990,0)</f>
        <v/>
      </c>
      <c r="T1990" s="192">
        <f>$BC1990*V$11</f>
        <v/>
      </c>
      <c r="U1990" s="76">
        <f>$BC1990*W$11</f>
        <v/>
      </c>
      <c r="V1990" s="193">
        <f>+SUM(T1990:U1990)</f>
        <v/>
      </c>
      <c r="W1990" s="191" t="n"/>
      <c r="X1990" s="170" t="n"/>
      <c r="Y1990" s="76">
        <f>ROUND(IF(offer_incoterms="DDP",X1990*(S1990*(1+AW1990)+T1990),0),2)</f>
        <v/>
      </c>
      <c r="Z1990" s="188" t="n"/>
      <c r="AA1990" s="192">
        <f>IFERROR(AB1990/E1990,0)</f>
        <v/>
      </c>
      <c r="AB1990" s="76">
        <f>ROUND(SUM(S1990,V1990,Y1990:Z1990,BA1990:BB1990),2)</f>
        <v/>
      </c>
      <c r="AC1990" s="797" t="n"/>
      <c r="AD1990" s="192">
        <f t="array" ref="AD1990">IFERROR(ROUND((_xlfn.IFS(offer_sale_type="поставка",AB1990,offer_sale_type="транзит",S1990)*(1+AC1990))/E1990,2),0)</f>
        <v/>
      </c>
      <c r="AE1990" s="76">
        <f>AD1990*E1990</f>
        <v/>
      </c>
      <c r="AF1990" s="193">
        <f t="array" ref="AF1990">IFERROR(ROUND(_xlfn.IFS(offer_sale_type="поставка",AB1990,offer_sale_type="транзит",S1990)*AC1990,2),0)</f>
        <v/>
      </c>
      <c r="AG1990" s="192">
        <f>$BD1990*VLOOKUP($AG$3,$AF$4:$AG$7,2,FALSE)</f>
        <v/>
      </c>
      <c r="AH1990" s="76">
        <f>SUM(AE1990,AG1990,AI1990)*rate_forex_risk</f>
        <v/>
      </c>
      <c r="AI1990" s="193">
        <f>IF(OR(seller_region="TR",offer_sale_type="экспорт"),0,rate_fin_comm)*SUM(AZ1990,AZ1990*AW1990,T1990)</f>
        <v/>
      </c>
      <c r="AJ1990" s="118">
        <f>IFERROR(ROUND(SUM(AB1990,AF1990:AI1990)/E1990,2),0)</f>
        <v/>
      </c>
      <c r="AK1990" s="76">
        <f>AJ1990*E1990</f>
        <v/>
      </c>
      <c r="AL1990" s="174">
        <f>ROUND(IFERROR(AM1990*E1990,0),2)</f>
        <v/>
      </c>
      <c r="AM1990" s="175">
        <f>ROUND(AJ1990*(1+IF(offer_incoterms="DDP",IF((TODAY()+offer_turnaround_time)&gt;=helpsheet!$L$17,rate_vatRU_from_26,rate_vatRu_till_25),0)),2)</f>
        <v/>
      </c>
      <c r="AN1990" s="192">
        <f>AL1990-AK1990</f>
        <v/>
      </c>
      <c r="AO1990" s="76">
        <f>SUM(AY1990,Y1990:Z1990,T1990)*IF(AND(offer_incoterms="DDP",offer_sale_type&lt;&gt;"экспорт"),IF((TODAY()+offer_turnaround_time)&gt;=helpsheet!$L$17,rate_vatRU_from_26,rate_vatRu_till_25),0)</f>
        <v/>
      </c>
      <c r="AP1990" s="193">
        <f>AN1990-AO1990</f>
        <v/>
      </c>
      <c r="AQ1990" s="118">
        <f>IF(offer_sale_type="транзит",SUM(AF1990:AI1990,BA1990,BB1990),0)</f>
        <v/>
      </c>
      <c r="AR1990" s="82">
        <f>HYPERLINK("https://www.alta.ru/tnved/code/")&amp;W1990&amp;"/"</f>
        <v/>
      </c>
      <c r="AS1990" s="157" t="n"/>
      <c r="AT1990" s="162" t="n"/>
      <c r="AU1990" s="76">
        <f>IF(ISBLANK(AT1990),0,AJ1990-AT1990)</f>
        <v/>
      </c>
      <c r="AV1990" s="157" t="n"/>
      <c r="AW1990" s="75">
        <f>_xlfn.IFNA(VLOOKUP(L1990,list_vat[],3,FALSE),0)</f>
        <v/>
      </c>
      <c r="AX1990" s="76">
        <f>IFERROR(ROUND(S1990*(1+AW1990)/E1990,2),0)</f>
        <v/>
      </c>
      <c r="AY1990" s="76">
        <f>E1990*AX1990</f>
        <v/>
      </c>
      <c r="AZ1990" s="192">
        <f>S1990*(1+M1990)</f>
        <v/>
      </c>
      <c r="BA1990" s="76">
        <f>cost_fin_total*$BD1990</f>
        <v/>
      </c>
      <c r="BB1990" s="193">
        <f>credit_sales_interest*BD1990</f>
        <v/>
      </c>
      <c r="BC1990" s="102">
        <f>IFERROR(IF($I$13&gt;0,$I1990/$I$13,$S1990/$S$13),0)</f>
        <v/>
      </c>
      <c r="BD1990" s="102">
        <f>IFERROR($S1990/$S$13,0)</f>
        <v/>
      </c>
      <c r="BE1990" s="413" t="inlineStr">
        <is>
          <t>$</t>
        </is>
      </c>
    </row>
    <row r="1991" ht="12" customFormat="1" customHeight="1" s="65">
      <c r="A1991" s="43" t="n">
        <v>1976</v>
      </c>
      <c r="B1991" s="166" t="n"/>
      <c r="C1991" s="166" t="n"/>
      <c r="D1991" s="166" t="n"/>
      <c r="E1991" s="162" t="n"/>
      <c r="F1991" s="166" t="n"/>
      <c r="G1991" s="162" t="n"/>
      <c r="H1991" s="162" t="n"/>
      <c r="I1991" s="189">
        <f>E1991*G1991</f>
        <v/>
      </c>
      <c r="J1991" s="195" t="n"/>
      <c r="K1991" s="162" t="n"/>
      <c r="L1991" s="168" t="n"/>
      <c r="M1991" s="75">
        <f>_xlfn.XLOOKUP(L1991,list_vat[Страна],list_vat[Ставка НДС %],0,0)</f>
        <v/>
      </c>
      <c r="N1991" s="162">
        <f>IFERROR(IF(L1991="Китай",K1991,K1991/(1+M1991)),0)</f>
        <v/>
      </c>
      <c r="O1991" s="169" t="n"/>
      <c r="P1991" s="76">
        <f>N1991*(1-O1991)</f>
        <v/>
      </c>
      <c r="Q1991" s="162" t="n"/>
      <c r="R1991" s="162">
        <f>IF(ISBLANK(Q1991),"введи курс",P1991/Q1991)</f>
        <v/>
      </c>
      <c r="S1991" s="196">
        <f>IF(AND(ISNUMBER(E1991),ISNUMBER(Q1991)),E1991*R1991,0)</f>
        <v/>
      </c>
      <c r="T1991" s="192">
        <f>$BC1991*V$11</f>
        <v/>
      </c>
      <c r="U1991" s="76">
        <f>$BC1991*W$11</f>
        <v/>
      </c>
      <c r="V1991" s="193">
        <f>+SUM(T1991:U1991)</f>
        <v/>
      </c>
      <c r="W1991" s="191" t="n"/>
      <c r="X1991" s="170" t="n"/>
      <c r="Y1991" s="76">
        <f>ROUND(IF(offer_incoterms="DDP",X1991*(S1991*(1+AW1991)+T1991),0),2)</f>
        <v/>
      </c>
      <c r="Z1991" s="188" t="n"/>
      <c r="AA1991" s="192">
        <f>IFERROR(AB1991/E1991,0)</f>
        <v/>
      </c>
      <c r="AB1991" s="76">
        <f>ROUND(SUM(S1991,V1991,Y1991:Z1991,BA1991:BB1991),2)</f>
        <v/>
      </c>
      <c r="AC1991" s="797" t="n"/>
      <c r="AD1991" s="192">
        <f t="array" ref="AD1991">IFERROR(ROUND((_xlfn.IFS(offer_sale_type="поставка",AB1991,offer_sale_type="транзит",S1991)*(1+AC1991))/E1991,2),0)</f>
        <v/>
      </c>
      <c r="AE1991" s="76">
        <f>AD1991*E1991</f>
        <v/>
      </c>
      <c r="AF1991" s="193">
        <f t="array" ref="AF1991">IFERROR(ROUND(_xlfn.IFS(offer_sale_type="поставка",AB1991,offer_sale_type="транзит",S1991)*AC1991,2),0)</f>
        <v/>
      </c>
      <c r="AG1991" s="192">
        <f>$BD1991*VLOOKUP($AG$3,$AF$4:$AG$7,2,FALSE)</f>
        <v/>
      </c>
      <c r="AH1991" s="76">
        <f>SUM(AE1991,AG1991,AI1991)*rate_forex_risk</f>
        <v/>
      </c>
      <c r="AI1991" s="193">
        <f>IF(OR(seller_region="TR",offer_sale_type="экспорт"),0,rate_fin_comm)*SUM(AZ1991,AZ1991*AW1991,T1991)</f>
        <v/>
      </c>
      <c r="AJ1991" s="118">
        <f>IFERROR(ROUND(SUM(AB1991,AF1991:AI1991)/E1991,2),0)</f>
        <v/>
      </c>
      <c r="AK1991" s="76">
        <f>AJ1991*E1991</f>
        <v/>
      </c>
      <c r="AL1991" s="174">
        <f>ROUND(IFERROR(AM1991*E1991,0),2)</f>
        <v/>
      </c>
      <c r="AM1991" s="175">
        <f>ROUND(AJ1991*(1+IF(offer_incoterms="DDP",IF((TODAY()+offer_turnaround_time)&gt;=helpsheet!$L$17,rate_vatRU_from_26,rate_vatRu_till_25),0)),2)</f>
        <v/>
      </c>
      <c r="AN1991" s="192">
        <f>AL1991-AK1991</f>
        <v/>
      </c>
      <c r="AO1991" s="76">
        <f>SUM(AY1991,Y1991:Z1991,T1991)*IF(AND(offer_incoterms="DDP",offer_sale_type&lt;&gt;"экспорт"),IF((TODAY()+offer_turnaround_time)&gt;=helpsheet!$L$17,rate_vatRU_from_26,rate_vatRu_till_25),0)</f>
        <v/>
      </c>
      <c r="AP1991" s="193">
        <f>AN1991-AO1991</f>
        <v/>
      </c>
      <c r="AQ1991" s="118">
        <f>IF(offer_sale_type="транзит",SUM(AF1991:AI1991,BA1991,BB1991),0)</f>
        <v/>
      </c>
      <c r="AR1991" s="82">
        <f>HYPERLINK("https://www.alta.ru/tnved/code/")&amp;W1991&amp;"/"</f>
        <v/>
      </c>
      <c r="AS1991" s="157" t="n"/>
      <c r="AT1991" s="162" t="n"/>
      <c r="AU1991" s="76">
        <f>IF(ISBLANK(AT1991),0,AJ1991-AT1991)</f>
        <v/>
      </c>
      <c r="AV1991" s="157" t="n"/>
      <c r="AW1991" s="75">
        <f>_xlfn.IFNA(VLOOKUP(L1991,list_vat[],3,FALSE),0)</f>
        <v/>
      </c>
      <c r="AX1991" s="76">
        <f>IFERROR(ROUND(S1991*(1+AW1991)/E1991,2),0)</f>
        <v/>
      </c>
      <c r="AY1991" s="76">
        <f>E1991*AX1991</f>
        <v/>
      </c>
      <c r="AZ1991" s="192">
        <f>S1991*(1+M1991)</f>
        <v/>
      </c>
      <c r="BA1991" s="76">
        <f>cost_fin_total*$BD1991</f>
        <v/>
      </c>
      <c r="BB1991" s="193">
        <f>credit_sales_interest*BD1991</f>
        <v/>
      </c>
      <c r="BC1991" s="102">
        <f>IFERROR(IF($I$13&gt;0,$I1991/$I$13,$S1991/$S$13),0)</f>
        <v/>
      </c>
      <c r="BD1991" s="102">
        <f>IFERROR($S1991/$S$13,0)</f>
        <v/>
      </c>
      <c r="BE1991" s="413" t="inlineStr">
        <is>
          <t>$</t>
        </is>
      </c>
    </row>
    <row r="1992" ht="12" customFormat="1" customHeight="1" s="65">
      <c r="A1992" s="43" t="n">
        <v>1977</v>
      </c>
      <c r="B1992" s="166" t="n"/>
      <c r="C1992" s="166" t="n"/>
      <c r="D1992" s="166" t="n"/>
      <c r="E1992" s="162" t="n"/>
      <c r="F1992" s="166" t="n"/>
      <c r="G1992" s="162" t="n"/>
      <c r="H1992" s="162" t="n"/>
      <c r="I1992" s="189">
        <f>E1992*G1992</f>
        <v/>
      </c>
      <c r="J1992" s="195" t="n"/>
      <c r="K1992" s="162" t="n"/>
      <c r="L1992" s="168" t="n"/>
      <c r="M1992" s="75">
        <f>_xlfn.XLOOKUP(L1992,list_vat[Страна],list_vat[Ставка НДС %],0,0)</f>
        <v/>
      </c>
      <c r="N1992" s="162">
        <f>IFERROR(IF(L1992="Китай",K1992,K1992/(1+M1992)),0)</f>
        <v/>
      </c>
      <c r="O1992" s="169" t="n"/>
      <c r="P1992" s="76">
        <f>N1992*(1-O1992)</f>
        <v/>
      </c>
      <c r="Q1992" s="162" t="n"/>
      <c r="R1992" s="162">
        <f>IF(ISBLANK(Q1992),"введи курс",P1992/Q1992)</f>
        <v/>
      </c>
      <c r="S1992" s="196">
        <f>IF(AND(ISNUMBER(E1992),ISNUMBER(Q1992)),E1992*R1992,0)</f>
        <v/>
      </c>
      <c r="T1992" s="192">
        <f>$BC1992*V$11</f>
        <v/>
      </c>
      <c r="U1992" s="76">
        <f>$BC1992*W$11</f>
        <v/>
      </c>
      <c r="V1992" s="193">
        <f>+SUM(T1992:U1992)</f>
        <v/>
      </c>
      <c r="W1992" s="191" t="n"/>
      <c r="X1992" s="170" t="n"/>
      <c r="Y1992" s="76">
        <f>ROUND(IF(offer_incoterms="DDP",X1992*(S1992*(1+AW1992)+T1992),0),2)</f>
        <v/>
      </c>
      <c r="Z1992" s="188" t="n"/>
      <c r="AA1992" s="192">
        <f>IFERROR(AB1992/E1992,0)</f>
        <v/>
      </c>
      <c r="AB1992" s="76">
        <f>ROUND(SUM(S1992,V1992,Y1992:Z1992,BA1992:BB1992),2)</f>
        <v/>
      </c>
      <c r="AC1992" s="797" t="n"/>
      <c r="AD1992" s="192">
        <f t="array" ref="AD1992">IFERROR(ROUND((_xlfn.IFS(offer_sale_type="поставка",AB1992,offer_sale_type="транзит",S1992)*(1+AC1992))/E1992,2),0)</f>
        <v/>
      </c>
      <c r="AE1992" s="76">
        <f>AD1992*E1992</f>
        <v/>
      </c>
      <c r="AF1992" s="193">
        <f t="array" ref="AF1992">IFERROR(ROUND(_xlfn.IFS(offer_sale_type="поставка",AB1992,offer_sale_type="транзит",S1992)*AC1992,2),0)</f>
        <v/>
      </c>
      <c r="AG1992" s="192">
        <f>$BD1992*VLOOKUP($AG$3,$AF$4:$AG$7,2,FALSE)</f>
        <v/>
      </c>
      <c r="AH1992" s="76">
        <f>SUM(AE1992,AG1992,AI1992)*rate_forex_risk</f>
        <v/>
      </c>
      <c r="AI1992" s="193">
        <f>IF(OR(seller_region="TR",offer_sale_type="экспорт"),0,rate_fin_comm)*SUM(AZ1992,AZ1992*AW1992,T1992)</f>
        <v/>
      </c>
      <c r="AJ1992" s="118">
        <f>IFERROR(ROUND(SUM(AB1992,AF1992:AI1992)/E1992,2),0)</f>
        <v/>
      </c>
      <c r="AK1992" s="76">
        <f>AJ1992*E1992</f>
        <v/>
      </c>
      <c r="AL1992" s="174">
        <f>ROUND(IFERROR(AM1992*E1992,0),2)</f>
        <v/>
      </c>
      <c r="AM1992" s="175">
        <f>ROUND(AJ1992*(1+IF(offer_incoterms="DDP",IF((TODAY()+offer_turnaround_time)&gt;=helpsheet!$L$17,rate_vatRU_from_26,rate_vatRu_till_25),0)),2)</f>
        <v/>
      </c>
      <c r="AN1992" s="192">
        <f>AL1992-AK1992</f>
        <v/>
      </c>
      <c r="AO1992" s="76">
        <f>SUM(AY1992,Y1992:Z1992,T1992)*IF(AND(offer_incoterms="DDP",offer_sale_type&lt;&gt;"экспорт"),IF((TODAY()+offer_turnaround_time)&gt;=helpsheet!$L$17,rate_vatRU_from_26,rate_vatRu_till_25),0)</f>
        <v/>
      </c>
      <c r="AP1992" s="193">
        <f>AN1992-AO1992</f>
        <v/>
      </c>
      <c r="AQ1992" s="118">
        <f>IF(offer_sale_type="транзит",SUM(AF1992:AI1992,BA1992,BB1992),0)</f>
        <v/>
      </c>
      <c r="AR1992" s="82">
        <f>HYPERLINK("https://www.alta.ru/tnved/code/")&amp;W1992&amp;"/"</f>
        <v/>
      </c>
      <c r="AS1992" s="157" t="n"/>
      <c r="AT1992" s="162" t="n"/>
      <c r="AU1992" s="76">
        <f>IF(ISBLANK(AT1992),0,AJ1992-AT1992)</f>
        <v/>
      </c>
      <c r="AV1992" s="157" t="n"/>
      <c r="AW1992" s="75">
        <f>_xlfn.IFNA(VLOOKUP(L1992,list_vat[],3,FALSE),0)</f>
        <v/>
      </c>
      <c r="AX1992" s="76">
        <f>IFERROR(ROUND(S1992*(1+AW1992)/E1992,2),0)</f>
        <v/>
      </c>
      <c r="AY1992" s="76">
        <f>E1992*AX1992</f>
        <v/>
      </c>
      <c r="AZ1992" s="192">
        <f>S1992*(1+M1992)</f>
        <v/>
      </c>
      <c r="BA1992" s="76">
        <f>cost_fin_total*$BD1992</f>
        <v/>
      </c>
      <c r="BB1992" s="193">
        <f>credit_sales_interest*BD1992</f>
        <v/>
      </c>
      <c r="BC1992" s="102">
        <f>IFERROR(IF($I$13&gt;0,$I1992/$I$13,$S1992/$S$13),0)</f>
        <v/>
      </c>
      <c r="BD1992" s="102">
        <f>IFERROR($S1992/$S$13,0)</f>
        <v/>
      </c>
      <c r="BE1992" s="413" t="inlineStr">
        <is>
          <t>$</t>
        </is>
      </c>
    </row>
    <row r="1993" ht="12" customFormat="1" customHeight="1" s="65">
      <c r="A1993" s="43" t="n">
        <v>1978</v>
      </c>
      <c r="B1993" s="166" t="n"/>
      <c r="C1993" s="166" t="n"/>
      <c r="D1993" s="166" t="n"/>
      <c r="E1993" s="162" t="n"/>
      <c r="F1993" s="166" t="n"/>
      <c r="G1993" s="162" t="n"/>
      <c r="H1993" s="162" t="n"/>
      <c r="I1993" s="189">
        <f>E1993*G1993</f>
        <v/>
      </c>
      <c r="J1993" s="195" t="n"/>
      <c r="K1993" s="162" t="n"/>
      <c r="L1993" s="168" t="n"/>
      <c r="M1993" s="75">
        <f>_xlfn.XLOOKUP(L1993,list_vat[Страна],list_vat[Ставка НДС %],0,0)</f>
        <v/>
      </c>
      <c r="N1993" s="162">
        <f>IFERROR(IF(L1993="Китай",K1993,K1993/(1+M1993)),0)</f>
        <v/>
      </c>
      <c r="O1993" s="169" t="n"/>
      <c r="P1993" s="76">
        <f>N1993*(1-O1993)</f>
        <v/>
      </c>
      <c r="Q1993" s="162" t="n"/>
      <c r="R1993" s="162">
        <f>IF(ISBLANK(Q1993),"введи курс",P1993/Q1993)</f>
        <v/>
      </c>
      <c r="S1993" s="196">
        <f>IF(AND(ISNUMBER(E1993),ISNUMBER(Q1993)),E1993*R1993,0)</f>
        <v/>
      </c>
      <c r="T1993" s="192">
        <f>$BC1993*V$11</f>
        <v/>
      </c>
      <c r="U1993" s="76">
        <f>$BC1993*W$11</f>
        <v/>
      </c>
      <c r="V1993" s="193">
        <f>+SUM(T1993:U1993)</f>
        <v/>
      </c>
      <c r="W1993" s="191" t="n"/>
      <c r="X1993" s="170" t="n"/>
      <c r="Y1993" s="76">
        <f>ROUND(IF(offer_incoterms="DDP",X1993*(S1993*(1+AW1993)+T1993),0),2)</f>
        <v/>
      </c>
      <c r="Z1993" s="188" t="n"/>
      <c r="AA1993" s="192">
        <f>IFERROR(AB1993/E1993,0)</f>
        <v/>
      </c>
      <c r="AB1993" s="76">
        <f>ROUND(SUM(S1993,V1993,Y1993:Z1993,BA1993:BB1993),2)</f>
        <v/>
      </c>
      <c r="AC1993" s="797" t="n"/>
      <c r="AD1993" s="192">
        <f t="array" ref="AD1993">IFERROR(ROUND((_xlfn.IFS(offer_sale_type="поставка",AB1993,offer_sale_type="транзит",S1993)*(1+AC1993))/E1993,2),0)</f>
        <v/>
      </c>
      <c r="AE1993" s="76">
        <f>AD1993*E1993</f>
        <v/>
      </c>
      <c r="AF1993" s="193">
        <f t="array" ref="AF1993">IFERROR(ROUND(_xlfn.IFS(offer_sale_type="поставка",AB1993,offer_sale_type="транзит",S1993)*AC1993,2),0)</f>
        <v/>
      </c>
      <c r="AG1993" s="192">
        <f>$BD1993*VLOOKUP($AG$3,$AF$4:$AG$7,2,FALSE)</f>
        <v/>
      </c>
      <c r="AH1993" s="76">
        <f>SUM(AE1993,AG1993,AI1993)*rate_forex_risk</f>
        <v/>
      </c>
      <c r="AI1993" s="193">
        <f>IF(OR(seller_region="TR",offer_sale_type="экспорт"),0,rate_fin_comm)*SUM(AZ1993,AZ1993*AW1993,T1993)</f>
        <v/>
      </c>
      <c r="AJ1993" s="118">
        <f>IFERROR(ROUND(SUM(AB1993,AF1993:AI1993)/E1993,2),0)</f>
        <v/>
      </c>
      <c r="AK1993" s="76">
        <f>AJ1993*E1993</f>
        <v/>
      </c>
      <c r="AL1993" s="174">
        <f>ROUND(IFERROR(AM1993*E1993,0),2)</f>
        <v/>
      </c>
      <c r="AM1993" s="175">
        <f>ROUND(AJ1993*(1+IF(offer_incoterms="DDP",IF((TODAY()+offer_turnaround_time)&gt;=helpsheet!$L$17,rate_vatRU_from_26,rate_vatRu_till_25),0)),2)</f>
        <v/>
      </c>
      <c r="AN1993" s="192">
        <f>AL1993-AK1993</f>
        <v/>
      </c>
      <c r="AO1993" s="76">
        <f>SUM(AY1993,Y1993:Z1993,T1993)*IF(AND(offer_incoterms="DDP",offer_sale_type&lt;&gt;"экспорт"),IF((TODAY()+offer_turnaround_time)&gt;=helpsheet!$L$17,rate_vatRU_from_26,rate_vatRu_till_25),0)</f>
        <v/>
      </c>
      <c r="AP1993" s="193">
        <f>AN1993-AO1993</f>
        <v/>
      </c>
      <c r="AQ1993" s="118">
        <f>IF(offer_sale_type="транзит",SUM(AF1993:AI1993,BA1993,BB1993),0)</f>
        <v/>
      </c>
      <c r="AR1993" s="82">
        <f>HYPERLINK("https://www.alta.ru/tnved/code/")&amp;W1993&amp;"/"</f>
        <v/>
      </c>
      <c r="AS1993" s="157" t="n"/>
      <c r="AT1993" s="162" t="n"/>
      <c r="AU1993" s="76">
        <f>IF(ISBLANK(AT1993),0,AJ1993-AT1993)</f>
        <v/>
      </c>
      <c r="AV1993" s="157" t="n"/>
      <c r="AW1993" s="75">
        <f>_xlfn.IFNA(VLOOKUP(L1993,list_vat[],3,FALSE),0)</f>
        <v/>
      </c>
      <c r="AX1993" s="76">
        <f>IFERROR(ROUND(S1993*(1+AW1993)/E1993,2),0)</f>
        <v/>
      </c>
      <c r="AY1993" s="76">
        <f>E1993*AX1993</f>
        <v/>
      </c>
      <c r="AZ1993" s="192">
        <f>S1993*(1+M1993)</f>
        <v/>
      </c>
      <c r="BA1993" s="76">
        <f>cost_fin_total*$BD1993</f>
        <v/>
      </c>
      <c r="BB1993" s="193">
        <f>credit_sales_interest*BD1993</f>
        <v/>
      </c>
      <c r="BC1993" s="102">
        <f>IFERROR(IF($I$13&gt;0,$I1993/$I$13,$S1993/$S$13),0)</f>
        <v/>
      </c>
      <c r="BD1993" s="102">
        <f>IFERROR($S1993/$S$13,0)</f>
        <v/>
      </c>
      <c r="BE1993" s="413" t="inlineStr">
        <is>
          <t>$</t>
        </is>
      </c>
    </row>
    <row r="1994" ht="12" customFormat="1" customHeight="1" s="65">
      <c r="A1994" s="43" t="n">
        <v>1979</v>
      </c>
      <c r="B1994" s="166" t="n"/>
      <c r="C1994" s="166" t="n"/>
      <c r="D1994" s="166" t="n"/>
      <c r="E1994" s="162" t="n"/>
      <c r="F1994" s="166" t="n"/>
      <c r="G1994" s="162" t="n"/>
      <c r="H1994" s="162" t="n"/>
      <c r="I1994" s="189">
        <f>E1994*G1994</f>
        <v/>
      </c>
      <c r="J1994" s="195" t="n"/>
      <c r="K1994" s="162" t="n"/>
      <c r="L1994" s="168" t="n"/>
      <c r="M1994" s="75">
        <f>_xlfn.XLOOKUP(L1994,list_vat[Страна],list_vat[Ставка НДС %],0,0)</f>
        <v/>
      </c>
      <c r="N1994" s="162">
        <f>IFERROR(IF(L1994="Китай",K1994,K1994/(1+M1994)),0)</f>
        <v/>
      </c>
      <c r="O1994" s="169" t="n"/>
      <c r="P1994" s="76">
        <f>N1994*(1-O1994)</f>
        <v/>
      </c>
      <c r="Q1994" s="162" t="n"/>
      <c r="R1994" s="162">
        <f>IF(ISBLANK(Q1994),"введи курс",P1994/Q1994)</f>
        <v/>
      </c>
      <c r="S1994" s="196">
        <f>IF(AND(ISNUMBER(E1994),ISNUMBER(Q1994)),E1994*R1994,0)</f>
        <v/>
      </c>
      <c r="T1994" s="192">
        <f>$BC1994*V$11</f>
        <v/>
      </c>
      <c r="U1994" s="76">
        <f>$BC1994*W$11</f>
        <v/>
      </c>
      <c r="V1994" s="193">
        <f>+SUM(T1994:U1994)</f>
        <v/>
      </c>
      <c r="W1994" s="191" t="n"/>
      <c r="X1994" s="170" t="n"/>
      <c r="Y1994" s="76">
        <f>ROUND(IF(offer_incoterms="DDP",X1994*(S1994*(1+AW1994)+T1994),0),2)</f>
        <v/>
      </c>
      <c r="Z1994" s="188" t="n"/>
      <c r="AA1994" s="192">
        <f>IFERROR(AB1994/E1994,0)</f>
        <v/>
      </c>
      <c r="AB1994" s="76">
        <f>ROUND(SUM(S1994,V1994,Y1994:Z1994,BA1994:BB1994),2)</f>
        <v/>
      </c>
      <c r="AC1994" s="797" t="n"/>
      <c r="AD1994" s="192">
        <f t="array" ref="AD1994">IFERROR(ROUND((_xlfn.IFS(offer_sale_type="поставка",AB1994,offer_sale_type="транзит",S1994)*(1+AC1994))/E1994,2),0)</f>
        <v/>
      </c>
      <c r="AE1994" s="76">
        <f>AD1994*E1994</f>
        <v/>
      </c>
      <c r="AF1994" s="193">
        <f t="array" ref="AF1994">IFERROR(ROUND(_xlfn.IFS(offer_sale_type="поставка",AB1994,offer_sale_type="транзит",S1994)*AC1994,2),0)</f>
        <v/>
      </c>
      <c r="AG1994" s="192">
        <f>$BD1994*VLOOKUP($AG$3,$AF$4:$AG$7,2,FALSE)</f>
        <v/>
      </c>
      <c r="AH1994" s="76">
        <f>SUM(AE1994,AG1994,AI1994)*rate_forex_risk</f>
        <v/>
      </c>
      <c r="AI1994" s="193">
        <f>IF(OR(seller_region="TR",offer_sale_type="экспорт"),0,rate_fin_comm)*SUM(AZ1994,AZ1994*AW1994,T1994)</f>
        <v/>
      </c>
      <c r="AJ1994" s="118">
        <f>IFERROR(ROUND(SUM(AB1994,AF1994:AI1994)/E1994,2),0)</f>
        <v/>
      </c>
      <c r="AK1994" s="76">
        <f>AJ1994*E1994</f>
        <v/>
      </c>
      <c r="AL1994" s="174">
        <f>ROUND(IFERROR(AM1994*E1994,0),2)</f>
        <v/>
      </c>
      <c r="AM1994" s="175">
        <f>ROUND(AJ1994*(1+IF(offer_incoterms="DDP",IF((TODAY()+offer_turnaround_time)&gt;=helpsheet!$L$17,rate_vatRU_from_26,rate_vatRu_till_25),0)),2)</f>
        <v/>
      </c>
      <c r="AN1994" s="192">
        <f>AL1994-AK1994</f>
        <v/>
      </c>
      <c r="AO1994" s="76">
        <f>SUM(AY1994,Y1994:Z1994,T1994)*IF(AND(offer_incoterms="DDP",offer_sale_type&lt;&gt;"экспорт"),IF((TODAY()+offer_turnaround_time)&gt;=helpsheet!$L$17,rate_vatRU_from_26,rate_vatRu_till_25),0)</f>
        <v/>
      </c>
      <c r="AP1994" s="193">
        <f>AN1994-AO1994</f>
        <v/>
      </c>
      <c r="AQ1994" s="118">
        <f>IF(offer_sale_type="транзит",SUM(AF1994:AI1994,BA1994,BB1994),0)</f>
        <v/>
      </c>
      <c r="AR1994" s="82">
        <f>HYPERLINK("https://www.alta.ru/tnved/code/")&amp;W1994&amp;"/"</f>
        <v/>
      </c>
      <c r="AS1994" s="157" t="n"/>
      <c r="AT1994" s="162" t="n"/>
      <c r="AU1994" s="76">
        <f>IF(ISBLANK(AT1994),0,AJ1994-AT1994)</f>
        <v/>
      </c>
      <c r="AV1994" s="157" t="n"/>
      <c r="AW1994" s="75">
        <f>_xlfn.IFNA(VLOOKUP(L1994,list_vat[],3,FALSE),0)</f>
        <v/>
      </c>
      <c r="AX1994" s="76">
        <f>IFERROR(ROUND(S1994*(1+AW1994)/E1994,2),0)</f>
        <v/>
      </c>
      <c r="AY1994" s="76">
        <f>E1994*AX1994</f>
        <v/>
      </c>
      <c r="AZ1994" s="192">
        <f>S1994*(1+M1994)</f>
        <v/>
      </c>
      <c r="BA1994" s="76">
        <f>cost_fin_total*$BD1994</f>
        <v/>
      </c>
      <c r="BB1994" s="193">
        <f>credit_sales_interest*BD1994</f>
        <v/>
      </c>
      <c r="BC1994" s="102">
        <f>IFERROR(IF($I$13&gt;0,$I1994/$I$13,$S1994/$S$13),0)</f>
        <v/>
      </c>
      <c r="BD1994" s="102">
        <f>IFERROR($S1994/$S$13,0)</f>
        <v/>
      </c>
      <c r="BE1994" s="413" t="inlineStr">
        <is>
          <t>$</t>
        </is>
      </c>
    </row>
    <row r="1995" ht="12" customFormat="1" customHeight="1" s="65">
      <c r="A1995" s="43" t="n">
        <v>1980</v>
      </c>
      <c r="B1995" s="166" t="n"/>
      <c r="C1995" s="166" t="n"/>
      <c r="D1995" s="166" t="n"/>
      <c r="E1995" s="162" t="n"/>
      <c r="F1995" s="166" t="n"/>
      <c r="G1995" s="162" t="n"/>
      <c r="H1995" s="162" t="n"/>
      <c r="I1995" s="189">
        <f>E1995*G1995</f>
        <v/>
      </c>
      <c r="J1995" s="195" t="n"/>
      <c r="K1995" s="162" t="n"/>
      <c r="L1995" s="168" t="n"/>
      <c r="M1995" s="75">
        <f>_xlfn.XLOOKUP(L1995,list_vat[Страна],list_vat[Ставка НДС %],0,0)</f>
        <v/>
      </c>
      <c r="N1995" s="162">
        <f>IFERROR(IF(L1995="Китай",K1995,K1995/(1+M1995)),0)</f>
        <v/>
      </c>
      <c r="O1995" s="169" t="n"/>
      <c r="P1995" s="76">
        <f>N1995*(1-O1995)</f>
        <v/>
      </c>
      <c r="Q1995" s="162" t="n"/>
      <c r="R1995" s="162">
        <f>IF(ISBLANK(Q1995),"введи курс",P1995/Q1995)</f>
        <v/>
      </c>
      <c r="S1995" s="196">
        <f>IF(AND(ISNUMBER(E1995),ISNUMBER(Q1995)),E1995*R1995,0)</f>
        <v/>
      </c>
      <c r="T1995" s="192">
        <f>$BC1995*V$11</f>
        <v/>
      </c>
      <c r="U1995" s="76">
        <f>$BC1995*W$11</f>
        <v/>
      </c>
      <c r="V1995" s="193">
        <f>+SUM(T1995:U1995)</f>
        <v/>
      </c>
      <c r="W1995" s="191" t="n"/>
      <c r="X1995" s="170" t="n"/>
      <c r="Y1995" s="76">
        <f>ROUND(IF(offer_incoterms="DDP",X1995*(S1995*(1+AW1995)+T1995),0),2)</f>
        <v/>
      </c>
      <c r="Z1995" s="188" t="n"/>
      <c r="AA1995" s="192">
        <f>IFERROR(AB1995/E1995,0)</f>
        <v/>
      </c>
      <c r="AB1995" s="76">
        <f>ROUND(SUM(S1995,V1995,Y1995:Z1995,BA1995:BB1995),2)</f>
        <v/>
      </c>
      <c r="AC1995" s="797" t="n"/>
      <c r="AD1995" s="192">
        <f t="array" ref="AD1995">IFERROR(ROUND((_xlfn.IFS(offer_sale_type="поставка",AB1995,offer_sale_type="транзит",S1995)*(1+AC1995))/E1995,2),0)</f>
        <v/>
      </c>
      <c r="AE1995" s="76">
        <f>AD1995*E1995</f>
        <v/>
      </c>
      <c r="AF1995" s="193">
        <f t="array" ref="AF1995">IFERROR(ROUND(_xlfn.IFS(offer_sale_type="поставка",AB1995,offer_sale_type="транзит",S1995)*AC1995,2),0)</f>
        <v/>
      </c>
      <c r="AG1995" s="192">
        <f>$BD1995*VLOOKUP($AG$3,$AF$4:$AG$7,2,FALSE)</f>
        <v/>
      </c>
      <c r="AH1995" s="76">
        <f>SUM(AE1995,AG1995,AI1995)*rate_forex_risk</f>
        <v/>
      </c>
      <c r="AI1995" s="193">
        <f>IF(OR(seller_region="TR",offer_sale_type="экспорт"),0,rate_fin_comm)*SUM(AZ1995,AZ1995*AW1995,T1995)</f>
        <v/>
      </c>
      <c r="AJ1995" s="118">
        <f>IFERROR(ROUND(SUM(AB1995,AF1995:AI1995)/E1995,2),0)</f>
        <v/>
      </c>
      <c r="AK1995" s="76">
        <f>AJ1995*E1995</f>
        <v/>
      </c>
      <c r="AL1995" s="174">
        <f>ROUND(IFERROR(AM1995*E1995,0),2)</f>
        <v/>
      </c>
      <c r="AM1995" s="175">
        <f>ROUND(AJ1995*(1+IF(offer_incoterms="DDP",IF((TODAY()+offer_turnaround_time)&gt;=helpsheet!$L$17,rate_vatRU_from_26,rate_vatRu_till_25),0)),2)</f>
        <v/>
      </c>
      <c r="AN1995" s="192">
        <f>AL1995-AK1995</f>
        <v/>
      </c>
      <c r="AO1995" s="76">
        <f>SUM(AY1995,Y1995:Z1995,T1995)*IF(AND(offer_incoterms="DDP",offer_sale_type&lt;&gt;"экспорт"),IF((TODAY()+offer_turnaround_time)&gt;=helpsheet!$L$17,rate_vatRU_from_26,rate_vatRu_till_25),0)</f>
        <v/>
      </c>
      <c r="AP1995" s="193">
        <f>AN1995-AO1995</f>
        <v/>
      </c>
      <c r="AQ1995" s="118">
        <f>IF(offer_sale_type="транзит",SUM(AF1995:AI1995,BA1995,BB1995),0)</f>
        <v/>
      </c>
      <c r="AR1995" s="82">
        <f>HYPERLINK("https://www.alta.ru/tnved/code/")&amp;W1995&amp;"/"</f>
        <v/>
      </c>
      <c r="AS1995" s="157" t="n"/>
      <c r="AT1995" s="162" t="n"/>
      <c r="AU1995" s="76">
        <f>IF(ISBLANK(AT1995),0,AJ1995-AT1995)</f>
        <v/>
      </c>
      <c r="AV1995" s="157" t="n"/>
      <c r="AW1995" s="75">
        <f>_xlfn.IFNA(VLOOKUP(L1995,list_vat[],3,FALSE),0)</f>
        <v/>
      </c>
      <c r="AX1995" s="76">
        <f>IFERROR(ROUND(S1995*(1+AW1995)/E1995,2),0)</f>
        <v/>
      </c>
      <c r="AY1995" s="76">
        <f>E1995*AX1995</f>
        <v/>
      </c>
      <c r="AZ1995" s="192">
        <f>S1995*(1+M1995)</f>
        <v/>
      </c>
      <c r="BA1995" s="76">
        <f>cost_fin_total*$BD1995</f>
        <v/>
      </c>
      <c r="BB1995" s="193">
        <f>credit_sales_interest*BD1995</f>
        <v/>
      </c>
      <c r="BC1995" s="102">
        <f>IFERROR(IF($I$13&gt;0,$I1995/$I$13,$S1995/$S$13),0)</f>
        <v/>
      </c>
      <c r="BD1995" s="102">
        <f>IFERROR($S1995/$S$13,0)</f>
        <v/>
      </c>
      <c r="BE1995" s="413" t="inlineStr">
        <is>
          <t>$</t>
        </is>
      </c>
    </row>
    <row r="1996" ht="12" customFormat="1" customHeight="1" s="65">
      <c r="A1996" s="43" t="n">
        <v>1981</v>
      </c>
      <c r="B1996" s="166" t="n"/>
      <c r="C1996" s="166" t="n"/>
      <c r="D1996" s="166" t="n"/>
      <c r="E1996" s="162" t="n"/>
      <c r="F1996" s="166" t="n"/>
      <c r="G1996" s="162" t="n"/>
      <c r="H1996" s="162" t="n"/>
      <c r="I1996" s="189">
        <f>E1996*G1996</f>
        <v/>
      </c>
      <c r="J1996" s="195" t="n"/>
      <c r="K1996" s="162" t="n"/>
      <c r="L1996" s="168" t="n"/>
      <c r="M1996" s="75">
        <f>_xlfn.XLOOKUP(L1996,list_vat[Страна],list_vat[Ставка НДС %],0,0)</f>
        <v/>
      </c>
      <c r="N1996" s="162">
        <f>IFERROR(IF(L1996="Китай",K1996,K1996/(1+M1996)),0)</f>
        <v/>
      </c>
      <c r="O1996" s="169" t="n"/>
      <c r="P1996" s="76">
        <f>N1996*(1-O1996)</f>
        <v/>
      </c>
      <c r="Q1996" s="162" t="n"/>
      <c r="R1996" s="162">
        <f>IF(ISBLANK(Q1996),"введи курс",P1996/Q1996)</f>
        <v/>
      </c>
      <c r="S1996" s="196">
        <f>IF(AND(ISNUMBER(E1996),ISNUMBER(Q1996)),E1996*R1996,0)</f>
        <v/>
      </c>
      <c r="T1996" s="192">
        <f>$BC1996*V$11</f>
        <v/>
      </c>
      <c r="U1996" s="76">
        <f>$BC1996*W$11</f>
        <v/>
      </c>
      <c r="V1996" s="193">
        <f>+SUM(T1996:U1996)</f>
        <v/>
      </c>
      <c r="W1996" s="191" t="n"/>
      <c r="X1996" s="170" t="n"/>
      <c r="Y1996" s="76">
        <f>ROUND(IF(offer_incoterms="DDP",X1996*(S1996*(1+AW1996)+T1996),0),2)</f>
        <v/>
      </c>
      <c r="Z1996" s="188" t="n"/>
      <c r="AA1996" s="192">
        <f>IFERROR(AB1996/E1996,0)</f>
        <v/>
      </c>
      <c r="AB1996" s="76">
        <f>ROUND(SUM(S1996,V1996,Y1996:Z1996,BA1996:BB1996),2)</f>
        <v/>
      </c>
      <c r="AC1996" s="797" t="n"/>
      <c r="AD1996" s="192">
        <f t="array" ref="AD1996">IFERROR(ROUND((_xlfn.IFS(offer_sale_type="поставка",AB1996,offer_sale_type="транзит",S1996)*(1+AC1996))/E1996,2),0)</f>
        <v/>
      </c>
      <c r="AE1996" s="76">
        <f>AD1996*E1996</f>
        <v/>
      </c>
      <c r="AF1996" s="193">
        <f t="array" ref="AF1996">IFERROR(ROUND(_xlfn.IFS(offer_sale_type="поставка",AB1996,offer_sale_type="транзит",S1996)*AC1996,2),0)</f>
        <v/>
      </c>
      <c r="AG1996" s="192">
        <f>$BD1996*VLOOKUP($AG$3,$AF$4:$AG$7,2,FALSE)</f>
        <v/>
      </c>
      <c r="AH1996" s="76">
        <f>SUM(AE1996,AG1996,AI1996)*rate_forex_risk</f>
        <v/>
      </c>
      <c r="AI1996" s="193">
        <f>IF(OR(seller_region="TR",offer_sale_type="экспорт"),0,rate_fin_comm)*SUM(AZ1996,AZ1996*AW1996,T1996)</f>
        <v/>
      </c>
      <c r="AJ1996" s="118">
        <f>IFERROR(ROUND(SUM(AB1996,AF1996:AI1996)/E1996,2),0)</f>
        <v/>
      </c>
      <c r="AK1996" s="76">
        <f>AJ1996*E1996</f>
        <v/>
      </c>
      <c r="AL1996" s="174">
        <f>ROUND(IFERROR(AM1996*E1996,0),2)</f>
        <v/>
      </c>
      <c r="AM1996" s="175">
        <f>ROUND(AJ1996*(1+IF(offer_incoterms="DDP",IF((TODAY()+offer_turnaround_time)&gt;=helpsheet!$L$17,rate_vatRU_from_26,rate_vatRu_till_25),0)),2)</f>
        <v/>
      </c>
      <c r="AN1996" s="192">
        <f>AL1996-AK1996</f>
        <v/>
      </c>
      <c r="AO1996" s="76">
        <f>SUM(AY1996,Y1996:Z1996,T1996)*IF(AND(offer_incoterms="DDP",offer_sale_type&lt;&gt;"экспорт"),IF((TODAY()+offer_turnaround_time)&gt;=helpsheet!$L$17,rate_vatRU_from_26,rate_vatRu_till_25),0)</f>
        <v/>
      </c>
      <c r="AP1996" s="193">
        <f>AN1996-AO1996</f>
        <v/>
      </c>
      <c r="AQ1996" s="118">
        <f>IF(offer_sale_type="транзит",SUM(AF1996:AI1996,BA1996,BB1996),0)</f>
        <v/>
      </c>
      <c r="AR1996" s="82">
        <f>HYPERLINK("https://www.alta.ru/tnved/code/")&amp;W1996&amp;"/"</f>
        <v/>
      </c>
      <c r="AS1996" s="157" t="n"/>
      <c r="AT1996" s="162" t="n"/>
      <c r="AU1996" s="76">
        <f>IF(ISBLANK(AT1996),0,AJ1996-AT1996)</f>
        <v/>
      </c>
      <c r="AV1996" s="157" t="n"/>
      <c r="AW1996" s="75">
        <f>_xlfn.IFNA(VLOOKUP(L1996,list_vat[],3,FALSE),0)</f>
        <v/>
      </c>
      <c r="AX1996" s="76">
        <f>IFERROR(ROUND(S1996*(1+AW1996)/E1996,2),0)</f>
        <v/>
      </c>
      <c r="AY1996" s="76">
        <f>E1996*AX1996</f>
        <v/>
      </c>
      <c r="AZ1996" s="192">
        <f>S1996*(1+M1996)</f>
        <v/>
      </c>
      <c r="BA1996" s="76">
        <f>cost_fin_total*$BD1996</f>
        <v/>
      </c>
      <c r="BB1996" s="193">
        <f>credit_sales_interest*BD1996</f>
        <v/>
      </c>
      <c r="BC1996" s="102">
        <f>IFERROR(IF($I$13&gt;0,$I1996/$I$13,$S1996/$S$13),0)</f>
        <v/>
      </c>
      <c r="BD1996" s="102">
        <f>IFERROR($S1996/$S$13,0)</f>
        <v/>
      </c>
      <c r="BE1996" s="413" t="inlineStr">
        <is>
          <t>$</t>
        </is>
      </c>
    </row>
    <row r="1997" ht="12" customFormat="1" customHeight="1" s="65">
      <c r="A1997" s="43" t="n">
        <v>1982</v>
      </c>
      <c r="B1997" s="166" t="n"/>
      <c r="C1997" s="166" t="n"/>
      <c r="D1997" s="166" t="n"/>
      <c r="E1997" s="162" t="n"/>
      <c r="F1997" s="166" t="n"/>
      <c r="G1997" s="162" t="n"/>
      <c r="H1997" s="162" t="n"/>
      <c r="I1997" s="189">
        <f>E1997*G1997</f>
        <v/>
      </c>
      <c r="J1997" s="195" t="n"/>
      <c r="K1997" s="162" t="n"/>
      <c r="L1997" s="168" t="n"/>
      <c r="M1997" s="75">
        <f>_xlfn.XLOOKUP(L1997,list_vat[Страна],list_vat[Ставка НДС %],0,0)</f>
        <v/>
      </c>
      <c r="N1997" s="162">
        <f>IFERROR(IF(L1997="Китай",K1997,K1997/(1+M1997)),0)</f>
        <v/>
      </c>
      <c r="O1997" s="169" t="n"/>
      <c r="P1997" s="76">
        <f>N1997*(1-O1997)</f>
        <v/>
      </c>
      <c r="Q1997" s="162" t="n"/>
      <c r="R1997" s="162">
        <f>IF(ISBLANK(Q1997),"введи курс",P1997/Q1997)</f>
        <v/>
      </c>
      <c r="S1997" s="196">
        <f>IF(AND(ISNUMBER(E1997),ISNUMBER(Q1997)),E1997*R1997,0)</f>
        <v/>
      </c>
      <c r="T1997" s="192">
        <f>$BC1997*V$11</f>
        <v/>
      </c>
      <c r="U1997" s="76">
        <f>$BC1997*W$11</f>
        <v/>
      </c>
      <c r="V1997" s="193">
        <f>+SUM(T1997:U1997)</f>
        <v/>
      </c>
      <c r="W1997" s="191" t="n"/>
      <c r="X1997" s="170" t="n"/>
      <c r="Y1997" s="76">
        <f>ROUND(IF(offer_incoterms="DDP",X1997*(S1997*(1+AW1997)+T1997),0),2)</f>
        <v/>
      </c>
      <c r="Z1997" s="188" t="n"/>
      <c r="AA1997" s="192">
        <f>IFERROR(AB1997/E1997,0)</f>
        <v/>
      </c>
      <c r="AB1997" s="76">
        <f>ROUND(SUM(S1997,V1997,Y1997:Z1997,BA1997:BB1997),2)</f>
        <v/>
      </c>
      <c r="AC1997" s="797" t="n"/>
      <c r="AD1997" s="192">
        <f t="array" ref="AD1997">IFERROR(ROUND((_xlfn.IFS(offer_sale_type="поставка",AB1997,offer_sale_type="транзит",S1997)*(1+AC1997))/E1997,2),0)</f>
        <v/>
      </c>
      <c r="AE1997" s="76">
        <f>AD1997*E1997</f>
        <v/>
      </c>
      <c r="AF1997" s="193">
        <f t="array" ref="AF1997">IFERROR(ROUND(_xlfn.IFS(offer_sale_type="поставка",AB1997,offer_sale_type="транзит",S1997)*AC1997,2),0)</f>
        <v/>
      </c>
      <c r="AG1997" s="192">
        <f>$BD1997*VLOOKUP($AG$3,$AF$4:$AG$7,2,FALSE)</f>
        <v/>
      </c>
      <c r="AH1997" s="76">
        <f>SUM(AE1997,AG1997,AI1997)*rate_forex_risk</f>
        <v/>
      </c>
      <c r="AI1997" s="193">
        <f>IF(OR(seller_region="TR",offer_sale_type="экспорт"),0,rate_fin_comm)*SUM(AZ1997,AZ1997*AW1997,T1997)</f>
        <v/>
      </c>
      <c r="AJ1997" s="118">
        <f>IFERROR(ROUND(SUM(AB1997,AF1997:AI1997)/E1997,2),0)</f>
        <v/>
      </c>
      <c r="AK1997" s="76">
        <f>AJ1997*E1997</f>
        <v/>
      </c>
      <c r="AL1997" s="174">
        <f>ROUND(IFERROR(AM1997*E1997,0),2)</f>
        <v/>
      </c>
      <c r="AM1997" s="175">
        <f>ROUND(AJ1997*(1+IF(offer_incoterms="DDP",IF((TODAY()+offer_turnaround_time)&gt;=helpsheet!$L$17,rate_vatRU_from_26,rate_vatRu_till_25),0)),2)</f>
        <v/>
      </c>
      <c r="AN1997" s="192">
        <f>AL1997-AK1997</f>
        <v/>
      </c>
      <c r="AO1997" s="76">
        <f>SUM(AY1997,Y1997:Z1997,T1997)*IF(AND(offer_incoterms="DDP",offer_sale_type&lt;&gt;"экспорт"),IF((TODAY()+offer_turnaround_time)&gt;=helpsheet!$L$17,rate_vatRU_from_26,rate_vatRu_till_25),0)</f>
        <v/>
      </c>
      <c r="AP1997" s="193">
        <f>AN1997-AO1997</f>
        <v/>
      </c>
      <c r="AQ1997" s="118">
        <f>IF(offer_sale_type="транзит",SUM(AF1997:AI1997,BA1997,BB1997),0)</f>
        <v/>
      </c>
      <c r="AR1997" s="82">
        <f>HYPERLINK("https://www.alta.ru/tnved/code/")&amp;W1997&amp;"/"</f>
        <v/>
      </c>
      <c r="AS1997" s="157" t="n"/>
      <c r="AT1997" s="162" t="n"/>
      <c r="AU1997" s="76">
        <f>IF(ISBLANK(AT1997),0,AJ1997-AT1997)</f>
        <v/>
      </c>
      <c r="AV1997" s="157" t="n"/>
      <c r="AW1997" s="75">
        <f>_xlfn.IFNA(VLOOKUP(L1997,list_vat[],3,FALSE),0)</f>
        <v/>
      </c>
      <c r="AX1997" s="76">
        <f>IFERROR(ROUND(S1997*(1+AW1997)/E1997,2),0)</f>
        <v/>
      </c>
      <c r="AY1997" s="76">
        <f>E1997*AX1997</f>
        <v/>
      </c>
      <c r="AZ1997" s="192">
        <f>S1997*(1+M1997)</f>
        <v/>
      </c>
      <c r="BA1997" s="76">
        <f>cost_fin_total*$BD1997</f>
        <v/>
      </c>
      <c r="BB1997" s="193">
        <f>credit_sales_interest*BD1997</f>
        <v/>
      </c>
      <c r="BC1997" s="102">
        <f>IFERROR(IF($I$13&gt;0,$I1997/$I$13,$S1997/$S$13),0)</f>
        <v/>
      </c>
      <c r="BD1997" s="102">
        <f>IFERROR($S1997/$S$13,0)</f>
        <v/>
      </c>
      <c r="BE1997" s="413" t="inlineStr">
        <is>
          <t>$</t>
        </is>
      </c>
    </row>
    <row r="1998" ht="12" customFormat="1" customHeight="1" s="65">
      <c r="A1998" s="43" t="n">
        <v>1983</v>
      </c>
      <c r="B1998" s="166" t="n"/>
      <c r="C1998" s="166" t="n"/>
      <c r="D1998" s="166" t="n"/>
      <c r="E1998" s="162" t="n"/>
      <c r="F1998" s="166" t="n"/>
      <c r="G1998" s="162" t="n"/>
      <c r="H1998" s="162" t="n"/>
      <c r="I1998" s="189">
        <f>E1998*G1998</f>
        <v/>
      </c>
      <c r="J1998" s="195" t="n"/>
      <c r="K1998" s="162" t="n"/>
      <c r="L1998" s="168" t="n"/>
      <c r="M1998" s="75">
        <f>_xlfn.XLOOKUP(L1998,list_vat[Страна],list_vat[Ставка НДС %],0,0)</f>
        <v/>
      </c>
      <c r="N1998" s="162">
        <f>IFERROR(IF(L1998="Китай",K1998,K1998/(1+M1998)),0)</f>
        <v/>
      </c>
      <c r="O1998" s="169" t="n"/>
      <c r="P1998" s="76">
        <f>N1998*(1-O1998)</f>
        <v/>
      </c>
      <c r="Q1998" s="162" t="n"/>
      <c r="R1998" s="162">
        <f>IF(ISBLANK(Q1998),"введи курс",P1998/Q1998)</f>
        <v/>
      </c>
      <c r="S1998" s="196">
        <f>IF(AND(ISNUMBER(E1998),ISNUMBER(Q1998)),E1998*R1998,0)</f>
        <v/>
      </c>
      <c r="T1998" s="192">
        <f>$BC1998*V$11</f>
        <v/>
      </c>
      <c r="U1998" s="76">
        <f>$BC1998*W$11</f>
        <v/>
      </c>
      <c r="V1998" s="193">
        <f>+SUM(T1998:U1998)</f>
        <v/>
      </c>
      <c r="W1998" s="191" t="n"/>
      <c r="X1998" s="170" t="n"/>
      <c r="Y1998" s="76">
        <f>ROUND(IF(offer_incoterms="DDP",X1998*(S1998*(1+AW1998)+T1998),0),2)</f>
        <v/>
      </c>
      <c r="Z1998" s="188" t="n"/>
      <c r="AA1998" s="192">
        <f>IFERROR(AB1998/E1998,0)</f>
        <v/>
      </c>
      <c r="AB1998" s="76">
        <f>ROUND(SUM(S1998,V1998,Y1998:Z1998,BA1998:BB1998),2)</f>
        <v/>
      </c>
      <c r="AC1998" s="797" t="n"/>
      <c r="AD1998" s="192">
        <f t="array" ref="AD1998">IFERROR(ROUND((_xlfn.IFS(offer_sale_type="поставка",AB1998,offer_sale_type="транзит",S1998)*(1+AC1998))/E1998,2),0)</f>
        <v/>
      </c>
      <c r="AE1998" s="76">
        <f>AD1998*E1998</f>
        <v/>
      </c>
      <c r="AF1998" s="193">
        <f t="array" ref="AF1998">IFERROR(ROUND(_xlfn.IFS(offer_sale_type="поставка",AB1998,offer_sale_type="транзит",S1998)*AC1998,2),0)</f>
        <v/>
      </c>
      <c r="AG1998" s="192">
        <f>$BD1998*VLOOKUP($AG$3,$AF$4:$AG$7,2,FALSE)</f>
        <v/>
      </c>
      <c r="AH1998" s="76">
        <f>SUM(AE1998,AG1998,AI1998)*rate_forex_risk</f>
        <v/>
      </c>
      <c r="AI1998" s="193">
        <f>IF(OR(seller_region="TR",offer_sale_type="экспорт"),0,rate_fin_comm)*SUM(AZ1998,AZ1998*AW1998,T1998)</f>
        <v/>
      </c>
      <c r="AJ1998" s="118">
        <f>IFERROR(ROUND(SUM(AB1998,AF1998:AI1998)/E1998,2),0)</f>
        <v/>
      </c>
      <c r="AK1998" s="76">
        <f>AJ1998*E1998</f>
        <v/>
      </c>
      <c r="AL1998" s="174">
        <f>ROUND(IFERROR(AM1998*E1998,0),2)</f>
        <v/>
      </c>
      <c r="AM1998" s="175">
        <f>ROUND(AJ1998*(1+IF(offer_incoterms="DDP",IF((TODAY()+offer_turnaround_time)&gt;=helpsheet!$L$17,rate_vatRU_from_26,rate_vatRu_till_25),0)),2)</f>
        <v/>
      </c>
      <c r="AN1998" s="192">
        <f>AL1998-AK1998</f>
        <v/>
      </c>
      <c r="AO1998" s="76">
        <f>SUM(AY1998,Y1998:Z1998,T1998)*IF(AND(offer_incoterms="DDP",offer_sale_type&lt;&gt;"экспорт"),IF((TODAY()+offer_turnaround_time)&gt;=helpsheet!$L$17,rate_vatRU_from_26,rate_vatRu_till_25),0)</f>
        <v/>
      </c>
      <c r="AP1998" s="193">
        <f>AN1998-AO1998</f>
        <v/>
      </c>
      <c r="AQ1998" s="118">
        <f>IF(offer_sale_type="транзит",SUM(AF1998:AI1998,BA1998,BB1998),0)</f>
        <v/>
      </c>
      <c r="AR1998" s="82">
        <f>HYPERLINK("https://www.alta.ru/tnved/code/")&amp;W1998&amp;"/"</f>
        <v/>
      </c>
      <c r="AS1998" s="157" t="n"/>
      <c r="AT1998" s="162" t="n"/>
      <c r="AU1998" s="76">
        <f>IF(ISBLANK(AT1998),0,AJ1998-AT1998)</f>
        <v/>
      </c>
      <c r="AV1998" s="157" t="n"/>
      <c r="AW1998" s="75">
        <f>_xlfn.IFNA(VLOOKUP(L1998,list_vat[],3,FALSE),0)</f>
        <v/>
      </c>
      <c r="AX1998" s="76">
        <f>IFERROR(ROUND(S1998*(1+AW1998)/E1998,2),0)</f>
        <v/>
      </c>
      <c r="AY1998" s="76">
        <f>E1998*AX1998</f>
        <v/>
      </c>
      <c r="AZ1998" s="192">
        <f>S1998*(1+M1998)</f>
        <v/>
      </c>
      <c r="BA1998" s="76">
        <f>cost_fin_total*$BD1998</f>
        <v/>
      </c>
      <c r="BB1998" s="193">
        <f>credit_sales_interest*BD1998</f>
        <v/>
      </c>
      <c r="BC1998" s="102">
        <f>IFERROR(IF($I$13&gt;0,$I1998/$I$13,$S1998/$S$13),0)</f>
        <v/>
      </c>
      <c r="BD1998" s="102">
        <f>IFERROR($S1998/$S$13,0)</f>
        <v/>
      </c>
      <c r="BE1998" s="413" t="inlineStr">
        <is>
          <t>$</t>
        </is>
      </c>
    </row>
    <row r="1999" ht="12" customFormat="1" customHeight="1" s="65">
      <c r="A1999" s="43" t="n">
        <v>1984</v>
      </c>
      <c r="B1999" s="166" t="n"/>
      <c r="C1999" s="166" t="n"/>
      <c r="D1999" s="166" t="n"/>
      <c r="E1999" s="162" t="n"/>
      <c r="F1999" s="166" t="n"/>
      <c r="G1999" s="162" t="n"/>
      <c r="H1999" s="162" t="n"/>
      <c r="I1999" s="189">
        <f>E1999*G1999</f>
        <v/>
      </c>
      <c r="J1999" s="195" t="n"/>
      <c r="K1999" s="162" t="n"/>
      <c r="L1999" s="168" t="n"/>
      <c r="M1999" s="75">
        <f>_xlfn.XLOOKUP(L1999,list_vat[Страна],list_vat[Ставка НДС %],0,0)</f>
        <v/>
      </c>
      <c r="N1999" s="162">
        <f>IFERROR(IF(L1999="Китай",K1999,K1999/(1+M1999)),0)</f>
        <v/>
      </c>
      <c r="O1999" s="169" t="n"/>
      <c r="P1999" s="76">
        <f>N1999*(1-O1999)</f>
        <v/>
      </c>
      <c r="Q1999" s="162" t="n"/>
      <c r="R1999" s="162">
        <f>IF(ISBLANK(Q1999),"введи курс",P1999/Q1999)</f>
        <v/>
      </c>
      <c r="S1999" s="196">
        <f>IF(AND(ISNUMBER(E1999),ISNUMBER(Q1999)),E1999*R1999,0)</f>
        <v/>
      </c>
      <c r="T1999" s="192">
        <f>$BC1999*V$11</f>
        <v/>
      </c>
      <c r="U1999" s="76">
        <f>$BC1999*W$11</f>
        <v/>
      </c>
      <c r="V1999" s="193">
        <f>+SUM(T1999:U1999)</f>
        <v/>
      </c>
      <c r="W1999" s="191" t="n"/>
      <c r="X1999" s="170" t="n"/>
      <c r="Y1999" s="76">
        <f>ROUND(IF(offer_incoterms="DDP",X1999*(S1999*(1+AW1999)+T1999),0),2)</f>
        <v/>
      </c>
      <c r="Z1999" s="188" t="n"/>
      <c r="AA1999" s="192">
        <f>IFERROR(AB1999/E1999,0)</f>
        <v/>
      </c>
      <c r="AB1999" s="76">
        <f>ROUND(SUM(S1999,V1999,Y1999:Z1999,BA1999:BB1999),2)</f>
        <v/>
      </c>
      <c r="AC1999" s="797" t="n"/>
      <c r="AD1999" s="192">
        <f t="array" ref="AD1999">IFERROR(ROUND((_xlfn.IFS(offer_sale_type="поставка",AB1999,offer_sale_type="транзит",S1999)*(1+AC1999))/E1999,2),0)</f>
        <v/>
      </c>
      <c r="AE1999" s="76">
        <f>AD1999*E1999</f>
        <v/>
      </c>
      <c r="AF1999" s="193">
        <f t="array" ref="AF1999">IFERROR(ROUND(_xlfn.IFS(offer_sale_type="поставка",AB1999,offer_sale_type="транзит",S1999)*AC1999,2),0)</f>
        <v/>
      </c>
      <c r="AG1999" s="192">
        <f>$BD1999*VLOOKUP($AG$3,$AF$4:$AG$7,2,FALSE)</f>
        <v/>
      </c>
      <c r="AH1999" s="76">
        <f>SUM(AE1999,AG1999,AI1999)*rate_forex_risk</f>
        <v/>
      </c>
      <c r="AI1999" s="193">
        <f>IF(OR(seller_region="TR",offer_sale_type="экспорт"),0,rate_fin_comm)*SUM(AZ1999,AZ1999*AW1999,T1999)</f>
        <v/>
      </c>
      <c r="AJ1999" s="118">
        <f>IFERROR(ROUND(SUM(AB1999,AF1999:AI1999)/E1999,2),0)</f>
        <v/>
      </c>
      <c r="AK1999" s="76">
        <f>AJ1999*E1999</f>
        <v/>
      </c>
      <c r="AL1999" s="174">
        <f>ROUND(IFERROR(AM1999*E1999,0),2)</f>
        <v/>
      </c>
      <c r="AM1999" s="175">
        <f>ROUND(AJ1999*(1+IF(offer_incoterms="DDP",IF((TODAY()+offer_turnaround_time)&gt;=helpsheet!$L$17,rate_vatRU_from_26,rate_vatRu_till_25),0)),2)</f>
        <v/>
      </c>
      <c r="AN1999" s="192">
        <f>AL1999-AK1999</f>
        <v/>
      </c>
      <c r="AO1999" s="76">
        <f>SUM(AY1999,Y1999:Z1999,T1999)*IF(AND(offer_incoterms="DDP",offer_sale_type&lt;&gt;"экспорт"),IF((TODAY()+offer_turnaround_time)&gt;=helpsheet!$L$17,rate_vatRU_from_26,rate_vatRu_till_25),0)</f>
        <v/>
      </c>
      <c r="AP1999" s="193">
        <f>AN1999-AO1999</f>
        <v/>
      </c>
      <c r="AQ1999" s="118">
        <f>IF(offer_sale_type="транзит",SUM(AF1999:AI1999,BA1999,BB1999),0)</f>
        <v/>
      </c>
      <c r="AR1999" s="82">
        <f>HYPERLINK("https://www.alta.ru/tnved/code/")&amp;W1999&amp;"/"</f>
        <v/>
      </c>
      <c r="AS1999" s="157" t="n"/>
      <c r="AT1999" s="162" t="n"/>
      <c r="AU1999" s="76">
        <f>IF(ISBLANK(AT1999),0,AJ1999-AT1999)</f>
        <v/>
      </c>
      <c r="AV1999" s="157" t="n"/>
      <c r="AW1999" s="75">
        <f>_xlfn.IFNA(VLOOKUP(L1999,list_vat[],3,FALSE),0)</f>
        <v/>
      </c>
      <c r="AX1999" s="76">
        <f>IFERROR(ROUND(S1999*(1+AW1999)/E1999,2),0)</f>
        <v/>
      </c>
      <c r="AY1999" s="76">
        <f>E1999*AX1999</f>
        <v/>
      </c>
      <c r="AZ1999" s="192">
        <f>S1999*(1+M1999)</f>
        <v/>
      </c>
      <c r="BA1999" s="76">
        <f>cost_fin_total*$BD1999</f>
        <v/>
      </c>
      <c r="BB1999" s="193">
        <f>credit_sales_interest*BD1999</f>
        <v/>
      </c>
      <c r="BC1999" s="102">
        <f>IFERROR(IF($I$13&gt;0,$I1999/$I$13,$S1999/$S$13),0)</f>
        <v/>
      </c>
      <c r="BD1999" s="102">
        <f>IFERROR($S1999/$S$13,0)</f>
        <v/>
      </c>
      <c r="BE1999" s="413" t="inlineStr">
        <is>
          <t>$</t>
        </is>
      </c>
    </row>
    <row r="2000" ht="12" customFormat="1" customHeight="1" s="65">
      <c r="A2000" s="43" t="n">
        <v>1985</v>
      </c>
      <c r="B2000" s="166" t="n"/>
      <c r="C2000" s="166" t="n"/>
      <c r="D2000" s="166" t="n"/>
      <c r="E2000" s="162" t="n"/>
      <c r="F2000" s="166" t="n"/>
      <c r="G2000" s="162" t="n"/>
      <c r="H2000" s="162" t="n"/>
      <c r="I2000" s="189">
        <f>E2000*G2000</f>
        <v/>
      </c>
      <c r="J2000" s="195" t="n"/>
      <c r="K2000" s="162" t="n"/>
      <c r="L2000" s="168" t="n"/>
      <c r="M2000" s="75">
        <f>_xlfn.XLOOKUP(L2000,list_vat[Страна],list_vat[Ставка НДС %],0,0)</f>
        <v/>
      </c>
      <c r="N2000" s="162">
        <f>IFERROR(IF(L2000="Китай",K2000,K2000/(1+M2000)),0)</f>
        <v/>
      </c>
      <c r="O2000" s="169" t="n"/>
      <c r="P2000" s="76">
        <f>N2000*(1-O2000)</f>
        <v/>
      </c>
      <c r="Q2000" s="162" t="n"/>
      <c r="R2000" s="162">
        <f>IF(ISBLANK(Q2000),"введи курс",P2000/Q2000)</f>
        <v/>
      </c>
      <c r="S2000" s="196">
        <f>IF(AND(ISNUMBER(E2000),ISNUMBER(Q2000)),E2000*R2000,0)</f>
        <v/>
      </c>
      <c r="T2000" s="192">
        <f>$BC2000*V$11</f>
        <v/>
      </c>
      <c r="U2000" s="76">
        <f>$BC2000*W$11</f>
        <v/>
      </c>
      <c r="V2000" s="193">
        <f>+SUM(T2000:U2000)</f>
        <v/>
      </c>
      <c r="W2000" s="191" t="n"/>
      <c r="X2000" s="170" t="n"/>
      <c r="Y2000" s="76">
        <f>ROUND(IF(offer_incoterms="DDP",X2000*(S2000*(1+AW2000)+T2000),0),2)</f>
        <v/>
      </c>
      <c r="Z2000" s="188" t="n"/>
      <c r="AA2000" s="192">
        <f>IFERROR(AB2000/E2000,0)</f>
        <v/>
      </c>
      <c r="AB2000" s="76">
        <f>ROUND(SUM(S2000,V2000,Y2000:Z2000,BA2000:BB2000),2)</f>
        <v/>
      </c>
      <c r="AC2000" s="797" t="n"/>
      <c r="AD2000" s="192">
        <f t="array" ref="AD2000">IFERROR(ROUND((_xlfn.IFS(offer_sale_type="поставка",AB2000,offer_sale_type="транзит",S2000)*(1+AC2000))/E2000,2),0)</f>
        <v/>
      </c>
      <c r="AE2000" s="76">
        <f>AD2000*E2000</f>
        <v/>
      </c>
      <c r="AF2000" s="193">
        <f t="array" ref="AF2000">IFERROR(ROUND(_xlfn.IFS(offer_sale_type="поставка",AB2000,offer_sale_type="транзит",S2000)*AC2000,2),0)</f>
        <v/>
      </c>
      <c r="AG2000" s="192">
        <f>$BD2000*VLOOKUP($AG$3,$AF$4:$AG$7,2,FALSE)</f>
        <v/>
      </c>
      <c r="AH2000" s="76">
        <f>SUM(AE2000,AG2000,AI2000)*rate_forex_risk</f>
        <v/>
      </c>
      <c r="AI2000" s="193">
        <f>IF(OR(seller_region="TR",offer_sale_type="экспорт"),0,rate_fin_comm)*SUM(AZ2000,AZ2000*AW2000,T2000)</f>
        <v/>
      </c>
      <c r="AJ2000" s="118">
        <f>IFERROR(ROUND(SUM(AB2000,AF2000:AI2000)/E2000,2),0)</f>
        <v/>
      </c>
      <c r="AK2000" s="76">
        <f>AJ2000*E2000</f>
        <v/>
      </c>
      <c r="AL2000" s="174">
        <f>ROUND(IFERROR(AM2000*E2000,0),2)</f>
        <v/>
      </c>
      <c r="AM2000" s="175">
        <f>ROUND(AJ2000*(1+IF(offer_incoterms="DDP",IF((TODAY()+offer_turnaround_time)&gt;=helpsheet!$L$17,rate_vatRU_from_26,rate_vatRu_till_25),0)),2)</f>
        <v/>
      </c>
      <c r="AN2000" s="192">
        <f>AL2000-AK2000</f>
        <v/>
      </c>
      <c r="AO2000" s="76">
        <f>SUM(AY2000,Y2000:Z2000,T2000)*IF(AND(offer_incoterms="DDP",offer_sale_type&lt;&gt;"экспорт"),IF((TODAY()+offer_turnaround_time)&gt;=helpsheet!$L$17,rate_vatRU_from_26,rate_vatRu_till_25),0)</f>
        <v/>
      </c>
      <c r="AP2000" s="193">
        <f>AN2000-AO2000</f>
        <v/>
      </c>
      <c r="AQ2000" s="118">
        <f>IF(offer_sale_type="транзит",SUM(AF2000:AI2000,BA2000,BB2000),0)</f>
        <v/>
      </c>
      <c r="AR2000" s="82">
        <f>HYPERLINK("https://www.alta.ru/tnved/code/")&amp;W2000&amp;"/"</f>
        <v/>
      </c>
      <c r="AS2000" s="157" t="n"/>
      <c r="AT2000" s="162" t="n"/>
      <c r="AU2000" s="76">
        <f>IF(ISBLANK(AT2000),0,AJ2000-AT2000)</f>
        <v/>
      </c>
      <c r="AV2000" s="157" t="n"/>
      <c r="AW2000" s="75">
        <f>_xlfn.IFNA(VLOOKUP(L2000,list_vat[],3,FALSE),0)</f>
        <v/>
      </c>
      <c r="AX2000" s="76">
        <f>IFERROR(ROUND(S2000*(1+AW2000)/E2000,2),0)</f>
        <v/>
      </c>
      <c r="AY2000" s="76">
        <f>E2000*AX2000</f>
        <v/>
      </c>
      <c r="AZ2000" s="192">
        <f>S2000*(1+M2000)</f>
        <v/>
      </c>
      <c r="BA2000" s="76">
        <f>cost_fin_total*$BD2000</f>
        <v/>
      </c>
      <c r="BB2000" s="193">
        <f>credit_sales_interest*BD2000</f>
        <v/>
      </c>
      <c r="BC2000" s="102">
        <f>IFERROR(IF($I$13&gt;0,$I2000/$I$13,$S2000/$S$13),0)</f>
        <v/>
      </c>
      <c r="BD2000" s="102">
        <f>IFERROR($S2000/$S$13,0)</f>
        <v/>
      </c>
      <c r="BE2000" s="413" t="inlineStr">
        <is>
          <t>$</t>
        </is>
      </c>
    </row>
    <row r="2001" ht="12" customFormat="1" customHeight="1" s="65">
      <c r="A2001" s="43" t="n">
        <v>1986</v>
      </c>
      <c r="B2001" s="166" t="n"/>
      <c r="C2001" s="166" t="n"/>
      <c r="D2001" s="166" t="n"/>
      <c r="E2001" s="162" t="n"/>
      <c r="F2001" s="166" t="n"/>
      <c r="G2001" s="162" t="n"/>
      <c r="H2001" s="162" t="n"/>
      <c r="I2001" s="189">
        <f>E2001*G2001</f>
        <v/>
      </c>
      <c r="J2001" s="195" t="n"/>
      <c r="K2001" s="162" t="n"/>
      <c r="L2001" s="168" t="n"/>
      <c r="M2001" s="75">
        <f>_xlfn.XLOOKUP(L2001,list_vat[Страна],list_vat[Ставка НДС %],0,0)</f>
        <v/>
      </c>
      <c r="N2001" s="162">
        <f>IFERROR(IF(L2001="Китай",K2001,K2001/(1+M2001)),0)</f>
        <v/>
      </c>
      <c r="O2001" s="169" t="n"/>
      <c r="P2001" s="76">
        <f>N2001*(1-O2001)</f>
        <v/>
      </c>
      <c r="Q2001" s="162" t="n"/>
      <c r="R2001" s="162">
        <f>IF(ISBLANK(Q2001),"введи курс",P2001/Q2001)</f>
        <v/>
      </c>
      <c r="S2001" s="196">
        <f>IF(AND(ISNUMBER(E2001),ISNUMBER(Q2001)),E2001*R2001,0)</f>
        <v/>
      </c>
      <c r="T2001" s="192">
        <f>$BC2001*V$11</f>
        <v/>
      </c>
      <c r="U2001" s="76">
        <f>$BC2001*W$11</f>
        <v/>
      </c>
      <c r="V2001" s="193">
        <f>+SUM(T2001:U2001)</f>
        <v/>
      </c>
      <c r="W2001" s="191" t="n"/>
      <c r="X2001" s="170" t="n"/>
      <c r="Y2001" s="76">
        <f>ROUND(IF(offer_incoterms="DDP",X2001*(S2001*(1+AW2001)+T2001),0),2)</f>
        <v/>
      </c>
      <c r="Z2001" s="188" t="n"/>
      <c r="AA2001" s="192">
        <f>IFERROR(AB2001/E2001,0)</f>
        <v/>
      </c>
      <c r="AB2001" s="76">
        <f>ROUND(SUM(S2001,V2001,Y2001:Z2001,BA2001:BB2001),2)</f>
        <v/>
      </c>
      <c r="AC2001" s="797" t="n"/>
      <c r="AD2001" s="192">
        <f t="array" ref="AD2001">IFERROR(ROUND((_xlfn.IFS(offer_sale_type="поставка",AB2001,offer_sale_type="транзит",S2001)*(1+AC2001))/E2001,2),0)</f>
        <v/>
      </c>
      <c r="AE2001" s="76">
        <f>AD2001*E2001</f>
        <v/>
      </c>
      <c r="AF2001" s="193">
        <f t="array" ref="AF2001">IFERROR(ROUND(_xlfn.IFS(offer_sale_type="поставка",AB2001,offer_sale_type="транзит",S2001)*AC2001,2),0)</f>
        <v/>
      </c>
      <c r="AG2001" s="192">
        <f>$BD2001*VLOOKUP($AG$3,$AF$4:$AG$7,2,FALSE)</f>
        <v/>
      </c>
      <c r="AH2001" s="76">
        <f>SUM(AE2001,AG2001,AI2001)*rate_forex_risk</f>
        <v/>
      </c>
      <c r="AI2001" s="193">
        <f>IF(OR(seller_region="TR",offer_sale_type="экспорт"),0,rate_fin_comm)*SUM(AZ2001,AZ2001*AW2001,T2001)</f>
        <v/>
      </c>
      <c r="AJ2001" s="118">
        <f>IFERROR(ROUND(SUM(AB2001,AF2001:AI2001)/E2001,2),0)</f>
        <v/>
      </c>
      <c r="AK2001" s="76">
        <f>AJ2001*E2001</f>
        <v/>
      </c>
      <c r="AL2001" s="174">
        <f>ROUND(IFERROR(AM2001*E2001,0),2)</f>
        <v/>
      </c>
      <c r="AM2001" s="175">
        <f>ROUND(AJ2001*(1+IF(offer_incoterms="DDP",IF((TODAY()+offer_turnaround_time)&gt;=helpsheet!$L$17,rate_vatRU_from_26,rate_vatRu_till_25),0)),2)</f>
        <v/>
      </c>
      <c r="AN2001" s="192">
        <f>AL2001-AK2001</f>
        <v/>
      </c>
      <c r="AO2001" s="76">
        <f>SUM(AY2001,Y2001:Z2001,T2001)*IF(AND(offer_incoterms="DDP",offer_sale_type&lt;&gt;"экспорт"),IF((TODAY()+offer_turnaround_time)&gt;=helpsheet!$L$17,rate_vatRU_from_26,rate_vatRu_till_25),0)</f>
        <v/>
      </c>
      <c r="AP2001" s="193">
        <f>AN2001-AO2001</f>
        <v/>
      </c>
      <c r="AQ2001" s="118">
        <f>IF(offer_sale_type="транзит",SUM(AF2001:AI2001,BA2001,BB2001),0)</f>
        <v/>
      </c>
      <c r="AR2001" s="82">
        <f>HYPERLINK("https://www.alta.ru/tnved/code/")&amp;W2001&amp;"/"</f>
        <v/>
      </c>
      <c r="AS2001" s="157" t="n"/>
      <c r="AT2001" s="162" t="n"/>
      <c r="AU2001" s="76">
        <f>IF(ISBLANK(AT2001),0,AJ2001-AT2001)</f>
        <v/>
      </c>
      <c r="AV2001" s="157" t="n"/>
      <c r="AW2001" s="75">
        <f>_xlfn.IFNA(VLOOKUP(L2001,list_vat[],3,FALSE),0)</f>
        <v/>
      </c>
      <c r="AX2001" s="76">
        <f>IFERROR(ROUND(S2001*(1+AW2001)/E2001,2),0)</f>
        <v/>
      </c>
      <c r="AY2001" s="76">
        <f>E2001*AX2001</f>
        <v/>
      </c>
      <c r="AZ2001" s="192">
        <f>S2001*(1+M2001)</f>
        <v/>
      </c>
      <c r="BA2001" s="76">
        <f>cost_fin_total*$BD2001</f>
        <v/>
      </c>
      <c r="BB2001" s="193">
        <f>credit_sales_interest*BD2001</f>
        <v/>
      </c>
      <c r="BC2001" s="102">
        <f>IFERROR(IF($I$13&gt;0,$I2001/$I$13,$S2001/$S$13),0)</f>
        <v/>
      </c>
      <c r="BD2001" s="102">
        <f>IFERROR($S2001/$S$13,0)</f>
        <v/>
      </c>
      <c r="BE2001" s="413" t="inlineStr">
        <is>
          <t>$</t>
        </is>
      </c>
    </row>
    <row r="2002" ht="12" customFormat="1" customHeight="1" s="65">
      <c r="A2002" s="43" t="n">
        <v>1987</v>
      </c>
      <c r="B2002" s="166" t="n"/>
      <c r="C2002" s="166" t="n"/>
      <c r="D2002" s="166" t="n"/>
      <c r="E2002" s="162" t="n"/>
      <c r="F2002" s="166" t="n"/>
      <c r="G2002" s="162" t="n"/>
      <c r="H2002" s="162" t="n"/>
      <c r="I2002" s="189">
        <f>E2002*G2002</f>
        <v/>
      </c>
      <c r="J2002" s="195" t="n"/>
      <c r="K2002" s="162" t="n"/>
      <c r="L2002" s="168" t="n"/>
      <c r="M2002" s="75">
        <f>_xlfn.XLOOKUP(L2002,list_vat[Страна],list_vat[Ставка НДС %],0,0)</f>
        <v/>
      </c>
      <c r="N2002" s="162">
        <f>IFERROR(IF(L2002="Китай",K2002,K2002/(1+M2002)),0)</f>
        <v/>
      </c>
      <c r="O2002" s="169" t="n"/>
      <c r="P2002" s="76">
        <f>N2002*(1-O2002)</f>
        <v/>
      </c>
      <c r="Q2002" s="162" t="n"/>
      <c r="R2002" s="162">
        <f>IF(ISBLANK(Q2002),"введи курс",P2002/Q2002)</f>
        <v/>
      </c>
      <c r="S2002" s="196">
        <f>IF(AND(ISNUMBER(E2002),ISNUMBER(Q2002)),E2002*R2002,0)</f>
        <v/>
      </c>
      <c r="T2002" s="192">
        <f>$BC2002*V$11</f>
        <v/>
      </c>
      <c r="U2002" s="76">
        <f>$BC2002*W$11</f>
        <v/>
      </c>
      <c r="V2002" s="193">
        <f>+SUM(T2002:U2002)</f>
        <v/>
      </c>
      <c r="W2002" s="191" t="n"/>
      <c r="X2002" s="170" t="n"/>
      <c r="Y2002" s="76">
        <f>ROUND(IF(offer_incoterms="DDP",X2002*(S2002*(1+AW2002)+T2002),0),2)</f>
        <v/>
      </c>
      <c r="Z2002" s="188" t="n"/>
      <c r="AA2002" s="192">
        <f>IFERROR(AB2002/E2002,0)</f>
        <v/>
      </c>
      <c r="AB2002" s="76">
        <f>ROUND(SUM(S2002,V2002,Y2002:Z2002,BA2002:BB2002),2)</f>
        <v/>
      </c>
      <c r="AC2002" s="797" t="n"/>
      <c r="AD2002" s="192">
        <f t="array" ref="AD2002">IFERROR(ROUND((_xlfn.IFS(offer_sale_type="поставка",AB2002,offer_sale_type="транзит",S2002)*(1+AC2002))/E2002,2),0)</f>
        <v/>
      </c>
      <c r="AE2002" s="76">
        <f>AD2002*E2002</f>
        <v/>
      </c>
      <c r="AF2002" s="193">
        <f t="array" ref="AF2002">IFERROR(ROUND(_xlfn.IFS(offer_sale_type="поставка",AB2002,offer_sale_type="транзит",S2002)*AC2002,2),0)</f>
        <v/>
      </c>
      <c r="AG2002" s="192">
        <f>$BD2002*VLOOKUP($AG$3,$AF$4:$AG$7,2,FALSE)</f>
        <v/>
      </c>
      <c r="AH2002" s="76">
        <f>SUM(AE2002,AG2002,AI2002)*rate_forex_risk</f>
        <v/>
      </c>
      <c r="AI2002" s="193">
        <f>IF(OR(seller_region="TR",offer_sale_type="экспорт"),0,rate_fin_comm)*SUM(AZ2002,AZ2002*AW2002,T2002)</f>
        <v/>
      </c>
      <c r="AJ2002" s="118">
        <f>IFERROR(ROUND(SUM(AB2002,AF2002:AI2002)/E2002,2),0)</f>
        <v/>
      </c>
      <c r="AK2002" s="76">
        <f>AJ2002*E2002</f>
        <v/>
      </c>
      <c r="AL2002" s="174">
        <f>ROUND(IFERROR(AM2002*E2002,0),2)</f>
        <v/>
      </c>
      <c r="AM2002" s="175">
        <f>ROUND(AJ2002*(1+IF(offer_incoterms="DDP",IF((TODAY()+offer_turnaround_time)&gt;=helpsheet!$L$17,rate_vatRU_from_26,rate_vatRu_till_25),0)),2)</f>
        <v/>
      </c>
      <c r="AN2002" s="192">
        <f>AL2002-AK2002</f>
        <v/>
      </c>
      <c r="AO2002" s="76">
        <f>SUM(AY2002,Y2002:Z2002,T2002)*IF(AND(offer_incoterms="DDP",offer_sale_type&lt;&gt;"экспорт"),IF((TODAY()+offer_turnaround_time)&gt;=helpsheet!$L$17,rate_vatRU_from_26,rate_vatRu_till_25),0)</f>
        <v/>
      </c>
      <c r="AP2002" s="193">
        <f>AN2002-AO2002</f>
        <v/>
      </c>
      <c r="AQ2002" s="118">
        <f>IF(offer_sale_type="транзит",SUM(AF2002:AI2002,BA2002,BB2002),0)</f>
        <v/>
      </c>
      <c r="AR2002" s="82">
        <f>HYPERLINK("https://www.alta.ru/tnved/code/")&amp;W2002&amp;"/"</f>
        <v/>
      </c>
      <c r="AS2002" s="157" t="n"/>
      <c r="AT2002" s="162" t="n"/>
      <c r="AU2002" s="76">
        <f>IF(ISBLANK(AT2002),0,AJ2002-AT2002)</f>
        <v/>
      </c>
      <c r="AV2002" s="157" t="n"/>
      <c r="AW2002" s="75">
        <f>_xlfn.IFNA(VLOOKUP(L2002,list_vat[],3,FALSE),0)</f>
        <v/>
      </c>
      <c r="AX2002" s="76">
        <f>IFERROR(ROUND(S2002*(1+AW2002)/E2002,2),0)</f>
        <v/>
      </c>
      <c r="AY2002" s="76">
        <f>E2002*AX2002</f>
        <v/>
      </c>
      <c r="AZ2002" s="192">
        <f>S2002*(1+M2002)</f>
        <v/>
      </c>
      <c r="BA2002" s="76">
        <f>cost_fin_total*$BD2002</f>
        <v/>
      </c>
      <c r="BB2002" s="193">
        <f>credit_sales_interest*BD2002</f>
        <v/>
      </c>
      <c r="BC2002" s="102">
        <f>IFERROR(IF($I$13&gt;0,$I2002/$I$13,$S2002/$S$13),0)</f>
        <v/>
      </c>
      <c r="BD2002" s="102">
        <f>IFERROR($S2002/$S$13,0)</f>
        <v/>
      </c>
      <c r="BE2002" s="413" t="inlineStr">
        <is>
          <t>$</t>
        </is>
      </c>
    </row>
    <row r="2003" ht="12" customFormat="1" customHeight="1" s="65">
      <c r="A2003" s="43" t="n">
        <v>1988</v>
      </c>
      <c r="B2003" s="166" t="n"/>
      <c r="C2003" s="166" t="n"/>
      <c r="D2003" s="166" t="n"/>
      <c r="E2003" s="162" t="n"/>
      <c r="F2003" s="166" t="n"/>
      <c r="G2003" s="162" t="n"/>
      <c r="H2003" s="162" t="n"/>
      <c r="I2003" s="189">
        <f>E2003*G2003</f>
        <v/>
      </c>
      <c r="J2003" s="195" t="n"/>
      <c r="K2003" s="162" t="n"/>
      <c r="L2003" s="168" t="n"/>
      <c r="M2003" s="75">
        <f>_xlfn.XLOOKUP(L2003,list_vat[Страна],list_vat[Ставка НДС %],0,0)</f>
        <v/>
      </c>
      <c r="N2003" s="162">
        <f>IFERROR(IF(L2003="Китай",K2003,K2003/(1+M2003)),0)</f>
        <v/>
      </c>
      <c r="O2003" s="169" t="n"/>
      <c r="P2003" s="76">
        <f>N2003*(1-O2003)</f>
        <v/>
      </c>
      <c r="Q2003" s="162" t="n"/>
      <c r="R2003" s="162">
        <f>IF(ISBLANK(Q2003),"введи курс",P2003/Q2003)</f>
        <v/>
      </c>
      <c r="S2003" s="196">
        <f>IF(AND(ISNUMBER(E2003),ISNUMBER(Q2003)),E2003*R2003,0)</f>
        <v/>
      </c>
      <c r="T2003" s="192">
        <f>$BC2003*V$11</f>
        <v/>
      </c>
      <c r="U2003" s="76">
        <f>$BC2003*W$11</f>
        <v/>
      </c>
      <c r="V2003" s="193">
        <f>+SUM(T2003:U2003)</f>
        <v/>
      </c>
      <c r="W2003" s="191" t="n"/>
      <c r="X2003" s="170" t="n"/>
      <c r="Y2003" s="76">
        <f>ROUND(IF(offer_incoterms="DDP",X2003*(S2003*(1+AW2003)+T2003),0),2)</f>
        <v/>
      </c>
      <c r="Z2003" s="188" t="n"/>
      <c r="AA2003" s="192">
        <f>IFERROR(AB2003/E2003,0)</f>
        <v/>
      </c>
      <c r="AB2003" s="76">
        <f>ROUND(SUM(S2003,V2003,Y2003:Z2003,BA2003:BB2003),2)</f>
        <v/>
      </c>
      <c r="AC2003" s="797" t="n"/>
      <c r="AD2003" s="192">
        <f t="array" ref="AD2003">IFERROR(ROUND((_xlfn.IFS(offer_sale_type="поставка",AB2003,offer_sale_type="транзит",S2003)*(1+AC2003))/E2003,2),0)</f>
        <v/>
      </c>
      <c r="AE2003" s="76">
        <f>AD2003*E2003</f>
        <v/>
      </c>
      <c r="AF2003" s="193">
        <f t="array" ref="AF2003">IFERROR(ROUND(_xlfn.IFS(offer_sale_type="поставка",AB2003,offer_sale_type="транзит",S2003)*AC2003,2),0)</f>
        <v/>
      </c>
      <c r="AG2003" s="192">
        <f>$BD2003*VLOOKUP($AG$3,$AF$4:$AG$7,2,FALSE)</f>
        <v/>
      </c>
      <c r="AH2003" s="76">
        <f>SUM(AE2003,AG2003,AI2003)*rate_forex_risk</f>
        <v/>
      </c>
      <c r="AI2003" s="193">
        <f>IF(OR(seller_region="TR",offer_sale_type="экспорт"),0,rate_fin_comm)*SUM(AZ2003,AZ2003*AW2003,T2003)</f>
        <v/>
      </c>
      <c r="AJ2003" s="118">
        <f>IFERROR(ROUND(SUM(AB2003,AF2003:AI2003)/E2003,2),0)</f>
        <v/>
      </c>
      <c r="AK2003" s="76">
        <f>AJ2003*E2003</f>
        <v/>
      </c>
      <c r="AL2003" s="174">
        <f>ROUND(IFERROR(AM2003*E2003,0),2)</f>
        <v/>
      </c>
      <c r="AM2003" s="175">
        <f>ROUND(AJ2003*(1+IF(offer_incoterms="DDP",IF((TODAY()+offer_turnaround_time)&gt;=helpsheet!$L$17,rate_vatRU_from_26,rate_vatRu_till_25),0)),2)</f>
        <v/>
      </c>
      <c r="AN2003" s="192">
        <f>AL2003-AK2003</f>
        <v/>
      </c>
      <c r="AO2003" s="76">
        <f>SUM(AY2003,Y2003:Z2003,T2003)*IF(AND(offer_incoterms="DDP",offer_sale_type&lt;&gt;"экспорт"),IF((TODAY()+offer_turnaround_time)&gt;=helpsheet!$L$17,rate_vatRU_from_26,rate_vatRu_till_25),0)</f>
        <v/>
      </c>
      <c r="AP2003" s="193">
        <f>AN2003-AO2003</f>
        <v/>
      </c>
      <c r="AQ2003" s="118">
        <f>IF(offer_sale_type="транзит",SUM(AF2003:AI2003,BA2003,BB2003),0)</f>
        <v/>
      </c>
      <c r="AR2003" s="82">
        <f>HYPERLINK("https://www.alta.ru/tnved/code/")&amp;W2003&amp;"/"</f>
        <v/>
      </c>
      <c r="AS2003" s="157" t="n"/>
      <c r="AT2003" s="162" t="n"/>
      <c r="AU2003" s="76">
        <f>IF(ISBLANK(AT2003),0,AJ2003-AT2003)</f>
        <v/>
      </c>
      <c r="AV2003" s="157" t="n"/>
      <c r="AW2003" s="75">
        <f>_xlfn.IFNA(VLOOKUP(L2003,list_vat[],3,FALSE),0)</f>
        <v/>
      </c>
      <c r="AX2003" s="76">
        <f>IFERROR(ROUND(S2003*(1+AW2003)/E2003,2),0)</f>
        <v/>
      </c>
      <c r="AY2003" s="76">
        <f>E2003*AX2003</f>
        <v/>
      </c>
      <c r="AZ2003" s="192">
        <f>S2003*(1+M2003)</f>
        <v/>
      </c>
      <c r="BA2003" s="76">
        <f>cost_fin_total*$BD2003</f>
        <v/>
      </c>
      <c r="BB2003" s="193">
        <f>credit_sales_interest*BD2003</f>
        <v/>
      </c>
      <c r="BC2003" s="102">
        <f>IFERROR(IF($I$13&gt;0,$I2003/$I$13,$S2003/$S$13),0)</f>
        <v/>
      </c>
      <c r="BD2003" s="102">
        <f>IFERROR($S2003/$S$13,0)</f>
        <v/>
      </c>
      <c r="BE2003" s="413" t="inlineStr">
        <is>
          <t>$</t>
        </is>
      </c>
    </row>
    <row r="2004" ht="12" customFormat="1" customHeight="1" s="65">
      <c r="A2004" s="43" t="n">
        <v>1989</v>
      </c>
      <c r="B2004" s="166" t="n"/>
      <c r="C2004" s="166" t="n"/>
      <c r="D2004" s="166" t="n"/>
      <c r="E2004" s="162" t="n"/>
      <c r="F2004" s="166" t="n"/>
      <c r="G2004" s="162" t="n"/>
      <c r="H2004" s="162" t="n"/>
      <c r="I2004" s="189">
        <f>E2004*G2004</f>
        <v/>
      </c>
      <c r="J2004" s="195" t="n"/>
      <c r="K2004" s="162" t="n"/>
      <c r="L2004" s="168" t="n"/>
      <c r="M2004" s="75">
        <f>_xlfn.XLOOKUP(L2004,list_vat[Страна],list_vat[Ставка НДС %],0,0)</f>
        <v/>
      </c>
      <c r="N2004" s="162">
        <f>IFERROR(IF(L2004="Китай",K2004,K2004/(1+M2004)),0)</f>
        <v/>
      </c>
      <c r="O2004" s="169" t="n"/>
      <c r="P2004" s="76">
        <f>N2004*(1-O2004)</f>
        <v/>
      </c>
      <c r="Q2004" s="162" t="n"/>
      <c r="R2004" s="162">
        <f>IF(ISBLANK(Q2004),"введи курс",P2004/Q2004)</f>
        <v/>
      </c>
      <c r="S2004" s="196">
        <f>IF(AND(ISNUMBER(E2004),ISNUMBER(Q2004)),E2004*R2004,0)</f>
        <v/>
      </c>
      <c r="T2004" s="192">
        <f>$BC2004*V$11</f>
        <v/>
      </c>
      <c r="U2004" s="76">
        <f>$BC2004*W$11</f>
        <v/>
      </c>
      <c r="V2004" s="193">
        <f>+SUM(T2004:U2004)</f>
        <v/>
      </c>
      <c r="W2004" s="191" t="n"/>
      <c r="X2004" s="170" t="n"/>
      <c r="Y2004" s="76">
        <f>ROUND(IF(offer_incoterms="DDP",X2004*(S2004*(1+AW2004)+T2004),0),2)</f>
        <v/>
      </c>
      <c r="Z2004" s="188" t="n"/>
      <c r="AA2004" s="192">
        <f>IFERROR(AB2004/E2004,0)</f>
        <v/>
      </c>
      <c r="AB2004" s="76">
        <f>ROUND(SUM(S2004,V2004,Y2004:Z2004,BA2004:BB2004),2)</f>
        <v/>
      </c>
      <c r="AC2004" s="797" t="n"/>
      <c r="AD2004" s="192">
        <f t="array" ref="AD2004">IFERROR(ROUND((_xlfn.IFS(offer_sale_type="поставка",AB2004,offer_sale_type="транзит",S2004)*(1+AC2004))/E2004,2),0)</f>
        <v/>
      </c>
      <c r="AE2004" s="76">
        <f>AD2004*E2004</f>
        <v/>
      </c>
      <c r="AF2004" s="193">
        <f t="array" ref="AF2004">IFERROR(ROUND(_xlfn.IFS(offer_sale_type="поставка",AB2004,offer_sale_type="транзит",S2004)*AC2004,2),0)</f>
        <v/>
      </c>
      <c r="AG2004" s="192">
        <f>$BD2004*VLOOKUP($AG$3,$AF$4:$AG$7,2,FALSE)</f>
        <v/>
      </c>
      <c r="AH2004" s="76">
        <f>SUM(AE2004,AG2004,AI2004)*rate_forex_risk</f>
        <v/>
      </c>
      <c r="AI2004" s="193">
        <f>IF(OR(seller_region="TR",offer_sale_type="экспорт"),0,rate_fin_comm)*SUM(AZ2004,AZ2004*AW2004,T2004)</f>
        <v/>
      </c>
      <c r="AJ2004" s="118">
        <f>IFERROR(ROUND(SUM(AB2004,AF2004:AI2004)/E2004,2),0)</f>
        <v/>
      </c>
      <c r="AK2004" s="76">
        <f>AJ2004*E2004</f>
        <v/>
      </c>
      <c r="AL2004" s="174">
        <f>ROUND(IFERROR(AM2004*E2004,0),2)</f>
        <v/>
      </c>
      <c r="AM2004" s="175">
        <f>ROUND(AJ2004*(1+IF(offer_incoterms="DDP",IF((TODAY()+offer_turnaround_time)&gt;=helpsheet!$L$17,rate_vatRU_from_26,rate_vatRu_till_25),0)),2)</f>
        <v/>
      </c>
      <c r="AN2004" s="192">
        <f>AL2004-AK2004</f>
        <v/>
      </c>
      <c r="AO2004" s="76">
        <f>SUM(AY2004,Y2004:Z2004,T2004)*IF(AND(offer_incoterms="DDP",offer_sale_type&lt;&gt;"экспорт"),IF((TODAY()+offer_turnaround_time)&gt;=helpsheet!$L$17,rate_vatRU_from_26,rate_vatRu_till_25),0)</f>
        <v/>
      </c>
      <c r="AP2004" s="193">
        <f>AN2004-AO2004</f>
        <v/>
      </c>
      <c r="AQ2004" s="118">
        <f>IF(offer_sale_type="транзит",SUM(AF2004:AI2004,BA2004,BB2004),0)</f>
        <v/>
      </c>
      <c r="AR2004" s="82">
        <f>HYPERLINK("https://www.alta.ru/tnved/code/")&amp;W2004&amp;"/"</f>
        <v/>
      </c>
      <c r="AS2004" s="157" t="n"/>
      <c r="AT2004" s="162" t="n"/>
      <c r="AU2004" s="76">
        <f>IF(ISBLANK(AT2004),0,AJ2004-AT2004)</f>
        <v/>
      </c>
      <c r="AV2004" s="157" t="n"/>
      <c r="AW2004" s="75">
        <f>_xlfn.IFNA(VLOOKUP(L2004,list_vat[],3,FALSE),0)</f>
        <v/>
      </c>
      <c r="AX2004" s="76">
        <f>IFERROR(ROUND(S2004*(1+AW2004)/E2004,2),0)</f>
        <v/>
      </c>
      <c r="AY2004" s="76">
        <f>E2004*AX2004</f>
        <v/>
      </c>
      <c r="AZ2004" s="192">
        <f>S2004*(1+M2004)</f>
        <v/>
      </c>
      <c r="BA2004" s="76">
        <f>cost_fin_total*$BD2004</f>
        <v/>
      </c>
      <c r="BB2004" s="193">
        <f>credit_sales_interest*BD2004</f>
        <v/>
      </c>
      <c r="BC2004" s="102">
        <f>IFERROR(IF($I$13&gt;0,$I2004/$I$13,$S2004/$S$13),0)</f>
        <v/>
      </c>
      <c r="BD2004" s="102">
        <f>IFERROR($S2004/$S$13,0)</f>
        <v/>
      </c>
      <c r="BE2004" s="413" t="inlineStr">
        <is>
          <t>$</t>
        </is>
      </c>
    </row>
    <row r="2005" ht="12" customFormat="1" customHeight="1" s="65">
      <c r="A2005" s="43" t="n">
        <v>1990</v>
      </c>
      <c r="B2005" s="166" t="n"/>
      <c r="C2005" s="166" t="n"/>
      <c r="D2005" s="166" t="n"/>
      <c r="E2005" s="162" t="n"/>
      <c r="F2005" s="166" t="n"/>
      <c r="G2005" s="162" t="n"/>
      <c r="H2005" s="162" t="n"/>
      <c r="I2005" s="189">
        <f>E2005*G2005</f>
        <v/>
      </c>
      <c r="J2005" s="195" t="n"/>
      <c r="K2005" s="162" t="n"/>
      <c r="L2005" s="168" t="n"/>
      <c r="M2005" s="75">
        <f>_xlfn.XLOOKUP(L2005,list_vat[Страна],list_vat[Ставка НДС %],0,0)</f>
        <v/>
      </c>
      <c r="N2005" s="162">
        <f>IFERROR(IF(L2005="Китай",K2005,K2005/(1+M2005)),0)</f>
        <v/>
      </c>
      <c r="O2005" s="169" t="n"/>
      <c r="P2005" s="76">
        <f>N2005*(1-O2005)</f>
        <v/>
      </c>
      <c r="Q2005" s="162" t="n"/>
      <c r="R2005" s="162">
        <f>IF(ISBLANK(Q2005),"введи курс",P2005/Q2005)</f>
        <v/>
      </c>
      <c r="S2005" s="196">
        <f>IF(AND(ISNUMBER(E2005),ISNUMBER(Q2005)),E2005*R2005,0)</f>
        <v/>
      </c>
      <c r="T2005" s="192">
        <f>$BC2005*V$11</f>
        <v/>
      </c>
      <c r="U2005" s="76">
        <f>$BC2005*W$11</f>
        <v/>
      </c>
      <c r="V2005" s="193">
        <f>+SUM(T2005:U2005)</f>
        <v/>
      </c>
      <c r="W2005" s="191" t="n"/>
      <c r="X2005" s="170" t="n"/>
      <c r="Y2005" s="76">
        <f>ROUND(IF(offer_incoterms="DDP",X2005*(S2005*(1+AW2005)+T2005),0),2)</f>
        <v/>
      </c>
      <c r="Z2005" s="188" t="n"/>
      <c r="AA2005" s="192">
        <f>IFERROR(AB2005/E2005,0)</f>
        <v/>
      </c>
      <c r="AB2005" s="76">
        <f>ROUND(SUM(S2005,V2005,Y2005:Z2005,BA2005:BB2005),2)</f>
        <v/>
      </c>
      <c r="AC2005" s="797" t="n"/>
      <c r="AD2005" s="192">
        <f t="array" ref="AD2005">IFERROR(ROUND((_xlfn.IFS(offer_sale_type="поставка",AB2005,offer_sale_type="транзит",S2005)*(1+AC2005))/E2005,2),0)</f>
        <v/>
      </c>
      <c r="AE2005" s="76">
        <f>AD2005*E2005</f>
        <v/>
      </c>
      <c r="AF2005" s="193">
        <f t="array" ref="AF2005">IFERROR(ROUND(_xlfn.IFS(offer_sale_type="поставка",AB2005,offer_sale_type="транзит",S2005)*AC2005,2),0)</f>
        <v/>
      </c>
      <c r="AG2005" s="192">
        <f>$BD2005*VLOOKUP($AG$3,$AF$4:$AG$7,2,FALSE)</f>
        <v/>
      </c>
      <c r="AH2005" s="76">
        <f>SUM(AE2005,AG2005,AI2005)*rate_forex_risk</f>
        <v/>
      </c>
      <c r="AI2005" s="193">
        <f>IF(OR(seller_region="TR",offer_sale_type="экспорт"),0,rate_fin_comm)*SUM(AZ2005,AZ2005*AW2005,T2005)</f>
        <v/>
      </c>
      <c r="AJ2005" s="118">
        <f>IFERROR(ROUND(SUM(AB2005,AF2005:AI2005)/E2005,2),0)</f>
        <v/>
      </c>
      <c r="AK2005" s="76">
        <f>AJ2005*E2005</f>
        <v/>
      </c>
      <c r="AL2005" s="174">
        <f>ROUND(IFERROR(AM2005*E2005,0),2)</f>
        <v/>
      </c>
      <c r="AM2005" s="175">
        <f>ROUND(AJ2005*(1+IF(offer_incoterms="DDP",IF((TODAY()+offer_turnaround_time)&gt;=helpsheet!$L$17,rate_vatRU_from_26,rate_vatRu_till_25),0)),2)</f>
        <v/>
      </c>
      <c r="AN2005" s="192">
        <f>AL2005-AK2005</f>
        <v/>
      </c>
      <c r="AO2005" s="76">
        <f>SUM(AY2005,Y2005:Z2005,T2005)*IF(AND(offer_incoterms="DDP",offer_sale_type&lt;&gt;"экспорт"),IF((TODAY()+offer_turnaround_time)&gt;=helpsheet!$L$17,rate_vatRU_from_26,rate_vatRu_till_25),0)</f>
        <v/>
      </c>
      <c r="AP2005" s="193">
        <f>AN2005-AO2005</f>
        <v/>
      </c>
      <c r="AQ2005" s="118">
        <f>IF(offer_sale_type="транзит",SUM(AF2005:AI2005,BA2005,BB2005),0)</f>
        <v/>
      </c>
      <c r="AR2005" s="82">
        <f>HYPERLINK("https://www.alta.ru/tnved/code/")&amp;W2005&amp;"/"</f>
        <v/>
      </c>
      <c r="AS2005" s="157" t="n"/>
      <c r="AT2005" s="162" t="n"/>
      <c r="AU2005" s="76">
        <f>IF(ISBLANK(AT2005),0,AJ2005-AT2005)</f>
        <v/>
      </c>
      <c r="AV2005" s="157" t="n"/>
      <c r="AW2005" s="75">
        <f>_xlfn.IFNA(VLOOKUP(L2005,list_vat[],3,FALSE),0)</f>
        <v/>
      </c>
      <c r="AX2005" s="76">
        <f>IFERROR(ROUND(S2005*(1+AW2005)/E2005,2),0)</f>
        <v/>
      </c>
      <c r="AY2005" s="76">
        <f>E2005*AX2005</f>
        <v/>
      </c>
      <c r="AZ2005" s="192">
        <f>S2005*(1+M2005)</f>
        <v/>
      </c>
      <c r="BA2005" s="76">
        <f>cost_fin_total*$BD2005</f>
        <v/>
      </c>
      <c r="BB2005" s="193">
        <f>credit_sales_interest*BD2005</f>
        <v/>
      </c>
      <c r="BC2005" s="102">
        <f>IFERROR(IF($I$13&gt;0,$I2005/$I$13,$S2005/$S$13),0)</f>
        <v/>
      </c>
      <c r="BD2005" s="102">
        <f>IFERROR($S2005/$S$13,0)</f>
        <v/>
      </c>
      <c r="BE2005" s="413" t="inlineStr">
        <is>
          <t>$</t>
        </is>
      </c>
    </row>
    <row r="2006" ht="12" customFormat="1" customHeight="1" s="65">
      <c r="A2006" s="43" t="n">
        <v>1991</v>
      </c>
      <c r="B2006" s="166" t="n"/>
      <c r="C2006" s="166" t="n"/>
      <c r="D2006" s="166" t="n"/>
      <c r="E2006" s="162" t="n"/>
      <c r="F2006" s="166" t="n"/>
      <c r="G2006" s="162" t="n"/>
      <c r="H2006" s="162" t="n"/>
      <c r="I2006" s="189">
        <f>E2006*G2006</f>
        <v/>
      </c>
      <c r="J2006" s="195" t="n"/>
      <c r="K2006" s="162" t="n"/>
      <c r="L2006" s="168" t="n"/>
      <c r="M2006" s="75">
        <f>_xlfn.XLOOKUP(L2006,list_vat[Страна],list_vat[Ставка НДС %],0,0)</f>
        <v/>
      </c>
      <c r="N2006" s="162">
        <f>IFERROR(IF(L2006="Китай",K2006,K2006/(1+M2006)),0)</f>
        <v/>
      </c>
      <c r="O2006" s="169" t="n"/>
      <c r="P2006" s="76">
        <f>N2006*(1-O2006)</f>
        <v/>
      </c>
      <c r="Q2006" s="162" t="n"/>
      <c r="R2006" s="162">
        <f>IF(ISBLANK(Q2006),"введи курс",P2006/Q2006)</f>
        <v/>
      </c>
      <c r="S2006" s="196">
        <f>IF(AND(ISNUMBER(E2006),ISNUMBER(Q2006)),E2006*R2006,0)</f>
        <v/>
      </c>
      <c r="T2006" s="192">
        <f>$BC2006*V$11</f>
        <v/>
      </c>
      <c r="U2006" s="76">
        <f>$BC2006*W$11</f>
        <v/>
      </c>
      <c r="V2006" s="193">
        <f>+SUM(T2006:U2006)</f>
        <v/>
      </c>
      <c r="W2006" s="191" t="n"/>
      <c r="X2006" s="170" t="n"/>
      <c r="Y2006" s="76">
        <f>ROUND(IF(offer_incoterms="DDP",X2006*(S2006*(1+AW2006)+T2006),0),2)</f>
        <v/>
      </c>
      <c r="Z2006" s="188" t="n"/>
      <c r="AA2006" s="192">
        <f>IFERROR(AB2006/E2006,0)</f>
        <v/>
      </c>
      <c r="AB2006" s="76">
        <f>ROUND(SUM(S2006,V2006,Y2006:Z2006,BA2006:BB2006),2)</f>
        <v/>
      </c>
      <c r="AC2006" s="797" t="n"/>
      <c r="AD2006" s="192">
        <f t="array" ref="AD2006">IFERROR(ROUND((_xlfn.IFS(offer_sale_type="поставка",AB2006,offer_sale_type="транзит",S2006)*(1+AC2006))/E2006,2),0)</f>
        <v/>
      </c>
      <c r="AE2006" s="76">
        <f>AD2006*E2006</f>
        <v/>
      </c>
      <c r="AF2006" s="193">
        <f t="array" ref="AF2006">IFERROR(ROUND(_xlfn.IFS(offer_sale_type="поставка",AB2006,offer_sale_type="транзит",S2006)*AC2006,2),0)</f>
        <v/>
      </c>
      <c r="AG2006" s="192">
        <f>$BD2006*VLOOKUP($AG$3,$AF$4:$AG$7,2,FALSE)</f>
        <v/>
      </c>
      <c r="AH2006" s="76">
        <f>SUM(AE2006,AG2006,AI2006)*rate_forex_risk</f>
        <v/>
      </c>
      <c r="AI2006" s="193">
        <f>IF(OR(seller_region="TR",offer_sale_type="экспорт"),0,rate_fin_comm)*SUM(AZ2006,AZ2006*AW2006,T2006)</f>
        <v/>
      </c>
      <c r="AJ2006" s="118">
        <f>IFERROR(ROUND(SUM(AB2006,AF2006:AI2006)/E2006,2),0)</f>
        <v/>
      </c>
      <c r="AK2006" s="76">
        <f>AJ2006*E2006</f>
        <v/>
      </c>
      <c r="AL2006" s="174">
        <f>ROUND(IFERROR(AM2006*E2006,0),2)</f>
        <v/>
      </c>
      <c r="AM2006" s="175">
        <f>ROUND(AJ2006*(1+IF(offer_incoterms="DDP",IF((TODAY()+offer_turnaround_time)&gt;=helpsheet!$L$17,rate_vatRU_from_26,rate_vatRu_till_25),0)),2)</f>
        <v/>
      </c>
      <c r="AN2006" s="192">
        <f>AL2006-AK2006</f>
        <v/>
      </c>
      <c r="AO2006" s="76">
        <f>SUM(AY2006,Y2006:Z2006,T2006)*IF(AND(offer_incoterms="DDP",offer_sale_type&lt;&gt;"экспорт"),IF((TODAY()+offer_turnaround_time)&gt;=helpsheet!$L$17,rate_vatRU_from_26,rate_vatRu_till_25),0)</f>
        <v/>
      </c>
      <c r="AP2006" s="193">
        <f>AN2006-AO2006</f>
        <v/>
      </c>
      <c r="AQ2006" s="118">
        <f>IF(offer_sale_type="транзит",SUM(AF2006:AI2006,BA2006,BB2006),0)</f>
        <v/>
      </c>
      <c r="AR2006" s="82">
        <f>HYPERLINK("https://www.alta.ru/tnved/code/")&amp;W2006&amp;"/"</f>
        <v/>
      </c>
      <c r="AS2006" s="157" t="n"/>
      <c r="AT2006" s="162" t="n"/>
      <c r="AU2006" s="76">
        <f>IF(ISBLANK(AT2006),0,AJ2006-AT2006)</f>
        <v/>
      </c>
      <c r="AV2006" s="157" t="n"/>
      <c r="AW2006" s="75">
        <f>_xlfn.IFNA(VLOOKUP(L2006,list_vat[],3,FALSE),0)</f>
        <v/>
      </c>
      <c r="AX2006" s="76">
        <f>IFERROR(ROUND(S2006*(1+AW2006)/E2006,2),0)</f>
        <v/>
      </c>
      <c r="AY2006" s="76">
        <f>E2006*AX2006</f>
        <v/>
      </c>
      <c r="AZ2006" s="192">
        <f>S2006*(1+M2006)</f>
        <v/>
      </c>
      <c r="BA2006" s="76">
        <f>cost_fin_total*$BD2006</f>
        <v/>
      </c>
      <c r="BB2006" s="193">
        <f>credit_sales_interest*BD2006</f>
        <v/>
      </c>
      <c r="BC2006" s="102">
        <f>IFERROR(IF($I$13&gt;0,$I2006/$I$13,$S2006/$S$13),0)</f>
        <v/>
      </c>
      <c r="BD2006" s="102">
        <f>IFERROR($S2006/$S$13,0)</f>
        <v/>
      </c>
      <c r="BE2006" s="413" t="inlineStr">
        <is>
          <t>$</t>
        </is>
      </c>
    </row>
    <row r="2007" ht="12" customFormat="1" customHeight="1" s="65">
      <c r="A2007" s="43" t="n">
        <v>1992</v>
      </c>
      <c r="B2007" s="166" t="n"/>
      <c r="C2007" s="166" t="n"/>
      <c r="D2007" s="166" t="n"/>
      <c r="E2007" s="162" t="n"/>
      <c r="F2007" s="166" t="n"/>
      <c r="G2007" s="162" t="n"/>
      <c r="H2007" s="162" t="n"/>
      <c r="I2007" s="189">
        <f>E2007*G2007</f>
        <v/>
      </c>
      <c r="J2007" s="195" t="n"/>
      <c r="K2007" s="162" t="n"/>
      <c r="L2007" s="168" t="n"/>
      <c r="M2007" s="75">
        <f>_xlfn.XLOOKUP(L2007,list_vat[Страна],list_vat[Ставка НДС %],0,0)</f>
        <v/>
      </c>
      <c r="N2007" s="162">
        <f>IFERROR(IF(L2007="Китай",K2007,K2007/(1+M2007)),0)</f>
        <v/>
      </c>
      <c r="O2007" s="169" t="n"/>
      <c r="P2007" s="76">
        <f>N2007*(1-O2007)</f>
        <v/>
      </c>
      <c r="Q2007" s="162" t="n"/>
      <c r="R2007" s="162">
        <f>IF(ISBLANK(Q2007),"введи курс",P2007/Q2007)</f>
        <v/>
      </c>
      <c r="S2007" s="196">
        <f>IF(AND(ISNUMBER(E2007),ISNUMBER(Q2007)),E2007*R2007,0)</f>
        <v/>
      </c>
      <c r="T2007" s="192">
        <f>$BC2007*V$11</f>
        <v/>
      </c>
      <c r="U2007" s="76">
        <f>$BC2007*W$11</f>
        <v/>
      </c>
      <c r="V2007" s="193">
        <f>+SUM(T2007:U2007)</f>
        <v/>
      </c>
      <c r="W2007" s="191" t="n"/>
      <c r="X2007" s="170" t="n"/>
      <c r="Y2007" s="76">
        <f>ROUND(IF(offer_incoterms="DDP",X2007*(S2007*(1+AW2007)+T2007),0),2)</f>
        <v/>
      </c>
      <c r="Z2007" s="188" t="n"/>
      <c r="AA2007" s="192">
        <f>IFERROR(AB2007/E2007,0)</f>
        <v/>
      </c>
      <c r="AB2007" s="76">
        <f>ROUND(SUM(S2007,V2007,Y2007:Z2007,BA2007:BB2007),2)</f>
        <v/>
      </c>
      <c r="AC2007" s="797" t="n"/>
      <c r="AD2007" s="192">
        <f t="array" ref="AD2007">IFERROR(ROUND((_xlfn.IFS(offer_sale_type="поставка",AB2007,offer_sale_type="транзит",S2007)*(1+AC2007))/E2007,2),0)</f>
        <v/>
      </c>
      <c r="AE2007" s="76">
        <f>AD2007*E2007</f>
        <v/>
      </c>
      <c r="AF2007" s="193">
        <f t="array" ref="AF2007">IFERROR(ROUND(_xlfn.IFS(offer_sale_type="поставка",AB2007,offer_sale_type="транзит",S2007)*AC2007,2),0)</f>
        <v/>
      </c>
      <c r="AG2007" s="192">
        <f>$BD2007*VLOOKUP($AG$3,$AF$4:$AG$7,2,FALSE)</f>
        <v/>
      </c>
      <c r="AH2007" s="76">
        <f>SUM(AE2007,AG2007,AI2007)*rate_forex_risk</f>
        <v/>
      </c>
      <c r="AI2007" s="193">
        <f>IF(OR(seller_region="TR",offer_sale_type="экспорт"),0,rate_fin_comm)*SUM(AZ2007,AZ2007*AW2007,T2007)</f>
        <v/>
      </c>
      <c r="AJ2007" s="118">
        <f>IFERROR(ROUND(SUM(AB2007,AF2007:AI2007)/E2007,2),0)</f>
        <v/>
      </c>
      <c r="AK2007" s="76">
        <f>AJ2007*E2007</f>
        <v/>
      </c>
      <c r="AL2007" s="174">
        <f>ROUND(IFERROR(AM2007*E2007,0),2)</f>
        <v/>
      </c>
      <c r="AM2007" s="175">
        <f>ROUND(AJ2007*(1+IF(offer_incoterms="DDP",IF((TODAY()+offer_turnaround_time)&gt;=helpsheet!$L$17,rate_vatRU_from_26,rate_vatRu_till_25),0)),2)</f>
        <v/>
      </c>
      <c r="AN2007" s="192">
        <f>AL2007-AK2007</f>
        <v/>
      </c>
      <c r="AO2007" s="76">
        <f>SUM(AY2007,Y2007:Z2007,T2007)*IF(AND(offer_incoterms="DDP",offer_sale_type&lt;&gt;"экспорт"),IF((TODAY()+offer_turnaround_time)&gt;=helpsheet!$L$17,rate_vatRU_from_26,rate_vatRu_till_25),0)</f>
        <v/>
      </c>
      <c r="AP2007" s="193">
        <f>AN2007-AO2007</f>
        <v/>
      </c>
      <c r="AQ2007" s="118">
        <f>IF(offer_sale_type="транзит",SUM(AF2007:AI2007,BA2007,BB2007),0)</f>
        <v/>
      </c>
      <c r="AR2007" s="82">
        <f>HYPERLINK("https://www.alta.ru/tnved/code/")&amp;W2007&amp;"/"</f>
        <v/>
      </c>
      <c r="AS2007" s="157" t="n"/>
      <c r="AT2007" s="162" t="n"/>
      <c r="AU2007" s="76">
        <f>IF(ISBLANK(AT2007),0,AJ2007-AT2007)</f>
        <v/>
      </c>
      <c r="AV2007" s="157" t="n"/>
      <c r="AW2007" s="75">
        <f>_xlfn.IFNA(VLOOKUP(L2007,list_vat[],3,FALSE),0)</f>
        <v/>
      </c>
      <c r="AX2007" s="76">
        <f>IFERROR(ROUND(S2007*(1+AW2007)/E2007,2),0)</f>
        <v/>
      </c>
      <c r="AY2007" s="76">
        <f>E2007*AX2007</f>
        <v/>
      </c>
      <c r="AZ2007" s="192">
        <f>S2007*(1+M2007)</f>
        <v/>
      </c>
      <c r="BA2007" s="76">
        <f>cost_fin_total*$BD2007</f>
        <v/>
      </c>
      <c r="BB2007" s="193">
        <f>credit_sales_interest*BD2007</f>
        <v/>
      </c>
      <c r="BC2007" s="102">
        <f>IFERROR(IF($I$13&gt;0,$I2007/$I$13,$S2007/$S$13),0)</f>
        <v/>
      </c>
      <c r="BD2007" s="102">
        <f>IFERROR($S2007/$S$13,0)</f>
        <v/>
      </c>
      <c r="BE2007" s="413" t="inlineStr">
        <is>
          <t>$</t>
        </is>
      </c>
    </row>
    <row r="2008" ht="12" customFormat="1" customHeight="1" s="65">
      <c r="A2008" s="43" t="n">
        <v>1993</v>
      </c>
      <c r="B2008" s="166" t="n"/>
      <c r="C2008" s="166" t="n"/>
      <c r="D2008" s="166" t="n"/>
      <c r="E2008" s="162" t="n"/>
      <c r="F2008" s="166" t="n"/>
      <c r="G2008" s="162" t="n"/>
      <c r="H2008" s="162" t="n"/>
      <c r="I2008" s="189">
        <f>E2008*G2008</f>
        <v/>
      </c>
      <c r="J2008" s="195" t="n"/>
      <c r="K2008" s="162" t="n"/>
      <c r="L2008" s="168" t="n"/>
      <c r="M2008" s="75">
        <f>_xlfn.XLOOKUP(L2008,list_vat[Страна],list_vat[Ставка НДС %],0,0)</f>
        <v/>
      </c>
      <c r="N2008" s="162">
        <f>IFERROR(IF(L2008="Китай",K2008,K2008/(1+M2008)),0)</f>
        <v/>
      </c>
      <c r="O2008" s="169" t="n"/>
      <c r="P2008" s="76">
        <f>N2008*(1-O2008)</f>
        <v/>
      </c>
      <c r="Q2008" s="162" t="n"/>
      <c r="R2008" s="162">
        <f>IF(ISBLANK(Q2008),"введи курс",P2008/Q2008)</f>
        <v/>
      </c>
      <c r="S2008" s="196">
        <f>IF(AND(ISNUMBER(E2008),ISNUMBER(Q2008)),E2008*R2008,0)</f>
        <v/>
      </c>
      <c r="T2008" s="192">
        <f>$BC2008*V$11</f>
        <v/>
      </c>
      <c r="U2008" s="76">
        <f>$BC2008*W$11</f>
        <v/>
      </c>
      <c r="V2008" s="193">
        <f>+SUM(T2008:U2008)</f>
        <v/>
      </c>
      <c r="W2008" s="191" t="n"/>
      <c r="X2008" s="170" t="n"/>
      <c r="Y2008" s="76">
        <f>ROUND(IF(offer_incoterms="DDP",X2008*(S2008*(1+AW2008)+T2008),0),2)</f>
        <v/>
      </c>
      <c r="Z2008" s="188" t="n"/>
      <c r="AA2008" s="192">
        <f>IFERROR(AB2008/E2008,0)</f>
        <v/>
      </c>
      <c r="AB2008" s="76">
        <f>ROUND(SUM(S2008,V2008,Y2008:Z2008,BA2008:BB2008),2)</f>
        <v/>
      </c>
      <c r="AC2008" s="797" t="n"/>
      <c r="AD2008" s="192">
        <f t="array" ref="AD2008">IFERROR(ROUND((_xlfn.IFS(offer_sale_type="поставка",AB2008,offer_sale_type="транзит",S2008)*(1+AC2008))/E2008,2),0)</f>
        <v/>
      </c>
      <c r="AE2008" s="76">
        <f>AD2008*E2008</f>
        <v/>
      </c>
      <c r="AF2008" s="193">
        <f t="array" ref="AF2008">IFERROR(ROUND(_xlfn.IFS(offer_sale_type="поставка",AB2008,offer_sale_type="транзит",S2008)*AC2008,2),0)</f>
        <v/>
      </c>
      <c r="AG2008" s="192">
        <f>$BD2008*VLOOKUP($AG$3,$AF$4:$AG$7,2,FALSE)</f>
        <v/>
      </c>
      <c r="AH2008" s="76">
        <f>SUM(AE2008,AG2008,AI2008)*rate_forex_risk</f>
        <v/>
      </c>
      <c r="AI2008" s="193">
        <f>IF(OR(seller_region="TR",offer_sale_type="экспорт"),0,rate_fin_comm)*SUM(AZ2008,AZ2008*AW2008,T2008)</f>
        <v/>
      </c>
      <c r="AJ2008" s="118">
        <f>IFERROR(ROUND(SUM(AB2008,AF2008:AI2008)/E2008,2),0)</f>
        <v/>
      </c>
      <c r="AK2008" s="76">
        <f>AJ2008*E2008</f>
        <v/>
      </c>
      <c r="AL2008" s="174">
        <f>ROUND(IFERROR(AM2008*E2008,0),2)</f>
        <v/>
      </c>
      <c r="AM2008" s="175">
        <f>ROUND(AJ2008*(1+IF(offer_incoterms="DDP",IF((TODAY()+offer_turnaround_time)&gt;=helpsheet!$L$17,rate_vatRU_from_26,rate_vatRu_till_25),0)),2)</f>
        <v/>
      </c>
      <c r="AN2008" s="192">
        <f>AL2008-AK2008</f>
        <v/>
      </c>
      <c r="AO2008" s="76">
        <f>SUM(AY2008,Y2008:Z2008,T2008)*IF(AND(offer_incoterms="DDP",offer_sale_type&lt;&gt;"экспорт"),IF((TODAY()+offer_turnaround_time)&gt;=helpsheet!$L$17,rate_vatRU_from_26,rate_vatRu_till_25),0)</f>
        <v/>
      </c>
      <c r="AP2008" s="193">
        <f>AN2008-AO2008</f>
        <v/>
      </c>
      <c r="AQ2008" s="118">
        <f>IF(offer_sale_type="транзит",SUM(AF2008:AI2008,BA2008,BB2008),0)</f>
        <v/>
      </c>
      <c r="AR2008" s="82">
        <f>HYPERLINK("https://www.alta.ru/tnved/code/")&amp;W2008&amp;"/"</f>
        <v/>
      </c>
      <c r="AS2008" s="157" t="n"/>
      <c r="AT2008" s="162" t="n"/>
      <c r="AU2008" s="76">
        <f>IF(ISBLANK(AT2008),0,AJ2008-AT2008)</f>
        <v/>
      </c>
      <c r="AV2008" s="157" t="n"/>
      <c r="AW2008" s="75">
        <f>_xlfn.IFNA(VLOOKUP(L2008,list_vat[],3,FALSE),0)</f>
        <v/>
      </c>
      <c r="AX2008" s="76">
        <f>IFERROR(ROUND(S2008*(1+AW2008)/E2008,2),0)</f>
        <v/>
      </c>
      <c r="AY2008" s="76">
        <f>E2008*AX2008</f>
        <v/>
      </c>
      <c r="AZ2008" s="192">
        <f>S2008*(1+M2008)</f>
        <v/>
      </c>
      <c r="BA2008" s="76">
        <f>cost_fin_total*$BD2008</f>
        <v/>
      </c>
      <c r="BB2008" s="193">
        <f>credit_sales_interest*BD2008</f>
        <v/>
      </c>
      <c r="BC2008" s="102">
        <f>IFERROR(IF($I$13&gt;0,$I2008/$I$13,$S2008/$S$13),0)</f>
        <v/>
      </c>
      <c r="BD2008" s="102">
        <f>IFERROR($S2008/$S$13,0)</f>
        <v/>
      </c>
      <c r="BE2008" s="413" t="inlineStr">
        <is>
          <t>$</t>
        </is>
      </c>
    </row>
    <row r="2009" ht="12" customFormat="1" customHeight="1" s="65">
      <c r="A2009" s="43" t="n">
        <v>1994</v>
      </c>
      <c r="B2009" s="166" t="n"/>
      <c r="C2009" s="166" t="n"/>
      <c r="D2009" s="166" t="n"/>
      <c r="E2009" s="162" t="n"/>
      <c r="F2009" s="166" t="n"/>
      <c r="G2009" s="162" t="n"/>
      <c r="H2009" s="162" t="n"/>
      <c r="I2009" s="189">
        <f>E2009*G2009</f>
        <v/>
      </c>
      <c r="J2009" s="195" t="n"/>
      <c r="K2009" s="162" t="n"/>
      <c r="L2009" s="168" t="n"/>
      <c r="M2009" s="75">
        <f>_xlfn.XLOOKUP(L2009,list_vat[Страна],list_vat[Ставка НДС %],0,0)</f>
        <v/>
      </c>
      <c r="N2009" s="162">
        <f>IFERROR(IF(L2009="Китай",K2009,K2009/(1+M2009)),0)</f>
        <v/>
      </c>
      <c r="O2009" s="169" t="n"/>
      <c r="P2009" s="76">
        <f>N2009*(1-O2009)</f>
        <v/>
      </c>
      <c r="Q2009" s="162" t="n"/>
      <c r="R2009" s="162">
        <f>IF(ISBLANK(Q2009),"введи курс",P2009/Q2009)</f>
        <v/>
      </c>
      <c r="S2009" s="196">
        <f>IF(AND(ISNUMBER(E2009),ISNUMBER(Q2009)),E2009*R2009,0)</f>
        <v/>
      </c>
      <c r="T2009" s="192">
        <f>$BC2009*V$11</f>
        <v/>
      </c>
      <c r="U2009" s="76">
        <f>$BC2009*W$11</f>
        <v/>
      </c>
      <c r="V2009" s="193">
        <f>+SUM(T2009:U2009)</f>
        <v/>
      </c>
      <c r="W2009" s="191" t="n"/>
      <c r="X2009" s="170" t="n"/>
      <c r="Y2009" s="76">
        <f>ROUND(IF(offer_incoterms="DDP",X2009*(S2009*(1+AW2009)+T2009),0),2)</f>
        <v/>
      </c>
      <c r="Z2009" s="188" t="n"/>
      <c r="AA2009" s="192">
        <f>IFERROR(AB2009/E2009,0)</f>
        <v/>
      </c>
      <c r="AB2009" s="76">
        <f>ROUND(SUM(S2009,V2009,Y2009:Z2009,BA2009:BB2009),2)</f>
        <v/>
      </c>
      <c r="AC2009" s="797" t="n"/>
      <c r="AD2009" s="192">
        <f t="array" ref="AD2009">IFERROR(ROUND((_xlfn.IFS(offer_sale_type="поставка",AB2009,offer_sale_type="транзит",S2009)*(1+AC2009))/E2009,2),0)</f>
        <v/>
      </c>
      <c r="AE2009" s="76">
        <f>AD2009*E2009</f>
        <v/>
      </c>
      <c r="AF2009" s="193">
        <f t="array" ref="AF2009">IFERROR(ROUND(_xlfn.IFS(offer_sale_type="поставка",AB2009,offer_sale_type="транзит",S2009)*AC2009,2),0)</f>
        <v/>
      </c>
      <c r="AG2009" s="192">
        <f>$BD2009*VLOOKUP($AG$3,$AF$4:$AG$7,2,FALSE)</f>
        <v/>
      </c>
      <c r="AH2009" s="76">
        <f>SUM(AE2009,AG2009,AI2009)*rate_forex_risk</f>
        <v/>
      </c>
      <c r="AI2009" s="193">
        <f>IF(OR(seller_region="TR",offer_sale_type="экспорт"),0,rate_fin_comm)*SUM(AZ2009,AZ2009*AW2009,T2009)</f>
        <v/>
      </c>
      <c r="AJ2009" s="118">
        <f>IFERROR(ROUND(SUM(AB2009,AF2009:AI2009)/E2009,2),0)</f>
        <v/>
      </c>
      <c r="AK2009" s="76">
        <f>AJ2009*E2009</f>
        <v/>
      </c>
      <c r="AL2009" s="174">
        <f>ROUND(IFERROR(AM2009*E2009,0),2)</f>
        <v/>
      </c>
      <c r="AM2009" s="175">
        <f>ROUND(AJ2009*(1+IF(offer_incoterms="DDP",IF((TODAY()+offer_turnaround_time)&gt;=helpsheet!$L$17,rate_vatRU_from_26,rate_vatRu_till_25),0)),2)</f>
        <v/>
      </c>
      <c r="AN2009" s="192">
        <f>AL2009-AK2009</f>
        <v/>
      </c>
      <c r="AO2009" s="76">
        <f>SUM(AY2009,Y2009:Z2009,T2009)*IF(AND(offer_incoterms="DDP",offer_sale_type&lt;&gt;"экспорт"),IF((TODAY()+offer_turnaround_time)&gt;=helpsheet!$L$17,rate_vatRU_from_26,rate_vatRu_till_25),0)</f>
        <v/>
      </c>
      <c r="AP2009" s="193">
        <f>AN2009-AO2009</f>
        <v/>
      </c>
      <c r="AQ2009" s="118">
        <f>IF(offer_sale_type="транзит",SUM(AF2009:AI2009,BA2009,BB2009),0)</f>
        <v/>
      </c>
      <c r="AR2009" s="82">
        <f>HYPERLINK("https://www.alta.ru/tnved/code/")&amp;W2009&amp;"/"</f>
        <v/>
      </c>
      <c r="AS2009" s="157" t="n"/>
      <c r="AT2009" s="162" t="n"/>
      <c r="AU2009" s="76">
        <f>IF(ISBLANK(AT2009),0,AJ2009-AT2009)</f>
        <v/>
      </c>
      <c r="AV2009" s="157" t="n"/>
      <c r="AW2009" s="75">
        <f>_xlfn.IFNA(VLOOKUP(L2009,list_vat[],3,FALSE),0)</f>
        <v/>
      </c>
      <c r="AX2009" s="76">
        <f>IFERROR(ROUND(S2009*(1+AW2009)/E2009,2),0)</f>
        <v/>
      </c>
      <c r="AY2009" s="76">
        <f>E2009*AX2009</f>
        <v/>
      </c>
      <c r="AZ2009" s="192">
        <f>S2009*(1+M2009)</f>
        <v/>
      </c>
      <c r="BA2009" s="76">
        <f>cost_fin_total*$BD2009</f>
        <v/>
      </c>
      <c r="BB2009" s="193">
        <f>credit_sales_interest*BD2009</f>
        <v/>
      </c>
      <c r="BC2009" s="102">
        <f>IFERROR(IF($I$13&gt;0,$I2009/$I$13,$S2009/$S$13),0)</f>
        <v/>
      </c>
      <c r="BD2009" s="102">
        <f>IFERROR($S2009/$S$13,0)</f>
        <v/>
      </c>
      <c r="BE2009" s="413" t="inlineStr">
        <is>
          <t>$</t>
        </is>
      </c>
    </row>
    <row r="2010" ht="12" customFormat="1" customHeight="1" s="65">
      <c r="A2010" s="43" t="n">
        <v>1995</v>
      </c>
      <c r="B2010" s="166" t="n"/>
      <c r="C2010" s="166" t="n"/>
      <c r="D2010" s="166" t="n"/>
      <c r="E2010" s="162" t="n"/>
      <c r="F2010" s="166" t="n"/>
      <c r="G2010" s="162" t="n"/>
      <c r="H2010" s="162" t="n"/>
      <c r="I2010" s="189">
        <f>E2010*G2010</f>
        <v/>
      </c>
      <c r="J2010" s="195" t="n"/>
      <c r="K2010" s="162" t="n"/>
      <c r="L2010" s="168" t="n"/>
      <c r="M2010" s="75">
        <f>_xlfn.XLOOKUP(L2010,list_vat[Страна],list_vat[Ставка НДС %],0,0)</f>
        <v/>
      </c>
      <c r="N2010" s="162">
        <f>IFERROR(IF(L2010="Китай",K2010,K2010/(1+M2010)),0)</f>
        <v/>
      </c>
      <c r="O2010" s="169" t="n"/>
      <c r="P2010" s="76">
        <f>N2010*(1-O2010)</f>
        <v/>
      </c>
      <c r="Q2010" s="162" t="n"/>
      <c r="R2010" s="162">
        <f>IF(ISBLANK(Q2010),"введи курс",P2010/Q2010)</f>
        <v/>
      </c>
      <c r="S2010" s="196">
        <f>IF(AND(ISNUMBER(E2010),ISNUMBER(Q2010)),E2010*R2010,0)</f>
        <v/>
      </c>
      <c r="T2010" s="192">
        <f>$BC2010*V$11</f>
        <v/>
      </c>
      <c r="U2010" s="76">
        <f>$BC2010*W$11</f>
        <v/>
      </c>
      <c r="V2010" s="193">
        <f>+SUM(T2010:U2010)</f>
        <v/>
      </c>
      <c r="W2010" s="191" t="n"/>
      <c r="X2010" s="170" t="n"/>
      <c r="Y2010" s="76">
        <f>ROUND(IF(offer_incoterms="DDP",X2010*(S2010*(1+AW2010)+T2010),0),2)</f>
        <v/>
      </c>
      <c r="Z2010" s="188" t="n"/>
      <c r="AA2010" s="192">
        <f>IFERROR(AB2010/E2010,0)</f>
        <v/>
      </c>
      <c r="AB2010" s="76">
        <f>ROUND(SUM(S2010,V2010,Y2010:Z2010,BA2010:BB2010),2)</f>
        <v/>
      </c>
      <c r="AC2010" s="797" t="n"/>
      <c r="AD2010" s="192">
        <f t="array" ref="AD2010">IFERROR(ROUND((_xlfn.IFS(offer_sale_type="поставка",AB2010,offer_sale_type="транзит",S2010)*(1+AC2010))/E2010,2),0)</f>
        <v/>
      </c>
      <c r="AE2010" s="76">
        <f>AD2010*E2010</f>
        <v/>
      </c>
      <c r="AF2010" s="193">
        <f t="array" ref="AF2010">IFERROR(ROUND(_xlfn.IFS(offer_sale_type="поставка",AB2010,offer_sale_type="транзит",S2010)*AC2010,2),0)</f>
        <v/>
      </c>
      <c r="AG2010" s="192">
        <f>$BD2010*VLOOKUP($AG$3,$AF$4:$AG$7,2,FALSE)</f>
        <v/>
      </c>
      <c r="AH2010" s="76">
        <f>SUM(AE2010,AG2010,AI2010)*rate_forex_risk</f>
        <v/>
      </c>
      <c r="AI2010" s="193">
        <f>IF(OR(seller_region="TR",offer_sale_type="экспорт"),0,rate_fin_comm)*SUM(AZ2010,AZ2010*AW2010,T2010)</f>
        <v/>
      </c>
      <c r="AJ2010" s="118">
        <f>IFERROR(ROUND(SUM(AB2010,AF2010:AI2010)/E2010,2),0)</f>
        <v/>
      </c>
      <c r="AK2010" s="76">
        <f>AJ2010*E2010</f>
        <v/>
      </c>
      <c r="AL2010" s="174">
        <f>ROUND(IFERROR(AM2010*E2010,0),2)</f>
        <v/>
      </c>
      <c r="AM2010" s="175">
        <f>ROUND(AJ2010*(1+IF(offer_incoterms="DDP",IF((TODAY()+offer_turnaround_time)&gt;=helpsheet!$L$17,rate_vatRU_from_26,rate_vatRu_till_25),0)),2)</f>
        <v/>
      </c>
      <c r="AN2010" s="192">
        <f>AL2010-AK2010</f>
        <v/>
      </c>
      <c r="AO2010" s="76">
        <f>SUM(AY2010,Y2010:Z2010,T2010)*IF(AND(offer_incoterms="DDP",offer_sale_type&lt;&gt;"экспорт"),IF((TODAY()+offer_turnaround_time)&gt;=helpsheet!$L$17,rate_vatRU_from_26,rate_vatRu_till_25),0)</f>
        <v/>
      </c>
      <c r="AP2010" s="193">
        <f>AN2010-AO2010</f>
        <v/>
      </c>
      <c r="AQ2010" s="118">
        <f>IF(offer_sale_type="транзит",SUM(AF2010:AI2010,BA2010,BB2010),0)</f>
        <v/>
      </c>
      <c r="AR2010" s="82">
        <f>HYPERLINK("https://www.alta.ru/tnved/code/")&amp;W2010&amp;"/"</f>
        <v/>
      </c>
      <c r="AS2010" s="157" t="n"/>
      <c r="AT2010" s="162" t="n"/>
      <c r="AU2010" s="76">
        <f>IF(ISBLANK(AT2010),0,AJ2010-AT2010)</f>
        <v/>
      </c>
      <c r="AV2010" s="157" t="n"/>
      <c r="AW2010" s="75">
        <f>_xlfn.IFNA(VLOOKUP(L2010,list_vat[],3,FALSE),0)</f>
        <v/>
      </c>
      <c r="AX2010" s="76">
        <f>IFERROR(ROUND(S2010*(1+AW2010)/E2010,2),0)</f>
        <v/>
      </c>
      <c r="AY2010" s="76">
        <f>E2010*AX2010</f>
        <v/>
      </c>
      <c r="AZ2010" s="192">
        <f>S2010*(1+M2010)</f>
        <v/>
      </c>
      <c r="BA2010" s="76">
        <f>cost_fin_total*$BD2010</f>
        <v/>
      </c>
      <c r="BB2010" s="193">
        <f>credit_sales_interest*BD2010</f>
        <v/>
      </c>
      <c r="BC2010" s="102">
        <f>IFERROR(IF($I$13&gt;0,$I2010/$I$13,$S2010/$S$13),0)</f>
        <v/>
      </c>
      <c r="BD2010" s="102">
        <f>IFERROR($S2010/$S$13,0)</f>
        <v/>
      </c>
      <c r="BE2010" s="413" t="inlineStr">
        <is>
          <t>$</t>
        </is>
      </c>
    </row>
    <row r="2011" ht="12" customFormat="1" customHeight="1" s="65">
      <c r="A2011" s="43" t="n">
        <v>1996</v>
      </c>
      <c r="B2011" s="166" t="n"/>
      <c r="C2011" s="166" t="n"/>
      <c r="D2011" s="166" t="n"/>
      <c r="E2011" s="162" t="n"/>
      <c r="F2011" s="166" t="n"/>
      <c r="G2011" s="162" t="n"/>
      <c r="H2011" s="162" t="n"/>
      <c r="I2011" s="189">
        <f>E2011*G2011</f>
        <v/>
      </c>
      <c r="J2011" s="195" t="n"/>
      <c r="K2011" s="162" t="n"/>
      <c r="L2011" s="168" t="n"/>
      <c r="M2011" s="75">
        <f>_xlfn.XLOOKUP(L2011,list_vat[Страна],list_vat[Ставка НДС %],0,0)</f>
        <v/>
      </c>
      <c r="N2011" s="162">
        <f>IFERROR(IF(L2011="Китай",K2011,K2011/(1+M2011)),0)</f>
        <v/>
      </c>
      <c r="O2011" s="169" t="n"/>
      <c r="P2011" s="76">
        <f>N2011*(1-O2011)</f>
        <v/>
      </c>
      <c r="Q2011" s="162" t="n"/>
      <c r="R2011" s="162">
        <f>IF(ISBLANK(Q2011),"введи курс",P2011/Q2011)</f>
        <v/>
      </c>
      <c r="S2011" s="196">
        <f>IF(AND(ISNUMBER(E2011),ISNUMBER(Q2011)),E2011*R2011,0)</f>
        <v/>
      </c>
      <c r="T2011" s="192">
        <f>$BC2011*V$11</f>
        <v/>
      </c>
      <c r="U2011" s="76">
        <f>$BC2011*W$11</f>
        <v/>
      </c>
      <c r="V2011" s="193">
        <f>+SUM(T2011:U2011)</f>
        <v/>
      </c>
      <c r="W2011" s="191" t="n"/>
      <c r="X2011" s="170" t="n"/>
      <c r="Y2011" s="76">
        <f>ROUND(IF(offer_incoterms="DDP",X2011*(S2011*(1+AW2011)+T2011),0),2)</f>
        <v/>
      </c>
      <c r="Z2011" s="188" t="n"/>
      <c r="AA2011" s="192">
        <f>IFERROR(AB2011/E2011,0)</f>
        <v/>
      </c>
      <c r="AB2011" s="76">
        <f>ROUND(SUM(S2011,V2011,Y2011:Z2011,BA2011:BB2011),2)</f>
        <v/>
      </c>
      <c r="AC2011" s="797" t="n"/>
      <c r="AD2011" s="192">
        <f t="array" ref="AD2011">IFERROR(ROUND((_xlfn.IFS(offer_sale_type="поставка",AB2011,offer_sale_type="транзит",S2011)*(1+AC2011))/E2011,2),0)</f>
        <v/>
      </c>
      <c r="AE2011" s="76">
        <f>AD2011*E2011</f>
        <v/>
      </c>
      <c r="AF2011" s="193">
        <f t="array" ref="AF2011">IFERROR(ROUND(_xlfn.IFS(offer_sale_type="поставка",AB2011,offer_sale_type="транзит",S2011)*AC2011,2),0)</f>
        <v/>
      </c>
      <c r="AG2011" s="192">
        <f>$BD2011*VLOOKUP($AG$3,$AF$4:$AG$7,2,FALSE)</f>
        <v/>
      </c>
      <c r="AH2011" s="76">
        <f>SUM(AE2011,AG2011,AI2011)*rate_forex_risk</f>
        <v/>
      </c>
      <c r="AI2011" s="193">
        <f>IF(OR(seller_region="TR",offer_sale_type="экспорт"),0,rate_fin_comm)*SUM(AZ2011,AZ2011*AW2011,T2011)</f>
        <v/>
      </c>
      <c r="AJ2011" s="118">
        <f>IFERROR(ROUND(SUM(AB2011,AF2011:AI2011)/E2011,2),0)</f>
        <v/>
      </c>
      <c r="AK2011" s="76">
        <f>AJ2011*E2011</f>
        <v/>
      </c>
      <c r="AL2011" s="174">
        <f>ROUND(IFERROR(AM2011*E2011,0),2)</f>
        <v/>
      </c>
      <c r="AM2011" s="175">
        <f>ROUND(AJ2011*(1+IF(offer_incoterms="DDP",IF((TODAY()+offer_turnaround_time)&gt;=helpsheet!$L$17,rate_vatRU_from_26,rate_vatRu_till_25),0)),2)</f>
        <v/>
      </c>
      <c r="AN2011" s="192">
        <f>AL2011-AK2011</f>
        <v/>
      </c>
      <c r="AO2011" s="76">
        <f>SUM(AY2011,Y2011:Z2011,T2011)*IF(AND(offer_incoterms="DDP",offer_sale_type&lt;&gt;"экспорт"),IF((TODAY()+offer_turnaround_time)&gt;=helpsheet!$L$17,rate_vatRU_from_26,rate_vatRu_till_25),0)</f>
        <v/>
      </c>
      <c r="AP2011" s="193">
        <f>AN2011-AO2011</f>
        <v/>
      </c>
      <c r="AQ2011" s="118">
        <f>IF(offer_sale_type="транзит",SUM(AF2011:AI2011,BA2011,BB2011),0)</f>
        <v/>
      </c>
      <c r="AR2011" s="82">
        <f>HYPERLINK("https://www.alta.ru/tnved/code/")&amp;W2011&amp;"/"</f>
        <v/>
      </c>
      <c r="AS2011" s="157" t="n"/>
      <c r="AT2011" s="162" t="n"/>
      <c r="AU2011" s="76">
        <f>IF(ISBLANK(AT2011),0,AJ2011-AT2011)</f>
        <v/>
      </c>
      <c r="AV2011" s="157" t="n"/>
      <c r="AW2011" s="75">
        <f>_xlfn.IFNA(VLOOKUP(L2011,list_vat[],3,FALSE),0)</f>
        <v/>
      </c>
      <c r="AX2011" s="76">
        <f>IFERROR(ROUND(S2011*(1+AW2011)/E2011,2),0)</f>
        <v/>
      </c>
      <c r="AY2011" s="76">
        <f>E2011*AX2011</f>
        <v/>
      </c>
      <c r="AZ2011" s="192">
        <f>S2011*(1+M2011)</f>
        <v/>
      </c>
      <c r="BA2011" s="76">
        <f>cost_fin_total*$BD2011</f>
        <v/>
      </c>
      <c r="BB2011" s="193">
        <f>credit_sales_interest*BD2011</f>
        <v/>
      </c>
      <c r="BC2011" s="102">
        <f>IFERROR(IF($I$13&gt;0,$I2011/$I$13,$S2011/$S$13),0)</f>
        <v/>
      </c>
      <c r="BD2011" s="102">
        <f>IFERROR($S2011/$S$13,0)</f>
        <v/>
      </c>
      <c r="BE2011" s="413" t="inlineStr">
        <is>
          <t>$</t>
        </is>
      </c>
    </row>
    <row r="2012" ht="12" customFormat="1" customHeight="1" s="65">
      <c r="A2012" s="43" t="n">
        <v>1997</v>
      </c>
      <c r="B2012" s="166" t="n"/>
      <c r="C2012" s="166" t="n"/>
      <c r="D2012" s="166" t="n"/>
      <c r="E2012" s="162" t="n"/>
      <c r="F2012" s="166" t="n"/>
      <c r="G2012" s="162" t="n"/>
      <c r="H2012" s="162" t="n"/>
      <c r="I2012" s="189">
        <f>E2012*G2012</f>
        <v/>
      </c>
      <c r="J2012" s="195" t="n"/>
      <c r="K2012" s="162" t="n"/>
      <c r="L2012" s="168" t="n"/>
      <c r="M2012" s="75">
        <f>_xlfn.XLOOKUP(L2012,list_vat[Страна],list_vat[Ставка НДС %],0,0)</f>
        <v/>
      </c>
      <c r="N2012" s="162">
        <f>IFERROR(IF(L2012="Китай",K2012,K2012/(1+M2012)),0)</f>
        <v/>
      </c>
      <c r="O2012" s="169" t="n"/>
      <c r="P2012" s="76">
        <f>N2012*(1-O2012)</f>
        <v/>
      </c>
      <c r="Q2012" s="162" t="n"/>
      <c r="R2012" s="162">
        <f>IF(ISBLANK(Q2012),"введи курс",P2012/Q2012)</f>
        <v/>
      </c>
      <c r="S2012" s="196">
        <f>IF(AND(ISNUMBER(E2012),ISNUMBER(Q2012)),E2012*R2012,0)</f>
        <v/>
      </c>
      <c r="T2012" s="192">
        <f>$BC2012*V$11</f>
        <v/>
      </c>
      <c r="U2012" s="76">
        <f>$BC2012*W$11</f>
        <v/>
      </c>
      <c r="V2012" s="193">
        <f>+SUM(T2012:U2012)</f>
        <v/>
      </c>
      <c r="W2012" s="191" t="n"/>
      <c r="X2012" s="170" t="n"/>
      <c r="Y2012" s="76">
        <f>ROUND(IF(offer_incoterms="DDP",X2012*(S2012*(1+AW2012)+T2012),0),2)</f>
        <v/>
      </c>
      <c r="Z2012" s="188" t="n"/>
      <c r="AA2012" s="192">
        <f>IFERROR(AB2012/E2012,0)</f>
        <v/>
      </c>
      <c r="AB2012" s="76">
        <f>ROUND(SUM(S2012,V2012,Y2012:Z2012,BA2012:BB2012),2)</f>
        <v/>
      </c>
      <c r="AC2012" s="797" t="n"/>
      <c r="AD2012" s="192">
        <f t="array" ref="AD2012">IFERROR(ROUND((_xlfn.IFS(offer_sale_type="поставка",AB2012,offer_sale_type="транзит",S2012)*(1+AC2012))/E2012,2),0)</f>
        <v/>
      </c>
      <c r="AE2012" s="76">
        <f>AD2012*E2012</f>
        <v/>
      </c>
      <c r="AF2012" s="193">
        <f t="array" ref="AF2012">IFERROR(ROUND(_xlfn.IFS(offer_sale_type="поставка",AB2012,offer_sale_type="транзит",S2012)*AC2012,2),0)</f>
        <v/>
      </c>
      <c r="AG2012" s="192">
        <f>$BD2012*VLOOKUP($AG$3,$AF$4:$AG$7,2,FALSE)</f>
        <v/>
      </c>
      <c r="AH2012" s="76">
        <f>SUM(AE2012,AG2012,AI2012)*rate_forex_risk</f>
        <v/>
      </c>
      <c r="AI2012" s="193">
        <f>IF(OR(seller_region="TR",offer_sale_type="экспорт"),0,rate_fin_comm)*SUM(AZ2012,AZ2012*AW2012,T2012)</f>
        <v/>
      </c>
      <c r="AJ2012" s="118">
        <f>IFERROR(ROUND(SUM(AB2012,AF2012:AI2012)/E2012,2),0)</f>
        <v/>
      </c>
      <c r="AK2012" s="76">
        <f>AJ2012*E2012</f>
        <v/>
      </c>
      <c r="AL2012" s="174">
        <f>ROUND(IFERROR(AM2012*E2012,0),2)</f>
        <v/>
      </c>
      <c r="AM2012" s="175">
        <f>ROUND(AJ2012*(1+IF(offer_incoterms="DDP",IF((TODAY()+offer_turnaround_time)&gt;=helpsheet!$L$17,rate_vatRU_from_26,rate_vatRu_till_25),0)),2)</f>
        <v/>
      </c>
      <c r="AN2012" s="192">
        <f>AL2012-AK2012</f>
        <v/>
      </c>
      <c r="AO2012" s="76">
        <f>SUM(AY2012,Y2012:Z2012,T2012)*IF(AND(offer_incoterms="DDP",offer_sale_type&lt;&gt;"экспорт"),IF((TODAY()+offer_turnaround_time)&gt;=helpsheet!$L$17,rate_vatRU_from_26,rate_vatRu_till_25),0)</f>
        <v/>
      </c>
      <c r="AP2012" s="193">
        <f>AN2012-AO2012</f>
        <v/>
      </c>
      <c r="AQ2012" s="118">
        <f>IF(offer_sale_type="транзит",SUM(AF2012:AI2012,BA2012,BB2012),0)</f>
        <v/>
      </c>
      <c r="AR2012" s="82">
        <f>HYPERLINK("https://www.alta.ru/tnved/code/")&amp;W2012&amp;"/"</f>
        <v/>
      </c>
      <c r="AS2012" s="157" t="n"/>
      <c r="AT2012" s="162" t="n"/>
      <c r="AU2012" s="76">
        <f>IF(ISBLANK(AT2012),0,AJ2012-AT2012)</f>
        <v/>
      </c>
      <c r="AV2012" s="157" t="n"/>
      <c r="AW2012" s="75">
        <f>_xlfn.IFNA(VLOOKUP(L2012,list_vat[],3,FALSE),0)</f>
        <v/>
      </c>
      <c r="AX2012" s="76">
        <f>IFERROR(ROUND(S2012*(1+AW2012)/E2012,2),0)</f>
        <v/>
      </c>
      <c r="AY2012" s="76">
        <f>E2012*AX2012</f>
        <v/>
      </c>
      <c r="AZ2012" s="192">
        <f>S2012*(1+M2012)</f>
        <v/>
      </c>
      <c r="BA2012" s="76">
        <f>cost_fin_total*$BD2012</f>
        <v/>
      </c>
      <c r="BB2012" s="193">
        <f>credit_sales_interest*BD2012</f>
        <v/>
      </c>
      <c r="BC2012" s="102">
        <f>IFERROR(IF($I$13&gt;0,$I2012/$I$13,$S2012/$S$13),0)</f>
        <v/>
      </c>
      <c r="BD2012" s="102">
        <f>IFERROR($S2012/$S$13,0)</f>
        <v/>
      </c>
      <c r="BE2012" s="413" t="inlineStr">
        <is>
          <t>$</t>
        </is>
      </c>
    </row>
    <row r="2013" ht="12" customFormat="1" customHeight="1" s="65">
      <c r="A2013" s="43" t="n">
        <v>1998</v>
      </c>
      <c r="B2013" s="166" t="n"/>
      <c r="C2013" s="166" t="n"/>
      <c r="D2013" s="166" t="n"/>
      <c r="E2013" s="162" t="n"/>
      <c r="F2013" s="166" t="n"/>
      <c r="G2013" s="162" t="n"/>
      <c r="H2013" s="162" t="n"/>
      <c r="I2013" s="189">
        <f>E2013*G2013</f>
        <v/>
      </c>
      <c r="J2013" s="195" t="n"/>
      <c r="K2013" s="162" t="n"/>
      <c r="L2013" s="168" t="n"/>
      <c r="M2013" s="75">
        <f>_xlfn.XLOOKUP(L2013,list_vat[Страна],list_vat[Ставка НДС %],0,0)</f>
        <v/>
      </c>
      <c r="N2013" s="162">
        <f>IFERROR(IF(L2013="Китай",K2013,K2013/(1+M2013)),0)</f>
        <v/>
      </c>
      <c r="O2013" s="169" t="n"/>
      <c r="P2013" s="76">
        <f>N2013*(1-O2013)</f>
        <v/>
      </c>
      <c r="Q2013" s="162" t="n"/>
      <c r="R2013" s="162">
        <f>IF(ISBLANK(Q2013),"введи курс",P2013/Q2013)</f>
        <v/>
      </c>
      <c r="S2013" s="196">
        <f>IF(AND(ISNUMBER(E2013),ISNUMBER(Q2013)),E2013*R2013,0)</f>
        <v/>
      </c>
      <c r="T2013" s="192">
        <f>$BC2013*V$11</f>
        <v/>
      </c>
      <c r="U2013" s="76">
        <f>$BC2013*W$11</f>
        <v/>
      </c>
      <c r="V2013" s="193">
        <f>+SUM(T2013:U2013)</f>
        <v/>
      </c>
      <c r="W2013" s="191" t="n"/>
      <c r="X2013" s="170" t="n"/>
      <c r="Y2013" s="76">
        <f>ROUND(IF(offer_incoterms="DDP",X2013*(S2013*(1+AW2013)+T2013),0),2)</f>
        <v/>
      </c>
      <c r="Z2013" s="188" t="n"/>
      <c r="AA2013" s="192">
        <f>IFERROR(AB2013/E2013,0)</f>
        <v/>
      </c>
      <c r="AB2013" s="76">
        <f>ROUND(SUM(S2013,V2013,Y2013:Z2013,BA2013:BB2013),2)</f>
        <v/>
      </c>
      <c r="AC2013" s="797" t="n"/>
      <c r="AD2013" s="192">
        <f t="array" ref="AD2013">IFERROR(ROUND((_xlfn.IFS(offer_sale_type="поставка",AB2013,offer_sale_type="транзит",S2013)*(1+AC2013))/E2013,2),0)</f>
        <v/>
      </c>
      <c r="AE2013" s="76">
        <f>AD2013*E2013</f>
        <v/>
      </c>
      <c r="AF2013" s="193">
        <f t="array" ref="AF2013">IFERROR(ROUND(_xlfn.IFS(offer_sale_type="поставка",AB2013,offer_sale_type="транзит",S2013)*AC2013,2),0)</f>
        <v/>
      </c>
      <c r="AG2013" s="192">
        <f>$BD2013*VLOOKUP($AG$3,$AF$4:$AG$7,2,FALSE)</f>
        <v/>
      </c>
      <c r="AH2013" s="76">
        <f>SUM(AE2013,AG2013,AI2013)*rate_forex_risk</f>
        <v/>
      </c>
      <c r="AI2013" s="193">
        <f>IF(OR(seller_region="TR",offer_sale_type="экспорт"),0,rate_fin_comm)*SUM(AZ2013,AZ2013*AW2013,T2013)</f>
        <v/>
      </c>
      <c r="AJ2013" s="118">
        <f>IFERROR(ROUND(SUM(AB2013,AF2013:AI2013)/E2013,2),0)</f>
        <v/>
      </c>
      <c r="AK2013" s="76">
        <f>AJ2013*E2013</f>
        <v/>
      </c>
      <c r="AL2013" s="174">
        <f>ROUND(IFERROR(AM2013*E2013,0),2)</f>
        <v/>
      </c>
      <c r="AM2013" s="175">
        <f>ROUND(AJ2013*(1+IF(offer_incoterms="DDP",IF((TODAY()+offer_turnaround_time)&gt;=helpsheet!$L$17,rate_vatRU_from_26,rate_vatRu_till_25),0)),2)</f>
        <v/>
      </c>
      <c r="AN2013" s="192">
        <f>AL2013-AK2013</f>
        <v/>
      </c>
      <c r="AO2013" s="76">
        <f>SUM(AY2013,Y2013:Z2013,T2013)*IF(AND(offer_incoterms="DDP",offer_sale_type&lt;&gt;"экспорт"),IF((TODAY()+offer_turnaround_time)&gt;=helpsheet!$L$17,rate_vatRU_from_26,rate_vatRu_till_25),0)</f>
        <v/>
      </c>
      <c r="AP2013" s="193">
        <f>AN2013-AO2013</f>
        <v/>
      </c>
      <c r="AQ2013" s="118">
        <f>IF(offer_sale_type="транзит",SUM(AF2013:AI2013,BA2013,BB2013),0)</f>
        <v/>
      </c>
      <c r="AR2013" s="82">
        <f>HYPERLINK("https://www.alta.ru/tnved/code/")&amp;W2013&amp;"/"</f>
        <v/>
      </c>
      <c r="AS2013" s="157" t="n"/>
      <c r="AT2013" s="162" t="n"/>
      <c r="AU2013" s="76">
        <f>IF(ISBLANK(AT2013),0,AJ2013-AT2013)</f>
        <v/>
      </c>
      <c r="AV2013" s="157" t="n"/>
      <c r="AW2013" s="75">
        <f>_xlfn.IFNA(VLOOKUP(L2013,list_vat[],3,FALSE),0)</f>
        <v/>
      </c>
      <c r="AX2013" s="76">
        <f>IFERROR(ROUND(S2013*(1+AW2013)/E2013,2),0)</f>
        <v/>
      </c>
      <c r="AY2013" s="76">
        <f>E2013*AX2013</f>
        <v/>
      </c>
      <c r="AZ2013" s="192">
        <f>S2013*(1+M2013)</f>
        <v/>
      </c>
      <c r="BA2013" s="76">
        <f>cost_fin_total*$BD2013</f>
        <v/>
      </c>
      <c r="BB2013" s="193">
        <f>credit_sales_interest*BD2013</f>
        <v/>
      </c>
      <c r="BC2013" s="102">
        <f>IFERROR(IF($I$13&gt;0,$I2013/$I$13,$S2013/$S$13),0)</f>
        <v/>
      </c>
      <c r="BD2013" s="102">
        <f>IFERROR($S2013/$S$13,0)</f>
        <v/>
      </c>
      <c r="BE2013" s="413" t="inlineStr">
        <is>
          <t>$</t>
        </is>
      </c>
    </row>
    <row r="2014" ht="12" customFormat="1" customHeight="1" s="65">
      <c r="A2014" s="43" t="n">
        <v>1999</v>
      </c>
      <c r="B2014" s="166" t="n"/>
      <c r="C2014" s="166" t="n"/>
      <c r="D2014" s="166" t="n"/>
      <c r="E2014" s="162" t="n"/>
      <c r="F2014" s="166" t="n"/>
      <c r="G2014" s="162" t="n"/>
      <c r="H2014" s="162" t="n"/>
      <c r="I2014" s="189">
        <f>E2014*G2014</f>
        <v/>
      </c>
      <c r="J2014" s="195" t="n"/>
      <c r="K2014" s="162" t="n"/>
      <c r="L2014" s="168" t="n"/>
      <c r="M2014" s="75">
        <f>_xlfn.XLOOKUP(L2014,list_vat[Страна],list_vat[Ставка НДС %],0,0)</f>
        <v/>
      </c>
      <c r="N2014" s="162">
        <f>IFERROR(IF(L2014="Китай",K2014,K2014/(1+M2014)),0)</f>
        <v/>
      </c>
      <c r="O2014" s="169" t="n"/>
      <c r="P2014" s="76">
        <f>N2014*(1-O2014)</f>
        <v/>
      </c>
      <c r="Q2014" s="162" t="n"/>
      <c r="R2014" s="162">
        <f>IF(ISBLANK(Q2014),"введи курс",P2014/Q2014)</f>
        <v/>
      </c>
      <c r="S2014" s="196">
        <f>IF(AND(ISNUMBER(E2014),ISNUMBER(Q2014)),E2014*R2014,0)</f>
        <v/>
      </c>
      <c r="T2014" s="192">
        <f>$BC2014*V$11</f>
        <v/>
      </c>
      <c r="U2014" s="76">
        <f>$BC2014*W$11</f>
        <v/>
      </c>
      <c r="V2014" s="193">
        <f>+SUM(T2014:U2014)</f>
        <v/>
      </c>
      <c r="W2014" s="191" t="n"/>
      <c r="X2014" s="170" t="n"/>
      <c r="Y2014" s="76">
        <f>ROUND(IF(offer_incoterms="DDP",X2014*(S2014*(1+AW2014)+T2014),0),2)</f>
        <v/>
      </c>
      <c r="Z2014" s="188" t="n"/>
      <c r="AA2014" s="192">
        <f>IFERROR(AB2014/E2014,0)</f>
        <v/>
      </c>
      <c r="AB2014" s="76">
        <f>ROUND(SUM(S2014,V2014,Y2014:Z2014,BA2014:BB2014),2)</f>
        <v/>
      </c>
      <c r="AC2014" s="797" t="n"/>
      <c r="AD2014" s="192">
        <f t="array" ref="AD2014">IFERROR(ROUND((_xlfn.IFS(offer_sale_type="поставка",AB2014,offer_sale_type="транзит",S2014)*(1+AC2014))/E2014,2),0)</f>
        <v/>
      </c>
      <c r="AE2014" s="76">
        <f>AD2014*E2014</f>
        <v/>
      </c>
      <c r="AF2014" s="193">
        <f t="array" ref="AF2014">IFERROR(ROUND(_xlfn.IFS(offer_sale_type="поставка",AB2014,offer_sale_type="транзит",S2014)*AC2014,2),0)</f>
        <v/>
      </c>
      <c r="AG2014" s="192">
        <f>$BD2014*VLOOKUP($AG$3,$AF$4:$AG$7,2,FALSE)</f>
        <v/>
      </c>
      <c r="AH2014" s="76">
        <f>SUM(AE2014,AG2014,AI2014)*rate_forex_risk</f>
        <v/>
      </c>
      <c r="AI2014" s="193">
        <f>IF(OR(seller_region="TR",offer_sale_type="экспорт"),0,rate_fin_comm)*SUM(AZ2014,AZ2014*AW2014,T2014)</f>
        <v/>
      </c>
      <c r="AJ2014" s="118">
        <f>IFERROR(ROUND(SUM(AB2014,AF2014:AI2014)/E2014,2),0)</f>
        <v/>
      </c>
      <c r="AK2014" s="76">
        <f>AJ2014*E2014</f>
        <v/>
      </c>
      <c r="AL2014" s="174">
        <f>ROUND(IFERROR(AM2014*E2014,0),2)</f>
        <v/>
      </c>
      <c r="AM2014" s="175">
        <f>ROUND(AJ2014*(1+IF(offer_incoterms="DDP",IF((TODAY()+offer_turnaround_time)&gt;=helpsheet!$L$17,rate_vatRU_from_26,rate_vatRu_till_25),0)),2)</f>
        <v/>
      </c>
      <c r="AN2014" s="192">
        <f>AL2014-AK2014</f>
        <v/>
      </c>
      <c r="AO2014" s="76">
        <f>SUM(AY2014,Y2014:Z2014,T2014)*IF(AND(offer_incoterms="DDP",offer_sale_type&lt;&gt;"экспорт"),IF((TODAY()+offer_turnaround_time)&gt;=helpsheet!$L$17,rate_vatRU_from_26,rate_vatRu_till_25),0)</f>
        <v/>
      </c>
      <c r="AP2014" s="193">
        <f>AN2014-AO2014</f>
        <v/>
      </c>
      <c r="AQ2014" s="118">
        <f>IF(offer_sale_type="транзит",SUM(AF2014:AI2014,BA2014,BB2014),0)</f>
        <v/>
      </c>
      <c r="AR2014" s="82">
        <f>HYPERLINK("https://www.alta.ru/tnved/code/")&amp;W2014&amp;"/"</f>
        <v/>
      </c>
      <c r="AS2014" s="157" t="n"/>
      <c r="AT2014" s="162" t="n"/>
      <c r="AU2014" s="76">
        <f>IF(ISBLANK(AT2014),0,AJ2014-AT2014)</f>
        <v/>
      </c>
      <c r="AV2014" s="157" t="n"/>
      <c r="AW2014" s="75">
        <f>_xlfn.IFNA(VLOOKUP(L2014,list_vat[],3,FALSE),0)</f>
        <v/>
      </c>
      <c r="AX2014" s="76">
        <f>IFERROR(ROUND(S2014*(1+AW2014)/E2014,2),0)</f>
        <v/>
      </c>
      <c r="AY2014" s="76">
        <f>E2014*AX2014</f>
        <v/>
      </c>
      <c r="AZ2014" s="192">
        <f>S2014*(1+M2014)</f>
        <v/>
      </c>
      <c r="BA2014" s="76">
        <f>cost_fin_total*$BD2014</f>
        <v/>
      </c>
      <c r="BB2014" s="193">
        <f>credit_sales_interest*BD2014</f>
        <v/>
      </c>
      <c r="BC2014" s="102">
        <f>IFERROR(IF($I$13&gt;0,$I2014/$I$13,$S2014/$S$13),0)</f>
        <v/>
      </c>
      <c r="BD2014" s="102">
        <f>IFERROR($S2014/$S$13,0)</f>
        <v/>
      </c>
      <c r="BE2014" s="413" t="inlineStr">
        <is>
          <t>$</t>
        </is>
      </c>
    </row>
    <row r="2015" customFormat="1" s="65">
      <c r="A2015" s="43" t="n">
        <v>2000</v>
      </c>
      <c r="B2015" s="166" t="n"/>
      <c r="C2015" s="166" t="n"/>
      <c r="D2015" s="166" t="n"/>
      <c r="E2015" s="162" t="n"/>
      <c r="F2015" s="166" t="n"/>
      <c r="G2015" s="162" t="n"/>
      <c r="H2015" s="162" t="n"/>
      <c r="I2015" s="189">
        <f>E2015*G2015</f>
        <v/>
      </c>
      <c r="J2015" s="195" t="n"/>
      <c r="K2015" s="162" t="n"/>
      <c r="L2015" s="168" t="n"/>
      <c r="M2015" s="75">
        <f>_xlfn.XLOOKUP(L2015,list_vat[Страна],list_vat[Ставка НДС %],0,0)</f>
        <v/>
      </c>
      <c r="N2015" s="162">
        <f>IFERROR(IF(L2015="Китай",K2015,K2015/(1+M2015)),0)</f>
        <v/>
      </c>
      <c r="O2015" s="169" t="n"/>
      <c r="P2015" s="76">
        <f>N2015*(1-O2015)</f>
        <v/>
      </c>
      <c r="Q2015" s="162" t="n"/>
      <c r="R2015" s="162">
        <f>IF(ISBLANK(Q2015),"введи курс",P2015/Q2015)</f>
        <v/>
      </c>
      <c r="S2015" s="196">
        <f>IF(AND(ISNUMBER(E2015),ISNUMBER(Q2015)),E2015*R2015,0)</f>
        <v/>
      </c>
      <c r="T2015" s="192">
        <f>$BC2015*V$11</f>
        <v/>
      </c>
      <c r="U2015" s="76">
        <f>$BC2015*W$11</f>
        <v/>
      </c>
      <c r="V2015" s="193">
        <f>+SUM(T2015:U2015)</f>
        <v/>
      </c>
      <c r="W2015" s="191" t="n"/>
      <c r="X2015" s="170" t="n"/>
      <c r="Y2015" s="76">
        <f>ROUND(IF(offer_incoterms="DDP",X2015*(S2015*(1+AW2015)+T2015),0),2)</f>
        <v/>
      </c>
      <c r="Z2015" s="188" t="n"/>
      <c r="AA2015" s="192">
        <f>IFERROR(AB2015/E2015,0)</f>
        <v/>
      </c>
      <c r="AB2015" s="76">
        <f>ROUND(SUM(S2015,V2015,Y2015:Z2015,BA2015:BB2015),2)</f>
        <v/>
      </c>
      <c r="AC2015" s="797" t="n"/>
      <c r="AD2015" s="192">
        <f t="array" ref="AD2015">IFERROR(ROUND((_xlfn.IFS(offer_sale_type="поставка",AB2015,offer_sale_type="транзит",S2015)*(1+AC2015))/E2015,2),0)</f>
        <v/>
      </c>
      <c r="AE2015" s="76">
        <f>AD2015*E2015</f>
        <v/>
      </c>
      <c r="AF2015" s="193">
        <f t="array" ref="AF2015">IFERROR(ROUND(_xlfn.IFS(offer_sale_type="поставка",AB2015,offer_sale_type="транзит",S2015)*AC2015,2),0)</f>
        <v/>
      </c>
      <c r="AG2015" s="192">
        <f>$BD2015*VLOOKUP($AG$3,$AF$4:$AG$7,2,FALSE)</f>
        <v/>
      </c>
      <c r="AH2015" s="76">
        <f>SUM(AE2015,AG2015,AI2015)*rate_forex_risk</f>
        <v/>
      </c>
      <c r="AI2015" s="193">
        <f>IF(OR(seller_region="TR",offer_sale_type="экспорт"),0,rate_fin_comm)*SUM(AZ2015,AZ2015*AW2015,T2015)</f>
        <v/>
      </c>
      <c r="AJ2015" s="118">
        <f>IFERROR(ROUND(SUM(AB2015,AF2015:AI2015)/E2015,2),0)</f>
        <v/>
      </c>
      <c r="AK2015" s="76">
        <f>AJ2015*E2015</f>
        <v/>
      </c>
      <c r="AL2015" s="174">
        <f>ROUND(IFERROR(AM2015*E2015,0),2)</f>
        <v/>
      </c>
      <c r="AM2015" s="175">
        <f>ROUND(AJ2015*(1+IF(offer_incoterms="DDP",IF((TODAY()+offer_turnaround_time)&gt;=helpsheet!$L$17,rate_vatRU_from_26,rate_vatRu_till_25),0)),2)</f>
        <v/>
      </c>
      <c r="AN2015" s="192">
        <f>AL2015-AK2015</f>
        <v/>
      </c>
      <c r="AO2015" s="76">
        <f>SUM(AY2015,Y2015:Z2015,T2015)*IF(AND(offer_incoterms="DDP",offer_sale_type&lt;&gt;"экспорт"),IF((TODAY()+offer_turnaround_time)&gt;=helpsheet!$L$17,rate_vatRU_from_26,rate_vatRu_till_25),0)</f>
        <v/>
      </c>
      <c r="AP2015" s="193">
        <f>AN2015-AO2015</f>
        <v/>
      </c>
      <c r="AQ2015" s="118">
        <f>IF(offer_sale_type="транзит",SUM(AF2015:AI2015,BA2015,BB2015),0)</f>
        <v/>
      </c>
      <c r="AR2015" s="82">
        <f>HYPERLINK("https://www.alta.ru/tnved/code/")&amp;W2015&amp;"/"</f>
        <v/>
      </c>
      <c r="AS2015" s="157" t="n"/>
      <c r="AT2015" s="162" t="n"/>
      <c r="AU2015" s="76">
        <f>IF(ISBLANK(AT2015),0,AJ2015-AT2015)</f>
        <v/>
      </c>
      <c r="AV2015" s="157" t="n"/>
      <c r="AW2015" s="75">
        <f>_xlfn.IFNA(VLOOKUP(L2015,list_vat[],3,FALSE),0)</f>
        <v/>
      </c>
      <c r="AX2015" s="76">
        <f>IFERROR(ROUND(S2015*(1+AW2015)/E2015,2),0)</f>
        <v/>
      </c>
      <c r="AY2015" s="76">
        <f>E2015*AX2015</f>
        <v/>
      </c>
      <c r="AZ2015" s="192">
        <f>S2015*(1+M2015)</f>
        <v/>
      </c>
      <c r="BA2015" s="76">
        <f>cost_fin_total*$BD2015</f>
        <v/>
      </c>
      <c r="BB2015" s="193">
        <f>credit_sales_interest*BD2015</f>
        <v/>
      </c>
      <c r="BC2015" s="102">
        <f>IFERROR(IF($I$13&gt;0,$I2015/$I$13,$S2015/$S$13),0)</f>
        <v/>
      </c>
      <c r="BD2015" s="102">
        <f>IFERROR($S2015/$S$13,0)</f>
        <v/>
      </c>
      <c r="BE2015" s="413" t="inlineStr">
        <is>
          <t>$</t>
        </is>
      </c>
    </row>
    <row r="2016" ht="11.25" customFormat="1" customHeight="1" s="154">
      <c r="A2016" s="414" t="inlineStr">
        <is>
          <t>$</t>
        </is>
      </c>
      <c r="B2016" s="414" t="inlineStr">
        <is>
          <t>$</t>
        </is>
      </c>
      <c r="C2016" s="414" t="inlineStr">
        <is>
          <t>$</t>
        </is>
      </c>
      <c r="D2016" s="414" t="inlineStr">
        <is>
          <t>$</t>
        </is>
      </c>
      <c r="E2016" s="414" t="inlineStr">
        <is>
          <t>$</t>
        </is>
      </c>
      <c r="F2016" s="414" t="inlineStr">
        <is>
          <t>$</t>
        </is>
      </c>
      <c r="G2016" s="414" t="inlineStr">
        <is>
          <t>$</t>
        </is>
      </c>
      <c r="H2016" s="414" t="inlineStr">
        <is>
          <t>$</t>
        </is>
      </c>
      <c r="I2016" s="415" t="inlineStr">
        <is>
          <t>$</t>
        </is>
      </c>
      <c r="J2016" s="416" t="inlineStr">
        <is>
          <t>$</t>
        </is>
      </c>
      <c r="K2016" s="414" t="inlineStr">
        <is>
          <t>$</t>
        </is>
      </c>
      <c r="L2016" s="414" t="inlineStr">
        <is>
          <t>$</t>
        </is>
      </c>
      <c r="M2016" s="414" t="inlineStr">
        <is>
          <t>$</t>
        </is>
      </c>
      <c r="N2016" s="414" t="inlineStr">
        <is>
          <t>$</t>
        </is>
      </c>
      <c r="O2016" s="414" t="inlineStr">
        <is>
          <t>$</t>
        </is>
      </c>
      <c r="P2016" s="414" t="inlineStr">
        <is>
          <t>$</t>
        </is>
      </c>
      <c r="Q2016" s="414" t="inlineStr">
        <is>
          <t>$</t>
        </is>
      </c>
      <c r="R2016" s="414" t="inlineStr">
        <is>
          <t>$</t>
        </is>
      </c>
      <c r="S2016" s="417" t="inlineStr">
        <is>
          <t>$</t>
        </is>
      </c>
      <c r="T2016" s="416" t="inlineStr">
        <is>
          <t>$</t>
        </is>
      </c>
      <c r="U2016" s="414" t="inlineStr">
        <is>
          <t>$</t>
        </is>
      </c>
      <c r="V2016" s="417" t="inlineStr">
        <is>
          <t>$</t>
        </is>
      </c>
      <c r="W2016" s="416" t="inlineStr">
        <is>
          <t>$</t>
        </is>
      </c>
      <c r="X2016" s="414" t="inlineStr">
        <is>
          <t>$</t>
        </is>
      </c>
      <c r="Y2016" s="414" t="inlineStr">
        <is>
          <t>$</t>
        </is>
      </c>
      <c r="Z2016" s="417" t="inlineStr">
        <is>
          <t>$</t>
        </is>
      </c>
      <c r="AA2016" s="416" t="inlineStr">
        <is>
          <t>$</t>
        </is>
      </c>
      <c r="AB2016" s="414" t="inlineStr">
        <is>
          <t>$</t>
        </is>
      </c>
      <c r="AC2016" s="798" t="inlineStr">
        <is>
          <t>$</t>
        </is>
      </c>
      <c r="AD2016" s="416" t="inlineStr">
        <is>
          <t>$</t>
        </is>
      </c>
      <c r="AE2016" s="414" t="inlineStr">
        <is>
          <t>$</t>
        </is>
      </c>
      <c r="AF2016" s="417" t="inlineStr">
        <is>
          <t>$</t>
        </is>
      </c>
      <c r="AG2016" s="416" t="inlineStr">
        <is>
          <t>$</t>
        </is>
      </c>
      <c r="AH2016" s="414" t="inlineStr">
        <is>
          <t>$</t>
        </is>
      </c>
      <c r="AI2016" s="417" t="inlineStr">
        <is>
          <t>$</t>
        </is>
      </c>
      <c r="AJ2016" s="419" t="inlineStr">
        <is>
          <t>$</t>
        </is>
      </c>
      <c r="AK2016" s="414" t="inlineStr">
        <is>
          <t>$</t>
        </is>
      </c>
      <c r="AL2016" s="415" t="inlineStr">
        <is>
          <t>$</t>
        </is>
      </c>
      <c r="AM2016" s="420" t="inlineStr">
        <is>
          <t>$</t>
        </is>
      </c>
      <c r="AN2016" s="416" t="inlineStr">
        <is>
          <t>$</t>
        </is>
      </c>
      <c r="AO2016" s="416" t="inlineStr">
        <is>
          <t>$</t>
        </is>
      </c>
      <c r="AP2016" s="417" t="inlineStr">
        <is>
          <t>$</t>
        </is>
      </c>
      <c r="AQ2016" s="414" t="inlineStr">
        <is>
          <t>$</t>
        </is>
      </c>
      <c r="AR2016" s="414" t="inlineStr">
        <is>
          <t>$</t>
        </is>
      </c>
      <c r="AS2016" s="421" t="inlineStr">
        <is>
          <t>$</t>
        </is>
      </c>
      <c r="AT2016" s="414" t="inlineStr">
        <is>
          <t>$</t>
        </is>
      </c>
      <c r="AU2016" s="414" t="inlineStr">
        <is>
          <t>$</t>
        </is>
      </c>
      <c r="AV2016" s="421" t="inlineStr">
        <is>
          <t>$</t>
        </is>
      </c>
      <c r="AW2016" s="414" t="inlineStr">
        <is>
          <t>$</t>
        </is>
      </c>
      <c r="AX2016" s="414" t="inlineStr">
        <is>
          <t>$</t>
        </is>
      </c>
      <c r="AY2016" s="414" t="inlineStr">
        <is>
          <t>$</t>
        </is>
      </c>
      <c r="AZ2016" s="416" t="inlineStr">
        <is>
          <t>$</t>
        </is>
      </c>
      <c r="BA2016" s="414" t="inlineStr">
        <is>
          <t>$</t>
        </is>
      </c>
      <c r="BB2016" s="417" t="inlineStr">
        <is>
          <t>$</t>
        </is>
      </c>
      <c r="BC2016" s="414" t="inlineStr">
        <is>
          <t>$</t>
        </is>
      </c>
      <c r="BD2016" s="414" t="inlineStr">
        <is>
          <t>$</t>
        </is>
      </c>
      <c r="BE2016" s="413" t="inlineStr">
        <is>
          <t>$</t>
        </is>
      </c>
    </row>
    <row r="2017">
      <c r="A2017" s="154" t="n"/>
      <c r="U2017" s="152" t="n"/>
      <c r="V2017" s="152" t="n"/>
      <c r="X2017" s="67" t="n"/>
      <c r="Y2017" s="65" t="n"/>
      <c r="Z2017" s="65" t="n"/>
      <c r="AA2017" s="65" t="n"/>
      <c r="AB2017" s="65" t="n"/>
      <c r="AC2017" s="755" t="n"/>
      <c r="AD2017" s="152" t="n"/>
      <c r="AE2017" s="152" t="n"/>
      <c r="AF2017" s="152" t="n"/>
      <c r="AG2017" s="65" t="n"/>
      <c r="AH2017" s="65" t="n"/>
      <c r="AK2017" s="152" t="n"/>
      <c r="AL2017" s="152" t="n"/>
      <c r="AO2017" s="65" t="n"/>
      <c r="AR2017" s="154" t="n"/>
      <c r="AS2017" s="157" t="n"/>
      <c r="AV2017" s="157" t="n"/>
      <c r="BC2017" s="154" t="n"/>
      <c r="BD2017" s="100" t="n"/>
      <c r="BE2017" s="157" t="n"/>
      <c r="BG2017" s="152" t="n"/>
      <c r="BH2017" s="152" t="n"/>
      <c r="BI2017" s="152" t="n"/>
    </row>
    <row r="2018">
      <c r="U2018" s="152" t="n"/>
      <c r="V2018" s="152" t="n"/>
      <c r="Y2018" s="67" t="n"/>
      <c r="Z2018" s="65" t="n"/>
      <c r="AA2018" s="65" t="n"/>
      <c r="AB2018" s="65" t="n"/>
      <c r="AD2018" s="152" t="n"/>
      <c r="AE2018" s="152" t="n"/>
      <c r="AF2018" s="152" t="n"/>
      <c r="AH2018" s="65" t="n"/>
      <c r="AI2018" s="65" t="n"/>
      <c r="AP2018" s="65" t="n"/>
      <c r="AS2018" s="154" t="n"/>
      <c r="AT2018" s="157" t="n"/>
      <c r="AV2018" s="154" t="n"/>
      <c r="BD2018" s="154" t="n"/>
      <c r="BE2018" s="154" t="n"/>
      <c r="BF2018" s="154" t="n"/>
      <c r="BG2018" s="152" t="n"/>
      <c r="BH2018" s="152" t="n"/>
      <c r="BI2018" s="152" t="n"/>
    </row>
    <row r="2019">
      <c r="A2019" s="154" t="n"/>
      <c r="U2019" s="152" t="n"/>
      <c r="V2019" s="152" t="n"/>
      <c r="Y2019" s="67" t="n"/>
      <c r="Z2019" s="65" t="n"/>
      <c r="AA2019" s="65" t="n"/>
      <c r="AB2019" s="65" t="n"/>
      <c r="AD2019" s="152" t="n"/>
      <c r="AE2019" s="152" t="n"/>
      <c r="AF2019" s="152" t="n"/>
      <c r="AH2019" s="65" t="n"/>
      <c r="AI2019" s="65" t="n"/>
      <c r="AP2019" s="65" t="n"/>
      <c r="AS2019" s="154" t="n"/>
      <c r="AT2019" s="157" t="n"/>
      <c r="AV2019" s="154" t="n"/>
      <c r="BD2019" s="154" t="n"/>
      <c r="BE2019" s="154" t="n"/>
      <c r="BF2019" s="154" t="n"/>
      <c r="BG2019" s="152" t="n"/>
      <c r="BH2019" s="152" t="n"/>
      <c r="BI2019" s="152" t="n"/>
    </row>
    <row r="2020">
      <c r="A2020" s="155" t="n"/>
      <c r="U2020" s="152" t="n"/>
      <c r="V2020" s="152" t="n"/>
      <c r="Y2020" s="67" t="n"/>
      <c r="Z2020" s="65" t="n"/>
      <c r="AA2020" s="65" t="n"/>
      <c r="AB2020" s="65" t="n"/>
      <c r="AD2020" s="152" t="n"/>
      <c r="AE2020" s="152" t="n"/>
      <c r="AF2020" s="152" t="n"/>
      <c r="AH2020" s="65" t="n"/>
      <c r="AI2020" s="65" t="n"/>
      <c r="AP2020" s="65" t="n"/>
      <c r="AS2020" s="154" t="n"/>
      <c r="AV2020" s="154" t="n"/>
      <c r="BD2020" s="154" t="n"/>
      <c r="BE2020" s="154" t="n"/>
      <c r="BF2020" s="154" t="n"/>
      <c r="BG2020" s="152" t="n"/>
      <c r="BH2020" s="152" t="n"/>
      <c r="BI2020" s="152" t="n"/>
    </row>
    <row r="2021">
      <c r="U2021" s="152" t="n"/>
      <c r="V2021" s="152" t="n"/>
      <c r="Y2021" s="67" t="n"/>
      <c r="Z2021" s="65" t="n"/>
      <c r="AA2021" s="65" t="n"/>
      <c r="AB2021" s="65" t="n"/>
      <c r="AD2021" s="152" t="n"/>
      <c r="AE2021" s="152" t="n"/>
      <c r="AF2021" s="152" t="n"/>
      <c r="AH2021" s="65" t="n"/>
      <c r="AI2021" s="65" t="n"/>
      <c r="AP2021" s="65" t="n"/>
      <c r="AS2021" s="154" t="n"/>
      <c r="AV2021" s="154" t="n"/>
      <c r="BD2021" s="154" t="n"/>
      <c r="BE2021" s="154" t="n"/>
      <c r="BF2021" s="154" t="n"/>
      <c r="BG2021" s="152" t="n"/>
      <c r="BH2021" s="152" t="n"/>
      <c r="BI2021" s="152" t="n"/>
    </row>
    <row r="2022">
      <c r="A2022" s="152" t="n"/>
      <c r="U2022" s="152" t="n"/>
      <c r="V2022" s="152" t="n"/>
      <c r="Y2022" s="65" t="n"/>
      <c r="Z2022" s="67" t="n"/>
      <c r="AA2022" s="65" t="n"/>
      <c r="AB2022" s="65" t="n"/>
      <c r="AE2022" s="152" t="n"/>
      <c r="AF2022" s="152" t="n"/>
      <c r="AI2022" s="65" t="n"/>
      <c r="AJ2022" s="65" t="n"/>
      <c r="AQ2022" s="65" t="n"/>
      <c r="AT2022" s="154" t="n"/>
      <c r="BF2022" s="100" t="n"/>
      <c r="BH2022" s="152" t="n"/>
      <c r="BI2022" s="152" t="n"/>
    </row>
    <row r="2023">
      <c r="A2023" s="152" t="n"/>
      <c r="AA2023" s="65" t="n"/>
      <c r="AO2023" s="799" t="n"/>
    </row>
  </sheetData>
  <mergeCells count="42">
    <mergeCell ref="W12:Z12"/>
    <mergeCell ref="B7:C7"/>
    <mergeCell ref="G6:I6"/>
    <mergeCell ref="L9:O9"/>
    <mergeCell ref="BF7:BG7"/>
    <mergeCell ref="J12:S12"/>
    <mergeCell ref="L6:O6"/>
    <mergeCell ref="T12:V12"/>
    <mergeCell ref="BF6:BG6"/>
    <mergeCell ref="BF3:BG3"/>
    <mergeCell ref="F3:J3"/>
    <mergeCell ref="B11:C11"/>
    <mergeCell ref="G5:I5"/>
    <mergeCell ref="AF2:AH2"/>
    <mergeCell ref="BF10:BG10"/>
    <mergeCell ref="G4:I4"/>
    <mergeCell ref="BK1:BL2"/>
    <mergeCell ref="L7:O7"/>
    <mergeCell ref="AJ12:AM12"/>
    <mergeCell ref="B8:C8"/>
    <mergeCell ref="AG12:AI12"/>
    <mergeCell ref="AZ12:BB12"/>
    <mergeCell ref="BF8:BG8"/>
    <mergeCell ref="AW12:AY12"/>
    <mergeCell ref="G10:O11"/>
    <mergeCell ref="BF4:BG4"/>
    <mergeCell ref="B10:C10"/>
    <mergeCell ref="G9:I9"/>
    <mergeCell ref="AD12:AF12"/>
    <mergeCell ref="B9:C9"/>
    <mergeCell ref="X2:X8"/>
    <mergeCell ref="BF9:BG9"/>
    <mergeCell ref="L5:O5"/>
    <mergeCell ref="B6:C6"/>
    <mergeCell ref="L8:O8"/>
    <mergeCell ref="B5:C5"/>
    <mergeCell ref="G7:I7"/>
    <mergeCell ref="G8:I8"/>
    <mergeCell ref="L4:O4"/>
    <mergeCell ref="BF5:BG5"/>
    <mergeCell ref="BF2:BG2"/>
    <mergeCell ref="BF1:BJ1"/>
  </mergeCells>
  <dataValidations count="6">
    <dataValidation sqref="AG6" showDropDown="0" showInputMessage="1" showErrorMessage="1" allowBlank="1" type="decimal">
      <formula1>0</formula1>
      <formula2>0.2</formula2>
    </dataValidation>
    <dataValidation sqref="AG3" showDropDown="0" showInputMessage="1" showErrorMessage="1" allowBlank="1" type="list">
      <formula1>"Фикс,комиссия %"</formula1>
    </dataValidation>
    <dataValidation sqref="D11 X16:X2015 AH6" showDropDown="0" showInputMessage="1" showErrorMessage="1" allowBlank="1" type="decimal">
      <formula1>0</formula1>
      <formula2>1</formula2>
    </dataValidation>
    <dataValidation sqref="D9" showDropDown="0" showInputMessage="1" showErrorMessage="1" allowBlank="1" type="whole">
      <formula1>1</formula1>
      <formula2>400</formula2>
    </dataValidation>
    <dataValidation sqref="J5" showDropDown="0" showInputMessage="1" showErrorMessage="1" allowBlank="1" type="list">
      <formula1>INDIRECT(INDIRECT($A$10))</formula1>
    </dataValidation>
    <dataValidation sqref="AH11" showDropDown="0" showInputMessage="1" showErrorMessage="1" allowBlank="1" type="list">
      <formula1>"3%,1,5%,0%,2%"</formula1>
    </dataValidation>
  </dataValidations>
  <pageMargins left="0.7" right="0.7" top="0.75" bottom="0.75" header="0.3" footer="0.3"/>
  <pageSetup orientation="landscape" paperSize="9" scale="16" fitToHeight="0"/>
  <drawing xmlns:r="http://schemas.openxmlformats.org/officeDocument/2006/relationships" r:id="rId1"/>
  <legacyDrawing xmlns:r="http://schemas.openxmlformats.org/officeDocument/2006/relationships" r:id="anysvml"/>
</worksheet>
</file>

<file path=xl/worksheets/sheet3.xml><?xml version="1.0" encoding="utf-8"?>
<worksheet xmlns="http://schemas.openxmlformats.org/spreadsheetml/2006/main">
  <sheetPr codeName="Sheet3">
    <tabColor rgb="FFCAEDFB"/>
    <outlinePr summaryBelow="0" summaryRight="0"/>
    <pageSetUpPr fitToPage="1"/>
  </sheetPr>
  <dimension ref="B2:Z2953"/>
  <sheetViews>
    <sheetView showGridLines="0" view="pageBreakPreview" topLeftCell="C1" zoomScale="70" zoomScaleNormal="70" zoomScaleSheetLayoutView="70" zoomScalePageLayoutView="70" workbookViewId="0">
      <pane ySplit="16" topLeftCell="A1974" activePane="bottomLeft" state="frozen"/>
      <selection pane="bottomLeft" activeCell="Q10" sqref="Q10:S10"/>
    </sheetView>
  </sheetViews>
  <sheetFormatPr baseColWidth="8" defaultColWidth="12.7109375" defaultRowHeight="15.75" customHeight="1"/>
  <cols>
    <col width="2" customWidth="1" style="47" min="1" max="1"/>
    <col width="6.28515625" customWidth="1" style="47" min="2" max="2"/>
    <col width="13.7109375" customWidth="1" style="47" min="3" max="3"/>
    <col width="36.7109375" customWidth="1" style="279" min="4" max="4"/>
    <col width="8.7109375" customWidth="1" style="47" min="5" max="6"/>
    <col width="13.7109375" customWidth="1" style="47" min="7" max="7"/>
    <col width="17.42578125" customWidth="1" style="47" min="8" max="9"/>
    <col width="13.7109375" customWidth="1" style="47" min="10" max="10"/>
    <col width="17.42578125" customWidth="1" style="47" min="11" max="11"/>
    <col width="12.28515625" customWidth="1" style="47" min="12" max="12"/>
    <col width="13.7109375" customWidth="1" style="47" min="13" max="14"/>
    <col width="17.42578125" customWidth="1" style="47" min="15" max="15"/>
    <col width="13.7109375" customWidth="1" style="47" min="16" max="16"/>
    <col width="17.42578125" customWidth="1" style="47" min="17" max="17"/>
    <col width="13.7109375" customWidth="1" style="47" min="18" max="18"/>
    <col outlineLevel="1" width="17.42578125" customWidth="1" style="47" min="19" max="19"/>
    <col width="1.42578125" customWidth="1" style="47" min="20" max="20"/>
    <col width="1.28515625" customWidth="1" style="47" min="21" max="21"/>
    <col width="16.28515625" customWidth="1" style="47" min="22" max="22"/>
    <col width="1.28515625" customWidth="1" style="47" min="23" max="23"/>
    <col width="24.7109375" customWidth="1" style="47" min="24" max="24"/>
    <col width="12.7109375" customWidth="1" style="47" min="25" max="16384"/>
  </cols>
  <sheetData>
    <row r="1" ht="13.5" customHeight="1"/>
    <row r="2" ht="28.5" customHeight="1">
      <c r="B2" s="664">
        <f>+UPPER("Коммерческое предложение")</f>
        <v/>
      </c>
    </row>
    <row r="3" ht="20.65" customHeight="1">
      <c r="B3" s="665" t="n"/>
      <c r="V3" s="48" t="inlineStr">
        <is>
          <t>! Заполни желтые ячейки в "шапке" КП.</t>
        </is>
      </c>
    </row>
    <row r="4" ht="9.4" customHeight="1">
      <c r="B4" s="45" t="n"/>
      <c r="C4" s="46" t="n"/>
      <c r="D4" s="46" t="n"/>
      <c r="E4" s="45" t="n"/>
      <c r="F4" s="45" t="n"/>
      <c r="G4" s="45" t="n"/>
      <c r="H4" s="45" t="n"/>
      <c r="I4" s="45" t="n"/>
      <c r="J4" s="45" t="n"/>
      <c r="K4" s="45" t="n"/>
      <c r="L4" s="45" t="n"/>
      <c r="M4" s="45" t="n"/>
      <c r="N4" s="45" t="n"/>
      <c r="O4" s="45" t="n"/>
      <c r="P4" s="45" t="n"/>
      <c r="Q4" s="45" t="n"/>
      <c r="R4" s="45" t="n"/>
      <c r="S4" s="45" t="n"/>
      <c r="T4" s="45" t="n"/>
      <c r="V4" s="48" t="n"/>
    </row>
    <row r="5" ht="15.75" customHeight="1">
      <c r="B5" s="668" t="inlineStr">
        <is>
          <t>Заказчик:</t>
        </is>
      </c>
      <c r="C5" s="800" t="n"/>
      <c r="D5" s="713" t="inlineStr">
        <is>
          <t>заполнить</t>
        </is>
      </c>
      <c r="E5" s="49" t="n"/>
      <c r="F5" s="49" t="n"/>
      <c r="G5" s="49" t="n"/>
      <c r="H5" s="49" t="n"/>
      <c r="I5" s="49" t="n"/>
      <c r="J5" s="49" t="n"/>
      <c r="K5" s="49" t="n"/>
      <c r="L5" s="49" t="n"/>
      <c r="M5" s="49" t="n"/>
      <c r="N5" s="49" t="n"/>
      <c r="O5" s="672" t="n"/>
      <c r="P5" s="800" t="n"/>
      <c r="Q5" s="673" t="n"/>
      <c r="R5" s="667" t="n"/>
      <c r="S5" s="801" t="n"/>
      <c r="T5" s="45" t="n"/>
      <c r="V5" s="48" t="inlineStr">
        <is>
          <t>!!! Перед отправкой КП клиенту, сохрани данный лист в формате PDF через меню "Сохранить Как".</t>
        </is>
      </c>
    </row>
    <row r="6" ht="15.75" customHeight="1">
      <c r="B6" s="680" t="inlineStr">
        <is>
          <t>Контактное лицо:</t>
        </is>
      </c>
      <c r="D6" s="701" t="inlineStr">
        <is>
          <t>заполнить</t>
        </is>
      </c>
      <c r="E6" s="49" t="n"/>
      <c r="F6" s="49" t="n"/>
      <c r="G6" s="49" t="n"/>
      <c r="H6" s="49" t="n"/>
      <c r="I6" s="49" t="n"/>
      <c r="J6" s="49" t="n"/>
      <c r="K6" s="49" t="n"/>
      <c r="L6" s="49" t="n"/>
      <c r="M6" s="49" t="n"/>
      <c r="N6" s="671" t="n"/>
      <c r="O6" s="670" t="inlineStr">
        <is>
          <t>Группа товаров:</t>
        </is>
      </c>
      <c r="Q6" s="677" t="inlineStr">
        <is>
          <t>заполнить</t>
        </is>
      </c>
      <c r="R6" s="802" t="n"/>
      <c r="S6" s="803" t="n"/>
      <c r="T6" s="45" t="n"/>
    </row>
    <row r="7" ht="15.75" customHeight="1">
      <c r="B7" s="680" t="inlineStr">
        <is>
          <t>Тел:</t>
        </is>
      </c>
      <c r="D7" s="701" t="inlineStr">
        <is>
          <t>заполнить</t>
        </is>
      </c>
      <c r="E7" s="49" t="n"/>
      <c r="F7" s="49" t="n"/>
      <c r="G7" s="49" t="n"/>
      <c r="H7" s="49" t="n"/>
      <c r="I7" s="49" t="n"/>
      <c r="J7" s="49" t="n"/>
      <c r="K7" s="49" t="n"/>
      <c r="L7" s="49" t="n"/>
      <c r="M7" s="49" t="n"/>
      <c r="N7" s="671" t="n"/>
      <c r="O7" s="670" t="inlineStr">
        <is>
          <t>Адрес поставки:</t>
        </is>
      </c>
      <c r="Q7" s="677" t="inlineStr">
        <is>
          <t>заполнить</t>
        </is>
      </c>
      <c r="R7" s="802" t="n"/>
      <c r="S7" s="803" t="n"/>
      <c r="T7" s="45" t="n"/>
      <c r="V7" s="287" t="inlineStr">
        <is>
          <t>Валюта КП</t>
        </is>
      </c>
      <c r="W7" s="51" t="n"/>
      <c r="X7" s="52">
        <f>offer_currency</f>
        <v/>
      </c>
    </row>
    <row r="8" ht="15.75" customHeight="1">
      <c r="B8" s="682" t="inlineStr">
        <is>
          <t>Почта:</t>
        </is>
      </c>
      <c r="C8" s="804" t="n"/>
      <c r="D8" s="710" t="inlineStr">
        <is>
          <t>заполнить</t>
        </is>
      </c>
      <c r="E8" s="49" t="n"/>
      <c r="F8" s="49" t="n"/>
      <c r="G8" s="49" t="n"/>
      <c r="H8" s="49" t="n"/>
      <c r="I8" s="49" t="n"/>
      <c r="J8" s="49" t="n"/>
      <c r="K8" s="49" t="n"/>
      <c r="L8" s="49" t="n"/>
      <c r="M8" s="49" t="n"/>
      <c r="N8" s="671" t="n"/>
      <c r="O8" s="670" t="inlineStr">
        <is>
          <t>Базис поставки:</t>
        </is>
      </c>
      <c r="Q8" s="675">
        <f>offer_incoterms</f>
        <v/>
      </c>
      <c r="S8" s="805" t="n"/>
      <c r="T8" s="45" t="n"/>
      <c r="V8" s="287" t="inlineStr">
        <is>
          <t>Базис поставки:</t>
        </is>
      </c>
      <c r="W8" s="51" t="n"/>
      <c r="X8" s="53">
        <f>offer_incoterms</f>
        <v/>
      </c>
    </row>
    <row r="9" ht="60.6" customHeight="1">
      <c r="B9" s="139" t="n"/>
      <c r="C9" s="671" t="n"/>
      <c r="D9" s="78" t="n"/>
      <c r="E9" s="49" t="n"/>
      <c r="F9" s="49" t="n"/>
      <c r="G9" s="49" t="n"/>
      <c r="H9" s="49" t="n"/>
      <c r="I9" s="49" t="n"/>
      <c r="J9" s="49" t="n"/>
      <c r="K9" s="49" t="n"/>
      <c r="L9" s="49" t="n"/>
      <c r="M9" s="49" t="n"/>
      <c r="N9" s="671" t="n"/>
      <c r="O9" s="670" t="inlineStr">
        <is>
          <t>Условия оплаты:</t>
        </is>
      </c>
      <c r="Q9" s="699">
        <f>offer_pmt_terms</f>
        <v/>
      </c>
      <c r="S9" s="805" t="n"/>
      <c r="T9" s="45" t="n"/>
      <c r="V9" s="288" t="inlineStr">
        <is>
          <t>включено в стоимость</t>
        </is>
      </c>
      <c r="W9" s="54" t="n"/>
      <c r="X9" s="289">
        <f>IF(offer_incoterms="DDP","НДС, страховку, таможенную очистку и доставку товара до склада.","затраты на доставку и страховку.")</f>
        <v/>
      </c>
    </row>
    <row r="10" ht="15.75" customHeight="1">
      <c r="B10" s="668" t="inlineStr">
        <is>
          <t>Поставщик:</t>
        </is>
      </c>
      <c r="C10" s="800" t="n"/>
      <c r="D10" s="706">
        <f>seller_company</f>
        <v/>
      </c>
      <c r="E10" s="49" t="n"/>
      <c r="F10" s="49" t="n"/>
      <c r="G10" s="49" t="n"/>
      <c r="H10" s="49" t="n"/>
      <c r="I10" s="49" t="n"/>
      <c r="J10" s="49" t="n"/>
      <c r="K10" s="49" t="n"/>
      <c r="L10" s="49" t="n"/>
      <c r="M10" s="49" t="n"/>
      <c r="N10" s="671" t="n"/>
      <c r="O10" s="670" t="inlineStr">
        <is>
          <t>Дата предоставления:</t>
        </is>
      </c>
      <c r="Q10" s="697" t="inlineStr">
        <is>
          <t>заполнить</t>
        </is>
      </c>
      <c r="R10" s="802" t="n"/>
      <c r="S10" s="803" t="n"/>
      <c r="T10" s="45" t="n"/>
      <c r="V10" s="287" t="inlineStr">
        <is>
          <t>срок поставки (дни)</t>
        </is>
      </c>
      <c r="W10" s="51" t="n"/>
      <c r="X10" s="140">
        <f>offer_turnaround_time</f>
        <v/>
      </c>
    </row>
    <row r="11" ht="30.6" customHeight="1">
      <c r="B11" s="684" t="inlineStr">
        <is>
          <t>Менеджер Отдела продаж:</t>
        </is>
      </c>
      <c r="D11" s="708" t="inlineStr">
        <is>
          <t>заполнить</t>
        </is>
      </c>
      <c r="E11" s="49" t="n"/>
      <c r="F11" s="49" t="n"/>
      <c r="G11" s="49" t="n"/>
      <c r="H11" s="49" t="n"/>
      <c r="I11" s="49" t="n"/>
      <c r="J11" s="49" t="n"/>
      <c r="K11" s="49" t="n"/>
      <c r="L11" s="806" t="n"/>
      <c r="M11" s="49" t="n"/>
      <c r="N11" s="49" t="n"/>
      <c r="O11" s="670" t="inlineStr">
        <is>
          <t>Срок поставки:</t>
        </is>
      </c>
      <c r="Q11" s="695">
        <f>offer_turnaround_time&amp;" "&amp;расчет!L5</f>
        <v/>
      </c>
      <c r="R11" s="802" t="n"/>
      <c r="S11" s="803" t="n"/>
      <c r="T11" s="45" t="n"/>
      <c r="V11" s="55" t="n"/>
    </row>
    <row r="12" ht="15.75" customHeight="1">
      <c r="B12" s="680" t="inlineStr">
        <is>
          <t>Тел:</t>
        </is>
      </c>
      <c r="D12" s="701" t="inlineStr">
        <is>
          <t>заполнить</t>
        </is>
      </c>
      <c r="E12" s="49" t="n"/>
      <c r="F12" s="49" t="n"/>
      <c r="G12" s="49" t="n"/>
      <c r="H12" s="49" t="n"/>
      <c r="I12" s="49" t="n"/>
      <c r="J12" s="49" t="n"/>
      <c r="K12" s="49" t="n"/>
      <c r="L12" s="49" t="n"/>
      <c r="M12" s="49" t="n"/>
      <c r="N12" s="671" t="n"/>
      <c r="O12" s="688" t="inlineStr">
        <is>
          <t>Сумма КП:</t>
        </is>
      </c>
      <c r="Q12" s="693">
        <f>TEXT(S2017,"# ##0,00")&amp;" "&amp;$X$7&amp;" (в т.ч. НДС "&amp;TEXT(R2017,"# ##0,00")&amp;" "&amp;$X$7&amp;")"</f>
        <v/>
      </c>
      <c r="S12" s="805" t="n"/>
      <c r="T12" s="45" t="n"/>
    </row>
    <row r="13" ht="32.45" customHeight="1">
      <c r="B13" s="682" t="inlineStr">
        <is>
          <t>Почта:</t>
        </is>
      </c>
      <c r="C13" s="804" t="n"/>
      <c r="D13" s="704" t="inlineStr">
        <is>
          <t>заполнить</t>
        </is>
      </c>
      <c r="E13" s="49" t="n"/>
      <c r="F13" s="49" t="n"/>
      <c r="G13" s="49" t="n"/>
      <c r="H13" s="49" t="n"/>
      <c r="I13" s="49" t="n"/>
      <c r="J13" s="49" t="n"/>
      <c r="K13" s="49" t="n"/>
      <c r="L13" s="49" t="n"/>
      <c r="M13" s="49" t="n"/>
      <c r="N13" s="671" t="n"/>
      <c r="O13" s="686" t="inlineStr">
        <is>
          <t>Цена включает:</t>
        </is>
      </c>
      <c r="P13" s="804" t="n"/>
      <c r="Q13" s="691">
        <f>'КП open book'!X9</f>
        <v/>
      </c>
      <c r="R13" s="807" t="n"/>
      <c r="S13" s="808" t="n"/>
      <c r="T13" s="45" t="n"/>
    </row>
    <row r="14" ht="15.75" customFormat="1" customHeight="1" s="57">
      <c r="B14" s="252">
        <f>расчет!A15</f>
        <v/>
      </c>
      <c r="C14" s="252">
        <f>расчет!C15</f>
        <v/>
      </c>
      <c r="D14" s="252">
        <f>расчет!D15</f>
        <v/>
      </c>
      <c r="E14" s="252">
        <f>расчет!E15</f>
        <v/>
      </c>
      <c r="F14" s="252">
        <f>расчет!J15</f>
        <v/>
      </c>
      <c r="G14" s="252">
        <f>расчет!N15</f>
        <v/>
      </c>
      <c r="H14" s="252" t="inlineStr">
        <is>
          <t>calc</t>
        </is>
      </c>
      <c r="I14" s="252">
        <f>расчет!S15</f>
        <v/>
      </c>
      <c r="J14" s="252">
        <f>расчет!V15</f>
        <v/>
      </c>
      <c r="K14" s="252">
        <f>расчет!W15</f>
        <v/>
      </c>
      <c r="L14" s="252">
        <f>расчет!X15</f>
        <v/>
      </c>
      <c r="M14" s="252">
        <f>расчет!Y15</f>
        <v/>
      </c>
      <c r="N14" s="252">
        <f>расчет!Z15</f>
        <v/>
      </c>
      <c r="O14" s="252">
        <f>расчет!AQ15</f>
        <v/>
      </c>
      <c r="P14" s="252" t="inlineStr">
        <is>
          <t>calc</t>
        </is>
      </c>
      <c r="Q14" s="252" t="inlineStr">
        <is>
          <t>calc</t>
        </is>
      </c>
      <c r="R14" s="252">
        <f>расчет!AN15</f>
        <v/>
      </c>
      <c r="S14" s="252">
        <f>расчет!AL15</f>
        <v/>
      </c>
      <c r="T14" s="56" t="n"/>
    </row>
    <row r="15" ht="15" customFormat="1" customHeight="1" s="277">
      <c r="B15" s="277">
        <f t="array" ref="B15">_xlfn.IFNA(OFFSET(INDIRECT(SUBSTITUTE(_xlfn.FORMULATEXT(B14),"=","")),-1,0),"")</f>
        <v/>
      </c>
      <c r="C15" s="277">
        <f t="array" ref="C15">_xlfn.IFNA(OFFSET(INDIRECT(SUBSTITUTE(_xlfn.FORMULATEXT(C14),"=","")),-1,0),"")</f>
        <v/>
      </c>
      <c r="D15" s="277">
        <f t="array" ref="D15">_xlfn.IFNA(OFFSET(INDIRECT(SUBSTITUTE(_xlfn.FORMULATEXT(D14),"=","")),-1,0),"")</f>
        <v/>
      </c>
      <c r="E15" s="277">
        <f t="array" ref="E15">_xlfn.IFNA(OFFSET(INDIRECT(SUBSTITUTE(_xlfn.FORMULATEXT(E14),"=","")),-1,0),"")</f>
        <v/>
      </c>
      <c r="F15" s="277">
        <f t="array" ref="F15">_xlfn.IFNA(OFFSET(INDIRECT(SUBSTITUTE(_xlfn.FORMULATEXT(F14),"=","")),-1,0),"")</f>
        <v/>
      </c>
      <c r="G15" s="277">
        <f t="array" ref="G15">_xlfn.IFNA(OFFSET(INDIRECT(SUBSTITUTE(_xlfn.FORMULATEXT(G14),"=","")),-1,0),"")</f>
        <v/>
      </c>
      <c r="H15" s="277">
        <f t="array" ref="H15">_xlfn.IFNA(OFFSET(INDIRECT(SUBSTITUTE(_xlfn.FORMULATEXT(H14),"=","")),-1,0),"")</f>
        <v/>
      </c>
      <c r="I15" s="277">
        <f t="array" ref="I15">_xlfn.IFNA(OFFSET(INDIRECT(SUBSTITUTE(_xlfn.FORMULATEXT(I14),"=","")),-1,0),"")</f>
        <v/>
      </c>
      <c r="J15" s="277">
        <f t="array" ref="J15">_xlfn.IFNA(OFFSET(INDIRECT(SUBSTITUTE(_xlfn.FORMULATEXT(J14),"=","")),-1,0),"")</f>
        <v/>
      </c>
      <c r="K15" s="277">
        <f t="array" ref="K15">_xlfn.IFNA(OFFSET(INDIRECT(SUBSTITUTE(_xlfn.FORMULATEXT(K14),"=","")),-1,0),"")</f>
        <v/>
      </c>
      <c r="L15" s="277">
        <f t="array" ref="L15">_xlfn.IFNA(OFFSET(INDIRECT(SUBSTITUTE(_xlfn.FORMULATEXT(L14),"=","")),-1,0),"")</f>
        <v/>
      </c>
      <c r="M15" s="277">
        <f t="array" ref="M15">_xlfn.IFNA(OFFSET(INDIRECT(SUBSTITUTE(_xlfn.FORMULATEXT(M14),"=","")),-1,0),"")</f>
        <v/>
      </c>
      <c r="N15" s="277">
        <f t="array" ref="N15">_xlfn.IFNA(OFFSET(INDIRECT(SUBSTITUTE(_xlfn.FORMULATEXT(N14),"=","")),-1,0),"")</f>
        <v/>
      </c>
      <c r="O15" s="277">
        <f t="array" ref="O15">_xlfn.IFNA(OFFSET(INDIRECT(SUBSTITUTE(_xlfn.FORMULATEXT(O14),"=","")),-1,0),"")</f>
        <v/>
      </c>
      <c r="P15" s="277">
        <f t="array" ref="P15">_xlfn.IFNA(OFFSET(INDIRECT(SUBSTITUTE(_xlfn.FORMULATEXT(P14),"=","")),-1,0),"")</f>
        <v/>
      </c>
      <c r="Q15" s="277">
        <f t="array" ref="Q15">_xlfn.IFNA(OFFSET(INDIRECT(SUBSTITUTE(_xlfn.FORMULATEXT(Q14),"=","")),-1,0),"")</f>
        <v/>
      </c>
      <c r="R15" s="277">
        <f t="array" ref="R15">_xlfn.IFNA(OFFSET(INDIRECT(SUBSTITUTE(_xlfn.FORMULATEXT(R14),"=","")),-1,0),"")</f>
        <v/>
      </c>
      <c r="S15" s="277">
        <f t="array" ref="S15">_xlfn.IFNA(OFFSET(INDIRECT(SUBSTITUTE(_xlfn.FORMULATEXT(S14),"=","")),-1,0),"")</f>
        <v/>
      </c>
      <c r="T15" s="278" t="n"/>
    </row>
    <row r="16" ht="45" customFormat="1" customHeight="1" s="59">
      <c r="B16" s="134">
        <f t="array" ref="B16">OFFSET(INDIRECT(SUBSTITUTE(_xlfn.FORMULATEXT(B14),"=","")),-1,0)</f>
        <v/>
      </c>
      <c r="C16" s="134">
        <f t="array" ref="C16">OFFSET(INDIRECT(SUBSTITUTE(_xlfn.FORMULATEXT(C14),"=","")),-1,0)</f>
        <v/>
      </c>
      <c r="D16" s="134" t="inlineStr">
        <is>
          <t>Наименование товара</t>
        </is>
      </c>
      <c r="E16" s="134">
        <f t="array" ref="E16">OFFSET(INDIRECT(SUBSTITUTE(_xlfn.FORMULATEXT(E14),"=","")),-1,0)</f>
        <v/>
      </c>
      <c r="F16" s="134" t="inlineStr">
        <is>
          <t>Валюта инвойса</t>
        </is>
      </c>
      <c r="G16" s="134" t="inlineStr">
        <is>
          <t>Цена за ед. в ориг. валюте</t>
        </is>
      </c>
      <c r="H16" s="134" t="inlineStr">
        <is>
          <t>Сумма инвойса в ориг. валюте</t>
        </is>
      </c>
      <c r="I16" s="134">
        <f>"Сумма инвойса ("&amp;offer_currency&amp;")"</f>
        <v/>
      </c>
      <c r="J16" s="134">
        <f>"Логистика ("&amp;offer_currency&amp;")"</f>
        <v/>
      </c>
      <c r="K16" s="134">
        <f t="array" ref="K16">OFFSET(INDIRECT(SUBSTITUTE(_xlfn.FORMULATEXT(K14),"=","")),-1,0)</f>
        <v/>
      </c>
      <c r="L16" s="134" t="inlineStr">
        <is>
          <t>Ставка таможенной пошлины</t>
        </is>
      </c>
      <c r="M16" s="134" t="inlineStr">
        <is>
          <t>Сумма пошлины</t>
        </is>
      </c>
      <c r="N16" s="134" t="inlineStr">
        <is>
          <t>Акциз</t>
        </is>
      </c>
      <c r="O16" s="134">
        <f>O15&amp;" ("&amp;offer_currency&amp;")"</f>
        <v/>
      </c>
      <c r="P16" s="134">
        <f>"Цена без НДС ("&amp;offer_currency&amp;")"</f>
        <v/>
      </c>
      <c r="Q16" s="134" t="inlineStr">
        <is>
          <t>Общая сумма поставки без НДС</t>
        </is>
      </c>
      <c r="R16" s="134">
        <f>"НДС "&amp;TEXT(IF(AND(offer_incoterms="DDP",seller_region="RU"),IF((TODAY()+offer_turnaround_time)&gt;=helpsheet!$L$17,rate_vatRU_from_26,rate_vatRu_till_25),0),"0%")&amp;" ("&amp;offer_currency&amp;")"</f>
        <v/>
      </c>
      <c r="S16" s="134">
        <f>+"Итого Сумма "&amp;IF(R2017=0,"","c НДС ("&amp;offer_currency&amp;")")</f>
        <v/>
      </c>
      <c r="T16" s="58" t="n"/>
      <c r="V16" s="60" t="inlineStr">
        <is>
          <t>скрыть пустые</t>
        </is>
      </c>
      <c r="X16" s="61" t="inlineStr">
        <is>
          <t>!  отфильтруй строки со значением "показать"</t>
        </is>
      </c>
    </row>
    <row r="17" ht="15.75" customHeight="1">
      <c r="B17" s="809" t="n">
        <v>1</v>
      </c>
      <c r="C17" s="182">
        <f>IF(offer_sale_type="транзит",IFERROR(VLOOKUP($B17,calc_data,C$14+1,0),0),0)</f>
        <v/>
      </c>
      <c r="D17" s="280">
        <f>IF(offer_sale_type="транзит",IFERROR(VLOOKUP($B17,calc_data,D$14+1,0),0),0)</f>
        <v/>
      </c>
      <c r="E17" s="182">
        <f>IF(offer_sale_type="транзит",IFERROR(VLOOKUP($B17,calc_data,E$14+1,0),0),0)</f>
        <v/>
      </c>
      <c r="F17" s="182">
        <f>IF(offer_sale_type="транзит",IFERROR(VLOOKUP($B17,calc_data,F$14+1,0),0),0)</f>
        <v/>
      </c>
      <c r="G17" s="141">
        <f>IF(offer_sale_type="транзит",IFERROR(VLOOKUP($B17,calc_data,G$14+1,0),0),0)</f>
        <v/>
      </c>
      <c r="H17" s="141">
        <f>E17*G17</f>
        <v/>
      </c>
      <c r="I17" s="141">
        <f>IF(offer_sale_type="транзит",IFERROR(ROUND(VLOOKUP($B17,calc_data,I$14+1,0),2),0),0)</f>
        <v/>
      </c>
      <c r="J17" s="141">
        <f>ROUND(IF(offer_sale_type="транзит",IFERROR(VLOOKUP($B17,calc_data,J$14+1,0),0),0),2)</f>
        <v/>
      </c>
      <c r="K17" s="142">
        <f>IF(offer_sale_type="транзит",IFERROR(ROUNDUP(VLOOKUP($B17,calc_data,K$14+1,0),2),0),0)</f>
        <v/>
      </c>
      <c r="L17" s="184">
        <f>IF(offer_sale_type="транзит",IFERROR(ROUNDUP(VLOOKUP($B17,calc_data,L$14+1,0),2),0),0)</f>
        <v/>
      </c>
      <c r="M17" s="141">
        <f>IF(offer_sale_type="транзит",IFERROR(ROUNDUP(VLOOKUP($B17,calc_data,M$14+1,0),2),0),0)</f>
        <v/>
      </c>
      <c r="N17" s="141">
        <f>IF(offer_sale_type="транзит",IFERROR(ROUNDUP(VLOOKUP($B17,calc_data,N$14+1,0),2),0),0)</f>
        <v/>
      </c>
      <c r="O17" s="147">
        <f>IF(offer_sale_type="транзит",IFERROR(ROUND(VLOOKUP($B17,calc_data,O$14+1,1),2),0),0)</f>
        <v/>
      </c>
      <c r="P17" s="141">
        <f>IF(offer_sale_type="транзит",IFERROR(ROUND(SUM(I17:J17,M17:O17)/E17,2),0),2)</f>
        <v/>
      </c>
      <c r="Q17" s="141">
        <f>E17*P17</f>
        <v/>
      </c>
      <c r="R17" s="141">
        <f>ROUND(Q17*IF(AND(offer_incoterms="DDP",seller_region="RU"),IF((TODAY()+offer_turnaround_time)&gt;=helpsheet!$L$17,rate_vatRU_from_26,rate_vatRu_till_25),0),2)</f>
        <v/>
      </c>
      <c r="S17" s="177">
        <f>ROUND(Q17+IF(AND(offer_incoterms="DDP",seller_region="RU"),R17,0),2)</f>
        <v/>
      </c>
      <c r="T17" s="45" t="n"/>
      <c r="V17" s="57">
        <f>IF(Q17&gt;0,"показать","скрыть")</f>
        <v/>
      </c>
      <c r="Y17" s="810" t="n"/>
      <c r="Z17" s="810" t="n"/>
    </row>
    <row r="18" ht="15.75" customHeight="1">
      <c r="B18" s="809" t="n">
        <v>2</v>
      </c>
      <c r="C18" s="182">
        <f>IF(offer_sale_type="транзит",IFERROR(VLOOKUP($B18,calc_data,C$14+1,0),0),0)</f>
        <v/>
      </c>
      <c r="D18" s="280">
        <f>IF(offer_sale_type="транзит",IFERROR(VLOOKUP($B18,calc_data,D$14+1,0),0),0)</f>
        <v/>
      </c>
      <c r="E18" s="182">
        <f>IF(offer_sale_type="транзит",IFERROR(VLOOKUP($B18,calc_data,E$14+1,0),0),0)</f>
        <v/>
      </c>
      <c r="F18" s="182">
        <f>IF(offer_sale_type="транзит",IFERROR(VLOOKUP($B18,calc_data,F$14+1,0),0),0)</f>
        <v/>
      </c>
      <c r="G18" s="141">
        <f>IF(offer_sale_type="транзит",IFERROR(VLOOKUP($B18,calc_data,G$14+1,0),0),0)</f>
        <v/>
      </c>
      <c r="H18" s="141">
        <f>E18*G18</f>
        <v/>
      </c>
      <c r="I18" s="141">
        <f>IF(offer_sale_type="транзит",IFERROR(ROUND(VLOOKUP($B18,calc_data,I$14+1,0),2),0),0)</f>
        <v/>
      </c>
      <c r="J18" s="141">
        <f>ROUND(IF(offer_sale_type="транзит",IFERROR(VLOOKUP($B18,calc_data,J$14+1,0),0),0),2)</f>
        <v/>
      </c>
      <c r="K18" s="142">
        <f>IF(offer_sale_type="транзит",IFERROR(ROUNDUP(VLOOKUP($B18,calc_data,K$14+1,0),2),0),0)</f>
        <v/>
      </c>
      <c r="L18" s="184">
        <f>IF(offer_sale_type="транзит",IFERROR(ROUNDUP(VLOOKUP($B18,calc_data,L$14+1,0),2),0),0)</f>
        <v/>
      </c>
      <c r="M18" s="141">
        <f>IF(offer_sale_type="транзит",IFERROR(ROUNDUP(VLOOKUP($B18,calc_data,M$14+1,0),2),0),0)</f>
        <v/>
      </c>
      <c r="N18" s="141">
        <f>IF(offer_sale_type="транзит",IFERROR(ROUNDUP(VLOOKUP($B18,calc_data,N$14+1,0),2),0),0)</f>
        <v/>
      </c>
      <c r="O18" s="147">
        <f>IF(offer_sale_type="транзит",IFERROR(ROUND(VLOOKUP($B18,calc_data,O$14+1,1),2),0),0)</f>
        <v/>
      </c>
      <c r="P18" s="141">
        <f>IF(offer_sale_type="транзит",IFERROR(ROUND(SUM(I18:J18,M18:O18)/E18,2),0),2)</f>
        <v/>
      </c>
      <c r="Q18" s="141">
        <f>E18*P18</f>
        <v/>
      </c>
      <c r="R18" s="141">
        <f>ROUND(Q18*IF(AND(offer_incoterms="DDP",seller_region="RU"),IF((TODAY()+offer_turnaround_time)&gt;=helpsheet!$L$17,rate_vatRU_from_26,rate_vatRu_till_25),0),2)</f>
        <v/>
      </c>
      <c r="S18" s="177">
        <f>Q18+IF(AND(offer_incoterms="DDP",seller_region="RU"),R18,0)</f>
        <v/>
      </c>
      <c r="T18" s="45" t="n"/>
      <c r="V18" s="57">
        <f>IF(Q18&gt;0,"показать","скрыть")</f>
        <v/>
      </c>
      <c r="Y18" s="810" t="n"/>
      <c r="Z18" s="810" t="n"/>
    </row>
    <row r="19" ht="15.75" customHeight="1">
      <c r="B19" s="809" t="n">
        <v>3</v>
      </c>
      <c r="C19" s="182">
        <f>IF(offer_sale_type="транзит",IFERROR(VLOOKUP($B19,calc_data,C$14+1,0),0),0)</f>
        <v/>
      </c>
      <c r="D19" s="280">
        <f>IF(offer_sale_type="транзит",IFERROR(VLOOKUP($B19,calc_data,D$14+1,0),0),0)</f>
        <v/>
      </c>
      <c r="E19" s="182">
        <f>IF(offer_sale_type="транзит",IFERROR(VLOOKUP($B19,calc_data,E$14+1,0),0),0)</f>
        <v/>
      </c>
      <c r="F19" s="182">
        <f>IF(offer_sale_type="транзит",IFERROR(VLOOKUP($B19,calc_data,F$14+1,0),0),0)</f>
        <v/>
      </c>
      <c r="G19" s="141">
        <f>IF(offer_sale_type="транзит",IFERROR(VLOOKUP($B19,calc_data,G$14+1,0),0),0)</f>
        <v/>
      </c>
      <c r="H19" s="141">
        <f>E19*G19</f>
        <v/>
      </c>
      <c r="I19" s="141">
        <f>IF(offer_sale_type="транзит",IFERROR(ROUND(VLOOKUP($B19,calc_data,I$14+1,0),2),0),0)</f>
        <v/>
      </c>
      <c r="J19" s="141">
        <f>ROUND(IF(offer_sale_type="транзит",IFERROR(VLOOKUP($B19,calc_data,J$14+1,0),0),0),2)</f>
        <v/>
      </c>
      <c r="K19" s="142">
        <f>IF(offer_sale_type="транзит",IFERROR(ROUNDUP(VLOOKUP($B19,calc_data,K$14+1,0),2),0),0)</f>
        <v/>
      </c>
      <c r="L19" s="184">
        <f>IF(offer_sale_type="транзит",IFERROR(ROUNDUP(VLOOKUP($B19,calc_data,L$14+1,0),2),0),0)</f>
        <v/>
      </c>
      <c r="M19" s="141">
        <f>IF(offer_sale_type="транзит",IFERROR(ROUNDUP(VLOOKUP($B19,calc_data,M$14+1,0),2),0),0)</f>
        <v/>
      </c>
      <c r="N19" s="141">
        <f>IF(offer_sale_type="транзит",IFERROR(ROUNDUP(VLOOKUP($B19,calc_data,N$14+1,0),2),0),0)</f>
        <v/>
      </c>
      <c r="O19" s="147">
        <f>IF(offer_sale_type="транзит",IFERROR(ROUND(VLOOKUP($B19,calc_data,O$14+1,1),2),0),0)</f>
        <v/>
      </c>
      <c r="P19" s="141">
        <f>IF(offer_sale_type="транзит",IFERROR(ROUND(SUM(I19:J19,M19:O19)/E19,2),0),0)</f>
        <v/>
      </c>
      <c r="Q19" s="141">
        <f>E19*P19</f>
        <v/>
      </c>
      <c r="R19" s="141">
        <f>ROUND(Q19*IF(AND(offer_incoterms="DDP",seller_region="RU"),IF((TODAY()+offer_turnaround_time)&gt;=helpsheet!$L$17,rate_vatRU_from_26,rate_vatRu_till_25),0),2)</f>
        <v/>
      </c>
      <c r="S19" s="177">
        <f>Q19+IF(AND(offer_incoterms="DDP",seller_region="RU"),R19,0)</f>
        <v/>
      </c>
      <c r="T19" s="45" t="n"/>
      <c r="V19" s="57">
        <f>IF(Q19&gt;0,"показать","скрыть")</f>
        <v/>
      </c>
      <c r="Y19" s="810" t="n"/>
      <c r="Z19" s="810" t="n"/>
    </row>
    <row r="20" ht="15.75" customHeight="1">
      <c r="B20" s="809" t="n">
        <v>4</v>
      </c>
      <c r="C20" s="182">
        <f>IF(offer_sale_type="транзит",IFERROR(VLOOKUP($B20,calc_data,C$14+1,0),0),0)</f>
        <v/>
      </c>
      <c r="D20" s="280">
        <f>IF(offer_sale_type="транзит",IFERROR(VLOOKUP($B20,calc_data,D$14+1,0),0),0)</f>
        <v/>
      </c>
      <c r="E20" s="182">
        <f>IF(offer_sale_type="транзит",IFERROR(VLOOKUP($B20,calc_data,E$14+1,0),0),0)</f>
        <v/>
      </c>
      <c r="F20" s="182">
        <f>IF(offer_sale_type="транзит",IFERROR(VLOOKUP($B20,calc_data,F$14+1,0),0),0)</f>
        <v/>
      </c>
      <c r="G20" s="141">
        <f>IF(offer_sale_type="транзит",IFERROR(VLOOKUP($B20,calc_data,G$14+1,0),0),0)</f>
        <v/>
      </c>
      <c r="H20" s="141">
        <f>E20*G20</f>
        <v/>
      </c>
      <c r="I20" s="141">
        <f>IF(offer_sale_type="транзит",IFERROR(ROUND(VLOOKUP($B20,calc_data,I$14+1,0),2),0),0)</f>
        <v/>
      </c>
      <c r="J20" s="141">
        <f>ROUND(IF(offer_sale_type="транзит",IFERROR(VLOOKUP($B20,calc_data,J$14+1,0),0),0),2)</f>
        <v/>
      </c>
      <c r="K20" s="142">
        <f>IF(offer_sale_type="транзит",IFERROR(ROUNDUP(VLOOKUP($B20,calc_data,K$14+1,0),2),0),0)</f>
        <v/>
      </c>
      <c r="L20" s="184">
        <f>IF(offer_sale_type="транзит",IFERROR(ROUNDUP(VLOOKUP($B20,calc_data,L$14+1,0),2),0),0)</f>
        <v/>
      </c>
      <c r="M20" s="141">
        <f>IF(offer_sale_type="транзит",IFERROR(ROUNDUP(VLOOKUP($B20,calc_data,M$14+1,0),2),0),0)</f>
        <v/>
      </c>
      <c r="N20" s="141">
        <f>IF(offer_sale_type="транзит",IFERROR(ROUNDUP(VLOOKUP($B20,calc_data,N$14+1,0),2),0),0)</f>
        <v/>
      </c>
      <c r="O20" s="147">
        <f>IF(offer_sale_type="транзит",IFERROR(ROUND(VLOOKUP($B20,calc_data,O$14+1,1),2),0),0)</f>
        <v/>
      </c>
      <c r="P20" s="141">
        <f>IF(offer_sale_type="транзит",IFERROR(ROUND(SUM(I20:J20,M20:O20)/E20,2),0),0)</f>
        <v/>
      </c>
      <c r="Q20" s="141">
        <f>E20*P20</f>
        <v/>
      </c>
      <c r="R20" s="141">
        <f>ROUND(Q20*IF(AND(offer_incoterms="DDP",seller_region="RU"),IF((TODAY()+offer_turnaround_time)&gt;=helpsheet!$L$17,rate_vatRU_from_26,rate_vatRu_till_25),0),2)</f>
        <v/>
      </c>
      <c r="S20" s="177">
        <f>Q20+IF(AND(offer_incoterms="DDP",seller_region="RU"),R20,0)</f>
        <v/>
      </c>
      <c r="T20" s="45" t="n"/>
      <c r="V20" s="57">
        <f>IF(Q20&gt;0,"показать","скрыть")</f>
        <v/>
      </c>
      <c r="Y20" s="810" t="n"/>
      <c r="Z20" s="810" t="n"/>
    </row>
    <row r="21" ht="15.75" customHeight="1">
      <c r="B21" s="809" t="n">
        <v>5</v>
      </c>
      <c r="C21" s="182">
        <f>IF(offer_sale_type="транзит",IFERROR(VLOOKUP($B21,calc_data,C$14+1,0),0),0)</f>
        <v/>
      </c>
      <c r="D21" s="280">
        <f>IF(offer_sale_type="транзит",IFERROR(VLOOKUP($B21,calc_data,D$14+1,0),0),0)</f>
        <v/>
      </c>
      <c r="E21" s="182">
        <f>IF(offer_sale_type="транзит",IFERROR(VLOOKUP($B21,calc_data,E$14+1,0),0),0)</f>
        <v/>
      </c>
      <c r="F21" s="182">
        <f>IF(offer_sale_type="транзит",IFERROR(VLOOKUP($B21,calc_data,F$14+1,0),0),0)</f>
        <v/>
      </c>
      <c r="G21" s="141">
        <f>IF(offer_sale_type="транзит",IFERROR(VLOOKUP($B21,calc_data,G$14+1,0),0),0)</f>
        <v/>
      </c>
      <c r="H21" s="141">
        <f>E21*G21</f>
        <v/>
      </c>
      <c r="I21" s="141">
        <f>IF(offer_sale_type="транзит",IFERROR(ROUND(VLOOKUP($B21,calc_data,I$14+1,0),2),0),0)</f>
        <v/>
      </c>
      <c r="J21" s="141">
        <f>ROUND(IF(offer_sale_type="транзит",IFERROR(VLOOKUP($B21,calc_data,J$14+1,0),0),0),2)</f>
        <v/>
      </c>
      <c r="K21" s="142">
        <f>IF(offer_sale_type="транзит",IFERROR(ROUNDUP(VLOOKUP($B21,calc_data,K$14+1,0),2),0),0)</f>
        <v/>
      </c>
      <c r="L21" s="184">
        <f>IF(offer_sale_type="транзит",IFERROR(ROUNDUP(VLOOKUP($B21,calc_data,L$14+1,0),2),0),0)</f>
        <v/>
      </c>
      <c r="M21" s="141">
        <f>IF(offer_sale_type="транзит",IFERROR(ROUNDUP(VLOOKUP($B21,calc_data,M$14+1,0),2),0),0)</f>
        <v/>
      </c>
      <c r="N21" s="141">
        <f>IF(offer_sale_type="транзит",IFERROR(ROUNDUP(VLOOKUP($B21,calc_data,N$14+1,0),2),0),0)</f>
        <v/>
      </c>
      <c r="O21" s="147">
        <f>IF(offer_sale_type="транзит",IFERROR(ROUND(VLOOKUP($B21,calc_data,O$14+1,1),2),0),0)</f>
        <v/>
      </c>
      <c r="P21" s="141">
        <f>IF(offer_sale_type="транзит",IFERROR(ROUND(SUM(I21:J21,M21:O21)/E21,2),0),0)</f>
        <v/>
      </c>
      <c r="Q21" s="141">
        <f>E21*P21</f>
        <v/>
      </c>
      <c r="R21" s="141">
        <f>ROUND(Q21*IF(AND(offer_incoterms="DDP",seller_region="RU"),IF((TODAY()+offer_turnaround_time)&gt;=helpsheet!$L$17,rate_vatRU_from_26,rate_vatRu_till_25),0),2)</f>
        <v/>
      </c>
      <c r="S21" s="177">
        <f>Q21+IF(AND(offer_incoterms="DDP",seller_region="RU"),R21,0)</f>
        <v/>
      </c>
      <c r="T21" s="45" t="n"/>
      <c r="V21" s="57">
        <f>IF(Q21&gt;0,"показать","скрыть")</f>
        <v/>
      </c>
      <c r="Y21" s="810" t="n"/>
      <c r="Z21" s="810" t="n"/>
    </row>
    <row r="22" ht="15.75" customHeight="1">
      <c r="B22" s="809" t="n">
        <v>6</v>
      </c>
      <c r="C22" s="182">
        <f>IF(offer_sale_type="транзит",IFERROR(VLOOKUP($B22,calc_data,C$14+1,0),0),0)</f>
        <v/>
      </c>
      <c r="D22" s="280">
        <f>IF(offer_sale_type="транзит",IFERROR(VLOOKUP($B22,calc_data,D$14+1,0),0),0)</f>
        <v/>
      </c>
      <c r="E22" s="182">
        <f>IF(offer_sale_type="транзит",IFERROR(VLOOKUP($B22,calc_data,E$14+1,0),0),0)</f>
        <v/>
      </c>
      <c r="F22" s="182">
        <f>IF(offer_sale_type="транзит",IFERROR(VLOOKUP($B22,calc_data,F$14+1,0),0),0)</f>
        <v/>
      </c>
      <c r="G22" s="141">
        <f>IF(offer_sale_type="транзит",IFERROR(VLOOKUP($B22,calc_data,G$14+1,0),0),0)</f>
        <v/>
      </c>
      <c r="H22" s="141">
        <f>E22*G22</f>
        <v/>
      </c>
      <c r="I22" s="141">
        <f>IF(offer_sale_type="транзит",IFERROR(ROUND(VLOOKUP($B22,calc_data,I$14+1,0),2),0),0)</f>
        <v/>
      </c>
      <c r="J22" s="141">
        <f>ROUND(IF(offer_sale_type="транзит",IFERROR(VLOOKUP($B22,calc_data,J$14+1,0),0),0),2)</f>
        <v/>
      </c>
      <c r="K22" s="142">
        <f>IF(offer_sale_type="транзит",IFERROR(ROUNDUP(VLOOKUP($B22,calc_data,K$14+1,0),2),0),0)</f>
        <v/>
      </c>
      <c r="L22" s="184">
        <f>IF(offer_sale_type="транзит",IFERROR(ROUNDUP(VLOOKUP($B22,calc_data,L$14+1,0),2),0),0)</f>
        <v/>
      </c>
      <c r="M22" s="141">
        <f>IF(offer_sale_type="транзит",IFERROR(ROUNDUP(VLOOKUP($B22,calc_data,M$14+1,0),2),0),0)</f>
        <v/>
      </c>
      <c r="N22" s="141">
        <f>IF(offer_sale_type="транзит",IFERROR(ROUNDUP(VLOOKUP($B22,calc_data,N$14+1,0),2),0),0)</f>
        <v/>
      </c>
      <c r="O22" s="147">
        <f>IF(offer_sale_type="транзит",IFERROR(ROUND(VLOOKUP($B22,calc_data,O$14+1,1),2),0),0)</f>
        <v/>
      </c>
      <c r="P22" s="141">
        <f>IF(offer_sale_type="транзит",IFERROR(ROUND(SUM(I22:J22,M22:O22)/E22,2),0),0)</f>
        <v/>
      </c>
      <c r="Q22" s="141">
        <f>E22*P22</f>
        <v/>
      </c>
      <c r="R22" s="141">
        <f>ROUND(Q22*IF(AND(offer_incoterms="DDP",seller_region="RU"),IF((TODAY()+offer_turnaround_time)&gt;=helpsheet!$L$17,rate_vatRU_from_26,rate_vatRu_till_25),0),2)</f>
        <v/>
      </c>
      <c r="S22" s="177">
        <f>Q22+IF(AND(offer_incoterms="DDP",seller_region="RU"),R22,0)</f>
        <v/>
      </c>
      <c r="T22" s="45" t="n"/>
      <c r="V22" s="57">
        <f>IF(Q22&gt;0,"показать","скрыть")</f>
        <v/>
      </c>
      <c r="Y22" s="810" t="n"/>
      <c r="Z22" s="810" t="n"/>
    </row>
    <row r="23" ht="15.75" customHeight="1">
      <c r="B23" s="809" t="n">
        <v>7</v>
      </c>
      <c r="C23" s="182">
        <f>IF(offer_sale_type="транзит",IFERROR(VLOOKUP($B23,calc_data,C$14+1,0),0),0)</f>
        <v/>
      </c>
      <c r="D23" s="280">
        <f>IF(offer_sale_type="транзит",IFERROR(VLOOKUP($B23,calc_data,D$14+1,0),0),0)</f>
        <v/>
      </c>
      <c r="E23" s="182">
        <f>IF(offer_sale_type="транзит",IFERROR(VLOOKUP($B23,calc_data,E$14+1,0),0),0)</f>
        <v/>
      </c>
      <c r="F23" s="182">
        <f>IF(offer_sale_type="транзит",IFERROR(VLOOKUP($B23,calc_data,F$14+1,0),0),0)</f>
        <v/>
      </c>
      <c r="G23" s="141">
        <f>IF(offer_sale_type="транзит",IFERROR(VLOOKUP($B23,calc_data,G$14+1,0),0),0)</f>
        <v/>
      </c>
      <c r="H23" s="141">
        <f>E23*G23</f>
        <v/>
      </c>
      <c r="I23" s="141">
        <f>IF(offer_sale_type="транзит",IFERROR(ROUND(VLOOKUP($B23,calc_data,I$14+1,0),2),0),0)</f>
        <v/>
      </c>
      <c r="J23" s="141">
        <f>ROUND(IF(offer_sale_type="транзит",IFERROR(VLOOKUP($B23,calc_data,J$14+1,0),0),0),2)</f>
        <v/>
      </c>
      <c r="K23" s="142">
        <f>IF(offer_sale_type="транзит",IFERROR(ROUNDUP(VLOOKUP($B23,calc_data,K$14+1,0),2),0),0)</f>
        <v/>
      </c>
      <c r="L23" s="184">
        <f>IF(offer_sale_type="транзит",IFERROR(ROUNDUP(VLOOKUP($B23,calc_data,L$14+1,0),2),0),0)</f>
        <v/>
      </c>
      <c r="M23" s="141">
        <f>IF(offer_sale_type="транзит",IFERROR(ROUNDUP(VLOOKUP($B23,calc_data,M$14+1,0),2),0),0)</f>
        <v/>
      </c>
      <c r="N23" s="141">
        <f>IF(offer_sale_type="транзит",IFERROR(ROUNDUP(VLOOKUP($B23,calc_data,N$14+1,0),2),0),0)</f>
        <v/>
      </c>
      <c r="O23" s="147">
        <f>IF(offer_sale_type="транзит",IFERROR(ROUND(VLOOKUP($B23,calc_data,O$14+1,1),2),0),0)</f>
        <v/>
      </c>
      <c r="P23" s="141">
        <f>IF(offer_sale_type="транзит",IFERROR(ROUND(SUM(I23:J23,M23:O23)/E23,2),0),0)</f>
        <v/>
      </c>
      <c r="Q23" s="141">
        <f>E23*P23</f>
        <v/>
      </c>
      <c r="R23" s="141">
        <f>ROUND(Q23*IF(AND(offer_incoterms="DDP",seller_region="RU"),IF((TODAY()+offer_turnaround_time)&gt;=helpsheet!$L$17,rate_vatRU_from_26,rate_vatRu_till_25),0),2)</f>
        <v/>
      </c>
      <c r="S23" s="177">
        <f>Q23+IF(AND(offer_incoterms="DDP",seller_region="RU"),R23,0)</f>
        <v/>
      </c>
      <c r="T23" s="45" t="n"/>
      <c r="V23" s="57">
        <f>IF(Q23&gt;0,"показать","скрыть")</f>
        <v/>
      </c>
      <c r="Y23" s="810" t="n"/>
      <c r="Z23" s="810" t="n"/>
    </row>
    <row r="24" ht="15.75" customHeight="1">
      <c r="B24" s="809" t="n">
        <v>8</v>
      </c>
      <c r="C24" s="182">
        <f>IF(offer_sale_type="транзит",IFERROR(VLOOKUP($B24,calc_data,C$14+1,0),0),0)</f>
        <v/>
      </c>
      <c r="D24" s="280">
        <f>IF(offer_sale_type="транзит",IFERROR(VLOOKUP($B24,calc_data,D$14+1,0),0),0)</f>
        <v/>
      </c>
      <c r="E24" s="182">
        <f>IF(offer_sale_type="транзит",IFERROR(VLOOKUP($B24,calc_data,E$14+1,0),0),0)</f>
        <v/>
      </c>
      <c r="F24" s="182">
        <f>IF(offer_sale_type="транзит",IFERROR(VLOOKUP($B24,calc_data,F$14+1,0),0),0)</f>
        <v/>
      </c>
      <c r="G24" s="141">
        <f>IF(offer_sale_type="транзит",IFERROR(VLOOKUP($B24,calc_data,G$14+1,0),0),0)</f>
        <v/>
      </c>
      <c r="H24" s="141">
        <f>E24*G24</f>
        <v/>
      </c>
      <c r="I24" s="141">
        <f>IF(offer_sale_type="транзит",IFERROR(ROUND(VLOOKUP($B24,calc_data,I$14+1,0),2),0),0)</f>
        <v/>
      </c>
      <c r="J24" s="141">
        <f>ROUND(IF(offer_sale_type="транзит",IFERROR(VLOOKUP($B24,calc_data,J$14+1,0),0),0),2)</f>
        <v/>
      </c>
      <c r="K24" s="142">
        <f>IF(offer_sale_type="транзит",IFERROR(ROUNDUP(VLOOKUP($B24,calc_data,K$14+1,0),2),0),0)</f>
        <v/>
      </c>
      <c r="L24" s="184">
        <f>IF(offer_sale_type="транзит",IFERROR(ROUNDUP(VLOOKUP($B24,calc_data,L$14+1,0),2),0),0)</f>
        <v/>
      </c>
      <c r="M24" s="141">
        <f>IF(offer_sale_type="транзит",IFERROR(ROUNDUP(VLOOKUP($B24,calc_data,M$14+1,0),2),0),0)</f>
        <v/>
      </c>
      <c r="N24" s="141">
        <f>IF(offer_sale_type="транзит",IFERROR(ROUNDUP(VLOOKUP($B24,calc_data,N$14+1,0),2),0),0)</f>
        <v/>
      </c>
      <c r="O24" s="147">
        <f>IF(offer_sale_type="транзит",IFERROR(ROUND(VLOOKUP($B24,calc_data,O$14+1,1),2),0),0)</f>
        <v/>
      </c>
      <c r="P24" s="141">
        <f>IF(offer_sale_type="транзит",IFERROR(ROUND(SUM(I24:J24,M24:O24)/E24,2),0),0)</f>
        <v/>
      </c>
      <c r="Q24" s="141">
        <f>E24*P24</f>
        <v/>
      </c>
      <c r="R24" s="141">
        <f>ROUND(Q24*IF(AND(offer_incoterms="DDP",seller_region="RU"),IF((TODAY()+offer_turnaround_time)&gt;=helpsheet!$L$17,rate_vatRU_from_26,rate_vatRu_till_25),0),2)</f>
        <v/>
      </c>
      <c r="S24" s="177">
        <f>Q24+IF(AND(offer_incoterms="DDP",seller_region="RU"),R24,0)</f>
        <v/>
      </c>
      <c r="T24" s="45" t="n"/>
      <c r="V24" s="57">
        <f>IF(Q24&gt;0,"показать","скрыть")</f>
        <v/>
      </c>
      <c r="Y24" s="810" t="n"/>
      <c r="Z24" s="810" t="n"/>
    </row>
    <row r="25" ht="15.75" customHeight="1">
      <c r="B25" s="809" t="n">
        <v>9</v>
      </c>
      <c r="C25" s="182">
        <f>IF(offer_sale_type="транзит",IFERROR(VLOOKUP($B25,calc_data,C$14+1,0),0),0)</f>
        <v/>
      </c>
      <c r="D25" s="280">
        <f>IF(offer_sale_type="транзит",IFERROR(VLOOKUP($B25,calc_data,D$14+1,0),0),0)</f>
        <v/>
      </c>
      <c r="E25" s="182">
        <f>IF(offer_sale_type="транзит",IFERROR(VLOOKUP($B25,calc_data,E$14+1,0),0),0)</f>
        <v/>
      </c>
      <c r="F25" s="182">
        <f>IF(offer_sale_type="транзит",IFERROR(VLOOKUP($B25,calc_data,F$14+1,0),0),0)</f>
        <v/>
      </c>
      <c r="G25" s="141">
        <f>IF(offer_sale_type="транзит",IFERROR(VLOOKUP($B25,calc_data,G$14+1,0),0),0)</f>
        <v/>
      </c>
      <c r="H25" s="141">
        <f>E25*G25</f>
        <v/>
      </c>
      <c r="I25" s="141">
        <f>IF(offer_sale_type="транзит",IFERROR(ROUND(VLOOKUP($B25,calc_data,I$14+1,0),2),0),0)</f>
        <v/>
      </c>
      <c r="J25" s="141">
        <f>ROUND(IF(offer_sale_type="транзит",IFERROR(VLOOKUP($B25,calc_data,J$14+1,0),0),0),2)</f>
        <v/>
      </c>
      <c r="K25" s="142">
        <f>IF(offer_sale_type="транзит",IFERROR(ROUNDUP(VLOOKUP($B25,calc_data,K$14+1,0),2),0),0)</f>
        <v/>
      </c>
      <c r="L25" s="184">
        <f>IF(offer_sale_type="транзит",IFERROR(ROUNDUP(VLOOKUP($B25,calc_data,L$14+1,0),2),0),0)</f>
        <v/>
      </c>
      <c r="M25" s="141">
        <f>IF(offer_sale_type="транзит",IFERROR(ROUNDUP(VLOOKUP($B25,calc_data,M$14+1,0),2),0),0)</f>
        <v/>
      </c>
      <c r="N25" s="141">
        <f>IF(offer_sale_type="транзит",IFERROR(ROUNDUP(VLOOKUP($B25,calc_data,N$14+1,0),2),0),0)</f>
        <v/>
      </c>
      <c r="O25" s="147">
        <f>IF(offer_sale_type="транзит",IFERROR(ROUND(VLOOKUP($B25,calc_data,O$14+1,1),2),0),0)</f>
        <v/>
      </c>
      <c r="P25" s="141">
        <f>IF(offer_sale_type="транзит",IFERROR(ROUND(SUM(I25:J25,M25:O25)/E25,2),0),0)</f>
        <v/>
      </c>
      <c r="Q25" s="141">
        <f>E25*P25</f>
        <v/>
      </c>
      <c r="R25" s="141">
        <f>ROUND(Q25*IF(AND(offer_incoterms="DDP",seller_region="RU"),IF((TODAY()+offer_turnaround_time)&gt;=helpsheet!$L$17,rate_vatRU_from_26,rate_vatRu_till_25),0),2)</f>
        <v/>
      </c>
      <c r="S25" s="177">
        <f>Q25+IF(AND(offer_incoterms="DDP",seller_region="RU"),R25,0)</f>
        <v/>
      </c>
      <c r="T25" s="45" t="n"/>
      <c r="V25" s="57">
        <f>IF(Q25&gt;0,"показать","скрыть")</f>
        <v/>
      </c>
      <c r="Y25" s="810" t="n"/>
      <c r="Z25" s="810" t="n"/>
    </row>
    <row r="26" ht="15.75" customHeight="1">
      <c r="B26" s="809" t="n">
        <v>10</v>
      </c>
      <c r="C26" s="182">
        <f>IF(offer_sale_type="транзит",IFERROR(VLOOKUP($B26,calc_data,C$14+1,0),0),0)</f>
        <v/>
      </c>
      <c r="D26" s="280">
        <f>IF(offer_sale_type="транзит",IFERROR(VLOOKUP($B26,calc_data,D$14+1,0),0),0)</f>
        <v/>
      </c>
      <c r="E26" s="182">
        <f>IF(offer_sale_type="транзит",IFERROR(VLOOKUP($B26,calc_data,E$14+1,0),0),0)</f>
        <v/>
      </c>
      <c r="F26" s="182">
        <f>IF(offer_sale_type="транзит",IFERROR(VLOOKUP($B26,calc_data,F$14+1,0),0),0)</f>
        <v/>
      </c>
      <c r="G26" s="141">
        <f>IF(offer_sale_type="транзит",IFERROR(VLOOKUP($B26,calc_data,G$14+1,0),0),0)</f>
        <v/>
      </c>
      <c r="H26" s="141">
        <f>E26*G26</f>
        <v/>
      </c>
      <c r="I26" s="141">
        <f>IF(offer_sale_type="транзит",IFERROR(ROUND(VLOOKUP($B26,calc_data,I$14+1,0),2),0),0)</f>
        <v/>
      </c>
      <c r="J26" s="141">
        <f>ROUND(IF(offer_sale_type="транзит",IFERROR(VLOOKUP($B26,calc_data,J$14+1,0),0),0),2)</f>
        <v/>
      </c>
      <c r="K26" s="142">
        <f>IF(offer_sale_type="транзит",IFERROR(ROUNDUP(VLOOKUP($B26,calc_data,K$14+1,0),2),0),0)</f>
        <v/>
      </c>
      <c r="L26" s="184">
        <f>IF(offer_sale_type="транзит",IFERROR(ROUNDUP(VLOOKUP($B26,calc_data,L$14+1,0),2),0),0)</f>
        <v/>
      </c>
      <c r="M26" s="141">
        <f>IF(offer_sale_type="транзит",IFERROR(ROUNDUP(VLOOKUP($B26,calc_data,M$14+1,0),2),0),0)</f>
        <v/>
      </c>
      <c r="N26" s="141">
        <f>IF(offer_sale_type="транзит",IFERROR(ROUNDUP(VLOOKUP($B26,calc_data,N$14+1,0),2),0),0)</f>
        <v/>
      </c>
      <c r="O26" s="147">
        <f>IF(offer_sale_type="транзит",IFERROR(ROUND(VLOOKUP($B26,calc_data,O$14+1,1),2),0),0)</f>
        <v/>
      </c>
      <c r="P26" s="141">
        <f>IF(offer_sale_type="транзит",IFERROR(ROUND(SUM(I26:J26,M26:O26)/E26,2),0),0)</f>
        <v/>
      </c>
      <c r="Q26" s="141">
        <f>E26*P26</f>
        <v/>
      </c>
      <c r="R26" s="141">
        <f>ROUND(Q26*IF(AND(offer_incoterms="DDP",seller_region="RU"),IF((TODAY()+offer_turnaround_time)&gt;=helpsheet!$L$17,rate_vatRU_from_26,rate_vatRu_till_25),0),2)</f>
        <v/>
      </c>
      <c r="S26" s="177">
        <f>Q26+IF(AND(offer_incoterms="DDP",seller_region="RU"),R26,0)</f>
        <v/>
      </c>
      <c r="T26" s="45" t="n"/>
      <c r="V26" s="57">
        <f>IF(Q26&gt;0,"показать","скрыть")</f>
        <v/>
      </c>
    </row>
    <row r="27" ht="15.75" customHeight="1">
      <c r="B27" s="809" t="n">
        <v>11</v>
      </c>
      <c r="C27" s="182">
        <f>IF(offer_sale_type="транзит",IFERROR(VLOOKUP($B27,calc_data,C$14+1,0),0),0)</f>
        <v/>
      </c>
      <c r="D27" s="280">
        <f>IF(offer_sale_type="транзит",IFERROR(VLOOKUP($B27,calc_data,D$14+1,0),0),0)</f>
        <v/>
      </c>
      <c r="E27" s="182">
        <f>IF(offer_sale_type="транзит",IFERROR(VLOOKUP($B27,calc_data,E$14+1,0),0),0)</f>
        <v/>
      </c>
      <c r="F27" s="182">
        <f>IF(offer_sale_type="транзит",IFERROR(VLOOKUP($B27,calc_data,F$14+1,0),0),0)</f>
        <v/>
      </c>
      <c r="G27" s="141">
        <f>IF(offer_sale_type="транзит",IFERROR(VLOOKUP($B27,calc_data,G$14+1,0),0),0)</f>
        <v/>
      </c>
      <c r="H27" s="141">
        <f>E27*G27</f>
        <v/>
      </c>
      <c r="I27" s="141">
        <f>IF(offer_sale_type="транзит",IFERROR(ROUND(VLOOKUP($B27,calc_data,I$14+1,0),2),0),0)</f>
        <v/>
      </c>
      <c r="J27" s="141">
        <f>ROUND(IF(offer_sale_type="транзит",IFERROR(VLOOKUP($B27,calc_data,J$14+1,0),0),0),2)</f>
        <v/>
      </c>
      <c r="K27" s="142">
        <f>IF(offer_sale_type="транзит",IFERROR(ROUNDUP(VLOOKUP($B27,calc_data,K$14+1,0),2),0),0)</f>
        <v/>
      </c>
      <c r="L27" s="184">
        <f>IF(offer_sale_type="транзит",IFERROR(ROUNDUP(VLOOKUP($B27,calc_data,L$14+1,0),2),0),0)</f>
        <v/>
      </c>
      <c r="M27" s="141">
        <f>IF(offer_sale_type="транзит",IFERROR(ROUNDUP(VLOOKUP($B27,calc_data,M$14+1,0),2),0),0)</f>
        <v/>
      </c>
      <c r="N27" s="141">
        <f>IF(offer_sale_type="транзит",IFERROR(ROUNDUP(VLOOKUP($B27,calc_data,N$14+1,0),2),0),0)</f>
        <v/>
      </c>
      <c r="O27" s="147">
        <f>IF(offer_sale_type="транзит",IFERROR(ROUND(VLOOKUP($B27,calc_data,O$14+1,1),2),0),0)</f>
        <v/>
      </c>
      <c r="P27" s="141">
        <f>IF(offer_sale_type="транзит",IFERROR(ROUND(SUM(I27:J27,M27:O27)/E27,2),0),0)</f>
        <v/>
      </c>
      <c r="Q27" s="141">
        <f>E27*P27</f>
        <v/>
      </c>
      <c r="R27" s="141">
        <f>ROUND(Q27*IF(AND(offer_incoterms="DDP",seller_region="RU"),IF((TODAY()+offer_turnaround_time)&gt;=helpsheet!$L$17,rate_vatRU_from_26,rate_vatRu_till_25),0),2)</f>
        <v/>
      </c>
      <c r="S27" s="177">
        <f>Q27+IF(AND(offer_incoterms="DDP",seller_region="RU"),R27,0)</f>
        <v/>
      </c>
      <c r="T27" s="45" t="n"/>
      <c r="V27" s="57">
        <f>IF(Q27&gt;0,"показать","скрыть")</f>
        <v/>
      </c>
    </row>
    <row r="28" ht="15.75" customHeight="1">
      <c r="B28" s="809" t="n">
        <v>12</v>
      </c>
      <c r="C28" s="182">
        <f>IF(offer_sale_type="транзит",IFERROR(VLOOKUP($B28,calc_data,C$14+1,0),0),0)</f>
        <v/>
      </c>
      <c r="D28" s="280">
        <f>IF(offer_sale_type="транзит",IFERROR(VLOOKUP($B28,calc_data,D$14+1,0),0),0)</f>
        <v/>
      </c>
      <c r="E28" s="182">
        <f>IF(offer_sale_type="транзит",IFERROR(VLOOKUP($B28,calc_data,E$14+1,0),0),0)</f>
        <v/>
      </c>
      <c r="F28" s="182">
        <f>IF(offer_sale_type="транзит",IFERROR(VLOOKUP($B28,calc_data,F$14+1,0),0),0)</f>
        <v/>
      </c>
      <c r="G28" s="141">
        <f>IF(offer_sale_type="транзит",IFERROR(VLOOKUP($B28,calc_data,G$14+1,0),0),0)</f>
        <v/>
      </c>
      <c r="H28" s="141">
        <f>E28*G28</f>
        <v/>
      </c>
      <c r="I28" s="141">
        <f>IF(offer_sale_type="транзит",IFERROR(ROUND(VLOOKUP($B28,calc_data,I$14+1,0),2),0),0)</f>
        <v/>
      </c>
      <c r="J28" s="141">
        <f>ROUND(IF(offer_sale_type="транзит",IFERROR(VLOOKUP($B28,calc_data,J$14+1,0),0),0),2)</f>
        <v/>
      </c>
      <c r="K28" s="142">
        <f>IF(offer_sale_type="транзит",IFERROR(ROUNDUP(VLOOKUP($B28,calc_data,K$14+1,0),2),0),0)</f>
        <v/>
      </c>
      <c r="L28" s="184">
        <f>IF(offer_sale_type="транзит",IFERROR(ROUNDUP(VLOOKUP($B28,calc_data,L$14+1,0),2),0),0)</f>
        <v/>
      </c>
      <c r="M28" s="141">
        <f>IF(offer_sale_type="транзит",IFERROR(ROUNDUP(VLOOKUP($B28,calc_data,M$14+1,0),2),0),0)</f>
        <v/>
      </c>
      <c r="N28" s="141">
        <f>IF(offer_sale_type="транзит",IFERROR(ROUNDUP(VLOOKUP($B28,calc_data,N$14+1,0),2),0),0)</f>
        <v/>
      </c>
      <c r="O28" s="147">
        <f>IF(offer_sale_type="транзит",IFERROR(ROUND(VLOOKUP($B28,calc_data,O$14+1,1),2),0),0)</f>
        <v/>
      </c>
      <c r="P28" s="141">
        <f>IF(offer_sale_type="транзит",IFERROR(ROUND(SUM(I28:J28,M28:O28)/E28,2),0),0)</f>
        <v/>
      </c>
      <c r="Q28" s="141">
        <f>E28*P28</f>
        <v/>
      </c>
      <c r="R28" s="141">
        <f>ROUND(Q28*IF(AND(offer_incoterms="DDP",seller_region="RU"),IF((TODAY()+offer_turnaround_time)&gt;=helpsheet!$L$17,rate_vatRU_from_26,rate_vatRu_till_25),0),2)</f>
        <v/>
      </c>
      <c r="S28" s="177">
        <f>Q28+IF(AND(offer_incoterms="DDP",seller_region="RU"),R28,0)</f>
        <v/>
      </c>
      <c r="T28" s="45" t="n"/>
      <c r="V28" s="57">
        <f>IF(Q28&gt;0,"показать","скрыть")</f>
        <v/>
      </c>
    </row>
    <row r="29" ht="15.75" customHeight="1">
      <c r="B29" s="809" t="n">
        <v>13</v>
      </c>
      <c r="C29" s="182">
        <f>IF(offer_sale_type="транзит",IFERROR(VLOOKUP($B29,calc_data,C$14+1,0),0),0)</f>
        <v/>
      </c>
      <c r="D29" s="280">
        <f>IF(offer_sale_type="транзит",IFERROR(VLOOKUP($B29,calc_data,D$14+1,0),0),0)</f>
        <v/>
      </c>
      <c r="E29" s="182">
        <f>IF(offer_sale_type="транзит",IFERROR(VLOOKUP($B29,calc_data,E$14+1,0),0),0)</f>
        <v/>
      </c>
      <c r="F29" s="182">
        <f>IF(offer_sale_type="транзит",IFERROR(VLOOKUP($B29,calc_data,F$14+1,0),0),0)</f>
        <v/>
      </c>
      <c r="G29" s="141">
        <f>IF(offer_sale_type="транзит",IFERROR(VLOOKUP($B29,calc_data,G$14+1,0),0),0)</f>
        <v/>
      </c>
      <c r="H29" s="141">
        <f>E29*G29</f>
        <v/>
      </c>
      <c r="I29" s="141">
        <f>IF(offer_sale_type="транзит",IFERROR(ROUND(VLOOKUP($B29,calc_data,I$14+1,0),2),0),0)</f>
        <v/>
      </c>
      <c r="J29" s="141">
        <f>ROUND(IF(offer_sale_type="транзит",IFERROR(VLOOKUP($B29,calc_data,J$14+1,0),0),0),2)</f>
        <v/>
      </c>
      <c r="K29" s="142">
        <f>IF(offer_sale_type="транзит",IFERROR(ROUNDUP(VLOOKUP($B29,calc_data,K$14+1,0),2),0),0)</f>
        <v/>
      </c>
      <c r="L29" s="184">
        <f>IF(offer_sale_type="транзит",IFERROR(ROUNDUP(VLOOKUP($B29,calc_data,L$14+1,0),2),0),0)</f>
        <v/>
      </c>
      <c r="M29" s="141">
        <f>IF(offer_sale_type="транзит",IFERROR(ROUNDUP(VLOOKUP($B29,calc_data,M$14+1,0),2),0),0)</f>
        <v/>
      </c>
      <c r="N29" s="141">
        <f>IF(offer_sale_type="транзит",IFERROR(ROUNDUP(VLOOKUP($B29,calc_data,N$14+1,0),2),0),0)</f>
        <v/>
      </c>
      <c r="O29" s="147">
        <f>IF(offer_sale_type="транзит",IFERROR(ROUND(VLOOKUP($B29,calc_data,O$14+1,1),2),0),0)</f>
        <v/>
      </c>
      <c r="P29" s="141">
        <f>IF(offer_sale_type="транзит",IFERROR(ROUND(SUM(I29:J29,M29:O29)/E29,2),0),0)</f>
        <v/>
      </c>
      <c r="Q29" s="141">
        <f>E29*P29</f>
        <v/>
      </c>
      <c r="R29" s="141">
        <f>ROUND(Q29*IF(AND(offer_incoterms="DDP",seller_region="RU"),IF((TODAY()+offer_turnaround_time)&gt;=helpsheet!$L$17,rate_vatRU_from_26,rate_vatRu_till_25),0),2)</f>
        <v/>
      </c>
      <c r="S29" s="177">
        <f>Q29+IF(AND(offer_incoterms="DDP",seller_region="RU"),R29,0)</f>
        <v/>
      </c>
      <c r="T29" s="45" t="n"/>
      <c r="V29" s="57">
        <f>IF(Q29&gt;0,"показать","скрыть")</f>
        <v/>
      </c>
    </row>
    <row r="30" ht="15.75" customHeight="1">
      <c r="B30" s="809" t="n">
        <v>14</v>
      </c>
      <c r="C30" s="182">
        <f>IF(offer_sale_type="транзит",IFERROR(VLOOKUP($B30,calc_data,C$14+1,0),0),0)</f>
        <v/>
      </c>
      <c r="D30" s="280">
        <f>IF(offer_sale_type="транзит",IFERROR(VLOOKUP($B30,calc_data,D$14+1,0),0),0)</f>
        <v/>
      </c>
      <c r="E30" s="182">
        <f>IF(offer_sale_type="транзит",IFERROR(VLOOKUP($B30,calc_data,E$14+1,0),0),0)</f>
        <v/>
      </c>
      <c r="F30" s="182">
        <f>IF(offer_sale_type="транзит",IFERROR(VLOOKUP($B30,calc_data,F$14+1,0),0),0)</f>
        <v/>
      </c>
      <c r="G30" s="141">
        <f>IF(offer_sale_type="транзит",IFERROR(VLOOKUP($B30,calc_data,G$14+1,0),0),0)</f>
        <v/>
      </c>
      <c r="H30" s="141">
        <f>E30*G30</f>
        <v/>
      </c>
      <c r="I30" s="141">
        <f>IF(offer_sale_type="транзит",IFERROR(ROUND(VLOOKUP($B30,calc_data,I$14+1,0),2),0),0)</f>
        <v/>
      </c>
      <c r="J30" s="141">
        <f>ROUND(IF(offer_sale_type="транзит",IFERROR(VLOOKUP($B30,calc_data,J$14+1,0),0),0),2)</f>
        <v/>
      </c>
      <c r="K30" s="142">
        <f>IF(offer_sale_type="транзит",IFERROR(ROUNDUP(VLOOKUP($B30,calc_data,K$14+1,0),2),0),0)</f>
        <v/>
      </c>
      <c r="L30" s="184">
        <f>IF(offer_sale_type="транзит",IFERROR(ROUNDUP(VLOOKUP($B30,calc_data,L$14+1,0),2),0),0)</f>
        <v/>
      </c>
      <c r="M30" s="141">
        <f>IF(offer_sale_type="транзит",IFERROR(ROUNDUP(VLOOKUP($B30,calc_data,M$14+1,0),2),0),0)</f>
        <v/>
      </c>
      <c r="N30" s="141">
        <f>IF(offer_sale_type="транзит",IFERROR(ROUNDUP(VLOOKUP($B30,calc_data,N$14+1,0),2),0),0)</f>
        <v/>
      </c>
      <c r="O30" s="147">
        <f>IF(offer_sale_type="транзит",IFERROR(ROUND(VLOOKUP($B30,calc_data,O$14+1,1),2),0),0)</f>
        <v/>
      </c>
      <c r="P30" s="141">
        <f>IF(offer_sale_type="транзит",IFERROR(ROUND(SUM(I30:J30,M30:O30)/E30,2),0),0)</f>
        <v/>
      </c>
      <c r="Q30" s="141">
        <f>E30*P30</f>
        <v/>
      </c>
      <c r="R30" s="141">
        <f>ROUND(Q30*IF(AND(offer_incoterms="DDP",seller_region="RU"),IF((TODAY()+offer_turnaround_time)&gt;=helpsheet!$L$17,rate_vatRU_from_26,rate_vatRu_till_25),0),2)</f>
        <v/>
      </c>
      <c r="S30" s="177">
        <f>Q30+IF(AND(offer_incoterms="DDP",seller_region="RU"),R30,0)</f>
        <v/>
      </c>
      <c r="T30" s="45" t="n"/>
      <c r="V30" s="57">
        <f>IF(Q30&gt;0,"показать","скрыть")</f>
        <v/>
      </c>
    </row>
    <row r="31" ht="15.75" customHeight="1">
      <c r="B31" s="809" t="n">
        <v>15</v>
      </c>
      <c r="C31" s="182">
        <f>IF(offer_sale_type="транзит",IFERROR(VLOOKUP($B31,calc_data,C$14+1,0),0),0)</f>
        <v/>
      </c>
      <c r="D31" s="280">
        <f>IF(offer_sale_type="транзит",IFERROR(VLOOKUP($B31,calc_data,D$14+1,0),0),0)</f>
        <v/>
      </c>
      <c r="E31" s="182">
        <f>IF(offer_sale_type="транзит",IFERROR(VLOOKUP($B31,calc_data,E$14+1,0),0),0)</f>
        <v/>
      </c>
      <c r="F31" s="182">
        <f>IF(offer_sale_type="транзит",IFERROR(VLOOKUP($B31,calc_data,F$14+1,0),0),0)</f>
        <v/>
      </c>
      <c r="G31" s="141">
        <f>IF(offer_sale_type="транзит",IFERROR(VLOOKUP($B31,calc_data,G$14+1,0),0),0)</f>
        <v/>
      </c>
      <c r="H31" s="141">
        <f>E31*G31</f>
        <v/>
      </c>
      <c r="I31" s="141">
        <f>IF(offer_sale_type="транзит",IFERROR(ROUND(VLOOKUP($B31,calc_data,I$14+1,0),2),0),0)</f>
        <v/>
      </c>
      <c r="J31" s="141">
        <f>ROUND(IF(offer_sale_type="транзит",IFERROR(VLOOKUP($B31,calc_data,J$14+1,0),0),0),2)</f>
        <v/>
      </c>
      <c r="K31" s="142">
        <f>IF(offer_sale_type="транзит",IFERROR(ROUNDUP(VLOOKUP($B31,calc_data,K$14+1,0),2),0),0)</f>
        <v/>
      </c>
      <c r="L31" s="184">
        <f>IF(offer_sale_type="транзит",IFERROR(ROUNDUP(VLOOKUP($B31,calc_data,L$14+1,0),2),0),0)</f>
        <v/>
      </c>
      <c r="M31" s="141">
        <f>IF(offer_sale_type="транзит",IFERROR(ROUNDUP(VLOOKUP($B31,calc_data,M$14+1,0),2),0),0)</f>
        <v/>
      </c>
      <c r="N31" s="141">
        <f>IF(offer_sale_type="транзит",IFERROR(ROUNDUP(VLOOKUP($B31,calc_data,N$14+1,0),2),0),0)</f>
        <v/>
      </c>
      <c r="O31" s="147">
        <f>IF(offer_sale_type="транзит",IFERROR(ROUND(VLOOKUP($B31,calc_data,O$14+1,1),2),0),0)</f>
        <v/>
      </c>
      <c r="P31" s="141">
        <f>IF(offer_sale_type="транзит",IFERROR(ROUND(SUM(I31:J31,M31:O31)/E31,2),0),0)</f>
        <v/>
      </c>
      <c r="Q31" s="141">
        <f>E31*P31</f>
        <v/>
      </c>
      <c r="R31" s="141">
        <f>ROUND(Q31*IF(AND(offer_incoterms="DDP",seller_region="RU"),IF((TODAY()+offer_turnaround_time)&gt;=helpsheet!$L$17,rate_vatRU_from_26,rate_vatRu_till_25),0),2)</f>
        <v/>
      </c>
      <c r="S31" s="177">
        <f>Q31+IF(AND(offer_incoterms="DDP",seller_region="RU"),R31,0)</f>
        <v/>
      </c>
      <c r="T31" s="45" t="n"/>
      <c r="V31" s="57">
        <f>IF(Q31&gt;0,"показать","скрыть")</f>
        <v/>
      </c>
    </row>
    <row r="32" ht="15.75" customHeight="1">
      <c r="B32" s="809" t="n">
        <v>16</v>
      </c>
      <c r="C32" s="182">
        <f>IF(offer_sale_type="транзит",IFERROR(VLOOKUP($B32,calc_data,C$14+1,0),0),0)</f>
        <v/>
      </c>
      <c r="D32" s="280">
        <f>IF(offer_sale_type="транзит",IFERROR(VLOOKUP($B32,calc_data,D$14+1,0),0),0)</f>
        <v/>
      </c>
      <c r="E32" s="182">
        <f>IF(offer_sale_type="транзит",IFERROR(VLOOKUP($B32,calc_data,E$14+1,0),0),0)</f>
        <v/>
      </c>
      <c r="F32" s="182">
        <f>IF(offer_sale_type="транзит",IFERROR(VLOOKUP($B32,calc_data,F$14+1,0),0),0)</f>
        <v/>
      </c>
      <c r="G32" s="141">
        <f>IF(offer_sale_type="транзит",IFERROR(VLOOKUP($B32,calc_data,G$14+1,0),0),0)</f>
        <v/>
      </c>
      <c r="H32" s="141">
        <f>E32*G32</f>
        <v/>
      </c>
      <c r="I32" s="141">
        <f>IF(offer_sale_type="транзит",IFERROR(ROUND(VLOOKUP($B32,calc_data,I$14+1,0),2),0),0)</f>
        <v/>
      </c>
      <c r="J32" s="141">
        <f>ROUND(IF(offer_sale_type="транзит",IFERROR(VLOOKUP($B32,calc_data,J$14+1,0),0),0),2)</f>
        <v/>
      </c>
      <c r="K32" s="142">
        <f>IF(offer_sale_type="транзит",IFERROR(ROUNDUP(VLOOKUP($B32,calc_data,K$14+1,0),2),0),0)</f>
        <v/>
      </c>
      <c r="L32" s="184">
        <f>IF(offer_sale_type="транзит",IFERROR(ROUNDUP(VLOOKUP($B32,calc_data,L$14+1,0),2),0),0)</f>
        <v/>
      </c>
      <c r="M32" s="141">
        <f>IF(offer_sale_type="транзит",IFERROR(ROUNDUP(VLOOKUP($B32,calc_data,M$14+1,0),2),0),0)</f>
        <v/>
      </c>
      <c r="N32" s="141">
        <f>IF(offer_sale_type="транзит",IFERROR(ROUNDUP(VLOOKUP($B32,calc_data,N$14+1,0),2),0),0)</f>
        <v/>
      </c>
      <c r="O32" s="147">
        <f>IF(offer_sale_type="транзит",IFERROR(ROUND(VLOOKUP($B32,calc_data,O$14+1,1),2),0),0)</f>
        <v/>
      </c>
      <c r="P32" s="141">
        <f>IF(offer_sale_type="транзит",IFERROR(ROUND(SUM(I32:J32,M32:O32)/E32,2),0),0)</f>
        <v/>
      </c>
      <c r="Q32" s="141">
        <f>E32*P32</f>
        <v/>
      </c>
      <c r="R32" s="141">
        <f>ROUND(Q32*IF(AND(offer_incoterms="DDP",seller_region="RU"),IF((TODAY()+offer_turnaround_time)&gt;=helpsheet!$L$17,rate_vatRU_from_26,rate_vatRu_till_25),0),2)</f>
        <v/>
      </c>
      <c r="S32" s="177">
        <f>Q32+IF(AND(offer_incoterms="DDP",seller_region="RU"),R32,0)</f>
        <v/>
      </c>
      <c r="T32" s="45" t="n"/>
      <c r="V32" s="57">
        <f>IF(Q32&gt;0,"показать","скрыть")</f>
        <v/>
      </c>
    </row>
    <row r="33" ht="15.75" customHeight="1">
      <c r="B33" s="809" t="n">
        <v>17</v>
      </c>
      <c r="C33" s="182">
        <f>IF(offer_sale_type="транзит",IFERROR(VLOOKUP($B33,calc_data,C$14+1,0),0),0)</f>
        <v/>
      </c>
      <c r="D33" s="280">
        <f>IF(offer_sale_type="транзит",IFERROR(VLOOKUP($B33,calc_data,D$14+1,0),0),0)</f>
        <v/>
      </c>
      <c r="E33" s="182">
        <f>IF(offer_sale_type="транзит",IFERROR(VLOOKUP($B33,calc_data,E$14+1,0),0),0)</f>
        <v/>
      </c>
      <c r="F33" s="182">
        <f>IF(offer_sale_type="транзит",IFERROR(VLOOKUP($B33,calc_data,F$14+1,0),0),0)</f>
        <v/>
      </c>
      <c r="G33" s="141">
        <f>IF(offer_sale_type="транзит",IFERROR(VLOOKUP($B33,calc_data,G$14+1,0),0),0)</f>
        <v/>
      </c>
      <c r="H33" s="141">
        <f>E33*G33</f>
        <v/>
      </c>
      <c r="I33" s="141">
        <f>IF(offer_sale_type="транзит",IFERROR(ROUND(VLOOKUP($B33,calc_data,I$14+1,0),2),0),0)</f>
        <v/>
      </c>
      <c r="J33" s="141">
        <f>ROUND(IF(offer_sale_type="транзит",IFERROR(VLOOKUP($B33,calc_data,J$14+1,0),0),0),2)</f>
        <v/>
      </c>
      <c r="K33" s="142">
        <f>IF(offer_sale_type="транзит",IFERROR(ROUNDUP(VLOOKUP($B33,calc_data,K$14+1,0),2),0),0)</f>
        <v/>
      </c>
      <c r="L33" s="184">
        <f>IF(offer_sale_type="транзит",IFERROR(ROUNDUP(VLOOKUP($B33,calc_data,L$14+1,0),2),0),0)</f>
        <v/>
      </c>
      <c r="M33" s="141">
        <f>IF(offer_sale_type="транзит",IFERROR(ROUNDUP(VLOOKUP($B33,calc_data,M$14+1,0),2),0),0)</f>
        <v/>
      </c>
      <c r="N33" s="141">
        <f>IF(offer_sale_type="транзит",IFERROR(ROUNDUP(VLOOKUP($B33,calc_data,N$14+1,0),2),0),0)</f>
        <v/>
      </c>
      <c r="O33" s="147">
        <f>IF(offer_sale_type="транзит",IFERROR(ROUND(VLOOKUP($B33,calc_data,O$14+1,1),2),0),0)</f>
        <v/>
      </c>
      <c r="P33" s="141">
        <f>IF(offer_sale_type="транзит",IFERROR(ROUND(SUM(I33:J33,M33:O33)/E33,2),0),0)</f>
        <v/>
      </c>
      <c r="Q33" s="141">
        <f>E33*P33</f>
        <v/>
      </c>
      <c r="R33" s="141">
        <f>ROUND(Q33*IF(AND(offer_incoterms="DDP",seller_region="RU"),IF((TODAY()+offer_turnaround_time)&gt;=helpsheet!$L$17,rate_vatRU_from_26,rate_vatRu_till_25),0),2)</f>
        <v/>
      </c>
      <c r="S33" s="177">
        <f>Q33+IF(AND(offer_incoterms="DDP",seller_region="RU"),R33,0)</f>
        <v/>
      </c>
      <c r="T33" s="45" t="n"/>
      <c r="V33" s="57">
        <f>IF(Q33&gt;0,"показать","скрыть")</f>
        <v/>
      </c>
    </row>
    <row r="34" ht="15.75" customHeight="1">
      <c r="B34" s="809" t="n">
        <v>18</v>
      </c>
      <c r="C34" s="182">
        <f>IF(offer_sale_type="транзит",IFERROR(VLOOKUP($B34,calc_data,C$14+1,0),0),0)</f>
        <v/>
      </c>
      <c r="D34" s="280">
        <f>IF(offer_sale_type="транзит",IFERROR(VLOOKUP($B34,calc_data,D$14+1,0),0),0)</f>
        <v/>
      </c>
      <c r="E34" s="182">
        <f>IF(offer_sale_type="транзит",IFERROR(VLOOKUP($B34,calc_data,E$14+1,0),0),0)</f>
        <v/>
      </c>
      <c r="F34" s="182">
        <f>IF(offer_sale_type="транзит",IFERROR(VLOOKUP($B34,calc_data,F$14+1,0),0),0)</f>
        <v/>
      </c>
      <c r="G34" s="141">
        <f>IF(offer_sale_type="транзит",IFERROR(VLOOKUP($B34,calc_data,G$14+1,0),0),0)</f>
        <v/>
      </c>
      <c r="H34" s="141">
        <f>E34*G34</f>
        <v/>
      </c>
      <c r="I34" s="141">
        <f>IF(offer_sale_type="транзит",IFERROR(ROUND(VLOOKUP($B34,calc_data,I$14+1,0),2),0),0)</f>
        <v/>
      </c>
      <c r="J34" s="141">
        <f>ROUND(IF(offer_sale_type="транзит",IFERROR(VLOOKUP($B34,calc_data,J$14+1,0),0),0),2)</f>
        <v/>
      </c>
      <c r="K34" s="142">
        <f>IF(offer_sale_type="транзит",IFERROR(ROUNDUP(VLOOKUP($B34,calc_data,K$14+1,0),2),0),0)</f>
        <v/>
      </c>
      <c r="L34" s="184">
        <f>IF(offer_sale_type="транзит",IFERROR(ROUNDUP(VLOOKUP($B34,calc_data,L$14+1,0),2),0),0)</f>
        <v/>
      </c>
      <c r="M34" s="141">
        <f>IF(offer_sale_type="транзит",IFERROR(ROUNDUP(VLOOKUP($B34,calc_data,M$14+1,0),2),0),0)</f>
        <v/>
      </c>
      <c r="N34" s="141">
        <f>IF(offer_sale_type="транзит",IFERROR(ROUNDUP(VLOOKUP($B34,calc_data,N$14+1,0),2),0),0)</f>
        <v/>
      </c>
      <c r="O34" s="147">
        <f>IF(offer_sale_type="транзит",IFERROR(ROUND(VLOOKUP($B34,calc_data,O$14+1,1),2),0),0)</f>
        <v/>
      </c>
      <c r="P34" s="141">
        <f>IF(offer_sale_type="транзит",IFERROR(ROUND(SUM(I34:J34,M34:O34)/E34,2),0),0)</f>
        <v/>
      </c>
      <c r="Q34" s="141">
        <f>E34*P34</f>
        <v/>
      </c>
      <c r="R34" s="141">
        <f>ROUND(Q34*IF(AND(offer_incoterms="DDP",seller_region="RU"),IF((TODAY()+offer_turnaround_time)&gt;=helpsheet!$L$17,rate_vatRU_from_26,rate_vatRu_till_25),0),2)</f>
        <v/>
      </c>
      <c r="S34" s="177">
        <f>Q34+IF(AND(offer_incoterms="DDP",seller_region="RU"),R34,0)</f>
        <v/>
      </c>
      <c r="T34" s="45" t="n"/>
      <c r="V34" s="57">
        <f>IF(Q34&gt;0,"показать","скрыть")</f>
        <v/>
      </c>
    </row>
    <row r="35" ht="15.75" customHeight="1">
      <c r="B35" s="809" t="n">
        <v>19</v>
      </c>
      <c r="C35" s="182">
        <f>IF(offer_sale_type="транзит",IFERROR(VLOOKUP($B35,calc_data,C$14+1,0),0),0)</f>
        <v/>
      </c>
      <c r="D35" s="280">
        <f>IF(offer_sale_type="транзит",IFERROR(VLOOKUP($B35,calc_data,D$14+1,0),0),0)</f>
        <v/>
      </c>
      <c r="E35" s="182">
        <f>IF(offer_sale_type="транзит",IFERROR(VLOOKUP($B35,calc_data,E$14+1,0),0),0)</f>
        <v/>
      </c>
      <c r="F35" s="182">
        <f>IF(offer_sale_type="транзит",IFERROR(VLOOKUP($B35,calc_data,F$14+1,0),0),0)</f>
        <v/>
      </c>
      <c r="G35" s="141">
        <f>IF(offer_sale_type="транзит",IFERROR(VLOOKUP($B35,calc_data,G$14+1,0),0),0)</f>
        <v/>
      </c>
      <c r="H35" s="141">
        <f>E35*G35</f>
        <v/>
      </c>
      <c r="I35" s="141">
        <f>IF(offer_sale_type="транзит",IFERROR(ROUND(VLOOKUP($B35,calc_data,I$14+1,0),2),0),0)</f>
        <v/>
      </c>
      <c r="J35" s="141">
        <f>ROUND(IF(offer_sale_type="транзит",IFERROR(VLOOKUP($B35,calc_data,J$14+1,0),0),0),2)</f>
        <v/>
      </c>
      <c r="K35" s="142">
        <f>IF(offer_sale_type="транзит",IFERROR(ROUNDUP(VLOOKUP($B35,calc_data,K$14+1,0),2),0),0)</f>
        <v/>
      </c>
      <c r="L35" s="184">
        <f>IF(offer_sale_type="транзит",IFERROR(ROUNDUP(VLOOKUP($B35,calc_data,L$14+1,0),2),0),0)</f>
        <v/>
      </c>
      <c r="M35" s="141">
        <f>IF(offer_sale_type="транзит",IFERROR(ROUNDUP(VLOOKUP($B35,calc_data,M$14+1,0),2),0),0)</f>
        <v/>
      </c>
      <c r="N35" s="141">
        <f>IF(offer_sale_type="транзит",IFERROR(ROUNDUP(VLOOKUP($B35,calc_data,N$14+1,0),2),0),0)</f>
        <v/>
      </c>
      <c r="O35" s="147">
        <f>IF(offer_sale_type="транзит",IFERROR(ROUND(VLOOKUP($B35,calc_data,O$14+1,1),2),0),0)</f>
        <v/>
      </c>
      <c r="P35" s="141">
        <f>IF(offer_sale_type="транзит",IFERROR(ROUND(SUM(I35:J35,M35:O35)/E35,2),0),0)</f>
        <v/>
      </c>
      <c r="Q35" s="141">
        <f>E35*P35</f>
        <v/>
      </c>
      <c r="R35" s="141">
        <f>ROUND(Q35*IF(AND(offer_incoterms="DDP",seller_region="RU"),IF((TODAY()+offer_turnaround_time)&gt;=helpsheet!$L$17,rate_vatRU_from_26,rate_vatRu_till_25),0),2)</f>
        <v/>
      </c>
      <c r="S35" s="177">
        <f>Q35+IF(AND(offer_incoterms="DDP",seller_region="RU"),R35,0)</f>
        <v/>
      </c>
      <c r="T35" s="45" t="n"/>
      <c r="V35" s="57">
        <f>IF(Q35&gt;0,"показать","скрыть")</f>
        <v/>
      </c>
    </row>
    <row r="36" ht="15.75" customHeight="1">
      <c r="B36" s="809" t="n">
        <v>20</v>
      </c>
      <c r="C36" s="182">
        <f>IF(offer_sale_type="транзит",IFERROR(VLOOKUP($B36,calc_data,C$14+1,0),0),0)</f>
        <v/>
      </c>
      <c r="D36" s="280">
        <f>IF(offer_sale_type="транзит",IFERROR(VLOOKUP($B36,calc_data,D$14+1,0),0),0)</f>
        <v/>
      </c>
      <c r="E36" s="182">
        <f>IF(offer_sale_type="транзит",IFERROR(VLOOKUP($B36,calc_data,E$14+1,0),0),0)</f>
        <v/>
      </c>
      <c r="F36" s="182">
        <f>IF(offer_sale_type="транзит",IFERROR(VLOOKUP($B36,calc_data,F$14+1,0),0),0)</f>
        <v/>
      </c>
      <c r="G36" s="141">
        <f>IF(offer_sale_type="транзит",IFERROR(VLOOKUP($B36,calc_data,G$14+1,0),0),0)</f>
        <v/>
      </c>
      <c r="H36" s="141">
        <f>E36*G36</f>
        <v/>
      </c>
      <c r="I36" s="141">
        <f>IF(offer_sale_type="транзит",IFERROR(ROUND(VLOOKUP($B36,calc_data,I$14+1,0),2),0),0)</f>
        <v/>
      </c>
      <c r="J36" s="141">
        <f>ROUND(IF(offer_sale_type="транзит",IFERROR(VLOOKUP($B36,calc_data,J$14+1,0),0),0),2)</f>
        <v/>
      </c>
      <c r="K36" s="142">
        <f>IF(offer_sale_type="транзит",IFERROR(ROUNDUP(VLOOKUP($B36,calc_data,K$14+1,0),2),0),0)</f>
        <v/>
      </c>
      <c r="L36" s="184">
        <f>IF(offer_sale_type="транзит",IFERROR(ROUNDUP(VLOOKUP($B36,calc_data,L$14+1,0),2),0),0)</f>
        <v/>
      </c>
      <c r="M36" s="141">
        <f>IF(offer_sale_type="транзит",IFERROR(ROUNDUP(VLOOKUP($B36,calc_data,M$14+1,0),2),0),0)</f>
        <v/>
      </c>
      <c r="N36" s="141">
        <f>IF(offer_sale_type="транзит",IFERROR(ROUNDUP(VLOOKUP($B36,calc_data,N$14+1,0),2),0),0)</f>
        <v/>
      </c>
      <c r="O36" s="147">
        <f>IF(offer_sale_type="транзит",IFERROR(ROUND(VLOOKUP($B36,calc_data,O$14+1,1),2),0),0)</f>
        <v/>
      </c>
      <c r="P36" s="141">
        <f>IF(offer_sale_type="транзит",IFERROR(ROUND(SUM(I36:J36,M36:O36)/E36,2),0),0)</f>
        <v/>
      </c>
      <c r="Q36" s="141">
        <f>E36*P36</f>
        <v/>
      </c>
      <c r="R36" s="141">
        <f>ROUND(Q36*IF(AND(offer_incoterms="DDP",seller_region="RU"),IF((TODAY()+offer_turnaround_time)&gt;=helpsheet!$L$17,rate_vatRU_from_26,rate_vatRu_till_25),0),2)</f>
        <v/>
      </c>
      <c r="S36" s="177">
        <f>Q36+IF(AND(offer_incoterms="DDP",seller_region="RU"),R36,0)</f>
        <v/>
      </c>
      <c r="T36" s="45" t="n"/>
      <c r="V36" s="57">
        <f>IF(Q36&gt;0,"показать","скрыть")</f>
        <v/>
      </c>
    </row>
    <row r="37" ht="15.75" customHeight="1">
      <c r="B37" s="809" t="n">
        <v>21</v>
      </c>
      <c r="C37" s="182">
        <f>IF(offer_sale_type="транзит",IFERROR(VLOOKUP($B37,calc_data,C$14+1,0),0),0)</f>
        <v/>
      </c>
      <c r="D37" s="280">
        <f>IF(offer_sale_type="транзит",IFERROR(VLOOKUP($B37,calc_data,D$14+1,0),0),0)</f>
        <v/>
      </c>
      <c r="E37" s="182">
        <f>IF(offer_sale_type="транзит",IFERROR(VLOOKUP($B37,calc_data,E$14+1,0),0),0)</f>
        <v/>
      </c>
      <c r="F37" s="182">
        <f>IF(offer_sale_type="транзит",IFERROR(VLOOKUP($B37,calc_data,F$14+1,0),0),0)</f>
        <v/>
      </c>
      <c r="G37" s="141">
        <f>IF(offer_sale_type="транзит",IFERROR(VLOOKUP($B37,calc_data,G$14+1,0),0),0)</f>
        <v/>
      </c>
      <c r="H37" s="141">
        <f>E37*G37</f>
        <v/>
      </c>
      <c r="I37" s="141">
        <f>IF(offer_sale_type="транзит",IFERROR(ROUND(VLOOKUP($B37,calc_data,I$14+1,0),2),0),0)</f>
        <v/>
      </c>
      <c r="J37" s="141">
        <f>ROUND(IF(offer_sale_type="транзит",IFERROR(VLOOKUP($B37,calc_data,J$14+1,0),0),0),2)</f>
        <v/>
      </c>
      <c r="K37" s="142">
        <f>IF(offer_sale_type="транзит",IFERROR(ROUNDUP(VLOOKUP($B37,calc_data,K$14+1,0),2),0),0)</f>
        <v/>
      </c>
      <c r="L37" s="184">
        <f>IF(offer_sale_type="транзит",IFERROR(ROUNDUP(VLOOKUP($B37,calc_data,L$14+1,0),2),0),0)</f>
        <v/>
      </c>
      <c r="M37" s="141">
        <f>IF(offer_sale_type="транзит",IFERROR(ROUNDUP(VLOOKUP($B37,calc_data,M$14+1,0),2),0),0)</f>
        <v/>
      </c>
      <c r="N37" s="141">
        <f>IF(offer_sale_type="транзит",IFERROR(ROUNDUP(VLOOKUP($B37,calc_data,N$14+1,0),2),0),0)</f>
        <v/>
      </c>
      <c r="O37" s="147">
        <f>IF(offer_sale_type="транзит",IFERROR(ROUND(VLOOKUP($B37,calc_data,O$14+1,1),2),0),0)</f>
        <v/>
      </c>
      <c r="P37" s="141">
        <f>IF(offer_sale_type="транзит",IFERROR(ROUND(SUM(I37:J37,M37:O37)/E37,2),0),0)</f>
        <v/>
      </c>
      <c r="Q37" s="141">
        <f>E37*P37</f>
        <v/>
      </c>
      <c r="R37" s="141">
        <f>ROUND(Q37*IF(AND(offer_incoterms="DDP",seller_region="RU"),IF((TODAY()+offer_turnaround_time)&gt;=helpsheet!$L$17,rate_vatRU_from_26,rate_vatRu_till_25),0),2)</f>
        <v/>
      </c>
      <c r="S37" s="177">
        <f>Q37+IF(AND(offer_incoterms="DDP",seller_region="RU"),R37,0)</f>
        <v/>
      </c>
      <c r="T37" s="45" t="n"/>
      <c r="V37" s="57">
        <f>IF(Q37&gt;0,"показать","скрыть")</f>
        <v/>
      </c>
    </row>
    <row r="38" ht="15.75" customHeight="1">
      <c r="B38" s="809" t="n">
        <v>22</v>
      </c>
      <c r="C38" s="182">
        <f>IF(offer_sale_type="транзит",IFERROR(VLOOKUP($B38,calc_data,C$14+1,0),0),0)</f>
        <v/>
      </c>
      <c r="D38" s="280">
        <f>IF(offer_sale_type="транзит",IFERROR(VLOOKUP($B38,calc_data,D$14+1,0),0),0)</f>
        <v/>
      </c>
      <c r="E38" s="182">
        <f>IF(offer_sale_type="транзит",IFERROR(VLOOKUP($B38,calc_data,E$14+1,0),0),0)</f>
        <v/>
      </c>
      <c r="F38" s="182">
        <f>IF(offer_sale_type="транзит",IFERROR(VLOOKUP($B38,calc_data,F$14+1,0),0),0)</f>
        <v/>
      </c>
      <c r="G38" s="141">
        <f>IF(offer_sale_type="транзит",IFERROR(VLOOKUP($B38,calc_data,G$14+1,0),0),0)</f>
        <v/>
      </c>
      <c r="H38" s="141">
        <f>E38*G38</f>
        <v/>
      </c>
      <c r="I38" s="141">
        <f>IF(offer_sale_type="транзит",IFERROR(ROUND(VLOOKUP($B38,calc_data,I$14+1,0),2),0),0)</f>
        <v/>
      </c>
      <c r="J38" s="141">
        <f>ROUND(IF(offer_sale_type="транзит",IFERROR(VLOOKUP($B38,calc_data,J$14+1,0),0),0),2)</f>
        <v/>
      </c>
      <c r="K38" s="142">
        <f>IF(offer_sale_type="транзит",IFERROR(ROUNDUP(VLOOKUP($B38,calc_data,K$14+1,0),2),0),0)</f>
        <v/>
      </c>
      <c r="L38" s="184">
        <f>IF(offer_sale_type="транзит",IFERROR(ROUNDUP(VLOOKUP($B38,calc_data,L$14+1,0),2),0),0)</f>
        <v/>
      </c>
      <c r="M38" s="141">
        <f>IF(offer_sale_type="транзит",IFERROR(ROUNDUP(VLOOKUP($B38,calc_data,M$14+1,0),2),0),0)</f>
        <v/>
      </c>
      <c r="N38" s="141">
        <f>IF(offer_sale_type="транзит",IFERROR(ROUNDUP(VLOOKUP($B38,calc_data,N$14+1,0),2),0),0)</f>
        <v/>
      </c>
      <c r="O38" s="147">
        <f>IF(offer_sale_type="транзит",IFERROR(ROUND(VLOOKUP($B38,calc_data,O$14+1,1),2),0),0)</f>
        <v/>
      </c>
      <c r="P38" s="141">
        <f>IF(offer_sale_type="транзит",IFERROR(ROUND(SUM(I38:J38,M38:O38)/E38,2),0),0)</f>
        <v/>
      </c>
      <c r="Q38" s="141">
        <f>E38*P38</f>
        <v/>
      </c>
      <c r="R38" s="141">
        <f>ROUND(Q38*IF(AND(offer_incoterms="DDP",seller_region="RU"),IF((TODAY()+offer_turnaround_time)&gt;=helpsheet!$L$17,rate_vatRU_from_26,rate_vatRu_till_25),0),2)</f>
        <v/>
      </c>
      <c r="S38" s="177">
        <f>Q38+IF(AND(offer_incoterms="DDP",seller_region="RU"),R38,0)</f>
        <v/>
      </c>
      <c r="T38" s="45" t="n"/>
      <c r="V38" s="57">
        <f>IF(Q38&gt;0,"показать","скрыть")</f>
        <v/>
      </c>
    </row>
    <row r="39" ht="15.75" customHeight="1">
      <c r="B39" s="809" t="n">
        <v>23</v>
      </c>
      <c r="C39" s="182">
        <f>IF(offer_sale_type="транзит",IFERROR(VLOOKUP($B39,calc_data,C$14+1,0),0),0)</f>
        <v/>
      </c>
      <c r="D39" s="280">
        <f>IF(offer_sale_type="транзит",IFERROR(VLOOKUP($B39,calc_data,D$14+1,0),0),0)</f>
        <v/>
      </c>
      <c r="E39" s="182">
        <f>IF(offer_sale_type="транзит",IFERROR(VLOOKUP($B39,calc_data,E$14+1,0),0),0)</f>
        <v/>
      </c>
      <c r="F39" s="182">
        <f>IF(offer_sale_type="транзит",IFERROR(VLOOKUP($B39,calc_data,F$14+1,0),0),0)</f>
        <v/>
      </c>
      <c r="G39" s="141">
        <f>IF(offer_sale_type="транзит",IFERROR(VLOOKUP($B39,calc_data,G$14+1,0),0),0)</f>
        <v/>
      </c>
      <c r="H39" s="141">
        <f>E39*G39</f>
        <v/>
      </c>
      <c r="I39" s="141">
        <f>IF(offer_sale_type="транзит",IFERROR(ROUND(VLOOKUP($B39,calc_data,I$14+1,0),2),0),0)</f>
        <v/>
      </c>
      <c r="J39" s="141">
        <f>ROUND(IF(offer_sale_type="транзит",IFERROR(VLOOKUP($B39,calc_data,J$14+1,0),0),0),2)</f>
        <v/>
      </c>
      <c r="K39" s="142">
        <f>IF(offer_sale_type="транзит",IFERROR(ROUNDUP(VLOOKUP($B39,calc_data,K$14+1,0),2),0),0)</f>
        <v/>
      </c>
      <c r="L39" s="184">
        <f>IF(offer_sale_type="транзит",IFERROR(ROUNDUP(VLOOKUP($B39,calc_data,L$14+1,0),2),0),0)</f>
        <v/>
      </c>
      <c r="M39" s="141">
        <f>IF(offer_sale_type="транзит",IFERROR(ROUNDUP(VLOOKUP($B39,calc_data,M$14+1,0),2),0),0)</f>
        <v/>
      </c>
      <c r="N39" s="141">
        <f>IF(offer_sale_type="транзит",IFERROR(ROUNDUP(VLOOKUP($B39,calc_data,N$14+1,0),2),0),0)</f>
        <v/>
      </c>
      <c r="O39" s="147">
        <f>IF(offer_sale_type="транзит",IFERROR(ROUND(VLOOKUP($B39,calc_data,O$14+1,1),2),0),0)</f>
        <v/>
      </c>
      <c r="P39" s="141">
        <f>IF(offer_sale_type="транзит",IFERROR(ROUND(SUM(I39:J39,M39:O39)/E39,2),0),0)</f>
        <v/>
      </c>
      <c r="Q39" s="141">
        <f>E39*P39</f>
        <v/>
      </c>
      <c r="R39" s="141">
        <f>ROUND(Q39*IF(AND(offer_incoterms="DDP",seller_region="RU"),IF((TODAY()+offer_turnaround_time)&gt;=helpsheet!$L$17,rate_vatRU_from_26,rate_vatRu_till_25),0),2)</f>
        <v/>
      </c>
      <c r="S39" s="177">
        <f>Q39+IF(AND(offer_incoterms="DDP",seller_region="RU"),R39,0)</f>
        <v/>
      </c>
      <c r="T39" s="45" t="n"/>
      <c r="V39" s="57">
        <f>IF(Q39&gt;0,"показать","скрыть")</f>
        <v/>
      </c>
    </row>
    <row r="40" ht="15.75" customHeight="1">
      <c r="B40" s="809" t="n">
        <v>24</v>
      </c>
      <c r="C40" s="182">
        <f>IF(offer_sale_type="транзит",IFERROR(VLOOKUP($B40,calc_data,C$14+1,0),0),0)</f>
        <v/>
      </c>
      <c r="D40" s="280">
        <f>IF(offer_sale_type="транзит",IFERROR(VLOOKUP($B40,calc_data,D$14+1,0),0),0)</f>
        <v/>
      </c>
      <c r="E40" s="182">
        <f>IF(offer_sale_type="транзит",IFERROR(VLOOKUP($B40,calc_data,E$14+1,0),0),0)</f>
        <v/>
      </c>
      <c r="F40" s="182">
        <f>IF(offer_sale_type="транзит",IFERROR(VLOOKUP($B40,calc_data,F$14+1,0),0),0)</f>
        <v/>
      </c>
      <c r="G40" s="141">
        <f>IF(offer_sale_type="транзит",IFERROR(VLOOKUP($B40,calc_data,G$14+1,0),0),0)</f>
        <v/>
      </c>
      <c r="H40" s="141">
        <f>E40*G40</f>
        <v/>
      </c>
      <c r="I40" s="141">
        <f>IF(offer_sale_type="транзит",IFERROR(ROUND(VLOOKUP($B40,calc_data,I$14+1,0),2),0),0)</f>
        <v/>
      </c>
      <c r="J40" s="141">
        <f>ROUND(IF(offer_sale_type="транзит",IFERROR(VLOOKUP($B40,calc_data,J$14+1,0),0),0),2)</f>
        <v/>
      </c>
      <c r="K40" s="142">
        <f>IF(offer_sale_type="транзит",IFERROR(ROUNDUP(VLOOKUP($B40,calc_data,K$14+1,0),2),0),0)</f>
        <v/>
      </c>
      <c r="L40" s="184">
        <f>IF(offer_sale_type="транзит",IFERROR(ROUNDUP(VLOOKUP($B40,calc_data,L$14+1,0),2),0),0)</f>
        <v/>
      </c>
      <c r="M40" s="141">
        <f>IF(offer_sale_type="транзит",IFERROR(ROUNDUP(VLOOKUP($B40,calc_data,M$14+1,0),2),0),0)</f>
        <v/>
      </c>
      <c r="N40" s="141">
        <f>IF(offer_sale_type="транзит",IFERROR(ROUNDUP(VLOOKUP($B40,calc_data,N$14+1,0),2),0),0)</f>
        <v/>
      </c>
      <c r="O40" s="147">
        <f>IF(offer_sale_type="транзит",IFERROR(ROUND(VLOOKUP($B40,calc_data,O$14+1,1),2),0),0)</f>
        <v/>
      </c>
      <c r="P40" s="141">
        <f>IF(offer_sale_type="транзит",IFERROR(ROUND(SUM(I40:J40,M40:O40)/E40,2),0),0)</f>
        <v/>
      </c>
      <c r="Q40" s="141">
        <f>E40*P40</f>
        <v/>
      </c>
      <c r="R40" s="141">
        <f>ROUND(Q40*IF(AND(offer_incoterms="DDP",seller_region="RU"),IF((TODAY()+offer_turnaround_time)&gt;=helpsheet!$L$17,rate_vatRU_from_26,rate_vatRu_till_25),0),2)</f>
        <v/>
      </c>
      <c r="S40" s="177">
        <f>Q40+IF(AND(offer_incoterms="DDP",seller_region="RU"),R40,0)</f>
        <v/>
      </c>
      <c r="T40" s="45" t="n"/>
      <c r="V40" s="57">
        <f>IF(Q40&gt;0,"показать","скрыть")</f>
        <v/>
      </c>
    </row>
    <row r="41" ht="15.75" customHeight="1">
      <c r="B41" s="809" t="n">
        <v>25</v>
      </c>
      <c r="C41" s="182">
        <f>IF(offer_sale_type="транзит",IFERROR(VLOOKUP($B41,calc_data,C$14+1,0),0),0)</f>
        <v/>
      </c>
      <c r="D41" s="280">
        <f>IF(offer_sale_type="транзит",IFERROR(VLOOKUP($B41,calc_data,D$14+1,0),0),0)</f>
        <v/>
      </c>
      <c r="E41" s="182">
        <f>IF(offer_sale_type="транзит",IFERROR(VLOOKUP($B41,calc_data,E$14+1,0),0),0)</f>
        <v/>
      </c>
      <c r="F41" s="182">
        <f>IF(offer_sale_type="транзит",IFERROR(VLOOKUP($B41,calc_data,F$14+1,0),0),0)</f>
        <v/>
      </c>
      <c r="G41" s="141">
        <f>IF(offer_sale_type="транзит",IFERROR(VLOOKUP($B41,calc_data,G$14+1,0),0),0)</f>
        <v/>
      </c>
      <c r="H41" s="141">
        <f>E41*G41</f>
        <v/>
      </c>
      <c r="I41" s="141">
        <f>IF(offer_sale_type="транзит",IFERROR(ROUND(VLOOKUP($B41,calc_data,I$14+1,0),2),0),0)</f>
        <v/>
      </c>
      <c r="J41" s="141">
        <f>ROUND(IF(offer_sale_type="транзит",IFERROR(VLOOKUP($B41,calc_data,J$14+1,0),0),0),2)</f>
        <v/>
      </c>
      <c r="K41" s="142">
        <f>IF(offer_sale_type="транзит",IFERROR(ROUNDUP(VLOOKUP($B41,calc_data,K$14+1,0),2),0),0)</f>
        <v/>
      </c>
      <c r="L41" s="184">
        <f>IF(offer_sale_type="транзит",IFERROR(ROUNDUP(VLOOKUP($B41,calc_data,L$14+1,0),2),0),0)</f>
        <v/>
      </c>
      <c r="M41" s="141">
        <f>IF(offer_sale_type="транзит",IFERROR(ROUNDUP(VLOOKUP($B41,calc_data,M$14+1,0),2),0),0)</f>
        <v/>
      </c>
      <c r="N41" s="141">
        <f>IF(offer_sale_type="транзит",IFERROR(ROUNDUP(VLOOKUP($B41,calc_data,N$14+1,0),2),0),0)</f>
        <v/>
      </c>
      <c r="O41" s="147">
        <f>IF(offer_sale_type="транзит",IFERROR(ROUND(VLOOKUP($B41,calc_data,O$14+1,1),2),0),0)</f>
        <v/>
      </c>
      <c r="P41" s="141">
        <f>IF(offer_sale_type="транзит",IFERROR(ROUND(SUM(I41:J41,M41:O41)/E41,2),0),0)</f>
        <v/>
      </c>
      <c r="Q41" s="141">
        <f>E41*P41</f>
        <v/>
      </c>
      <c r="R41" s="141">
        <f>ROUND(Q41*IF(AND(offer_incoterms="DDP",seller_region="RU"),IF((TODAY()+offer_turnaround_time)&gt;=helpsheet!$L$17,rate_vatRU_from_26,rate_vatRu_till_25),0),2)</f>
        <v/>
      </c>
      <c r="S41" s="177">
        <f>Q41+IF(AND(offer_incoterms="DDP",seller_region="RU"),R41,0)</f>
        <v/>
      </c>
      <c r="T41" s="45" t="n"/>
      <c r="V41" s="57">
        <f>IF(Q41&gt;0,"показать","скрыть")</f>
        <v/>
      </c>
    </row>
    <row r="42" ht="15.75" customHeight="1">
      <c r="B42" s="809" t="n">
        <v>26</v>
      </c>
      <c r="C42" s="182">
        <f>IF(offer_sale_type="транзит",IFERROR(VLOOKUP($B42,calc_data,C$14+1,0),0),0)</f>
        <v/>
      </c>
      <c r="D42" s="280">
        <f>IF(offer_sale_type="транзит",IFERROR(VLOOKUP($B42,calc_data,D$14+1,0),0),0)</f>
        <v/>
      </c>
      <c r="E42" s="182">
        <f>IF(offer_sale_type="транзит",IFERROR(VLOOKUP($B42,calc_data,E$14+1,0),0),0)</f>
        <v/>
      </c>
      <c r="F42" s="182">
        <f>IF(offer_sale_type="транзит",IFERROR(VLOOKUP($B42,calc_data,F$14+1,0),0),0)</f>
        <v/>
      </c>
      <c r="G42" s="141">
        <f>IF(offer_sale_type="транзит",IFERROR(VLOOKUP($B42,calc_data,G$14+1,0),0),0)</f>
        <v/>
      </c>
      <c r="H42" s="141">
        <f>E42*G42</f>
        <v/>
      </c>
      <c r="I42" s="141">
        <f>IF(offer_sale_type="транзит",IFERROR(ROUND(VLOOKUP($B42,calc_data,I$14+1,0),2),0),0)</f>
        <v/>
      </c>
      <c r="J42" s="141">
        <f>ROUND(IF(offer_sale_type="транзит",IFERROR(VLOOKUP($B42,calc_data,J$14+1,0),0),0),2)</f>
        <v/>
      </c>
      <c r="K42" s="142">
        <f>IF(offer_sale_type="транзит",IFERROR(ROUNDUP(VLOOKUP($B42,calc_data,K$14+1,0),2),0),0)</f>
        <v/>
      </c>
      <c r="L42" s="184">
        <f>IF(offer_sale_type="транзит",IFERROR(ROUNDUP(VLOOKUP($B42,calc_data,L$14+1,0),2),0),0)</f>
        <v/>
      </c>
      <c r="M42" s="141">
        <f>IF(offer_sale_type="транзит",IFERROR(ROUNDUP(VLOOKUP($B42,calc_data,M$14+1,0),2),0),0)</f>
        <v/>
      </c>
      <c r="N42" s="141">
        <f>IF(offer_sale_type="транзит",IFERROR(ROUNDUP(VLOOKUP($B42,calc_data,N$14+1,0),2),0),0)</f>
        <v/>
      </c>
      <c r="O42" s="147">
        <f>IF(offer_sale_type="транзит",IFERROR(ROUND(VLOOKUP($B42,calc_data,O$14+1,1),2),0),0)</f>
        <v/>
      </c>
      <c r="P42" s="141">
        <f>IF(offer_sale_type="транзит",IFERROR(ROUND(SUM(I42:J42,M42:O42)/E42,2),0),0)</f>
        <v/>
      </c>
      <c r="Q42" s="141">
        <f>E42*P42</f>
        <v/>
      </c>
      <c r="R42" s="141">
        <f>ROUND(Q42*IF(AND(offer_incoterms="DDP",seller_region="RU"),IF((TODAY()+offer_turnaround_time)&gt;=helpsheet!$L$17,rate_vatRU_from_26,rate_vatRu_till_25),0),2)</f>
        <v/>
      </c>
      <c r="S42" s="177">
        <f>Q42+IF(AND(offer_incoterms="DDP",seller_region="RU"),R42,0)</f>
        <v/>
      </c>
      <c r="T42" s="45" t="n"/>
      <c r="V42" s="57">
        <f>IF(Q42&gt;0,"показать","скрыть")</f>
        <v/>
      </c>
    </row>
    <row r="43" ht="15.75" customHeight="1">
      <c r="B43" s="809" t="n">
        <v>27</v>
      </c>
      <c r="C43" s="182">
        <f>IF(offer_sale_type="транзит",IFERROR(VLOOKUP($B43,calc_data,C$14+1,0),0),0)</f>
        <v/>
      </c>
      <c r="D43" s="280">
        <f>IF(offer_sale_type="транзит",IFERROR(VLOOKUP($B43,calc_data,D$14+1,0),0),0)</f>
        <v/>
      </c>
      <c r="E43" s="182">
        <f>IF(offer_sale_type="транзит",IFERROR(VLOOKUP($B43,calc_data,E$14+1,0),0),0)</f>
        <v/>
      </c>
      <c r="F43" s="182">
        <f>IF(offer_sale_type="транзит",IFERROR(VLOOKUP($B43,calc_data,F$14+1,0),0),0)</f>
        <v/>
      </c>
      <c r="G43" s="141">
        <f>IF(offer_sale_type="транзит",IFERROR(VLOOKUP($B43,calc_data,G$14+1,0),0),0)</f>
        <v/>
      </c>
      <c r="H43" s="141">
        <f>E43*G43</f>
        <v/>
      </c>
      <c r="I43" s="141">
        <f>IF(offer_sale_type="транзит",IFERROR(ROUND(VLOOKUP($B43,calc_data,I$14+1,0),2),0),0)</f>
        <v/>
      </c>
      <c r="J43" s="141">
        <f>ROUND(IF(offer_sale_type="транзит",IFERROR(VLOOKUP($B43,calc_data,J$14+1,0),0),0),2)</f>
        <v/>
      </c>
      <c r="K43" s="142">
        <f>IF(offer_sale_type="транзит",IFERROR(ROUNDUP(VLOOKUP($B43,calc_data,K$14+1,0),2),0),0)</f>
        <v/>
      </c>
      <c r="L43" s="184">
        <f>IF(offer_sale_type="транзит",IFERROR(ROUNDUP(VLOOKUP($B43,calc_data,L$14+1,0),2),0),0)</f>
        <v/>
      </c>
      <c r="M43" s="141">
        <f>IF(offer_sale_type="транзит",IFERROR(ROUNDUP(VLOOKUP($B43,calc_data,M$14+1,0),2),0),0)</f>
        <v/>
      </c>
      <c r="N43" s="141">
        <f>IF(offer_sale_type="транзит",IFERROR(ROUNDUP(VLOOKUP($B43,calc_data,N$14+1,0),2),0),0)</f>
        <v/>
      </c>
      <c r="O43" s="147">
        <f>IF(offer_sale_type="транзит",IFERROR(ROUND(VLOOKUP($B43,calc_data,O$14+1,1),2),0),0)</f>
        <v/>
      </c>
      <c r="P43" s="141">
        <f>IF(offer_sale_type="транзит",IFERROR(ROUND(SUM(I43:J43,M43:O43)/E43,2),0),0)</f>
        <v/>
      </c>
      <c r="Q43" s="141">
        <f>E43*P43</f>
        <v/>
      </c>
      <c r="R43" s="141">
        <f>ROUND(Q43*IF(AND(offer_incoterms="DDP",seller_region="RU"),IF((TODAY()+offer_turnaround_time)&gt;=helpsheet!$L$17,rate_vatRU_from_26,rate_vatRu_till_25),0),2)</f>
        <v/>
      </c>
      <c r="S43" s="177">
        <f>Q43+IF(AND(offer_incoterms="DDP",seller_region="RU"),R43,0)</f>
        <v/>
      </c>
      <c r="T43" s="45" t="n"/>
      <c r="V43" s="57">
        <f>IF(Q43&gt;0,"показать","скрыть")</f>
        <v/>
      </c>
    </row>
    <row r="44" ht="15.75" customHeight="1">
      <c r="B44" s="809" t="n">
        <v>28</v>
      </c>
      <c r="C44" s="182">
        <f>IF(offer_sale_type="транзит",IFERROR(VLOOKUP($B44,calc_data,C$14+1,0),0),0)</f>
        <v/>
      </c>
      <c r="D44" s="280">
        <f>IF(offer_sale_type="транзит",IFERROR(VLOOKUP($B44,calc_data,D$14+1,0),0),0)</f>
        <v/>
      </c>
      <c r="E44" s="182">
        <f>IF(offer_sale_type="транзит",IFERROR(VLOOKUP($B44,calc_data,E$14+1,0),0),0)</f>
        <v/>
      </c>
      <c r="F44" s="182">
        <f>IF(offer_sale_type="транзит",IFERROR(VLOOKUP($B44,calc_data,F$14+1,0),0),0)</f>
        <v/>
      </c>
      <c r="G44" s="141">
        <f>IF(offer_sale_type="транзит",IFERROR(VLOOKUP($B44,calc_data,G$14+1,0),0),0)</f>
        <v/>
      </c>
      <c r="H44" s="141">
        <f>E44*G44</f>
        <v/>
      </c>
      <c r="I44" s="141">
        <f>IF(offer_sale_type="транзит",IFERROR(ROUND(VLOOKUP($B44,calc_data,I$14+1,0),2),0),0)</f>
        <v/>
      </c>
      <c r="J44" s="141">
        <f>ROUND(IF(offer_sale_type="транзит",IFERROR(VLOOKUP($B44,calc_data,J$14+1,0),0),0),2)</f>
        <v/>
      </c>
      <c r="K44" s="142">
        <f>IF(offer_sale_type="транзит",IFERROR(ROUNDUP(VLOOKUP($B44,calc_data,K$14+1,0),2),0),0)</f>
        <v/>
      </c>
      <c r="L44" s="184">
        <f>IF(offer_sale_type="транзит",IFERROR(ROUNDUP(VLOOKUP($B44,calc_data,L$14+1,0),2),0),0)</f>
        <v/>
      </c>
      <c r="M44" s="141">
        <f>IF(offer_sale_type="транзит",IFERROR(ROUNDUP(VLOOKUP($B44,calc_data,M$14+1,0),2),0),0)</f>
        <v/>
      </c>
      <c r="N44" s="141">
        <f>IF(offer_sale_type="транзит",IFERROR(ROUNDUP(VLOOKUP($B44,calc_data,N$14+1,0),2),0),0)</f>
        <v/>
      </c>
      <c r="O44" s="147">
        <f>IF(offer_sale_type="транзит",IFERROR(ROUND(VLOOKUP($B44,calc_data,O$14+1,1),2),0),0)</f>
        <v/>
      </c>
      <c r="P44" s="141">
        <f>IF(offer_sale_type="транзит",IFERROR(ROUND(SUM(I44:J44,M44:O44)/E44,2),0),0)</f>
        <v/>
      </c>
      <c r="Q44" s="141">
        <f>E44*P44</f>
        <v/>
      </c>
      <c r="R44" s="141">
        <f>ROUND(Q44*IF(AND(offer_incoterms="DDP",seller_region="RU"),IF((TODAY()+offer_turnaround_time)&gt;=helpsheet!$L$17,rate_vatRU_from_26,rate_vatRu_till_25),0),2)</f>
        <v/>
      </c>
      <c r="S44" s="177">
        <f>Q44+IF(AND(offer_incoterms="DDP",seller_region="RU"),R44,0)</f>
        <v/>
      </c>
      <c r="T44" s="45" t="n"/>
      <c r="V44" s="57">
        <f>IF(Q44&gt;0,"показать","скрыть")</f>
        <v/>
      </c>
    </row>
    <row r="45" ht="15.75" customHeight="1">
      <c r="B45" s="809" t="n">
        <v>29</v>
      </c>
      <c r="C45" s="182">
        <f>IF(offer_sale_type="транзит",IFERROR(VLOOKUP($B45,calc_data,C$14+1,0),0),0)</f>
        <v/>
      </c>
      <c r="D45" s="280">
        <f>IF(offer_sale_type="транзит",IFERROR(VLOOKUP($B45,calc_data,D$14+1,0),0),0)</f>
        <v/>
      </c>
      <c r="E45" s="182">
        <f>IF(offer_sale_type="транзит",IFERROR(VLOOKUP($B45,calc_data,E$14+1,0),0),0)</f>
        <v/>
      </c>
      <c r="F45" s="182">
        <f>IF(offer_sale_type="транзит",IFERROR(VLOOKUP($B45,calc_data,F$14+1,0),0),0)</f>
        <v/>
      </c>
      <c r="G45" s="141">
        <f>IF(offer_sale_type="транзит",IFERROR(VLOOKUP($B45,calc_data,G$14+1,0),0),0)</f>
        <v/>
      </c>
      <c r="H45" s="141">
        <f>E45*G45</f>
        <v/>
      </c>
      <c r="I45" s="141">
        <f>IF(offer_sale_type="транзит",IFERROR(ROUND(VLOOKUP($B45,calc_data,I$14+1,0),2),0),0)</f>
        <v/>
      </c>
      <c r="J45" s="141">
        <f>ROUND(IF(offer_sale_type="транзит",IFERROR(VLOOKUP($B45,calc_data,J$14+1,0),0),0),2)</f>
        <v/>
      </c>
      <c r="K45" s="142">
        <f>IF(offer_sale_type="транзит",IFERROR(ROUNDUP(VLOOKUP($B45,calc_data,K$14+1,0),2),0),0)</f>
        <v/>
      </c>
      <c r="L45" s="184">
        <f>IF(offer_sale_type="транзит",IFERROR(ROUNDUP(VLOOKUP($B45,calc_data,L$14+1,0),2),0),0)</f>
        <v/>
      </c>
      <c r="M45" s="141">
        <f>IF(offer_sale_type="транзит",IFERROR(ROUNDUP(VLOOKUP($B45,calc_data,M$14+1,0),2),0),0)</f>
        <v/>
      </c>
      <c r="N45" s="141">
        <f>IF(offer_sale_type="транзит",IFERROR(ROUNDUP(VLOOKUP($B45,calc_data,N$14+1,0),2),0),0)</f>
        <v/>
      </c>
      <c r="O45" s="147">
        <f>IF(offer_sale_type="транзит",IFERROR(ROUND(VLOOKUP($B45,calc_data,O$14+1,1),2),0),0)</f>
        <v/>
      </c>
      <c r="P45" s="141">
        <f>IF(offer_sale_type="транзит",IFERROR(ROUND(SUM(I45:J45,M45:O45)/E45,2),0),0)</f>
        <v/>
      </c>
      <c r="Q45" s="141">
        <f>E45*P45</f>
        <v/>
      </c>
      <c r="R45" s="141">
        <f>ROUND(Q45*IF(AND(offer_incoterms="DDP",seller_region="RU"),IF((TODAY()+offer_turnaround_time)&gt;=helpsheet!$L$17,rate_vatRU_from_26,rate_vatRu_till_25),0),2)</f>
        <v/>
      </c>
      <c r="S45" s="177">
        <f>Q45+IF(AND(offer_incoterms="DDP",seller_region="RU"),R45,0)</f>
        <v/>
      </c>
      <c r="T45" s="45" t="n"/>
      <c r="V45" s="57">
        <f>IF(Q45&gt;0,"показать","скрыть")</f>
        <v/>
      </c>
    </row>
    <row r="46" ht="15.75" customHeight="1">
      <c r="B46" s="809" t="n">
        <v>30</v>
      </c>
      <c r="C46" s="182">
        <f>IF(offer_sale_type="транзит",IFERROR(VLOOKUP($B46,calc_data,C$14+1,0),0),0)</f>
        <v/>
      </c>
      <c r="D46" s="280">
        <f>IF(offer_sale_type="транзит",IFERROR(VLOOKUP($B46,calc_data,D$14+1,0),0),0)</f>
        <v/>
      </c>
      <c r="E46" s="182">
        <f>IF(offer_sale_type="транзит",IFERROR(VLOOKUP($B46,calc_data,E$14+1,0),0),0)</f>
        <v/>
      </c>
      <c r="F46" s="182">
        <f>IF(offer_sale_type="транзит",IFERROR(VLOOKUP($B46,calc_data,F$14+1,0),0),0)</f>
        <v/>
      </c>
      <c r="G46" s="141">
        <f>IF(offer_sale_type="транзит",IFERROR(VLOOKUP($B46,calc_data,G$14+1,0),0),0)</f>
        <v/>
      </c>
      <c r="H46" s="141">
        <f>E46*G46</f>
        <v/>
      </c>
      <c r="I46" s="141">
        <f>IF(offer_sale_type="транзит",IFERROR(ROUND(VLOOKUP($B46,calc_data,I$14+1,0),2),0),0)</f>
        <v/>
      </c>
      <c r="J46" s="141">
        <f>ROUND(IF(offer_sale_type="транзит",IFERROR(VLOOKUP($B46,calc_data,J$14+1,0),0),0),2)</f>
        <v/>
      </c>
      <c r="K46" s="142">
        <f>IF(offer_sale_type="транзит",IFERROR(ROUNDUP(VLOOKUP($B46,calc_data,K$14+1,0),2),0),0)</f>
        <v/>
      </c>
      <c r="L46" s="184">
        <f>IF(offer_sale_type="транзит",IFERROR(ROUNDUP(VLOOKUP($B46,calc_data,L$14+1,0),2),0),0)</f>
        <v/>
      </c>
      <c r="M46" s="141">
        <f>IF(offer_sale_type="транзит",IFERROR(ROUNDUP(VLOOKUP($B46,calc_data,M$14+1,0),2),0),0)</f>
        <v/>
      </c>
      <c r="N46" s="141">
        <f>IF(offer_sale_type="транзит",IFERROR(ROUNDUP(VLOOKUP($B46,calc_data,N$14+1,0),2),0),0)</f>
        <v/>
      </c>
      <c r="O46" s="147">
        <f>IF(offer_sale_type="транзит",IFERROR(ROUND(VLOOKUP($B46,calc_data,O$14+1,1),2),0),0)</f>
        <v/>
      </c>
      <c r="P46" s="141">
        <f>IF(offer_sale_type="транзит",IFERROR(ROUND(SUM(I46:J46,M46:O46)/E46,2),0),0)</f>
        <v/>
      </c>
      <c r="Q46" s="141">
        <f>E46*P46</f>
        <v/>
      </c>
      <c r="R46" s="141">
        <f>ROUND(Q46*IF(AND(offer_incoterms="DDP",seller_region="RU"),IF((TODAY()+offer_turnaround_time)&gt;=helpsheet!$L$17,rate_vatRU_from_26,rate_vatRu_till_25),0),2)</f>
        <v/>
      </c>
      <c r="S46" s="177">
        <f>Q46+IF(AND(offer_incoterms="DDP",seller_region="RU"),R46,0)</f>
        <v/>
      </c>
      <c r="T46" s="45" t="n"/>
      <c r="V46" s="57">
        <f>IF(Q46&gt;0,"показать","скрыть")</f>
        <v/>
      </c>
    </row>
    <row r="47" ht="15.75" customHeight="1">
      <c r="B47" s="809" t="n">
        <v>31</v>
      </c>
      <c r="C47" s="182">
        <f>IF(offer_sale_type="транзит",IFERROR(VLOOKUP($B47,calc_data,C$14+1,0),0),0)</f>
        <v/>
      </c>
      <c r="D47" s="280">
        <f>IF(offer_sale_type="транзит",IFERROR(VLOOKUP($B47,calc_data,D$14+1,0),0),0)</f>
        <v/>
      </c>
      <c r="E47" s="182">
        <f>IF(offer_sale_type="транзит",IFERROR(VLOOKUP($B47,calc_data,E$14+1,0),0),0)</f>
        <v/>
      </c>
      <c r="F47" s="182">
        <f>IF(offer_sale_type="транзит",IFERROR(VLOOKUP($B47,calc_data,F$14+1,0),0),0)</f>
        <v/>
      </c>
      <c r="G47" s="141">
        <f>IF(offer_sale_type="транзит",IFERROR(VLOOKUP($B47,calc_data,G$14+1,0),0),0)</f>
        <v/>
      </c>
      <c r="H47" s="141">
        <f>E47*G47</f>
        <v/>
      </c>
      <c r="I47" s="141">
        <f>IF(offer_sale_type="транзит",IFERROR(ROUND(VLOOKUP($B47,calc_data,I$14+1,0),2),0),0)</f>
        <v/>
      </c>
      <c r="J47" s="141">
        <f>ROUND(IF(offer_sale_type="транзит",IFERROR(VLOOKUP($B47,calc_data,J$14+1,0),0),0),2)</f>
        <v/>
      </c>
      <c r="K47" s="142">
        <f>IF(offer_sale_type="транзит",IFERROR(ROUNDUP(VLOOKUP($B47,calc_data,K$14+1,0),2),0),0)</f>
        <v/>
      </c>
      <c r="L47" s="184">
        <f>IF(offer_sale_type="транзит",IFERROR(ROUNDUP(VLOOKUP($B47,calc_data,L$14+1,0),2),0),0)</f>
        <v/>
      </c>
      <c r="M47" s="141">
        <f>IF(offer_sale_type="транзит",IFERROR(ROUNDUP(VLOOKUP($B47,calc_data,M$14+1,0),2),0),0)</f>
        <v/>
      </c>
      <c r="N47" s="141">
        <f>IF(offer_sale_type="транзит",IFERROR(ROUNDUP(VLOOKUP($B47,calc_data,N$14+1,0),2),0),0)</f>
        <v/>
      </c>
      <c r="O47" s="147">
        <f>IF(offer_sale_type="транзит",IFERROR(ROUND(VLOOKUP($B47,calc_data,O$14+1,1),2),0),0)</f>
        <v/>
      </c>
      <c r="P47" s="141">
        <f>IF(offer_sale_type="транзит",IFERROR(ROUND(SUM(I47:J47,M47:O47)/E47,2),0),0)</f>
        <v/>
      </c>
      <c r="Q47" s="141">
        <f>E47*P47</f>
        <v/>
      </c>
      <c r="R47" s="141">
        <f>ROUND(Q47*IF(AND(offer_incoterms="DDP",seller_region="RU"),IF((TODAY()+offer_turnaround_time)&gt;=helpsheet!$L$17,rate_vatRU_from_26,rate_vatRu_till_25),0),2)</f>
        <v/>
      </c>
      <c r="S47" s="177">
        <f>Q47+IF(AND(offer_incoterms="DDP",seller_region="RU"),R47,0)</f>
        <v/>
      </c>
      <c r="T47" s="45" t="n"/>
      <c r="V47" s="57">
        <f>IF(Q47&gt;0,"показать","скрыть")</f>
        <v/>
      </c>
    </row>
    <row r="48" ht="15.75" customHeight="1">
      <c r="B48" s="809" t="n">
        <v>32</v>
      </c>
      <c r="C48" s="182">
        <f>IF(offer_sale_type="транзит",IFERROR(VLOOKUP($B48,calc_data,C$14+1,0),0),0)</f>
        <v/>
      </c>
      <c r="D48" s="280">
        <f>IF(offer_sale_type="транзит",IFERROR(VLOOKUP($B48,calc_data,D$14+1,0),0),0)</f>
        <v/>
      </c>
      <c r="E48" s="182">
        <f>IF(offer_sale_type="транзит",IFERROR(VLOOKUP($B48,calc_data,E$14+1,0),0),0)</f>
        <v/>
      </c>
      <c r="F48" s="182">
        <f>IF(offer_sale_type="транзит",IFERROR(VLOOKUP($B48,calc_data,F$14+1,0),0),0)</f>
        <v/>
      </c>
      <c r="G48" s="141">
        <f>IF(offer_sale_type="транзит",IFERROR(VLOOKUP($B48,calc_data,G$14+1,0),0),0)</f>
        <v/>
      </c>
      <c r="H48" s="141">
        <f>E48*G48</f>
        <v/>
      </c>
      <c r="I48" s="141">
        <f>IF(offer_sale_type="транзит",IFERROR(ROUND(VLOOKUP($B48,calc_data,I$14+1,0),2),0),0)</f>
        <v/>
      </c>
      <c r="J48" s="141">
        <f>ROUND(IF(offer_sale_type="транзит",IFERROR(VLOOKUP($B48,calc_data,J$14+1,0),0),0),2)</f>
        <v/>
      </c>
      <c r="K48" s="142">
        <f>IF(offer_sale_type="транзит",IFERROR(ROUNDUP(VLOOKUP($B48,calc_data,K$14+1,0),2),0),0)</f>
        <v/>
      </c>
      <c r="L48" s="184">
        <f>IF(offer_sale_type="транзит",IFERROR(ROUNDUP(VLOOKUP($B48,calc_data,L$14+1,0),2),0),0)</f>
        <v/>
      </c>
      <c r="M48" s="141">
        <f>IF(offer_sale_type="транзит",IFERROR(ROUNDUP(VLOOKUP($B48,calc_data,M$14+1,0),2),0),0)</f>
        <v/>
      </c>
      <c r="N48" s="141">
        <f>IF(offer_sale_type="транзит",IFERROR(ROUNDUP(VLOOKUP($B48,calc_data,N$14+1,0),2),0),0)</f>
        <v/>
      </c>
      <c r="O48" s="147">
        <f>IF(offer_sale_type="транзит",IFERROR(ROUND(VLOOKUP($B48,calc_data,O$14+1,1),2),0),0)</f>
        <v/>
      </c>
      <c r="P48" s="141">
        <f>IF(offer_sale_type="транзит",IFERROR(ROUND(SUM(I48:J48,M48:O48)/E48,2),0),0)</f>
        <v/>
      </c>
      <c r="Q48" s="141">
        <f>E48*P48</f>
        <v/>
      </c>
      <c r="R48" s="141">
        <f>ROUND(Q48*IF(AND(offer_incoterms="DDP",seller_region="RU"),IF((TODAY()+offer_turnaround_time)&gt;=helpsheet!$L$17,rate_vatRU_from_26,rate_vatRu_till_25),0),2)</f>
        <v/>
      </c>
      <c r="S48" s="177">
        <f>Q48+IF(AND(offer_incoterms="DDP",seller_region="RU"),R48,0)</f>
        <v/>
      </c>
      <c r="T48" s="45" t="n"/>
      <c r="V48" s="57">
        <f>IF(Q48&gt;0,"показать","скрыть")</f>
        <v/>
      </c>
    </row>
    <row r="49" ht="15.75" customHeight="1">
      <c r="B49" s="809" t="n">
        <v>33</v>
      </c>
      <c r="C49" s="182">
        <f>IF(offer_sale_type="транзит",IFERROR(VLOOKUP($B49,calc_data,C$14+1,0),0),0)</f>
        <v/>
      </c>
      <c r="D49" s="280">
        <f>IF(offer_sale_type="транзит",IFERROR(VLOOKUP($B49,calc_data,D$14+1,0),0),0)</f>
        <v/>
      </c>
      <c r="E49" s="182">
        <f>IF(offer_sale_type="транзит",IFERROR(VLOOKUP($B49,calc_data,E$14+1,0),0),0)</f>
        <v/>
      </c>
      <c r="F49" s="182">
        <f>IF(offer_sale_type="транзит",IFERROR(VLOOKUP($B49,calc_data,F$14+1,0),0),0)</f>
        <v/>
      </c>
      <c r="G49" s="141">
        <f>IF(offer_sale_type="транзит",IFERROR(VLOOKUP($B49,calc_data,G$14+1,0),0),0)</f>
        <v/>
      </c>
      <c r="H49" s="141">
        <f>E49*G49</f>
        <v/>
      </c>
      <c r="I49" s="141">
        <f>IF(offer_sale_type="транзит",IFERROR(ROUND(VLOOKUP($B49,calc_data,I$14+1,0),2),0),0)</f>
        <v/>
      </c>
      <c r="J49" s="141">
        <f>ROUND(IF(offer_sale_type="транзит",IFERROR(VLOOKUP($B49,calc_data,J$14+1,0),0),0),2)</f>
        <v/>
      </c>
      <c r="K49" s="142">
        <f>IF(offer_sale_type="транзит",IFERROR(ROUNDUP(VLOOKUP($B49,calc_data,K$14+1,0),2),0),0)</f>
        <v/>
      </c>
      <c r="L49" s="184">
        <f>IF(offer_sale_type="транзит",IFERROR(ROUNDUP(VLOOKUP($B49,calc_data,L$14+1,0),2),0),0)</f>
        <v/>
      </c>
      <c r="M49" s="141">
        <f>IF(offer_sale_type="транзит",IFERROR(ROUNDUP(VLOOKUP($B49,calc_data,M$14+1,0),2),0),0)</f>
        <v/>
      </c>
      <c r="N49" s="141">
        <f>IF(offer_sale_type="транзит",IFERROR(ROUNDUP(VLOOKUP($B49,calc_data,N$14+1,0),2),0),0)</f>
        <v/>
      </c>
      <c r="O49" s="147">
        <f>IF(offer_sale_type="транзит",IFERROR(ROUND(VLOOKUP($B49,calc_data,O$14+1,1),2),0),0)</f>
        <v/>
      </c>
      <c r="P49" s="141">
        <f>IF(offer_sale_type="транзит",IFERROR(ROUND(SUM(I49:J49,M49:O49)/E49,2),0),0)</f>
        <v/>
      </c>
      <c r="Q49" s="141">
        <f>E49*P49</f>
        <v/>
      </c>
      <c r="R49" s="141">
        <f>ROUND(Q49*IF(AND(offer_incoterms="DDP",seller_region="RU"),IF((TODAY()+offer_turnaround_time)&gt;=helpsheet!$L$17,rate_vatRU_from_26,rate_vatRu_till_25),0),2)</f>
        <v/>
      </c>
      <c r="S49" s="177">
        <f>Q49+IF(AND(offer_incoterms="DDP",seller_region="RU"),R49,0)</f>
        <v/>
      </c>
      <c r="T49" s="45" t="n"/>
      <c r="V49" s="57">
        <f>IF(Q49&gt;0,"показать","скрыть")</f>
        <v/>
      </c>
    </row>
    <row r="50" ht="15.75" customHeight="1">
      <c r="B50" s="809" t="n">
        <v>34</v>
      </c>
      <c r="C50" s="182">
        <f>IF(offer_sale_type="транзит",IFERROR(VLOOKUP($B50,calc_data,C$14+1,0),0),0)</f>
        <v/>
      </c>
      <c r="D50" s="280">
        <f>IF(offer_sale_type="транзит",IFERROR(VLOOKUP($B50,calc_data,D$14+1,0),0),0)</f>
        <v/>
      </c>
      <c r="E50" s="182">
        <f>IF(offer_sale_type="транзит",IFERROR(VLOOKUP($B50,calc_data,E$14+1,0),0),0)</f>
        <v/>
      </c>
      <c r="F50" s="182">
        <f>IF(offer_sale_type="транзит",IFERROR(VLOOKUP($B50,calc_data,F$14+1,0),0),0)</f>
        <v/>
      </c>
      <c r="G50" s="141">
        <f>IF(offer_sale_type="транзит",IFERROR(VLOOKUP($B50,calc_data,G$14+1,0),0),0)</f>
        <v/>
      </c>
      <c r="H50" s="141">
        <f>E50*G50</f>
        <v/>
      </c>
      <c r="I50" s="141">
        <f>IF(offer_sale_type="транзит",IFERROR(ROUND(VLOOKUP($B50,calc_data,I$14+1,0),2),0),0)</f>
        <v/>
      </c>
      <c r="J50" s="141">
        <f>ROUND(IF(offer_sale_type="транзит",IFERROR(VLOOKUP($B50,calc_data,J$14+1,0),0),0),2)</f>
        <v/>
      </c>
      <c r="K50" s="142">
        <f>IF(offer_sale_type="транзит",IFERROR(ROUNDUP(VLOOKUP($B50,calc_data,K$14+1,0),2),0),0)</f>
        <v/>
      </c>
      <c r="L50" s="184">
        <f>IF(offer_sale_type="транзит",IFERROR(ROUNDUP(VLOOKUP($B50,calc_data,L$14+1,0),2),0),0)</f>
        <v/>
      </c>
      <c r="M50" s="141">
        <f>IF(offer_sale_type="транзит",IFERROR(ROUNDUP(VLOOKUP($B50,calc_data,M$14+1,0),2),0),0)</f>
        <v/>
      </c>
      <c r="N50" s="141">
        <f>IF(offer_sale_type="транзит",IFERROR(ROUNDUP(VLOOKUP($B50,calc_data,N$14+1,0),2),0),0)</f>
        <v/>
      </c>
      <c r="O50" s="147">
        <f>IF(offer_sale_type="транзит",IFERROR(ROUND(VLOOKUP($B50,calc_data,O$14+1,1),2),0),0)</f>
        <v/>
      </c>
      <c r="P50" s="141">
        <f>IF(offer_sale_type="транзит",IFERROR(ROUND(SUM(I50:J50,M50:O50)/E50,2),0),0)</f>
        <v/>
      </c>
      <c r="Q50" s="141">
        <f>E50*P50</f>
        <v/>
      </c>
      <c r="R50" s="141">
        <f>ROUND(Q50*IF(AND(offer_incoterms="DDP",seller_region="RU"),IF((TODAY()+offer_turnaround_time)&gt;=helpsheet!$L$17,rate_vatRU_from_26,rate_vatRu_till_25),0),2)</f>
        <v/>
      </c>
      <c r="S50" s="177">
        <f>Q50+IF(AND(offer_incoterms="DDP",seller_region="RU"),R50,0)</f>
        <v/>
      </c>
      <c r="T50" s="45" t="n"/>
      <c r="V50" s="57">
        <f>IF(Q50&gt;0,"показать","скрыть")</f>
        <v/>
      </c>
    </row>
    <row r="51" ht="15.75" customHeight="1">
      <c r="B51" s="809" t="n">
        <v>35</v>
      </c>
      <c r="C51" s="182">
        <f>IF(offer_sale_type="транзит",IFERROR(VLOOKUP($B51,calc_data,C$14+1,0),0),0)</f>
        <v/>
      </c>
      <c r="D51" s="280">
        <f>IF(offer_sale_type="транзит",IFERROR(VLOOKUP($B51,calc_data,D$14+1,0),0),0)</f>
        <v/>
      </c>
      <c r="E51" s="182">
        <f>IF(offer_sale_type="транзит",IFERROR(VLOOKUP($B51,calc_data,E$14+1,0),0),0)</f>
        <v/>
      </c>
      <c r="F51" s="182">
        <f>IF(offer_sale_type="транзит",IFERROR(VLOOKUP($B51,calc_data,F$14+1,0),0),0)</f>
        <v/>
      </c>
      <c r="G51" s="141">
        <f>IF(offer_sale_type="транзит",IFERROR(VLOOKUP($B51,calc_data,G$14+1,0),0),0)</f>
        <v/>
      </c>
      <c r="H51" s="141">
        <f>E51*G51</f>
        <v/>
      </c>
      <c r="I51" s="141">
        <f>IF(offer_sale_type="транзит",IFERROR(ROUND(VLOOKUP($B51,calc_data,I$14+1,0),2),0),0)</f>
        <v/>
      </c>
      <c r="J51" s="141">
        <f>ROUND(IF(offer_sale_type="транзит",IFERROR(VLOOKUP($B51,calc_data,J$14+1,0),0),0),2)</f>
        <v/>
      </c>
      <c r="K51" s="142">
        <f>IF(offer_sale_type="транзит",IFERROR(ROUNDUP(VLOOKUP($B51,calc_data,K$14+1,0),2),0),0)</f>
        <v/>
      </c>
      <c r="L51" s="184">
        <f>IF(offer_sale_type="транзит",IFERROR(ROUNDUP(VLOOKUP($B51,calc_data,L$14+1,0),2),0),0)</f>
        <v/>
      </c>
      <c r="M51" s="141">
        <f>IF(offer_sale_type="транзит",IFERROR(ROUNDUP(VLOOKUP($B51,calc_data,M$14+1,0),2),0),0)</f>
        <v/>
      </c>
      <c r="N51" s="141">
        <f>IF(offer_sale_type="транзит",IFERROR(ROUNDUP(VLOOKUP($B51,calc_data,N$14+1,0),2),0),0)</f>
        <v/>
      </c>
      <c r="O51" s="147">
        <f>IF(offer_sale_type="транзит",IFERROR(ROUND(VLOOKUP($B51,calc_data,O$14+1,1),2),0),0)</f>
        <v/>
      </c>
      <c r="P51" s="141">
        <f>IF(offer_sale_type="транзит",IFERROR(ROUND(SUM(I51:J51,M51:O51)/E51,2),0),0)</f>
        <v/>
      </c>
      <c r="Q51" s="141">
        <f>E51*P51</f>
        <v/>
      </c>
      <c r="R51" s="141">
        <f>ROUND(Q51*IF(AND(offer_incoterms="DDP",seller_region="RU"),IF((TODAY()+offer_turnaround_time)&gt;=helpsheet!$L$17,rate_vatRU_from_26,rate_vatRu_till_25),0),2)</f>
        <v/>
      </c>
      <c r="S51" s="177">
        <f>Q51+IF(AND(offer_incoterms="DDP",seller_region="RU"),R51,0)</f>
        <v/>
      </c>
      <c r="T51" s="45" t="n"/>
      <c r="V51" s="57">
        <f>IF(Q51&gt;0,"показать","скрыть")</f>
        <v/>
      </c>
    </row>
    <row r="52" ht="15.75" customHeight="1">
      <c r="B52" s="809" t="n">
        <v>36</v>
      </c>
      <c r="C52" s="182">
        <f>IF(offer_sale_type="транзит",IFERROR(VLOOKUP($B52,calc_data,C$14+1,0),0),0)</f>
        <v/>
      </c>
      <c r="D52" s="280">
        <f>IF(offer_sale_type="транзит",IFERROR(VLOOKUP($B52,calc_data,D$14+1,0),0),0)</f>
        <v/>
      </c>
      <c r="E52" s="182">
        <f>IF(offer_sale_type="транзит",IFERROR(VLOOKUP($B52,calc_data,E$14+1,0),0),0)</f>
        <v/>
      </c>
      <c r="F52" s="182">
        <f>IF(offer_sale_type="транзит",IFERROR(VLOOKUP($B52,calc_data,F$14+1,0),0),0)</f>
        <v/>
      </c>
      <c r="G52" s="141">
        <f>IF(offer_sale_type="транзит",IFERROR(VLOOKUP($B52,calc_data,G$14+1,0),0),0)</f>
        <v/>
      </c>
      <c r="H52" s="141">
        <f>E52*G52</f>
        <v/>
      </c>
      <c r="I52" s="141">
        <f>IF(offer_sale_type="транзит",IFERROR(ROUND(VLOOKUP($B52,calc_data,I$14+1,0),2),0),0)</f>
        <v/>
      </c>
      <c r="J52" s="141">
        <f>ROUND(IF(offer_sale_type="транзит",IFERROR(VLOOKUP($B52,calc_data,J$14+1,0),0),0),2)</f>
        <v/>
      </c>
      <c r="K52" s="142">
        <f>IF(offer_sale_type="транзит",IFERROR(ROUNDUP(VLOOKUP($B52,calc_data,K$14+1,0),2),0),0)</f>
        <v/>
      </c>
      <c r="L52" s="184">
        <f>IF(offer_sale_type="транзит",IFERROR(ROUNDUP(VLOOKUP($B52,calc_data,L$14+1,0),2),0),0)</f>
        <v/>
      </c>
      <c r="M52" s="141">
        <f>IF(offer_sale_type="транзит",IFERROR(ROUNDUP(VLOOKUP($B52,calc_data,M$14+1,0),2),0),0)</f>
        <v/>
      </c>
      <c r="N52" s="141">
        <f>IF(offer_sale_type="транзит",IFERROR(ROUNDUP(VLOOKUP($B52,calc_data,N$14+1,0),2),0),0)</f>
        <v/>
      </c>
      <c r="O52" s="147">
        <f>IF(offer_sale_type="транзит",IFERROR(ROUND(VLOOKUP($B52,calc_data,O$14+1,1),2),0),0)</f>
        <v/>
      </c>
      <c r="P52" s="141">
        <f>IF(offer_sale_type="транзит",IFERROR(ROUND(SUM(I52:J52,M52:O52)/E52,2),0),0)</f>
        <v/>
      </c>
      <c r="Q52" s="141">
        <f>E52*P52</f>
        <v/>
      </c>
      <c r="R52" s="141">
        <f>ROUND(Q52*IF(AND(offer_incoterms="DDP",seller_region="RU"),IF((TODAY()+offer_turnaround_time)&gt;=helpsheet!$L$17,rate_vatRU_from_26,rate_vatRu_till_25),0),2)</f>
        <v/>
      </c>
      <c r="S52" s="177">
        <f>Q52+IF(AND(offer_incoterms="DDP",seller_region="RU"),R52,0)</f>
        <v/>
      </c>
      <c r="T52" s="45" t="n"/>
      <c r="V52" s="57">
        <f>IF(Q52&gt;0,"показать","скрыть")</f>
        <v/>
      </c>
    </row>
    <row r="53" ht="15.75" customHeight="1">
      <c r="B53" s="809" t="n">
        <v>37</v>
      </c>
      <c r="C53" s="182">
        <f>IF(offer_sale_type="транзит",IFERROR(VLOOKUP($B53,calc_data,C$14+1,0),0),0)</f>
        <v/>
      </c>
      <c r="D53" s="280">
        <f>IF(offer_sale_type="транзит",IFERROR(VLOOKUP($B53,calc_data,D$14+1,0),0),0)</f>
        <v/>
      </c>
      <c r="E53" s="182">
        <f>IF(offer_sale_type="транзит",IFERROR(VLOOKUP($B53,calc_data,E$14+1,0),0),0)</f>
        <v/>
      </c>
      <c r="F53" s="182">
        <f>IF(offer_sale_type="транзит",IFERROR(VLOOKUP($B53,calc_data,F$14+1,0),0),0)</f>
        <v/>
      </c>
      <c r="G53" s="141">
        <f>IF(offer_sale_type="транзит",IFERROR(VLOOKUP($B53,calc_data,G$14+1,0),0),0)</f>
        <v/>
      </c>
      <c r="H53" s="141">
        <f>E53*G53</f>
        <v/>
      </c>
      <c r="I53" s="141">
        <f>IF(offer_sale_type="транзит",IFERROR(ROUND(VLOOKUP($B53,calc_data,I$14+1,0),2),0),0)</f>
        <v/>
      </c>
      <c r="J53" s="141">
        <f>ROUND(IF(offer_sale_type="транзит",IFERROR(VLOOKUP($B53,calc_data,J$14+1,0),0),0),2)</f>
        <v/>
      </c>
      <c r="K53" s="142">
        <f>IF(offer_sale_type="транзит",IFERROR(ROUNDUP(VLOOKUP($B53,calc_data,K$14+1,0),2),0),0)</f>
        <v/>
      </c>
      <c r="L53" s="184">
        <f>IF(offer_sale_type="транзит",IFERROR(ROUNDUP(VLOOKUP($B53,calc_data,L$14+1,0),2),0),0)</f>
        <v/>
      </c>
      <c r="M53" s="141">
        <f>IF(offer_sale_type="транзит",IFERROR(ROUNDUP(VLOOKUP($B53,calc_data,M$14+1,0),2),0),0)</f>
        <v/>
      </c>
      <c r="N53" s="141">
        <f>IF(offer_sale_type="транзит",IFERROR(ROUNDUP(VLOOKUP($B53,calc_data,N$14+1,0),2),0),0)</f>
        <v/>
      </c>
      <c r="O53" s="147">
        <f>IF(offer_sale_type="транзит",IFERROR(ROUND(VLOOKUP($B53,calc_data,O$14+1,1),2),0),0)</f>
        <v/>
      </c>
      <c r="P53" s="141">
        <f>IF(offer_sale_type="транзит",IFERROR(ROUND(SUM(I53:J53,M53:O53)/E53,2),0),0)</f>
        <v/>
      </c>
      <c r="Q53" s="141">
        <f>E53*P53</f>
        <v/>
      </c>
      <c r="R53" s="141">
        <f>ROUND(Q53*IF(AND(offer_incoterms="DDP",seller_region="RU"),IF((TODAY()+offer_turnaround_time)&gt;=helpsheet!$L$17,rate_vatRU_from_26,rate_vatRu_till_25),0),2)</f>
        <v/>
      </c>
      <c r="S53" s="177">
        <f>Q53+IF(AND(offer_incoterms="DDP",seller_region="RU"),R53,0)</f>
        <v/>
      </c>
      <c r="T53" s="45" t="n"/>
      <c r="V53" s="57">
        <f>IF(Q53&gt;0,"показать","скрыть")</f>
        <v/>
      </c>
    </row>
    <row r="54" ht="15.75" customHeight="1">
      <c r="B54" s="809" t="n">
        <v>38</v>
      </c>
      <c r="C54" s="182">
        <f>IF(offer_sale_type="транзит",IFERROR(VLOOKUP($B54,calc_data,C$14+1,0),0),0)</f>
        <v/>
      </c>
      <c r="D54" s="280">
        <f>IF(offer_sale_type="транзит",IFERROR(VLOOKUP($B54,calc_data,D$14+1,0),0),0)</f>
        <v/>
      </c>
      <c r="E54" s="182">
        <f>IF(offer_sale_type="транзит",IFERROR(VLOOKUP($B54,calc_data,E$14+1,0),0),0)</f>
        <v/>
      </c>
      <c r="F54" s="182">
        <f>IF(offer_sale_type="транзит",IFERROR(VLOOKUP($B54,calc_data,F$14+1,0),0),0)</f>
        <v/>
      </c>
      <c r="G54" s="141">
        <f>IF(offer_sale_type="транзит",IFERROR(VLOOKUP($B54,calc_data,G$14+1,0),0),0)</f>
        <v/>
      </c>
      <c r="H54" s="141">
        <f>E54*G54</f>
        <v/>
      </c>
      <c r="I54" s="141">
        <f>IF(offer_sale_type="транзит",IFERROR(ROUND(VLOOKUP($B54,calc_data,I$14+1,0),2),0),0)</f>
        <v/>
      </c>
      <c r="J54" s="141">
        <f>ROUND(IF(offer_sale_type="транзит",IFERROR(VLOOKUP($B54,calc_data,J$14+1,0),0),0),2)</f>
        <v/>
      </c>
      <c r="K54" s="142">
        <f>IF(offer_sale_type="транзит",IFERROR(ROUNDUP(VLOOKUP($B54,calc_data,K$14+1,0),2),0),0)</f>
        <v/>
      </c>
      <c r="L54" s="184">
        <f>IF(offer_sale_type="транзит",IFERROR(ROUNDUP(VLOOKUP($B54,calc_data,L$14+1,0),2),0),0)</f>
        <v/>
      </c>
      <c r="M54" s="141">
        <f>IF(offer_sale_type="транзит",IFERROR(ROUNDUP(VLOOKUP($B54,calc_data,M$14+1,0),2),0),0)</f>
        <v/>
      </c>
      <c r="N54" s="141">
        <f>IF(offer_sale_type="транзит",IFERROR(ROUNDUP(VLOOKUP($B54,calc_data,N$14+1,0),2),0),0)</f>
        <v/>
      </c>
      <c r="O54" s="147">
        <f>IF(offer_sale_type="транзит",IFERROR(ROUND(VLOOKUP($B54,calc_data,O$14+1,1),2),0),0)</f>
        <v/>
      </c>
      <c r="P54" s="141">
        <f>IF(offer_sale_type="транзит",IFERROR(ROUND(SUM(I54:J54,M54:O54)/E54,2),0),0)</f>
        <v/>
      </c>
      <c r="Q54" s="141">
        <f>E54*P54</f>
        <v/>
      </c>
      <c r="R54" s="141">
        <f>ROUND(Q54*IF(AND(offer_incoterms="DDP",seller_region="RU"),IF((TODAY()+offer_turnaround_time)&gt;=helpsheet!$L$17,rate_vatRU_from_26,rate_vatRu_till_25),0),2)</f>
        <v/>
      </c>
      <c r="S54" s="177">
        <f>Q54+IF(AND(offer_incoterms="DDP",seller_region="RU"),R54,0)</f>
        <v/>
      </c>
      <c r="T54" s="45" t="n"/>
      <c r="V54" s="57">
        <f>IF(Q54&gt;0,"показать","скрыть")</f>
        <v/>
      </c>
    </row>
    <row r="55" ht="15.75" customHeight="1">
      <c r="B55" s="809" t="n">
        <v>39</v>
      </c>
      <c r="C55" s="182">
        <f>IF(offer_sale_type="транзит",IFERROR(VLOOKUP($B55,calc_data,C$14+1,0),0),0)</f>
        <v/>
      </c>
      <c r="D55" s="280">
        <f>IF(offer_sale_type="транзит",IFERROR(VLOOKUP($B55,calc_data,D$14+1,0),0),0)</f>
        <v/>
      </c>
      <c r="E55" s="182">
        <f>IF(offer_sale_type="транзит",IFERROR(VLOOKUP($B55,calc_data,E$14+1,0),0),0)</f>
        <v/>
      </c>
      <c r="F55" s="182">
        <f>IF(offer_sale_type="транзит",IFERROR(VLOOKUP($B55,calc_data,F$14+1,0),0),0)</f>
        <v/>
      </c>
      <c r="G55" s="141">
        <f>IF(offer_sale_type="транзит",IFERROR(VLOOKUP($B55,calc_data,G$14+1,0),0),0)</f>
        <v/>
      </c>
      <c r="H55" s="141">
        <f>E55*G55</f>
        <v/>
      </c>
      <c r="I55" s="141">
        <f>IF(offer_sale_type="транзит",IFERROR(ROUND(VLOOKUP($B55,calc_data,I$14+1,0),2),0),0)</f>
        <v/>
      </c>
      <c r="J55" s="141">
        <f>ROUND(IF(offer_sale_type="транзит",IFERROR(VLOOKUP($B55,calc_data,J$14+1,0),0),0),2)</f>
        <v/>
      </c>
      <c r="K55" s="142">
        <f>IF(offer_sale_type="транзит",IFERROR(ROUNDUP(VLOOKUP($B55,calc_data,K$14+1,0),2),0),0)</f>
        <v/>
      </c>
      <c r="L55" s="184">
        <f>IF(offer_sale_type="транзит",IFERROR(ROUNDUP(VLOOKUP($B55,calc_data,L$14+1,0),2),0),0)</f>
        <v/>
      </c>
      <c r="M55" s="141">
        <f>IF(offer_sale_type="транзит",IFERROR(ROUNDUP(VLOOKUP($B55,calc_data,M$14+1,0),2),0),0)</f>
        <v/>
      </c>
      <c r="N55" s="141">
        <f>IF(offer_sale_type="транзит",IFERROR(ROUNDUP(VLOOKUP($B55,calc_data,N$14+1,0),2),0),0)</f>
        <v/>
      </c>
      <c r="O55" s="147">
        <f>IF(offer_sale_type="транзит",IFERROR(ROUND(VLOOKUP($B55,calc_data,O$14+1,1),2),0),0)</f>
        <v/>
      </c>
      <c r="P55" s="141">
        <f>IF(offer_sale_type="транзит",IFERROR(ROUND(SUM(I55:J55,M55:O55)/E55,2),0),0)</f>
        <v/>
      </c>
      <c r="Q55" s="141">
        <f>E55*P55</f>
        <v/>
      </c>
      <c r="R55" s="141">
        <f>ROUND(Q55*IF(AND(offer_incoterms="DDP",seller_region="RU"),IF((TODAY()+offer_turnaround_time)&gt;=helpsheet!$L$17,rate_vatRU_from_26,rate_vatRu_till_25),0),2)</f>
        <v/>
      </c>
      <c r="S55" s="177">
        <f>Q55+IF(AND(offer_incoterms="DDP",seller_region="RU"),R55,0)</f>
        <v/>
      </c>
      <c r="T55" s="45" t="n"/>
      <c r="V55" s="57">
        <f>IF(Q55&gt;0,"показать","скрыть")</f>
        <v/>
      </c>
    </row>
    <row r="56" ht="15.75" customHeight="1">
      <c r="B56" s="809" t="n">
        <v>40</v>
      </c>
      <c r="C56" s="182">
        <f>IF(offer_sale_type="транзит",IFERROR(VLOOKUP($B56,calc_data,C$14+1,0),0),0)</f>
        <v/>
      </c>
      <c r="D56" s="280">
        <f>IF(offer_sale_type="транзит",IFERROR(VLOOKUP($B56,calc_data,D$14+1,0),0),0)</f>
        <v/>
      </c>
      <c r="E56" s="182">
        <f>IF(offer_sale_type="транзит",IFERROR(VLOOKUP($B56,calc_data,E$14+1,0),0),0)</f>
        <v/>
      </c>
      <c r="F56" s="182">
        <f>IF(offer_sale_type="транзит",IFERROR(VLOOKUP($B56,calc_data,F$14+1,0),0),0)</f>
        <v/>
      </c>
      <c r="G56" s="141">
        <f>IF(offer_sale_type="транзит",IFERROR(VLOOKUP($B56,calc_data,G$14+1,0),0),0)</f>
        <v/>
      </c>
      <c r="H56" s="141">
        <f>E56*G56</f>
        <v/>
      </c>
      <c r="I56" s="141">
        <f>IF(offer_sale_type="транзит",IFERROR(ROUND(VLOOKUP($B56,calc_data,I$14+1,0),2),0),0)</f>
        <v/>
      </c>
      <c r="J56" s="141">
        <f>ROUND(IF(offer_sale_type="транзит",IFERROR(VLOOKUP($B56,calc_data,J$14+1,0),0),0),2)</f>
        <v/>
      </c>
      <c r="K56" s="142">
        <f>IF(offer_sale_type="транзит",IFERROR(ROUNDUP(VLOOKUP($B56,calc_data,K$14+1,0),2),0),0)</f>
        <v/>
      </c>
      <c r="L56" s="184">
        <f>IF(offer_sale_type="транзит",IFERROR(ROUNDUP(VLOOKUP($B56,calc_data,L$14+1,0),2),0),0)</f>
        <v/>
      </c>
      <c r="M56" s="141">
        <f>IF(offer_sale_type="транзит",IFERROR(ROUNDUP(VLOOKUP($B56,calc_data,M$14+1,0),2),0),0)</f>
        <v/>
      </c>
      <c r="N56" s="141">
        <f>IF(offer_sale_type="транзит",IFERROR(ROUNDUP(VLOOKUP($B56,calc_data,N$14+1,0),2),0),0)</f>
        <v/>
      </c>
      <c r="O56" s="147">
        <f>IF(offer_sale_type="транзит",IFERROR(ROUND(VLOOKUP($B56,calc_data,O$14+1,1),2),0),0)</f>
        <v/>
      </c>
      <c r="P56" s="141">
        <f>IF(offer_sale_type="транзит",IFERROR(ROUND(SUM(I56:J56,M56:O56)/E56,2),0),0)</f>
        <v/>
      </c>
      <c r="Q56" s="141">
        <f>E56*P56</f>
        <v/>
      </c>
      <c r="R56" s="141">
        <f>ROUND(Q56*IF(AND(offer_incoterms="DDP",seller_region="RU"),IF((TODAY()+offer_turnaround_time)&gt;=helpsheet!$L$17,rate_vatRU_from_26,rate_vatRu_till_25),0),2)</f>
        <v/>
      </c>
      <c r="S56" s="177">
        <f>Q56+IF(AND(offer_incoterms="DDP",seller_region="RU"),R56,0)</f>
        <v/>
      </c>
      <c r="T56" s="45" t="n"/>
      <c r="V56" s="57">
        <f>IF(Q56&gt;0,"показать","скрыть")</f>
        <v/>
      </c>
    </row>
    <row r="57" ht="15.75" customHeight="1">
      <c r="B57" s="809" t="n">
        <v>41</v>
      </c>
      <c r="C57" s="182">
        <f>IF(offer_sale_type="транзит",IFERROR(VLOOKUP($B57,calc_data,C$14+1,0),0),0)</f>
        <v/>
      </c>
      <c r="D57" s="280">
        <f>IF(offer_sale_type="транзит",IFERROR(VLOOKUP($B57,calc_data,D$14+1,0),0),0)</f>
        <v/>
      </c>
      <c r="E57" s="182">
        <f>IF(offer_sale_type="транзит",IFERROR(VLOOKUP($B57,calc_data,E$14+1,0),0),0)</f>
        <v/>
      </c>
      <c r="F57" s="182">
        <f>IF(offer_sale_type="транзит",IFERROR(VLOOKUP($B57,calc_data,F$14+1,0),0),0)</f>
        <v/>
      </c>
      <c r="G57" s="141">
        <f>IF(offer_sale_type="транзит",IFERROR(VLOOKUP($B57,calc_data,G$14+1,0),0),0)</f>
        <v/>
      </c>
      <c r="H57" s="141">
        <f>E57*G57</f>
        <v/>
      </c>
      <c r="I57" s="141">
        <f>IF(offer_sale_type="транзит",IFERROR(ROUND(VLOOKUP($B57,calc_data,I$14+1,0),2),0),0)</f>
        <v/>
      </c>
      <c r="J57" s="141">
        <f>ROUND(IF(offer_sale_type="транзит",IFERROR(VLOOKUP($B57,calc_data,J$14+1,0),0),0),2)</f>
        <v/>
      </c>
      <c r="K57" s="142">
        <f>IF(offer_sale_type="транзит",IFERROR(ROUNDUP(VLOOKUP($B57,calc_data,K$14+1,0),2),0),0)</f>
        <v/>
      </c>
      <c r="L57" s="184">
        <f>IF(offer_sale_type="транзит",IFERROR(ROUNDUP(VLOOKUP($B57,calc_data,L$14+1,0),2),0),0)</f>
        <v/>
      </c>
      <c r="M57" s="141">
        <f>IF(offer_sale_type="транзит",IFERROR(ROUNDUP(VLOOKUP($B57,calc_data,M$14+1,0),2),0),0)</f>
        <v/>
      </c>
      <c r="N57" s="141">
        <f>IF(offer_sale_type="транзит",IFERROR(ROUNDUP(VLOOKUP($B57,calc_data,N$14+1,0),2),0),0)</f>
        <v/>
      </c>
      <c r="O57" s="147">
        <f>IF(offer_sale_type="транзит",IFERROR(ROUND(VLOOKUP($B57,calc_data,O$14+1,1),2),0),0)</f>
        <v/>
      </c>
      <c r="P57" s="141">
        <f>IF(offer_sale_type="транзит",IFERROR(ROUND(SUM(I57:J57,M57:O57)/E57,2),0),0)</f>
        <v/>
      </c>
      <c r="Q57" s="141">
        <f>E57*P57</f>
        <v/>
      </c>
      <c r="R57" s="141">
        <f>ROUND(Q57*IF(AND(offer_incoterms="DDP",seller_region="RU"),IF((TODAY()+offer_turnaround_time)&gt;=helpsheet!$L$17,rate_vatRU_from_26,rate_vatRu_till_25),0),2)</f>
        <v/>
      </c>
      <c r="S57" s="177">
        <f>Q57+IF(AND(offer_incoterms="DDP",seller_region="RU"),R57,0)</f>
        <v/>
      </c>
      <c r="T57" s="45" t="n"/>
      <c r="V57" s="57">
        <f>IF(Q57&gt;0,"показать","скрыть")</f>
        <v/>
      </c>
    </row>
    <row r="58" ht="15.75" customHeight="1">
      <c r="B58" s="809" t="n">
        <v>42</v>
      </c>
      <c r="C58" s="182">
        <f>IF(offer_sale_type="транзит",IFERROR(VLOOKUP($B58,calc_data,C$14+1,0),0),0)</f>
        <v/>
      </c>
      <c r="D58" s="280">
        <f>IF(offer_sale_type="транзит",IFERROR(VLOOKUP($B58,calc_data,D$14+1,0),0),0)</f>
        <v/>
      </c>
      <c r="E58" s="182">
        <f>IF(offer_sale_type="транзит",IFERROR(VLOOKUP($B58,calc_data,E$14+1,0),0),0)</f>
        <v/>
      </c>
      <c r="F58" s="182">
        <f>IF(offer_sale_type="транзит",IFERROR(VLOOKUP($B58,calc_data,F$14+1,0),0),0)</f>
        <v/>
      </c>
      <c r="G58" s="141">
        <f>IF(offer_sale_type="транзит",IFERROR(VLOOKUP($B58,calc_data,G$14+1,0),0),0)</f>
        <v/>
      </c>
      <c r="H58" s="141">
        <f>E58*G58</f>
        <v/>
      </c>
      <c r="I58" s="141">
        <f>IF(offer_sale_type="транзит",IFERROR(ROUND(VLOOKUP($B58,calc_data,I$14+1,0),2),0),0)</f>
        <v/>
      </c>
      <c r="J58" s="141">
        <f>ROUND(IF(offer_sale_type="транзит",IFERROR(VLOOKUP($B58,calc_data,J$14+1,0),0),0),2)</f>
        <v/>
      </c>
      <c r="K58" s="142">
        <f>IF(offer_sale_type="транзит",IFERROR(ROUNDUP(VLOOKUP($B58,calc_data,K$14+1,0),2),0),0)</f>
        <v/>
      </c>
      <c r="L58" s="184">
        <f>IF(offer_sale_type="транзит",IFERROR(ROUNDUP(VLOOKUP($B58,calc_data,L$14+1,0),2),0),0)</f>
        <v/>
      </c>
      <c r="M58" s="141">
        <f>IF(offer_sale_type="транзит",IFERROR(ROUNDUP(VLOOKUP($B58,calc_data,M$14+1,0),2),0),0)</f>
        <v/>
      </c>
      <c r="N58" s="141">
        <f>IF(offer_sale_type="транзит",IFERROR(ROUNDUP(VLOOKUP($B58,calc_data,N$14+1,0),2),0),0)</f>
        <v/>
      </c>
      <c r="O58" s="147">
        <f>IF(offer_sale_type="транзит",IFERROR(ROUND(VLOOKUP($B58,calc_data,O$14+1,1),2),0),0)</f>
        <v/>
      </c>
      <c r="P58" s="141">
        <f>IF(offer_sale_type="транзит",IFERROR(ROUND(SUM(I58:J58,M58:O58)/E58,2),0),0)</f>
        <v/>
      </c>
      <c r="Q58" s="141">
        <f>E58*P58</f>
        <v/>
      </c>
      <c r="R58" s="141">
        <f>ROUND(Q58*IF(AND(offer_incoterms="DDP",seller_region="RU"),IF((TODAY()+offer_turnaround_time)&gt;=helpsheet!$L$17,rate_vatRU_from_26,rate_vatRu_till_25),0),2)</f>
        <v/>
      </c>
      <c r="S58" s="177">
        <f>Q58+IF(AND(offer_incoterms="DDP",seller_region="RU"),R58,0)</f>
        <v/>
      </c>
      <c r="T58" s="45" t="n"/>
      <c r="V58" s="57">
        <f>IF(Q58&gt;0,"показать","скрыть")</f>
        <v/>
      </c>
    </row>
    <row r="59" ht="15.75" customHeight="1">
      <c r="B59" s="809" t="n">
        <v>43</v>
      </c>
      <c r="C59" s="182">
        <f>IF(offer_sale_type="транзит",IFERROR(VLOOKUP($B59,calc_data,C$14+1,0),0),0)</f>
        <v/>
      </c>
      <c r="D59" s="280">
        <f>IF(offer_sale_type="транзит",IFERROR(VLOOKUP($B59,calc_data,D$14+1,0),0),0)</f>
        <v/>
      </c>
      <c r="E59" s="182">
        <f>IF(offer_sale_type="транзит",IFERROR(VLOOKUP($B59,calc_data,E$14+1,0),0),0)</f>
        <v/>
      </c>
      <c r="F59" s="182">
        <f>IF(offer_sale_type="транзит",IFERROR(VLOOKUP($B59,calc_data,F$14+1,0),0),0)</f>
        <v/>
      </c>
      <c r="G59" s="141">
        <f>IF(offer_sale_type="транзит",IFERROR(VLOOKUP($B59,calc_data,G$14+1,0),0),0)</f>
        <v/>
      </c>
      <c r="H59" s="141">
        <f>E59*G59</f>
        <v/>
      </c>
      <c r="I59" s="141">
        <f>IF(offer_sale_type="транзит",IFERROR(ROUND(VLOOKUP($B59,calc_data,I$14+1,0),2),0),0)</f>
        <v/>
      </c>
      <c r="J59" s="141">
        <f>ROUND(IF(offer_sale_type="транзит",IFERROR(VLOOKUP($B59,calc_data,J$14+1,0),0),0),2)</f>
        <v/>
      </c>
      <c r="K59" s="142">
        <f>IF(offer_sale_type="транзит",IFERROR(ROUNDUP(VLOOKUP($B59,calc_data,K$14+1,0),2),0),0)</f>
        <v/>
      </c>
      <c r="L59" s="184">
        <f>IF(offer_sale_type="транзит",IFERROR(ROUNDUP(VLOOKUP($B59,calc_data,L$14+1,0),2),0),0)</f>
        <v/>
      </c>
      <c r="M59" s="141">
        <f>IF(offer_sale_type="транзит",IFERROR(ROUNDUP(VLOOKUP($B59,calc_data,M$14+1,0),2),0),0)</f>
        <v/>
      </c>
      <c r="N59" s="141">
        <f>IF(offer_sale_type="транзит",IFERROR(ROUNDUP(VLOOKUP($B59,calc_data,N$14+1,0),2),0),0)</f>
        <v/>
      </c>
      <c r="O59" s="147">
        <f>IF(offer_sale_type="транзит",IFERROR(ROUND(VLOOKUP($B59,calc_data,O$14+1,1),2),0),0)</f>
        <v/>
      </c>
      <c r="P59" s="141">
        <f>IF(offer_sale_type="транзит",IFERROR(ROUND(SUM(I59:J59,M59:O59)/E59,2),0),0)</f>
        <v/>
      </c>
      <c r="Q59" s="141">
        <f>E59*P59</f>
        <v/>
      </c>
      <c r="R59" s="141">
        <f>ROUND(Q59*IF(AND(offer_incoterms="DDP",seller_region="RU"),IF((TODAY()+offer_turnaround_time)&gt;=helpsheet!$L$17,rate_vatRU_from_26,rate_vatRu_till_25),0),2)</f>
        <v/>
      </c>
      <c r="S59" s="177">
        <f>Q59+IF(AND(offer_incoterms="DDP",seller_region="RU"),R59,0)</f>
        <v/>
      </c>
      <c r="T59" s="45" t="n"/>
      <c r="V59" s="57">
        <f>IF(Q59&gt;0,"показать","скрыть")</f>
        <v/>
      </c>
    </row>
    <row r="60" ht="15.75" customHeight="1">
      <c r="B60" s="809" t="n">
        <v>44</v>
      </c>
      <c r="C60" s="182">
        <f>IF(offer_sale_type="транзит",IFERROR(VLOOKUP($B60,calc_data,C$14+1,0),0),0)</f>
        <v/>
      </c>
      <c r="D60" s="280">
        <f>IF(offer_sale_type="транзит",IFERROR(VLOOKUP($B60,calc_data,D$14+1,0),0),0)</f>
        <v/>
      </c>
      <c r="E60" s="182">
        <f>IF(offer_sale_type="транзит",IFERROR(VLOOKUP($B60,calc_data,E$14+1,0),0),0)</f>
        <v/>
      </c>
      <c r="F60" s="182">
        <f>IF(offer_sale_type="транзит",IFERROR(VLOOKUP($B60,calc_data,F$14+1,0),0),0)</f>
        <v/>
      </c>
      <c r="G60" s="141">
        <f>IF(offer_sale_type="транзит",IFERROR(VLOOKUP($B60,calc_data,G$14+1,0),0),0)</f>
        <v/>
      </c>
      <c r="H60" s="141">
        <f>E60*G60</f>
        <v/>
      </c>
      <c r="I60" s="141">
        <f>IF(offer_sale_type="транзит",IFERROR(ROUND(VLOOKUP($B60,calc_data,I$14+1,0),2),0),0)</f>
        <v/>
      </c>
      <c r="J60" s="141">
        <f>ROUND(IF(offer_sale_type="транзит",IFERROR(VLOOKUP($B60,calc_data,J$14+1,0),0),0),2)</f>
        <v/>
      </c>
      <c r="K60" s="142">
        <f>IF(offer_sale_type="транзит",IFERROR(ROUNDUP(VLOOKUP($B60,calc_data,K$14+1,0),2),0),0)</f>
        <v/>
      </c>
      <c r="L60" s="184">
        <f>IF(offer_sale_type="транзит",IFERROR(ROUNDUP(VLOOKUP($B60,calc_data,L$14+1,0),2),0),0)</f>
        <v/>
      </c>
      <c r="M60" s="141">
        <f>IF(offer_sale_type="транзит",IFERROR(ROUNDUP(VLOOKUP($B60,calc_data,M$14+1,0),2),0),0)</f>
        <v/>
      </c>
      <c r="N60" s="141">
        <f>IF(offer_sale_type="транзит",IFERROR(ROUNDUP(VLOOKUP($B60,calc_data,N$14+1,0),2),0),0)</f>
        <v/>
      </c>
      <c r="O60" s="147">
        <f>IF(offer_sale_type="транзит",IFERROR(ROUND(VLOOKUP($B60,calc_data,O$14+1,1),2),0),0)</f>
        <v/>
      </c>
      <c r="P60" s="141">
        <f>IF(offer_sale_type="транзит",IFERROR(ROUND(SUM(I60:J60,M60:O60)/E60,2),0),0)</f>
        <v/>
      </c>
      <c r="Q60" s="141">
        <f>E60*P60</f>
        <v/>
      </c>
      <c r="R60" s="141">
        <f>ROUND(Q60*IF(AND(offer_incoterms="DDP",seller_region="RU"),IF((TODAY()+offer_turnaround_time)&gt;=helpsheet!$L$17,rate_vatRU_from_26,rate_vatRu_till_25),0),2)</f>
        <v/>
      </c>
      <c r="S60" s="177">
        <f>Q60+IF(AND(offer_incoterms="DDP",seller_region="RU"),R60,0)</f>
        <v/>
      </c>
      <c r="T60" s="45" t="n"/>
      <c r="V60" s="57">
        <f>IF(Q60&gt;0,"показать","скрыть")</f>
        <v/>
      </c>
    </row>
    <row r="61" ht="15.75" customHeight="1">
      <c r="B61" s="809" t="n">
        <v>45</v>
      </c>
      <c r="C61" s="182">
        <f>IF(offer_sale_type="транзит",IFERROR(VLOOKUP($B61,calc_data,C$14+1,0),0),0)</f>
        <v/>
      </c>
      <c r="D61" s="280">
        <f>IF(offer_sale_type="транзит",IFERROR(VLOOKUP($B61,calc_data,D$14+1,0),0),0)</f>
        <v/>
      </c>
      <c r="E61" s="182">
        <f>IF(offer_sale_type="транзит",IFERROR(VLOOKUP($B61,calc_data,E$14+1,0),0),0)</f>
        <v/>
      </c>
      <c r="F61" s="182">
        <f>IF(offer_sale_type="транзит",IFERROR(VLOOKUP($B61,calc_data,F$14+1,0),0),0)</f>
        <v/>
      </c>
      <c r="G61" s="141">
        <f>IF(offer_sale_type="транзит",IFERROR(VLOOKUP($B61,calc_data,G$14+1,0),0),0)</f>
        <v/>
      </c>
      <c r="H61" s="141">
        <f>E61*G61</f>
        <v/>
      </c>
      <c r="I61" s="141">
        <f>IF(offer_sale_type="транзит",IFERROR(ROUND(VLOOKUP($B61,calc_data,I$14+1,0),2),0),0)</f>
        <v/>
      </c>
      <c r="J61" s="141">
        <f>ROUND(IF(offer_sale_type="транзит",IFERROR(VLOOKUP($B61,calc_data,J$14+1,0),0),0),2)</f>
        <v/>
      </c>
      <c r="K61" s="142">
        <f>IF(offer_sale_type="транзит",IFERROR(ROUNDUP(VLOOKUP($B61,calc_data,K$14+1,0),2),0),0)</f>
        <v/>
      </c>
      <c r="L61" s="184">
        <f>IF(offer_sale_type="транзит",IFERROR(ROUNDUP(VLOOKUP($B61,calc_data,L$14+1,0),2),0),0)</f>
        <v/>
      </c>
      <c r="M61" s="141">
        <f>IF(offer_sale_type="транзит",IFERROR(ROUNDUP(VLOOKUP($B61,calc_data,M$14+1,0),2),0),0)</f>
        <v/>
      </c>
      <c r="N61" s="141">
        <f>IF(offer_sale_type="транзит",IFERROR(ROUNDUP(VLOOKUP($B61,calc_data,N$14+1,0),2),0),0)</f>
        <v/>
      </c>
      <c r="O61" s="147">
        <f>IF(offer_sale_type="транзит",IFERROR(ROUND(VLOOKUP($B61,calc_data,O$14+1,1),2),0),0)</f>
        <v/>
      </c>
      <c r="P61" s="141">
        <f>IF(offer_sale_type="транзит",IFERROR(ROUND(SUM(I61:J61,M61:O61)/E61,2),0),0)</f>
        <v/>
      </c>
      <c r="Q61" s="141">
        <f>E61*P61</f>
        <v/>
      </c>
      <c r="R61" s="141">
        <f>ROUND(Q61*IF(AND(offer_incoterms="DDP",seller_region="RU"),IF((TODAY()+offer_turnaround_time)&gt;=helpsheet!$L$17,rate_vatRU_from_26,rate_vatRu_till_25),0),2)</f>
        <v/>
      </c>
      <c r="S61" s="177">
        <f>Q61+IF(AND(offer_incoterms="DDP",seller_region="RU"),R61,0)</f>
        <v/>
      </c>
      <c r="T61" s="45" t="n"/>
      <c r="V61" s="57">
        <f>IF(Q61&gt;0,"показать","скрыть")</f>
        <v/>
      </c>
    </row>
    <row r="62" ht="15.75" customHeight="1">
      <c r="B62" s="809" t="n">
        <v>46</v>
      </c>
      <c r="C62" s="182">
        <f>IF(offer_sale_type="транзит",IFERROR(VLOOKUP($B62,calc_data,C$14+1,0),0),0)</f>
        <v/>
      </c>
      <c r="D62" s="280">
        <f>IF(offer_sale_type="транзит",IFERROR(VLOOKUP($B62,calc_data,D$14+1,0),0),0)</f>
        <v/>
      </c>
      <c r="E62" s="182">
        <f>IF(offer_sale_type="транзит",IFERROR(VLOOKUP($B62,calc_data,E$14+1,0),0),0)</f>
        <v/>
      </c>
      <c r="F62" s="182">
        <f>IF(offer_sale_type="транзит",IFERROR(VLOOKUP($B62,calc_data,F$14+1,0),0),0)</f>
        <v/>
      </c>
      <c r="G62" s="141">
        <f>IF(offer_sale_type="транзит",IFERROR(VLOOKUP($B62,calc_data,G$14+1,0),0),0)</f>
        <v/>
      </c>
      <c r="H62" s="141">
        <f>E62*G62</f>
        <v/>
      </c>
      <c r="I62" s="141">
        <f>IF(offer_sale_type="транзит",IFERROR(ROUND(VLOOKUP($B62,calc_data,I$14+1,0),2),0),0)</f>
        <v/>
      </c>
      <c r="J62" s="141">
        <f>ROUND(IF(offer_sale_type="транзит",IFERROR(VLOOKUP($B62,calc_data,J$14+1,0),0),0),2)</f>
        <v/>
      </c>
      <c r="K62" s="142">
        <f>IF(offer_sale_type="транзит",IFERROR(ROUNDUP(VLOOKUP($B62,calc_data,K$14+1,0),2),0),0)</f>
        <v/>
      </c>
      <c r="L62" s="184">
        <f>IF(offer_sale_type="транзит",IFERROR(ROUNDUP(VLOOKUP($B62,calc_data,L$14+1,0),2),0),0)</f>
        <v/>
      </c>
      <c r="M62" s="141">
        <f>IF(offer_sale_type="транзит",IFERROR(ROUNDUP(VLOOKUP($B62,calc_data,M$14+1,0),2),0),0)</f>
        <v/>
      </c>
      <c r="N62" s="141">
        <f>IF(offer_sale_type="транзит",IFERROR(ROUNDUP(VLOOKUP($B62,calc_data,N$14+1,0),2),0),0)</f>
        <v/>
      </c>
      <c r="O62" s="147">
        <f>IF(offer_sale_type="транзит",IFERROR(ROUND(VLOOKUP($B62,calc_data,O$14+1,1),2),0),0)</f>
        <v/>
      </c>
      <c r="P62" s="141">
        <f>IF(offer_sale_type="транзит",IFERROR(ROUND(SUM(I62:J62,M62:O62)/E62,2),0),0)</f>
        <v/>
      </c>
      <c r="Q62" s="141">
        <f>E62*P62</f>
        <v/>
      </c>
      <c r="R62" s="141">
        <f>ROUND(Q62*IF(AND(offer_incoterms="DDP",seller_region="RU"),IF((TODAY()+offer_turnaround_time)&gt;=helpsheet!$L$17,rate_vatRU_from_26,rate_vatRu_till_25),0),2)</f>
        <v/>
      </c>
      <c r="S62" s="177">
        <f>Q62+IF(AND(offer_incoterms="DDP",seller_region="RU"),R62,0)</f>
        <v/>
      </c>
      <c r="T62" s="45" t="n"/>
      <c r="V62" s="57">
        <f>IF(Q62&gt;0,"показать","скрыть")</f>
        <v/>
      </c>
    </row>
    <row r="63" ht="15.75" customHeight="1">
      <c r="B63" s="809" t="n">
        <v>47</v>
      </c>
      <c r="C63" s="182">
        <f>IF(offer_sale_type="транзит",IFERROR(VLOOKUP($B63,calc_data,C$14+1,0),0),0)</f>
        <v/>
      </c>
      <c r="D63" s="280">
        <f>IF(offer_sale_type="транзит",IFERROR(VLOOKUP($B63,calc_data,D$14+1,0),0),0)</f>
        <v/>
      </c>
      <c r="E63" s="182">
        <f>IF(offer_sale_type="транзит",IFERROR(VLOOKUP($B63,calc_data,E$14+1,0),0),0)</f>
        <v/>
      </c>
      <c r="F63" s="182">
        <f>IF(offer_sale_type="транзит",IFERROR(VLOOKUP($B63,calc_data,F$14+1,0),0),0)</f>
        <v/>
      </c>
      <c r="G63" s="141">
        <f>IF(offer_sale_type="транзит",IFERROR(VLOOKUP($B63,calc_data,G$14+1,0),0),0)</f>
        <v/>
      </c>
      <c r="H63" s="141">
        <f>E63*G63</f>
        <v/>
      </c>
      <c r="I63" s="141">
        <f>IF(offer_sale_type="транзит",IFERROR(ROUND(VLOOKUP($B63,calc_data,I$14+1,0),2),0),0)</f>
        <v/>
      </c>
      <c r="J63" s="141">
        <f>ROUND(IF(offer_sale_type="транзит",IFERROR(VLOOKUP($B63,calc_data,J$14+1,0),0),0),2)</f>
        <v/>
      </c>
      <c r="K63" s="142">
        <f>IF(offer_sale_type="транзит",IFERROR(ROUNDUP(VLOOKUP($B63,calc_data,K$14+1,0),2),0),0)</f>
        <v/>
      </c>
      <c r="L63" s="184">
        <f>IF(offer_sale_type="транзит",IFERROR(ROUNDUP(VLOOKUP($B63,calc_data,L$14+1,0),2),0),0)</f>
        <v/>
      </c>
      <c r="M63" s="141">
        <f>IF(offer_sale_type="транзит",IFERROR(ROUNDUP(VLOOKUP($B63,calc_data,M$14+1,0),2),0),0)</f>
        <v/>
      </c>
      <c r="N63" s="141">
        <f>IF(offer_sale_type="транзит",IFERROR(ROUNDUP(VLOOKUP($B63,calc_data,N$14+1,0),2),0),0)</f>
        <v/>
      </c>
      <c r="O63" s="147">
        <f>IF(offer_sale_type="транзит",IFERROR(ROUND(VLOOKUP($B63,calc_data,O$14+1,1),2),0),0)</f>
        <v/>
      </c>
      <c r="P63" s="141">
        <f>IF(offer_sale_type="транзит",IFERROR(ROUND(SUM(I63:J63,M63:O63)/E63,2),0),0)</f>
        <v/>
      </c>
      <c r="Q63" s="141">
        <f>E63*P63</f>
        <v/>
      </c>
      <c r="R63" s="141">
        <f>ROUND(Q63*IF(AND(offer_incoterms="DDP",seller_region="RU"),IF((TODAY()+offer_turnaround_time)&gt;=helpsheet!$L$17,rate_vatRU_from_26,rate_vatRu_till_25),0),2)</f>
        <v/>
      </c>
      <c r="S63" s="177">
        <f>Q63+IF(AND(offer_incoterms="DDP",seller_region="RU"),R63,0)</f>
        <v/>
      </c>
      <c r="T63" s="45" t="n"/>
      <c r="V63" s="57">
        <f>IF(Q63&gt;0,"показать","скрыть")</f>
        <v/>
      </c>
    </row>
    <row r="64" ht="15.75" customHeight="1">
      <c r="B64" s="809" t="n">
        <v>48</v>
      </c>
      <c r="C64" s="182">
        <f>IF(offer_sale_type="транзит",IFERROR(VLOOKUP($B64,calc_data,C$14+1,0),0),0)</f>
        <v/>
      </c>
      <c r="D64" s="280">
        <f>IF(offer_sale_type="транзит",IFERROR(VLOOKUP($B64,calc_data,D$14+1,0),0),0)</f>
        <v/>
      </c>
      <c r="E64" s="182">
        <f>IF(offer_sale_type="транзит",IFERROR(VLOOKUP($B64,calc_data,E$14+1,0),0),0)</f>
        <v/>
      </c>
      <c r="F64" s="182">
        <f>IF(offer_sale_type="транзит",IFERROR(VLOOKUP($B64,calc_data,F$14+1,0),0),0)</f>
        <v/>
      </c>
      <c r="G64" s="141">
        <f>IF(offer_sale_type="транзит",IFERROR(VLOOKUP($B64,calc_data,G$14+1,0),0),0)</f>
        <v/>
      </c>
      <c r="H64" s="141">
        <f>E64*G64</f>
        <v/>
      </c>
      <c r="I64" s="141">
        <f>IF(offer_sale_type="транзит",IFERROR(ROUND(VLOOKUP($B64,calc_data,I$14+1,0),2),0),0)</f>
        <v/>
      </c>
      <c r="J64" s="141">
        <f>ROUND(IF(offer_sale_type="транзит",IFERROR(VLOOKUP($B64,calc_data,J$14+1,0),0),0),2)</f>
        <v/>
      </c>
      <c r="K64" s="142">
        <f>IF(offer_sale_type="транзит",IFERROR(ROUNDUP(VLOOKUP($B64,calc_data,K$14+1,0),2),0),0)</f>
        <v/>
      </c>
      <c r="L64" s="184">
        <f>IF(offer_sale_type="транзит",IFERROR(ROUNDUP(VLOOKUP($B64,calc_data,L$14+1,0),2),0),0)</f>
        <v/>
      </c>
      <c r="M64" s="141">
        <f>IF(offer_sale_type="транзит",IFERROR(ROUNDUP(VLOOKUP($B64,calc_data,M$14+1,0),2),0),0)</f>
        <v/>
      </c>
      <c r="N64" s="141">
        <f>IF(offer_sale_type="транзит",IFERROR(ROUNDUP(VLOOKUP($B64,calc_data,N$14+1,0),2),0),0)</f>
        <v/>
      </c>
      <c r="O64" s="147">
        <f>IF(offer_sale_type="транзит",IFERROR(ROUND(VLOOKUP($B64,calc_data,O$14+1,1),2),0),0)</f>
        <v/>
      </c>
      <c r="P64" s="141">
        <f>IF(offer_sale_type="транзит",IFERROR(ROUND(SUM(I64:J64,M64:O64)/E64,2),0),0)</f>
        <v/>
      </c>
      <c r="Q64" s="141">
        <f>E64*P64</f>
        <v/>
      </c>
      <c r="R64" s="141">
        <f>ROUND(Q64*IF(AND(offer_incoterms="DDP",seller_region="RU"),IF((TODAY()+offer_turnaround_time)&gt;=helpsheet!$L$17,rate_vatRU_from_26,rate_vatRu_till_25),0),2)</f>
        <v/>
      </c>
      <c r="S64" s="177">
        <f>Q64+IF(AND(offer_incoterms="DDP",seller_region="RU"),R64,0)</f>
        <v/>
      </c>
      <c r="T64" s="45" t="n"/>
      <c r="V64" s="57">
        <f>IF(Q64&gt;0,"показать","скрыть")</f>
        <v/>
      </c>
    </row>
    <row r="65" ht="15.75" customHeight="1">
      <c r="B65" s="809" t="n">
        <v>49</v>
      </c>
      <c r="C65" s="182">
        <f>IF(offer_sale_type="транзит",IFERROR(VLOOKUP($B65,calc_data,C$14+1,0),0),0)</f>
        <v/>
      </c>
      <c r="D65" s="280">
        <f>IF(offer_sale_type="транзит",IFERROR(VLOOKUP($B65,calc_data,D$14+1,0),0),0)</f>
        <v/>
      </c>
      <c r="E65" s="182">
        <f>IF(offer_sale_type="транзит",IFERROR(VLOOKUP($B65,calc_data,E$14+1,0),0),0)</f>
        <v/>
      </c>
      <c r="F65" s="182">
        <f>IF(offer_sale_type="транзит",IFERROR(VLOOKUP($B65,calc_data,F$14+1,0),0),0)</f>
        <v/>
      </c>
      <c r="G65" s="141">
        <f>IF(offer_sale_type="транзит",IFERROR(VLOOKUP($B65,calc_data,G$14+1,0),0),0)</f>
        <v/>
      </c>
      <c r="H65" s="141">
        <f>E65*G65</f>
        <v/>
      </c>
      <c r="I65" s="141">
        <f>IF(offer_sale_type="транзит",IFERROR(ROUND(VLOOKUP($B65,calc_data,I$14+1,0),2),0),0)</f>
        <v/>
      </c>
      <c r="J65" s="141">
        <f>ROUND(IF(offer_sale_type="транзит",IFERROR(VLOOKUP($B65,calc_data,J$14+1,0),0),0),2)</f>
        <v/>
      </c>
      <c r="K65" s="142">
        <f>IF(offer_sale_type="транзит",IFERROR(ROUNDUP(VLOOKUP($B65,calc_data,K$14+1,0),2),0),0)</f>
        <v/>
      </c>
      <c r="L65" s="184">
        <f>IF(offer_sale_type="транзит",IFERROR(ROUNDUP(VLOOKUP($B65,calc_data,L$14+1,0),2),0),0)</f>
        <v/>
      </c>
      <c r="M65" s="141">
        <f>IF(offer_sale_type="транзит",IFERROR(ROUNDUP(VLOOKUP($B65,calc_data,M$14+1,0),2),0),0)</f>
        <v/>
      </c>
      <c r="N65" s="141">
        <f>IF(offer_sale_type="транзит",IFERROR(ROUNDUP(VLOOKUP($B65,calc_data,N$14+1,0),2),0),0)</f>
        <v/>
      </c>
      <c r="O65" s="147">
        <f>IF(offer_sale_type="транзит",IFERROR(ROUND(VLOOKUP($B65,calc_data,O$14+1,1),2),0),0)</f>
        <v/>
      </c>
      <c r="P65" s="141">
        <f>IF(offer_sale_type="транзит",IFERROR(ROUND(SUM(I65:J65,M65:O65)/E65,2),0),0)</f>
        <v/>
      </c>
      <c r="Q65" s="141">
        <f>E65*P65</f>
        <v/>
      </c>
      <c r="R65" s="141">
        <f>ROUND(Q65*IF(AND(offer_incoterms="DDP",seller_region="RU"),IF((TODAY()+offer_turnaround_time)&gt;=helpsheet!$L$17,rate_vatRU_from_26,rate_vatRu_till_25),0),2)</f>
        <v/>
      </c>
      <c r="S65" s="177">
        <f>Q65+IF(AND(offer_incoterms="DDP",seller_region="RU"),R65,0)</f>
        <v/>
      </c>
      <c r="T65" s="45" t="n"/>
      <c r="V65" s="57">
        <f>IF(Q65&gt;0,"показать","скрыть")</f>
        <v/>
      </c>
    </row>
    <row r="66" ht="15.75" customHeight="1">
      <c r="B66" s="809" t="n">
        <v>50</v>
      </c>
      <c r="C66" s="182">
        <f>IF(offer_sale_type="транзит",IFERROR(VLOOKUP($B66,calc_data,C$14+1,0),0),0)</f>
        <v/>
      </c>
      <c r="D66" s="280">
        <f>IF(offer_sale_type="транзит",IFERROR(VLOOKUP($B66,calc_data,D$14+1,0),0),0)</f>
        <v/>
      </c>
      <c r="E66" s="182">
        <f>IF(offer_sale_type="транзит",IFERROR(VLOOKUP($B66,calc_data,E$14+1,0),0),0)</f>
        <v/>
      </c>
      <c r="F66" s="182">
        <f>IF(offer_sale_type="транзит",IFERROR(VLOOKUP($B66,calc_data,F$14+1,0),0),0)</f>
        <v/>
      </c>
      <c r="G66" s="141">
        <f>IF(offer_sale_type="транзит",IFERROR(VLOOKUP($B66,calc_data,G$14+1,0),0),0)</f>
        <v/>
      </c>
      <c r="H66" s="141">
        <f>E66*G66</f>
        <v/>
      </c>
      <c r="I66" s="141">
        <f>IF(offer_sale_type="транзит",IFERROR(ROUND(VLOOKUP($B66,calc_data,I$14+1,0),2),0),0)</f>
        <v/>
      </c>
      <c r="J66" s="141">
        <f>ROUND(IF(offer_sale_type="транзит",IFERROR(VLOOKUP($B66,calc_data,J$14+1,0),0),0),2)</f>
        <v/>
      </c>
      <c r="K66" s="142">
        <f>IF(offer_sale_type="транзит",IFERROR(ROUNDUP(VLOOKUP($B66,calc_data,K$14+1,0),2),0),0)</f>
        <v/>
      </c>
      <c r="L66" s="184">
        <f>IF(offer_sale_type="транзит",IFERROR(ROUNDUP(VLOOKUP($B66,calc_data,L$14+1,0),2),0),0)</f>
        <v/>
      </c>
      <c r="M66" s="141">
        <f>IF(offer_sale_type="транзит",IFERROR(ROUNDUP(VLOOKUP($B66,calc_data,M$14+1,0),2),0),0)</f>
        <v/>
      </c>
      <c r="N66" s="141">
        <f>IF(offer_sale_type="транзит",IFERROR(ROUNDUP(VLOOKUP($B66,calc_data,N$14+1,0),2),0),0)</f>
        <v/>
      </c>
      <c r="O66" s="147">
        <f>IF(offer_sale_type="транзит",IFERROR(ROUND(VLOOKUP($B66,calc_data,O$14+1,1),2),0),0)</f>
        <v/>
      </c>
      <c r="P66" s="141">
        <f>IF(offer_sale_type="транзит",IFERROR(ROUND(SUM(I66:J66,M66:O66)/E66,2),0),0)</f>
        <v/>
      </c>
      <c r="Q66" s="141">
        <f>E66*P66</f>
        <v/>
      </c>
      <c r="R66" s="141">
        <f>ROUND(Q66*IF(AND(offer_incoterms="DDP",seller_region="RU"),IF((TODAY()+offer_turnaround_time)&gt;=helpsheet!$L$17,rate_vatRU_from_26,rate_vatRu_till_25),0),2)</f>
        <v/>
      </c>
      <c r="S66" s="177">
        <f>Q66+IF(AND(offer_incoterms="DDP",seller_region="RU"),R66,0)</f>
        <v/>
      </c>
      <c r="T66" s="45" t="n"/>
      <c r="V66" s="57">
        <f>IF(Q66&gt;0,"показать","скрыть")</f>
        <v/>
      </c>
    </row>
    <row r="67" ht="15.75" customHeight="1">
      <c r="B67" s="809" t="n">
        <v>51</v>
      </c>
      <c r="C67" s="182">
        <f>IF(offer_sale_type="транзит",IFERROR(VLOOKUP($B67,calc_data,C$14+1,0),0),0)</f>
        <v/>
      </c>
      <c r="D67" s="280">
        <f>IF(offer_sale_type="транзит",IFERROR(VLOOKUP($B67,calc_data,D$14+1,0),0),0)</f>
        <v/>
      </c>
      <c r="E67" s="182">
        <f>IF(offer_sale_type="транзит",IFERROR(VLOOKUP($B67,calc_data,E$14+1,0),0),0)</f>
        <v/>
      </c>
      <c r="F67" s="182">
        <f>IF(offer_sale_type="транзит",IFERROR(VLOOKUP($B67,calc_data,F$14+1,0),0),0)</f>
        <v/>
      </c>
      <c r="G67" s="141">
        <f>IF(offer_sale_type="транзит",IFERROR(VLOOKUP($B67,calc_data,G$14+1,0),0),0)</f>
        <v/>
      </c>
      <c r="H67" s="141">
        <f>E67*G67</f>
        <v/>
      </c>
      <c r="I67" s="141">
        <f>IF(offer_sale_type="транзит",IFERROR(ROUND(VLOOKUP($B67,calc_data,I$14+1,0),2),0),0)</f>
        <v/>
      </c>
      <c r="J67" s="141">
        <f>ROUND(IF(offer_sale_type="транзит",IFERROR(VLOOKUP($B67,calc_data,J$14+1,0),0),0),2)</f>
        <v/>
      </c>
      <c r="K67" s="142">
        <f>IF(offer_sale_type="транзит",IFERROR(ROUNDUP(VLOOKUP($B67,calc_data,K$14+1,0),2),0),0)</f>
        <v/>
      </c>
      <c r="L67" s="184">
        <f>IF(offer_sale_type="транзит",IFERROR(ROUNDUP(VLOOKUP($B67,calc_data,L$14+1,0),2),0),0)</f>
        <v/>
      </c>
      <c r="M67" s="141">
        <f>IF(offer_sale_type="транзит",IFERROR(ROUNDUP(VLOOKUP($B67,calc_data,M$14+1,0),2),0),0)</f>
        <v/>
      </c>
      <c r="N67" s="141">
        <f>IF(offer_sale_type="транзит",IFERROR(ROUNDUP(VLOOKUP($B67,calc_data,N$14+1,0),2),0),0)</f>
        <v/>
      </c>
      <c r="O67" s="147">
        <f>IF(offer_sale_type="транзит",IFERROR(ROUND(VLOOKUP($B67,calc_data,O$14+1,1),2),0),0)</f>
        <v/>
      </c>
      <c r="P67" s="141">
        <f>IF(offer_sale_type="транзит",IFERROR(ROUND(SUM(I67:J67,M67:O67)/E67,2),0),0)</f>
        <v/>
      </c>
      <c r="Q67" s="141">
        <f>E67*P67</f>
        <v/>
      </c>
      <c r="R67" s="141">
        <f>ROUND(Q67*IF(AND(offer_incoterms="DDP",seller_region="RU"),IF((TODAY()+offer_turnaround_time)&gt;=helpsheet!$L$17,rate_vatRU_from_26,rate_vatRu_till_25),0),2)</f>
        <v/>
      </c>
      <c r="S67" s="177">
        <f>Q67+IF(AND(offer_incoterms="DDP",seller_region="RU"),R67,0)</f>
        <v/>
      </c>
      <c r="T67" s="45" t="n"/>
      <c r="V67" s="57">
        <f>IF(Q67&gt;0,"показать","скрыть")</f>
        <v/>
      </c>
    </row>
    <row r="68" ht="15.75" customHeight="1">
      <c r="B68" s="809" t="n">
        <v>52</v>
      </c>
      <c r="C68" s="182">
        <f>IF(offer_sale_type="транзит",IFERROR(VLOOKUP($B68,calc_data,C$14+1,0),0),0)</f>
        <v/>
      </c>
      <c r="D68" s="280">
        <f>IF(offer_sale_type="транзит",IFERROR(VLOOKUP($B68,calc_data,D$14+1,0),0),0)</f>
        <v/>
      </c>
      <c r="E68" s="182">
        <f>IF(offer_sale_type="транзит",IFERROR(VLOOKUP($B68,calc_data,E$14+1,0),0),0)</f>
        <v/>
      </c>
      <c r="F68" s="182">
        <f>IF(offer_sale_type="транзит",IFERROR(VLOOKUP($B68,calc_data,F$14+1,0),0),0)</f>
        <v/>
      </c>
      <c r="G68" s="141">
        <f>IF(offer_sale_type="транзит",IFERROR(VLOOKUP($B68,calc_data,G$14+1,0),0),0)</f>
        <v/>
      </c>
      <c r="H68" s="141">
        <f>E68*G68</f>
        <v/>
      </c>
      <c r="I68" s="141">
        <f>IF(offer_sale_type="транзит",IFERROR(ROUND(VLOOKUP($B68,calc_data,I$14+1,0),2),0),0)</f>
        <v/>
      </c>
      <c r="J68" s="141">
        <f>ROUND(IF(offer_sale_type="транзит",IFERROR(VLOOKUP($B68,calc_data,J$14+1,0),0),0),2)</f>
        <v/>
      </c>
      <c r="K68" s="142">
        <f>IF(offer_sale_type="транзит",IFERROR(ROUNDUP(VLOOKUP($B68,calc_data,K$14+1,0),2),0),0)</f>
        <v/>
      </c>
      <c r="L68" s="184">
        <f>IF(offer_sale_type="транзит",IFERROR(ROUNDUP(VLOOKUP($B68,calc_data,L$14+1,0),2),0),0)</f>
        <v/>
      </c>
      <c r="M68" s="141">
        <f>IF(offer_sale_type="транзит",IFERROR(ROUNDUP(VLOOKUP($B68,calc_data,M$14+1,0),2),0),0)</f>
        <v/>
      </c>
      <c r="N68" s="141">
        <f>IF(offer_sale_type="транзит",IFERROR(ROUNDUP(VLOOKUP($B68,calc_data,N$14+1,0),2),0),0)</f>
        <v/>
      </c>
      <c r="O68" s="147">
        <f>IF(offer_sale_type="транзит",IFERROR(ROUND(VLOOKUP($B68,calc_data,O$14+1,1),2),0),0)</f>
        <v/>
      </c>
      <c r="P68" s="141">
        <f>IF(offer_sale_type="транзит",IFERROR(ROUND(SUM(I68:J68,M68:O68)/E68,2),0),0)</f>
        <v/>
      </c>
      <c r="Q68" s="141">
        <f>E68*P68</f>
        <v/>
      </c>
      <c r="R68" s="141">
        <f>ROUND(Q68*IF(AND(offer_incoterms="DDP",seller_region="RU"),IF((TODAY()+offer_turnaround_time)&gt;=helpsheet!$L$17,rate_vatRU_from_26,rate_vatRu_till_25),0),2)</f>
        <v/>
      </c>
      <c r="S68" s="177">
        <f>Q68+IF(AND(offer_incoterms="DDP",seller_region="RU"),R68,0)</f>
        <v/>
      </c>
      <c r="T68" s="45" t="n"/>
      <c r="V68" s="57">
        <f>IF(Q68&gt;0,"показать","скрыть")</f>
        <v/>
      </c>
    </row>
    <row r="69" ht="15.75" customHeight="1">
      <c r="B69" s="809" t="n">
        <v>53</v>
      </c>
      <c r="C69" s="182">
        <f>IF(offer_sale_type="транзит",IFERROR(VLOOKUP($B69,calc_data,C$14+1,0),0),0)</f>
        <v/>
      </c>
      <c r="D69" s="280">
        <f>IF(offer_sale_type="транзит",IFERROR(VLOOKUP($B69,calc_data,D$14+1,0),0),0)</f>
        <v/>
      </c>
      <c r="E69" s="182">
        <f>IF(offer_sale_type="транзит",IFERROR(VLOOKUP($B69,calc_data,E$14+1,0),0),0)</f>
        <v/>
      </c>
      <c r="F69" s="182">
        <f>IF(offer_sale_type="транзит",IFERROR(VLOOKUP($B69,calc_data,F$14+1,0),0),0)</f>
        <v/>
      </c>
      <c r="G69" s="141">
        <f>IF(offer_sale_type="транзит",IFERROR(VLOOKUP($B69,calc_data,G$14+1,0),0),0)</f>
        <v/>
      </c>
      <c r="H69" s="141">
        <f>E69*G69</f>
        <v/>
      </c>
      <c r="I69" s="141">
        <f>IF(offer_sale_type="транзит",IFERROR(ROUND(VLOOKUP($B69,calc_data,I$14+1,0),2),0),0)</f>
        <v/>
      </c>
      <c r="J69" s="141">
        <f>ROUND(IF(offer_sale_type="транзит",IFERROR(VLOOKUP($B69,calc_data,J$14+1,0),0),0),2)</f>
        <v/>
      </c>
      <c r="K69" s="142">
        <f>IF(offer_sale_type="транзит",IFERROR(ROUNDUP(VLOOKUP($B69,calc_data,K$14+1,0),2),0),0)</f>
        <v/>
      </c>
      <c r="L69" s="184">
        <f>IF(offer_sale_type="транзит",IFERROR(ROUNDUP(VLOOKUP($B69,calc_data,L$14+1,0),2),0),0)</f>
        <v/>
      </c>
      <c r="M69" s="141">
        <f>IF(offer_sale_type="транзит",IFERROR(ROUNDUP(VLOOKUP($B69,calc_data,M$14+1,0),2),0),0)</f>
        <v/>
      </c>
      <c r="N69" s="141">
        <f>IF(offer_sale_type="транзит",IFERROR(ROUNDUP(VLOOKUP($B69,calc_data,N$14+1,0),2),0),0)</f>
        <v/>
      </c>
      <c r="O69" s="147">
        <f>IF(offer_sale_type="транзит",IFERROR(ROUND(VLOOKUP($B69,calc_data,O$14+1,1),2),0),0)</f>
        <v/>
      </c>
      <c r="P69" s="141">
        <f>IF(offer_sale_type="транзит",IFERROR(ROUND(SUM(I69:J69,M69:O69)/E69,2),0),0)</f>
        <v/>
      </c>
      <c r="Q69" s="141">
        <f>E69*P69</f>
        <v/>
      </c>
      <c r="R69" s="141">
        <f>ROUND(Q69*IF(AND(offer_incoterms="DDP",seller_region="RU"),IF((TODAY()+offer_turnaround_time)&gt;=helpsheet!$L$17,rate_vatRU_from_26,rate_vatRu_till_25),0),2)</f>
        <v/>
      </c>
      <c r="S69" s="177">
        <f>Q69+IF(AND(offer_incoterms="DDP",seller_region="RU"),R69,0)</f>
        <v/>
      </c>
      <c r="T69" s="45" t="n"/>
      <c r="V69" s="57">
        <f>IF(Q69&gt;0,"показать","скрыть")</f>
        <v/>
      </c>
    </row>
    <row r="70" ht="15.75" customHeight="1">
      <c r="B70" s="809" t="n">
        <v>54</v>
      </c>
      <c r="C70" s="182">
        <f>IF(offer_sale_type="транзит",IFERROR(VLOOKUP($B70,calc_data,C$14+1,0),0),0)</f>
        <v/>
      </c>
      <c r="D70" s="280">
        <f>IF(offer_sale_type="транзит",IFERROR(VLOOKUP($B70,calc_data,D$14+1,0),0),0)</f>
        <v/>
      </c>
      <c r="E70" s="182">
        <f>IF(offer_sale_type="транзит",IFERROR(VLOOKUP($B70,calc_data,E$14+1,0),0),0)</f>
        <v/>
      </c>
      <c r="F70" s="182">
        <f>IF(offer_sale_type="транзит",IFERROR(VLOOKUP($B70,calc_data,F$14+1,0),0),0)</f>
        <v/>
      </c>
      <c r="G70" s="141">
        <f>IF(offer_sale_type="транзит",IFERROR(VLOOKUP($B70,calc_data,G$14+1,0),0),0)</f>
        <v/>
      </c>
      <c r="H70" s="141">
        <f>E70*G70</f>
        <v/>
      </c>
      <c r="I70" s="141">
        <f>IF(offer_sale_type="транзит",IFERROR(ROUND(VLOOKUP($B70,calc_data,I$14+1,0),2),0),0)</f>
        <v/>
      </c>
      <c r="J70" s="141">
        <f>ROUND(IF(offer_sale_type="транзит",IFERROR(VLOOKUP($B70,calc_data,J$14+1,0),0),0),2)</f>
        <v/>
      </c>
      <c r="K70" s="142">
        <f>IF(offer_sale_type="транзит",IFERROR(ROUNDUP(VLOOKUP($B70,calc_data,K$14+1,0),2),0),0)</f>
        <v/>
      </c>
      <c r="L70" s="184">
        <f>IF(offer_sale_type="транзит",IFERROR(ROUNDUP(VLOOKUP($B70,calc_data,L$14+1,0),2),0),0)</f>
        <v/>
      </c>
      <c r="M70" s="141">
        <f>IF(offer_sale_type="транзит",IFERROR(ROUNDUP(VLOOKUP($B70,calc_data,M$14+1,0),2),0),0)</f>
        <v/>
      </c>
      <c r="N70" s="141">
        <f>IF(offer_sale_type="транзит",IFERROR(ROUNDUP(VLOOKUP($B70,calc_data,N$14+1,0),2),0),0)</f>
        <v/>
      </c>
      <c r="O70" s="147">
        <f>IF(offer_sale_type="транзит",IFERROR(ROUND(VLOOKUP($B70,calc_data,O$14+1,1),2),0),0)</f>
        <v/>
      </c>
      <c r="P70" s="141">
        <f>IF(offer_sale_type="транзит",IFERROR(ROUND(SUM(I70:J70,M70:O70)/E70,2),0),0)</f>
        <v/>
      </c>
      <c r="Q70" s="141">
        <f>E70*P70</f>
        <v/>
      </c>
      <c r="R70" s="141">
        <f>ROUND(Q70*IF(AND(offer_incoterms="DDP",seller_region="RU"),IF((TODAY()+offer_turnaround_time)&gt;=helpsheet!$L$17,rate_vatRU_from_26,rate_vatRu_till_25),0),2)</f>
        <v/>
      </c>
      <c r="S70" s="177">
        <f>Q70+IF(AND(offer_incoterms="DDP",seller_region="RU"),R70,0)</f>
        <v/>
      </c>
      <c r="T70" s="45" t="n"/>
      <c r="V70" s="57">
        <f>IF(Q70&gt;0,"показать","скрыть")</f>
        <v/>
      </c>
    </row>
    <row r="71" ht="15.75" customHeight="1">
      <c r="B71" s="809" t="n">
        <v>55</v>
      </c>
      <c r="C71" s="182">
        <f>IF(offer_sale_type="транзит",IFERROR(VLOOKUP($B71,calc_data,C$14+1,0),0),0)</f>
        <v/>
      </c>
      <c r="D71" s="280">
        <f>IF(offer_sale_type="транзит",IFERROR(VLOOKUP($B71,calc_data,D$14+1,0),0),0)</f>
        <v/>
      </c>
      <c r="E71" s="182">
        <f>IF(offer_sale_type="транзит",IFERROR(VLOOKUP($B71,calc_data,E$14+1,0),0),0)</f>
        <v/>
      </c>
      <c r="F71" s="182">
        <f>IF(offer_sale_type="транзит",IFERROR(VLOOKUP($B71,calc_data,F$14+1,0),0),0)</f>
        <v/>
      </c>
      <c r="G71" s="141">
        <f>IF(offer_sale_type="транзит",IFERROR(VLOOKUP($B71,calc_data,G$14+1,0),0),0)</f>
        <v/>
      </c>
      <c r="H71" s="141">
        <f>E71*G71</f>
        <v/>
      </c>
      <c r="I71" s="141">
        <f>IF(offer_sale_type="транзит",IFERROR(ROUND(VLOOKUP($B71,calc_data,I$14+1,0),2),0),0)</f>
        <v/>
      </c>
      <c r="J71" s="141">
        <f>ROUND(IF(offer_sale_type="транзит",IFERROR(VLOOKUP($B71,calc_data,J$14+1,0),0),0),2)</f>
        <v/>
      </c>
      <c r="K71" s="142">
        <f>IF(offer_sale_type="транзит",IFERROR(ROUNDUP(VLOOKUP($B71,calc_data,K$14+1,0),2),0),0)</f>
        <v/>
      </c>
      <c r="L71" s="184">
        <f>IF(offer_sale_type="транзит",IFERROR(ROUNDUP(VLOOKUP($B71,calc_data,L$14+1,0),2),0),0)</f>
        <v/>
      </c>
      <c r="M71" s="141">
        <f>IF(offer_sale_type="транзит",IFERROR(ROUNDUP(VLOOKUP($B71,calc_data,M$14+1,0),2),0),0)</f>
        <v/>
      </c>
      <c r="N71" s="141">
        <f>IF(offer_sale_type="транзит",IFERROR(ROUNDUP(VLOOKUP($B71,calc_data,N$14+1,0),2),0),0)</f>
        <v/>
      </c>
      <c r="O71" s="147">
        <f>IF(offer_sale_type="транзит",IFERROR(ROUND(VLOOKUP($B71,calc_data,O$14+1,1),2),0),0)</f>
        <v/>
      </c>
      <c r="P71" s="141">
        <f>IF(offer_sale_type="транзит",IFERROR(ROUND(SUM(I71:J71,M71:O71)/E71,2),0),0)</f>
        <v/>
      </c>
      <c r="Q71" s="141">
        <f>E71*P71</f>
        <v/>
      </c>
      <c r="R71" s="141">
        <f>ROUND(Q71*IF(AND(offer_incoterms="DDP",seller_region="RU"),IF((TODAY()+offer_turnaround_time)&gt;=helpsheet!$L$17,rate_vatRU_from_26,rate_vatRu_till_25),0),2)</f>
        <v/>
      </c>
      <c r="S71" s="177">
        <f>Q71+IF(AND(offer_incoterms="DDP",seller_region="RU"),R71,0)</f>
        <v/>
      </c>
      <c r="T71" s="45" t="n"/>
      <c r="V71" s="57">
        <f>IF(Q71&gt;0,"показать","скрыть")</f>
        <v/>
      </c>
    </row>
    <row r="72" ht="15.75" customHeight="1">
      <c r="B72" s="809" t="n">
        <v>56</v>
      </c>
      <c r="C72" s="182">
        <f>IF(offer_sale_type="транзит",IFERROR(VLOOKUP($B72,calc_data,C$14+1,0),0),0)</f>
        <v/>
      </c>
      <c r="D72" s="280">
        <f>IF(offer_sale_type="транзит",IFERROR(VLOOKUP($B72,calc_data,D$14+1,0),0),0)</f>
        <v/>
      </c>
      <c r="E72" s="182">
        <f>IF(offer_sale_type="транзит",IFERROR(VLOOKUP($B72,calc_data,E$14+1,0),0),0)</f>
        <v/>
      </c>
      <c r="F72" s="182">
        <f>IF(offer_sale_type="транзит",IFERROR(VLOOKUP($B72,calc_data,F$14+1,0),0),0)</f>
        <v/>
      </c>
      <c r="G72" s="141">
        <f>IF(offer_sale_type="транзит",IFERROR(VLOOKUP($B72,calc_data,G$14+1,0),0),0)</f>
        <v/>
      </c>
      <c r="H72" s="141">
        <f>E72*G72</f>
        <v/>
      </c>
      <c r="I72" s="141">
        <f>IF(offer_sale_type="транзит",IFERROR(ROUND(VLOOKUP($B72,calc_data,I$14+1,0),2),0),0)</f>
        <v/>
      </c>
      <c r="J72" s="141">
        <f>ROUND(IF(offer_sale_type="транзит",IFERROR(VLOOKUP($B72,calc_data,J$14+1,0),0),0),2)</f>
        <v/>
      </c>
      <c r="K72" s="142">
        <f>IF(offer_sale_type="транзит",IFERROR(ROUNDUP(VLOOKUP($B72,calc_data,K$14+1,0),2),0),0)</f>
        <v/>
      </c>
      <c r="L72" s="184">
        <f>IF(offer_sale_type="транзит",IFERROR(ROUNDUP(VLOOKUP($B72,calc_data,L$14+1,0),2),0),0)</f>
        <v/>
      </c>
      <c r="M72" s="141">
        <f>IF(offer_sale_type="транзит",IFERROR(ROUNDUP(VLOOKUP($B72,calc_data,M$14+1,0),2),0),0)</f>
        <v/>
      </c>
      <c r="N72" s="141">
        <f>IF(offer_sale_type="транзит",IFERROR(ROUNDUP(VLOOKUP($B72,calc_data,N$14+1,0),2),0),0)</f>
        <v/>
      </c>
      <c r="O72" s="147">
        <f>IF(offer_sale_type="транзит",IFERROR(ROUND(VLOOKUP($B72,calc_data,O$14+1,1),2),0),0)</f>
        <v/>
      </c>
      <c r="P72" s="141">
        <f>IF(offer_sale_type="транзит",IFERROR(ROUND(SUM(I72:J72,M72:O72)/E72,2),0),0)</f>
        <v/>
      </c>
      <c r="Q72" s="141">
        <f>E72*P72</f>
        <v/>
      </c>
      <c r="R72" s="141">
        <f>ROUND(Q72*IF(AND(offer_incoterms="DDP",seller_region="RU"),IF((TODAY()+offer_turnaround_time)&gt;=helpsheet!$L$17,rate_vatRU_from_26,rate_vatRu_till_25),0),2)</f>
        <v/>
      </c>
      <c r="S72" s="177">
        <f>Q72+IF(AND(offer_incoterms="DDP",seller_region="RU"),R72,0)</f>
        <v/>
      </c>
      <c r="T72" s="45" t="n"/>
      <c r="V72" s="57">
        <f>IF(Q72&gt;0,"показать","скрыть")</f>
        <v/>
      </c>
    </row>
    <row r="73" ht="15.75" customHeight="1">
      <c r="B73" s="809" t="n">
        <v>57</v>
      </c>
      <c r="C73" s="182">
        <f>IF(offer_sale_type="транзит",IFERROR(VLOOKUP($B73,calc_data,C$14+1,0),0),0)</f>
        <v/>
      </c>
      <c r="D73" s="280">
        <f>IF(offer_sale_type="транзит",IFERROR(VLOOKUP($B73,calc_data,D$14+1,0),0),0)</f>
        <v/>
      </c>
      <c r="E73" s="182">
        <f>IF(offer_sale_type="транзит",IFERROR(VLOOKUP($B73,calc_data,E$14+1,0),0),0)</f>
        <v/>
      </c>
      <c r="F73" s="182">
        <f>IF(offer_sale_type="транзит",IFERROR(VLOOKUP($B73,calc_data,F$14+1,0),0),0)</f>
        <v/>
      </c>
      <c r="G73" s="141">
        <f>IF(offer_sale_type="транзит",IFERROR(VLOOKUP($B73,calc_data,G$14+1,0),0),0)</f>
        <v/>
      </c>
      <c r="H73" s="141">
        <f>E73*G73</f>
        <v/>
      </c>
      <c r="I73" s="141">
        <f>IF(offer_sale_type="транзит",IFERROR(ROUND(VLOOKUP($B73,calc_data,I$14+1,0),2),0),0)</f>
        <v/>
      </c>
      <c r="J73" s="141">
        <f>ROUND(IF(offer_sale_type="транзит",IFERROR(VLOOKUP($B73,calc_data,J$14+1,0),0),0),2)</f>
        <v/>
      </c>
      <c r="K73" s="142">
        <f>IF(offer_sale_type="транзит",IFERROR(ROUNDUP(VLOOKUP($B73,calc_data,K$14+1,0),2),0),0)</f>
        <v/>
      </c>
      <c r="L73" s="184">
        <f>IF(offer_sale_type="транзит",IFERROR(ROUNDUP(VLOOKUP($B73,calc_data,L$14+1,0),2),0),0)</f>
        <v/>
      </c>
      <c r="M73" s="141">
        <f>IF(offer_sale_type="транзит",IFERROR(ROUNDUP(VLOOKUP($B73,calc_data,M$14+1,0),2),0),0)</f>
        <v/>
      </c>
      <c r="N73" s="141">
        <f>IF(offer_sale_type="транзит",IFERROR(ROUNDUP(VLOOKUP($B73,calc_data,N$14+1,0),2),0),0)</f>
        <v/>
      </c>
      <c r="O73" s="147">
        <f>IF(offer_sale_type="транзит",IFERROR(ROUND(VLOOKUP($B73,calc_data,O$14+1,1),2),0),0)</f>
        <v/>
      </c>
      <c r="P73" s="141">
        <f>IF(offer_sale_type="транзит",IFERROR(ROUND(SUM(I73:J73,M73:O73)/E73,2),0),0)</f>
        <v/>
      </c>
      <c r="Q73" s="141">
        <f>E73*P73</f>
        <v/>
      </c>
      <c r="R73" s="141">
        <f>ROUND(Q73*IF(AND(offer_incoterms="DDP",seller_region="RU"),IF((TODAY()+offer_turnaround_time)&gt;=helpsheet!$L$17,rate_vatRU_from_26,rate_vatRu_till_25),0),2)</f>
        <v/>
      </c>
      <c r="S73" s="177">
        <f>Q73+IF(AND(offer_incoterms="DDP",seller_region="RU"),R73,0)</f>
        <v/>
      </c>
      <c r="T73" s="45" t="n"/>
      <c r="V73" s="57">
        <f>IF(Q73&gt;0,"показать","скрыть")</f>
        <v/>
      </c>
    </row>
    <row r="74" ht="15.75" customHeight="1">
      <c r="B74" s="809" t="n">
        <v>58</v>
      </c>
      <c r="C74" s="182">
        <f>IF(offer_sale_type="транзит",IFERROR(VLOOKUP($B74,calc_data,C$14+1,0),0),0)</f>
        <v/>
      </c>
      <c r="D74" s="280">
        <f>IF(offer_sale_type="транзит",IFERROR(VLOOKUP($B74,calc_data,D$14+1,0),0),0)</f>
        <v/>
      </c>
      <c r="E74" s="182">
        <f>IF(offer_sale_type="транзит",IFERROR(VLOOKUP($B74,calc_data,E$14+1,0),0),0)</f>
        <v/>
      </c>
      <c r="F74" s="182">
        <f>IF(offer_sale_type="транзит",IFERROR(VLOOKUP($B74,calc_data,F$14+1,0),0),0)</f>
        <v/>
      </c>
      <c r="G74" s="141">
        <f>IF(offer_sale_type="транзит",IFERROR(VLOOKUP($B74,calc_data,G$14+1,0),0),0)</f>
        <v/>
      </c>
      <c r="H74" s="141">
        <f>E74*G74</f>
        <v/>
      </c>
      <c r="I74" s="141">
        <f>IF(offer_sale_type="транзит",IFERROR(ROUND(VLOOKUP($B74,calc_data,I$14+1,0),2),0),0)</f>
        <v/>
      </c>
      <c r="J74" s="141">
        <f>ROUND(IF(offer_sale_type="транзит",IFERROR(VLOOKUP($B74,calc_data,J$14+1,0),0),0),2)</f>
        <v/>
      </c>
      <c r="K74" s="142">
        <f>IF(offer_sale_type="транзит",IFERROR(ROUNDUP(VLOOKUP($B74,calc_data,K$14+1,0),2),0),0)</f>
        <v/>
      </c>
      <c r="L74" s="184">
        <f>IF(offer_sale_type="транзит",IFERROR(ROUNDUP(VLOOKUP($B74,calc_data,L$14+1,0),2),0),0)</f>
        <v/>
      </c>
      <c r="M74" s="141">
        <f>IF(offer_sale_type="транзит",IFERROR(ROUNDUP(VLOOKUP($B74,calc_data,M$14+1,0),2),0),0)</f>
        <v/>
      </c>
      <c r="N74" s="141">
        <f>IF(offer_sale_type="транзит",IFERROR(ROUNDUP(VLOOKUP($B74,calc_data,N$14+1,0),2),0),0)</f>
        <v/>
      </c>
      <c r="O74" s="147">
        <f>IF(offer_sale_type="транзит",IFERROR(ROUND(VLOOKUP($B74,calc_data,O$14+1,1),2),0),0)</f>
        <v/>
      </c>
      <c r="P74" s="141">
        <f>IF(offer_sale_type="транзит",IFERROR(ROUND(SUM(I74:J74,M74:O74)/E74,2),0),0)</f>
        <v/>
      </c>
      <c r="Q74" s="141">
        <f>E74*P74</f>
        <v/>
      </c>
      <c r="R74" s="141">
        <f>ROUND(Q74*IF(AND(offer_incoterms="DDP",seller_region="RU"),IF((TODAY()+offer_turnaround_time)&gt;=helpsheet!$L$17,rate_vatRU_from_26,rate_vatRu_till_25),0),2)</f>
        <v/>
      </c>
      <c r="S74" s="177">
        <f>Q74+IF(AND(offer_incoterms="DDP",seller_region="RU"),R74,0)</f>
        <v/>
      </c>
      <c r="T74" s="45" t="n"/>
      <c r="V74" s="57">
        <f>IF(Q74&gt;0,"показать","скрыть")</f>
        <v/>
      </c>
    </row>
    <row r="75" ht="15.75" customHeight="1">
      <c r="B75" s="809" t="n">
        <v>59</v>
      </c>
      <c r="C75" s="182">
        <f>IF(offer_sale_type="транзит",IFERROR(VLOOKUP($B75,calc_data,C$14+1,0),0),0)</f>
        <v/>
      </c>
      <c r="D75" s="280">
        <f>IF(offer_sale_type="транзит",IFERROR(VLOOKUP($B75,calc_data,D$14+1,0),0),0)</f>
        <v/>
      </c>
      <c r="E75" s="182">
        <f>IF(offer_sale_type="транзит",IFERROR(VLOOKUP($B75,calc_data,E$14+1,0),0),0)</f>
        <v/>
      </c>
      <c r="F75" s="182">
        <f>IF(offer_sale_type="транзит",IFERROR(VLOOKUP($B75,calc_data,F$14+1,0),0),0)</f>
        <v/>
      </c>
      <c r="G75" s="141">
        <f>IF(offer_sale_type="транзит",IFERROR(VLOOKUP($B75,calc_data,G$14+1,0),0),0)</f>
        <v/>
      </c>
      <c r="H75" s="141">
        <f>E75*G75</f>
        <v/>
      </c>
      <c r="I75" s="141">
        <f>IF(offer_sale_type="транзит",IFERROR(ROUND(VLOOKUP($B75,calc_data,I$14+1,0),2),0),0)</f>
        <v/>
      </c>
      <c r="J75" s="141">
        <f>ROUND(IF(offer_sale_type="транзит",IFERROR(VLOOKUP($B75,calc_data,J$14+1,0),0),0),2)</f>
        <v/>
      </c>
      <c r="K75" s="142">
        <f>IF(offer_sale_type="транзит",IFERROR(ROUNDUP(VLOOKUP($B75,calc_data,K$14+1,0),2),0),0)</f>
        <v/>
      </c>
      <c r="L75" s="184">
        <f>IF(offer_sale_type="транзит",IFERROR(ROUNDUP(VLOOKUP($B75,calc_data,L$14+1,0),2),0),0)</f>
        <v/>
      </c>
      <c r="M75" s="141">
        <f>IF(offer_sale_type="транзит",IFERROR(ROUNDUP(VLOOKUP($B75,calc_data,M$14+1,0),2),0),0)</f>
        <v/>
      </c>
      <c r="N75" s="141">
        <f>IF(offer_sale_type="транзит",IFERROR(ROUNDUP(VLOOKUP($B75,calc_data,N$14+1,0),2),0),0)</f>
        <v/>
      </c>
      <c r="O75" s="147">
        <f>IF(offer_sale_type="транзит",IFERROR(ROUND(VLOOKUP($B75,calc_data,O$14+1,1),2),0),0)</f>
        <v/>
      </c>
      <c r="P75" s="141">
        <f>IF(offer_sale_type="транзит",IFERROR(ROUND(SUM(I75:J75,M75:O75)/E75,2),0),0)</f>
        <v/>
      </c>
      <c r="Q75" s="141">
        <f>E75*P75</f>
        <v/>
      </c>
      <c r="R75" s="141">
        <f>ROUND(Q75*IF(AND(offer_incoterms="DDP",seller_region="RU"),IF((TODAY()+offer_turnaround_time)&gt;=helpsheet!$L$17,rate_vatRU_from_26,rate_vatRu_till_25),0),2)</f>
        <v/>
      </c>
      <c r="S75" s="177">
        <f>Q75+IF(AND(offer_incoterms="DDP",seller_region="RU"),R75,0)</f>
        <v/>
      </c>
      <c r="T75" s="45" t="n"/>
      <c r="V75" s="57">
        <f>IF(Q75&gt;0,"показать","скрыть")</f>
        <v/>
      </c>
    </row>
    <row r="76" ht="15.75" customHeight="1">
      <c r="B76" s="809" t="n">
        <v>60</v>
      </c>
      <c r="C76" s="182">
        <f>IF(offer_sale_type="транзит",IFERROR(VLOOKUP($B76,calc_data,C$14+1,0),0),0)</f>
        <v/>
      </c>
      <c r="D76" s="280">
        <f>IF(offer_sale_type="транзит",IFERROR(VLOOKUP($B76,calc_data,D$14+1,0),0),0)</f>
        <v/>
      </c>
      <c r="E76" s="182">
        <f>IF(offer_sale_type="транзит",IFERROR(VLOOKUP($B76,calc_data,E$14+1,0),0),0)</f>
        <v/>
      </c>
      <c r="F76" s="182">
        <f>IF(offer_sale_type="транзит",IFERROR(VLOOKUP($B76,calc_data,F$14+1,0),0),0)</f>
        <v/>
      </c>
      <c r="G76" s="141">
        <f>IF(offer_sale_type="транзит",IFERROR(VLOOKUP($B76,calc_data,G$14+1,0),0),0)</f>
        <v/>
      </c>
      <c r="H76" s="141">
        <f>E76*G76</f>
        <v/>
      </c>
      <c r="I76" s="141">
        <f>IF(offer_sale_type="транзит",IFERROR(ROUND(VLOOKUP($B76,calc_data,I$14+1,0),2),0),0)</f>
        <v/>
      </c>
      <c r="J76" s="141">
        <f>ROUND(IF(offer_sale_type="транзит",IFERROR(VLOOKUP($B76,calc_data,J$14+1,0),0),0),2)</f>
        <v/>
      </c>
      <c r="K76" s="142">
        <f>IF(offer_sale_type="транзит",IFERROR(ROUNDUP(VLOOKUP($B76,calc_data,K$14+1,0),2),0),0)</f>
        <v/>
      </c>
      <c r="L76" s="184">
        <f>IF(offer_sale_type="транзит",IFERROR(ROUNDUP(VLOOKUP($B76,calc_data,L$14+1,0),2),0),0)</f>
        <v/>
      </c>
      <c r="M76" s="141">
        <f>IF(offer_sale_type="транзит",IFERROR(ROUNDUP(VLOOKUP($B76,calc_data,M$14+1,0),2),0),0)</f>
        <v/>
      </c>
      <c r="N76" s="141">
        <f>IF(offer_sale_type="транзит",IFERROR(ROUNDUP(VLOOKUP($B76,calc_data,N$14+1,0),2),0),0)</f>
        <v/>
      </c>
      <c r="O76" s="147">
        <f>IF(offer_sale_type="транзит",IFERROR(ROUND(VLOOKUP($B76,calc_data,O$14+1,1),2),0),0)</f>
        <v/>
      </c>
      <c r="P76" s="141">
        <f>IF(offer_sale_type="транзит",IFERROR(ROUND(SUM(I76:J76,M76:O76)/E76,2),0),0)</f>
        <v/>
      </c>
      <c r="Q76" s="141">
        <f>E76*P76</f>
        <v/>
      </c>
      <c r="R76" s="141">
        <f>ROUND(Q76*IF(AND(offer_incoterms="DDP",seller_region="RU"),IF((TODAY()+offer_turnaround_time)&gt;=helpsheet!$L$17,rate_vatRU_from_26,rate_vatRu_till_25),0),2)</f>
        <v/>
      </c>
      <c r="S76" s="177">
        <f>Q76+IF(AND(offer_incoterms="DDP",seller_region="RU"),R76,0)</f>
        <v/>
      </c>
      <c r="T76" s="45" t="n"/>
      <c r="V76" s="57">
        <f>IF(Q76&gt;0,"показать","скрыть")</f>
        <v/>
      </c>
    </row>
    <row r="77" ht="15.75" customHeight="1">
      <c r="B77" s="809" t="n">
        <v>61</v>
      </c>
      <c r="C77" s="182">
        <f>IF(offer_sale_type="транзит",IFERROR(VLOOKUP($B77,calc_data,C$14+1,0),0),0)</f>
        <v/>
      </c>
      <c r="D77" s="280">
        <f>IF(offer_sale_type="транзит",IFERROR(VLOOKUP($B77,calc_data,D$14+1,0),0),0)</f>
        <v/>
      </c>
      <c r="E77" s="182">
        <f>IF(offer_sale_type="транзит",IFERROR(VLOOKUP($B77,calc_data,E$14+1,0),0),0)</f>
        <v/>
      </c>
      <c r="F77" s="182">
        <f>IF(offer_sale_type="транзит",IFERROR(VLOOKUP($B77,calc_data,F$14+1,0),0),0)</f>
        <v/>
      </c>
      <c r="G77" s="141">
        <f>IF(offer_sale_type="транзит",IFERROR(VLOOKUP($B77,calc_data,G$14+1,0),0),0)</f>
        <v/>
      </c>
      <c r="H77" s="141">
        <f>E77*G77</f>
        <v/>
      </c>
      <c r="I77" s="141">
        <f>IF(offer_sale_type="транзит",IFERROR(ROUND(VLOOKUP($B77,calc_data,I$14+1,0),2),0),0)</f>
        <v/>
      </c>
      <c r="J77" s="141">
        <f>ROUND(IF(offer_sale_type="транзит",IFERROR(VLOOKUP($B77,calc_data,J$14+1,0),0),0),2)</f>
        <v/>
      </c>
      <c r="K77" s="142">
        <f>IF(offer_sale_type="транзит",IFERROR(ROUNDUP(VLOOKUP($B77,calc_data,K$14+1,0),2),0),0)</f>
        <v/>
      </c>
      <c r="L77" s="184">
        <f>IF(offer_sale_type="транзит",IFERROR(ROUNDUP(VLOOKUP($B77,calc_data,L$14+1,0),2),0),0)</f>
        <v/>
      </c>
      <c r="M77" s="141">
        <f>IF(offer_sale_type="транзит",IFERROR(ROUNDUP(VLOOKUP($B77,calc_data,M$14+1,0),2),0),0)</f>
        <v/>
      </c>
      <c r="N77" s="141">
        <f>IF(offer_sale_type="транзит",IFERROR(ROUNDUP(VLOOKUP($B77,calc_data,N$14+1,0),2),0),0)</f>
        <v/>
      </c>
      <c r="O77" s="147">
        <f>IF(offer_sale_type="транзит",IFERROR(ROUND(VLOOKUP($B77,calc_data,O$14+1,1),2),0),0)</f>
        <v/>
      </c>
      <c r="P77" s="141">
        <f>IF(offer_sale_type="транзит",IFERROR(ROUND(SUM(I77:J77,M77:O77)/E77,2),0),0)</f>
        <v/>
      </c>
      <c r="Q77" s="141">
        <f>E77*P77</f>
        <v/>
      </c>
      <c r="R77" s="141">
        <f>ROUND(Q77*IF(AND(offer_incoterms="DDP",seller_region="RU"),IF((TODAY()+offer_turnaround_time)&gt;=helpsheet!$L$17,rate_vatRU_from_26,rate_vatRu_till_25),0),2)</f>
        <v/>
      </c>
      <c r="S77" s="177">
        <f>Q77+IF(AND(offer_incoterms="DDP",seller_region="RU"),R77,0)</f>
        <v/>
      </c>
      <c r="T77" s="45" t="n"/>
      <c r="V77" s="57">
        <f>IF(Q77&gt;0,"показать","скрыть")</f>
        <v/>
      </c>
    </row>
    <row r="78" ht="15.75" customHeight="1">
      <c r="B78" s="809" t="n">
        <v>62</v>
      </c>
      <c r="C78" s="182">
        <f>IF(offer_sale_type="транзит",IFERROR(VLOOKUP($B78,calc_data,C$14+1,0),0),0)</f>
        <v/>
      </c>
      <c r="D78" s="280">
        <f>IF(offer_sale_type="транзит",IFERROR(VLOOKUP($B78,calc_data,D$14+1,0),0),0)</f>
        <v/>
      </c>
      <c r="E78" s="182">
        <f>IF(offer_sale_type="транзит",IFERROR(VLOOKUP($B78,calc_data,E$14+1,0),0),0)</f>
        <v/>
      </c>
      <c r="F78" s="182">
        <f>IF(offer_sale_type="транзит",IFERROR(VLOOKUP($B78,calc_data,F$14+1,0),0),0)</f>
        <v/>
      </c>
      <c r="G78" s="141">
        <f>IF(offer_sale_type="транзит",IFERROR(VLOOKUP($B78,calc_data,G$14+1,0),0),0)</f>
        <v/>
      </c>
      <c r="H78" s="141">
        <f>E78*G78</f>
        <v/>
      </c>
      <c r="I78" s="141">
        <f>IF(offer_sale_type="транзит",IFERROR(ROUND(VLOOKUP($B78,calc_data,I$14+1,0),2),0),0)</f>
        <v/>
      </c>
      <c r="J78" s="141">
        <f>ROUND(IF(offer_sale_type="транзит",IFERROR(VLOOKUP($B78,calc_data,J$14+1,0),0),0),2)</f>
        <v/>
      </c>
      <c r="K78" s="142">
        <f>IF(offer_sale_type="транзит",IFERROR(ROUNDUP(VLOOKUP($B78,calc_data,K$14+1,0),2),0),0)</f>
        <v/>
      </c>
      <c r="L78" s="184">
        <f>IF(offer_sale_type="транзит",IFERROR(ROUNDUP(VLOOKUP($B78,calc_data,L$14+1,0),2),0),0)</f>
        <v/>
      </c>
      <c r="M78" s="141">
        <f>IF(offer_sale_type="транзит",IFERROR(ROUNDUP(VLOOKUP($B78,calc_data,M$14+1,0),2),0),0)</f>
        <v/>
      </c>
      <c r="N78" s="141">
        <f>IF(offer_sale_type="транзит",IFERROR(ROUNDUP(VLOOKUP($B78,calc_data,N$14+1,0),2),0),0)</f>
        <v/>
      </c>
      <c r="O78" s="147">
        <f>IF(offer_sale_type="транзит",IFERROR(ROUND(VLOOKUP($B78,calc_data,O$14+1,1),2),0),0)</f>
        <v/>
      </c>
      <c r="P78" s="141">
        <f>IF(offer_sale_type="транзит",IFERROR(ROUND(SUM(I78:J78,M78:O78)/E78,2),0),0)</f>
        <v/>
      </c>
      <c r="Q78" s="141">
        <f>E78*P78</f>
        <v/>
      </c>
      <c r="R78" s="141">
        <f>ROUND(Q78*IF(AND(offer_incoterms="DDP",seller_region="RU"),IF((TODAY()+offer_turnaround_time)&gt;=helpsheet!$L$17,rate_vatRU_from_26,rate_vatRu_till_25),0),2)</f>
        <v/>
      </c>
      <c r="S78" s="177">
        <f>Q78+IF(AND(offer_incoterms="DDP",seller_region="RU"),R78,0)</f>
        <v/>
      </c>
      <c r="T78" s="45" t="n"/>
      <c r="V78" s="57">
        <f>IF(Q78&gt;0,"показать","скрыть")</f>
        <v/>
      </c>
    </row>
    <row r="79" ht="15.75" customHeight="1">
      <c r="B79" s="809" t="n">
        <v>63</v>
      </c>
      <c r="C79" s="182">
        <f>IF(offer_sale_type="транзит",IFERROR(VLOOKUP($B79,calc_data,C$14+1,0),0),0)</f>
        <v/>
      </c>
      <c r="D79" s="280">
        <f>IF(offer_sale_type="транзит",IFERROR(VLOOKUP($B79,calc_data,D$14+1,0),0),0)</f>
        <v/>
      </c>
      <c r="E79" s="182">
        <f>IF(offer_sale_type="транзит",IFERROR(VLOOKUP($B79,calc_data,E$14+1,0),0),0)</f>
        <v/>
      </c>
      <c r="F79" s="182">
        <f>IF(offer_sale_type="транзит",IFERROR(VLOOKUP($B79,calc_data,F$14+1,0),0),0)</f>
        <v/>
      </c>
      <c r="G79" s="141">
        <f>IF(offer_sale_type="транзит",IFERROR(VLOOKUP($B79,calc_data,G$14+1,0),0),0)</f>
        <v/>
      </c>
      <c r="H79" s="141">
        <f>E79*G79</f>
        <v/>
      </c>
      <c r="I79" s="141">
        <f>IF(offer_sale_type="транзит",IFERROR(ROUND(VLOOKUP($B79,calc_data,I$14+1,0),2),0),0)</f>
        <v/>
      </c>
      <c r="J79" s="141">
        <f>ROUND(IF(offer_sale_type="транзит",IFERROR(VLOOKUP($B79,calc_data,J$14+1,0),0),0),2)</f>
        <v/>
      </c>
      <c r="K79" s="142">
        <f>IF(offer_sale_type="транзит",IFERROR(ROUNDUP(VLOOKUP($B79,calc_data,K$14+1,0),2),0),0)</f>
        <v/>
      </c>
      <c r="L79" s="184">
        <f>IF(offer_sale_type="транзит",IFERROR(ROUNDUP(VLOOKUP($B79,calc_data,L$14+1,0),2),0),0)</f>
        <v/>
      </c>
      <c r="M79" s="141">
        <f>IF(offer_sale_type="транзит",IFERROR(ROUNDUP(VLOOKUP($B79,calc_data,M$14+1,0),2),0),0)</f>
        <v/>
      </c>
      <c r="N79" s="141">
        <f>IF(offer_sale_type="транзит",IFERROR(ROUNDUP(VLOOKUP($B79,calc_data,N$14+1,0),2),0),0)</f>
        <v/>
      </c>
      <c r="O79" s="147">
        <f>IF(offer_sale_type="транзит",IFERROR(ROUND(VLOOKUP($B79,calc_data,O$14+1,1),2),0),0)</f>
        <v/>
      </c>
      <c r="P79" s="141">
        <f>IF(offer_sale_type="транзит",IFERROR(ROUND(SUM(I79:J79,M79:O79)/E79,2),0),0)</f>
        <v/>
      </c>
      <c r="Q79" s="141">
        <f>E79*P79</f>
        <v/>
      </c>
      <c r="R79" s="141">
        <f>ROUND(Q79*IF(AND(offer_incoterms="DDP",seller_region="RU"),IF((TODAY()+offer_turnaround_time)&gt;=helpsheet!$L$17,rate_vatRU_from_26,rate_vatRu_till_25),0),2)</f>
        <v/>
      </c>
      <c r="S79" s="177">
        <f>Q79+IF(AND(offer_incoterms="DDP",seller_region="RU"),R79,0)</f>
        <v/>
      </c>
      <c r="T79" s="45" t="n"/>
      <c r="V79" s="57">
        <f>IF(Q79&gt;0,"показать","скрыть")</f>
        <v/>
      </c>
    </row>
    <row r="80" ht="15.75" customHeight="1">
      <c r="B80" s="809" t="n">
        <v>64</v>
      </c>
      <c r="C80" s="182">
        <f>IF(offer_sale_type="транзит",IFERROR(VLOOKUP($B80,calc_data,C$14+1,0),0),0)</f>
        <v/>
      </c>
      <c r="D80" s="280">
        <f>IF(offer_sale_type="транзит",IFERROR(VLOOKUP($B80,calc_data,D$14+1,0),0),0)</f>
        <v/>
      </c>
      <c r="E80" s="182">
        <f>IF(offer_sale_type="транзит",IFERROR(VLOOKUP($B80,calc_data,E$14+1,0),0),0)</f>
        <v/>
      </c>
      <c r="F80" s="182">
        <f>IF(offer_sale_type="транзит",IFERROR(VLOOKUP($B80,calc_data,F$14+1,0),0),0)</f>
        <v/>
      </c>
      <c r="G80" s="141">
        <f>IF(offer_sale_type="транзит",IFERROR(VLOOKUP($B80,calc_data,G$14+1,0),0),0)</f>
        <v/>
      </c>
      <c r="H80" s="141">
        <f>E80*G80</f>
        <v/>
      </c>
      <c r="I80" s="141">
        <f>IF(offer_sale_type="транзит",IFERROR(ROUND(VLOOKUP($B80,calc_data,I$14+1,0),2),0),0)</f>
        <v/>
      </c>
      <c r="J80" s="141">
        <f>ROUND(IF(offer_sale_type="транзит",IFERROR(VLOOKUP($B80,calc_data,J$14+1,0),0),0),2)</f>
        <v/>
      </c>
      <c r="K80" s="142">
        <f>IF(offer_sale_type="транзит",IFERROR(ROUNDUP(VLOOKUP($B80,calc_data,K$14+1,0),2),0),0)</f>
        <v/>
      </c>
      <c r="L80" s="184">
        <f>IF(offer_sale_type="транзит",IFERROR(ROUNDUP(VLOOKUP($B80,calc_data,L$14+1,0),2),0),0)</f>
        <v/>
      </c>
      <c r="M80" s="141">
        <f>IF(offer_sale_type="транзит",IFERROR(ROUNDUP(VLOOKUP($B80,calc_data,M$14+1,0),2),0),0)</f>
        <v/>
      </c>
      <c r="N80" s="141">
        <f>IF(offer_sale_type="транзит",IFERROR(ROUNDUP(VLOOKUP($B80,calc_data,N$14+1,0),2),0),0)</f>
        <v/>
      </c>
      <c r="O80" s="147">
        <f>IF(offer_sale_type="транзит",IFERROR(ROUND(VLOOKUP($B80,calc_data,O$14+1,1),2),0),0)</f>
        <v/>
      </c>
      <c r="P80" s="141">
        <f>IF(offer_sale_type="транзит",IFERROR(ROUND(SUM(I80:J80,M80:O80)/E80,2),0),0)</f>
        <v/>
      </c>
      <c r="Q80" s="141">
        <f>E80*P80</f>
        <v/>
      </c>
      <c r="R80" s="141">
        <f>ROUND(Q80*IF(AND(offer_incoterms="DDP",seller_region="RU"),IF((TODAY()+offer_turnaround_time)&gt;=helpsheet!$L$17,rate_vatRU_from_26,rate_vatRu_till_25),0),2)</f>
        <v/>
      </c>
      <c r="S80" s="177">
        <f>Q80+IF(AND(offer_incoterms="DDP",seller_region="RU"),R80,0)</f>
        <v/>
      </c>
      <c r="T80" s="45" t="n"/>
      <c r="V80" s="57">
        <f>IF(Q80&gt;0,"показать","скрыть")</f>
        <v/>
      </c>
    </row>
    <row r="81" ht="15.75" customHeight="1">
      <c r="B81" s="809" t="n">
        <v>65</v>
      </c>
      <c r="C81" s="182">
        <f>IF(offer_sale_type="транзит",IFERROR(VLOOKUP($B81,calc_data,C$14+1,0),0),0)</f>
        <v/>
      </c>
      <c r="D81" s="280">
        <f>IF(offer_sale_type="транзит",IFERROR(VLOOKUP($B81,calc_data,D$14+1,0),0),0)</f>
        <v/>
      </c>
      <c r="E81" s="182">
        <f>IF(offer_sale_type="транзит",IFERROR(VLOOKUP($B81,calc_data,E$14+1,0),0),0)</f>
        <v/>
      </c>
      <c r="F81" s="182">
        <f>IF(offer_sale_type="транзит",IFERROR(VLOOKUP($B81,calc_data,F$14+1,0),0),0)</f>
        <v/>
      </c>
      <c r="G81" s="141">
        <f>IF(offer_sale_type="транзит",IFERROR(VLOOKUP($B81,calc_data,G$14+1,0),0),0)</f>
        <v/>
      </c>
      <c r="H81" s="141">
        <f>E81*G81</f>
        <v/>
      </c>
      <c r="I81" s="141">
        <f>IF(offer_sale_type="транзит",IFERROR(ROUND(VLOOKUP($B81,calc_data,I$14+1,0),2),0),0)</f>
        <v/>
      </c>
      <c r="J81" s="141">
        <f>ROUND(IF(offer_sale_type="транзит",IFERROR(VLOOKUP($B81,calc_data,J$14+1,0),0),0),2)</f>
        <v/>
      </c>
      <c r="K81" s="142">
        <f>IF(offer_sale_type="транзит",IFERROR(ROUNDUP(VLOOKUP($B81,calc_data,K$14+1,0),2),0),0)</f>
        <v/>
      </c>
      <c r="L81" s="184">
        <f>IF(offer_sale_type="транзит",IFERROR(ROUNDUP(VLOOKUP($B81,calc_data,L$14+1,0),2),0),0)</f>
        <v/>
      </c>
      <c r="M81" s="141">
        <f>IF(offer_sale_type="транзит",IFERROR(ROUNDUP(VLOOKUP($B81,calc_data,M$14+1,0),2),0),0)</f>
        <v/>
      </c>
      <c r="N81" s="141">
        <f>IF(offer_sale_type="транзит",IFERROR(ROUNDUP(VLOOKUP($B81,calc_data,N$14+1,0),2),0),0)</f>
        <v/>
      </c>
      <c r="O81" s="147">
        <f>IF(offer_sale_type="транзит",IFERROR(ROUND(VLOOKUP($B81,calc_data,O$14+1,1),2),0),0)</f>
        <v/>
      </c>
      <c r="P81" s="141">
        <f>IF(offer_sale_type="транзит",IFERROR(ROUND(SUM(I81:J81,M81:O81)/E81,2),0),0)</f>
        <v/>
      </c>
      <c r="Q81" s="141">
        <f>E81*P81</f>
        <v/>
      </c>
      <c r="R81" s="141">
        <f>ROUND(Q81*IF(AND(offer_incoterms="DDP",seller_region="RU"),IF((TODAY()+offer_turnaround_time)&gt;=helpsheet!$L$17,rate_vatRU_from_26,rate_vatRu_till_25),0),2)</f>
        <v/>
      </c>
      <c r="S81" s="177">
        <f>Q81+IF(AND(offer_incoterms="DDP",seller_region="RU"),R81,0)</f>
        <v/>
      </c>
      <c r="T81" s="45" t="n"/>
      <c r="V81" s="57">
        <f>IF(Q81&gt;0,"показать","скрыть")</f>
        <v/>
      </c>
    </row>
    <row r="82" ht="15.75" customHeight="1">
      <c r="B82" s="809" t="n">
        <v>66</v>
      </c>
      <c r="C82" s="182">
        <f>IF(offer_sale_type="транзит",IFERROR(VLOOKUP($B82,calc_data,C$14+1,0),0),0)</f>
        <v/>
      </c>
      <c r="D82" s="280">
        <f>IF(offer_sale_type="транзит",IFERROR(VLOOKUP($B82,calc_data,D$14+1,0),0),0)</f>
        <v/>
      </c>
      <c r="E82" s="182">
        <f>IF(offer_sale_type="транзит",IFERROR(VLOOKUP($B82,calc_data,E$14+1,0),0),0)</f>
        <v/>
      </c>
      <c r="F82" s="182">
        <f>IF(offer_sale_type="транзит",IFERROR(VLOOKUP($B82,calc_data,F$14+1,0),0),0)</f>
        <v/>
      </c>
      <c r="G82" s="141">
        <f>IF(offer_sale_type="транзит",IFERROR(VLOOKUP($B82,calc_data,G$14+1,0),0),0)</f>
        <v/>
      </c>
      <c r="H82" s="141">
        <f>E82*G82</f>
        <v/>
      </c>
      <c r="I82" s="141">
        <f>IF(offer_sale_type="транзит",IFERROR(ROUND(VLOOKUP($B82,calc_data,I$14+1,0),2),0),0)</f>
        <v/>
      </c>
      <c r="J82" s="141">
        <f>ROUND(IF(offer_sale_type="транзит",IFERROR(VLOOKUP($B82,calc_data,J$14+1,0),0),0),2)</f>
        <v/>
      </c>
      <c r="K82" s="142">
        <f>IF(offer_sale_type="транзит",IFERROR(ROUNDUP(VLOOKUP($B82,calc_data,K$14+1,0),2),0),0)</f>
        <v/>
      </c>
      <c r="L82" s="184">
        <f>IF(offer_sale_type="транзит",IFERROR(ROUNDUP(VLOOKUP($B82,calc_data,L$14+1,0),2),0),0)</f>
        <v/>
      </c>
      <c r="M82" s="141">
        <f>IF(offer_sale_type="транзит",IFERROR(ROUNDUP(VLOOKUP($B82,calc_data,M$14+1,0),2),0),0)</f>
        <v/>
      </c>
      <c r="N82" s="141">
        <f>IF(offer_sale_type="транзит",IFERROR(ROUNDUP(VLOOKUP($B82,calc_data,N$14+1,0),2),0),0)</f>
        <v/>
      </c>
      <c r="O82" s="147">
        <f>IF(offer_sale_type="транзит",IFERROR(ROUND(VLOOKUP($B82,calc_data,O$14+1,1),2),0),0)</f>
        <v/>
      </c>
      <c r="P82" s="141">
        <f>IF(offer_sale_type="транзит",IFERROR(ROUND(SUM(I82:J82,M82:O82)/E82,2),0),0)</f>
        <v/>
      </c>
      <c r="Q82" s="141">
        <f>E82*P82</f>
        <v/>
      </c>
      <c r="R82" s="141">
        <f>ROUND(Q82*IF(AND(offer_incoterms="DDP",seller_region="RU"),IF((TODAY()+offer_turnaround_time)&gt;=helpsheet!$L$17,rate_vatRU_from_26,rate_vatRu_till_25),0),2)</f>
        <v/>
      </c>
      <c r="S82" s="177">
        <f>Q82+IF(AND(offer_incoterms="DDP",seller_region="RU"),R82,0)</f>
        <v/>
      </c>
      <c r="T82" s="45" t="n"/>
      <c r="V82" s="57">
        <f>IF(Q82&gt;0,"показать","скрыть")</f>
        <v/>
      </c>
    </row>
    <row r="83" ht="15.75" customHeight="1">
      <c r="B83" s="809" t="n">
        <v>67</v>
      </c>
      <c r="C83" s="182">
        <f>IF(offer_sale_type="транзит",IFERROR(VLOOKUP($B83,calc_data,C$14+1,0),0),0)</f>
        <v/>
      </c>
      <c r="D83" s="280">
        <f>IF(offer_sale_type="транзит",IFERROR(VLOOKUP($B83,calc_data,D$14+1,0),0),0)</f>
        <v/>
      </c>
      <c r="E83" s="182">
        <f>IF(offer_sale_type="транзит",IFERROR(VLOOKUP($B83,calc_data,E$14+1,0),0),0)</f>
        <v/>
      </c>
      <c r="F83" s="182">
        <f>IF(offer_sale_type="транзит",IFERROR(VLOOKUP($B83,calc_data,F$14+1,0),0),0)</f>
        <v/>
      </c>
      <c r="G83" s="141">
        <f>IF(offer_sale_type="транзит",IFERROR(VLOOKUP($B83,calc_data,G$14+1,0),0),0)</f>
        <v/>
      </c>
      <c r="H83" s="141">
        <f>E83*G83</f>
        <v/>
      </c>
      <c r="I83" s="141">
        <f>IF(offer_sale_type="транзит",IFERROR(ROUND(VLOOKUP($B83,calc_data,I$14+1,0),2),0),0)</f>
        <v/>
      </c>
      <c r="J83" s="141">
        <f>ROUND(IF(offer_sale_type="транзит",IFERROR(VLOOKUP($B83,calc_data,J$14+1,0),0),0),2)</f>
        <v/>
      </c>
      <c r="K83" s="142">
        <f>IF(offer_sale_type="транзит",IFERROR(ROUNDUP(VLOOKUP($B83,calc_data,K$14+1,0),2),0),0)</f>
        <v/>
      </c>
      <c r="L83" s="184">
        <f>IF(offer_sale_type="транзит",IFERROR(ROUNDUP(VLOOKUP($B83,calc_data,L$14+1,0),2),0),0)</f>
        <v/>
      </c>
      <c r="M83" s="141">
        <f>IF(offer_sale_type="транзит",IFERROR(ROUNDUP(VLOOKUP($B83,calc_data,M$14+1,0),2),0),0)</f>
        <v/>
      </c>
      <c r="N83" s="141">
        <f>IF(offer_sale_type="транзит",IFERROR(ROUNDUP(VLOOKUP($B83,calc_data,N$14+1,0),2),0),0)</f>
        <v/>
      </c>
      <c r="O83" s="147">
        <f>IF(offer_sale_type="транзит",IFERROR(ROUND(VLOOKUP($B83,calc_data,O$14+1,1),2),0),0)</f>
        <v/>
      </c>
      <c r="P83" s="141">
        <f>IF(offer_sale_type="транзит",IFERROR(ROUND(SUM(I83:J83,M83:O83)/E83,2),0),0)</f>
        <v/>
      </c>
      <c r="Q83" s="141">
        <f>E83*P83</f>
        <v/>
      </c>
      <c r="R83" s="141">
        <f>ROUND(Q83*IF(AND(offer_incoterms="DDP",seller_region="RU"),IF((TODAY()+offer_turnaround_time)&gt;=helpsheet!$L$17,rate_vatRU_from_26,rate_vatRu_till_25),0),2)</f>
        <v/>
      </c>
      <c r="S83" s="177">
        <f>Q83+IF(AND(offer_incoterms="DDP",seller_region="RU"),R83,0)</f>
        <v/>
      </c>
      <c r="T83" s="45" t="n"/>
      <c r="V83" s="57">
        <f>IF(Q83&gt;0,"показать","скрыть")</f>
        <v/>
      </c>
    </row>
    <row r="84" ht="15.75" customHeight="1">
      <c r="B84" s="809" t="n">
        <v>68</v>
      </c>
      <c r="C84" s="182">
        <f>IF(offer_sale_type="транзит",IFERROR(VLOOKUP($B84,calc_data,C$14+1,0),0),0)</f>
        <v/>
      </c>
      <c r="D84" s="280">
        <f>IF(offer_sale_type="транзит",IFERROR(VLOOKUP($B84,calc_data,D$14+1,0),0),0)</f>
        <v/>
      </c>
      <c r="E84" s="182">
        <f>IF(offer_sale_type="транзит",IFERROR(VLOOKUP($B84,calc_data,E$14+1,0),0),0)</f>
        <v/>
      </c>
      <c r="F84" s="182">
        <f>IF(offer_sale_type="транзит",IFERROR(VLOOKUP($B84,calc_data,F$14+1,0),0),0)</f>
        <v/>
      </c>
      <c r="G84" s="141">
        <f>IF(offer_sale_type="транзит",IFERROR(VLOOKUP($B84,calc_data,G$14+1,0),0),0)</f>
        <v/>
      </c>
      <c r="H84" s="141">
        <f>E84*G84</f>
        <v/>
      </c>
      <c r="I84" s="141">
        <f>IF(offer_sale_type="транзит",IFERROR(ROUND(VLOOKUP($B84,calc_data,I$14+1,0),2),0),0)</f>
        <v/>
      </c>
      <c r="J84" s="141">
        <f>ROUND(IF(offer_sale_type="транзит",IFERROR(VLOOKUP($B84,calc_data,J$14+1,0),0),0),2)</f>
        <v/>
      </c>
      <c r="K84" s="142">
        <f>IF(offer_sale_type="транзит",IFERROR(ROUNDUP(VLOOKUP($B84,calc_data,K$14+1,0),2),0),0)</f>
        <v/>
      </c>
      <c r="L84" s="184">
        <f>IF(offer_sale_type="транзит",IFERROR(ROUNDUP(VLOOKUP($B84,calc_data,L$14+1,0),2),0),0)</f>
        <v/>
      </c>
      <c r="M84" s="141">
        <f>IF(offer_sale_type="транзит",IFERROR(ROUNDUP(VLOOKUP($B84,calc_data,M$14+1,0),2),0),0)</f>
        <v/>
      </c>
      <c r="N84" s="141">
        <f>IF(offer_sale_type="транзит",IFERROR(ROUNDUP(VLOOKUP($B84,calc_data,N$14+1,0),2),0),0)</f>
        <v/>
      </c>
      <c r="O84" s="147">
        <f>IF(offer_sale_type="транзит",IFERROR(ROUND(VLOOKUP($B84,calc_data,O$14+1,1),2),0),0)</f>
        <v/>
      </c>
      <c r="P84" s="141">
        <f>IF(offer_sale_type="транзит",IFERROR(ROUND(SUM(I84:J84,M84:O84)/E84,2),0),0)</f>
        <v/>
      </c>
      <c r="Q84" s="141">
        <f>E84*P84</f>
        <v/>
      </c>
      <c r="R84" s="141">
        <f>ROUND(Q84*IF(AND(offer_incoterms="DDP",seller_region="RU"),IF((TODAY()+offer_turnaround_time)&gt;=helpsheet!$L$17,rate_vatRU_from_26,rate_vatRu_till_25),0),2)</f>
        <v/>
      </c>
      <c r="S84" s="177">
        <f>Q84+IF(AND(offer_incoterms="DDP",seller_region="RU"),R84,0)</f>
        <v/>
      </c>
      <c r="T84" s="45" t="n"/>
      <c r="V84" s="57">
        <f>IF(Q84&gt;0,"показать","скрыть")</f>
        <v/>
      </c>
    </row>
    <row r="85" ht="15.75" customHeight="1">
      <c r="B85" s="809" t="n">
        <v>69</v>
      </c>
      <c r="C85" s="182">
        <f>IF(offer_sale_type="транзит",IFERROR(VLOOKUP($B85,calc_data,C$14+1,0),0),0)</f>
        <v/>
      </c>
      <c r="D85" s="280">
        <f>IF(offer_sale_type="транзит",IFERROR(VLOOKUP($B85,calc_data,D$14+1,0),0),0)</f>
        <v/>
      </c>
      <c r="E85" s="182">
        <f>IF(offer_sale_type="транзит",IFERROR(VLOOKUP($B85,calc_data,E$14+1,0),0),0)</f>
        <v/>
      </c>
      <c r="F85" s="182">
        <f>IF(offer_sale_type="транзит",IFERROR(VLOOKUP($B85,calc_data,F$14+1,0),0),0)</f>
        <v/>
      </c>
      <c r="G85" s="141">
        <f>IF(offer_sale_type="транзит",IFERROR(VLOOKUP($B85,calc_data,G$14+1,0),0),0)</f>
        <v/>
      </c>
      <c r="H85" s="141">
        <f>E85*G85</f>
        <v/>
      </c>
      <c r="I85" s="141">
        <f>IF(offer_sale_type="транзит",IFERROR(ROUND(VLOOKUP($B85,calc_data,I$14+1,0),2),0),0)</f>
        <v/>
      </c>
      <c r="J85" s="141">
        <f>ROUND(IF(offer_sale_type="транзит",IFERROR(VLOOKUP($B85,calc_data,J$14+1,0),0),0),2)</f>
        <v/>
      </c>
      <c r="K85" s="142">
        <f>IF(offer_sale_type="транзит",IFERROR(ROUNDUP(VLOOKUP($B85,calc_data,K$14+1,0),2),0),0)</f>
        <v/>
      </c>
      <c r="L85" s="184">
        <f>IF(offer_sale_type="транзит",IFERROR(ROUNDUP(VLOOKUP($B85,calc_data,L$14+1,0),2),0),0)</f>
        <v/>
      </c>
      <c r="M85" s="141">
        <f>IF(offer_sale_type="транзит",IFERROR(ROUNDUP(VLOOKUP($B85,calc_data,M$14+1,0),2),0),0)</f>
        <v/>
      </c>
      <c r="N85" s="141">
        <f>IF(offer_sale_type="транзит",IFERROR(ROUNDUP(VLOOKUP($B85,calc_data,N$14+1,0),2),0),0)</f>
        <v/>
      </c>
      <c r="O85" s="147">
        <f>IF(offer_sale_type="транзит",IFERROR(ROUND(VLOOKUP($B85,calc_data,O$14+1,1),2),0),0)</f>
        <v/>
      </c>
      <c r="P85" s="141">
        <f>IF(offer_sale_type="транзит",IFERROR(ROUND(SUM(I85:J85,M85:O85)/E85,2),0),0)</f>
        <v/>
      </c>
      <c r="Q85" s="141">
        <f>E85*P85</f>
        <v/>
      </c>
      <c r="R85" s="141">
        <f>ROUND(Q85*IF(AND(offer_incoterms="DDP",seller_region="RU"),IF((TODAY()+offer_turnaround_time)&gt;=helpsheet!$L$17,rate_vatRU_from_26,rate_vatRu_till_25),0),2)</f>
        <v/>
      </c>
      <c r="S85" s="177">
        <f>Q85+IF(AND(offer_incoterms="DDP",seller_region="RU"),R85,0)</f>
        <v/>
      </c>
      <c r="T85" s="45" t="n"/>
      <c r="V85" s="57">
        <f>IF(Q85&gt;0,"показать","скрыть")</f>
        <v/>
      </c>
    </row>
    <row r="86" ht="15.75" customHeight="1">
      <c r="B86" s="809" t="n">
        <v>70</v>
      </c>
      <c r="C86" s="182">
        <f>IF(offer_sale_type="транзит",IFERROR(VLOOKUP($B86,calc_data,C$14+1,0),0),0)</f>
        <v/>
      </c>
      <c r="D86" s="280">
        <f>IF(offer_sale_type="транзит",IFERROR(VLOOKUP($B86,calc_data,D$14+1,0),0),0)</f>
        <v/>
      </c>
      <c r="E86" s="182">
        <f>IF(offer_sale_type="транзит",IFERROR(VLOOKUP($B86,calc_data,E$14+1,0),0),0)</f>
        <v/>
      </c>
      <c r="F86" s="182">
        <f>IF(offer_sale_type="транзит",IFERROR(VLOOKUP($B86,calc_data,F$14+1,0),0),0)</f>
        <v/>
      </c>
      <c r="G86" s="141">
        <f>IF(offer_sale_type="транзит",IFERROR(VLOOKUP($B86,calc_data,G$14+1,0),0),0)</f>
        <v/>
      </c>
      <c r="H86" s="141">
        <f>E86*G86</f>
        <v/>
      </c>
      <c r="I86" s="141">
        <f>IF(offer_sale_type="транзит",IFERROR(ROUND(VLOOKUP($B86,calc_data,I$14+1,0),2),0),0)</f>
        <v/>
      </c>
      <c r="J86" s="141">
        <f>ROUND(IF(offer_sale_type="транзит",IFERROR(VLOOKUP($B86,calc_data,J$14+1,0),0),0),2)</f>
        <v/>
      </c>
      <c r="K86" s="142">
        <f>IF(offer_sale_type="транзит",IFERROR(ROUNDUP(VLOOKUP($B86,calc_data,K$14+1,0),2),0),0)</f>
        <v/>
      </c>
      <c r="L86" s="184">
        <f>IF(offer_sale_type="транзит",IFERROR(ROUNDUP(VLOOKUP($B86,calc_data,L$14+1,0),2),0),0)</f>
        <v/>
      </c>
      <c r="M86" s="141">
        <f>IF(offer_sale_type="транзит",IFERROR(ROUNDUP(VLOOKUP($B86,calc_data,M$14+1,0),2),0),0)</f>
        <v/>
      </c>
      <c r="N86" s="141">
        <f>IF(offer_sale_type="транзит",IFERROR(ROUNDUP(VLOOKUP($B86,calc_data,N$14+1,0),2),0),0)</f>
        <v/>
      </c>
      <c r="O86" s="147">
        <f>IF(offer_sale_type="транзит",IFERROR(ROUND(VLOOKUP($B86,calc_data,O$14+1,1),2),0),0)</f>
        <v/>
      </c>
      <c r="P86" s="141">
        <f>IF(offer_sale_type="транзит",IFERROR(ROUND(SUM(I86:J86,M86:O86)/E86,2),0),0)</f>
        <v/>
      </c>
      <c r="Q86" s="141">
        <f>E86*P86</f>
        <v/>
      </c>
      <c r="R86" s="141">
        <f>ROUND(Q86*IF(AND(offer_incoterms="DDP",seller_region="RU"),IF((TODAY()+offer_turnaround_time)&gt;=helpsheet!$L$17,rate_vatRU_from_26,rate_vatRu_till_25),0),2)</f>
        <v/>
      </c>
      <c r="S86" s="177">
        <f>Q86+IF(AND(offer_incoterms="DDP",seller_region="RU"),R86,0)</f>
        <v/>
      </c>
      <c r="T86" s="45" t="n"/>
      <c r="V86" s="57">
        <f>IF(Q86&gt;0,"показать","скрыть")</f>
        <v/>
      </c>
    </row>
    <row r="87" ht="15.75" customHeight="1">
      <c r="B87" s="809" t="n">
        <v>71</v>
      </c>
      <c r="C87" s="182">
        <f>IF(offer_sale_type="транзит",IFERROR(VLOOKUP($B87,calc_data,C$14+1,0),0),0)</f>
        <v/>
      </c>
      <c r="D87" s="280">
        <f>IF(offer_sale_type="транзит",IFERROR(VLOOKUP($B87,calc_data,D$14+1,0),0),0)</f>
        <v/>
      </c>
      <c r="E87" s="182">
        <f>IF(offer_sale_type="транзит",IFERROR(VLOOKUP($B87,calc_data,E$14+1,0),0),0)</f>
        <v/>
      </c>
      <c r="F87" s="182">
        <f>IF(offer_sale_type="транзит",IFERROR(VLOOKUP($B87,calc_data,F$14+1,0),0),0)</f>
        <v/>
      </c>
      <c r="G87" s="141">
        <f>IF(offer_sale_type="транзит",IFERROR(VLOOKUP($B87,calc_data,G$14+1,0),0),0)</f>
        <v/>
      </c>
      <c r="H87" s="141">
        <f>E87*G87</f>
        <v/>
      </c>
      <c r="I87" s="141">
        <f>IF(offer_sale_type="транзит",IFERROR(ROUND(VLOOKUP($B87,calc_data,I$14+1,0),2),0),0)</f>
        <v/>
      </c>
      <c r="J87" s="141">
        <f>ROUND(IF(offer_sale_type="транзит",IFERROR(VLOOKUP($B87,calc_data,J$14+1,0),0),0),2)</f>
        <v/>
      </c>
      <c r="K87" s="142">
        <f>IF(offer_sale_type="транзит",IFERROR(ROUNDUP(VLOOKUP($B87,calc_data,K$14+1,0),2),0),0)</f>
        <v/>
      </c>
      <c r="L87" s="184">
        <f>IF(offer_sale_type="транзит",IFERROR(ROUNDUP(VLOOKUP($B87,calc_data,L$14+1,0),2),0),0)</f>
        <v/>
      </c>
      <c r="M87" s="141">
        <f>IF(offer_sale_type="транзит",IFERROR(ROUNDUP(VLOOKUP($B87,calc_data,M$14+1,0),2),0),0)</f>
        <v/>
      </c>
      <c r="N87" s="141">
        <f>IF(offer_sale_type="транзит",IFERROR(ROUNDUP(VLOOKUP($B87,calc_data,N$14+1,0),2),0),0)</f>
        <v/>
      </c>
      <c r="O87" s="147">
        <f>IF(offer_sale_type="транзит",IFERROR(ROUND(VLOOKUP($B87,calc_data,O$14+1,1),2),0),0)</f>
        <v/>
      </c>
      <c r="P87" s="141">
        <f>IF(offer_sale_type="транзит",IFERROR(ROUND(SUM(I87:J87,M87:O87)/E87,2),0),0)</f>
        <v/>
      </c>
      <c r="Q87" s="141">
        <f>E87*P87</f>
        <v/>
      </c>
      <c r="R87" s="141">
        <f>ROUND(Q87*IF(AND(offer_incoterms="DDP",seller_region="RU"),IF((TODAY()+offer_turnaround_time)&gt;=helpsheet!$L$17,rate_vatRU_from_26,rate_vatRu_till_25),0),2)</f>
        <v/>
      </c>
      <c r="S87" s="177">
        <f>Q87+IF(AND(offer_incoterms="DDP",seller_region="RU"),R87,0)</f>
        <v/>
      </c>
      <c r="T87" s="45" t="n"/>
      <c r="V87" s="57">
        <f>IF(Q87&gt;0,"показать","скрыть")</f>
        <v/>
      </c>
    </row>
    <row r="88" ht="15.75" customHeight="1">
      <c r="B88" s="809" t="n">
        <v>72</v>
      </c>
      <c r="C88" s="182">
        <f>IF(offer_sale_type="транзит",IFERROR(VLOOKUP($B88,calc_data,C$14+1,0),0),0)</f>
        <v/>
      </c>
      <c r="D88" s="280">
        <f>IF(offer_sale_type="транзит",IFERROR(VLOOKUP($B88,calc_data,D$14+1,0),0),0)</f>
        <v/>
      </c>
      <c r="E88" s="182">
        <f>IF(offer_sale_type="транзит",IFERROR(VLOOKUP($B88,calc_data,E$14+1,0),0),0)</f>
        <v/>
      </c>
      <c r="F88" s="182">
        <f>IF(offer_sale_type="транзит",IFERROR(VLOOKUP($B88,calc_data,F$14+1,0),0),0)</f>
        <v/>
      </c>
      <c r="G88" s="141">
        <f>IF(offer_sale_type="транзит",IFERROR(VLOOKUP($B88,calc_data,G$14+1,0),0),0)</f>
        <v/>
      </c>
      <c r="H88" s="141">
        <f>E88*G88</f>
        <v/>
      </c>
      <c r="I88" s="141">
        <f>IF(offer_sale_type="транзит",IFERROR(ROUND(VLOOKUP($B88,calc_data,I$14+1,0),2),0),0)</f>
        <v/>
      </c>
      <c r="J88" s="141">
        <f>ROUND(IF(offer_sale_type="транзит",IFERROR(VLOOKUP($B88,calc_data,J$14+1,0),0),0),2)</f>
        <v/>
      </c>
      <c r="K88" s="142">
        <f>IF(offer_sale_type="транзит",IFERROR(ROUNDUP(VLOOKUP($B88,calc_data,K$14+1,0),2),0),0)</f>
        <v/>
      </c>
      <c r="L88" s="184">
        <f>IF(offer_sale_type="транзит",IFERROR(ROUNDUP(VLOOKUP($B88,calc_data,L$14+1,0),2),0),0)</f>
        <v/>
      </c>
      <c r="M88" s="141">
        <f>IF(offer_sale_type="транзит",IFERROR(ROUNDUP(VLOOKUP($B88,calc_data,M$14+1,0),2),0),0)</f>
        <v/>
      </c>
      <c r="N88" s="141">
        <f>IF(offer_sale_type="транзит",IFERROR(ROUNDUP(VLOOKUP($B88,calc_data,N$14+1,0),2),0),0)</f>
        <v/>
      </c>
      <c r="O88" s="147">
        <f>IF(offer_sale_type="транзит",IFERROR(ROUND(VLOOKUP($B88,calc_data,O$14+1,1),2),0),0)</f>
        <v/>
      </c>
      <c r="P88" s="141">
        <f>IF(offer_sale_type="транзит",IFERROR(ROUND(SUM(I88:J88,M88:O88)/E88,2),0),0)</f>
        <v/>
      </c>
      <c r="Q88" s="141">
        <f>E88*P88</f>
        <v/>
      </c>
      <c r="R88" s="141">
        <f>ROUND(Q88*IF(AND(offer_incoterms="DDP",seller_region="RU"),IF((TODAY()+offer_turnaround_time)&gt;=helpsheet!$L$17,rate_vatRU_from_26,rate_vatRu_till_25),0),2)</f>
        <v/>
      </c>
      <c r="S88" s="177">
        <f>Q88+IF(AND(offer_incoterms="DDP",seller_region="RU"),R88,0)</f>
        <v/>
      </c>
      <c r="T88" s="45" t="n"/>
      <c r="V88" s="57">
        <f>IF(Q88&gt;0,"показать","скрыть")</f>
        <v/>
      </c>
    </row>
    <row r="89" ht="15.75" customHeight="1">
      <c r="B89" s="809" t="n">
        <v>73</v>
      </c>
      <c r="C89" s="182">
        <f>IF(offer_sale_type="транзит",IFERROR(VLOOKUP($B89,calc_data,C$14+1,0),0),0)</f>
        <v/>
      </c>
      <c r="D89" s="280">
        <f>IF(offer_sale_type="транзит",IFERROR(VLOOKUP($B89,calc_data,D$14+1,0),0),0)</f>
        <v/>
      </c>
      <c r="E89" s="182">
        <f>IF(offer_sale_type="транзит",IFERROR(VLOOKUP($B89,calc_data,E$14+1,0),0),0)</f>
        <v/>
      </c>
      <c r="F89" s="182">
        <f>IF(offer_sale_type="транзит",IFERROR(VLOOKUP($B89,calc_data,F$14+1,0),0),0)</f>
        <v/>
      </c>
      <c r="G89" s="141">
        <f>IF(offer_sale_type="транзит",IFERROR(VLOOKUP($B89,calc_data,G$14+1,0),0),0)</f>
        <v/>
      </c>
      <c r="H89" s="141">
        <f>E89*G89</f>
        <v/>
      </c>
      <c r="I89" s="141">
        <f>IF(offer_sale_type="транзит",IFERROR(ROUND(VLOOKUP($B89,calc_data,I$14+1,0),2),0),0)</f>
        <v/>
      </c>
      <c r="J89" s="141">
        <f>ROUND(IF(offer_sale_type="транзит",IFERROR(VLOOKUP($B89,calc_data,J$14+1,0),0),0),2)</f>
        <v/>
      </c>
      <c r="K89" s="142">
        <f>IF(offer_sale_type="транзит",IFERROR(ROUNDUP(VLOOKUP($B89,calc_data,K$14+1,0),2),0),0)</f>
        <v/>
      </c>
      <c r="L89" s="184">
        <f>IF(offer_sale_type="транзит",IFERROR(ROUNDUP(VLOOKUP($B89,calc_data,L$14+1,0),2),0),0)</f>
        <v/>
      </c>
      <c r="M89" s="141">
        <f>IF(offer_sale_type="транзит",IFERROR(ROUNDUP(VLOOKUP($B89,calc_data,M$14+1,0),2),0),0)</f>
        <v/>
      </c>
      <c r="N89" s="141">
        <f>IF(offer_sale_type="транзит",IFERROR(ROUNDUP(VLOOKUP($B89,calc_data,N$14+1,0),2),0),0)</f>
        <v/>
      </c>
      <c r="O89" s="147">
        <f>IF(offer_sale_type="транзит",IFERROR(ROUND(VLOOKUP($B89,calc_data,O$14+1,1),2),0),0)</f>
        <v/>
      </c>
      <c r="P89" s="141">
        <f>IF(offer_sale_type="транзит",IFERROR(ROUND(SUM(I89:J89,M89:O89)/E89,2),0),0)</f>
        <v/>
      </c>
      <c r="Q89" s="141">
        <f>E89*P89</f>
        <v/>
      </c>
      <c r="R89" s="141">
        <f>ROUND(Q89*IF(AND(offer_incoterms="DDP",seller_region="RU"),IF((TODAY()+offer_turnaround_time)&gt;=helpsheet!$L$17,rate_vatRU_from_26,rate_vatRu_till_25),0),2)</f>
        <v/>
      </c>
      <c r="S89" s="177">
        <f>Q89+IF(AND(offer_incoterms="DDP",seller_region="RU"),R89,0)</f>
        <v/>
      </c>
      <c r="T89" s="45" t="n"/>
      <c r="V89" s="57">
        <f>IF(Q89&gt;0,"показать","скрыть")</f>
        <v/>
      </c>
    </row>
    <row r="90" ht="15.75" customHeight="1">
      <c r="B90" s="809" t="n">
        <v>74</v>
      </c>
      <c r="C90" s="182">
        <f>IF(offer_sale_type="транзит",IFERROR(VLOOKUP($B90,calc_data,C$14+1,0),0),0)</f>
        <v/>
      </c>
      <c r="D90" s="280">
        <f>IF(offer_sale_type="транзит",IFERROR(VLOOKUP($B90,calc_data,D$14+1,0),0),0)</f>
        <v/>
      </c>
      <c r="E90" s="182">
        <f>IF(offer_sale_type="транзит",IFERROR(VLOOKUP($B90,calc_data,E$14+1,0),0),0)</f>
        <v/>
      </c>
      <c r="F90" s="182">
        <f>IF(offer_sale_type="транзит",IFERROR(VLOOKUP($B90,calc_data,F$14+1,0),0),0)</f>
        <v/>
      </c>
      <c r="G90" s="141">
        <f>IF(offer_sale_type="транзит",IFERROR(VLOOKUP($B90,calc_data,G$14+1,0),0),0)</f>
        <v/>
      </c>
      <c r="H90" s="141">
        <f>E90*G90</f>
        <v/>
      </c>
      <c r="I90" s="141">
        <f>IF(offer_sale_type="транзит",IFERROR(ROUND(VLOOKUP($B90,calc_data,I$14+1,0),2),0),0)</f>
        <v/>
      </c>
      <c r="J90" s="141">
        <f>ROUND(IF(offer_sale_type="транзит",IFERROR(VLOOKUP($B90,calc_data,J$14+1,0),0),0),2)</f>
        <v/>
      </c>
      <c r="K90" s="142">
        <f>IF(offer_sale_type="транзит",IFERROR(ROUNDUP(VLOOKUP($B90,calc_data,K$14+1,0),2),0),0)</f>
        <v/>
      </c>
      <c r="L90" s="184">
        <f>IF(offer_sale_type="транзит",IFERROR(ROUNDUP(VLOOKUP($B90,calc_data,L$14+1,0),2),0),0)</f>
        <v/>
      </c>
      <c r="M90" s="141">
        <f>IF(offer_sale_type="транзит",IFERROR(ROUNDUP(VLOOKUP($B90,calc_data,M$14+1,0),2),0),0)</f>
        <v/>
      </c>
      <c r="N90" s="141">
        <f>IF(offer_sale_type="транзит",IFERROR(ROUNDUP(VLOOKUP($B90,calc_data,N$14+1,0),2),0),0)</f>
        <v/>
      </c>
      <c r="O90" s="147">
        <f>IF(offer_sale_type="транзит",IFERROR(ROUND(VLOOKUP($B90,calc_data,O$14+1,1),2),0),0)</f>
        <v/>
      </c>
      <c r="P90" s="141">
        <f>IF(offer_sale_type="транзит",IFERROR(ROUND(SUM(I90:J90,M90:O90)/E90,2),0),0)</f>
        <v/>
      </c>
      <c r="Q90" s="141">
        <f>E90*P90</f>
        <v/>
      </c>
      <c r="R90" s="141">
        <f>ROUND(Q90*IF(AND(offer_incoterms="DDP",seller_region="RU"),IF((TODAY()+offer_turnaround_time)&gt;=helpsheet!$L$17,rate_vatRU_from_26,rate_vatRu_till_25),0),2)</f>
        <v/>
      </c>
      <c r="S90" s="177">
        <f>Q90+IF(AND(offer_incoterms="DDP",seller_region="RU"),R90,0)</f>
        <v/>
      </c>
      <c r="T90" s="45" t="n"/>
      <c r="V90" s="57">
        <f>IF(Q90&gt;0,"показать","скрыть")</f>
        <v/>
      </c>
    </row>
    <row r="91" ht="15.75" customHeight="1">
      <c r="B91" s="809" t="n">
        <v>75</v>
      </c>
      <c r="C91" s="182">
        <f>IF(offer_sale_type="транзит",IFERROR(VLOOKUP($B91,calc_data,C$14+1,0),0),0)</f>
        <v/>
      </c>
      <c r="D91" s="280">
        <f>IF(offer_sale_type="транзит",IFERROR(VLOOKUP($B91,calc_data,D$14+1,0),0),0)</f>
        <v/>
      </c>
      <c r="E91" s="182">
        <f>IF(offer_sale_type="транзит",IFERROR(VLOOKUP($B91,calc_data,E$14+1,0),0),0)</f>
        <v/>
      </c>
      <c r="F91" s="182">
        <f>IF(offer_sale_type="транзит",IFERROR(VLOOKUP($B91,calc_data,F$14+1,0),0),0)</f>
        <v/>
      </c>
      <c r="G91" s="141">
        <f>IF(offer_sale_type="транзит",IFERROR(VLOOKUP($B91,calc_data,G$14+1,0),0),0)</f>
        <v/>
      </c>
      <c r="H91" s="141">
        <f>E91*G91</f>
        <v/>
      </c>
      <c r="I91" s="141">
        <f>IF(offer_sale_type="транзит",IFERROR(ROUND(VLOOKUP($B91,calc_data,I$14+1,0),2),0),0)</f>
        <v/>
      </c>
      <c r="J91" s="141">
        <f>ROUND(IF(offer_sale_type="транзит",IFERROR(VLOOKUP($B91,calc_data,J$14+1,0),0),0),2)</f>
        <v/>
      </c>
      <c r="K91" s="142">
        <f>IF(offer_sale_type="транзит",IFERROR(ROUNDUP(VLOOKUP($B91,calc_data,K$14+1,0),2),0),0)</f>
        <v/>
      </c>
      <c r="L91" s="184">
        <f>IF(offer_sale_type="транзит",IFERROR(ROUNDUP(VLOOKUP($B91,calc_data,L$14+1,0),2),0),0)</f>
        <v/>
      </c>
      <c r="M91" s="141">
        <f>IF(offer_sale_type="транзит",IFERROR(ROUNDUP(VLOOKUP($B91,calc_data,M$14+1,0),2),0),0)</f>
        <v/>
      </c>
      <c r="N91" s="141">
        <f>IF(offer_sale_type="транзит",IFERROR(ROUNDUP(VLOOKUP($B91,calc_data,N$14+1,0),2),0),0)</f>
        <v/>
      </c>
      <c r="O91" s="147">
        <f>IF(offer_sale_type="транзит",IFERROR(ROUND(VLOOKUP($B91,calc_data,O$14+1,1),2),0),0)</f>
        <v/>
      </c>
      <c r="P91" s="141">
        <f>IF(offer_sale_type="транзит",IFERROR(ROUND(SUM(I91:J91,M91:O91)/E91,2),0),0)</f>
        <v/>
      </c>
      <c r="Q91" s="141">
        <f>E91*P91</f>
        <v/>
      </c>
      <c r="R91" s="141">
        <f>ROUND(Q91*IF(AND(offer_incoterms="DDP",seller_region="RU"),IF((TODAY()+offer_turnaround_time)&gt;=helpsheet!$L$17,rate_vatRU_from_26,rate_vatRu_till_25),0),2)</f>
        <v/>
      </c>
      <c r="S91" s="177">
        <f>Q91+IF(AND(offer_incoterms="DDP",seller_region="RU"),R91,0)</f>
        <v/>
      </c>
      <c r="T91" s="45" t="n"/>
      <c r="V91" s="57">
        <f>IF(Q91&gt;0,"показать","скрыть")</f>
        <v/>
      </c>
    </row>
    <row r="92" ht="15.75" customHeight="1">
      <c r="B92" s="809" t="n">
        <v>76</v>
      </c>
      <c r="C92" s="182">
        <f>IF(offer_sale_type="транзит",IFERROR(VLOOKUP($B92,calc_data,C$14+1,0),0),0)</f>
        <v/>
      </c>
      <c r="D92" s="280">
        <f>IF(offer_sale_type="транзит",IFERROR(VLOOKUP($B92,calc_data,D$14+1,0),0),0)</f>
        <v/>
      </c>
      <c r="E92" s="182">
        <f>IF(offer_sale_type="транзит",IFERROR(VLOOKUP($B92,calc_data,E$14+1,0),0),0)</f>
        <v/>
      </c>
      <c r="F92" s="182">
        <f>IF(offer_sale_type="транзит",IFERROR(VLOOKUP($B92,calc_data,F$14+1,0),0),0)</f>
        <v/>
      </c>
      <c r="G92" s="141">
        <f>IF(offer_sale_type="транзит",IFERROR(VLOOKUP($B92,calc_data,G$14+1,0),0),0)</f>
        <v/>
      </c>
      <c r="H92" s="141">
        <f>E92*G92</f>
        <v/>
      </c>
      <c r="I92" s="141">
        <f>IF(offer_sale_type="транзит",IFERROR(ROUND(VLOOKUP($B92,calc_data,I$14+1,0),2),0),0)</f>
        <v/>
      </c>
      <c r="J92" s="141">
        <f>ROUND(IF(offer_sale_type="транзит",IFERROR(VLOOKUP($B92,calc_data,J$14+1,0),0),0),2)</f>
        <v/>
      </c>
      <c r="K92" s="142">
        <f>IF(offer_sale_type="транзит",IFERROR(ROUNDUP(VLOOKUP($B92,calc_data,K$14+1,0),2),0),0)</f>
        <v/>
      </c>
      <c r="L92" s="184">
        <f>IF(offer_sale_type="транзит",IFERROR(ROUNDUP(VLOOKUP($B92,calc_data,L$14+1,0),2),0),0)</f>
        <v/>
      </c>
      <c r="M92" s="141">
        <f>IF(offer_sale_type="транзит",IFERROR(ROUNDUP(VLOOKUP($B92,calc_data,M$14+1,0),2),0),0)</f>
        <v/>
      </c>
      <c r="N92" s="141">
        <f>IF(offer_sale_type="транзит",IFERROR(ROUNDUP(VLOOKUP($B92,calc_data,N$14+1,0),2),0),0)</f>
        <v/>
      </c>
      <c r="O92" s="147">
        <f>IF(offer_sale_type="транзит",IFERROR(ROUND(VLOOKUP($B92,calc_data,O$14+1,1),2),0),0)</f>
        <v/>
      </c>
      <c r="P92" s="141">
        <f>IF(offer_sale_type="транзит",IFERROR(ROUND(SUM(I92:J92,M92:O92)/E92,2),0),0)</f>
        <v/>
      </c>
      <c r="Q92" s="141">
        <f>E92*P92</f>
        <v/>
      </c>
      <c r="R92" s="141">
        <f>ROUND(Q92*IF(AND(offer_incoterms="DDP",seller_region="RU"),IF((TODAY()+offer_turnaround_time)&gt;=helpsheet!$L$17,rate_vatRU_from_26,rate_vatRu_till_25),0),2)</f>
        <v/>
      </c>
      <c r="S92" s="177">
        <f>Q92+IF(AND(offer_incoterms="DDP",seller_region="RU"),R92,0)</f>
        <v/>
      </c>
      <c r="T92" s="45" t="n"/>
      <c r="V92" s="57">
        <f>IF(Q92&gt;0,"показать","скрыть")</f>
        <v/>
      </c>
    </row>
    <row r="93" ht="15.75" customHeight="1">
      <c r="B93" s="809" t="n">
        <v>77</v>
      </c>
      <c r="C93" s="182">
        <f>IF(offer_sale_type="транзит",IFERROR(VLOOKUP($B93,calc_data,C$14+1,0),0),0)</f>
        <v/>
      </c>
      <c r="D93" s="280">
        <f>IF(offer_sale_type="транзит",IFERROR(VLOOKUP($B93,calc_data,D$14+1,0),0),0)</f>
        <v/>
      </c>
      <c r="E93" s="182">
        <f>IF(offer_sale_type="транзит",IFERROR(VLOOKUP($B93,calc_data,E$14+1,0),0),0)</f>
        <v/>
      </c>
      <c r="F93" s="182">
        <f>IF(offer_sale_type="транзит",IFERROR(VLOOKUP($B93,calc_data,F$14+1,0),0),0)</f>
        <v/>
      </c>
      <c r="G93" s="141">
        <f>IF(offer_sale_type="транзит",IFERROR(VLOOKUP($B93,calc_data,G$14+1,0),0),0)</f>
        <v/>
      </c>
      <c r="H93" s="141">
        <f>E93*G93</f>
        <v/>
      </c>
      <c r="I93" s="141">
        <f>IF(offer_sale_type="транзит",IFERROR(ROUND(VLOOKUP($B93,calc_data,I$14+1,0),2),0),0)</f>
        <v/>
      </c>
      <c r="J93" s="141">
        <f>ROUND(IF(offer_sale_type="транзит",IFERROR(VLOOKUP($B93,calc_data,J$14+1,0),0),0),2)</f>
        <v/>
      </c>
      <c r="K93" s="142">
        <f>IF(offer_sale_type="транзит",IFERROR(ROUNDUP(VLOOKUP($B93,calc_data,K$14+1,0),2),0),0)</f>
        <v/>
      </c>
      <c r="L93" s="184">
        <f>IF(offer_sale_type="транзит",IFERROR(ROUNDUP(VLOOKUP($B93,calc_data,L$14+1,0),2),0),0)</f>
        <v/>
      </c>
      <c r="M93" s="141">
        <f>IF(offer_sale_type="транзит",IFERROR(ROUNDUP(VLOOKUP($B93,calc_data,M$14+1,0),2),0),0)</f>
        <v/>
      </c>
      <c r="N93" s="141">
        <f>IF(offer_sale_type="транзит",IFERROR(ROUNDUP(VLOOKUP($B93,calc_data,N$14+1,0),2),0),0)</f>
        <v/>
      </c>
      <c r="O93" s="147">
        <f>IF(offer_sale_type="транзит",IFERROR(ROUND(VLOOKUP($B93,calc_data,O$14+1,1),2),0),0)</f>
        <v/>
      </c>
      <c r="P93" s="141">
        <f>IF(offer_sale_type="транзит",IFERROR(ROUND(SUM(I93:J93,M93:O93)/E93,2),0),0)</f>
        <v/>
      </c>
      <c r="Q93" s="141">
        <f>E93*P93</f>
        <v/>
      </c>
      <c r="R93" s="141">
        <f>ROUND(Q93*IF(AND(offer_incoterms="DDP",seller_region="RU"),IF((TODAY()+offer_turnaround_time)&gt;=helpsheet!$L$17,rate_vatRU_from_26,rate_vatRu_till_25),0),2)</f>
        <v/>
      </c>
      <c r="S93" s="177">
        <f>Q93+IF(AND(offer_incoterms="DDP",seller_region="RU"),R93,0)</f>
        <v/>
      </c>
      <c r="T93" s="45" t="n"/>
      <c r="V93" s="57">
        <f>IF(Q93&gt;0,"показать","скрыть")</f>
        <v/>
      </c>
    </row>
    <row r="94" ht="15.75" customHeight="1">
      <c r="B94" s="809" t="n">
        <v>78</v>
      </c>
      <c r="C94" s="182">
        <f>IF(offer_sale_type="транзит",IFERROR(VLOOKUP($B94,calc_data,C$14+1,0),0),0)</f>
        <v/>
      </c>
      <c r="D94" s="280">
        <f>IF(offer_sale_type="транзит",IFERROR(VLOOKUP($B94,calc_data,D$14+1,0),0),0)</f>
        <v/>
      </c>
      <c r="E94" s="182">
        <f>IF(offer_sale_type="транзит",IFERROR(VLOOKUP($B94,calc_data,E$14+1,0),0),0)</f>
        <v/>
      </c>
      <c r="F94" s="182">
        <f>IF(offer_sale_type="транзит",IFERROR(VLOOKUP($B94,calc_data,F$14+1,0),0),0)</f>
        <v/>
      </c>
      <c r="G94" s="141">
        <f>IF(offer_sale_type="транзит",IFERROR(VLOOKUP($B94,calc_data,G$14+1,0),0),0)</f>
        <v/>
      </c>
      <c r="H94" s="141">
        <f>E94*G94</f>
        <v/>
      </c>
      <c r="I94" s="141">
        <f>IF(offer_sale_type="транзит",IFERROR(ROUND(VLOOKUP($B94,calc_data,I$14+1,0),2),0),0)</f>
        <v/>
      </c>
      <c r="J94" s="141">
        <f>ROUND(IF(offer_sale_type="транзит",IFERROR(VLOOKUP($B94,calc_data,J$14+1,0),0),0),2)</f>
        <v/>
      </c>
      <c r="K94" s="142">
        <f>IF(offer_sale_type="транзит",IFERROR(ROUNDUP(VLOOKUP($B94,calc_data,K$14+1,0),2),0),0)</f>
        <v/>
      </c>
      <c r="L94" s="184">
        <f>IF(offer_sale_type="транзит",IFERROR(ROUNDUP(VLOOKUP($B94,calc_data,L$14+1,0),2),0),0)</f>
        <v/>
      </c>
      <c r="M94" s="141">
        <f>IF(offer_sale_type="транзит",IFERROR(ROUNDUP(VLOOKUP($B94,calc_data,M$14+1,0),2),0),0)</f>
        <v/>
      </c>
      <c r="N94" s="141">
        <f>IF(offer_sale_type="транзит",IFERROR(ROUNDUP(VLOOKUP($B94,calc_data,N$14+1,0),2),0),0)</f>
        <v/>
      </c>
      <c r="O94" s="147">
        <f>IF(offer_sale_type="транзит",IFERROR(ROUND(VLOOKUP($B94,calc_data,O$14+1,1),2),0),0)</f>
        <v/>
      </c>
      <c r="P94" s="141">
        <f>IF(offer_sale_type="транзит",IFERROR(ROUND(SUM(I94:J94,M94:O94)/E94,2),0),0)</f>
        <v/>
      </c>
      <c r="Q94" s="141">
        <f>E94*P94</f>
        <v/>
      </c>
      <c r="R94" s="141">
        <f>ROUND(Q94*IF(AND(offer_incoterms="DDP",seller_region="RU"),IF((TODAY()+offer_turnaround_time)&gt;=helpsheet!$L$17,rate_vatRU_from_26,rate_vatRu_till_25),0),2)</f>
        <v/>
      </c>
      <c r="S94" s="177">
        <f>Q94+IF(AND(offer_incoterms="DDP",seller_region="RU"),R94,0)</f>
        <v/>
      </c>
      <c r="T94" s="45" t="n"/>
      <c r="V94" s="57">
        <f>IF(Q94&gt;0,"показать","скрыть")</f>
        <v/>
      </c>
    </row>
    <row r="95" ht="15.75" customHeight="1">
      <c r="B95" s="809" t="n">
        <v>79</v>
      </c>
      <c r="C95" s="182">
        <f>IF(offer_sale_type="транзит",IFERROR(VLOOKUP($B95,calc_data,C$14+1,0),0),0)</f>
        <v/>
      </c>
      <c r="D95" s="280">
        <f>IF(offer_sale_type="транзит",IFERROR(VLOOKUP($B95,calc_data,D$14+1,0),0),0)</f>
        <v/>
      </c>
      <c r="E95" s="182">
        <f>IF(offer_sale_type="транзит",IFERROR(VLOOKUP($B95,calc_data,E$14+1,0),0),0)</f>
        <v/>
      </c>
      <c r="F95" s="182">
        <f>IF(offer_sale_type="транзит",IFERROR(VLOOKUP($B95,calc_data,F$14+1,0),0),0)</f>
        <v/>
      </c>
      <c r="G95" s="141">
        <f>IF(offer_sale_type="транзит",IFERROR(VLOOKUP($B95,calc_data,G$14+1,0),0),0)</f>
        <v/>
      </c>
      <c r="H95" s="141">
        <f>E95*G95</f>
        <v/>
      </c>
      <c r="I95" s="141">
        <f>IF(offer_sale_type="транзит",IFERROR(ROUND(VLOOKUP($B95,calc_data,I$14+1,0),2),0),0)</f>
        <v/>
      </c>
      <c r="J95" s="141">
        <f>ROUND(IF(offer_sale_type="транзит",IFERROR(VLOOKUP($B95,calc_data,J$14+1,0),0),0),2)</f>
        <v/>
      </c>
      <c r="K95" s="142">
        <f>IF(offer_sale_type="транзит",IFERROR(ROUNDUP(VLOOKUP($B95,calc_data,K$14+1,0),2),0),0)</f>
        <v/>
      </c>
      <c r="L95" s="184">
        <f>IF(offer_sale_type="транзит",IFERROR(ROUNDUP(VLOOKUP($B95,calc_data,L$14+1,0),2),0),0)</f>
        <v/>
      </c>
      <c r="M95" s="141">
        <f>IF(offer_sale_type="транзит",IFERROR(ROUNDUP(VLOOKUP($B95,calc_data,M$14+1,0),2),0),0)</f>
        <v/>
      </c>
      <c r="N95" s="141">
        <f>IF(offer_sale_type="транзит",IFERROR(ROUNDUP(VLOOKUP($B95,calc_data,N$14+1,0),2),0),0)</f>
        <v/>
      </c>
      <c r="O95" s="147">
        <f>IF(offer_sale_type="транзит",IFERROR(ROUND(VLOOKUP($B95,calc_data,O$14+1,1),2),0),0)</f>
        <v/>
      </c>
      <c r="P95" s="141">
        <f>IF(offer_sale_type="транзит",IFERROR(ROUND(SUM(I95:J95,M95:O95)/E95,2),0),0)</f>
        <v/>
      </c>
      <c r="Q95" s="141">
        <f>E95*P95</f>
        <v/>
      </c>
      <c r="R95" s="141">
        <f>ROUND(Q95*IF(AND(offer_incoterms="DDP",seller_region="RU"),IF((TODAY()+offer_turnaround_time)&gt;=helpsheet!$L$17,rate_vatRU_from_26,rate_vatRu_till_25),0),2)</f>
        <v/>
      </c>
      <c r="S95" s="177">
        <f>Q95+IF(AND(offer_incoterms="DDP",seller_region="RU"),R95,0)</f>
        <v/>
      </c>
      <c r="T95" s="45" t="n"/>
      <c r="V95" s="57">
        <f>IF(Q95&gt;0,"показать","скрыть")</f>
        <v/>
      </c>
    </row>
    <row r="96" ht="15.75" customHeight="1">
      <c r="B96" s="809" t="n">
        <v>80</v>
      </c>
      <c r="C96" s="182">
        <f>IF(offer_sale_type="транзит",IFERROR(VLOOKUP($B96,calc_data,C$14+1,0),0),0)</f>
        <v/>
      </c>
      <c r="D96" s="280">
        <f>IF(offer_sale_type="транзит",IFERROR(VLOOKUP($B96,calc_data,D$14+1,0),0),0)</f>
        <v/>
      </c>
      <c r="E96" s="182">
        <f>IF(offer_sale_type="транзит",IFERROR(VLOOKUP($B96,calc_data,E$14+1,0),0),0)</f>
        <v/>
      </c>
      <c r="F96" s="182">
        <f>IF(offer_sale_type="транзит",IFERROR(VLOOKUP($B96,calc_data,F$14+1,0),0),0)</f>
        <v/>
      </c>
      <c r="G96" s="141">
        <f>IF(offer_sale_type="транзит",IFERROR(VLOOKUP($B96,calc_data,G$14+1,0),0),0)</f>
        <v/>
      </c>
      <c r="H96" s="141">
        <f>E96*G96</f>
        <v/>
      </c>
      <c r="I96" s="141">
        <f>IF(offer_sale_type="транзит",IFERROR(ROUND(VLOOKUP($B96,calc_data,I$14+1,0),2),0),0)</f>
        <v/>
      </c>
      <c r="J96" s="141">
        <f>ROUND(IF(offer_sale_type="транзит",IFERROR(VLOOKUP($B96,calc_data,J$14+1,0),0),0),2)</f>
        <v/>
      </c>
      <c r="K96" s="142">
        <f>IF(offer_sale_type="транзит",IFERROR(ROUNDUP(VLOOKUP($B96,calc_data,K$14+1,0),2),0),0)</f>
        <v/>
      </c>
      <c r="L96" s="184">
        <f>IF(offer_sale_type="транзит",IFERROR(ROUNDUP(VLOOKUP($B96,calc_data,L$14+1,0),2),0),0)</f>
        <v/>
      </c>
      <c r="M96" s="141">
        <f>IF(offer_sale_type="транзит",IFERROR(ROUNDUP(VLOOKUP($B96,calc_data,M$14+1,0),2),0),0)</f>
        <v/>
      </c>
      <c r="N96" s="141">
        <f>IF(offer_sale_type="транзит",IFERROR(ROUNDUP(VLOOKUP($B96,calc_data,N$14+1,0),2),0),0)</f>
        <v/>
      </c>
      <c r="O96" s="147">
        <f>IF(offer_sale_type="транзит",IFERROR(ROUND(VLOOKUP($B96,calc_data,O$14+1,1),2),0),0)</f>
        <v/>
      </c>
      <c r="P96" s="141">
        <f>IF(offer_sale_type="транзит",IFERROR(ROUND(SUM(I96:J96,M96:O96)/E96,2),0),0)</f>
        <v/>
      </c>
      <c r="Q96" s="141">
        <f>E96*P96</f>
        <v/>
      </c>
      <c r="R96" s="141">
        <f>ROUND(Q96*IF(AND(offer_incoterms="DDP",seller_region="RU"),IF((TODAY()+offer_turnaround_time)&gt;=helpsheet!$L$17,rate_vatRU_from_26,rate_vatRu_till_25),0),2)</f>
        <v/>
      </c>
      <c r="S96" s="177">
        <f>Q96+IF(AND(offer_incoterms="DDP",seller_region="RU"),R96,0)</f>
        <v/>
      </c>
      <c r="T96" s="45" t="n"/>
      <c r="V96" s="57">
        <f>IF(Q96&gt;0,"показать","скрыть")</f>
        <v/>
      </c>
    </row>
    <row r="97" ht="15.75" customHeight="1">
      <c r="B97" s="809" t="n">
        <v>81</v>
      </c>
      <c r="C97" s="182">
        <f>IF(offer_sale_type="транзит",IFERROR(VLOOKUP($B97,calc_data,C$14+1,0),0),0)</f>
        <v/>
      </c>
      <c r="D97" s="280">
        <f>IF(offer_sale_type="транзит",IFERROR(VLOOKUP($B97,calc_data,D$14+1,0),0),0)</f>
        <v/>
      </c>
      <c r="E97" s="182">
        <f>IF(offer_sale_type="транзит",IFERROR(VLOOKUP($B97,calc_data,E$14+1,0),0),0)</f>
        <v/>
      </c>
      <c r="F97" s="182">
        <f>IF(offer_sale_type="транзит",IFERROR(VLOOKUP($B97,calc_data,F$14+1,0),0),0)</f>
        <v/>
      </c>
      <c r="G97" s="141">
        <f>IF(offer_sale_type="транзит",IFERROR(VLOOKUP($B97,calc_data,G$14+1,0),0),0)</f>
        <v/>
      </c>
      <c r="H97" s="141">
        <f>E97*G97</f>
        <v/>
      </c>
      <c r="I97" s="141">
        <f>IF(offer_sale_type="транзит",IFERROR(ROUND(VLOOKUP($B97,calc_data,I$14+1,0),2),0),0)</f>
        <v/>
      </c>
      <c r="J97" s="141">
        <f>ROUND(IF(offer_sale_type="транзит",IFERROR(VLOOKUP($B97,calc_data,J$14+1,0),0),0),2)</f>
        <v/>
      </c>
      <c r="K97" s="142">
        <f>IF(offer_sale_type="транзит",IFERROR(ROUNDUP(VLOOKUP($B97,calc_data,K$14+1,0),2),0),0)</f>
        <v/>
      </c>
      <c r="L97" s="184">
        <f>IF(offer_sale_type="транзит",IFERROR(ROUNDUP(VLOOKUP($B97,calc_data,L$14+1,0),2),0),0)</f>
        <v/>
      </c>
      <c r="M97" s="141">
        <f>IF(offer_sale_type="транзит",IFERROR(ROUNDUP(VLOOKUP($B97,calc_data,M$14+1,0),2),0),0)</f>
        <v/>
      </c>
      <c r="N97" s="141">
        <f>IF(offer_sale_type="транзит",IFERROR(ROUNDUP(VLOOKUP($B97,calc_data,N$14+1,0),2),0),0)</f>
        <v/>
      </c>
      <c r="O97" s="147">
        <f>IF(offer_sale_type="транзит",IFERROR(ROUND(VLOOKUP($B97,calc_data,O$14+1,1),2),0),0)</f>
        <v/>
      </c>
      <c r="P97" s="141">
        <f>IF(offer_sale_type="транзит",IFERROR(ROUND(SUM(I97:J97,M97:O97)/E97,2),0),0)</f>
        <v/>
      </c>
      <c r="Q97" s="141">
        <f>E97*P97</f>
        <v/>
      </c>
      <c r="R97" s="141">
        <f>ROUND(Q97*IF(AND(offer_incoterms="DDP",seller_region="RU"),IF((TODAY()+offer_turnaround_time)&gt;=helpsheet!$L$17,rate_vatRU_from_26,rate_vatRu_till_25),0),2)</f>
        <v/>
      </c>
      <c r="S97" s="177">
        <f>Q97+IF(AND(offer_incoterms="DDP",seller_region="RU"),R97,0)</f>
        <v/>
      </c>
      <c r="T97" s="45" t="n"/>
      <c r="V97" s="57">
        <f>IF(Q97&gt;0,"показать","скрыть")</f>
        <v/>
      </c>
    </row>
    <row r="98" ht="15.75" customHeight="1">
      <c r="B98" s="809" t="n">
        <v>82</v>
      </c>
      <c r="C98" s="182">
        <f>IF(offer_sale_type="транзит",IFERROR(VLOOKUP($B98,calc_data,C$14+1,0),0),0)</f>
        <v/>
      </c>
      <c r="D98" s="280">
        <f>IF(offer_sale_type="транзит",IFERROR(VLOOKUP($B98,calc_data,D$14+1,0),0),0)</f>
        <v/>
      </c>
      <c r="E98" s="182">
        <f>IF(offer_sale_type="транзит",IFERROR(VLOOKUP($B98,calc_data,E$14+1,0),0),0)</f>
        <v/>
      </c>
      <c r="F98" s="182">
        <f>IF(offer_sale_type="транзит",IFERROR(VLOOKUP($B98,calc_data,F$14+1,0),0),0)</f>
        <v/>
      </c>
      <c r="G98" s="141">
        <f>IF(offer_sale_type="транзит",IFERROR(VLOOKUP($B98,calc_data,G$14+1,0),0),0)</f>
        <v/>
      </c>
      <c r="H98" s="141">
        <f>E98*G98</f>
        <v/>
      </c>
      <c r="I98" s="141">
        <f>IF(offer_sale_type="транзит",IFERROR(ROUND(VLOOKUP($B98,calc_data,I$14+1,0),2),0),0)</f>
        <v/>
      </c>
      <c r="J98" s="141">
        <f>ROUND(IF(offer_sale_type="транзит",IFERROR(VLOOKUP($B98,calc_data,J$14+1,0),0),0),2)</f>
        <v/>
      </c>
      <c r="K98" s="142">
        <f>IF(offer_sale_type="транзит",IFERROR(ROUNDUP(VLOOKUP($B98,calc_data,K$14+1,0),2),0),0)</f>
        <v/>
      </c>
      <c r="L98" s="184">
        <f>IF(offer_sale_type="транзит",IFERROR(ROUNDUP(VLOOKUP($B98,calc_data,L$14+1,0),2),0),0)</f>
        <v/>
      </c>
      <c r="M98" s="141">
        <f>IF(offer_sale_type="транзит",IFERROR(ROUNDUP(VLOOKUP($B98,calc_data,M$14+1,0),2),0),0)</f>
        <v/>
      </c>
      <c r="N98" s="141">
        <f>IF(offer_sale_type="транзит",IFERROR(ROUNDUP(VLOOKUP($B98,calc_data,N$14+1,0),2),0),0)</f>
        <v/>
      </c>
      <c r="O98" s="147">
        <f>IF(offer_sale_type="транзит",IFERROR(ROUND(VLOOKUP($B98,calc_data,O$14+1,1),2),0),0)</f>
        <v/>
      </c>
      <c r="P98" s="141">
        <f>IF(offer_sale_type="транзит",IFERROR(ROUND(SUM(I98:J98,M98:O98)/E98,2),0),0)</f>
        <v/>
      </c>
      <c r="Q98" s="141">
        <f>E98*P98</f>
        <v/>
      </c>
      <c r="R98" s="141">
        <f>ROUND(Q98*IF(AND(offer_incoterms="DDP",seller_region="RU"),IF((TODAY()+offer_turnaround_time)&gt;=helpsheet!$L$17,rate_vatRU_from_26,rate_vatRu_till_25),0),2)</f>
        <v/>
      </c>
      <c r="S98" s="177">
        <f>Q98+IF(AND(offer_incoterms="DDP",seller_region="RU"),R98,0)</f>
        <v/>
      </c>
      <c r="T98" s="45" t="n"/>
      <c r="V98" s="57">
        <f>IF(Q98&gt;0,"показать","скрыть")</f>
        <v/>
      </c>
    </row>
    <row r="99" ht="15.75" customHeight="1">
      <c r="B99" s="809" t="n">
        <v>83</v>
      </c>
      <c r="C99" s="182">
        <f>IF(offer_sale_type="транзит",IFERROR(VLOOKUP($B99,calc_data,C$14+1,0),0),0)</f>
        <v/>
      </c>
      <c r="D99" s="280">
        <f>IF(offer_sale_type="транзит",IFERROR(VLOOKUP($B99,calc_data,D$14+1,0),0),0)</f>
        <v/>
      </c>
      <c r="E99" s="182">
        <f>IF(offer_sale_type="транзит",IFERROR(VLOOKUP($B99,calc_data,E$14+1,0),0),0)</f>
        <v/>
      </c>
      <c r="F99" s="182">
        <f>IF(offer_sale_type="транзит",IFERROR(VLOOKUP($B99,calc_data,F$14+1,0),0),0)</f>
        <v/>
      </c>
      <c r="G99" s="141">
        <f>IF(offer_sale_type="транзит",IFERROR(VLOOKUP($B99,calc_data,G$14+1,0),0),0)</f>
        <v/>
      </c>
      <c r="H99" s="141">
        <f>E99*G99</f>
        <v/>
      </c>
      <c r="I99" s="141">
        <f>IF(offer_sale_type="транзит",IFERROR(ROUND(VLOOKUP($B99,calc_data,I$14+1,0),2),0),0)</f>
        <v/>
      </c>
      <c r="J99" s="141">
        <f>ROUND(IF(offer_sale_type="транзит",IFERROR(VLOOKUP($B99,calc_data,J$14+1,0),0),0),2)</f>
        <v/>
      </c>
      <c r="K99" s="142">
        <f>IF(offer_sale_type="транзит",IFERROR(ROUNDUP(VLOOKUP($B99,calc_data,K$14+1,0),2),0),0)</f>
        <v/>
      </c>
      <c r="L99" s="184">
        <f>IF(offer_sale_type="транзит",IFERROR(ROUNDUP(VLOOKUP($B99,calc_data,L$14+1,0),2),0),0)</f>
        <v/>
      </c>
      <c r="M99" s="141">
        <f>IF(offer_sale_type="транзит",IFERROR(ROUNDUP(VLOOKUP($B99,calc_data,M$14+1,0),2),0),0)</f>
        <v/>
      </c>
      <c r="N99" s="141">
        <f>IF(offer_sale_type="транзит",IFERROR(ROUNDUP(VLOOKUP($B99,calc_data,N$14+1,0),2),0),0)</f>
        <v/>
      </c>
      <c r="O99" s="147">
        <f>IF(offer_sale_type="транзит",IFERROR(ROUND(VLOOKUP($B99,calc_data,O$14+1,1),2),0),0)</f>
        <v/>
      </c>
      <c r="P99" s="141">
        <f>IF(offer_sale_type="транзит",IFERROR(ROUND(SUM(I99:J99,M99:O99)/E99,2),0),0)</f>
        <v/>
      </c>
      <c r="Q99" s="141">
        <f>E99*P99</f>
        <v/>
      </c>
      <c r="R99" s="141">
        <f>ROUND(Q99*IF(AND(offer_incoterms="DDP",seller_region="RU"),IF((TODAY()+offer_turnaround_time)&gt;=helpsheet!$L$17,rate_vatRU_from_26,rate_vatRu_till_25),0),2)</f>
        <v/>
      </c>
      <c r="S99" s="177">
        <f>Q99+IF(AND(offer_incoterms="DDP",seller_region="RU"),R99,0)</f>
        <v/>
      </c>
      <c r="T99" s="45" t="n"/>
      <c r="V99" s="57">
        <f>IF(Q99&gt;0,"показать","скрыть")</f>
        <v/>
      </c>
    </row>
    <row r="100" ht="15.75" customHeight="1">
      <c r="B100" s="809" t="n">
        <v>84</v>
      </c>
      <c r="C100" s="182">
        <f>IF(offer_sale_type="транзит",IFERROR(VLOOKUP($B100,calc_data,C$14+1,0),0),0)</f>
        <v/>
      </c>
      <c r="D100" s="280">
        <f>IF(offer_sale_type="транзит",IFERROR(VLOOKUP($B100,calc_data,D$14+1,0),0),0)</f>
        <v/>
      </c>
      <c r="E100" s="182">
        <f>IF(offer_sale_type="транзит",IFERROR(VLOOKUP($B100,calc_data,E$14+1,0),0),0)</f>
        <v/>
      </c>
      <c r="F100" s="182">
        <f>IF(offer_sale_type="транзит",IFERROR(VLOOKUP($B100,calc_data,F$14+1,0),0),0)</f>
        <v/>
      </c>
      <c r="G100" s="141">
        <f>IF(offer_sale_type="транзит",IFERROR(VLOOKUP($B100,calc_data,G$14+1,0),0),0)</f>
        <v/>
      </c>
      <c r="H100" s="141">
        <f>E100*G100</f>
        <v/>
      </c>
      <c r="I100" s="141">
        <f>IF(offer_sale_type="транзит",IFERROR(ROUND(VLOOKUP($B100,calc_data,I$14+1,0),2),0),0)</f>
        <v/>
      </c>
      <c r="J100" s="141">
        <f>ROUND(IF(offer_sale_type="транзит",IFERROR(VLOOKUP($B100,calc_data,J$14+1,0),0),0),2)</f>
        <v/>
      </c>
      <c r="K100" s="142">
        <f>IF(offer_sale_type="транзит",IFERROR(ROUNDUP(VLOOKUP($B100,calc_data,K$14+1,0),2),0),0)</f>
        <v/>
      </c>
      <c r="L100" s="184">
        <f>IF(offer_sale_type="транзит",IFERROR(ROUNDUP(VLOOKUP($B100,calc_data,L$14+1,0),2),0),0)</f>
        <v/>
      </c>
      <c r="M100" s="141">
        <f>IF(offer_sale_type="транзит",IFERROR(ROUNDUP(VLOOKUP($B100,calc_data,M$14+1,0),2),0),0)</f>
        <v/>
      </c>
      <c r="N100" s="141">
        <f>IF(offer_sale_type="транзит",IFERROR(ROUNDUP(VLOOKUP($B100,calc_data,N$14+1,0),2),0),0)</f>
        <v/>
      </c>
      <c r="O100" s="147">
        <f>IF(offer_sale_type="транзит",IFERROR(ROUND(VLOOKUP($B100,calc_data,O$14+1,1),2),0),0)</f>
        <v/>
      </c>
      <c r="P100" s="141">
        <f>IF(offer_sale_type="транзит",IFERROR(ROUND(SUM(I100:J100,M100:O100)/E100,2),0),0)</f>
        <v/>
      </c>
      <c r="Q100" s="141">
        <f>E100*P100</f>
        <v/>
      </c>
      <c r="R100" s="141">
        <f>ROUND(Q100*IF(AND(offer_incoterms="DDP",seller_region="RU"),IF((TODAY()+offer_turnaround_time)&gt;=helpsheet!$L$17,rate_vatRU_from_26,rate_vatRu_till_25),0),2)</f>
        <v/>
      </c>
      <c r="S100" s="177">
        <f>Q100+IF(AND(offer_incoterms="DDP",seller_region="RU"),R100,0)</f>
        <v/>
      </c>
      <c r="T100" s="45" t="n"/>
      <c r="V100" s="57">
        <f>IF(Q100&gt;0,"показать","скрыть")</f>
        <v/>
      </c>
    </row>
    <row r="101" ht="15.75" customHeight="1">
      <c r="B101" s="809" t="n">
        <v>85</v>
      </c>
      <c r="C101" s="182">
        <f>IF(offer_sale_type="транзит",IFERROR(VLOOKUP($B101,calc_data,C$14+1,0),0),0)</f>
        <v/>
      </c>
      <c r="D101" s="280">
        <f>IF(offer_sale_type="транзит",IFERROR(VLOOKUP($B101,calc_data,D$14+1,0),0),0)</f>
        <v/>
      </c>
      <c r="E101" s="182">
        <f>IF(offer_sale_type="транзит",IFERROR(VLOOKUP($B101,calc_data,E$14+1,0),0),0)</f>
        <v/>
      </c>
      <c r="F101" s="182">
        <f>IF(offer_sale_type="транзит",IFERROR(VLOOKUP($B101,calc_data,F$14+1,0),0),0)</f>
        <v/>
      </c>
      <c r="G101" s="141">
        <f>IF(offer_sale_type="транзит",IFERROR(VLOOKUP($B101,calc_data,G$14+1,0),0),0)</f>
        <v/>
      </c>
      <c r="H101" s="141">
        <f>E101*G101</f>
        <v/>
      </c>
      <c r="I101" s="141">
        <f>IF(offer_sale_type="транзит",IFERROR(ROUND(VLOOKUP($B101,calc_data,I$14+1,0),2),0),0)</f>
        <v/>
      </c>
      <c r="J101" s="141">
        <f>ROUND(IF(offer_sale_type="транзит",IFERROR(VLOOKUP($B101,calc_data,J$14+1,0),0),0),2)</f>
        <v/>
      </c>
      <c r="K101" s="142">
        <f>IF(offer_sale_type="транзит",IFERROR(ROUNDUP(VLOOKUP($B101,calc_data,K$14+1,0),2),0),0)</f>
        <v/>
      </c>
      <c r="L101" s="184">
        <f>IF(offer_sale_type="транзит",IFERROR(ROUNDUP(VLOOKUP($B101,calc_data,L$14+1,0),2),0),0)</f>
        <v/>
      </c>
      <c r="M101" s="141">
        <f>IF(offer_sale_type="транзит",IFERROR(ROUNDUP(VLOOKUP($B101,calc_data,M$14+1,0),2),0),0)</f>
        <v/>
      </c>
      <c r="N101" s="141">
        <f>IF(offer_sale_type="транзит",IFERROR(ROUNDUP(VLOOKUP($B101,calc_data,N$14+1,0),2),0),0)</f>
        <v/>
      </c>
      <c r="O101" s="147">
        <f>IF(offer_sale_type="транзит",IFERROR(ROUND(VLOOKUP($B101,calc_data,O$14+1,1),2),0),0)</f>
        <v/>
      </c>
      <c r="P101" s="141">
        <f>IF(offer_sale_type="транзит",IFERROR(ROUND(SUM(I101:J101,M101:O101)/E101,2),0),0)</f>
        <v/>
      </c>
      <c r="Q101" s="141">
        <f>E101*P101</f>
        <v/>
      </c>
      <c r="R101" s="141">
        <f>ROUND(Q101*IF(AND(offer_incoterms="DDP",seller_region="RU"),IF((TODAY()+offer_turnaround_time)&gt;=helpsheet!$L$17,rate_vatRU_from_26,rate_vatRu_till_25),0),2)</f>
        <v/>
      </c>
      <c r="S101" s="177">
        <f>Q101+IF(AND(offer_incoterms="DDP",seller_region="RU"),R101,0)</f>
        <v/>
      </c>
      <c r="T101" s="45" t="n"/>
      <c r="V101" s="57">
        <f>IF(Q101&gt;0,"показать","скрыть")</f>
        <v/>
      </c>
    </row>
    <row r="102" ht="15.75" customHeight="1">
      <c r="B102" s="809" t="n">
        <v>86</v>
      </c>
      <c r="C102" s="182">
        <f>IF(offer_sale_type="транзит",IFERROR(VLOOKUP($B102,calc_data,C$14+1,0),0),0)</f>
        <v/>
      </c>
      <c r="D102" s="280">
        <f>IF(offer_sale_type="транзит",IFERROR(VLOOKUP($B102,calc_data,D$14+1,0),0),0)</f>
        <v/>
      </c>
      <c r="E102" s="182">
        <f>IF(offer_sale_type="транзит",IFERROR(VLOOKUP($B102,calc_data,E$14+1,0),0),0)</f>
        <v/>
      </c>
      <c r="F102" s="182">
        <f>IF(offer_sale_type="транзит",IFERROR(VLOOKUP($B102,calc_data,F$14+1,0),0),0)</f>
        <v/>
      </c>
      <c r="G102" s="141">
        <f>IF(offer_sale_type="транзит",IFERROR(VLOOKUP($B102,calc_data,G$14+1,0),0),0)</f>
        <v/>
      </c>
      <c r="H102" s="141">
        <f>E102*G102</f>
        <v/>
      </c>
      <c r="I102" s="141">
        <f>IF(offer_sale_type="транзит",IFERROR(ROUND(VLOOKUP($B102,calc_data,I$14+1,0),2),0),0)</f>
        <v/>
      </c>
      <c r="J102" s="141">
        <f>ROUND(IF(offer_sale_type="транзит",IFERROR(VLOOKUP($B102,calc_data,J$14+1,0),0),0),2)</f>
        <v/>
      </c>
      <c r="K102" s="142">
        <f>IF(offer_sale_type="транзит",IFERROR(ROUNDUP(VLOOKUP($B102,calc_data,K$14+1,0),2),0),0)</f>
        <v/>
      </c>
      <c r="L102" s="184">
        <f>IF(offer_sale_type="транзит",IFERROR(ROUNDUP(VLOOKUP($B102,calc_data,L$14+1,0),2),0),0)</f>
        <v/>
      </c>
      <c r="M102" s="141">
        <f>IF(offer_sale_type="транзит",IFERROR(ROUNDUP(VLOOKUP($B102,calc_data,M$14+1,0),2),0),0)</f>
        <v/>
      </c>
      <c r="N102" s="141">
        <f>IF(offer_sale_type="транзит",IFERROR(ROUNDUP(VLOOKUP($B102,calc_data,N$14+1,0),2),0),0)</f>
        <v/>
      </c>
      <c r="O102" s="147">
        <f>IF(offer_sale_type="транзит",IFERROR(ROUND(VLOOKUP($B102,calc_data,O$14+1,1),2),0),0)</f>
        <v/>
      </c>
      <c r="P102" s="141">
        <f>IF(offer_sale_type="транзит",IFERROR(ROUND(SUM(I102:J102,M102:O102)/E102,2),0),0)</f>
        <v/>
      </c>
      <c r="Q102" s="141">
        <f>E102*P102</f>
        <v/>
      </c>
      <c r="R102" s="141">
        <f>ROUND(Q102*IF(AND(offer_incoterms="DDP",seller_region="RU"),IF((TODAY()+offer_turnaround_time)&gt;=helpsheet!$L$17,rate_vatRU_from_26,rate_vatRu_till_25),0),2)</f>
        <v/>
      </c>
      <c r="S102" s="177">
        <f>Q102+IF(AND(offer_incoterms="DDP",seller_region="RU"),R102,0)</f>
        <v/>
      </c>
      <c r="T102" s="45" t="n"/>
      <c r="V102" s="57">
        <f>IF(Q102&gt;0,"показать","скрыть")</f>
        <v/>
      </c>
    </row>
    <row r="103" ht="15.75" customHeight="1">
      <c r="B103" s="809" t="n">
        <v>87</v>
      </c>
      <c r="C103" s="182">
        <f>IF(offer_sale_type="транзит",IFERROR(VLOOKUP($B103,calc_data,C$14+1,0),0),0)</f>
        <v/>
      </c>
      <c r="D103" s="280">
        <f>IF(offer_sale_type="транзит",IFERROR(VLOOKUP($B103,calc_data,D$14+1,0),0),0)</f>
        <v/>
      </c>
      <c r="E103" s="182">
        <f>IF(offer_sale_type="транзит",IFERROR(VLOOKUP($B103,calc_data,E$14+1,0),0),0)</f>
        <v/>
      </c>
      <c r="F103" s="182">
        <f>IF(offer_sale_type="транзит",IFERROR(VLOOKUP($B103,calc_data,F$14+1,0),0),0)</f>
        <v/>
      </c>
      <c r="G103" s="141">
        <f>IF(offer_sale_type="транзит",IFERROR(VLOOKUP($B103,calc_data,G$14+1,0),0),0)</f>
        <v/>
      </c>
      <c r="H103" s="141">
        <f>E103*G103</f>
        <v/>
      </c>
      <c r="I103" s="141">
        <f>IF(offer_sale_type="транзит",IFERROR(ROUND(VLOOKUP($B103,calc_data,I$14+1,0),2),0),0)</f>
        <v/>
      </c>
      <c r="J103" s="141">
        <f>ROUND(IF(offer_sale_type="транзит",IFERROR(VLOOKUP($B103,calc_data,J$14+1,0),0),0),2)</f>
        <v/>
      </c>
      <c r="K103" s="142">
        <f>IF(offer_sale_type="транзит",IFERROR(ROUNDUP(VLOOKUP($B103,calc_data,K$14+1,0),2),0),0)</f>
        <v/>
      </c>
      <c r="L103" s="184">
        <f>IF(offer_sale_type="транзит",IFERROR(ROUNDUP(VLOOKUP($B103,calc_data,L$14+1,0),2),0),0)</f>
        <v/>
      </c>
      <c r="M103" s="141">
        <f>IF(offer_sale_type="транзит",IFERROR(ROUNDUP(VLOOKUP($B103,calc_data,M$14+1,0),2),0),0)</f>
        <v/>
      </c>
      <c r="N103" s="141">
        <f>IF(offer_sale_type="транзит",IFERROR(ROUNDUP(VLOOKUP($B103,calc_data,N$14+1,0),2),0),0)</f>
        <v/>
      </c>
      <c r="O103" s="147">
        <f>IF(offer_sale_type="транзит",IFERROR(ROUND(VLOOKUP($B103,calc_data,O$14+1,1),2),0),0)</f>
        <v/>
      </c>
      <c r="P103" s="141">
        <f>IF(offer_sale_type="транзит",IFERROR(ROUND(SUM(I103:J103,M103:O103)/E103,2),0),0)</f>
        <v/>
      </c>
      <c r="Q103" s="141">
        <f>E103*P103</f>
        <v/>
      </c>
      <c r="R103" s="141">
        <f>ROUND(Q103*IF(AND(offer_incoterms="DDP",seller_region="RU"),IF((TODAY()+offer_turnaround_time)&gt;=helpsheet!$L$17,rate_vatRU_from_26,rate_vatRu_till_25),0),2)</f>
        <v/>
      </c>
      <c r="S103" s="177">
        <f>Q103+IF(AND(offer_incoterms="DDP",seller_region="RU"),R103,0)</f>
        <v/>
      </c>
      <c r="T103" s="45" t="n"/>
      <c r="V103" s="57">
        <f>IF(Q103&gt;0,"показать","скрыть")</f>
        <v/>
      </c>
    </row>
    <row r="104" ht="15.75" customHeight="1">
      <c r="B104" s="809" t="n">
        <v>88</v>
      </c>
      <c r="C104" s="182">
        <f>IF(offer_sale_type="транзит",IFERROR(VLOOKUP($B104,calc_data,C$14+1,0),0),0)</f>
        <v/>
      </c>
      <c r="D104" s="280">
        <f>IF(offer_sale_type="транзит",IFERROR(VLOOKUP($B104,calc_data,D$14+1,0),0),0)</f>
        <v/>
      </c>
      <c r="E104" s="182">
        <f>IF(offer_sale_type="транзит",IFERROR(VLOOKUP($B104,calc_data,E$14+1,0),0),0)</f>
        <v/>
      </c>
      <c r="F104" s="182">
        <f>IF(offer_sale_type="транзит",IFERROR(VLOOKUP($B104,calc_data,F$14+1,0),0),0)</f>
        <v/>
      </c>
      <c r="G104" s="141">
        <f>IF(offer_sale_type="транзит",IFERROR(VLOOKUP($B104,calc_data,G$14+1,0),0),0)</f>
        <v/>
      </c>
      <c r="H104" s="141">
        <f>E104*G104</f>
        <v/>
      </c>
      <c r="I104" s="141">
        <f>IF(offer_sale_type="транзит",IFERROR(ROUND(VLOOKUP($B104,calc_data,I$14+1,0),2),0),0)</f>
        <v/>
      </c>
      <c r="J104" s="141">
        <f>ROUND(IF(offer_sale_type="транзит",IFERROR(VLOOKUP($B104,calc_data,J$14+1,0),0),0),2)</f>
        <v/>
      </c>
      <c r="K104" s="142">
        <f>IF(offer_sale_type="транзит",IFERROR(ROUNDUP(VLOOKUP($B104,calc_data,K$14+1,0),2),0),0)</f>
        <v/>
      </c>
      <c r="L104" s="184">
        <f>IF(offer_sale_type="транзит",IFERROR(ROUNDUP(VLOOKUP($B104,calc_data,L$14+1,0),2),0),0)</f>
        <v/>
      </c>
      <c r="M104" s="141">
        <f>IF(offer_sale_type="транзит",IFERROR(ROUNDUP(VLOOKUP($B104,calc_data,M$14+1,0),2),0),0)</f>
        <v/>
      </c>
      <c r="N104" s="141">
        <f>IF(offer_sale_type="транзит",IFERROR(ROUNDUP(VLOOKUP($B104,calc_data,N$14+1,0),2),0),0)</f>
        <v/>
      </c>
      <c r="O104" s="147">
        <f>IF(offer_sale_type="транзит",IFERROR(ROUND(VLOOKUP($B104,calc_data,O$14+1,1),2),0),0)</f>
        <v/>
      </c>
      <c r="P104" s="141">
        <f>IF(offer_sale_type="транзит",IFERROR(ROUND(SUM(I104:J104,M104:O104)/E104,2),0),0)</f>
        <v/>
      </c>
      <c r="Q104" s="141">
        <f>E104*P104</f>
        <v/>
      </c>
      <c r="R104" s="141">
        <f>ROUND(Q104*IF(AND(offer_incoterms="DDP",seller_region="RU"),IF((TODAY()+offer_turnaround_time)&gt;=helpsheet!$L$17,rate_vatRU_from_26,rate_vatRu_till_25),0),2)</f>
        <v/>
      </c>
      <c r="S104" s="177">
        <f>Q104+IF(AND(offer_incoterms="DDP",seller_region="RU"),R104,0)</f>
        <v/>
      </c>
      <c r="T104" s="45" t="n"/>
      <c r="V104" s="57">
        <f>IF(Q104&gt;0,"показать","скрыть")</f>
        <v/>
      </c>
    </row>
    <row r="105" ht="15.75" customHeight="1">
      <c r="B105" s="809" t="n">
        <v>89</v>
      </c>
      <c r="C105" s="182">
        <f>IF(offer_sale_type="транзит",IFERROR(VLOOKUP($B105,calc_data,C$14+1,0),0),0)</f>
        <v/>
      </c>
      <c r="D105" s="280">
        <f>IF(offer_sale_type="транзит",IFERROR(VLOOKUP($B105,calc_data,D$14+1,0),0),0)</f>
        <v/>
      </c>
      <c r="E105" s="182">
        <f>IF(offer_sale_type="транзит",IFERROR(VLOOKUP($B105,calc_data,E$14+1,0),0),0)</f>
        <v/>
      </c>
      <c r="F105" s="182">
        <f>IF(offer_sale_type="транзит",IFERROR(VLOOKUP($B105,calc_data,F$14+1,0),0),0)</f>
        <v/>
      </c>
      <c r="G105" s="141">
        <f>IF(offer_sale_type="транзит",IFERROR(VLOOKUP($B105,calc_data,G$14+1,0),0),0)</f>
        <v/>
      </c>
      <c r="H105" s="141">
        <f>E105*G105</f>
        <v/>
      </c>
      <c r="I105" s="141">
        <f>IF(offer_sale_type="транзит",IFERROR(ROUND(VLOOKUP($B105,calc_data,I$14+1,0),2),0),0)</f>
        <v/>
      </c>
      <c r="J105" s="141">
        <f>ROUND(IF(offer_sale_type="транзит",IFERROR(VLOOKUP($B105,calc_data,J$14+1,0),0),0),2)</f>
        <v/>
      </c>
      <c r="K105" s="142">
        <f>IF(offer_sale_type="транзит",IFERROR(ROUNDUP(VLOOKUP($B105,calc_data,K$14+1,0),2),0),0)</f>
        <v/>
      </c>
      <c r="L105" s="184">
        <f>IF(offer_sale_type="транзит",IFERROR(ROUNDUP(VLOOKUP($B105,calc_data,L$14+1,0),2),0),0)</f>
        <v/>
      </c>
      <c r="M105" s="141">
        <f>IF(offer_sale_type="транзит",IFERROR(ROUNDUP(VLOOKUP($B105,calc_data,M$14+1,0),2),0),0)</f>
        <v/>
      </c>
      <c r="N105" s="141">
        <f>IF(offer_sale_type="транзит",IFERROR(ROUNDUP(VLOOKUP($B105,calc_data,N$14+1,0),2),0),0)</f>
        <v/>
      </c>
      <c r="O105" s="147">
        <f>IF(offer_sale_type="транзит",IFERROR(ROUND(VLOOKUP($B105,calc_data,O$14+1,1),2),0),0)</f>
        <v/>
      </c>
      <c r="P105" s="141">
        <f>IF(offer_sale_type="транзит",IFERROR(ROUND(SUM(I105:J105,M105:O105)/E105,2),0),0)</f>
        <v/>
      </c>
      <c r="Q105" s="141">
        <f>E105*P105</f>
        <v/>
      </c>
      <c r="R105" s="141">
        <f>ROUND(Q105*IF(AND(offer_incoterms="DDP",seller_region="RU"),IF((TODAY()+offer_turnaround_time)&gt;=helpsheet!$L$17,rate_vatRU_from_26,rate_vatRu_till_25),0),2)</f>
        <v/>
      </c>
      <c r="S105" s="177">
        <f>Q105+IF(AND(offer_incoterms="DDP",seller_region="RU"),R105,0)</f>
        <v/>
      </c>
      <c r="T105" s="45" t="n"/>
      <c r="V105" s="57">
        <f>IF(Q105&gt;0,"показать","скрыть")</f>
        <v/>
      </c>
    </row>
    <row r="106" ht="15.75" customHeight="1">
      <c r="B106" s="809" t="n">
        <v>90</v>
      </c>
      <c r="C106" s="182">
        <f>IF(offer_sale_type="транзит",IFERROR(VLOOKUP($B106,calc_data,C$14+1,0),0),0)</f>
        <v/>
      </c>
      <c r="D106" s="280">
        <f>IF(offer_sale_type="транзит",IFERROR(VLOOKUP($B106,calc_data,D$14+1,0),0),0)</f>
        <v/>
      </c>
      <c r="E106" s="182">
        <f>IF(offer_sale_type="транзит",IFERROR(VLOOKUP($B106,calc_data,E$14+1,0),0),0)</f>
        <v/>
      </c>
      <c r="F106" s="182">
        <f>IF(offer_sale_type="транзит",IFERROR(VLOOKUP($B106,calc_data,F$14+1,0),0),0)</f>
        <v/>
      </c>
      <c r="G106" s="141">
        <f>IF(offer_sale_type="транзит",IFERROR(VLOOKUP($B106,calc_data,G$14+1,0),0),0)</f>
        <v/>
      </c>
      <c r="H106" s="141">
        <f>E106*G106</f>
        <v/>
      </c>
      <c r="I106" s="141">
        <f>IF(offer_sale_type="транзит",IFERROR(ROUND(VLOOKUP($B106,calc_data,I$14+1,0),2),0),0)</f>
        <v/>
      </c>
      <c r="J106" s="141">
        <f>ROUND(IF(offer_sale_type="транзит",IFERROR(VLOOKUP($B106,calc_data,J$14+1,0),0),0),2)</f>
        <v/>
      </c>
      <c r="K106" s="142">
        <f>IF(offer_sale_type="транзит",IFERROR(ROUNDUP(VLOOKUP($B106,calc_data,K$14+1,0),2),0),0)</f>
        <v/>
      </c>
      <c r="L106" s="184">
        <f>IF(offer_sale_type="транзит",IFERROR(ROUNDUP(VLOOKUP($B106,calc_data,L$14+1,0),2),0),0)</f>
        <v/>
      </c>
      <c r="M106" s="141">
        <f>IF(offer_sale_type="транзит",IFERROR(ROUNDUP(VLOOKUP($B106,calc_data,M$14+1,0),2),0),0)</f>
        <v/>
      </c>
      <c r="N106" s="141">
        <f>IF(offer_sale_type="транзит",IFERROR(ROUNDUP(VLOOKUP($B106,calc_data,N$14+1,0),2),0),0)</f>
        <v/>
      </c>
      <c r="O106" s="147">
        <f>IF(offer_sale_type="транзит",IFERROR(ROUND(VLOOKUP($B106,calc_data,O$14+1,1),2),0),0)</f>
        <v/>
      </c>
      <c r="P106" s="141">
        <f>IF(offer_sale_type="транзит",IFERROR(ROUND(SUM(I106:J106,M106:O106)/E106,2),0),0)</f>
        <v/>
      </c>
      <c r="Q106" s="141">
        <f>E106*P106</f>
        <v/>
      </c>
      <c r="R106" s="141">
        <f>ROUND(Q106*IF(AND(offer_incoterms="DDP",seller_region="RU"),IF((TODAY()+offer_turnaround_time)&gt;=helpsheet!$L$17,rate_vatRU_from_26,rate_vatRu_till_25),0),2)</f>
        <v/>
      </c>
      <c r="S106" s="177">
        <f>Q106+IF(AND(offer_incoterms="DDP",seller_region="RU"),R106,0)</f>
        <v/>
      </c>
      <c r="T106" s="45" t="n"/>
      <c r="V106" s="57">
        <f>IF(Q106&gt;0,"показать","скрыть")</f>
        <v/>
      </c>
    </row>
    <row r="107" ht="15.75" customHeight="1">
      <c r="B107" s="809" t="n">
        <v>91</v>
      </c>
      <c r="C107" s="182">
        <f>IF(offer_sale_type="транзит",IFERROR(VLOOKUP($B107,calc_data,C$14+1,0),0),0)</f>
        <v/>
      </c>
      <c r="D107" s="280">
        <f>IF(offer_sale_type="транзит",IFERROR(VLOOKUP($B107,calc_data,D$14+1,0),0),0)</f>
        <v/>
      </c>
      <c r="E107" s="182">
        <f>IF(offer_sale_type="транзит",IFERROR(VLOOKUP($B107,calc_data,E$14+1,0),0),0)</f>
        <v/>
      </c>
      <c r="F107" s="182">
        <f>IF(offer_sale_type="транзит",IFERROR(VLOOKUP($B107,calc_data,F$14+1,0),0),0)</f>
        <v/>
      </c>
      <c r="G107" s="141">
        <f>IF(offer_sale_type="транзит",IFERROR(VLOOKUP($B107,calc_data,G$14+1,0),0),0)</f>
        <v/>
      </c>
      <c r="H107" s="141">
        <f>E107*G107</f>
        <v/>
      </c>
      <c r="I107" s="141">
        <f>IF(offer_sale_type="транзит",IFERROR(ROUND(VLOOKUP($B107,calc_data,I$14+1,0),2),0),0)</f>
        <v/>
      </c>
      <c r="J107" s="141">
        <f>ROUND(IF(offer_sale_type="транзит",IFERROR(VLOOKUP($B107,calc_data,J$14+1,0),0),0),2)</f>
        <v/>
      </c>
      <c r="K107" s="142">
        <f>IF(offer_sale_type="транзит",IFERROR(ROUNDUP(VLOOKUP($B107,calc_data,K$14+1,0),2),0),0)</f>
        <v/>
      </c>
      <c r="L107" s="184">
        <f>IF(offer_sale_type="транзит",IFERROR(ROUNDUP(VLOOKUP($B107,calc_data,L$14+1,0),2),0),0)</f>
        <v/>
      </c>
      <c r="M107" s="141">
        <f>IF(offer_sale_type="транзит",IFERROR(ROUNDUP(VLOOKUP($B107,calc_data,M$14+1,0),2),0),0)</f>
        <v/>
      </c>
      <c r="N107" s="141">
        <f>IF(offer_sale_type="транзит",IFERROR(ROUNDUP(VLOOKUP($B107,calc_data,N$14+1,0),2),0),0)</f>
        <v/>
      </c>
      <c r="O107" s="147">
        <f>IF(offer_sale_type="транзит",IFERROR(ROUND(VLOOKUP($B107,calc_data,O$14+1,1),2),0),0)</f>
        <v/>
      </c>
      <c r="P107" s="141">
        <f>IF(offer_sale_type="транзит",IFERROR(ROUND(SUM(I107:J107,M107:O107)/E107,2),0),0)</f>
        <v/>
      </c>
      <c r="Q107" s="141">
        <f>E107*P107</f>
        <v/>
      </c>
      <c r="R107" s="141">
        <f>ROUND(Q107*IF(AND(offer_incoterms="DDP",seller_region="RU"),IF((TODAY()+offer_turnaround_time)&gt;=helpsheet!$L$17,rate_vatRU_from_26,rate_vatRu_till_25),0),2)</f>
        <v/>
      </c>
      <c r="S107" s="177">
        <f>Q107+IF(AND(offer_incoterms="DDP",seller_region="RU"),R107,0)</f>
        <v/>
      </c>
      <c r="T107" s="45" t="n"/>
      <c r="V107" s="57">
        <f>IF(Q107&gt;0,"показать","скрыть")</f>
        <v/>
      </c>
    </row>
    <row r="108" ht="15.75" customHeight="1">
      <c r="B108" s="809" t="n">
        <v>92</v>
      </c>
      <c r="C108" s="182">
        <f>IF(offer_sale_type="транзит",IFERROR(VLOOKUP($B108,calc_data,C$14+1,0),0),0)</f>
        <v/>
      </c>
      <c r="D108" s="280">
        <f>IF(offer_sale_type="транзит",IFERROR(VLOOKUP($B108,calc_data,D$14+1,0),0),0)</f>
        <v/>
      </c>
      <c r="E108" s="182">
        <f>IF(offer_sale_type="транзит",IFERROR(VLOOKUP($B108,calc_data,E$14+1,0),0),0)</f>
        <v/>
      </c>
      <c r="F108" s="182">
        <f>IF(offer_sale_type="транзит",IFERROR(VLOOKUP($B108,calc_data,F$14+1,0),0),0)</f>
        <v/>
      </c>
      <c r="G108" s="141">
        <f>IF(offer_sale_type="транзит",IFERROR(VLOOKUP($B108,calc_data,G$14+1,0),0),0)</f>
        <v/>
      </c>
      <c r="H108" s="141">
        <f>E108*G108</f>
        <v/>
      </c>
      <c r="I108" s="141">
        <f>IF(offer_sale_type="транзит",IFERROR(ROUND(VLOOKUP($B108,calc_data,I$14+1,0),2),0),0)</f>
        <v/>
      </c>
      <c r="J108" s="141">
        <f>ROUND(IF(offer_sale_type="транзит",IFERROR(VLOOKUP($B108,calc_data,J$14+1,0),0),0),2)</f>
        <v/>
      </c>
      <c r="K108" s="142">
        <f>IF(offer_sale_type="транзит",IFERROR(ROUNDUP(VLOOKUP($B108,calc_data,K$14+1,0),2),0),0)</f>
        <v/>
      </c>
      <c r="L108" s="184">
        <f>IF(offer_sale_type="транзит",IFERROR(ROUNDUP(VLOOKUP($B108,calc_data,L$14+1,0),2),0),0)</f>
        <v/>
      </c>
      <c r="M108" s="141">
        <f>IF(offer_sale_type="транзит",IFERROR(ROUNDUP(VLOOKUP($B108,calc_data,M$14+1,0),2),0),0)</f>
        <v/>
      </c>
      <c r="N108" s="141">
        <f>IF(offer_sale_type="транзит",IFERROR(ROUNDUP(VLOOKUP($B108,calc_data,N$14+1,0),2),0),0)</f>
        <v/>
      </c>
      <c r="O108" s="147">
        <f>IF(offer_sale_type="транзит",IFERROR(ROUND(VLOOKUP($B108,calc_data,O$14+1,1),2),0),0)</f>
        <v/>
      </c>
      <c r="P108" s="141">
        <f>IF(offer_sale_type="транзит",IFERROR(ROUND(SUM(I108:J108,M108:O108)/E108,2),0),0)</f>
        <v/>
      </c>
      <c r="Q108" s="141">
        <f>E108*P108</f>
        <v/>
      </c>
      <c r="R108" s="141">
        <f>ROUND(Q108*IF(AND(offer_incoterms="DDP",seller_region="RU"),IF((TODAY()+offer_turnaround_time)&gt;=helpsheet!$L$17,rate_vatRU_from_26,rate_vatRu_till_25),0),2)</f>
        <v/>
      </c>
      <c r="S108" s="177">
        <f>Q108+IF(AND(offer_incoterms="DDP",seller_region="RU"),R108,0)</f>
        <v/>
      </c>
      <c r="T108" s="45" t="n"/>
      <c r="V108" s="57">
        <f>IF(Q108&gt;0,"показать","скрыть")</f>
        <v/>
      </c>
    </row>
    <row r="109" ht="15.75" customHeight="1">
      <c r="B109" s="809" t="n">
        <v>93</v>
      </c>
      <c r="C109" s="182">
        <f>IF(offer_sale_type="транзит",IFERROR(VLOOKUP($B109,calc_data,C$14+1,0),0),0)</f>
        <v/>
      </c>
      <c r="D109" s="280">
        <f>IF(offer_sale_type="транзит",IFERROR(VLOOKUP($B109,calc_data,D$14+1,0),0),0)</f>
        <v/>
      </c>
      <c r="E109" s="182">
        <f>IF(offer_sale_type="транзит",IFERROR(VLOOKUP($B109,calc_data,E$14+1,0),0),0)</f>
        <v/>
      </c>
      <c r="F109" s="182">
        <f>IF(offer_sale_type="транзит",IFERROR(VLOOKUP($B109,calc_data,F$14+1,0),0),0)</f>
        <v/>
      </c>
      <c r="G109" s="141">
        <f>IF(offer_sale_type="транзит",IFERROR(VLOOKUP($B109,calc_data,G$14+1,0),0),0)</f>
        <v/>
      </c>
      <c r="H109" s="141">
        <f>E109*G109</f>
        <v/>
      </c>
      <c r="I109" s="141">
        <f>IF(offer_sale_type="транзит",IFERROR(ROUND(VLOOKUP($B109,calc_data,I$14+1,0),2),0),0)</f>
        <v/>
      </c>
      <c r="J109" s="141">
        <f>ROUND(IF(offer_sale_type="транзит",IFERROR(VLOOKUP($B109,calc_data,J$14+1,0),0),0),2)</f>
        <v/>
      </c>
      <c r="K109" s="142">
        <f>IF(offer_sale_type="транзит",IFERROR(ROUNDUP(VLOOKUP($B109,calc_data,K$14+1,0),2),0),0)</f>
        <v/>
      </c>
      <c r="L109" s="184">
        <f>IF(offer_sale_type="транзит",IFERROR(ROUNDUP(VLOOKUP($B109,calc_data,L$14+1,0),2),0),0)</f>
        <v/>
      </c>
      <c r="M109" s="141">
        <f>IF(offer_sale_type="транзит",IFERROR(ROUNDUP(VLOOKUP($B109,calc_data,M$14+1,0),2),0),0)</f>
        <v/>
      </c>
      <c r="N109" s="141">
        <f>IF(offer_sale_type="транзит",IFERROR(ROUNDUP(VLOOKUP($B109,calc_data,N$14+1,0),2),0),0)</f>
        <v/>
      </c>
      <c r="O109" s="147">
        <f>IF(offer_sale_type="транзит",IFERROR(ROUND(VLOOKUP($B109,calc_data,O$14+1,1),2),0),0)</f>
        <v/>
      </c>
      <c r="P109" s="141">
        <f>IF(offer_sale_type="транзит",IFERROR(ROUND(SUM(I109:J109,M109:O109)/E109,2),0),0)</f>
        <v/>
      </c>
      <c r="Q109" s="141">
        <f>E109*P109</f>
        <v/>
      </c>
      <c r="R109" s="141">
        <f>ROUND(Q109*IF(AND(offer_incoterms="DDP",seller_region="RU"),IF((TODAY()+offer_turnaround_time)&gt;=helpsheet!$L$17,rate_vatRU_from_26,rate_vatRu_till_25),0),2)</f>
        <v/>
      </c>
      <c r="S109" s="177">
        <f>Q109+IF(AND(offer_incoterms="DDP",seller_region="RU"),R109,0)</f>
        <v/>
      </c>
      <c r="T109" s="45" t="n"/>
      <c r="V109" s="57">
        <f>IF(Q109&gt;0,"показать","скрыть")</f>
        <v/>
      </c>
    </row>
    <row r="110" ht="15.75" customHeight="1">
      <c r="B110" s="809" t="n">
        <v>94</v>
      </c>
      <c r="C110" s="182">
        <f>IF(offer_sale_type="транзит",IFERROR(VLOOKUP($B110,calc_data,C$14+1,0),0),0)</f>
        <v/>
      </c>
      <c r="D110" s="280">
        <f>IF(offer_sale_type="транзит",IFERROR(VLOOKUP($B110,calc_data,D$14+1,0),0),0)</f>
        <v/>
      </c>
      <c r="E110" s="182">
        <f>IF(offer_sale_type="транзит",IFERROR(VLOOKUP($B110,calc_data,E$14+1,0),0),0)</f>
        <v/>
      </c>
      <c r="F110" s="182">
        <f>IF(offer_sale_type="транзит",IFERROR(VLOOKUP($B110,calc_data,F$14+1,0),0),0)</f>
        <v/>
      </c>
      <c r="G110" s="141">
        <f>IF(offer_sale_type="транзит",IFERROR(VLOOKUP($B110,calc_data,G$14+1,0),0),0)</f>
        <v/>
      </c>
      <c r="H110" s="141">
        <f>E110*G110</f>
        <v/>
      </c>
      <c r="I110" s="141">
        <f>IF(offer_sale_type="транзит",IFERROR(ROUND(VLOOKUP($B110,calc_data,I$14+1,0),2),0),0)</f>
        <v/>
      </c>
      <c r="J110" s="141">
        <f>ROUND(IF(offer_sale_type="транзит",IFERROR(VLOOKUP($B110,calc_data,J$14+1,0),0),0),2)</f>
        <v/>
      </c>
      <c r="K110" s="142">
        <f>IF(offer_sale_type="транзит",IFERROR(ROUNDUP(VLOOKUP($B110,calc_data,K$14+1,0),2),0),0)</f>
        <v/>
      </c>
      <c r="L110" s="184">
        <f>IF(offer_sale_type="транзит",IFERROR(ROUNDUP(VLOOKUP($B110,calc_data,L$14+1,0),2),0),0)</f>
        <v/>
      </c>
      <c r="M110" s="141">
        <f>IF(offer_sale_type="транзит",IFERROR(ROUNDUP(VLOOKUP($B110,calc_data,M$14+1,0),2),0),0)</f>
        <v/>
      </c>
      <c r="N110" s="141">
        <f>IF(offer_sale_type="транзит",IFERROR(ROUNDUP(VLOOKUP($B110,calc_data,N$14+1,0),2),0),0)</f>
        <v/>
      </c>
      <c r="O110" s="147">
        <f>IF(offer_sale_type="транзит",IFERROR(ROUND(VLOOKUP($B110,calc_data,O$14+1,1),2),0),0)</f>
        <v/>
      </c>
      <c r="P110" s="141">
        <f>IF(offer_sale_type="транзит",IFERROR(ROUND(SUM(I110:J110,M110:O110)/E110,2),0),0)</f>
        <v/>
      </c>
      <c r="Q110" s="141">
        <f>E110*P110</f>
        <v/>
      </c>
      <c r="R110" s="141">
        <f>ROUND(Q110*IF(AND(offer_incoterms="DDP",seller_region="RU"),IF((TODAY()+offer_turnaround_time)&gt;=helpsheet!$L$17,rate_vatRU_from_26,rate_vatRu_till_25),0),2)</f>
        <v/>
      </c>
      <c r="S110" s="177">
        <f>Q110+IF(AND(offer_incoterms="DDP",seller_region="RU"),R110,0)</f>
        <v/>
      </c>
      <c r="T110" s="45" t="n"/>
      <c r="V110" s="57">
        <f>IF(Q110&gt;0,"показать","скрыть")</f>
        <v/>
      </c>
    </row>
    <row r="111" ht="15.75" customHeight="1">
      <c r="B111" s="809" t="n">
        <v>95</v>
      </c>
      <c r="C111" s="182">
        <f>IF(offer_sale_type="транзит",IFERROR(VLOOKUP($B111,calc_data,C$14+1,0),0),0)</f>
        <v/>
      </c>
      <c r="D111" s="280">
        <f>IF(offer_sale_type="транзит",IFERROR(VLOOKUP($B111,calc_data,D$14+1,0),0),0)</f>
        <v/>
      </c>
      <c r="E111" s="182">
        <f>IF(offer_sale_type="транзит",IFERROR(VLOOKUP($B111,calc_data,E$14+1,0),0),0)</f>
        <v/>
      </c>
      <c r="F111" s="182">
        <f>IF(offer_sale_type="транзит",IFERROR(VLOOKUP($B111,calc_data,F$14+1,0),0),0)</f>
        <v/>
      </c>
      <c r="G111" s="141">
        <f>IF(offer_sale_type="транзит",IFERROR(VLOOKUP($B111,calc_data,G$14+1,0),0),0)</f>
        <v/>
      </c>
      <c r="H111" s="141">
        <f>E111*G111</f>
        <v/>
      </c>
      <c r="I111" s="141">
        <f>IF(offer_sale_type="транзит",IFERROR(ROUND(VLOOKUP($B111,calc_data,I$14+1,0),2),0),0)</f>
        <v/>
      </c>
      <c r="J111" s="141">
        <f>ROUND(IF(offer_sale_type="транзит",IFERROR(VLOOKUP($B111,calc_data,J$14+1,0),0),0),2)</f>
        <v/>
      </c>
      <c r="K111" s="142">
        <f>IF(offer_sale_type="транзит",IFERROR(ROUNDUP(VLOOKUP($B111,calc_data,K$14+1,0),2),0),0)</f>
        <v/>
      </c>
      <c r="L111" s="184">
        <f>IF(offer_sale_type="транзит",IFERROR(ROUNDUP(VLOOKUP($B111,calc_data,L$14+1,0),2),0),0)</f>
        <v/>
      </c>
      <c r="M111" s="141">
        <f>IF(offer_sale_type="транзит",IFERROR(ROUNDUP(VLOOKUP($B111,calc_data,M$14+1,0),2),0),0)</f>
        <v/>
      </c>
      <c r="N111" s="141">
        <f>IF(offer_sale_type="транзит",IFERROR(ROUNDUP(VLOOKUP($B111,calc_data,N$14+1,0),2),0),0)</f>
        <v/>
      </c>
      <c r="O111" s="147">
        <f>IF(offer_sale_type="транзит",IFERROR(ROUND(VLOOKUP($B111,calc_data,O$14+1,1),2),0),0)</f>
        <v/>
      </c>
      <c r="P111" s="141">
        <f>IF(offer_sale_type="транзит",IFERROR(ROUND(SUM(I111:J111,M111:O111)/E111,2),0),0)</f>
        <v/>
      </c>
      <c r="Q111" s="141">
        <f>E111*P111</f>
        <v/>
      </c>
      <c r="R111" s="141">
        <f>ROUND(Q111*IF(AND(offer_incoterms="DDP",seller_region="RU"),IF((TODAY()+offer_turnaround_time)&gt;=helpsheet!$L$17,rate_vatRU_from_26,rate_vatRu_till_25),0),2)</f>
        <v/>
      </c>
      <c r="S111" s="177">
        <f>Q111+IF(AND(offer_incoterms="DDP",seller_region="RU"),R111,0)</f>
        <v/>
      </c>
      <c r="T111" s="45" t="n"/>
      <c r="V111" s="57">
        <f>IF(Q111&gt;0,"показать","скрыть")</f>
        <v/>
      </c>
    </row>
    <row r="112" ht="15.75" customHeight="1">
      <c r="B112" s="809" t="n">
        <v>96</v>
      </c>
      <c r="C112" s="182">
        <f>IF(offer_sale_type="транзит",IFERROR(VLOOKUP($B112,calc_data,C$14+1,0),0),0)</f>
        <v/>
      </c>
      <c r="D112" s="280">
        <f>IF(offer_sale_type="транзит",IFERROR(VLOOKUP($B112,calc_data,D$14+1,0),0),0)</f>
        <v/>
      </c>
      <c r="E112" s="182">
        <f>IF(offer_sale_type="транзит",IFERROR(VLOOKUP($B112,calc_data,E$14+1,0),0),0)</f>
        <v/>
      </c>
      <c r="F112" s="182">
        <f>IF(offer_sale_type="транзит",IFERROR(VLOOKUP($B112,calc_data,F$14+1,0),0),0)</f>
        <v/>
      </c>
      <c r="G112" s="141">
        <f>IF(offer_sale_type="транзит",IFERROR(VLOOKUP($B112,calc_data,G$14+1,0),0),0)</f>
        <v/>
      </c>
      <c r="H112" s="141">
        <f>E112*G112</f>
        <v/>
      </c>
      <c r="I112" s="141">
        <f>IF(offer_sale_type="транзит",IFERROR(ROUND(VLOOKUP($B112,calc_data,I$14+1,0),2),0),0)</f>
        <v/>
      </c>
      <c r="J112" s="141">
        <f>ROUND(IF(offer_sale_type="транзит",IFERROR(VLOOKUP($B112,calc_data,J$14+1,0),0),0),2)</f>
        <v/>
      </c>
      <c r="K112" s="142">
        <f>IF(offer_sale_type="транзит",IFERROR(ROUNDUP(VLOOKUP($B112,calc_data,K$14+1,0),2),0),0)</f>
        <v/>
      </c>
      <c r="L112" s="184">
        <f>IF(offer_sale_type="транзит",IFERROR(ROUNDUP(VLOOKUP($B112,calc_data,L$14+1,0),2),0),0)</f>
        <v/>
      </c>
      <c r="M112" s="141">
        <f>IF(offer_sale_type="транзит",IFERROR(ROUNDUP(VLOOKUP($B112,calc_data,M$14+1,0),2),0),0)</f>
        <v/>
      </c>
      <c r="N112" s="141">
        <f>IF(offer_sale_type="транзит",IFERROR(ROUNDUP(VLOOKUP($B112,calc_data,N$14+1,0),2),0),0)</f>
        <v/>
      </c>
      <c r="O112" s="147">
        <f>IF(offer_sale_type="транзит",IFERROR(ROUND(VLOOKUP($B112,calc_data,O$14+1,1),2),0),0)</f>
        <v/>
      </c>
      <c r="P112" s="141">
        <f>IF(offer_sale_type="транзит",IFERROR(ROUND(SUM(I112:J112,M112:O112)/E112,2),0),0)</f>
        <v/>
      </c>
      <c r="Q112" s="141">
        <f>E112*P112</f>
        <v/>
      </c>
      <c r="R112" s="141">
        <f>ROUND(Q112*IF(AND(offer_incoterms="DDP",seller_region="RU"),IF((TODAY()+offer_turnaround_time)&gt;=helpsheet!$L$17,rate_vatRU_from_26,rate_vatRu_till_25),0),2)</f>
        <v/>
      </c>
      <c r="S112" s="177">
        <f>Q112+IF(AND(offer_incoterms="DDP",seller_region="RU"),R112,0)</f>
        <v/>
      </c>
      <c r="T112" s="45" t="n"/>
      <c r="V112" s="57">
        <f>IF(Q112&gt;0,"показать","скрыть")</f>
        <v/>
      </c>
    </row>
    <row r="113" ht="15.75" customHeight="1">
      <c r="B113" s="809" t="n">
        <v>97</v>
      </c>
      <c r="C113" s="182">
        <f>IF(offer_sale_type="транзит",IFERROR(VLOOKUP($B113,calc_data,C$14+1,0),0),0)</f>
        <v/>
      </c>
      <c r="D113" s="280">
        <f>IF(offer_sale_type="транзит",IFERROR(VLOOKUP($B113,calc_data,D$14+1,0),0),0)</f>
        <v/>
      </c>
      <c r="E113" s="182">
        <f>IF(offer_sale_type="транзит",IFERROR(VLOOKUP($B113,calc_data,E$14+1,0),0),0)</f>
        <v/>
      </c>
      <c r="F113" s="182">
        <f>IF(offer_sale_type="транзит",IFERROR(VLOOKUP($B113,calc_data,F$14+1,0),0),0)</f>
        <v/>
      </c>
      <c r="G113" s="141">
        <f>IF(offer_sale_type="транзит",IFERROR(VLOOKUP($B113,calc_data,G$14+1,0),0),0)</f>
        <v/>
      </c>
      <c r="H113" s="141">
        <f>E113*G113</f>
        <v/>
      </c>
      <c r="I113" s="141">
        <f>IF(offer_sale_type="транзит",IFERROR(ROUND(VLOOKUP($B113,calc_data,I$14+1,0),2),0),0)</f>
        <v/>
      </c>
      <c r="J113" s="141">
        <f>ROUND(IF(offer_sale_type="транзит",IFERROR(VLOOKUP($B113,calc_data,J$14+1,0),0),0),2)</f>
        <v/>
      </c>
      <c r="K113" s="142">
        <f>IF(offer_sale_type="транзит",IFERROR(ROUNDUP(VLOOKUP($B113,calc_data,K$14+1,0),2),0),0)</f>
        <v/>
      </c>
      <c r="L113" s="184">
        <f>IF(offer_sale_type="транзит",IFERROR(ROUNDUP(VLOOKUP($B113,calc_data,L$14+1,0),2),0),0)</f>
        <v/>
      </c>
      <c r="M113" s="141">
        <f>IF(offer_sale_type="транзит",IFERROR(ROUNDUP(VLOOKUP($B113,calc_data,M$14+1,0),2),0),0)</f>
        <v/>
      </c>
      <c r="N113" s="141">
        <f>IF(offer_sale_type="транзит",IFERROR(ROUNDUP(VLOOKUP($B113,calc_data,N$14+1,0),2),0),0)</f>
        <v/>
      </c>
      <c r="O113" s="147">
        <f>IF(offer_sale_type="транзит",IFERROR(ROUND(VLOOKUP($B113,calc_data,O$14+1,1),2),0),0)</f>
        <v/>
      </c>
      <c r="P113" s="141">
        <f>IF(offer_sale_type="транзит",IFERROR(ROUND(SUM(I113:J113,M113:O113)/E113,2),0),0)</f>
        <v/>
      </c>
      <c r="Q113" s="141">
        <f>E113*P113</f>
        <v/>
      </c>
      <c r="R113" s="141">
        <f>ROUND(Q113*IF(AND(offer_incoterms="DDP",seller_region="RU"),IF((TODAY()+offer_turnaround_time)&gt;=helpsheet!$L$17,rate_vatRU_from_26,rate_vatRu_till_25),0),2)</f>
        <v/>
      </c>
      <c r="S113" s="177">
        <f>Q113+IF(AND(offer_incoterms="DDP",seller_region="RU"),R113,0)</f>
        <v/>
      </c>
      <c r="T113" s="45" t="n"/>
      <c r="V113" s="57">
        <f>IF(Q113&gt;0,"показать","скрыть")</f>
        <v/>
      </c>
    </row>
    <row r="114" ht="15.75" customHeight="1">
      <c r="B114" s="809" t="n">
        <v>98</v>
      </c>
      <c r="C114" s="182">
        <f>IF(offer_sale_type="транзит",IFERROR(VLOOKUP($B114,calc_data,C$14+1,0),0),0)</f>
        <v/>
      </c>
      <c r="D114" s="280">
        <f>IF(offer_sale_type="транзит",IFERROR(VLOOKUP($B114,calc_data,D$14+1,0),0),0)</f>
        <v/>
      </c>
      <c r="E114" s="182">
        <f>IF(offer_sale_type="транзит",IFERROR(VLOOKUP($B114,calc_data,E$14+1,0),0),0)</f>
        <v/>
      </c>
      <c r="F114" s="182">
        <f>IF(offer_sale_type="транзит",IFERROR(VLOOKUP($B114,calc_data,F$14+1,0),0),0)</f>
        <v/>
      </c>
      <c r="G114" s="141">
        <f>IF(offer_sale_type="транзит",IFERROR(VLOOKUP($B114,calc_data,G$14+1,0),0),0)</f>
        <v/>
      </c>
      <c r="H114" s="141">
        <f>E114*G114</f>
        <v/>
      </c>
      <c r="I114" s="141">
        <f>IF(offer_sale_type="транзит",IFERROR(ROUND(VLOOKUP($B114,calc_data,I$14+1,0),2),0),0)</f>
        <v/>
      </c>
      <c r="J114" s="141">
        <f>ROUND(IF(offer_sale_type="транзит",IFERROR(VLOOKUP($B114,calc_data,J$14+1,0),0),0),2)</f>
        <v/>
      </c>
      <c r="K114" s="142">
        <f>IF(offer_sale_type="транзит",IFERROR(ROUNDUP(VLOOKUP($B114,calc_data,K$14+1,0),2),0),0)</f>
        <v/>
      </c>
      <c r="L114" s="184">
        <f>IF(offer_sale_type="транзит",IFERROR(ROUNDUP(VLOOKUP($B114,calc_data,L$14+1,0),2),0),0)</f>
        <v/>
      </c>
      <c r="M114" s="141">
        <f>IF(offer_sale_type="транзит",IFERROR(ROUNDUP(VLOOKUP($B114,calc_data,M$14+1,0),2),0),0)</f>
        <v/>
      </c>
      <c r="N114" s="141">
        <f>IF(offer_sale_type="транзит",IFERROR(ROUNDUP(VLOOKUP($B114,calc_data,N$14+1,0),2),0),0)</f>
        <v/>
      </c>
      <c r="O114" s="147">
        <f>IF(offer_sale_type="транзит",IFERROR(ROUND(VLOOKUP($B114,calc_data,O$14+1,1),2),0),0)</f>
        <v/>
      </c>
      <c r="P114" s="141">
        <f>IF(offer_sale_type="транзит",IFERROR(ROUND(SUM(I114:J114,M114:O114)/E114,2),0),0)</f>
        <v/>
      </c>
      <c r="Q114" s="141">
        <f>E114*P114</f>
        <v/>
      </c>
      <c r="R114" s="141">
        <f>ROUND(Q114*IF(AND(offer_incoterms="DDP",seller_region="RU"),IF((TODAY()+offer_turnaround_time)&gt;=helpsheet!$L$17,rate_vatRU_from_26,rate_vatRu_till_25),0),2)</f>
        <v/>
      </c>
      <c r="S114" s="177">
        <f>Q114+IF(AND(offer_incoterms="DDP",seller_region="RU"),R114,0)</f>
        <v/>
      </c>
      <c r="T114" s="45" t="n"/>
      <c r="V114" s="57">
        <f>IF(Q114&gt;0,"показать","скрыть")</f>
        <v/>
      </c>
    </row>
    <row r="115" ht="15.75" customHeight="1">
      <c r="B115" s="809" t="n">
        <v>99</v>
      </c>
      <c r="C115" s="182">
        <f>IF(offer_sale_type="транзит",IFERROR(VLOOKUP($B115,calc_data,C$14+1,0),0),0)</f>
        <v/>
      </c>
      <c r="D115" s="280">
        <f>IF(offer_sale_type="транзит",IFERROR(VLOOKUP($B115,calc_data,D$14+1,0),0),0)</f>
        <v/>
      </c>
      <c r="E115" s="182">
        <f>IF(offer_sale_type="транзит",IFERROR(VLOOKUP($B115,calc_data,E$14+1,0),0),0)</f>
        <v/>
      </c>
      <c r="F115" s="182">
        <f>IF(offer_sale_type="транзит",IFERROR(VLOOKUP($B115,calc_data,F$14+1,0),0),0)</f>
        <v/>
      </c>
      <c r="G115" s="141">
        <f>IF(offer_sale_type="транзит",IFERROR(VLOOKUP($B115,calc_data,G$14+1,0),0),0)</f>
        <v/>
      </c>
      <c r="H115" s="141">
        <f>E115*G115</f>
        <v/>
      </c>
      <c r="I115" s="141">
        <f>IF(offer_sale_type="транзит",IFERROR(ROUND(VLOOKUP($B115,calc_data,I$14+1,0),2),0),0)</f>
        <v/>
      </c>
      <c r="J115" s="141">
        <f>ROUND(IF(offer_sale_type="транзит",IFERROR(VLOOKUP($B115,calc_data,J$14+1,0),0),0),2)</f>
        <v/>
      </c>
      <c r="K115" s="142">
        <f>IF(offer_sale_type="транзит",IFERROR(ROUNDUP(VLOOKUP($B115,calc_data,K$14+1,0),2),0),0)</f>
        <v/>
      </c>
      <c r="L115" s="184">
        <f>IF(offer_sale_type="транзит",IFERROR(ROUNDUP(VLOOKUP($B115,calc_data,L$14+1,0),2),0),0)</f>
        <v/>
      </c>
      <c r="M115" s="141">
        <f>IF(offer_sale_type="транзит",IFERROR(ROUNDUP(VLOOKUP($B115,calc_data,M$14+1,0),2),0),0)</f>
        <v/>
      </c>
      <c r="N115" s="141">
        <f>IF(offer_sale_type="транзит",IFERROR(ROUNDUP(VLOOKUP($B115,calc_data,N$14+1,0),2),0),0)</f>
        <v/>
      </c>
      <c r="O115" s="147">
        <f>IF(offer_sale_type="транзит",IFERROR(ROUND(VLOOKUP($B115,calc_data,O$14+1,1),2),0),0)</f>
        <v/>
      </c>
      <c r="P115" s="141">
        <f>IF(offer_sale_type="транзит",IFERROR(ROUND(SUM(I115:J115,M115:O115)/E115,2),0),0)</f>
        <v/>
      </c>
      <c r="Q115" s="141">
        <f>E115*P115</f>
        <v/>
      </c>
      <c r="R115" s="141">
        <f>ROUND(Q115*IF(AND(offer_incoterms="DDP",seller_region="RU"),IF((TODAY()+offer_turnaround_time)&gt;=helpsheet!$L$17,rate_vatRU_from_26,rate_vatRu_till_25),0),2)</f>
        <v/>
      </c>
      <c r="S115" s="177">
        <f>Q115+IF(AND(offer_incoterms="DDP",seller_region="RU"),R115,0)</f>
        <v/>
      </c>
      <c r="T115" s="45" t="n"/>
      <c r="V115" s="57">
        <f>IF(Q115&gt;0,"показать","скрыть")</f>
        <v/>
      </c>
    </row>
    <row r="116" ht="15.75" customHeight="1">
      <c r="B116" s="809" t="n">
        <v>100</v>
      </c>
      <c r="C116" s="182">
        <f>IF(offer_sale_type="транзит",IFERROR(VLOOKUP($B116,calc_data,C$14+1,0),0),0)</f>
        <v/>
      </c>
      <c r="D116" s="280">
        <f>IF(offer_sale_type="транзит",IFERROR(VLOOKUP($B116,calc_data,D$14+1,0),0),0)</f>
        <v/>
      </c>
      <c r="E116" s="182">
        <f>IF(offer_sale_type="транзит",IFERROR(VLOOKUP($B116,calc_data,E$14+1,0),0),0)</f>
        <v/>
      </c>
      <c r="F116" s="182">
        <f>IF(offer_sale_type="транзит",IFERROR(VLOOKUP($B116,calc_data,F$14+1,0),0),0)</f>
        <v/>
      </c>
      <c r="G116" s="141">
        <f>IF(offer_sale_type="транзит",IFERROR(VLOOKUP($B116,calc_data,G$14+1,0),0),0)</f>
        <v/>
      </c>
      <c r="H116" s="141">
        <f>E116*G116</f>
        <v/>
      </c>
      <c r="I116" s="141">
        <f>IF(offer_sale_type="транзит",IFERROR(ROUND(VLOOKUP($B116,calc_data,I$14+1,0),2),0),0)</f>
        <v/>
      </c>
      <c r="J116" s="141">
        <f>ROUND(IF(offer_sale_type="транзит",IFERROR(VLOOKUP($B116,calc_data,J$14+1,0),0),0),2)</f>
        <v/>
      </c>
      <c r="K116" s="142">
        <f>IF(offer_sale_type="транзит",IFERROR(ROUNDUP(VLOOKUP($B116,calc_data,K$14+1,0),2),0),0)</f>
        <v/>
      </c>
      <c r="L116" s="184">
        <f>IF(offer_sale_type="транзит",IFERROR(ROUNDUP(VLOOKUP($B116,calc_data,L$14+1,0),2),0),0)</f>
        <v/>
      </c>
      <c r="M116" s="141">
        <f>IF(offer_sale_type="транзит",IFERROR(ROUNDUP(VLOOKUP($B116,calc_data,M$14+1,0),2),0),0)</f>
        <v/>
      </c>
      <c r="N116" s="141">
        <f>IF(offer_sale_type="транзит",IFERROR(ROUNDUP(VLOOKUP($B116,calc_data,N$14+1,0),2),0),0)</f>
        <v/>
      </c>
      <c r="O116" s="147">
        <f>IF(offer_sale_type="транзит",IFERROR(ROUND(VLOOKUP($B116,calc_data,O$14+1,1),2),0),0)</f>
        <v/>
      </c>
      <c r="P116" s="141">
        <f>IF(offer_sale_type="транзит",IFERROR(ROUND(SUM(I116:J116,M116:O116)/E116,2),0),0)</f>
        <v/>
      </c>
      <c r="Q116" s="141">
        <f>E116*P116</f>
        <v/>
      </c>
      <c r="R116" s="141">
        <f>ROUND(Q116*IF(AND(offer_incoterms="DDP",seller_region="RU"),IF((TODAY()+offer_turnaround_time)&gt;=helpsheet!$L$17,rate_vatRU_from_26,rate_vatRu_till_25),0),2)</f>
        <v/>
      </c>
      <c r="S116" s="177">
        <f>Q116+IF(AND(offer_incoterms="DDP",seller_region="RU"),R116,0)</f>
        <v/>
      </c>
      <c r="T116" s="45" t="n"/>
      <c r="V116" s="57">
        <f>IF(Q116&gt;0,"показать","скрыть")</f>
        <v/>
      </c>
    </row>
    <row r="117" ht="15.75" customHeight="1">
      <c r="B117" s="809" t="n">
        <v>101</v>
      </c>
      <c r="C117" s="182">
        <f>IF(offer_sale_type="транзит",IFERROR(VLOOKUP($B117,calc_data,C$14+1,0),0),0)</f>
        <v/>
      </c>
      <c r="D117" s="280">
        <f>IF(offer_sale_type="транзит",IFERROR(VLOOKUP($B117,calc_data,D$14+1,0),0),0)</f>
        <v/>
      </c>
      <c r="E117" s="182">
        <f>IF(offer_sale_type="транзит",IFERROR(VLOOKUP($B117,calc_data,E$14+1,0),0),0)</f>
        <v/>
      </c>
      <c r="F117" s="182">
        <f>IF(offer_sale_type="транзит",IFERROR(VLOOKUP($B117,calc_data,F$14+1,0),0),0)</f>
        <v/>
      </c>
      <c r="G117" s="141">
        <f>IF(offer_sale_type="транзит",IFERROR(VLOOKUP($B117,calc_data,G$14+1,0),0),0)</f>
        <v/>
      </c>
      <c r="H117" s="141">
        <f>E117*G117</f>
        <v/>
      </c>
      <c r="I117" s="141">
        <f>IF(offer_sale_type="транзит",IFERROR(ROUND(VLOOKUP($B117,calc_data,I$14+1,0),2),0),0)</f>
        <v/>
      </c>
      <c r="J117" s="141">
        <f>ROUND(IF(offer_sale_type="транзит",IFERROR(VLOOKUP($B117,calc_data,J$14+1,0),0),0),2)</f>
        <v/>
      </c>
      <c r="K117" s="142">
        <f>IF(offer_sale_type="транзит",IFERROR(ROUNDUP(VLOOKUP($B117,calc_data,K$14+1,0),2),0),0)</f>
        <v/>
      </c>
      <c r="L117" s="184">
        <f>IF(offer_sale_type="транзит",IFERROR(ROUNDUP(VLOOKUP($B117,calc_data,L$14+1,0),2),0),0)</f>
        <v/>
      </c>
      <c r="M117" s="141">
        <f>IF(offer_sale_type="транзит",IFERROR(ROUNDUP(VLOOKUP($B117,calc_data,M$14+1,0),2),0),0)</f>
        <v/>
      </c>
      <c r="N117" s="141">
        <f>IF(offer_sale_type="транзит",IFERROR(ROUNDUP(VLOOKUP($B117,calc_data,N$14+1,0),2),0),0)</f>
        <v/>
      </c>
      <c r="O117" s="147">
        <f>IF(offer_sale_type="транзит",IFERROR(ROUND(VLOOKUP($B117,calc_data,O$14+1,1),2),0),0)</f>
        <v/>
      </c>
      <c r="P117" s="141">
        <f>IF(offer_sale_type="транзит",IFERROR(ROUND(SUM(I117:J117,M117:O117)/E117,2),0),0)</f>
        <v/>
      </c>
      <c r="Q117" s="141">
        <f>E117*P117</f>
        <v/>
      </c>
      <c r="R117" s="141">
        <f>ROUND(Q117*IF(AND(offer_incoterms="DDP",seller_region="RU"),IF((TODAY()+offer_turnaround_time)&gt;=helpsheet!$L$17,rate_vatRU_from_26,rate_vatRu_till_25),0),2)</f>
        <v/>
      </c>
      <c r="S117" s="177">
        <f>Q117+IF(AND(offer_incoterms="DDP",seller_region="RU"),R117,0)</f>
        <v/>
      </c>
      <c r="T117" s="45" t="n"/>
      <c r="V117" s="57">
        <f>IF(Q117&gt;0,"показать","скрыть")</f>
        <v/>
      </c>
    </row>
    <row r="118" ht="15.75" customHeight="1">
      <c r="B118" s="809" t="n">
        <v>102</v>
      </c>
      <c r="C118" s="182">
        <f>IF(offer_sale_type="транзит",IFERROR(VLOOKUP($B118,calc_data,C$14+1,0),0),0)</f>
        <v/>
      </c>
      <c r="D118" s="280">
        <f>IF(offer_sale_type="транзит",IFERROR(VLOOKUP($B118,calc_data,D$14+1,0),0),0)</f>
        <v/>
      </c>
      <c r="E118" s="182">
        <f>IF(offer_sale_type="транзит",IFERROR(VLOOKUP($B118,calc_data,E$14+1,0),0),0)</f>
        <v/>
      </c>
      <c r="F118" s="182">
        <f>IF(offer_sale_type="транзит",IFERROR(VLOOKUP($B118,calc_data,F$14+1,0),0),0)</f>
        <v/>
      </c>
      <c r="G118" s="141">
        <f>IF(offer_sale_type="транзит",IFERROR(VLOOKUP($B118,calc_data,G$14+1,0),0),0)</f>
        <v/>
      </c>
      <c r="H118" s="141">
        <f>E118*G118</f>
        <v/>
      </c>
      <c r="I118" s="141">
        <f>IF(offer_sale_type="транзит",IFERROR(ROUND(VLOOKUP($B118,calc_data,I$14+1,0),2),0),0)</f>
        <v/>
      </c>
      <c r="J118" s="141">
        <f>ROUND(IF(offer_sale_type="транзит",IFERROR(VLOOKUP($B118,calc_data,J$14+1,0),0),0),2)</f>
        <v/>
      </c>
      <c r="K118" s="142">
        <f>IF(offer_sale_type="транзит",IFERROR(ROUNDUP(VLOOKUP($B118,calc_data,K$14+1,0),2),0),0)</f>
        <v/>
      </c>
      <c r="L118" s="184">
        <f>IF(offer_sale_type="транзит",IFERROR(ROUNDUP(VLOOKUP($B118,calc_data,L$14+1,0),2),0),0)</f>
        <v/>
      </c>
      <c r="M118" s="141">
        <f>IF(offer_sale_type="транзит",IFERROR(ROUNDUP(VLOOKUP($B118,calc_data,M$14+1,0),2),0),0)</f>
        <v/>
      </c>
      <c r="N118" s="141">
        <f>IF(offer_sale_type="транзит",IFERROR(ROUNDUP(VLOOKUP($B118,calc_data,N$14+1,0),2),0),0)</f>
        <v/>
      </c>
      <c r="O118" s="147">
        <f>IF(offer_sale_type="транзит",IFERROR(ROUND(VLOOKUP($B118,calc_data,O$14+1,1),2),0),0)</f>
        <v/>
      </c>
      <c r="P118" s="141">
        <f>IF(offer_sale_type="транзит",IFERROR(ROUND(SUM(I118:J118,M118:O118)/E118,2),0),0)</f>
        <v/>
      </c>
      <c r="Q118" s="141">
        <f>E118*P118</f>
        <v/>
      </c>
      <c r="R118" s="141">
        <f>ROUND(Q118*IF(AND(offer_incoterms="DDP",seller_region="RU"),IF((TODAY()+offer_turnaround_time)&gt;=helpsheet!$L$17,rate_vatRU_from_26,rate_vatRu_till_25),0),2)</f>
        <v/>
      </c>
      <c r="S118" s="177">
        <f>Q118+IF(AND(offer_incoterms="DDP",seller_region="RU"),R118,0)</f>
        <v/>
      </c>
      <c r="T118" s="45" t="n"/>
      <c r="V118" s="57">
        <f>IF(Q118&gt;0,"показать","скрыть")</f>
        <v/>
      </c>
    </row>
    <row r="119" ht="15.75" customHeight="1">
      <c r="B119" s="809" t="n">
        <v>103</v>
      </c>
      <c r="C119" s="182">
        <f>IF(offer_sale_type="транзит",IFERROR(VLOOKUP($B119,calc_data,C$14+1,0),0),0)</f>
        <v/>
      </c>
      <c r="D119" s="280">
        <f>IF(offer_sale_type="транзит",IFERROR(VLOOKUP($B119,calc_data,D$14+1,0),0),0)</f>
        <v/>
      </c>
      <c r="E119" s="182">
        <f>IF(offer_sale_type="транзит",IFERROR(VLOOKUP($B119,calc_data,E$14+1,0),0),0)</f>
        <v/>
      </c>
      <c r="F119" s="182">
        <f>IF(offer_sale_type="транзит",IFERROR(VLOOKUP($B119,calc_data,F$14+1,0),0),0)</f>
        <v/>
      </c>
      <c r="G119" s="141">
        <f>IF(offer_sale_type="транзит",IFERROR(VLOOKUP($B119,calc_data,G$14+1,0),0),0)</f>
        <v/>
      </c>
      <c r="H119" s="141">
        <f>E119*G119</f>
        <v/>
      </c>
      <c r="I119" s="141">
        <f>IF(offer_sale_type="транзит",IFERROR(ROUND(VLOOKUP($B119,calc_data,I$14+1,0),2),0),0)</f>
        <v/>
      </c>
      <c r="J119" s="141">
        <f>ROUND(IF(offer_sale_type="транзит",IFERROR(VLOOKUP($B119,calc_data,J$14+1,0),0),0),2)</f>
        <v/>
      </c>
      <c r="K119" s="142">
        <f>IF(offer_sale_type="транзит",IFERROR(ROUNDUP(VLOOKUP($B119,calc_data,K$14+1,0),2),0),0)</f>
        <v/>
      </c>
      <c r="L119" s="184">
        <f>IF(offer_sale_type="транзит",IFERROR(ROUNDUP(VLOOKUP($B119,calc_data,L$14+1,0),2),0),0)</f>
        <v/>
      </c>
      <c r="M119" s="141">
        <f>IF(offer_sale_type="транзит",IFERROR(ROUNDUP(VLOOKUP($B119,calc_data,M$14+1,0),2),0),0)</f>
        <v/>
      </c>
      <c r="N119" s="141">
        <f>IF(offer_sale_type="транзит",IFERROR(ROUNDUP(VLOOKUP($B119,calc_data,N$14+1,0),2),0),0)</f>
        <v/>
      </c>
      <c r="O119" s="147">
        <f>IF(offer_sale_type="транзит",IFERROR(ROUND(VLOOKUP($B119,calc_data,O$14+1,1),2),0),0)</f>
        <v/>
      </c>
      <c r="P119" s="141">
        <f>IF(offer_sale_type="транзит",IFERROR(ROUND(SUM(I119:J119,M119:O119)/E119,2),0),0)</f>
        <v/>
      </c>
      <c r="Q119" s="141">
        <f>E119*P119</f>
        <v/>
      </c>
      <c r="R119" s="141">
        <f>ROUND(Q119*IF(AND(offer_incoterms="DDP",seller_region="RU"),IF((TODAY()+offer_turnaround_time)&gt;=helpsheet!$L$17,rate_vatRU_from_26,rate_vatRu_till_25),0),2)</f>
        <v/>
      </c>
      <c r="S119" s="177">
        <f>Q119+IF(AND(offer_incoterms="DDP",seller_region="RU"),R119,0)</f>
        <v/>
      </c>
      <c r="T119" s="45" t="n"/>
      <c r="V119" s="57">
        <f>IF(Q119&gt;0,"показать","скрыть")</f>
        <v/>
      </c>
    </row>
    <row r="120" ht="15.75" customHeight="1">
      <c r="B120" s="809" t="n">
        <v>104</v>
      </c>
      <c r="C120" s="182">
        <f>IF(offer_sale_type="транзит",IFERROR(VLOOKUP($B120,calc_data,C$14+1,0),0),0)</f>
        <v/>
      </c>
      <c r="D120" s="280">
        <f>IF(offer_sale_type="транзит",IFERROR(VLOOKUP($B120,calc_data,D$14+1,0),0),0)</f>
        <v/>
      </c>
      <c r="E120" s="182">
        <f>IF(offer_sale_type="транзит",IFERROR(VLOOKUP($B120,calc_data,E$14+1,0),0),0)</f>
        <v/>
      </c>
      <c r="F120" s="182">
        <f>IF(offer_sale_type="транзит",IFERROR(VLOOKUP($B120,calc_data,F$14+1,0),0),0)</f>
        <v/>
      </c>
      <c r="G120" s="141">
        <f>IF(offer_sale_type="транзит",IFERROR(VLOOKUP($B120,calc_data,G$14+1,0),0),0)</f>
        <v/>
      </c>
      <c r="H120" s="141">
        <f>E120*G120</f>
        <v/>
      </c>
      <c r="I120" s="141">
        <f>IF(offer_sale_type="транзит",IFERROR(ROUND(VLOOKUP($B120,calc_data,I$14+1,0),2),0),0)</f>
        <v/>
      </c>
      <c r="J120" s="141">
        <f>ROUND(IF(offer_sale_type="транзит",IFERROR(VLOOKUP($B120,calc_data,J$14+1,0),0),0),2)</f>
        <v/>
      </c>
      <c r="K120" s="142">
        <f>IF(offer_sale_type="транзит",IFERROR(ROUNDUP(VLOOKUP($B120,calc_data,K$14+1,0),2),0),0)</f>
        <v/>
      </c>
      <c r="L120" s="184">
        <f>IF(offer_sale_type="транзит",IFERROR(ROUNDUP(VLOOKUP($B120,calc_data,L$14+1,0),2),0),0)</f>
        <v/>
      </c>
      <c r="M120" s="141">
        <f>IF(offer_sale_type="транзит",IFERROR(ROUNDUP(VLOOKUP($B120,calc_data,M$14+1,0),2),0),0)</f>
        <v/>
      </c>
      <c r="N120" s="141">
        <f>IF(offer_sale_type="транзит",IFERROR(ROUNDUP(VLOOKUP($B120,calc_data,N$14+1,0),2),0),0)</f>
        <v/>
      </c>
      <c r="O120" s="147">
        <f>IF(offer_sale_type="транзит",IFERROR(ROUND(VLOOKUP($B120,calc_data,O$14+1,1),2),0),0)</f>
        <v/>
      </c>
      <c r="P120" s="141">
        <f>IF(offer_sale_type="транзит",IFERROR(ROUND(SUM(I120:J120,M120:O120)/E120,2),0),0)</f>
        <v/>
      </c>
      <c r="Q120" s="141">
        <f>E120*P120</f>
        <v/>
      </c>
      <c r="R120" s="141">
        <f>ROUND(Q120*IF(AND(offer_incoterms="DDP",seller_region="RU"),IF((TODAY()+offer_turnaround_time)&gt;=helpsheet!$L$17,rate_vatRU_from_26,rate_vatRu_till_25),0),2)</f>
        <v/>
      </c>
      <c r="S120" s="177">
        <f>Q120+IF(AND(offer_incoterms="DDP",seller_region="RU"),R120,0)</f>
        <v/>
      </c>
      <c r="T120" s="45" t="n"/>
      <c r="V120" s="57">
        <f>IF(Q120&gt;0,"показать","скрыть")</f>
        <v/>
      </c>
    </row>
    <row r="121" ht="15.75" customHeight="1">
      <c r="B121" s="809" t="n">
        <v>105</v>
      </c>
      <c r="C121" s="182">
        <f>IF(offer_sale_type="транзит",IFERROR(VLOOKUP($B121,calc_data,C$14+1,0),0),0)</f>
        <v/>
      </c>
      <c r="D121" s="280">
        <f>IF(offer_sale_type="транзит",IFERROR(VLOOKUP($B121,calc_data,D$14+1,0),0),0)</f>
        <v/>
      </c>
      <c r="E121" s="182">
        <f>IF(offer_sale_type="транзит",IFERROR(VLOOKUP($B121,calc_data,E$14+1,0),0),0)</f>
        <v/>
      </c>
      <c r="F121" s="182">
        <f>IF(offer_sale_type="транзит",IFERROR(VLOOKUP($B121,calc_data,F$14+1,0),0),0)</f>
        <v/>
      </c>
      <c r="G121" s="141">
        <f>IF(offer_sale_type="транзит",IFERROR(VLOOKUP($B121,calc_data,G$14+1,0),0),0)</f>
        <v/>
      </c>
      <c r="H121" s="141">
        <f>E121*G121</f>
        <v/>
      </c>
      <c r="I121" s="141">
        <f>IF(offer_sale_type="транзит",IFERROR(ROUND(VLOOKUP($B121,calc_data,I$14+1,0),2),0),0)</f>
        <v/>
      </c>
      <c r="J121" s="141">
        <f>ROUND(IF(offer_sale_type="транзит",IFERROR(VLOOKUP($B121,calc_data,J$14+1,0),0),0),2)</f>
        <v/>
      </c>
      <c r="K121" s="142">
        <f>IF(offer_sale_type="транзит",IFERROR(ROUNDUP(VLOOKUP($B121,calc_data,K$14+1,0),2),0),0)</f>
        <v/>
      </c>
      <c r="L121" s="184">
        <f>IF(offer_sale_type="транзит",IFERROR(ROUNDUP(VLOOKUP($B121,calc_data,L$14+1,0),2),0),0)</f>
        <v/>
      </c>
      <c r="M121" s="141">
        <f>IF(offer_sale_type="транзит",IFERROR(ROUNDUP(VLOOKUP($B121,calc_data,M$14+1,0),2),0),0)</f>
        <v/>
      </c>
      <c r="N121" s="141">
        <f>IF(offer_sale_type="транзит",IFERROR(ROUNDUP(VLOOKUP($B121,calc_data,N$14+1,0),2),0),0)</f>
        <v/>
      </c>
      <c r="O121" s="147">
        <f>IF(offer_sale_type="транзит",IFERROR(ROUND(VLOOKUP($B121,calc_data,O$14+1,1),2),0),0)</f>
        <v/>
      </c>
      <c r="P121" s="141">
        <f>IF(offer_sale_type="транзит",IFERROR(ROUND(SUM(I121:J121,M121:O121)/E121,2),0),0)</f>
        <v/>
      </c>
      <c r="Q121" s="141">
        <f>E121*P121</f>
        <v/>
      </c>
      <c r="R121" s="141">
        <f>ROUND(Q121*IF(AND(offer_incoterms="DDP",seller_region="RU"),IF((TODAY()+offer_turnaround_time)&gt;=helpsheet!$L$17,rate_vatRU_from_26,rate_vatRu_till_25),0),2)</f>
        <v/>
      </c>
      <c r="S121" s="177">
        <f>Q121+IF(AND(offer_incoterms="DDP",seller_region="RU"),R121,0)</f>
        <v/>
      </c>
      <c r="T121" s="45" t="n"/>
      <c r="V121" s="57">
        <f>IF(Q121&gt;0,"показать","скрыть")</f>
        <v/>
      </c>
    </row>
    <row r="122" ht="15.75" customHeight="1">
      <c r="B122" s="809" t="n">
        <v>106</v>
      </c>
      <c r="C122" s="182">
        <f>IF(offer_sale_type="транзит",IFERROR(VLOOKUP($B122,calc_data,C$14+1,0),0),0)</f>
        <v/>
      </c>
      <c r="D122" s="280">
        <f>IF(offer_sale_type="транзит",IFERROR(VLOOKUP($B122,calc_data,D$14+1,0),0),0)</f>
        <v/>
      </c>
      <c r="E122" s="182">
        <f>IF(offer_sale_type="транзит",IFERROR(VLOOKUP($B122,calc_data,E$14+1,0),0),0)</f>
        <v/>
      </c>
      <c r="F122" s="182">
        <f>IF(offer_sale_type="транзит",IFERROR(VLOOKUP($B122,calc_data,F$14+1,0),0),0)</f>
        <v/>
      </c>
      <c r="G122" s="141">
        <f>IF(offer_sale_type="транзит",IFERROR(VLOOKUP($B122,calc_data,G$14+1,0),0),0)</f>
        <v/>
      </c>
      <c r="H122" s="141">
        <f>E122*G122</f>
        <v/>
      </c>
      <c r="I122" s="141">
        <f>IF(offer_sale_type="транзит",IFERROR(ROUND(VLOOKUP($B122,calc_data,I$14+1,0),2),0),0)</f>
        <v/>
      </c>
      <c r="J122" s="141">
        <f>ROUND(IF(offer_sale_type="транзит",IFERROR(VLOOKUP($B122,calc_data,J$14+1,0),0),0),2)</f>
        <v/>
      </c>
      <c r="K122" s="142">
        <f>IF(offer_sale_type="транзит",IFERROR(ROUNDUP(VLOOKUP($B122,calc_data,K$14+1,0),2),0),0)</f>
        <v/>
      </c>
      <c r="L122" s="184">
        <f>IF(offer_sale_type="транзит",IFERROR(ROUNDUP(VLOOKUP($B122,calc_data,L$14+1,0),2),0),0)</f>
        <v/>
      </c>
      <c r="M122" s="141">
        <f>IF(offer_sale_type="транзит",IFERROR(ROUNDUP(VLOOKUP($B122,calc_data,M$14+1,0),2),0),0)</f>
        <v/>
      </c>
      <c r="N122" s="141">
        <f>IF(offer_sale_type="транзит",IFERROR(ROUNDUP(VLOOKUP($B122,calc_data,N$14+1,0),2),0),0)</f>
        <v/>
      </c>
      <c r="O122" s="147">
        <f>IF(offer_sale_type="транзит",IFERROR(ROUND(VLOOKUP($B122,calc_data,O$14+1,1),2),0),0)</f>
        <v/>
      </c>
      <c r="P122" s="141">
        <f>IF(offer_sale_type="транзит",IFERROR(ROUND(SUM(I122:J122,M122:O122)/E122,2),0),0)</f>
        <v/>
      </c>
      <c r="Q122" s="141">
        <f>E122*P122</f>
        <v/>
      </c>
      <c r="R122" s="141">
        <f>ROUND(Q122*IF(AND(offer_incoterms="DDP",seller_region="RU"),IF((TODAY()+offer_turnaround_time)&gt;=helpsheet!$L$17,rate_vatRU_from_26,rate_vatRu_till_25),0),2)</f>
        <v/>
      </c>
      <c r="S122" s="177">
        <f>Q122+IF(AND(offer_incoterms="DDP",seller_region="RU"),R122,0)</f>
        <v/>
      </c>
      <c r="T122" s="45" t="n"/>
      <c r="V122" s="57">
        <f>IF(Q122&gt;0,"показать","скрыть")</f>
        <v/>
      </c>
    </row>
    <row r="123" ht="15.75" customHeight="1">
      <c r="B123" s="809" t="n">
        <v>107</v>
      </c>
      <c r="C123" s="182">
        <f>IF(offer_sale_type="транзит",IFERROR(VLOOKUP($B123,calc_data,C$14+1,0),0),0)</f>
        <v/>
      </c>
      <c r="D123" s="280">
        <f>IF(offer_sale_type="транзит",IFERROR(VLOOKUP($B123,calc_data,D$14+1,0),0),0)</f>
        <v/>
      </c>
      <c r="E123" s="182">
        <f>IF(offer_sale_type="транзит",IFERROR(VLOOKUP($B123,calc_data,E$14+1,0),0),0)</f>
        <v/>
      </c>
      <c r="F123" s="182">
        <f>IF(offer_sale_type="транзит",IFERROR(VLOOKUP($B123,calc_data,F$14+1,0),0),0)</f>
        <v/>
      </c>
      <c r="G123" s="141">
        <f>IF(offer_sale_type="транзит",IFERROR(VLOOKUP($B123,calc_data,G$14+1,0),0),0)</f>
        <v/>
      </c>
      <c r="H123" s="141">
        <f>E123*G123</f>
        <v/>
      </c>
      <c r="I123" s="141">
        <f>IF(offer_sale_type="транзит",IFERROR(ROUND(VLOOKUP($B123,calc_data,I$14+1,0),2),0),0)</f>
        <v/>
      </c>
      <c r="J123" s="141">
        <f>ROUND(IF(offer_sale_type="транзит",IFERROR(VLOOKUP($B123,calc_data,J$14+1,0),0),0),2)</f>
        <v/>
      </c>
      <c r="K123" s="142">
        <f>IF(offer_sale_type="транзит",IFERROR(ROUNDUP(VLOOKUP($B123,calc_data,K$14+1,0),2),0),0)</f>
        <v/>
      </c>
      <c r="L123" s="184">
        <f>IF(offer_sale_type="транзит",IFERROR(ROUNDUP(VLOOKUP($B123,calc_data,L$14+1,0),2),0),0)</f>
        <v/>
      </c>
      <c r="M123" s="141">
        <f>IF(offer_sale_type="транзит",IFERROR(ROUNDUP(VLOOKUP($B123,calc_data,M$14+1,0),2),0),0)</f>
        <v/>
      </c>
      <c r="N123" s="141">
        <f>IF(offer_sale_type="транзит",IFERROR(ROUNDUP(VLOOKUP($B123,calc_data,N$14+1,0),2),0),0)</f>
        <v/>
      </c>
      <c r="O123" s="147">
        <f>IF(offer_sale_type="транзит",IFERROR(ROUND(VLOOKUP($B123,calc_data,O$14+1,1),2),0),0)</f>
        <v/>
      </c>
      <c r="P123" s="141">
        <f>IF(offer_sale_type="транзит",IFERROR(ROUND(SUM(I123:J123,M123:O123)/E123,2),0),0)</f>
        <v/>
      </c>
      <c r="Q123" s="141">
        <f>E123*P123</f>
        <v/>
      </c>
      <c r="R123" s="141">
        <f>ROUND(Q123*IF(AND(offer_incoterms="DDP",seller_region="RU"),IF((TODAY()+offer_turnaround_time)&gt;=helpsheet!$L$17,rate_vatRU_from_26,rate_vatRu_till_25),0),2)</f>
        <v/>
      </c>
      <c r="S123" s="177">
        <f>Q123+IF(AND(offer_incoterms="DDP",seller_region="RU"),R123,0)</f>
        <v/>
      </c>
      <c r="T123" s="45" t="n"/>
      <c r="V123" s="57">
        <f>IF(Q123&gt;0,"показать","скрыть")</f>
        <v/>
      </c>
    </row>
    <row r="124" ht="15.75" customHeight="1">
      <c r="B124" s="809" t="n">
        <v>108</v>
      </c>
      <c r="C124" s="182">
        <f>IF(offer_sale_type="транзит",IFERROR(VLOOKUP($B124,calc_data,C$14+1,0),0),0)</f>
        <v/>
      </c>
      <c r="D124" s="280">
        <f>IF(offer_sale_type="транзит",IFERROR(VLOOKUP($B124,calc_data,D$14+1,0),0),0)</f>
        <v/>
      </c>
      <c r="E124" s="182">
        <f>IF(offer_sale_type="транзит",IFERROR(VLOOKUP($B124,calc_data,E$14+1,0),0),0)</f>
        <v/>
      </c>
      <c r="F124" s="182">
        <f>IF(offer_sale_type="транзит",IFERROR(VLOOKUP($B124,calc_data,F$14+1,0),0),0)</f>
        <v/>
      </c>
      <c r="G124" s="141">
        <f>IF(offer_sale_type="транзит",IFERROR(VLOOKUP($B124,calc_data,G$14+1,0),0),0)</f>
        <v/>
      </c>
      <c r="H124" s="141">
        <f>E124*G124</f>
        <v/>
      </c>
      <c r="I124" s="141">
        <f>IF(offer_sale_type="транзит",IFERROR(ROUND(VLOOKUP($B124,calc_data,I$14+1,0),2),0),0)</f>
        <v/>
      </c>
      <c r="J124" s="141">
        <f>ROUND(IF(offer_sale_type="транзит",IFERROR(VLOOKUP($B124,calc_data,J$14+1,0),0),0),2)</f>
        <v/>
      </c>
      <c r="K124" s="142">
        <f>IF(offer_sale_type="транзит",IFERROR(ROUNDUP(VLOOKUP($B124,calc_data,K$14+1,0),2),0),0)</f>
        <v/>
      </c>
      <c r="L124" s="184">
        <f>IF(offer_sale_type="транзит",IFERROR(ROUNDUP(VLOOKUP($B124,calc_data,L$14+1,0),2),0),0)</f>
        <v/>
      </c>
      <c r="M124" s="141">
        <f>IF(offer_sale_type="транзит",IFERROR(ROUNDUP(VLOOKUP($B124,calc_data,M$14+1,0),2),0),0)</f>
        <v/>
      </c>
      <c r="N124" s="141">
        <f>IF(offer_sale_type="транзит",IFERROR(ROUNDUP(VLOOKUP($B124,calc_data,N$14+1,0),2),0),0)</f>
        <v/>
      </c>
      <c r="O124" s="147">
        <f>IF(offer_sale_type="транзит",IFERROR(ROUND(VLOOKUP($B124,calc_data,O$14+1,1),2),0),0)</f>
        <v/>
      </c>
      <c r="P124" s="141">
        <f>IF(offer_sale_type="транзит",IFERROR(ROUND(SUM(I124:J124,M124:O124)/E124,2),0),0)</f>
        <v/>
      </c>
      <c r="Q124" s="141">
        <f>E124*P124</f>
        <v/>
      </c>
      <c r="R124" s="141">
        <f>ROUND(Q124*IF(AND(offer_incoterms="DDP",seller_region="RU"),IF((TODAY()+offer_turnaround_time)&gt;=helpsheet!$L$17,rate_vatRU_from_26,rate_vatRu_till_25),0),2)</f>
        <v/>
      </c>
      <c r="S124" s="177">
        <f>Q124+IF(AND(offer_incoterms="DDP",seller_region="RU"),R124,0)</f>
        <v/>
      </c>
      <c r="T124" s="45" t="n"/>
      <c r="V124" s="57">
        <f>IF(Q124&gt;0,"показать","скрыть")</f>
        <v/>
      </c>
    </row>
    <row r="125" ht="15.75" customHeight="1">
      <c r="B125" s="809" t="n">
        <v>109</v>
      </c>
      <c r="C125" s="182">
        <f>IF(offer_sale_type="транзит",IFERROR(VLOOKUP($B125,calc_data,C$14+1,0),0),0)</f>
        <v/>
      </c>
      <c r="D125" s="280">
        <f>IF(offer_sale_type="транзит",IFERROR(VLOOKUP($B125,calc_data,D$14+1,0),0),0)</f>
        <v/>
      </c>
      <c r="E125" s="182">
        <f>IF(offer_sale_type="транзит",IFERROR(VLOOKUP($B125,calc_data,E$14+1,0),0),0)</f>
        <v/>
      </c>
      <c r="F125" s="182">
        <f>IF(offer_sale_type="транзит",IFERROR(VLOOKUP($B125,calc_data,F$14+1,0),0),0)</f>
        <v/>
      </c>
      <c r="G125" s="141">
        <f>IF(offer_sale_type="транзит",IFERROR(VLOOKUP($B125,calc_data,G$14+1,0),0),0)</f>
        <v/>
      </c>
      <c r="H125" s="141">
        <f>E125*G125</f>
        <v/>
      </c>
      <c r="I125" s="141">
        <f>IF(offer_sale_type="транзит",IFERROR(ROUND(VLOOKUP($B125,calc_data,I$14+1,0),2),0),0)</f>
        <v/>
      </c>
      <c r="J125" s="141">
        <f>ROUND(IF(offer_sale_type="транзит",IFERROR(VLOOKUP($B125,calc_data,J$14+1,0),0),0),2)</f>
        <v/>
      </c>
      <c r="K125" s="142">
        <f>IF(offer_sale_type="транзит",IFERROR(ROUNDUP(VLOOKUP($B125,calc_data,K$14+1,0),2),0),0)</f>
        <v/>
      </c>
      <c r="L125" s="184">
        <f>IF(offer_sale_type="транзит",IFERROR(ROUNDUP(VLOOKUP($B125,calc_data,L$14+1,0),2),0),0)</f>
        <v/>
      </c>
      <c r="M125" s="141">
        <f>IF(offer_sale_type="транзит",IFERROR(ROUNDUP(VLOOKUP($B125,calc_data,M$14+1,0),2),0),0)</f>
        <v/>
      </c>
      <c r="N125" s="141">
        <f>IF(offer_sale_type="транзит",IFERROR(ROUNDUP(VLOOKUP($B125,calc_data,N$14+1,0),2),0),0)</f>
        <v/>
      </c>
      <c r="O125" s="147">
        <f>IF(offer_sale_type="транзит",IFERROR(ROUND(VLOOKUP($B125,calc_data,O$14+1,1),2),0),0)</f>
        <v/>
      </c>
      <c r="P125" s="141">
        <f>IF(offer_sale_type="транзит",IFERROR(ROUND(SUM(I125:J125,M125:O125)/E125,2),0),0)</f>
        <v/>
      </c>
      <c r="Q125" s="141">
        <f>E125*P125</f>
        <v/>
      </c>
      <c r="R125" s="141">
        <f>ROUND(Q125*IF(AND(offer_incoterms="DDP",seller_region="RU"),IF((TODAY()+offer_turnaround_time)&gt;=helpsheet!$L$17,rate_vatRU_from_26,rate_vatRu_till_25),0),2)</f>
        <v/>
      </c>
      <c r="S125" s="177">
        <f>Q125+IF(AND(offer_incoterms="DDP",seller_region="RU"),R125,0)</f>
        <v/>
      </c>
      <c r="T125" s="45" t="n"/>
      <c r="V125" s="57">
        <f>IF(Q125&gt;0,"показать","скрыть")</f>
        <v/>
      </c>
    </row>
    <row r="126" ht="15.75" customHeight="1">
      <c r="B126" s="809" t="n">
        <v>110</v>
      </c>
      <c r="C126" s="182">
        <f>IF(offer_sale_type="транзит",IFERROR(VLOOKUP($B126,calc_data,C$14+1,0),0),0)</f>
        <v/>
      </c>
      <c r="D126" s="280">
        <f>IF(offer_sale_type="транзит",IFERROR(VLOOKUP($B126,calc_data,D$14+1,0),0),0)</f>
        <v/>
      </c>
      <c r="E126" s="182">
        <f>IF(offer_sale_type="транзит",IFERROR(VLOOKUP($B126,calc_data,E$14+1,0),0),0)</f>
        <v/>
      </c>
      <c r="F126" s="182">
        <f>IF(offer_sale_type="транзит",IFERROR(VLOOKUP($B126,calc_data,F$14+1,0),0),0)</f>
        <v/>
      </c>
      <c r="G126" s="141">
        <f>IF(offer_sale_type="транзит",IFERROR(VLOOKUP($B126,calc_data,G$14+1,0),0),0)</f>
        <v/>
      </c>
      <c r="H126" s="141">
        <f>E126*G126</f>
        <v/>
      </c>
      <c r="I126" s="141">
        <f>IF(offer_sale_type="транзит",IFERROR(ROUND(VLOOKUP($B126,calc_data,I$14+1,0),2),0),0)</f>
        <v/>
      </c>
      <c r="J126" s="141">
        <f>ROUND(IF(offer_sale_type="транзит",IFERROR(VLOOKUP($B126,calc_data,J$14+1,0),0),0),2)</f>
        <v/>
      </c>
      <c r="K126" s="142">
        <f>IF(offer_sale_type="транзит",IFERROR(ROUNDUP(VLOOKUP($B126,calc_data,K$14+1,0),2),0),0)</f>
        <v/>
      </c>
      <c r="L126" s="184">
        <f>IF(offer_sale_type="транзит",IFERROR(ROUNDUP(VLOOKUP($B126,calc_data,L$14+1,0),2),0),0)</f>
        <v/>
      </c>
      <c r="M126" s="141">
        <f>IF(offer_sale_type="транзит",IFERROR(ROUNDUP(VLOOKUP($B126,calc_data,M$14+1,0),2),0),0)</f>
        <v/>
      </c>
      <c r="N126" s="141">
        <f>IF(offer_sale_type="транзит",IFERROR(ROUNDUP(VLOOKUP($B126,calc_data,N$14+1,0),2),0),0)</f>
        <v/>
      </c>
      <c r="O126" s="147">
        <f>IF(offer_sale_type="транзит",IFERROR(ROUND(VLOOKUP($B126,calc_data,O$14+1,1),2),0),0)</f>
        <v/>
      </c>
      <c r="P126" s="141">
        <f>IF(offer_sale_type="транзит",IFERROR(ROUND(SUM(I126:J126,M126:O126)/E126,2),0),0)</f>
        <v/>
      </c>
      <c r="Q126" s="141">
        <f>E126*P126</f>
        <v/>
      </c>
      <c r="R126" s="141">
        <f>ROUND(Q126*IF(AND(offer_incoterms="DDP",seller_region="RU"),IF((TODAY()+offer_turnaround_time)&gt;=helpsheet!$L$17,rate_vatRU_from_26,rate_vatRu_till_25),0),2)</f>
        <v/>
      </c>
      <c r="S126" s="177">
        <f>Q126+IF(AND(offer_incoterms="DDP",seller_region="RU"),R126,0)</f>
        <v/>
      </c>
      <c r="T126" s="45" t="n"/>
      <c r="V126" s="57">
        <f>IF(Q126&gt;0,"показать","скрыть")</f>
        <v/>
      </c>
    </row>
    <row r="127" ht="15.75" customHeight="1">
      <c r="B127" s="809" t="n">
        <v>111</v>
      </c>
      <c r="C127" s="182">
        <f>IF(offer_sale_type="транзит",IFERROR(VLOOKUP($B127,calc_data,C$14+1,0),0),0)</f>
        <v/>
      </c>
      <c r="D127" s="280">
        <f>IF(offer_sale_type="транзит",IFERROR(VLOOKUP($B127,calc_data,D$14+1,0),0),0)</f>
        <v/>
      </c>
      <c r="E127" s="182">
        <f>IF(offer_sale_type="транзит",IFERROR(VLOOKUP($B127,calc_data,E$14+1,0),0),0)</f>
        <v/>
      </c>
      <c r="F127" s="182">
        <f>IF(offer_sale_type="транзит",IFERROR(VLOOKUP($B127,calc_data,F$14+1,0),0),0)</f>
        <v/>
      </c>
      <c r="G127" s="141">
        <f>IF(offer_sale_type="транзит",IFERROR(VLOOKUP($B127,calc_data,G$14+1,0),0),0)</f>
        <v/>
      </c>
      <c r="H127" s="141">
        <f>E127*G127</f>
        <v/>
      </c>
      <c r="I127" s="141">
        <f>IF(offer_sale_type="транзит",IFERROR(ROUND(VLOOKUP($B127,calc_data,I$14+1,0),2),0),0)</f>
        <v/>
      </c>
      <c r="J127" s="141">
        <f>ROUND(IF(offer_sale_type="транзит",IFERROR(VLOOKUP($B127,calc_data,J$14+1,0),0),0),2)</f>
        <v/>
      </c>
      <c r="K127" s="142">
        <f>IF(offer_sale_type="транзит",IFERROR(ROUNDUP(VLOOKUP($B127,calc_data,K$14+1,0),2),0),0)</f>
        <v/>
      </c>
      <c r="L127" s="184">
        <f>IF(offer_sale_type="транзит",IFERROR(ROUNDUP(VLOOKUP($B127,calc_data,L$14+1,0),2),0),0)</f>
        <v/>
      </c>
      <c r="M127" s="141">
        <f>IF(offer_sale_type="транзит",IFERROR(ROUNDUP(VLOOKUP($B127,calc_data,M$14+1,0),2),0),0)</f>
        <v/>
      </c>
      <c r="N127" s="141">
        <f>IF(offer_sale_type="транзит",IFERROR(ROUNDUP(VLOOKUP($B127,calc_data,N$14+1,0),2),0),0)</f>
        <v/>
      </c>
      <c r="O127" s="147">
        <f>IF(offer_sale_type="транзит",IFERROR(ROUND(VLOOKUP($B127,calc_data,O$14+1,1),2),0),0)</f>
        <v/>
      </c>
      <c r="P127" s="141">
        <f>IF(offer_sale_type="транзит",IFERROR(ROUND(SUM(I127:J127,M127:O127)/E127,2),0),0)</f>
        <v/>
      </c>
      <c r="Q127" s="141">
        <f>E127*P127</f>
        <v/>
      </c>
      <c r="R127" s="141">
        <f>ROUND(Q127*IF(AND(offer_incoterms="DDP",seller_region="RU"),IF((TODAY()+offer_turnaround_time)&gt;=helpsheet!$L$17,rate_vatRU_from_26,rate_vatRu_till_25),0),2)</f>
        <v/>
      </c>
      <c r="S127" s="177">
        <f>Q127+IF(AND(offer_incoterms="DDP",seller_region="RU"),R127,0)</f>
        <v/>
      </c>
      <c r="T127" s="45" t="n"/>
      <c r="V127" s="57">
        <f>IF(Q127&gt;0,"показать","скрыть")</f>
        <v/>
      </c>
    </row>
    <row r="128" ht="15.75" customHeight="1">
      <c r="B128" s="809" t="n">
        <v>112</v>
      </c>
      <c r="C128" s="182">
        <f>IF(offer_sale_type="транзит",IFERROR(VLOOKUP($B128,calc_data,C$14+1,0),0),0)</f>
        <v/>
      </c>
      <c r="D128" s="280">
        <f>IF(offer_sale_type="транзит",IFERROR(VLOOKUP($B128,calc_data,D$14+1,0),0),0)</f>
        <v/>
      </c>
      <c r="E128" s="182">
        <f>IF(offer_sale_type="транзит",IFERROR(VLOOKUP($B128,calc_data,E$14+1,0),0),0)</f>
        <v/>
      </c>
      <c r="F128" s="182">
        <f>IF(offer_sale_type="транзит",IFERROR(VLOOKUP($B128,calc_data,F$14+1,0),0),0)</f>
        <v/>
      </c>
      <c r="G128" s="141">
        <f>IF(offer_sale_type="транзит",IFERROR(VLOOKUP($B128,calc_data,G$14+1,0),0),0)</f>
        <v/>
      </c>
      <c r="H128" s="141">
        <f>E128*G128</f>
        <v/>
      </c>
      <c r="I128" s="141">
        <f>IF(offer_sale_type="транзит",IFERROR(ROUND(VLOOKUP($B128,calc_data,I$14+1,0),2),0),0)</f>
        <v/>
      </c>
      <c r="J128" s="141">
        <f>ROUND(IF(offer_sale_type="транзит",IFERROR(VLOOKUP($B128,calc_data,J$14+1,0),0),0),2)</f>
        <v/>
      </c>
      <c r="K128" s="142">
        <f>IF(offer_sale_type="транзит",IFERROR(ROUNDUP(VLOOKUP($B128,calc_data,K$14+1,0),2),0),0)</f>
        <v/>
      </c>
      <c r="L128" s="184">
        <f>IF(offer_sale_type="транзит",IFERROR(ROUNDUP(VLOOKUP($B128,calc_data,L$14+1,0),2),0),0)</f>
        <v/>
      </c>
      <c r="M128" s="141">
        <f>IF(offer_sale_type="транзит",IFERROR(ROUNDUP(VLOOKUP($B128,calc_data,M$14+1,0),2),0),0)</f>
        <v/>
      </c>
      <c r="N128" s="141">
        <f>IF(offer_sale_type="транзит",IFERROR(ROUNDUP(VLOOKUP($B128,calc_data,N$14+1,0),2),0),0)</f>
        <v/>
      </c>
      <c r="O128" s="147">
        <f>IF(offer_sale_type="транзит",IFERROR(ROUND(VLOOKUP($B128,calc_data,O$14+1,1),2),0),0)</f>
        <v/>
      </c>
      <c r="P128" s="141">
        <f>IF(offer_sale_type="транзит",IFERROR(ROUND(SUM(I128:J128,M128:O128)/E128,2),0),0)</f>
        <v/>
      </c>
      <c r="Q128" s="141">
        <f>E128*P128</f>
        <v/>
      </c>
      <c r="R128" s="141">
        <f>ROUND(Q128*IF(AND(offer_incoterms="DDP",seller_region="RU"),IF((TODAY()+offer_turnaround_time)&gt;=helpsheet!$L$17,rate_vatRU_from_26,rate_vatRu_till_25),0),2)</f>
        <v/>
      </c>
      <c r="S128" s="177">
        <f>Q128+IF(AND(offer_incoterms="DDP",seller_region="RU"),R128,0)</f>
        <v/>
      </c>
      <c r="T128" s="45" t="n"/>
      <c r="V128" s="57">
        <f>IF(Q128&gt;0,"показать","скрыть")</f>
        <v/>
      </c>
    </row>
    <row r="129" ht="15.75" customHeight="1">
      <c r="B129" s="809" t="n">
        <v>113</v>
      </c>
      <c r="C129" s="182">
        <f>IF(offer_sale_type="транзит",IFERROR(VLOOKUP($B129,calc_data,C$14+1,0),0),0)</f>
        <v/>
      </c>
      <c r="D129" s="280">
        <f>IF(offer_sale_type="транзит",IFERROR(VLOOKUP($B129,calc_data,D$14+1,0),0),0)</f>
        <v/>
      </c>
      <c r="E129" s="182">
        <f>IF(offer_sale_type="транзит",IFERROR(VLOOKUP($B129,calc_data,E$14+1,0),0),0)</f>
        <v/>
      </c>
      <c r="F129" s="182">
        <f>IF(offer_sale_type="транзит",IFERROR(VLOOKUP($B129,calc_data,F$14+1,0),0),0)</f>
        <v/>
      </c>
      <c r="G129" s="141">
        <f>IF(offer_sale_type="транзит",IFERROR(VLOOKUP($B129,calc_data,G$14+1,0),0),0)</f>
        <v/>
      </c>
      <c r="H129" s="141">
        <f>E129*G129</f>
        <v/>
      </c>
      <c r="I129" s="141">
        <f>IF(offer_sale_type="транзит",IFERROR(ROUND(VLOOKUP($B129,calc_data,I$14+1,0),2),0),0)</f>
        <v/>
      </c>
      <c r="J129" s="141">
        <f>ROUND(IF(offer_sale_type="транзит",IFERROR(VLOOKUP($B129,calc_data,J$14+1,0),0),0),2)</f>
        <v/>
      </c>
      <c r="K129" s="142">
        <f>IF(offer_sale_type="транзит",IFERROR(ROUNDUP(VLOOKUP($B129,calc_data,K$14+1,0),2),0),0)</f>
        <v/>
      </c>
      <c r="L129" s="184">
        <f>IF(offer_sale_type="транзит",IFERROR(ROUNDUP(VLOOKUP($B129,calc_data,L$14+1,0),2),0),0)</f>
        <v/>
      </c>
      <c r="M129" s="141">
        <f>IF(offer_sale_type="транзит",IFERROR(ROUNDUP(VLOOKUP($B129,calc_data,M$14+1,0),2),0),0)</f>
        <v/>
      </c>
      <c r="N129" s="141">
        <f>IF(offer_sale_type="транзит",IFERROR(ROUNDUP(VLOOKUP($B129,calc_data,N$14+1,0),2),0),0)</f>
        <v/>
      </c>
      <c r="O129" s="147">
        <f>IF(offer_sale_type="транзит",IFERROR(ROUND(VLOOKUP($B129,calc_data,O$14+1,1),2),0),0)</f>
        <v/>
      </c>
      <c r="P129" s="141">
        <f>IF(offer_sale_type="транзит",IFERROR(ROUND(SUM(I129:J129,M129:O129)/E129,2),0),0)</f>
        <v/>
      </c>
      <c r="Q129" s="141">
        <f>E129*P129</f>
        <v/>
      </c>
      <c r="R129" s="141">
        <f>ROUND(Q129*IF(AND(offer_incoterms="DDP",seller_region="RU"),IF((TODAY()+offer_turnaround_time)&gt;=helpsheet!$L$17,rate_vatRU_from_26,rate_vatRu_till_25),0),2)</f>
        <v/>
      </c>
      <c r="S129" s="177">
        <f>Q129+IF(AND(offer_incoterms="DDP",seller_region="RU"),R129,0)</f>
        <v/>
      </c>
      <c r="T129" s="45" t="n"/>
      <c r="V129" s="57">
        <f>IF(Q129&gt;0,"показать","скрыть")</f>
        <v/>
      </c>
    </row>
    <row r="130" ht="15.75" customHeight="1">
      <c r="B130" s="809" t="n">
        <v>114</v>
      </c>
      <c r="C130" s="182">
        <f>IF(offer_sale_type="транзит",IFERROR(VLOOKUP($B130,calc_data,C$14+1,0),0),0)</f>
        <v/>
      </c>
      <c r="D130" s="280">
        <f>IF(offer_sale_type="транзит",IFERROR(VLOOKUP($B130,calc_data,D$14+1,0),0),0)</f>
        <v/>
      </c>
      <c r="E130" s="182">
        <f>IF(offer_sale_type="транзит",IFERROR(VLOOKUP($B130,calc_data,E$14+1,0),0),0)</f>
        <v/>
      </c>
      <c r="F130" s="182">
        <f>IF(offer_sale_type="транзит",IFERROR(VLOOKUP($B130,calc_data,F$14+1,0),0),0)</f>
        <v/>
      </c>
      <c r="G130" s="141">
        <f>IF(offer_sale_type="транзит",IFERROR(VLOOKUP($B130,calc_data,G$14+1,0),0),0)</f>
        <v/>
      </c>
      <c r="H130" s="141">
        <f>E130*G130</f>
        <v/>
      </c>
      <c r="I130" s="141">
        <f>IF(offer_sale_type="транзит",IFERROR(ROUND(VLOOKUP($B130,calc_data,I$14+1,0),2),0),0)</f>
        <v/>
      </c>
      <c r="J130" s="141">
        <f>ROUND(IF(offer_sale_type="транзит",IFERROR(VLOOKUP($B130,calc_data,J$14+1,0),0),0),2)</f>
        <v/>
      </c>
      <c r="K130" s="142">
        <f>IF(offer_sale_type="транзит",IFERROR(ROUNDUP(VLOOKUP($B130,calc_data,K$14+1,0),2),0),0)</f>
        <v/>
      </c>
      <c r="L130" s="184">
        <f>IF(offer_sale_type="транзит",IFERROR(ROUNDUP(VLOOKUP($B130,calc_data,L$14+1,0),2),0),0)</f>
        <v/>
      </c>
      <c r="M130" s="141">
        <f>IF(offer_sale_type="транзит",IFERROR(ROUNDUP(VLOOKUP($B130,calc_data,M$14+1,0),2),0),0)</f>
        <v/>
      </c>
      <c r="N130" s="141">
        <f>IF(offer_sale_type="транзит",IFERROR(ROUNDUP(VLOOKUP($B130,calc_data,N$14+1,0),2),0),0)</f>
        <v/>
      </c>
      <c r="O130" s="147">
        <f>IF(offer_sale_type="транзит",IFERROR(ROUND(VLOOKUP($B130,calc_data,O$14+1,1),2),0),0)</f>
        <v/>
      </c>
      <c r="P130" s="141">
        <f>IF(offer_sale_type="транзит",IFERROR(ROUND(SUM(I130:J130,M130:O130)/E130,2),0),0)</f>
        <v/>
      </c>
      <c r="Q130" s="141">
        <f>E130*P130</f>
        <v/>
      </c>
      <c r="R130" s="141">
        <f>ROUND(Q130*IF(AND(offer_incoterms="DDP",seller_region="RU"),IF((TODAY()+offer_turnaround_time)&gt;=helpsheet!$L$17,rate_vatRU_from_26,rate_vatRu_till_25),0),2)</f>
        <v/>
      </c>
      <c r="S130" s="177">
        <f>Q130+IF(AND(offer_incoterms="DDP",seller_region="RU"),R130,0)</f>
        <v/>
      </c>
      <c r="T130" s="45" t="n"/>
      <c r="V130" s="57">
        <f>IF(Q130&gt;0,"показать","скрыть")</f>
        <v/>
      </c>
    </row>
    <row r="131" ht="15.75" customHeight="1">
      <c r="B131" s="809" t="n">
        <v>115</v>
      </c>
      <c r="C131" s="182">
        <f>IF(offer_sale_type="транзит",IFERROR(VLOOKUP($B131,calc_data,C$14+1,0),0),0)</f>
        <v/>
      </c>
      <c r="D131" s="280">
        <f>IF(offer_sale_type="транзит",IFERROR(VLOOKUP($B131,calc_data,D$14+1,0),0),0)</f>
        <v/>
      </c>
      <c r="E131" s="182">
        <f>IF(offer_sale_type="транзит",IFERROR(VLOOKUP($B131,calc_data,E$14+1,0),0),0)</f>
        <v/>
      </c>
      <c r="F131" s="182">
        <f>IF(offer_sale_type="транзит",IFERROR(VLOOKUP($B131,calc_data,F$14+1,0),0),0)</f>
        <v/>
      </c>
      <c r="G131" s="141">
        <f>IF(offer_sale_type="транзит",IFERROR(VLOOKUP($B131,calc_data,G$14+1,0),0),0)</f>
        <v/>
      </c>
      <c r="H131" s="141">
        <f>E131*G131</f>
        <v/>
      </c>
      <c r="I131" s="141">
        <f>IF(offer_sale_type="транзит",IFERROR(ROUND(VLOOKUP($B131,calc_data,I$14+1,0),2),0),0)</f>
        <v/>
      </c>
      <c r="J131" s="141">
        <f>ROUND(IF(offer_sale_type="транзит",IFERROR(VLOOKUP($B131,calc_data,J$14+1,0),0),0),2)</f>
        <v/>
      </c>
      <c r="K131" s="142">
        <f>IF(offer_sale_type="транзит",IFERROR(ROUNDUP(VLOOKUP($B131,calc_data,K$14+1,0),2),0),0)</f>
        <v/>
      </c>
      <c r="L131" s="184">
        <f>IF(offer_sale_type="транзит",IFERROR(ROUNDUP(VLOOKUP($B131,calc_data,L$14+1,0),2),0),0)</f>
        <v/>
      </c>
      <c r="M131" s="141">
        <f>IF(offer_sale_type="транзит",IFERROR(ROUNDUP(VLOOKUP($B131,calc_data,M$14+1,0),2),0),0)</f>
        <v/>
      </c>
      <c r="N131" s="141">
        <f>IF(offer_sale_type="транзит",IFERROR(ROUNDUP(VLOOKUP($B131,calc_data,N$14+1,0),2),0),0)</f>
        <v/>
      </c>
      <c r="O131" s="147">
        <f>IF(offer_sale_type="транзит",IFERROR(ROUND(VLOOKUP($B131,calc_data,O$14+1,1),2),0),0)</f>
        <v/>
      </c>
      <c r="P131" s="141">
        <f>IF(offer_sale_type="транзит",IFERROR(ROUND(SUM(I131:J131,M131:O131)/E131,2),0),0)</f>
        <v/>
      </c>
      <c r="Q131" s="141">
        <f>E131*P131</f>
        <v/>
      </c>
      <c r="R131" s="141">
        <f>ROUND(Q131*IF(AND(offer_incoterms="DDP",seller_region="RU"),IF((TODAY()+offer_turnaround_time)&gt;=helpsheet!$L$17,rate_vatRU_from_26,rate_vatRu_till_25),0),2)</f>
        <v/>
      </c>
      <c r="S131" s="177">
        <f>Q131+IF(AND(offer_incoterms="DDP",seller_region="RU"),R131,0)</f>
        <v/>
      </c>
      <c r="T131" s="45" t="n"/>
      <c r="V131" s="57">
        <f>IF(Q131&gt;0,"показать","скрыть")</f>
        <v/>
      </c>
    </row>
    <row r="132" ht="15.75" customHeight="1">
      <c r="B132" s="809" t="n">
        <v>116</v>
      </c>
      <c r="C132" s="182">
        <f>IF(offer_sale_type="транзит",IFERROR(VLOOKUP($B132,calc_data,C$14+1,0),0),0)</f>
        <v/>
      </c>
      <c r="D132" s="280">
        <f>IF(offer_sale_type="транзит",IFERROR(VLOOKUP($B132,calc_data,D$14+1,0),0),0)</f>
        <v/>
      </c>
      <c r="E132" s="182">
        <f>IF(offer_sale_type="транзит",IFERROR(VLOOKUP($B132,calc_data,E$14+1,0),0),0)</f>
        <v/>
      </c>
      <c r="F132" s="182">
        <f>IF(offer_sale_type="транзит",IFERROR(VLOOKUP($B132,calc_data,F$14+1,0),0),0)</f>
        <v/>
      </c>
      <c r="G132" s="141">
        <f>IF(offer_sale_type="транзит",IFERROR(VLOOKUP($B132,calc_data,G$14+1,0),0),0)</f>
        <v/>
      </c>
      <c r="H132" s="141">
        <f>E132*G132</f>
        <v/>
      </c>
      <c r="I132" s="141">
        <f>IF(offer_sale_type="транзит",IFERROR(ROUND(VLOOKUP($B132,calc_data,I$14+1,0),2),0),0)</f>
        <v/>
      </c>
      <c r="J132" s="141">
        <f>ROUND(IF(offer_sale_type="транзит",IFERROR(VLOOKUP($B132,calc_data,J$14+1,0),0),0),2)</f>
        <v/>
      </c>
      <c r="K132" s="142">
        <f>IF(offer_sale_type="транзит",IFERROR(ROUNDUP(VLOOKUP($B132,calc_data,K$14+1,0),2),0),0)</f>
        <v/>
      </c>
      <c r="L132" s="184">
        <f>IF(offer_sale_type="транзит",IFERROR(ROUNDUP(VLOOKUP($B132,calc_data,L$14+1,0),2),0),0)</f>
        <v/>
      </c>
      <c r="M132" s="141">
        <f>IF(offer_sale_type="транзит",IFERROR(ROUNDUP(VLOOKUP($B132,calc_data,M$14+1,0),2),0),0)</f>
        <v/>
      </c>
      <c r="N132" s="141">
        <f>IF(offer_sale_type="транзит",IFERROR(ROUNDUP(VLOOKUP($B132,calc_data,N$14+1,0),2),0),0)</f>
        <v/>
      </c>
      <c r="O132" s="147">
        <f>IF(offer_sale_type="транзит",IFERROR(ROUND(VLOOKUP($B132,calc_data,O$14+1,1),2),0),0)</f>
        <v/>
      </c>
      <c r="P132" s="141">
        <f>IF(offer_sale_type="транзит",IFERROR(ROUND(SUM(I132:J132,M132:O132)/E132,2),0),0)</f>
        <v/>
      </c>
      <c r="Q132" s="141">
        <f>E132*P132</f>
        <v/>
      </c>
      <c r="R132" s="141">
        <f>ROUND(Q132*IF(AND(offer_incoterms="DDP",seller_region="RU"),IF((TODAY()+offer_turnaround_time)&gt;=helpsheet!$L$17,rate_vatRU_from_26,rate_vatRu_till_25),0),2)</f>
        <v/>
      </c>
      <c r="S132" s="177">
        <f>Q132+IF(AND(offer_incoterms="DDP",seller_region="RU"),R132,0)</f>
        <v/>
      </c>
      <c r="T132" s="45" t="n"/>
      <c r="V132" s="57">
        <f>IF(Q132&gt;0,"показать","скрыть")</f>
        <v/>
      </c>
    </row>
    <row r="133" ht="15.75" customHeight="1">
      <c r="B133" s="809" t="n">
        <v>117</v>
      </c>
      <c r="C133" s="182">
        <f>IF(offer_sale_type="транзит",IFERROR(VLOOKUP($B133,calc_data,C$14+1,0),0),0)</f>
        <v/>
      </c>
      <c r="D133" s="280">
        <f>IF(offer_sale_type="транзит",IFERROR(VLOOKUP($B133,calc_data,D$14+1,0),0),0)</f>
        <v/>
      </c>
      <c r="E133" s="182">
        <f>IF(offer_sale_type="транзит",IFERROR(VLOOKUP($B133,calc_data,E$14+1,0),0),0)</f>
        <v/>
      </c>
      <c r="F133" s="182">
        <f>IF(offer_sale_type="транзит",IFERROR(VLOOKUP($B133,calc_data,F$14+1,0),0),0)</f>
        <v/>
      </c>
      <c r="G133" s="141">
        <f>IF(offer_sale_type="транзит",IFERROR(VLOOKUP($B133,calc_data,G$14+1,0),0),0)</f>
        <v/>
      </c>
      <c r="H133" s="141">
        <f>E133*G133</f>
        <v/>
      </c>
      <c r="I133" s="141">
        <f>IF(offer_sale_type="транзит",IFERROR(ROUND(VLOOKUP($B133,calc_data,I$14+1,0),2),0),0)</f>
        <v/>
      </c>
      <c r="J133" s="141">
        <f>ROUND(IF(offer_sale_type="транзит",IFERROR(VLOOKUP($B133,calc_data,J$14+1,0),0),0),2)</f>
        <v/>
      </c>
      <c r="K133" s="142">
        <f>IF(offer_sale_type="транзит",IFERROR(ROUNDUP(VLOOKUP($B133,calc_data,K$14+1,0),2),0),0)</f>
        <v/>
      </c>
      <c r="L133" s="184">
        <f>IF(offer_sale_type="транзит",IFERROR(ROUNDUP(VLOOKUP($B133,calc_data,L$14+1,0),2),0),0)</f>
        <v/>
      </c>
      <c r="M133" s="141">
        <f>IF(offer_sale_type="транзит",IFERROR(ROUNDUP(VLOOKUP($B133,calc_data,M$14+1,0),2),0),0)</f>
        <v/>
      </c>
      <c r="N133" s="141">
        <f>IF(offer_sale_type="транзит",IFERROR(ROUNDUP(VLOOKUP($B133,calc_data,N$14+1,0),2),0),0)</f>
        <v/>
      </c>
      <c r="O133" s="147">
        <f>IF(offer_sale_type="транзит",IFERROR(ROUND(VLOOKUP($B133,calc_data,O$14+1,1),2),0),0)</f>
        <v/>
      </c>
      <c r="P133" s="141">
        <f>IF(offer_sale_type="транзит",IFERROR(ROUND(SUM(I133:J133,M133:O133)/E133,2),0),0)</f>
        <v/>
      </c>
      <c r="Q133" s="141">
        <f>E133*P133</f>
        <v/>
      </c>
      <c r="R133" s="141">
        <f>ROUND(Q133*IF(AND(offer_incoterms="DDP",seller_region="RU"),IF((TODAY()+offer_turnaround_time)&gt;=helpsheet!$L$17,rate_vatRU_from_26,rate_vatRu_till_25),0),2)</f>
        <v/>
      </c>
      <c r="S133" s="177">
        <f>Q133+IF(AND(offer_incoterms="DDP",seller_region="RU"),R133,0)</f>
        <v/>
      </c>
      <c r="T133" s="45" t="n"/>
      <c r="V133" s="57">
        <f>IF(Q133&gt;0,"показать","скрыть")</f>
        <v/>
      </c>
    </row>
    <row r="134" ht="15.75" customHeight="1">
      <c r="B134" s="809" t="n">
        <v>118</v>
      </c>
      <c r="C134" s="182">
        <f>IF(offer_sale_type="транзит",IFERROR(VLOOKUP($B134,calc_data,C$14+1,0),0),0)</f>
        <v/>
      </c>
      <c r="D134" s="280">
        <f>IF(offer_sale_type="транзит",IFERROR(VLOOKUP($B134,calc_data,D$14+1,0),0),0)</f>
        <v/>
      </c>
      <c r="E134" s="182">
        <f>IF(offer_sale_type="транзит",IFERROR(VLOOKUP($B134,calc_data,E$14+1,0),0),0)</f>
        <v/>
      </c>
      <c r="F134" s="182">
        <f>IF(offer_sale_type="транзит",IFERROR(VLOOKUP($B134,calc_data,F$14+1,0),0),0)</f>
        <v/>
      </c>
      <c r="G134" s="141">
        <f>IF(offer_sale_type="транзит",IFERROR(VLOOKUP($B134,calc_data,G$14+1,0),0),0)</f>
        <v/>
      </c>
      <c r="H134" s="141">
        <f>E134*G134</f>
        <v/>
      </c>
      <c r="I134" s="141">
        <f>IF(offer_sale_type="транзит",IFERROR(ROUND(VLOOKUP($B134,calc_data,I$14+1,0),2),0),0)</f>
        <v/>
      </c>
      <c r="J134" s="141">
        <f>ROUND(IF(offer_sale_type="транзит",IFERROR(VLOOKUP($B134,calc_data,J$14+1,0),0),0),2)</f>
        <v/>
      </c>
      <c r="K134" s="142">
        <f>IF(offer_sale_type="транзит",IFERROR(ROUNDUP(VLOOKUP($B134,calc_data,K$14+1,0),2),0),0)</f>
        <v/>
      </c>
      <c r="L134" s="184">
        <f>IF(offer_sale_type="транзит",IFERROR(ROUNDUP(VLOOKUP($B134,calc_data,L$14+1,0),2),0),0)</f>
        <v/>
      </c>
      <c r="M134" s="141">
        <f>IF(offer_sale_type="транзит",IFERROR(ROUNDUP(VLOOKUP($B134,calc_data,M$14+1,0),2),0),0)</f>
        <v/>
      </c>
      <c r="N134" s="141">
        <f>IF(offer_sale_type="транзит",IFERROR(ROUNDUP(VLOOKUP($B134,calc_data,N$14+1,0),2),0),0)</f>
        <v/>
      </c>
      <c r="O134" s="147">
        <f>IF(offer_sale_type="транзит",IFERROR(ROUND(VLOOKUP($B134,calc_data,O$14+1,1),2),0),0)</f>
        <v/>
      </c>
      <c r="P134" s="141">
        <f>IF(offer_sale_type="транзит",IFERROR(ROUND(SUM(I134:J134,M134:O134)/E134,2),0),0)</f>
        <v/>
      </c>
      <c r="Q134" s="141">
        <f>E134*P134</f>
        <v/>
      </c>
      <c r="R134" s="141">
        <f>ROUND(Q134*IF(AND(offer_incoterms="DDP",seller_region="RU"),IF((TODAY()+offer_turnaround_time)&gt;=helpsheet!$L$17,rate_vatRU_from_26,rate_vatRu_till_25),0),2)</f>
        <v/>
      </c>
      <c r="S134" s="177">
        <f>Q134+IF(AND(offer_incoterms="DDP",seller_region="RU"),R134,0)</f>
        <v/>
      </c>
      <c r="T134" s="45" t="n"/>
      <c r="V134" s="57">
        <f>IF(Q134&gt;0,"показать","скрыть")</f>
        <v/>
      </c>
    </row>
    <row r="135" ht="15.75" customHeight="1">
      <c r="B135" s="809" t="n">
        <v>119</v>
      </c>
      <c r="C135" s="182">
        <f>IF(offer_sale_type="транзит",IFERROR(VLOOKUP($B135,calc_data,C$14+1,0),0),0)</f>
        <v/>
      </c>
      <c r="D135" s="280">
        <f>IF(offer_sale_type="транзит",IFERROR(VLOOKUP($B135,calc_data,D$14+1,0),0),0)</f>
        <v/>
      </c>
      <c r="E135" s="182">
        <f>IF(offer_sale_type="транзит",IFERROR(VLOOKUP($B135,calc_data,E$14+1,0),0),0)</f>
        <v/>
      </c>
      <c r="F135" s="182">
        <f>IF(offer_sale_type="транзит",IFERROR(VLOOKUP($B135,calc_data,F$14+1,0),0),0)</f>
        <v/>
      </c>
      <c r="G135" s="141">
        <f>IF(offer_sale_type="транзит",IFERROR(VLOOKUP($B135,calc_data,G$14+1,0),0),0)</f>
        <v/>
      </c>
      <c r="H135" s="141">
        <f>E135*G135</f>
        <v/>
      </c>
      <c r="I135" s="141">
        <f>IF(offer_sale_type="транзит",IFERROR(ROUND(VLOOKUP($B135,calc_data,I$14+1,0),2),0),0)</f>
        <v/>
      </c>
      <c r="J135" s="141">
        <f>ROUND(IF(offer_sale_type="транзит",IFERROR(VLOOKUP($B135,calc_data,J$14+1,0),0),0),2)</f>
        <v/>
      </c>
      <c r="K135" s="142">
        <f>IF(offer_sale_type="транзит",IFERROR(ROUNDUP(VLOOKUP($B135,calc_data,K$14+1,0),2),0),0)</f>
        <v/>
      </c>
      <c r="L135" s="184">
        <f>IF(offer_sale_type="транзит",IFERROR(ROUNDUP(VLOOKUP($B135,calc_data,L$14+1,0),2),0),0)</f>
        <v/>
      </c>
      <c r="M135" s="141">
        <f>IF(offer_sale_type="транзит",IFERROR(ROUNDUP(VLOOKUP($B135,calc_data,M$14+1,0),2),0),0)</f>
        <v/>
      </c>
      <c r="N135" s="141">
        <f>IF(offer_sale_type="транзит",IFERROR(ROUNDUP(VLOOKUP($B135,calc_data,N$14+1,0),2),0),0)</f>
        <v/>
      </c>
      <c r="O135" s="147">
        <f>IF(offer_sale_type="транзит",IFERROR(ROUND(VLOOKUP($B135,calc_data,O$14+1,1),2),0),0)</f>
        <v/>
      </c>
      <c r="P135" s="141">
        <f>IF(offer_sale_type="транзит",IFERROR(ROUND(SUM(I135:J135,M135:O135)/E135,2),0),0)</f>
        <v/>
      </c>
      <c r="Q135" s="141">
        <f>E135*P135</f>
        <v/>
      </c>
      <c r="R135" s="141">
        <f>ROUND(Q135*IF(AND(offer_incoterms="DDP",seller_region="RU"),IF((TODAY()+offer_turnaround_time)&gt;=helpsheet!$L$17,rate_vatRU_from_26,rate_vatRu_till_25),0),2)</f>
        <v/>
      </c>
      <c r="S135" s="177">
        <f>Q135+IF(AND(offer_incoterms="DDP",seller_region="RU"),R135,0)</f>
        <v/>
      </c>
      <c r="T135" s="45" t="n"/>
      <c r="V135" s="57">
        <f>IF(Q135&gt;0,"показать","скрыть")</f>
        <v/>
      </c>
    </row>
    <row r="136" ht="15.75" customHeight="1">
      <c r="B136" s="809" t="n">
        <v>120</v>
      </c>
      <c r="C136" s="182">
        <f>IF(offer_sale_type="транзит",IFERROR(VLOOKUP($B136,calc_data,C$14+1,0),0),0)</f>
        <v/>
      </c>
      <c r="D136" s="280">
        <f>IF(offer_sale_type="транзит",IFERROR(VLOOKUP($B136,calc_data,D$14+1,0),0),0)</f>
        <v/>
      </c>
      <c r="E136" s="182">
        <f>IF(offer_sale_type="транзит",IFERROR(VLOOKUP($B136,calc_data,E$14+1,0),0),0)</f>
        <v/>
      </c>
      <c r="F136" s="182">
        <f>IF(offer_sale_type="транзит",IFERROR(VLOOKUP($B136,calc_data,F$14+1,0),0),0)</f>
        <v/>
      </c>
      <c r="G136" s="141">
        <f>IF(offer_sale_type="транзит",IFERROR(VLOOKUP($B136,calc_data,G$14+1,0),0),0)</f>
        <v/>
      </c>
      <c r="H136" s="141">
        <f>E136*G136</f>
        <v/>
      </c>
      <c r="I136" s="141">
        <f>IF(offer_sale_type="транзит",IFERROR(ROUND(VLOOKUP($B136,calc_data,I$14+1,0),2),0),0)</f>
        <v/>
      </c>
      <c r="J136" s="141">
        <f>ROUND(IF(offer_sale_type="транзит",IFERROR(VLOOKUP($B136,calc_data,J$14+1,0),0),0),2)</f>
        <v/>
      </c>
      <c r="K136" s="142">
        <f>IF(offer_sale_type="транзит",IFERROR(ROUNDUP(VLOOKUP($B136,calc_data,K$14+1,0),2),0),0)</f>
        <v/>
      </c>
      <c r="L136" s="184">
        <f>IF(offer_sale_type="транзит",IFERROR(ROUNDUP(VLOOKUP($B136,calc_data,L$14+1,0),2),0),0)</f>
        <v/>
      </c>
      <c r="M136" s="141">
        <f>IF(offer_sale_type="транзит",IFERROR(ROUNDUP(VLOOKUP($B136,calc_data,M$14+1,0),2),0),0)</f>
        <v/>
      </c>
      <c r="N136" s="141">
        <f>IF(offer_sale_type="транзит",IFERROR(ROUNDUP(VLOOKUP($B136,calc_data,N$14+1,0),2),0),0)</f>
        <v/>
      </c>
      <c r="O136" s="147">
        <f>IF(offer_sale_type="транзит",IFERROR(ROUND(VLOOKUP($B136,calc_data,O$14+1,1),2),0),0)</f>
        <v/>
      </c>
      <c r="P136" s="141">
        <f>IF(offer_sale_type="транзит",IFERROR(ROUND(SUM(I136:J136,M136:O136)/E136,2),0),0)</f>
        <v/>
      </c>
      <c r="Q136" s="141">
        <f>E136*P136</f>
        <v/>
      </c>
      <c r="R136" s="141">
        <f>ROUND(Q136*IF(AND(offer_incoterms="DDP",seller_region="RU"),IF((TODAY()+offer_turnaround_time)&gt;=helpsheet!$L$17,rate_vatRU_from_26,rate_vatRu_till_25),0),2)</f>
        <v/>
      </c>
      <c r="S136" s="177">
        <f>Q136+IF(AND(offer_incoterms="DDP",seller_region="RU"),R136,0)</f>
        <v/>
      </c>
      <c r="T136" s="45" t="n"/>
      <c r="V136" s="57">
        <f>IF(Q136&gt;0,"показать","скрыть")</f>
        <v/>
      </c>
    </row>
    <row r="137" ht="15.75" customHeight="1">
      <c r="B137" s="809" t="n">
        <v>121</v>
      </c>
      <c r="C137" s="182">
        <f>IF(offer_sale_type="транзит",IFERROR(VLOOKUP($B137,calc_data,C$14+1,0),0),0)</f>
        <v/>
      </c>
      <c r="D137" s="280">
        <f>IF(offer_sale_type="транзит",IFERROR(VLOOKUP($B137,calc_data,D$14+1,0),0),0)</f>
        <v/>
      </c>
      <c r="E137" s="182">
        <f>IF(offer_sale_type="транзит",IFERROR(VLOOKUP($B137,calc_data,E$14+1,0),0),0)</f>
        <v/>
      </c>
      <c r="F137" s="182">
        <f>IF(offer_sale_type="транзит",IFERROR(VLOOKUP($B137,calc_data,F$14+1,0),0),0)</f>
        <v/>
      </c>
      <c r="G137" s="141">
        <f>IF(offer_sale_type="транзит",IFERROR(VLOOKUP($B137,calc_data,G$14+1,0),0),0)</f>
        <v/>
      </c>
      <c r="H137" s="141">
        <f>E137*G137</f>
        <v/>
      </c>
      <c r="I137" s="141">
        <f>IF(offer_sale_type="транзит",IFERROR(ROUND(VLOOKUP($B137,calc_data,I$14+1,0),2),0),0)</f>
        <v/>
      </c>
      <c r="J137" s="141">
        <f>ROUND(IF(offer_sale_type="транзит",IFERROR(VLOOKUP($B137,calc_data,J$14+1,0),0),0),2)</f>
        <v/>
      </c>
      <c r="K137" s="142">
        <f>IF(offer_sale_type="транзит",IFERROR(ROUNDUP(VLOOKUP($B137,calc_data,K$14+1,0),2),0),0)</f>
        <v/>
      </c>
      <c r="L137" s="184">
        <f>IF(offer_sale_type="транзит",IFERROR(ROUNDUP(VLOOKUP($B137,calc_data,L$14+1,0),2),0),0)</f>
        <v/>
      </c>
      <c r="M137" s="141">
        <f>IF(offer_sale_type="транзит",IFERROR(ROUNDUP(VLOOKUP($B137,calc_data,M$14+1,0),2),0),0)</f>
        <v/>
      </c>
      <c r="N137" s="141">
        <f>IF(offer_sale_type="транзит",IFERROR(ROUNDUP(VLOOKUP($B137,calc_data,N$14+1,0),2),0),0)</f>
        <v/>
      </c>
      <c r="O137" s="147">
        <f>IF(offer_sale_type="транзит",IFERROR(ROUND(VLOOKUP($B137,calc_data,O$14+1,1),2),0),0)</f>
        <v/>
      </c>
      <c r="P137" s="141">
        <f>IF(offer_sale_type="транзит",IFERROR(ROUND(SUM(I137:J137,M137:O137)/E137,2),0),0)</f>
        <v/>
      </c>
      <c r="Q137" s="141">
        <f>E137*P137</f>
        <v/>
      </c>
      <c r="R137" s="141">
        <f>ROUND(Q137*IF(AND(offer_incoterms="DDP",seller_region="RU"),IF((TODAY()+offer_turnaround_time)&gt;=helpsheet!$L$17,rate_vatRU_from_26,rate_vatRu_till_25),0),2)</f>
        <v/>
      </c>
      <c r="S137" s="177">
        <f>Q137+IF(AND(offer_incoterms="DDP",seller_region="RU"),R137,0)</f>
        <v/>
      </c>
      <c r="T137" s="45" t="n"/>
      <c r="V137" s="57">
        <f>IF(Q137&gt;0,"показать","скрыть")</f>
        <v/>
      </c>
    </row>
    <row r="138" ht="15.75" customHeight="1">
      <c r="B138" s="809" t="n">
        <v>122</v>
      </c>
      <c r="C138" s="182">
        <f>IF(offer_sale_type="транзит",IFERROR(VLOOKUP($B138,calc_data,C$14+1,0),0),0)</f>
        <v/>
      </c>
      <c r="D138" s="280">
        <f>IF(offer_sale_type="транзит",IFERROR(VLOOKUP($B138,calc_data,D$14+1,0),0),0)</f>
        <v/>
      </c>
      <c r="E138" s="182">
        <f>IF(offer_sale_type="транзит",IFERROR(VLOOKUP($B138,calc_data,E$14+1,0),0),0)</f>
        <v/>
      </c>
      <c r="F138" s="182">
        <f>IF(offer_sale_type="транзит",IFERROR(VLOOKUP($B138,calc_data,F$14+1,0),0),0)</f>
        <v/>
      </c>
      <c r="G138" s="141">
        <f>IF(offer_sale_type="транзит",IFERROR(VLOOKUP($B138,calc_data,G$14+1,0),0),0)</f>
        <v/>
      </c>
      <c r="H138" s="141">
        <f>E138*G138</f>
        <v/>
      </c>
      <c r="I138" s="141">
        <f>IF(offer_sale_type="транзит",IFERROR(ROUND(VLOOKUP($B138,calc_data,I$14+1,0),2),0),0)</f>
        <v/>
      </c>
      <c r="J138" s="141">
        <f>ROUND(IF(offer_sale_type="транзит",IFERROR(VLOOKUP($B138,calc_data,J$14+1,0),0),0),2)</f>
        <v/>
      </c>
      <c r="K138" s="142">
        <f>IF(offer_sale_type="транзит",IFERROR(ROUNDUP(VLOOKUP($B138,calc_data,K$14+1,0),2),0),0)</f>
        <v/>
      </c>
      <c r="L138" s="184">
        <f>IF(offer_sale_type="транзит",IFERROR(ROUNDUP(VLOOKUP($B138,calc_data,L$14+1,0),2),0),0)</f>
        <v/>
      </c>
      <c r="M138" s="141">
        <f>IF(offer_sale_type="транзит",IFERROR(ROUNDUP(VLOOKUP($B138,calc_data,M$14+1,0),2),0),0)</f>
        <v/>
      </c>
      <c r="N138" s="141">
        <f>IF(offer_sale_type="транзит",IFERROR(ROUNDUP(VLOOKUP($B138,calc_data,N$14+1,0),2),0),0)</f>
        <v/>
      </c>
      <c r="O138" s="147">
        <f>IF(offer_sale_type="транзит",IFERROR(ROUND(VLOOKUP($B138,calc_data,O$14+1,1),2),0),0)</f>
        <v/>
      </c>
      <c r="P138" s="141">
        <f>IF(offer_sale_type="транзит",IFERROR(ROUND(SUM(I138:J138,M138:O138)/E138,2),0),0)</f>
        <v/>
      </c>
      <c r="Q138" s="141">
        <f>E138*P138</f>
        <v/>
      </c>
      <c r="R138" s="141">
        <f>ROUND(Q138*IF(AND(offer_incoterms="DDP",seller_region="RU"),IF((TODAY()+offer_turnaround_time)&gt;=helpsheet!$L$17,rate_vatRU_from_26,rate_vatRu_till_25),0),2)</f>
        <v/>
      </c>
      <c r="S138" s="177">
        <f>Q138+IF(AND(offer_incoterms="DDP",seller_region="RU"),R138,0)</f>
        <v/>
      </c>
      <c r="T138" s="45" t="n"/>
      <c r="V138" s="57">
        <f>IF(Q138&gt;0,"показать","скрыть")</f>
        <v/>
      </c>
    </row>
    <row r="139" ht="15.75" customHeight="1">
      <c r="B139" s="809" t="n">
        <v>123</v>
      </c>
      <c r="C139" s="182">
        <f>IF(offer_sale_type="транзит",IFERROR(VLOOKUP($B139,calc_data,C$14+1,0),0),0)</f>
        <v/>
      </c>
      <c r="D139" s="280">
        <f>IF(offer_sale_type="транзит",IFERROR(VLOOKUP($B139,calc_data,D$14+1,0),0),0)</f>
        <v/>
      </c>
      <c r="E139" s="182">
        <f>IF(offer_sale_type="транзит",IFERROR(VLOOKUP($B139,calc_data,E$14+1,0),0),0)</f>
        <v/>
      </c>
      <c r="F139" s="182">
        <f>IF(offer_sale_type="транзит",IFERROR(VLOOKUP($B139,calc_data,F$14+1,0),0),0)</f>
        <v/>
      </c>
      <c r="G139" s="141">
        <f>IF(offer_sale_type="транзит",IFERROR(VLOOKUP($B139,calc_data,G$14+1,0),0),0)</f>
        <v/>
      </c>
      <c r="H139" s="141">
        <f>E139*G139</f>
        <v/>
      </c>
      <c r="I139" s="141">
        <f>IF(offer_sale_type="транзит",IFERROR(ROUND(VLOOKUP($B139,calc_data,I$14+1,0),2),0),0)</f>
        <v/>
      </c>
      <c r="J139" s="141">
        <f>ROUND(IF(offer_sale_type="транзит",IFERROR(VLOOKUP($B139,calc_data,J$14+1,0),0),0),2)</f>
        <v/>
      </c>
      <c r="K139" s="142">
        <f>IF(offer_sale_type="транзит",IFERROR(ROUNDUP(VLOOKUP($B139,calc_data,K$14+1,0),2),0),0)</f>
        <v/>
      </c>
      <c r="L139" s="184">
        <f>IF(offer_sale_type="транзит",IFERROR(ROUNDUP(VLOOKUP($B139,calc_data,L$14+1,0),2),0),0)</f>
        <v/>
      </c>
      <c r="M139" s="141">
        <f>IF(offer_sale_type="транзит",IFERROR(ROUNDUP(VLOOKUP($B139,calc_data,M$14+1,0),2),0),0)</f>
        <v/>
      </c>
      <c r="N139" s="141">
        <f>IF(offer_sale_type="транзит",IFERROR(ROUNDUP(VLOOKUP($B139,calc_data,N$14+1,0),2),0),0)</f>
        <v/>
      </c>
      <c r="O139" s="147">
        <f>IF(offer_sale_type="транзит",IFERROR(ROUND(VLOOKUP($B139,calc_data,O$14+1,1),2),0),0)</f>
        <v/>
      </c>
      <c r="P139" s="141">
        <f>IF(offer_sale_type="транзит",IFERROR(ROUND(SUM(I139:J139,M139:O139)/E139,2),0),0)</f>
        <v/>
      </c>
      <c r="Q139" s="141">
        <f>E139*P139</f>
        <v/>
      </c>
      <c r="R139" s="141">
        <f>ROUND(Q139*IF(AND(offer_incoterms="DDP",seller_region="RU"),IF((TODAY()+offer_turnaround_time)&gt;=helpsheet!$L$17,rate_vatRU_from_26,rate_vatRu_till_25),0),2)</f>
        <v/>
      </c>
      <c r="S139" s="177">
        <f>Q139+IF(AND(offer_incoterms="DDP",seller_region="RU"),R139,0)</f>
        <v/>
      </c>
      <c r="T139" s="45" t="n"/>
      <c r="V139" s="57">
        <f>IF(Q139&gt;0,"показать","скрыть")</f>
        <v/>
      </c>
    </row>
    <row r="140" ht="15.75" customHeight="1">
      <c r="B140" s="809" t="n">
        <v>124</v>
      </c>
      <c r="C140" s="182">
        <f>IF(offer_sale_type="транзит",IFERROR(VLOOKUP($B140,calc_data,C$14+1,0),0),0)</f>
        <v/>
      </c>
      <c r="D140" s="280">
        <f>IF(offer_sale_type="транзит",IFERROR(VLOOKUP($B140,calc_data,D$14+1,0),0),0)</f>
        <v/>
      </c>
      <c r="E140" s="182">
        <f>IF(offer_sale_type="транзит",IFERROR(VLOOKUP($B140,calc_data,E$14+1,0),0),0)</f>
        <v/>
      </c>
      <c r="F140" s="182">
        <f>IF(offer_sale_type="транзит",IFERROR(VLOOKUP($B140,calc_data,F$14+1,0),0),0)</f>
        <v/>
      </c>
      <c r="G140" s="141">
        <f>IF(offer_sale_type="транзит",IFERROR(VLOOKUP($B140,calc_data,G$14+1,0),0),0)</f>
        <v/>
      </c>
      <c r="H140" s="141">
        <f>E140*G140</f>
        <v/>
      </c>
      <c r="I140" s="141">
        <f>IF(offer_sale_type="транзит",IFERROR(ROUND(VLOOKUP($B140,calc_data,I$14+1,0),2),0),0)</f>
        <v/>
      </c>
      <c r="J140" s="141">
        <f>ROUND(IF(offer_sale_type="транзит",IFERROR(VLOOKUP($B140,calc_data,J$14+1,0),0),0),2)</f>
        <v/>
      </c>
      <c r="K140" s="142">
        <f>IF(offer_sale_type="транзит",IFERROR(ROUNDUP(VLOOKUP($B140,calc_data,K$14+1,0),2),0),0)</f>
        <v/>
      </c>
      <c r="L140" s="184">
        <f>IF(offer_sale_type="транзит",IFERROR(ROUNDUP(VLOOKUP($B140,calc_data,L$14+1,0),2),0),0)</f>
        <v/>
      </c>
      <c r="M140" s="141">
        <f>IF(offer_sale_type="транзит",IFERROR(ROUNDUP(VLOOKUP($B140,calc_data,M$14+1,0),2),0),0)</f>
        <v/>
      </c>
      <c r="N140" s="141">
        <f>IF(offer_sale_type="транзит",IFERROR(ROUNDUP(VLOOKUP($B140,calc_data,N$14+1,0),2),0),0)</f>
        <v/>
      </c>
      <c r="O140" s="147">
        <f>IF(offer_sale_type="транзит",IFERROR(ROUND(VLOOKUP($B140,calc_data,O$14+1,1),2),0),0)</f>
        <v/>
      </c>
      <c r="P140" s="141">
        <f>IF(offer_sale_type="транзит",IFERROR(ROUND(SUM(I140:J140,M140:O140)/E140,2),0),0)</f>
        <v/>
      </c>
      <c r="Q140" s="141">
        <f>E140*P140</f>
        <v/>
      </c>
      <c r="R140" s="141">
        <f>ROUND(Q140*IF(AND(offer_incoterms="DDP",seller_region="RU"),IF((TODAY()+offer_turnaround_time)&gt;=helpsheet!$L$17,rate_vatRU_from_26,rate_vatRu_till_25),0),2)</f>
        <v/>
      </c>
      <c r="S140" s="177">
        <f>Q140+IF(AND(offer_incoterms="DDP",seller_region="RU"),R140,0)</f>
        <v/>
      </c>
      <c r="T140" s="45" t="n"/>
      <c r="V140" s="57">
        <f>IF(Q140&gt;0,"показать","скрыть")</f>
        <v/>
      </c>
    </row>
    <row r="141" ht="15.75" customHeight="1">
      <c r="B141" s="809" t="n">
        <v>125</v>
      </c>
      <c r="C141" s="182">
        <f>IF(offer_sale_type="транзит",IFERROR(VLOOKUP($B141,calc_data,C$14+1,0),0),0)</f>
        <v/>
      </c>
      <c r="D141" s="280">
        <f>IF(offer_sale_type="транзит",IFERROR(VLOOKUP($B141,calc_data,D$14+1,0),0),0)</f>
        <v/>
      </c>
      <c r="E141" s="182">
        <f>IF(offer_sale_type="транзит",IFERROR(VLOOKUP($B141,calc_data,E$14+1,0),0),0)</f>
        <v/>
      </c>
      <c r="F141" s="182">
        <f>IF(offer_sale_type="транзит",IFERROR(VLOOKUP($B141,calc_data,F$14+1,0),0),0)</f>
        <v/>
      </c>
      <c r="G141" s="141">
        <f>IF(offer_sale_type="транзит",IFERROR(VLOOKUP($B141,calc_data,G$14+1,0),0),0)</f>
        <v/>
      </c>
      <c r="H141" s="141">
        <f>E141*G141</f>
        <v/>
      </c>
      <c r="I141" s="141">
        <f>IF(offer_sale_type="транзит",IFERROR(ROUND(VLOOKUP($B141,calc_data,I$14+1,0),2),0),0)</f>
        <v/>
      </c>
      <c r="J141" s="141">
        <f>ROUND(IF(offer_sale_type="транзит",IFERROR(VLOOKUP($B141,calc_data,J$14+1,0),0),0),2)</f>
        <v/>
      </c>
      <c r="K141" s="142">
        <f>IF(offer_sale_type="транзит",IFERROR(ROUNDUP(VLOOKUP($B141,calc_data,K$14+1,0),2),0),0)</f>
        <v/>
      </c>
      <c r="L141" s="184">
        <f>IF(offer_sale_type="транзит",IFERROR(ROUNDUP(VLOOKUP($B141,calc_data,L$14+1,0),2),0),0)</f>
        <v/>
      </c>
      <c r="M141" s="141">
        <f>IF(offer_sale_type="транзит",IFERROR(ROUNDUP(VLOOKUP($B141,calc_data,M$14+1,0),2),0),0)</f>
        <v/>
      </c>
      <c r="N141" s="141">
        <f>IF(offer_sale_type="транзит",IFERROR(ROUNDUP(VLOOKUP($B141,calc_data,N$14+1,0),2),0),0)</f>
        <v/>
      </c>
      <c r="O141" s="147">
        <f>IF(offer_sale_type="транзит",IFERROR(ROUND(VLOOKUP($B141,calc_data,O$14+1,1),2),0),0)</f>
        <v/>
      </c>
      <c r="P141" s="141">
        <f>IF(offer_sale_type="транзит",IFERROR(ROUND(SUM(I141:J141,M141:O141)/E141,2),0),0)</f>
        <v/>
      </c>
      <c r="Q141" s="141">
        <f>E141*P141</f>
        <v/>
      </c>
      <c r="R141" s="141">
        <f>ROUND(Q141*IF(AND(offer_incoterms="DDP",seller_region="RU"),IF((TODAY()+offer_turnaround_time)&gt;=helpsheet!$L$17,rate_vatRU_from_26,rate_vatRu_till_25),0),2)</f>
        <v/>
      </c>
      <c r="S141" s="177">
        <f>Q141+IF(AND(offer_incoterms="DDP",seller_region="RU"),R141,0)</f>
        <v/>
      </c>
      <c r="T141" s="45" t="n"/>
      <c r="V141" s="57">
        <f>IF(Q141&gt;0,"показать","скрыть")</f>
        <v/>
      </c>
    </row>
    <row r="142" ht="15.75" customHeight="1">
      <c r="B142" s="809" t="n">
        <v>126</v>
      </c>
      <c r="C142" s="182">
        <f>IF(offer_sale_type="транзит",IFERROR(VLOOKUP($B142,calc_data,C$14+1,0),0),0)</f>
        <v/>
      </c>
      <c r="D142" s="280">
        <f>IF(offer_sale_type="транзит",IFERROR(VLOOKUP($B142,calc_data,D$14+1,0),0),0)</f>
        <v/>
      </c>
      <c r="E142" s="182">
        <f>IF(offer_sale_type="транзит",IFERROR(VLOOKUP($B142,calc_data,E$14+1,0),0),0)</f>
        <v/>
      </c>
      <c r="F142" s="182">
        <f>IF(offer_sale_type="транзит",IFERROR(VLOOKUP($B142,calc_data,F$14+1,0),0),0)</f>
        <v/>
      </c>
      <c r="G142" s="141">
        <f>IF(offer_sale_type="транзит",IFERROR(VLOOKUP($B142,calc_data,G$14+1,0),0),0)</f>
        <v/>
      </c>
      <c r="H142" s="141">
        <f>E142*G142</f>
        <v/>
      </c>
      <c r="I142" s="141">
        <f>IF(offer_sale_type="транзит",IFERROR(ROUND(VLOOKUP($B142,calc_data,I$14+1,0),2),0),0)</f>
        <v/>
      </c>
      <c r="J142" s="141">
        <f>ROUND(IF(offer_sale_type="транзит",IFERROR(VLOOKUP($B142,calc_data,J$14+1,0),0),0),2)</f>
        <v/>
      </c>
      <c r="K142" s="142">
        <f>IF(offer_sale_type="транзит",IFERROR(ROUNDUP(VLOOKUP($B142,calc_data,K$14+1,0),2),0),0)</f>
        <v/>
      </c>
      <c r="L142" s="184">
        <f>IF(offer_sale_type="транзит",IFERROR(ROUNDUP(VLOOKUP($B142,calc_data,L$14+1,0),2),0),0)</f>
        <v/>
      </c>
      <c r="M142" s="141">
        <f>IF(offer_sale_type="транзит",IFERROR(ROUNDUP(VLOOKUP($B142,calc_data,M$14+1,0),2),0),0)</f>
        <v/>
      </c>
      <c r="N142" s="141">
        <f>IF(offer_sale_type="транзит",IFERROR(ROUNDUP(VLOOKUP($B142,calc_data,N$14+1,0),2),0),0)</f>
        <v/>
      </c>
      <c r="O142" s="147">
        <f>IF(offer_sale_type="транзит",IFERROR(ROUND(VLOOKUP($B142,calc_data,O$14+1,1),2),0),0)</f>
        <v/>
      </c>
      <c r="P142" s="141">
        <f>IF(offer_sale_type="транзит",IFERROR(ROUND(SUM(I142:J142,M142:O142)/E142,2),0),0)</f>
        <v/>
      </c>
      <c r="Q142" s="141">
        <f>E142*P142</f>
        <v/>
      </c>
      <c r="R142" s="141">
        <f>ROUND(Q142*IF(AND(offer_incoterms="DDP",seller_region="RU"),IF((TODAY()+offer_turnaround_time)&gt;=helpsheet!$L$17,rate_vatRU_from_26,rate_vatRu_till_25),0),2)</f>
        <v/>
      </c>
      <c r="S142" s="177">
        <f>Q142+IF(AND(offer_incoterms="DDP",seller_region="RU"),R142,0)</f>
        <v/>
      </c>
      <c r="T142" s="45" t="n"/>
      <c r="V142" s="57">
        <f>IF(Q142&gt;0,"показать","скрыть")</f>
        <v/>
      </c>
    </row>
    <row r="143" ht="15.75" customHeight="1">
      <c r="B143" s="809" t="n">
        <v>127</v>
      </c>
      <c r="C143" s="182">
        <f>IF(offer_sale_type="транзит",IFERROR(VLOOKUP($B143,calc_data,C$14+1,0),0),0)</f>
        <v/>
      </c>
      <c r="D143" s="280">
        <f>IF(offer_sale_type="транзит",IFERROR(VLOOKUP($B143,calc_data,D$14+1,0),0),0)</f>
        <v/>
      </c>
      <c r="E143" s="182">
        <f>IF(offer_sale_type="транзит",IFERROR(VLOOKUP($B143,calc_data,E$14+1,0),0),0)</f>
        <v/>
      </c>
      <c r="F143" s="182">
        <f>IF(offer_sale_type="транзит",IFERROR(VLOOKUP($B143,calc_data,F$14+1,0),0),0)</f>
        <v/>
      </c>
      <c r="G143" s="141">
        <f>IF(offer_sale_type="транзит",IFERROR(VLOOKUP($B143,calc_data,G$14+1,0),0),0)</f>
        <v/>
      </c>
      <c r="H143" s="141">
        <f>E143*G143</f>
        <v/>
      </c>
      <c r="I143" s="141">
        <f>IF(offer_sale_type="транзит",IFERROR(ROUND(VLOOKUP($B143,calc_data,I$14+1,0),2),0),0)</f>
        <v/>
      </c>
      <c r="J143" s="141">
        <f>ROUND(IF(offer_sale_type="транзит",IFERROR(VLOOKUP($B143,calc_data,J$14+1,0),0),0),2)</f>
        <v/>
      </c>
      <c r="K143" s="142">
        <f>IF(offer_sale_type="транзит",IFERROR(ROUNDUP(VLOOKUP($B143,calc_data,K$14+1,0),2),0),0)</f>
        <v/>
      </c>
      <c r="L143" s="184">
        <f>IF(offer_sale_type="транзит",IFERROR(ROUNDUP(VLOOKUP($B143,calc_data,L$14+1,0),2),0),0)</f>
        <v/>
      </c>
      <c r="M143" s="141">
        <f>IF(offer_sale_type="транзит",IFERROR(ROUNDUP(VLOOKUP($B143,calc_data,M$14+1,0),2),0),0)</f>
        <v/>
      </c>
      <c r="N143" s="141">
        <f>IF(offer_sale_type="транзит",IFERROR(ROUNDUP(VLOOKUP($B143,calc_data,N$14+1,0),2),0),0)</f>
        <v/>
      </c>
      <c r="O143" s="147">
        <f>IF(offer_sale_type="транзит",IFERROR(ROUND(VLOOKUP($B143,calc_data,O$14+1,1),2),0),0)</f>
        <v/>
      </c>
      <c r="P143" s="141">
        <f>IF(offer_sale_type="транзит",IFERROR(ROUND(SUM(I143:J143,M143:O143)/E143,2),0),0)</f>
        <v/>
      </c>
      <c r="Q143" s="141">
        <f>E143*P143</f>
        <v/>
      </c>
      <c r="R143" s="141">
        <f>ROUND(Q143*IF(AND(offer_incoterms="DDP",seller_region="RU"),IF((TODAY()+offer_turnaround_time)&gt;=helpsheet!$L$17,rate_vatRU_from_26,rate_vatRu_till_25),0),2)</f>
        <v/>
      </c>
      <c r="S143" s="177">
        <f>Q143+IF(AND(offer_incoterms="DDP",seller_region="RU"),R143,0)</f>
        <v/>
      </c>
      <c r="T143" s="45" t="n"/>
      <c r="V143" s="57">
        <f>IF(Q143&gt;0,"показать","скрыть")</f>
        <v/>
      </c>
    </row>
    <row r="144" ht="15.75" customHeight="1">
      <c r="B144" s="809" t="n">
        <v>128</v>
      </c>
      <c r="C144" s="182">
        <f>IF(offer_sale_type="транзит",IFERROR(VLOOKUP($B144,calc_data,C$14+1,0),0),0)</f>
        <v/>
      </c>
      <c r="D144" s="280">
        <f>IF(offer_sale_type="транзит",IFERROR(VLOOKUP($B144,calc_data,D$14+1,0),0),0)</f>
        <v/>
      </c>
      <c r="E144" s="182">
        <f>IF(offer_sale_type="транзит",IFERROR(VLOOKUP($B144,calc_data,E$14+1,0),0),0)</f>
        <v/>
      </c>
      <c r="F144" s="182">
        <f>IF(offer_sale_type="транзит",IFERROR(VLOOKUP($B144,calc_data,F$14+1,0),0),0)</f>
        <v/>
      </c>
      <c r="G144" s="141">
        <f>IF(offer_sale_type="транзит",IFERROR(VLOOKUP($B144,calc_data,G$14+1,0),0),0)</f>
        <v/>
      </c>
      <c r="H144" s="141">
        <f>E144*G144</f>
        <v/>
      </c>
      <c r="I144" s="141">
        <f>IF(offer_sale_type="транзит",IFERROR(ROUND(VLOOKUP($B144,calc_data,I$14+1,0),2),0),0)</f>
        <v/>
      </c>
      <c r="J144" s="141">
        <f>ROUND(IF(offer_sale_type="транзит",IFERROR(VLOOKUP($B144,calc_data,J$14+1,0),0),0),2)</f>
        <v/>
      </c>
      <c r="K144" s="142">
        <f>IF(offer_sale_type="транзит",IFERROR(ROUNDUP(VLOOKUP($B144,calc_data,K$14+1,0),2),0),0)</f>
        <v/>
      </c>
      <c r="L144" s="184">
        <f>IF(offer_sale_type="транзит",IFERROR(ROUNDUP(VLOOKUP($B144,calc_data,L$14+1,0),2),0),0)</f>
        <v/>
      </c>
      <c r="M144" s="141">
        <f>IF(offer_sale_type="транзит",IFERROR(ROUNDUP(VLOOKUP($B144,calc_data,M$14+1,0),2),0),0)</f>
        <v/>
      </c>
      <c r="N144" s="141">
        <f>IF(offer_sale_type="транзит",IFERROR(ROUNDUP(VLOOKUP($B144,calc_data,N$14+1,0),2),0),0)</f>
        <v/>
      </c>
      <c r="O144" s="147">
        <f>IF(offer_sale_type="транзит",IFERROR(ROUND(VLOOKUP($B144,calc_data,O$14+1,1),2),0),0)</f>
        <v/>
      </c>
      <c r="P144" s="141">
        <f>IF(offer_sale_type="транзит",IFERROR(ROUND(SUM(I144:J144,M144:O144)/E144,2),0),0)</f>
        <v/>
      </c>
      <c r="Q144" s="141">
        <f>E144*P144</f>
        <v/>
      </c>
      <c r="R144" s="141">
        <f>ROUND(Q144*IF(AND(offer_incoterms="DDP",seller_region="RU"),IF((TODAY()+offer_turnaround_time)&gt;=helpsheet!$L$17,rate_vatRU_from_26,rate_vatRu_till_25),0),2)</f>
        <v/>
      </c>
      <c r="S144" s="177">
        <f>Q144+IF(AND(offer_incoterms="DDP",seller_region="RU"),R144,0)</f>
        <v/>
      </c>
      <c r="T144" s="45" t="n"/>
      <c r="V144" s="57">
        <f>IF(Q144&gt;0,"показать","скрыть")</f>
        <v/>
      </c>
    </row>
    <row r="145" ht="15.75" customHeight="1">
      <c r="B145" s="809" t="n">
        <v>129</v>
      </c>
      <c r="C145" s="182">
        <f>IF(offer_sale_type="транзит",IFERROR(VLOOKUP($B145,calc_data,C$14+1,0),0),0)</f>
        <v/>
      </c>
      <c r="D145" s="280">
        <f>IF(offer_sale_type="транзит",IFERROR(VLOOKUP($B145,calc_data,D$14+1,0),0),0)</f>
        <v/>
      </c>
      <c r="E145" s="182">
        <f>IF(offer_sale_type="транзит",IFERROR(VLOOKUP($B145,calc_data,E$14+1,0),0),0)</f>
        <v/>
      </c>
      <c r="F145" s="182">
        <f>IF(offer_sale_type="транзит",IFERROR(VLOOKUP($B145,calc_data,F$14+1,0),0),0)</f>
        <v/>
      </c>
      <c r="G145" s="141">
        <f>IF(offer_sale_type="транзит",IFERROR(VLOOKUP($B145,calc_data,G$14+1,0),0),0)</f>
        <v/>
      </c>
      <c r="H145" s="141">
        <f>E145*G145</f>
        <v/>
      </c>
      <c r="I145" s="141">
        <f>IF(offer_sale_type="транзит",IFERROR(ROUND(VLOOKUP($B145,calc_data,I$14+1,0),2),0),0)</f>
        <v/>
      </c>
      <c r="J145" s="141">
        <f>ROUND(IF(offer_sale_type="транзит",IFERROR(VLOOKUP($B145,calc_data,J$14+1,0),0),0),2)</f>
        <v/>
      </c>
      <c r="K145" s="142">
        <f>IF(offer_sale_type="транзит",IFERROR(ROUNDUP(VLOOKUP($B145,calc_data,K$14+1,0),2),0),0)</f>
        <v/>
      </c>
      <c r="L145" s="184">
        <f>IF(offer_sale_type="транзит",IFERROR(ROUNDUP(VLOOKUP($B145,calc_data,L$14+1,0),2),0),0)</f>
        <v/>
      </c>
      <c r="M145" s="141">
        <f>IF(offer_sale_type="транзит",IFERROR(ROUNDUP(VLOOKUP($B145,calc_data,M$14+1,0),2),0),0)</f>
        <v/>
      </c>
      <c r="N145" s="141">
        <f>IF(offer_sale_type="транзит",IFERROR(ROUNDUP(VLOOKUP($B145,calc_data,N$14+1,0),2),0),0)</f>
        <v/>
      </c>
      <c r="O145" s="147">
        <f>IF(offer_sale_type="транзит",IFERROR(ROUND(VLOOKUP($B145,calc_data,O$14+1,1),2),0),0)</f>
        <v/>
      </c>
      <c r="P145" s="141">
        <f>IF(offer_sale_type="транзит",IFERROR(ROUND(SUM(I145:J145,M145:O145)/E145,2),0),0)</f>
        <v/>
      </c>
      <c r="Q145" s="141">
        <f>E145*P145</f>
        <v/>
      </c>
      <c r="R145" s="141">
        <f>ROUND(Q145*IF(AND(offer_incoterms="DDP",seller_region="RU"),IF((TODAY()+offer_turnaround_time)&gt;=helpsheet!$L$17,rate_vatRU_from_26,rate_vatRu_till_25),0),2)</f>
        <v/>
      </c>
      <c r="S145" s="177">
        <f>Q145+IF(AND(offer_incoterms="DDP",seller_region="RU"),R145,0)</f>
        <v/>
      </c>
      <c r="T145" s="45" t="n"/>
      <c r="V145" s="57">
        <f>IF(Q145&gt;0,"показать","скрыть")</f>
        <v/>
      </c>
    </row>
    <row r="146" ht="15.75" customHeight="1">
      <c r="B146" s="809" t="n">
        <v>130</v>
      </c>
      <c r="C146" s="182">
        <f>IF(offer_sale_type="транзит",IFERROR(VLOOKUP($B146,calc_data,C$14+1,0),0),0)</f>
        <v/>
      </c>
      <c r="D146" s="280">
        <f>IF(offer_sale_type="транзит",IFERROR(VLOOKUP($B146,calc_data,D$14+1,0),0),0)</f>
        <v/>
      </c>
      <c r="E146" s="182">
        <f>IF(offer_sale_type="транзит",IFERROR(VLOOKUP($B146,calc_data,E$14+1,0),0),0)</f>
        <v/>
      </c>
      <c r="F146" s="182">
        <f>IF(offer_sale_type="транзит",IFERROR(VLOOKUP($B146,calc_data,F$14+1,0),0),0)</f>
        <v/>
      </c>
      <c r="G146" s="141">
        <f>IF(offer_sale_type="транзит",IFERROR(VLOOKUP($B146,calc_data,G$14+1,0),0),0)</f>
        <v/>
      </c>
      <c r="H146" s="141">
        <f>E146*G146</f>
        <v/>
      </c>
      <c r="I146" s="141">
        <f>IF(offer_sale_type="транзит",IFERROR(ROUND(VLOOKUP($B146,calc_data,I$14+1,0),2),0),0)</f>
        <v/>
      </c>
      <c r="J146" s="141">
        <f>ROUND(IF(offer_sale_type="транзит",IFERROR(VLOOKUP($B146,calc_data,J$14+1,0),0),0),2)</f>
        <v/>
      </c>
      <c r="K146" s="142">
        <f>IF(offer_sale_type="транзит",IFERROR(ROUNDUP(VLOOKUP($B146,calc_data,K$14+1,0),2),0),0)</f>
        <v/>
      </c>
      <c r="L146" s="184">
        <f>IF(offer_sale_type="транзит",IFERROR(ROUNDUP(VLOOKUP($B146,calc_data,L$14+1,0),2),0),0)</f>
        <v/>
      </c>
      <c r="M146" s="141">
        <f>IF(offer_sale_type="транзит",IFERROR(ROUNDUP(VLOOKUP($B146,calc_data,M$14+1,0),2),0),0)</f>
        <v/>
      </c>
      <c r="N146" s="141">
        <f>IF(offer_sale_type="транзит",IFERROR(ROUNDUP(VLOOKUP($B146,calc_data,N$14+1,0),2),0),0)</f>
        <v/>
      </c>
      <c r="O146" s="147">
        <f>IF(offer_sale_type="транзит",IFERROR(ROUND(VLOOKUP($B146,calc_data,O$14+1,1),2),0),0)</f>
        <v/>
      </c>
      <c r="P146" s="141">
        <f>IF(offer_sale_type="транзит",IFERROR(ROUND(SUM(I146:J146,M146:O146)/E146,2),0),0)</f>
        <v/>
      </c>
      <c r="Q146" s="141">
        <f>E146*P146</f>
        <v/>
      </c>
      <c r="R146" s="141">
        <f>ROUND(Q146*IF(AND(offer_incoterms="DDP",seller_region="RU"),IF((TODAY()+offer_turnaround_time)&gt;=helpsheet!$L$17,rate_vatRU_from_26,rate_vatRu_till_25),0),2)</f>
        <v/>
      </c>
      <c r="S146" s="177">
        <f>Q146+IF(AND(offer_incoterms="DDP",seller_region="RU"),R146,0)</f>
        <v/>
      </c>
      <c r="T146" s="45" t="n"/>
      <c r="V146" s="57">
        <f>IF(Q146&gt;0,"показать","скрыть")</f>
        <v/>
      </c>
    </row>
    <row r="147" ht="15.75" customHeight="1">
      <c r="B147" s="809" t="n">
        <v>131</v>
      </c>
      <c r="C147" s="182">
        <f>IF(offer_sale_type="транзит",IFERROR(VLOOKUP($B147,calc_data,C$14+1,0),0),0)</f>
        <v/>
      </c>
      <c r="D147" s="280">
        <f>IF(offer_sale_type="транзит",IFERROR(VLOOKUP($B147,calc_data,D$14+1,0),0),0)</f>
        <v/>
      </c>
      <c r="E147" s="182">
        <f>IF(offer_sale_type="транзит",IFERROR(VLOOKUP($B147,calc_data,E$14+1,0),0),0)</f>
        <v/>
      </c>
      <c r="F147" s="182">
        <f>IF(offer_sale_type="транзит",IFERROR(VLOOKUP($B147,calc_data,F$14+1,0),0),0)</f>
        <v/>
      </c>
      <c r="G147" s="141">
        <f>IF(offer_sale_type="транзит",IFERROR(VLOOKUP($B147,calc_data,G$14+1,0),0),0)</f>
        <v/>
      </c>
      <c r="H147" s="141">
        <f>E147*G147</f>
        <v/>
      </c>
      <c r="I147" s="141">
        <f>IF(offer_sale_type="транзит",IFERROR(ROUND(VLOOKUP($B147,calc_data,I$14+1,0),2),0),0)</f>
        <v/>
      </c>
      <c r="J147" s="141">
        <f>ROUND(IF(offer_sale_type="транзит",IFERROR(VLOOKUP($B147,calc_data,J$14+1,0),0),0),2)</f>
        <v/>
      </c>
      <c r="K147" s="142">
        <f>IF(offer_sale_type="транзит",IFERROR(ROUNDUP(VLOOKUP($B147,calc_data,K$14+1,0),2),0),0)</f>
        <v/>
      </c>
      <c r="L147" s="184">
        <f>IF(offer_sale_type="транзит",IFERROR(ROUNDUP(VLOOKUP($B147,calc_data,L$14+1,0),2),0),0)</f>
        <v/>
      </c>
      <c r="M147" s="141">
        <f>IF(offer_sale_type="транзит",IFERROR(ROUNDUP(VLOOKUP($B147,calc_data,M$14+1,0),2),0),0)</f>
        <v/>
      </c>
      <c r="N147" s="141">
        <f>IF(offer_sale_type="транзит",IFERROR(ROUNDUP(VLOOKUP($B147,calc_data,N$14+1,0),2),0),0)</f>
        <v/>
      </c>
      <c r="O147" s="147">
        <f>IF(offer_sale_type="транзит",IFERROR(ROUND(VLOOKUP($B147,calc_data,O$14+1,1),2),0),0)</f>
        <v/>
      </c>
      <c r="P147" s="141">
        <f>IF(offer_sale_type="транзит",IFERROR(ROUND(SUM(I147:J147,M147:O147)/E147,2),0),0)</f>
        <v/>
      </c>
      <c r="Q147" s="141">
        <f>E147*P147</f>
        <v/>
      </c>
      <c r="R147" s="141">
        <f>ROUND(Q147*IF(AND(offer_incoterms="DDP",seller_region="RU"),IF((TODAY()+offer_turnaround_time)&gt;=helpsheet!$L$17,rate_vatRU_from_26,rate_vatRu_till_25),0),2)</f>
        <v/>
      </c>
      <c r="S147" s="177">
        <f>Q147+IF(AND(offer_incoterms="DDP",seller_region="RU"),R147,0)</f>
        <v/>
      </c>
      <c r="T147" s="45" t="n"/>
      <c r="V147" s="57">
        <f>IF(Q147&gt;0,"показать","скрыть")</f>
        <v/>
      </c>
    </row>
    <row r="148" ht="15.75" customHeight="1">
      <c r="B148" s="809" t="n">
        <v>132</v>
      </c>
      <c r="C148" s="182">
        <f>IF(offer_sale_type="транзит",IFERROR(VLOOKUP($B148,calc_data,C$14+1,0),0),0)</f>
        <v/>
      </c>
      <c r="D148" s="280">
        <f>IF(offer_sale_type="транзит",IFERROR(VLOOKUP($B148,calc_data,D$14+1,0),0),0)</f>
        <v/>
      </c>
      <c r="E148" s="182">
        <f>IF(offer_sale_type="транзит",IFERROR(VLOOKUP($B148,calc_data,E$14+1,0),0),0)</f>
        <v/>
      </c>
      <c r="F148" s="182">
        <f>IF(offer_sale_type="транзит",IFERROR(VLOOKUP($B148,calc_data,F$14+1,0),0),0)</f>
        <v/>
      </c>
      <c r="G148" s="141">
        <f>IF(offer_sale_type="транзит",IFERROR(VLOOKUP($B148,calc_data,G$14+1,0),0),0)</f>
        <v/>
      </c>
      <c r="H148" s="141">
        <f>E148*G148</f>
        <v/>
      </c>
      <c r="I148" s="141">
        <f>IF(offer_sale_type="транзит",IFERROR(ROUND(VLOOKUP($B148,calc_data,I$14+1,0),2),0),0)</f>
        <v/>
      </c>
      <c r="J148" s="141">
        <f>ROUND(IF(offer_sale_type="транзит",IFERROR(VLOOKUP($B148,calc_data,J$14+1,0),0),0),2)</f>
        <v/>
      </c>
      <c r="K148" s="142">
        <f>IF(offer_sale_type="транзит",IFERROR(ROUNDUP(VLOOKUP($B148,calc_data,K$14+1,0),2),0),0)</f>
        <v/>
      </c>
      <c r="L148" s="184">
        <f>IF(offer_sale_type="транзит",IFERROR(ROUNDUP(VLOOKUP($B148,calc_data,L$14+1,0),2),0),0)</f>
        <v/>
      </c>
      <c r="M148" s="141">
        <f>IF(offer_sale_type="транзит",IFERROR(ROUNDUP(VLOOKUP($B148,calc_data,M$14+1,0),2),0),0)</f>
        <v/>
      </c>
      <c r="N148" s="141">
        <f>IF(offer_sale_type="транзит",IFERROR(ROUNDUP(VLOOKUP($B148,calc_data,N$14+1,0),2),0),0)</f>
        <v/>
      </c>
      <c r="O148" s="147">
        <f>IF(offer_sale_type="транзит",IFERROR(ROUND(VLOOKUP($B148,calc_data,O$14+1,1),2),0),0)</f>
        <v/>
      </c>
      <c r="P148" s="141">
        <f>IF(offer_sale_type="транзит",IFERROR(ROUND(SUM(I148:J148,M148:O148)/E148,2),0),0)</f>
        <v/>
      </c>
      <c r="Q148" s="141">
        <f>E148*P148</f>
        <v/>
      </c>
      <c r="R148" s="141">
        <f>ROUND(Q148*IF(AND(offer_incoterms="DDP",seller_region="RU"),IF((TODAY()+offer_turnaround_time)&gt;=helpsheet!$L$17,rate_vatRU_from_26,rate_vatRu_till_25),0),2)</f>
        <v/>
      </c>
      <c r="S148" s="177">
        <f>Q148+IF(AND(offer_incoterms="DDP",seller_region="RU"),R148,0)</f>
        <v/>
      </c>
      <c r="T148" s="45" t="n"/>
      <c r="V148" s="57">
        <f>IF(Q148&gt;0,"показать","скрыть")</f>
        <v/>
      </c>
    </row>
    <row r="149" ht="15.75" customHeight="1">
      <c r="B149" s="809" t="n">
        <v>133</v>
      </c>
      <c r="C149" s="182">
        <f>IF(offer_sale_type="транзит",IFERROR(VLOOKUP($B149,calc_data,C$14+1,0),0),0)</f>
        <v/>
      </c>
      <c r="D149" s="280">
        <f>IF(offer_sale_type="транзит",IFERROR(VLOOKUP($B149,calc_data,D$14+1,0),0),0)</f>
        <v/>
      </c>
      <c r="E149" s="182">
        <f>IF(offer_sale_type="транзит",IFERROR(VLOOKUP($B149,calc_data,E$14+1,0),0),0)</f>
        <v/>
      </c>
      <c r="F149" s="182">
        <f>IF(offer_sale_type="транзит",IFERROR(VLOOKUP($B149,calc_data,F$14+1,0),0),0)</f>
        <v/>
      </c>
      <c r="G149" s="141">
        <f>IF(offer_sale_type="транзит",IFERROR(VLOOKUP($B149,calc_data,G$14+1,0),0),0)</f>
        <v/>
      </c>
      <c r="H149" s="141">
        <f>E149*G149</f>
        <v/>
      </c>
      <c r="I149" s="141">
        <f>IF(offer_sale_type="транзит",IFERROR(ROUND(VLOOKUP($B149,calc_data,I$14+1,0),2),0),0)</f>
        <v/>
      </c>
      <c r="J149" s="141">
        <f>ROUND(IF(offer_sale_type="транзит",IFERROR(VLOOKUP($B149,calc_data,J$14+1,0),0),0),2)</f>
        <v/>
      </c>
      <c r="K149" s="142">
        <f>IF(offer_sale_type="транзит",IFERROR(ROUNDUP(VLOOKUP($B149,calc_data,K$14+1,0),2),0),0)</f>
        <v/>
      </c>
      <c r="L149" s="184">
        <f>IF(offer_sale_type="транзит",IFERROR(ROUNDUP(VLOOKUP($B149,calc_data,L$14+1,0),2),0),0)</f>
        <v/>
      </c>
      <c r="M149" s="141">
        <f>IF(offer_sale_type="транзит",IFERROR(ROUNDUP(VLOOKUP($B149,calc_data,M$14+1,0),2),0),0)</f>
        <v/>
      </c>
      <c r="N149" s="141">
        <f>IF(offer_sale_type="транзит",IFERROR(ROUNDUP(VLOOKUP($B149,calc_data,N$14+1,0),2),0),0)</f>
        <v/>
      </c>
      <c r="O149" s="147">
        <f>IF(offer_sale_type="транзит",IFERROR(ROUND(VLOOKUP($B149,calc_data,O$14+1,1),2),0),0)</f>
        <v/>
      </c>
      <c r="P149" s="141">
        <f>IF(offer_sale_type="транзит",IFERROR(ROUND(SUM(I149:J149,M149:O149)/E149,2),0),0)</f>
        <v/>
      </c>
      <c r="Q149" s="141">
        <f>E149*P149</f>
        <v/>
      </c>
      <c r="R149" s="141">
        <f>ROUND(Q149*IF(AND(offer_incoterms="DDP",seller_region="RU"),IF((TODAY()+offer_turnaround_time)&gt;=helpsheet!$L$17,rate_vatRU_from_26,rate_vatRu_till_25),0),2)</f>
        <v/>
      </c>
      <c r="S149" s="177">
        <f>Q149+IF(AND(offer_incoterms="DDP",seller_region="RU"),R149,0)</f>
        <v/>
      </c>
      <c r="T149" s="45" t="n"/>
      <c r="V149" s="57">
        <f>IF(Q149&gt;0,"показать","скрыть")</f>
        <v/>
      </c>
    </row>
    <row r="150" ht="15.75" customHeight="1">
      <c r="B150" s="809" t="n">
        <v>134</v>
      </c>
      <c r="C150" s="182">
        <f>IF(offer_sale_type="транзит",IFERROR(VLOOKUP($B150,calc_data,C$14+1,0),0),0)</f>
        <v/>
      </c>
      <c r="D150" s="280">
        <f>IF(offer_sale_type="транзит",IFERROR(VLOOKUP($B150,calc_data,D$14+1,0),0),0)</f>
        <v/>
      </c>
      <c r="E150" s="182">
        <f>IF(offer_sale_type="транзит",IFERROR(VLOOKUP($B150,calc_data,E$14+1,0),0),0)</f>
        <v/>
      </c>
      <c r="F150" s="182">
        <f>IF(offer_sale_type="транзит",IFERROR(VLOOKUP($B150,calc_data,F$14+1,0),0),0)</f>
        <v/>
      </c>
      <c r="G150" s="141">
        <f>IF(offer_sale_type="транзит",IFERROR(VLOOKUP($B150,calc_data,G$14+1,0),0),0)</f>
        <v/>
      </c>
      <c r="H150" s="141">
        <f>E150*G150</f>
        <v/>
      </c>
      <c r="I150" s="141">
        <f>IF(offer_sale_type="транзит",IFERROR(ROUND(VLOOKUP($B150,calc_data,I$14+1,0),2),0),0)</f>
        <v/>
      </c>
      <c r="J150" s="141">
        <f>ROUND(IF(offer_sale_type="транзит",IFERROR(VLOOKUP($B150,calc_data,J$14+1,0),0),0),2)</f>
        <v/>
      </c>
      <c r="K150" s="142">
        <f>IF(offer_sale_type="транзит",IFERROR(ROUNDUP(VLOOKUP($B150,calc_data,K$14+1,0),2),0),0)</f>
        <v/>
      </c>
      <c r="L150" s="184">
        <f>IF(offer_sale_type="транзит",IFERROR(ROUNDUP(VLOOKUP($B150,calc_data,L$14+1,0),2),0),0)</f>
        <v/>
      </c>
      <c r="M150" s="141">
        <f>IF(offer_sale_type="транзит",IFERROR(ROUNDUP(VLOOKUP($B150,calc_data,M$14+1,0),2),0),0)</f>
        <v/>
      </c>
      <c r="N150" s="141">
        <f>IF(offer_sale_type="транзит",IFERROR(ROUNDUP(VLOOKUP($B150,calc_data,N$14+1,0),2),0),0)</f>
        <v/>
      </c>
      <c r="O150" s="147">
        <f>IF(offer_sale_type="транзит",IFERROR(ROUND(VLOOKUP($B150,calc_data,O$14+1,1),2),0),0)</f>
        <v/>
      </c>
      <c r="P150" s="141">
        <f>IF(offer_sale_type="транзит",IFERROR(ROUND(SUM(I150:J150,M150:O150)/E150,2),0),0)</f>
        <v/>
      </c>
      <c r="Q150" s="141">
        <f>E150*P150</f>
        <v/>
      </c>
      <c r="R150" s="141">
        <f>ROUND(Q150*IF(AND(offer_incoterms="DDP",seller_region="RU"),IF((TODAY()+offer_turnaround_time)&gt;=helpsheet!$L$17,rate_vatRU_from_26,rate_vatRu_till_25),0),2)</f>
        <v/>
      </c>
      <c r="S150" s="177">
        <f>Q150+IF(AND(offer_incoterms="DDP",seller_region="RU"),R150,0)</f>
        <v/>
      </c>
      <c r="T150" s="45" t="n"/>
      <c r="V150" s="57">
        <f>IF(Q150&gt;0,"показать","скрыть")</f>
        <v/>
      </c>
    </row>
    <row r="151" ht="15.75" customHeight="1">
      <c r="B151" s="809" t="n">
        <v>135</v>
      </c>
      <c r="C151" s="182">
        <f>IF(offer_sale_type="транзит",IFERROR(VLOOKUP($B151,calc_data,C$14+1,0),0),0)</f>
        <v/>
      </c>
      <c r="D151" s="280">
        <f>IF(offer_sale_type="транзит",IFERROR(VLOOKUP($B151,calc_data,D$14+1,0),0),0)</f>
        <v/>
      </c>
      <c r="E151" s="182">
        <f>IF(offer_sale_type="транзит",IFERROR(VLOOKUP($B151,calc_data,E$14+1,0),0),0)</f>
        <v/>
      </c>
      <c r="F151" s="182">
        <f>IF(offer_sale_type="транзит",IFERROR(VLOOKUP($B151,calc_data,F$14+1,0),0),0)</f>
        <v/>
      </c>
      <c r="G151" s="141">
        <f>IF(offer_sale_type="транзит",IFERROR(VLOOKUP($B151,calc_data,G$14+1,0),0),0)</f>
        <v/>
      </c>
      <c r="H151" s="141">
        <f>E151*G151</f>
        <v/>
      </c>
      <c r="I151" s="141">
        <f>IF(offer_sale_type="транзит",IFERROR(ROUND(VLOOKUP($B151,calc_data,I$14+1,0),2),0),0)</f>
        <v/>
      </c>
      <c r="J151" s="141">
        <f>ROUND(IF(offer_sale_type="транзит",IFERROR(VLOOKUP($B151,calc_data,J$14+1,0),0),0),2)</f>
        <v/>
      </c>
      <c r="K151" s="142">
        <f>IF(offer_sale_type="транзит",IFERROR(ROUNDUP(VLOOKUP($B151,calc_data,K$14+1,0),2),0),0)</f>
        <v/>
      </c>
      <c r="L151" s="184">
        <f>IF(offer_sale_type="транзит",IFERROR(ROUNDUP(VLOOKUP($B151,calc_data,L$14+1,0),2),0),0)</f>
        <v/>
      </c>
      <c r="M151" s="141">
        <f>IF(offer_sale_type="транзит",IFERROR(ROUNDUP(VLOOKUP($B151,calc_data,M$14+1,0),2),0),0)</f>
        <v/>
      </c>
      <c r="N151" s="141">
        <f>IF(offer_sale_type="транзит",IFERROR(ROUNDUP(VLOOKUP($B151,calc_data,N$14+1,0),2),0),0)</f>
        <v/>
      </c>
      <c r="O151" s="147">
        <f>IF(offer_sale_type="транзит",IFERROR(ROUND(VLOOKUP($B151,calc_data,O$14+1,1),2),0),0)</f>
        <v/>
      </c>
      <c r="P151" s="141">
        <f>IF(offer_sale_type="транзит",IFERROR(ROUND(SUM(I151:J151,M151:O151)/E151,2),0),0)</f>
        <v/>
      </c>
      <c r="Q151" s="141">
        <f>E151*P151</f>
        <v/>
      </c>
      <c r="R151" s="141">
        <f>ROUND(Q151*IF(AND(offer_incoterms="DDP",seller_region="RU"),IF((TODAY()+offer_turnaround_time)&gt;=helpsheet!$L$17,rate_vatRU_from_26,rate_vatRu_till_25),0),2)</f>
        <v/>
      </c>
      <c r="S151" s="177">
        <f>Q151+IF(AND(offer_incoterms="DDP",seller_region="RU"),R151,0)</f>
        <v/>
      </c>
      <c r="T151" s="45" t="n"/>
      <c r="V151" s="57">
        <f>IF(Q151&gt;0,"показать","скрыть")</f>
        <v/>
      </c>
    </row>
    <row r="152" ht="15.75" customHeight="1">
      <c r="B152" s="809" t="n">
        <v>136</v>
      </c>
      <c r="C152" s="182">
        <f>IF(offer_sale_type="транзит",IFERROR(VLOOKUP($B152,calc_data,C$14+1,0),0),0)</f>
        <v/>
      </c>
      <c r="D152" s="280">
        <f>IF(offer_sale_type="транзит",IFERROR(VLOOKUP($B152,calc_data,D$14+1,0),0),0)</f>
        <v/>
      </c>
      <c r="E152" s="182">
        <f>IF(offer_sale_type="транзит",IFERROR(VLOOKUP($B152,calc_data,E$14+1,0),0),0)</f>
        <v/>
      </c>
      <c r="F152" s="182">
        <f>IF(offer_sale_type="транзит",IFERROR(VLOOKUP($B152,calc_data,F$14+1,0),0),0)</f>
        <v/>
      </c>
      <c r="G152" s="141">
        <f>IF(offer_sale_type="транзит",IFERROR(VLOOKUP($B152,calc_data,G$14+1,0),0),0)</f>
        <v/>
      </c>
      <c r="H152" s="141">
        <f>E152*G152</f>
        <v/>
      </c>
      <c r="I152" s="141">
        <f>IF(offer_sale_type="транзит",IFERROR(ROUND(VLOOKUP($B152,calc_data,I$14+1,0),2),0),0)</f>
        <v/>
      </c>
      <c r="J152" s="141">
        <f>ROUND(IF(offer_sale_type="транзит",IFERROR(VLOOKUP($B152,calc_data,J$14+1,0),0),0),2)</f>
        <v/>
      </c>
      <c r="K152" s="142">
        <f>IF(offer_sale_type="транзит",IFERROR(ROUNDUP(VLOOKUP($B152,calc_data,K$14+1,0),2),0),0)</f>
        <v/>
      </c>
      <c r="L152" s="184">
        <f>IF(offer_sale_type="транзит",IFERROR(ROUNDUP(VLOOKUP($B152,calc_data,L$14+1,0),2),0),0)</f>
        <v/>
      </c>
      <c r="M152" s="141">
        <f>IF(offer_sale_type="транзит",IFERROR(ROUNDUP(VLOOKUP($B152,calc_data,M$14+1,0),2),0),0)</f>
        <v/>
      </c>
      <c r="N152" s="141">
        <f>IF(offer_sale_type="транзит",IFERROR(ROUNDUP(VLOOKUP($B152,calc_data,N$14+1,0),2),0),0)</f>
        <v/>
      </c>
      <c r="O152" s="147">
        <f>IF(offer_sale_type="транзит",IFERROR(ROUND(VLOOKUP($B152,calc_data,O$14+1,1),2),0),0)</f>
        <v/>
      </c>
      <c r="P152" s="141">
        <f>IF(offer_sale_type="транзит",IFERROR(ROUND(SUM(I152:J152,M152:O152)/E152,2),0),0)</f>
        <v/>
      </c>
      <c r="Q152" s="141">
        <f>E152*P152</f>
        <v/>
      </c>
      <c r="R152" s="141">
        <f>ROUND(Q152*IF(AND(offer_incoterms="DDP",seller_region="RU"),IF((TODAY()+offer_turnaround_time)&gt;=helpsheet!$L$17,rate_vatRU_from_26,rate_vatRu_till_25),0),2)</f>
        <v/>
      </c>
      <c r="S152" s="177">
        <f>Q152+IF(AND(offer_incoterms="DDP",seller_region="RU"),R152,0)</f>
        <v/>
      </c>
      <c r="T152" s="45" t="n"/>
      <c r="V152" s="57">
        <f>IF(Q152&gt;0,"показать","скрыть")</f>
        <v/>
      </c>
    </row>
    <row r="153" ht="15.75" customHeight="1">
      <c r="B153" s="809" t="n">
        <v>137</v>
      </c>
      <c r="C153" s="182">
        <f>IF(offer_sale_type="транзит",IFERROR(VLOOKUP($B153,calc_data,C$14+1,0),0),0)</f>
        <v/>
      </c>
      <c r="D153" s="280">
        <f>IF(offer_sale_type="транзит",IFERROR(VLOOKUP($B153,calc_data,D$14+1,0),0),0)</f>
        <v/>
      </c>
      <c r="E153" s="182">
        <f>IF(offer_sale_type="транзит",IFERROR(VLOOKUP($B153,calc_data,E$14+1,0),0),0)</f>
        <v/>
      </c>
      <c r="F153" s="182">
        <f>IF(offer_sale_type="транзит",IFERROR(VLOOKUP($B153,calc_data,F$14+1,0),0),0)</f>
        <v/>
      </c>
      <c r="G153" s="141">
        <f>IF(offer_sale_type="транзит",IFERROR(VLOOKUP($B153,calc_data,G$14+1,0),0),0)</f>
        <v/>
      </c>
      <c r="H153" s="141">
        <f>E153*G153</f>
        <v/>
      </c>
      <c r="I153" s="141">
        <f>IF(offer_sale_type="транзит",IFERROR(ROUND(VLOOKUP($B153,calc_data,I$14+1,0),2),0),0)</f>
        <v/>
      </c>
      <c r="J153" s="141">
        <f>ROUND(IF(offer_sale_type="транзит",IFERROR(VLOOKUP($B153,calc_data,J$14+1,0),0),0),2)</f>
        <v/>
      </c>
      <c r="K153" s="142">
        <f>IF(offer_sale_type="транзит",IFERROR(ROUNDUP(VLOOKUP($B153,calc_data,K$14+1,0),2),0),0)</f>
        <v/>
      </c>
      <c r="L153" s="184">
        <f>IF(offer_sale_type="транзит",IFERROR(ROUNDUP(VLOOKUP($B153,calc_data,L$14+1,0),2),0),0)</f>
        <v/>
      </c>
      <c r="M153" s="141">
        <f>IF(offer_sale_type="транзит",IFERROR(ROUNDUP(VLOOKUP($B153,calc_data,M$14+1,0),2),0),0)</f>
        <v/>
      </c>
      <c r="N153" s="141">
        <f>IF(offer_sale_type="транзит",IFERROR(ROUNDUP(VLOOKUP($B153,calc_data,N$14+1,0),2),0),0)</f>
        <v/>
      </c>
      <c r="O153" s="147">
        <f>IF(offer_sale_type="транзит",IFERROR(ROUND(VLOOKUP($B153,calc_data,O$14+1,1),2),0),0)</f>
        <v/>
      </c>
      <c r="P153" s="141">
        <f>IF(offer_sale_type="транзит",IFERROR(ROUND(SUM(I153:J153,M153:O153)/E153,2),0),0)</f>
        <v/>
      </c>
      <c r="Q153" s="141">
        <f>E153*P153</f>
        <v/>
      </c>
      <c r="R153" s="141">
        <f>ROUND(Q153*IF(AND(offer_incoterms="DDP",seller_region="RU"),IF((TODAY()+offer_turnaround_time)&gt;=helpsheet!$L$17,rate_vatRU_from_26,rate_vatRu_till_25),0),2)</f>
        <v/>
      </c>
      <c r="S153" s="177">
        <f>Q153+IF(AND(offer_incoterms="DDP",seller_region="RU"),R153,0)</f>
        <v/>
      </c>
      <c r="T153" s="45" t="n"/>
      <c r="V153" s="57">
        <f>IF(Q153&gt;0,"показать","скрыть")</f>
        <v/>
      </c>
    </row>
    <row r="154" ht="15.75" customHeight="1">
      <c r="B154" s="809" t="n">
        <v>138</v>
      </c>
      <c r="C154" s="182">
        <f>IF(offer_sale_type="транзит",IFERROR(VLOOKUP($B154,calc_data,C$14+1,0),0),0)</f>
        <v/>
      </c>
      <c r="D154" s="280">
        <f>IF(offer_sale_type="транзит",IFERROR(VLOOKUP($B154,calc_data,D$14+1,0),0),0)</f>
        <v/>
      </c>
      <c r="E154" s="182">
        <f>IF(offer_sale_type="транзит",IFERROR(VLOOKUP($B154,calc_data,E$14+1,0),0),0)</f>
        <v/>
      </c>
      <c r="F154" s="182">
        <f>IF(offer_sale_type="транзит",IFERROR(VLOOKUP($B154,calc_data,F$14+1,0),0),0)</f>
        <v/>
      </c>
      <c r="G154" s="141">
        <f>IF(offer_sale_type="транзит",IFERROR(VLOOKUP($B154,calc_data,G$14+1,0),0),0)</f>
        <v/>
      </c>
      <c r="H154" s="141">
        <f>E154*G154</f>
        <v/>
      </c>
      <c r="I154" s="141">
        <f>IF(offer_sale_type="транзит",IFERROR(ROUND(VLOOKUP($B154,calc_data,I$14+1,0),2),0),0)</f>
        <v/>
      </c>
      <c r="J154" s="141">
        <f>ROUND(IF(offer_sale_type="транзит",IFERROR(VLOOKUP($B154,calc_data,J$14+1,0),0),0),2)</f>
        <v/>
      </c>
      <c r="K154" s="142">
        <f>IF(offer_sale_type="транзит",IFERROR(ROUNDUP(VLOOKUP($B154,calc_data,K$14+1,0),2),0),0)</f>
        <v/>
      </c>
      <c r="L154" s="184">
        <f>IF(offer_sale_type="транзит",IFERROR(ROUNDUP(VLOOKUP($B154,calc_data,L$14+1,0),2),0),0)</f>
        <v/>
      </c>
      <c r="M154" s="141">
        <f>IF(offer_sale_type="транзит",IFERROR(ROUNDUP(VLOOKUP($B154,calc_data,M$14+1,0),2),0),0)</f>
        <v/>
      </c>
      <c r="N154" s="141">
        <f>IF(offer_sale_type="транзит",IFERROR(ROUNDUP(VLOOKUP($B154,calc_data,N$14+1,0),2),0),0)</f>
        <v/>
      </c>
      <c r="O154" s="147">
        <f>IF(offer_sale_type="транзит",IFERROR(ROUND(VLOOKUP($B154,calc_data,O$14+1,1),2),0),0)</f>
        <v/>
      </c>
      <c r="P154" s="141">
        <f>IF(offer_sale_type="транзит",IFERROR(ROUND(SUM(I154:J154,M154:O154)/E154,2),0),0)</f>
        <v/>
      </c>
      <c r="Q154" s="141">
        <f>E154*P154</f>
        <v/>
      </c>
      <c r="R154" s="141">
        <f>ROUND(Q154*IF(AND(offer_incoterms="DDP",seller_region="RU"),IF((TODAY()+offer_turnaround_time)&gt;=helpsheet!$L$17,rate_vatRU_from_26,rate_vatRu_till_25),0),2)</f>
        <v/>
      </c>
      <c r="S154" s="177">
        <f>Q154+IF(AND(offer_incoterms="DDP",seller_region="RU"),R154,0)</f>
        <v/>
      </c>
      <c r="T154" s="45" t="n"/>
      <c r="V154" s="57">
        <f>IF(Q154&gt;0,"показать","скрыть")</f>
        <v/>
      </c>
    </row>
    <row r="155" ht="15.75" customHeight="1">
      <c r="B155" s="809" t="n">
        <v>139</v>
      </c>
      <c r="C155" s="182">
        <f>IF(offer_sale_type="транзит",IFERROR(VLOOKUP($B155,calc_data,C$14+1,0),0),0)</f>
        <v/>
      </c>
      <c r="D155" s="280">
        <f>IF(offer_sale_type="транзит",IFERROR(VLOOKUP($B155,calc_data,D$14+1,0),0),0)</f>
        <v/>
      </c>
      <c r="E155" s="182">
        <f>IF(offer_sale_type="транзит",IFERROR(VLOOKUP($B155,calc_data,E$14+1,0),0),0)</f>
        <v/>
      </c>
      <c r="F155" s="182">
        <f>IF(offer_sale_type="транзит",IFERROR(VLOOKUP($B155,calc_data,F$14+1,0),0),0)</f>
        <v/>
      </c>
      <c r="G155" s="141">
        <f>IF(offer_sale_type="транзит",IFERROR(VLOOKUP($B155,calc_data,G$14+1,0),0),0)</f>
        <v/>
      </c>
      <c r="H155" s="141">
        <f>E155*G155</f>
        <v/>
      </c>
      <c r="I155" s="141">
        <f>IF(offer_sale_type="транзит",IFERROR(ROUND(VLOOKUP($B155,calc_data,I$14+1,0),2),0),0)</f>
        <v/>
      </c>
      <c r="J155" s="141">
        <f>ROUND(IF(offer_sale_type="транзит",IFERROR(VLOOKUP($B155,calc_data,J$14+1,0),0),0),2)</f>
        <v/>
      </c>
      <c r="K155" s="142">
        <f>IF(offer_sale_type="транзит",IFERROR(ROUNDUP(VLOOKUP($B155,calc_data,K$14+1,0),2),0),0)</f>
        <v/>
      </c>
      <c r="L155" s="184">
        <f>IF(offer_sale_type="транзит",IFERROR(ROUNDUP(VLOOKUP($B155,calc_data,L$14+1,0),2),0),0)</f>
        <v/>
      </c>
      <c r="M155" s="141">
        <f>IF(offer_sale_type="транзит",IFERROR(ROUNDUP(VLOOKUP($B155,calc_data,M$14+1,0),2),0),0)</f>
        <v/>
      </c>
      <c r="N155" s="141">
        <f>IF(offer_sale_type="транзит",IFERROR(ROUNDUP(VLOOKUP($B155,calc_data,N$14+1,0),2),0),0)</f>
        <v/>
      </c>
      <c r="O155" s="147">
        <f>IF(offer_sale_type="транзит",IFERROR(ROUND(VLOOKUP($B155,calc_data,O$14+1,1),2),0),0)</f>
        <v/>
      </c>
      <c r="P155" s="141">
        <f>IF(offer_sale_type="транзит",IFERROR(ROUND(SUM(I155:J155,M155:O155)/E155,2),0),0)</f>
        <v/>
      </c>
      <c r="Q155" s="141">
        <f>E155*P155</f>
        <v/>
      </c>
      <c r="R155" s="141">
        <f>ROUND(Q155*IF(AND(offer_incoterms="DDP",seller_region="RU"),IF((TODAY()+offer_turnaround_time)&gt;=helpsheet!$L$17,rate_vatRU_from_26,rate_vatRu_till_25),0),2)</f>
        <v/>
      </c>
      <c r="S155" s="177">
        <f>Q155+IF(AND(offer_incoterms="DDP",seller_region="RU"),R155,0)</f>
        <v/>
      </c>
      <c r="T155" s="45" t="n"/>
      <c r="V155" s="57">
        <f>IF(Q155&gt;0,"показать","скрыть")</f>
        <v/>
      </c>
    </row>
    <row r="156" ht="15.75" customHeight="1">
      <c r="B156" s="809" t="n">
        <v>140</v>
      </c>
      <c r="C156" s="182">
        <f>IF(offer_sale_type="транзит",IFERROR(VLOOKUP($B156,calc_data,C$14+1,0),0),0)</f>
        <v/>
      </c>
      <c r="D156" s="280">
        <f>IF(offer_sale_type="транзит",IFERROR(VLOOKUP($B156,calc_data,D$14+1,0),0),0)</f>
        <v/>
      </c>
      <c r="E156" s="182">
        <f>IF(offer_sale_type="транзит",IFERROR(VLOOKUP($B156,calc_data,E$14+1,0),0),0)</f>
        <v/>
      </c>
      <c r="F156" s="182">
        <f>IF(offer_sale_type="транзит",IFERROR(VLOOKUP($B156,calc_data,F$14+1,0),0),0)</f>
        <v/>
      </c>
      <c r="G156" s="141">
        <f>IF(offer_sale_type="транзит",IFERROR(VLOOKUP($B156,calc_data,G$14+1,0),0),0)</f>
        <v/>
      </c>
      <c r="H156" s="141">
        <f>E156*G156</f>
        <v/>
      </c>
      <c r="I156" s="141">
        <f>IF(offer_sale_type="транзит",IFERROR(ROUND(VLOOKUP($B156,calc_data,I$14+1,0),2),0),0)</f>
        <v/>
      </c>
      <c r="J156" s="141">
        <f>ROUND(IF(offer_sale_type="транзит",IFERROR(VLOOKUP($B156,calc_data,J$14+1,0),0),0),2)</f>
        <v/>
      </c>
      <c r="K156" s="142">
        <f>IF(offer_sale_type="транзит",IFERROR(ROUNDUP(VLOOKUP($B156,calc_data,K$14+1,0),2),0),0)</f>
        <v/>
      </c>
      <c r="L156" s="184">
        <f>IF(offer_sale_type="транзит",IFERROR(ROUNDUP(VLOOKUP($B156,calc_data,L$14+1,0),2),0),0)</f>
        <v/>
      </c>
      <c r="M156" s="141">
        <f>IF(offer_sale_type="транзит",IFERROR(ROUNDUP(VLOOKUP($B156,calc_data,M$14+1,0),2),0),0)</f>
        <v/>
      </c>
      <c r="N156" s="141">
        <f>IF(offer_sale_type="транзит",IFERROR(ROUNDUP(VLOOKUP($B156,calc_data,N$14+1,0),2),0),0)</f>
        <v/>
      </c>
      <c r="O156" s="147">
        <f>IF(offer_sale_type="транзит",IFERROR(ROUND(VLOOKUP($B156,calc_data,O$14+1,1),2),0),0)</f>
        <v/>
      </c>
      <c r="P156" s="141">
        <f>IF(offer_sale_type="транзит",IFERROR(ROUND(SUM(I156:J156,M156:O156)/E156,2),0),0)</f>
        <v/>
      </c>
      <c r="Q156" s="141">
        <f>E156*P156</f>
        <v/>
      </c>
      <c r="R156" s="141">
        <f>ROUND(Q156*IF(AND(offer_incoterms="DDP",seller_region="RU"),IF((TODAY()+offer_turnaround_time)&gt;=helpsheet!$L$17,rate_vatRU_from_26,rate_vatRu_till_25),0),2)</f>
        <v/>
      </c>
      <c r="S156" s="177">
        <f>Q156+IF(AND(offer_incoterms="DDP",seller_region="RU"),R156,0)</f>
        <v/>
      </c>
      <c r="T156" s="45" t="n"/>
      <c r="V156" s="57">
        <f>IF(Q156&gt;0,"показать","скрыть")</f>
        <v/>
      </c>
    </row>
    <row r="157" ht="15.75" customHeight="1">
      <c r="B157" s="809" t="n">
        <v>141</v>
      </c>
      <c r="C157" s="182">
        <f>IF(offer_sale_type="транзит",IFERROR(VLOOKUP($B157,calc_data,C$14+1,0),0),0)</f>
        <v/>
      </c>
      <c r="D157" s="280">
        <f>IF(offer_sale_type="транзит",IFERROR(VLOOKUP($B157,calc_data,D$14+1,0),0),0)</f>
        <v/>
      </c>
      <c r="E157" s="182">
        <f>IF(offer_sale_type="транзит",IFERROR(VLOOKUP($B157,calc_data,E$14+1,0),0),0)</f>
        <v/>
      </c>
      <c r="F157" s="182">
        <f>IF(offer_sale_type="транзит",IFERROR(VLOOKUP($B157,calc_data,F$14+1,0),0),0)</f>
        <v/>
      </c>
      <c r="G157" s="141">
        <f>IF(offer_sale_type="транзит",IFERROR(VLOOKUP($B157,calc_data,G$14+1,0),0),0)</f>
        <v/>
      </c>
      <c r="H157" s="141">
        <f>E157*G157</f>
        <v/>
      </c>
      <c r="I157" s="141">
        <f>IF(offer_sale_type="транзит",IFERROR(ROUND(VLOOKUP($B157,calc_data,I$14+1,0),2),0),0)</f>
        <v/>
      </c>
      <c r="J157" s="141">
        <f>ROUND(IF(offer_sale_type="транзит",IFERROR(VLOOKUP($B157,calc_data,J$14+1,0),0),0),2)</f>
        <v/>
      </c>
      <c r="K157" s="142">
        <f>IF(offer_sale_type="транзит",IFERROR(ROUNDUP(VLOOKUP($B157,calc_data,K$14+1,0),2),0),0)</f>
        <v/>
      </c>
      <c r="L157" s="184">
        <f>IF(offer_sale_type="транзит",IFERROR(ROUNDUP(VLOOKUP($B157,calc_data,L$14+1,0),2),0),0)</f>
        <v/>
      </c>
      <c r="M157" s="141">
        <f>IF(offer_sale_type="транзит",IFERROR(ROUNDUP(VLOOKUP($B157,calc_data,M$14+1,0),2),0),0)</f>
        <v/>
      </c>
      <c r="N157" s="141">
        <f>IF(offer_sale_type="транзит",IFERROR(ROUNDUP(VLOOKUP($B157,calc_data,N$14+1,0),2),0),0)</f>
        <v/>
      </c>
      <c r="O157" s="147">
        <f>IF(offer_sale_type="транзит",IFERROR(ROUND(VLOOKUP($B157,calc_data,O$14+1,1),2),0),0)</f>
        <v/>
      </c>
      <c r="P157" s="141">
        <f>IF(offer_sale_type="транзит",IFERROR(ROUND(SUM(I157:J157,M157:O157)/E157,2),0),0)</f>
        <v/>
      </c>
      <c r="Q157" s="141">
        <f>E157*P157</f>
        <v/>
      </c>
      <c r="R157" s="141">
        <f>ROUND(Q157*IF(AND(offer_incoterms="DDP",seller_region="RU"),IF((TODAY()+offer_turnaround_time)&gt;=helpsheet!$L$17,rate_vatRU_from_26,rate_vatRu_till_25),0),2)</f>
        <v/>
      </c>
      <c r="S157" s="177">
        <f>Q157+IF(AND(offer_incoterms="DDP",seller_region="RU"),R157,0)</f>
        <v/>
      </c>
      <c r="T157" s="45" t="n"/>
      <c r="V157" s="57">
        <f>IF(Q157&gt;0,"показать","скрыть")</f>
        <v/>
      </c>
    </row>
    <row r="158" ht="15.75" customHeight="1">
      <c r="B158" s="809" t="n">
        <v>142</v>
      </c>
      <c r="C158" s="182">
        <f>IF(offer_sale_type="транзит",IFERROR(VLOOKUP($B158,calc_data,C$14+1,0),0),0)</f>
        <v/>
      </c>
      <c r="D158" s="280">
        <f>IF(offer_sale_type="транзит",IFERROR(VLOOKUP($B158,calc_data,D$14+1,0),0),0)</f>
        <v/>
      </c>
      <c r="E158" s="182">
        <f>IF(offer_sale_type="транзит",IFERROR(VLOOKUP($B158,calc_data,E$14+1,0),0),0)</f>
        <v/>
      </c>
      <c r="F158" s="182">
        <f>IF(offer_sale_type="транзит",IFERROR(VLOOKUP($B158,calc_data,F$14+1,0),0),0)</f>
        <v/>
      </c>
      <c r="G158" s="141">
        <f>IF(offer_sale_type="транзит",IFERROR(VLOOKUP($B158,calc_data,G$14+1,0),0),0)</f>
        <v/>
      </c>
      <c r="H158" s="141">
        <f>E158*G158</f>
        <v/>
      </c>
      <c r="I158" s="141">
        <f>IF(offer_sale_type="транзит",IFERROR(ROUND(VLOOKUP($B158,calc_data,I$14+1,0),2),0),0)</f>
        <v/>
      </c>
      <c r="J158" s="141">
        <f>ROUND(IF(offer_sale_type="транзит",IFERROR(VLOOKUP($B158,calc_data,J$14+1,0),0),0),2)</f>
        <v/>
      </c>
      <c r="K158" s="142">
        <f>IF(offer_sale_type="транзит",IFERROR(ROUNDUP(VLOOKUP($B158,calc_data,K$14+1,0),2),0),0)</f>
        <v/>
      </c>
      <c r="L158" s="184">
        <f>IF(offer_sale_type="транзит",IFERROR(ROUNDUP(VLOOKUP($B158,calc_data,L$14+1,0),2),0),0)</f>
        <v/>
      </c>
      <c r="M158" s="141">
        <f>IF(offer_sale_type="транзит",IFERROR(ROUNDUP(VLOOKUP($B158,calc_data,M$14+1,0),2),0),0)</f>
        <v/>
      </c>
      <c r="N158" s="141">
        <f>IF(offer_sale_type="транзит",IFERROR(ROUNDUP(VLOOKUP($B158,calc_data,N$14+1,0),2),0),0)</f>
        <v/>
      </c>
      <c r="O158" s="147">
        <f>IF(offer_sale_type="транзит",IFERROR(ROUND(VLOOKUP($B158,calc_data,O$14+1,1),2),0),0)</f>
        <v/>
      </c>
      <c r="P158" s="141">
        <f>IF(offer_sale_type="транзит",IFERROR(ROUND(SUM(I158:J158,M158:O158)/E158,2),0),0)</f>
        <v/>
      </c>
      <c r="Q158" s="141">
        <f>E158*P158</f>
        <v/>
      </c>
      <c r="R158" s="141">
        <f>ROUND(Q158*IF(AND(offer_incoterms="DDP",seller_region="RU"),IF((TODAY()+offer_turnaround_time)&gt;=helpsheet!$L$17,rate_vatRU_from_26,rate_vatRu_till_25),0),2)</f>
        <v/>
      </c>
      <c r="S158" s="177">
        <f>Q158+IF(AND(offer_incoterms="DDP",seller_region="RU"),R158,0)</f>
        <v/>
      </c>
      <c r="T158" s="45" t="n"/>
      <c r="V158" s="57">
        <f>IF(Q158&gt;0,"показать","скрыть")</f>
        <v/>
      </c>
    </row>
    <row r="159" ht="15.75" customHeight="1">
      <c r="B159" s="809" t="n">
        <v>143</v>
      </c>
      <c r="C159" s="182">
        <f>IF(offer_sale_type="транзит",IFERROR(VLOOKUP($B159,calc_data,C$14+1,0),0),0)</f>
        <v/>
      </c>
      <c r="D159" s="280">
        <f>IF(offer_sale_type="транзит",IFERROR(VLOOKUP($B159,calc_data,D$14+1,0),0),0)</f>
        <v/>
      </c>
      <c r="E159" s="182">
        <f>IF(offer_sale_type="транзит",IFERROR(VLOOKUP($B159,calc_data,E$14+1,0),0),0)</f>
        <v/>
      </c>
      <c r="F159" s="182">
        <f>IF(offer_sale_type="транзит",IFERROR(VLOOKUP($B159,calc_data,F$14+1,0),0),0)</f>
        <v/>
      </c>
      <c r="G159" s="141">
        <f>IF(offer_sale_type="транзит",IFERROR(VLOOKUP($B159,calc_data,G$14+1,0),0),0)</f>
        <v/>
      </c>
      <c r="H159" s="141">
        <f>E159*G159</f>
        <v/>
      </c>
      <c r="I159" s="141">
        <f>IF(offer_sale_type="транзит",IFERROR(ROUND(VLOOKUP($B159,calc_data,I$14+1,0),2),0),0)</f>
        <v/>
      </c>
      <c r="J159" s="141">
        <f>ROUND(IF(offer_sale_type="транзит",IFERROR(VLOOKUP($B159,calc_data,J$14+1,0),0),0),2)</f>
        <v/>
      </c>
      <c r="K159" s="142">
        <f>IF(offer_sale_type="транзит",IFERROR(ROUNDUP(VLOOKUP($B159,calc_data,K$14+1,0),2),0),0)</f>
        <v/>
      </c>
      <c r="L159" s="184">
        <f>IF(offer_sale_type="транзит",IFERROR(ROUNDUP(VLOOKUP($B159,calc_data,L$14+1,0),2),0),0)</f>
        <v/>
      </c>
      <c r="M159" s="141">
        <f>IF(offer_sale_type="транзит",IFERROR(ROUNDUP(VLOOKUP($B159,calc_data,M$14+1,0),2),0),0)</f>
        <v/>
      </c>
      <c r="N159" s="141">
        <f>IF(offer_sale_type="транзит",IFERROR(ROUNDUP(VLOOKUP($B159,calc_data,N$14+1,0),2),0),0)</f>
        <v/>
      </c>
      <c r="O159" s="147">
        <f>IF(offer_sale_type="транзит",IFERROR(ROUND(VLOOKUP($B159,calc_data,O$14+1,1),2),0),0)</f>
        <v/>
      </c>
      <c r="P159" s="141">
        <f>IF(offer_sale_type="транзит",IFERROR(ROUND(SUM(I159:J159,M159:O159)/E159,2),0),0)</f>
        <v/>
      </c>
      <c r="Q159" s="141">
        <f>E159*P159</f>
        <v/>
      </c>
      <c r="R159" s="141">
        <f>ROUND(Q159*IF(AND(offer_incoterms="DDP",seller_region="RU"),IF((TODAY()+offer_turnaround_time)&gt;=helpsheet!$L$17,rate_vatRU_from_26,rate_vatRu_till_25),0),2)</f>
        <v/>
      </c>
      <c r="S159" s="177">
        <f>Q159+IF(AND(offer_incoterms="DDP",seller_region="RU"),R159,0)</f>
        <v/>
      </c>
      <c r="T159" s="45" t="n"/>
      <c r="V159" s="57">
        <f>IF(Q159&gt;0,"показать","скрыть")</f>
        <v/>
      </c>
    </row>
    <row r="160" ht="15.75" customHeight="1">
      <c r="B160" s="809" t="n">
        <v>144</v>
      </c>
      <c r="C160" s="182">
        <f>IF(offer_sale_type="транзит",IFERROR(VLOOKUP($B160,calc_data,C$14+1,0),0),0)</f>
        <v/>
      </c>
      <c r="D160" s="280">
        <f>IF(offer_sale_type="транзит",IFERROR(VLOOKUP($B160,calc_data,D$14+1,0),0),0)</f>
        <v/>
      </c>
      <c r="E160" s="182">
        <f>IF(offer_sale_type="транзит",IFERROR(VLOOKUP($B160,calc_data,E$14+1,0),0),0)</f>
        <v/>
      </c>
      <c r="F160" s="182">
        <f>IF(offer_sale_type="транзит",IFERROR(VLOOKUP($B160,calc_data,F$14+1,0),0),0)</f>
        <v/>
      </c>
      <c r="G160" s="141">
        <f>IF(offer_sale_type="транзит",IFERROR(VLOOKUP($B160,calc_data,G$14+1,0),0),0)</f>
        <v/>
      </c>
      <c r="H160" s="141">
        <f>E160*G160</f>
        <v/>
      </c>
      <c r="I160" s="141">
        <f>IF(offer_sale_type="транзит",IFERROR(ROUND(VLOOKUP($B160,calc_data,I$14+1,0),2),0),0)</f>
        <v/>
      </c>
      <c r="J160" s="141">
        <f>ROUND(IF(offer_sale_type="транзит",IFERROR(VLOOKUP($B160,calc_data,J$14+1,0),0),0),2)</f>
        <v/>
      </c>
      <c r="K160" s="142">
        <f>IF(offer_sale_type="транзит",IFERROR(ROUNDUP(VLOOKUP($B160,calc_data,K$14+1,0),2),0),0)</f>
        <v/>
      </c>
      <c r="L160" s="184">
        <f>IF(offer_sale_type="транзит",IFERROR(ROUNDUP(VLOOKUP($B160,calc_data,L$14+1,0),2),0),0)</f>
        <v/>
      </c>
      <c r="M160" s="141">
        <f>IF(offer_sale_type="транзит",IFERROR(ROUNDUP(VLOOKUP($B160,calc_data,M$14+1,0),2),0),0)</f>
        <v/>
      </c>
      <c r="N160" s="141">
        <f>IF(offer_sale_type="транзит",IFERROR(ROUNDUP(VLOOKUP($B160,calc_data,N$14+1,0),2),0),0)</f>
        <v/>
      </c>
      <c r="O160" s="147">
        <f>IF(offer_sale_type="транзит",IFERROR(ROUND(VLOOKUP($B160,calc_data,O$14+1,1),2),0),0)</f>
        <v/>
      </c>
      <c r="P160" s="141">
        <f>IF(offer_sale_type="транзит",IFERROR(ROUND(SUM(I160:J160,M160:O160)/E160,2),0),0)</f>
        <v/>
      </c>
      <c r="Q160" s="141">
        <f>E160*P160</f>
        <v/>
      </c>
      <c r="R160" s="141">
        <f>ROUND(Q160*IF(AND(offer_incoterms="DDP",seller_region="RU"),IF((TODAY()+offer_turnaround_time)&gt;=helpsheet!$L$17,rate_vatRU_from_26,rate_vatRu_till_25),0),2)</f>
        <v/>
      </c>
      <c r="S160" s="177">
        <f>Q160+IF(AND(offer_incoterms="DDP",seller_region="RU"),R160,0)</f>
        <v/>
      </c>
      <c r="T160" s="45" t="n"/>
      <c r="V160" s="57">
        <f>IF(Q160&gt;0,"показать","скрыть")</f>
        <v/>
      </c>
    </row>
    <row r="161" ht="15.75" customHeight="1">
      <c r="B161" s="809" t="n">
        <v>145</v>
      </c>
      <c r="C161" s="182">
        <f>IF(offer_sale_type="транзит",IFERROR(VLOOKUP($B161,calc_data,C$14+1,0),0),0)</f>
        <v/>
      </c>
      <c r="D161" s="280">
        <f>IF(offer_sale_type="транзит",IFERROR(VLOOKUP($B161,calc_data,D$14+1,0),0),0)</f>
        <v/>
      </c>
      <c r="E161" s="182">
        <f>IF(offer_sale_type="транзит",IFERROR(VLOOKUP($B161,calc_data,E$14+1,0),0),0)</f>
        <v/>
      </c>
      <c r="F161" s="182">
        <f>IF(offer_sale_type="транзит",IFERROR(VLOOKUP($B161,calc_data,F$14+1,0),0),0)</f>
        <v/>
      </c>
      <c r="G161" s="141">
        <f>IF(offer_sale_type="транзит",IFERROR(VLOOKUP($B161,calc_data,G$14+1,0),0),0)</f>
        <v/>
      </c>
      <c r="H161" s="141">
        <f>E161*G161</f>
        <v/>
      </c>
      <c r="I161" s="141">
        <f>IF(offer_sale_type="транзит",IFERROR(ROUND(VLOOKUP($B161,calc_data,I$14+1,0),2),0),0)</f>
        <v/>
      </c>
      <c r="J161" s="141">
        <f>ROUND(IF(offer_sale_type="транзит",IFERROR(VLOOKUP($B161,calc_data,J$14+1,0),0),0),2)</f>
        <v/>
      </c>
      <c r="K161" s="142">
        <f>IF(offer_sale_type="транзит",IFERROR(ROUNDUP(VLOOKUP($B161,calc_data,K$14+1,0),2),0),0)</f>
        <v/>
      </c>
      <c r="L161" s="184">
        <f>IF(offer_sale_type="транзит",IFERROR(ROUNDUP(VLOOKUP($B161,calc_data,L$14+1,0),2),0),0)</f>
        <v/>
      </c>
      <c r="M161" s="141">
        <f>IF(offer_sale_type="транзит",IFERROR(ROUNDUP(VLOOKUP($B161,calc_data,M$14+1,0),2),0),0)</f>
        <v/>
      </c>
      <c r="N161" s="141">
        <f>IF(offer_sale_type="транзит",IFERROR(ROUNDUP(VLOOKUP($B161,calc_data,N$14+1,0),2),0),0)</f>
        <v/>
      </c>
      <c r="O161" s="147">
        <f>IF(offer_sale_type="транзит",IFERROR(ROUND(VLOOKUP($B161,calc_data,O$14+1,1),2),0),0)</f>
        <v/>
      </c>
      <c r="P161" s="141">
        <f>IF(offer_sale_type="транзит",IFERROR(ROUND(SUM(I161:J161,M161:O161)/E161,2),0),0)</f>
        <v/>
      </c>
      <c r="Q161" s="141">
        <f>E161*P161</f>
        <v/>
      </c>
      <c r="R161" s="141">
        <f>ROUND(Q161*IF(AND(offer_incoterms="DDP",seller_region="RU"),IF((TODAY()+offer_turnaround_time)&gt;=helpsheet!$L$17,rate_vatRU_from_26,rate_vatRu_till_25),0),2)</f>
        <v/>
      </c>
      <c r="S161" s="177">
        <f>Q161+IF(AND(offer_incoterms="DDP",seller_region="RU"),R161,0)</f>
        <v/>
      </c>
      <c r="T161" s="45" t="n"/>
      <c r="V161" s="57">
        <f>IF(Q161&gt;0,"показать","скрыть")</f>
        <v/>
      </c>
    </row>
    <row r="162" ht="15.75" customHeight="1">
      <c r="B162" s="809" t="n">
        <v>146</v>
      </c>
      <c r="C162" s="182">
        <f>IF(offer_sale_type="транзит",IFERROR(VLOOKUP($B162,calc_data,C$14+1,0),0),0)</f>
        <v/>
      </c>
      <c r="D162" s="280">
        <f>IF(offer_sale_type="транзит",IFERROR(VLOOKUP($B162,calc_data,D$14+1,0),0),0)</f>
        <v/>
      </c>
      <c r="E162" s="182">
        <f>IF(offer_sale_type="транзит",IFERROR(VLOOKUP($B162,calc_data,E$14+1,0),0),0)</f>
        <v/>
      </c>
      <c r="F162" s="182">
        <f>IF(offer_sale_type="транзит",IFERROR(VLOOKUP($B162,calc_data,F$14+1,0),0),0)</f>
        <v/>
      </c>
      <c r="G162" s="141">
        <f>IF(offer_sale_type="транзит",IFERROR(VLOOKUP($B162,calc_data,G$14+1,0),0),0)</f>
        <v/>
      </c>
      <c r="H162" s="141">
        <f>E162*G162</f>
        <v/>
      </c>
      <c r="I162" s="141">
        <f>IF(offer_sale_type="транзит",IFERROR(ROUND(VLOOKUP($B162,calc_data,I$14+1,0),2),0),0)</f>
        <v/>
      </c>
      <c r="J162" s="141">
        <f>ROUND(IF(offer_sale_type="транзит",IFERROR(VLOOKUP($B162,calc_data,J$14+1,0),0),0),2)</f>
        <v/>
      </c>
      <c r="K162" s="142">
        <f>IF(offer_sale_type="транзит",IFERROR(ROUNDUP(VLOOKUP($B162,calc_data,K$14+1,0),2),0),0)</f>
        <v/>
      </c>
      <c r="L162" s="184">
        <f>IF(offer_sale_type="транзит",IFERROR(ROUNDUP(VLOOKUP($B162,calc_data,L$14+1,0),2),0),0)</f>
        <v/>
      </c>
      <c r="M162" s="141">
        <f>IF(offer_sale_type="транзит",IFERROR(ROUNDUP(VLOOKUP($B162,calc_data,M$14+1,0),2),0),0)</f>
        <v/>
      </c>
      <c r="N162" s="141">
        <f>IF(offer_sale_type="транзит",IFERROR(ROUNDUP(VLOOKUP($B162,calc_data,N$14+1,0),2),0),0)</f>
        <v/>
      </c>
      <c r="O162" s="147">
        <f>IF(offer_sale_type="транзит",IFERROR(ROUND(VLOOKUP($B162,calc_data,O$14+1,1),2),0),0)</f>
        <v/>
      </c>
      <c r="P162" s="141">
        <f>IF(offer_sale_type="транзит",IFERROR(ROUND(SUM(I162:J162,M162:O162)/E162,2),0),0)</f>
        <v/>
      </c>
      <c r="Q162" s="141">
        <f>E162*P162</f>
        <v/>
      </c>
      <c r="R162" s="141">
        <f>ROUND(Q162*IF(AND(offer_incoterms="DDP",seller_region="RU"),IF((TODAY()+offer_turnaround_time)&gt;=helpsheet!$L$17,rate_vatRU_from_26,rate_vatRu_till_25),0),2)</f>
        <v/>
      </c>
      <c r="S162" s="177">
        <f>Q162+IF(AND(offer_incoterms="DDP",seller_region="RU"),R162,0)</f>
        <v/>
      </c>
      <c r="T162" s="45" t="n"/>
      <c r="V162" s="57">
        <f>IF(Q162&gt;0,"показать","скрыть")</f>
        <v/>
      </c>
    </row>
    <row r="163" ht="15.75" customHeight="1">
      <c r="B163" s="809" t="n">
        <v>147</v>
      </c>
      <c r="C163" s="182">
        <f>IF(offer_sale_type="транзит",IFERROR(VLOOKUP($B163,calc_data,C$14+1,0),0),0)</f>
        <v/>
      </c>
      <c r="D163" s="280">
        <f>IF(offer_sale_type="транзит",IFERROR(VLOOKUP($B163,calc_data,D$14+1,0),0),0)</f>
        <v/>
      </c>
      <c r="E163" s="182">
        <f>IF(offer_sale_type="транзит",IFERROR(VLOOKUP($B163,calc_data,E$14+1,0),0),0)</f>
        <v/>
      </c>
      <c r="F163" s="182">
        <f>IF(offer_sale_type="транзит",IFERROR(VLOOKUP($B163,calc_data,F$14+1,0),0),0)</f>
        <v/>
      </c>
      <c r="G163" s="141">
        <f>IF(offer_sale_type="транзит",IFERROR(VLOOKUP($B163,calc_data,G$14+1,0),0),0)</f>
        <v/>
      </c>
      <c r="H163" s="141">
        <f>E163*G163</f>
        <v/>
      </c>
      <c r="I163" s="141">
        <f>IF(offer_sale_type="транзит",IFERROR(ROUND(VLOOKUP($B163,calc_data,I$14+1,0),2),0),0)</f>
        <v/>
      </c>
      <c r="J163" s="141">
        <f>ROUND(IF(offer_sale_type="транзит",IFERROR(VLOOKUP($B163,calc_data,J$14+1,0),0),0),2)</f>
        <v/>
      </c>
      <c r="K163" s="142">
        <f>IF(offer_sale_type="транзит",IFERROR(ROUNDUP(VLOOKUP($B163,calc_data,K$14+1,0),2),0),0)</f>
        <v/>
      </c>
      <c r="L163" s="184">
        <f>IF(offer_sale_type="транзит",IFERROR(ROUNDUP(VLOOKUP($B163,calc_data,L$14+1,0),2),0),0)</f>
        <v/>
      </c>
      <c r="M163" s="141">
        <f>IF(offer_sale_type="транзит",IFERROR(ROUNDUP(VLOOKUP($B163,calc_data,M$14+1,0),2),0),0)</f>
        <v/>
      </c>
      <c r="N163" s="141">
        <f>IF(offer_sale_type="транзит",IFERROR(ROUNDUP(VLOOKUP($B163,calc_data,N$14+1,0),2),0),0)</f>
        <v/>
      </c>
      <c r="O163" s="147">
        <f>IF(offer_sale_type="транзит",IFERROR(ROUND(VLOOKUP($B163,calc_data,O$14+1,1),2),0),0)</f>
        <v/>
      </c>
      <c r="P163" s="141">
        <f>IF(offer_sale_type="транзит",IFERROR(ROUND(SUM(I163:J163,M163:O163)/E163,2),0),0)</f>
        <v/>
      </c>
      <c r="Q163" s="141">
        <f>E163*P163</f>
        <v/>
      </c>
      <c r="R163" s="141">
        <f>ROUND(Q163*IF(AND(offer_incoterms="DDP",seller_region="RU"),IF((TODAY()+offer_turnaround_time)&gt;=helpsheet!$L$17,rate_vatRU_from_26,rate_vatRu_till_25),0),2)</f>
        <v/>
      </c>
      <c r="S163" s="177">
        <f>Q163+IF(AND(offer_incoterms="DDP",seller_region="RU"),R163,0)</f>
        <v/>
      </c>
      <c r="T163" s="45" t="n"/>
      <c r="V163" s="57">
        <f>IF(Q163&gt;0,"показать","скрыть")</f>
        <v/>
      </c>
    </row>
    <row r="164" ht="15.75" customHeight="1">
      <c r="B164" s="809" t="n">
        <v>148</v>
      </c>
      <c r="C164" s="182">
        <f>IF(offer_sale_type="транзит",IFERROR(VLOOKUP($B164,calc_data,C$14+1,0),0),0)</f>
        <v/>
      </c>
      <c r="D164" s="280">
        <f>IF(offer_sale_type="транзит",IFERROR(VLOOKUP($B164,calc_data,D$14+1,0),0),0)</f>
        <v/>
      </c>
      <c r="E164" s="182">
        <f>IF(offer_sale_type="транзит",IFERROR(VLOOKUP($B164,calc_data,E$14+1,0),0),0)</f>
        <v/>
      </c>
      <c r="F164" s="182">
        <f>IF(offer_sale_type="транзит",IFERROR(VLOOKUP($B164,calc_data,F$14+1,0),0),0)</f>
        <v/>
      </c>
      <c r="G164" s="141">
        <f>IF(offer_sale_type="транзит",IFERROR(VLOOKUP($B164,calc_data,G$14+1,0),0),0)</f>
        <v/>
      </c>
      <c r="H164" s="141">
        <f>E164*G164</f>
        <v/>
      </c>
      <c r="I164" s="141">
        <f>IF(offer_sale_type="транзит",IFERROR(ROUND(VLOOKUP($B164,calc_data,I$14+1,0),2),0),0)</f>
        <v/>
      </c>
      <c r="J164" s="141">
        <f>ROUND(IF(offer_sale_type="транзит",IFERROR(VLOOKUP($B164,calc_data,J$14+1,0),0),0),2)</f>
        <v/>
      </c>
      <c r="K164" s="142">
        <f>IF(offer_sale_type="транзит",IFERROR(ROUNDUP(VLOOKUP($B164,calc_data,K$14+1,0),2),0),0)</f>
        <v/>
      </c>
      <c r="L164" s="184">
        <f>IF(offer_sale_type="транзит",IFERROR(ROUNDUP(VLOOKUP($B164,calc_data,L$14+1,0),2),0),0)</f>
        <v/>
      </c>
      <c r="M164" s="141">
        <f>IF(offer_sale_type="транзит",IFERROR(ROUNDUP(VLOOKUP($B164,calc_data,M$14+1,0),2),0),0)</f>
        <v/>
      </c>
      <c r="N164" s="141">
        <f>IF(offer_sale_type="транзит",IFERROR(ROUNDUP(VLOOKUP($B164,calc_data,N$14+1,0),2),0),0)</f>
        <v/>
      </c>
      <c r="O164" s="147">
        <f>IF(offer_sale_type="транзит",IFERROR(ROUND(VLOOKUP($B164,calc_data,O$14+1,1),2),0),0)</f>
        <v/>
      </c>
      <c r="P164" s="141">
        <f>IF(offer_sale_type="транзит",IFERROR(ROUND(SUM(I164:J164,M164:O164)/E164,2),0),0)</f>
        <v/>
      </c>
      <c r="Q164" s="141">
        <f>E164*P164</f>
        <v/>
      </c>
      <c r="R164" s="141">
        <f>ROUND(Q164*IF(AND(offer_incoterms="DDP",seller_region="RU"),IF((TODAY()+offer_turnaround_time)&gt;=helpsheet!$L$17,rate_vatRU_from_26,rate_vatRu_till_25),0),2)</f>
        <v/>
      </c>
      <c r="S164" s="177">
        <f>Q164+IF(AND(offer_incoterms="DDP",seller_region="RU"),R164,0)</f>
        <v/>
      </c>
      <c r="T164" s="45" t="n"/>
      <c r="V164" s="57">
        <f>IF(Q164&gt;0,"показать","скрыть")</f>
        <v/>
      </c>
    </row>
    <row r="165" ht="15.75" customHeight="1">
      <c r="B165" s="809" t="n">
        <v>149</v>
      </c>
      <c r="C165" s="182">
        <f>IF(offer_sale_type="транзит",IFERROR(VLOOKUP($B165,calc_data,C$14+1,0),0),0)</f>
        <v/>
      </c>
      <c r="D165" s="280">
        <f>IF(offer_sale_type="транзит",IFERROR(VLOOKUP($B165,calc_data,D$14+1,0),0),0)</f>
        <v/>
      </c>
      <c r="E165" s="182">
        <f>IF(offer_sale_type="транзит",IFERROR(VLOOKUP($B165,calc_data,E$14+1,0),0),0)</f>
        <v/>
      </c>
      <c r="F165" s="182">
        <f>IF(offer_sale_type="транзит",IFERROR(VLOOKUP($B165,calc_data,F$14+1,0),0),0)</f>
        <v/>
      </c>
      <c r="G165" s="141">
        <f>IF(offer_sale_type="транзит",IFERROR(VLOOKUP($B165,calc_data,G$14+1,0),0),0)</f>
        <v/>
      </c>
      <c r="H165" s="141">
        <f>E165*G165</f>
        <v/>
      </c>
      <c r="I165" s="141">
        <f>IF(offer_sale_type="транзит",IFERROR(ROUND(VLOOKUP($B165,calc_data,I$14+1,0),2),0),0)</f>
        <v/>
      </c>
      <c r="J165" s="141">
        <f>ROUND(IF(offer_sale_type="транзит",IFERROR(VLOOKUP($B165,calc_data,J$14+1,0),0),0),2)</f>
        <v/>
      </c>
      <c r="K165" s="142">
        <f>IF(offer_sale_type="транзит",IFERROR(ROUNDUP(VLOOKUP($B165,calc_data,K$14+1,0),2),0),0)</f>
        <v/>
      </c>
      <c r="L165" s="184">
        <f>IF(offer_sale_type="транзит",IFERROR(ROUNDUP(VLOOKUP($B165,calc_data,L$14+1,0),2),0),0)</f>
        <v/>
      </c>
      <c r="M165" s="141">
        <f>IF(offer_sale_type="транзит",IFERROR(ROUNDUP(VLOOKUP($B165,calc_data,M$14+1,0),2),0),0)</f>
        <v/>
      </c>
      <c r="N165" s="141">
        <f>IF(offer_sale_type="транзит",IFERROR(ROUNDUP(VLOOKUP($B165,calc_data,N$14+1,0),2),0),0)</f>
        <v/>
      </c>
      <c r="O165" s="147">
        <f>IF(offer_sale_type="транзит",IFERROR(ROUND(VLOOKUP($B165,calc_data,O$14+1,1),2),0),0)</f>
        <v/>
      </c>
      <c r="P165" s="141">
        <f>IF(offer_sale_type="транзит",IFERROR(ROUND(SUM(I165:J165,M165:O165)/E165,2),0),0)</f>
        <v/>
      </c>
      <c r="Q165" s="141">
        <f>E165*P165</f>
        <v/>
      </c>
      <c r="R165" s="141">
        <f>ROUND(Q165*IF(AND(offer_incoterms="DDP",seller_region="RU"),IF((TODAY()+offer_turnaround_time)&gt;=helpsheet!$L$17,rate_vatRU_from_26,rate_vatRu_till_25),0),2)</f>
        <v/>
      </c>
      <c r="S165" s="177">
        <f>Q165+IF(AND(offer_incoterms="DDP",seller_region="RU"),R165,0)</f>
        <v/>
      </c>
      <c r="T165" s="45" t="n"/>
      <c r="V165" s="57">
        <f>IF(Q165&gt;0,"показать","скрыть")</f>
        <v/>
      </c>
    </row>
    <row r="166" ht="15.75" customHeight="1">
      <c r="B166" s="809" t="n">
        <v>150</v>
      </c>
      <c r="C166" s="182">
        <f>IF(offer_sale_type="транзит",IFERROR(VLOOKUP($B166,calc_data,C$14+1,0),0),0)</f>
        <v/>
      </c>
      <c r="D166" s="280">
        <f>IF(offer_sale_type="транзит",IFERROR(VLOOKUP($B166,calc_data,D$14+1,0),0),0)</f>
        <v/>
      </c>
      <c r="E166" s="182">
        <f>IF(offer_sale_type="транзит",IFERROR(VLOOKUP($B166,calc_data,E$14+1,0),0),0)</f>
        <v/>
      </c>
      <c r="F166" s="182">
        <f>IF(offer_sale_type="транзит",IFERROR(VLOOKUP($B166,calc_data,F$14+1,0),0),0)</f>
        <v/>
      </c>
      <c r="G166" s="141">
        <f>IF(offer_sale_type="транзит",IFERROR(VLOOKUP($B166,calc_data,G$14+1,0),0),0)</f>
        <v/>
      </c>
      <c r="H166" s="141">
        <f>E166*G166</f>
        <v/>
      </c>
      <c r="I166" s="141">
        <f>IF(offer_sale_type="транзит",IFERROR(ROUND(VLOOKUP($B166,calc_data,I$14+1,0),2),0),0)</f>
        <v/>
      </c>
      <c r="J166" s="141">
        <f>ROUND(IF(offer_sale_type="транзит",IFERROR(VLOOKUP($B166,calc_data,J$14+1,0),0),0),2)</f>
        <v/>
      </c>
      <c r="K166" s="142">
        <f>IF(offer_sale_type="транзит",IFERROR(ROUNDUP(VLOOKUP($B166,calc_data,K$14+1,0),2),0),0)</f>
        <v/>
      </c>
      <c r="L166" s="184">
        <f>IF(offer_sale_type="транзит",IFERROR(ROUNDUP(VLOOKUP($B166,calc_data,L$14+1,0),2),0),0)</f>
        <v/>
      </c>
      <c r="M166" s="141">
        <f>IF(offer_sale_type="транзит",IFERROR(ROUNDUP(VLOOKUP($B166,calc_data,M$14+1,0),2),0),0)</f>
        <v/>
      </c>
      <c r="N166" s="141">
        <f>IF(offer_sale_type="транзит",IFERROR(ROUNDUP(VLOOKUP($B166,calc_data,N$14+1,0),2),0),0)</f>
        <v/>
      </c>
      <c r="O166" s="147">
        <f>IF(offer_sale_type="транзит",IFERROR(ROUND(VLOOKUP($B166,calc_data,O$14+1,1),2),0),0)</f>
        <v/>
      </c>
      <c r="P166" s="141">
        <f>IF(offer_sale_type="транзит",IFERROR(ROUND(SUM(I166:J166,M166:O166)/E166,2),0),0)</f>
        <v/>
      </c>
      <c r="Q166" s="141">
        <f>E166*P166</f>
        <v/>
      </c>
      <c r="R166" s="141">
        <f>ROUND(Q166*IF(AND(offer_incoterms="DDP",seller_region="RU"),IF((TODAY()+offer_turnaround_time)&gt;=helpsheet!$L$17,rate_vatRU_from_26,rate_vatRu_till_25),0),2)</f>
        <v/>
      </c>
      <c r="S166" s="177">
        <f>Q166+IF(AND(offer_incoterms="DDP",seller_region="RU"),R166,0)</f>
        <v/>
      </c>
      <c r="T166" s="45" t="n"/>
      <c r="V166" s="57">
        <f>IF(Q166&gt;0,"показать","скрыть")</f>
        <v/>
      </c>
    </row>
    <row r="167" ht="15.75" customHeight="1">
      <c r="B167" s="809" t="n">
        <v>151</v>
      </c>
      <c r="C167" s="182">
        <f>IF(offer_sale_type="транзит",IFERROR(VLOOKUP($B167,calc_data,C$14+1,0),0),0)</f>
        <v/>
      </c>
      <c r="D167" s="280">
        <f>IF(offer_sale_type="транзит",IFERROR(VLOOKUP($B167,calc_data,D$14+1,0),0),0)</f>
        <v/>
      </c>
      <c r="E167" s="182">
        <f>IF(offer_sale_type="транзит",IFERROR(VLOOKUP($B167,calc_data,E$14+1,0),0),0)</f>
        <v/>
      </c>
      <c r="F167" s="182">
        <f>IF(offer_sale_type="транзит",IFERROR(VLOOKUP($B167,calc_data,F$14+1,0),0),0)</f>
        <v/>
      </c>
      <c r="G167" s="141">
        <f>IF(offer_sale_type="транзит",IFERROR(VLOOKUP($B167,calc_data,G$14+1,0),0),0)</f>
        <v/>
      </c>
      <c r="H167" s="141">
        <f>E167*G167</f>
        <v/>
      </c>
      <c r="I167" s="141">
        <f>IF(offer_sale_type="транзит",IFERROR(ROUND(VLOOKUP($B167,calc_data,I$14+1,0),2),0),0)</f>
        <v/>
      </c>
      <c r="J167" s="141">
        <f>ROUND(IF(offer_sale_type="транзит",IFERROR(VLOOKUP($B167,calc_data,J$14+1,0),0),0),2)</f>
        <v/>
      </c>
      <c r="K167" s="142">
        <f>IF(offer_sale_type="транзит",IFERROR(ROUNDUP(VLOOKUP($B167,calc_data,K$14+1,0),2),0),0)</f>
        <v/>
      </c>
      <c r="L167" s="184">
        <f>IF(offer_sale_type="транзит",IFERROR(ROUNDUP(VLOOKUP($B167,calc_data,L$14+1,0),2),0),0)</f>
        <v/>
      </c>
      <c r="M167" s="141">
        <f>IF(offer_sale_type="транзит",IFERROR(ROUNDUP(VLOOKUP($B167,calc_data,M$14+1,0),2),0),0)</f>
        <v/>
      </c>
      <c r="N167" s="141">
        <f>IF(offer_sale_type="транзит",IFERROR(ROUNDUP(VLOOKUP($B167,calc_data,N$14+1,0),2),0),0)</f>
        <v/>
      </c>
      <c r="O167" s="147">
        <f>IF(offer_sale_type="транзит",IFERROR(ROUND(VLOOKUP($B167,calc_data,O$14+1,1),2),0),0)</f>
        <v/>
      </c>
      <c r="P167" s="141">
        <f>IF(offer_sale_type="транзит",IFERROR(ROUND(SUM(I167:J167,M167:O167)/E167,2),0),0)</f>
        <v/>
      </c>
      <c r="Q167" s="141">
        <f>E167*P167</f>
        <v/>
      </c>
      <c r="R167" s="141">
        <f>ROUND(Q167*IF(AND(offer_incoterms="DDP",seller_region="RU"),IF((TODAY()+offer_turnaround_time)&gt;=helpsheet!$L$17,rate_vatRU_from_26,rate_vatRu_till_25),0),2)</f>
        <v/>
      </c>
      <c r="S167" s="177">
        <f>Q167+IF(AND(offer_incoterms="DDP",seller_region="RU"),R167,0)</f>
        <v/>
      </c>
      <c r="T167" s="45" t="n"/>
      <c r="V167" s="57">
        <f>IF(Q167&gt;0,"показать","скрыть")</f>
        <v/>
      </c>
    </row>
    <row r="168" ht="15.75" customHeight="1">
      <c r="B168" s="809" t="n">
        <v>152</v>
      </c>
      <c r="C168" s="182">
        <f>IF(offer_sale_type="транзит",IFERROR(VLOOKUP($B168,calc_data,C$14+1,0),0),0)</f>
        <v/>
      </c>
      <c r="D168" s="280">
        <f>IF(offer_sale_type="транзит",IFERROR(VLOOKUP($B168,calc_data,D$14+1,0),0),0)</f>
        <v/>
      </c>
      <c r="E168" s="182">
        <f>IF(offer_sale_type="транзит",IFERROR(VLOOKUP($B168,calc_data,E$14+1,0),0),0)</f>
        <v/>
      </c>
      <c r="F168" s="182">
        <f>IF(offer_sale_type="транзит",IFERROR(VLOOKUP($B168,calc_data,F$14+1,0),0),0)</f>
        <v/>
      </c>
      <c r="G168" s="141">
        <f>IF(offer_sale_type="транзит",IFERROR(VLOOKUP($B168,calc_data,G$14+1,0),0),0)</f>
        <v/>
      </c>
      <c r="H168" s="141">
        <f>E168*G168</f>
        <v/>
      </c>
      <c r="I168" s="141">
        <f>IF(offer_sale_type="транзит",IFERROR(ROUND(VLOOKUP($B168,calc_data,I$14+1,0),2),0),0)</f>
        <v/>
      </c>
      <c r="J168" s="141">
        <f>ROUND(IF(offer_sale_type="транзит",IFERROR(VLOOKUP($B168,calc_data,J$14+1,0),0),0),2)</f>
        <v/>
      </c>
      <c r="K168" s="142">
        <f>IF(offer_sale_type="транзит",IFERROR(ROUNDUP(VLOOKUP($B168,calc_data,K$14+1,0),2),0),0)</f>
        <v/>
      </c>
      <c r="L168" s="184">
        <f>IF(offer_sale_type="транзит",IFERROR(ROUNDUP(VLOOKUP($B168,calc_data,L$14+1,0),2),0),0)</f>
        <v/>
      </c>
      <c r="M168" s="141">
        <f>IF(offer_sale_type="транзит",IFERROR(ROUNDUP(VLOOKUP($B168,calc_data,M$14+1,0),2),0),0)</f>
        <v/>
      </c>
      <c r="N168" s="141">
        <f>IF(offer_sale_type="транзит",IFERROR(ROUNDUP(VLOOKUP($B168,calc_data,N$14+1,0),2),0),0)</f>
        <v/>
      </c>
      <c r="O168" s="147">
        <f>IF(offer_sale_type="транзит",IFERROR(ROUND(VLOOKUP($B168,calc_data,O$14+1,1),2),0),0)</f>
        <v/>
      </c>
      <c r="P168" s="141">
        <f>IF(offer_sale_type="транзит",IFERROR(ROUND(SUM(I168:J168,M168:O168)/E168,2),0),0)</f>
        <v/>
      </c>
      <c r="Q168" s="141">
        <f>E168*P168</f>
        <v/>
      </c>
      <c r="R168" s="141">
        <f>ROUND(Q168*IF(AND(offer_incoterms="DDP",seller_region="RU"),IF((TODAY()+offer_turnaround_time)&gt;=helpsheet!$L$17,rate_vatRU_from_26,rate_vatRu_till_25),0),2)</f>
        <v/>
      </c>
      <c r="S168" s="177">
        <f>Q168+IF(AND(offer_incoterms="DDP",seller_region="RU"),R168,0)</f>
        <v/>
      </c>
      <c r="T168" s="45" t="n"/>
      <c r="V168" s="57">
        <f>IF(Q168&gt;0,"показать","скрыть")</f>
        <v/>
      </c>
    </row>
    <row r="169" ht="15.75" customHeight="1">
      <c r="B169" s="809" t="n">
        <v>153</v>
      </c>
      <c r="C169" s="182">
        <f>IF(offer_sale_type="транзит",IFERROR(VLOOKUP($B169,calc_data,C$14+1,0),0),0)</f>
        <v/>
      </c>
      <c r="D169" s="280">
        <f>IF(offer_sale_type="транзит",IFERROR(VLOOKUP($B169,calc_data,D$14+1,0),0),0)</f>
        <v/>
      </c>
      <c r="E169" s="182">
        <f>IF(offer_sale_type="транзит",IFERROR(VLOOKUP($B169,calc_data,E$14+1,0),0),0)</f>
        <v/>
      </c>
      <c r="F169" s="182">
        <f>IF(offer_sale_type="транзит",IFERROR(VLOOKUP($B169,calc_data,F$14+1,0),0),0)</f>
        <v/>
      </c>
      <c r="G169" s="141">
        <f>IF(offer_sale_type="транзит",IFERROR(VLOOKUP($B169,calc_data,G$14+1,0),0),0)</f>
        <v/>
      </c>
      <c r="H169" s="141">
        <f>E169*G169</f>
        <v/>
      </c>
      <c r="I169" s="141">
        <f>IF(offer_sale_type="транзит",IFERROR(ROUND(VLOOKUP($B169,calc_data,I$14+1,0),2),0),0)</f>
        <v/>
      </c>
      <c r="J169" s="141">
        <f>ROUND(IF(offer_sale_type="транзит",IFERROR(VLOOKUP($B169,calc_data,J$14+1,0),0),0),2)</f>
        <v/>
      </c>
      <c r="K169" s="142">
        <f>IF(offer_sale_type="транзит",IFERROR(ROUNDUP(VLOOKUP($B169,calc_data,K$14+1,0),2),0),0)</f>
        <v/>
      </c>
      <c r="L169" s="184">
        <f>IF(offer_sale_type="транзит",IFERROR(ROUNDUP(VLOOKUP($B169,calc_data,L$14+1,0),2),0),0)</f>
        <v/>
      </c>
      <c r="M169" s="141">
        <f>IF(offer_sale_type="транзит",IFERROR(ROUNDUP(VLOOKUP($B169,calc_data,M$14+1,0),2),0),0)</f>
        <v/>
      </c>
      <c r="N169" s="141">
        <f>IF(offer_sale_type="транзит",IFERROR(ROUNDUP(VLOOKUP($B169,calc_data,N$14+1,0),2),0),0)</f>
        <v/>
      </c>
      <c r="O169" s="147">
        <f>IF(offer_sale_type="транзит",IFERROR(ROUND(VLOOKUP($B169,calc_data,O$14+1,1),2),0),0)</f>
        <v/>
      </c>
      <c r="P169" s="141">
        <f>IF(offer_sale_type="транзит",IFERROR(ROUND(SUM(I169:J169,M169:O169)/E169,2),0),0)</f>
        <v/>
      </c>
      <c r="Q169" s="141">
        <f>E169*P169</f>
        <v/>
      </c>
      <c r="R169" s="141">
        <f>ROUND(Q169*IF(AND(offer_incoterms="DDP",seller_region="RU"),IF((TODAY()+offer_turnaround_time)&gt;=helpsheet!$L$17,rate_vatRU_from_26,rate_vatRu_till_25),0),2)</f>
        <v/>
      </c>
      <c r="S169" s="177">
        <f>Q169+IF(AND(offer_incoterms="DDP",seller_region="RU"),R169,0)</f>
        <v/>
      </c>
      <c r="T169" s="45" t="n"/>
      <c r="V169" s="57">
        <f>IF(Q169&gt;0,"показать","скрыть")</f>
        <v/>
      </c>
    </row>
    <row r="170" ht="15.75" customHeight="1">
      <c r="B170" s="809" t="n">
        <v>154</v>
      </c>
      <c r="C170" s="182">
        <f>IF(offer_sale_type="транзит",IFERROR(VLOOKUP($B170,calc_data,C$14+1,0),0),0)</f>
        <v/>
      </c>
      <c r="D170" s="280">
        <f>IF(offer_sale_type="транзит",IFERROR(VLOOKUP($B170,calc_data,D$14+1,0),0),0)</f>
        <v/>
      </c>
      <c r="E170" s="182">
        <f>IF(offer_sale_type="транзит",IFERROR(VLOOKUP($B170,calc_data,E$14+1,0),0),0)</f>
        <v/>
      </c>
      <c r="F170" s="182">
        <f>IF(offer_sale_type="транзит",IFERROR(VLOOKUP($B170,calc_data,F$14+1,0),0),0)</f>
        <v/>
      </c>
      <c r="G170" s="141">
        <f>IF(offer_sale_type="транзит",IFERROR(VLOOKUP($B170,calc_data,G$14+1,0),0),0)</f>
        <v/>
      </c>
      <c r="H170" s="141">
        <f>E170*G170</f>
        <v/>
      </c>
      <c r="I170" s="141">
        <f>IF(offer_sale_type="транзит",IFERROR(ROUND(VLOOKUP($B170,calc_data,I$14+1,0),2),0),0)</f>
        <v/>
      </c>
      <c r="J170" s="141">
        <f>ROUND(IF(offer_sale_type="транзит",IFERROR(VLOOKUP($B170,calc_data,J$14+1,0),0),0),2)</f>
        <v/>
      </c>
      <c r="K170" s="142">
        <f>IF(offer_sale_type="транзит",IFERROR(ROUNDUP(VLOOKUP($B170,calc_data,K$14+1,0),2),0),0)</f>
        <v/>
      </c>
      <c r="L170" s="184">
        <f>IF(offer_sale_type="транзит",IFERROR(ROUNDUP(VLOOKUP($B170,calc_data,L$14+1,0),2),0),0)</f>
        <v/>
      </c>
      <c r="M170" s="141">
        <f>IF(offer_sale_type="транзит",IFERROR(ROUNDUP(VLOOKUP($B170,calc_data,M$14+1,0),2),0),0)</f>
        <v/>
      </c>
      <c r="N170" s="141">
        <f>IF(offer_sale_type="транзит",IFERROR(ROUNDUP(VLOOKUP($B170,calc_data,N$14+1,0),2),0),0)</f>
        <v/>
      </c>
      <c r="O170" s="147">
        <f>IF(offer_sale_type="транзит",IFERROR(ROUND(VLOOKUP($B170,calc_data,O$14+1,1),2),0),0)</f>
        <v/>
      </c>
      <c r="P170" s="141">
        <f>IF(offer_sale_type="транзит",IFERROR(ROUND(SUM(I170:J170,M170:O170)/E170,2),0),0)</f>
        <v/>
      </c>
      <c r="Q170" s="141">
        <f>E170*P170</f>
        <v/>
      </c>
      <c r="R170" s="141">
        <f>ROUND(Q170*IF(AND(offer_incoterms="DDP",seller_region="RU"),IF((TODAY()+offer_turnaround_time)&gt;=helpsheet!$L$17,rate_vatRU_from_26,rate_vatRu_till_25),0),2)</f>
        <v/>
      </c>
      <c r="S170" s="177">
        <f>Q170+IF(AND(offer_incoterms="DDP",seller_region="RU"),R170,0)</f>
        <v/>
      </c>
      <c r="T170" s="45" t="n"/>
      <c r="V170" s="57">
        <f>IF(Q170&gt;0,"показать","скрыть")</f>
        <v/>
      </c>
    </row>
    <row r="171" ht="15.75" customHeight="1">
      <c r="B171" s="809" t="n">
        <v>155</v>
      </c>
      <c r="C171" s="182">
        <f>IF(offer_sale_type="транзит",IFERROR(VLOOKUP($B171,calc_data,C$14+1,0),0),0)</f>
        <v/>
      </c>
      <c r="D171" s="280">
        <f>IF(offer_sale_type="транзит",IFERROR(VLOOKUP($B171,calc_data,D$14+1,0),0),0)</f>
        <v/>
      </c>
      <c r="E171" s="182">
        <f>IF(offer_sale_type="транзит",IFERROR(VLOOKUP($B171,calc_data,E$14+1,0),0),0)</f>
        <v/>
      </c>
      <c r="F171" s="182">
        <f>IF(offer_sale_type="транзит",IFERROR(VLOOKUP($B171,calc_data,F$14+1,0),0),0)</f>
        <v/>
      </c>
      <c r="G171" s="141">
        <f>IF(offer_sale_type="транзит",IFERROR(VLOOKUP($B171,calc_data,G$14+1,0),0),0)</f>
        <v/>
      </c>
      <c r="H171" s="141">
        <f>E171*G171</f>
        <v/>
      </c>
      <c r="I171" s="141">
        <f>IF(offer_sale_type="транзит",IFERROR(ROUND(VLOOKUP($B171,calc_data,I$14+1,0),2),0),0)</f>
        <v/>
      </c>
      <c r="J171" s="141">
        <f>ROUND(IF(offer_sale_type="транзит",IFERROR(VLOOKUP($B171,calc_data,J$14+1,0),0),0),2)</f>
        <v/>
      </c>
      <c r="K171" s="142">
        <f>IF(offer_sale_type="транзит",IFERROR(ROUNDUP(VLOOKUP($B171,calc_data,K$14+1,0),2),0),0)</f>
        <v/>
      </c>
      <c r="L171" s="184">
        <f>IF(offer_sale_type="транзит",IFERROR(ROUNDUP(VLOOKUP($B171,calc_data,L$14+1,0),2),0),0)</f>
        <v/>
      </c>
      <c r="M171" s="141">
        <f>IF(offer_sale_type="транзит",IFERROR(ROUNDUP(VLOOKUP($B171,calc_data,M$14+1,0),2),0),0)</f>
        <v/>
      </c>
      <c r="N171" s="141">
        <f>IF(offer_sale_type="транзит",IFERROR(ROUNDUP(VLOOKUP($B171,calc_data,N$14+1,0),2),0),0)</f>
        <v/>
      </c>
      <c r="O171" s="147">
        <f>IF(offer_sale_type="транзит",IFERROR(ROUND(VLOOKUP($B171,calc_data,O$14+1,1),2),0),0)</f>
        <v/>
      </c>
      <c r="P171" s="141">
        <f>IF(offer_sale_type="транзит",IFERROR(ROUND(SUM(I171:J171,M171:O171)/E171,2),0),0)</f>
        <v/>
      </c>
      <c r="Q171" s="141">
        <f>E171*P171</f>
        <v/>
      </c>
      <c r="R171" s="141">
        <f>ROUND(Q171*IF(AND(offer_incoterms="DDP",seller_region="RU"),IF((TODAY()+offer_turnaround_time)&gt;=helpsheet!$L$17,rate_vatRU_from_26,rate_vatRu_till_25),0),2)</f>
        <v/>
      </c>
      <c r="S171" s="177">
        <f>Q171+IF(AND(offer_incoterms="DDP",seller_region="RU"),R171,0)</f>
        <v/>
      </c>
      <c r="T171" s="45" t="n"/>
      <c r="V171" s="57">
        <f>IF(Q171&gt;0,"показать","скрыть")</f>
        <v/>
      </c>
    </row>
    <row r="172" ht="15.75" customHeight="1">
      <c r="B172" s="809" t="n">
        <v>156</v>
      </c>
      <c r="C172" s="182">
        <f>IF(offer_sale_type="транзит",IFERROR(VLOOKUP($B172,calc_data,C$14+1,0),0),0)</f>
        <v/>
      </c>
      <c r="D172" s="280">
        <f>IF(offer_sale_type="транзит",IFERROR(VLOOKUP($B172,calc_data,D$14+1,0),0),0)</f>
        <v/>
      </c>
      <c r="E172" s="182">
        <f>IF(offer_sale_type="транзит",IFERROR(VLOOKUP($B172,calc_data,E$14+1,0),0),0)</f>
        <v/>
      </c>
      <c r="F172" s="182">
        <f>IF(offer_sale_type="транзит",IFERROR(VLOOKUP($B172,calc_data,F$14+1,0),0),0)</f>
        <v/>
      </c>
      <c r="G172" s="141">
        <f>IF(offer_sale_type="транзит",IFERROR(VLOOKUP($B172,calc_data,G$14+1,0),0),0)</f>
        <v/>
      </c>
      <c r="H172" s="141">
        <f>E172*G172</f>
        <v/>
      </c>
      <c r="I172" s="141">
        <f>IF(offer_sale_type="транзит",IFERROR(ROUND(VLOOKUP($B172,calc_data,I$14+1,0),2),0),0)</f>
        <v/>
      </c>
      <c r="J172" s="141">
        <f>ROUND(IF(offer_sale_type="транзит",IFERROR(VLOOKUP($B172,calc_data,J$14+1,0),0),0),2)</f>
        <v/>
      </c>
      <c r="K172" s="142">
        <f>IF(offer_sale_type="транзит",IFERROR(ROUNDUP(VLOOKUP($B172,calc_data,K$14+1,0),2),0),0)</f>
        <v/>
      </c>
      <c r="L172" s="184">
        <f>IF(offer_sale_type="транзит",IFERROR(ROUNDUP(VLOOKUP($B172,calc_data,L$14+1,0),2),0),0)</f>
        <v/>
      </c>
      <c r="M172" s="141">
        <f>IF(offer_sale_type="транзит",IFERROR(ROUNDUP(VLOOKUP($B172,calc_data,M$14+1,0),2),0),0)</f>
        <v/>
      </c>
      <c r="N172" s="141">
        <f>IF(offer_sale_type="транзит",IFERROR(ROUNDUP(VLOOKUP($B172,calc_data,N$14+1,0),2),0),0)</f>
        <v/>
      </c>
      <c r="O172" s="147">
        <f>IF(offer_sale_type="транзит",IFERROR(ROUND(VLOOKUP($B172,calc_data,O$14+1,1),2),0),0)</f>
        <v/>
      </c>
      <c r="P172" s="141">
        <f>IF(offer_sale_type="транзит",IFERROR(ROUND(SUM(I172:J172,M172:O172)/E172,2),0),0)</f>
        <v/>
      </c>
      <c r="Q172" s="141">
        <f>E172*P172</f>
        <v/>
      </c>
      <c r="R172" s="141">
        <f>ROUND(Q172*IF(AND(offer_incoterms="DDP",seller_region="RU"),IF((TODAY()+offer_turnaround_time)&gt;=helpsheet!$L$17,rate_vatRU_from_26,rate_vatRu_till_25),0),2)</f>
        <v/>
      </c>
      <c r="S172" s="177">
        <f>Q172+IF(AND(offer_incoterms="DDP",seller_region="RU"),R172,0)</f>
        <v/>
      </c>
      <c r="T172" s="45" t="n"/>
      <c r="V172" s="57">
        <f>IF(Q172&gt;0,"показать","скрыть")</f>
        <v/>
      </c>
    </row>
    <row r="173" ht="15.75" customHeight="1">
      <c r="B173" s="809" t="n">
        <v>157</v>
      </c>
      <c r="C173" s="182">
        <f>IF(offer_sale_type="транзит",IFERROR(VLOOKUP($B173,calc_data,C$14+1,0),0),0)</f>
        <v/>
      </c>
      <c r="D173" s="280">
        <f>IF(offer_sale_type="транзит",IFERROR(VLOOKUP($B173,calc_data,D$14+1,0),0),0)</f>
        <v/>
      </c>
      <c r="E173" s="182">
        <f>IF(offer_sale_type="транзит",IFERROR(VLOOKUP($B173,calc_data,E$14+1,0),0),0)</f>
        <v/>
      </c>
      <c r="F173" s="182">
        <f>IF(offer_sale_type="транзит",IFERROR(VLOOKUP($B173,calc_data,F$14+1,0),0),0)</f>
        <v/>
      </c>
      <c r="G173" s="141">
        <f>IF(offer_sale_type="транзит",IFERROR(VLOOKUP($B173,calc_data,G$14+1,0),0),0)</f>
        <v/>
      </c>
      <c r="H173" s="141">
        <f>E173*G173</f>
        <v/>
      </c>
      <c r="I173" s="141">
        <f>IF(offer_sale_type="транзит",IFERROR(ROUND(VLOOKUP($B173,calc_data,I$14+1,0),2),0),0)</f>
        <v/>
      </c>
      <c r="J173" s="141">
        <f>ROUND(IF(offer_sale_type="транзит",IFERROR(VLOOKUP($B173,calc_data,J$14+1,0),0),0),2)</f>
        <v/>
      </c>
      <c r="K173" s="142">
        <f>IF(offer_sale_type="транзит",IFERROR(ROUNDUP(VLOOKUP($B173,calc_data,K$14+1,0),2),0),0)</f>
        <v/>
      </c>
      <c r="L173" s="184">
        <f>IF(offer_sale_type="транзит",IFERROR(ROUNDUP(VLOOKUP($B173,calc_data,L$14+1,0),2),0),0)</f>
        <v/>
      </c>
      <c r="M173" s="141">
        <f>IF(offer_sale_type="транзит",IFERROR(ROUNDUP(VLOOKUP($B173,calc_data,M$14+1,0),2),0),0)</f>
        <v/>
      </c>
      <c r="N173" s="141">
        <f>IF(offer_sale_type="транзит",IFERROR(ROUNDUP(VLOOKUP($B173,calc_data,N$14+1,0),2),0),0)</f>
        <v/>
      </c>
      <c r="O173" s="147">
        <f>IF(offer_sale_type="транзит",IFERROR(ROUND(VLOOKUP($B173,calc_data,O$14+1,1),2),0),0)</f>
        <v/>
      </c>
      <c r="P173" s="141">
        <f>IF(offer_sale_type="транзит",IFERROR(ROUND(SUM(I173:J173,M173:O173)/E173,2),0),0)</f>
        <v/>
      </c>
      <c r="Q173" s="141">
        <f>E173*P173</f>
        <v/>
      </c>
      <c r="R173" s="141">
        <f>ROUND(Q173*IF(AND(offer_incoterms="DDP",seller_region="RU"),IF((TODAY()+offer_turnaround_time)&gt;=helpsheet!$L$17,rate_vatRU_from_26,rate_vatRu_till_25),0),2)</f>
        <v/>
      </c>
      <c r="S173" s="177">
        <f>Q173+IF(AND(offer_incoterms="DDP",seller_region="RU"),R173,0)</f>
        <v/>
      </c>
      <c r="T173" s="45" t="n"/>
      <c r="V173" s="57">
        <f>IF(Q173&gt;0,"показать","скрыть")</f>
        <v/>
      </c>
    </row>
    <row r="174" ht="15.75" customHeight="1">
      <c r="B174" s="809" t="n">
        <v>158</v>
      </c>
      <c r="C174" s="182">
        <f>IF(offer_sale_type="транзит",IFERROR(VLOOKUP($B174,calc_data,C$14+1,0),0),0)</f>
        <v/>
      </c>
      <c r="D174" s="280">
        <f>IF(offer_sale_type="транзит",IFERROR(VLOOKUP($B174,calc_data,D$14+1,0),0),0)</f>
        <v/>
      </c>
      <c r="E174" s="182">
        <f>IF(offer_sale_type="транзит",IFERROR(VLOOKUP($B174,calc_data,E$14+1,0),0),0)</f>
        <v/>
      </c>
      <c r="F174" s="182">
        <f>IF(offer_sale_type="транзит",IFERROR(VLOOKUP($B174,calc_data,F$14+1,0),0),0)</f>
        <v/>
      </c>
      <c r="G174" s="141">
        <f>IF(offer_sale_type="транзит",IFERROR(VLOOKUP($B174,calc_data,G$14+1,0),0),0)</f>
        <v/>
      </c>
      <c r="H174" s="141">
        <f>E174*G174</f>
        <v/>
      </c>
      <c r="I174" s="141">
        <f>IF(offer_sale_type="транзит",IFERROR(ROUND(VLOOKUP($B174,calc_data,I$14+1,0),2),0),0)</f>
        <v/>
      </c>
      <c r="J174" s="141">
        <f>ROUND(IF(offer_sale_type="транзит",IFERROR(VLOOKUP($B174,calc_data,J$14+1,0),0),0),2)</f>
        <v/>
      </c>
      <c r="K174" s="142">
        <f>IF(offer_sale_type="транзит",IFERROR(ROUNDUP(VLOOKUP($B174,calc_data,K$14+1,0),2),0),0)</f>
        <v/>
      </c>
      <c r="L174" s="184">
        <f>IF(offer_sale_type="транзит",IFERROR(ROUNDUP(VLOOKUP($B174,calc_data,L$14+1,0),2),0),0)</f>
        <v/>
      </c>
      <c r="M174" s="141">
        <f>IF(offer_sale_type="транзит",IFERROR(ROUNDUP(VLOOKUP($B174,calc_data,M$14+1,0),2),0),0)</f>
        <v/>
      </c>
      <c r="N174" s="141">
        <f>IF(offer_sale_type="транзит",IFERROR(ROUNDUP(VLOOKUP($B174,calc_data,N$14+1,0),2),0),0)</f>
        <v/>
      </c>
      <c r="O174" s="147">
        <f>IF(offer_sale_type="транзит",IFERROR(ROUND(VLOOKUP($B174,calc_data,O$14+1,1),2),0),0)</f>
        <v/>
      </c>
      <c r="P174" s="141">
        <f>IF(offer_sale_type="транзит",IFERROR(ROUND(SUM(I174:J174,M174:O174)/E174,2),0),0)</f>
        <v/>
      </c>
      <c r="Q174" s="141">
        <f>E174*P174</f>
        <v/>
      </c>
      <c r="R174" s="141">
        <f>ROUND(Q174*IF(AND(offer_incoterms="DDP",seller_region="RU"),IF((TODAY()+offer_turnaround_time)&gt;=helpsheet!$L$17,rate_vatRU_from_26,rate_vatRu_till_25),0),2)</f>
        <v/>
      </c>
      <c r="S174" s="177">
        <f>Q174+IF(AND(offer_incoterms="DDP",seller_region="RU"),R174,0)</f>
        <v/>
      </c>
      <c r="T174" s="45" t="n"/>
      <c r="V174" s="57">
        <f>IF(Q174&gt;0,"показать","скрыть")</f>
        <v/>
      </c>
    </row>
    <row r="175" ht="15.75" customHeight="1">
      <c r="B175" s="809" t="n">
        <v>159</v>
      </c>
      <c r="C175" s="182">
        <f>IF(offer_sale_type="транзит",IFERROR(VLOOKUP($B175,calc_data,C$14+1,0),0),0)</f>
        <v/>
      </c>
      <c r="D175" s="280">
        <f>IF(offer_sale_type="транзит",IFERROR(VLOOKUP($B175,calc_data,D$14+1,0),0),0)</f>
        <v/>
      </c>
      <c r="E175" s="182">
        <f>IF(offer_sale_type="транзит",IFERROR(VLOOKUP($B175,calc_data,E$14+1,0),0),0)</f>
        <v/>
      </c>
      <c r="F175" s="182">
        <f>IF(offer_sale_type="транзит",IFERROR(VLOOKUP($B175,calc_data,F$14+1,0),0),0)</f>
        <v/>
      </c>
      <c r="G175" s="141">
        <f>IF(offer_sale_type="транзит",IFERROR(VLOOKUP($B175,calc_data,G$14+1,0),0),0)</f>
        <v/>
      </c>
      <c r="H175" s="141">
        <f>E175*G175</f>
        <v/>
      </c>
      <c r="I175" s="141">
        <f>IF(offer_sale_type="транзит",IFERROR(ROUND(VLOOKUP($B175,calc_data,I$14+1,0),2),0),0)</f>
        <v/>
      </c>
      <c r="J175" s="141">
        <f>ROUND(IF(offer_sale_type="транзит",IFERROR(VLOOKUP($B175,calc_data,J$14+1,0),0),0),2)</f>
        <v/>
      </c>
      <c r="K175" s="142">
        <f>IF(offer_sale_type="транзит",IFERROR(ROUNDUP(VLOOKUP($B175,calc_data,K$14+1,0),2),0),0)</f>
        <v/>
      </c>
      <c r="L175" s="184">
        <f>IF(offer_sale_type="транзит",IFERROR(ROUNDUP(VLOOKUP($B175,calc_data,L$14+1,0),2),0),0)</f>
        <v/>
      </c>
      <c r="M175" s="141">
        <f>IF(offer_sale_type="транзит",IFERROR(ROUNDUP(VLOOKUP($B175,calc_data,M$14+1,0),2),0),0)</f>
        <v/>
      </c>
      <c r="N175" s="141">
        <f>IF(offer_sale_type="транзит",IFERROR(ROUNDUP(VLOOKUP($B175,calc_data,N$14+1,0),2),0),0)</f>
        <v/>
      </c>
      <c r="O175" s="147">
        <f>IF(offer_sale_type="транзит",IFERROR(ROUND(VLOOKUP($B175,calc_data,O$14+1,1),2),0),0)</f>
        <v/>
      </c>
      <c r="P175" s="141">
        <f>IF(offer_sale_type="транзит",IFERROR(ROUND(SUM(I175:J175,M175:O175)/E175,2),0),0)</f>
        <v/>
      </c>
      <c r="Q175" s="141">
        <f>E175*P175</f>
        <v/>
      </c>
      <c r="R175" s="141">
        <f>ROUND(Q175*IF(AND(offer_incoterms="DDP",seller_region="RU"),IF((TODAY()+offer_turnaround_time)&gt;=helpsheet!$L$17,rate_vatRU_from_26,rate_vatRu_till_25),0),2)</f>
        <v/>
      </c>
      <c r="S175" s="177">
        <f>Q175+IF(AND(offer_incoterms="DDP",seller_region="RU"),R175,0)</f>
        <v/>
      </c>
      <c r="T175" s="45" t="n"/>
      <c r="V175" s="57">
        <f>IF(Q175&gt;0,"показать","скрыть")</f>
        <v/>
      </c>
    </row>
    <row r="176" ht="15.75" customHeight="1">
      <c r="B176" s="809" t="n">
        <v>160</v>
      </c>
      <c r="C176" s="182">
        <f>IF(offer_sale_type="транзит",IFERROR(VLOOKUP($B176,calc_data,C$14+1,0),0),0)</f>
        <v/>
      </c>
      <c r="D176" s="280">
        <f>IF(offer_sale_type="транзит",IFERROR(VLOOKUP($B176,calc_data,D$14+1,0),0),0)</f>
        <v/>
      </c>
      <c r="E176" s="182">
        <f>IF(offer_sale_type="транзит",IFERROR(VLOOKUP($B176,calc_data,E$14+1,0),0),0)</f>
        <v/>
      </c>
      <c r="F176" s="182">
        <f>IF(offer_sale_type="транзит",IFERROR(VLOOKUP($B176,calc_data,F$14+1,0),0),0)</f>
        <v/>
      </c>
      <c r="G176" s="141">
        <f>IF(offer_sale_type="транзит",IFERROR(VLOOKUP($B176,calc_data,G$14+1,0),0),0)</f>
        <v/>
      </c>
      <c r="H176" s="141">
        <f>E176*G176</f>
        <v/>
      </c>
      <c r="I176" s="141">
        <f>IF(offer_sale_type="транзит",IFERROR(ROUND(VLOOKUP($B176,calc_data,I$14+1,0),2),0),0)</f>
        <v/>
      </c>
      <c r="J176" s="141">
        <f>ROUND(IF(offer_sale_type="транзит",IFERROR(VLOOKUP($B176,calc_data,J$14+1,0),0),0),2)</f>
        <v/>
      </c>
      <c r="K176" s="142">
        <f>IF(offer_sale_type="транзит",IFERROR(ROUNDUP(VLOOKUP($B176,calc_data,K$14+1,0),2),0),0)</f>
        <v/>
      </c>
      <c r="L176" s="184">
        <f>IF(offer_sale_type="транзит",IFERROR(ROUNDUP(VLOOKUP($B176,calc_data,L$14+1,0),2),0),0)</f>
        <v/>
      </c>
      <c r="M176" s="141">
        <f>IF(offer_sale_type="транзит",IFERROR(ROUNDUP(VLOOKUP($B176,calc_data,M$14+1,0),2),0),0)</f>
        <v/>
      </c>
      <c r="N176" s="141">
        <f>IF(offer_sale_type="транзит",IFERROR(ROUNDUP(VLOOKUP($B176,calc_data,N$14+1,0),2),0),0)</f>
        <v/>
      </c>
      <c r="O176" s="147">
        <f>IF(offer_sale_type="транзит",IFERROR(ROUND(VLOOKUP($B176,calc_data,O$14+1,1),2),0),0)</f>
        <v/>
      </c>
      <c r="P176" s="141">
        <f>IF(offer_sale_type="транзит",IFERROR(ROUND(SUM(I176:J176,M176:O176)/E176,2),0),0)</f>
        <v/>
      </c>
      <c r="Q176" s="141">
        <f>E176*P176</f>
        <v/>
      </c>
      <c r="R176" s="141">
        <f>ROUND(Q176*IF(AND(offer_incoterms="DDP",seller_region="RU"),IF((TODAY()+offer_turnaround_time)&gt;=helpsheet!$L$17,rate_vatRU_from_26,rate_vatRu_till_25),0),2)</f>
        <v/>
      </c>
      <c r="S176" s="177">
        <f>Q176+IF(AND(offer_incoterms="DDP",seller_region="RU"),R176,0)</f>
        <v/>
      </c>
      <c r="T176" s="45" t="n"/>
      <c r="V176" s="57">
        <f>IF(Q176&gt;0,"показать","скрыть")</f>
        <v/>
      </c>
    </row>
    <row r="177" ht="15.75" customHeight="1">
      <c r="B177" s="809" t="n">
        <v>161</v>
      </c>
      <c r="C177" s="182">
        <f>IF(offer_sale_type="транзит",IFERROR(VLOOKUP($B177,calc_data,C$14+1,0),0),0)</f>
        <v/>
      </c>
      <c r="D177" s="280">
        <f>IF(offer_sale_type="транзит",IFERROR(VLOOKUP($B177,calc_data,D$14+1,0),0),0)</f>
        <v/>
      </c>
      <c r="E177" s="182">
        <f>IF(offer_sale_type="транзит",IFERROR(VLOOKUP($B177,calc_data,E$14+1,0),0),0)</f>
        <v/>
      </c>
      <c r="F177" s="182">
        <f>IF(offer_sale_type="транзит",IFERROR(VLOOKUP($B177,calc_data,F$14+1,0),0),0)</f>
        <v/>
      </c>
      <c r="G177" s="141">
        <f>IF(offer_sale_type="транзит",IFERROR(VLOOKUP($B177,calc_data,G$14+1,0),0),0)</f>
        <v/>
      </c>
      <c r="H177" s="141">
        <f>E177*G177</f>
        <v/>
      </c>
      <c r="I177" s="141">
        <f>IF(offer_sale_type="транзит",IFERROR(ROUND(VLOOKUP($B177,calc_data,I$14+1,0),2),0),0)</f>
        <v/>
      </c>
      <c r="J177" s="141">
        <f>ROUND(IF(offer_sale_type="транзит",IFERROR(VLOOKUP($B177,calc_data,J$14+1,0),0),0),2)</f>
        <v/>
      </c>
      <c r="K177" s="142">
        <f>IF(offer_sale_type="транзит",IFERROR(ROUNDUP(VLOOKUP($B177,calc_data,K$14+1,0),2),0),0)</f>
        <v/>
      </c>
      <c r="L177" s="184">
        <f>IF(offer_sale_type="транзит",IFERROR(ROUNDUP(VLOOKUP($B177,calc_data,L$14+1,0),2),0),0)</f>
        <v/>
      </c>
      <c r="M177" s="141">
        <f>IF(offer_sale_type="транзит",IFERROR(ROUNDUP(VLOOKUP($B177,calc_data,M$14+1,0),2),0),0)</f>
        <v/>
      </c>
      <c r="N177" s="141">
        <f>IF(offer_sale_type="транзит",IFERROR(ROUNDUP(VLOOKUP($B177,calc_data,N$14+1,0),2),0),0)</f>
        <v/>
      </c>
      <c r="O177" s="147">
        <f>IF(offer_sale_type="транзит",IFERROR(ROUND(VLOOKUP($B177,calc_data,O$14+1,1),2),0),0)</f>
        <v/>
      </c>
      <c r="P177" s="141">
        <f>IF(offer_sale_type="транзит",IFERROR(ROUND(SUM(I177:J177,M177:O177)/E177,2),0),0)</f>
        <v/>
      </c>
      <c r="Q177" s="141">
        <f>E177*P177</f>
        <v/>
      </c>
      <c r="R177" s="141">
        <f>ROUND(Q177*IF(AND(offer_incoterms="DDP",seller_region="RU"),IF((TODAY()+offer_turnaround_time)&gt;=helpsheet!$L$17,rate_vatRU_from_26,rate_vatRu_till_25),0),2)</f>
        <v/>
      </c>
      <c r="S177" s="177">
        <f>Q177+IF(AND(offer_incoterms="DDP",seller_region="RU"),R177,0)</f>
        <v/>
      </c>
      <c r="T177" s="45" t="n"/>
      <c r="V177" s="57">
        <f>IF(Q177&gt;0,"показать","скрыть")</f>
        <v/>
      </c>
    </row>
    <row r="178" ht="15.75" customHeight="1">
      <c r="B178" s="809" t="n">
        <v>162</v>
      </c>
      <c r="C178" s="182">
        <f>IF(offer_sale_type="транзит",IFERROR(VLOOKUP($B178,calc_data,C$14+1,0),0),0)</f>
        <v/>
      </c>
      <c r="D178" s="280">
        <f>IF(offer_sale_type="транзит",IFERROR(VLOOKUP($B178,calc_data,D$14+1,0),0),0)</f>
        <v/>
      </c>
      <c r="E178" s="182">
        <f>IF(offer_sale_type="транзит",IFERROR(VLOOKUP($B178,calc_data,E$14+1,0),0),0)</f>
        <v/>
      </c>
      <c r="F178" s="182">
        <f>IF(offer_sale_type="транзит",IFERROR(VLOOKUP($B178,calc_data,F$14+1,0),0),0)</f>
        <v/>
      </c>
      <c r="G178" s="141">
        <f>IF(offer_sale_type="транзит",IFERROR(VLOOKUP($B178,calc_data,G$14+1,0),0),0)</f>
        <v/>
      </c>
      <c r="H178" s="141">
        <f>E178*G178</f>
        <v/>
      </c>
      <c r="I178" s="141">
        <f>IF(offer_sale_type="транзит",IFERROR(ROUND(VLOOKUP($B178,calc_data,I$14+1,0),2),0),0)</f>
        <v/>
      </c>
      <c r="J178" s="141">
        <f>ROUND(IF(offer_sale_type="транзит",IFERROR(VLOOKUP($B178,calc_data,J$14+1,0),0),0),2)</f>
        <v/>
      </c>
      <c r="K178" s="142">
        <f>IF(offer_sale_type="транзит",IFERROR(ROUNDUP(VLOOKUP($B178,calc_data,K$14+1,0),2),0),0)</f>
        <v/>
      </c>
      <c r="L178" s="184">
        <f>IF(offer_sale_type="транзит",IFERROR(ROUNDUP(VLOOKUP($B178,calc_data,L$14+1,0),2),0),0)</f>
        <v/>
      </c>
      <c r="M178" s="141">
        <f>IF(offer_sale_type="транзит",IFERROR(ROUNDUP(VLOOKUP($B178,calc_data,M$14+1,0),2),0),0)</f>
        <v/>
      </c>
      <c r="N178" s="141">
        <f>IF(offer_sale_type="транзит",IFERROR(ROUNDUP(VLOOKUP($B178,calc_data,N$14+1,0),2),0),0)</f>
        <v/>
      </c>
      <c r="O178" s="147">
        <f>IF(offer_sale_type="транзит",IFERROR(ROUND(VLOOKUP($B178,calc_data,O$14+1,1),2),0),0)</f>
        <v/>
      </c>
      <c r="P178" s="141">
        <f>IF(offer_sale_type="транзит",IFERROR(ROUND(SUM(I178:J178,M178:O178)/E178,2),0),0)</f>
        <v/>
      </c>
      <c r="Q178" s="141">
        <f>E178*P178</f>
        <v/>
      </c>
      <c r="R178" s="141">
        <f>ROUND(Q178*IF(AND(offer_incoterms="DDP",seller_region="RU"),IF((TODAY()+offer_turnaround_time)&gt;=helpsheet!$L$17,rate_vatRU_from_26,rate_vatRu_till_25),0),2)</f>
        <v/>
      </c>
      <c r="S178" s="177">
        <f>Q178+IF(AND(offer_incoterms="DDP",seller_region="RU"),R178,0)</f>
        <v/>
      </c>
      <c r="T178" s="45" t="n"/>
      <c r="V178" s="57">
        <f>IF(Q178&gt;0,"показать","скрыть")</f>
        <v/>
      </c>
    </row>
    <row r="179" ht="15.75" customHeight="1">
      <c r="B179" s="809" t="n">
        <v>163</v>
      </c>
      <c r="C179" s="182">
        <f>IF(offer_sale_type="транзит",IFERROR(VLOOKUP($B179,calc_data,C$14+1,0),0),0)</f>
        <v/>
      </c>
      <c r="D179" s="280">
        <f>IF(offer_sale_type="транзит",IFERROR(VLOOKUP($B179,calc_data,D$14+1,0),0),0)</f>
        <v/>
      </c>
      <c r="E179" s="182">
        <f>IF(offer_sale_type="транзит",IFERROR(VLOOKUP($B179,calc_data,E$14+1,0),0),0)</f>
        <v/>
      </c>
      <c r="F179" s="182">
        <f>IF(offer_sale_type="транзит",IFERROR(VLOOKUP($B179,calc_data,F$14+1,0),0),0)</f>
        <v/>
      </c>
      <c r="G179" s="141">
        <f>IF(offer_sale_type="транзит",IFERROR(VLOOKUP($B179,calc_data,G$14+1,0),0),0)</f>
        <v/>
      </c>
      <c r="H179" s="141">
        <f>E179*G179</f>
        <v/>
      </c>
      <c r="I179" s="141">
        <f>IF(offer_sale_type="транзит",IFERROR(ROUND(VLOOKUP($B179,calc_data,I$14+1,0),2),0),0)</f>
        <v/>
      </c>
      <c r="J179" s="141">
        <f>ROUND(IF(offer_sale_type="транзит",IFERROR(VLOOKUP($B179,calc_data,J$14+1,0),0),0),2)</f>
        <v/>
      </c>
      <c r="K179" s="142">
        <f>IF(offer_sale_type="транзит",IFERROR(ROUNDUP(VLOOKUP($B179,calc_data,K$14+1,0),2),0),0)</f>
        <v/>
      </c>
      <c r="L179" s="184">
        <f>IF(offer_sale_type="транзит",IFERROR(ROUNDUP(VLOOKUP($B179,calc_data,L$14+1,0),2),0),0)</f>
        <v/>
      </c>
      <c r="M179" s="141">
        <f>IF(offer_sale_type="транзит",IFERROR(ROUNDUP(VLOOKUP($B179,calc_data,M$14+1,0),2),0),0)</f>
        <v/>
      </c>
      <c r="N179" s="141">
        <f>IF(offer_sale_type="транзит",IFERROR(ROUNDUP(VLOOKUP($B179,calc_data,N$14+1,0),2),0),0)</f>
        <v/>
      </c>
      <c r="O179" s="147">
        <f>IF(offer_sale_type="транзит",IFERROR(ROUND(VLOOKUP($B179,calc_data,O$14+1,1),2),0),0)</f>
        <v/>
      </c>
      <c r="P179" s="141">
        <f>IF(offer_sale_type="транзит",IFERROR(ROUND(SUM(I179:J179,M179:O179)/E179,2),0),0)</f>
        <v/>
      </c>
      <c r="Q179" s="141">
        <f>E179*P179</f>
        <v/>
      </c>
      <c r="R179" s="141">
        <f>ROUND(Q179*IF(AND(offer_incoterms="DDP",seller_region="RU"),IF((TODAY()+offer_turnaround_time)&gt;=helpsheet!$L$17,rate_vatRU_from_26,rate_vatRu_till_25),0),2)</f>
        <v/>
      </c>
      <c r="S179" s="177">
        <f>Q179+IF(AND(offer_incoterms="DDP",seller_region="RU"),R179,0)</f>
        <v/>
      </c>
      <c r="T179" s="45" t="n"/>
      <c r="V179" s="57">
        <f>IF(Q179&gt;0,"показать","скрыть")</f>
        <v/>
      </c>
    </row>
    <row r="180" ht="15.75" customHeight="1">
      <c r="B180" s="809" t="n">
        <v>164</v>
      </c>
      <c r="C180" s="182">
        <f>IF(offer_sale_type="транзит",IFERROR(VLOOKUP($B180,calc_data,C$14+1,0),0),0)</f>
        <v/>
      </c>
      <c r="D180" s="280">
        <f>IF(offer_sale_type="транзит",IFERROR(VLOOKUP($B180,calc_data,D$14+1,0),0),0)</f>
        <v/>
      </c>
      <c r="E180" s="182">
        <f>IF(offer_sale_type="транзит",IFERROR(VLOOKUP($B180,calc_data,E$14+1,0),0),0)</f>
        <v/>
      </c>
      <c r="F180" s="182">
        <f>IF(offer_sale_type="транзит",IFERROR(VLOOKUP($B180,calc_data,F$14+1,0),0),0)</f>
        <v/>
      </c>
      <c r="G180" s="141">
        <f>IF(offer_sale_type="транзит",IFERROR(VLOOKUP($B180,calc_data,G$14+1,0),0),0)</f>
        <v/>
      </c>
      <c r="H180" s="141">
        <f>E180*G180</f>
        <v/>
      </c>
      <c r="I180" s="141">
        <f>IF(offer_sale_type="транзит",IFERROR(ROUND(VLOOKUP($B180,calc_data,I$14+1,0),2),0),0)</f>
        <v/>
      </c>
      <c r="J180" s="141">
        <f>ROUND(IF(offer_sale_type="транзит",IFERROR(VLOOKUP($B180,calc_data,J$14+1,0),0),0),2)</f>
        <v/>
      </c>
      <c r="K180" s="142">
        <f>IF(offer_sale_type="транзит",IFERROR(ROUNDUP(VLOOKUP($B180,calc_data,K$14+1,0),2),0),0)</f>
        <v/>
      </c>
      <c r="L180" s="184">
        <f>IF(offer_sale_type="транзит",IFERROR(ROUNDUP(VLOOKUP($B180,calc_data,L$14+1,0),2),0),0)</f>
        <v/>
      </c>
      <c r="M180" s="141">
        <f>IF(offer_sale_type="транзит",IFERROR(ROUNDUP(VLOOKUP($B180,calc_data,M$14+1,0),2),0),0)</f>
        <v/>
      </c>
      <c r="N180" s="141">
        <f>IF(offer_sale_type="транзит",IFERROR(ROUNDUP(VLOOKUP($B180,calc_data,N$14+1,0),2),0),0)</f>
        <v/>
      </c>
      <c r="O180" s="147">
        <f>IF(offer_sale_type="транзит",IFERROR(ROUND(VLOOKUP($B180,calc_data,O$14+1,1),2),0),0)</f>
        <v/>
      </c>
      <c r="P180" s="141">
        <f>IF(offer_sale_type="транзит",IFERROR(ROUND(SUM(I180:J180,M180:O180)/E180,2),0),0)</f>
        <v/>
      </c>
      <c r="Q180" s="141">
        <f>E180*P180</f>
        <v/>
      </c>
      <c r="R180" s="141">
        <f>ROUND(Q180*IF(AND(offer_incoterms="DDP",seller_region="RU"),IF((TODAY()+offer_turnaround_time)&gt;=helpsheet!$L$17,rate_vatRU_from_26,rate_vatRu_till_25),0),2)</f>
        <v/>
      </c>
      <c r="S180" s="177">
        <f>Q180+IF(AND(offer_incoterms="DDP",seller_region="RU"),R180,0)</f>
        <v/>
      </c>
      <c r="T180" s="45" t="n"/>
      <c r="V180" s="57">
        <f>IF(Q180&gt;0,"показать","скрыть")</f>
        <v/>
      </c>
    </row>
    <row r="181" ht="15.75" customHeight="1">
      <c r="B181" s="809" t="n">
        <v>165</v>
      </c>
      <c r="C181" s="182">
        <f>IF(offer_sale_type="транзит",IFERROR(VLOOKUP($B181,calc_data,C$14+1,0),0),0)</f>
        <v/>
      </c>
      <c r="D181" s="280">
        <f>IF(offer_sale_type="транзит",IFERROR(VLOOKUP($B181,calc_data,D$14+1,0),0),0)</f>
        <v/>
      </c>
      <c r="E181" s="182">
        <f>IF(offer_sale_type="транзит",IFERROR(VLOOKUP($B181,calc_data,E$14+1,0),0),0)</f>
        <v/>
      </c>
      <c r="F181" s="182">
        <f>IF(offer_sale_type="транзит",IFERROR(VLOOKUP($B181,calc_data,F$14+1,0),0),0)</f>
        <v/>
      </c>
      <c r="G181" s="141">
        <f>IF(offer_sale_type="транзит",IFERROR(VLOOKUP($B181,calc_data,G$14+1,0),0),0)</f>
        <v/>
      </c>
      <c r="H181" s="141">
        <f>E181*G181</f>
        <v/>
      </c>
      <c r="I181" s="141">
        <f>IF(offer_sale_type="транзит",IFERROR(ROUND(VLOOKUP($B181,calc_data,I$14+1,0),2),0),0)</f>
        <v/>
      </c>
      <c r="J181" s="141">
        <f>ROUND(IF(offer_sale_type="транзит",IFERROR(VLOOKUP($B181,calc_data,J$14+1,0),0),0),2)</f>
        <v/>
      </c>
      <c r="K181" s="142">
        <f>IF(offer_sale_type="транзит",IFERROR(ROUNDUP(VLOOKUP($B181,calc_data,K$14+1,0),2),0),0)</f>
        <v/>
      </c>
      <c r="L181" s="184">
        <f>IF(offer_sale_type="транзит",IFERROR(ROUNDUP(VLOOKUP($B181,calc_data,L$14+1,0),2),0),0)</f>
        <v/>
      </c>
      <c r="M181" s="141">
        <f>IF(offer_sale_type="транзит",IFERROR(ROUNDUP(VLOOKUP($B181,calc_data,M$14+1,0),2),0),0)</f>
        <v/>
      </c>
      <c r="N181" s="141">
        <f>IF(offer_sale_type="транзит",IFERROR(ROUNDUP(VLOOKUP($B181,calc_data,N$14+1,0),2),0),0)</f>
        <v/>
      </c>
      <c r="O181" s="147">
        <f>IF(offer_sale_type="транзит",IFERROR(ROUND(VLOOKUP($B181,calc_data,O$14+1,1),2),0),0)</f>
        <v/>
      </c>
      <c r="P181" s="141">
        <f>IF(offer_sale_type="транзит",IFERROR(ROUND(SUM(I181:J181,M181:O181)/E181,2),0),0)</f>
        <v/>
      </c>
      <c r="Q181" s="141">
        <f>E181*P181</f>
        <v/>
      </c>
      <c r="R181" s="141">
        <f>ROUND(Q181*IF(AND(offer_incoterms="DDP",seller_region="RU"),IF((TODAY()+offer_turnaround_time)&gt;=helpsheet!$L$17,rate_vatRU_from_26,rate_vatRu_till_25),0),2)</f>
        <v/>
      </c>
      <c r="S181" s="177">
        <f>Q181+IF(AND(offer_incoterms="DDP",seller_region="RU"),R181,0)</f>
        <v/>
      </c>
      <c r="T181" s="45" t="n"/>
      <c r="V181" s="57">
        <f>IF(Q181&gt;0,"показать","скрыть")</f>
        <v/>
      </c>
    </row>
    <row r="182" ht="15.75" customHeight="1">
      <c r="B182" s="809" t="n">
        <v>166</v>
      </c>
      <c r="C182" s="182">
        <f>IF(offer_sale_type="транзит",IFERROR(VLOOKUP($B182,calc_data,C$14+1,0),0),0)</f>
        <v/>
      </c>
      <c r="D182" s="280">
        <f>IF(offer_sale_type="транзит",IFERROR(VLOOKUP($B182,calc_data,D$14+1,0),0),0)</f>
        <v/>
      </c>
      <c r="E182" s="182">
        <f>IF(offer_sale_type="транзит",IFERROR(VLOOKUP($B182,calc_data,E$14+1,0),0),0)</f>
        <v/>
      </c>
      <c r="F182" s="182">
        <f>IF(offer_sale_type="транзит",IFERROR(VLOOKUP($B182,calc_data,F$14+1,0),0),0)</f>
        <v/>
      </c>
      <c r="G182" s="141">
        <f>IF(offer_sale_type="транзит",IFERROR(VLOOKUP($B182,calc_data,G$14+1,0),0),0)</f>
        <v/>
      </c>
      <c r="H182" s="141">
        <f>E182*G182</f>
        <v/>
      </c>
      <c r="I182" s="141">
        <f>IF(offer_sale_type="транзит",IFERROR(ROUND(VLOOKUP($B182,calc_data,I$14+1,0),2),0),0)</f>
        <v/>
      </c>
      <c r="J182" s="141">
        <f>ROUND(IF(offer_sale_type="транзит",IFERROR(VLOOKUP($B182,calc_data,J$14+1,0),0),0),2)</f>
        <v/>
      </c>
      <c r="K182" s="142">
        <f>IF(offer_sale_type="транзит",IFERROR(ROUNDUP(VLOOKUP($B182,calc_data,K$14+1,0),2),0),0)</f>
        <v/>
      </c>
      <c r="L182" s="184">
        <f>IF(offer_sale_type="транзит",IFERROR(ROUNDUP(VLOOKUP($B182,calc_data,L$14+1,0),2),0),0)</f>
        <v/>
      </c>
      <c r="M182" s="141">
        <f>IF(offer_sale_type="транзит",IFERROR(ROUNDUP(VLOOKUP($B182,calc_data,M$14+1,0),2),0),0)</f>
        <v/>
      </c>
      <c r="N182" s="141">
        <f>IF(offer_sale_type="транзит",IFERROR(ROUNDUP(VLOOKUP($B182,calc_data,N$14+1,0),2),0),0)</f>
        <v/>
      </c>
      <c r="O182" s="147">
        <f>IF(offer_sale_type="транзит",IFERROR(ROUND(VLOOKUP($B182,calc_data,O$14+1,1),2),0),0)</f>
        <v/>
      </c>
      <c r="P182" s="141">
        <f>IF(offer_sale_type="транзит",IFERROR(ROUND(SUM(I182:J182,M182:O182)/E182,2),0),0)</f>
        <v/>
      </c>
      <c r="Q182" s="141">
        <f>E182*P182</f>
        <v/>
      </c>
      <c r="R182" s="141">
        <f>ROUND(Q182*IF(AND(offer_incoterms="DDP",seller_region="RU"),IF((TODAY()+offer_turnaround_time)&gt;=helpsheet!$L$17,rate_vatRU_from_26,rate_vatRu_till_25),0),2)</f>
        <v/>
      </c>
      <c r="S182" s="177">
        <f>Q182+IF(AND(offer_incoterms="DDP",seller_region="RU"),R182,0)</f>
        <v/>
      </c>
      <c r="T182" s="45" t="n"/>
      <c r="V182" s="57">
        <f>IF(Q182&gt;0,"показать","скрыть")</f>
        <v/>
      </c>
    </row>
    <row r="183" ht="15.75" customHeight="1">
      <c r="B183" s="809" t="n">
        <v>167</v>
      </c>
      <c r="C183" s="182">
        <f>IF(offer_sale_type="транзит",IFERROR(VLOOKUP($B183,calc_data,C$14+1,0),0),0)</f>
        <v/>
      </c>
      <c r="D183" s="280">
        <f>IF(offer_sale_type="транзит",IFERROR(VLOOKUP($B183,calc_data,D$14+1,0),0),0)</f>
        <v/>
      </c>
      <c r="E183" s="182">
        <f>IF(offer_sale_type="транзит",IFERROR(VLOOKUP($B183,calc_data,E$14+1,0),0),0)</f>
        <v/>
      </c>
      <c r="F183" s="182">
        <f>IF(offer_sale_type="транзит",IFERROR(VLOOKUP($B183,calc_data,F$14+1,0),0),0)</f>
        <v/>
      </c>
      <c r="G183" s="141">
        <f>IF(offer_sale_type="транзит",IFERROR(VLOOKUP($B183,calc_data,G$14+1,0),0),0)</f>
        <v/>
      </c>
      <c r="H183" s="141">
        <f>E183*G183</f>
        <v/>
      </c>
      <c r="I183" s="141">
        <f>IF(offer_sale_type="транзит",IFERROR(ROUND(VLOOKUP($B183,calc_data,I$14+1,0),2),0),0)</f>
        <v/>
      </c>
      <c r="J183" s="141">
        <f>ROUND(IF(offer_sale_type="транзит",IFERROR(VLOOKUP($B183,calc_data,J$14+1,0),0),0),2)</f>
        <v/>
      </c>
      <c r="K183" s="142">
        <f>IF(offer_sale_type="транзит",IFERROR(ROUNDUP(VLOOKUP($B183,calc_data,K$14+1,0),2),0),0)</f>
        <v/>
      </c>
      <c r="L183" s="184">
        <f>IF(offer_sale_type="транзит",IFERROR(ROUNDUP(VLOOKUP($B183,calc_data,L$14+1,0),2),0),0)</f>
        <v/>
      </c>
      <c r="M183" s="141">
        <f>IF(offer_sale_type="транзит",IFERROR(ROUNDUP(VLOOKUP($B183,calc_data,M$14+1,0),2),0),0)</f>
        <v/>
      </c>
      <c r="N183" s="141">
        <f>IF(offer_sale_type="транзит",IFERROR(ROUNDUP(VLOOKUP($B183,calc_data,N$14+1,0),2),0),0)</f>
        <v/>
      </c>
      <c r="O183" s="147">
        <f>IF(offer_sale_type="транзит",IFERROR(ROUND(VLOOKUP($B183,calc_data,O$14+1,1),2),0),0)</f>
        <v/>
      </c>
      <c r="P183" s="141">
        <f>IF(offer_sale_type="транзит",IFERROR(ROUND(SUM(I183:J183,M183:O183)/E183,2),0),0)</f>
        <v/>
      </c>
      <c r="Q183" s="141">
        <f>E183*P183</f>
        <v/>
      </c>
      <c r="R183" s="141">
        <f>ROUND(Q183*IF(AND(offer_incoterms="DDP",seller_region="RU"),IF((TODAY()+offer_turnaround_time)&gt;=helpsheet!$L$17,rate_vatRU_from_26,rate_vatRu_till_25),0),2)</f>
        <v/>
      </c>
      <c r="S183" s="177">
        <f>Q183+IF(AND(offer_incoterms="DDP",seller_region="RU"),R183,0)</f>
        <v/>
      </c>
      <c r="T183" s="45" t="n"/>
      <c r="V183" s="57">
        <f>IF(Q183&gt;0,"показать","скрыть")</f>
        <v/>
      </c>
    </row>
    <row r="184" ht="15.75" customHeight="1">
      <c r="B184" s="809" t="n">
        <v>168</v>
      </c>
      <c r="C184" s="182">
        <f>IF(offer_sale_type="транзит",IFERROR(VLOOKUP($B184,calc_data,C$14+1,0),0),0)</f>
        <v/>
      </c>
      <c r="D184" s="280">
        <f>IF(offer_sale_type="транзит",IFERROR(VLOOKUP($B184,calc_data,D$14+1,0),0),0)</f>
        <v/>
      </c>
      <c r="E184" s="182">
        <f>IF(offer_sale_type="транзит",IFERROR(VLOOKUP($B184,calc_data,E$14+1,0),0),0)</f>
        <v/>
      </c>
      <c r="F184" s="182">
        <f>IF(offer_sale_type="транзит",IFERROR(VLOOKUP($B184,calc_data,F$14+1,0),0),0)</f>
        <v/>
      </c>
      <c r="G184" s="141">
        <f>IF(offer_sale_type="транзит",IFERROR(VLOOKUP($B184,calc_data,G$14+1,0),0),0)</f>
        <v/>
      </c>
      <c r="H184" s="141">
        <f>E184*G184</f>
        <v/>
      </c>
      <c r="I184" s="141">
        <f>IF(offer_sale_type="транзит",IFERROR(ROUND(VLOOKUP($B184,calc_data,I$14+1,0),2),0),0)</f>
        <v/>
      </c>
      <c r="J184" s="141">
        <f>ROUND(IF(offer_sale_type="транзит",IFERROR(VLOOKUP($B184,calc_data,J$14+1,0),0),0),2)</f>
        <v/>
      </c>
      <c r="K184" s="142">
        <f>IF(offer_sale_type="транзит",IFERROR(ROUNDUP(VLOOKUP($B184,calc_data,K$14+1,0),2),0),0)</f>
        <v/>
      </c>
      <c r="L184" s="184">
        <f>IF(offer_sale_type="транзит",IFERROR(ROUNDUP(VLOOKUP($B184,calc_data,L$14+1,0),2),0),0)</f>
        <v/>
      </c>
      <c r="M184" s="141">
        <f>IF(offer_sale_type="транзит",IFERROR(ROUNDUP(VLOOKUP($B184,calc_data,M$14+1,0),2),0),0)</f>
        <v/>
      </c>
      <c r="N184" s="141">
        <f>IF(offer_sale_type="транзит",IFERROR(ROUNDUP(VLOOKUP($B184,calc_data,N$14+1,0),2),0),0)</f>
        <v/>
      </c>
      <c r="O184" s="147">
        <f>IF(offer_sale_type="транзит",IFERROR(ROUND(VLOOKUP($B184,calc_data,O$14+1,1),2),0),0)</f>
        <v/>
      </c>
      <c r="P184" s="141">
        <f>IF(offer_sale_type="транзит",IFERROR(ROUND(SUM(I184:J184,M184:O184)/E184,2),0),0)</f>
        <v/>
      </c>
      <c r="Q184" s="141">
        <f>E184*P184</f>
        <v/>
      </c>
      <c r="R184" s="141">
        <f>ROUND(Q184*IF(AND(offer_incoterms="DDP",seller_region="RU"),IF((TODAY()+offer_turnaround_time)&gt;=helpsheet!$L$17,rate_vatRU_from_26,rate_vatRu_till_25),0),2)</f>
        <v/>
      </c>
      <c r="S184" s="177">
        <f>Q184+IF(AND(offer_incoterms="DDP",seller_region="RU"),R184,0)</f>
        <v/>
      </c>
      <c r="T184" s="45" t="n"/>
      <c r="V184" s="57">
        <f>IF(Q184&gt;0,"показать","скрыть")</f>
        <v/>
      </c>
    </row>
    <row r="185" ht="15.75" customHeight="1">
      <c r="B185" s="809" t="n">
        <v>169</v>
      </c>
      <c r="C185" s="182">
        <f>IF(offer_sale_type="транзит",IFERROR(VLOOKUP($B185,calc_data,C$14+1,0),0),0)</f>
        <v/>
      </c>
      <c r="D185" s="280">
        <f>IF(offer_sale_type="транзит",IFERROR(VLOOKUP($B185,calc_data,D$14+1,0),0),0)</f>
        <v/>
      </c>
      <c r="E185" s="182">
        <f>IF(offer_sale_type="транзит",IFERROR(VLOOKUP($B185,calc_data,E$14+1,0),0),0)</f>
        <v/>
      </c>
      <c r="F185" s="182">
        <f>IF(offer_sale_type="транзит",IFERROR(VLOOKUP($B185,calc_data,F$14+1,0),0),0)</f>
        <v/>
      </c>
      <c r="G185" s="141">
        <f>IF(offer_sale_type="транзит",IFERROR(VLOOKUP($B185,calc_data,G$14+1,0),0),0)</f>
        <v/>
      </c>
      <c r="H185" s="141">
        <f>E185*G185</f>
        <v/>
      </c>
      <c r="I185" s="141">
        <f>IF(offer_sale_type="транзит",IFERROR(ROUND(VLOOKUP($B185,calc_data,I$14+1,0),2),0),0)</f>
        <v/>
      </c>
      <c r="J185" s="141">
        <f>ROUND(IF(offer_sale_type="транзит",IFERROR(VLOOKUP($B185,calc_data,J$14+1,0),0),0),2)</f>
        <v/>
      </c>
      <c r="K185" s="142">
        <f>IF(offer_sale_type="транзит",IFERROR(ROUNDUP(VLOOKUP($B185,calc_data,K$14+1,0),2),0),0)</f>
        <v/>
      </c>
      <c r="L185" s="184">
        <f>IF(offer_sale_type="транзит",IFERROR(ROUNDUP(VLOOKUP($B185,calc_data,L$14+1,0),2),0),0)</f>
        <v/>
      </c>
      <c r="M185" s="141">
        <f>IF(offer_sale_type="транзит",IFERROR(ROUNDUP(VLOOKUP($B185,calc_data,M$14+1,0),2),0),0)</f>
        <v/>
      </c>
      <c r="N185" s="141">
        <f>IF(offer_sale_type="транзит",IFERROR(ROUNDUP(VLOOKUP($B185,calc_data,N$14+1,0),2),0),0)</f>
        <v/>
      </c>
      <c r="O185" s="147">
        <f>IF(offer_sale_type="транзит",IFERROR(ROUND(VLOOKUP($B185,calc_data,O$14+1,1),2),0),0)</f>
        <v/>
      </c>
      <c r="P185" s="141">
        <f>IF(offer_sale_type="транзит",IFERROR(ROUND(SUM(I185:J185,M185:O185)/E185,2),0),0)</f>
        <v/>
      </c>
      <c r="Q185" s="141">
        <f>E185*P185</f>
        <v/>
      </c>
      <c r="R185" s="141">
        <f>ROUND(Q185*IF(AND(offer_incoterms="DDP",seller_region="RU"),IF((TODAY()+offer_turnaround_time)&gt;=helpsheet!$L$17,rate_vatRU_from_26,rate_vatRu_till_25),0),2)</f>
        <v/>
      </c>
      <c r="S185" s="177">
        <f>Q185+IF(AND(offer_incoterms="DDP",seller_region="RU"),R185,0)</f>
        <v/>
      </c>
      <c r="T185" s="45" t="n"/>
      <c r="V185" s="57">
        <f>IF(Q185&gt;0,"показать","скрыть")</f>
        <v/>
      </c>
    </row>
    <row r="186" ht="15.75" customHeight="1">
      <c r="B186" s="809" t="n">
        <v>170</v>
      </c>
      <c r="C186" s="182">
        <f>IF(offer_sale_type="транзит",IFERROR(VLOOKUP($B186,calc_data,C$14+1,0),0),0)</f>
        <v/>
      </c>
      <c r="D186" s="280">
        <f>IF(offer_sale_type="транзит",IFERROR(VLOOKUP($B186,calc_data,D$14+1,0),0),0)</f>
        <v/>
      </c>
      <c r="E186" s="182">
        <f>IF(offer_sale_type="транзит",IFERROR(VLOOKUP($B186,calc_data,E$14+1,0),0),0)</f>
        <v/>
      </c>
      <c r="F186" s="182">
        <f>IF(offer_sale_type="транзит",IFERROR(VLOOKUP($B186,calc_data,F$14+1,0),0),0)</f>
        <v/>
      </c>
      <c r="G186" s="141">
        <f>IF(offer_sale_type="транзит",IFERROR(VLOOKUP($B186,calc_data,G$14+1,0),0),0)</f>
        <v/>
      </c>
      <c r="H186" s="141">
        <f>E186*G186</f>
        <v/>
      </c>
      <c r="I186" s="141">
        <f>IF(offer_sale_type="транзит",IFERROR(ROUND(VLOOKUP($B186,calc_data,I$14+1,0),2),0),0)</f>
        <v/>
      </c>
      <c r="J186" s="141">
        <f>ROUND(IF(offer_sale_type="транзит",IFERROR(VLOOKUP($B186,calc_data,J$14+1,0),0),0),2)</f>
        <v/>
      </c>
      <c r="K186" s="142">
        <f>IF(offer_sale_type="транзит",IFERROR(ROUNDUP(VLOOKUP($B186,calc_data,K$14+1,0),2),0),0)</f>
        <v/>
      </c>
      <c r="L186" s="184">
        <f>IF(offer_sale_type="транзит",IFERROR(ROUNDUP(VLOOKUP($B186,calc_data,L$14+1,0),2),0),0)</f>
        <v/>
      </c>
      <c r="M186" s="141">
        <f>IF(offer_sale_type="транзит",IFERROR(ROUNDUP(VLOOKUP($B186,calc_data,M$14+1,0),2),0),0)</f>
        <v/>
      </c>
      <c r="N186" s="141">
        <f>IF(offer_sale_type="транзит",IFERROR(ROUNDUP(VLOOKUP($B186,calc_data,N$14+1,0),2),0),0)</f>
        <v/>
      </c>
      <c r="O186" s="147">
        <f>IF(offer_sale_type="транзит",IFERROR(ROUND(VLOOKUP($B186,calc_data,O$14+1,1),2),0),0)</f>
        <v/>
      </c>
      <c r="P186" s="141">
        <f>IF(offer_sale_type="транзит",IFERROR(ROUND(SUM(I186:J186,M186:O186)/E186,2),0),0)</f>
        <v/>
      </c>
      <c r="Q186" s="141">
        <f>E186*P186</f>
        <v/>
      </c>
      <c r="R186" s="141">
        <f>ROUND(Q186*IF(AND(offer_incoterms="DDP",seller_region="RU"),IF((TODAY()+offer_turnaround_time)&gt;=helpsheet!$L$17,rate_vatRU_from_26,rate_vatRu_till_25),0),2)</f>
        <v/>
      </c>
      <c r="S186" s="177">
        <f>Q186+IF(AND(offer_incoterms="DDP",seller_region="RU"),R186,0)</f>
        <v/>
      </c>
      <c r="T186" s="45" t="n"/>
      <c r="V186" s="57">
        <f>IF(Q186&gt;0,"показать","скрыть")</f>
        <v/>
      </c>
    </row>
    <row r="187" ht="15.75" customHeight="1">
      <c r="B187" s="809" t="n">
        <v>171</v>
      </c>
      <c r="C187" s="182">
        <f>IF(offer_sale_type="транзит",IFERROR(VLOOKUP($B187,calc_data,C$14+1,0),0),0)</f>
        <v/>
      </c>
      <c r="D187" s="280">
        <f>IF(offer_sale_type="транзит",IFERROR(VLOOKUP($B187,calc_data,D$14+1,0),0),0)</f>
        <v/>
      </c>
      <c r="E187" s="182">
        <f>IF(offer_sale_type="транзит",IFERROR(VLOOKUP($B187,calc_data,E$14+1,0),0),0)</f>
        <v/>
      </c>
      <c r="F187" s="182">
        <f>IF(offer_sale_type="транзит",IFERROR(VLOOKUP($B187,calc_data,F$14+1,0),0),0)</f>
        <v/>
      </c>
      <c r="G187" s="141">
        <f>IF(offer_sale_type="транзит",IFERROR(VLOOKUP($B187,calc_data,G$14+1,0),0),0)</f>
        <v/>
      </c>
      <c r="H187" s="141">
        <f>E187*G187</f>
        <v/>
      </c>
      <c r="I187" s="141">
        <f>IF(offer_sale_type="транзит",IFERROR(ROUND(VLOOKUP($B187,calc_data,I$14+1,0),2),0),0)</f>
        <v/>
      </c>
      <c r="J187" s="141">
        <f>ROUND(IF(offer_sale_type="транзит",IFERROR(VLOOKUP($B187,calc_data,J$14+1,0),0),0),2)</f>
        <v/>
      </c>
      <c r="K187" s="142">
        <f>IF(offer_sale_type="транзит",IFERROR(ROUNDUP(VLOOKUP($B187,calc_data,K$14+1,0),2),0),0)</f>
        <v/>
      </c>
      <c r="L187" s="184">
        <f>IF(offer_sale_type="транзит",IFERROR(ROUNDUP(VLOOKUP($B187,calc_data,L$14+1,0),2),0),0)</f>
        <v/>
      </c>
      <c r="M187" s="141">
        <f>IF(offer_sale_type="транзит",IFERROR(ROUNDUP(VLOOKUP($B187,calc_data,M$14+1,0),2),0),0)</f>
        <v/>
      </c>
      <c r="N187" s="141">
        <f>IF(offer_sale_type="транзит",IFERROR(ROUNDUP(VLOOKUP($B187,calc_data,N$14+1,0),2),0),0)</f>
        <v/>
      </c>
      <c r="O187" s="147">
        <f>IF(offer_sale_type="транзит",IFERROR(ROUND(VLOOKUP($B187,calc_data,O$14+1,1),2),0),0)</f>
        <v/>
      </c>
      <c r="P187" s="141">
        <f>IF(offer_sale_type="транзит",IFERROR(ROUND(SUM(I187:J187,M187:O187)/E187,2),0),0)</f>
        <v/>
      </c>
      <c r="Q187" s="141">
        <f>E187*P187</f>
        <v/>
      </c>
      <c r="R187" s="141">
        <f>ROUND(Q187*IF(AND(offer_incoterms="DDP",seller_region="RU"),IF((TODAY()+offer_turnaround_time)&gt;=helpsheet!$L$17,rate_vatRU_from_26,rate_vatRu_till_25),0),2)</f>
        <v/>
      </c>
      <c r="S187" s="177">
        <f>Q187+IF(AND(offer_incoterms="DDP",seller_region="RU"),R187,0)</f>
        <v/>
      </c>
      <c r="T187" s="45" t="n"/>
      <c r="V187" s="57">
        <f>IF(Q187&gt;0,"показать","скрыть")</f>
        <v/>
      </c>
    </row>
    <row r="188" ht="15.75" customHeight="1">
      <c r="B188" s="809" t="n">
        <v>172</v>
      </c>
      <c r="C188" s="182">
        <f>IF(offer_sale_type="транзит",IFERROR(VLOOKUP($B188,calc_data,C$14+1,0),0),0)</f>
        <v/>
      </c>
      <c r="D188" s="280">
        <f>IF(offer_sale_type="транзит",IFERROR(VLOOKUP($B188,calc_data,D$14+1,0),0),0)</f>
        <v/>
      </c>
      <c r="E188" s="182">
        <f>IF(offer_sale_type="транзит",IFERROR(VLOOKUP($B188,calc_data,E$14+1,0),0),0)</f>
        <v/>
      </c>
      <c r="F188" s="182">
        <f>IF(offer_sale_type="транзит",IFERROR(VLOOKUP($B188,calc_data,F$14+1,0),0),0)</f>
        <v/>
      </c>
      <c r="G188" s="141">
        <f>IF(offer_sale_type="транзит",IFERROR(VLOOKUP($B188,calc_data,G$14+1,0),0),0)</f>
        <v/>
      </c>
      <c r="H188" s="141">
        <f>E188*G188</f>
        <v/>
      </c>
      <c r="I188" s="141">
        <f>IF(offer_sale_type="транзит",IFERROR(ROUND(VLOOKUP($B188,calc_data,I$14+1,0),2),0),0)</f>
        <v/>
      </c>
      <c r="J188" s="141">
        <f>ROUND(IF(offer_sale_type="транзит",IFERROR(VLOOKUP($B188,calc_data,J$14+1,0),0),0),2)</f>
        <v/>
      </c>
      <c r="K188" s="142">
        <f>IF(offer_sale_type="транзит",IFERROR(ROUNDUP(VLOOKUP($B188,calc_data,K$14+1,0),2),0),0)</f>
        <v/>
      </c>
      <c r="L188" s="184">
        <f>IF(offer_sale_type="транзит",IFERROR(ROUNDUP(VLOOKUP($B188,calc_data,L$14+1,0),2),0),0)</f>
        <v/>
      </c>
      <c r="M188" s="141">
        <f>IF(offer_sale_type="транзит",IFERROR(ROUNDUP(VLOOKUP($B188,calc_data,M$14+1,0),2),0),0)</f>
        <v/>
      </c>
      <c r="N188" s="141">
        <f>IF(offer_sale_type="транзит",IFERROR(ROUNDUP(VLOOKUP($B188,calc_data,N$14+1,0),2),0),0)</f>
        <v/>
      </c>
      <c r="O188" s="147">
        <f>IF(offer_sale_type="транзит",IFERROR(ROUND(VLOOKUP($B188,calc_data,O$14+1,1),2),0),0)</f>
        <v/>
      </c>
      <c r="P188" s="141">
        <f>IF(offer_sale_type="транзит",IFERROR(ROUND(SUM(I188:J188,M188:O188)/E188,2),0),0)</f>
        <v/>
      </c>
      <c r="Q188" s="141">
        <f>E188*P188</f>
        <v/>
      </c>
      <c r="R188" s="141">
        <f>ROUND(Q188*IF(AND(offer_incoterms="DDP",seller_region="RU"),IF((TODAY()+offer_turnaround_time)&gt;=helpsheet!$L$17,rate_vatRU_from_26,rate_vatRu_till_25),0),2)</f>
        <v/>
      </c>
      <c r="S188" s="177">
        <f>Q188+IF(AND(offer_incoterms="DDP",seller_region="RU"),R188,0)</f>
        <v/>
      </c>
      <c r="T188" s="45" t="n"/>
      <c r="V188" s="57">
        <f>IF(Q188&gt;0,"показать","скрыть")</f>
        <v/>
      </c>
    </row>
    <row r="189" ht="15.75" customHeight="1">
      <c r="B189" s="809" t="n">
        <v>173</v>
      </c>
      <c r="C189" s="182">
        <f>IF(offer_sale_type="транзит",IFERROR(VLOOKUP($B189,calc_data,C$14+1,0),0),0)</f>
        <v/>
      </c>
      <c r="D189" s="280">
        <f>IF(offer_sale_type="транзит",IFERROR(VLOOKUP($B189,calc_data,D$14+1,0),0),0)</f>
        <v/>
      </c>
      <c r="E189" s="182">
        <f>IF(offer_sale_type="транзит",IFERROR(VLOOKUP($B189,calc_data,E$14+1,0),0),0)</f>
        <v/>
      </c>
      <c r="F189" s="182">
        <f>IF(offer_sale_type="транзит",IFERROR(VLOOKUP($B189,calc_data,F$14+1,0),0),0)</f>
        <v/>
      </c>
      <c r="G189" s="141">
        <f>IF(offer_sale_type="транзит",IFERROR(VLOOKUP($B189,calc_data,G$14+1,0),0),0)</f>
        <v/>
      </c>
      <c r="H189" s="141">
        <f>E189*G189</f>
        <v/>
      </c>
      <c r="I189" s="141">
        <f>IF(offer_sale_type="транзит",IFERROR(ROUND(VLOOKUP($B189,calc_data,I$14+1,0),2),0),0)</f>
        <v/>
      </c>
      <c r="J189" s="141">
        <f>ROUND(IF(offer_sale_type="транзит",IFERROR(VLOOKUP($B189,calc_data,J$14+1,0),0),0),2)</f>
        <v/>
      </c>
      <c r="K189" s="142">
        <f>IF(offer_sale_type="транзит",IFERROR(ROUNDUP(VLOOKUP($B189,calc_data,K$14+1,0),2),0),0)</f>
        <v/>
      </c>
      <c r="L189" s="184">
        <f>IF(offer_sale_type="транзит",IFERROR(ROUNDUP(VLOOKUP($B189,calc_data,L$14+1,0),2),0),0)</f>
        <v/>
      </c>
      <c r="M189" s="141">
        <f>IF(offer_sale_type="транзит",IFERROR(ROUNDUP(VLOOKUP($B189,calc_data,M$14+1,0),2),0),0)</f>
        <v/>
      </c>
      <c r="N189" s="141">
        <f>IF(offer_sale_type="транзит",IFERROR(ROUNDUP(VLOOKUP($B189,calc_data,N$14+1,0),2),0),0)</f>
        <v/>
      </c>
      <c r="O189" s="147">
        <f>IF(offer_sale_type="транзит",IFERROR(ROUND(VLOOKUP($B189,calc_data,O$14+1,1),2),0),0)</f>
        <v/>
      </c>
      <c r="P189" s="141">
        <f>IF(offer_sale_type="транзит",IFERROR(ROUND(SUM(I189:J189,M189:O189)/E189,2),0),0)</f>
        <v/>
      </c>
      <c r="Q189" s="141">
        <f>E189*P189</f>
        <v/>
      </c>
      <c r="R189" s="141">
        <f>ROUND(Q189*IF(AND(offer_incoterms="DDP",seller_region="RU"),IF((TODAY()+offer_turnaround_time)&gt;=helpsheet!$L$17,rate_vatRU_from_26,rate_vatRu_till_25),0),2)</f>
        <v/>
      </c>
      <c r="S189" s="177">
        <f>Q189+IF(AND(offer_incoterms="DDP",seller_region="RU"),R189,0)</f>
        <v/>
      </c>
      <c r="T189" s="45" t="n"/>
      <c r="V189" s="57">
        <f>IF(Q189&gt;0,"показать","скрыть")</f>
        <v/>
      </c>
    </row>
    <row r="190" ht="15.75" customHeight="1">
      <c r="B190" s="809" t="n">
        <v>174</v>
      </c>
      <c r="C190" s="182">
        <f>IF(offer_sale_type="транзит",IFERROR(VLOOKUP($B190,calc_data,C$14+1,0),0),0)</f>
        <v/>
      </c>
      <c r="D190" s="280">
        <f>IF(offer_sale_type="транзит",IFERROR(VLOOKUP($B190,calc_data,D$14+1,0),0),0)</f>
        <v/>
      </c>
      <c r="E190" s="182">
        <f>IF(offer_sale_type="транзит",IFERROR(VLOOKUP($B190,calc_data,E$14+1,0),0),0)</f>
        <v/>
      </c>
      <c r="F190" s="182">
        <f>IF(offer_sale_type="транзит",IFERROR(VLOOKUP($B190,calc_data,F$14+1,0),0),0)</f>
        <v/>
      </c>
      <c r="G190" s="141">
        <f>IF(offer_sale_type="транзит",IFERROR(VLOOKUP($B190,calc_data,G$14+1,0),0),0)</f>
        <v/>
      </c>
      <c r="H190" s="141">
        <f>E190*G190</f>
        <v/>
      </c>
      <c r="I190" s="141">
        <f>IF(offer_sale_type="транзит",IFERROR(ROUND(VLOOKUP($B190,calc_data,I$14+1,0),2),0),0)</f>
        <v/>
      </c>
      <c r="J190" s="141">
        <f>ROUND(IF(offer_sale_type="транзит",IFERROR(VLOOKUP($B190,calc_data,J$14+1,0),0),0),2)</f>
        <v/>
      </c>
      <c r="K190" s="142">
        <f>IF(offer_sale_type="транзит",IFERROR(ROUNDUP(VLOOKUP($B190,calc_data,K$14+1,0),2),0),0)</f>
        <v/>
      </c>
      <c r="L190" s="184">
        <f>IF(offer_sale_type="транзит",IFERROR(ROUNDUP(VLOOKUP($B190,calc_data,L$14+1,0),2),0),0)</f>
        <v/>
      </c>
      <c r="M190" s="141">
        <f>IF(offer_sale_type="транзит",IFERROR(ROUNDUP(VLOOKUP($B190,calc_data,M$14+1,0),2),0),0)</f>
        <v/>
      </c>
      <c r="N190" s="141">
        <f>IF(offer_sale_type="транзит",IFERROR(ROUNDUP(VLOOKUP($B190,calc_data,N$14+1,0),2),0),0)</f>
        <v/>
      </c>
      <c r="O190" s="147">
        <f>IF(offer_sale_type="транзит",IFERROR(ROUND(VLOOKUP($B190,calc_data,O$14+1,1),2),0),0)</f>
        <v/>
      </c>
      <c r="P190" s="141">
        <f>IF(offer_sale_type="транзит",IFERROR(ROUND(SUM(I190:J190,M190:O190)/E190,2),0),0)</f>
        <v/>
      </c>
      <c r="Q190" s="141">
        <f>E190*P190</f>
        <v/>
      </c>
      <c r="R190" s="141">
        <f>ROUND(Q190*IF(AND(offer_incoterms="DDP",seller_region="RU"),IF((TODAY()+offer_turnaround_time)&gt;=helpsheet!$L$17,rate_vatRU_from_26,rate_vatRu_till_25),0),2)</f>
        <v/>
      </c>
      <c r="S190" s="177">
        <f>Q190+IF(AND(offer_incoterms="DDP",seller_region="RU"),R190,0)</f>
        <v/>
      </c>
      <c r="T190" s="45" t="n"/>
      <c r="V190" s="57">
        <f>IF(Q190&gt;0,"показать","скрыть")</f>
        <v/>
      </c>
    </row>
    <row r="191" ht="15.75" customHeight="1">
      <c r="B191" s="809" t="n">
        <v>175</v>
      </c>
      <c r="C191" s="182">
        <f>IF(offer_sale_type="транзит",IFERROR(VLOOKUP($B191,calc_data,C$14+1,0),0),0)</f>
        <v/>
      </c>
      <c r="D191" s="280">
        <f>IF(offer_sale_type="транзит",IFERROR(VLOOKUP($B191,calc_data,D$14+1,0),0),0)</f>
        <v/>
      </c>
      <c r="E191" s="182">
        <f>IF(offer_sale_type="транзит",IFERROR(VLOOKUP($B191,calc_data,E$14+1,0),0),0)</f>
        <v/>
      </c>
      <c r="F191" s="182">
        <f>IF(offer_sale_type="транзит",IFERROR(VLOOKUP($B191,calc_data,F$14+1,0),0),0)</f>
        <v/>
      </c>
      <c r="G191" s="141">
        <f>IF(offer_sale_type="транзит",IFERROR(VLOOKUP($B191,calc_data,G$14+1,0),0),0)</f>
        <v/>
      </c>
      <c r="H191" s="141">
        <f>E191*G191</f>
        <v/>
      </c>
      <c r="I191" s="141">
        <f>IF(offer_sale_type="транзит",IFERROR(ROUND(VLOOKUP($B191,calc_data,I$14+1,0),2),0),0)</f>
        <v/>
      </c>
      <c r="J191" s="141">
        <f>ROUND(IF(offer_sale_type="транзит",IFERROR(VLOOKUP($B191,calc_data,J$14+1,0),0),0),2)</f>
        <v/>
      </c>
      <c r="K191" s="142">
        <f>IF(offer_sale_type="транзит",IFERROR(ROUNDUP(VLOOKUP($B191,calc_data,K$14+1,0),2),0),0)</f>
        <v/>
      </c>
      <c r="L191" s="184">
        <f>IF(offer_sale_type="транзит",IFERROR(ROUNDUP(VLOOKUP($B191,calc_data,L$14+1,0),2),0),0)</f>
        <v/>
      </c>
      <c r="M191" s="141">
        <f>IF(offer_sale_type="транзит",IFERROR(ROUNDUP(VLOOKUP($B191,calc_data,M$14+1,0),2),0),0)</f>
        <v/>
      </c>
      <c r="N191" s="141">
        <f>IF(offer_sale_type="транзит",IFERROR(ROUNDUP(VLOOKUP($B191,calc_data,N$14+1,0),2),0),0)</f>
        <v/>
      </c>
      <c r="O191" s="147">
        <f>IF(offer_sale_type="транзит",IFERROR(ROUND(VLOOKUP($B191,calc_data,O$14+1,1),2),0),0)</f>
        <v/>
      </c>
      <c r="P191" s="141">
        <f>IF(offer_sale_type="транзит",IFERROR(ROUND(SUM(I191:J191,M191:O191)/E191,2),0),0)</f>
        <v/>
      </c>
      <c r="Q191" s="141">
        <f>E191*P191</f>
        <v/>
      </c>
      <c r="R191" s="141">
        <f>ROUND(Q191*IF(AND(offer_incoterms="DDP",seller_region="RU"),IF((TODAY()+offer_turnaround_time)&gt;=helpsheet!$L$17,rate_vatRU_from_26,rate_vatRu_till_25),0),2)</f>
        <v/>
      </c>
      <c r="S191" s="177">
        <f>Q191+IF(AND(offer_incoterms="DDP",seller_region="RU"),R191,0)</f>
        <v/>
      </c>
      <c r="T191" s="45" t="n"/>
      <c r="V191" s="57">
        <f>IF(Q191&gt;0,"показать","скрыть")</f>
        <v/>
      </c>
    </row>
    <row r="192" ht="15.75" customHeight="1">
      <c r="B192" s="809" t="n">
        <v>176</v>
      </c>
      <c r="C192" s="182">
        <f>IF(offer_sale_type="транзит",IFERROR(VLOOKUP($B192,calc_data,C$14+1,0),0),0)</f>
        <v/>
      </c>
      <c r="D192" s="280">
        <f>IF(offer_sale_type="транзит",IFERROR(VLOOKUP($B192,calc_data,D$14+1,0),0),0)</f>
        <v/>
      </c>
      <c r="E192" s="182">
        <f>IF(offer_sale_type="транзит",IFERROR(VLOOKUP($B192,calc_data,E$14+1,0),0),0)</f>
        <v/>
      </c>
      <c r="F192" s="182">
        <f>IF(offer_sale_type="транзит",IFERROR(VLOOKUP($B192,calc_data,F$14+1,0),0),0)</f>
        <v/>
      </c>
      <c r="G192" s="141">
        <f>IF(offer_sale_type="транзит",IFERROR(VLOOKUP($B192,calc_data,G$14+1,0),0),0)</f>
        <v/>
      </c>
      <c r="H192" s="141">
        <f>E192*G192</f>
        <v/>
      </c>
      <c r="I192" s="141">
        <f>IF(offer_sale_type="транзит",IFERROR(ROUND(VLOOKUP($B192,calc_data,I$14+1,0),2),0),0)</f>
        <v/>
      </c>
      <c r="J192" s="141">
        <f>ROUND(IF(offer_sale_type="транзит",IFERROR(VLOOKUP($B192,calc_data,J$14+1,0),0),0),2)</f>
        <v/>
      </c>
      <c r="K192" s="142">
        <f>IF(offer_sale_type="транзит",IFERROR(ROUNDUP(VLOOKUP($B192,calc_data,K$14+1,0),2),0),0)</f>
        <v/>
      </c>
      <c r="L192" s="184">
        <f>IF(offer_sale_type="транзит",IFERROR(ROUNDUP(VLOOKUP($B192,calc_data,L$14+1,0),2),0),0)</f>
        <v/>
      </c>
      <c r="M192" s="141">
        <f>IF(offer_sale_type="транзит",IFERROR(ROUNDUP(VLOOKUP($B192,calc_data,M$14+1,0),2),0),0)</f>
        <v/>
      </c>
      <c r="N192" s="141">
        <f>IF(offer_sale_type="транзит",IFERROR(ROUNDUP(VLOOKUP($B192,calc_data,N$14+1,0),2),0),0)</f>
        <v/>
      </c>
      <c r="O192" s="147">
        <f>IF(offer_sale_type="транзит",IFERROR(ROUND(VLOOKUP($B192,calc_data,O$14+1,1),2),0),0)</f>
        <v/>
      </c>
      <c r="P192" s="141">
        <f>IF(offer_sale_type="транзит",IFERROR(ROUND(SUM(I192:J192,M192:O192)/E192,2),0),0)</f>
        <v/>
      </c>
      <c r="Q192" s="141">
        <f>E192*P192</f>
        <v/>
      </c>
      <c r="R192" s="141">
        <f>ROUND(Q192*IF(AND(offer_incoterms="DDP",seller_region="RU"),IF((TODAY()+offer_turnaround_time)&gt;=helpsheet!$L$17,rate_vatRU_from_26,rate_vatRu_till_25),0),2)</f>
        <v/>
      </c>
      <c r="S192" s="177">
        <f>Q192+IF(AND(offer_incoterms="DDP",seller_region="RU"),R192,0)</f>
        <v/>
      </c>
      <c r="T192" s="45" t="n"/>
      <c r="V192" s="57">
        <f>IF(Q192&gt;0,"показать","скрыть")</f>
        <v/>
      </c>
    </row>
    <row r="193" ht="15.75" customHeight="1">
      <c r="B193" s="809" t="n">
        <v>177</v>
      </c>
      <c r="C193" s="182">
        <f>IF(offer_sale_type="транзит",IFERROR(VLOOKUP($B193,calc_data,C$14+1,0),0),0)</f>
        <v/>
      </c>
      <c r="D193" s="280">
        <f>IF(offer_sale_type="транзит",IFERROR(VLOOKUP($B193,calc_data,D$14+1,0),0),0)</f>
        <v/>
      </c>
      <c r="E193" s="182">
        <f>IF(offer_sale_type="транзит",IFERROR(VLOOKUP($B193,calc_data,E$14+1,0),0),0)</f>
        <v/>
      </c>
      <c r="F193" s="182">
        <f>IF(offer_sale_type="транзит",IFERROR(VLOOKUP($B193,calc_data,F$14+1,0),0),0)</f>
        <v/>
      </c>
      <c r="G193" s="141">
        <f>IF(offer_sale_type="транзит",IFERROR(VLOOKUP($B193,calc_data,G$14+1,0),0),0)</f>
        <v/>
      </c>
      <c r="H193" s="141">
        <f>E193*G193</f>
        <v/>
      </c>
      <c r="I193" s="141">
        <f>IF(offer_sale_type="транзит",IFERROR(ROUND(VLOOKUP($B193,calc_data,I$14+1,0),2),0),0)</f>
        <v/>
      </c>
      <c r="J193" s="141">
        <f>ROUND(IF(offer_sale_type="транзит",IFERROR(VLOOKUP($B193,calc_data,J$14+1,0),0),0),2)</f>
        <v/>
      </c>
      <c r="K193" s="142">
        <f>IF(offer_sale_type="транзит",IFERROR(ROUNDUP(VLOOKUP($B193,calc_data,K$14+1,0),2),0),0)</f>
        <v/>
      </c>
      <c r="L193" s="184">
        <f>IF(offer_sale_type="транзит",IFERROR(ROUNDUP(VLOOKUP($B193,calc_data,L$14+1,0),2),0),0)</f>
        <v/>
      </c>
      <c r="M193" s="141">
        <f>IF(offer_sale_type="транзит",IFERROR(ROUNDUP(VLOOKUP($B193,calc_data,M$14+1,0),2),0),0)</f>
        <v/>
      </c>
      <c r="N193" s="141">
        <f>IF(offer_sale_type="транзит",IFERROR(ROUNDUP(VLOOKUP($B193,calc_data,N$14+1,0),2),0),0)</f>
        <v/>
      </c>
      <c r="O193" s="147">
        <f>IF(offer_sale_type="транзит",IFERROR(ROUND(VLOOKUP($B193,calc_data,O$14+1,1),2),0),0)</f>
        <v/>
      </c>
      <c r="P193" s="141">
        <f>IF(offer_sale_type="транзит",IFERROR(ROUND(SUM(I193:J193,M193:O193)/E193,2),0),0)</f>
        <v/>
      </c>
      <c r="Q193" s="141">
        <f>E193*P193</f>
        <v/>
      </c>
      <c r="R193" s="141">
        <f>ROUND(Q193*IF(AND(offer_incoterms="DDP",seller_region="RU"),IF((TODAY()+offer_turnaround_time)&gt;=helpsheet!$L$17,rate_vatRU_from_26,rate_vatRu_till_25),0),2)</f>
        <v/>
      </c>
      <c r="S193" s="177">
        <f>Q193+IF(AND(offer_incoterms="DDP",seller_region="RU"),R193,0)</f>
        <v/>
      </c>
      <c r="T193" s="45" t="n"/>
      <c r="V193" s="57">
        <f>IF(Q193&gt;0,"показать","скрыть")</f>
        <v/>
      </c>
    </row>
    <row r="194" ht="15.75" customHeight="1">
      <c r="B194" s="809" t="n">
        <v>178</v>
      </c>
      <c r="C194" s="182">
        <f>IF(offer_sale_type="транзит",IFERROR(VLOOKUP($B194,calc_data,C$14+1,0),0),0)</f>
        <v/>
      </c>
      <c r="D194" s="280">
        <f>IF(offer_sale_type="транзит",IFERROR(VLOOKUP($B194,calc_data,D$14+1,0),0),0)</f>
        <v/>
      </c>
      <c r="E194" s="182">
        <f>IF(offer_sale_type="транзит",IFERROR(VLOOKUP($B194,calc_data,E$14+1,0),0),0)</f>
        <v/>
      </c>
      <c r="F194" s="182">
        <f>IF(offer_sale_type="транзит",IFERROR(VLOOKUP($B194,calc_data,F$14+1,0),0),0)</f>
        <v/>
      </c>
      <c r="G194" s="141">
        <f>IF(offer_sale_type="транзит",IFERROR(VLOOKUP($B194,calc_data,G$14+1,0),0),0)</f>
        <v/>
      </c>
      <c r="H194" s="141">
        <f>E194*G194</f>
        <v/>
      </c>
      <c r="I194" s="141">
        <f>IF(offer_sale_type="транзит",IFERROR(ROUND(VLOOKUP($B194,calc_data,I$14+1,0),2),0),0)</f>
        <v/>
      </c>
      <c r="J194" s="141">
        <f>ROUND(IF(offer_sale_type="транзит",IFERROR(VLOOKUP($B194,calc_data,J$14+1,0),0),0),2)</f>
        <v/>
      </c>
      <c r="K194" s="142">
        <f>IF(offer_sale_type="транзит",IFERROR(ROUNDUP(VLOOKUP($B194,calc_data,K$14+1,0),2),0),0)</f>
        <v/>
      </c>
      <c r="L194" s="184">
        <f>IF(offer_sale_type="транзит",IFERROR(ROUNDUP(VLOOKUP($B194,calc_data,L$14+1,0),2),0),0)</f>
        <v/>
      </c>
      <c r="M194" s="141">
        <f>IF(offer_sale_type="транзит",IFERROR(ROUNDUP(VLOOKUP($B194,calc_data,M$14+1,0),2),0),0)</f>
        <v/>
      </c>
      <c r="N194" s="141">
        <f>IF(offer_sale_type="транзит",IFERROR(ROUNDUP(VLOOKUP($B194,calc_data,N$14+1,0),2),0),0)</f>
        <v/>
      </c>
      <c r="O194" s="147">
        <f>IF(offer_sale_type="транзит",IFERROR(ROUND(VLOOKUP($B194,calc_data,O$14+1,1),2),0),0)</f>
        <v/>
      </c>
      <c r="P194" s="141">
        <f>IF(offer_sale_type="транзит",IFERROR(ROUND(SUM(I194:J194,M194:O194)/E194,2),0),0)</f>
        <v/>
      </c>
      <c r="Q194" s="141">
        <f>E194*P194</f>
        <v/>
      </c>
      <c r="R194" s="141">
        <f>ROUND(Q194*IF(AND(offer_incoterms="DDP",seller_region="RU"),IF((TODAY()+offer_turnaround_time)&gt;=helpsheet!$L$17,rate_vatRU_from_26,rate_vatRu_till_25),0),2)</f>
        <v/>
      </c>
      <c r="S194" s="177">
        <f>Q194+IF(AND(offer_incoterms="DDP",seller_region="RU"),R194,0)</f>
        <v/>
      </c>
      <c r="T194" s="45" t="n"/>
      <c r="V194" s="57">
        <f>IF(Q194&gt;0,"показать","скрыть")</f>
        <v/>
      </c>
    </row>
    <row r="195" ht="15.75" customHeight="1">
      <c r="B195" s="809" t="n">
        <v>179</v>
      </c>
      <c r="C195" s="182">
        <f>IF(offer_sale_type="транзит",IFERROR(VLOOKUP($B195,calc_data,C$14+1,0),0),0)</f>
        <v/>
      </c>
      <c r="D195" s="280">
        <f>IF(offer_sale_type="транзит",IFERROR(VLOOKUP($B195,calc_data,D$14+1,0),0),0)</f>
        <v/>
      </c>
      <c r="E195" s="182">
        <f>IF(offer_sale_type="транзит",IFERROR(VLOOKUP($B195,calc_data,E$14+1,0),0),0)</f>
        <v/>
      </c>
      <c r="F195" s="182">
        <f>IF(offer_sale_type="транзит",IFERROR(VLOOKUP($B195,calc_data,F$14+1,0),0),0)</f>
        <v/>
      </c>
      <c r="G195" s="141">
        <f>IF(offer_sale_type="транзит",IFERROR(VLOOKUP($B195,calc_data,G$14+1,0),0),0)</f>
        <v/>
      </c>
      <c r="H195" s="141">
        <f>E195*G195</f>
        <v/>
      </c>
      <c r="I195" s="141">
        <f>IF(offer_sale_type="транзит",IFERROR(ROUND(VLOOKUP($B195,calc_data,I$14+1,0),2),0),0)</f>
        <v/>
      </c>
      <c r="J195" s="141">
        <f>ROUND(IF(offer_sale_type="транзит",IFERROR(VLOOKUP($B195,calc_data,J$14+1,0),0),0),2)</f>
        <v/>
      </c>
      <c r="K195" s="142">
        <f>IF(offer_sale_type="транзит",IFERROR(ROUNDUP(VLOOKUP($B195,calc_data,K$14+1,0),2),0),0)</f>
        <v/>
      </c>
      <c r="L195" s="184">
        <f>IF(offer_sale_type="транзит",IFERROR(ROUNDUP(VLOOKUP($B195,calc_data,L$14+1,0),2),0),0)</f>
        <v/>
      </c>
      <c r="M195" s="141">
        <f>IF(offer_sale_type="транзит",IFERROR(ROUNDUP(VLOOKUP($B195,calc_data,M$14+1,0),2),0),0)</f>
        <v/>
      </c>
      <c r="N195" s="141">
        <f>IF(offer_sale_type="транзит",IFERROR(ROUNDUP(VLOOKUP($B195,calc_data,N$14+1,0),2),0),0)</f>
        <v/>
      </c>
      <c r="O195" s="147">
        <f>IF(offer_sale_type="транзит",IFERROR(ROUND(VLOOKUP($B195,calc_data,O$14+1,1),2),0),0)</f>
        <v/>
      </c>
      <c r="P195" s="141">
        <f>IF(offer_sale_type="транзит",IFERROR(ROUND(SUM(I195:J195,M195:O195)/E195,2),0),0)</f>
        <v/>
      </c>
      <c r="Q195" s="141">
        <f>E195*P195</f>
        <v/>
      </c>
      <c r="R195" s="141">
        <f>ROUND(Q195*IF(AND(offer_incoterms="DDP",seller_region="RU"),IF((TODAY()+offer_turnaround_time)&gt;=helpsheet!$L$17,rate_vatRU_from_26,rate_vatRu_till_25),0),2)</f>
        <v/>
      </c>
      <c r="S195" s="177">
        <f>Q195+IF(AND(offer_incoterms="DDP",seller_region="RU"),R195,0)</f>
        <v/>
      </c>
      <c r="T195" s="45" t="n"/>
      <c r="V195" s="57">
        <f>IF(Q195&gt;0,"показать","скрыть")</f>
        <v/>
      </c>
    </row>
    <row r="196" ht="15.75" customHeight="1">
      <c r="B196" s="809" t="n">
        <v>180</v>
      </c>
      <c r="C196" s="182">
        <f>IF(offer_sale_type="транзит",IFERROR(VLOOKUP($B196,calc_data,C$14+1,0),0),0)</f>
        <v/>
      </c>
      <c r="D196" s="280">
        <f>IF(offer_sale_type="транзит",IFERROR(VLOOKUP($B196,calc_data,D$14+1,0),0),0)</f>
        <v/>
      </c>
      <c r="E196" s="182">
        <f>IF(offer_sale_type="транзит",IFERROR(VLOOKUP($B196,calc_data,E$14+1,0),0),0)</f>
        <v/>
      </c>
      <c r="F196" s="182">
        <f>IF(offer_sale_type="транзит",IFERROR(VLOOKUP($B196,calc_data,F$14+1,0),0),0)</f>
        <v/>
      </c>
      <c r="G196" s="141">
        <f>IF(offer_sale_type="транзит",IFERROR(VLOOKUP($B196,calc_data,G$14+1,0),0),0)</f>
        <v/>
      </c>
      <c r="H196" s="141">
        <f>E196*G196</f>
        <v/>
      </c>
      <c r="I196" s="141">
        <f>IF(offer_sale_type="транзит",IFERROR(ROUND(VLOOKUP($B196,calc_data,I$14+1,0),2),0),0)</f>
        <v/>
      </c>
      <c r="J196" s="141">
        <f>ROUND(IF(offer_sale_type="транзит",IFERROR(VLOOKUP($B196,calc_data,J$14+1,0),0),0),2)</f>
        <v/>
      </c>
      <c r="K196" s="142">
        <f>IF(offer_sale_type="транзит",IFERROR(ROUNDUP(VLOOKUP($B196,calc_data,K$14+1,0),2),0),0)</f>
        <v/>
      </c>
      <c r="L196" s="184">
        <f>IF(offer_sale_type="транзит",IFERROR(ROUNDUP(VLOOKUP($B196,calc_data,L$14+1,0),2),0),0)</f>
        <v/>
      </c>
      <c r="M196" s="141">
        <f>IF(offer_sale_type="транзит",IFERROR(ROUNDUP(VLOOKUP($B196,calc_data,M$14+1,0),2),0),0)</f>
        <v/>
      </c>
      <c r="N196" s="141">
        <f>IF(offer_sale_type="транзит",IFERROR(ROUNDUP(VLOOKUP($B196,calc_data,N$14+1,0),2),0),0)</f>
        <v/>
      </c>
      <c r="O196" s="147">
        <f>IF(offer_sale_type="транзит",IFERROR(ROUND(VLOOKUP($B196,calc_data,O$14+1,1),2),0),0)</f>
        <v/>
      </c>
      <c r="P196" s="141">
        <f>IF(offer_sale_type="транзит",IFERROR(ROUND(SUM(I196:J196,M196:O196)/E196,2),0),0)</f>
        <v/>
      </c>
      <c r="Q196" s="141">
        <f>E196*P196</f>
        <v/>
      </c>
      <c r="R196" s="141">
        <f>ROUND(Q196*IF(AND(offer_incoterms="DDP",seller_region="RU"),IF((TODAY()+offer_turnaround_time)&gt;=helpsheet!$L$17,rate_vatRU_from_26,rate_vatRu_till_25),0),2)</f>
        <v/>
      </c>
      <c r="S196" s="177">
        <f>Q196+IF(AND(offer_incoterms="DDP",seller_region="RU"),R196,0)</f>
        <v/>
      </c>
      <c r="T196" s="45" t="n"/>
      <c r="V196" s="57">
        <f>IF(Q196&gt;0,"показать","скрыть")</f>
        <v/>
      </c>
    </row>
    <row r="197" ht="15.75" customHeight="1">
      <c r="B197" s="809" t="n">
        <v>181</v>
      </c>
      <c r="C197" s="182">
        <f>IF(offer_sale_type="транзит",IFERROR(VLOOKUP($B197,calc_data,C$14+1,0),0),0)</f>
        <v/>
      </c>
      <c r="D197" s="280">
        <f>IF(offer_sale_type="транзит",IFERROR(VLOOKUP($B197,calc_data,D$14+1,0),0),0)</f>
        <v/>
      </c>
      <c r="E197" s="182">
        <f>IF(offer_sale_type="транзит",IFERROR(VLOOKUP($B197,calc_data,E$14+1,0),0),0)</f>
        <v/>
      </c>
      <c r="F197" s="182">
        <f>IF(offer_sale_type="транзит",IFERROR(VLOOKUP($B197,calc_data,F$14+1,0),0),0)</f>
        <v/>
      </c>
      <c r="G197" s="141">
        <f>IF(offer_sale_type="транзит",IFERROR(VLOOKUP($B197,calc_data,G$14+1,0),0),0)</f>
        <v/>
      </c>
      <c r="H197" s="141">
        <f>E197*G197</f>
        <v/>
      </c>
      <c r="I197" s="141">
        <f>IF(offer_sale_type="транзит",IFERROR(ROUND(VLOOKUP($B197,calc_data,I$14+1,0),2),0),0)</f>
        <v/>
      </c>
      <c r="J197" s="141">
        <f>ROUND(IF(offer_sale_type="транзит",IFERROR(VLOOKUP($B197,calc_data,J$14+1,0),0),0),2)</f>
        <v/>
      </c>
      <c r="K197" s="142">
        <f>IF(offer_sale_type="транзит",IFERROR(ROUNDUP(VLOOKUP($B197,calc_data,K$14+1,0),2),0),0)</f>
        <v/>
      </c>
      <c r="L197" s="184">
        <f>IF(offer_sale_type="транзит",IFERROR(ROUNDUP(VLOOKUP($B197,calc_data,L$14+1,0),2),0),0)</f>
        <v/>
      </c>
      <c r="M197" s="141">
        <f>IF(offer_sale_type="транзит",IFERROR(ROUNDUP(VLOOKUP($B197,calc_data,M$14+1,0),2),0),0)</f>
        <v/>
      </c>
      <c r="N197" s="141">
        <f>IF(offer_sale_type="транзит",IFERROR(ROUNDUP(VLOOKUP($B197,calc_data,N$14+1,0),2),0),0)</f>
        <v/>
      </c>
      <c r="O197" s="147">
        <f>IF(offer_sale_type="транзит",IFERROR(ROUND(VLOOKUP($B197,calc_data,O$14+1,1),2),0),0)</f>
        <v/>
      </c>
      <c r="P197" s="141">
        <f>IF(offer_sale_type="транзит",IFERROR(ROUND(SUM(I197:J197,M197:O197)/E197,2),0),0)</f>
        <v/>
      </c>
      <c r="Q197" s="141">
        <f>E197*P197</f>
        <v/>
      </c>
      <c r="R197" s="141">
        <f>ROUND(Q197*IF(AND(offer_incoterms="DDP",seller_region="RU"),IF((TODAY()+offer_turnaround_time)&gt;=helpsheet!$L$17,rate_vatRU_from_26,rate_vatRu_till_25),0),2)</f>
        <v/>
      </c>
      <c r="S197" s="177">
        <f>Q197+IF(AND(offer_incoterms="DDP",seller_region="RU"),R197,0)</f>
        <v/>
      </c>
      <c r="T197" s="45" t="n"/>
      <c r="V197" s="57">
        <f>IF(Q197&gt;0,"показать","скрыть")</f>
        <v/>
      </c>
    </row>
    <row r="198" ht="15.75" customHeight="1">
      <c r="B198" s="809" t="n">
        <v>182</v>
      </c>
      <c r="C198" s="182">
        <f>IF(offer_sale_type="транзит",IFERROR(VLOOKUP($B198,calc_data,C$14+1,0),0),0)</f>
        <v/>
      </c>
      <c r="D198" s="280">
        <f>IF(offer_sale_type="транзит",IFERROR(VLOOKUP($B198,calc_data,D$14+1,0),0),0)</f>
        <v/>
      </c>
      <c r="E198" s="182">
        <f>IF(offer_sale_type="транзит",IFERROR(VLOOKUP($B198,calc_data,E$14+1,0),0),0)</f>
        <v/>
      </c>
      <c r="F198" s="182">
        <f>IF(offer_sale_type="транзит",IFERROR(VLOOKUP($B198,calc_data,F$14+1,0),0),0)</f>
        <v/>
      </c>
      <c r="G198" s="141">
        <f>IF(offer_sale_type="транзит",IFERROR(VLOOKUP($B198,calc_data,G$14+1,0),0),0)</f>
        <v/>
      </c>
      <c r="H198" s="141">
        <f>E198*G198</f>
        <v/>
      </c>
      <c r="I198" s="141">
        <f>IF(offer_sale_type="транзит",IFERROR(ROUND(VLOOKUP($B198,calc_data,I$14+1,0),2),0),0)</f>
        <v/>
      </c>
      <c r="J198" s="141">
        <f>ROUND(IF(offer_sale_type="транзит",IFERROR(VLOOKUP($B198,calc_data,J$14+1,0),0),0),2)</f>
        <v/>
      </c>
      <c r="K198" s="142">
        <f>IF(offer_sale_type="транзит",IFERROR(ROUNDUP(VLOOKUP($B198,calc_data,K$14+1,0),2),0),0)</f>
        <v/>
      </c>
      <c r="L198" s="184">
        <f>IF(offer_sale_type="транзит",IFERROR(ROUNDUP(VLOOKUP($B198,calc_data,L$14+1,0),2),0),0)</f>
        <v/>
      </c>
      <c r="M198" s="141">
        <f>IF(offer_sale_type="транзит",IFERROR(ROUNDUP(VLOOKUP($B198,calc_data,M$14+1,0),2),0),0)</f>
        <v/>
      </c>
      <c r="N198" s="141">
        <f>IF(offer_sale_type="транзит",IFERROR(ROUNDUP(VLOOKUP($B198,calc_data,N$14+1,0),2),0),0)</f>
        <v/>
      </c>
      <c r="O198" s="147">
        <f>IF(offer_sale_type="транзит",IFERROR(ROUND(VLOOKUP($B198,calc_data,O$14+1,1),2),0),0)</f>
        <v/>
      </c>
      <c r="P198" s="141">
        <f>IF(offer_sale_type="транзит",IFERROR(ROUND(SUM(I198:J198,M198:O198)/E198,2),0),0)</f>
        <v/>
      </c>
      <c r="Q198" s="141">
        <f>E198*P198</f>
        <v/>
      </c>
      <c r="R198" s="141">
        <f>ROUND(Q198*IF(AND(offer_incoterms="DDP",seller_region="RU"),IF((TODAY()+offer_turnaround_time)&gt;=helpsheet!$L$17,rate_vatRU_from_26,rate_vatRu_till_25),0),2)</f>
        <v/>
      </c>
      <c r="S198" s="177">
        <f>Q198+IF(AND(offer_incoterms="DDP",seller_region="RU"),R198,0)</f>
        <v/>
      </c>
      <c r="T198" s="45" t="n"/>
      <c r="V198" s="57">
        <f>IF(Q198&gt;0,"показать","скрыть")</f>
        <v/>
      </c>
    </row>
    <row r="199" ht="15.75" customHeight="1">
      <c r="B199" s="809" t="n">
        <v>183</v>
      </c>
      <c r="C199" s="182">
        <f>IF(offer_sale_type="транзит",IFERROR(VLOOKUP($B199,calc_data,C$14+1,0),0),0)</f>
        <v/>
      </c>
      <c r="D199" s="280">
        <f>IF(offer_sale_type="транзит",IFERROR(VLOOKUP($B199,calc_data,D$14+1,0),0),0)</f>
        <v/>
      </c>
      <c r="E199" s="182">
        <f>IF(offer_sale_type="транзит",IFERROR(VLOOKUP($B199,calc_data,E$14+1,0),0),0)</f>
        <v/>
      </c>
      <c r="F199" s="182">
        <f>IF(offer_sale_type="транзит",IFERROR(VLOOKUP($B199,calc_data,F$14+1,0),0),0)</f>
        <v/>
      </c>
      <c r="G199" s="141">
        <f>IF(offer_sale_type="транзит",IFERROR(VLOOKUP($B199,calc_data,G$14+1,0),0),0)</f>
        <v/>
      </c>
      <c r="H199" s="141">
        <f>E199*G199</f>
        <v/>
      </c>
      <c r="I199" s="141">
        <f>IF(offer_sale_type="транзит",IFERROR(ROUND(VLOOKUP($B199,calc_data,I$14+1,0),2),0),0)</f>
        <v/>
      </c>
      <c r="J199" s="141">
        <f>ROUND(IF(offer_sale_type="транзит",IFERROR(VLOOKUP($B199,calc_data,J$14+1,0),0),0),2)</f>
        <v/>
      </c>
      <c r="K199" s="142">
        <f>IF(offer_sale_type="транзит",IFERROR(ROUNDUP(VLOOKUP($B199,calc_data,K$14+1,0),2),0),0)</f>
        <v/>
      </c>
      <c r="L199" s="184">
        <f>IF(offer_sale_type="транзит",IFERROR(ROUNDUP(VLOOKUP($B199,calc_data,L$14+1,0),2),0),0)</f>
        <v/>
      </c>
      <c r="M199" s="141">
        <f>IF(offer_sale_type="транзит",IFERROR(ROUNDUP(VLOOKUP($B199,calc_data,M$14+1,0),2),0),0)</f>
        <v/>
      </c>
      <c r="N199" s="141">
        <f>IF(offer_sale_type="транзит",IFERROR(ROUNDUP(VLOOKUP($B199,calc_data,N$14+1,0),2),0),0)</f>
        <v/>
      </c>
      <c r="O199" s="147">
        <f>IF(offer_sale_type="транзит",IFERROR(ROUND(VLOOKUP($B199,calc_data,O$14+1,1),2),0),0)</f>
        <v/>
      </c>
      <c r="P199" s="141">
        <f>IF(offer_sale_type="транзит",IFERROR(ROUND(SUM(I199:J199,M199:O199)/E199,2),0),0)</f>
        <v/>
      </c>
      <c r="Q199" s="141">
        <f>E199*P199</f>
        <v/>
      </c>
      <c r="R199" s="141">
        <f>ROUND(Q199*IF(AND(offer_incoterms="DDP",seller_region="RU"),IF((TODAY()+offer_turnaround_time)&gt;=helpsheet!$L$17,rate_vatRU_from_26,rate_vatRu_till_25),0),2)</f>
        <v/>
      </c>
      <c r="S199" s="177">
        <f>Q199+IF(AND(offer_incoterms="DDP",seller_region="RU"),R199,0)</f>
        <v/>
      </c>
      <c r="T199" s="45" t="n"/>
      <c r="V199" s="57">
        <f>IF(Q199&gt;0,"показать","скрыть")</f>
        <v/>
      </c>
    </row>
    <row r="200" ht="15.75" customHeight="1">
      <c r="B200" s="809" t="n">
        <v>184</v>
      </c>
      <c r="C200" s="182">
        <f>IF(offer_sale_type="транзит",IFERROR(VLOOKUP($B200,calc_data,C$14+1,0),0),0)</f>
        <v/>
      </c>
      <c r="D200" s="280">
        <f>IF(offer_sale_type="транзит",IFERROR(VLOOKUP($B200,calc_data,D$14+1,0),0),0)</f>
        <v/>
      </c>
      <c r="E200" s="182">
        <f>IF(offer_sale_type="транзит",IFERROR(VLOOKUP($B200,calc_data,E$14+1,0),0),0)</f>
        <v/>
      </c>
      <c r="F200" s="182">
        <f>IF(offer_sale_type="транзит",IFERROR(VLOOKUP($B200,calc_data,F$14+1,0),0),0)</f>
        <v/>
      </c>
      <c r="G200" s="141">
        <f>IF(offer_sale_type="транзит",IFERROR(VLOOKUP($B200,calc_data,G$14+1,0),0),0)</f>
        <v/>
      </c>
      <c r="H200" s="141">
        <f>E200*G200</f>
        <v/>
      </c>
      <c r="I200" s="141">
        <f>IF(offer_sale_type="транзит",IFERROR(ROUND(VLOOKUP($B200,calc_data,I$14+1,0),2),0),0)</f>
        <v/>
      </c>
      <c r="J200" s="141">
        <f>ROUND(IF(offer_sale_type="транзит",IFERROR(VLOOKUP($B200,calc_data,J$14+1,0),0),0),2)</f>
        <v/>
      </c>
      <c r="K200" s="142">
        <f>IF(offer_sale_type="транзит",IFERROR(ROUNDUP(VLOOKUP($B200,calc_data,K$14+1,0),2),0),0)</f>
        <v/>
      </c>
      <c r="L200" s="184">
        <f>IF(offer_sale_type="транзит",IFERROR(ROUNDUP(VLOOKUP($B200,calc_data,L$14+1,0),2),0),0)</f>
        <v/>
      </c>
      <c r="M200" s="141">
        <f>IF(offer_sale_type="транзит",IFERROR(ROUNDUP(VLOOKUP($B200,calc_data,M$14+1,0),2),0),0)</f>
        <v/>
      </c>
      <c r="N200" s="141">
        <f>IF(offer_sale_type="транзит",IFERROR(ROUNDUP(VLOOKUP($B200,calc_data,N$14+1,0),2),0),0)</f>
        <v/>
      </c>
      <c r="O200" s="147">
        <f>IF(offer_sale_type="транзит",IFERROR(ROUND(VLOOKUP($B200,calc_data,O$14+1,1),2),0),0)</f>
        <v/>
      </c>
      <c r="P200" s="141">
        <f>IF(offer_sale_type="транзит",IFERROR(ROUND(SUM(I200:J200,M200:O200)/E200,2),0),0)</f>
        <v/>
      </c>
      <c r="Q200" s="141">
        <f>E200*P200</f>
        <v/>
      </c>
      <c r="R200" s="141">
        <f>ROUND(Q200*IF(AND(offer_incoterms="DDP",seller_region="RU"),IF((TODAY()+offer_turnaround_time)&gt;=helpsheet!$L$17,rate_vatRU_from_26,rate_vatRu_till_25),0),2)</f>
        <v/>
      </c>
      <c r="S200" s="177">
        <f>Q200+IF(AND(offer_incoterms="DDP",seller_region="RU"),R200,0)</f>
        <v/>
      </c>
      <c r="T200" s="45" t="n"/>
      <c r="V200" s="57">
        <f>IF(Q200&gt;0,"показать","скрыть")</f>
        <v/>
      </c>
    </row>
    <row r="201" ht="15.75" customHeight="1">
      <c r="B201" s="809" t="n">
        <v>185</v>
      </c>
      <c r="C201" s="182">
        <f>IF(offer_sale_type="транзит",IFERROR(VLOOKUP($B201,calc_data,C$14+1,0),0),0)</f>
        <v/>
      </c>
      <c r="D201" s="280">
        <f>IF(offer_sale_type="транзит",IFERROR(VLOOKUP($B201,calc_data,D$14+1,0),0),0)</f>
        <v/>
      </c>
      <c r="E201" s="182">
        <f>IF(offer_sale_type="транзит",IFERROR(VLOOKUP($B201,calc_data,E$14+1,0),0),0)</f>
        <v/>
      </c>
      <c r="F201" s="182">
        <f>IF(offer_sale_type="транзит",IFERROR(VLOOKUP($B201,calc_data,F$14+1,0),0),0)</f>
        <v/>
      </c>
      <c r="G201" s="141">
        <f>IF(offer_sale_type="транзит",IFERROR(VLOOKUP($B201,calc_data,G$14+1,0),0),0)</f>
        <v/>
      </c>
      <c r="H201" s="141">
        <f>E201*G201</f>
        <v/>
      </c>
      <c r="I201" s="141">
        <f>IF(offer_sale_type="транзит",IFERROR(ROUND(VLOOKUP($B201,calc_data,I$14+1,0),2),0),0)</f>
        <v/>
      </c>
      <c r="J201" s="141">
        <f>ROUND(IF(offer_sale_type="транзит",IFERROR(VLOOKUP($B201,calc_data,J$14+1,0),0),0),2)</f>
        <v/>
      </c>
      <c r="K201" s="142">
        <f>IF(offer_sale_type="транзит",IFERROR(ROUNDUP(VLOOKUP($B201,calc_data,K$14+1,0),2),0),0)</f>
        <v/>
      </c>
      <c r="L201" s="184">
        <f>IF(offer_sale_type="транзит",IFERROR(ROUNDUP(VLOOKUP($B201,calc_data,L$14+1,0),2),0),0)</f>
        <v/>
      </c>
      <c r="M201" s="141">
        <f>IF(offer_sale_type="транзит",IFERROR(ROUNDUP(VLOOKUP($B201,calc_data,M$14+1,0),2),0),0)</f>
        <v/>
      </c>
      <c r="N201" s="141">
        <f>IF(offer_sale_type="транзит",IFERROR(ROUNDUP(VLOOKUP($B201,calc_data,N$14+1,0),2),0),0)</f>
        <v/>
      </c>
      <c r="O201" s="147">
        <f>IF(offer_sale_type="транзит",IFERROR(ROUND(VLOOKUP($B201,calc_data,O$14+1,1),2),0),0)</f>
        <v/>
      </c>
      <c r="P201" s="141">
        <f>IF(offer_sale_type="транзит",IFERROR(ROUND(SUM(I201:J201,M201:O201)/E201,2),0),0)</f>
        <v/>
      </c>
      <c r="Q201" s="141">
        <f>E201*P201</f>
        <v/>
      </c>
      <c r="R201" s="141">
        <f>ROUND(Q201*IF(AND(offer_incoterms="DDP",seller_region="RU"),IF((TODAY()+offer_turnaround_time)&gt;=helpsheet!$L$17,rate_vatRU_from_26,rate_vatRu_till_25),0),2)</f>
        <v/>
      </c>
      <c r="S201" s="177">
        <f>Q201+IF(AND(offer_incoterms="DDP",seller_region="RU"),R201,0)</f>
        <v/>
      </c>
      <c r="T201" s="45" t="n"/>
      <c r="V201" s="57">
        <f>IF(Q201&gt;0,"показать","скрыть")</f>
        <v/>
      </c>
    </row>
    <row r="202" ht="15.75" customHeight="1">
      <c r="B202" s="809" t="n">
        <v>186</v>
      </c>
      <c r="C202" s="182">
        <f>IF(offer_sale_type="транзит",IFERROR(VLOOKUP($B202,calc_data,C$14+1,0),0),0)</f>
        <v/>
      </c>
      <c r="D202" s="280">
        <f>IF(offer_sale_type="транзит",IFERROR(VLOOKUP($B202,calc_data,D$14+1,0),0),0)</f>
        <v/>
      </c>
      <c r="E202" s="182">
        <f>IF(offer_sale_type="транзит",IFERROR(VLOOKUP($B202,calc_data,E$14+1,0),0),0)</f>
        <v/>
      </c>
      <c r="F202" s="182">
        <f>IF(offer_sale_type="транзит",IFERROR(VLOOKUP($B202,calc_data,F$14+1,0),0),0)</f>
        <v/>
      </c>
      <c r="G202" s="141">
        <f>IF(offer_sale_type="транзит",IFERROR(VLOOKUP($B202,calc_data,G$14+1,0),0),0)</f>
        <v/>
      </c>
      <c r="H202" s="141">
        <f>E202*G202</f>
        <v/>
      </c>
      <c r="I202" s="141">
        <f>IF(offer_sale_type="транзит",IFERROR(ROUND(VLOOKUP($B202,calc_data,I$14+1,0),2),0),0)</f>
        <v/>
      </c>
      <c r="J202" s="141">
        <f>ROUND(IF(offer_sale_type="транзит",IFERROR(VLOOKUP($B202,calc_data,J$14+1,0),0),0),2)</f>
        <v/>
      </c>
      <c r="K202" s="142">
        <f>IF(offer_sale_type="транзит",IFERROR(ROUNDUP(VLOOKUP($B202,calc_data,K$14+1,0),2),0),0)</f>
        <v/>
      </c>
      <c r="L202" s="184">
        <f>IF(offer_sale_type="транзит",IFERROR(ROUNDUP(VLOOKUP($B202,calc_data,L$14+1,0),2),0),0)</f>
        <v/>
      </c>
      <c r="M202" s="141">
        <f>IF(offer_sale_type="транзит",IFERROR(ROUNDUP(VLOOKUP($B202,calc_data,M$14+1,0),2),0),0)</f>
        <v/>
      </c>
      <c r="N202" s="141">
        <f>IF(offer_sale_type="транзит",IFERROR(ROUNDUP(VLOOKUP($B202,calc_data,N$14+1,0),2),0),0)</f>
        <v/>
      </c>
      <c r="O202" s="147">
        <f>IF(offer_sale_type="транзит",IFERROR(ROUND(VLOOKUP($B202,calc_data,O$14+1,1),2),0),0)</f>
        <v/>
      </c>
      <c r="P202" s="141">
        <f>IF(offer_sale_type="транзит",IFERROR(ROUND(SUM(I202:J202,M202:O202)/E202,2),0),0)</f>
        <v/>
      </c>
      <c r="Q202" s="141">
        <f>E202*P202</f>
        <v/>
      </c>
      <c r="R202" s="141">
        <f>ROUND(Q202*IF(AND(offer_incoterms="DDP",seller_region="RU"),IF((TODAY()+offer_turnaround_time)&gt;=helpsheet!$L$17,rate_vatRU_from_26,rate_vatRu_till_25),0),2)</f>
        <v/>
      </c>
      <c r="S202" s="177">
        <f>Q202+IF(AND(offer_incoterms="DDP",seller_region="RU"),R202,0)</f>
        <v/>
      </c>
      <c r="T202" s="45" t="n"/>
      <c r="V202" s="57">
        <f>IF(Q202&gt;0,"показать","скрыть")</f>
        <v/>
      </c>
    </row>
    <row r="203" ht="15.75" customHeight="1">
      <c r="B203" s="809" t="n">
        <v>187</v>
      </c>
      <c r="C203" s="182">
        <f>IF(offer_sale_type="транзит",IFERROR(VLOOKUP($B203,calc_data,C$14+1,0),0),0)</f>
        <v/>
      </c>
      <c r="D203" s="280">
        <f>IF(offer_sale_type="транзит",IFERROR(VLOOKUP($B203,calc_data,D$14+1,0),0),0)</f>
        <v/>
      </c>
      <c r="E203" s="182">
        <f>IF(offer_sale_type="транзит",IFERROR(VLOOKUP($B203,calc_data,E$14+1,0),0),0)</f>
        <v/>
      </c>
      <c r="F203" s="182">
        <f>IF(offer_sale_type="транзит",IFERROR(VLOOKUP($B203,calc_data,F$14+1,0),0),0)</f>
        <v/>
      </c>
      <c r="G203" s="141">
        <f>IF(offer_sale_type="транзит",IFERROR(VLOOKUP($B203,calc_data,G$14+1,0),0),0)</f>
        <v/>
      </c>
      <c r="H203" s="141">
        <f>E203*G203</f>
        <v/>
      </c>
      <c r="I203" s="141">
        <f>IF(offer_sale_type="транзит",IFERROR(ROUND(VLOOKUP($B203,calc_data,I$14+1,0),2),0),0)</f>
        <v/>
      </c>
      <c r="J203" s="141">
        <f>ROUND(IF(offer_sale_type="транзит",IFERROR(VLOOKUP($B203,calc_data,J$14+1,0),0),0),2)</f>
        <v/>
      </c>
      <c r="K203" s="142">
        <f>IF(offer_sale_type="транзит",IFERROR(ROUNDUP(VLOOKUP($B203,calc_data,K$14+1,0),2),0),0)</f>
        <v/>
      </c>
      <c r="L203" s="184">
        <f>IF(offer_sale_type="транзит",IFERROR(ROUNDUP(VLOOKUP($B203,calc_data,L$14+1,0),2),0),0)</f>
        <v/>
      </c>
      <c r="M203" s="141">
        <f>IF(offer_sale_type="транзит",IFERROR(ROUNDUP(VLOOKUP($B203,calc_data,M$14+1,0),2),0),0)</f>
        <v/>
      </c>
      <c r="N203" s="141">
        <f>IF(offer_sale_type="транзит",IFERROR(ROUNDUP(VLOOKUP($B203,calc_data,N$14+1,0),2),0),0)</f>
        <v/>
      </c>
      <c r="O203" s="147">
        <f>IF(offer_sale_type="транзит",IFERROR(ROUND(VLOOKUP($B203,calc_data,O$14+1,1),2),0),0)</f>
        <v/>
      </c>
      <c r="P203" s="141">
        <f>IF(offer_sale_type="транзит",IFERROR(ROUND(SUM(I203:J203,M203:O203)/E203,2),0),0)</f>
        <v/>
      </c>
      <c r="Q203" s="141">
        <f>E203*P203</f>
        <v/>
      </c>
      <c r="R203" s="141">
        <f>ROUND(Q203*IF(AND(offer_incoterms="DDP",seller_region="RU"),IF((TODAY()+offer_turnaround_time)&gt;=helpsheet!$L$17,rate_vatRU_from_26,rate_vatRu_till_25),0),2)</f>
        <v/>
      </c>
      <c r="S203" s="177">
        <f>Q203+IF(AND(offer_incoterms="DDP",seller_region="RU"),R203,0)</f>
        <v/>
      </c>
      <c r="T203" s="45" t="n"/>
      <c r="V203" s="57">
        <f>IF(Q203&gt;0,"показать","скрыть")</f>
        <v/>
      </c>
    </row>
    <row r="204" ht="15.75" customHeight="1">
      <c r="B204" s="809" t="n">
        <v>188</v>
      </c>
      <c r="C204" s="182">
        <f>IF(offer_sale_type="транзит",IFERROR(VLOOKUP($B204,calc_data,C$14+1,0),0),0)</f>
        <v/>
      </c>
      <c r="D204" s="280">
        <f>IF(offer_sale_type="транзит",IFERROR(VLOOKUP($B204,calc_data,D$14+1,0),0),0)</f>
        <v/>
      </c>
      <c r="E204" s="182">
        <f>IF(offer_sale_type="транзит",IFERROR(VLOOKUP($B204,calc_data,E$14+1,0),0),0)</f>
        <v/>
      </c>
      <c r="F204" s="182">
        <f>IF(offer_sale_type="транзит",IFERROR(VLOOKUP($B204,calc_data,F$14+1,0),0),0)</f>
        <v/>
      </c>
      <c r="G204" s="141">
        <f>IF(offer_sale_type="транзит",IFERROR(VLOOKUP($B204,calc_data,G$14+1,0),0),0)</f>
        <v/>
      </c>
      <c r="H204" s="141">
        <f>E204*G204</f>
        <v/>
      </c>
      <c r="I204" s="141">
        <f>IF(offer_sale_type="транзит",IFERROR(ROUND(VLOOKUP($B204,calc_data,I$14+1,0),2),0),0)</f>
        <v/>
      </c>
      <c r="J204" s="141">
        <f>ROUND(IF(offer_sale_type="транзит",IFERROR(VLOOKUP($B204,calc_data,J$14+1,0),0),0),2)</f>
        <v/>
      </c>
      <c r="K204" s="142">
        <f>IF(offer_sale_type="транзит",IFERROR(ROUNDUP(VLOOKUP($B204,calc_data,K$14+1,0),2),0),0)</f>
        <v/>
      </c>
      <c r="L204" s="184">
        <f>IF(offer_sale_type="транзит",IFERROR(ROUNDUP(VLOOKUP($B204,calc_data,L$14+1,0),2),0),0)</f>
        <v/>
      </c>
      <c r="M204" s="141">
        <f>IF(offer_sale_type="транзит",IFERROR(ROUNDUP(VLOOKUP($B204,calc_data,M$14+1,0),2),0),0)</f>
        <v/>
      </c>
      <c r="N204" s="141">
        <f>IF(offer_sale_type="транзит",IFERROR(ROUNDUP(VLOOKUP($B204,calc_data,N$14+1,0),2),0),0)</f>
        <v/>
      </c>
      <c r="O204" s="147">
        <f>IF(offer_sale_type="транзит",IFERROR(ROUND(VLOOKUP($B204,calc_data,O$14+1,1),2),0),0)</f>
        <v/>
      </c>
      <c r="P204" s="141">
        <f>IF(offer_sale_type="транзит",IFERROR(ROUND(SUM(I204:J204,M204:O204)/E204,2),0),0)</f>
        <v/>
      </c>
      <c r="Q204" s="141">
        <f>E204*P204</f>
        <v/>
      </c>
      <c r="R204" s="141">
        <f>ROUND(Q204*IF(AND(offer_incoterms="DDP",seller_region="RU"),IF((TODAY()+offer_turnaround_time)&gt;=helpsheet!$L$17,rate_vatRU_from_26,rate_vatRu_till_25),0),2)</f>
        <v/>
      </c>
      <c r="S204" s="177">
        <f>Q204+IF(AND(offer_incoterms="DDP",seller_region="RU"),R204,0)</f>
        <v/>
      </c>
      <c r="T204" s="45" t="n"/>
      <c r="V204" s="57">
        <f>IF(Q204&gt;0,"показать","скрыть")</f>
        <v/>
      </c>
    </row>
    <row r="205" ht="15.75" customHeight="1">
      <c r="B205" s="809" t="n">
        <v>189</v>
      </c>
      <c r="C205" s="182">
        <f>IF(offer_sale_type="транзит",IFERROR(VLOOKUP($B205,calc_data,C$14+1,0),0),0)</f>
        <v/>
      </c>
      <c r="D205" s="280">
        <f>IF(offer_sale_type="транзит",IFERROR(VLOOKUP($B205,calc_data,D$14+1,0),0),0)</f>
        <v/>
      </c>
      <c r="E205" s="182">
        <f>IF(offer_sale_type="транзит",IFERROR(VLOOKUP($B205,calc_data,E$14+1,0),0),0)</f>
        <v/>
      </c>
      <c r="F205" s="182">
        <f>IF(offer_sale_type="транзит",IFERROR(VLOOKUP($B205,calc_data,F$14+1,0),0),0)</f>
        <v/>
      </c>
      <c r="G205" s="141">
        <f>IF(offer_sale_type="транзит",IFERROR(VLOOKUP($B205,calc_data,G$14+1,0),0),0)</f>
        <v/>
      </c>
      <c r="H205" s="141">
        <f>E205*G205</f>
        <v/>
      </c>
      <c r="I205" s="141">
        <f>IF(offer_sale_type="транзит",IFERROR(ROUND(VLOOKUP($B205,calc_data,I$14+1,0),2),0),0)</f>
        <v/>
      </c>
      <c r="J205" s="141">
        <f>ROUND(IF(offer_sale_type="транзит",IFERROR(VLOOKUP($B205,calc_data,J$14+1,0),0),0),2)</f>
        <v/>
      </c>
      <c r="K205" s="142">
        <f>IF(offer_sale_type="транзит",IFERROR(ROUNDUP(VLOOKUP($B205,calc_data,K$14+1,0),2),0),0)</f>
        <v/>
      </c>
      <c r="L205" s="184">
        <f>IF(offer_sale_type="транзит",IFERROR(ROUNDUP(VLOOKUP($B205,calc_data,L$14+1,0),2),0),0)</f>
        <v/>
      </c>
      <c r="M205" s="141">
        <f>IF(offer_sale_type="транзит",IFERROR(ROUNDUP(VLOOKUP($B205,calc_data,M$14+1,0),2),0),0)</f>
        <v/>
      </c>
      <c r="N205" s="141">
        <f>IF(offer_sale_type="транзит",IFERROR(ROUNDUP(VLOOKUP($B205,calc_data,N$14+1,0),2),0),0)</f>
        <v/>
      </c>
      <c r="O205" s="147">
        <f>IF(offer_sale_type="транзит",IFERROR(ROUND(VLOOKUP($B205,calc_data,O$14+1,1),2),0),0)</f>
        <v/>
      </c>
      <c r="P205" s="141">
        <f>IF(offer_sale_type="транзит",IFERROR(ROUND(SUM(I205:J205,M205:O205)/E205,2),0),0)</f>
        <v/>
      </c>
      <c r="Q205" s="141">
        <f>E205*P205</f>
        <v/>
      </c>
      <c r="R205" s="141">
        <f>ROUND(Q205*IF(AND(offer_incoterms="DDP",seller_region="RU"),IF((TODAY()+offer_turnaround_time)&gt;=helpsheet!$L$17,rate_vatRU_from_26,rate_vatRu_till_25),0),2)</f>
        <v/>
      </c>
      <c r="S205" s="177">
        <f>Q205+IF(AND(offer_incoterms="DDP",seller_region="RU"),R205,0)</f>
        <v/>
      </c>
      <c r="T205" s="45" t="n"/>
      <c r="V205" s="57">
        <f>IF(Q205&gt;0,"показать","скрыть")</f>
        <v/>
      </c>
    </row>
    <row r="206" ht="15.75" customHeight="1">
      <c r="B206" s="809" t="n">
        <v>190</v>
      </c>
      <c r="C206" s="182">
        <f>IF(offer_sale_type="транзит",IFERROR(VLOOKUP($B206,calc_data,C$14+1,0),0),0)</f>
        <v/>
      </c>
      <c r="D206" s="280">
        <f>IF(offer_sale_type="транзит",IFERROR(VLOOKUP($B206,calc_data,D$14+1,0),0),0)</f>
        <v/>
      </c>
      <c r="E206" s="182">
        <f>IF(offer_sale_type="транзит",IFERROR(VLOOKUP($B206,calc_data,E$14+1,0),0),0)</f>
        <v/>
      </c>
      <c r="F206" s="182">
        <f>IF(offer_sale_type="транзит",IFERROR(VLOOKUP($B206,calc_data,F$14+1,0),0),0)</f>
        <v/>
      </c>
      <c r="G206" s="141">
        <f>IF(offer_sale_type="транзит",IFERROR(VLOOKUP($B206,calc_data,G$14+1,0),0),0)</f>
        <v/>
      </c>
      <c r="H206" s="141">
        <f>E206*G206</f>
        <v/>
      </c>
      <c r="I206" s="141">
        <f>IF(offer_sale_type="транзит",IFERROR(ROUND(VLOOKUP($B206,calc_data,I$14+1,0),2),0),0)</f>
        <v/>
      </c>
      <c r="J206" s="141">
        <f>ROUND(IF(offer_sale_type="транзит",IFERROR(VLOOKUP($B206,calc_data,J$14+1,0),0),0),2)</f>
        <v/>
      </c>
      <c r="K206" s="142">
        <f>IF(offer_sale_type="транзит",IFERROR(ROUNDUP(VLOOKUP($B206,calc_data,K$14+1,0),2),0),0)</f>
        <v/>
      </c>
      <c r="L206" s="184">
        <f>IF(offer_sale_type="транзит",IFERROR(ROUNDUP(VLOOKUP($B206,calc_data,L$14+1,0),2),0),0)</f>
        <v/>
      </c>
      <c r="M206" s="141">
        <f>IF(offer_sale_type="транзит",IFERROR(ROUNDUP(VLOOKUP($B206,calc_data,M$14+1,0),2),0),0)</f>
        <v/>
      </c>
      <c r="N206" s="141">
        <f>IF(offer_sale_type="транзит",IFERROR(ROUNDUP(VLOOKUP($B206,calc_data,N$14+1,0),2),0),0)</f>
        <v/>
      </c>
      <c r="O206" s="147">
        <f>IF(offer_sale_type="транзит",IFERROR(ROUND(VLOOKUP($B206,calc_data,O$14+1,1),2),0),0)</f>
        <v/>
      </c>
      <c r="P206" s="141">
        <f>IF(offer_sale_type="транзит",IFERROR(ROUND(SUM(I206:J206,M206:O206)/E206,2),0),0)</f>
        <v/>
      </c>
      <c r="Q206" s="141">
        <f>E206*P206</f>
        <v/>
      </c>
      <c r="R206" s="141">
        <f>ROUND(Q206*IF(AND(offer_incoterms="DDP",seller_region="RU"),IF((TODAY()+offer_turnaround_time)&gt;=helpsheet!$L$17,rate_vatRU_from_26,rate_vatRu_till_25),0),2)</f>
        <v/>
      </c>
      <c r="S206" s="177">
        <f>Q206+IF(AND(offer_incoterms="DDP",seller_region="RU"),R206,0)</f>
        <v/>
      </c>
      <c r="T206" s="45" t="n"/>
      <c r="V206" s="57">
        <f>IF(Q206&gt;0,"показать","скрыть")</f>
        <v/>
      </c>
    </row>
    <row r="207" ht="15.75" customHeight="1">
      <c r="B207" s="809" t="n">
        <v>191</v>
      </c>
      <c r="C207" s="182">
        <f>IF(offer_sale_type="транзит",IFERROR(VLOOKUP($B207,calc_data,C$14+1,0),0),0)</f>
        <v/>
      </c>
      <c r="D207" s="280">
        <f>IF(offer_sale_type="транзит",IFERROR(VLOOKUP($B207,calc_data,D$14+1,0),0),0)</f>
        <v/>
      </c>
      <c r="E207" s="182">
        <f>IF(offer_sale_type="транзит",IFERROR(VLOOKUP($B207,calc_data,E$14+1,0),0),0)</f>
        <v/>
      </c>
      <c r="F207" s="182">
        <f>IF(offer_sale_type="транзит",IFERROR(VLOOKUP($B207,calc_data,F$14+1,0),0),0)</f>
        <v/>
      </c>
      <c r="G207" s="141">
        <f>IF(offer_sale_type="транзит",IFERROR(VLOOKUP($B207,calc_data,G$14+1,0),0),0)</f>
        <v/>
      </c>
      <c r="H207" s="141">
        <f>E207*G207</f>
        <v/>
      </c>
      <c r="I207" s="141">
        <f>IF(offer_sale_type="транзит",IFERROR(ROUND(VLOOKUP($B207,calc_data,I$14+1,0),2),0),0)</f>
        <v/>
      </c>
      <c r="J207" s="141">
        <f>ROUND(IF(offer_sale_type="транзит",IFERROR(VLOOKUP($B207,calc_data,J$14+1,0),0),0),2)</f>
        <v/>
      </c>
      <c r="K207" s="142">
        <f>IF(offer_sale_type="транзит",IFERROR(ROUNDUP(VLOOKUP($B207,calc_data,K$14+1,0),2),0),0)</f>
        <v/>
      </c>
      <c r="L207" s="184">
        <f>IF(offer_sale_type="транзит",IFERROR(ROUNDUP(VLOOKUP($B207,calc_data,L$14+1,0),2),0),0)</f>
        <v/>
      </c>
      <c r="M207" s="141">
        <f>IF(offer_sale_type="транзит",IFERROR(ROUNDUP(VLOOKUP($B207,calc_data,M$14+1,0),2),0),0)</f>
        <v/>
      </c>
      <c r="N207" s="141">
        <f>IF(offer_sale_type="транзит",IFERROR(ROUNDUP(VLOOKUP($B207,calc_data,N$14+1,0),2),0),0)</f>
        <v/>
      </c>
      <c r="O207" s="147">
        <f>IF(offer_sale_type="транзит",IFERROR(ROUND(VLOOKUP($B207,calc_data,O$14+1,1),2),0),0)</f>
        <v/>
      </c>
      <c r="P207" s="141">
        <f>IF(offer_sale_type="транзит",IFERROR(ROUND(SUM(I207:J207,M207:O207)/E207,2),0),0)</f>
        <v/>
      </c>
      <c r="Q207" s="141">
        <f>E207*P207</f>
        <v/>
      </c>
      <c r="R207" s="141">
        <f>ROUND(Q207*IF(AND(offer_incoterms="DDP",seller_region="RU"),IF((TODAY()+offer_turnaround_time)&gt;=helpsheet!$L$17,rate_vatRU_from_26,rate_vatRu_till_25),0),2)</f>
        <v/>
      </c>
      <c r="S207" s="177">
        <f>Q207+IF(AND(offer_incoterms="DDP",seller_region="RU"),R207,0)</f>
        <v/>
      </c>
      <c r="T207" s="45" t="n"/>
      <c r="V207" s="57">
        <f>IF(Q207&gt;0,"показать","скрыть")</f>
        <v/>
      </c>
    </row>
    <row r="208" ht="15.75" customHeight="1">
      <c r="B208" s="809" t="n">
        <v>192</v>
      </c>
      <c r="C208" s="182">
        <f>IF(offer_sale_type="транзит",IFERROR(VLOOKUP($B208,calc_data,C$14+1,0),0),0)</f>
        <v/>
      </c>
      <c r="D208" s="280">
        <f>IF(offer_sale_type="транзит",IFERROR(VLOOKUP($B208,calc_data,D$14+1,0),0),0)</f>
        <v/>
      </c>
      <c r="E208" s="182">
        <f>IF(offer_sale_type="транзит",IFERROR(VLOOKUP($B208,calc_data,E$14+1,0),0),0)</f>
        <v/>
      </c>
      <c r="F208" s="182">
        <f>IF(offer_sale_type="транзит",IFERROR(VLOOKUP($B208,calc_data,F$14+1,0),0),0)</f>
        <v/>
      </c>
      <c r="G208" s="141">
        <f>IF(offer_sale_type="транзит",IFERROR(VLOOKUP($B208,calc_data,G$14+1,0),0),0)</f>
        <v/>
      </c>
      <c r="H208" s="141">
        <f>E208*G208</f>
        <v/>
      </c>
      <c r="I208" s="141">
        <f>IF(offer_sale_type="транзит",IFERROR(ROUND(VLOOKUP($B208,calc_data,I$14+1,0),2),0),0)</f>
        <v/>
      </c>
      <c r="J208" s="141">
        <f>ROUND(IF(offer_sale_type="транзит",IFERROR(VLOOKUP($B208,calc_data,J$14+1,0),0),0),2)</f>
        <v/>
      </c>
      <c r="K208" s="142">
        <f>IF(offer_sale_type="транзит",IFERROR(ROUNDUP(VLOOKUP($B208,calc_data,K$14+1,0),2),0),0)</f>
        <v/>
      </c>
      <c r="L208" s="184">
        <f>IF(offer_sale_type="транзит",IFERROR(ROUNDUP(VLOOKUP($B208,calc_data,L$14+1,0),2),0),0)</f>
        <v/>
      </c>
      <c r="M208" s="141">
        <f>IF(offer_sale_type="транзит",IFERROR(ROUNDUP(VLOOKUP($B208,calc_data,M$14+1,0),2),0),0)</f>
        <v/>
      </c>
      <c r="N208" s="141">
        <f>IF(offer_sale_type="транзит",IFERROR(ROUNDUP(VLOOKUP($B208,calc_data,N$14+1,0),2),0),0)</f>
        <v/>
      </c>
      <c r="O208" s="147">
        <f>IF(offer_sale_type="транзит",IFERROR(ROUND(VLOOKUP($B208,calc_data,O$14+1,1),2),0),0)</f>
        <v/>
      </c>
      <c r="P208" s="141">
        <f>IF(offer_sale_type="транзит",IFERROR(ROUND(SUM(I208:J208,M208:O208)/E208,2),0),0)</f>
        <v/>
      </c>
      <c r="Q208" s="141">
        <f>E208*P208</f>
        <v/>
      </c>
      <c r="R208" s="141">
        <f>ROUND(Q208*IF(AND(offer_incoterms="DDP",seller_region="RU"),IF((TODAY()+offer_turnaround_time)&gt;=helpsheet!$L$17,rate_vatRU_from_26,rate_vatRu_till_25),0),2)</f>
        <v/>
      </c>
      <c r="S208" s="177">
        <f>Q208+IF(AND(offer_incoterms="DDP",seller_region="RU"),R208,0)</f>
        <v/>
      </c>
      <c r="T208" s="45" t="n"/>
      <c r="V208" s="57">
        <f>IF(Q208&gt;0,"показать","скрыть")</f>
        <v/>
      </c>
    </row>
    <row r="209" ht="15.75" customHeight="1">
      <c r="B209" s="809" t="n">
        <v>193</v>
      </c>
      <c r="C209" s="182">
        <f>IF(offer_sale_type="транзит",IFERROR(VLOOKUP($B209,calc_data,C$14+1,0),0),0)</f>
        <v/>
      </c>
      <c r="D209" s="280">
        <f>IF(offer_sale_type="транзит",IFERROR(VLOOKUP($B209,calc_data,D$14+1,0),0),0)</f>
        <v/>
      </c>
      <c r="E209" s="182">
        <f>IF(offer_sale_type="транзит",IFERROR(VLOOKUP($B209,calc_data,E$14+1,0),0),0)</f>
        <v/>
      </c>
      <c r="F209" s="182">
        <f>IF(offer_sale_type="транзит",IFERROR(VLOOKUP($B209,calc_data,F$14+1,0),0),0)</f>
        <v/>
      </c>
      <c r="G209" s="141">
        <f>IF(offer_sale_type="транзит",IFERROR(VLOOKUP($B209,calc_data,G$14+1,0),0),0)</f>
        <v/>
      </c>
      <c r="H209" s="141">
        <f>E209*G209</f>
        <v/>
      </c>
      <c r="I209" s="141">
        <f>IF(offer_sale_type="транзит",IFERROR(ROUND(VLOOKUP($B209,calc_data,I$14+1,0),2),0),0)</f>
        <v/>
      </c>
      <c r="J209" s="141">
        <f>ROUND(IF(offer_sale_type="транзит",IFERROR(VLOOKUP($B209,calc_data,J$14+1,0),0),0),2)</f>
        <v/>
      </c>
      <c r="K209" s="142">
        <f>IF(offer_sale_type="транзит",IFERROR(ROUNDUP(VLOOKUP($B209,calc_data,K$14+1,0),2),0),0)</f>
        <v/>
      </c>
      <c r="L209" s="184">
        <f>IF(offer_sale_type="транзит",IFERROR(ROUNDUP(VLOOKUP($B209,calc_data,L$14+1,0),2),0),0)</f>
        <v/>
      </c>
      <c r="M209" s="141">
        <f>IF(offer_sale_type="транзит",IFERROR(ROUNDUP(VLOOKUP($B209,calc_data,M$14+1,0),2),0),0)</f>
        <v/>
      </c>
      <c r="N209" s="141">
        <f>IF(offer_sale_type="транзит",IFERROR(ROUNDUP(VLOOKUP($B209,calc_data,N$14+1,0),2),0),0)</f>
        <v/>
      </c>
      <c r="O209" s="147">
        <f>IF(offer_sale_type="транзит",IFERROR(ROUND(VLOOKUP($B209,calc_data,O$14+1,1),2),0),0)</f>
        <v/>
      </c>
      <c r="P209" s="141">
        <f>IF(offer_sale_type="транзит",IFERROR(ROUND(SUM(I209:J209,M209:O209)/E209,2),0),0)</f>
        <v/>
      </c>
      <c r="Q209" s="141">
        <f>E209*P209</f>
        <v/>
      </c>
      <c r="R209" s="141">
        <f>ROUND(Q209*IF(AND(offer_incoterms="DDP",seller_region="RU"),IF((TODAY()+offer_turnaround_time)&gt;=helpsheet!$L$17,rate_vatRU_from_26,rate_vatRu_till_25),0),2)</f>
        <v/>
      </c>
      <c r="S209" s="177">
        <f>Q209+IF(AND(offer_incoterms="DDP",seller_region="RU"),R209,0)</f>
        <v/>
      </c>
      <c r="T209" s="45" t="n"/>
      <c r="V209" s="57">
        <f>IF(Q209&gt;0,"показать","скрыть")</f>
        <v/>
      </c>
    </row>
    <row r="210" ht="15.75" customHeight="1">
      <c r="B210" s="809" t="n">
        <v>194</v>
      </c>
      <c r="C210" s="182">
        <f>IF(offer_sale_type="транзит",IFERROR(VLOOKUP($B210,calc_data,C$14+1,0),0),0)</f>
        <v/>
      </c>
      <c r="D210" s="280">
        <f>IF(offer_sale_type="транзит",IFERROR(VLOOKUP($B210,calc_data,D$14+1,0),0),0)</f>
        <v/>
      </c>
      <c r="E210" s="182">
        <f>IF(offer_sale_type="транзит",IFERROR(VLOOKUP($B210,calc_data,E$14+1,0),0),0)</f>
        <v/>
      </c>
      <c r="F210" s="182">
        <f>IF(offer_sale_type="транзит",IFERROR(VLOOKUP($B210,calc_data,F$14+1,0),0),0)</f>
        <v/>
      </c>
      <c r="G210" s="141">
        <f>IF(offer_sale_type="транзит",IFERROR(VLOOKUP($B210,calc_data,G$14+1,0),0),0)</f>
        <v/>
      </c>
      <c r="H210" s="141">
        <f>E210*G210</f>
        <v/>
      </c>
      <c r="I210" s="141">
        <f>IF(offer_sale_type="транзит",IFERROR(ROUND(VLOOKUP($B210,calc_data,I$14+1,0),2),0),0)</f>
        <v/>
      </c>
      <c r="J210" s="141">
        <f>ROUND(IF(offer_sale_type="транзит",IFERROR(VLOOKUP($B210,calc_data,J$14+1,0),0),0),2)</f>
        <v/>
      </c>
      <c r="K210" s="142">
        <f>IF(offer_sale_type="транзит",IFERROR(ROUNDUP(VLOOKUP($B210,calc_data,K$14+1,0),2),0),0)</f>
        <v/>
      </c>
      <c r="L210" s="184">
        <f>IF(offer_sale_type="транзит",IFERROR(ROUNDUP(VLOOKUP($B210,calc_data,L$14+1,0),2),0),0)</f>
        <v/>
      </c>
      <c r="M210" s="141">
        <f>IF(offer_sale_type="транзит",IFERROR(ROUNDUP(VLOOKUP($B210,calc_data,M$14+1,0),2),0),0)</f>
        <v/>
      </c>
      <c r="N210" s="141">
        <f>IF(offer_sale_type="транзит",IFERROR(ROUNDUP(VLOOKUP($B210,calc_data,N$14+1,0),2),0),0)</f>
        <v/>
      </c>
      <c r="O210" s="147">
        <f>IF(offer_sale_type="транзит",IFERROR(ROUND(VLOOKUP($B210,calc_data,O$14+1,1),2),0),0)</f>
        <v/>
      </c>
      <c r="P210" s="141">
        <f>IF(offer_sale_type="транзит",IFERROR(ROUND(SUM(I210:J210,M210:O210)/E210,2),0),0)</f>
        <v/>
      </c>
      <c r="Q210" s="141">
        <f>E210*P210</f>
        <v/>
      </c>
      <c r="R210" s="141">
        <f>ROUND(Q210*IF(AND(offer_incoterms="DDP",seller_region="RU"),IF((TODAY()+offer_turnaround_time)&gt;=helpsheet!$L$17,rate_vatRU_from_26,rate_vatRu_till_25),0),2)</f>
        <v/>
      </c>
      <c r="S210" s="177">
        <f>Q210+IF(AND(offer_incoterms="DDP",seller_region="RU"),R210,0)</f>
        <v/>
      </c>
      <c r="T210" s="45" t="n"/>
      <c r="V210" s="57">
        <f>IF(Q210&gt;0,"показать","скрыть")</f>
        <v/>
      </c>
    </row>
    <row r="211" ht="15.75" customHeight="1">
      <c r="B211" s="809" t="n">
        <v>195</v>
      </c>
      <c r="C211" s="182">
        <f>IF(offer_sale_type="транзит",IFERROR(VLOOKUP($B211,calc_data,C$14+1,0),0),0)</f>
        <v/>
      </c>
      <c r="D211" s="280">
        <f>IF(offer_sale_type="транзит",IFERROR(VLOOKUP($B211,calc_data,D$14+1,0),0),0)</f>
        <v/>
      </c>
      <c r="E211" s="182">
        <f>IF(offer_sale_type="транзит",IFERROR(VLOOKUP($B211,calc_data,E$14+1,0),0),0)</f>
        <v/>
      </c>
      <c r="F211" s="182">
        <f>IF(offer_sale_type="транзит",IFERROR(VLOOKUP($B211,calc_data,F$14+1,0),0),0)</f>
        <v/>
      </c>
      <c r="G211" s="141">
        <f>IF(offer_sale_type="транзит",IFERROR(VLOOKUP($B211,calc_data,G$14+1,0),0),0)</f>
        <v/>
      </c>
      <c r="H211" s="141">
        <f>E211*G211</f>
        <v/>
      </c>
      <c r="I211" s="141">
        <f>IF(offer_sale_type="транзит",IFERROR(ROUND(VLOOKUP($B211,calc_data,I$14+1,0),2),0),0)</f>
        <v/>
      </c>
      <c r="J211" s="141">
        <f>ROUND(IF(offer_sale_type="транзит",IFERROR(VLOOKUP($B211,calc_data,J$14+1,0),0),0),2)</f>
        <v/>
      </c>
      <c r="K211" s="142">
        <f>IF(offer_sale_type="транзит",IFERROR(ROUNDUP(VLOOKUP($B211,calc_data,K$14+1,0),2),0),0)</f>
        <v/>
      </c>
      <c r="L211" s="184">
        <f>IF(offer_sale_type="транзит",IFERROR(ROUNDUP(VLOOKUP($B211,calc_data,L$14+1,0),2),0),0)</f>
        <v/>
      </c>
      <c r="M211" s="141">
        <f>IF(offer_sale_type="транзит",IFERROR(ROUNDUP(VLOOKUP($B211,calc_data,M$14+1,0),2),0),0)</f>
        <v/>
      </c>
      <c r="N211" s="141">
        <f>IF(offer_sale_type="транзит",IFERROR(ROUNDUP(VLOOKUP($B211,calc_data,N$14+1,0),2),0),0)</f>
        <v/>
      </c>
      <c r="O211" s="147">
        <f>IF(offer_sale_type="транзит",IFERROR(ROUND(VLOOKUP($B211,calc_data,O$14+1,1),2),0),0)</f>
        <v/>
      </c>
      <c r="P211" s="141">
        <f>IF(offer_sale_type="транзит",IFERROR(ROUND(SUM(I211:J211,M211:O211)/E211,2),0),0)</f>
        <v/>
      </c>
      <c r="Q211" s="141">
        <f>E211*P211</f>
        <v/>
      </c>
      <c r="R211" s="141">
        <f>ROUND(Q211*IF(AND(offer_incoterms="DDP",seller_region="RU"),IF((TODAY()+offer_turnaround_time)&gt;=helpsheet!$L$17,rate_vatRU_from_26,rate_vatRu_till_25),0),2)</f>
        <v/>
      </c>
      <c r="S211" s="177">
        <f>Q211+IF(AND(offer_incoterms="DDP",seller_region="RU"),R211,0)</f>
        <v/>
      </c>
      <c r="T211" s="45" t="n"/>
      <c r="V211" s="57">
        <f>IF(Q211&gt;0,"показать","скрыть")</f>
        <v/>
      </c>
    </row>
    <row r="212" ht="15.75" customHeight="1">
      <c r="B212" s="809" t="n">
        <v>196</v>
      </c>
      <c r="C212" s="182">
        <f>IF(offer_sale_type="транзит",IFERROR(VLOOKUP($B212,calc_data,C$14+1,0),0),0)</f>
        <v/>
      </c>
      <c r="D212" s="280">
        <f>IF(offer_sale_type="транзит",IFERROR(VLOOKUP($B212,calc_data,D$14+1,0),0),0)</f>
        <v/>
      </c>
      <c r="E212" s="182">
        <f>IF(offer_sale_type="транзит",IFERROR(VLOOKUP($B212,calc_data,E$14+1,0),0),0)</f>
        <v/>
      </c>
      <c r="F212" s="182">
        <f>IF(offer_sale_type="транзит",IFERROR(VLOOKUP($B212,calc_data,F$14+1,0),0),0)</f>
        <v/>
      </c>
      <c r="G212" s="141">
        <f>IF(offer_sale_type="транзит",IFERROR(VLOOKUP($B212,calc_data,G$14+1,0),0),0)</f>
        <v/>
      </c>
      <c r="H212" s="141">
        <f>E212*G212</f>
        <v/>
      </c>
      <c r="I212" s="141">
        <f>IF(offer_sale_type="транзит",IFERROR(ROUND(VLOOKUP($B212,calc_data,I$14+1,0),2),0),0)</f>
        <v/>
      </c>
      <c r="J212" s="141">
        <f>ROUND(IF(offer_sale_type="транзит",IFERROR(VLOOKUP($B212,calc_data,J$14+1,0),0),0),2)</f>
        <v/>
      </c>
      <c r="K212" s="142">
        <f>IF(offer_sale_type="транзит",IFERROR(ROUNDUP(VLOOKUP($B212,calc_data,K$14+1,0),2),0),0)</f>
        <v/>
      </c>
      <c r="L212" s="184">
        <f>IF(offer_sale_type="транзит",IFERROR(ROUNDUP(VLOOKUP($B212,calc_data,L$14+1,0),2),0),0)</f>
        <v/>
      </c>
      <c r="M212" s="141">
        <f>IF(offer_sale_type="транзит",IFERROR(ROUNDUP(VLOOKUP($B212,calc_data,M$14+1,0),2),0),0)</f>
        <v/>
      </c>
      <c r="N212" s="141">
        <f>IF(offer_sale_type="транзит",IFERROR(ROUNDUP(VLOOKUP($B212,calc_data,N$14+1,0),2),0),0)</f>
        <v/>
      </c>
      <c r="O212" s="147">
        <f>IF(offer_sale_type="транзит",IFERROR(ROUND(VLOOKUP($B212,calc_data,O$14+1,1),2),0),0)</f>
        <v/>
      </c>
      <c r="P212" s="141">
        <f>IF(offer_sale_type="транзит",IFERROR(ROUND(SUM(I212:J212,M212:O212)/E212,2),0),0)</f>
        <v/>
      </c>
      <c r="Q212" s="141">
        <f>E212*P212</f>
        <v/>
      </c>
      <c r="R212" s="141">
        <f>ROUND(Q212*IF(AND(offer_incoterms="DDP",seller_region="RU"),IF((TODAY()+offer_turnaround_time)&gt;=helpsheet!$L$17,rate_vatRU_from_26,rate_vatRu_till_25),0),2)</f>
        <v/>
      </c>
      <c r="S212" s="177">
        <f>Q212+IF(AND(offer_incoterms="DDP",seller_region="RU"),R212,0)</f>
        <v/>
      </c>
      <c r="T212" s="45" t="n"/>
      <c r="V212" s="57">
        <f>IF(Q212&gt;0,"показать","скрыть")</f>
        <v/>
      </c>
    </row>
    <row r="213" ht="15.75" customHeight="1">
      <c r="B213" s="809" t="n">
        <v>197</v>
      </c>
      <c r="C213" s="182">
        <f>IF(offer_sale_type="транзит",IFERROR(VLOOKUP($B213,calc_data,C$14+1,0),0),0)</f>
        <v/>
      </c>
      <c r="D213" s="280">
        <f>IF(offer_sale_type="транзит",IFERROR(VLOOKUP($B213,calc_data,D$14+1,0),0),0)</f>
        <v/>
      </c>
      <c r="E213" s="182">
        <f>IF(offer_sale_type="транзит",IFERROR(VLOOKUP($B213,calc_data,E$14+1,0),0),0)</f>
        <v/>
      </c>
      <c r="F213" s="182">
        <f>IF(offer_sale_type="транзит",IFERROR(VLOOKUP($B213,calc_data,F$14+1,0),0),0)</f>
        <v/>
      </c>
      <c r="G213" s="141">
        <f>IF(offer_sale_type="транзит",IFERROR(VLOOKUP($B213,calc_data,G$14+1,0),0),0)</f>
        <v/>
      </c>
      <c r="H213" s="141">
        <f>E213*G213</f>
        <v/>
      </c>
      <c r="I213" s="141">
        <f>IF(offer_sale_type="транзит",IFERROR(ROUND(VLOOKUP($B213,calc_data,I$14+1,0),2),0),0)</f>
        <v/>
      </c>
      <c r="J213" s="141">
        <f>ROUND(IF(offer_sale_type="транзит",IFERROR(VLOOKUP($B213,calc_data,J$14+1,0),0),0),2)</f>
        <v/>
      </c>
      <c r="K213" s="142">
        <f>IF(offer_sale_type="транзит",IFERROR(ROUNDUP(VLOOKUP($B213,calc_data,K$14+1,0),2),0),0)</f>
        <v/>
      </c>
      <c r="L213" s="184">
        <f>IF(offer_sale_type="транзит",IFERROR(ROUNDUP(VLOOKUP($B213,calc_data,L$14+1,0),2),0),0)</f>
        <v/>
      </c>
      <c r="M213" s="141">
        <f>IF(offer_sale_type="транзит",IFERROR(ROUNDUP(VLOOKUP($B213,calc_data,M$14+1,0),2),0),0)</f>
        <v/>
      </c>
      <c r="N213" s="141">
        <f>IF(offer_sale_type="транзит",IFERROR(ROUNDUP(VLOOKUP($B213,calc_data,N$14+1,0),2),0),0)</f>
        <v/>
      </c>
      <c r="O213" s="147">
        <f>IF(offer_sale_type="транзит",IFERROR(ROUND(VLOOKUP($B213,calc_data,O$14+1,1),2),0),0)</f>
        <v/>
      </c>
      <c r="P213" s="141">
        <f>IF(offer_sale_type="транзит",IFERROR(ROUND(SUM(I213:J213,M213:O213)/E213,2),0),0)</f>
        <v/>
      </c>
      <c r="Q213" s="141">
        <f>E213*P213</f>
        <v/>
      </c>
      <c r="R213" s="141">
        <f>ROUND(Q213*IF(AND(offer_incoterms="DDP",seller_region="RU"),IF((TODAY()+offer_turnaround_time)&gt;=helpsheet!$L$17,rate_vatRU_from_26,rate_vatRu_till_25),0),2)</f>
        <v/>
      </c>
      <c r="S213" s="177">
        <f>Q213+IF(AND(offer_incoterms="DDP",seller_region="RU"),R213,0)</f>
        <v/>
      </c>
      <c r="T213" s="45" t="n"/>
      <c r="V213" s="57">
        <f>IF(Q213&gt;0,"показать","скрыть")</f>
        <v/>
      </c>
    </row>
    <row r="214" ht="15.75" customHeight="1">
      <c r="B214" s="809" t="n">
        <v>198</v>
      </c>
      <c r="C214" s="182">
        <f>IF(offer_sale_type="транзит",IFERROR(VLOOKUP($B214,calc_data,C$14+1,0),0),0)</f>
        <v/>
      </c>
      <c r="D214" s="280">
        <f>IF(offer_sale_type="транзит",IFERROR(VLOOKUP($B214,calc_data,D$14+1,0),0),0)</f>
        <v/>
      </c>
      <c r="E214" s="182">
        <f>IF(offer_sale_type="транзит",IFERROR(VLOOKUP($B214,calc_data,E$14+1,0),0),0)</f>
        <v/>
      </c>
      <c r="F214" s="182">
        <f>IF(offer_sale_type="транзит",IFERROR(VLOOKUP($B214,calc_data,F$14+1,0),0),0)</f>
        <v/>
      </c>
      <c r="G214" s="141">
        <f>IF(offer_sale_type="транзит",IFERROR(VLOOKUP($B214,calc_data,G$14+1,0),0),0)</f>
        <v/>
      </c>
      <c r="H214" s="141">
        <f>E214*G214</f>
        <v/>
      </c>
      <c r="I214" s="141">
        <f>IF(offer_sale_type="транзит",IFERROR(ROUND(VLOOKUP($B214,calc_data,I$14+1,0),2),0),0)</f>
        <v/>
      </c>
      <c r="J214" s="141">
        <f>ROUND(IF(offer_sale_type="транзит",IFERROR(VLOOKUP($B214,calc_data,J$14+1,0),0),0),2)</f>
        <v/>
      </c>
      <c r="K214" s="142">
        <f>IF(offer_sale_type="транзит",IFERROR(ROUNDUP(VLOOKUP($B214,calc_data,K$14+1,0),2),0),0)</f>
        <v/>
      </c>
      <c r="L214" s="184">
        <f>IF(offer_sale_type="транзит",IFERROR(ROUNDUP(VLOOKUP($B214,calc_data,L$14+1,0),2),0),0)</f>
        <v/>
      </c>
      <c r="M214" s="141">
        <f>IF(offer_sale_type="транзит",IFERROR(ROUNDUP(VLOOKUP($B214,calc_data,M$14+1,0),2),0),0)</f>
        <v/>
      </c>
      <c r="N214" s="141">
        <f>IF(offer_sale_type="транзит",IFERROR(ROUNDUP(VLOOKUP($B214,calc_data,N$14+1,0),2),0),0)</f>
        <v/>
      </c>
      <c r="O214" s="147">
        <f>IF(offer_sale_type="транзит",IFERROR(ROUND(VLOOKUP($B214,calc_data,O$14+1,1),2),0),0)</f>
        <v/>
      </c>
      <c r="P214" s="141">
        <f>IF(offer_sale_type="транзит",IFERROR(ROUND(SUM(I214:J214,M214:O214)/E214,2),0),0)</f>
        <v/>
      </c>
      <c r="Q214" s="141">
        <f>E214*P214</f>
        <v/>
      </c>
      <c r="R214" s="141">
        <f>ROUND(Q214*IF(AND(offer_incoterms="DDP",seller_region="RU"),IF((TODAY()+offer_turnaround_time)&gt;=helpsheet!$L$17,rate_vatRU_from_26,rate_vatRu_till_25),0),2)</f>
        <v/>
      </c>
      <c r="S214" s="177">
        <f>Q214+IF(AND(offer_incoterms="DDP",seller_region="RU"),R214,0)</f>
        <v/>
      </c>
      <c r="T214" s="45" t="n"/>
      <c r="V214" s="57">
        <f>IF(Q214&gt;0,"показать","скрыть")</f>
        <v/>
      </c>
    </row>
    <row r="215" ht="15.75" customHeight="1">
      <c r="B215" s="809" t="n">
        <v>199</v>
      </c>
      <c r="C215" s="182">
        <f>IF(offer_sale_type="транзит",IFERROR(VLOOKUP($B215,calc_data,C$14+1,0),0),0)</f>
        <v/>
      </c>
      <c r="D215" s="280">
        <f>IF(offer_sale_type="транзит",IFERROR(VLOOKUP($B215,calc_data,D$14+1,0),0),0)</f>
        <v/>
      </c>
      <c r="E215" s="182">
        <f>IF(offer_sale_type="транзит",IFERROR(VLOOKUP($B215,calc_data,E$14+1,0),0),0)</f>
        <v/>
      </c>
      <c r="F215" s="182">
        <f>IF(offer_sale_type="транзит",IFERROR(VLOOKUP($B215,calc_data,F$14+1,0),0),0)</f>
        <v/>
      </c>
      <c r="G215" s="141">
        <f>IF(offer_sale_type="транзит",IFERROR(VLOOKUP($B215,calc_data,G$14+1,0),0),0)</f>
        <v/>
      </c>
      <c r="H215" s="141">
        <f>E215*G215</f>
        <v/>
      </c>
      <c r="I215" s="141">
        <f>IF(offer_sale_type="транзит",IFERROR(ROUND(VLOOKUP($B215,calc_data,I$14+1,0),2),0),0)</f>
        <v/>
      </c>
      <c r="J215" s="141">
        <f>ROUND(IF(offer_sale_type="транзит",IFERROR(VLOOKUP($B215,calc_data,J$14+1,0),0),0),2)</f>
        <v/>
      </c>
      <c r="K215" s="142">
        <f>IF(offer_sale_type="транзит",IFERROR(ROUNDUP(VLOOKUP($B215,calc_data,K$14+1,0),2),0),0)</f>
        <v/>
      </c>
      <c r="L215" s="184">
        <f>IF(offer_sale_type="транзит",IFERROR(ROUNDUP(VLOOKUP($B215,calc_data,L$14+1,0),2),0),0)</f>
        <v/>
      </c>
      <c r="M215" s="141">
        <f>IF(offer_sale_type="транзит",IFERROR(ROUNDUP(VLOOKUP($B215,calc_data,M$14+1,0),2),0),0)</f>
        <v/>
      </c>
      <c r="N215" s="141">
        <f>IF(offer_sale_type="транзит",IFERROR(ROUNDUP(VLOOKUP($B215,calc_data,N$14+1,0),2),0),0)</f>
        <v/>
      </c>
      <c r="O215" s="147">
        <f>IF(offer_sale_type="транзит",IFERROR(ROUND(VLOOKUP($B215,calc_data,O$14+1,1),2),0),0)</f>
        <v/>
      </c>
      <c r="P215" s="141">
        <f>IF(offer_sale_type="транзит",IFERROR(ROUND(SUM(I215:J215,M215:O215)/E215,2),0),0)</f>
        <v/>
      </c>
      <c r="Q215" s="141">
        <f>E215*P215</f>
        <v/>
      </c>
      <c r="R215" s="141">
        <f>ROUND(Q215*IF(AND(offer_incoterms="DDP",seller_region="RU"),IF((TODAY()+offer_turnaround_time)&gt;=helpsheet!$L$17,rate_vatRU_from_26,rate_vatRu_till_25),0),2)</f>
        <v/>
      </c>
      <c r="S215" s="177">
        <f>Q215+IF(AND(offer_incoterms="DDP",seller_region="RU"),R215,0)</f>
        <v/>
      </c>
      <c r="T215" s="45" t="n"/>
      <c r="V215" s="57">
        <f>IF(Q215&gt;0,"показать","скрыть")</f>
        <v/>
      </c>
    </row>
    <row r="216" ht="15.75" customHeight="1">
      <c r="B216" s="809" t="n">
        <v>200</v>
      </c>
      <c r="C216" s="182">
        <f>IF(offer_sale_type="транзит",IFERROR(VLOOKUP($B216,calc_data,C$14+1,0),0),0)</f>
        <v/>
      </c>
      <c r="D216" s="280">
        <f>IF(offer_sale_type="транзит",IFERROR(VLOOKUP($B216,calc_data,D$14+1,0),0),0)</f>
        <v/>
      </c>
      <c r="E216" s="182">
        <f>IF(offer_sale_type="транзит",IFERROR(VLOOKUP($B216,calc_data,E$14+1,0),0),0)</f>
        <v/>
      </c>
      <c r="F216" s="182">
        <f>IF(offer_sale_type="транзит",IFERROR(VLOOKUP($B216,calc_data,F$14+1,0),0),0)</f>
        <v/>
      </c>
      <c r="G216" s="141">
        <f>IF(offer_sale_type="транзит",IFERROR(VLOOKUP($B216,calc_data,G$14+1,0),0),0)</f>
        <v/>
      </c>
      <c r="H216" s="141">
        <f>E216*G216</f>
        <v/>
      </c>
      <c r="I216" s="141">
        <f>IF(offer_sale_type="транзит",IFERROR(ROUND(VLOOKUP($B216,calc_data,I$14+1,0),2),0),0)</f>
        <v/>
      </c>
      <c r="J216" s="141">
        <f>ROUND(IF(offer_sale_type="транзит",IFERROR(VLOOKUP($B216,calc_data,J$14+1,0),0),0),2)</f>
        <v/>
      </c>
      <c r="K216" s="142">
        <f>IF(offer_sale_type="транзит",IFERROR(ROUNDUP(VLOOKUP($B216,calc_data,K$14+1,0),2),0),0)</f>
        <v/>
      </c>
      <c r="L216" s="184">
        <f>IF(offer_sale_type="транзит",IFERROR(ROUNDUP(VLOOKUP($B216,calc_data,L$14+1,0),2),0),0)</f>
        <v/>
      </c>
      <c r="M216" s="141">
        <f>IF(offer_sale_type="транзит",IFERROR(ROUNDUP(VLOOKUP($B216,calc_data,M$14+1,0),2),0),0)</f>
        <v/>
      </c>
      <c r="N216" s="141">
        <f>IF(offer_sale_type="транзит",IFERROR(ROUNDUP(VLOOKUP($B216,calc_data,N$14+1,0),2),0),0)</f>
        <v/>
      </c>
      <c r="O216" s="147">
        <f>IF(offer_sale_type="транзит",IFERROR(ROUND(VLOOKUP($B216,calc_data,O$14+1,1),2),0),0)</f>
        <v/>
      </c>
      <c r="P216" s="141">
        <f>IF(offer_sale_type="транзит",IFERROR(ROUND(SUM(I216:J216,M216:O216)/E216,2),0),0)</f>
        <v/>
      </c>
      <c r="Q216" s="141">
        <f>E216*P216</f>
        <v/>
      </c>
      <c r="R216" s="141">
        <f>ROUND(Q216*IF(AND(offer_incoterms="DDP",seller_region="RU"),IF((TODAY()+offer_turnaround_time)&gt;=helpsheet!$L$17,rate_vatRU_from_26,rate_vatRu_till_25),0),2)</f>
        <v/>
      </c>
      <c r="S216" s="177">
        <f>Q216+IF(AND(offer_incoterms="DDP",seller_region="RU"),R216,0)</f>
        <v/>
      </c>
      <c r="T216" s="45" t="n"/>
      <c r="V216" s="57">
        <f>IF(Q216&gt;0,"показать","скрыть")</f>
        <v/>
      </c>
    </row>
    <row r="217" ht="15.75" customHeight="1">
      <c r="B217" s="809" t="n">
        <v>201</v>
      </c>
      <c r="C217" s="182">
        <f>IF(offer_sale_type="транзит",IFERROR(VLOOKUP($B217,calc_data,C$14+1,0),0),0)</f>
        <v/>
      </c>
      <c r="D217" s="280">
        <f>IF(offer_sale_type="транзит",IFERROR(VLOOKUP($B217,calc_data,D$14+1,0),0),0)</f>
        <v/>
      </c>
      <c r="E217" s="182">
        <f>IF(offer_sale_type="транзит",IFERROR(VLOOKUP($B217,calc_data,E$14+1,0),0),0)</f>
        <v/>
      </c>
      <c r="F217" s="182">
        <f>IF(offer_sale_type="транзит",IFERROR(VLOOKUP($B217,calc_data,F$14+1,0),0),0)</f>
        <v/>
      </c>
      <c r="G217" s="141">
        <f>IF(offer_sale_type="транзит",IFERROR(VLOOKUP($B217,calc_data,G$14+1,0),0),0)</f>
        <v/>
      </c>
      <c r="H217" s="141">
        <f>E217*G217</f>
        <v/>
      </c>
      <c r="I217" s="141">
        <f>IF(offer_sale_type="транзит",IFERROR(ROUND(VLOOKUP($B217,calc_data,I$14+1,0),2),0),0)</f>
        <v/>
      </c>
      <c r="J217" s="141">
        <f>ROUND(IF(offer_sale_type="транзит",IFERROR(VLOOKUP($B217,calc_data,J$14+1,0),0),0),2)</f>
        <v/>
      </c>
      <c r="K217" s="142">
        <f>IF(offer_sale_type="транзит",IFERROR(ROUNDUP(VLOOKUP($B217,calc_data,K$14+1,0),2),0),0)</f>
        <v/>
      </c>
      <c r="L217" s="184">
        <f>IF(offer_sale_type="транзит",IFERROR(ROUNDUP(VLOOKUP($B217,calc_data,L$14+1,0),2),0),0)</f>
        <v/>
      </c>
      <c r="M217" s="141">
        <f>IF(offer_sale_type="транзит",IFERROR(ROUNDUP(VLOOKUP($B217,calc_data,M$14+1,0),2),0),0)</f>
        <v/>
      </c>
      <c r="N217" s="141">
        <f>IF(offer_sale_type="транзит",IFERROR(ROUNDUP(VLOOKUP($B217,calc_data,N$14+1,0),2),0),0)</f>
        <v/>
      </c>
      <c r="O217" s="147">
        <f>IF(offer_sale_type="транзит",IFERROR(ROUND(VLOOKUP($B217,calc_data,O$14+1,1),2),0),0)</f>
        <v/>
      </c>
      <c r="P217" s="141">
        <f>IF(offer_sale_type="транзит",IFERROR(ROUND(SUM(I217:J217,M217:O217)/E217,2),0),0)</f>
        <v/>
      </c>
      <c r="Q217" s="141">
        <f>E217*P217</f>
        <v/>
      </c>
      <c r="R217" s="141">
        <f>ROUND(Q217*IF(AND(offer_incoterms="DDP",seller_region="RU"),IF((TODAY()+offer_turnaround_time)&gt;=helpsheet!$L$17,rate_vatRU_from_26,rate_vatRu_till_25),0),2)</f>
        <v/>
      </c>
      <c r="S217" s="177">
        <f>Q217+IF(AND(offer_incoterms="DDP",seller_region="RU"),R217,0)</f>
        <v/>
      </c>
      <c r="T217" s="45" t="n"/>
      <c r="V217" s="57">
        <f>IF(Q217&gt;0,"показать","скрыть")</f>
        <v/>
      </c>
    </row>
    <row r="218" ht="15.75" customHeight="1">
      <c r="B218" s="809" t="n">
        <v>202</v>
      </c>
      <c r="C218" s="182">
        <f>IF(offer_sale_type="транзит",IFERROR(VLOOKUP($B218,calc_data,C$14+1,0),0),0)</f>
        <v/>
      </c>
      <c r="D218" s="280">
        <f>IF(offer_sale_type="транзит",IFERROR(VLOOKUP($B218,calc_data,D$14+1,0),0),0)</f>
        <v/>
      </c>
      <c r="E218" s="182">
        <f>IF(offer_sale_type="транзит",IFERROR(VLOOKUP($B218,calc_data,E$14+1,0),0),0)</f>
        <v/>
      </c>
      <c r="F218" s="182">
        <f>IF(offer_sale_type="транзит",IFERROR(VLOOKUP($B218,calc_data,F$14+1,0),0),0)</f>
        <v/>
      </c>
      <c r="G218" s="141">
        <f>IF(offer_sale_type="транзит",IFERROR(VLOOKUP($B218,calc_data,G$14+1,0),0),0)</f>
        <v/>
      </c>
      <c r="H218" s="141">
        <f>E218*G218</f>
        <v/>
      </c>
      <c r="I218" s="141">
        <f>IF(offer_sale_type="транзит",IFERROR(ROUND(VLOOKUP($B218,calc_data,I$14+1,0),2),0),0)</f>
        <v/>
      </c>
      <c r="J218" s="141">
        <f>ROUND(IF(offer_sale_type="транзит",IFERROR(VLOOKUP($B218,calc_data,J$14+1,0),0),0),2)</f>
        <v/>
      </c>
      <c r="K218" s="142">
        <f>IF(offer_sale_type="транзит",IFERROR(ROUNDUP(VLOOKUP($B218,calc_data,K$14+1,0),2),0),0)</f>
        <v/>
      </c>
      <c r="L218" s="184">
        <f>IF(offer_sale_type="транзит",IFERROR(ROUNDUP(VLOOKUP($B218,calc_data,L$14+1,0),2),0),0)</f>
        <v/>
      </c>
      <c r="M218" s="141">
        <f>IF(offer_sale_type="транзит",IFERROR(ROUNDUP(VLOOKUP($B218,calc_data,M$14+1,0),2),0),0)</f>
        <v/>
      </c>
      <c r="N218" s="141">
        <f>IF(offer_sale_type="транзит",IFERROR(ROUNDUP(VLOOKUP($B218,calc_data,N$14+1,0),2),0),0)</f>
        <v/>
      </c>
      <c r="O218" s="147">
        <f>IF(offer_sale_type="транзит",IFERROR(ROUND(VLOOKUP($B218,calc_data,O$14+1,1),2),0),0)</f>
        <v/>
      </c>
      <c r="P218" s="141">
        <f>IF(offer_sale_type="транзит",IFERROR(ROUND(SUM(I218:J218,M218:O218)/E218,2),0),0)</f>
        <v/>
      </c>
      <c r="Q218" s="141">
        <f>E218*P218</f>
        <v/>
      </c>
      <c r="R218" s="141">
        <f>ROUND(Q218*IF(AND(offer_incoterms="DDP",seller_region="RU"),IF((TODAY()+offer_turnaround_time)&gt;=helpsheet!$L$17,rate_vatRU_from_26,rate_vatRu_till_25),0),2)</f>
        <v/>
      </c>
      <c r="S218" s="177">
        <f>Q218+IF(AND(offer_incoterms="DDP",seller_region="RU"),R218,0)</f>
        <v/>
      </c>
      <c r="T218" s="45" t="n"/>
      <c r="V218" s="57">
        <f>IF(Q218&gt;0,"показать","скрыть")</f>
        <v/>
      </c>
    </row>
    <row r="219" ht="15.75" customHeight="1">
      <c r="B219" s="809" t="n">
        <v>203</v>
      </c>
      <c r="C219" s="182">
        <f>IF(offer_sale_type="транзит",IFERROR(VLOOKUP($B219,calc_data,C$14+1,0),0),0)</f>
        <v/>
      </c>
      <c r="D219" s="280">
        <f>IF(offer_sale_type="транзит",IFERROR(VLOOKUP($B219,calc_data,D$14+1,0),0),0)</f>
        <v/>
      </c>
      <c r="E219" s="182">
        <f>IF(offer_sale_type="транзит",IFERROR(VLOOKUP($B219,calc_data,E$14+1,0),0),0)</f>
        <v/>
      </c>
      <c r="F219" s="182">
        <f>IF(offer_sale_type="транзит",IFERROR(VLOOKUP($B219,calc_data,F$14+1,0),0),0)</f>
        <v/>
      </c>
      <c r="G219" s="141">
        <f>IF(offer_sale_type="транзит",IFERROR(VLOOKUP($B219,calc_data,G$14+1,0),0),0)</f>
        <v/>
      </c>
      <c r="H219" s="141">
        <f>E219*G219</f>
        <v/>
      </c>
      <c r="I219" s="141">
        <f>IF(offer_sale_type="транзит",IFERROR(ROUND(VLOOKUP($B219,calc_data,I$14+1,0),2),0),0)</f>
        <v/>
      </c>
      <c r="J219" s="141">
        <f>ROUND(IF(offer_sale_type="транзит",IFERROR(VLOOKUP($B219,calc_data,J$14+1,0),0),0),2)</f>
        <v/>
      </c>
      <c r="K219" s="142">
        <f>IF(offer_sale_type="транзит",IFERROR(ROUNDUP(VLOOKUP($B219,calc_data,K$14+1,0),2),0),0)</f>
        <v/>
      </c>
      <c r="L219" s="184">
        <f>IF(offer_sale_type="транзит",IFERROR(ROUNDUP(VLOOKUP($B219,calc_data,L$14+1,0),2),0),0)</f>
        <v/>
      </c>
      <c r="M219" s="141">
        <f>IF(offer_sale_type="транзит",IFERROR(ROUNDUP(VLOOKUP($B219,calc_data,M$14+1,0),2),0),0)</f>
        <v/>
      </c>
      <c r="N219" s="141">
        <f>IF(offer_sale_type="транзит",IFERROR(ROUNDUP(VLOOKUP($B219,calc_data,N$14+1,0),2),0),0)</f>
        <v/>
      </c>
      <c r="O219" s="147">
        <f>IF(offer_sale_type="транзит",IFERROR(ROUND(VLOOKUP($B219,calc_data,O$14+1,1),2),0),0)</f>
        <v/>
      </c>
      <c r="P219" s="141">
        <f>IF(offer_sale_type="транзит",IFERROR(ROUND(SUM(I219:J219,M219:O219)/E219,2),0),0)</f>
        <v/>
      </c>
      <c r="Q219" s="141">
        <f>E219*P219</f>
        <v/>
      </c>
      <c r="R219" s="141">
        <f>ROUND(Q219*IF(AND(offer_incoterms="DDP",seller_region="RU"),IF((TODAY()+offer_turnaround_time)&gt;=helpsheet!$L$17,rate_vatRU_from_26,rate_vatRu_till_25),0),2)</f>
        <v/>
      </c>
      <c r="S219" s="177">
        <f>Q219+IF(AND(offer_incoterms="DDP",seller_region="RU"),R219,0)</f>
        <v/>
      </c>
      <c r="T219" s="45" t="n"/>
      <c r="V219" s="57">
        <f>IF(Q219&gt;0,"показать","скрыть")</f>
        <v/>
      </c>
    </row>
    <row r="220" ht="15.75" customHeight="1">
      <c r="B220" s="809" t="n">
        <v>204</v>
      </c>
      <c r="C220" s="182">
        <f>IF(offer_sale_type="транзит",IFERROR(VLOOKUP($B220,calc_data,C$14+1,0),0),0)</f>
        <v/>
      </c>
      <c r="D220" s="280">
        <f>IF(offer_sale_type="транзит",IFERROR(VLOOKUP($B220,calc_data,D$14+1,0),0),0)</f>
        <v/>
      </c>
      <c r="E220" s="182">
        <f>IF(offer_sale_type="транзит",IFERROR(VLOOKUP($B220,calc_data,E$14+1,0),0),0)</f>
        <v/>
      </c>
      <c r="F220" s="182">
        <f>IF(offer_sale_type="транзит",IFERROR(VLOOKUP($B220,calc_data,F$14+1,0),0),0)</f>
        <v/>
      </c>
      <c r="G220" s="141">
        <f>IF(offer_sale_type="транзит",IFERROR(VLOOKUP($B220,calc_data,G$14+1,0),0),0)</f>
        <v/>
      </c>
      <c r="H220" s="141">
        <f>E220*G220</f>
        <v/>
      </c>
      <c r="I220" s="141">
        <f>IF(offer_sale_type="транзит",IFERROR(ROUND(VLOOKUP($B220,calc_data,I$14+1,0),2),0),0)</f>
        <v/>
      </c>
      <c r="J220" s="141">
        <f>ROUND(IF(offer_sale_type="транзит",IFERROR(VLOOKUP($B220,calc_data,J$14+1,0),0),0),2)</f>
        <v/>
      </c>
      <c r="K220" s="142">
        <f>IF(offer_sale_type="транзит",IFERROR(ROUNDUP(VLOOKUP($B220,calc_data,K$14+1,0),2),0),0)</f>
        <v/>
      </c>
      <c r="L220" s="184">
        <f>IF(offer_sale_type="транзит",IFERROR(ROUNDUP(VLOOKUP($B220,calc_data,L$14+1,0),2),0),0)</f>
        <v/>
      </c>
      <c r="M220" s="141">
        <f>IF(offer_sale_type="транзит",IFERROR(ROUNDUP(VLOOKUP($B220,calc_data,M$14+1,0),2),0),0)</f>
        <v/>
      </c>
      <c r="N220" s="141">
        <f>IF(offer_sale_type="транзит",IFERROR(ROUNDUP(VLOOKUP($B220,calc_data,N$14+1,0),2),0),0)</f>
        <v/>
      </c>
      <c r="O220" s="147">
        <f>IF(offer_sale_type="транзит",IFERROR(ROUND(VLOOKUP($B220,calc_data,O$14+1,1),2),0),0)</f>
        <v/>
      </c>
      <c r="P220" s="141">
        <f>IF(offer_sale_type="транзит",IFERROR(ROUND(SUM(I220:J220,M220:O220)/E220,2),0),0)</f>
        <v/>
      </c>
      <c r="Q220" s="141">
        <f>E220*P220</f>
        <v/>
      </c>
      <c r="R220" s="141">
        <f>ROUND(Q220*IF(AND(offer_incoterms="DDP",seller_region="RU"),IF((TODAY()+offer_turnaround_time)&gt;=helpsheet!$L$17,rate_vatRU_from_26,rate_vatRu_till_25),0),2)</f>
        <v/>
      </c>
      <c r="S220" s="177">
        <f>Q220+IF(AND(offer_incoterms="DDP",seller_region="RU"),R220,0)</f>
        <v/>
      </c>
      <c r="T220" s="45" t="n"/>
      <c r="V220" s="57">
        <f>IF(Q220&gt;0,"показать","скрыть")</f>
        <v/>
      </c>
    </row>
    <row r="221" ht="15.75" customHeight="1">
      <c r="B221" s="809" t="n">
        <v>205</v>
      </c>
      <c r="C221" s="182">
        <f>IF(offer_sale_type="транзит",IFERROR(VLOOKUP($B221,calc_data,C$14+1,0),0),0)</f>
        <v/>
      </c>
      <c r="D221" s="280">
        <f>IF(offer_sale_type="транзит",IFERROR(VLOOKUP($B221,calc_data,D$14+1,0),0),0)</f>
        <v/>
      </c>
      <c r="E221" s="182">
        <f>IF(offer_sale_type="транзит",IFERROR(VLOOKUP($B221,calc_data,E$14+1,0),0),0)</f>
        <v/>
      </c>
      <c r="F221" s="182">
        <f>IF(offer_sale_type="транзит",IFERROR(VLOOKUP($B221,calc_data,F$14+1,0),0),0)</f>
        <v/>
      </c>
      <c r="G221" s="141">
        <f>IF(offer_sale_type="транзит",IFERROR(VLOOKUP($B221,calc_data,G$14+1,0),0),0)</f>
        <v/>
      </c>
      <c r="H221" s="141">
        <f>E221*G221</f>
        <v/>
      </c>
      <c r="I221" s="141">
        <f>IF(offer_sale_type="транзит",IFERROR(ROUND(VLOOKUP($B221,calc_data,I$14+1,0),2),0),0)</f>
        <v/>
      </c>
      <c r="J221" s="141">
        <f>ROUND(IF(offer_sale_type="транзит",IFERROR(VLOOKUP($B221,calc_data,J$14+1,0),0),0),2)</f>
        <v/>
      </c>
      <c r="K221" s="142">
        <f>IF(offer_sale_type="транзит",IFERROR(ROUNDUP(VLOOKUP($B221,calc_data,K$14+1,0),2),0),0)</f>
        <v/>
      </c>
      <c r="L221" s="184">
        <f>IF(offer_sale_type="транзит",IFERROR(ROUNDUP(VLOOKUP($B221,calc_data,L$14+1,0),2),0),0)</f>
        <v/>
      </c>
      <c r="M221" s="141">
        <f>IF(offer_sale_type="транзит",IFERROR(ROUNDUP(VLOOKUP($B221,calc_data,M$14+1,0),2),0),0)</f>
        <v/>
      </c>
      <c r="N221" s="141">
        <f>IF(offer_sale_type="транзит",IFERROR(ROUNDUP(VLOOKUP($B221,calc_data,N$14+1,0),2),0),0)</f>
        <v/>
      </c>
      <c r="O221" s="147">
        <f>IF(offer_sale_type="транзит",IFERROR(ROUND(VLOOKUP($B221,calc_data,O$14+1,1),2),0),0)</f>
        <v/>
      </c>
      <c r="P221" s="141">
        <f>IF(offer_sale_type="транзит",IFERROR(ROUND(SUM(I221:J221,M221:O221)/E221,2),0),0)</f>
        <v/>
      </c>
      <c r="Q221" s="141">
        <f>E221*P221</f>
        <v/>
      </c>
      <c r="R221" s="141">
        <f>ROUND(Q221*IF(AND(offer_incoterms="DDP",seller_region="RU"),IF((TODAY()+offer_turnaround_time)&gt;=helpsheet!$L$17,rate_vatRU_from_26,rate_vatRu_till_25),0),2)</f>
        <v/>
      </c>
      <c r="S221" s="177">
        <f>Q221+IF(AND(offer_incoterms="DDP",seller_region="RU"),R221,0)</f>
        <v/>
      </c>
      <c r="T221" s="45" t="n"/>
      <c r="V221" s="57">
        <f>IF(Q221&gt;0,"показать","скрыть")</f>
        <v/>
      </c>
    </row>
    <row r="222" ht="15.75" customHeight="1">
      <c r="B222" s="809" t="n">
        <v>206</v>
      </c>
      <c r="C222" s="182">
        <f>IF(offer_sale_type="транзит",IFERROR(VLOOKUP($B222,calc_data,C$14+1,0),0),0)</f>
        <v/>
      </c>
      <c r="D222" s="280">
        <f>IF(offer_sale_type="транзит",IFERROR(VLOOKUP($B222,calc_data,D$14+1,0),0),0)</f>
        <v/>
      </c>
      <c r="E222" s="182">
        <f>IF(offer_sale_type="транзит",IFERROR(VLOOKUP($B222,calc_data,E$14+1,0),0),0)</f>
        <v/>
      </c>
      <c r="F222" s="182">
        <f>IF(offer_sale_type="транзит",IFERROR(VLOOKUP($B222,calc_data,F$14+1,0),0),0)</f>
        <v/>
      </c>
      <c r="G222" s="141">
        <f>IF(offer_sale_type="транзит",IFERROR(VLOOKUP($B222,calc_data,G$14+1,0),0),0)</f>
        <v/>
      </c>
      <c r="H222" s="141">
        <f>E222*G222</f>
        <v/>
      </c>
      <c r="I222" s="141">
        <f>IF(offer_sale_type="транзит",IFERROR(ROUND(VLOOKUP($B222,calc_data,I$14+1,0),2),0),0)</f>
        <v/>
      </c>
      <c r="J222" s="141">
        <f>ROUND(IF(offer_sale_type="транзит",IFERROR(VLOOKUP($B222,calc_data,J$14+1,0),0),0),2)</f>
        <v/>
      </c>
      <c r="K222" s="142">
        <f>IF(offer_sale_type="транзит",IFERROR(ROUNDUP(VLOOKUP($B222,calc_data,K$14+1,0),2),0),0)</f>
        <v/>
      </c>
      <c r="L222" s="184">
        <f>IF(offer_sale_type="транзит",IFERROR(ROUNDUP(VLOOKUP($B222,calc_data,L$14+1,0),2),0),0)</f>
        <v/>
      </c>
      <c r="M222" s="141">
        <f>IF(offer_sale_type="транзит",IFERROR(ROUNDUP(VLOOKUP($B222,calc_data,M$14+1,0),2),0),0)</f>
        <v/>
      </c>
      <c r="N222" s="141">
        <f>IF(offer_sale_type="транзит",IFERROR(ROUNDUP(VLOOKUP($B222,calc_data,N$14+1,0),2),0),0)</f>
        <v/>
      </c>
      <c r="O222" s="147">
        <f>IF(offer_sale_type="транзит",IFERROR(ROUND(VLOOKUP($B222,calc_data,O$14+1,1),2),0),0)</f>
        <v/>
      </c>
      <c r="P222" s="141">
        <f>IF(offer_sale_type="транзит",IFERROR(ROUND(SUM(I222:J222,M222:O222)/E222,2),0),0)</f>
        <v/>
      </c>
      <c r="Q222" s="141">
        <f>E222*P222</f>
        <v/>
      </c>
      <c r="R222" s="141">
        <f>ROUND(Q222*IF(AND(offer_incoterms="DDP",seller_region="RU"),IF((TODAY()+offer_turnaround_time)&gt;=helpsheet!$L$17,rate_vatRU_from_26,rate_vatRu_till_25),0),2)</f>
        <v/>
      </c>
      <c r="S222" s="177">
        <f>Q222+IF(AND(offer_incoterms="DDP",seller_region="RU"),R222,0)</f>
        <v/>
      </c>
      <c r="T222" s="45" t="n"/>
      <c r="V222" s="57">
        <f>IF(Q222&gt;0,"показать","скрыть")</f>
        <v/>
      </c>
    </row>
    <row r="223" ht="15.75" customHeight="1">
      <c r="B223" s="809" t="n">
        <v>207</v>
      </c>
      <c r="C223" s="182">
        <f>IF(offer_sale_type="транзит",IFERROR(VLOOKUP($B223,calc_data,C$14+1,0),0),0)</f>
        <v/>
      </c>
      <c r="D223" s="280">
        <f>IF(offer_sale_type="транзит",IFERROR(VLOOKUP($B223,calc_data,D$14+1,0),0),0)</f>
        <v/>
      </c>
      <c r="E223" s="182">
        <f>IF(offer_sale_type="транзит",IFERROR(VLOOKUP($B223,calc_data,E$14+1,0),0),0)</f>
        <v/>
      </c>
      <c r="F223" s="182">
        <f>IF(offer_sale_type="транзит",IFERROR(VLOOKUP($B223,calc_data,F$14+1,0),0),0)</f>
        <v/>
      </c>
      <c r="G223" s="141">
        <f>IF(offer_sale_type="транзит",IFERROR(VLOOKUP($B223,calc_data,G$14+1,0),0),0)</f>
        <v/>
      </c>
      <c r="H223" s="141">
        <f>E223*G223</f>
        <v/>
      </c>
      <c r="I223" s="141">
        <f>IF(offer_sale_type="транзит",IFERROR(ROUND(VLOOKUP($B223,calc_data,I$14+1,0),2),0),0)</f>
        <v/>
      </c>
      <c r="J223" s="141">
        <f>ROUND(IF(offer_sale_type="транзит",IFERROR(VLOOKUP($B223,calc_data,J$14+1,0),0),0),2)</f>
        <v/>
      </c>
      <c r="K223" s="142">
        <f>IF(offer_sale_type="транзит",IFERROR(ROUNDUP(VLOOKUP($B223,calc_data,K$14+1,0),2),0),0)</f>
        <v/>
      </c>
      <c r="L223" s="184">
        <f>IF(offer_sale_type="транзит",IFERROR(ROUNDUP(VLOOKUP($B223,calc_data,L$14+1,0),2),0),0)</f>
        <v/>
      </c>
      <c r="M223" s="141">
        <f>IF(offer_sale_type="транзит",IFERROR(ROUNDUP(VLOOKUP($B223,calc_data,M$14+1,0),2),0),0)</f>
        <v/>
      </c>
      <c r="N223" s="141">
        <f>IF(offer_sale_type="транзит",IFERROR(ROUNDUP(VLOOKUP($B223,calc_data,N$14+1,0),2),0),0)</f>
        <v/>
      </c>
      <c r="O223" s="147">
        <f>IF(offer_sale_type="транзит",IFERROR(ROUND(VLOOKUP($B223,calc_data,O$14+1,1),2),0),0)</f>
        <v/>
      </c>
      <c r="P223" s="141">
        <f>IF(offer_sale_type="транзит",IFERROR(ROUND(SUM(I223:J223,M223:O223)/E223,2),0),0)</f>
        <v/>
      </c>
      <c r="Q223" s="141">
        <f>E223*P223</f>
        <v/>
      </c>
      <c r="R223" s="141">
        <f>ROUND(Q223*IF(AND(offer_incoterms="DDP",seller_region="RU"),IF((TODAY()+offer_turnaround_time)&gt;=helpsheet!$L$17,rate_vatRU_from_26,rate_vatRu_till_25),0),2)</f>
        <v/>
      </c>
      <c r="S223" s="177">
        <f>Q223+IF(AND(offer_incoterms="DDP",seller_region="RU"),R223,0)</f>
        <v/>
      </c>
      <c r="T223" s="45" t="n"/>
      <c r="V223" s="57">
        <f>IF(Q223&gt;0,"показать","скрыть")</f>
        <v/>
      </c>
    </row>
    <row r="224" ht="15.75" customHeight="1">
      <c r="B224" s="809" t="n">
        <v>208</v>
      </c>
      <c r="C224" s="182">
        <f>IF(offer_sale_type="транзит",IFERROR(VLOOKUP($B224,calc_data,C$14+1,0),0),0)</f>
        <v/>
      </c>
      <c r="D224" s="280">
        <f>IF(offer_sale_type="транзит",IFERROR(VLOOKUP($B224,calc_data,D$14+1,0),0),0)</f>
        <v/>
      </c>
      <c r="E224" s="182">
        <f>IF(offer_sale_type="транзит",IFERROR(VLOOKUP($B224,calc_data,E$14+1,0),0),0)</f>
        <v/>
      </c>
      <c r="F224" s="182">
        <f>IF(offer_sale_type="транзит",IFERROR(VLOOKUP($B224,calc_data,F$14+1,0),0),0)</f>
        <v/>
      </c>
      <c r="G224" s="141">
        <f>IF(offer_sale_type="транзит",IFERROR(VLOOKUP($B224,calc_data,G$14+1,0),0),0)</f>
        <v/>
      </c>
      <c r="H224" s="141">
        <f>E224*G224</f>
        <v/>
      </c>
      <c r="I224" s="141">
        <f>IF(offer_sale_type="транзит",IFERROR(ROUND(VLOOKUP($B224,calc_data,I$14+1,0),2),0),0)</f>
        <v/>
      </c>
      <c r="J224" s="141">
        <f>ROUND(IF(offer_sale_type="транзит",IFERROR(VLOOKUP($B224,calc_data,J$14+1,0),0),0),2)</f>
        <v/>
      </c>
      <c r="K224" s="142">
        <f>IF(offer_sale_type="транзит",IFERROR(ROUNDUP(VLOOKUP($B224,calc_data,K$14+1,0),2),0),0)</f>
        <v/>
      </c>
      <c r="L224" s="184">
        <f>IF(offer_sale_type="транзит",IFERROR(ROUNDUP(VLOOKUP($B224,calc_data,L$14+1,0),2),0),0)</f>
        <v/>
      </c>
      <c r="M224" s="141">
        <f>IF(offer_sale_type="транзит",IFERROR(ROUNDUP(VLOOKUP($B224,calc_data,M$14+1,0),2),0),0)</f>
        <v/>
      </c>
      <c r="N224" s="141">
        <f>IF(offer_sale_type="транзит",IFERROR(ROUNDUP(VLOOKUP($B224,calc_data,N$14+1,0),2),0),0)</f>
        <v/>
      </c>
      <c r="O224" s="147">
        <f>IF(offer_sale_type="транзит",IFERROR(ROUND(VLOOKUP($B224,calc_data,O$14+1,1),2),0),0)</f>
        <v/>
      </c>
      <c r="P224" s="141">
        <f>IF(offer_sale_type="транзит",IFERROR(ROUND(SUM(I224:J224,M224:O224)/E224,2),0),0)</f>
        <v/>
      </c>
      <c r="Q224" s="141">
        <f>E224*P224</f>
        <v/>
      </c>
      <c r="R224" s="141">
        <f>ROUND(Q224*IF(AND(offer_incoterms="DDP",seller_region="RU"),IF((TODAY()+offer_turnaround_time)&gt;=helpsheet!$L$17,rate_vatRU_from_26,rate_vatRu_till_25),0),2)</f>
        <v/>
      </c>
      <c r="S224" s="177">
        <f>Q224+IF(AND(offer_incoterms="DDP",seller_region="RU"),R224,0)</f>
        <v/>
      </c>
      <c r="T224" s="45" t="n"/>
      <c r="V224" s="57">
        <f>IF(Q224&gt;0,"показать","скрыть")</f>
        <v/>
      </c>
    </row>
    <row r="225" ht="15.75" customHeight="1">
      <c r="B225" s="809" t="n">
        <v>209</v>
      </c>
      <c r="C225" s="182">
        <f>IF(offer_sale_type="транзит",IFERROR(VLOOKUP($B225,calc_data,C$14+1,0),0),0)</f>
        <v/>
      </c>
      <c r="D225" s="280">
        <f>IF(offer_sale_type="транзит",IFERROR(VLOOKUP($B225,calc_data,D$14+1,0),0),0)</f>
        <v/>
      </c>
      <c r="E225" s="182">
        <f>IF(offer_sale_type="транзит",IFERROR(VLOOKUP($B225,calc_data,E$14+1,0),0),0)</f>
        <v/>
      </c>
      <c r="F225" s="182">
        <f>IF(offer_sale_type="транзит",IFERROR(VLOOKUP($B225,calc_data,F$14+1,0),0),0)</f>
        <v/>
      </c>
      <c r="G225" s="141">
        <f>IF(offer_sale_type="транзит",IFERROR(VLOOKUP($B225,calc_data,G$14+1,0),0),0)</f>
        <v/>
      </c>
      <c r="H225" s="141">
        <f>E225*G225</f>
        <v/>
      </c>
      <c r="I225" s="141">
        <f>IF(offer_sale_type="транзит",IFERROR(ROUND(VLOOKUP($B225,calc_data,I$14+1,0),2),0),0)</f>
        <v/>
      </c>
      <c r="J225" s="141">
        <f>ROUND(IF(offer_sale_type="транзит",IFERROR(VLOOKUP($B225,calc_data,J$14+1,0),0),0),2)</f>
        <v/>
      </c>
      <c r="K225" s="142">
        <f>IF(offer_sale_type="транзит",IFERROR(ROUNDUP(VLOOKUP($B225,calc_data,K$14+1,0),2),0),0)</f>
        <v/>
      </c>
      <c r="L225" s="184">
        <f>IF(offer_sale_type="транзит",IFERROR(ROUNDUP(VLOOKUP($B225,calc_data,L$14+1,0),2),0),0)</f>
        <v/>
      </c>
      <c r="M225" s="141">
        <f>IF(offer_sale_type="транзит",IFERROR(ROUNDUP(VLOOKUP($B225,calc_data,M$14+1,0),2),0),0)</f>
        <v/>
      </c>
      <c r="N225" s="141">
        <f>IF(offer_sale_type="транзит",IFERROR(ROUNDUP(VLOOKUP($B225,calc_data,N$14+1,0),2),0),0)</f>
        <v/>
      </c>
      <c r="O225" s="147">
        <f>IF(offer_sale_type="транзит",IFERROR(ROUND(VLOOKUP($B225,calc_data,O$14+1,1),2),0),0)</f>
        <v/>
      </c>
      <c r="P225" s="141">
        <f>IF(offer_sale_type="транзит",IFERROR(ROUND(SUM(I225:J225,M225:O225)/E225,2),0),0)</f>
        <v/>
      </c>
      <c r="Q225" s="141">
        <f>E225*P225</f>
        <v/>
      </c>
      <c r="R225" s="141">
        <f>ROUND(Q225*IF(AND(offer_incoterms="DDP",seller_region="RU"),IF((TODAY()+offer_turnaround_time)&gt;=helpsheet!$L$17,rate_vatRU_from_26,rate_vatRu_till_25),0),2)</f>
        <v/>
      </c>
      <c r="S225" s="177">
        <f>Q225+IF(AND(offer_incoterms="DDP",seller_region="RU"),R225,0)</f>
        <v/>
      </c>
      <c r="T225" s="45" t="n"/>
      <c r="V225" s="57">
        <f>IF(Q225&gt;0,"показать","скрыть")</f>
        <v/>
      </c>
    </row>
    <row r="226" ht="15.75" customHeight="1">
      <c r="B226" s="809" t="n">
        <v>210</v>
      </c>
      <c r="C226" s="182">
        <f>IF(offer_sale_type="транзит",IFERROR(VLOOKUP($B226,calc_data,C$14+1,0),0),0)</f>
        <v/>
      </c>
      <c r="D226" s="280">
        <f>IF(offer_sale_type="транзит",IFERROR(VLOOKUP($B226,calc_data,D$14+1,0),0),0)</f>
        <v/>
      </c>
      <c r="E226" s="182">
        <f>IF(offer_sale_type="транзит",IFERROR(VLOOKUP($B226,calc_data,E$14+1,0),0),0)</f>
        <v/>
      </c>
      <c r="F226" s="182">
        <f>IF(offer_sale_type="транзит",IFERROR(VLOOKUP($B226,calc_data,F$14+1,0),0),0)</f>
        <v/>
      </c>
      <c r="G226" s="141">
        <f>IF(offer_sale_type="транзит",IFERROR(VLOOKUP($B226,calc_data,G$14+1,0),0),0)</f>
        <v/>
      </c>
      <c r="H226" s="141">
        <f>E226*G226</f>
        <v/>
      </c>
      <c r="I226" s="141">
        <f>IF(offer_sale_type="транзит",IFERROR(ROUND(VLOOKUP($B226,calc_data,I$14+1,0),2),0),0)</f>
        <v/>
      </c>
      <c r="J226" s="141">
        <f>ROUND(IF(offer_sale_type="транзит",IFERROR(VLOOKUP($B226,calc_data,J$14+1,0),0),0),2)</f>
        <v/>
      </c>
      <c r="K226" s="142">
        <f>IF(offer_sale_type="транзит",IFERROR(ROUNDUP(VLOOKUP($B226,calc_data,K$14+1,0),2),0),0)</f>
        <v/>
      </c>
      <c r="L226" s="184">
        <f>IF(offer_sale_type="транзит",IFERROR(ROUNDUP(VLOOKUP($B226,calc_data,L$14+1,0),2),0),0)</f>
        <v/>
      </c>
      <c r="M226" s="141">
        <f>IF(offer_sale_type="транзит",IFERROR(ROUNDUP(VLOOKUP($B226,calc_data,M$14+1,0),2),0),0)</f>
        <v/>
      </c>
      <c r="N226" s="141">
        <f>IF(offer_sale_type="транзит",IFERROR(ROUNDUP(VLOOKUP($B226,calc_data,N$14+1,0),2),0),0)</f>
        <v/>
      </c>
      <c r="O226" s="147">
        <f>IF(offer_sale_type="транзит",IFERROR(ROUND(VLOOKUP($B226,calc_data,O$14+1,1),2),0),0)</f>
        <v/>
      </c>
      <c r="P226" s="141">
        <f>IF(offer_sale_type="транзит",IFERROR(ROUND(SUM(I226:J226,M226:O226)/E226,2),0),0)</f>
        <v/>
      </c>
      <c r="Q226" s="141">
        <f>E226*P226</f>
        <v/>
      </c>
      <c r="R226" s="141">
        <f>ROUND(Q226*IF(AND(offer_incoterms="DDP",seller_region="RU"),IF((TODAY()+offer_turnaround_time)&gt;=helpsheet!$L$17,rate_vatRU_from_26,rate_vatRu_till_25),0),2)</f>
        <v/>
      </c>
      <c r="S226" s="177">
        <f>Q226+IF(AND(offer_incoterms="DDP",seller_region="RU"),R226,0)</f>
        <v/>
      </c>
      <c r="T226" s="45" t="n"/>
      <c r="V226" s="57">
        <f>IF(Q226&gt;0,"показать","скрыть")</f>
        <v/>
      </c>
    </row>
    <row r="227" ht="15.75" customHeight="1">
      <c r="B227" s="809" t="n">
        <v>211</v>
      </c>
      <c r="C227" s="182">
        <f>IF(offer_sale_type="транзит",IFERROR(VLOOKUP($B227,calc_data,C$14+1,0),0),0)</f>
        <v/>
      </c>
      <c r="D227" s="280">
        <f>IF(offer_sale_type="транзит",IFERROR(VLOOKUP($B227,calc_data,D$14+1,0),0),0)</f>
        <v/>
      </c>
      <c r="E227" s="182">
        <f>IF(offer_sale_type="транзит",IFERROR(VLOOKUP($B227,calc_data,E$14+1,0),0),0)</f>
        <v/>
      </c>
      <c r="F227" s="182">
        <f>IF(offer_sale_type="транзит",IFERROR(VLOOKUP($B227,calc_data,F$14+1,0),0),0)</f>
        <v/>
      </c>
      <c r="G227" s="141">
        <f>IF(offer_sale_type="транзит",IFERROR(VLOOKUP($B227,calc_data,G$14+1,0),0),0)</f>
        <v/>
      </c>
      <c r="H227" s="141">
        <f>E227*G227</f>
        <v/>
      </c>
      <c r="I227" s="141">
        <f>IF(offer_sale_type="транзит",IFERROR(ROUND(VLOOKUP($B227,calc_data,I$14+1,0),2),0),0)</f>
        <v/>
      </c>
      <c r="J227" s="141">
        <f>ROUND(IF(offer_sale_type="транзит",IFERROR(VLOOKUP($B227,calc_data,J$14+1,0),0),0),2)</f>
        <v/>
      </c>
      <c r="K227" s="142">
        <f>IF(offer_sale_type="транзит",IFERROR(ROUNDUP(VLOOKUP($B227,calc_data,K$14+1,0),2),0),0)</f>
        <v/>
      </c>
      <c r="L227" s="184">
        <f>IF(offer_sale_type="транзит",IFERROR(ROUNDUP(VLOOKUP($B227,calc_data,L$14+1,0),2),0),0)</f>
        <v/>
      </c>
      <c r="M227" s="141">
        <f>IF(offer_sale_type="транзит",IFERROR(ROUNDUP(VLOOKUP($B227,calc_data,M$14+1,0),2),0),0)</f>
        <v/>
      </c>
      <c r="N227" s="141">
        <f>IF(offer_sale_type="транзит",IFERROR(ROUNDUP(VLOOKUP($B227,calc_data,N$14+1,0),2),0),0)</f>
        <v/>
      </c>
      <c r="O227" s="147">
        <f>IF(offer_sale_type="транзит",IFERROR(ROUND(VLOOKUP($B227,calc_data,O$14+1,1),2),0),0)</f>
        <v/>
      </c>
      <c r="P227" s="141">
        <f>IF(offer_sale_type="транзит",IFERROR(ROUND(SUM(I227:J227,M227:O227)/E227,2),0),0)</f>
        <v/>
      </c>
      <c r="Q227" s="141">
        <f>E227*P227</f>
        <v/>
      </c>
      <c r="R227" s="141">
        <f>ROUND(Q227*IF(AND(offer_incoterms="DDP",seller_region="RU"),IF((TODAY()+offer_turnaround_time)&gt;=helpsheet!$L$17,rate_vatRU_from_26,rate_vatRu_till_25),0),2)</f>
        <v/>
      </c>
      <c r="S227" s="177">
        <f>Q227+IF(AND(offer_incoterms="DDP",seller_region="RU"),R227,0)</f>
        <v/>
      </c>
      <c r="T227" s="45" t="n"/>
      <c r="V227" s="57">
        <f>IF(Q227&gt;0,"показать","скрыть")</f>
        <v/>
      </c>
    </row>
    <row r="228" ht="15.75" customHeight="1">
      <c r="B228" s="809" t="n">
        <v>212</v>
      </c>
      <c r="C228" s="182">
        <f>IF(offer_sale_type="транзит",IFERROR(VLOOKUP($B228,calc_data,C$14+1,0),0),0)</f>
        <v/>
      </c>
      <c r="D228" s="280">
        <f>IF(offer_sale_type="транзит",IFERROR(VLOOKUP($B228,calc_data,D$14+1,0),0),0)</f>
        <v/>
      </c>
      <c r="E228" s="182">
        <f>IF(offer_sale_type="транзит",IFERROR(VLOOKUP($B228,calc_data,E$14+1,0),0),0)</f>
        <v/>
      </c>
      <c r="F228" s="182">
        <f>IF(offer_sale_type="транзит",IFERROR(VLOOKUP($B228,calc_data,F$14+1,0),0),0)</f>
        <v/>
      </c>
      <c r="G228" s="141">
        <f>IF(offer_sale_type="транзит",IFERROR(VLOOKUP($B228,calc_data,G$14+1,0),0),0)</f>
        <v/>
      </c>
      <c r="H228" s="141">
        <f>E228*G228</f>
        <v/>
      </c>
      <c r="I228" s="141">
        <f>IF(offer_sale_type="транзит",IFERROR(ROUND(VLOOKUP($B228,calc_data,I$14+1,0),2),0),0)</f>
        <v/>
      </c>
      <c r="J228" s="141">
        <f>ROUND(IF(offer_sale_type="транзит",IFERROR(VLOOKUP($B228,calc_data,J$14+1,0),0),0),2)</f>
        <v/>
      </c>
      <c r="K228" s="142">
        <f>IF(offer_sale_type="транзит",IFERROR(ROUNDUP(VLOOKUP($B228,calc_data,K$14+1,0),2),0),0)</f>
        <v/>
      </c>
      <c r="L228" s="184">
        <f>IF(offer_sale_type="транзит",IFERROR(ROUNDUP(VLOOKUP($B228,calc_data,L$14+1,0),2),0),0)</f>
        <v/>
      </c>
      <c r="M228" s="141">
        <f>IF(offer_sale_type="транзит",IFERROR(ROUNDUP(VLOOKUP($B228,calc_data,M$14+1,0),2),0),0)</f>
        <v/>
      </c>
      <c r="N228" s="141">
        <f>IF(offer_sale_type="транзит",IFERROR(ROUNDUP(VLOOKUP($B228,calc_data,N$14+1,0),2),0),0)</f>
        <v/>
      </c>
      <c r="O228" s="147">
        <f>IF(offer_sale_type="транзит",IFERROR(ROUND(VLOOKUP($B228,calc_data,O$14+1,1),2),0),0)</f>
        <v/>
      </c>
      <c r="P228" s="141">
        <f>IF(offer_sale_type="транзит",IFERROR(ROUND(SUM(I228:J228,M228:O228)/E228,2),0),0)</f>
        <v/>
      </c>
      <c r="Q228" s="141">
        <f>E228*P228</f>
        <v/>
      </c>
      <c r="R228" s="141">
        <f>ROUND(Q228*IF(AND(offer_incoterms="DDP",seller_region="RU"),IF((TODAY()+offer_turnaround_time)&gt;=helpsheet!$L$17,rate_vatRU_from_26,rate_vatRu_till_25),0),2)</f>
        <v/>
      </c>
      <c r="S228" s="177">
        <f>Q228+IF(AND(offer_incoterms="DDP",seller_region="RU"),R228,0)</f>
        <v/>
      </c>
      <c r="T228" s="45" t="n"/>
      <c r="V228" s="57">
        <f>IF(Q228&gt;0,"показать","скрыть")</f>
        <v/>
      </c>
    </row>
    <row r="229" ht="15.75" customHeight="1">
      <c r="B229" s="809" t="n">
        <v>213</v>
      </c>
      <c r="C229" s="182">
        <f>IF(offer_sale_type="транзит",IFERROR(VLOOKUP($B229,calc_data,C$14+1,0),0),0)</f>
        <v/>
      </c>
      <c r="D229" s="280">
        <f>IF(offer_sale_type="транзит",IFERROR(VLOOKUP($B229,calc_data,D$14+1,0),0),0)</f>
        <v/>
      </c>
      <c r="E229" s="182">
        <f>IF(offer_sale_type="транзит",IFERROR(VLOOKUP($B229,calc_data,E$14+1,0),0),0)</f>
        <v/>
      </c>
      <c r="F229" s="182">
        <f>IF(offer_sale_type="транзит",IFERROR(VLOOKUP($B229,calc_data,F$14+1,0),0),0)</f>
        <v/>
      </c>
      <c r="G229" s="141">
        <f>IF(offer_sale_type="транзит",IFERROR(VLOOKUP($B229,calc_data,G$14+1,0),0),0)</f>
        <v/>
      </c>
      <c r="H229" s="141">
        <f>E229*G229</f>
        <v/>
      </c>
      <c r="I229" s="141">
        <f>IF(offer_sale_type="транзит",IFERROR(ROUND(VLOOKUP($B229,calc_data,I$14+1,0),2),0),0)</f>
        <v/>
      </c>
      <c r="J229" s="141">
        <f>ROUND(IF(offer_sale_type="транзит",IFERROR(VLOOKUP($B229,calc_data,J$14+1,0),0),0),2)</f>
        <v/>
      </c>
      <c r="K229" s="142">
        <f>IF(offer_sale_type="транзит",IFERROR(ROUNDUP(VLOOKUP($B229,calc_data,K$14+1,0),2),0),0)</f>
        <v/>
      </c>
      <c r="L229" s="184">
        <f>IF(offer_sale_type="транзит",IFERROR(ROUNDUP(VLOOKUP($B229,calc_data,L$14+1,0),2),0),0)</f>
        <v/>
      </c>
      <c r="M229" s="141">
        <f>IF(offer_sale_type="транзит",IFERROR(ROUNDUP(VLOOKUP($B229,calc_data,M$14+1,0),2),0),0)</f>
        <v/>
      </c>
      <c r="N229" s="141">
        <f>IF(offer_sale_type="транзит",IFERROR(ROUNDUP(VLOOKUP($B229,calc_data,N$14+1,0),2),0),0)</f>
        <v/>
      </c>
      <c r="O229" s="147">
        <f>IF(offer_sale_type="транзит",IFERROR(ROUND(VLOOKUP($B229,calc_data,O$14+1,1),2),0),0)</f>
        <v/>
      </c>
      <c r="P229" s="141">
        <f>IF(offer_sale_type="транзит",IFERROR(ROUND(SUM(I229:J229,M229:O229)/E229,2),0),0)</f>
        <v/>
      </c>
      <c r="Q229" s="141">
        <f>E229*P229</f>
        <v/>
      </c>
      <c r="R229" s="141">
        <f>ROUND(Q229*IF(AND(offer_incoterms="DDP",seller_region="RU"),IF((TODAY()+offer_turnaround_time)&gt;=helpsheet!$L$17,rate_vatRU_from_26,rate_vatRu_till_25),0),2)</f>
        <v/>
      </c>
      <c r="S229" s="177">
        <f>Q229+IF(AND(offer_incoterms="DDP",seller_region="RU"),R229,0)</f>
        <v/>
      </c>
      <c r="T229" s="45" t="n"/>
      <c r="V229" s="57">
        <f>IF(Q229&gt;0,"показать","скрыть")</f>
        <v/>
      </c>
    </row>
    <row r="230" ht="15.75" customHeight="1">
      <c r="B230" s="809" t="n">
        <v>214</v>
      </c>
      <c r="C230" s="182">
        <f>IF(offer_sale_type="транзит",IFERROR(VLOOKUP($B230,calc_data,C$14+1,0),0),0)</f>
        <v/>
      </c>
      <c r="D230" s="280">
        <f>IF(offer_sale_type="транзит",IFERROR(VLOOKUP($B230,calc_data,D$14+1,0),0),0)</f>
        <v/>
      </c>
      <c r="E230" s="182">
        <f>IF(offer_sale_type="транзит",IFERROR(VLOOKUP($B230,calc_data,E$14+1,0),0),0)</f>
        <v/>
      </c>
      <c r="F230" s="182">
        <f>IF(offer_sale_type="транзит",IFERROR(VLOOKUP($B230,calc_data,F$14+1,0),0),0)</f>
        <v/>
      </c>
      <c r="G230" s="141">
        <f>IF(offer_sale_type="транзит",IFERROR(VLOOKUP($B230,calc_data,G$14+1,0),0),0)</f>
        <v/>
      </c>
      <c r="H230" s="141">
        <f>E230*G230</f>
        <v/>
      </c>
      <c r="I230" s="141">
        <f>IF(offer_sale_type="транзит",IFERROR(ROUND(VLOOKUP($B230,calc_data,I$14+1,0),2),0),0)</f>
        <v/>
      </c>
      <c r="J230" s="141">
        <f>ROUND(IF(offer_sale_type="транзит",IFERROR(VLOOKUP($B230,calc_data,J$14+1,0),0),0),2)</f>
        <v/>
      </c>
      <c r="K230" s="142">
        <f>IF(offer_sale_type="транзит",IFERROR(ROUNDUP(VLOOKUP($B230,calc_data,K$14+1,0),2),0),0)</f>
        <v/>
      </c>
      <c r="L230" s="184">
        <f>IF(offer_sale_type="транзит",IFERROR(ROUNDUP(VLOOKUP($B230,calc_data,L$14+1,0),2),0),0)</f>
        <v/>
      </c>
      <c r="M230" s="141">
        <f>IF(offer_sale_type="транзит",IFERROR(ROUNDUP(VLOOKUP($B230,calc_data,M$14+1,0),2),0),0)</f>
        <v/>
      </c>
      <c r="N230" s="141">
        <f>IF(offer_sale_type="транзит",IFERROR(ROUNDUP(VLOOKUP($B230,calc_data,N$14+1,0),2),0),0)</f>
        <v/>
      </c>
      <c r="O230" s="147">
        <f>IF(offer_sale_type="транзит",IFERROR(ROUND(VLOOKUP($B230,calc_data,O$14+1,1),2),0),0)</f>
        <v/>
      </c>
      <c r="P230" s="141">
        <f>IF(offer_sale_type="транзит",IFERROR(ROUND(SUM(I230:J230,M230:O230)/E230,2),0),0)</f>
        <v/>
      </c>
      <c r="Q230" s="141">
        <f>E230*P230</f>
        <v/>
      </c>
      <c r="R230" s="141">
        <f>ROUND(Q230*IF(AND(offer_incoterms="DDP",seller_region="RU"),IF((TODAY()+offer_turnaround_time)&gt;=helpsheet!$L$17,rate_vatRU_from_26,rate_vatRu_till_25),0),2)</f>
        <v/>
      </c>
      <c r="S230" s="177">
        <f>Q230+IF(AND(offer_incoterms="DDP",seller_region="RU"),R230,0)</f>
        <v/>
      </c>
      <c r="T230" s="45" t="n"/>
      <c r="V230" s="57">
        <f>IF(Q230&gt;0,"показать","скрыть")</f>
        <v/>
      </c>
    </row>
    <row r="231" ht="15.75" customHeight="1">
      <c r="B231" s="809" t="n">
        <v>215</v>
      </c>
      <c r="C231" s="182">
        <f>IF(offer_sale_type="транзит",IFERROR(VLOOKUP($B231,calc_data,C$14+1,0),0),0)</f>
        <v/>
      </c>
      <c r="D231" s="280">
        <f>IF(offer_sale_type="транзит",IFERROR(VLOOKUP($B231,calc_data,D$14+1,0),0),0)</f>
        <v/>
      </c>
      <c r="E231" s="182">
        <f>IF(offer_sale_type="транзит",IFERROR(VLOOKUP($B231,calc_data,E$14+1,0),0),0)</f>
        <v/>
      </c>
      <c r="F231" s="182">
        <f>IF(offer_sale_type="транзит",IFERROR(VLOOKUP($B231,calc_data,F$14+1,0),0),0)</f>
        <v/>
      </c>
      <c r="G231" s="141">
        <f>IF(offer_sale_type="транзит",IFERROR(VLOOKUP($B231,calc_data,G$14+1,0),0),0)</f>
        <v/>
      </c>
      <c r="H231" s="141">
        <f>E231*G231</f>
        <v/>
      </c>
      <c r="I231" s="141">
        <f>IF(offer_sale_type="транзит",IFERROR(ROUND(VLOOKUP($B231,calc_data,I$14+1,0),2),0),0)</f>
        <v/>
      </c>
      <c r="J231" s="141">
        <f>ROUND(IF(offer_sale_type="транзит",IFERROR(VLOOKUP($B231,calc_data,J$14+1,0),0),0),2)</f>
        <v/>
      </c>
      <c r="K231" s="142">
        <f>IF(offer_sale_type="транзит",IFERROR(ROUNDUP(VLOOKUP($B231,calc_data,K$14+1,0),2),0),0)</f>
        <v/>
      </c>
      <c r="L231" s="184">
        <f>IF(offer_sale_type="транзит",IFERROR(ROUNDUP(VLOOKUP($B231,calc_data,L$14+1,0),2),0),0)</f>
        <v/>
      </c>
      <c r="M231" s="141">
        <f>IF(offer_sale_type="транзит",IFERROR(ROUNDUP(VLOOKUP($B231,calc_data,M$14+1,0),2),0),0)</f>
        <v/>
      </c>
      <c r="N231" s="141">
        <f>IF(offer_sale_type="транзит",IFERROR(ROUNDUP(VLOOKUP($B231,calc_data,N$14+1,0),2),0),0)</f>
        <v/>
      </c>
      <c r="O231" s="147">
        <f>IF(offer_sale_type="транзит",IFERROR(ROUND(VLOOKUP($B231,calc_data,O$14+1,1),2),0),0)</f>
        <v/>
      </c>
      <c r="P231" s="141">
        <f>IF(offer_sale_type="транзит",IFERROR(ROUND(SUM(I231:J231,M231:O231)/E231,2),0),0)</f>
        <v/>
      </c>
      <c r="Q231" s="141">
        <f>E231*P231</f>
        <v/>
      </c>
      <c r="R231" s="141">
        <f>ROUND(Q231*IF(AND(offer_incoterms="DDP",seller_region="RU"),IF((TODAY()+offer_turnaround_time)&gt;=helpsheet!$L$17,rate_vatRU_from_26,rate_vatRu_till_25),0),2)</f>
        <v/>
      </c>
      <c r="S231" s="177">
        <f>Q231+IF(AND(offer_incoterms="DDP",seller_region="RU"),R231,0)</f>
        <v/>
      </c>
      <c r="T231" s="45" t="n"/>
      <c r="V231" s="57">
        <f>IF(Q231&gt;0,"показать","скрыть")</f>
        <v/>
      </c>
    </row>
    <row r="232" ht="15.75" customHeight="1">
      <c r="B232" s="809" t="n">
        <v>216</v>
      </c>
      <c r="C232" s="182">
        <f>IF(offer_sale_type="транзит",IFERROR(VLOOKUP($B232,calc_data,C$14+1,0),0),0)</f>
        <v/>
      </c>
      <c r="D232" s="280">
        <f>IF(offer_sale_type="транзит",IFERROR(VLOOKUP($B232,calc_data,D$14+1,0),0),0)</f>
        <v/>
      </c>
      <c r="E232" s="182">
        <f>IF(offer_sale_type="транзит",IFERROR(VLOOKUP($B232,calc_data,E$14+1,0),0),0)</f>
        <v/>
      </c>
      <c r="F232" s="182">
        <f>IF(offer_sale_type="транзит",IFERROR(VLOOKUP($B232,calc_data,F$14+1,0),0),0)</f>
        <v/>
      </c>
      <c r="G232" s="141">
        <f>IF(offer_sale_type="транзит",IFERROR(VLOOKUP($B232,calc_data,G$14+1,0),0),0)</f>
        <v/>
      </c>
      <c r="H232" s="141">
        <f>E232*G232</f>
        <v/>
      </c>
      <c r="I232" s="141">
        <f>IF(offer_sale_type="транзит",IFERROR(ROUND(VLOOKUP($B232,calc_data,I$14+1,0),2),0),0)</f>
        <v/>
      </c>
      <c r="J232" s="141">
        <f>ROUND(IF(offer_sale_type="транзит",IFERROR(VLOOKUP($B232,calc_data,J$14+1,0),0),0),2)</f>
        <v/>
      </c>
      <c r="K232" s="142">
        <f>IF(offer_sale_type="транзит",IFERROR(ROUNDUP(VLOOKUP($B232,calc_data,K$14+1,0),2),0),0)</f>
        <v/>
      </c>
      <c r="L232" s="184">
        <f>IF(offer_sale_type="транзит",IFERROR(ROUNDUP(VLOOKUP($B232,calc_data,L$14+1,0),2),0),0)</f>
        <v/>
      </c>
      <c r="M232" s="141">
        <f>IF(offer_sale_type="транзит",IFERROR(ROUNDUP(VLOOKUP($B232,calc_data,M$14+1,0),2),0),0)</f>
        <v/>
      </c>
      <c r="N232" s="141">
        <f>IF(offer_sale_type="транзит",IFERROR(ROUNDUP(VLOOKUP($B232,calc_data,N$14+1,0),2),0),0)</f>
        <v/>
      </c>
      <c r="O232" s="147">
        <f>IF(offer_sale_type="транзит",IFERROR(ROUND(VLOOKUP($B232,calc_data,O$14+1,1),2),0),0)</f>
        <v/>
      </c>
      <c r="P232" s="141">
        <f>IF(offer_sale_type="транзит",IFERROR(ROUND(SUM(I232:J232,M232:O232)/E232,2),0),0)</f>
        <v/>
      </c>
      <c r="Q232" s="141">
        <f>E232*P232</f>
        <v/>
      </c>
      <c r="R232" s="141">
        <f>ROUND(Q232*IF(AND(offer_incoterms="DDP",seller_region="RU"),IF((TODAY()+offer_turnaround_time)&gt;=helpsheet!$L$17,rate_vatRU_from_26,rate_vatRu_till_25),0),2)</f>
        <v/>
      </c>
      <c r="S232" s="177">
        <f>Q232+IF(AND(offer_incoterms="DDP",seller_region="RU"),R232,0)</f>
        <v/>
      </c>
      <c r="T232" s="45" t="n"/>
      <c r="V232" s="57">
        <f>IF(Q232&gt;0,"показать","скрыть")</f>
        <v/>
      </c>
    </row>
    <row r="233" ht="15.75" customHeight="1">
      <c r="B233" s="809" t="n">
        <v>217</v>
      </c>
      <c r="C233" s="182">
        <f>IF(offer_sale_type="транзит",IFERROR(VLOOKUP($B233,calc_data,C$14+1,0),0),0)</f>
        <v/>
      </c>
      <c r="D233" s="280">
        <f>IF(offer_sale_type="транзит",IFERROR(VLOOKUP($B233,calc_data,D$14+1,0),0),0)</f>
        <v/>
      </c>
      <c r="E233" s="182">
        <f>IF(offer_sale_type="транзит",IFERROR(VLOOKUP($B233,calc_data,E$14+1,0),0),0)</f>
        <v/>
      </c>
      <c r="F233" s="182">
        <f>IF(offer_sale_type="транзит",IFERROR(VLOOKUP($B233,calc_data,F$14+1,0),0),0)</f>
        <v/>
      </c>
      <c r="G233" s="141">
        <f>IF(offer_sale_type="транзит",IFERROR(VLOOKUP($B233,calc_data,G$14+1,0),0),0)</f>
        <v/>
      </c>
      <c r="H233" s="141">
        <f>E233*G233</f>
        <v/>
      </c>
      <c r="I233" s="141">
        <f>IF(offer_sale_type="транзит",IFERROR(ROUND(VLOOKUP($B233,calc_data,I$14+1,0),2),0),0)</f>
        <v/>
      </c>
      <c r="J233" s="141">
        <f>ROUND(IF(offer_sale_type="транзит",IFERROR(VLOOKUP($B233,calc_data,J$14+1,0),0),0),2)</f>
        <v/>
      </c>
      <c r="K233" s="142">
        <f>IF(offer_sale_type="транзит",IFERROR(ROUNDUP(VLOOKUP($B233,calc_data,K$14+1,0),2),0),0)</f>
        <v/>
      </c>
      <c r="L233" s="184">
        <f>IF(offer_sale_type="транзит",IFERROR(ROUNDUP(VLOOKUP($B233,calc_data,L$14+1,0),2),0),0)</f>
        <v/>
      </c>
      <c r="M233" s="141">
        <f>IF(offer_sale_type="транзит",IFERROR(ROUNDUP(VLOOKUP($B233,calc_data,M$14+1,0),2),0),0)</f>
        <v/>
      </c>
      <c r="N233" s="141">
        <f>IF(offer_sale_type="транзит",IFERROR(ROUNDUP(VLOOKUP($B233,calc_data,N$14+1,0),2),0),0)</f>
        <v/>
      </c>
      <c r="O233" s="147">
        <f>IF(offer_sale_type="транзит",IFERROR(ROUND(VLOOKUP($B233,calc_data,O$14+1,1),2),0),0)</f>
        <v/>
      </c>
      <c r="P233" s="141">
        <f>IF(offer_sale_type="транзит",IFERROR(ROUND(SUM(I233:J233,M233:O233)/E233,2),0),0)</f>
        <v/>
      </c>
      <c r="Q233" s="141">
        <f>E233*P233</f>
        <v/>
      </c>
      <c r="R233" s="141">
        <f>ROUND(Q233*IF(AND(offer_incoterms="DDP",seller_region="RU"),IF((TODAY()+offer_turnaround_time)&gt;=helpsheet!$L$17,rate_vatRU_from_26,rate_vatRu_till_25),0),2)</f>
        <v/>
      </c>
      <c r="S233" s="177">
        <f>Q233+IF(AND(offer_incoterms="DDP",seller_region="RU"),R233,0)</f>
        <v/>
      </c>
      <c r="T233" s="45" t="n"/>
      <c r="V233" s="57">
        <f>IF(Q233&gt;0,"показать","скрыть")</f>
        <v/>
      </c>
    </row>
    <row r="234" ht="15.75" customHeight="1">
      <c r="B234" s="809" t="n">
        <v>218</v>
      </c>
      <c r="C234" s="182">
        <f>IF(offer_sale_type="транзит",IFERROR(VLOOKUP($B234,calc_data,C$14+1,0),0),0)</f>
        <v/>
      </c>
      <c r="D234" s="280">
        <f>IF(offer_sale_type="транзит",IFERROR(VLOOKUP($B234,calc_data,D$14+1,0),0),0)</f>
        <v/>
      </c>
      <c r="E234" s="182">
        <f>IF(offer_sale_type="транзит",IFERROR(VLOOKUP($B234,calc_data,E$14+1,0),0),0)</f>
        <v/>
      </c>
      <c r="F234" s="182">
        <f>IF(offer_sale_type="транзит",IFERROR(VLOOKUP($B234,calc_data,F$14+1,0),0),0)</f>
        <v/>
      </c>
      <c r="G234" s="141">
        <f>IF(offer_sale_type="транзит",IFERROR(VLOOKUP($B234,calc_data,G$14+1,0),0),0)</f>
        <v/>
      </c>
      <c r="H234" s="141">
        <f>E234*G234</f>
        <v/>
      </c>
      <c r="I234" s="141">
        <f>IF(offer_sale_type="транзит",IFERROR(ROUND(VLOOKUP($B234,calc_data,I$14+1,0),2),0),0)</f>
        <v/>
      </c>
      <c r="J234" s="141">
        <f>ROUND(IF(offer_sale_type="транзит",IFERROR(VLOOKUP($B234,calc_data,J$14+1,0),0),0),2)</f>
        <v/>
      </c>
      <c r="K234" s="142">
        <f>IF(offer_sale_type="транзит",IFERROR(ROUNDUP(VLOOKUP($B234,calc_data,K$14+1,0),2),0),0)</f>
        <v/>
      </c>
      <c r="L234" s="184">
        <f>IF(offer_sale_type="транзит",IFERROR(ROUNDUP(VLOOKUP($B234,calc_data,L$14+1,0),2),0),0)</f>
        <v/>
      </c>
      <c r="M234" s="141">
        <f>IF(offer_sale_type="транзит",IFERROR(ROUNDUP(VLOOKUP($B234,calc_data,M$14+1,0),2),0),0)</f>
        <v/>
      </c>
      <c r="N234" s="141">
        <f>IF(offer_sale_type="транзит",IFERROR(ROUNDUP(VLOOKUP($B234,calc_data,N$14+1,0),2),0),0)</f>
        <v/>
      </c>
      <c r="O234" s="147">
        <f>IF(offer_sale_type="транзит",IFERROR(ROUND(VLOOKUP($B234,calc_data,O$14+1,1),2),0),0)</f>
        <v/>
      </c>
      <c r="P234" s="141">
        <f>IF(offer_sale_type="транзит",IFERROR(ROUND(SUM(I234:J234,M234:O234)/E234,2),0),0)</f>
        <v/>
      </c>
      <c r="Q234" s="141">
        <f>E234*P234</f>
        <v/>
      </c>
      <c r="R234" s="141">
        <f>ROUND(Q234*IF(AND(offer_incoterms="DDP",seller_region="RU"),IF((TODAY()+offer_turnaround_time)&gt;=helpsheet!$L$17,rate_vatRU_from_26,rate_vatRu_till_25),0),2)</f>
        <v/>
      </c>
      <c r="S234" s="177">
        <f>Q234+IF(AND(offer_incoterms="DDP",seller_region="RU"),R234,0)</f>
        <v/>
      </c>
      <c r="T234" s="45" t="n"/>
      <c r="V234" s="57">
        <f>IF(Q234&gt;0,"показать","скрыть")</f>
        <v/>
      </c>
    </row>
    <row r="235" ht="15.75" customHeight="1">
      <c r="B235" s="809" t="n">
        <v>219</v>
      </c>
      <c r="C235" s="182">
        <f>IF(offer_sale_type="транзит",IFERROR(VLOOKUP($B235,calc_data,C$14+1,0),0),0)</f>
        <v/>
      </c>
      <c r="D235" s="280">
        <f>IF(offer_sale_type="транзит",IFERROR(VLOOKUP($B235,calc_data,D$14+1,0),0),0)</f>
        <v/>
      </c>
      <c r="E235" s="182">
        <f>IF(offer_sale_type="транзит",IFERROR(VLOOKUP($B235,calc_data,E$14+1,0),0),0)</f>
        <v/>
      </c>
      <c r="F235" s="182">
        <f>IF(offer_sale_type="транзит",IFERROR(VLOOKUP($B235,calc_data,F$14+1,0),0),0)</f>
        <v/>
      </c>
      <c r="G235" s="141">
        <f>IF(offer_sale_type="транзит",IFERROR(VLOOKUP($B235,calc_data,G$14+1,0),0),0)</f>
        <v/>
      </c>
      <c r="H235" s="141">
        <f>E235*G235</f>
        <v/>
      </c>
      <c r="I235" s="141">
        <f>IF(offer_sale_type="транзит",IFERROR(ROUND(VLOOKUP($B235,calc_data,I$14+1,0),2),0),0)</f>
        <v/>
      </c>
      <c r="J235" s="141">
        <f>ROUND(IF(offer_sale_type="транзит",IFERROR(VLOOKUP($B235,calc_data,J$14+1,0),0),0),2)</f>
        <v/>
      </c>
      <c r="K235" s="142">
        <f>IF(offer_sale_type="транзит",IFERROR(ROUNDUP(VLOOKUP($B235,calc_data,K$14+1,0),2),0),0)</f>
        <v/>
      </c>
      <c r="L235" s="184">
        <f>IF(offer_sale_type="транзит",IFERROR(ROUNDUP(VLOOKUP($B235,calc_data,L$14+1,0),2),0),0)</f>
        <v/>
      </c>
      <c r="M235" s="141">
        <f>IF(offer_sale_type="транзит",IFERROR(ROUNDUP(VLOOKUP($B235,calc_data,M$14+1,0),2),0),0)</f>
        <v/>
      </c>
      <c r="N235" s="141">
        <f>IF(offer_sale_type="транзит",IFERROR(ROUNDUP(VLOOKUP($B235,calc_data,N$14+1,0),2),0),0)</f>
        <v/>
      </c>
      <c r="O235" s="147">
        <f>IF(offer_sale_type="транзит",IFERROR(ROUND(VLOOKUP($B235,calc_data,O$14+1,1),2),0),0)</f>
        <v/>
      </c>
      <c r="P235" s="141">
        <f>IF(offer_sale_type="транзит",IFERROR(ROUND(SUM(I235:J235,M235:O235)/E235,2),0),0)</f>
        <v/>
      </c>
      <c r="Q235" s="141">
        <f>E235*P235</f>
        <v/>
      </c>
      <c r="R235" s="141">
        <f>ROUND(Q235*IF(AND(offer_incoterms="DDP",seller_region="RU"),IF((TODAY()+offer_turnaround_time)&gt;=helpsheet!$L$17,rate_vatRU_from_26,rate_vatRu_till_25),0),2)</f>
        <v/>
      </c>
      <c r="S235" s="177">
        <f>Q235+IF(AND(offer_incoterms="DDP",seller_region="RU"),R235,0)</f>
        <v/>
      </c>
      <c r="T235" s="45" t="n"/>
      <c r="V235" s="57">
        <f>IF(Q235&gt;0,"показать","скрыть")</f>
        <v/>
      </c>
    </row>
    <row r="236" ht="15.75" customHeight="1">
      <c r="B236" s="809" t="n">
        <v>220</v>
      </c>
      <c r="C236" s="182">
        <f>IF(offer_sale_type="транзит",IFERROR(VLOOKUP($B236,calc_data,C$14+1,0),0),0)</f>
        <v/>
      </c>
      <c r="D236" s="280">
        <f>IF(offer_sale_type="транзит",IFERROR(VLOOKUP($B236,calc_data,D$14+1,0),0),0)</f>
        <v/>
      </c>
      <c r="E236" s="182">
        <f>IF(offer_sale_type="транзит",IFERROR(VLOOKUP($B236,calc_data,E$14+1,0),0),0)</f>
        <v/>
      </c>
      <c r="F236" s="182">
        <f>IF(offer_sale_type="транзит",IFERROR(VLOOKUP($B236,calc_data,F$14+1,0),0),0)</f>
        <v/>
      </c>
      <c r="G236" s="141">
        <f>IF(offer_sale_type="транзит",IFERROR(VLOOKUP($B236,calc_data,G$14+1,0),0),0)</f>
        <v/>
      </c>
      <c r="H236" s="141">
        <f>E236*G236</f>
        <v/>
      </c>
      <c r="I236" s="141">
        <f>IF(offer_sale_type="транзит",IFERROR(ROUND(VLOOKUP($B236,calc_data,I$14+1,0),2),0),0)</f>
        <v/>
      </c>
      <c r="J236" s="141">
        <f>ROUND(IF(offer_sale_type="транзит",IFERROR(VLOOKUP($B236,calc_data,J$14+1,0),0),0),2)</f>
        <v/>
      </c>
      <c r="K236" s="142">
        <f>IF(offer_sale_type="транзит",IFERROR(ROUNDUP(VLOOKUP($B236,calc_data,K$14+1,0),2),0),0)</f>
        <v/>
      </c>
      <c r="L236" s="184">
        <f>IF(offer_sale_type="транзит",IFERROR(ROUNDUP(VLOOKUP($B236,calc_data,L$14+1,0),2),0),0)</f>
        <v/>
      </c>
      <c r="M236" s="141">
        <f>IF(offer_sale_type="транзит",IFERROR(ROUNDUP(VLOOKUP($B236,calc_data,M$14+1,0),2),0),0)</f>
        <v/>
      </c>
      <c r="N236" s="141">
        <f>IF(offer_sale_type="транзит",IFERROR(ROUNDUP(VLOOKUP($B236,calc_data,N$14+1,0),2),0),0)</f>
        <v/>
      </c>
      <c r="O236" s="147">
        <f>IF(offer_sale_type="транзит",IFERROR(ROUND(VLOOKUP($B236,calc_data,O$14+1,1),2),0),0)</f>
        <v/>
      </c>
      <c r="P236" s="141">
        <f>IF(offer_sale_type="транзит",IFERROR(ROUND(SUM(I236:J236,M236:O236)/E236,2),0),0)</f>
        <v/>
      </c>
      <c r="Q236" s="141">
        <f>E236*P236</f>
        <v/>
      </c>
      <c r="R236" s="141">
        <f>ROUND(Q236*IF(AND(offer_incoterms="DDP",seller_region="RU"),IF((TODAY()+offer_turnaround_time)&gt;=helpsheet!$L$17,rate_vatRU_from_26,rate_vatRu_till_25),0),2)</f>
        <v/>
      </c>
      <c r="S236" s="177">
        <f>Q236+IF(AND(offer_incoterms="DDP",seller_region="RU"),R236,0)</f>
        <v/>
      </c>
      <c r="T236" s="45" t="n"/>
      <c r="V236" s="57">
        <f>IF(Q236&gt;0,"показать","скрыть")</f>
        <v/>
      </c>
    </row>
    <row r="237" ht="15.75" customHeight="1">
      <c r="B237" s="809" t="n">
        <v>221</v>
      </c>
      <c r="C237" s="182">
        <f>IF(offer_sale_type="транзит",IFERROR(VLOOKUP($B237,calc_data,C$14+1,0),0),0)</f>
        <v/>
      </c>
      <c r="D237" s="280">
        <f>IF(offer_sale_type="транзит",IFERROR(VLOOKUP($B237,calc_data,D$14+1,0),0),0)</f>
        <v/>
      </c>
      <c r="E237" s="182">
        <f>IF(offer_sale_type="транзит",IFERROR(VLOOKUP($B237,calc_data,E$14+1,0),0),0)</f>
        <v/>
      </c>
      <c r="F237" s="182">
        <f>IF(offer_sale_type="транзит",IFERROR(VLOOKUP($B237,calc_data,F$14+1,0),0),0)</f>
        <v/>
      </c>
      <c r="G237" s="141">
        <f>IF(offer_sale_type="транзит",IFERROR(VLOOKUP($B237,calc_data,G$14+1,0),0),0)</f>
        <v/>
      </c>
      <c r="H237" s="141">
        <f>E237*G237</f>
        <v/>
      </c>
      <c r="I237" s="141">
        <f>IF(offer_sale_type="транзит",IFERROR(ROUND(VLOOKUP($B237,calc_data,I$14+1,0),2),0),0)</f>
        <v/>
      </c>
      <c r="J237" s="141">
        <f>ROUND(IF(offer_sale_type="транзит",IFERROR(VLOOKUP($B237,calc_data,J$14+1,0),0),0),2)</f>
        <v/>
      </c>
      <c r="K237" s="142">
        <f>IF(offer_sale_type="транзит",IFERROR(ROUNDUP(VLOOKUP($B237,calc_data,K$14+1,0),2),0),0)</f>
        <v/>
      </c>
      <c r="L237" s="184">
        <f>IF(offer_sale_type="транзит",IFERROR(ROUNDUP(VLOOKUP($B237,calc_data,L$14+1,0),2),0),0)</f>
        <v/>
      </c>
      <c r="M237" s="141">
        <f>IF(offer_sale_type="транзит",IFERROR(ROUNDUP(VLOOKUP($B237,calc_data,M$14+1,0),2),0),0)</f>
        <v/>
      </c>
      <c r="N237" s="141">
        <f>IF(offer_sale_type="транзит",IFERROR(ROUNDUP(VLOOKUP($B237,calc_data,N$14+1,0),2),0),0)</f>
        <v/>
      </c>
      <c r="O237" s="147">
        <f>IF(offer_sale_type="транзит",IFERROR(ROUND(VLOOKUP($B237,calc_data,O$14+1,1),2),0),0)</f>
        <v/>
      </c>
      <c r="P237" s="141">
        <f>IF(offer_sale_type="транзит",IFERROR(ROUND(SUM(I237:J237,M237:O237)/E237,2),0),0)</f>
        <v/>
      </c>
      <c r="Q237" s="141">
        <f>E237*P237</f>
        <v/>
      </c>
      <c r="R237" s="141">
        <f>ROUND(Q237*IF(AND(offer_incoterms="DDP",seller_region="RU"),IF((TODAY()+offer_turnaround_time)&gt;=helpsheet!$L$17,rate_vatRU_from_26,rate_vatRu_till_25),0),2)</f>
        <v/>
      </c>
      <c r="S237" s="177">
        <f>Q237+IF(AND(offer_incoterms="DDP",seller_region="RU"),R237,0)</f>
        <v/>
      </c>
      <c r="T237" s="45" t="n"/>
      <c r="V237" s="57">
        <f>IF(Q237&gt;0,"показать","скрыть")</f>
        <v/>
      </c>
    </row>
    <row r="238" ht="15.75" customHeight="1">
      <c r="B238" s="809" t="n">
        <v>222</v>
      </c>
      <c r="C238" s="182">
        <f>IF(offer_sale_type="транзит",IFERROR(VLOOKUP($B238,calc_data,C$14+1,0),0),0)</f>
        <v/>
      </c>
      <c r="D238" s="280">
        <f>IF(offer_sale_type="транзит",IFERROR(VLOOKUP($B238,calc_data,D$14+1,0),0),0)</f>
        <v/>
      </c>
      <c r="E238" s="182">
        <f>IF(offer_sale_type="транзит",IFERROR(VLOOKUP($B238,calc_data,E$14+1,0),0),0)</f>
        <v/>
      </c>
      <c r="F238" s="182">
        <f>IF(offer_sale_type="транзит",IFERROR(VLOOKUP($B238,calc_data,F$14+1,0),0),0)</f>
        <v/>
      </c>
      <c r="G238" s="141">
        <f>IF(offer_sale_type="транзит",IFERROR(VLOOKUP($B238,calc_data,G$14+1,0),0),0)</f>
        <v/>
      </c>
      <c r="H238" s="141">
        <f>E238*G238</f>
        <v/>
      </c>
      <c r="I238" s="141">
        <f>IF(offer_sale_type="транзит",IFERROR(ROUND(VLOOKUP($B238,calc_data,I$14+1,0),2),0),0)</f>
        <v/>
      </c>
      <c r="J238" s="141">
        <f>ROUND(IF(offer_sale_type="транзит",IFERROR(VLOOKUP($B238,calc_data,J$14+1,0),0),0),2)</f>
        <v/>
      </c>
      <c r="K238" s="142">
        <f>IF(offer_sale_type="транзит",IFERROR(ROUNDUP(VLOOKUP($B238,calc_data,K$14+1,0),2),0),0)</f>
        <v/>
      </c>
      <c r="L238" s="184">
        <f>IF(offer_sale_type="транзит",IFERROR(ROUNDUP(VLOOKUP($B238,calc_data,L$14+1,0),2),0),0)</f>
        <v/>
      </c>
      <c r="M238" s="141">
        <f>IF(offer_sale_type="транзит",IFERROR(ROUNDUP(VLOOKUP($B238,calc_data,M$14+1,0),2),0),0)</f>
        <v/>
      </c>
      <c r="N238" s="141">
        <f>IF(offer_sale_type="транзит",IFERROR(ROUNDUP(VLOOKUP($B238,calc_data,N$14+1,0),2),0),0)</f>
        <v/>
      </c>
      <c r="O238" s="147">
        <f>IF(offer_sale_type="транзит",IFERROR(ROUND(VLOOKUP($B238,calc_data,O$14+1,1),2),0),0)</f>
        <v/>
      </c>
      <c r="P238" s="141">
        <f>IF(offer_sale_type="транзит",IFERROR(ROUND(SUM(I238:J238,M238:O238)/E238,2),0),0)</f>
        <v/>
      </c>
      <c r="Q238" s="141">
        <f>E238*P238</f>
        <v/>
      </c>
      <c r="R238" s="141">
        <f>ROUND(Q238*IF(AND(offer_incoterms="DDP",seller_region="RU"),IF((TODAY()+offer_turnaround_time)&gt;=helpsheet!$L$17,rate_vatRU_from_26,rate_vatRu_till_25),0),2)</f>
        <v/>
      </c>
      <c r="S238" s="177">
        <f>Q238+IF(AND(offer_incoterms="DDP",seller_region="RU"),R238,0)</f>
        <v/>
      </c>
      <c r="T238" s="45" t="n"/>
      <c r="V238" s="57">
        <f>IF(Q238&gt;0,"показать","скрыть")</f>
        <v/>
      </c>
    </row>
    <row r="239" ht="15.75" customHeight="1">
      <c r="B239" s="809" t="n">
        <v>223</v>
      </c>
      <c r="C239" s="182">
        <f>IF(offer_sale_type="транзит",IFERROR(VLOOKUP($B239,calc_data,C$14+1,0),0),0)</f>
        <v/>
      </c>
      <c r="D239" s="280">
        <f>IF(offer_sale_type="транзит",IFERROR(VLOOKUP($B239,calc_data,D$14+1,0),0),0)</f>
        <v/>
      </c>
      <c r="E239" s="182">
        <f>IF(offer_sale_type="транзит",IFERROR(VLOOKUP($B239,calc_data,E$14+1,0),0),0)</f>
        <v/>
      </c>
      <c r="F239" s="182">
        <f>IF(offer_sale_type="транзит",IFERROR(VLOOKUP($B239,calc_data,F$14+1,0),0),0)</f>
        <v/>
      </c>
      <c r="G239" s="141">
        <f>IF(offer_sale_type="транзит",IFERROR(VLOOKUP($B239,calc_data,G$14+1,0),0),0)</f>
        <v/>
      </c>
      <c r="H239" s="141">
        <f>E239*G239</f>
        <v/>
      </c>
      <c r="I239" s="141">
        <f>IF(offer_sale_type="транзит",IFERROR(ROUND(VLOOKUP($B239,calc_data,I$14+1,0),2),0),0)</f>
        <v/>
      </c>
      <c r="J239" s="141">
        <f>ROUND(IF(offer_sale_type="транзит",IFERROR(VLOOKUP($B239,calc_data,J$14+1,0),0),0),2)</f>
        <v/>
      </c>
      <c r="K239" s="142">
        <f>IF(offer_sale_type="транзит",IFERROR(ROUNDUP(VLOOKUP($B239,calc_data,K$14+1,0),2),0),0)</f>
        <v/>
      </c>
      <c r="L239" s="184">
        <f>IF(offer_sale_type="транзит",IFERROR(ROUNDUP(VLOOKUP($B239,calc_data,L$14+1,0),2),0),0)</f>
        <v/>
      </c>
      <c r="M239" s="141">
        <f>IF(offer_sale_type="транзит",IFERROR(ROUNDUP(VLOOKUP($B239,calc_data,M$14+1,0),2),0),0)</f>
        <v/>
      </c>
      <c r="N239" s="141">
        <f>IF(offer_sale_type="транзит",IFERROR(ROUNDUP(VLOOKUP($B239,calc_data,N$14+1,0),2),0),0)</f>
        <v/>
      </c>
      <c r="O239" s="147">
        <f>IF(offer_sale_type="транзит",IFERROR(ROUND(VLOOKUP($B239,calc_data,O$14+1,1),2),0),0)</f>
        <v/>
      </c>
      <c r="P239" s="141">
        <f>IF(offer_sale_type="транзит",IFERROR(ROUND(SUM(I239:J239,M239:O239)/E239,2),0),0)</f>
        <v/>
      </c>
      <c r="Q239" s="141">
        <f>E239*P239</f>
        <v/>
      </c>
      <c r="R239" s="141">
        <f>ROUND(Q239*IF(AND(offer_incoterms="DDP",seller_region="RU"),IF((TODAY()+offer_turnaround_time)&gt;=helpsheet!$L$17,rate_vatRU_from_26,rate_vatRu_till_25),0),2)</f>
        <v/>
      </c>
      <c r="S239" s="177">
        <f>Q239+IF(AND(offer_incoterms="DDP",seller_region="RU"),R239,0)</f>
        <v/>
      </c>
      <c r="T239" s="45" t="n"/>
      <c r="V239" s="57">
        <f>IF(Q239&gt;0,"показать","скрыть")</f>
        <v/>
      </c>
    </row>
    <row r="240" ht="15.75" customHeight="1">
      <c r="B240" s="809" t="n">
        <v>224</v>
      </c>
      <c r="C240" s="182">
        <f>IF(offer_sale_type="транзит",IFERROR(VLOOKUP($B240,calc_data,C$14+1,0),0),0)</f>
        <v/>
      </c>
      <c r="D240" s="280">
        <f>IF(offer_sale_type="транзит",IFERROR(VLOOKUP($B240,calc_data,D$14+1,0),0),0)</f>
        <v/>
      </c>
      <c r="E240" s="182">
        <f>IF(offer_sale_type="транзит",IFERROR(VLOOKUP($B240,calc_data,E$14+1,0),0),0)</f>
        <v/>
      </c>
      <c r="F240" s="182">
        <f>IF(offer_sale_type="транзит",IFERROR(VLOOKUP($B240,calc_data,F$14+1,0),0),0)</f>
        <v/>
      </c>
      <c r="G240" s="141">
        <f>IF(offer_sale_type="транзит",IFERROR(VLOOKUP($B240,calc_data,G$14+1,0),0),0)</f>
        <v/>
      </c>
      <c r="H240" s="141">
        <f>E240*G240</f>
        <v/>
      </c>
      <c r="I240" s="141">
        <f>IF(offer_sale_type="транзит",IFERROR(ROUND(VLOOKUP($B240,calc_data,I$14+1,0),2),0),0)</f>
        <v/>
      </c>
      <c r="J240" s="141">
        <f>ROUND(IF(offer_sale_type="транзит",IFERROR(VLOOKUP($B240,calc_data,J$14+1,0),0),0),2)</f>
        <v/>
      </c>
      <c r="K240" s="142">
        <f>IF(offer_sale_type="транзит",IFERROR(ROUNDUP(VLOOKUP($B240,calc_data,K$14+1,0),2),0),0)</f>
        <v/>
      </c>
      <c r="L240" s="184">
        <f>IF(offer_sale_type="транзит",IFERROR(ROUNDUP(VLOOKUP($B240,calc_data,L$14+1,0),2),0),0)</f>
        <v/>
      </c>
      <c r="M240" s="141">
        <f>IF(offer_sale_type="транзит",IFERROR(ROUNDUP(VLOOKUP($B240,calc_data,M$14+1,0),2),0),0)</f>
        <v/>
      </c>
      <c r="N240" s="141">
        <f>IF(offer_sale_type="транзит",IFERROR(ROUNDUP(VLOOKUP($B240,calc_data,N$14+1,0),2),0),0)</f>
        <v/>
      </c>
      <c r="O240" s="147">
        <f>IF(offer_sale_type="транзит",IFERROR(ROUND(VLOOKUP($B240,calc_data,O$14+1,1),2),0),0)</f>
        <v/>
      </c>
      <c r="P240" s="141">
        <f>IF(offer_sale_type="транзит",IFERROR(ROUND(SUM(I240:J240,M240:O240)/E240,2),0),0)</f>
        <v/>
      </c>
      <c r="Q240" s="141">
        <f>E240*P240</f>
        <v/>
      </c>
      <c r="R240" s="141">
        <f>ROUND(Q240*IF(AND(offer_incoterms="DDP",seller_region="RU"),IF((TODAY()+offer_turnaround_time)&gt;=helpsheet!$L$17,rate_vatRU_from_26,rate_vatRu_till_25),0),2)</f>
        <v/>
      </c>
      <c r="S240" s="177">
        <f>Q240+IF(AND(offer_incoterms="DDP",seller_region="RU"),R240,0)</f>
        <v/>
      </c>
      <c r="T240" s="45" t="n"/>
      <c r="V240" s="57">
        <f>IF(Q240&gt;0,"показать","скрыть")</f>
        <v/>
      </c>
    </row>
    <row r="241" ht="15.75" customHeight="1">
      <c r="B241" s="809" t="n">
        <v>225</v>
      </c>
      <c r="C241" s="182">
        <f>IF(offer_sale_type="транзит",IFERROR(VLOOKUP($B241,calc_data,C$14+1,0),0),0)</f>
        <v/>
      </c>
      <c r="D241" s="280">
        <f>IF(offer_sale_type="транзит",IFERROR(VLOOKUP($B241,calc_data,D$14+1,0),0),0)</f>
        <v/>
      </c>
      <c r="E241" s="182">
        <f>IF(offer_sale_type="транзит",IFERROR(VLOOKUP($B241,calc_data,E$14+1,0),0),0)</f>
        <v/>
      </c>
      <c r="F241" s="182">
        <f>IF(offer_sale_type="транзит",IFERROR(VLOOKUP($B241,calc_data,F$14+1,0),0),0)</f>
        <v/>
      </c>
      <c r="G241" s="141">
        <f>IF(offer_sale_type="транзит",IFERROR(VLOOKUP($B241,calc_data,G$14+1,0),0),0)</f>
        <v/>
      </c>
      <c r="H241" s="141">
        <f>E241*G241</f>
        <v/>
      </c>
      <c r="I241" s="141">
        <f>IF(offer_sale_type="транзит",IFERROR(ROUND(VLOOKUP($B241,calc_data,I$14+1,0),2),0),0)</f>
        <v/>
      </c>
      <c r="J241" s="141">
        <f>ROUND(IF(offer_sale_type="транзит",IFERROR(VLOOKUP($B241,calc_data,J$14+1,0),0),0),2)</f>
        <v/>
      </c>
      <c r="K241" s="142">
        <f>IF(offer_sale_type="транзит",IFERROR(ROUNDUP(VLOOKUP($B241,calc_data,K$14+1,0),2),0),0)</f>
        <v/>
      </c>
      <c r="L241" s="184">
        <f>IF(offer_sale_type="транзит",IFERROR(ROUNDUP(VLOOKUP($B241,calc_data,L$14+1,0),2),0),0)</f>
        <v/>
      </c>
      <c r="M241" s="141">
        <f>IF(offer_sale_type="транзит",IFERROR(ROUNDUP(VLOOKUP($B241,calc_data,M$14+1,0),2),0),0)</f>
        <v/>
      </c>
      <c r="N241" s="141">
        <f>IF(offer_sale_type="транзит",IFERROR(ROUNDUP(VLOOKUP($B241,calc_data,N$14+1,0),2),0),0)</f>
        <v/>
      </c>
      <c r="O241" s="147">
        <f>IF(offer_sale_type="транзит",IFERROR(ROUND(VLOOKUP($B241,calc_data,O$14+1,1),2),0),0)</f>
        <v/>
      </c>
      <c r="P241" s="141">
        <f>IF(offer_sale_type="транзит",IFERROR(ROUND(SUM(I241:J241,M241:O241)/E241,2),0),0)</f>
        <v/>
      </c>
      <c r="Q241" s="141">
        <f>E241*P241</f>
        <v/>
      </c>
      <c r="R241" s="141">
        <f>ROUND(Q241*IF(AND(offer_incoterms="DDP",seller_region="RU"),IF((TODAY()+offer_turnaround_time)&gt;=helpsheet!$L$17,rate_vatRU_from_26,rate_vatRu_till_25),0),2)</f>
        <v/>
      </c>
      <c r="S241" s="177">
        <f>Q241+IF(AND(offer_incoterms="DDP",seller_region="RU"),R241,0)</f>
        <v/>
      </c>
      <c r="T241" s="45" t="n"/>
      <c r="V241" s="57">
        <f>IF(Q241&gt;0,"показать","скрыть")</f>
        <v/>
      </c>
    </row>
    <row r="242" ht="15.75" customHeight="1">
      <c r="B242" s="809" t="n">
        <v>226</v>
      </c>
      <c r="C242" s="182">
        <f>IF(offer_sale_type="транзит",IFERROR(VLOOKUP($B242,calc_data,C$14+1,0),0),0)</f>
        <v/>
      </c>
      <c r="D242" s="280">
        <f>IF(offer_sale_type="транзит",IFERROR(VLOOKUP($B242,calc_data,D$14+1,0),0),0)</f>
        <v/>
      </c>
      <c r="E242" s="182">
        <f>IF(offer_sale_type="транзит",IFERROR(VLOOKUP($B242,calc_data,E$14+1,0),0),0)</f>
        <v/>
      </c>
      <c r="F242" s="182">
        <f>IF(offer_sale_type="транзит",IFERROR(VLOOKUP($B242,calc_data,F$14+1,0),0),0)</f>
        <v/>
      </c>
      <c r="G242" s="141">
        <f>IF(offer_sale_type="транзит",IFERROR(VLOOKUP($B242,calc_data,G$14+1,0),0),0)</f>
        <v/>
      </c>
      <c r="H242" s="141">
        <f>E242*G242</f>
        <v/>
      </c>
      <c r="I242" s="141">
        <f>IF(offer_sale_type="транзит",IFERROR(ROUND(VLOOKUP($B242,calc_data,I$14+1,0),2),0),0)</f>
        <v/>
      </c>
      <c r="J242" s="141">
        <f>ROUND(IF(offer_sale_type="транзит",IFERROR(VLOOKUP($B242,calc_data,J$14+1,0),0),0),2)</f>
        <v/>
      </c>
      <c r="K242" s="142">
        <f>IF(offer_sale_type="транзит",IFERROR(ROUNDUP(VLOOKUP($B242,calc_data,K$14+1,0),2),0),0)</f>
        <v/>
      </c>
      <c r="L242" s="184">
        <f>IF(offer_sale_type="транзит",IFERROR(ROUNDUP(VLOOKUP($B242,calc_data,L$14+1,0),2),0),0)</f>
        <v/>
      </c>
      <c r="M242" s="141">
        <f>IF(offer_sale_type="транзит",IFERROR(ROUNDUP(VLOOKUP($B242,calc_data,M$14+1,0),2),0),0)</f>
        <v/>
      </c>
      <c r="N242" s="141">
        <f>IF(offer_sale_type="транзит",IFERROR(ROUNDUP(VLOOKUP($B242,calc_data,N$14+1,0),2),0),0)</f>
        <v/>
      </c>
      <c r="O242" s="147">
        <f>IF(offer_sale_type="транзит",IFERROR(ROUND(VLOOKUP($B242,calc_data,O$14+1,1),2),0),0)</f>
        <v/>
      </c>
      <c r="P242" s="141">
        <f>IF(offer_sale_type="транзит",IFERROR(ROUND(SUM(I242:J242,M242:O242)/E242,2),0),0)</f>
        <v/>
      </c>
      <c r="Q242" s="141">
        <f>E242*P242</f>
        <v/>
      </c>
      <c r="R242" s="141">
        <f>ROUND(Q242*IF(AND(offer_incoterms="DDP",seller_region="RU"),IF((TODAY()+offer_turnaround_time)&gt;=helpsheet!$L$17,rate_vatRU_from_26,rate_vatRu_till_25),0),2)</f>
        <v/>
      </c>
      <c r="S242" s="177">
        <f>Q242+IF(AND(offer_incoterms="DDP",seller_region="RU"),R242,0)</f>
        <v/>
      </c>
      <c r="T242" s="45" t="n"/>
      <c r="V242" s="57">
        <f>IF(Q242&gt;0,"показать","скрыть")</f>
        <v/>
      </c>
    </row>
    <row r="243" ht="15.75" customHeight="1">
      <c r="B243" s="809" t="n">
        <v>227</v>
      </c>
      <c r="C243" s="182">
        <f>IF(offer_sale_type="транзит",IFERROR(VLOOKUP($B243,calc_data,C$14+1,0),0),0)</f>
        <v/>
      </c>
      <c r="D243" s="280">
        <f>IF(offer_sale_type="транзит",IFERROR(VLOOKUP($B243,calc_data,D$14+1,0),0),0)</f>
        <v/>
      </c>
      <c r="E243" s="182">
        <f>IF(offer_sale_type="транзит",IFERROR(VLOOKUP($B243,calc_data,E$14+1,0),0),0)</f>
        <v/>
      </c>
      <c r="F243" s="182">
        <f>IF(offer_sale_type="транзит",IFERROR(VLOOKUP($B243,calc_data,F$14+1,0),0),0)</f>
        <v/>
      </c>
      <c r="G243" s="141">
        <f>IF(offer_sale_type="транзит",IFERROR(VLOOKUP($B243,calc_data,G$14+1,0),0),0)</f>
        <v/>
      </c>
      <c r="H243" s="141">
        <f>E243*G243</f>
        <v/>
      </c>
      <c r="I243" s="141">
        <f>IF(offer_sale_type="транзит",IFERROR(ROUND(VLOOKUP($B243,calc_data,I$14+1,0),2),0),0)</f>
        <v/>
      </c>
      <c r="J243" s="141">
        <f>ROUND(IF(offer_sale_type="транзит",IFERROR(VLOOKUP($B243,calc_data,J$14+1,0),0),0),2)</f>
        <v/>
      </c>
      <c r="K243" s="142">
        <f>IF(offer_sale_type="транзит",IFERROR(ROUNDUP(VLOOKUP($B243,calc_data,K$14+1,0),2),0),0)</f>
        <v/>
      </c>
      <c r="L243" s="184">
        <f>IF(offer_sale_type="транзит",IFERROR(ROUNDUP(VLOOKUP($B243,calc_data,L$14+1,0),2),0),0)</f>
        <v/>
      </c>
      <c r="M243" s="141">
        <f>IF(offer_sale_type="транзит",IFERROR(ROUNDUP(VLOOKUP($B243,calc_data,M$14+1,0),2),0),0)</f>
        <v/>
      </c>
      <c r="N243" s="141">
        <f>IF(offer_sale_type="транзит",IFERROR(ROUNDUP(VLOOKUP($B243,calc_data,N$14+1,0),2),0),0)</f>
        <v/>
      </c>
      <c r="O243" s="147">
        <f>IF(offer_sale_type="транзит",IFERROR(ROUND(VLOOKUP($B243,calc_data,O$14+1,1),2),0),0)</f>
        <v/>
      </c>
      <c r="P243" s="141">
        <f>IF(offer_sale_type="транзит",IFERROR(ROUND(SUM(I243:J243,M243:O243)/E243,2),0),0)</f>
        <v/>
      </c>
      <c r="Q243" s="141">
        <f>E243*P243</f>
        <v/>
      </c>
      <c r="R243" s="141">
        <f>ROUND(Q243*IF(AND(offer_incoterms="DDP",seller_region="RU"),IF((TODAY()+offer_turnaround_time)&gt;=helpsheet!$L$17,rate_vatRU_from_26,rate_vatRu_till_25),0),2)</f>
        <v/>
      </c>
      <c r="S243" s="177">
        <f>Q243+IF(AND(offer_incoterms="DDP",seller_region="RU"),R243,0)</f>
        <v/>
      </c>
      <c r="T243" s="45" t="n"/>
      <c r="V243" s="57">
        <f>IF(Q243&gt;0,"показать","скрыть")</f>
        <v/>
      </c>
    </row>
    <row r="244" ht="15.75" customHeight="1">
      <c r="B244" s="809" t="n">
        <v>228</v>
      </c>
      <c r="C244" s="182">
        <f>IF(offer_sale_type="транзит",IFERROR(VLOOKUP($B244,calc_data,C$14+1,0),0),0)</f>
        <v/>
      </c>
      <c r="D244" s="280">
        <f>IF(offer_sale_type="транзит",IFERROR(VLOOKUP($B244,calc_data,D$14+1,0),0),0)</f>
        <v/>
      </c>
      <c r="E244" s="182">
        <f>IF(offer_sale_type="транзит",IFERROR(VLOOKUP($B244,calc_data,E$14+1,0),0),0)</f>
        <v/>
      </c>
      <c r="F244" s="182">
        <f>IF(offer_sale_type="транзит",IFERROR(VLOOKUP($B244,calc_data,F$14+1,0),0),0)</f>
        <v/>
      </c>
      <c r="G244" s="141">
        <f>IF(offer_sale_type="транзит",IFERROR(VLOOKUP($B244,calc_data,G$14+1,0),0),0)</f>
        <v/>
      </c>
      <c r="H244" s="141">
        <f>E244*G244</f>
        <v/>
      </c>
      <c r="I244" s="141">
        <f>IF(offer_sale_type="транзит",IFERROR(ROUND(VLOOKUP($B244,calc_data,I$14+1,0),2),0),0)</f>
        <v/>
      </c>
      <c r="J244" s="141">
        <f>ROUND(IF(offer_sale_type="транзит",IFERROR(VLOOKUP($B244,calc_data,J$14+1,0),0),0),2)</f>
        <v/>
      </c>
      <c r="K244" s="142">
        <f>IF(offer_sale_type="транзит",IFERROR(ROUNDUP(VLOOKUP($B244,calc_data,K$14+1,0),2),0),0)</f>
        <v/>
      </c>
      <c r="L244" s="184">
        <f>IF(offer_sale_type="транзит",IFERROR(ROUNDUP(VLOOKUP($B244,calc_data,L$14+1,0),2),0),0)</f>
        <v/>
      </c>
      <c r="M244" s="141">
        <f>IF(offer_sale_type="транзит",IFERROR(ROUNDUP(VLOOKUP($B244,calc_data,M$14+1,0),2),0),0)</f>
        <v/>
      </c>
      <c r="N244" s="141">
        <f>IF(offer_sale_type="транзит",IFERROR(ROUNDUP(VLOOKUP($B244,calc_data,N$14+1,0),2),0),0)</f>
        <v/>
      </c>
      <c r="O244" s="147">
        <f>IF(offer_sale_type="транзит",IFERROR(ROUND(VLOOKUP($B244,calc_data,O$14+1,1),2),0),0)</f>
        <v/>
      </c>
      <c r="P244" s="141">
        <f>IF(offer_sale_type="транзит",IFERROR(ROUND(SUM(I244:J244,M244:O244)/E244,2),0),0)</f>
        <v/>
      </c>
      <c r="Q244" s="141">
        <f>E244*P244</f>
        <v/>
      </c>
      <c r="R244" s="141">
        <f>ROUND(Q244*IF(AND(offer_incoterms="DDP",seller_region="RU"),IF((TODAY()+offer_turnaround_time)&gt;=helpsheet!$L$17,rate_vatRU_from_26,rate_vatRu_till_25),0),2)</f>
        <v/>
      </c>
      <c r="S244" s="177">
        <f>Q244+IF(AND(offer_incoterms="DDP",seller_region="RU"),R244,0)</f>
        <v/>
      </c>
      <c r="T244" s="45" t="n"/>
      <c r="V244" s="57">
        <f>IF(Q244&gt;0,"показать","скрыть")</f>
        <v/>
      </c>
    </row>
    <row r="245" ht="15.75" customHeight="1">
      <c r="B245" s="809" t="n">
        <v>229</v>
      </c>
      <c r="C245" s="182">
        <f>IF(offer_sale_type="транзит",IFERROR(VLOOKUP($B245,calc_data,C$14+1,0),0),0)</f>
        <v/>
      </c>
      <c r="D245" s="280">
        <f>IF(offer_sale_type="транзит",IFERROR(VLOOKUP($B245,calc_data,D$14+1,0),0),0)</f>
        <v/>
      </c>
      <c r="E245" s="182">
        <f>IF(offer_sale_type="транзит",IFERROR(VLOOKUP($B245,calc_data,E$14+1,0),0),0)</f>
        <v/>
      </c>
      <c r="F245" s="182">
        <f>IF(offer_sale_type="транзит",IFERROR(VLOOKUP($B245,calc_data,F$14+1,0),0),0)</f>
        <v/>
      </c>
      <c r="G245" s="141">
        <f>IF(offer_sale_type="транзит",IFERROR(VLOOKUP($B245,calc_data,G$14+1,0),0),0)</f>
        <v/>
      </c>
      <c r="H245" s="141">
        <f>E245*G245</f>
        <v/>
      </c>
      <c r="I245" s="141">
        <f>IF(offer_sale_type="транзит",IFERROR(ROUND(VLOOKUP($B245,calc_data,I$14+1,0),2),0),0)</f>
        <v/>
      </c>
      <c r="J245" s="141">
        <f>ROUND(IF(offer_sale_type="транзит",IFERROR(VLOOKUP($B245,calc_data,J$14+1,0),0),0),2)</f>
        <v/>
      </c>
      <c r="K245" s="142">
        <f>IF(offer_sale_type="транзит",IFERROR(ROUNDUP(VLOOKUP($B245,calc_data,K$14+1,0),2),0),0)</f>
        <v/>
      </c>
      <c r="L245" s="184">
        <f>IF(offer_sale_type="транзит",IFERROR(ROUNDUP(VLOOKUP($B245,calc_data,L$14+1,0),2),0),0)</f>
        <v/>
      </c>
      <c r="M245" s="141">
        <f>IF(offer_sale_type="транзит",IFERROR(ROUNDUP(VLOOKUP($B245,calc_data,M$14+1,0),2),0),0)</f>
        <v/>
      </c>
      <c r="N245" s="141">
        <f>IF(offer_sale_type="транзит",IFERROR(ROUNDUP(VLOOKUP($B245,calc_data,N$14+1,0),2),0),0)</f>
        <v/>
      </c>
      <c r="O245" s="147">
        <f>IF(offer_sale_type="транзит",IFERROR(ROUND(VLOOKUP($B245,calc_data,O$14+1,1),2),0),0)</f>
        <v/>
      </c>
      <c r="P245" s="141">
        <f>IF(offer_sale_type="транзит",IFERROR(ROUND(SUM(I245:J245,M245:O245)/E245,2),0),0)</f>
        <v/>
      </c>
      <c r="Q245" s="141">
        <f>E245*P245</f>
        <v/>
      </c>
      <c r="R245" s="141">
        <f>ROUND(Q245*IF(AND(offer_incoterms="DDP",seller_region="RU"),IF((TODAY()+offer_turnaround_time)&gt;=helpsheet!$L$17,rate_vatRU_from_26,rate_vatRu_till_25),0),2)</f>
        <v/>
      </c>
      <c r="S245" s="177">
        <f>Q245+IF(AND(offer_incoterms="DDP",seller_region="RU"),R245,0)</f>
        <v/>
      </c>
      <c r="T245" s="45" t="n"/>
      <c r="V245" s="57">
        <f>IF(Q245&gt;0,"показать","скрыть")</f>
        <v/>
      </c>
    </row>
    <row r="246" ht="15.75" customHeight="1">
      <c r="B246" s="809" t="n">
        <v>230</v>
      </c>
      <c r="C246" s="182">
        <f>IF(offer_sale_type="транзит",IFERROR(VLOOKUP($B246,calc_data,C$14+1,0),0),0)</f>
        <v/>
      </c>
      <c r="D246" s="280">
        <f>IF(offer_sale_type="транзит",IFERROR(VLOOKUP($B246,calc_data,D$14+1,0),0),0)</f>
        <v/>
      </c>
      <c r="E246" s="182">
        <f>IF(offer_sale_type="транзит",IFERROR(VLOOKUP($B246,calc_data,E$14+1,0),0),0)</f>
        <v/>
      </c>
      <c r="F246" s="182">
        <f>IF(offer_sale_type="транзит",IFERROR(VLOOKUP($B246,calc_data,F$14+1,0),0),0)</f>
        <v/>
      </c>
      <c r="G246" s="141">
        <f>IF(offer_sale_type="транзит",IFERROR(VLOOKUP($B246,calc_data,G$14+1,0),0),0)</f>
        <v/>
      </c>
      <c r="H246" s="141">
        <f>E246*G246</f>
        <v/>
      </c>
      <c r="I246" s="141">
        <f>IF(offer_sale_type="транзит",IFERROR(ROUND(VLOOKUP($B246,calc_data,I$14+1,0),2),0),0)</f>
        <v/>
      </c>
      <c r="J246" s="141">
        <f>ROUND(IF(offer_sale_type="транзит",IFERROR(VLOOKUP($B246,calc_data,J$14+1,0),0),0),2)</f>
        <v/>
      </c>
      <c r="K246" s="142">
        <f>IF(offer_sale_type="транзит",IFERROR(ROUNDUP(VLOOKUP($B246,calc_data,K$14+1,0),2),0),0)</f>
        <v/>
      </c>
      <c r="L246" s="184">
        <f>IF(offer_sale_type="транзит",IFERROR(ROUNDUP(VLOOKUP($B246,calc_data,L$14+1,0),2),0),0)</f>
        <v/>
      </c>
      <c r="M246" s="141">
        <f>IF(offer_sale_type="транзит",IFERROR(ROUNDUP(VLOOKUP($B246,calc_data,M$14+1,0),2),0),0)</f>
        <v/>
      </c>
      <c r="N246" s="141">
        <f>IF(offer_sale_type="транзит",IFERROR(ROUNDUP(VLOOKUP($B246,calc_data,N$14+1,0),2),0),0)</f>
        <v/>
      </c>
      <c r="O246" s="147">
        <f>IF(offer_sale_type="транзит",IFERROR(ROUND(VLOOKUP($B246,calc_data,O$14+1,1),2),0),0)</f>
        <v/>
      </c>
      <c r="P246" s="141">
        <f>IF(offer_sale_type="транзит",IFERROR(ROUND(SUM(I246:J246,M246:O246)/E246,2),0),0)</f>
        <v/>
      </c>
      <c r="Q246" s="141">
        <f>E246*P246</f>
        <v/>
      </c>
      <c r="R246" s="141">
        <f>ROUND(Q246*IF(AND(offer_incoterms="DDP",seller_region="RU"),IF((TODAY()+offer_turnaround_time)&gt;=helpsheet!$L$17,rate_vatRU_from_26,rate_vatRu_till_25),0),2)</f>
        <v/>
      </c>
      <c r="S246" s="177">
        <f>Q246+IF(AND(offer_incoterms="DDP",seller_region="RU"),R246,0)</f>
        <v/>
      </c>
      <c r="T246" s="45" t="n"/>
      <c r="V246" s="57">
        <f>IF(Q246&gt;0,"показать","скрыть")</f>
        <v/>
      </c>
    </row>
    <row r="247" ht="15.75" customHeight="1">
      <c r="B247" s="809" t="n">
        <v>231</v>
      </c>
      <c r="C247" s="182">
        <f>IF(offer_sale_type="транзит",IFERROR(VLOOKUP($B247,calc_data,C$14+1,0),0),0)</f>
        <v/>
      </c>
      <c r="D247" s="280">
        <f>IF(offer_sale_type="транзит",IFERROR(VLOOKUP($B247,calc_data,D$14+1,0),0),0)</f>
        <v/>
      </c>
      <c r="E247" s="182">
        <f>IF(offer_sale_type="транзит",IFERROR(VLOOKUP($B247,calc_data,E$14+1,0),0),0)</f>
        <v/>
      </c>
      <c r="F247" s="182">
        <f>IF(offer_sale_type="транзит",IFERROR(VLOOKUP($B247,calc_data,F$14+1,0),0),0)</f>
        <v/>
      </c>
      <c r="G247" s="141">
        <f>IF(offer_sale_type="транзит",IFERROR(VLOOKUP($B247,calc_data,G$14+1,0),0),0)</f>
        <v/>
      </c>
      <c r="H247" s="141">
        <f>E247*G247</f>
        <v/>
      </c>
      <c r="I247" s="141">
        <f>IF(offer_sale_type="транзит",IFERROR(ROUND(VLOOKUP($B247,calc_data,I$14+1,0),2),0),0)</f>
        <v/>
      </c>
      <c r="J247" s="141">
        <f>ROUND(IF(offer_sale_type="транзит",IFERROR(VLOOKUP($B247,calc_data,J$14+1,0),0),0),2)</f>
        <v/>
      </c>
      <c r="K247" s="142">
        <f>IF(offer_sale_type="транзит",IFERROR(ROUNDUP(VLOOKUP($B247,calc_data,K$14+1,0),2),0),0)</f>
        <v/>
      </c>
      <c r="L247" s="184">
        <f>IF(offer_sale_type="транзит",IFERROR(ROUNDUP(VLOOKUP($B247,calc_data,L$14+1,0),2),0),0)</f>
        <v/>
      </c>
      <c r="M247" s="141">
        <f>IF(offer_sale_type="транзит",IFERROR(ROUNDUP(VLOOKUP($B247,calc_data,M$14+1,0),2),0),0)</f>
        <v/>
      </c>
      <c r="N247" s="141">
        <f>IF(offer_sale_type="транзит",IFERROR(ROUNDUP(VLOOKUP($B247,calc_data,N$14+1,0),2),0),0)</f>
        <v/>
      </c>
      <c r="O247" s="147">
        <f>IF(offer_sale_type="транзит",IFERROR(ROUND(VLOOKUP($B247,calc_data,O$14+1,1),2),0),0)</f>
        <v/>
      </c>
      <c r="P247" s="141">
        <f>IF(offer_sale_type="транзит",IFERROR(ROUND(SUM(I247:J247,M247:O247)/E247,2),0),0)</f>
        <v/>
      </c>
      <c r="Q247" s="141">
        <f>E247*P247</f>
        <v/>
      </c>
      <c r="R247" s="141">
        <f>ROUND(Q247*IF(AND(offer_incoterms="DDP",seller_region="RU"),IF((TODAY()+offer_turnaround_time)&gt;=helpsheet!$L$17,rate_vatRU_from_26,rate_vatRu_till_25),0),2)</f>
        <v/>
      </c>
      <c r="S247" s="177">
        <f>Q247+IF(AND(offer_incoterms="DDP",seller_region="RU"),R247,0)</f>
        <v/>
      </c>
      <c r="T247" s="45" t="n"/>
      <c r="V247" s="57">
        <f>IF(Q247&gt;0,"показать","скрыть")</f>
        <v/>
      </c>
    </row>
    <row r="248" ht="15.75" customHeight="1">
      <c r="B248" s="809" t="n">
        <v>232</v>
      </c>
      <c r="C248" s="182">
        <f>IF(offer_sale_type="транзит",IFERROR(VLOOKUP($B248,calc_data,C$14+1,0),0),0)</f>
        <v/>
      </c>
      <c r="D248" s="280">
        <f>IF(offer_sale_type="транзит",IFERROR(VLOOKUP($B248,calc_data,D$14+1,0),0),0)</f>
        <v/>
      </c>
      <c r="E248" s="182">
        <f>IF(offer_sale_type="транзит",IFERROR(VLOOKUP($B248,calc_data,E$14+1,0),0),0)</f>
        <v/>
      </c>
      <c r="F248" s="182">
        <f>IF(offer_sale_type="транзит",IFERROR(VLOOKUP($B248,calc_data,F$14+1,0),0),0)</f>
        <v/>
      </c>
      <c r="G248" s="141">
        <f>IF(offer_sale_type="транзит",IFERROR(VLOOKUP($B248,calc_data,G$14+1,0),0),0)</f>
        <v/>
      </c>
      <c r="H248" s="141">
        <f>E248*G248</f>
        <v/>
      </c>
      <c r="I248" s="141">
        <f>IF(offer_sale_type="транзит",IFERROR(ROUND(VLOOKUP($B248,calc_data,I$14+1,0),2),0),0)</f>
        <v/>
      </c>
      <c r="J248" s="141">
        <f>ROUND(IF(offer_sale_type="транзит",IFERROR(VLOOKUP($B248,calc_data,J$14+1,0),0),0),2)</f>
        <v/>
      </c>
      <c r="K248" s="142">
        <f>IF(offer_sale_type="транзит",IFERROR(ROUNDUP(VLOOKUP($B248,calc_data,K$14+1,0),2),0),0)</f>
        <v/>
      </c>
      <c r="L248" s="184">
        <f>IF(offer_sale_type="транзит",IFERROR(ROUNDUP(VLOOKUP($B248,calc_data,L$14+1,0),2),0),0)</f>
        <v/>
      </c>
      <c r="M248" s="141">
        <f>IF(offer_sale_type="транзит",IFERROR(ROUNDUP(VLOOKUP($B248,calc_data,M$14+1,0),2),0),0)</f>
        <v/>
      </c>
      <c r="N248" s="141">
        <f>IF(offer_sale_type="транзит",IFERROR(ROUNDUP(VLOOKUP($B248,calc_data,N$14+1,0),2),0),0)</f>
        <v/>
      </c>
      <c r="O248" s="147">
        <f>IF(offer_sale_type="транзит",IFERROR(ROUND(VLOOKUP($B248,calc_data,O$14+1,1),2),0),0)</f>
        <v/>
      </c>
      <c r="P248" s="141">
        <f>IF(offer_sale_type="транзит",IFERROR(ROUND(SUM(I248:J248,M248:O248)/E248,2),0),0)</f>
        <v/>
      </c>
      <c r="Q248" s="141">
        <f>E248*P248</f>
        <v/>
      </c>
      <c r="R248" s="141">
        <f>ROUND(Q248*IF(AND(offer_incoterms="DDP",seller_region="RU"),IF((TODAY()+offer_turnaround_time)&gt;=helpsheet!$L$17,rate_vatRU_from_26,rate_vatRu_till_25),0),2)</f>
        <v/>
      </c>
      <c r="S248" s="177">
        <f>Q248+IF(AND(offer_incoterms="DDP",seller_region="RU"),R248,0)</f>
        <v/>
      </c>
      <c r="T248" s="45" t="n"/>
      <c r="V248" s="57">
        <f>IF(Q248&gt;0,"показать","скрыть")</f>
        <v/>
      </c>
    </row>
    <row r="249" ht="15.75" customHeight="1">
      <c r="B249" s="809" t="n">
        <v>233</v>
      </c>
      <c r="C249" s="182">
        <f>IF(offer_sale_type="транзит",IFERROR(VLOOKUP($B249,calc_data,C$14+1,0),0),0)</f>
        <v/>
      </c>
      <c r="D249" s="280">
        <f>IF(offer_sale_type="транзит",IFERROR(VLOOKUP($B249,calc_data,D$14+1,0),0),0)</f>
        <v/>
      </c>
      <c r="E249" s="182">
        <f>IF(offer_sale_type="транзит",IFERROR(VLOOKUP($B249,calc_data,E$14+1,0),0),0)</f>
        <v/>
      </c>
      <c r="F249" s="182">
        <f>IF(offer_sale_type="транзит",IFERROR(VLOOKUP($B249,calc_data,F$14+1,0),0),0)</f>
        <v/>
      </c>
      <c r="G249" s="141">
        <f>IF(offer_sale_type="транзит",IFERROR(VLOOKUP($B249,calc_data,G$14+1,0),0),0)</f>
        <v/>
      </c>
      <c r="H249" s="141">
        <f>E249*G249</f>
        <v/>
      </c>
      <c r="I249" s="141">
        <f>IF(offer_sale_type="транзит",IFERROR(ROUND(VLOOKUP($B249,calc_data,I$14+1,0),2),0),0)</f>
        <v/>
      </c>
      <c r="J249" s="141">
        <f>ROUND(IF(offer_sale_type="транзит",IFERROR(VLOOKUP($B249,calc_data,J$14+1,0),0),0),2)</f>
        <v/>
      </c>
      <c r="K249" s="142">
        <f>IF(offer_sale_type="транзит",IFERROR(ROUNDUP(VLOOKUP($B249,calc_data,K$14+1,0),2),0),0)</f>
        <v/>
      </c>
      <c r="L249" s="184">
        <f>IF(offer_sale_type="транзит",IFERROR(ROUNDUP(VLOOKUP($B249,calc_data,L$14+1,0),2),0),0)</f>
        <v/>
      </c>
      <c r="M249" s="141">
        <f>IF(offer_sale_type="транзит",IFERROR(ROUNDUP(VLOOKUP($B249,calc_data,M$14+1,0),2),0),0)</f>
        <v/>
      </c>
      <c r="N249" s="141">
        <f>IF(offer_sale_type="транзит",IFERROR(ROUNDUP(VLOOKUP($B249,calc_data,N$14+1,0),2),0),0)</f>
        <v/>
      </c>
      <c r="O249" s="147">
        <f>IF(offer_sale_type="транзит",IFERROR(ROUND(VLOOKUP($B249,calc_data,O$14+1,1),2),0),0)</f>
        <v/>
      </c>
      <c r="P249" s="141">
        <f>IF(offer_sale_type="транзит",IFERROR(ROUND(SUM(I249:J249,M249:O249)/E249,2),0),0)</f>
        <v/>
      </c>
      <c r="Q249" s="141">
        <f>E249*P249</f>
        <v/>
      </c>
      <c r="R249" s="141">
        <f>ROUND(Q249*IF(AND(offer_incoterms="DDP",seller_region="RU"),IF((TODAY()+offer_turnaround_time)&gt;=helpsheet!$L$17,rate_vatRU_from_26,rate_vatRu_till_25),0),2)</f>
        <v/>
      </c>
      <c r="S249" s="177">
        <f>Q249+IF(AND(offer_incoterms="DDP",seller_region="RU"),R249,0)</f>
        <v/>
      </c>
      <c r="T249" s="45" t="n"/>
      <c r="V249" s="57">
        <f>IF(Q249&gt;0,"показать","скрыть")</f>
        <v/>
      </c>
    </row>
    <row r="250" ht="15.75" customHeight="1">
      <c r="B250" s="809" t="n">
        <v>234</v>
      </c>
      <c r="C250" s="182">
        <f>IF(offer_sale_type="транзит",IFERROR(VLOOKUP($B250,calc_data,C$14+1,0),0),0)</f>
        <v/>
      </c>
      <c r="D250" s="280">
        <f>IF(offer_sale_type="транзит",IFERROR(VLOOKUP($B250,calc_data,D$14+1,0),0),0)</f>
        <v/>
      </c>
      <c r="E250" s="182">
        <f>IF(offer_sale_type="транзит",IFERROR(VLOOKUP($B250,calc_data,E$14+1,0),0),0)</f>
        <v/>
      </c>
      <c r="F250" s="182">
        <f>IF(offer_sale_type="транзит",IFERROR(VLOOKUP($B250,calc_data,F$14+1,0),0),0)</f>
        <v/>
      </c>
      <c r="G250" s="141">
        <f>IF(offer_sale_type="транзит",IFERROR(VLOOKUP($B250,calc_data,G$14+1,0),0),0)</f>
        <v/>
      </c>
      <c r="H250" s="141">
        <f>E250*G250</f>
        <v/>
      </c>
      <c r="I250" s="141">
        <f>IF(offer_sale_type="транзит",IFERROR(ROUND(VLOOKUP($B250,calc_data,I$14+1,0),2),0),0)</f>
        <v/>
      </c>
      <c r="J250" s="141">
        <f>ROUND(IF(offer_sale_type="транзит",IFERROR(VLOOKUP($B250,calc_data,J$14+1,0),0),0),2)</f>
        <v/>
      </c>
      <c r="K250" s="142">
        <f>IF(offer_sale_type="транзит",IFERROR(ROUNDUP(VLOOKUP($B250,calc_data,K$14+1,0),2),0),0)</f>
        <v/>
      </c>
      <c r="L250" s="184">
        <f>IF(offer_sale_type="транзит",IFERROR(ROUNDUP(VLOOKUP($B250,calc_data,L$14+1,0),2),0),0)</f>
        <v/>
      </c>
      <c r="M250" s="141">
        <f>IF(offer_sale_type="транзит",IFERROR(ROUNDUP(VLOOKUP($B250,calc_data,M$14+1,0),2),0),0)</f>
        <v/>
      </c>
      <c r="N250" s="141">
        <f>IF(offer_sale_type="транзит",IFERROR(ROUNDUP(VLOOKUP($B250,calc_data,N$14+1,0),2),0),0)</f>
        <v/>
      </c>
      <c r="O250" s="147">
        <f>IF(offer_sale_type="транзит",IFERROR(ROUND(VLOOKUP($B250,calc_data,O$14+1,1),2),0),0)</f>
        <v/>
      </c>
      <c r="P250" s="141">
        <f>IF(offer_sale_type="транзит",IFERROR(ROUND(SUM(I250:J250,M250:O250)/E250,2),0),0)</f>
        <v/>
      </c>
      <c r="Q250" s="141">
        <f>E250*P250</f>
        <v/>
      </c>
      <c r="R250" s="141">
        <f>ROUND(Q250*IF(AND(offer_incoterms="DDP",seller_region="RU"),IF((TODAY()+offer_turnaround_time)&gt;=helpsheet!$L$17,rate_vatRU_from_26,rate_vatRu_till_25),0),2)</f>
        <v/>
      </c>
      <c r="S250" s="177">
        <f>Q250+IF(AND(offer_incoterms="DDP",seller_region="RU"),R250,0)</f>
        <v/>
      </c>
      <c r="T250" s="45" t="n"/>
      <c r="V250" s="57">
        <f>IF(Q250&gt;0,"показать","скрыть")</f>
        <v/>
      </c>
    </row>
    <row r="251" ht="15.75" customHeight="1">
      <c r="B251" s="809" t="n">
        <v>235</v>
      </c>
      <c r="C251" s="182">
        <f>IF(offer_sale_type="транзит",IFERROR(VLOOKUP($B251,calc_data,C$14+1,0),0),0)</f>
        <v/>
      </c>
      <c r="D251" s="280">
        <f>IF(offer_sale_type="транзит",IFERROR(VLOOKUP($B251,calc_data,D$14+1,0),0),0)</f>
        <v/>
      </c>
      <c r="E251" s="182">
        <f>IF(offer_sale_type="транзит",IFERROR(VLOOKUP($B251,calc_data,E$14+1,0),0),0)</f>
        <v/>
      </c>
      <c r="F251" s="182">
        <f>IF(offer_sale_type="транзит",IFERROR(VLOOKUP($B251,calc_data,F$14+1,0),0),0)</f>
        <v/>
      </c>
      <c r="G251" s="141">
        <f>IF(offer_sale_type="транзит",IFERROR(VLOOKUP($B251,calc_data,G$14+1,0),0),0)</f>
        <v/>
      </c>
      <c r="H251" s="141">
        <f>E251*G251</f>
        <v/>
      </c>
      <c r="I251" s="141">
        <f>IF(offer_sale_type="транзит",IFERROR(ROUND(VLOOKUP($B251,calc_data,I$14+1,0),2),0),0)</f>
        <v/>
      </c>
      <c r="J251" s="141">
        <f>ROUND(IF(offer_sale_type="транзит",IFERROR(VLOOKUP($B251,calc_data,J$14+1,0),0),0),2)</f>
        <v/>
      </c>
      <c r="K251" s="142">
        <f>IF(offer_sale_type="транзит",IFERROR(ROUNDUP(VLOOKUP($B251,calc_data,K$14+1,0),2),0),0)</f>
        <v/>
      </c>
      <c r="L251" s="184">
        <f>IF(offer_sale_type="транзит",IFERROR(ROUNDUP(VLOOKUP($B251,calc_data,L$14+1,0),2),0),0)</f>
        <v/>
      </c>
      <c r="M251" s="141">
        <f>IF(offer_sale_type="транзит",IFERROR(ROUNDUP(VLOOKUP($B251,calc_data,M$14+1,0),2),0),0)</f>
        <v/>
      </c>
      <c r="N251" s="141">
        <f>IF(offer_sale_type="транзит",IFERROR(ROUNDUP(VLOOKUP($B251,calc_data,N$14+1,0),2),0),0)</f>
        <v/>
      </c>
      <c r="O251" s="147">
        <f>IF(offer_sale_type="транзит",IFERROR(ROUND(VLOOKUP($B251,calc_data,O$14+1,1),2),0),0)</f>
        <v/>
      </c>
      <c r="P251" s="141">
        <f>IF(offer_sale_type="транзит",IFERROR(ROUND(SUM(I251:J251,M251:O251)/E251,2),0),0)</f>
        <v/>
      </c>
      <c r="Q251" s="141">
        <f>E251*P251</f>
        <v/>
      </c>
      <c r="R251" s="141">
        <f>ROUND(Q251*IF(AND(offer_incoterms="DDP",seller_region="RU"),IF((TODAY()+offer_turnaround_time)&gt;=helpsheet!$L$17,rate_vatRU_from_26,rate_vatRu_till_25),0),2)</f>
        <v/>
      </c>
      <c r="S251" s="177">
        <f>Q251+IF(AND(offer_incoterms="DDP",seller_region="RU"),R251,0)</f>
        <v/>
      </c>
      <c r="T251" s="45" t="n"/>
      <c r="V251" s="57">
        <f>IF(Q251&gt;0,"показать","скрыть")</f>
        <v/>
      </c>
    </row>
    <row r="252" ht="15.75" customHeight="1">
      <c r="B252" s="809" t="n">
        <v>236</v>
      </c>
      <c r="C252" s="182">
        <f>IF(offer_sale_type="транзит",IFERROR(VLOOKUP($B252,calc_data,C$14+1,0),0),0)</f>
        <v/>
      </c>
      <c r="D252" s="280">
        <f>IF(offer_sale_type="транзит",IFERROR(VLOOKUP($B252,calc_data,D$14+1,0),0),0)</f>
        <v/>
      </c>
      <c r="E252" s="182">
        <f>IF(offer_sale_type="транзит",IFERROR(VLOOKUP($B252,calc_data,E$14+1,0),0),0)</f>
        <v/>
      </c>
      <c r="F252" s="182">
        <f>IF(offer_sale_type="транзит",IFERROR(VLOOKUP($B252,calc_data,F$14+1,0),0),0)</f>
        <v/>
      </c>
      <c r="G252" s="141">
        <f>IF(offer_sale_type="транзит",IFERROR(VLOOKUP($B252,calc_data,G$14+1,0),0),0)</f>
        <v/>
      </c>
      <c r="H252" s="141">
        <f>E252*G252</f>
        <v/>
      </c>
      <c r="I252" s="141">
        <f>IF(offer_sale_type="транзит",IFERROR(ROUND(VLOOKUP($B252,calc_data,I$14+1,0),2),0),0)</f>
        <v/>
      </c>
      <c r="J252" s="141">
        <f>ROUND(IF(offer_sale_type="транзит",IFERROR(VLOOKUP($B252,calc_data,J$14+1,0),0),0),2)</f>
        <v/>
      </c>
      <c r="K252" s="142">
        <f>IF(offer_sale_type="транзит",IFERROR(ROUNDUP(VLOOKUP($B252,calc_data,K$14+1,0),2),0),0)</f>
        <v/>
      </c>
      <c r="L252" s="184">
        <f>IF(offer_sale_type="транзит",IFERROR(ROUNDUP(VLOOKUP($B252,calc_data,L$14+1,0),2),0),0)</f>
        <v/>
      </c>
      <c r="M252" s="141">
        <f>IF(offer_sale_type="транзит",IFERROR(ROUNDUP(VLOOKUP($B252,calc_data,M$14+1,0),2),0),0)</f>
        <v/>
      </c>
      <c r="N252" s="141">
        <f>IF(offer_sale_type="транзит",IFERROR(ROUNDUP(VLOOKUP($B252,calc_data,N$14+1,0),2),0),0)</f>
        <v/>
      </c>
      <c r="O252" s="147">
        <f>IF(offer_sale_type="транзит",IFERROR(ROUND(VLOOKUP($B252,calc_data,O$14+1,1),2),0),0)</f>
        <v/>
      </c>
      <c r="P252" s="141">
        <f>IF(offer_sale_type="транзит",IFERROR(ROUND(SUM(I252:J252,M252:O252)/E252,2),0),0)</f>
        <v/>
      </c>
      <c r="Q252" s="141">
        <f>E252*P252</f>
        <v/>
      </c>
      <c r="R252" s="141">
        <f>ROUND(Q252*IF(AND(offer_incoterms="DDP",seller_region="RU"),IF((TODAY()+offer_turnaround_time)&gt;=helpsheet!$L$17,rate_vatRU_from_26,rate_vatRu_till_25),0),2)</f>
        <v/>
      </c>
      <c r="S252" s="177">
        <f>Q252+IF(AND(offer_incoterms="DDP",seller_region="RU"),R252,0)</f>
        <v/>
      </c>
      <c r="T252" s="45" t="n"/>
      <c r="V252" s="57">
        <f>IF(Q252&gt;0,"показать","скрыть")</f>
        <v/>
      </c>
    </row>
    <row r="253" ht="15.75" customHeight="1">
      <c r="B253" s="809" t="n">
        <v>237</v>
      </c>
      <c r="C253" s="182">
        <f>IF(offer_sale_type="транзит",IFERROR(VLOOKUP($B253,calc_data,C$14+1,0),0),0)</f>
        <v/>
      </c>
      <c r="D253" s="280">
        <f>IF(offer_sale_type="транзит",IFERROR(VLOOKUP($B253,calc_data,D$14+1,0),0),0)</f>
        <v/>
      </c>
      <c r="E253" s="182">
        <f>IF(offer_sale_type="транзит",IFERROR(VLOOKUP($B253,calc_data,E$14+1,0),0),0)</f>
        <v/>
      </c>
      <c r="F253" s="182">
        <f>IF(offer_sale_type="транзит",IFERROR(VLOOKUP($B253,calc_data,F$14+1,0),0),0)</f>
        <v/>
      </c>
      <c r="G253" s="141">
        <f>IF(offer_sale_type="транзит",IFERROR(VLOOKUP($B253,calc_data,G$14+1,0),0),0)</f>
        <v/>
      </c>
      <c r="H253" s="141">
        <f>E253*G253</f>
        <v/>
      </c>
      <c r="I253" s="141">
        <f>IF(offer_sale_type="транзит",IFERROR(ROUND(VLOOKUP($B253,calc_data,I$14+1,0),2),0),0)</f>
        <v/>
      </c>
      <c r="J253" s="141">
        <f>ROUND(IF(offer_sale_type="транзит",IFERROR(VLOOKUP($B253,calc_data,J$14+1,0),0),0),2)</f>
        <v/>
      </c>
      <c r="K253" s="142">
        <f>IF(offer_sale_type="транзит",IFERROR(ROUNDUP(VLOOKUP($B253,calc_data,K$14+1,0),2),0),0)</f>
        <v/>
      </c>
      <c r="L253" s="184">
        <f>IF(offer_sale_type="транзит",IFERROR(ROUNDUP(VLOOKUP($B253,calc_data,L$14+1,0),2),0),0)</f>
        <v/>
      </c>
      <c r="M253" s="141">
        <f>IF(offer_sale_type="транзит",IFERROR(ROUNDUP(VLOOKUP($B253,calc_data,M$14+1,0),2),0),0)</f>
        <v/>
      </c>
      <c r="N253" s="141">
        <f>IF(offer_sale_type="транзит",IFERROR(ROUNDUP(VLOOKUP($B253,calc_data,N$14+1,0),2),0),0)</f>
        <v/>
      </c>
      <c r="O253" s="147">
        <f>IF(offer_sale_type="транзит",IFERROR(ROUND(VLOOKUP($B253,calc_data,O$14+1,1),2),0),0)</f>
        <v/>
      </c>
      <c r="P253" s="141">
        <f>IF(offer_sale_type="транзит",IFERROR(ROUND(SUM(I253:J253,M253:O253)/E253,2),0),0)</f>
        <v/>
      </c>
      <c r="Q253" s="141">
        <f>E253*P253</f>
        <v/>
      </c>
      <c r="R253" s="141">
        <f>ROUND(Q253*IF(AND(offer_incoterms="DDP",seller_region="RU"),IF((TODAY()+offer_turnaround_time)&gt;=helpsheet!$L$17,rate_vatRU_from_26,rate_vatRu_till_25),0),2)</f>
        <v/>
      </c>
      <c r="S253" s="177">
        <f>Q253+IF(AND(offer_incoterms="DDP",seller_region="RU"),R253,0)</f>
        <v/>
      </c>
      <c r="T253" s="45" t="n"/>
      <c r="V253" s="57">
        <f>IF(Q253&gt;0,"показать","скрыть")</f>
        <v/>
      </c>
    </row>
    <row r="254" ht="15.75" customHeight="1">
      <c r="B254" s="809" t="n">
        <v>238</v>
      </c>
      <c r="C254" s="182">
        <f>IF(offer_sale_type="транзит",IFERROR(VLOOKUP($B254,calc_data,C$14+1,0),0),0)</f>
        <v/>
      </c>
      <c r="D254" s="280">
        <f>IF(offer_sale_type="транзит",IFERROR(VLOOKUP($B254,calc_data,D$14+1,0),0),0)</f>
        <v/>
      </c>
      <c r="E254" s="182">
        <f>IF(offer_sale_type="транзит",IFERROR(VLOOKUP($B254,calc_data,E$14+1,0),0),0)</f>
        <v/>
      </c>
      <c r="F254" s="182">
        <f>IF(offer_sale_type="транзит",IFERROR(VLOOKUP($B254,calc_data,F$14+1,0),0),0)</f>
        <v/>
      </c>
      <c r="G254" s="141">
        <f>IF(offer_sale_type="транзит",IFERROR(VLOOKUP($B254,calc_data,G$14+1,0),0),0)</f>
        <v/>
      </c>
      <c r="H254" s="141">
        <f>E254*G254</f>
        <v/>
      </c>
      <c r="I254" s="141">
        <f>IF(offer_sale_type="транзит",IFERROR(ROUND(VLOOKUP($B254,calc_data,I$14+1,0),2),0),0)</f>
        <v/>
      </c>
      <c r="J254" s="141">
        <f>ROUND(IF(offer_sale_type="транзит",IFERROR(VLOOKUP($B254,calc_data,J$14+1,0),0),0),2)</f>
        <v/>
      </c>
      <c r="K254" s="142">
        <f>IF(offer_sale_type="транзит",IFERROR(ROUNDUP(VLOOKUP($B254,calc_data,K$14+1,0),2),0),0)</f>
        <v/>
      </c>
      <c r="L254" s="184">
        <f>IF(offer_sale_type="транзит",IFERROR(ROUNDUP(VLOOKUP($B254,calc_data,L$14+1,0),2),0),0)</f>
        <v/>
      </c>
      <c r="M254" s="141">
        <f>IF(offer_sale_type="транзит",IFERROR(ROUNDUP(VLOOKUP($B254,calc_data,M$14+1,0),2),0),0)</f>
        <v/>
      </c>
      <c r="N254" s="141">
        <f>IF(offer_sale_type="транзит",IFERROR(ROUNDUP(VLOOKUP($B254,calc_data,N$14+1,0),2),0),0)</f>
        <v/>
      </c>
      <c r="O254" s="147">
        <f>IF(offer_sale_type="транзит",IFERROR(ROUND(VLOOKUP($B254,calc_data,O$14+1,1),2),0),0)</f>
        <v/>
      </c>
      <c r="P254" s="141">
        <f>IF(offer_sale_type="транзит",IFERROR(ROUND(SUM(I254:J254,M254:O254)/E254,2),0),0)</f>
        <v/>
      </c>
      <c r="Q254" s="141">
        <f>E254*P254</f>
        <v/>
      </c>
      <c r="R254" s="141">
        <f>ROUND(Q254*IF(AND(offer_incoterms="DDP",seller_region="RU"),IF((TODAY()+offer_turnaround_time)&gt;=helpsheet!$L$17,rate_vatRU_from_26,rate_vatRu_till_25),0),2)</f>
        <v/>
      </c>
      <c r="S254" s="177">
        <f>Q254+IF(AND(offer_incoterms="DDP",seller_region="RU"),R254,0)</f>
        <v/>
      </c>
      <c r="T254" s="45" t="n"/>
      <c r="V254" s="57">
        <f>IF(Q254&gt;0,"показать","скрыть")</f>
        <v/>
      </c>
    </row>
    <row r="255" ht="15.75" customHeight="1">
      <c r="B255" s="809" t="n">
        <v>239</v>
      </c>
      <c r="C255" s="182">
        <f>IF(offer_sale_type="транзит",IFERROR(VLOOKUP($B255,calc_data,C$14+1,0),0),0)</f>
        <v/>
      </c>
      <c r="D255" s="280">
        <f>IF(offer_sale_type="транзит",IFERROR(VLOOKUP($B255,calc_data,D$14+1,0),0),0)</f>
        <v/>
      </c>
      <c r="E255" s="182">
        <f>IF(offer_sale_type="транзит",IFERROR(VLOOKUP($B255,calc_data,E$14+1,0),0),0)</f>
        <v/>
      </c>
      <c r="F255" s="182">
        <f>IF(offer_sale_type="транзит",IFERROR(VLOOKUP($B255,calc_data,F$14+1,0),0),0)</f>
        <v/>
      </c>
      <c r="G255" s="141">
        <f>IF(offer_sale_type="транзит",IFERROR(VLOOKUP($B255,calc_data,G$14+1,0),0),0)</f>
        <v/>
      </c>
      <c r="H255" s="141">
        <f>E255*G255</f>
        <v/>
      </c>
      <c r="I255" s="141">
        <f>IF(offer_sale_type="транзит",IFERROR(ROUND(VLOOKUP($B255,calc_data,I$14+1,0),2),0),0)</f>
        <v/>
      </c>
      <c r="J255" s="141">
        <f>ROUND(IF(offer_sale_type="транзит",IFERROR(VLOOKUP($B255,calc_data,J$14+1,0),0),0),2)</f>
        <v/>
      </c>
      <c r="K255" s="142">
        <f>IF(offer_sale_type="транзит",IFERROR(ROUNDUP(VLOOKUP($B255,calc_data,K$14+1,0),2),0),0)</f>
        <v/>
      </c>
      <c r="L255" s="184">
        <f>IF(offer_sale_type="транзит",IFERROR(ROUNDUP(VLOOKUP($B255,calc_data,L$14+1,0),2),0),0)</f>
        <v/>
      </c>
      <c r="M255" s="141">
        <f>IF(offer_sale_type="транзит",IFERROR(ROUNDUP(VLOOKUP($B255,calc_data,M$14+1,0),2),0),0)</f>
        <v/>
      </c>
      <c r="N255" s="141">
        <f>IF(offer_sale_type="транзит",IFERROR(ROUNDUP(VLOOKUP($B255,calc_data,N$14+1,0),2),0),0)</f>
        <v/>
      </c>
      <c r="O255" s="147">
        <f>IF(offer_sale_type="транзит",IFERROR(ROUND(VLOOKUP($B255,calc_data,O$14+1,1),2),0),0)</f>
        <v/>
      </c>
      <c r="P255" s="141">
        <f>IF(offer_sale_type="транзит",IFERROR(ROUND(SUM(I255:J255,M255:O255)/E255,2),0),0)</f>
        <v/>
      </c>
      <c r="Q255" s="141">
        <f>E255*P255</f>
        <v/>
      </c>
      <c r="R255" s="141">
        <f>ROUND(Q255*IF(AND(offer_incoterms="DDP",seller_region="RU"),IF((TODAY()+offer_turnaround_time)&gt;=helpsheet!$L$17,rate_vatRU_from_26,rate_vatRu_till_25),0),2)</f>
        <v/>
      </c>
      <c r="S255" s="177">
        <f>Q255+IF(AND(offer_incoterms="DDP",seller_region="RU"),R255,0)</f>
        <v/>
      </c>
      <c r="T255" s="45" t="n"/>
      <c r="V255" s="57">
        <f>IF(Q255&gt;0,"показать","скрыть")</f>
        <v/>
      </c>
    </row>
    <row r="256" ht="15.75" customHeight="1">
      <c r="B256" s="809" t="n">
        <v>240</v>
      </c>
      <c r="C256" s="182">
        <f>IF(offer_sale_type="транзит",IFERROR(VLOOKUP($B256,calc_data,C$14+1,0),0),0)</f>
        <v/>
      </c>
      <c r="D256" s="280">
        <f>IF(offer_sale_type="транзит",IFERROR(VLOOKUP($B256,calc_data,D$14+1,0),0),0)</f>
        <v/>
      </c>
      <c r="E256" s="182">
        <f>IF(offer_sale_type="транзит",IFERROR(VLOOKUP($B256,calc_data,E$14+1,0),0),0)</f>
        <v/>
      </c>
      <c r="F256" s="182">
        <f>IF(offer_sale_type="транзит",IFERROR(VLOOKUP($B256,calc_data,F$14+1,0),0),0)</f>
        <v/>
      </c>
      <c r="G256" s="141">
        <f>IF(offer_sale_type="транзит",IFERROR(VLOOKUP($B256,calc_data,G$14+1,0),0),0)</f>
        <v/>
      </c>
      <c r="H256" s="141">
        <f>E256*G256</f>
        <v/>
      </c>
      <c r="I256" s="141">
        <f>IF(offer_sale_type="транзит",IFERROR(ROUND(VLOOKUP($B256,calc_data,I$14+1,0),2),0),0)</f>
        <v/>
      </c>
      <c r="J256" s="141">
        <f>ROUND(IF(offer_sale_type="транзит",IFERROR(VLOOKUP($B256,calc_data,J$14+1,0),0),0),2)</f>
        <v/>
      </c>
      <c r="K256" s="142">
        <f>IF(offer_sale_type="транзит",IFERROR(ROUNDUP(VLOOKUP($B256,calc_data,K$14+1,0),2),0),0)</f>
        <v/>
      </c>
      <c r="L256" s="184">
        <f>IF(offer_sale_type="транзит",IFERROR(ROUNDUP(VLOOKUP($B256,calc_data,L$14+1,0),2),0),0)</f>
        <v/>
      </c>
      <c r="M256" s="141">
        <f>IF(offer_sale_type="транзит",IFERROR(ROUNDUP(VLOOKUP($B256,calc_data,M$14+1,0),2),0),0)</f>
        <v/>
      </c>
      <c r="N256" s="141">
        <f>IF(offer_sale_type="транзит",IFERROR(ROUNDUP(VLOOKUP($B256,calc_data,N$14+1,0),2),0),0)</f>
        <v/>
      </c>
      <c r="O256" s="147">
        <f>IF(offer_sale_type="транзит",IFERROR(ROUND(VLOOKUP($B256,calc_data,O$14+1,1),2),0),0)</f>
        <v/>
      </c>
      <c r="P256" s="141">
        <f>IF(offer_sale_type="транзит",IFERROR(ROUND(SUM(I256:J256,M256:O256)/E256,2),0),0)</f>
        <v/>
      </c>
      <c r="Q256" s="141">
        <f>E256*P256</f>
        <v/>
      </c>
      <c r="R256" s="141">
        <f>ROUND(Q256*IF(AND(offer_incoterms="DDP",seller_region="RU"),IF((TODAY()+offer_turnaround_time)&gt;=helpsheet!$L$17,rate_vatRU_from_26,rate_vatRu_till_25),0),2)</f>
        <v/>
      </c>
      <c r="S256" s="177">
        <f>Q256+IF(AND(offer_incoterms="DDP",seller_region="RU"),R256,0)</f>
        <v/>
      </c>
      <c r="T256" s="45" t="n"/>
      <c r="V256" s="57">
        <f>IF(Q256&gt;0,"показать","скрыть")</f>
        <v/>
      </c>
    </row>
    <row r="257" ht="15.75" customHeight="1">
      <c r="B257" s="809" t="n">
        <v>241</v>
      </c>
      <c r="C257" s="182">
        <f>IF(offer_sale_type="транзит",IFERROR(VLOOKUP($B257,calc_data,C$14+1,0),0),0)</f>
        <v/>
      </c>
      <c r="D257" s="280">
        <f>IF(offer_sale_type="транзит",IFERROR(VLOOKUP($B257,calc_data,D$14+1,0),0),0)</f>
        <v/>
      </c>
      <c r="E257" s="182">
        <f>IF(offer_sale_type="транзит",IFERROR(VLOOKUP($B257,calc_data,E$14+1,0),0),0)</f>
        <v/>
      </c>
      <c r="F257" s="182">
        <f>IF(offer_sale_type="транзит",IFERROR(VLOOKUP($B257,calc_data,F$14+1,0),0),0)</f>
        <v/>
      </c>
      <c r="G257" s="141">
        <f>IF(offer_sale_type="транзит",IFERROR(VLOOKUP($B257,calc_data,G$14+1,0),0),0)</f>
        <v/>
      </c>
      <c r="H257" s="141">
        <f>E257*G257</f>
        <v/>
      </c>
      <c r="I257" s="141">
        <f>IF(offer_sale_type="транзит",IFERROR(ROUND(VLOOKUP($B257,calc_data,I$14+1,0),2),0),0)</f>
        <v/>
      </c>
      <c r="J257" s="141">
        <f>ROUND(IF(offer_sale_type="транзит",IFERROR(VLOOKUP($B257,calc_data,J$14+1,0),0),0),2)</f>
        <v/>
      </c>
      <c r="K257" s="142">
        <f>IF(offer_sale_type="транзит",IFERROR(ROUNDUP(VLOOKUP($B257,calc_data,K$14+1,0),2),0),0)</f>
        <v/>
      </c>
      <c r="L257" s="184">
        <f>IF(offer_sale_type="транзит",IFERROR(ROUNDUP(VLOOKUP($B257,calc_data,L$14+1,0),2),0),0)</f>
        <v/>
      </c>
      <c r="M257" s="141">
        <f>IF(offer_sale_type="транзит",IFERROR(ROUNDUP(VLOOKUP($B257,calc_data,M$14+1,0),2),0),0)</f>
        <v/>
      </c>
      <c r="N257" s="141">
        <f>IF(offer_sale_type="транзит",IFERROR(ROUNDUP(VLOOKUP($B257,calc_data,N$14+1,0),2),0),0)</f>
        <v/>
      </c>
      <c r="O257" s="147">
        <f>IF(offer_sale_type="транзит",IFERROR(ROUND(VLOOKUP($B257,calc_data,O$14+1,1),2),0),0)</f>
        <v/>
      </c>
      <c r="P257" s="141">
        <f>IF(offer_sale_type="транзит",IFERROR(ROUND(SUM(I257:J257,M257:O257)/E257,2),0),0)</f>
        <v/>
      </c>
      <c r="Q257" s="141">
        <f>E257*P257</f>
        <v/>
      </c>
      <c r="R257" s="141">
        <f>ROUND(Q257*IF(AND(offer_incoterms="DDP",seller_region="RU"),IF((TODAY()+offer_turnaround_time)&gt;=helpsheet!$L$17,rate_vatRU_from_26,rate_vatRu_till_25),0),2)</f>
        <v/>
      </c>
      <c r="S257" s="177">
        <f>Q257+IF(AND(offer_incoterms="DDP",seller_region="RU"),R257,0)</f>
        <v/>
      </c>
      <c r="T257" s="45" t="n"/>
      <c r="V257" s="57">
        <f>IF(Q257&gt;0,"показать","скрыть")</f>
        <v/>
      </c>
    </row>
    <row r="258" ht="15.75" customHeight="1">
      <c r="B258" s="809" t="n">
        <v>242</v>
      </c>
      <c r="C258" s="182">
        <f>IF(offer_sale_type="транзит",IFERROR(VLOOKUP($B258,calc_data,C$14+1,0),0),0)</f>
        <v/>
      </c>
      <c r="D258" s="280">
        <f>IF(offer_sale_type="транзит",IFERROR(VLOOKUP($B258,calc_data,D$14+1,0),0),0)</f>
        <v/>
      </c>
      <c r="E258" s="182">
        <f>IF(offer_sale_type="транзит",IFERROR(VLOOKUP($B258,calc_data,E$14+1,0),0),0)</f>
        <v/>
      </c>
      <c r="F258" s="182">
        <f>IF(offer_sale_type="транзит",IFERROR(VLOOKUP($B258,calc_data,F$14+1,0),0),0)</f>
        <v/>
      </c>
      <c r="G258" s="141">
        <f>IF(offer_sale_type="транзит",IFERROR(VLOOKUP($B258,calc_data,G$14+1,0),0),0)</f>
        <v/>
      </c>
      <c r="H258" s="141">
        <f>E258*G258</f>
        <v/>
      </c>
      <c r="I258" s="141">
        <f>IF(offer_sale_type="транзит",IFERROR(ROUND(VLOOKUP($B258,calc_data,I$14+1,0),2),0),0)</f>
        <v/>
      </c>
      <c r="J258" s="141">
        <f>ROUND(IF(offer_sale_type="транзит",IFERROR(VLOOKUP($B258,calc_data,J$14+1,0),0),0),2)</f>
        <v/>
      </c>
      <c r="K258" s="142">
        <f>IF(offer_sale_type="транзит",IFERROR(ROUNDUP(VLOOKUP($B258,calc_data,K$14+1,0),2),0),0)</f>
        <v/>
      </c>
      <c r="L258" s="184">
        <f>IF(offer_sale_type="транзит",IFERROR(ROUNDUP(VLOOKUP($B258,calc_data,L$14+1,0),2),0),0)</f>
        <v/>
      </c>
      <c r="M258" s="141">
        <f>IF(offer_sale_type="транзит",IFERROR(ROUNDUP(VLOOKUP($B258,calc_data,M$14+1,0),2),0),0)</f>
        <v/>
      </c>
      <c r="N258" s="141">
        <f>IF(offer_sale_type="транзит",IFERROR(ROUNDUP(VLOOKUP($B258,calc_data,N$14+1,0),2),0),0)</f>
        <v/>
      </c>
      <c r="O258" s="147">
        <f>IF(offer_sale_type="транзит",IFERROR(ROUND(VLOOKUP($B258,calc_data,O$14+1,1),2),0),0)</f>
        <v/>
      </c>
      <c r="P258" s="141">
        <f>IF(offer_sale_type="транзит",IFERROR(ROUND(SUM(I258:J258,M258:O258)/E258,2),0),0)</f>
        <v/>
      </c>
      <c r="Q258" s="141">
        <f>E258*P258</f>
        <v/>
      </c>
      <c r="R258" s="141">
        <f>ROUND(Q258*IF(AND(offer_incoterms="DDP",seller_region="RU"),IF((TODAY()+offer_turnaround_time)&gt;=helpsheet!$L$17,rate_vatRU_from_26,rate_vatRu_till_25),0),2)</f>
        <v/>
      </c>
      <c r="S258" s="177">
        <f>Q258+IF(AND(offer_incoterms="DDP",seller_region="RU"),R258,0)</f>
        <v/>
      </c>
      <c r="T258" s="45" t="n"/>
      <c r="V258" s="57">
        <f>IF(Q258&gt;0,"показать","скрыть")</f>
        <v/>
      </c>
    </row>
    <row r="259" ht="15.75" customHeight="1">
      <c r="B259" s="809" t="n">
        <v>243</v>
      </c>
      <c r="C259" s="182">
        <f>IF(offer_sale_type="транзит",IFERROR(VLOOKUP($B259,calc_data,C$14+1,0),0),0)</f>
        <v/>
      </c>
      <c r="D259" s="280">
        <f>IF(offer_sale_type="транзит",IFERROR(VLOOKUP($B259,calc_data,D$14+1,0),0),0)</f>
        <v/>
      </c>
      <c r="E259" s="182">
        <f>IF(offer_sale_type="транзит",IFERROR(VLOOKUP($B259,calc_data,E$14+1,0),0),0)</f>
        <v/>
      </c>
      <c r="F259" s="182">
        <f>IF(offer_sale_type="транзит",IFERROR(VLOOKUP($B259,calc_data,F$14+1,0),0),0)</f>
        <v/>
      </c>
      <c r="G259" s="141">
        <f>IF(offer_sale_type="транзит",IFERROR(VLOOKUP($B259,calc_data,G$14+1,0),0),0)</f>
        <v/>
      </c>
      <c r="H259" s="141">
        <f>E259*G259</f>
        <v/>
      </c>
      <c r="I259" s="141">
        <f>IF(offer_sale_type="транзит",IFERROR(ROUND(VLOOKUP($B259,calc_data,I$14+1,0),2),0),0)</f>
        <v/>
      </c>
      <c r="J259" s="141">
        <f>ROUND(IF(offer_sale_type="транзит",IFERROR(VLOOKUP($B259,calc_data,J$14+1,0),0),0),2)</f>
        <v/>
      </c>
      <c r="K259" s="142">
        <f>IF(offer_sale_type="транзит",IFERROR(ROUNDUP(VLOOKUP($B259,calc_data,K$14+1,0),2),0),0)</f>
        <v/>
      </c>
      <c r="L259" s="184">
        <f>IF(offer_sale_type="транзит",IFERROR(ROUNDUP(VLOOKUP($B259,calc_data,L$14+1,0),2),0),0)</f>
        <v/>
      </c>
      <c r="M259" s="141">
        <f>IF(offer_sale_type="транзит",IFERROR(ROUNDUP(VLOOKUP($B259,calc_data,M$14+1,0),2),0),0)</f>
        <v/>
      </c>
      <c r="N259" s="141">
        <f>IF(offer_sale_type="транзит",IFERROR(ROUNDUP(VLOOKUP($B259,calc_data,N$14+1,0),2),0),0)</f>
        <v/>
      </c>
      <c r="O259" s="147">
        <f>IF(offer_sale_type="транзит",IFERROR(ROUND(VLOOKUP($B259,calc_data,O$14+1,1),2),0),0)</f>
        <v/>
      </c>
      <c r="P259" s="141">
        <f>IF(offer_sale_type="транзит",IFERROR(ROUND(SUM(I259:J259,M259:O259)/E259,2),0),0)</f>
        <v/>
      </c>
      <c r="Q259" s="141">
        <f>E259*P259</f>
        <v/>
      </c>
      <c r="R259" s="141">
        <f>ROUND(Q259*IF(AND(offer_incoterms="DDP",seller_region="RU"),IF((TODAY()+offer_turnaround_time)&gt;=helpsheet!$L$17,rate_vatRU_from_26,rate_vatRu_till_25),0),2)</f>
        <v/>
      </c>
      <c r="S259" s="177">
        <f>Q259+IF(AND(offer_incoterms="DDP",seller_region="RU"),R259,0)</f>
        <v/>
      </c>
      <c r="T259" s="45" t="n"/>
      <c r="V259" s="57">
        <f>IF(Q259&gt;0,"показать","скрыть")</f>
        <v/>
      </c>
    </row>
    <row r="260" ht="15.75" customHeight="1">
      <c r="B260" s="809" t="n">
        <v>244</v>
      </c>
      <c r="C260" s="182">
        <f>IF(offer_sale_type="транзит",IFERROR(VLOOKUP($B260,calc_data,C$14+1,0),0),0)</f>
        <v/>
      </c>
      <c r="D260" s="280">
        <f>IF(offer_sale_type="транзит",IFERROR(VLOOKUP($B260,calc_data,D$14+1,0),0),0)</f>
        <v/>
      </c>
      <c r="E260" s="182">
        <f>IF(offer_sale_type="транзит",IFERROR(VLOOKUP($B260,calc_data,E$14+1,0),0),0)</f>
        <v/>
      </c>
      <c r="F260" s="182">
        <f>IF(offer_sale_type="транзит",IFERROR(VLOOKUP($B260,calc_data,F$14+1,0),0),0)</f>
        <v/>
      </c>
      <c r="G260" s="141">
        <f>IF(offer_sale_type="транзит",IFERROR(VLOOKUP($B260,calc_data,G$14+1,0),0),0)</f>
        <v/>
      </c>
      <c r="H260" s="141">
        <f>E260*G260</f>
        <v/>
      </c>
      <c r="I260" s="141">
        <f>IF(offer_sale_type="транзит",IFERROR(ROUND(VLOOKUP($B260,calc_data,I$14+1,0),2),0),0)</f>
        <v/>
      </c>
      <c r="J260" s="141">
        <f>ROUND(IF(offer_sale_type="транзит",IFERROR(VLOOKUP($B260,calc_data,J$14+1,0),0),0),2)</f>
        <v/>
      </c>
      <c r="K260" s="142">
        <f>IF(offer_sale_type="транзит",IFERROR(ROUNDUP(VLOOKUP($B260,calc_data,K$14+1,0),2),0),0)</f>
        <v/>
      </c>
      <c r="L260" s="184">
        <f>IF(offer_sale_type="транзит",IFERROR(ROUNDUP(VLOOKUP($B260,calc_data,L$14+1,0),2),0),0)</f>
        <v/>
      </c>
      <c r="M260" s="141">
        <f>IF(offer_sale_type="транзит",IFERROR(ROUNDUP(VLOOKUP($B260,calc_data,M$14+1,0),2),0),0)</f>
        <v/>
      </c>
      <c r="N260" s="141">
        <f>IF(offer_sale_type="транзит",IFERROR(ROUNDUP(VLOOKUP($B260,calc_data,N$14+1,0),2),0),0)</f>
        <v/>
      </c>
      <c r="O260" s="147">
        <f>IF(offer_sale_type="транзит",IFERROR(ROUND(VLOOKUP($B260,calc_data,O$14+1,1),2),0),0)</f>
        <v/>
      </c>
      <c r="P260" s="141">
        <f>IF(offer_sale_type="транзит",IFERROR(ROUND(SUM(I260:J260,M260:O260)/E260,2),0),0)</f>
        <v/>
      </c>
      <c r="Q260" s="141">
        <f>E260*P260</f>
        <v/>
      </c>
      <c r="R260" s="141">
        <f>ROUND(Q260*IF(AND(offer_incoterms="DDP",seller_region="RU"),IF((TODAY()+offer_turnaround_time)&gt;=helpsheet!$L$17,rate_vatRU_from_26,rate_vatRu_till_25),0),2)</f>
        <v/>
      </c>
      <c r="S260" s="177">
        <f>Q260+IF(AND(offer_incoterms="DDP",seller_region="RU"),R260,0)</f>
        <v/>
      </c>
      <c r="T260" s="45" t="n"/>
      <c r="V260" s="57">
        <f>IF(Q260&gt;0,"показать","скрыть")</f>
        <v/>
      </c>
    </row>
    <row r="261" ht="15.75" customHeight="1">
      <c r="B261" s="809" t="n">
        <v>245</v>
      </c>
      <c r="C261" s="182">
        <f>IF(offer_sale_type="транзит",IFERROR(VLOOKUP($B261,calc_data,C$14+1,0),0),0)</f>
        <v/>
      </c>
      <c r="D261" s="280">
        <f>IF(offer_sale_type="транзит",IFERROR(VLOOKUP($B261,calc_data,D$14+1,0),0),0)</f>
        <v/>
      </c>
      <c r="E261" s="182">
        <f>IF(offer_sale_type="транзит",IFERROR(VLOOKUP($B261,calc_data,E$14+1,0),0),0)</f>
        <v/>
      </c>
      <c r="F261" s="182">
        <f>IF(offer_sale_type="транзит",IFERROR(VLOOKUP($B261,calc_data,F$14+1,0),0),0)</f>
        <v/>
      </c>
      <c r="G261" s="141">
        <f>IF(offer_sale_type="транзит",IFERROR(VLOOKUP($B261,calc_data,G$14+1,0),0),0)</f>
        <v/>
      </c>
      <c r="H261" s="141">
        <f>E261*G261</f>
        <v/>
      </c>
      <c r="I261" s="141">
        <f>IF(offer_sale_type="транзит",IFERROR(ROUND(VLOOKUP($B261,calc_data,I$14+1,0),2),0),0)</f>
        <v/>
      </c>
      <c r="J261" s="141">
        <f>ROUND(IF(offer_sale_type="транзит",IFERROR(VLOOKUP($B261,calc_data,J$14+1,0),0),0),2)</f>
        <v/>
      </c>
      <c r="K261" s="142">
        <f>IF(offer_sale_type="транзит",IFERROR(ROUNDUP(VLOOKUP($B261,calc_data,K$14+1,0),2),0),0)</f>
        <v/>
      </c>
      <c r="L261" s="184">
        <f>IF(offer_sale_type="транзит",IFERROR(ROUNDUP(VLOOKUP($B261,calc_data,L$14+1,0),2),0),0)</f>
        <v/>
      </c>
      <c r="M261" s="141">
        <f>IF(offer_sale_type="транзит",IFERROR(ROUNDUP(VLOOKUP($B261,calc_data,M$14+1,0),2),0),0)</f>
        <v/>
      </c>
      <c r="N261" s="141">
        <f>IF(offer_sale_type="транзит",IFERROR(ROUNDUP(VLOOKUP($B261,calc_data,N$14+1,0),2),0),0)</f>
        <v/>
      </c>
      <c r="O261" s="147">
        <f>IF(offer_sale_type="транзит",IFERROR(ROUND(VLOOKUP($B261,calc_data,O$14+1,1),2),0),0)</f>
        <v/>
      </c>
      <c r="P261" s="141">
        <f>IF(offer_sale_type="транзит",IFERROR(ROUND(SUM(I261:J261,M261:O261)/E261,2),0),0)</f>
        <v/>
      </c>
      <c r="Q261" s="141">
        <f>E261*P261</f>
        <v/>
      </c>
      <c r="R261" s="141">
        <f>ROUND(Q261*IF(AND(offer_incoterms="DDP",seller_region="RU"),IF((TODAY()+offer_turnaround_time)&gt;=helpsheet!$L$17,rate_vatRU_from_26,rate_vatRu_till_25),0),2)</f>
        <v/>
      </c>
      <c r="S261" s="177">
        <f>Q261+IF(AND(offer_incoterms="DDP",seller_region="RU"),R261,0)</f>
        <v/>
      </c>
      <c r="T261" s="45" t="n"/>
      <c r="V261" s="57">
        <f>IF(Q261&gt;0,"показать","скрыть")</f>
        <v/>
      </c>
    </row>
    <row r="262" ht="15.75" customHeight="1">
      <c r="B262" s="809" t="n">
        <v>246</v>
      </c>
      <c r="C262" s="182">
        <f>IF(offer_sale_type="транзит",IFERROR(VLOOKUP($B262,calc_data,C$14+1,0),0),0)</f>
        <v/>
      </c>
      <c r="D262" s="280">
        <f>IF(offer_sale_type="транзит",IFERROR(VLOOKUP($B262,calc_data,D$14+1,0),0),0)</f>
        <v/>
      </c>
      <c r="E262" s="182">
        <f>IF(offer_sale_type="транзит",IFERROR(VLOOKUP($B262,calc_data,E$14+1,0),0),0)</f>
        <v/>
      </c>
      <c r="F262" s="182">
        <f>IF(offer_sale_type="транзит",IFERROR(VLOOKUP($B262,calc_data,F$14+1,0),0),0)</f>
        <v/>
      </c>
      <c r="G262" s="141">
        <f>IF(offer_sale_type="транзит",IFERROR(VLOOKUP($B262,calc_data,G$14+1,0),0),0)</f>
        <v/>
      </c>
      <c r="H262" s="141">
        <f>E262*G262</f>
        <v/>
      </c>
      <c r="I262" s="141">
        <f>IF(offer_sale_type="транзит",IFERROR(ROUND(VLOOKUP($B262,calc_data,I$14+1,0),2),0),0)</f>
        <v/>
      </c>
      <c r="J262" s="141">
        <f>ROUND(IF(offer_sale_type="транзит",IFERROR(VLOOKUP($B262,calc_data,J$14+1,0),0),0),2)</f>
        <v/>
      </c>
      <c r="K262" s="142">
        <f>IF(offer_sale_type="транзит",IFERROR(ROUNDUP(VLOOKUP($B262,calc_data,K$14+1,0),2),0),0)</f>
        <v/>
      </c>
      <c r="L262" s="184">
        <f>IF(offer_sale_type="транзит",IFERROR(ROUNDUP(VLOOKUP($B262,calc_data,L$14+1,0),2),0),0)</f>
        <v/>
      </c>
      <c r="M262" s="141">
        <f>IF(offer_sale_type="транзит",IFERROR(ROUNDUP(VLOOKUP($B262,calc_data,M$14+1,0),2),0),0)</f>
        <v/>
      </c>
      <c r="N262" s="141">
        <f>IF(offer_sale_type="транзит",IFERROR(ROUNDUP(VLOOKUP($B262,calc_data,N$14+1,0),2),0),0)</f>
        <v/>
      </c>
      <c r="O262" s="147">
        <f>IF(offer_sale_type="транзит",IFERROR(ROUND(VLOOKUP($B262,calc_data,O$14+1,1),2),0),0)</f>
        <v/>
      </c>
      <c r="P262" s="141">
        <f>IF(offer_sale_type="транзит",IFERROR(ROUND(SUM(I262:J262,M262:O262)/E262,2),0),0)</f>
        <v/>
      </c>
      <c r="Q262" s="141">
        <f>E262*P262</f>
        <v/>
      </c>
      <c r="R262" s="141">
        <f>ROUND(Q262*IF(AND(offer_incoterms="DDP",seller_region="RU"),IF((TODAY()+offer_turnaround_time)&gt;=helpsheet!$L$17,rate_vatRU_from_26,rate_vatRu_till_25),0),2)</f>
        <v/>
      </c>
      <c r="S262" s="177">
        <f>Q262+IF(AND(offer_incoterms="DDP",seller_region="RU"),R262,0)</f>
        <v/>
      </c>
      <c r="T262" s="45" t="n"/>
      <c r="V262" s="57">
        <f>IF(Q262&gt;0,"показать","скрыть")</f>
        <v/>
      </c>
    </row>
    <row r="263" ht="15.75" customHeight="1">
      <c r="B263" s="809" t="n">
        <v>247</v>
      </c>
      <c r="C263" s="182">
        <f>IF(offer_sale_type="транзит",IFERROR(VLOOKUP($B263,calc_data,C$14+1,0),0),0)</f>
        <v/>
      </c>
      <c r="D263" s="280">
        <f>IF(offer_sale_type="транзит",IFERROR(VLOOKUP($B263,calc_data,D$14+1,0),0),0)</f>
        <v/>
      </c>
      <c r="E263" s="182">
        <f>IF(offer_sale_type="транзит",IFERROR(VLOOKUP($B263,calc_data,E$14+1,0),0),0)</f>
        <v/>
      </c>
      <c r="F263" s="182">
        <f>IF(offer_sale_type="транзит",IFERROR(VLOOKUP($B263,calc_data,F$14+1,0),0),0)</f>
        <v/>
      </c>
      <c r="G263" s="141">
        <f>IF(offer_sale_type="транзит",IFERROR(VLOOKUP($B263,calc_data,G$14+1,0),0),0)</f>
        <v/>
      </c>
      <c r="H263" s="141">
        <f>E263*G263</f>
        <v/>
      </c>
      <c r="I263" s="141">
        <f>IF(offer_sale_type="транзит",IFERROR(ROUND(VLOOKUP($B263,calc_data,I$14+1,0),2),0),0)</f>
        <v/>
      </c>
      <c r="J263" s="141">
        <f>ROUND(IF(offer_sale_type="транзит",IFERROR(VLOOKUP($B263,calc_data,J$14+1,0),0),0),2)</f>
        <v/>
      </c>
      <c r="K263" s="142">
        <f>IF(offer_sale_type="транзит",IFERROR(ROUNDUP(VLOOKUP($B263,calc_data,K$14+1,0),2),0),0)</f>
        <v/>
      </c>
      <c r="L263" s="184">
        <f>IF(offer_sale_type="транзит",IFERROR(ROUNDUP(VLOOKUP($B263,calc_data,L$14+1,0),2),0),0)</f>
        <v/>
      </c>
      <c r="M263" s="141">
        <f>IF(offer_sale_type="транзит",IFERROR(ROUNDUP(VLOOKUP($B263,calc_data,M$14+1,0),2),0),0)</f>
        <v/>
      </c>
      <c r="N263" s="141">
        <f>IF(offer_sale_type="транзит",IFERROR(ROUNDUP(VLOOKUP($B263,calc_data,N$14+1,0),2),0),0)</f>
        <v/>
      </c>
      <c r="O263" s="147">
        <f>IF(offer_sale_type="транзит",IFERROR(ROUND(VLOOKUP($B263,calc_data,O$14+1,1),2),0),0)</f>
        <v/>
      </c>
      <c r="P263" s="141">
        <f>IF(offer_sale_type="транзит",IFERROR(ROUND(SUM(I263:J263,M263:O263)/E263,2),0),0)</f>
        <v/>
      </c>
      <c r="Q263" s="141">
        <f>E263*P263</f>
        <v/>
      </c>
      <c r="R263" s="141">
        <f>ROUND(Q263*IF(AND(offer_incoterms="DDP",seller_region="RU"),IF((TODAY()+offer_turnaround_time)&gt;=helpsheet!$L$17,rate_vatRU_from_26,rate_vatRu_till_25),0),2)</f>
        <v/>
      </c>
      <c r="S263" s="177">
        <f>Q263+IF(AND(offer_incoterms="DDP",seller_region="RU"),R263,0)</f>
        <v/>
      </c>
      <c r="T263" s="45" t="n"/>
      <c r="V263" s="57">
        <f>IF(Q263&gt;0,"показать","скрыть")</f>
        <v/>
      </c>
    </row>
    <row r="264" ht="15.75" customHeight="1">
      <c r="B264" s="809" t="n">
        <v>248</v>
      </c>
      <c r="C264" s="182">
        <f>IF(offer_sale_type="транзит",IFERROR(VLOOKUP($B264,calc_data,C$14+1,0),0),0)</f>
        <v/>
      </c>
      <c r="D264" s="280">
        <f>IF(offer_sale_type="транзит",IFERROR(VLOOKUP($B264,calc_data,D$14+1,0),0),0)</f>
        <v/>
      </c>
      <c r="E264" s="182">
        <f>IF(offer_sale_type="транзит",IFERROR(VLOOKUP($B264,calc_data,E$14+1,0),0),0)</f>
        <v/>
      </c>
      <c r="F264" s="182">
        <f>IF(offer_sale_type="транзит",IFERROR(VLOOKUP($B264,calc_data,F$14+1,0),0),0)</f>
        <v/>
      </c>
      <c r="G264" s="141">
        <f>IF(offer_sale_type="транзит",IFERROR(VLOOKUP($B264,calc_data,G$14+1,0),0),0)</f>
        <v/>
      </c>
      <c r="H264" s="141">
        <f>E264*G264</f>
        <v/>
      </c>
      <c r="I264" s="141">
        <f>IF(offer_sale_type="транзит",IFERROR(ROUND(VLOOKUP($B264,calc_data,I$14+1,0),2),0),0)</f>
        <v/>
      </c>
      <c r="J264" s="141">
        <f>ROUND(IF(offer_sale_type="транзит",IFERROR(VLOOKUP($B264,calc_data,J$14+1,0),0),0),2)</f>
        <v/>
      </c>
      <c r="K264" s="142">
        <f>IF(offer_sale_type="транзит",IFERROR(ROUNDUP(VLOOKUP($B264,calc_data,K$14+1,0),2),0),0)</f>
        <v/>
      </c>
      <c r="L264" s="184">
        <f>IF(offer_sale_type="транзит",IFERROR(ROUNDUP(VLOOKUP($B264,calc_data,L$14+1,0),2),0),0)</f>
        <v/>
      </c>
      <c r="M264" s="141">
        <f>IF(offer_sale_type="транзит",IFERROR(ROUNDUP(VLOOKUP($B264,calc_data,M$14+1,0),2),0),0)</f>
        <v/>
      </c>
      <c r="N264" s="141">
        <f>IF(offer_sale_type="транзит",IFERROR(ROUNDUP(VLOOKUP($B264,calc_data,N$14+1,0),2),0),0)</f>
        <v/>
      </c>
      <c r="O264" s="147">
        <f>IF(offer_sale_type="транзит",IFERROR(ROUND(VLOOKUP($B264,calc_data,O$14+1,1),2),0),0)</f>
        <v/>
      </c>
      <c r="P264" s="141">
        <f>IF(offer_sale_type="транзит",IFERROR(ROUND(SUM(I264:J264,M264:O264)/E264,2),0),0)</f>
        <v/>
      </c>
      <c r="Q264" s="141">
        <f>E264*P264</f>
        <v/>
      </c>
      <c r="R264" s="141">
        <f>ROUND(Q264*IF(AND(offer_incoterms="DDP",seller_region="RU"),IF((TODAY()+offer_turnaround_time)&gt;=helpsheet!$L$17,rate_vatRU_from_26,rate_vatRu_till_25),0),2)</f>
        <v/>
      </c>
      <c r="S264" s="177">
        <f>Q264+IF(AND(offer_incoterms="DDP",seller_region="RU"),R264,0)</f>
        <v/>
      </c>
      <c r="T264" s="45" t="n"/>
      <c r="V264" s="57">
        <f>IF(Q264&gt;0,"показать","скрыть")</f>
        <v/>
      </c>
    </row>
    <row r="265" ht="15.75" customHeight="1">
      <c r="B265" s="809" t="n">
        <v>249</v>
      </c>
      <c r="C265" s="182">
        <f>IF(offer_sale_type="транзит",IFERROR(VLOOKUP($B265,calc_data,C$14+1,0),0),0)</f>
        <v/>
      </c>
      <c r="D265" s="280">
        <f>IF(offer_sale_type="транзит",IFERROR(VLOOKUP($B265,calc_data,D$14+1,0),0),0)</f>
        <v/>
      </c>
      <c r="E265" s="182">
        <f>IF(offer_sale_type="транзит",IFERROR(VLOOKUP($B265,calc_data,E$14+1,0),0),0)</f>
        <v/>
      </c>
      <c r="F265" s="182">
        <f>IF(offer_sale_type="транзит",IFERROR(VLOOKUP($B265,calc_data,F$14+1,0),0),0)</f>
        <v/>
      </c>
      <c r="G265" s="141">
        <f>IF(offer_sale_type="транзит",IFERROR(VLOOKUP($B265,calc_data,G$14+1,0),0),0)</f>
        <v/>
      </c>
      <c r="H265" s="141">
        <f>E265*G265</f>
        <v/>
      </c>
      <c r="I265" s="141">
        <f>IF(offer_sale_type="транзит",IFERROR(ROUND(VLOOKUP($B265,calc_data,I$14+1,0),2),0),0)</f>
        <v/>
      </c>
      <c r="J265" s="141">
        <f>ROUND(IF(offer_sale_type="транзит",IFERROR(VLOOKUP($B265,calc_data,J$14+1,0),0),0),2)</f>
        <v/>
      </c>
      <c r="K265" s="142">
        <f>IF(offer_sale_type="транзит",IFERROR(ROUNDUP(VLOOKUP($B265,calc_data,K$14+1,0),2),0),0)</f>
        <v/>
      </c>
      <c r="L265" s="184">
        <f>IF(offer_sale_type="транзит",IFERROR(ROUNDUP(VLOOKUP($B265,calc_data,L$14+1,0),2),0),0)</f>
        <v/>
      </c>
      <c r="M265" s="141">
        <f>IF(offer_sale_type="транзит",IFERROR(ROUNDUP(VLOOKUP($B265,calc_data,M$14+1,0),2),0),0)</f>
        <v/>
      </c>
      <c r="N265" s="141">
        <f>IF(offer_sale_type="транзит",IFERROR(ROUNDUP(VLOOKUP($B265,calc_data,N$14+1,0),2),0),0)</f>
        <v/>
      </c>
      <c r="O265" s="147">
        <f>IF(offer_sale_type="транзит",IFERROR(ROUND(VLOOKUP($B265,calc_data,O$14+1,1),2),0),0)</f>
        <v/>
      </c>
      <c r="P265" s="141">
        <f>IF(offer_sale_type="транзит",IFERROR(ROUND(SUM(I265:J265,M265:O265)/E265,2),0),0)</f>
        <v/>
      </c>
      <c r="Q265" s="141">
        <f>E265*P265</f>
        <v/>
      </c>
      <c r="R265" s="141">
        <f>ROUND(Q265*IF(AND(offer_incoterms="DDP",seller_region="RU"),IF((TODAY()+offer_turnaround_time)&gt;=helpsheet!$L$17,rate_vatRU_from_26,rate_vatRu_till_25),0),2)</f>
        <v/>
      </c>
      <c r="S265" s="177">
        <f>Q265+IF(AND(offer_incoterms="DDP",seller_region="RU"),R265,0)</f>
        <v/>
      </c>
      <c r="T265" s="45" t="n"/>
      <c r="V265" s="57">
        <f>IF(Q265&gt;0,"показать","скрыть")</f>
        <v/>
      </c>
    </row>
    <row r="266" ht="15.75" customHeight="1">
      <c r="B266" s="809" t="n">
        <v>250</v>
      </c>
      <c r="C266" s="182">
        <f>IF(offer_sale_type="транзит",IFERROR(VLOOKUP($B266,calc_data,C$14+1,0),0),0)</f>
        <v/>
      </c>
      <c r="D266" s="280">
        <f>IF(offer_sale_type="транзит",IFERROR(VLOOKUP($B266,calc_data,D$14+1,0),0),0)</f>
        <v/>
      </c>
      <c r="E266" s="182">
        <f>IF(offer_sale_type="транзит",IFERROR(VLOOKUP($B266,calc_data,E$14+1,0),0),0)</f>
        <v/>
      </c>
      <c r="F266" s="182">
        <f>IF(offer_sale_type="транзит",IFERROR(VLOOKUP($B266,calc_data,F$14+1,0),0),0)</f>
        <v/>
      </c>
      <c r="G266" s="141">
        <f>IF(offer_sale_type="транзит",IFERROR(VLOOKUP($B266,calc_data,G$14+1,0),0),0)</f>
        <v/>
      </c>
      <c r="H266" s="141">
        <f>E266*G266</f>
        <v/>
      </c>
      <c r="I266" s="141">
        <f>IF(offer_sale_type="транзит",IFERROR(ROUND(VLOOKUP($B266,calc_data,I$14+1,0),2),0),0)</f>
        <v/>
      </c>
      <c r="J266" s="141">
        <f>ROUND(IF(offer_sale_type="транзит",IFERROR(VLOOKUP($B266,calc_data,J$14+1,0),0),0),2)</f>
        <v/>
      </c>
      <c r="K266" s="142">
        <f>IF(offer_sale_type="транзит",IFERROR(ROUNDUP(VLOOKUP($B266,calc_data,K$14+1,0),2),0),0)</f>
        <v/>
      </c>
      <c r="L266" s="184">
        <f>IF(offer_sale_type="транзит",IFERROR(ROUNDUP(VLOOKUP($B266,calc_data,L$14+1,0),2),0),0)</f>
        <v/>
      </c>
      <c r="M266" s="141">
        <f>IF(offer_sale_type="транзит",IFERROR(ROUNDUP(VLOOKUP($B266,calc_data,M$14+1,0),2),0),0)</f>
        <v/>
      </c>
      <c r="N266" s="141">
        <f>IF(offer_sale_type="транзит",IFERROR(ROUNDUP(VLOOKUP($B266,calc_data,N$14+1,0),2),0),0)</f>
        <v/>
      </c>
      <c r="O266" s="147">
        <f>IF(offer_sale_type="транзит",IFERROR(ROUND(VLOOKUP($B266,calc_data,O$14+1,1),2),0),0)</f>
        <v/>
      </c>
      <c r="P266" s="141">
        <f>IF(offer_sale_type="транзит",IFERROR(ROUND(SUM(I266:J266,M266:O266)/E266,2),0),0)</f>
        <v/>
      </c>
      <c r="Q266" s="141">
        <f>E266*P266</f>
        <v/>
      </c>
      <c r="R266" s="141">
        <f>ROUND(Q266*IF(AND(offer_incoterms="DDP",seller_region="RU"),IF((TODAY()+offer_turnaround_time)&gt;=helpsheet!$L$17,rate_vatRU_from_26,rate_vatRu_till_25),0),2)</f>
        <v/>
      </c>
      <c r="S266" s="177">
        <f>Q266+IF(AND(offer_incoterms="DDP",seller_region="RU"),R266,0)</f>
        <v/>
      </c>
      <c r="T266" s="45" t="n"/>
      <c r="V266" s="57">
        <f>IF(Q266&gt;0,"показать","скрыть")</f>
        <v/>
      </c>
    </row>
    <row r="267" ht="15.75" customHeight="1">
      <c r="B267" s="809" t="n">
        <v>251</v>
      </c>
      <c r="C267" s="182">
        <f>IF(offer_sale_type="транзит",IFERROR(VLOOKUP($B267,calc_data,C$14+1,0),0),0)</f>
        <v/>
      </c>
      <c r="D267" s="280">
        <f>IF(offer_sale_type="транзит",IFERROR(VLOOKUP($B267,calc_data,D$14+1,0),0),0)</f>
        <v/>
      </c>
      <c r="E267" s="182">
        <f>IF(offer_sale_type="транзит",IFERROR(VLOOKUP($B267,calc_data,E$14+1,0),0),0)</f>
        <v/>
      </c>
      <c r="F267" s="182">
        <f>IF(offer_sale_type="транзит",IFERROR(VLOOKUP($B267,calc_data,F$14+1,0),0),0)</f>
        <v/>
      </c>
      <c r="G267" s="141">
        <f>IF(offer_sale_type="транзит",IFERROR(VLOOKUP($B267,calc_data,G$14+1,0),0),0)</f>
        <v/>
      </c>
      <c r="H267" s="141">
        <f>E267*G267</f>
        <v/>
      </c>
      <c r="I267" s="141">
        <f>IF(offer_sale_type="транзит",IFERROR(ROUND(VLOOKUP($B267,calc_data,I$14+1,0),2),0),0)</f>
        <v/>
      </c>
      <c r="J267" s="141">
        <f>ROUND(IF(offer_sale_type="транзит",IFERROR(VLOOKUP($B267,calc_data,J$14+1,0),0),0),2)</f>
        <v/>
      </c>
      <c r="K267" s="142">
        <f>IF(offer_sale_type="транзит",IFERROR(ROUNDUP(VLOOKUP($B267,calc_data,K$14+1,0),2),0),0)</f>
        <v/>
      </c>
      <c r="L267" s="184">
        <f>IF(offer_sale_type="транзит",IFERROR(ROUNDUP(VLOOKUP($B267,calc_data,L$14+1,0),2),0),0)</f>
        <v/>
      </c>
      <c r="M267" s="141">
        <f>IF(offer_sale_type="транзит",IFERROR(ROUNDUP(VLOOKUP($B267,calc_data,M$14+1,0),2),0),0)</f>
        <v/>
      </c>
      <c r="N267" s="141">
        <f>IF(offer_sale_type="транзит",IFERROR(ROUNDUP(VLOOKUP($B267,calc_data,N$14+1,0),2),0),0)</f>
        <v/>
      </c>
      <c r="O267" s="147">
        <f>IF(offer_sale_type="транзит",IFERROR(ROUND(VLOOKUP($B267,calc_data,O$14+1,1),2),0),0)</f>
        <v/>
      </c>
      <c r="P267" s="141">
        <f>IF(offer_sale_type="транзит",IFERROR(ROUND(SUM(I267:J267,M267:O267)/E267,2),0),0)</f>
        <v/>
      </c>
      <c r="Q267" s="141">
        <f>E267*P267</f>
        <v/>
      </c>
      <c r="R267" s="141">
        <f>ROUND(Q267*IF(AND(offer_incoterms="DDP",seller_region="RU"),IF((TODAY()+offer_turnaround_time)&gt;=helpsheet!$L$17,rate_vatRU_from_26,rate_vatRu_till_25),0),2)</f>
        <v/>
      </c>
      <c r="S267" s="177">
        <f>Q267+IF(AND(offer_incoterms="DDP",seller_region="RU"),R267,0)</f>
        <v/>
      </c>
      <c r="T267" s="45" t="n"/>
      <c r="V267" s="57">
        <f>IF(Q267&gt;0,"показать","скрыть")</f>
        <v/>
      </c>
    </row>
    <row r="268" ht="15.75" customHeight="1">
      <c r="B268" s="809" t="n">
        <v>252</v>
      </c>
      <c r="C268" s="182">
        <f>IF(offer_sale_type="транзит",IFERROR(VLOOKUP($B268,calc_data,C$14+1,0),0),0)</f>
        <v/>
      </c>
      <c r="D268" s="280">
        <f>IF(offer_sale_type="транзит",IFERROR(VLOOKUP($B268,calc_data,D$14+1,0),0),0)</f>
        <v/>
      </c>
      <c r="E268" s="182">
        <f>IF(offer_sale_type="транзит",IFERROR(VLOOKUP($B268,calc_data,E$14+1,0),0),0)</f>
        <v/>
      </c>
      <c r="F268" s="182">
        <f>IF(offer_sale_type="транзит",IFERROR(VLOOKUP($B268,calc_data,F$14+1,0),0),0)</f>
        <v/>
      </c>
      <c r="G268" s="141">
        <f>IF(offer_sale_type="транзит",IFERROR(VLOOKUP($B268,calc_data,G$14+1,0),0),0)</f>
        <v/>
      </c>
      <c r="H268" s="141">
        <f>E268*G268</f>
        <v/>
      </c>
      <c r="I268" s="141">
        <f>IF(offer_sale_type="транзит",IFERROR(ROUND(VLOOKUP($B268,calc_data,I$14+1,0),2),0),0)</f>
        <v/>
      </c>
      <c r="J268" s="141">
        <f>ROUND(IF(offer_sale_type="транзит",IFERROR(VLOOKUP($B268,calc_data,J$14+1,0),0),0),2)</f>
        <v/>
      </c>
      <c r="K268" s="142">
        <f>IF(offer_sale_type="транзит",IFERROR(ROUNDUP(VLOOKUP($B268,calc_data,K$14+1,0),2),0),0)</f>
        <v/>
      </c>
      <c r="L268" s="184">
        <f>IF(offer_sale_type="транзит",IFERROR(ROUNDUP(VLOOKUP($B268,calc_data,L$14+1,0),2),0),0)</f>
        <v/>
      </c>
      <c r="M268" s="141">
        <f>IF(offer_sale_type="транзит",IFERROR(ROUNDUP(VLOOKUP($B268,calc_data,M$14+1,0),2),0),0)</f>
        <v/>
      </c>
      <c r="N268" s="141">
        <f>IF(offer_sale_type="транзит",IFERROR(ROUNDUP(VLOOKUP($B268,calc_data,N$14+1,0),2),0),0)</f>
        <v/>
      </c>
      <c r="O268" s="147">
        <f>IF(offer_sale_type="транзит",IFERROR(ROUND(VLOOKUP($B268,calc_data,O$14+1,1),2),0),0)</f>
        <v/>
      </c>
      <c r="P268" s="141">
        <f>IF(offer_sale_type="транзит",IFERROR(ROUND(SUM(I268:J268,M268:O268)/E268,2),0),0)</f>
        <v/>
      </c>
      <c r="Q268" s="141">
        <f>E268*P268</f>
        <v/>
      </c>
      <c r="R268" s="141">
        <f>ROUND(Q268*IF(AND(offer_incoterms="DDP",seller_region="RU"),IF((TODAY()+offer_turnaround_time)&gt;=helpsheet!$L$17,rate_vatRU_from_26,rate_vatRu_till_25),0),2)</f>
        <v/>
      </c>
      <c r="S268" s="177">
        <f>Q268+IF(AND(offer_incoterms="DDP",seller_region="RU"),R268,0)</f>
        <v/>
      </c>
      <c r="T268" s="45" t="n"/>
      <c r="V268" s="57">
        <f>IF(Q268&gt;0,"показать","скрыть")</f>
        <v/>
      </c>
    </row>
    <row r="269" ht="15.75" customHeight="1">
      <c r="B269" s="809" t="n">
        <v>253</v>
      </c>
      <c r="C269" s="182">
        <f>IF(offer_sale_type="транзит",IFERROR(VLOOKUP($B269,calc_data,C$14+1,0),0),0)</f>
        <v/>
      </c>
      <c r="D269" s="280">
        <f>IF(offer_sale_type="транзит",IFERROR(VLOOKUP($B269,calc_data,D$14+1,0),0),0)</f>
        <v/>
      </c>
      <c r="E269" s="182">
        <f>IF(offer_sale_type="транзит",IFERROR(VLOOKUP($B269,calc_data,E$14+1,0),0),0)</f>
        <v/>
      </c>
      <c r="F269" s="182">
        <f>IF(offer_sale_type="транзит",IFERROR(VLOOKUP($B269,calc_data,F$14+1,0),0),0)</f>
        <v/>
      </c>
      <c r="G269" s="141">
        <f>IF(offer_sale_type="транзит",IFERROR(VLOOKUP($B269,calc_data,G$14+1,0),0),0)</f>
        <v/>
      </c>
      <c r="H269" s="141">
        <f>E269*G269</f>
        <v/>
      </c>
      <c r="I269" s="141">
        <f>IF(offer_sale_type="транзит",IFERROR(ROUND(VLOOKUP($B269,calc_data,I$14+1,0),2),0),0)</f>
        <v/>
      </c>
      <c r="J269" s="141">
        <f>ROUND(IF(offer_sale_type="транзит",IFERROR(VLOOKUP($B269,calc_data,J$14+1,0),0),0),2)</f>
        <v/>
      </c>
      <c r="K269" s="142">
        <f>IF(offer_sale_type="транзит",IFERROR(ROUNDUP(VLOOKUP($B269,calc_data,K$14+1,0),2),0),0)</f>
        <v/>
      </c>
      <c r="L269" s="184">
        <f>IF(offer_sale_type="транзит",IFERROR(ROUNDUP(VLOOKUP($B269,calc_data,L$14+1,0),2),0),0)</f>
        <v/>
      </c>
      <c r="M269" s="141">
        <f>IF(offer_sale_type="транзит",IFERROR(ROUNDUP(VLOOKUP($B269,calc_data,M$14+1,0),2),0),0)</f>
        <v/>
      </c>
      <c r="N269" s="141">
        <f>IF(offer_sale_type="транзит",IFERROR(ROUNDUP(VLOOKUP($B269,calc_data,N$14+1,0),2),0),0)</f>
        <v/>
      </c>
      <c r="O269" s="147">
        <f>IF(offer_sale_type="транзит",IFERROR(ROUND(VLOOKUP($B269,calc_data,O$14+1,1),2),0),0)</f>
        <v/>
      </c>
      <c r="P269" s="141">
        <f>IF(offer_sale_type="транзит",IFERROR(ROUND(SUM(I269:J269,M269:O269)/E269,2),0),0)</f>
        <v/>
      </c>
      <c r="Q269" s="141">
        <f>E269*P269</f>
        <v/>
      </c>
      <c r="R269" s="141">
        <f>ROUND(Q269*IF(AND(offer_incoterms="DDP",seller_region="RU"),IF((TODAY()+offer_turnaround_time)&gt;=helpsheet!$L$17,rate_vatRU_from_26,rate_vatRu_till_25),0),2)</f>
        <v/>
      </c>
      <c r="S269" s="177">
        <f>Q269+IF(AND(offer_incoterms="DDP",seller_region="RU"),R269,0)</f>
        <v/>
      </c>
      <c r="T269" s="45" t="n"/>
      <c r="V269" s="57">
        <f>IF(Q269&gt;0,"показать","скрыть")</f>
        <v/>
      </c>
    </row>
    <row r="270" ht="15.75" customHeight="1">
      <c r="B270" s="809" t="n">
        <v>254</v>
      </c>
      <c r="C270" s="182">
        <f>IF(offer_sale_type="транзит",IFERROR(VLOOKUP($B270,calc_data,C$14+1,0),0),0)</f>
        <v/>
      </c>
      <c r="D270" s="280">
        <f>IF(offer_sale_type="транзит",IFERROR(VLOOKUP($B270,calc_data,D$14+1,0),0),0)</f>
        <v/>
      </c>
      <c r="E270" s="182">
        <f>IF(offer_sale_type="транзит",IFERROR(VLOOKUP($B270,calc_data,E$14+1,0),0),0)</f>
        <v/>
      </c>
      <c r="F270" s="182">
        <f>IF(offer_sale_type="транзит",IFERROR(VLOOKUP($B270,calc_data,F$14+1,0),0),0)</f>
        <v/>
      </c>
      <c r="G270" s="141">
        <f>IF(offer_sale_type="транзит",IFERROR(VLOOKUP($B270,calc_data,G$14+1,0),0),0)</f>
        <v/>
      </c>
      <c r="H270" s="141">
        <f>E270*G270</f>
        <v/>
      </c>
      <c r="I270" s="141">
        <f>IF(offer_sale_type="транзит",IFERROR(ROUND(VLOOKUP($B270,calc_data,I$14+1,0),2),0),0)</f>
        <v/>
      </c>
      <c r="J270" s="141">
        <f>ROUND(IF(offer_sale_type="транзит",IFERROR(VLOOKUP($B270,calc_data,J$14+1,0),0),0),2)</f>
        <v/>
      </c>
      <c r="K270" s="142">
        <f>IF(offer_sale_type="транзит",IFERROR(ROUNDUP(VLOOKUP($B270,calc_data,K$14+1,0),2),0),0)</f>
        <v/>
      </c>
      <c r="L270" s="184">
        <f>IF(offer_sale_type="транзит",IFERROR(ROUNDUP(VLOOKUP($B270,calc_data,L$14+1,0),2),0),0)</f>
        <v/>
      </c>
      <c r="M270" s="141">
        <f>IF(offer_sale_type="транзит",IFERROR(ROUNDUP(VLOOKUP($B270,calc_data,M$14+1,0),2),0),0)</f>
        <v/>
      </c>
      <c r="N270" s="141">
        <f>IF(offer_sale_type="транзит",IFERROR(ROUNDUP(VLOOKUP($B270,calc_data,N$14+1,0),2),0),0)</f>
        <v/>
      </c>
      <c r="O270" s="147">
        <f>IF(offer_sale_type="транзит",IFERROR(ROUND(VLOOKUP($B270,calc_data,O$14+1,1),2),0),0)</f>
        <v/>
      </c>
      <c r="P270" s="141">
        <f>IF(offer_sale_type="транзит",IFERROR(ROUND(SUM(I270:J270,M270:O270)/E270,2),0),0)</f>
        <v/>
      </c>
      <c r="Q270" s="141">
        <f>E270*P270</f>
        <v/>
      </c>
      <c r="R270" s="141">
        <f>ROUND(Q270*IF(AND(offer_incoterms="DDP",seller_region="RU"),IF((TODAY()+offer_turnaround_time)&gt;=helpsheet!$L$17,rate_vatRU_from_26,rate_vatRu_till_25),0),2)</f>
        <v/>
      </c>
      <c r="S270" s="177">
        <f>Q270+IF(AND(offer_incoterms="DDP",seller_region="RU"),R270,0)</f>
        <v/>
      </c>
      <c r="T270" s="45" t="n"/>
      <c r="V270" s="57">
        <f>IF(Q270&gt;0,"показать","скрыть")</f>
        <v/>
      </c>
    </row>
    <row r="271" ht="15.75" customHeight="1">
      <c r="B271" s="809" t="n">
        <v>255</v>
      </c>
      <c r="C271" s="182">
        <f>IF(offer_sale_type="транзит",IFERROR(VLOOKUP($B271,calc_data,C$14+1,0),0),0)</f>
        <v/>
      </c>
      <c r="D271" s="280">
        <f>IF(offer_sale_type="транзит",IFERROR(VLOOKUP($B271,calc_data,D$14+1,0),0),0)</f>
        <v/>
      </c>
      <c r="E271" s="182">
        <f>IF(offer_sale_type="транзит",IFERROR(VLOOKUP($B271,calc_data,E$14+1,0),0),0)</f>
        <v/>
      </c>
      <c r="F271" s="182">
        <f>IF(offer_sale_type="транзит",IFERROR(VLOOKUP($B271,calc_data,F$14+1,0),0),0)</f>
        <v/>
      </c>
      <c r="G271" s="141">
        <f>IF(offer_sale_type="транзит",IFERROR(VLOOKUP($B271,calc_data,G$14+1,0),0),0)</f>
        <v/>
      </c>
      <c r="H271" s="141">
        <f>E271*G271</f>
        <v/>
      </c>
      <c r="I271" s="141">
        <f>IF(offer_sale_type="транзит",IFERROR(ROUND(VLOOKUP($B271,calc_data,I$14+1,0),2),0),0)</f>
        <v/>
      </c>
      <c r="J271" s="141">
        <f>ROUND(IF(offer_sale_type="транзит",IFERROR(VLOOKUP($B271,calc_data,J$14+1,0),0),0),2)</f>
        <v/>
      </c>
      <c r="K271" s="142">
        <f>IF(offer_sale_type="транзит",IFERROR(ROUNDUP(VLOOKUP($B271,calc_data,K$14+1,0),2),0),0)</f>
        <v/>
      </c>
      <c r="L271" s="184">
        <f>IF(offer_sale_type="транзит",IFERROR(ROUNDUP(VLOOKUP($B271,calc_data,L$14+1,0),2),0),0)</f>
        <v/>
      </c>
      <c r="M271" s="141">
        <f>IF(offer_sale_type="транзит",IFERROR(ROUNDUP(VLOOKUP($B271,calc_data,M$14+1,0),2),0),0)</f>
        <v/>
      </c>
      <c r="N271" s="141">
        <f>IF(offer_sale_type="транзит",IFERROR(ROUNDUP(VLOOKUP($B271,calc_data,N$14+1,0),2),0),0)</f>
        <v/>
      </c>
      <c r="O271" s="147">
        <f>IF(offer_sale_type="транзит",IFERROR(ROUND(VLOOKUP($B271,calc_data,O$14+1,1),2),0),0)</f>
        <v/>
      </c>
      <c r="P271" s="141">
        <f>IF(offer_sale_type="транзит",IFERROR(ROUND(SUM(I271:J271,M271:O271)/E271,2),0),0)</f>
        <v/>
      </c>
      <c r="Q271" s="141">
        <f>E271*P271</f>
        <v/>
      </c>
      <c r="R271" s="141">
        <f>ROUND(Q271*IF(AND(offer_incoterms="DDP",seller_region="RU"),IF((TODAY()+offer_turnaround_time)&gt;=helpsheet!$L$17,rate_vatRU_from_26,rate_vatRu_till_25),0),2)</f>
        <v/>
      </c>
      <c r="S271" s="177">
        <f>Q271+IF(AND(offer_incoterms="DDP",seller_region="RU"),R271,0)</f>
        <v/>
      </c>
      <c r="T271" s="45" t="n"/>
      <c r="V271" s="57">
        <f>IF(Q271&gt;0,"показать","скрыть")</f>
        <v/>
      </c>
    </row>
    <row r="272" ht="15.75" customHeight="1">
      <c r="B272" s="809" t="n">
        <v>256</v>
      </c>
      <c r="C272" s="182">
        <f>IF(offer_sale_type="транзит",IFERROR(VLOOKUP($B272,calc_data,C$14+1,0),0),0)</f>
        <v/>
      </c>
      <c r="D272" s="280">
        <f>IF(offer_sale_type="транзит",IFERROR(VLOOKUP($B272,calc_data,D$14+1,0),0),0)</f>
        <v/>
      </c>
      <c r="E272" s="182">
        <f>IF(offer_sale_type="транзит",IFERROR(VLOOKUP($B272,calc_data,E$14+1,0),0),0)</f>
        <v/>
      </c>
      <c r="F272" s="182">
        <f>IF(offer_sale_type="транзит",IFERROR(VLOOKUP($B272,calc_data,F$14+1,0),0),0)</f>
        <v/>
      </c>
      <c r="G272" s="141">
        <f>IF(offer_sale_type="транзит",IFERROR(VLOOKUP($B272,calc_data,G$14+1,0),0),0)</f>
        <v/>
      </c>
      <c r="H272" s="141">
        <f>E272*G272</f>
        <v/>
      </c>
      <c r="I272" s="141">
        <f>IF(offer_sale_type="транзит",IFERROR(ROUND(VLOOKUP($B272,calc_data,I$14+1,0),2),0),0)</f>
        <v/>
      </c>
      <c r="J272" s="141">
        <f>ROUND(IF(offer_sale_type="транзит",IFERROR(VLOOKUP($B272,calc_data,J$14+1,0),0),0),2)</f>
        <v/>
      </c>
      <c r="K272" s="142">
        <f>IF(offer_sale_type="транзит",IFERROR(ROUNDUP(VLOOKUP($B272,calc_data,K$14+1,0),2),0),0)</f>
        <v/>
      </c>
      <c r="L272" s="184">
        <f>IF(offer_sale_type="транзит",IFERROR(ROUNDUP(VLOOKUP($B272,calc_data,L$14+1,0),2),0),0)</f>
        <v/>
      </c>
      <c r="M272" s="141">
        <f>IF(offer_sale_type="транзит",IFERROR(ROUNDUP(VLOOKUP($B272,calc_data,M$14+1,0),2),0),0)</f>
        <v/>
      </c>
      <c r="N272" s="141">
        <f>IF(offer_sale_type="транзит",IFERROR(ROUNDUP(VLOOKUP($B272,calc_data,N$14+1,0),2),0),0)</f>
        <v/>
      </c>
      <c r="O272" s="147">
        <f>IF(offer_sale_type="транзит",IFERROR(ROUND(VLOOKUP($B272,calc_data,O$14+1,1),2),0),0)</f>
        <v/>
      </c>
      <c r="P272" s="141">
        <f>IF(offer_sale_type="транзит",IFERROR(ROUND(SUM(I272:J272,M272:O272)/E272,2),0),0)</f>
        <v/>
      </c>
      <c r="Q272" s="141">
        <f>E272*P272</f>
        <v/>
      </c>
      <c r="R272" s="141">
        <f>ROUND(Q272*IF(AND(offer_incoterms="DDP",seller_region="RU"),IF((TODAY()+offer_turnaround_time)&gt;=helpsheet!$L$17,rate_vatRU_from_26,rate_vatRu_till_25),0),2)</f>
        <v/>
      </c>
      <c r="S272" s="177">
        <f>Q272+IF(AND(offer_incoterms="DDP",seller_region="RU"),R272,0)</f>
        <v/>
      </c>
      <c r="T272" s="45" t="n"/>
      <c r="V272" s="57">
        <f>IF(Q272&gt;0,"показать","скрыть")</f>
        <v/>
      </c>
    </row>
    <row r="273" ht="15.75" customHeight="1">
      <c r="B273" s="809" t="n">
        <v>257</v>
      </c>
      <c r="C273" s="182">
        <f>IF(offer_sale_type="транзит",IFERROR(VLOOKUP($B273,calc_data,C$14+1,0),0),0)</f>
        <v/>
      </c>
      <c r="D273" s="280">
        <f>IF(offer_sale_type="транзит",IFERROR(VLOOKUP($B273,calc_data,D$14+1,0),0),0)</f>
        <v/>
      </c>
      <c r="E273" s="182">
        <f>IF(offer_sale_type="транзит",IFERROR(VLOOKUP($B273,calc_data,E$14+1,0),0),0)</f>
        <v/>
      </c>
      <c r="F273" s="182">
        <f>IF(offer_sale_type="транзит",IFERROR(VLOOKUP($B273,calc_data,F$14+1,0),0),0)</f>
        <v/>
      </c>
      <c r="G273" s="141">
        <f>IF(offer_sale_type="транзит",IFERROR(VLOOKUP($B273,calc_data,G$14+1,0),0),0)</f>
        <v/>
      </c>
      <c r="H273" s="141">
        <f>E273*G273</f>
        <v/>
      </c>
      <c r="I273" s="141">
        <f>IF(offer_sale_type="транзит",IFERROR(ROUND(VLOOKUP($B273,calc_data,I$14+1,0),2),0),0)</f>
        <v/>
      </c>
      <c r="J273" s="141">
        <f>ROUND(IF(offer_sale_type="транзит",IFERROR(VLOOKUP($B273,calc_data,J$14+1,0),0),0),2)</f>
        <v/>
      </c>
      <c r="K273" s="142">
        <f>IF(offer_sale_type="транзит",IFERROR(ROUNDUP(VLOOKUP($B273,calc_data,K$14+1,0),2),0),0)</f>
        <v/>
      </c>
      <c r="L273" s="184">
        <f>IF(offer_sale_type="транзит",IFERROR(ROUNDUP(VLOOKUP($B273,calc_data,L$14+1,0),2),0),0)</f>
        <v/>
      </c>
      <c r="M273" s="141">
        <f>IF(offer_sale_type="транзит",IFERROR(ROUNDUP(VLOOKUP($B273,calc_data,M$14+1,0),2),0),0)</f>
        <v/>
      </c>
      <c r="N273" s="141">
        <f>IF(offer_sale_type="транзит",IFERROR(ROUNDUP(VLOOKUP($B273,calc_data,N$14+1,0),2),0),0)</f>
        <v/>
      </c>
      <c r="O273" s="147">
        <f>IF(offer_sale_type="транзит",IFERROR(ROUND(VLOOKUP($B273,calc_data,O$14+1,1),2),0),0)</f>
        <v/>
      </c>
      <c r="P273" s="141">
        <f>IF(offer_sale_type="транзит",IFERROR(ROUND(SUM(I273:J273,M273:O273)/E273,2),0),0)</f>
        <v/>
      </c>
      <c r="Q273" s="141">
        <f>E273*P273</f>
        <v/>
      </c>
      <c r="R273" s="141">
        <f>ROUND(Q273*IF(AND(offer_incoterms="DDP",seller_region="RU"),IF((TODAY()+offer_turnaround_time)&gt;=helpsheet!$L$17,rate_vatRU_from_26,rate_vatRu_till_25),0),2)</f>
        <v/>
      </c>
      <c r="S273" s="177">
        <f>Q273+IF(AND(offer_incoterms="DDP",seller_region="RU"),R273,0)</f>
        <v/>
      </c>
      <c r="T273" s="45" t="n"/>
      <c r="V273" s="57">
        <f>IF(Q273&gt;0,"показать","скрыть")</f>
        <v/>
      </c>
    </row>
    <row r="274" ht="15.75" customHeight="1">
      <c r="B274" s="809" t="n">
        <v>258</v>
      </c>
      <c r="C274" s="182">
        <f>IF(offer_sale_type="транзит",IFERROR(VLOOKUP($B274,calc_data,C$14+1,0),0),0)</f>
        <v/>
      </c>
      <c r="D274" s="280">
        <f>IF(offer_sale_type="транзит",IFERROR(VLOOKUP($B274,calc_data,D$14+1,0),0),0)</f>
        <v/>
      </c>
      <c r="E274" s="182">
        <f>IF(offer_sale_type="транзит",IFERROR(VLOOKUP($B274,calc_data,E$14+1,0),0),0)</f>
        <v/>
      </c>
      <c r="F274" s="182">
        <f>IF(offer_sale_type="транзит",IFERROR(VLOOKUP($B274,calc_data,F$14+1,0),0),0)</f>
        <v/>
      </c>
      <c r="G274" s="141">
        <f>IF(offer_sale_type="транзит",IFERROR(VLOOKUP($B274,calc_data,G$14+1,0),0),0)</f>
        <v/>
      </c>
      <c r="H274" s="141">
        <f>E274*G274</f>
        <v/>
      </c>
      <c r="I274" s="141">
        <f>IF(offer_sale_type="транзит",IFERROR(ROUND(VLOOKUP($B274,calc_data,I$14+1,0),2),0),0)</f>
        <v/>
      </c>
      <c r="J274" s="141">
        <f>ROUND(IF(offer_sale_type="транзит",IFERROR(VLOOKUP($B274,calc_data,J$14+1,0),0),0),2)</f>
        <v/>
      </c>
      <c r="K274" s="142">
        <f>IF(offer_sale_type="транзит",IFERROR(ROUNDUP(VLOOKUP($B274,calc_data,K$14+1,0),2),0),0)</f>
        <v/>
      </c>
      <c r="L274" s="184">
        <f>IF(offer_sale_type="транзит",IFERROR(ROUNDUP(VLOOKUP($B274,calc_data,L$14+1,0),2),0),0)</f>
        <v/>
      </c>
      <c r="M274" s="141">
        <f>IF(offer_sale_type="транзит",IFERROR(ROUNDUP(VLOOKUP($B274,calc_data,M$14+1,0),2),0),0)</f>
        <v/>
      </c>
      <c r="N274" s="141">
        <f>IF(offer_sale_type="транзит",IFERROR(ROUNDUP(VLOOKUP($B274,calc_data,N$14+1,0),2),0),0)</f>
        <v/>
      </c>
      <c r="O274" s="147">
        <f>IF(offer_sale_type="транзит",IFERROR(ROUND(VLOOKUP($B274,calc_data,O$14+1,1),2),0),0)</f>
        <v/>
      </c>
      <c r="P274" s="141">
        <f>IF(offer_sale_type="транзит",IFERROR(ROUND(SUM(I274:J274,M274:O274)/E274,2),0),0)</f>
        <v/>
      </c>
      <c r="Q274" s="141">
        <f>E274*P274</f>
        <v/>
      </c>
      <c r="R274" s="141">
        <f>ROUND(Q274*IF(AND(offer_incoterms="DDP",seller_region="RU"),IF((TODAY()+offer_turnaround_time)&gt;=helpsheet!$L$17,rate_vatRU_from_26,rate_vatRu_till_25),0),2)</f>
        <v/>
      </c>
      <c r="S274" s="177">
        <f>Q274+IF(AND(offer_incoterms="DDP",seller_region="RU"),R274,0)</f>
        <v/>
      </c>
      <c r="T274" s="45" t="n"/>
      <c r="V274" s="57">
        <f>IF(Q274&gt;0,"показать","скрыть")</f>
        <v/>
      </c>
    </row>
    <row r="275" ht="15.75" customHeight="1">
      <c r="B275" s="809" t="n">
        <v>259</v>
      </c>
      <c r="C275" s="182">
        <f>IF(offer_sale_type="транзит",IFERROR(VLOOKUP($B275,calc_data,C$14+1,0),0),0)</f>
        <v/>
      </c>
      <c r="D275" s="280">
        <f>IF(offer_sale_type="транзит",IFERROR(VLOOKUP($B275,calc_data,D$14+1,0),0),0)</f>
        <v/>
      </c>
      <c r="E275" s="182">
        <f>IF(offer_sale_type="транзит",IFERROR(VLOOKUP($B275,calc_data,E$14+1,0),0),0)</f>
        <v/>
      </c>
      <c r="F275" s="182">
        <f>IF(offer_sale_type="транзит",IFERROR(VLOOKUP($B275,calc_data,F$14+1,0),0),0)</f>
        <v/>
      </c>
      <c r="G275" s="141">
        <f>IF(offer_sale_type="транзит",IFERROR(VLOOKUP($B275,calc_data,G$14+1,0),0),0)</f>
        <v/>
      </c>
      <c r="H275" s="141">
        <f>E275*G275</f>
        <v/>
      </c>
      <c r="I275" s="141">
        <f>IF(offer_sale_type="транзит",IFERROR(ROUND(VLOOKUP($B275,calc_data,I$14+1,0),2),0),0)</f>
        <v/>
      </c>
      <c r="J275" s="141">
        <f>ROUND(IF(offer_sale_type="транзит",IFERROR(VLOOKUP($B275,calc_data,J$14+1,0),0),0),2)</f>
        <v/>
      </c>
      <c r="K275" s="142">
        <f>IF(offer_sale_type="транзит",IFERROR(ROUNDUP(VLOOKUP($B275,calc_data,K$14+1,0),2),0),0)</f>
        <v/>
      </c>
      <c r="L275" s="184">
        <f>IF(offer_sale_type="транзит",IFERROR(ROUNDUP(VLOOKUP($B275,calc_data,L$14+1,0),2),0),0)</f>
        <v/>
      </c>
      <c r="M275" s="141">
        <f>IF(offer_sale_type="транзит",IFERROR(ROUNDUP(VLOOKUP($B275,calc_data,M$14+1,0),2),0),0)</f>
        <v/>
      </c>
      <c r="N275" s="141">
        <f>IF(offer_sale_type="транзит",IFERROR(ROUNDUP(VLOOKUP($B275,calc_data,N$14+1,0),2),0),0)</f>
        <v/>
      </c>
      <c r="O275" s="147">
        <f>IF(offer_sale_type="транзит",IFERROR(ROUND(VLOOKUP($B275,calc_data,O$14+1,1),2),0),0)</f>
        <v/>
      </c>
      <c r="P275" s="141">
        <f>IF(offer_sale_type="транзит",IFERROR(ROUND(SUM(I275:J275,M275:O275)/E275,2),0),0)</f>
        <v/>
      </c>
      <c r="Q275" s="141">
        <f>E275*P275</f>
        <v/>
      </c>
      <c r="R275" s="141">
        <f>ROUND(Q275*IF(AND(offer_incoterms="DDP",seller_region="RU"),IF((TODAY()+offer_turnaround_time)&gt;=helpsheet!$L$17,rate_vatRU_from_26,rate_vatRu_till_25),0),2)</f>
        <v/>
      </c>
      <c r="S275" s="177">
        <f>Q275+IF(AND(offer_incoterms="DDP",seller_region="RU"),R275,0)</f>
        <v/>
      </c>
      <c r="T275" s="45" t="n"/>
      <c r="V275" s="57">
        <f>IF(Q275&gt;0,"показать","скрыть")</f>
        <v/>
      </c>
    </row>
    <row r="276" ht="15.75" customHeight="1">
      <c r="B276" s="809" t="n">
        <v>260</v>
      </c>
      <c r="C276" s="182">
        <f>IF(offer_sale_type="транзит",IFERROR(VLOOKUP($B276,calc_data,C$14+1,0),0),0)</f>
        <v/>
      </c>
      <c r="D276" s="280">
        <f>IF(offer_sale_type="транзит",IFERROR(VLOOKUP($B276,calc_data,D$14+1,0),0),0)</f>
        <v/>
      </c>
      <c r="E276" s="182">
        <f>IF(offer_sale_type="транзит",IFERROR(VLOOKUP($B276,calc_data,E$14+1,0),0),0)</f>
        <v/>
      </c>
      <c r="F276" s="182">
        <f>IF(offer_sale_type="транзит",IFERROR(VLOOKUP($B276,calc_data,F$14+1,0),0),0)</f>
        <v/>
      </c>
      <c r="G276" s="141">
        <f>IF(offer_sale_type="транзит",IFERROR(VLOOKUP($B276,calc_data,G$14+1,0),0),0)</f>
        <v/>
      </c>
      <c r="H276" s="141">
        <f>E276*G276</f>
        <v/>
      </c>
      <c r="I276" s="141">
        <f>IF(offer_sale_type="транзит",IFERROR(ROUND(VLOOKUP($B276,calc_data,I$14+1,0),2),0),0)</f>
        <v/>
      </c>
      <c r="J276" s="141">
        <f>ROUND(IF(offer_sale_type="транзит",IFERROR(VLOOKUP($B276,calc_data,J$14+1,0),0),0),2)</f>
        <v/>
      </c>
      <c r="K276" s="142">
        <f>IF(offer_sale_type="транзит",IFERROR(ROUNDUP(VLOOKUP($B276,calc_data,K$14+1,0),2),0),0)</f>
        <v/>
      </c>
      <c r="L276" s="184">
        <f>IF(offer_sale_type="транзит",IFERROR(ROUNDUP(VLOOKUP($B276,calc_data,L$14+1,0),2),0),0)</f>
        <v/>
      </c>
      <c r="M276" s="141">
        <f>IF(offer_sale_type="транзит",IFERROR(ROUNDUP(VLOOKUP($B276,calc_data,M$14+1,0),2),0),0)</f>
        <v/>
      </c>
      <c r="N276" s="141">
        <f>IF(offer_sale_type="транзит",IFERROR(ROUNDUP(VLOOKUP($B276,calc_data,N$14+1,0),2),0),0)</f>
        <v/>
      </c>
      <c r="O276" s="147">
        <f>IF(offer_sale_type="транзит",IFERROR(ROUND(VLOOKUP($B276,calc_data,O$14+1,1),2),0),0)</f>
        <v/>
      </c>
      <c r="P276" s="141">
        <f>IF(offer_sale_type="транзит",IFERROR(ROUND(SUM(I276:J276,M276:O276)/E276,2),0),0)</f>
        <v/>
      </c>
      <c r="Q276" s="141">
        <f>E276*P276</f>
        <v/>
      </c>
      <c r="R276" s="141">
        <f>ROUND(Q276*IF(AND(offer_incoterms="DDP",seller_region="RU"),IF((TODAY()+offer_turnaround_time)&gt;=helpsheet!$L$17,rate_vatRU_from_26,rate_vatRu_till_25),0),2)</f>
        <v/>
      </c>
      <c r="S276" s="177">
        <f>Q276+IF(AND(offer_incoterms="DDP",seller_region="RU"),R276,0)</f>
        <v/>
      </c>
      <c r="T276" s="45" t="n"/>
      <c r="V276" s="57">
        <f>IF(Q276&gt;0,"показать","скрыть")</f>
        <v/>
      </c>
    </row>
    <row r="277" ht="15.75" customHeight="1">
      <c r="B277" s="809" t="n">
        <v>261</v>
      </c>
      <c r="C277" s="182">
        <f>IF(offer_sale_type="транзит",IFERROR(VLOOKUP($B277,calc_data,C$14+1,0),0),0)</f>
        <v/>
      </c>
      <c r="D277" s="280">
        <f>IF(offer_sale_type="транзит",IFERROR(VLOOKUP($B277,calc_data,D$14+1,0),0),0)</f>
        <v/>
      </c>
      <c r="E277" s="182">
        <f>IF(offer_sale_type="транзит",IFERROR(VLOOKUP($B277,calc_data,E$14+1,0),0),0)</f>
        <v/>
      </c>
      <c r="F277" s="182">
        <f>IF(offer_sale_type="транзит",IFERROR(VLOOKUP($B277,calc_data,F$14+1,0),0),0)</f>
        <v/>
      </c>
      <c r="G277" s="141">
        <f>IF(offer_sale_type="транзит",IFERROR(VLOOKUP($B277,calc_data,G$14+1,0),0),0)</f>
        <v/>
      </c>
      <c r="H277" s="141">
        <f>E277*G277</f>
        <v/>
      </c>
      <c r="I277" s="141">
        <f>IF(offer_sale_type="транзит",IFERROR(ROUND(VLOOKUP($B277,calc_data,I$14+1,0),2),0),0)</f>
        <v/>
      </c>
      <c r="J277" s="141">
        <f>ROUND(IF(offer_sale_type="транзит",IFERROR(VLOOKUP($B277,calc_data,J$14+1,0),0),0),2)</f>
        <v/>
      </c>
      <c r="K277" s="142">
        <f>IF(offer_sale_type="транзит",IFERROR(ROUNDUP(VLOOKUP($B277,calc_data,K$14+1,0),2),0),0)</f>
        <v/>
      </c>
      <c r="L277" s="184">
        <f>IF(offer_sale_type="транзит",IFERROR(ROUNDUP(VLOOKUP($B277,calc_data,L$14+1,0),2),0),0)</f>
        <v/>
      </c>
      <c r="M277" s="141">
        <f>IF(offer_sale_type="транзит",IFERROR(ROUNDUP(VLOOKUP($B277,calc_data,M$14+1,0),2),0),0)</f>
        <v/>
      </c>
      <c r="N277" s="141">
        <f>IF(offer_sale_type="транзит",IFERROR(ROUNDUP(VLOOKUP($B277,calc_data,N$14+1,0),2),0),0)</f>
        <v/>
      </c>
      <c r="O277" s="147">
        <f>IF(offer_sale_type="транзит",IFERROR(ROUND(VLOOKUP($B277,calc_data,O$14+1,1),2),0),0)</f>
        <v/>
      </c>
      <c r="P277" s="141">
        <f>IF(offer_sale_type="транзит",IFERROR(ROUND(SUM(I277:J277,M277:O277)/E277,2),0),0)</f>
        <v/>
      </c>
      <c r="Q277" s="141">
        <f>E277*P277</f>
        <v/>
      </c>
      <c r="R277" s="141">
        <f>ROUND(Q277*IF(AND(offer_incoterms="DDP",seller_region="RU"),IF((TODAY()+offer_turnaround_time)&gt;=helpsheet!$L$17,rate_vatRU_from_26,rate_vatRu_till_25),0),2)</f>
        <v/>
      </c>
      <c r="S277" s="177">
        <f>Q277+IF(AND(offer_incoterms="DDP",seller_region="RU"),R277,0)</f>
        <v/>
      </c>
      <c r="T277" s="45" t="n"/>
      <c r="V277" s="57">
        <f>IF(Q277&gt;0,"показать","скрыть")</f>
        <v/>
      </c>
    </row>
    <row r="278" ht="15.75" customHeight="1">
      <c r="B278" s="809" t="n">
        <v>262</v>
      </c>
      <c r="C278" s="182">
        <f>IF(offer_sale_type="транзит",IFERROR(VLOOKUP($B278,calc_data,C$14+1,0),0),0)</f>
        <v/>
      </c>
      <c r="D278" s="280">
        <f>IF(offer_sale_type="транзит",IFERROR(VLOOKUP($B278,calc_data,D$14+1,0),0),0)</f>
        <v/>
      </c>
      <c r="E278" s="182">
        <f>IF(offer_sale_type="транзит",IFERROR(VLOOKUP($B278,calc_data,E$14+1,0),0),0)</f>
        <v/>
      </c>
      <c r="F278" s="182">
        <f>IF(offer_sale_type="транзит",IFERROR(VLOOKUP($B278,calc_data,F$14+1,0),0),0)</f>
        <v/>
      </c>
      <c r="G278" s="141">
        <f>IF(offer_sale_type="транзит",IFERROR(VLOOKUP($B278,calc_data,G$14+1,0),0),0)</f>
        <v/>
      </c>
      <c r="H278" s="141">
        <f>E278*G278</f>
        <v/>
      </c>
      <c r="I278" s="141">
        <f>IF(offer_sale_type="транзит",IFERROR(ROUND(VLOOKUP($B278,calc_data,I$14+1,0),2),0),0)</f>
        <v/>
      </c>
      <c r="J278" s="141">
        <f>ROUND(IF(offer_sale_type="транзит",IFERROR(VLOOKUP($B278,calc_data,J$14+1,0),0),0),2)</f>
        <v/>
      </c>
      <c r="K278" s="142">
        <f>IF(offer_sale_type="транзит",IFERROR(ROUNDUP(VLOOKUP($B278,calc_data,K$14+1,0),2),0),0)</f>
        <v/>
      </c>
      <c r="L278" s="184">
        <f>IF(offer_sale_type="транзит",IFERROR(ROUNDUP(VLOOKUP($B278,calc_data,L$14+1,0),2),0),0)</f>
        <v/>
      </c>
      <c r="M278" s="141">
        <f>IF(offer_sale_type="транзит",IFERROR(ROUNDUP(VLOOKUP($B278,calc_data,M$14+1,0),2),0),0)</f>
        <v/>
      </c>
      <c r="N278" s="141">
        <f>IF(offer_sale_type="транзит",IFERROR(ROUNDUP(VLOOKUP($B278,calc_data,N$14+1,0),2),0),0)</f>
        <v/>
      </c>
      <c r="O278" s="147">
        <f>IF(offer_sale_type="транзит",IFERROR(ROUND(VLOOKUP($B278,calc_data,O$14+1,1),2),0),0)</f>
        <v/>
      </c>
      <c r="P278" s="141">
        <f>IF(offer_sale_type="транзит",IFERROR(ROUND(SUM(I278:J278,M278:O278)/E278,2),0),0)</f>
        <v/>
      </c>
      <c r="Q278" s="141">
        <f>E278*P278</f>
        <v/>
      </c>
      <c r="R278" s="141">
        <f>ROUND(Q278*IF(AND(offer_incoterms="DDP",seller_region="RU"),IF((TODAY()+offer_turnaround_time)&gt;=helpsheet!$L$17,rate_vatRU_from_26,rate_vatRu_till_25),0),2)</f>
        <v/>
      </c>
      <c r="S278" s="177">
        <f>Q278+IF(AND(offer_incoterms="DDP",seller_region="RU"),R278,0)</f>
        <v/>
      </c>
      <c r="T278" s="45" t="n"/>
      <c r="V278" s="57">
        <f>IF(Q278&gt;0,"показать","скрыть")</f>
        <v/>
      </c>
    </row>
    <row r="279" ht="15.75" customHeight="1">
      <c r="B279" s="809" t="n">
        <v>263</v>
      </c>
      <c r="C279" s="182">
        <f>IF(offer_sale_type="транзит",IFERROR(VLOOKUP($B279,calc_data,C$14+1,0),0),0)</f>
        <v/>
      </c>
      <c r="D279" s="280">
        <f>IF(offer_sale_type="транзит",IFERROR(VLOOKUP($B279,calc_data,D$14+1,0),0),0)</f>
        <v/>
      </c>
      <c r="E279" s="182">
        <f>IF(offer_sale_type="транзит",IFERROR(VLOOKUP($B279,calc_data,E$14+1,0),0),0)</f>
        <v/>
      </c>
      <c r="F279" s="182">
        <f>IF(offer_sale_type="транзит",IFERROR(VLOOKUP($B279,calc_data,F$14+1,0),0),0)</f>
        <v/>
      </c>
      <c r="G279" s="141">
        <f>IF(offer_sale_type="транзит",IFERROR(VLOOKUP($B279,calc_data,G$14+1,0),0),0)</f>
        <v/>
      </c>
      <c r="H279" s="141">
        <f>E279*G279</f>
        <v/>
      </c>
      <c r="I279" s="141">
        <f>IF(offer_sale_type="транзит",IFERROR(ROUND(VLOOKUP($B279,calc_data,I$14+1,0),2),0),0)</f>
        <v/>
      </c>
      <c r="J279" s="141">
        <f>ROUND(IF(offer_sale_type="транзит",IFERROR(VLOOKUP($B279,calc_data,J$14+1,0),0),0),2)</f>
        <v/>
      </c>
      <c r="K279" s="142">
        <f>IF(offer_sale_type="транзит",IFERROR(ROUNDUP(VLOOKUP($B279,calc_data,K$14+1,0),2),0),0)</f>
        <v/>
      </c>
      <c r="L279" s="184">
        <f>IF(offer_sale_type="транзит",IFERROR(ROUNDUP(VLOOKUP($B279,calc_data,L$14+1,0),2),0),0)</f>
        <v/>
      </c>
      <c r="M279" s="141">
        <f>IF(offer_sale_type="транзит",IFERROR(ROUNDUP(VLOOKUP($B279,calc_data,M$14+1,0),2),0),0)</f>
        <v/>
      </c>
      <c r="N279" s="141">
        <f>IF(offer_sale_type="транзит",IFERROR(ROUNDUP(VLOOKUP($B279,calc_data,N$14+1,0),2),0),0)</f>
        <v/>
      </c>
      <c r="O279" s="147">
        <f>IF(offer_sale_type="транзит",IFERROR(ROUND(VLOOKUP($B279,calc_data,O$14+1,1),2),0),0)</f>
        <v/>
      </c>
      <c r="P279" s="141">
        <f>IF(offer_sale_type="транзит",IFERROR(ROUND(SUM(I279:J279,M279:O279)/E279,2),0),0)</f>
        <v/>
      </c>
      <c r="Q279" s="141">
        <f>E279*P279</f>
        <v/>
      </c>
      <c r="R279" s="141">
        <f>ROUND(Q279*IF(AND(offer_incoterms="DDP",seller_region="RU"),IF((TODAY()+offer_turnaround_time)&gt;=helpsheet!$L$17,rate_vatRU_from_26,rate_vatRu_till_25),0),2)</f>
        <v/>
      </c>
      <c r="S279" s="177">
        <f>Q279+IF(AND(offer_incoterms="DDP",seller_region="RU"),R279,0)</f>
        <v/>
      </c>
      <c r="T279" s="45" t="n"/>
      <c r="V279" s="57">
        <f>IF(Q279&gt;0,"показать","скрыть")</f>
        <v/>
      </c>
    </row>
    <row r="280" ht="15.75" customHeight="1">
      <c r="B280" s="809" t="n">
        <v>264</v>
      </c>
      <c r="C280" s="182">
        <f>IF(offer_sale_type="транзит",IFERROR(VLOOKUP($B280,calc_data,C$14+1,0),0),0)</f>
        <v/>
      </c>
      <c r="D280" s="280">
        <f>IF(offer_sale_type="транзит",IFERROR(VLOOKUP($B280,calc_data,D$14+1,0),0),0)</f>
        <v/>
      </c>
      <c r="E280" s="182">
        <f>IF(offer_sale_type="транзит",IFERROR(VLOOKUP($B280,calc_data,E$14+1,0),0),0)</f>
        <v/>
      </c>
      <c r="F280" s="182">
        <f>IF(offer_sale_type="транзит",IFERROR(VLOOKUP($B280,calc_data,F$14+1,0),0),0)</f>
        <v/>
      </c>
      <c r="G280" s="141">
        <f>IF(offer_sale_type="транзит",IFERROR(VLOOKUP($B280,calc_data,G$14+1,0),0),0)</f>
        <v/>
      </c>
      <c r="H280" s="141">
        <f>E280*G280</f>
        <v/>
      </c>
      <c r="I280" s="141">
        <f>IF(offer_sale_type="транзит",IFERROR(ROUND(VLOOKUP($B280,calc_data,I$14+1,0),2),0),0)</f>
        <v/>
      </c>
      <c r="J280" s="141">
        <f>ROUND(IF(offer_sale_type="транзит",IFERROR(VLOOKUP($B280,calc_data,J$14+1,0),0),0),2)</f>
        <v/>
      </c>
      <c r="K280" s="142">
        <f>IF(offer_sale_type="транзит",IFERROR(ROUNDUP(VLOOKUP($B280,calc_data,K$14+1,0),2),0),0)</f>
        <v/>
      </c>
      <c r="L280" s="184">
        <f>IF(offer_sale_type="транзит",IFERROR(ROUNDUP(VLOOKUP($B280,calc_data,L$14+1,0),2),0),0)</f>
        <v/>
      </c>
      <c r="M280" s="141">
        <f>IF(offer_sale_type="транзит",IFERROR(ROUNDUP(VLOOKUP($B280,calc_data,M$14+1,0),2),0),0)</f>
        <v/>
      </c>
      <c r="N280" s="141">
        <f>IF(offer_sale_type="транзит",IFERROR(ROUNDUP(VLOOKUP($B280,calc_data,N$14+1,0),2),0),0)</f>
        <v/>
      </c>
      <c r="O280" s="147">
        <f>IF(offer_sale_type="транзит",IFERROR(ROUND(VLOOKUP($B280,calc_data,O$14+1,1),2),0),0)</f>
        <v/>
      </c>
      <c r="P280" s="141">
        <f>IF(offer_sale_type="транзит",IFERROR(ROUND(SUM(I280:J280,M280:O280)/E280,2),0),0)</f>
        <v/>
      </c>
      <c r="Q280" s="141">
        <f>E280*P280</f>
        <v/>
      </c>
      <c r="R280" s="141">
        <f>ROUND(Q280*IF(AND(offer_incoterms="DDP",seller_region="RU"),IF((TODAY()+offer_turnaround_time)&gt;=helpsheet!$L$17,rate_vatRU_from_26,rate_vatRu_till_25),0),2)</f>
        <v/>
      </c>
      <c r="S280" s="177">
        <f>Q280+IF(AND(offer_incoterms="DDP",seller_region="RU"),R280,0)</f>
        <v/>
      </c>
      <c r="T280" s="45" t="n"/>
      <c r="V280" s="57">
        <f>IF(Q280&gt;0,"показать","скрыть")</f>
        <v/>
      </c>
    </row>
    <row r="281" ht="15.75" customHeight="1">
      <c r="B281" s="809" t="n">
        <v>265</v>
      </c>
      <c r="C281" s="182">
        <f>IF(offer_sale_type="транзит",IFERROR(VLOOKUP($B281,calc_data,C$14+1,0),0),0)</f>
        <v/>
      </c>
      <c r="D281" s="280">
        <f>IF(offer_sale_type="транзит",IFERROR(VLOOKUP($B281,calc_data,D$14+1,0),0),0)</f>
        <v/>
      </c>
      <c r="E281" s="182">
        <f>IF(offer_sale_type="транзит",IFERROR(VLOOKUP($B281,calc_data,E$14+1,0),0),0)</f>
        <v/>
      </c>
      <c r="F281" s="182">
        <f>IF(offer_sale_type="транзит",IFERROR(VLOOKUP($B281,calc_data,F$14+1,0),0),0)</f>
        <v/>
      </c>
      <c r="G281" s="141">
        <f>IF(offer_sale_type="транзит",IFERROR(VLOOKUP($B281,calc_data,G$14+1,0),0),0)</f>
        <v/>
      </c>
      <c r="H281" s="141">
        <f>E281*G281</f>
        <v/>
      </c>
      <c r="I281" s="141">
        <f>IF(offer_sale_type="транзит",IFERROR(ROUND(VLOOKUP($B281,calc_data,I$14+1,0),2),0),0)</f>
        <v/>
      </c>
      <c r="J281" s="141">
        <f>ROUND(IF(offer_sale_type="транзит",IFERROR(VLOOKUP($B281,calc_data,J$14+1,0),0),0),2)</f>
        <v/>
      </c>
      <c r="K281" s="142">
        <f>IF(offer_sale_type="транзит",IFERROR(ROUNDUP(VLOOKUP($B281,calc_data,K$14+1,0),2),0),0)</f>
        <v/>
      </c>
      <c r="L281" s="184">
        <f>IF(offer_sale_type="транзит",IFERROR(ROUNDUP(VLOOKUP($B281,calc_data,L$14+1,0),2),0),0)</f>
        <v/>
      </c>
      <c r="M281" s="141">
        <f>IF(offer_sale_type="транзит",IFERROR(ROUNDUP(VLOOKUP($B281,calc_data,M$14+1,0),2),0),0)</f>
        <v/>
      </c>
      <c r="N281" s="141">
        <f>IF(offer_sale_type="транзит",IFERROR(ROUNDUP(VLOOKUP($B281,calc_data,N$14+1,0),2),0),0)</f>
        <v/>
      </c>
      <c r="O281" s="147">
        <f>IF(offer_sale_type="транзит",IFERROR(ROUND(VLOOKUP($B281,calc_data,O$14+1,1),2),0),0)</f>
        <v/>
      </c>
      <c r="P281" s="141">
        <f>IF(offer_sale_type="транзит",IFERROR(ROUND(SUM(I281:J281,M281:O281)/E281,2),0),0)</f>
        <v/>
      </c>
      <c r="Q281" s="141">
        <f>E281*P281</f>
        <v/>
      </c>
      <c r="R281" s="141">
        <f>ROUND(Q281*IF(AND(offer_incoterms="DDP",seller_region="RU"),IF((TODAY()+offer_turnaround_time)&gt;=helpsheet!$L$17,rate_vatRU_from_26,rate_vatRu_till_25),0),2)</f>
        <v/>
      </c>
      <c r="S281" s="177">
        <f>Q281+IF(AND(offer_incoterms="DDP",seller_region="RU"),R281,0)</f>
        <v/>
      </c>
      <c r="T281" s="45" t="n"/>
      <c r="V281" s="57">
        <f>IF(Q281&gt;0,"показать","скрыть")</f>
        <v/>
      </c>
    </row>
    <row r="282" ht="15.75" customHeight="1">
      <c r="B282" s="809" t="n">
        <v>266</v>
      </c>
      <c r="C282" s="182">
        <f>IF(offer_sale_type="транзит",IFERROR(VLOOKUP($B282,calc_data,C$14+1,0),0),0)</f>
        <v/>
      </c>
      <c r="D282" s="280">
        <f>IF(offer_sale_type="транзит",IFERROR(VLOOKUP($B282,calc_data,D$14+1,0),0),0)</f>
        <v/>
      </c>
      <c r="E282" s="182">
        <f>IF(offer_sale_type="транзит",IFERROR(VLOOKUP($B282,calc_data,E$14+1,0),0),0)</f>
        <v/>
      </c>
      <c r="F282" s="182">
        <f>IF(offer_sale_type="транзит",IFERROR(VLOOKUP($B282,calc_data,F$14+1,0),0),0)</f>
        <v/>
      </c>
      <c r="G282" s="141">
        <f>IF(offer_sale_type="транзит",IFERROR(VLOOKUP($B282,calc_data,G$14+1,0),0),0)</f>
        <v/>
      </c>
      <c r="H282" s="141">
        <f>E282*G282</f>
        <v/>
      </c>
      <c r="I282" s="141">
        <f>IF(offer_sale_type="транзит",IFERROR(ROUND(VLOOKUP($B282,calc_data,I$14+1,0),2),0),0)</f>
        <v/>
      </c>
      <c r="J282" s="141">
        <f>ROUND(IF(offer_sale_type="транзит",IFERROR(VLOOKUP($B282,calc_data,J$14+1,0),0),0),2)</f>
        <v/>
      </c>
      <c r="K282" s="142">
        <f>IF(offer_sale_type="транзит",IFERROR(ROUNDUP(VLOOKUP($B282,calc_data,K$14+1,0),2),0),0)</f>
        <v/>
      </c>
      <c r="L282" s="184">
        <f>IF(offer_sale_type="транзит",IFERROR(ROUNDUP(VLOOKUP($B282,calc_data,L$14+1,0),2),0),0)</f>
        <v/>
      </c>
      <c r="M282" s="141">
        <f>IF(offer_sale_type="транзит",IFERROR(ROUNDUP(VLOOKUP($B282,calc_data,M$14+1,0),2),0),0)</f>
        <v/>
      </c>
      <c r="N282" s="141">
        <f>IF(offer_sale_type="транзит",IFERROR(ROUNDUP(VLOOKUP($B282,calc_data,N$14+1,0),2),0),0)</f>
        <v/>
      </c>
      <c r="O282" s="147">
        <f>IF(offer_sale_type="транзит",IFERROR(ROUND(VLOOKUP($B282,calc_data,O$14+1,1),2),0),0)</f>
        <v/>
      </c>
      <c r="P282" s="141">
        <f>IF(offer_sale_type="транзит",IFERROR(ROUND(SUM(I282:J282,M282:O282)/E282,2),0),0)</f>
        <v/>
      </c>
      <c r="Q282" s="141">
        <f>E282*P282</f>
        <v/>
      </c>
      <c r="R282" s="141">
        <f>ROUND(Q282*IF(AND(offer_incoterms="DDP",seller_region="RU"),IF((TODAY()+offer_turnaround_time)&gt;=helpsheet!$L$17,rate_vatRU_from_26,rate_vatRu_till_25),0),2)</f>
        <v/>
      </c>
      <c r="S282" s="177">
        <f>Q282+IF(AND(offer_incoterms="DDP",seller_region="RU"),R282,0)</f>
        <v/>
      </c>
      <c r="T282" s="45" t="n"/>
      <c r="V282" s="57">
        <f>IF(Q282&gt;0,"показать","скрыть")</f>
        <v/>
      </c>
    </row>
    <row r="283" ht="15.75" customHeight="1">
      <c r="B283" s="809" t="n">
        <v>267</v>
      </c>
      <c r="C283" s="182">
        <f>IF(offer_sale_type="транзит",IFERROR(VLOOKUP($B283,calc_data,C$14+1,0),0),0)</f>
        <v/>
      </c>
      <c r="D283" s="280">
        <f>IF(offer_sale_type="транзит",IFERROR(VLOOKUP($B283,calc_data,D$14+1,0),0),0)</f>
        <v/>
      </c>
      <c r="E283" s="182">
        <f>IF(offer_sale_type="транзит",IFERROR(VLOOKUP($B283,calc_data,E$14+1,0),0),0)</f>
        <v/>
      </c>
      <c r="F283" s="182">
        <f>IF(offer_sale_type="транзит",IFERROR(VLOOKUP($B283,calc_data,F$14+1,0),0),0)</f>
        <v/>
      </c>
      <c r="G283" s="141">
        <f>IF(offer_sale_type="транзит",IFERROR(VLOOKUP($B283,calc_data,G$14+1,0),0),0)</f>
        <v/>
      </c>
      <c r="H283" s="141">
        <f>E283*G283</f>
        <v/>
      </c>
      <c r="I283" s="141">
        <f>IF(offer_sale_type="транзит",IFERROR(ROUND(VLOOKUP($B283,calc_data,I$14+1,0),2),0),0)</f>
        <v/>
      </c>
      <c r="J283" s="141">
        <f>ROUND(IF(offer_sale_type="транзит",IFERROR(VLOOKUP($B283,calc_data,J$14+1,0),0),0),2)</f>
        <v/>
      </c>
      <c r="K283" s="142">
        <f>IF(offer_sale_type="транзит",IFERROR(ROUNDUP(VLOOKUP($B283,calc_data,K$14+1,0),2),0),0)</f>
        <v/>
      </c>
      <c r="L283" s="184">
        <f>IF(offer_sale_type="транзит",IFERROR(ROUNDUP(VLOOKUP($B283,calc_data,L$14+1,0),2),0),0)</f>
        <v/>
      </c>
      <c r="M283" s="141">
        <f>IF(offer_sale_type="транзит",IFERROR(ROUNDUP(VLOOKUP($B283,calc_data,M$14+1,0),2),0),0)</f>
        <v/>
      </c>
      <c r="N283" s="141">
        <f>IF(offer_sale_type="транзит",IFERROR(ROUNDUP(VLOOKUP($B283,calc_data,N$14+1,0),2),0),0)</f>
        <v/>
      </c>
      <c r="O283" s="147">
        <f>IF(offer_sale_type="транзит",IFERROR(ROUND(VLOOKUP($B283,calc_data,O$14+1,1),2),0),0)</f>
        <v/>
      </c>
      <c r="P283" s="141">
        <f>IF(offer_sale_type="транзит",IFERROR(ROUND(SUM(I283:J283,M283:O283)/E283,2),0),0)</f>
        <v/>
      </c>
      <c r="Q283" s="141">
        <f>E283*P283</f>
        <v/>
      </c>
      <c r="R283" s="141">
        <f>ROUND(Q283*IF(AND(offer_incoterms="DDP",seller_region="RU"),IF((TODAY()+offer_turnaround_time)&gt;=helpsheet!$L$17,rate_vatRU_from_26,rate_vatRu_till_25),0),2)</f>
        <v/>
      </c>
      <c r="S283" s="177">
        <f>Q283+IF(AND(offer_incoterms="DDP",seller_region="RU"),R283,0)</f>
        <v/>
      </c>
      <c r="T283" s="45" t="n"/>
      <c r="V283" s="57">
        <f>IF(Q283&gt;0,"показать","скрыть")</f>
        <v/>
      </c>
    </row>
    <row r="284" ht="15.75" customHeight="1">
      <c r="B284" s="809" t="n">
        <v>268</v>
      </c>
      <c r="C284" s="182">
        <f>IF(offer_sale_type="транзит",IFERROR(VLOOKUP($B284,calc_data,C$14+1,0),0),0)</f>
        <v/>
      </c>
      <c r="D284" s="280">
        <f>IF(offer_sale_type="транзит",IFERROR(VLOOKUP($B284,calc_data,D$14+1,0),0),0)</f>
        <v/>
      </c>
      <c r="E284" s="182">
        <f>IF(offer_sale_type="транзит",IFERROR(VLOOKUP($B284,calc_data,E$14+1,0),0),0)</f>
        <v/>
      </c>
      <c r="F284" s="182">
        <f>IF(offer_sale_type="транзит",IFERROR(VLOOKUP($B284,calc_data,F$14+1,0),0),0)</f>
        <v/>
      </c>
      <c r="G284" s="141">
        <f>IF(offer_sale_type="транзит",IFERROR(VLOOKUP($B284,calc_data,G$14+1,0),0),0)</f>
        <v/>
      </c>
      <c r="H284" s="141">
        <f>E284*G284</f>
        <v/>
      </c>
      <c r="I284" s="141">
        <f>IF(offer_sale_type="транзит",IFERROR(ROUND(VLOOKUP($B284,calc_data,I$14+1,0),2),0),0)</f>
        <v/>
      </c>
      <c r="J284" s="141">
        <f>ROUND(IF(offer_sale_type="транзит",IFERROR(VLOOKUP($B284,calc_data,J$14+1,0),0),0),2)</f>
        <v/>
      </c>
      <c r="K284" s="142">
        <f>IF(offer_sale_type="транзит",IFERROR(ROUNDUP(VLOOKUP($B284,calc_data,K$14+1,0),2),0),0)</f>
        <v/>
      </c>
      <c r="L284" s="184">
        <f>IF(offer_sale_type="транзит",IFERROR(ROUNDUP(VLOOKUP($B284,calc_data,L$14+1,0),2),0),0)</f>
        <v/>
      </c>
      <c r="M284" s="141">
        <f>IF(offer_sale_type="транзит",IFERROR(ROUNDUP(VLOOKUP($B284,calc_data,M$14+1,0),2),0),0)</f>
        <v/>
      </c>
      <c r="N284" s="141">
        <f>IF(offer_sale_type="транзит",IFERROR(ROUNDUP(VLOOKUP($B284,calc_data,N$14+1,0),2),0),0)</f>
        <v/>
      </c>
      <c r="O284" s="147">
        <f>IF(offer_sale_type="транзит",IFERROR(ROUND(VLOOKUP($B284,calc_data,O$14+1,1),2),0),0)</f>
        <v/>
      </c>
      <c r="P284" s="141">
        <f>IF(offer_sale_type="транзит",IFERROR(ROUND(SUM(I284:J284,M284:O284)/E284,2),0),0)</f>
        <v/>
      </c>
      <c r="Q284" s="141">
        <f>E284*P284</f>
        <v/>
      </c>
      <c r="R284" s="141">
        <f>ROUND(Q284*IF(AND(offer_incoterms="DDP",seller_region="RU"),IF((TODAY()+offer_turnaround_time)&gt;=helpsheet!$L$17,rate_vatRU_from_26,rate_vatRu_till_25),0),2)</f>
        <v/>
      </c>
      <c r="S284" s="177">
        <f>Q284+IF(AND(offer_incoterms="DDP",seller_region="RU"),R284,0)</f>
        <v/>
      </c>
      <c r="T284" s="45" t="n"/>
      <c r="V284" s="57">
        <f>IF(Q284&gt;0,"показать","скрыть")</f>
        <v/>
      </c>
    </row>
    <row r="285" ht="15.75" customHeight="1">
      <c r="B285" s="809" t="n">
        <v>269</v>
      </c>
      <c r="C285" s="182">
        <f>IF(offer_sale_type="транзит",IFERROR(VLOOKUP($B285,calc_data,C$14+1,0),0),0)</f>
        <v/>
      </c>
      <c r="D285" s="280">
        <f>IF(offer_sale_type="транзит",IFERROR(VLOOKUP($B285,calc_data,D$14+1,0),0),0)</f>
        <v/>
      </c>
      <c r="E285" s="182">
        <f>IF(offer_sale_type="транзит",IFERROR(VLOOKUP($B285,calc_data,E$14+1,0),0),0)</f>
        <v/>
      </c>
      <c r="F285" s="182">
        <f>IF(offer_sale_type="транзит",IFERROR(VLOOKUP($B285,calc_data,F$14+1,0),0),0)</f>
        <v/>
      </c>
      <c r="G285" s="141">
        <f>IF(offer_sale_type="транзит",IFERROR(VLOOKUP($B285,calc_data,G$14+1,0),0),0)</f>
        <v/>
      </c>
      <c r="H285" s="141">
        <f>E285*G285</f>
        <v/>
      </c>
      <c r="I285" s="141">
        <f>IF(offer_sale_type="транзит",IFERROR(ROUND(VLOOKUP($B285,calc_data,I$14+1,0),2),0),0)</f>
        <v/>
      </c>
      <c r="J285" s="141">
        <f>ROUND(IF(offer_sale_type="транзит",IFERROR(VLOOKUP($B285,calc_data,J$14+1,0),0),0),2)</f>
        <v/>
      </c>
      <c r="K285" s="142">
        <f>IF(offer_sale_type="транзит",IFERROR(ROUNDUP(VLOOKUP($B285,calc_data,K$14+1,0),2),0),0)</f>
        <v/>
      </c>
      <c r="L285" s="184">
        <f>IF(offer_sale_type="транзит",IFERROR(ROUNDUP(VLOOKUP($B285,calc_data,L$14+1,0),2),0),0)</f>
        <v/>
      </c>
      <c r="M285" s="141">
        <f>IF(offer_sale_type="транзит",IFERROR(ROUNDUP(VLOOKUP($B285,calc_data,M$14+1,0),2),0),0)</f>
        <v/>
      </c>
      <c r="N285" s="141">
        <f>IF(offer_sale_type="транзит",IFERROR(ROUNDUP(VLOOKUP($B285,calc_data,N$14+1,0),2),0),0)</f>
        <v/>
      </c>
      <c r="O285" s="147">
        <f>IF(offer_sale_type="транзит",IFERROR(ROUND(VLOOKUP($B285,calc_data,O$14+1,1),2),0),0)</f>
        <v/>
      </c>
      <c r="P285" s="141">
        <f>IF(offer_sale_type="транзит",IFERROR(ROUND(SUM(I285:J285,M285:O285)/E285,2),0),0)</f>
        <v/>
      </c>
      <c r="Q285" s="141">
        <f>E285*P285</f>
        <v/>
      </c>
      <c r="R285" s="141">
        <f>ROUND(Q285*IF(AND(offer_incoterms="DDP",seller_region="RU"),IF((TODAY()+offer_turnaround_time)&gt;=helpsheet!$L$17,rate_vatRU_from_26,rate_vatRu_till_25),0),2)</f>
        <v/>
      </c>
      <c r="S285" s="177">
        <f>Q285+IF(AND(offer_incoterms="DDP",seller_region="RU"),R285,0)</f>
        <v/>
      </c>
      <c r="T285" s="45" t="n"/>
      <c r="V285" s="57">
        <f>IF(Q285&gt;0,"показать","скрыть")</f>
        <v/>
      </c>
    </row>
    <row r="286" ht="15.75" customHeight="1">
      <c r="B286" s="809" t="n">
        <v>270</v>
      </c>
      <c r="C286" s="182">
        <f>IF(offer_sale_type="транзит",IFERROR(VLOOKUP($B286,calc_data,C$14+1,0),0),0)</f>
        <v/>
      </c>
      <c r="D286" s="280">
        <f>IF(offer_sale_type="транзит",IFERROR(VLOOKUP($B286,calc_data,D$14+1,0),0),0)</f>
        <v/>
      </c>
      <c r="E286" s="182">
        <f>IF(offer_sale_type="транзит",IFERROR(VLOOKUP($B286,calc_data,E$14+1,0),0),0)</f>
        <v/>
      </c>
      <c r="F286" s="182">
        <f>IF(offer_sale_type="транзит",IFERROR(VLOOKUP($B286,calc_data,F$14+1,0),0),0)</f>
        <v/>
      </c>
      <c r="G286" s="141">
        <f>IF(offer_sale_type="транзит",IFERROR(VLOOKUP($B286,calc_data,G$14+1,0),0),0)</f>
        <v/>
      </c>
      <c r="H286" s="141">
        <f>E286*G286</f>
        <v/>
      </c>
      <c r="I286" s="141">
        <f>IF(offer_sale_type="транзит",IFERROR(ROUND(VLOOKUP($B286,calc_data,I$14+1,0),2),0),0)</f>
        <v/>
      </c>
      <c r="J286" s="141">
        <f>ROUND(IF(offer_sale_type="транзит",IFERROR(VLOOKUP($B286,calc_data,J$14+1,0),0),0),2)</f>
        <v/>
      </c>
      <c r="K286" s="142">
        <f>IF(offer_sale_type="транзит",IFERROR(ROUNDUP(VLOOKUP($B286,calc_data,K$14+1,0),2),0),0)</f>
        <v/>
      </c>
      <c r="L286" s="184">
        <f>IF(offer_sale_type="транзит",IFERROR(ROUNDUP(VLOOKUP($B286,calc_data,L$14+1,0),2),0),0)</f>
        <v/>
      </c>
      <c r="M286" s="141">
        <f>IF(offer_sale_type="транзит",IFERROR(ROUNDUP(VLOOKUP($B286,calc_data,M$14+1,0),2),0),0)</f>
        <v/>
      </c>
      <c r="N286" s="141">
        <f>IF(offer_sale_type="транзит",IFERROR(ROUNDUP(VLOOKUP($B286,calc_data,N$14+1,0),2),0),0)</f>
        <v/>
      </c>
      <c r="O286" s="147">
        <f>IF(offer_sale_type="транзит",IFERROR(ROUND(VLOOKUP($B286,calc_data,O$14+1,1),2),0),0)</f>
        <v/>
      </c>
      <c r="P286" s="141">
        <f>IF(offer_sale_type="транзит",IFERROR(ROUND(SUM(I286:J286,M286:O286)/E286,2),0),0)</f>
        <v/>
      </c>
      <c r="Q286" s="141">
        <f>E286*P286</f>
        <v/>
      </c>
      <c r="R286" s="141">
        <f>ROUND(Q286*IF(AND(offer_incoterms="DDP",seller_region="RU"),IF((TODAY()+offer_turnaround_time)&gt;=helpsheet!$L$17,rate_vatRU_from_26,rate_vatRu_till_25),0),2)</f>
        <v/>
      </c>
      <c r="S286" s="177">
        <f>Q286+IF(AND(offer_incoterms="DDP",seller_region="RU"),R286,0)</f>
        <v/>
      </c>
      <c r="T286" s="45" t="n"/>
      <c r="V286" s="57">
        <f>IF(Q286&gt;0,"показать","скрыть")</f>
        <v/>
      </c>
    </row>
    <row r="287" ht="15.75" customHeight="1">
      <c r="B287" s="809" t="n">
        <v>271</v>
      </c>
      <c r="C287" s="182">
        <f>IF(offer_sale_type="транзит",IFERROR(VLOOKUP($B287,calc_data,C$14+1,0),0),0)</f>
        <v/>
      </c>
      <c r="D287" s="280">
        <f>IF(offer_sale_type="транзит",IFERROR(VLOOKUP($B287,calc_data,D$14+1,0),0),0)</f>
        <v/>
      </c>
      <c r="E287" s="182">
        <f>IF(offer_sale_type="транзит",IFERROR(VLOOKUP($B287,calc_data,E$14+1,0),0),0)</f>
        <v/>
      </c>
      <c r="F287" s="182">
        <f>IF(offer_sale_type="транзит",IFERROR(VLOOKUP($B287,calc_data,F$14+1,0),0),0)</f>
        <v/>
      </c>
      <c r="G287" s="141">
        <f>IF(offer_sale_type="транзит",IFERROR(VLOOKUP($B287,calc_data,G$14+1,0),0),0)</f>
        <v/>
      </c>
      <c r="H287" s="141">
        <f>E287*G287</f>
        <v/>
      </c>
      <c r="I287" s="141">
        <f>IF(offer_sale_type="транзит",IFERROR(ROUND(VLOOKUP($B287,calc_data,I$14+1,0),2),0),0)</f>
        <v/>
      </c>
      <c r="J287" s="141">
        <f>ROUND(IF(offer_sale_type="транзит",IFERROR(VLOOKUP($B287,calc_data,J$14+1,0),0),0),2)</f>
        <v/>
      </c>
      <c r="K287" s="142">
        <f>IF(offer_sale_type="транзит",IFERROR(ROUNDUP(VLOOKUP($B287,calc_data,K$14+1,0),2),0),0)</f>
        <v/>
      </c>
      <c r="L287" s="184">
        <f>IF(offer_sale_type="транзит",IFERROR(ROUNDUP(VLOOKUP($B287,calc_data,L$14+1,0),2),0),0)</f>
        <v/>
      </c>
      <c r="M287" s="141">
        <f>IF(offer_sale_type="транзит",IFERROR(ROUNDUP(VLOOKUP($B287,calc_data,M$14+1,0),2),0),0)</f>
        <v/>
      </c>
      <c r="N287" s="141">
        <f>IF(offer_sale_type="транзит",IFERROR(ROUNDUP(VLOOKUP($B287,calc_data,N$14+1,0),2),0),0)</f>
        <v/>
      </c>
      <c r="O287" s="147">
        <f>IF(offer_sale_type="транзит",IFERROR(ROUND(VLOOKUP($B287,calc_data,O$14+1,1),2),0),0)</f>
        <v/>
      </c>
      <c r="P287" s="141">
        <f>IF(offer_sale_type="транзит",IFERROR(ROUND(SUM(I287:J287,M287:O287)/E287,2),0),0)</f>
        <v/>
      </c>
      <c r="Q287" s="141">
        <f>E287*P287</f>
        <v/>
      </c>
      <c r="R287" s="141">
        <f>ROUND(Q287*IF(AND(offer_incoterms="DDP",seller_region="RU"),IF((TODAY()+offer_turnaround_time)&gt;=helpsheet!$L$17,rate_vatRU_from_26,rate_vatRu_till_25),0),2)</f>
        <v/>
      </c>
      <c r="S287" s="177">
        <f>Q287+IF(AND(offer_incoterms="DDP",seller_region="RU"),R287,0)</f>
        <v/>
      </c>
      <c r="T287" s="45" t="n"/>
      <c r="V287" s="57">
        <f>IF(Q287&gt;0,"показать","скрыть")</f>
        <v/>
      </c>
    </row>
    <row r="288" ht="15.75" customHeight="1">
      <c r="B288" s="809" t="n">
        <v>272</v>
      </c>
      <c r="C288" s="182">
        <f>IF(offer_sale_type="транзит",IFERROR(VLOOKUP($B288,calc_data,C$14+1,0),0),0)</f>
        <v/>
      </c>
      <c r="D288" s="280">
        <f>IF(offer_sale_type="транзит",IFERROR(VLOOKUP($B288,calc_data,D$14+1,0),0),0)</f>
        <v/>
      </c>
      <c r="E288" s="182">
        <f>IF(offer_sale_type="транзит",IFERROR(VLOOKUP($B288,calc_data,E$14+1,0),0),0)</f>
        <v/>
      </c>
      <c r="F288" s="182">
        <f>IF(offer_sale_type="транзит",IFERROR(VLOOKUP($B288,calc_data,F$14+1,0),0),0)</f>
        <v/>
      </c>
      <c r="G288" s="141">
        <f>IF(offer_sale_type="транзит",IFERROR(VLOOKUP($B288,calc_data,G$14+1,0),0),0)</f>
        <v/>
      </c>
      <c r="H288" s="141">
        <f>E288*G288</f>
        <v/>
      </c>
      <c r="I288" s="141">
        <f>IF(offer_sale_type="транзит",IFERROR(ROUND(VLOOKUP($B288,calc_data,I$14+1,0),2),0),0)</f>
        <v/>
      </c>
      <c r="J288" s="141">
        <f>ROUND(IF(offer_sale_type="транзит",IFERROR(VLOOKUP($B288,calc_data,J$14+1,0),0),0),2)</f>
        <v/>
      </c>
      <c r="K288" s="142">
        <f>IF(offer_sale_type="транзит",IFERROR(ROUNDUP(VLOOKUP($B288,calc_data,K$14+1,0),2),0),0)</f>
        <v/>
      </c>
      <c r="L288" s="184">
        <f>IF(offer_sale_type="транзит",IFERROR(ROUNDUP(VLOOKUP($B288,calc_data,L$14+1,0),2),0),0)</f>
        <v/>
      </c>
      <c r="M288" s="141">
        <f>IF(offer_sale_type="транзит",IFERROR(ROUNDUP(VLOOKUP($B288,calc_data,M$14+1,0),2),0),0)</f>
        <v/>
      </c>
      <c r="N288" s="141">
        <f>IF(offer_sale_type="транзит",IFERROR(ROUNDUP(VLOOKUP($B288,calc_data,N$14+1,0),2),0),0)</f>
        <v/>
      </c>
      <c r="O288" s="147">
        <f>IF(offer_sale_type="транзит",IFERROR(ROUND(VLOOKUP($B288,calc_data,O$14+1,1),2),0),0)</f>
        <v/>
      </c>
      <c r="P288" s="141">
        <f>IF(offer_sale_type="транзит",IFERROR(ROUND(SUM(I288:J288,M288:O288)/E288,2),0),0)</f>
        <v/>
      </c>
      <c r="Q288" s="141">
        <f>E288*P288</f>
        <v/>
      </c>
      <c r="R288" s="141">
        <f>ROUND(Q288*IF(AND(offer_incoterms="DDP",seller_region="RU"),IF((TODAY()+offer_turnaround_time)&gt;=helpsheet!$L$17,rate_vatRU_from_26,rate_vatRu_till_25),0),2)</f>
        <v/>
      </c>
      <c r="S288" s="177">
        <f>Q288+IF(AND(offer_incoterms="DDP",seller_region="RU"),R288,0)</f>
        <v/>
      </c>
      <c r="T288" s="45" t="n"/>
      <c r="V288" s="57">
        <f>IF(Q288&gt;0,"показать","скрыть")</f>
        <v/>
      </c>
    </row>
    <row r="289" ht="15.75" customHeight="1">
      <c r="B289" s="809" t="n">
        <v>273</v>
      </c>
      <c r="C289" s="182">
        <f>IF(offer_sale_type="транзит",IFERROR(VLOOKUP($B289,calc_data,C$14+1,0),0),0)</f>
        <v/>
      </c>
      <c r="D289" s="280">
        <f>IF(offer_sale_type="транзит",IFERROR(VLOOKUP($B289,calc_data,D$14+1,0),0),0)</f>
        <v/>
      </c>
      <c r="E289" s="182">
        <f>IF(offer_sale_type="транзит",IFERROR(VLOOKUP($B289,calc_data,E$14+1,0),0),0)</f>
        <v/>
      </c>
      <c r="F289" s="182">
        <f>IF(offer_sale_type="транзит",IFERROR(VLOOKUP($B289,calc_data,F$14+1,0),0),0)</f>
        <v/>
      </c>
      <c r="G289" s="141">
        <f>IF(offer_sale_type="транзит",IFERROR(VLOOKUP($B289,calc_data,G$14+1,0),0),0)</f>
        <v/>
      </c>
      <c r="H289" s="141">
        <f>E289*G289</f>
        <v/>
      </c>
      <c r="I289" s="141">
        <f>IF(offer_sale_type="транзит",IFERROR(ROUND(VLOOKUP($B289,calc_data,I$14+1,0),2),0),0)</f>
        <v/>
      </c>
      <c r="J289" s="141">
        <f>ROUND(IF(offer_sale_type="транзит",IFERROR(VLOOKUP($B289,calc_data,J$14+1,0),0),0),2)</f>
        <v/>
      </c>
      <c r="K289" s="142">
        <f>IF(offer_sale_type="транзит",IFERROR(ROUNDUP(VLOOKUP($B289,calc_data,K$14+1,0),2),0),0)</f>
        <v/>
      </c>
      <c r="L289" s="184">
        <f>IF(offer_sale_type="транзит",IFERROR(ROUNDUP(VLOOKUP($B289,calc_data,L$14+1,0),2),0),0)</f>
        <v/>
      </c>
      <c r="M289" s="141">
        <f>IF(offer_sale_type="транзит",IFERROR(ROUNDUP(VLOOKUP($B289,calc_data,M$14+1,0),2),0),0)</f>
        <v/>
      </c>
      <c r="N289" s="141">
        <f>IF(offer_sale_type="транзит",IFERROR(ROUNDUP(VLOOKUP($B289,calc_data,N$14+1,0),2),0),0)</f>
        <v/>
      </c>
      <c r="O289" s="147">
        <f>IF(offer_sale_type="транзит",IFERROR(ROUND(VLOOKUP($B289,calc_data,O$14+1,1),2),0),0)</f>
        <v/>
      </c>
      <c r="P289" s="141">
        <f>IF(offer_sale_type="транзит",IFERROR(ROUND(SUM(I289:J289,M289:O289)/E289,2),0),0)</f>
        <v/>
      </c>
      <c r="Q289" s="141">
        <f>E289*P289</f>
        <v/>
      </c>
      <c r="R289" s="141">
        <f>ROUND(Q289*IF(AND(offer_incoterms="DDP",seller_region="RU"),IF((TODAY()+offer_turnaround_time)&gt;=helpsheet!$L$17,rate_vatRU_from_26,rate_vatRu_till_25),0),2)</f>
        <v/>
      </c>
      <c r="S289" s="177">
        <f>Q289+IF(AND(offer_incoterms="DDP",seller_region="RU"),R289,0)</f>
        <v/>
      </c>
      <c r="T289" s="45" t="n"/>
      <c r="V289" s="57">
        <f>IF(Q289&gt;0,"показать","скрыть")</f>
        <v/>
      </c>
    </row>
    <row r="290" ht="15.75" customHeight="1">
      <c r="B290" s="809" t="n">
        <v>274</v>
      </c>
      <c r="C290" s="182">
        <f>IF(offer_sale_type="транзит",IFERROR(VLOOKUP($B290,calc_data,C$14+1,0),0),0)</f>
        <v/>
      </c>
      <c r="D290" s="280">
        <f>IF(offer_sale_type="транзит",IFERROR(VLOOKUP($B290,calc_data,D$14+1,0),0),0)</f>
        <v/>
      </c>
      <c r="E290" s="182">
        <f>IF(offer_sale_type="транзит",IFERROR(VLOOKUP($B290,calc_data,E$14+1,0),0),0)</f>
        <v/>
      </c>
      <c r="F290" s="182">
        <f>IF(offer_sale_type="транзит",IFERROR(VLOOKUP($B290,calc_data,F$14+1,0),0),0)</f>
        <v/>
      </c>
      <c r="G290" s="141">
        <f>IF(offer_sale_type="транзит",IFERROR(VLOOKUP($B290,calc_data,G$14+1,0),0),0)</f>
        <v/>
      </c>
      <c r="H290" s="141">
        <f>E290*G290</f>
        <v/>
      </c>
      <c r="I290" s="141">
        <f>IF(offer_sale_type="транзит",IFERROR(ROUND(VLOOKUP($B290,calc_data,I$14+1,0),2),0),0)</f>
        <v/>
      </c>
      <c r="J290" s="141">
        <f>ROUND(IF(offer_sale_type="транзит",IFERROR(VLOOKUP($B290,calc_data,J$14+1,0),0),0),2)</f>
        <v/>
      </c>
      <c r="K290" s="142">
        <f>IF(offer_sale_type="транзит",IFERROR(ROUNDUP(VLOOKUP($B290,calc_data,K$14+1,0),2),0),0)</f>
        <v/>
      </c>
      <c r="L290" s="184">
        <f>IF(offer_sale_type="транзит",IFERROR(ROUNDUP(VLOOKUP($B290,calc_data,L$14+1,0),2),0),0)</f>
        <v/>
      </c>
      <c r="M290" s="141">
        <f>IF(offer_sale_type="транзит",IFERROR(ROUNDUP(VLOOKUP($B290,calc_data,M$14+1,0),2),0),0)</f>
        <v/>
      </c>
      <c r="N290" s="141">
        <f>IF(offer_sale_type="транзит",IFERROR(ROUNDUP(VLOOKUP($B290,calc_data,N$14+1,0),2),0),0)</f>
        <v/>
      </c>
      <c r="O290" s="147">
        <f>IF(offer_sale_type="транзит",IFERROR(ROUND(VLOOKUP($B290,calc_data,O$14+1,1),2),0),0)</f>
        <v/>
      </c>
      <c r="P290" s="141">
        <f>IF(offer_sale_type="транзит",IFERROR(ROUND(SUM(I290:J290,M290:O290)/E290,2),0),0)</f>
        <v/>
      </c>
      <c r="Q290" s="141">
        <f>E290*P290</f>
        <v/>
      </c>
      <c r="R290" s="141">
        <f>ROUND(Q290*IF(AND(offer_incoterms="DDP",seller_region="RU"),IF((TODAY()+offer_turnaround_time)&gt;=helpsheet!$L$17,rate_vatRU_from_26,rate_vatRu_till_25),0),2)</f>
        <v/>
      </c>
      <c r="S290" s="177">
        <f>Q290+IF(AND(offer_incoterms="DDP",seller_region="RU"),R290,0)</f>
        <v/>
      </c>
      <c r="T290" s="45" t="n"/>
      <c r="V290" s="57">
        <f>IF(Q290&gt;0,"показать","скрыть")</f>
        <v/>
      </c>
    </row>
    <row r="291" ht="15.75" customHeight="1">
      <c r="B291" s="809" t="n">
        <v>275</v>
      </c>
      <c r="C291" s="182">
        <f>IF(offer_sale_type="транзит",IFERROR(VLOOKUP($B291,calc_data,C$14+1,0),0),0)</f>
        <v/>
      </c>
      <c r="D291" s="280">
        <f>IF(offer_sale_type="транзит",IFERROR(VLOOKUP($B291,calc_data,D$14+1,0),0),0)</f>
        <v/>
      </c>
      <c r="E291" s="182">
        <f>IF(offer_sale_type="транзит",IFERROR(VLOOKUP($B291,calc_data,E$14+1,0),0),0)</f>
        <v/>
      </c>
      <c r="F291" s="182">
        <f>IF(offer_sale_type="транзит",IFERROR(VLOOKUP($B291,calc_data,F$14+1,0),0),0)</f>
        <v/>
      </c>
      <c r="G291" s="141">
        <f>IF(offer_sale_type="транзит",IFERROR(VLOOKUP($B291,calc_data,G$14+1,0),0),0)</f>
        <v/>
      </c>
      <c r="H291" s="141">
        <f>E291*G291</f>
        <v/>
      </c>
      <c r="I291" s="141">
        <f>IF(offer_sale_type="транзит",IFERROR(ROUND(VLOOKUP($B291,calc_data,I$14+1,0),2),0),0)</f>
        <v/>
      </c>
      <c r="J291" s="141">
        <f>ROUND(IF(offer_sale_type="транзит",IFERROR(VLOOKUP($B291,calc_data,J$14+1,0),0),0),2)</f>
        <v/>
      </c>
      <c r="K291" s="142">
        <f>IF(offer_sale_type="транзит",IFERROR(ROUNDUP(VLOOKUP($B291,calc_data,K$14+1,0),2),0),0)</f>
        <v/>
      </c>
      <c r="L291" s="184">
        <f>IF(offer_sale_type="транзит",IFERROR(ROUNDUP(VLOOKUP($B291,calc_data,L$14+1,0),2),0),0)</f>
        <v/>
      </c>
      <c r="M291" s="141">
        <f>IF(offer_sale_type="транзит",IFERROR(ROUNDUP(VLOOKUP($B291,calc_data,M$14+1,0),2),0),0)</f>
        <v/>
      </c>
      <c r="N291" s="141">
        <f>IF(offer_sale_type="транзит",IFERROR(ROUNDUP(VLOOKUP($B291,calc_data,N$14+1,0),2),0),0)</f>
        <v/>
      </c>
      <c r="O291" s="147">
        <f>IF(offer_sale_type="транзит",IFERROR(ROUND(VLOOKUP($B291,calc_data,O$14+1,1),2),0),0)</f>
        <v/>
      </c>
      <c r="P291" s="141">
        <f>IF(offer_sale_type="транзит",IFERROR(ROUND(SUM(I291:J291,M291:O291)/E291,2),0),0)</f>
        <v/>
      </c>
      <c r="Q291" s="141">
        <f>E291*P291</f>
        <v/>
      </c>
      <c r="R291" s="141">
        <f>ROUND(Q291*IF(AND(offer_incoterms="DDP",seller_region="RU"),IF((TODAY()+offer_turnaround_time)&gt;=helpsheet!$L$17,rate_vatRU_from_26,rate_vatRu_till_25),0),2)</f>
        <v/>
      </c>
      <c r="S291" s="177">
        <f>Q291+IF(AND(offer_incoterms="DDP",seller_region="RU"),R291,0)</f>
        <v/>
      </c>
      <c r="T291" s="45" t="n"/>
      <c r="V291" s="57">
        <f>IF(Q291&gt;0,"показать","скрыть")</f>
        <v/>
      </c>
    </row>
    <row r="292" ht="15.75" customHeight="1">
      <c r="B292" s="809" t="n">
        <v>276</v>
      </c>
      <c r="C292" s="182">
        <f>IF(offer_sale_type="транзит",IFERROR(VLOOKUP($B292,calc_data,C$14+1,0),0),0)</f>
        <v/>
      </c>
      <c r="D292" s="280">
        <f>IF(offer_sale_type="транзит",IFERROR(VLOOKUP($B292,calc_data,D$14+1,0),0),0)</f>
        <v/>
      </c>
      <c r="E292" s="182">
        <f>IF(offer_sale_type="транзит",IFERROR(VLOOKUP($B292,calc_data,E$14+1,0),0),0)</f>
        <v/>
      </c>
      <c r="F292" s="182">
        <f>IF(offer_sale_type="транзит",IFERROR(VLOOKUP($B292,calc_data,F$14+1,0),0),0)</f>
        <v/>
      </c>
      <c r="G292" s="141">
        <f>IF(offer_sale_type="транзит",IFERROR(VLOOKUP($B292,calc_data,G$14+1,0),0),0)</f>
        <v/>
      </c>
      <c r="H292" s="141">
        <f>E292*G292</f>
        <v/>
      </c>
      <c r="I292" s="141">
        <f>IF(offer_sale_type="транзит",IFERROR(ROUND(VLOOKUP($B292,calc_data,I$14+1,0),2),0),0)</f>
        <v/>
      </c>
      <c r="J292" s="141">
        <f>ROUND(IF(offer_sale_type="транзит",IFERROR(VLOOKUP($B292,calc_data,J$14+1,0),0),0),2)</f>
        <v/>
      </c>
      <c r="K292" s="142">
        <f>IF(offer_sale_type="транзит",IFERROR(ROUNDUP(VLOOKUP($B292,calc_data,K$14+1,0),2),0),0)</f>
        <v/>
      </c>
      <c r="L292" s="184">
        <f>IF(offer_sale_type="транзит",IFERROR(ROUNDUP(VLOOKUP($B292,calc_data,L$14+1,0),2),0),0)</f>
        <v/>
      </c>
      <c r="M292" s="141">
        <f>IF(offer_sale_type="транзит",IFERROR(ROUNDUP(VLOOKUP($B292,calc_data,M$14+1,0),2),0),0)</f>
        <v/>
      </c>
      <c r="N292" s="141">
        <f>IF(offer_sale_type="транзит",IFERROR(ROUNDUP(VLOOKUP($B292,calc_data,N$14+1,0),2),0),0)</f>
        <v/>
      </c>
      <c r="O292" s="147">
        <f>IF(offer_sale_type="транзит",IFERROR(ROUND(VLOOKUP($B292,calc_data,O$14+1,1),2),0),0)</f>
        <v/>
      </c>
      <c r="P292" s="141">
        <f>IF(offer_sale_type="транзит",IFERROR(ROUND(SUM(I292:J292,M292:O292)/E292,2),0),0)</f>
        <v/>
      </c>
      <c r="Q292" s="141">
        <f>E292*P292</f>
        <v/>
      </c>
      <c r="R292" s="141">
        <f>ROUND(Q292*IF(AND(offer_incoterms="DDP",seller_region="RU"),IF((TODAY()+offer_turnaround_time)&gt;=helpsheet!$L$17,rate_vatRU_from_26,rate_vatRu_till_25),0),2)</f>
        <v/>
      </c>
      <c r="S292" s="177">
        <f>Q292+IF(AND(offer_incoterms="DDP",seller_region="RU"),R292,0)</f>
        <v/>
      </c>
      <c r="T292" s="45" t="n"/>
      <c r="V292" s="57">
        <f>IF(Q292&gt;0,"показать","скрыть")</f>
        <v/>
      </c>
    </row>
    <row r="293" ht="15.75" customHeight="1">
      <c r="B293" s="809" t="n">
        <v>277</v>
      </c>
      <c r="C293" s="182">
        <f>IF(offer_sale_type="транзит",IFERROR(VLOOKUP($B293,calc_data,C$14+1,0),0),0)</f>
        <v/>
      </c>
      <c r="D293" s="280">
        <f>IF(offer_sale_type="транзит",IFERROR(VLOOKUP($B293,calc_data,D$14+1,0),0),0)</f>
        <v/>
      </c>
      <c r="E293" s="182">
        <f>IF(offer_sale_type="транзит",IFERROR(VLOOKUP($B293,calc_data,E$14+1,0),0),0)</f>
        <v/>
      </c>
      <c r="F293" s="182">
        <f>IF(offer_sale_type="транзит",IFERROR(VLOOKUP($B293,calc_data,F$14+1,0),0),0)</f>
        <v/>
      </c>
      <c r="G293" s="141">
        <f>IF(offer_sale_type="транзит",IFERROR(VLOOKUP($B293,calc_data,G$14+1,0),0),0)</f>
        <v/>
      </c>
      <c r="H293" s="141">
        <f>E293*G293</f>
        <v/>
      </c>
      <c r="I293" s="141">
        <f>IF(offer_sale_type="транзит",IFERROR(ROUND(VLOOKUP($B293,calc_data,I$14+1,0),2),0),0)</f>
        <v/>
      </c>
      <c r="J293" s="141">
        <f>ROUND(IF(offer_sale_type="транзит",IFERROR(VLOOKUP($B293,calc_data,J$14+1,0),0),0),2)</f>
        <v/>
      </c>
      <c r="K293" s="142">
        <f>IF(offer_sale_type="транзит",IFERROR(ROUNDUP(VLOOKUP($B293,calc_data,K$14+1,0),2),0),0)</f>
        <v/>
      </c>
      <c r="L293" s="184">
        <f>IF(offer_sale_type="транзит",IFERROR(ROUNDUP(VLOOKUP($B293,calc_data,L$14+1,0),2),0),0)</f>
        <v/>
      </c>
      <c r="M293" s="141">
        <f>IF(offer_sale_type="транзит",IFERROR(ROUNDUP(VLOOKUP($B293,calc_data,M$14+1,0),2),0),0)</f>
        <v/>
      </c>
      <c r="N293" s="141">
        <f>IF(offer_sale_type="транзит",IFERROR(ROUNDUP(VLOOKUP($B293,calc_data,N$14+1,0),2),0),0)</f>
        <v/>
      </c>
      <c r="O293" s="147">
        <f>IF(offer_sale_type="транзит",IFERROR(ROUND(VLOOKUP($B293,calc_data,O$14+1,1),2),0),0)</f>
        <v/>
      </c>
      <c r="P293" s="141">
        <f>IF(offer_sale_type="транзит",IFERROR(ROUND(SUM(I293:J293,M293:O293)/E293,2),0),0)</f>
        <v/>
      </c>
      <c r="Q293" s="141">
        <f>E293*P293</f>
        <v/>
      </c>
      <c r="R293" s="141">
        <f>ROUND(Q293*IF(AND(offer_incoterms="DDP",seller_region="RU"),IF((TODAY()+offer_turnaround_time)&gt;=helpsheet!$L$17,rate_vatRU_from_26,rate_vatRu_till_25),0),2)</f>
        <v/>
      </c>
      <c r="S293" s="177">
        <f>Q293+IF(AND(offer_incoterms="DDP",seller_region="RU"),R293,0)</f>
        <v/>
      </c>
      <c r="T293" s="45" t="n"/>
      <c r="V293" s="57">
        <f>IF(Q293&gt;0,"показать","скрыть")</f>
        <v/>
      </c>
    </row>
    <row r="294" ht="15.75" customHeight="1">
      <c r="B294" s="809" t="n">
        <v>278</v>
      </c>
      <c r="C294" s="182">
        <f>IF(offer_sale_type="транзит",IFERROR(VLOOKUP($B294,calc_data,C$14+1,0),0),0)</f>
        <v/>
      </c>
      <c r="D294" s="280">
        <f>IF(offer_sale_type="транзит",IFERROR(VLOOKUP($B294,calc_data,D$14+1,0),0),0)</f>
        <v/>
      </c>
      <c r="E294" s="182">
        <f>IF(offer_sale_type="транзит",IFERROR(VLOOKUP($B294,calc_data,E$14+1,0),0),0)</f>
        <v/>
      </c>
      <c r="F294" s="182">
        <f>IF(offer_sale_type="транзит",IFERROR(VLOOKUP($B294,calc_data,F$14+1,0),0),0)</f>
        <v/>
      </c>
      <c r="G294" s="141">
        <f>IF(offer_sale_type="транзит",IFERROR(VLOOKUP($B294,calc_data,G$14+1,0),0),0)</f>
        <v/>
      </c>
      <c r="H294" s="141">
        <f>E294*G294</f>
        <v/>
      </c>
      <c r="I294" s="141">
        <f>IF(offer_sale_type="транзит",IFERROR(ROUND(VLOOKUP($B294,calc_data,I$14+1,0),2),0),0)</f>
        <v/>
      </c>
      <c r="J294" s="141">
        <f>ROUND(IF(offer_sale_type="транзит",IFERROR(VLOOKUP($B294,calc_data,J$14+1,0),0),0),2)</f>
        <v/>
      </c>
      <c r="K294" s="142">
        <f>IF(offer_sale_type="транзит",IFERROR(ROUNDUP(VLOOKUP($B294,calc_data,K$14+1,0),2),0),0)</f>
        <v/>
      </c>
      <c r="L294" s="184">
        <f>IF(offer_sale_type="транзит",IFERROR(ROUNDUP(VLOOKUP($B294,calc_data,L$14+1,0),2),0),0)</f>
        <v/>
      </c>
      <c r="M294" s="141">
        <f>IF(offer_sale_type="транзит",IFERROR(ROUNDUP(VLOOKUP($B294,calc_data,M$14+1,0),2),0),0)</f>
        <v/>
      </c>
      <c r="N294" s="141">
        <f>IF(offer_sale_type="транзит",IFERROR(ROUNDUP(VLOOKUP($B294,calc_data,N$14+1,0),2),0),0)</f>
        <v/>
      </c>
      <c r="O294" s="147">
        <f>IF(offer_sale_type="транзит",IFERROR(ROUND(VLOOKUP($B294,calc_data,O$14+1,1),2),0),0)</f>
        <v/>
      </c>
      <c r="P294" s="141">
        <f>IF(offer_sale_type="транзит",IFERROR(ROUND(SUM(I294:J294,M294:O294)/E294,2),0),0)</f>
        <v/>
      </c>
      <c r="Q294" s="141">
        <f>E294*P294</f>
        <v/>
      </c>
      <c r="R294" s="141">
        <f>ROUND(Q294*IF(AND(offer_incoterms="DDP",seller_region="RU"),IF((TODAY()+offer_turnaround_time)&gt;=helpsheet!$L$17,rate_vatRU_from_26,rate_vatRu_till_25),0),2)</f>
        <v/>
      </c>
      <c r="S294" s="177">
        <f>Q294+IF(AND(offer_incoterms="DDP",seller_region="RU"),R294,0)</f>
        <v/>
      </c>
      <c r="T294" s="45" t="n"/>
      <c r="V294" s="57">
        <f>IF(Q294&gt;0,"показать","скрыть")</f>
        <v/>
      </c>
    </row>
    <row r="295" ht="15.75" customHeight="1">
      <c r="B295" s="809" t="n">
        <v>279</v>
      </c>
      <c r="C295" s="182">
        <f>IF(offer_sale_type="транзит",IFERROR(VLOOKUP($B295,calc_data,C$14+1,0),0),0)</f>
        <v/>
      </c>
      <c r="D295" s="280">
        <f>IF(offer_sale_type="транзит",IFERROR(VLOOKUP($B295,calc_data,D$14+1,0),0),0)</f>
        <v/>
      </c>
      <c r="E295" s="182">
        <f>IF(offer_sale_type="транзит",IFERROR(VLOOKUP($B295,calc_data,E$14+1,0),0),0)</f>
        <v/>
      </c>
      <c r="F295" s="182">
        <f>IF(offer_sale_type="транзит",IFERROR(VLOOKUP($B295,calc_data,F$14+1,0),0),0)</f>
        <v/>
      </c>
      <c r="G295" s="141">
        <f>IF(offer_sale_type="транзит",IFERROR(VLOOKUP($B295,calc_data,G$14+1,0),0),0)</f>
        <v/>
      </c>
      <c r="H295" s="141">
        <f>E295*G295</f>
        <v/>
      </c>
      <c r="I295" s="141">
        <f>IF(offer_sale_type="транзит",IFERROR(ROUND(VLOOKUP($B295,calc_data,I$14+1,0),2),0),0)</f>
        <v/>
      </c>
      <c r="J295" s="141">
        <f>ROUND(IF(offer_sale_type="транзит",IFERROR(VLOOKUP($B295,calc_data,J$14+1,0),0),0),2)</f>
        <v/>
      </c>
      <c r="K295" s="142">
        <f>IF(offer_sale_type="транзит",IFERROR(ROUNDUP(VLOOKUP($B295,calc_data,K$14+1,0),2),0),0)</f>
        <v/>
      </c>
      <c r="L295" s="184">
        <f>IF(offer_sale_type="транзит",IFERROR(ROUNDUP(VLOOKUP($B295,calc_data,L$14+1,0),2),0),0)</f>
        <v/>
      </c>
      <c r="M295" s="141">
        <f>IF(offer_sale_type="транзит",IFERROR(ROUNDUP(VLOOKUP($B295,calc_data,M$14+1,0),2),0),0)</f>
        <v/>
      </c>
      <c r="N295" s="141">
        <f>IF(offer_sale_type="транзит",IFERROR(ROUNDUP(VLOOKUP($B295,calc_data,N$14+1,0),2),0),0)</f>
        <v/>
      </c>
      <c r="O295" s="147">
        <f>IF(offer_sale_type="транзит",IFERROR(ROUND(VLOOKUP($B295,calc_data,O$14+1,1),2),0),0)</f>
        <v/>
      </c>
      <c r="P295" s="141">
        <f>IF(offer_sale_type="транзит",IFERROR(ROUND(SUM(I295:J295,M295:O295)/E295,2),0),0)</f>
        <v/>
      </c>
      <c r="Q295" s="141">
        <f>E295*P295</f>
        <v/>
      </c>
      <c r="R295" s="141">
        <f>ROUND(Q295*IF(AND(offer_incoterms="DDP",seller_region="RU"),IF((TODAY()+offer_turnaround_time)&gt;=helpsheet!$L$17,rate_vatRU_from_26,rate_vatRu_till_25),0),2)</f>
        <v/>
      </c>
      <c r="S295" s="177">
        <f>Q295+IF(AND(offer_incoterms="DDP",seller_region="RU"),R295,0)</f>
        <v/>
      </c>
      <c r="T295" s="45" t="n"/>
      <c r="V295" s="57">
        <f>IF(Q295&gt;0,"показать","скрыть")</f>
        <v/>
      </c>
    </row>
    <row r="296" ht="15.75" customHeight="1">
      <c r="B296" s="809" t="n">
        <v>280</v>
      </c>
      <c r="C296" s="182">
        <f>IF(offer_sale_type="транзит",IFERROR(VLOOKUP($B296,calc_data,C$14+1,0),0),0)</f>
        <v/>
      </c>
      <c r="D296" s="280">
        <f>IF(offer_sale_type="транзит",IFERROR(VLOOKUP($B296,calc_data,D$14+1,0),0),0)</f>
        <v/>
      </c>
      <c r="E296" s="182">
        <f>IF(offer_sale_type="транзит",IFERROR(VLOOKUP($B296,calc_data,E$14+1,0),0),0)</f>
        <v/>
      </c>
      <c r="F296" s="182">
        <f>IF(offer_sale_type="транзит",IFERROR(VLOOKUP($B296,calc_data,F$14+1,0),0),0)</f>
        <v/>
      </c>
      <c r="G296" s="141">
        <f>IF(offer_sale_type="транзит",IFERROR(VLOOKUP($B296,calc_data,G$14+1,0),0),0)</f>
        <v/>
      </c>
      <c r="H296" s="141">
        <f>E296*G296</f>
        <v/>
      </c>
      <c r="I296" s="141">
        <f>IF(offer_sale_type="транзит",IFERROR(ROUND(VLOOKUP($B296,calc_data,I$14+1,0),2),0),0)</f>
        <v/>
      </c>
      <c r="J296" s="141">
        <f>ROUND(IF(offer_sale_type="транзит",IFERROR(VLOOKUP($B296,calc_data,J$14+1,0),0),0),2)</f>
        <v/>
      </c>
      <c r="K296" s="142">
        <f>IF(offer_sale_type="транзит",IFERROR(ROUNDUP(VLOOKUP($B296,calc_data,K$14+1,0),2),0),0)</f>
        <v/>
      </c>
      <c r="L296" s="184">
        <f>IF(offer_sale_type="транзит",IFERROR(ROUNDUP(VLOOKUP($B296,calc_data,L$14+1,0),2),0),0)</f>
        <v/>
      </c>
      <c r="M296" s="141">
        <f>IF(offer_sale_type="транзит",IFERROR(ROUNDUP(VLOOKUP($B296,calc_data,M$14+1,0),2),0),0)</f>
        <v/>
      </c>
      <c r="N296" s="141">
        <f>IF(offer_sale_type="транзит",IFERROR(ROUNDUP(VLOOKUP($B296,calc_data,N$14+1,0),2),0),0)</f>
        <v/>
      </c>
      <c r="O296" s="147">
        <f>IF(offer_sale_type="транзит",IFERROR(ROUND(VLOOKUP($B296,calc_data,O$14+1,1),2),0),0)</f>
        <v/>
      </c>
      <c r="P296" s="141">
        <f>IF(offer_sale_type="транзит",IFERROR(ROUND(SUM(I296:J296,M296:O296)/E296,2),0),0)</f>
        <v/>
      </c>
      <c r="Q296" s="141">
        <f>E296*P296</f>
        <v/>
      </c>
      <c r="R296" s="141">
        <f>ROUND(Q296*IF(AND(offer_incoterms="DDP",seller_region="RU"),IF((TODAY()+offer_turnaround_time)&gt;=helpsheet!$L$17,rate_vatRU_from_26,rate_vatRu_till_25),0),2)</f>
        <v/>
      </c>
      <c r="S296" s="177">
        <f>Q296+IF(AND(offer_incoterms="DDP",seller_region="RU"),R296,0)</f>
        <v/>
      </c>
      <c r="T296" s="45" t="n"/>
      <c r="V296" s="57">
        <f>IF(Q296&gt;0,"показать","скрыть")</f>
        <v/>
      </c>
    </row>
    <row r="297" ht="15.75" customHeight="1">
      <c r="B297" s="809" t="n">
        <v>281</v>
      </c>
      <c r="C297" s="182">
        <f>IF(offer_sale_type="транзит",IFERROR(VLOOKUP($B297,calc_data,C$14+1,0),0),0)</f>
        <v/>
      </c>
      <c r="D297" s="280">
        <f>IF(offer_sale_type="транзит",IFERROR(VLOOKUP($B297,calc_data,D$14+1,0),0),0)</f>
        <v/>
      </c>
      <c r="E297" s="182">
        <f>IF(offer_sale_type="транзит",IFERROR(VLOOKUP($B297,calc_data,E$14+1,0),0),0)</f>
        <v/>
      </c>
      <c r="F297" s="182">
        <f>IF(offer_sale_type="транзит",IFERROR(VLOOKUP($B297,calc_data,F$14+1,0),0),0)</f>
        <v/>
      </c>
      <c r="G297" s="141">
        <f>IF(offer_sale_type="транзит",IFERROR(VLOOKUP($B297,calc_data,G$14+1,0),0),0)</f>
        <v/>
      </c>
      <c r="H297" s="141">
        <f>E297*G297</f>
        <v/>
      </c>
      <c r="I297" s="141">
        <f>IF(offer_sale_type="транзит",IFERROR(ROUND(VLOOKUP($B297,calc_data,I$14+1,0),2),0),0)</f>
        <v/>
      </c>
      <c r="J297" s="141">
        <f>ROUND(IF(offer_sale_type="транзит",IFERROR(VLOOKUP($B297,calc_data,J$14+1,0),0),0),2)</f>
        <v/>
      </c>
      <c r="K297" s="142">
        <f>IF(offer_sale_type="транзит",IFERROR(ROUNDUP(VLOOKUP($B297,calc_data,K$14+1,0),2),0),0)</f>
        <v/>
      </c>
      <c r="L297" s="184">
        <f>IF(offer_sale_type="транзит",IFERROR(ROUNDUP(VLOOKUP($B297,calc_data,L$14+1,0),2),0),0)</f>
        <v/>
      </c>
      <c r="M297" s="141">
        <f>IF(offer_sale_type="транзит",IFERROR(ROUNDUP(VLOOKUP($B297,calc_data,M$14+1,0),2),0),0)</f>
        <v/>
      </c>
      <c r="N297" s="141">
        <f>IF(offer_sale_type="транзит",IFERROR(ROUNDUP(VLOOKUP($B297,calc_data,N$14+1,0),2),0),0)</f>
        <v/>
      </c>
      <c r="O297" s="147">
        <f>IF(offer_sale_type="транзит",IFERROR(ROUND(VLOOKUP($B297,calc_data,O$14+1,1),2),0),0)</f>
        <v/>
      </c>
      <c r="P297" s="141">
        <f>IF(offer_sale_type="транзит",IFERROR(ROUND(SUM(I297:J297,M297:O297)/E297,2),0),0)</f>
        <v/>
      </c>
      <c r="Q297" s="141">
        <f>E297*P297</f>
        <v/>
      </c>
      <c r="R297" s="141">
        <f>ROUND(Q297*IF(AND(offer_incoterms="DDP",seller_region="RU"),IF((TODAY()+offer_turnaround_time)&gt;=helpsheet!$L$17,rate_vatRU_from_26,rate_vatRu_till_25),0),2)</f>
        <v/>
      </c>
      <c r="S297" s="177">
        <f>Q297+IF(AND(offer_incoterms="DDP",seller_region="RU"),R297,0)</f>
        <v/>
      </c>
      <c r="T297" s="45" t="n"/>
      <c r="V297" s="57">
        <f>IF(Q297&gt;0,"показать","скрыть")</f>
        <v/>
      </c>
    </row>
    <row r="298" ht="15.75" customHeight="1">
      <c r="B298" s="809" t="n">
        <v>282</v>
      </c>
      <c r="C298" s="182">
        <f>IF(offer_sale_type="транзит",IFERROR(VLOOKUP($B298,calc_data,C$14+1,0),0),0)</f>
        <v/>
      </c>
      <c r="D298" s="280">
        <f>IF(offer_sale_type="транзит",IFERROR(VLOOKUP($B298,calc_data,D$14+1,0),0),0)</f>
        <v/>
      </c>
      <c r="E298" s="182">
        <f>IF(offer_sale_type="транзит",IFERROR(VLOOKUP($B298,calc_data,E$14+1,0),0),0)</f>
        <v/>
      </c>
      <c r="F298" s="182">
        <f>IF(offer_sale_type="транзит",IFERROR(VLOOKUP($B298,calc_data,F$14+1,0),0),0)</f>
        <v/>
      </c>
      <c r="G298" s="141">
        <f>IF(offer_sale_type="транзит",IFERROR(VLOOKUP($B298,calc_data,G$14+1,0),0),0)</f>
        <v/>
      </c>
      <c r="H298" s="141">
        <f>E298*G298</f>
        <v/>
      </c>
      <c r="I298" s="141">
        <f>IF(offer_sale_type="транзит",IFERROR(ROUND(VLOOKUP($B298,calc_data,I$14+1,0),2),0),0)</f>
        <v/>
      </c>
      <c r="J298" s="141">
        <f>ROUND(IF(offer_sale_type="транзит",IFERROR(VLOOKUP($B298,calc_data,J$14+1,0),0),0),2)</f>
        <v/>
      </c>
      <c r="K298" s="142">
        <f>IF(offer_sale_type="транзит",IFERROR(ROUNDUP(VLOOKUP($B298,calc_data,K$14+1,0),2),0),0)</f>
        <v/>
      </c>
      <c r="L298" s="184">
        <f>IF(offer_sale_type="транзит",IFERROR(ROUNDUP(VLOOKUP($B298,calc_data,L$14+1,0),2),0),0)</f>
        <v/>
      </c>
      <c r="M298" s="141">
        <f>IF(offer_sale_type="транзит",IFERROR(ROUNDUP(VLOOKUP($B298,calc_data,M$14+1,0),2),0),0)</f>
        <v/>
      </c>
      <c r="N298" s="141">
        <f>IF(offer_sale_type="транзит",IFERROR(ROUNDUP(VLOOKUP($B298,calc_data,N$14+1,0),2),0),0)</f>
        <v/>
      </c>
      <c r="O298" s="147">
        <f>IF(offer_sale_type="транзит",IFERROR(ROUND(VLOOKUP($B298,calc_data,O$14+1,1),2),0),0)</f>
        <v/>
      </c>
      <c r="P298" s="141">
        <f>IF(offer_sale_type="транзит",IFERROR(ROUND(SUM(I298:J298,M298:O298)/E298,2),0),0)</f>
        <v/>
      </c>
      <c r="Q298" s="141">
        <f>E298*P298</f>
        <v/>
      </c>
      <c r="R298" s="141">
        <f>ROUND(Q298*IF(AND(offer_incoterms="DDP",seller_region="RU"),IF((TODAY()+offer_turnaround_time)&gt;=helpsheet!$L$17,rate_vatRU_from_26,rate_vatRu_till_25),0),2)</f>
        <v/>
      </c>
      <c r="S298" s="177">
        <f>Q298+IF(AND(offer_incoterms="DDP",seller_region="RU"),R298,0)</f>
        <v/>
      </c>
      <c r="T298" s="45" t="n"/>
      <c r="V298" s="57">
        <f>IF(Q298&gt;0,"показать","скрыть")</f>
        <v/>
      </c>
    </row>
    <row r="299" ht="15.75" customHeight="1">
      <c r="B299" s="809" t="n">
        <v>283</v>
      </c>
      <c r="C299" s="182">
        <f>IF(offer_sale_type="транзит",IFERROR(VLOOKUP($B299,calc_data,C$14+1,0),0),0)</f>
        <v/>
      </c>
      <c r="D299" s="280">
        <f>IF(offer_sale_type="транзит",IFERROR(VLOOKUP($B299,calc_data,D$14+1,0),0),0)</f>
        <v/>
      </c>
      <c r="E299" s="182">
        <f>IF(offer_sale_type="транзит",IFERROR(VLOOKUP($B299,calc_data,E$14+1,0),0),0)</f>
        <v/>
      </c>
      <c r="F299" s="182">
        <f>IF(offer_sale_type="транзит",IFERROR(VLOOKUP($B299,calc_data,F$14+1,0),0),0)</f>
        <v/>
      </c>
      <c r="G299" s="141">
        <f>IF(offer_sale_type="транзит",IFERROR(VLOOKUP($B299,calc_data,G$14+1,0),0),0)</f>
        <v/>
      </c>
      <c r="H299" s="141">
        <f>E299*G299</f>
        <v/>
      </c>
      <c r="I299" s="141">
        <f>IF(offer_sale_type="транзит",IFERROR(ROUND(VLOOKUP($B299,calc_data,I$14+1,0),2),0),0)</f>
        <v/>
      </c>
      <c r="J299" s="141">
        <f>ROUND(IF(offer_sale_type="транзит",IFERROR(VLOOKUP($B299,calc_data,J$14+1,0),0),0),2)</f>
        <v/>
      </c>
      <c r="K299" s="142">
        <f>IF(offer_sale_type="транзит",IFERROR(ROUNDUP(VLOOKUP($B299,calc_data,K$14+1,0),2),0),0)</f>
        <v/>
      </c>
      <c r="L299" s="184">
        <f>IF(offer_sale_type="транзит",IFERROR(ROUNDUP(VLOOKUP($B299,calc_data,L$14+1,0),2),0),0)</f>
        <v/>
      </c>
      <c r="M299" s="141">
        <f>IF(offer_sale_type="транзит",IFERROR(ROUNDUP(VLOOKUP($B299,calc_data,M$14+1,0),2),0),0)</f>
        <v/>
      </c>
      <c r="N299" s="141">
        <f>IF(offer_sale_type="транзит",IFERROR(ROUNDUP(VLOOKUP($B299,calc_data,N$14+1,0),2),0),0)</f>
        <v/>
      </c>
      <c r="O299" s="147">
        <f>IF(offer_sale_type="транзит",IFERROR(ROUND(VLOOKUP($B299,calc_data,O$14+1,1),2),0),0)</f>
        <v/>
      </c>
      <c r="P299" s="141">
        <f>IF(offer_sale_type="транзит",IFERROR(ROUND(SUM(I299:J299,M299:O299)/E299,2),0),0)</f>
        <v/>
      </c>
      <c r="Q299" s="141">
        <f>E299*P299</f>
        <v/>
      </c>
      <c r="R299" s="141">
        <f>ROUND(Q299*IF(AND(offer_incoterms="DDP",seller_region="RU"),IF((TODAY()+offer_turnaround_time)&gt;=helpsheet!$L$17,rate_vatRU_from_26,rate_vatRu_till_25),0),2)</f>
        <v/>
      </c>
      <c r="S299" s="177">
        <f>Q299+IF(AND(offer_incoterms="DDP",seller_region="RU"),R299,0)</f>
        <v/>
      </c>
      <c r="T299" s="45" t="n"/>
      <c r="V299" s="57">
        <f>IF(Q299&gt;0,"показать","скрыть")</f>
        <v/>
      </c>
    </row>
    <row r="300" ht="15.75" customHeight="1">
      <c r="B300" s="809" t="n">
        <v>284</v>
      </c>
      <c r="C300" s="182">
        <f>IF(offer_sale_type="транзит",IFERROR(VLOOKUP($B300,calc_data,C$14+1,0),0),0)</f>
        <v/>
      </c>
      <c r="D300" s="280">
        <f>IF(offer_sale_type="транзит",IFERROR(VLOOKUP($B300,calc_data,D$14+1,0),0),0)</f>
        <v/>
      </c>
      <c r="E300" s="182">
        <f>IF(offer_sale_type="транзит",IFERROR(VLOOKUP($B300,calc_data,E$14+1,0),0),0)</f>
        <v/>
      </c>
      <c r="F300" s="182">
        <f>IF(offer_sale_type="транзит",IFERROR(VLOOKUP($B300,calc_data,F$14+1,0),0),0)</f>
        <v/>
      </c>
      <c r="G300" s="141">
        <f>IF(offer_sale_type="транзит",IFERROR(VLOOKUP($B300,calc_data,G$14+1,0),0),0)</f>
        <v/>
      </c>
      <c r="H300" s="141">
        <f>E300*G300</f>
        <v/>
      </c>
      <c r="I300" s="141">
        <f>IF(offer_sale_type="транзит",IFERROR(ROUND(VLOOKUP($B300,calc_data,I$14+1,0),2),0),0)</f>
        <v/>
      </c>
      <c r="J300" s="141">
        <f>ROUND(IF(offer_sale_type="транзит",IFERROR(VLOOKUP($B300,calc_data,J$14+1,0),0),0),2)</f>
        <v/>
      </c>
      <c r="K300" s="142">
        <f>IF(offer_sale_type="транзит",IFERROR(ROUNDUP(VLOOKUP($B300,calc_data,K$14+1,0),2),0),0)</f>
        <v/>
      </c>
      <c r="L300" s="184">
        <f>IF(offer_sale_type="транзит",IFERROR(ROUNDUP(VLOOKUP($B300,calc_data,L$14+1,0),2),0),0)</f>
        <v/>
      </c>
      <c r="M300" s="141">
        <f>IF(offer_sale_type="транзит",IFERROR(ROUNDUP(VLOOKUP($B300,calc_data,M$14+1,0),2),0),0)</f>
        <v/>
      </c>
      <c r="N300" s="141">
        <f>IF(offer_sale_type="транзит",IFERROR(ROUNDUP(VLOOKUP($B300,calc_data,N$14+1,0),2),0),0)</f>
        <v/>
      </c>
      <c r="O300" s="147">
        <f>IF(offer_sale_type="транзит",IFERROR(ROUND(VLOOKUP($B300,calc_data,O$14+1,1),2),0),0)</f>
        <v/>
      </c>
      <c r="P300" s="141">
        <f>IF(offer_sale_type="транзит",IFERROR(ROUND(SUM(I300:J300,M300:O300)/E300,2),0),0)</f>
        <v/>
      </c>
      <c r="Q300" s="141">
        <f>E300*P300</f>
        <v/>
      </c>
      <c r="R300" s="141">
        <f>ROUND(Q300*IF(AND(offer_incoterms="DDP",seller_region="RU"),IF((TODAY()+offer_turnaround_time)&gt;=helpsheet!$L$17,rate_vatRU_from_26,rate_vatRu_till_25),0),2)</f>
        <v/>
      </c>
      <c r="S300" s="177">
        <f>Q300+IF(AND(offer_incoterms="DDP",seller_region="RU"),R300,0)</f>
        <v/>
      </c>
      <c r="T300" s="45" t="n"/>
      <c r="V300" s="57">
        <f>IF(Q300&gt;0,"показать","скрыть")</f>
        <v/>
      </c>
    </row>
    <row r="301" ht="15.75" customHeight="1">
      <c r="B301" s="809" t="n">
        <v>285</v>
      </c>
      <c r="C301" s="182">
        <f>IF(offer_sale_type="транзит",IFERROR(VLOOKUP($B301,calc_data,C$14+1,0),0),0)</f>
        <v/>
      </c>
      <c r="D301" s="280">
        <f>IF(offer_sale_type="транзит",IFERROR(VLOOKUP($B301,calc_data,D$14+1,0),0),0)</f>
        <v/>
      </c>
      <c r="E301" s="182">
        <f>IF(offer_sale_type="транзит",IFERROR(VLOOKUP($B301,calc_data,E$14+1,0),0),0)</f>
        <v/>
      </c>
      <c r="F301" s="182">
        <f>IF(offer_sale_type="транзит",IFERROR(VLOOKUP($B301,calc_data,F$14+1,0),0),0)</f>
        <v/>
      </c>
      <c r="G301" s="141">
        <f>IF(offer_sale_type="транзит",IFERROR(VLOOKUP($B301,calc_data,G$14+1,0),0),0)</f>
        <v/>
      </c>
      <c r="H301" s="141">
        <f>E301*G301</f>
        <v/>
      </c>
      <c r="I301" s="141">
        <f>IF(offer_sale_type="транзит",IFERROR(ROUND(VLOOKUP($B301,calc_data,I$14+1,0),2),0),0)</f>
        <v/>
      </c>
      <c r="J301" s="141">
        <f>ROUND(IF(offer_sale_type="транзит",IFERROR(VLOOKUP($B301,calc_data,J$14+1,0),0),0),2)</f>
        <v/>
      </c>
      <c r="K301" s="142">
        <f>IF(offer_sale_type="транзит",IFERROR(ROUNDUP(VLOOKUP($B301,calc_data,K$14+1,0),2),0),0)</f>
        <v/>
      </c>
      <c r="L301" s="184">
        <f>IF(offer_sale_type="транзит",IFERROR(ROUNDUP(VLOOKUP($B301,calc_data,L$14+1,0),2),0),0)</f>
        <v/>
      </c>
      <c r="M301" s="141">
        <f>IF(offer_sale_type="транзит",IFERROR(ROUNDUP(VLOOKUP($B301,calc_data,M$14+1,0),2),0),0)</f>
        <v/>
      </c>
      <c r="N301" s="141">
        <f>IF(offer_sale_type="транзит",IFERROR(ROUNDUP(VLOOKUP($B301,calc_data,N$14+1,0),2),0),0)</f>
        <v/>
      </c>
      <c r="O301" s="147">
        <f>IF(offer_sale_type="транзит",IFERROR(ROUND(VLOOKUP($B301,calc_data,O$14+1,1),2),0),0)</f>
        <v/>
      </c>
      <c r="P301" s="141">
        <f>IF(offer_sale_type="транзит",IFERROR(ROUND(SUM(I301:J301,M301:O301)/E301,2),0),0)</f>
        <v/>
      </c>
      <c r="Q301" s="141">
        <f>E301*P301</f>
        <v/>
      </c>
      <c r="R301" s="141">
        <f>ROUND(Q301*IF(AND(offer_incoterms="DDP",seller_region="RU"),IF((TODAY()+offer_turnaround_time)&gt;=helpsheet!$L$17,rate_vatRU_from_26,rate_vatRu_till_25),0),2)</f>
        <v/>
      </c>
      <c r="S301" s="177">
        <f>Q301+IF(AND(offer_incoterms="DDP",seller_region="RU"),R301,0)</f>
        <v/>
      </c>
      <c r="T301" s="45" t="n"/>
      <c r="V301" s="57">
        <f>IF(Q301&gt;0,"показать","скрыть")</f>
        <v/>
      </c>
    </row>
    <row r="302" ht="15.75" customHeight="1">
      <c r="B302" s="809" t="n">
        <v>286</v>
      </c>
      <c r="C302" s="182">
        <f>IF(offer_sale_type="транзит",IFERROR(VLOOKUP($B302,calc_data,C$14+1,0),0),0)</f>
        <v/>
      </c>
      <c r="D302" s="280">
        <f>IF(offer_sale_type="транзит",IFERROR(VLOOKUP($B302,calc_data,D$14+1,0),0),0)</f>
        <v/>
      </c>
      <c r="E302" s="182">
        <f>IF(offer_sale_type="транзит",IFERROR(VLOOKUP($B302,calc_data,E$14+1,0),0),0)</f>
        <v/>
      </c>
      <c r="F302" s="182">
        <f>IF(offer_sale_type="транзит",IFERROR(VLOOKUP($B302,calc_data,F$14+1,0),0),0)</f>
        <v/>
      </c>
      <c r="G302" s="141">
        <f>IF(offer_sale_type="транзит",IFERROR(VLOOKUP($B302,calc_data,G$14+1,0),0),0)</f>
        <v/>
      </c>
      <c r="H302" s="141">
        <f>E302*G302</f>
        <v/>
      </c>
      <c r="I302" s="141">
        <f>IF(offer_sale_type="транзит",IFERROR(ROUND(VLOOKUP($B302,calc_data,I$14+1,0),2),0),0)</f>
        <v/>
      </c>
      <c r="J302" s="141">
        <f>ROUND(IF(offer_sale_type="транзит",IFERROR(VLOOKUP($B302,calc_data,J$14+1,0),0),0),2)</f>
        <v/>
      </c>
      <c r="K302" s="142">
        <f>IF(offer_sale_type="транзит",IFERROR(ROUNDUP(VLOOKUP($B302,calc_data,K$14+1,0),2),0),0)</f>
        <v/>
      </c>
      <c r="L302" s="184">
        <f>IF(offer_sale_type="транзит",IFERROR(ROUNDUP(VLOOKUP($B302,calc_data,L$14+1,0),2),0),0)</f>
        <v/>
      </c>
      <c r="M302" s="141">
        <f>IF(offer_sale_type="транзит",IFERROR(ROUNDUP(VLOOKUP($B302,calc_data,M$14+1,0),2),0),0)</f>
        <v/>
      </c>
      <c r="N302" s="141">
        <f>IF(offer_sale_type="транзит",IFERROR(ROUNDUP(VLOOKUP($B302,calc_data,N$14+1,0),2),0),0)</f>
        <v/>
      </c>
      <c r="O302" s="147">
        <f>IF(offer_sale_type="транзит",IFERROR(ROUND(VLOOKUP($B302,calc_data,O$14+1,1),2),0),0)</f>
        <v/>
      </c>
      <c r="P302" s="141">
        <f>IF(offer_sale_type="транзит",IFERROR(ROUND(SUM(I302:J302,M302:O302)/E302,2),0),0)</f>
        <v/>
      </c>
      <c r="Q302" s="141">
        <f>E302*P302</f>
        <v/>
      </c>
      <c r="R302" s="141">
        <f>ROUND(Q302*IF(AND(offer_incoterms="DDP",seller_region="RU"),IF((TODAY()+offer_turnaround_time)&gt;=helpsheet!$L$17,rate_vatRU_from_26,rate_vatRu_till_25),0),2)</f>
        <v/>
      </c>
      <c r="S302" s="177">
        <f>Q302+IF(AND(offer_incoterms="DDP",seller_region="RU"),R302,0)</f>
        <v/>
      </c>
      <c r="T302" s="45" t="n"/>
      <c r="V302" s="57">
        <f>IF(Q302&gt;0,"показать","скрыть")</f>
        <v/>
      </c>
    </row>
    <row r="303" ht="15.75" customHeight="1">
      <c r="B303" s="809" t="n">
        <v>287</v>
      </c>
      <c r="C303" s="182">
        <f>IF(offer_sale_type="транзит",IFERROR(VLOOKUP($B303,calc_data,C$14+1,0),0),0)</f>
        <v/>
      </c>
      <c r="D303" s="280">
        <f>IF(offer_sale_type="транзит",IFERROR(VLOOKUP($B303,calc_data,D$14+1,0),0),0)</f>
        <v/>
      </c>
      <c r="E303" s="182">
        <f>IF(offer_sale_type="транзит",IFERROR(VLOOKUP($B303,calc_data,E$14+1,0),0),0)</f>
        <v/>
      </c>
      <c r="F303" s="182">
        <f>IF(offer_sale_type="транзит",IFERROR(VLOOKUP($B303,calc_data,F$14+1,0),0),0)</f>
        <v/>
      </c>
      <c r="G303" s="141">
        <f>IF(offer_sale_type="транзит",IFERROR(VLOOKUP($B303,calc_data,G$14+1,0),0),0)</f>
        <v/>
      </c>
      <c r="H303" s="141">
        <f>E303*G303</f>
        <v/>
      </c>
      <c r="I303" s="141">
        <f>IF(offer_sale_type="транзит",IFERROR(ROUND(VLOOKUP($B303,calc_data,I$14+1,0),2),0),0)</f>
        <v/>
      </c>
      <c r="J303" s="141">
        <f>ROUND(IF(offer_sale_type="транзит",IFERROR(VLOOKUP($B303,calc_data,J$14+1,0),0),0),2)</f>
        <v/>
      </c>
      <c r="K303" s="142">
        <f>IF(offer_sale_type="транзит",IFERROR(ROUNDUP(VLOOKUP($B303,calc_data,K$14+1,0),2),0),0)</f>
        <v/>
      </c>
      <c r="L303" s="184">
        <f>IF(offer_sale_type="транзит",IFERROR(ROUNDUP(VLOOKUP($B303,calc_data,L$14+1,0),2),0),0)</f>
        <v/>
      </c>
      <c r="M303" s="141">
        <f>IF(offer_sale_type="транзит",IFERROR(ROUNDUP(VLOOKUP($B303,calc_data,M$14+1,0),2),0),0)</f>
        <v/>
      </c>
      <c r="N303" s="141">
        <f>IF(offer_sale_type="транзит",IFERROR(ROUNDUP(VLOOKUP($B303,calc_data,N$14+1,0),2),0),0)</f>
        <v/>
      </c>
      <c r="O303" s="147">
        <f>IF(offer_sale_type="транзит",IFERROR(ROUND(VLOOKUP($B303,calc_data,O$14+1,1),2),0),0)</f>
        <v/>
      </c>
      <c r="P303" s="141">
        <f>IF(offer_sale_type="транзит",IFERROR(ROUND(SUM(I303:J303,M303:O303)/E303,2),0),0)</f>
        <v/>
      </c>
      <c r="Q303" s="141">
        <f>E303*P303</f>
        <v/>
      </c>
      <c r="R303" s="141">
        <f>ROUND(Q303*IF(AND(offer_incoterms="DDP",seller_region="RU"),IF((TODAY()+offer_turnaround_time)&gt;=helpsheet!$L$17,rate_vatRU_from_26,rate_vatRu_till_25),0),2)</f>
        <v/>
      </c>
      <c r="S303" s="177">
        <f>Q303+IF(AND(offer_incoterms="DDP",seller_region="RU"),R303,0)</f>
        <v/>
      </c>
      <c r="T303" s="45" t="n"/>
      <c r="V303" s="57">
        <f>IF(Q303&gt;0,"показать","скрыть")</f>
        <v/>
      </c>
    </row>
    <row r="304" ht="15.75" customHeight="1">
      <c r="B304" s="809" t="n">
        <v>288</v>
      </c>
      <c r="C304" s="182">
        <f>IF(offer_sale_type="транзит",IFERROR(VLOOKUP($B304,calc_data,C$14+1,0),0),0)</f>
        <v/>
      </c>
      <c r="D304" s="280">
        <f>IF(offer_sale_type="транзит",IFERROR(VLOOKUP($B304,calc_data,D$14+1,0),0),0)</f>
        <v/>
      </c>
      <c r="E304" s="182">
        <f>IF(offer_sale_type="транзит",IFERROR(VLOOKUP($B304,calc_data,E$14+1,0),0),0)</f>
        <v/>
      </c>
      <c r="F304" s="182">
        <f>IF(offer_sale_type="транзит",IFERROR(VLOOKUP($B304,calc_data,F$14+1,0),0),0)</f>
        <v/>
      </c>
      <c r="G304" s="141">
        <f>IF(offer_sale_type="транзит",IFERROR(VLOOKUP($B304,calc_data,G$14+1,0),0),0)</f>
        <v/>
      </c>
      <c r="H304" s="141">
        <f>E304*G304</f>
        <v/>
      </c>
      <c r="I304" s="141">
        <f>IF(offer_sale_type="транзит",IFERROR(ROUND(VLOOKUP($B304,calc_data,I$14+1,0),2),0),0)</f>
        <v/>
      </c>
      <c r="J304" s="141">
        <f>ROUND(IF(offer_sale_type="транзит",IFERROR(VLOOKUP($B304,calc_data,J$14+1,0),0),0),2)</f>
        <v/>
      </c>
      <c r="K304" s="142">
        <f>IF(offer_sale_type="транзит",IFERROR(ROUNDUP(VLOOKUP($B304,calc_data,K$14+1,0),2),0),0)</f>
        <v/>
      </c>
      <c r="L304" s="184">
        <f>IF(offer_sale_type="транзит",IFERROR(ROUNDUP(VLOOKUP($B304,calc_data,L$14+1,0),2),0),0)</f>
        <v/>
      </c>
      <c r="M304" s="141">
        <f>IF(offer_sale_type="транзит",IFERROR(ROUNDUP(VLOOKUP($B304,calc_data,M$14+1,0),2),0),0)</f>
        <v/>
      </c>
      <c r="N304" s="141">
        <f>IF(offer_sale_type="транзит",IFERROR(ROUNDUP(VLOOKUP($B304,calc_data,N$14+1,0),2),0),0)</f>
        <v/>
      </c>
      <c r="O304" s="147">
        <f>IF(offer_sale_type="транзит",IFERROR(ROUND(VLOOKUP($B304,calc_data,O$14+1,1),2),0),0)</f>
        <v/>
      </c>
      <c r="P304" s="141">
        <f>IF(offer_sale_type="транзит",IFERROR(ROUND(SUM(I304:J304,M304:O304)/E304,2),0),0)</f>
        <v/>
      </c>
      <c r="Q304" s="141">
        <f>E304*P304</f>
        <v/>
      </c>
      <c r="R304" s="141">
        <f>ROUND(Q304*IF(AND(offer_incoterms="DDP",seller_region="RU"),IF((TODAY()+offer_turnaround_time)&gt;=helpsheet!$L$17,rate_vatRU_from_26,rate_vatRu_till_25),0),2)</f>
        <v/>
      </c>
      <c r="S304" s="177">
        <f>Q304+IF(AND(offer_incoterms="DDP",seller_region="RU"),R304,0)</f>
        <v/>
      </c>
      <c r="T304" s="45" t="n"/>
      <c r="V304" s="57">
        <f>IF(Q304&gt;0,"показать","скрыть")</f>
        <v/>
      </c>
    </row>
    <row r="305" ht="15.75" customHeight="1">
      <c r="B305" s="809" t="n">
        <v>289</v>
      </c>
      <c r="C305" s="182">
        <f>IF(offer_sale_type="транзит",IFERROR(VLOOKUP($B305,calc_data,C$14+1,0),0),0)</f>
        <v/>
      </c>
      <c r="D305" s="280">
        <f>IF(offer_sale_type="транзит",IFERROR(VLOOKUP($B305,calc_data,D$14+1,0),0),0)</f>
        <v/>
      </c>
      <c r="E305" s="182">
        <f>IF(offer_sale_type="транзит",IFERROR(VLOOKUP($B305,calc_data,E$14+1,0),0),0)</f>
        <v/>
      </c>
      <c r="F305" s="182">
        <f>IF(offer_sale_type="транзит",IFERROR(VLOOKUP($B305,calc_data,F$14+1,0),0),0)</f>
        <v/>
      </c>
      <c r="G305" s="141">
        <f>IF(offer_sale_type="транзит",IFERROR(VLOOKUP($B305,calc_data,G$14+1,0),0),0)</f>
        <v/>
      </c>
      <c r="H305" s="141">
        <f>E305*G305</f>
        <v/>
      </c>
      <c r="I305" s="141">
        <f>IF(offer_sale_type="транзит",IFERROR(ROUND(VLOOKUP($B305,calc_data,I$14+1,0),2),0),0)</f>
        <v/>
      </c>
      <c r="J305" s="141">
        <f>ROUND(IF(offer_sale_type="транзит",IFERROR(VLOOKUP($B305,calc_data,J$14+1,0),0),0),2)</f>
        <v/>
      </c>
      <c r="K305" s="142">
        <f>IF(offer_sale_type="транзит",IFERROR(ROUNDUP(VLOOKUP($B305,calc_data,K$14+1,0),2),0),0)</f>
        <v/>
      </c>
      <c r="L305" s="184">
        <f>IF(offer_sale_type="транзит",IFERROR(ROUNDUP(VLOOKUP($B305,calc_data,L$14+1,0),2),0),0)</f>
        <v/>
      </c>
      <c r="M305" s="141">
        <f>IF(offer_sale_type="транзит",IFERROR(ROUNDUP(VLOOKUP($B305,calc_data,M$14+1,0),2),0),0)</f>
        <v/>
      </c>
      <c r="N305" s="141">
        <f>IF(offer_sale_type="транзит",IFERROR(ROUNDUP(VLOOKUP($B305,calc_data,N$14+1,0),2),0),0)</f>
        <v/>
      </c>
      <c r="O305" s="147">
        <f>IF(offer_sale_type="транзит",IFERROR(ROUND(VLOOKUP($B305,calc_data,O$14+1,1),2),0),0)</f>
        <v/>
      </c>
      <c r="P305" s="141">
        <f>IF(offer_sale_type="транзит",IFERROR(ROUND(SUM(I305:J305,M305:O305)/E305,2),0),0)</f>
        <v/>
      </c>
      <c r="Q305" s="141">
        <f>E305*P305</f>
        <v/>
      </c>
      <c r="R305" s="141">
        <f>ROUND(Q305*IF(AND(offer_incoterms="DDP",seller_region="RU"),IF((TODAY()+offer_turnaround_time)&gt;=helpsheet!$L$17,rate_vatRU_from_26,rate_vatRu_till_25),0),2)</f>
        <v/>
      </c>
      <c r="S305" s="177">
        <f>Q305+IF(AND(offer_incoterms="DDP",seller_region="RU"),R305,0)</f>
        <v/>
      </c>
      <c r="T305" s="45" t="n"/>
      <c r="V305" s="57">
        <f>IF(Q305&gt;0,"показать","скрыть")</f>
        <v/>
      </c>
    </row>
    <row r="306" ht="15.75" customHeight="1">
      <c r="B306" s="809" t="n">
        <v>290</v>
      </c>
      <c r="C306" s="182">
        <f>IF(offer_sale_type="транзит",IFERROR(VLOOKUP($B306,calc_data,C$14+1,0),0),0)</f>
        <v/>
      </c>
      <c r="D306" s="280">
        <f>IF(offer_sale_type="транзит",IFERROR(VLOOKUP($B306,calc_data,D$14+1,0),0),0)</f>
        <v/>
      </c>
      <c r="E306" s="182">
        <f>IF(offer_sale_type="транзит",IFERROR(VLOOKUP($B306,calc_data,E$14+1,0),0),0)</f>
        <v/>
      </c>
      <c r="F306" s="182">
        <f>IF(offer_sale_type="транзит",IFERROR(VLOOKUP($B306,calc_data,F$14+1,0),0),0)</f>
        <v/>
      </c>
      <c r="G306" s="141">
        <f>IF(offer_sale_type="транзит",IFERROR(VLOOKUP($B306,calc_data,G$14+1,0),0),0)</f>
        <v/>
      </c>
      <c r="H306" s="141">
        <f>E306*G306</f>
        <v/>
      </c>
      <c r="I306" s="141">
        <f>IF(offer_sale_type="транзит",IFERROR(ROUND(VLOOKUP($B306,calc_data,I$14+1,0),2),0),0)</f>
        <v/>
      </c>
      <c r="J306" s="141">
        <f>ROUND(IF(offer_sale_type="транзит",IFERROR(VLOOKUP($B306,calc_data,J$14+1,0),0),0),2)</f>
        <v/>
      </c>
      <c r="K306" s="142">
        <f>IF(offer_sale_type="транзит",IFERROR(ROUNDUP(VLOOKUP($B306,calc_data,K$14+1,0),2),0),0)</f>
        <v/>
      </c>
      <c r="L306" s="184">
        <f>IF(offer_sale_type="транзит",IFERROR(ROUNDUP(VLOOKUP($B306,calc_data,L$14+1,0),2),0),0)</f>
        <v/>
      </c>
      <c r="M306" s="141">
        <f>IF(offer_sale_type="транзит",IFERROR(ROUNDUP(VLOOKUP($B306,calc_data,M$14+1,0),2),0),0)</f>
        <v/>
      </c>
      <c r="N306" s="141">
        <f>IF(offer_sale_type="транзит",IFERROR(ROUNDUP(VLOOKUP($B306,calc_data,N$14+1,0),2),0),0)</f>
        <v/>
      </c>
      <c r="O306" s="147">
        <f>IF(offer_sale_type="транзит",IFERROR(ROUND(VLOOKUP($B306,calc_data,O$14+1,1),2),0),0)</f>
        <v/>
      </c>
      <c r="P306" s="141">
        <f>IF(offer_sale_type="транзит",IFERROR(ROUND(SUM(I306:J306,M306:O306)/E306,2),0),0)</f>
        <v/>
      </c>
      <c r="Q306" s="141">
        <f>E306*P306</f>
        <v/>
      </c>
      <c r="R306" s="141">
        <f>ROUND(Q306*IF(AND(offer_incoterms="DDP",seller_region="RU"),IF((TODAY()+offer_turnaround_time)&gt;=helpsheet!$L$17,rate_vatRU_from_26,rate_vatRu_till_25),0),2)</f>
        <v/>
      </c>
      <c r="S306" s="177">
        <f>Q306+IF(AND(offer_incoterms="DDP",seller_region="RU"),R306,0)</f>
        <v/>
      </c>
      <c r="T306" s="45" t="n"/>
      <c r="V306" s="57">
        <f>IF(Q306&gt;0,"показать","скрыть")</f>
        <v/>
      </c>
    </row>
    <row r="307" ht="15.75" customHeight="1">
      <c r="B307" s="809" t="n">
        <v>291</v>
      </c>
      <c r="C307" s="182">
        <f>IF(offer_sale_type="транзит",IFERROR(VLOOKUP($B307,calc_data,C$14+1,0),0),0)</f>
        <v/>
      </c>
      <c r="D307" s="280">
        <f>IF(offer_sale_type="транзит",IFERROR(VLOOKUP($B307,calc_data,D$14+1,0),0),0)</f>
        <v/>
      </c>
      <c r="E307" s="182">
        <f>IF(offer_sale_type="транзит",IFERROR(VLOOKUP($B307,calc_data,E$14+1,0),0),0)</f>
        <v/>
      </c>
      <c r="F307" s="182">
        <f>IF(offer_sale_type="транзит",IFERROR(VLOOKUP($B307,calc_data,F$14+1,0),0),0)</f>
        <v/>
      </c>
      <c r="G307" s="141">
        <f>IF(offer_sale_type="транзит",IFERROR(VLOOKUP($B307,calc_data,G$14+1,0),0),0)</f>
        <v/>
      </c>
      <c r="H307" s="141">
        <f>E307*G307</f>
        <v/>
      </c>
      <c r="I307" s="141">
        <f>IF(offer_sale_type="транзит",IFERROR(ROUND(VLOOKUP($B307,calc_data,I$14+1,0),2),0),0)</f>
        <v/>
      </c>
      <c r="J307" s="141">
        <f>ROUND(IF(offer_sale_type="транзит",IFERROR(VLOOKUP($B307,calc_data,J$14+1,0),0),0),2)</f>
        <v/>
      </c>
      <c r="K307" s="142">
        <f>IF(offer_sale_type="транзит",IFERROR(ROUNDUP(VLOOKUP($B307,calc_data,K$14+1,0),2),0),0)</f>
        <v/>
      </c>
      <c r="L307" s="184">
        <f>IF(offer_sale_type="транзит",IFERROR(ROUNDUP(VLOOKUP($B307,calc_data,L$14+1,0),2),0),0)</f>
        <v/>
      </c>
      <c r="M307" s="141">
        <f>IF(offer_sale_type="транзит",IFERROR(ROUNDUP(VLOOKUP($B307,calc_data,M$14+1,0),2),0),0)</f>
        <v/>
      </c>
      <c r="N307" s="141">
        <f>IF(offer_sale_type="транзит",IFERROR(ROUNDUP(VLOOKUP($B307,calc_data,N$14+1,0),2),0),0)</f>
        <v/>
      </c>
      <c r="O307" s="147">
        <f>IF(offer_sale_type="транзит",IFERROR(ROUND(VLOOKUP($B307,calc_data,O$14+1,1),2),0),0)</f>
        <v/>
      </c>
      <c r="P307" s="141">
        <f>IF(offer_sale_type="транзит",IFERROR(ROUND(SUM(I307:J307,M307:O307)/E307,2),0),0)</f>
        <v/>
      </c>
      <c r="Q307" s="141">
        <f>E307*P307</f>
        <v/>
      </c>
      <c r="R307" s="141">
        <f>ROUND(Q307*IF(AND(offer_incoterms="DDP",seller_region="RU"),IF((TODAY()+offer_turnaround_time)&gt;=helpsheet!$L$17,rate_vatRU_from_26,rate_vatRu_till_25),0),2)</f>
        <v/>
      </c>
      <c r="S307" s="177">
        <f>Q307+IF(AND(offer_incoterms="DDP",seller_region="RU"),R307,0)</f>
        <v/>
      </c>
      <c r="T307" s="45" t="n"/>
      <c r="V307" s="57">
        <f>IF(Q307&gt;0,"показать","скрыть")</f>
        <v/>
      </c>
    </row>
    <row r="308" ht="15.75" customHeight="1">
      <c r="B308" s="809" t="n">
        <v>292</v>
      </c>
      <c r="C308" s="182">
        <f>IF(offer_sale_type="транзит",IFERROR(VLOOKUP($B308,calc_data,C$14+1,0),0),0)</f>
        <v/>
      </c>
      <c r="D308" s="280">
        <f>IF(offer_sale_type="транзит",IFERROR(VLOOKUP($B308,calc_data,D$14+1,0),0),0)</f>
        <v/>
      </c>
      <c r="E308" s="182">
        <f>IF(offer_sale_type="транзит",IFERROR(VLOOKUP($B308,calc_data,E$14+1,0),0),0)</f>
        <v/>
      </c>
      <c r="F308" s="182">
        <f>IF(offer_sale_type="транзит",IFERROR(VLOOKUP($B308,calc_data,F$14+1,0),0),0)</f>
        <v/>
      </c>
      <c r="G308" s="141">
        <f>IF(offer_sale_type="транзит",IFERROR(VLOOKUP($B308,calc_data,G$14+1,0),0),0)</f>
        <v/>
      </c>
      <c r="H308" s="141">
        <f>E308*G308</f>
        <v/>
      </c>
      <c r="I308" s="141">
        <f>IF(offer_sale_type="транзит",IFERROR(ROUND(VLOOKUP($B308,calc_data,I$14+1,0),2),0),0)</f>
        <v/>
      </c>
      <c r="J308" s="141">
        <f>ROUND(IF(offer_sale_type="транзит",IFERROR(VLOOKUP($B308,calc_data,J$14+1,0),0),0),2)</f>
        <v/>
      </c>
      <c r="K308" s="142">
        <f>IF(offer_sale_type="транзит",IFERROR(ROUNDUP(VLOOKUP($B308,calc_data,K$14+1,0),2),0),0)</f>
        <v/>
      </c>
      <c r="L308" s="184">
        <f>IF(offer_sale_type="транзит",IFERROR(ROUNDUP(VLOOKUP($B308,calc_data,L$14+1,0),2),0),0)</f>
        <v/>
      </c>
      <c r="M308" s="141">
        <f>IF(offer_sale_type="транзит",IFERROR(ROUNDUP(VLOOKUP($B308,calc_data,M$14+1,0),2),0),0)</f>
        <v/>
      </c>
      <c r="N308" s="141">
        <f>IF(offer_sale_type="транзит",IFERROR(ROUNDUP(VLOOKUP($B308,calc_data,N$14+1,0),2),0),0)</f>
        <v/>
      </c>
      <c r="O308" s="147">
        <f>IF(offer_sale_type="транзит",IFERROR(ROUND(VLOOKUP($B308,calc_data,O$14+1,1),2),0),0)</f>
        <v/>
      </c>
      <c r="P308" s="141">
        <f>IF(offer_sale_type="транзит",IFERROR(ROUND(SUM(I308:J308,M308:O308)/E308,2),0),0)</f>
        <v/>
      </c>
      <c r="Q308" s="141">
        <f>E308*P308</f>
        <v/>
      </c>
      <c r="R308" s="141">
        <f>ROUND(Q308*IF(AND(offer_incoterms="DDP",seller_region="RU"),IF((TODAY()+offer_turnaround_time)&gt;=helpsheet!$L$17,rate_vatRU_from_26,rate_vatRu_till_25),0),2)</f>
        <v/>
      </c>
      <c r="S308" s="177">
        <f>Q308+IF(AND(offer_incoterms="DDP",seller_region="RU"),R308,0)</f>
        <v/>
      </c>
      <c r="T308" s="45" t="n"/>
      <c r="V308" s="57">
        <f>IF(Q308&gt;0,"показать","скрыть")</f>
        <v/>
      </c>
    </row>
    <row r="309" ht="15.75" customHeight="1">
      <c r="B309" s="809" t="n">
        <v>293</v>
      </c>
      <c r="C309" s="182">
        <f>IF(offer_sale_type="транзит",IFERROR(VLOOKUP($B309,calc_data,C$14+1,0),0),0)</f>
        <v/>
      </c>
      <c r="D309" s="280">
        <f>IF(offer_sale_type="транзит",IFERROR(VLOOKUP($B309,calc_data,D$14+1,0),0),0)</f>
        <v/>
      </c>
      <c r="E309" s="182">
        <f>IF(offer_sale_type="транзит",IFERROR(VLOOKUP($B309,calc_data,E$14+1,0),0),0)</f>
        <v/>
      </c>
      <c r="F309" s="182">
        <f>IF(offer_sale_type="транзит",IFERROR(VLOOKUP($B309,calc_data,F$14+1,0),0),0)</f>
        <v/>
      </c>
      <c r="G309" s="141">
        <f>IF(offer_sale_type="транзит",IFERROR(VLOOKUP($B309,calc_data,G$14+1,0),0),0)</f>
        <v/>
      </c>
      <c r="H309" s="141">
        <f>E309*G309</f>
        <v/>
      </c>
      <c r="I309" s="141">
        <f>IF(offer_sale_type="транзит",IFERROR(ROUND(VLOOKUP($B309,calc_data,I$14+1,0),2),0),0)</f>
        <v/>
      </c>
      <c r="J309" s="141">
        <f>ROUND(IF(offer_sale_type="транзит",IFERROR(VLOOKUP($B309,calc_data,J$14+1,0),0),0),2)</f>
        <v/>
      </c>
      <c r="K309" s="142">
        <f>IF(offer_sale_type="транзит",IFERROR(ROUNDUP(VLOOKUP($B309,calc_data,K$14+1,0),2),0),0)</f>
        <v/>
      </c>
      <c r="L309" s="184">
        <f>IF(offer_sale_type="транзит",IFERROR(ROUNDUP(VLOOKUP($B309,calc_data,L$14+1,0),2),0),0)</f>
        <v/>
      </c>
      <c r="M309" s="141">
        <f>IF(offer_sale_type="транзит",IFERROR(ROUNDUP(VLOOKUP($B309,calc_data,M$14+1,0),2),0),0)</f>
        <v/>
      </c>
      <c r="N309" s="141">
        <f>IF(offer_sale_type="транзит",IFERROR(ROUNDUP(VLOOKUP($B309,calc_data,N$14+1,0),2),0),0)</f>
        <v/>
      </c>
      <c r="O309" s="147">
        <f>IF(offer_sale_type="транзит",IFERROR(ROUND(VLOOKUP($B309,calc_data,O$14+1,1),2),0),0)</f>
        <v/>
      </c>
      <c r="P309" s="141">
        <f>IF(offer_sale_type="транзит",IFERROR(ROUND(SUM(I309:J309,M309:O309)/E309,2),0),0)</f>
        <v/>
      </c>
      <c r="Q309" s="141">
        <f>E309*P309</f>
        <v/>
      </c>
      <c r="R309" s="141">
        <f>ROUND(Q309*IF(AND(offer_incoterms="DDP",seller_region="RU"),IF((TODAY()+offer_turnaround_time)&gt;=helpsheet!$L$17,rate_vatRU_from_26,rate_vatRu_till_25),0),2)</f>
        <v/>
      </c>
      <c r="S309" s="177">
        <f>Q309+IF(AND(offer_incoterms="DDP",seller_region="RU"),R309,0)</f>
        <v/>
      </c>
      <c r="T309" s="45" t="n"/>
      <c r="V309" s="57">
        <f>IF(Q309&gt;0,"показать","скрыть")</f>
        <v/>
      </c>
    </row>
    <row r="310" ht="15.75" customHeight="1">
      <c r="B310" s="809" t="n">
        <v>294</v>
      </c>
      <c r="C310" s="182">
        <f>IF(offer_sale_type="транзит",IFERROR(VLOOKUP($B310,calc_data,C$14+1,0),0),0)</f>
        <v/>
      </c>
      <c r="D310" s="280">
        <f>IF(offer_sale_type="транзит",IFERROR(VLOOKUP($B310,calc_data,D$14+1,0),0),0)</f>
        <v/>
      </c>
      <c r="E310" s="182">
        <f>IF(offer_sale_type="транзит",IFERROR(VLOOKUP($B310,calc_data,E$14+1,0),0),0)</f>
        <v/>
      </c>
      <c r="F310" s="182">
        <f>IF(offer_sale_type="транзит",IFERROR(VLOOKUP($B310,calc_data,F$14+1,0),0),0)</f>
        <v/>
      </c>
      <c r="G310" s="141">
        <f>IF(offer_sale_type="транзит",IFERROR(VLOOKUP($B310,calc_data,G$14+1,0),0),0)</f>
        <v/>
      </c>
      <c r="H310" s="141">
        <f>E310*G310</f>
        <v/>
      </c>
      <c r="I310" s="141">
        <f>IF(offer_sale_type="транзит",IFERROR(ROUND(VLOOKUP($B310,calc_data,I$14+1,0),2),0),0)</f>
        <v/>
      </c>
      <c r="J310" s="141">
        <f>ROUND(IF(offer_sale_type="транзит",IFERROR(VLOOKUP($B310,calc_data,J$14+1,0),0),0),2)</f>
        <v/>
      </c>
      <c r="K310" s="142">
        <f>IF(offer_sale_type="транзит",IFERROR(ROUNDUP(VLOOKUP($B310,calc_data,K$14+1,0),2),0),0)</f>
        <v/>
      </c>
      <c r="L310" s="184">
        <f>IF(offer_sale_type="транзит",IFERROR(ROUNDUP(VLOOKUP($B310,calc_data,L$14+1,0),2),0),0)</f>
        <v/>
      </c>
      <c r="M310" s="141">
        <f>IF(offer_sale_type="транзит",IFERROR(ROUNDUP(VLOOKUP($B310,calc_data,M$14+1,0),2),0),0)</f>
        <v/>
      </c>
      <c r="N310" s="141">
        <f>IF(offer_sale_type="транзит",IFERROR(ROUNDUP(VLOOKUP($B310,calc_data,N$14+1,0),2),0),0)</f>
        <v/>
      </c>
      <c r="O310" s="147">
        <f>IF(offer_sale_type="транзит",IFERROR(ROUND(VLOOKUP($B310,calc_data,O$14+1,1),2),0),0)</f>
        <v/>
      </c>
      <c r="P310" s="141">
        <f>IF(offer_sale_type="транзит",IFERROR(ROUND(SUM(I310:J310,M310:O310)/E310,2),0),0)</f>
        <v/>
      </c>
      <c r="Q310" s="141">
        <f>E310*P310</f>
        <v/>
      </c>
      <c r="R310" s="141">
        <f>ROUND(Q310*IF(AND(offer_incoterms="DDP",seller_region="RU"),IF((TODAY()+offer_turnaround_time)&gt;=helpsheet!$L$17,rate_vatRU_from_26,rate_vatRu_till_25),0),2)</f>
        <v/>
      </c>
      <c r="S310" s="177">
        <f>Q310+IF(AND(offer_incoterms="DDP",seller_region="RU"),R310,0)</f>
        <v/>
      </c>
      <c r="T310" s="45" t="n"/>
      <c r="V310" s="57">
        <f>IF(Q310&gt;0,"показать","скрыть")</f>
        <v/>
      </c>
    </row>
    <row r="311" ht="15.75" customHeight="1">
      <c r="B311" s="809" t="n">
        <v>295</v>
      </c>
      <c r="C311" s="182">
        <f>IF(offer_sale_type="транзит",IFERROR(VLOOKUP($B311,calc_data,C$14+1,0),0),0)</f>
        <v/>
      </c>
      <c r="D311" s="280">
        <f>IF(offer_sale_type="транзит",IFERROR(VLOOKUP($B311,calc_data,D$14+1,0),0),0)</f>
        <v/>
      </c>
      <c r="E311" s="182">
        <f>IF(offer_sale_type="транзит",IFERROR(VLOOKUP($B311,calc_data,E$14+1,0),0),0)</f>
        <v/>
      </c>
      <c r="F311" s="182">
        <f>IF(offer_sale_type="транзит",IFERROR(VLOOKUP($B311,calc_data,F$14+1,0),0),0)</f>
        <v/>
      </c>
      <c r="G311" s="141">
        <f>IF(offer_sale_type="транзит",IFERROR(VLOOKUP($B311,calc_data,G$14+1,0),0),0)</f>
        <v/>
      </c>
      <c r="H311" s="141">
        <f>E311*G311</f>
        <v/>
      </c>
      <c r="I311" s="141">
        <f>IF(offer_sale_type="транзит",IFERROR(ROUND(VLOOKUP($B311,calc_data,I$14+1,0),2),0),0)</f>
        <v/>
      </c>
      <c r="J311" s="141">
        <f>ROUND(IF(offer_sale_type="транзит",IFERROR(VLOOKUP($B311,calc_data,J$14+1,0),0),0),2)</f>
        <v/>
      </c>
      <c r="K311" s="142">
        <f>IF(offer_sale_type="транзит",IFERROR(ROUNDUP(VLOOKUP($B311,calc_data,K$14+1,0),2),0),0)</f>
        <v/>
      </c>
      <c r="L311" s="184">
        <f>IF(offer_sale_type="транзит",IFERROR(ROUNDUP(VLOOKUP($B311,calc_data,L$14+1,0),2),0),0)</f>
        <v/>
      </c>
      <c r="M311" s="141">
        <f>IF(offer_sale_type="транзит",IFERROR(ROUNDUP(VLOOKUP($B311,calc_data,M$14+1,0),2),0),0)</f>
        <v/>
      </c>
      <c r="N311" s="141">
        <f>IF(offer_sale_type="транзит",IFERROR(ROUNDUP(VLOOKUP($B311,calc_data,N$14+1,0),2),0),0)</f>
        <v/>
      </c>
      <c r="O311" s="147">
        <f>IF(offer_sale_type="транзит",IFERROR(ROUND(VLOOKUP($B311,calc_data,O$14+1,1),2),0),0)</f>
        <v/>
      </c>
      <c r="P311" s="141">
        <f>IF(offer_sale_type="транзит",IFERROR(ROUND(SUM(I311:J311,M311:O311)/E311,2),0),0)</f>
        <v/>
      </c>
      <c r="Q311" s="141">
        <f>E311*P311</f>
        <v/>
      </c>
      <c r="R311" s="141">
        <f>ROUND(Q311*IF(AND(offer_incoterms="DDP",seller_region="RU"),IF((TODAY()+offer_turnaround_time)&gt;=helpsheet!$L$17,rate_vatRU_from_26,rate_vatRu_till_25),0),2)</f>
        <v/>
      </c>
      <c r="S311" s="177">
        <f>Q311+IF(AND(offer_incoterms="DDP",seller_region="RU"),R311,0)</f>
        <v/>
      </c>
      <c r="T311" s="45" t="n"/>
      <c r="V311" s="57">
        <f>IF(Q311&gt;0,"показать","скрыть")</f>
        <v/>
      </c>
    </row>
    <row r="312" ht="15.75" customHeight="1">
      <c r="B312" s="809" t="n">
        <v>296</v>
      </c>
      <c r="C312" s="182">
        <f>IF(offer_sale_type="транзит",IFERROR(VLOOKUP($B312,calc_data,C$14+1,0),0),0)</f>
        <v/>
      </c>
      <c r="D312" s="280">
        <f>IF(offer_sale_type="транзит",IFERROR(VLOOKUP($B312,calc_data,D$14+1,0),0),0)</f>
        <v/>
      </c>
      <c r="E312" s="182">
        <f>IF(offer_sale_type="транзит",IFERROR(VLOOKUP($B312,calc_data,E$14+1,0),0),0)</f>
        <v/>
      </c>
      <c r="F312" s="182">
        <f>IF(offer_sale_type="транзит",IFERROR(VLOOKUP($B312,calc_data,F$14+1,0),0),0)</f>
        <v/>
      </c>
      <c r="G312" s="141">
        <f>IF(offer_sale_type="транзит",IFERROR(VLOOKUP($B312,calc_data,G$14+1,0),0),0)</f>
        <v/>
      </c>
      <c r="H312" s="141">
        <f>E312*G312</f>
        <v/>
      </c>
      <c r="I312" s="141">
        <f>IF(offer_sale_type="транзит",IFERROR(ROUND(VLOOKUP($B312,calc_data,I$14+1,0),2),0),0)</f>
        <v/>
      </c>
      <c r="J312" s="141">
        <f>ROUND(IF(offer_sale_type="транзит",IFERROR(VLOOKUP($B312,calc_data,J$14+1,0),0),0),2)</f>
        <v/>
      </c>
      <c r="K312" s="142">
        <f>IF(offer_sale_type="транзит",IFERROR(ROUNDUP(VLOOKUP($B312,calc_data,K$14+1,0),2),0),0)</f>
        <v/>
      </c>
      <c r="L312" s="184">
        <f>IF(offer_sale_type="транзит",IFERROR(ROUNDUP(VLOOKUP($B312,calc_data,L$14+1,0),2),0),0)</f>
        <v/>
      </c>
      <c r="M312" s="141">
        <f>IF(offer_sale_type="транзит",IFERROR(ROUNDUP(VLOOKUP($B312,calc_data,M$14+1,0),2),0),0)</f>
        <v/>
      </c>
      <c r="N312" s="141">
        <f>IF(offer_sale_type="транзит",IFERROR(ROUNDUP(VLOOKUP($B312,calc_data,N$14+1,0),2),0),0)</f>
        <v/>
      </c>
      <c r="O312" s="147">
        <f>IF(offer_sale_type="транзит",IFERROR(ROUND(VLOOKUP($B312,calc_data,O$14+1,1),2),0),0)</f>
        <v/>
      </c>
      <c r="P312" s="141">
        <f>IF(offer_sale_type="транзит",IFERROR(ROUND(SUM(I312:J312,M312:O312)/E312,2),0),0)</f>
        <v/>
      </c>
      <c r="Q312" s="141">
        <f>E312*P312</f>
        <v/>
      </c>
      <c r="R312" s="141">
        <f>ROUND(Q312*IF(AND(offer_incoterms="DDP",seller_region="RU"),IF((TODAY()+offer_turnaround_time)&gt;=helpsheet!$L$17,rate_vatRU_from_26,rate_vatRu_till_25),0),2)</f>
        <v/>
      </c>
      <c r="S312" s="177">
        <f>Q312+IF(AND(offer_incoterms="DDP",seller_region="RU"),R312,0)</f>
        <v/>
      </c>
      <c r="T312" s="45" t="n"/>
      <c r="V312" s="57">
        <f>IF(Q312&gt;0,"показать","скрыть")</f>
        <v/>
      </c>
    </row>
    <row r="313" ht="15.75" customHeight="1">
      <c r="B313" s="809" t="n">
        <v>297</v>
      </c>
      <c r="C313" s="182">
        <f>IF(offer_sale_type="транзит",IFERROR(VLOOKUP($B313,calc_data,C$14+1,0),0),0)</f>
        <v/>
      </c>
      <c r="D313" s="280">
        <f>IF(offer_sale_type="транзит",IFERROR(VLOOKUP($B313,calc_data,D$14+1,0),0),0)</f>
        <v/>
      </c>
      <c r="E313" s="182">
        <f>IF(offer_sale_type="транзит",IFERROR(VLOOKUP($B313,calc_data,E$14+1,0),0),0)</f>
        <v/>
      </c>
      <c r="F313" s="182">
        <f>IF(offer_sale_type="транзит",IFERROR(VLOOKUP($B313,calc_data,F$14+1,0),0),0)</f>
        <v/>
      </c>
      <c r="G313" s="141">
        <f>IF(offer_sale_type="транзит",IFERROR(VLOOKUP($B313,calc_data,G$14+1,0),0),0)</f>
        <v/>
      </c>
      <c r="H313" s="141">
        <f>E313*G313</f>
        <v/>
      </c>
      <c r="I313" s="141">
        <f>IF(offer_sale_type="транзит",IFERROR(ROUND(VLOOKUP($B313,calc_data,I$14+1,0),2),0),0)</f>
        <v/>
      </c>
      <c r="J313" s="141">
        <f>ROUND(IF(offer_sale_type="транзит",IFERROR(VLOOKUP($B313,calc_data,J$14+1,0),0),0),2)</f>
        <v/>
      </c>
      <c r="K313" s="142">
        <f>IF(offer_sale_type="транзит",IFERROR(ROUNDUP(VLOOKUP($B313,calc_data,K$14+1,0),2),0),0)</f>
        <v/>
      </c>
      <c r="L313" s="184">
        <f>IF(offer_sale_type="транзит",IFERROR(ROUNDUP(VLOOKUP($B313,calc_data,L$14+1,0),2),0),0)</f>
        <v/>
      </c>
      <c r="M313" s="141">
        <f>IF(offer_sale_type="транзит",IFERROR(ROUNDUP(VLOOKUP($B313,calc_data,M$14+1,0),2),0),0)</f>
        <v/>
      </c>
      <c r="N313" s="141">
        <f>IF(offer_sale_type="транзит",IFERROR(ROUNDUP(VLOOKUP($B313,calc_data,N$14+1,0),2),0),0)</f>
        <v/>
      </c>
      <c r="O313" s="147">
        <f>IF(offer_sale_type="транзит",IFERROR(ROUND(VLOOKUP($B313,calc_data,O$14+1,1),2),0),0)</f>
        <v/>
      </c>
      <c r="P313" s="141">
        <f>IF(offer_sale_type="транзит",IFERROR(ROUND(SUM(I313:J313,M313:O313)/E313,2),0),0)</f>
        <v/>
      </c>
      <c r="Q313" s="141">
        <f>E313*P313</f>
        <v/>
      </c>
      <c r="R313" s="141">
        <f>ROUND(Q313*IF(AND(offer_incoterms="DDP",seller_region="RU"),IF((TODAY()+offer_turnaround_time)&gt;=helpsheet!$L$17,rate_vatRU_from_26,rate_vatRu_till_25),0),2)</f>
        <v/>
      </c>
      <c r="S313" s="177">
        <f>Q313+IF(AND(offer_incoterms="DDP",seller_region="RU"),R313,0)</f>
        <v/>
      </c>
      <c r="T313" s="45" t="n"/>
      <c r="V313" s="57">
        <f>IF(Q313&gt;0,"показать","скрыть")</f>
        <v/>
      </c>
    </row>
    <row r="314" ht="15.75" customHeight="1">
      <c r="B314" s="809" t="n">
        <v>298</v>
      </c>
      <c r="C314" s="182">
        <f>IF(offer_sale_type="транзит",IFERROR(VLOOKUP($B314,calc_data,C$14+1,0),0),0)</f>
        <v/>
      </c>
      <c r="D314" s="280">
        <f>IF(offer_sale_type="транзит",IFERROR(VLOOKUP($B314,calc_data,D$14+1,0),0),0)</f>
        <v/>
      </c>
      <c r="E314" s="182">
        <f>IF(offer_sale_type="транзит",IFERROR(VLOOKUP($B314,calc_data,E$14+1,0),0),0)</f>
        <v/>
      </c>
      <c r="F314" s="182">
        <f>IF(offer_sale_type="транзит",IFERROR(VLOOKUP($B314,calc_data,F$14+1,0),0),0)</f>
        <v/>
      </c>
      <c r="G314" s="141">
        <f>IF(offer_sale_type="транзит",IFERROR(VLOOKUP($B314,calc_data,G$14+1,0),0),0)</f>
        <v/>
      </c>
      <c r="H314" s="141">
        <f>E314*G314</f>
        <v/>
      </c>
      <c r="I314" s="141">
        <f>IF(offer_sale_type="транзит",IFERROR(ROUND(VLOOKUP($B314,calc_data,I$14+1,0),2),0),0)</f>
        <v/>
      </c>
      <c r="J314" s="141">
        <f>ROUND(IF(offer_sale_type="транзит",IFERROR(VLOOKUP($B314,calc_data,J$14+1,0),0),0),2)</f>
        <v/>
      </c>
      <c r="K314" s="142">
        <f>IF(offer_sale_type="транзит",IFERROR(ROUNDUP(VLOOKUP($B314,calc_data,K$14+1,0),2),0),0)</f>
        <v/>
      </c>
      <c r="L314" s="184">
        <f>IF(offer_sale_type="транзит",IFERROR(ROUNDUP(VLOOKUP($B314,calc_data,L$14+1,0),2),0),0)</f>
        <v/>
      </c>
      <c r="M314" s="141">
        <f>IF(offer_sale_type="транзит",IFERROR(ROUNDUP(VLOOKUP($B314,calc_data,M$14+1,0),2),0),0)</f>
        <v/>
      </c>
      <c r="N314" s="141">
        <f>IF(offer_sale_type="транзит",IFERROR(ROUNDUP(VLOOKUP($B314,calc_data,N$14+1,0),2),0),0)</f>
        <v/>
      </c>
      <c r="O314" s="147">
        <f>IF(offer_sale_type="транзит",IFERROR(ROUND(VLOOKUP($B314,calc_data,O$14+1,1),2),0),0)</f>
        <v/>
      </c>
      <c r="P314" s="141">
        <f>IF(offer_sale_type="транзит",IFERROR(ROUND(SUM(I314:J314,M314:O314)/E314,2),0),0)</f>
        <v/>
      </c>
      <c r="Q314" s="141">
        <f>E314*P314</f>
        <v/>
      </c>
      <c r="R314" s="141">
        <f>ROUND(Q314*IF(AND(offer_incoterms="DDP",seller_region="RU"),IF((TODAY()+offer_turnaround_time)&gt;=helpsheet!$L$17,rate_vatRU_from_26,rate_vatRu_till_25),0),2)</f>
        <v/>
      </c>
      <c r="S314" s="177">
        <f>Q314+IF(AND(offer_incoterms="DDP",seller_region="RU"),R314,0)</f>
        <v/>
      </c>
      <c r="T314" s="45" t="n"/>
      <c r="V314" s="57">
        <f>IF(Q314&gt;0,"показать","скрыть")</f>
        <v/>
      </c>
    </row>
    <row r="315" ht="15.75" customHeight="1">
      <c r="B315" s="809" t="n">
        <v>299</v>
      </c>
      <c r="C315" s="182">
        <f>IF(offer_sale_type="транзит",IFERROR(VLOOKUP($B315,calc_data,C$14+1,0),0),0)</f>
        <v/>
      </c>
      <c r="D315" s="280">
        <f>IF(offer_sale_type="транзит",IFERROR(VLOOKUP($B315,calc_data,D$14+1,0),0),0)</f>
        <v/>
      </c>
      <c r="E315" s="182">
        <f>IF(offer_sale_type="транзит",IFERROR(VLOOKUP($B315,calc_data,E$14+1,0),0),0)</f>
        <v/>
      </c>
      <c r="F315" s="182">
        <f>IF(offer_sale_type="транзит",IFERROR(VLOOKUP($B315,calc_data,F$14+1,0),0),0)</f>
        <v/>
      </c>
      <c r="G315" s="141">
        <f>IF(offer_sale_type="транзит",IFERROR(VLOOKUP($B315,calc_data,G$14+1,0),0),0)</f>
        <v/>
      </c>
      <c r="H315" s="141">
        <f>E315*G315</f>
        <v/>
      </c>
      <c r="I315" s="141">
        <f>IF(offer_sale_type="транзит",IFERROR(ROUND(VLOOKUP($B315,calc_data,I$14+1,0),2),0),0)</f>
        <v/>
      </c>
      <c r="J315" s="141">
        <f>ROUND(IF(offer_sale_type="транзит",IFERROR(VLOOKUP($B315,calc_data,J$14+1,0),0),0),2)</f>
        <v/>
      </c>
      <c r="K315" s="142">
        <f>IF(offer_sale_type="транзит",IFERROR(ROUNDUP(VLOOKUP($B315,calc_data,K$14+1,0),2),0),0)</f>
        <v/>
      </c>
      <c r="L315" s="184">
        <f>IF(offer_sale_type="транзит",IFERROR(ROUNDUP(VLOOKUP($B315,calc_data,L$14+1,0),2),0),0)</f>
        <v/>
      </c>
      <c r="M315" s="141">
        <f>IF(offer_sale_type="транзит",IFERROR(ROUNDUP(VLOOKUP($B315,calc_data,M$14+1,0),2),0),0)</f>
        <v/>
      </c>
      <c r="N315" s="141">
        <f>IF(offer_sale_type="транзит",IFERROR(ROUNDUP(VLOOKUP($B315,calc_data,N$14+1,0),2),0),0)</f>
        <v/>
      </c>
      <c r="O315" s="147">
        <f>IF(offer_sale_type="транзит",IFERROR(ROUND(VLOOKUP($B315,calc_data,O$14+1,1),2),0),0)</f>
        <v/>
      </c>
      <c r="P315" s="141">
        <f>IF(offer_sale_type="транзит",IFERROR(ROUND(SUM(I315:J315,M315:O315)/E315,2),0),0)</f>
        <v/>
      </c>
      <c r="Q315" s="141">
        <f>E315*P315</f>
        <v/>
      </c>
      <c r="R315" s="141">
        <f>ROUND(Q315*IF(AND(offer_incoterms="DDP",seller_region="RU"),IF((TODAY()+offer_turnaround_time)&gt;=helpsheet!$L$17,rate_vatRU_from_26,rate_vatRu_till_25),0),2)</f>
        <v/>
      </c>
      <c r="S315" s="177">
        <f>Q315+IF(AND(offer_incoterms="DDP",seller_region="RU"),R315,0)</f>
        <v/>
      </c>
      <c r="T315" s="45" t="n"/>
      <c r="V315" s="57">
        <f>IF(Q315&gt;0,"показать","скрыть")</f>
        <v/>
      </c>
    </row>
    <row r="316" ht="15.75" customHeight="1">
      <c r="B316" s="809" t="n">
        <v>300</v>
      </c>
      <c r="C316" s="182">
        <f>IF(offer_sale_type="транзит",IFERROR(VLOOKUP($B316,calc_data,C$14+1,0),0),0)</f>
        <v/>
      </c>
      <c r="D316" s="280">
        <f>IF(offer_sale_type="транзит",IFERROR(VLOOKUP($B316,calc_data,D$14+1,0),0),0)</f>
        <v/>
      </c>
      <c r="E316" s="182">
        <f>IF(offer_sale_type="транзит",IFERROR(VLOOKUP($B316,calc_data,E$14+1,0),0),0)</f>
        <v/>
      </c>
      <c r="F316" s="182">
        <f>IF(offer_sale_type="транзит",IFERROR(VLOOKUP($B316,calc_data,F$14+1,0),0),0)</f>
        <v/>
      </c>
      <c r="G316" s="141">
        <f>IF(offer_sale_type="транзит",IFERROR(VLOOKUP($B316,calc_data,G$14+1,0),0),0)</f>
        <v/>
      </c>
      <c r="H316" s="141">
        <f>E316*G316</f>
        <v/>
      </c>
      <c r="I316" s="141">
        <f>IF(offer_sale_type="транзит",IFERROR(ROUND(VLOOKUP($B316,calc_data,I$14+1,0),2),0),0)</f>
        <v/>
      </c>
      <c r="J316" s="141">
        <f>ROUND(IF(offer_sale_type="транзит",IFERROR(VLOOKUP($B316,calc_data,J$14+1,0),0),0),2)</f>
        <v/>
      </c>
      <c r="K316" s="142">
        <f>IF(offer_sale_type="транзит",IFERROR(ROUNDUP(VLOOKUP($B316,calc_data,K$14+1,0),2),0),0)</f>
        <v/>
      </c>
      <c r="L316" s="184">
        <f>IF(offer_sale_type="транзит",IFERROR(ROUNDUP(VLOOKUP($B316,calc_data,L$14+1,0),2),0),0)</f>
        <v/>
      </c>
      <c r="M316" s="141">
        <f>IF(offer_sale_type="транзит",IFERROR(ROUNDUP(VLOOKUP($B316,calc_data,M$14+1,0),2),0),0)</f>
        <v/>
      </c>
      <c r="N316" s="141">
        <f>IF(offer_sale_type="транзит",IFERROR(ROUNDUP(VLOOKUP($B316,calc_data,N$14+1,0),2),0),0)</f>
        <v/>
      </c>
      <c r="O316" s="147">
        <f>IF(offer_sale_type="транзит",IFERROR(ROUND(VLOOKUP($B316,calc_data,O$14+1,1),2),0),0)</f>
        <v/>
      </c>
      <c r="P316" s="141">
        <f>IF(offer_sale_type="транзит",IFERROR(ROUND(SUM(I316:J316,M316:O316)/E316,2),0),0)</f>
        <v/>
      </c>
      <c r="Q316" s="141">
        <f>E316*P316</f>
        <v/>
      </c>
      <c r="R316" s="141">
        <f>ROUND(Q316*IF(AND(offer_incoterms="DDP",seller_region="RU"),IF((TODAY()+offer_turnaround_time)&gt;=helpsheet!$L$17,rate_vatRU_from_26,rate_vatRu_till_25),0),2)</f>
        <v/>
      </c>
      <c r="S316" s="177">
        <f>Q316+IF(AND(offer_incoterms="DDP",seller_region="RU"),R316,0)</f>
        <v/>
      </c>
      <c r="T316" s="45" t="n"/>
      <c r="V316" s="57">
        <f>IF(Q316&gt;0,"показать","скрыть")</f>
        <v/>
      </c>
    </row>
    <row r="317" ht="15.75" customHeight="1">
      <c r="B317" s="809" t="n">
        <v>301</v>
      </c>
      <c r="C317" s="182">
        <f>IF(offer_sale_type="транзит",IFERROR(VLOOKUP($B317,calc_data,C$14+1,0),0),0)</f>
        <v/>
      </c>
      <c r="D317" s="280">
        <f>IF(offer_sale_type="транзит",IFERROR(VLOOKUP($B317,calc_data,D$14+1,0),0),0)</f>
        <v/>
      </c>
      <c r="E317" s="182">
        <f>IF(offer_sale_type="транзит",IFERROR(VLOOKUP($B317,calc_data,E$14+1,0),0),0)</f>
        <v/>
      </c>
      <c r="F317" s="182">
        <f>IF(offer_sale_type="транзит",IFERROR(VLOOKUP($B317,calc_data,F$14+1,0),0),0)</f>
        <v/>
      </c>
      <c r="G317" s="141">
        <f>IF(offer_sale_type="транзит",IFERROR(VLOOKUP($B317,calc_data,G$14+1,0),0),0)</f>
        <v/>
      </c>
      <c r="H317" s="141">
        <f>E317*G317</f>
        <v/>
      </c>
      <c r="I317" s="141">
        <f>IF(offer_sale_type="транзит",IFERROR(ROUND(VLOOKUP($B317,calc_data,I$14+1,0),2),0),0)</f>
        <v/>
      </c>
      <c r="J317" s="141">
        <f>ROUND(IF(offer_sale_type="транзит",IFERROR(VLOOKUP($B317,calc_data,J$14+1,0),0),0),2)</f>
        <v/>
      </c>
      <c r="K317" s="142">
        <f>IF(offer_sale_type="транзит",IFERROR(ROUNDUP(VLOOKUP($B317,calc_data,K$14+1,0),2),0),0)</f>
        <v/>
      </c>
      <c r="L317" s="184">
        <f>IF(offer_sale_type="транзит",IFERROR(ROUNDUP(VLOOKUP($B317,calc_data,L$14+1,0),2),0),0)</f>
        <v/>
      </c>
      <c r="M317" s="141">
        <f>IF(offer_sale_type="транзит",IFERROR(ROUNDUP(VLOOKUP($B317,calc_data,M$14+1,0),2),0),0)</f>
        <v/>
      </c>
      <c r="N317" s="141">
        <f>IF(offer_sale_type="транзит",IFERROR(ROUNDUP(VLOOKUP($B317,calc_data,N$14+1,0),2),0),0)</f>
        <v/>
      </c>
      <c r="O317" s="147">
        <f>IF(offer_sale_type="транзит",IFERROR(ROUND(VLOOKUP($B317,calc_data,O$14+1,1),2),0),0)</f>
        <v/>
      </c>
      <c r="P317" s="141">
        <f>IF(offer_sale_type="транзит",IFERROR(ROUND(SUM(I317:J317,M317:O317)/E317,2),0),0)</f>
        <v/>
      </c>
      <c r="Q317" s="141">
        <f>E317*P317</f>
        <v/>
      </c>
      <c r="R317" s="141">
        <f>ROUND(Q317*IF(AND(offer_incoterms="DDP",seller_region="RU"),IF((TODAY()+offer_turnaround_time)&gt;=helpsheet!$L$17,rate_vatRU_from_26,rate_vatRu_till_25),0),2)</f>
        <v/>
      </c>
      <c r="S317" s="177">
        <f>Q317+IF(AND(offer_incoterms="DDP",seller_region="RU"),R317,0)</f>
        <v/>
      </c>
      <c r="T317" s="45" t="n"/>
      <c r="V317" s="57">
        <f>IF(Q317&gt;0,"показать","скрыть")</f>
        <v/>
      </c>
    </row>
    <row r="318" ht="15.75" customHeight="1">
      <c r="B318" s="809" t="n">
        <v>302</v>
      </c>
      <c r="C318" s="182">
        <f>IF(offer_sale_type="транзит",IFERROR(VLOOKUP($B318,calc_data,C$14+1,0),0),0)</f>
        <v/>
      </c>
      <c r="D318" s="280">
        <f>IF(offer_sale_type="транзит",IFERROR(VLOOKUP($B318,calc_data,D$14+1,0),0),0)</f>
        <v/>
      </c>
      <c r="E318" s="182">
        <f>IF(offer_sale_type="транзит",IFERROR(VLOOKUP($B318,calc_data,E$14+1,0),0),0)</f>
        <v/>
      </c>
      <c r="F318" s="182">
        <f>IF(offer_sale_type="транзит",IFERROR(VLOOKUP($B318,calc_data,F$14+1,0),0),0)</f>
        <v/>
      </c>
      <c r="G318" s="141">
        <f>IF(offer_sale_type="транзит",IFERROR(VLOOKUP($B318,calc_data,G$14+1,0),0),0)</f>
        <v/>
      </c>
      <c r="H318" s="141">
        <f>E318*G318</f>
        <v/>
      </c>
      <c r="I318" s="141">
        <f>IF(offer_sale_type="транзит",IFERROR(ROUND(VLOOKUP($B318,calc_data,I$14+1,0),2),0),0)</f>
        <v/>
      </c>
      <c r="J318" s="141">
        <f>ROUND(IF(offer_sale_type="транзит",IFERROR(VLOOKUP($B318,calc_data,J$14+1,0),0),0),2)</f>
        <v/>
      </c>
      <c r="K318" s="142">
        <f>IF(offer_sale_type="транзит",IFERROR(ROUNDUP(VLOOKUP($B318,calc_data,K$14+1,0),2),0),0)</f>
        <v/>
      </c>
      <c r="L318" s="184">
        <f>IF(offer_sale_type="транзит",IFERROR(ROUNDUP(VLOOKUP($B318,calc_data,L$14+1,0),2),0),0)</f>
        <v/>
      </c>
      <c r="M318" s="141">
        <f>IF(offer_sale_type="транзит",IFERROR(ROUNDUP(VLOOKUP($B318,calc_data,M$14+1,0),2),0),0)</f>
        <v/>
      </c>
      <c r="N318" s="141">
        <f>IF(offer_sale_type="транзит",IFERROR(ROUNDUP(VLOOKUP($B318,calc_data,N$14+1,0),2),0),0)</f>
        <v/>
      </c>
      <c r="O318" s="147">
        <f>IF(offer_sale_type="транзит",IFERROR(ROUND(VLOOKUP($B318,calc_data,O$14+1,1),2),0),0)</f>
        <v/>
      </c>
      <c r="P318" s="141">
        <f>IF(offer_sale_type="транзит",IFERROR(ROUND(SUM(I318:J318,M318:O318)/E318,2),0),0)</f>
        <v/>
      </c>
      <c r="Q318" s="141">
        <f>E318*P318</f>
        <v/>
      </c>
      <c r="R318" s="141">
        <f>ROUND(Q318*IF(AND(offer_incoterms="DDP",seller_region="RU"),IF((TODAY()+offer_turnaround_time)&gt;=helpsheet!$L$17,rate_vatRU_from_26,rate_vatRu_till_25),0),2)</f>
        <v/>
      </c>
      <c r="S318" s="177">
        <f>Q318+IF(AND(offer_incoterms="DDP",seller_region="RU"),R318,0)</f>
        <v/>
      </c>
      <c r="T318" s="45" t="n"/>
      <c r="V318" s="57">
        <f>IF(Q318&gt;0,"показать","скрыть")</f>
        <v/>
      </c>
    </row>
    <row r="319" ht="15.75" customHeight="1">
      <c r="B319" s="809" t="n">
        <v>303</v>
      </c>
      <c r="C319" s="182">
        <f>IF(offer_sale_type="транзит",IFERROR(VLOOKUP($B319,calc_data,C$14+1,0),0),0)</f>
        <v/>
      </c>
      <c r="D319" s="280">
        <f>IF(offer_sale_type="транзит",IFERROR(VLOOKUP($B319,calc_data,D$14+1,0),0),0)</f>
        <v/>
      </c>
      <c r="E319" s="182">
        <f>IF(offer_sale_type="транзит",IFERROR(VLOOKUP($B319,calc_data,E$14+1,0),0),0)</f>
        <v/>
      </c>
      <c r="F319" s="182">
        <f>IF(offer_sale_type="транзит",IFERROR(VLOOKUP($B319,calc_data,F$14+1,0),0),0)</f>
        <v/>
      </c>
      <c r="G319" s="141">
        <f>IF(offer_sale_type="транзит",IFERROR(VLOOKUP($B319,calc_data,G$14+1,0),0),0)</f>
        <v/>
      </c>
      <c r="H319" s="141">
        <f>E319*G319</f>
        <v/>
      </c>
      <c r="I319" s="141">
        <f>IF(offer_sale_type="транзит",IFERROR(ROUND(VLOOKUP($B319,calc_data,I$14+1,0),2),0),0)</f>
        <v/>
      </c>
      <c r="J319" s="141">
        <f>ROUND(IF(offer_sale_type="транзит",IFERROR(VLOOKUP($B319,calc_data,J$14+1,0),0),0),2)</f>
        <v/>
      </c>
      <c r="K319" s="142">
        <f>IF(offer_sale_type="транзит",IFERROR(ROUNDUP(VLOOKUP($B319,calc_data,K$14+1,0),2),0),0)</f>
        <v/>
      </c>
      <c r="L319" s="184">
        <f>IF(offer_sale_type="транзит",IFERROR(ROUNDUP(VLOOKUP($B319,calc_data,L$14+1,0),2),0),0)</f>
        <v/>
      </c>
      <c r="M319" s="141">
        <f>IF(offer_sale_type="транзит",IFERROR(ROUNDUP(VLOOKUP($B319,calc_data,M$14+1,0),2),0),0)</f>
        <v/>
      </c>
      <c r="N319" s="141">
        <f>IF(offer_sale_type="транзит",IFERROR(ROUNDUP(VLOOKUP($B319,calc_data,N$14+1,0),2),0),0)</f>
        <v/>
      </c>
      <c r="O319" s="147">
        <f>IF(offer_sale_type="транзит",IFERROR(ROUND(VLOOKUP($B319,calc_data,O$14+1,1),2),0),0)</f>
        <v/>
      </c>
      <c r="P319" s="141">
        <f>IF(offer_sale_type="транзит",IFERROR(ROUND(SUM(I319:J319,M319:O319)/E319,2),0),0)</f>
        <v/>
      </c>
      <c r="Q319" s="141">
        <f>E319*P319</f>
        <v/>
      </c>
      <c r="R319" s="141">
        <f>ROUND(Q319*IF(AND(offer_incoterms="DDP",seller_region="RU"),IF((TODAY()+offer_turnaround_time)&gt;=helpsheet!$L$17,rate_vatRU_from_26,rate_vatRu_till_25),0),2)</f>
        <v/>
      </c>
      <c r="S319" s="177">
        <f>Q319+IF(AND(offer_incoterms="DDP",seller_region="RU"),R319,0)</f>
        <v/>
      </c>
      <c r="T319" s="45" t="n"/>
      <c r="V319" s="57">
        <f>IF(Q319&gt;0,"показать","скрыть")</f>
        <v/>
      </c>
    </row>
    <row r="320" ht="15.75" customHeight="1">
      <c r="B320" s="809" t="n">
        <v>304</v>
      </c>
      <c r="C320" s="182">
        <f>IF(offer_sale_type="транзит",IFERROR(VLOOKUP($B320,calc_data,C$14+1,0),0),0)</f>
        <v/>
      </c>
      <c r="D320" s="280">
        <f>IF(offer_sale_type="транзит",IFERROR(VLOOKUP($B320,calc_data,D$14+1,0),0),0)</f>
        <v/>
      </c>
      <c r="E320" s="182">
        <f>IF(offer_sale_type="транзит",IFERROR(VLOOKUP($B320,calc_data,E$14+1,0),0),0)</f>
        <v/>
      </c>
      <c r="F320" s="182">
        <f>IF(offer_sale_type="транзит",IFERROR(VLOOKUP($B320,calc_data,F$14+1,0),0),0)</f>
        <v/>
      </c>
      <c r="G320" s="141">
        <f>IF(offer_sale_type="транзит",IFERROR(VLOOKUP($B320,calc_data,G$14+1,0),0),0)</f>
        <v/>
      </c>
      <c r="H320" s="141">
        <f>E320*G320</f>
        <v/>
      </c>
      <c r="I320" s="141">
        <f>IF(offer_sale_type="транзит",IFERROR(ROUND(VLOOKUP($B320,calc_data,I$14+1,0),2),0),0)</f>
        <v/>
      </c>
      <c r="J320" s="141">
        <f>ROUND(IF(offer_sale_type="транзит",IFERROR(VLOOKUP($B320,calc_data,J$14+1,0),0),0),2)</f>
        <v/>
      </c>
      <c r="K320" s="142">
        <f>IF(offer_sale_type="транзит",IFERROR(ROUNDUP(VLOOKUP($B320,calc_data,K$14+1,0),2),0),0)</f>
        <v/>
      </c>
      <c r="L320" s="184">
        <f>IF(offer_sale_type="транзит",IFERROR(ROUNDUP(VLOOKUP($B320,calc_data,L$14+1,0),2),0),0)</f>
        <v/>
      </c>
      <c r="M320" s="141">
        <f>IF(offer_sale_type="транзит",IFERROR(ROUNDUP(VLOOKUP($B320,calc_data,M$14+1,0),2),0),0)</f>
        <v/>
      </c>
      <c r="N320" s="141">
        <f>IF(offer_sale_type="транзит",IFERROR(ROUNDUP(VLOOKUP($B320,calc_data,N$14+1,0),2),0),0)</f>
        <v/>
      </c>
      <c r="O320" s="147">
        <f>IF(offer_sale_type="транзит",IFERROR(ROUND(VLOOKUP($B320,calc_data,O$14+1,1),2),0),0)</f>
        <v/>
      </c>
      <c r="P320" s="141">
        <f>IF(offer_sale_type="транзит",IFERROR(ROUND(SUM(I320:J320,M320:O320)/E320,2),0),0)</f>
        <v/>
      </c>
      <c r="Q320" s="141">
        <f>E320*P320</f>
        <v/>
      </c>
      <c r="R320" s="141">
        <f>ROUND(Q320*IF(AND(offer_incoterms="DDP",seller_region="RU"),IF((TODAY()+offer_turnaround_time)&gt;=helpsheet!$L$17,rate_vatRU_from_26,rate_vatRu_till_25),0),2)</f>
        <v/>
      </c>
      <c r="S320" s="177">
        <f>Q320+IF(AND(offer_incoterms="DDP",seller_region="RU"),R320,0)</f>
        <v/>
      </c>
      <c r="T320" s="45" t="n"/>
      <c r="V320" s="57">
        <f>IF(Q320&gt;0,"показать","скрыть")</f>
        <v/>
      </c>
    </row>
    <row r="321" ht="15.75" customHeight="1">
      <c r="B321" s="809" t="n">
        <v>305</v>
      </c>
      <c r="C321" s="182">
        <f>IF(offer_sale_type="транзит",IFERROR(VLOOKUP($B321,calc_data,C$14+1,0),0),0)</f>
        <v/>
      </c>
      <c r="D321" s="280">
        <f>IF(offer_sale_type="транзит",IFERROR(VLOOKUP($B321,calc_data,D$14+1,0),0),0)</f>
        <v/>
      </c>
      <c r="E321" s="182">
        <f>IF(offer_sale_type="транзит",IFERROR(VLOOKUP($B321,calc_data,E$14+1,0),0),0)</f>
        <v/>
      </c>
      <c r="F321" s="182">
        <f>IF(offer_sale_type="транзит",IFERROR(VLOOKUP($B321,calc_data,F$14+1,0),0),0)</f>
        <v/>
      </c>
      <c r="G321" s="141">
        <f>IF(offer_sale_type="транзит",IFERROR(VLOOKUP($B321,calc_data,G$14+1,0),0),0)</f>
        <v/>
      </c>
      <c r="H321" s="141">
        <f>E321*G321</f>
        <v/>
      </c>
      <c r="I321" s="141">
        <f>IF(offer_sale_type="транзит",IFERROR(ROUND(VLOOKUP($B321,calc_data,I$14+1,0),2),0),0)</f>
        <v/>
      </c>
      <c r="J321" s="141">
        <f>ROUND(IF(offer_sale_type="транзит",IFERROR(VLOOKUP($B321,calc_data,J$14+1,0),0),0),2)</f>
        <v/>
      </c>
      <c r="K321" s="142">
        <f>IF(offer_sale_type="транзит",IFERROR(ROUNDUP(VLOOKUP($B321,calc_data,K$14+1,0),2),0),0)</f>
        <v/>
      </c>
      <c r="L321" s="184">
        <f>IF(offer_sale_type="транзит",IFERROR(ROUNDUP(VLOOKUP($B321,calc_data,L$14+1,0),2),0),0)</f>
        <v/>
      </c>
      <c r="M321" s="141">
        <f>IF(offer_sale_type="транзит",IFERROR(ROUNDUP(VLOOKUP($B321,calc_data,M$14+1,0),2),0),0)</f>
        <v/>
      </c>
      <c r="N321" s="141">
        <f>IF(offer_sale_type="транзит",IFERROR(ROUNDUP(VLOOKUP($B321,calc_data,N$14+1,0),2),0),0)</f>
        <v/>
      </c>
      <c r="O321" s="147">
        <f>IF(offer_sale_type="транзит",IFERROR(ROUND(VLOOKUP($B321,calc_data,O$14+1,1),2),0),0)</f>
        <v/>
      </c>
      <c r="P321" s="141">
        <f>IF(offer_sale_type="транзит",IFERROR(ROUND(SUM(I321:J321,M321:O321)/E321,2),0),0)</f>
        <v/>
      </c>
      <c r="Q321" s="141">
        <f>E321*P321</f>
        <v/>
      </c>
      <c r="R321" s="141">
        <f>ROUND(Q321*IF(AND(offer_incoterms="DDP",seller_region="RU"),IF((TODAY()+offer_turnaround_time)&gt;=helpsheet!$L$17,rate_vatRU_from_26,rate_vatRu_till_25),0),2)</f>
        <v/>
      </c>
      <c r="S321" s="177">
        <f>Q321+IF(AND(offer_incoterms="DDP",seller_region="RU"),R321,0)</f>
        <v/>
      </c>
      <c r="T321" s="45" t="n"/>
      <c r="V321" s="57">
        <f>IF(Q321&gt;0,"показать","скрыть")</f>
        <v/>
      </c>
    </row>
    <row r="322" ht="15.75" customHeight="1">
      <c r="B322" s="809" t="n">
        <v>306</v>
      </c>
      <c r="C322" s="182">
        <f>IF(offer_sale_type="транзит",IFERROR(VLOOKUP($B322,calc_data,C$14+1,0),0),0)</f>
        <v/>
      </c>
      <c r="D322" s="280">
        <f>IF(offer_sale_type="транзит",IFERROR(VLOOKUP($B322,calc_data,D$14+1,0),0),0)</f>
        <v/>
      </c>
      <c r="E322" s="182">
        <f>IF(offer_sale_type="транзит",IFERROR(VLOOKUP($B322,calc_data,E$14+1,0),0),0)</f>
        <v/>
      </c>
      <c r="F322" s="182">
        <f>IF(offer_sale_type="транзит",IFERROR(VLOOKUP($B322,calc_data,F$14+1,0),0),0)</f>
        <v/>
      </c>
      <c r="G322" s="141">
        <f>IF(offer_sale_type="транзит",IFERROR(VLOOKUP($B322,calc_data,G$14+1,0),0),0)</f>
        <v/>
      </c>
      <c r="H322" s="141">
        <f>E322*G322</f>
        <v/>
      </c>
      <c r="I322" s="141">
        <f>IF(offer_sale_type="транзит",IFERROR(ROUND(VLOOKUP($B322,calc_data,I$14+1,0),2),0),0)</f>
        <v/>
      </c>
      <c r="J322" s="141">
        <f>ROUND(IF(offer_sale_type="транзит",IFERROR(VLOOKUP($B322,calc_data,J$14+1,0),0),0),2)</f>
        <v/>
      </c>
      <c r="K322" s="142">
        <f>IF(offer_sale_type="транзит",IFERROR(ROUNDUP(VLOOKUP($B322,calc_data,K$14+1,0),2),0),0)</f>
        <v/>
      </c>
      <c r="L322" s="184">
        <f>IF(offer_sale_type="транзит",IFERROR(ROUNDUP(VLOOKUP($B322,calc_data,L$14+1,0),2),0),0)</f>
        <v/>
      </c>
      <c r="M322" s="141">
        <f>IF(offer_sale_type="транзит",IFERROR(ROUNDUP(VLOOKUP($B322,calc_data,M$14+1,0),2),0),0)</f>
        <v/>
      </c>
      <c r="N322" s="141">
        <f>IF(offer_sale_type="транзит",IFERROR(ROUNDUP(VLOOKUP($B322,calc_data,N$14+1,0),2),0),0)</f>
        <v/>
      </c>
      <c r="O322" s="147">
        <f>IF(offer_sale_type="транзит",IFERROR(ROUND(VLOOKUP($B322,calc_data,O$14+1,1),2),0),0)</f>
        <v/>
      </c>
      <c r="P322" s="141">
        <f>IF(offer_sale_type="транзит",IFERROR(ROUND(SUM(I322:J322,M322:O322)/E322,2),0),0)</f>
        <v/>
      </c>
      <c r="Q322" s="141">
        <f>E322*P322</f>
        <v/>
      </c>
      <c r="R322" s="141">
        <f>ROUND(Q322*IF(AND(offer_incoterms="DDP",seller_region="RU"),IF((TODAY()+offer_turnaround_time)&gt;=helpsheet!$L$17,rate_vatRU_from_26,rate_vatRu_till_25),0),2)</f>
        <v/>
      </c>
      <c r="S322" s="177">
        <f>Q322+IF(AND(offer_incoterms="DDP",seller_region="RU"),R322,0)</f>
        <v/>
      </c>
      <c r="T322" s="45" t="n"/>
      <c r="V322" s="57">
        <f>IF(Q322&gt;0,"показать","скрыть")</f>
        <v/>
      </c>
    </row>
    <row r="323" ht="15.75" customHeight="1">
      <c r="B323" s="809" t="n">
        <v>307</v>
      </c>
      <c r="C323" s="182">
        <f>IF(offer_sale_type="транзит",IFERROR(VLOOKUP($B323,calc_data,C$14+1,0),0),0)</f>
        <v/>
      </c>
      <c r="D323" s="280">
        <f>IF(offer_sale_type="транзит",IFERROR(VLOOKUP($B323,calc_data,D$14+1,0),0),0)</f>
        <v/>
      </c>
      <c r="E323" s="182">
        <f>IF(offer_sale_type="транзит",IFERROR(VLOOKUP($B323,calc_data,E$14+1,0),0),0)</f>
        <v/>
      </c>
      <c r="F323" s="182">
        <f>IF(offer_sale_type="транзит",IFERROR(VLOOKUP($B323,calc_data,F$14+1,0),0),0)</f>
        <v/>
      </c>
      <c r="G323" s="141">
        <f>IF(offer_sale_type="транзит",IFERROR(VLOOKUP($B323,calc_data,G$14+1,0),0),0)</f>
        <v/>
      </c>
      <c r="H323" s="141">
        <f>E323*G323</f>
        <v/>
      </c>
      <c r="I323" s="141">
        <f>IF(offer_sale_type="транзит",IFERROR(ROUND(VLOOKUP($B323,calc_data,I$14+1,0),2),0),0)</f>
        <v/>
      </c>
      <c r="J323" s="141">
        <f>ROUND(IF(offer_sale_type="транзит",IFERROR(VLOOKUP($B323,calc_data,J$14+1,0),0),0),2)</f>
        <v/>
      </c>
      <c r="K323" s="142">
        <f>IF(offer_sale_type="транзит",IFERROR(ROUNDUP(VLOOKUP($B323,calc_data,K$14+1,0),2),0),0)</f>
        <v/>
      </c>
      <c r="L323" s="184">
        <f>IF(offer_sale_type="транзит",IFERROR(ROUNDUP(VLOOKUP($B323,calc_data,L$14+1,0),2),0),0)</f>
        <v/>
      </c>
      <c r="M323" s="141">
        <f>IF(offer_sale_type="транзит",IFERROR(ROUNDUP(VLOOKUP($B323,calc_data,M$14+1,0),2),0),0)</f>
        <v/>
      </c>
      <c r="N323" s="141">
        <f>IF(offer_sale_type="транзит",IFERROR(ROUNDUP(VLOOKUP($B323,calc_data,N$14+1,0),2),0),0)</f>
        <v/>
      </c>
      <c r="O323" s="147">
        <f>IF(offer_sale_type="транзит",IFERROR(ROUND(VLOOKUP($B323,calc_data,O$14+1,1),2),0),0)</f>
        <v/>
      </c>
      <c r="P323" s="141">
        <f>IF(offer_sale_type="транзит",IFERROR(ROUND(SUM(I323:J323,M323:O323)/E323,2),0),0)</f>
        <v/>
      </c>
      <c r="Q323" s="141">
        <f>E323*P323</f>
        <v/>
      </c>
      <c r="R323" s="141">
        <f>ROUND(Q323*IF(AND(offer_incoterms="DDP",seller_region="RU"),IF((TODAY()+offer_turnaround_time)&gt;=helpsheet!$L$17,rate_vatRU_from_26,rate_vatRu_till_25),0),2)</f>
        <v/>
      </c>
      <c r="S323" s="177">
        <f>Q323+IF(AND(offer_incoterms="DDP",seller_region="RU"),R323,0)</f>
        <v/>
      </c>
      <c r="T323" s="45" t="n"/>
      <c r="V323" s="57">
        <f>IF(Q323&gt;0,"показать","скрыть")</f>
        <v/>
      </c>
    </row>
    <row r="324" ht="15.75" customHeight="1">
      <c r="B324" s="809" t="n">
        <v>308</v>
      </c>
      <c r="C324" s="182">
        <f>IF(offer_sale_type="транзит",IFERROR(VLOOKUP($B324,calc_data,C$14+1,0),0),0)</f>
        <v/>
      </c>
      <c r="D324" s="280">
        <f>IF(offer_sale_type="транзит",IFERROR(VLOOKUP($B324,calc_data,D$14+1,0),0),0)</f>
        <v/>
      </c>
      <c r="E324" s="182">
        <f>IF(offer_sale_type="транзит",IFERROR(VLOOKUP($B324,calc_data,E$14+1,0),0),0)</f>
        <v/>
      </c>
      <c r="F324" s="182">
        <f>IF(offer_sale_type="транзит",IFERROR(VLOOKUP($B324,calc_data,F$14+1,0),0),0)</f>
        <v/>
      </c>
      <c r="G324" s="141">
        <f>IF(offer_sale_type="транзит",IFERROR(VLOOKUP($B324,calc_data,G$14+1,0),0),0)</f>
        <v/>
      </c>
      <c r="H324" s="141">
        <f>E324*G324</f>
        <v/>
      </c>
      <c r="I324" s="141">
        <f>IF(offer_sale_type="транзит",IFERROR(ROUND(VLOOKUP($B324,calc_data,I$14+1,0),2),0),0)</f>
        <v/>
      </c>
      <c r="J324" s="141">
        <f>ROUND(IF(offer_sale_type="транзит",IFERROR(VLOOKUP($B324,calc_data,J$14+1,0),0),0),2)</f>
        <v/>
      </c>
      <c r="K324" s="142">
        <f>IF(offer_sale_type="транзит",IFERROR(ROUNDUP(VLOOKUP($B324,calc_data,K$14+1,0),2),0),0)</f>
        <v/>
      </c>
      <c r="L324" s="184">
        <f>IF(offer_sale_type="транзит",IFERROR(ROUNDUP(VLOOKUP($B324,calc_data,L$14+1,0),2),0),0)</f>
        <v/>
      </c>
      <c r="M324" s="141">
        <f>IF(offer_sale_type="транзит",IFERROR(ROUNDUP(VLOOKUP($B324,calc_data,M$14+1,0),2),0),0)</f>
        <v/>
      </c>
      <c r="N324" s="141">
        <f>IF(offer_sale_type="транзит",IFERROR(ROUNDUP(VLOOKUP($B324,calc_data,N$14+1,0),2),0),0)</f>
        <v/>
      </c>
      <c r="O324" s="147">
        <f>IF(offer_sale_type="транзит",IFERROR(ROUND(VLOOKUP($B324,calc_data,O$14+1,1),2),0),0)</f>
        <v/>
      </c>
      <c r="P324" s="141">
        <f>IF(offer_sale_type="транзит",IFERROR(ROUND(SUM(I324:J324,M324:O324)/E324,2),0),0)</f>
        <v/>
      </c>
      <c r="Q324" s="141">
        <f>E324*P324</f>
        <v/>
      </c>
      <c r="R324" s="141">
        <f>ROUND(Q324*IF(AND(offer_incoterms="DDP",seller_region="RU"),IF((TODAY()+offer_turnaround_time)&gt;=helpsheet!$L$17,rate_vatRU_from_26,rate_vatRu_till_25),0),2)</f>
        <v/>
      </c>
      <c r="S324" s="177">
        <f>Q324+IF(AND(offer_incoterms="DDP",seller_region="RU"),R324,0)</f>
        <v/>
      </c>
      <c r="T324" s="45" t="n"/>
      <c r="V324" s="57">
        <f>IF(Q324&gt;0,"показать","скрыть")</f>
        <v/>
      </c>
    </row>
    <row r="325" ht="15.75" customHeight="1">
      <c r="B325" s="809" t="n">
        <v>309</v>
      </c>
      <c r="C325" s="182">
        <f>IF(offer_sale_type="транзит",IFERROR(VLOOKUP($B325,calc_data,C$14+1,0),0),0)</f>
        <v/>
      </c>
      <c r="D325" s="280">
        <f>IF(offer_sale_type="транзит",IFERROR(VLOOKUP($B325,calc_data,D$14+1,0),0),0)</f>
        <v/>
      </c>
      <c r="E325" s="182">
        <f>IF(offer_sale_type="транзит",IFERROR(VLOOKUP($B325,calc_data,E$14+1,0),0),0)</f>
        <v/>
      </c>
      <c r="F325" s="182">
        <f>IF(offer_sale_type="транзит",IFERROR(VLOOKUP($B325,calc_data,F$14+1,0),0),0)</f>
        <v/>
      </c>
      <c r="G325" s="141">
        <f>IF(offer_sale_type="транзит",IFERROR(VLOOKUP($B325,calc_data,G$14+1,0),0),0)</f>
        <v/>
      </c>
      <c r="H325" s="141">
        <f>E325*G325</f>
        <v/>
      </c>
      <c r="I325" s="141">
        <f>IF(offer_sale_type="транзит",IFERROR(ROUND(VLOOKUP($B325,calc_data,I$14+1,0),2),0),0)</f>
        <v/>
      </c>
      <c r="J325" s="141">
        <f>ROUND(IF(offer_sale_type="транзит",IFERROR(VLOOKUP($B325,calc_data,J$14+1,0),0),0),2)</f>
        <v/>
      </c>
      <c r="K325" s="142">
        <f>IF(offer_sale_type="транзит",IFERROR(ROUNDUP(VLOOKUP($B325,calc_data,K$14+1,0),2),0),0)</f>
        <v/>
      </c>
      <c r="L325" s="184">
        <f>IF(offer_sale_type="транзит",IFERROR(ROUNDUP(VLOOKUP($B325,calc_data,L$14+1,0),2),0),0)</f>
        <v/>
      </c>
      <c r="M325" s="141">
        <f>IF(offer_sale_type="транзит",IFERROR(ROUNDUP(VLOOKUP($B325,calc_data,M$14+1,0),2),0),0)</f>
        <v/>
      </c>
      <c r="N325" s="141">
        <f>IF(offer_sale_type="транзит",IFERROR(ROUNDUP(VLOOKUP($B325,calc_data,N$14+1,0),2),0),0)</f>
        <v/>
      </c>
      <c r="O325" s="147">
        <f>IF(offer_sale_type="транзит",IFERROR(ROUND(VLOOKUP($B325,calc_data,O$14+1,1),2),0),0)</f>
        <v/>
      </c>
      <c r="P325" s="141">
        <f>IF(offer_sale_type="транзит",IFERROR(ROUND(SUM(I325:J325,M325:O325)/E325,2),0),0)</f>
        <v/>
      </c>
      <c r="Q325" s="141">
        <f>E325*P325</f>
        <v/>
      </c>
      <c r="R325" s="141">
        <f>ROUND(Q325*IF(AND(offer_incoterms="DDP",seller_region="RU"),IF((TODAY()+offer_turnaround_time)&gt;=helpsheet!$L$17,rate_vatRU_from_26,rate_vatRu_till_25),0),2)</f>
        <v/>
      </c>
      <c r="S325" s="177">
        <f>Q325+IF(AND(offer_incoterms="DDP",seller_region="RU"),R325,0)</f>
        <v/>
      </c>
      <c r="T325" s="45" t="n"/>
      <c r="V325" s="57">
        <f>IF(Q325&gt;0,"показать","скрыть")</f>
        <v/>
      </c>
    </row>
    <row r="326" ht="15.75" customHeight="1">
      <c r="B326" s="809" t="n">
        <v>310</v>
      </c>
      <c r="C326" s="182">
        <f>IF(offer_sale_type="транзит",IFERROR(VLOOKUP($B326,calc_data,C$14+1,0),0),0)</f>
        <v/>
      </c>
      <c r="D326" s="280">
        <f>IF(offer_sale_type="транзит",IFERROR(VLOOKUP($B326,calc_data,D$14+1,0),0),0)</f>
        <v/>
      </c>
      <c r="E326" s="182">
        <f>IF(offer_sale_type="транзит",IFERROR(VLOOKUP($B326,calc_data,E$14+1,0),0),0)</f>
        <v/>
      </c>
      <c r="F326" s="182">
        <f>IF(offer_sale_type="транзит",IFERROR(VLOOKUP($B326,calc_data,F$14+1,0),0),0)</f>
        <v/>
      </c>
      <c r="G326" s="141">
        <f>IF(offer_sale_type="транзит",IFERROR(VLOOKUP($B326,calc_data,G$14+1,0),0),0)</f>
        <v/>
      </c>
      <c r="H326" s="141">
        <f>E326*G326</f>
        <v/>
      </c>
      <c r="I326" s="141">
        <f>IF(offer_sale_type="транзит",IFERROR(ROUND(VLOOKUP($B326,calc_data,I$14+1,0),2),0),0)</f>
        <v/>
      </c>
      <c r="J326" s="141">
        <f>ROUND(IF(offer_sale_type="транзит",IFERROR(VLOOKUP($B326,calc_data,J$14+1,0),0),0),2)</f>
        <v/>
      </c>
      <c r="K326" s="142">
        <f>IF(offer_sale_type="транзит",IFERROR(ROUNDUP(VLOOKUP($B326,calc_data,K$14+1,0),2),0),0)</f>
        <v/>
      </c>
      <c r="L326" s="184">
        <f>IF(offer_sale_type="транзит",IFERROR(ROUNDUP(VLOOKUP($B326,calc_data,L$14+1,0),2),0),0)</f>
        <v/>
      </c>
      <c r="M326" s="141">
        <f>IF(offer_sale_type="транзит",IFERROR(ROUNDUP(VLOOKUP($B326,calc_data,M$14+1,0),2),0),0)</f>
        <v/>
      </c>
      <c r="N326" s="141">
        <f>IF(offer_sale_type="транзит",IFERROR(ROUNDUP(VLOOKUP($B326,calc_data,N$14+1,0),2),0),0)</f>
        <v/>
      </c>
      <c r="O326" s="147">
        <f>IF(offer_sale_type="транзит",IFERROR(ROUND(VLOOKUP($B326,calc_data,O$14+1,1),2),0),0)</f>
        <v/>
      </c>
      <c r="P326" s="141">
        <f>IF(offer_sale_type="транзит",IFERROR(ROUND(SUM(I326:J326,M326:O326)/E326,2),0),0)</f>
        <v/>
      </c>
      <c r="Q326" s="141">
        <f>E326*P326</f>
        <v/>
      </c>
      <c r="R326" s="141">
        <f>ROUND(Q326*IF(AND(offer_incoterms="DDP",seller_region="RU"),IF((TODAY()+offer_turnaround_time)&gt;=helpsheet!$L$17,rate_vatRU_from_26,rate_vatRu_till_25),0),2)</f>
        <v/>
      </c>
      <c r="S326" s="177">
        <f>Q326+IF(AND(offer_incoterms="DDP",seller_region="RU"),R326,0)</f>
        <v/>
      </c>
      <c r="T326" s="45" t="n"/>
      <c r="V326" s="57">
        <f>IF(Q326&gt;0,"показать","скрыть")</f>
        <v/>
      </c>
    </row>
    <row r="327" ht="15.75" customHeight="1">
      <c r="B327" s="809" t="n">
        <v>311</v>
      </c>
      <c r="C327" s="182">
        <f>IF(offer_sale_type="транзит",IFERROR(VLOOKUP($B327,calc_data,C$14+1,0),0),0)</f>
        <v/>
      </c>
      <c r="D327" s="280">
        <f>IF(offer_sale_type="транзит",IFERROR(VLOOKUP($B327,calc_data,D$14+1,0),0),0)</f>
        <v/>
      </c>
      <c r="E327" s="182">
        <f>IF(offer_sale_type="транзит",IFERROR(VLOOKUP($B327,calc_data,E$14+1,0),0),0)</f>
        <v/>
      </c>
      <c r="F327" s="182">
        <f>IF(offer_sale_type="транзит",IFERROR(VLOOKUP($B327,calc_data,F$14+1,0),0),0)</f>
        <v/>
      </c>
      <c r="G327" s="141">
        <f>IF(offer_sale_type="транзит",IFERROR(VLOOKUP($B327,calc_data,G$14+1,0),0),0)</f>
        <v/>
      </c>
      <c r="H327" s="141">
        <f>E327*G327</f>
        <v/>
      </c>
      <c r="I327" s="141">
        <f>IF(offer_sale_type="транзит",IFERROR(ROUND(VLOOKUP($B327,calc_data,I$14+1,0),2),0),0)</f>
        <v/>
      </c>
      <c r="J327" s="141">
        <f>ROUND(IF(offer_sale_type="транзит",IFERROR(VLOOKUP($B327,calc_data,J$14+1,0),0),0),2)</f>
        <v/>
      </c>
      <c r="K327" s="142">
        <f>IF(offer_sale_type="транзит",IFERROR(ROUNDUP(VLOOKUP($B327,calc_data,K$14+1,0),2),0),0)</f>
        <v/>
      </c>
      <c r="L327" s="184">
        <f>IF(offer_sale_type="транзит",IFERROR(ROUNDUP(VLOOKUP($B327,calc_data,L$14+1,0),2),0),0)</f>
        <v/>
      </c>
      <c r="M327" s="141">
        <f>IF(offer_sale_type="транзит",IFERROR(ROUNDUP(VLOOKUP($B327,calc_data,M$14+1,0),2),0),0)</f>
        <v/>
      </c>
      <c r="N327" s="141">
        <f>IF(offer_sale_type="транзит",IFERROR(ROUNDUP(VLOOKUP($B327,calc_data,N$14+1,0),2),0),0)</f>
        <v/>
      </c>
      <c r="O327" s="147">
        <f>IF(offer_sale_type="транзит",IFERROR(ROUND(VLOOKUP($B327,calc_data,O$14+1,1),2),0),0)</f>
        <v/>
      </c>
      <c r="P327" s="141">
        <f>IF(offer_sale_type="транзит",IFERROR(ROUND(SUM(I327:J327,M327:O327)/E327,2),0),0)</f>
        <v/>
      </c>
      <c r="Q327" s="141">
        <f>E327*P327</f>
        <v/>
      </c>
      <c r="R327" s="141">
        <f>ROUND(Q327*IF(AND(offer_incoterms="DDP",seller_region="RU"),IF((TODAY()+offer_turnaround_time)&gt;=helpsheet!$L$17,rate_vatRU_from_26,rate_vatRu_till_25),0),2)</f>
        <v/>
      </c>
      <c r="S327" s="177">
        <f>Q327+IF(AND(offer_incoterms="DDP",seller_region="RU"),R327,0)</f>
        <v/>
      </c>
      <c r="T327" s="45" t="n"/>
      <c r="V327" s="57">
        <f>IF(Q327&gt;0,"показать","скрыть")</f>
        <v/>
      </c>
    </row>
    <row r="328" ht="15.75" customHeight="1">
      <c r="B328" s="809" t="n">
        <v>312</v>
      </c>
      <c r="C328" s="182">
        <f>IF(offer_sale_type="транзит",IFERROR(VLOOKUP($B328,calc_data,C$14+1,0),0),0)</f>
        <v/>
      </c>
      <c r="D328" s="280">
        <f>IF(offer_sale_type="транзит",IFERROR(VLOOKUP($B328,calc_data,D$14+1,0),0),0)</f>
        <v/>
      </c>
      <c r="E328" s="182">
        <f>IF(offer_sale_type="транзит",IFERROR(VLOOKUP($B328,calc_data,E$14+1,0),0),0)</f>
        <v/>
      </c>
      <c r="F328" s="182">
        <f>IF(offer_sale_type="транзит",IFERROR(VLOOKUP($B328,calc_data,F$14+1,0),0),0)</f>
        <v/>
      </c>
      <c r="G328" s="141">
        <f>IF(offer_sale_type="транзит",IFERROR(VLOOKUP($B328,calc_data,G$14+1,0),0),0)</f>
        <v/>
      </c>
      <c r="H328" s="141">
        <f>E328*G328</f>
        <v/>
      </c>
      <c r="I328" s="141">
        <f>IF(offer_sale_type="транзит",IFERROR(ROUND(VLOOKUP($B328,calc_data,I$14+1,0),2),0),0)</f>
        <v/>
      </c>
      <c r="J328" s="141">
        <f>ROUND(IF(offer_sale_type="транзит",IFERROR(VLOOKUP($B328,calc_data,J$14+1,0),0),0),2)</f>
        <v/>
      </c>
      <c r="K328" s="142">
        <f>IF(offer_sale_type="транзит",IFERROR(ROUNDUP(VLOOKUP($B328,calc_data,K$14+1,0),2),0),0)</f>
        <v/>
      </c>
      <c r="L328" s="184">
        <f>IF(offer_sale_type="транзит",IFERROR(ROUNDUP(VLOOKUP($B328,calc_data,L$14+1,0),2),0),0)</f>
        <v/>
      </c>
      <c r="M328" s="141">
        <f>IF(offer_sale_type="транзит",IFERROR(ROUNDUP(VLOOKUP($B328,calc_data,M$14+1,0),2),0),0)</f>
        <v/>
      </c>
      <c r="N328" s="141">
        <f>IF(offer_sale_type="транзит",IFERROR(ROUNDUP(VLOOKUP($B328,calc_data,N$14+1,0),2),0),0)</f>
        <v/>
      </c>
      <c r="O328" s="147">
        <f>IF(offer_sale_type="транзит",IFERROR(ROUND(VLOOKUP($B328,calc_data,O$14+1,1),2),0),0)</f>
        <v/>
      </c>
      <c r="P328" s="141">
        <f>IF(offer_sale_type="транзит",IFERROR(ROUND(SUM(I328:J328,M328:O328)/E328,2),0),0)</f>
        <v/>
      </c>
      <c r="Q328" s="141">
        <f>E328*P328</f>
        <v/>
      </c>
      <c r="R328" s="141">
        <f>ROUND(Q328*IF(AND(offer_incoterms="DDP",seller_region="RU"),IF((TODAY()+offer_turnaround_time)&gt;=helpsheet!$L$17,rate_vatRU_from_26,rate_vatRu_till_25),0),2)</f>
        <v/>
      </c>
      <c r="S328" s="177">
        <f>Q328+IF(AND(offer_incoterms="DDP",seller_region="RU"),R328,0)</f>
        <v/>
      </c>
      <c r="T328" s="45" t="n"/>
      <c r="V328" s="57">
        <f>IF(Q328&gt;0,"показать","скрыть")</f>
        <v/>
      </c>
    </row>
    <row r="329" ht="15.75" customHeight="1">
      <c r="B329" s="809" t="n">
        <v>313</v>
      </c>
      <c r="C329" s="182">
        <f>IF(offer_sale_type="транзит",IFERROR(VLOOKUP($B329,calc_data,C$14+1,0),0),0)</f>
        <v/>
      </c>
      <c r="D329" s="280">
        <f>IF(offer_sale_type="транзит",IFERROR(VLOOKUP($B329,calc_data,D$14+1,0),0),0)</f>
        <v/>
      </c>
      <c r="E329" s="182">
        <f>IF(offer_sale_type="транзит",IFERROR(VLOOKUP($B329,calc_data,E$14+1,0),0),0)</f>
        <v/>
      </c>
      <c r="F329" s="182">
        <f>IF(offer_sale_type="транзит",IFERROR(VLOOKUP($B329,calc_data,F$14+1,0),0),0)</f>
        <v/>
      </c>
      <c r="G329" s="141">
        <f>IF(offer_sale_type="транзит",IFERROR(VLOOKUP($B329,calc_data,G$14+1,0),0),0)</f>
        <v/>
      </c>
      <c r="H329" s="141">
        <f>E329*G329</f>
        <v/>
      </c>
      <c r="I329" s="141">
        <f>IF(offer_sale_type="транзит",IFERROR(ROUND(VLOOKUP($B329,calc_data,I$14+1,0),2),0),0)</f>
        <v/>
      </c>
      <c r="J329" s="141">
        <f>ROUND(IF(offer_sale_type="транзит",IFERROR(VLOOKUP($B329,calc_data,J$14+1,0),0),0),2)</f>
        <v/>
      </c>
      <c r="K329" s="142">
        <f>IF(offer_sale_type="транзит",IFERROR(ROUNDUP(VLOOKUP($B329,calc_data,K$14+1,0),2),0),0)</f>
        <v/>
      </c>
      <c r="L329" s="184">
        <f>IF(offer_sale_type="транзит",IFERROR(ROUNDUP(VLOOKUP($B329,calc_data,L$14+1,0),2),0),0)</f>
        <v/>
      </c>
      <c r="M329" s="141">
        <f>IF(offer_sale_type="транзит",IFERROR(ROUNDUP(VLOOKUP($B329,calc_data,M$14+1,0),2),0),0)</f>
        <v/>
      </c>
      <c r="N329" s="141">
        <f>IF(offer_sale_type="транзит",IFERROR(ROUNDUP(VLOOKUP($B329,calc_data,N$14+1,0),2),0),0)</f>
        <v/>
      </c>
      <c r="O329" s="147">
        <f>IF(offer_sale_type="транзит",IFERROR(ROUND(VLOOKUP($B329,calc_data,O$14+1,1),2),0),0)</f>
        <v/>
      </c>
      <c r="P329" s="141">
        <f>IF(offer_sale_type="транзит",IFERROR(ROUND(SUM(I329:J329,M329:O329)/E329,2),0),0)</f>
        <v/>
      </c>
      <c r="Q329" s="141">
        <f>E329*P329</f>
        <v/>
      </c>
      <c r="R329" s="141">
        <f>ROUND(Q329*IF(AND(offer_incoterms="DDP",seller_region="RU"),IF((TODAY()+offer_turnaround_time)&gt;=helpsheet!$L$17,rate_vatRU_from_26,rate_vatRu_till_25),0),2)</f>
        <v/>
      </c>
      <c r="S329" s="177">
        <f>Q329+IF(AND(offer_incoterms="DDP",seller_region="RU"),R329,0)</f>
        <v/>
      </c>
      <c r="T329" s="45" t="n"/>
      <c r="V329" s="57">
        <f>IF(Q329&gt;0,"показать","скрыть")</f>
        <v/>
      </c>
    </row>
    <row r="330" ht="15.75" customHeight="1">
      <c r="B330" s="809" t="n">
        <v>314</v>
      </c>
      <c r="C330" s="182">
        <f>IF(offer_sale_type="транзит",IFERROR(VLOOKUP($B330,calc_data,C$14+1,0),0),0)</f>
        <v/>
      </c>
      <c r="D330" s="280">
        <f>IF(offer_sale_type="транзит",IFERROR(VLOOKUP($B330,calc_data,D$14+1,0),0),0)</f>
        <v/>
      </c>
      <c r="E330" s="182">
        <f>IF(offer_sale_type="транзит",IFERROR(VLOOKUP($B330,calc_data,E$14+1,0),0),0)</f>
        <v/>
      </c>
      <c r="F330" s="182">
        <f>IF(offer_sale_type="транзит",IFERROR(VLOOKUP($B330,calc_data,F$14+1,0),0),0)</f>
        <v/>
      </c>
      <c r="G330" s="141">
        <f>IF(offer_sale_type="транзит",IFERROR(VLOOKUP($B330,calc_data,G$14+1,0),0),0)</f>
        <v/>
      </c>
      <c r="H330" s="141">
        <f>E330*G330</f>
        <v/>
      </c>
      <c r="I330" s="141">
        <f>IF(offer_sale_type="транзит",IFERROR(ROUND(VLOOKUP($B330,calc_data,I$14+1,0),2),0),0)</f>
        <v/>
      </c>
      <c r="J330" s="141">
        <f>ROUND(IF(offer_sale_type="транзит",IFERROR(VLOOKUP($B330,calc_data,J$14+1,0),0),0),2)</f>
        <v/>
      </c>
      <c r="K330" s="142">
        <f>IF(offer_sale_type="транзит",IFERROR(ROUNDUP(VLOOKUP($B330,calc_data,K$14+1,0),2),0),0)</f>
        <v/>
      </c>
      <c r="L330" s="184">
        <f>IF(offer_sale_type="транзит",IFERROR(ROUNDUP(VLOOKUP($B330,calc_data,L$14+1,0),2),0),0)</f>
        <v/>
      </c>
      <c r="M330" s="141">
        <f>IF(offer_sale_type="транзит",IFERROR(ROUNDUP(VLOOKUP($B330,calc_data,M$14+1,0),2),0),0)</f>
        <v/>
      </c>
      <c r="N330" s="141">
        <f>IF(offer_sale_type="транзит",IFERROR(ROUNDUP(VLOOKUP($B330,calc_data,N$14+1,0),2),0),0)</f>
        <v/>
      </c>
      <c r="O330" s="147">
        <f>IF(offer_sale_type="транзит",IFERROR(ROUND(VLOOKUP($B330,calc_data,O$14+1,1),2),0),0)</f>
        <v/>
      </c>
      <c r="P330" s="141">
        <f>IF(offer_sale_type="транзит",IFERROR(ROUND(SUM(I330:J330,M330:O330)/E330,2),0),0)</f>
        <v/>
      </c>
      <c r="Q330" s="141">
        <f>E330*P330</f>
        <v/>
      </c>
      <c r="R330" s="141">
        <f>ROUND(Q330*IF(AND(offer_incoterms="DDP",seller_region="RU"),IF((TODAY()+offer_turnaround_time)&gt;=helpsheet!$L$17,rate_vatRU_from_26,rate_vatRu_till_25),0),2)</f>
        <v/>
      </c>
      <c r="S330" s="177">
        <f>Q330+IF(AND(offer_incoterms="DDP",seller_region="RU"),R330,0)</f>
        <v/>
      </c>
      <c r="T330" s="45" t="n"/>
      <c r="V330" s="57">
        <f>IF(Q330&gt;0,"показать","скрыть")</f>
        <v/>
      </c>
    </row>
    <row r="331" ht="15.75" customHeight="1">
      <c r="B331" s="809" t="n">
        <v>315</v>
      </c>
      <c r="C331" s="182">
        <f>IF(offer_sale_type="транзит",IFERROR(VLOOKUP($B331,calc_data,C$14+1,0),0),0)</f>
        <v/>
      </c>
      <c r="D331" s="280">
        <f>IF(offer_sale_type="транзит",IFERROR(VLOOKUP($B331,calc_data,D$14+1,0),0),0)</f>
        <v/>
      </c>
      <c r="E331" s="182">
        <f>IF(offer_sale_type="транзит",IFERROR(VLOOKUP($B331,calc_data,E$14+1,0),0),0)</f>
        <v/>
      </c>
      <c r="F331" s="182">
        <f>IF(offer_sale_type="транзит",IFERROR(VLOOKUP($B331,calc_data,F$14+1,0),0),0)</f>
        <v/>
      </c>
      <c r="G331" s="141">
        <f>IF(offer_sale_type="транзит",IFERROR(VLOOKUP($B331,calc_data,G$14+1,0),0),0)</f>
        <v/>
      </c>
      <c r="H331" s="141">
        <f>E331*G331</f>
        <v/>
      </c>
      <c r="I331" s="141">
        <f>IF(offer_sale_type="транзит",IFERROR(ROUND(VLOOKUP($B331,calc_data,I$14+1,0),2),0),0)</f>
        <v/>
      </c>
      <c r="J331" s="141">
        <f>ROUND(IF(offer_sale_type="транзит",IFERROR(VLOOKUP($B331,calc_data,J$14+1,0),0),0),2)</f>
        <v/>
      </c>
      <c r="K331" s="142">
        <f>IF(offer_sale_type="транзит",IFERROR(ROUNDUP(VLOOKUP($B331,calc_data,K$14+1,0),2),0),0)</f>
        <v/>
      </c>
      <c r="L331" s="184">
        <f>IF(offer_sale_type="транзит",IFERROR(ROUNDUP(VLOOKUP($B331,calc_data,L$14+1,0),2),0),0)</f>
        <v/>
      </c>
      <c r="M331" s="141">
        <f>IF(offer_sale_type="транзит",IFERROR(ROUNDUP(VLOOKUP($B331,calc_data,M$14+1,0),2),0),0)</f>
        <v/>
      </c>
      <c r="N331" s="141">
        <f>IF(offer_sale_type="транзит",IFERROR(ROUNDUP(VLOOKUP($B331,calc_data,N$14+1,0),2),0),0)</f>
        <v/>
      </c>
      <c r="O331" s="147">
        <f>IF(offer_sale_type="транзит",IFERROR(ROUND(VLOOKUP($B331,calc_data,O$14+1,1),2),0),0)</f>
        <v/>
      </c>
      <c r="P331" s="141">
        <f>IF(offer_sale_type="транзит",IFERROR(ROUND(SUM(I331:J331,M331:O331)/E331,2),0),0)</f>
        <v/>
      </c>
      <c r="Q331" s="141">
        <f>E331*P331</f>
        <v/>
      </c>
      <c r="R331" s="141">
        <f>ROUND(Q331*IF(AND(offer_incoterms="DDP",seller_region="RU"),IF((TODAY()+offer_turnaround_time)&gt;=helpsheet!$L$17,rate_vatRU_from_26,rate_vatRu_till_25),0),2)</f>
        <v/>
      </c>
      <c r="S331" s="177">
        <f>Q331+IF(AND(offer_incoterms="DDP",seller_region="RU"),R331,0)</f>
        <v/>
      </c>
      <c r="T331" s="45" t="n"/>
      <c r="V331" s="57">
        <f>IF(Q331&gt;0,"показать","скрыть")</f>
        <v/>
      </c>
    </row>
    <row r="332" ht="15.75" customHeight="1">
      <c r="B332" s="809" t="n">
        <v>316</v>
      </c>
      <c r="C332" s="182">
        <f>IF(offer_sale_type="транзит",IFERROR(VLOOKUP($B332,calc_data,C$14+1,0),0),0)</f>
        <v/>
      </c>
      <c r="D332" s="280">
        <f>IF(offer_sale_type="транзит",IFERROR(VLOOKUP($B332,calc_data,D$14+1,0),0),0)</f>
        <v/>
      </c>
      <c r="E332" s="182">
        <f>IF(offer_sale_type="транзит",IFERROR(VLOOKUP($B332,calc_data,E$14+1,0),0),0)</f>
        <v/>
      </c>
      <c r="F332" s="182">
        <f>IF(offer_sale_type="транзит",IFERROR(VLOOKUP($B332,calc_data,F$14+1,0),0),0)</f>
        <v/>
      </c>
      <c r="G332" s="141">
        <f>IF(offer_sale_type="транзит",IFERROR(VLOOKUP($B332,calc_data,G$14+1,0),0),0)</f>
        <v/>
      </c>
      <c r="H332" s="141">
        <f>E332*G332</f>
        <v/>
      </c>
      <c r="I332" s="141">
        <f>IF(offer_sale_type="транзит",IFERROR(ROUND(VLOOKUP($B332,calc_data,I$14+1,0),2),0),0)</f>
        <v/>
      </c>
      <c r="J332" s="141">
        <f>ROUND(IF(offer_sale_type="транзит",IFERROR(VLOOKUP($B332,calc_data,J$14+1,0),0),0),2)</f>
        <v/>
      </c>
      <c r="K332" s="142">
        <f>IF(offer_sale_type="транзит",IFERROR(ROUNDUP(VLOOKUP($B332,calc_data,K$14+1,0),2),0),0)</f>
        <v/>
      </c>
      <c r="L332" s="184">
        <f>IF(offer_sale_type="транзит",IFERROR(ROUNDUP(VLOOKUP($B332,calc_data,L$14+1,0),2),0),0)</f>
        <v/>
      </c>
      <c r="M332" s="141">
        <f>IF(offer_sale_type="транзит",IFERROR(ROUNDUP(VLOOKUP($B332,calc_data,M$14+1,0),2),0),0)</f>
        <v/>
      </c>
      <c r="N332" s="141">
        <f>IF(offer_sale_type="транзит",IFERROR(ROUNDUP(VLOOKUP($B332,calc_data,N$14+1,0),2),0),0)</f>
        <v/>
      </c>
      <c r="O332" s="147">
        <f>IF(offer_sale_type="транзит",IFERROR(ROUND(VLOOKUP($B332,calc_data,O$14+1,1),2),0),0)</f>
        <v/>
      </c>
      <c r="P332" s="141">
        <f>IF(offer_sale_type="транзит",IFERROR(ROUND(SUM(I332:J332,M332:O332)/E332,2),0),0)</f>
        <v/>
      </c>
      <c r="Q332" s="141">
        <f>E332*P332</f>
        <v/>
      </c>
      <c r="R332" s="141">
        <f>ROUND(Q332*IF(AND(offer_incoterms="DDP",seller_region="RU"),IF((TODAY()+offer_turnaround_time)&gt;=helpsheet!$L$17,rate_vatRU_from_26,rate_vatRu_till_25),0),2)</f>
        <v/>
      </c>
      <c r="S332" s="177">
        <f>Q332+IF(AND(offer_incoterms="DDP",seller_region="RU"),R332,0)</f>
        <v/>
      </c>
      <c r="T332" s="45" t="n"/>
      <c r="V332" s="57">
        <f>IF(Q332&gt;0,"показать","скрыть")</f>
        <v/>
      </c>
    </row>
    <row r="333" ht="15.75" customHeight="1">
      <c r="B333" s="809" t="n">
        <v>317</v>
      </c>
      <c r="C333" s="182">
        <f>IF(offer_sale_type="транзит",IFERROR(VLOOKUP($B333,calc_data,C$14+1,0),0),0)</f>
        <v/>
      </c>
      <c r="D333" s="280">
        <f>IF(offer_sale_type="транзит",IFERROR(VLOOKUP($B333,calc_data,D$14+1,0),0),0)</f>
        <v/>
      </c>
      <c r="E333" s="182">
        <f>IF(offer_sale_type="транзит",IFERROR(VLOOKUP($B333,calc_data,E$14+1,0),0),0)</f>
        <v/>
      </c>
      <c r="F333" s="182">
        <f>IF(offer_sale_type="транзит",IFERROR(VLOOKUP($B333,calc_data,F$14+1,0),0),0)</f>
        <v/>
      </c>
      <c r="G333" s="141">
        <f>IF(offer_sale_type="транзит",IFERROR(VLOOKUP($B333,calc_data,G$14+1,0),0),0)</f>
        <v/>
      </c>
      <c r="H333" s="141">
        <f>E333*G333</f>
        <v/>
      </c>
      <c r="I333" s="141">
        <f>IF(offer_sale_type="транзит",IFERROR(ROUND(VLOOKUP($B333,calc_data,I$14+1,0),2),0),0)</f>
        <v/>
      </c>
      <c r="J333" s="141">
        <f>ROUND(IF(offer_sale_type="транзит",IFERROR(VLOOKUP($B333,calc_data,J$14+1,0),0),0),2)</f>
        <v/>
      </c>
      <c r="K333" s="142">
        <f>IF(offer_sale_type="транзит",IFERROR(ROUNDUP(VLOOKUP($B333,calc_data,K$14+1,0),2),0),0)</f>
        <v/>
      </c>
      <c r="L333" s="184">
        <f>IF(offer_sale_type="транзит",IFERROR(ROUNDUP(VLOOKUP($B333,calc_data,L$14+1,0),2),0),0)</f>
        <v/>
      </c>
      <c r="M333" s="141">
        <f>IF(offer_sale_type="транзит",IFERROR(ROUNDUP(VLOOKUP($B333,calc_data,M$14+1,0),2),0),0)</f>
        <v/>
      </c>
      <c r="N333" s="141">
        <f>IF(offer_sale_type="транзит",IFERROR(ROUNDUP(VLOOKUP($B333,calc_data,N$14+1,0),2),0),0)</f>
        <v/>
      </c>
      <c r="O333" s="147">
        <f>IF(offer_sale_type="транзит",IFERROR(ROUND(VLOOKUP($B333,calc_data,O$14+1,1),2),0),0)</f>
        <v/>
      </c>
      <c r="P333" s="141">
        <f>IF(offer_sale_type="транзит",IFERROR(ROUND(SUM(I333:J333,M333:O333)/E333,2),0),0)</f>
        <v/>
      </c>
      <c r="Q333" s="141">
        <f>E333*P333</f>
        <v/>
      </c>
      <c r="R333" s="141">
        <f>ROUND(Q333*IF(AND(offer_incoterms="DDP",seller_region="RU"),IF((TODAY()+offer_turnaround_time)&gt;=helpsheet!$L$17,rate_vatRU_from_26,rate_vatRu_till_25),0),2)</f>
        <v/>
      </c>
      <c r="S333" s="177">
        <f>Q333+IF(AND(offer_incoterms="DDP",seller_region="RU"),R333,0)</f>
        <v/>
      </c>
      <c r="T333" s="45" t="n"/>
      <c r="V333" s="57">
        <f>IF(Q333&gt;0,"показать","скрыть")</f>
        <v/>
      </c>
    </row>
    <row r="334" ht="15.75" customHeight="1">
      <c r="B334" s="809" t="n">
        <v>318</v>
      </c>
      <c r="C334" s="182">
        <f>IF(offer_sale_type="транзит",IFERROR(VLOOKUP($B334,calc_data,C$14+1,0),0),0)</f>
        <v/>
      </c>
      <c r="D334" s="280">
        <f>IF(offer_sale_type="транзит",IFERROR(VLOOKUP($B334,calc_data,D$14+1,0),0),0)</f>
        <v/>
      </c>
      <c r="E334" s="182">
        <f>IF(offer_sale_type="транзит",IFERROR(VLOOKUP($B334,calc_data,E$14+1,0),0),0)</f>
        <v/>
      </c>
      <c r="F334" s="182">
        <f>IF(offer_sale_type="транзит",IFERROR(VLOOKUP($B334,calc_data,F$14+1,0),0),0)</f>
        <v/>
      </c>
      <c r="G334" s="141">
        <f>IF(offer_sale_type="транзит",IFERROR(VLOOKUP($B334,calc_data,G$14+1,0),0),0)</f>
        <v/>
      </c>
      <c r="H334" s="141">
        <f>E334*G334</f>
        <v/>
      </c>
      <c r="I334" s="141">
        <f>IF(offer_sale_type="транзит",IFERROR(ROUND(VLOOKUP($B334,calc_data,I$14+1,0),2),0),0)</f>
        <v/>
      </c>
      <c r="J334" s="141">
        <f>ROUND(IF(offer_sale_type="транзит",IFERROR(VLOOKUP($B334,calc_data,J$14+1,0),0),0),2)</f>
        <v/>
      </c>
      <c r="K334" s="142">
        <f>IF(offer_sale_type="транзит",IFERROR(ROUNDUP(VLOOKUP($B334,calc_data,K$14+1,0),2),0),0)</f>
        <v/>
      </c>
      <c r="L334" s="184">
        <f>IF(offer_sale_type="транзит",IFERROR(ROUNDUP(VLOOKUP($B334,calc_data,L$14+1,0),2),0),0)</f>
        <v/>
      </c>
      <c r="M334" s="141">
        <f>IF(offer_sale_type="транзит",IFERROR(ROUNDUP(VLOOKUP($B334,calc_data,M$14+1,0),2),0),0)</f>
        <v/>
      </c>
      <c r="N334" s="141">
        <f>IF(offer_sale_type="транзит",IFERROR(ROUNDUP(VLOOKUP($B334,calc_data,N$14+1,0),2),0),0)</f>
        <v/>
      </c>
      <c r="O334" s="147">
        <f>IF(offer_sale_type="транзит",IFERROR(ROUND(VLOOKUP($B334,calc_data,O$14+1,1),2),0),0)</f>
        <v/>
      </c>
      <c r="P334" s="141">
        <f>IF(offer_sale_type="транзит",IFERROR(ROUND(SUM(I334:J334,M334:O334)/E334,2),0),0)</f>
        <v/>
      </c>
      <c r="Q334" s="141">
        <f>E334*P334</f>
        <v/>
      </c>
      <c r="R334" s="141">
        <f>ROUND(Q334*IF(AND(offer_incoterms="DDP",seller_region="RU"),IF((TODAY()+offer_turnaround_time)&gt;=helpsheet!$L$17,rate_vatRU_from_26,rate_vatRu_till_25),0),2)</f>
        <v/>
      </c>
      <c r="S334" s="177">
        <f>Q334+IF(AND(offer_incoterms="DDP",seller_region="RU"),R334,0)</f>
        <v/>
      </c>
      <c r="T334" s="45" t="n"/>
      <c r="V334" s="57">
        <f>IF(Q334&gt;0,"показать","скрыть")</f>
        <v/>
      </c>
    </row>
    <row r="335" ht="15.75" customHeight="1">
      <c r="B335" s="809" t="n">
        <v>319</v>
      </c>
      <c r="C335" s="182">
        <f>IF(offer_sale_type="транзит",IFERROR(VLOOKUP($B335,calc_data,C$14+1,0),0),0)</f>
        <v/>
      </c>
      <c r="D335" s="280">
        <f>IF(offer_sale_type="транзит",IFERROR(VLOOKUP($B335,calc_data,D$14+1,0),0),0)</f>
        <v/>
      </c>
      <c r="E335" s="182">
        <f>IF(offer_sale_type="транзит",IFERROR(VLOOKUP($B335,calc_data,E$14+1,0),0),0)</f>
        <v/>
      </c>
      <c r="F335" s="182">
        <f>IF(offer_sale_type="транзит",IFERROR(VLOOKUP($B335,calc_data,F$14+1,0),0),0)</f>
        <v/>
      </c>
      <c r="G335" s="141">
        <f>IF(offer_sale_type="транзит",IFERROR(VLOOKUP($B335,calc_data,G$14+1,0),0),0)</f>
        <v/>
      </c>
      <c r="H335" s="141">
        <f>E335*G335</f>
        <v/>
      </c>
      <c r="I335" s="141">
        <f>IF(offer_sale_type="транзит",IFERROR(ROUND(VLOOKUP($B335,calc_data,I$14+1,0),2),0),0)</f>
        <v/>
      </c>
      <c r="J335" s="141">
        <f>ROUND(IF(offer_sale_type="транзит",IFERROR(VLOOKUP($B335,calc_data,J$14+1,0),0),0),2)</f>
        <v/>
      </c>
      <c r="K335" s="142">
        <f>IF(offer_sale_type="транзит",IFERROR(ROUNDUP(VLOOKUP($B335,calc_data,K$14+1,0),2),0),0)</f>
        <v/>
      </c>
      <c r="L335" s="184">
        <f>IF(offer_sale_type="транзит",IFERROR(ROUNDUP(VLOOKUP($B335,calc_data,L$14+1,0),2),0),0)</f>
        <v/>
      </c>
      <c r="M335" s="141">
        <f>IF(offer_sale_type="транзит",IFERROR(ROUNDUP(VLOOKUP($B335,calc_data,M$14+1,0),2),0),0)</f>
        <v/>
      </c>
      <c r="N335" s="141">
        <f>IF(offer_sale_type="транзит",IFERROR(ROUNDUP(VLOOKUP($B335,calc_data,N$14+1,0),2),0),0)</f>
        <v/>
      </c>
      <c r="O335" s="147">
        <f>IF(offer_sale_type="транзит",IFERROR(ROUND(VLOOKUP($B335,calc_data,O$14+1,1),2),0),0)</f>
        <v/>
      </c>
      <c r="P335" s="141">
        <f>IF(offer_sale_type="транзит",IFERROR(ROUND(SUM(I335:J335,M335:O335)/E335,2),0),0)</f>
        <v/>
      </c>
      <c r="Q335" s="141">
        <f>E335*P335</f>
        <v/>
      </c>
      <c r="R335" s="141">
        <f>ROUND(Q335*IF(AND(offer_incoterms="DDP",seller_region="RU"),IF((TODAY()+offer_turnaround_time)&gt;=helpsheet!$L$17,rate_vatRU_from_26,rate_vatRu_till_25),0),2)</f>
        <v/>
      </c>
      <c r="S335" s="177">
        <f>Q335+IF(AND(offer_incoterms="DDP",seller_region="RU"),R335,0)</f>
        <v/>
      </c>
      <c r="T335" s="45" t="n"/>
      <c r="V335" s="57">
        <f>IF(Q335&gt;0,"показать","скрыть")</f>
        <v/>
      </c>
    </row>
    <row r="336" ht="15.75" customHeight="1">
      <c r="B336" s="809" t="n">
        <v>320</v>
      </c>
      <c r="C336" s="182">
        <f>IF(offer_sale_type="транзит",IFERROR(VLOOKUP($B336,calc_data,C$14+1,0),0),0)</f>
        <v/>
      </c>
      <c r="D336" s="280">
        <f>IF(offer_sale_type="транзит",IFERROR(VLOOKUP($B336,calc_data,D$14+1,0),0),0)</f>
        <v/>
      </c>
      <c r="E336" s="182">
        <f>IF(offer_sale_type="транзит",IFERROR(VLOOKUP($B336,calc_data,E$14+1,0),0),0)</f>
        <v/>
      </c>
      <c r="F336" s="182">
        <f>IF(offer_sale_type="транзит",IFERROR(VLOOKUP($B336,calc_data,F$14+1,0),0),0)</f>
        <v/>
      </c>
      <c r="G336" s="141">
        <f>IF(offer_sale_type="транзит",IFERROR(VLOOKUP($B336,calc_data,G$14+1,0),0),0)</f>
        <v/>
      </c>
      <c r="H336" s="141">
        <f>E336*G336</f>
        <v/>
      </c>
      <c r="I336" s="141">
        <f>IF(offer_sale_type="транзит",IFERROR(ROUND(VLOOKUP($B336,calc_data,I$14+1,0),2),0),0)</f>
        <v/>
      </c>
      <c r="J336" s="141">
        <f>ROUND(IF(offer_sale_type="транзит",IFERROR(VLOOKUP($B336,calc_data,J$14+1,0),0),0),2)</f>
        <v/>
      </c>
      <c r="K336" s="142">
        <f>IF(offer_sale_type="транзит",IFERROR(ROUNDUP(VLOOKUP($B336,calc_data,K$14+1,0),2),0),0)</f>
        <v/>
      </c>
      <c r="L336" s="184">
        <f>IF(offer_sale_type="транзит",IFERROR(ROUNDUP(VLOOKUP($B336,calc_data,L$14+1,0),2),0),0)</f>
        <v/>
      </c>
      <c r="M336" s="141">
        <f>IF(offer_sale_type="транзит",IFERROR(ROUNDUP(VLOOKUP($B336,calc_data,M$14+1,0),2),0),0)</f>
        <v/>
      </c>
      <c r="N336" s="141">
        <f>IF(offer_sale_type="транзит",IFERROR(ROUNDUP(VLOOKUP($B336,calc_data,N$14+1,0),2),0),0)</f>
        <v/>
      </c>
      <c r="O336" s="147">
        <f>IF(offer_sale_type="транзит",IFERROR(ROUND(VLOOKUP($B336,calc_data,O$14+1,1),2),0),0)</f>
        <v/>
      </c>
      <c r="P336" s="141">
        <f>IF(offer_sale_type="транзит",IFERROR(ROUND(SUM(I336:J336,M336:O336)/E336,2),0),0)</f>
        <v/>
      </c>
      <c r="Q336" s="141">
        <f>E336*P336</f>
        <v/>
      </c>
      <c r="R336" s="141">
        <f>ROUND(Q336*IF(AND(offer_incoterms="DDP",seller_region="RU"),IF((TODAY()+offer_turnaround_time)&gt;=helpsheet!$L$17,rate_vatRU_from_26,rate_vatRu_till_25),0),2)</f>
        <v/>
      </c>
      <c r="S336" s="177">
        <f>Q336+IF(AND(offer_incoterms="DDP",seller_region="RU"),R336,0)</f>
        <v/>
      </c>
      <c r="T336" s="45" t="n"/>
      <c r="V336" s="57">
        <f>IF(Q336&gt;0,"показать","скрыть")</f>
        <v/>
      </c>
    </row>
    <row r="337" ht="15.75" customHeight="1">
      <c r="B337" s="809" t="n">
        <v>321</v>
      </c>
      <c r="C337" s="182">
        <f>IF(offer_sale_type="транзит",IFERROR(VLOOKUP($B337,calc_data,C$14+1,0),0),0)</f>
        <v/>
      </c>
      <c r="D337" s="280">
        <f>IF(offer_sale_type="транзит",IFERROR(VLOOKUP($B337,calc_data,D$14+1,0),0),0)</f>
        <v/>
      </c>
      <c r="E337" s="182">
        <f>IF(offer_sale_type="транзит",IFERROR(VLOOKUP($B337,calc_data,E$14+1,0),0),0)</f>
        <v/>
      </c>
      <c r="F337" s="182">
        <f>IF(offer_sale_type="транзит",IFERROR(VLOOKUP($B337,calc_data,F$14+1,0),0),0)</f>
        <v/>
      </c>
      <c r="G337" s="141">
        <f>IF(offer_sale_type="транзит",IFERROR(VLOOKUP($B337,calc_data,G$14+1,0),0),0)</f>
        <v/>
      </c>
      <c r="H337" s="141">
        <f>E337*G337</f>
        <v/>
      </c>
      <c r="I337" s="141">
        <f>IF(offer_sale_type="транзит",IFERROR(ROUND(VLOOKUP($B337,calc_data,I$14+1,0),2),0),0)</f>
        <v/>
      </c>
      <c r="J337" s="141">
        <f>ROUND(IF(offer_sale_type="транзит",IFERROR(VLOOKUP($B337,calc_data,J$14+1,0),0),0),2)</f>
        <v/>
      </c>
      <c r="K337" s="142">
        <f>IF(offer_sale_type="транзит",IFERROR(ROUNDUP(VLOOKUP($B337,calc_data,K$14+1,0),2),0),0)</f>
        <v/>
      </c>
      <c r="L337" s="184">
        <f>IF(offer_sale_type="транзит",IFERROR(ROUNDUP(VLOOKUP($B337,calc_data,L$14+1,0),2),0),0)</f>
        <v/>
      </c>
      <c r="M337" s="141">
        <f>IF(offer_sale_type="транзит",IFERROR(ROUNDUP(VLOOKUP($B337,calc_data,M$14+1,0),2),0),0)</f>
        <v/>
      </c>
      <c r="N337" s="141">
        <f>IF(offer_sale_type="транзит",IFERROR(ROUNDUP(VLOOKUP($B337,calc_data,N$14+1,0),2),0),0)</f>
        <v/>
      </c>
      <c r="O337" s="147">
        <f>IF(offer_sale_type="транзит",IFERROR(ROUND(VLOOKUP($B337,calc_data,O$14+1,1),2),0),0)</f>
        <v/>
      </c>
      <c r="P337" s="141">
        <f>IF(offer_sale_type="транзит",IFERROR(ROUND(SUM(I337:J337,M337:O337)/E337,2),0),0)</f>
        <v/>
      </c>
      <c r="Q337" s="141">
        <f>E337*P337</f>
        <v/>
      </c>
      <c r="R337" s="141">
        <f>ROUND(Q337*IF(AND(offer_incoterms="DDP",seller_region="RU"),IF((TODAY()+offer_turnaround_time)&gt;=helpsheet!$L$17,rate_vatRU_from_26,rate_vatRu_till_25),0),2)</f>
        <v/>
      </c>
      <c r="S337" s="177">
        <f>Q337+IF(AND(offer_incoterms="DDP",seller_region="RU"),R337,0)</f>
        <v/>
      </c>
      <c r="T337" s="45" t="n"/>
      <c r="V337" s="57">
        <f>IF(Q337&gt;0,"показать","скрыть")</f>
        <v/>
      </c>
    </row>
    <row r="338" ht="15.75" customHeight="1">
      <c r="B338" s="809" t="n">
        <v>322</v>
      </c>
      <c r="C338" s="182">
        <f>IF(offer_sale_type="транзит",IFERROR(VLOOKUP($B338,calc_data,C$14+1,0),0),0)</f>
        <v/>
      </c>
      <c r="D338" s="280">
        <f>IF(offer_sale_type="транзит",IFERROR(VLOOKUP($B338,calc_data,D$14+1,0),0),0)</f>
        <v/>
      </c>
      <c r="E338" s="182">
        <f>IF(offer_sale_type="транзит",IFERROR(VLOOKUP($B338,calc_data,E$14+1,0),0),0)</f>
        <v/>
      </c>
      <c r="F338" s="182">
        <f>IF(offer_sale_type="транзит",IFERROR(VLOOKUP($B338,calc_data,F$14+1,0),0),0)</f>
        <v/>
      </c>
      <c r="G338" s="141">
        <f>IF(offer_sale_type="транзит",IFERROR(VLOOKUP($B338,calc_data,G$14+1,0),0),0)</f>
        <v/>
      </c>
      <c r="H338" s="141">
        <f>E338*G338</f>
        <v/>
      </c>
      <c r="I338" s="141">
        <f>IF(offer_sale_type="транзит",IFERROR(ROUND(VLOOKUP($B338,calc_data,I$14+1,0),2),0),0)</f>
        <v/>
      </c>
      <c r="J338" s="141">
        <f>ROUND(IF(offer_sale_type="транзит",IFERROR(VLOOKUP($B338,calc_data,J$14+1,0),0),0),2)</f>
        <v/>
      </c>
      <c r="K338" s="142">
        <f>IF(offer_sale_type="транзит",IFERROR(ROUNDUP(VLOOKUP($B338,calc_data,K$14+1,0),2),0),0)</f>
        <v/>
      </c>
      <c r="L338" s="184">
        <f>IF(offer_sale_type="транзит",IFERROR(ROUNDUP(VLOOKUP($B338,calc_data,L$14+1,0),2),0),0)</f>
        <v/>
      </c>
      <c r="M338" s="141">
        <f>IF(offer_sale_type="транзит",IFERROR(ROUNDUP(VLOOKUP($B338,calc_data,M$14+1,0),2),0),0)</f>
        <v/>
      </c>
      <c r="N338" s="141">
        <f>IF(offer_sale_type="транзит",IFERROR(ROUNDUP(VLOOKUP($B338,calc_data,N$14+1,0),2),0),0)</f>
        <v/>
      </c>
      <c r="O338" s="147">
        <f>IF(offer_sale_type="транзит",IFERROR(ROUND(VLOOKUP($B338,calc_data,O$14+1,1),2),0),0)</f>
        <v/>
      </c>
      <c r="P338" s="141">
        <f>IF(offer_sale_type="транзит",IFERROR(ROUND(SUM(I338:J338,M338:O338)/E338,2),0),0)</f>
        <v/>
      </c>
      <c r="Q338" s="141">
        <f>E338*P338</f>
        <v/>
      </c>
      <c r="R338" s="141">
        <f>ROUND(Q338*IF(AND(offer_incoterms="DDP",seller_region="RU"),IF((TODAY()+offer_turnaround_time)&gt;=helpsheet!$L$17,rate_vatRU_from_26,rate_vatRu_till_25),0),2)</f>
        <v/>
      </c>
      <c r="S338" s="177">
        <f>Q338+IF(AND(offer_incoterms="DDP",seller_region="RU"),R338,0)</f>
        <v/>
      </c>
      <c r="T338" s="45" t="n"/>
      <c r="V338" s="57">
        <f>IF(Q338&gt;0,"показать","скрыть")</f>
        <v/>
      </c>
    </row>
    <row r="339" ht="15.75" customHeight="1">
      <c r="B339" s="809" t="n">
        <v>323</v>
      </c>
      <c r="C339" s="182">
        <f>IF(offer_sale_type="транзит",IFERROR(VLOOKUP($B339,calc_data,C$14+1,0),0),0)</f>
        <v/>
      </c>
      <c r="D339" s="280">
        <f>IF(offer_sale_type="транзит",IFERROR(VLOOKUP($B339,calc_data,D$14+1,0),0),0)</f>
        <v/>
      </c>
      <c r="E339" s="182">
        <f>IF(offer_sale_type="транзит",IFERROR(VLOOKUP($B339,calc_data,E$14+1,0),0),0)</f>
        <v/>
      </c>
      <c r="F339" s="182">
        <f>IF(offer_sale_type="транзит",IFERROR(VLOOKUP($B339,calc_data,F$14+1,0),0),0)</f>
        <v/>
      </c>
      <c r="G339" s="141">
        <f>IF(offer_sale_type="транзит",IFERROR(VLOOKUP($B339,calc_data,G$14+1,0),0),0)</f>
        <v/>
      </c>
      <c r="H339" s="141">
        <f>E339*G339</f>
        <v/>
      </c>
      <c r="I339" s="141">
        <f>IF(offer_sale_type="транзит",IFERROR(ROUND(VLOOKUP($B339,calc_data,I$14+1,0),2),0),0)</f>
        <v/>
      </c>
      <c r="J339" s="141">
        <f>ROUND(IF(offer_sale_type="транзит",IFERROR(VLOOKUP($B339,calc_data,J$14+1,0),0),0),2)</f>
        <v/>
      </c>
      <c r="K339" s="142">
        <f>IF(offer_sale_type="транзит",IFERROR(ROUNDUP(VLOOKUP($B339,calc_data,K$14+1,0),2),0),0)</f>
        <v/>
      </c>
      <c r="L339" s="184">
        <f>IF(offer_sale_type="транзит",IFERROR(ROUNDUP(VLOOKUP($B339,calc_data,L$14+1,0),2),0),0)</f>
        <v/>
      </c>
      <c r="M339" s="141">
        <f>IF(offer_sale_type="транзит",IFERROR(ROUNDUP(VLOOKUP($B339,calc_data,M$14+1,0),2),0),0)</f>
        <v/>
      </c>
      <c r="N339" s="141">
        <f>IF(offer_sale_type="транзит",IFERROR(ROUNDUP(VLOOKUP($B339,calc_data,N$14+1,0),2),0),0)</f>
        <v/>
      </c>
      <c r="O339" s="147">
        <f>IF(offer_sale_type="транзит",IFERROR(ROUND(VLOOKUP($B339,calc_data,O$14+1,1),2),0),0)</f>
        <v/>
      </c>
      <c r="P339" s="141">
        <f>IF(offer_sale_type="транзит",IFERROR(ROUND(SUM(I339:J339,M339:O339)/E339,2),0),0)</f>
        <v/>
      </c>
      <c r="Q339" s="141">
        <f>E339*P339</f>
        <v/>
      </c>
      <c r="R339" s="141">
        <f>ROUND(Q339*IF(AND(offer_incoterms="DDP",seller_region="RU"),IF((TODAY()+offer_turnaround_time)&gt;=helpsheet!$L$17,rate_vatRU_from_26,rate_vatRu_till_25),0),2)</f>
        <v/>
      </c>
      <c r="S339" s="177">
        <f>Q339+IF(AND(offer_incoterms="DDP",seller_region="RU"),R339,0)</f>
        <v/>
      </c>
      <c r="T339" s="45" t="n"/>
      <c r="V339" s="57">
        <f>IF(Q339&gt;0,"показать","скрыть")</f>
        <v/>
      </c>
    </row>
    <row r="340" ht="15.75" customHeight="1">
      <c r="B340" s="809" t="n">
        <v>324</v>
      </c>
      <c r="C340" s="182">
        <f>IF(offer_sale_type="транзит",IFERROR(VLOOKUP($B340,calc_data,C$14+1,0),0),0)</f>
        <v/>
      </c>
      <c r="D340" s="280">
        <f>IF(offer_sale_type="транзит",IFERROR(VLOOKUP($B340,calc_data,D$14+1,0),0),0)</f>
        <v/>
      </c>
      <c r="E340" s="182">
        <f>IF(offer_sale_type="транзит",IFERROR(VLOOKUP($B340,calc_data,E$14+1,0),0),0)</f>
        <v/>
      </c>
      <c r="F340" s="182">
        <f>IF(offer_sale_type="транзит",IFERROR(VLOOKUP($B340,calc_data,F$14+1,0),0),0)</f>
        <v/>
      </c>
      <c r="G340" s="141">
        <f>IF(offer_sale_type="транзит",IFERROR(VLOOKUP($B340,calc_data,G$14+1,0),0),0)</f>
        <v/>
      </c>
      <c r="H340" s="141">
        <f>E340*G340</f>
        <v/>
      </c>
      <c r="I340" s="141">
        <f>IF(offer_sale_type="транзит",IFERROR(ROUND(VLOOKUP($B340,calc_data,I$14+1,0),2),0),0)</f>
        <v/>
      </c>
      <c r="J340" s="141">
        <f>ROUND(IF(offer_sale_type="транзит",IFERROR(VLOOKUP($B340,calc_data,J$14+1,0),0),0),2)</f>
        <v/>
      </c>
      <c r="K340" s="142">
        <f>IF(offer_sale_type="транзит",IFERROR(ROUNDUP(VLOOKUP($B340,calc_data,K$14+1,0),2),0),0)</f>
        <v/>
      </c>
      <c r="L340" s="184">
        <f>IF(offer_sale_type="транзит",IFERROR(ROUNDUP(VLOOKUP($B340,calc_data,L$14+1,0),2),0),0)</f>
        <v/>
      </c>
      <c r="M340" s="141">
        <f>IF(offer_sale_type="транзит",IFERROR(ROUNDUP(VLOOKUP($B340,calc_data,M$14+1,0),2),0),0)</f>
        <v/>
      </c>
      <c r="N340" s="141">
        <f>IF(offer_sale_type="транзит",IFERROR(ROUNDUP(VLOOKUP($B340,calc_data,N$14+1,0),2),0),0)</f>
        <v/>
      </c>
      <c r="O340" s="147">
        <f>IF(offer_sale_type="транзит",IFERROR(ROUND(VLOOKUP($B340,calc_data,O$14+1,1),2),0),0)</f>
        <v/>
      </c>
      <c r="P340" s="141">
        <f>IF(offer_sale_type="транзит",IFERROR(ROUND(SUM(I340:J340,M340:O340)/E340,2),0),0)</f>
        <v/>
      </c>
      <c r="Q340" s="141">
        <f>E340*P340</f>
        <v/>
      </c>
      <c r="R340" s="141">
        <f>ROUND(Q340*IF(AND(offer_incoterms="DDP",seller_region="RU"),IF((TODAY()+offer_turnaround_time)&gt;=helpsheet!$L$17,rate_vatRU_from_26,rate_vatRu_till_25),0),2)</f>
        <v/>
      </c>
      <c r="S340" s="177">
        <f>Q340+IF(AND(offer_incoterms="DDP",seller_region="RU"),R340,0)</f>
        <v/>
      </c>
      <c r="T340" s="45" t="n"/>
      <c r="V340" s="57">
        <f>IF(Q340&gt;0,"показать","скрыть")</f>
        <v/>
      </c>
    </row>
    <row r="341" ht="15.75" customHeight="1">
      <c r="B341" s="809" t="n">
        <v>325</v>
      </c>
      <c r="C341" s="182">
        <f>IF(offer_sale_type="транзит",IFERROR(VLOOKUP($B341,calc_data,C$14+1,0),0),0)</f>
        <v/>
      </c>
      <c r="D341" s="280">
        <f>IF(offer_sale_type="транзит",IFERROR(VLOOKUP($B341,calc_data,D$14+1,0),0),0)</f>
        <v/>
      </c>
      <c r="E341" s="182">
        <f>IF(offer_sale_type="транзит",IFERROR(VLOOKUP($B341,calc_data,E$14+1,0),0),0)</f>
        <v/>
      </c>
      <c r="F341" s="182">
        <f>IF(offer_sale_type="транзит",IFERROR(VLOOKUP($B341,calc_data,F$14+1,0),0),0)</f>
        <v/>
      </c>
      <c r="G341" s="141">
        <f>IF(offer_sale_type="транзит",IFERROR(VLOOKUP($B341,calc_data,G$14+1,0),0),0)</f>
        <v/>
      </c>
      <c r="H341" s="141">
        <f>E341*G341</f>
        <v/>
      </c>
      <c r="I341" s="141">
        <f>IF(offer_sale_type="транзит",IFERROR(ROUND(VLOOKUP($B341,calc_data,I$14+1,0),2),0),0)</f>
        <v/>
      </c>
      <c r="J341" s="141">
        <f>ROUND(IF(offer_sale_type="транзит",IFERROR(VLOOKUP($B341,calc_data,J$14+1,0),0),0),2)</f>
        <v/>
      </c>
      <c r="K341" s="142">
        <f>IF(offer_sale_type="транзит",IFERROR(ROUNDUP(VLOOKUP($B341,calc_data,K$14+1,0),2),0),0)</f>
        <v/>
      </c>
      <c r="L341" s="184">
        <f>IF(offer_sale_type="транзит",IFERROR(ROUNDUP(VLOOKUP($B341,calc_data,L$14+1,0),2),0),0)</f>
        <v/>
      </c>
      <c r="M341" s="141">
        <f>IF(offer_sale_type="транзит",IFERROR(ROUNDUP(VLOOKUP($B341,calc_data,M$14+1,0),2),0),0)</f>
        <v/>
      </c>
      <c r="N341" s="141">
        <f>IF(offer_sale_type="транзит",IFERROR(ROUNDUP(VLOOKUP($B341,calc_data,N$14+1,0),2),0),0)</f>
        <v/>
      </c>
      <c r="O341" s="147">
        <f>IF(offer_sale_type="транзит",IFERROR(ROUND(VLOOKUP($B341,calc_data,O$14+1,1),2),0),0)</f>
        <v/>
      </c>
      <c r="P341" s="141">
        <f>IF(offer_sale_type="транзит",IFERROR(ROUND(SUM(I341:J341,M341:O341)/E341,2),0),0)</f>
        <v/>
      </c>
      <c r="Q341" s="141">
        <f>E341*P341</f>
        <v/>
      </c>
      <c r="R341" s="141">
        <f>ROUND(Q341*IF(AND(offer_incoterms="DDP",seller_region="RU"),IF((TODAY()+offer_turnaround_time)&gt;=helpsheet!$L$17,rate_vatRU_from_26,rate_vatRu_till_25),0),2)</f>
        <v/>
      </c>
      <c r="S341" s="177">
        <f>Q341+IF(AND(offer_incoterms="DDP",seller_region="RU"),R341,0)</f>
        <v/>
      </c>
      <c r="T341" s="45" t="n"/>
      <c r="V341" s="57">
        <f>IF(Q341&gt;0,"показать","скрыть")</f>
        <v/>
      </c>
    </row>
    <row r="342" ht="15.75" customHeight="1">
      <c r="B342" s="809" t="n">
        <v>326</v>
      </c>
      <c r="C342" s="182">
        <f>IF(offer_sale_type="транзит",IFERROR(VLOOKUP($B342,calc_data,C$14+1,0),0),0)</f>
        <v/>
      </c>
      <c r="D342" s="280">
        <f>IF(offer_sale_type="транзит",IFERROR(VLOOKUP($B342,calc_data,D$14+1,0),0),0)</f>
        <v/>
      </c>
      <c r="E342" s="182">
        <f>IF(offer_sale_type="транзит",IFERROR(VLOOKUP($B342,calc_data,E$14+1,0),0),0)</f>
        <v/>
      </c>
      <c r="F342" s="182">
        <f>IF(offer_sale_type="транзит",IFERROR(VLOOKUP($B342,calc_data,F$14+1,0),0),0)</f>
        <v/>
      </c>
      <c r="G342" s="141">
        <f>IF(offer_sale_type="транзит",IFERROR(VLOOKUP($B342,calc_data,G$14+1,0),0),0)</f>
        <v/>
      </c>
      <c r="H342" s="141">
        <f>E342*G342</f>
        <v/>
      </c>
      <c r="I342" s="141">
        <f>IF(offer_sale_type="транзит",IFERROR(ROUND(VLOOKUP($B342,calc_data,I$14+1,0),2),0),0)</f>
        <v/>
      </c>
      <c r="J342" s="141">
        <f>ROUND(IF(offer_sale_type="транзит",IFERROR(VLOOKUP($B342,calc_data,J$14+1,0),0),0),2)</f>
        <v/>
      </c>
      <c r="K342" s="142">
        <f>IF(offer_sale_type="транзит",IFERROR(ROUNDUP(VLOOKUP($B342,calc_data,K$14+1,0),2),0),0)</f>
        <v/>
      </c>
      <c r="L342" s="184">
        <f>IF(offer_sale_type="транзит",IFERROR(ROUNDUP(VLOOKUP($B342,calc_data,L$14+1,0),2),0),0)</f>
        <v/>
      </c>
      <c r="M342" s="141">
        <f>IF(offer_sale_type="транзит",IFERROR(ROUNDUP(VLOOKUP($B342,calc_data,M$14+1,0),2),0),0)</f>
        <v/>
      </c>
      <c r="N342" s="141">
        <f>IF(offer_sale_type="транзит",IFERROR(ROUNDUP(VLOOKUP($B342,calc_data,N$14+1,0),2),0),0)</f>
        <v/>
      </c>
      <c r="O342" s="147">
        <f>IF(offer_sale_type="транзит",IFERROR(ROUND(VLOOKUP($B342,calc_data,O$14+1,1),2),0),0)</f>
        <v/>
      </c>
      <c r="P342" s="141">
        <f>IF(offer_sale_type="транзит",IFERROR(ROUND(SUM(I342:J342,M342:O342)/E342,2),0),0)</f>
        <v/>
      </c>
      <c r="Q342" s="141">
        <f>E342*P342</f>
        <v/>
      </c>
      <c r="R342" s="141">
        <f>ROUND(Q342*IF(AND(offer_incoterms="DDP",seller_region="RU"),IF((TODAY()+offer_turnaround_time)&gt;=helpsheet!$L$17,rate_vatRU_from_26,rate_vatRu_till_25),0),2)</f>
        <v/>
      </c>
      <c r="S342" s="177">
        <f>Q342+IF(AND(offer_incoterms="DDP",seller_region="RU"),R342,0)</f>
        <v/>
      </c>
      <c r="T342" s="45" t="n"/>
      <c r="V342" s="57">
        <f>IF(Q342&gt;0,"показать","скрыть")</f>
        <v/>
      </c>
    </row>
    <row r="343" ht="15.75" customHeight="1">
      <c r="B343" s="809" t="n">
        <v>327</v>
      </c>
      <c r="C343" s="182">
        <f>IF(offer_sale_type="транзит",IFERROR(VLOOKUP($B343,calc_data,C$14+1,0),0),0)</f>
        <v/>
      </c>
      <c r="D343" s="280">
        <f>IF(offer_sale_type="транзит",IFERROR(VLOOKUP($B343,calc_data,D$14+1,0),0),0)</f>
        <v/>
      </c>
      <c r="E343" s="182">
        <f>IF(offer_sale_type="транзит",IFERROR(VLOOKUP($B343,calc_data,E$14+1,0),0),0)</f>
        <v/>
      </c>
      <c r="F343" s="182">
        <f>IF(offer_sale_type="транзит",IFERROR(VLOOKUP($B343,calc_data,F$14+1,0),0),0)</f>
        <v/>
      </c>
      <c r="G343" s="141">
        <f>IF(offer_sale_type="транзит",IFERROR(VLOOKUP($B343,calc_data,G$14+1,0),0),0)</f>
        <v/>
      </c>
      <c r="H343" s="141">
        <f>E343*G343</f>
        <v/>
      </c>
      <c r="I343" s="141">
        <f>IF(offer_sale_type="транзит",IFERROR(ROUND(VLOOKUP($B343,calc_data,I$14+1,0),2),0),0)</f>
        <v/>
      </c>
      <c r="J343" s="141">
        <f>ROUND(IF(offer_sale_type="транзит",IFERROR(VLOOKUP($B343,calc_data,J$14+1,0),0),0),2)</f>
        <v/>
      </c>
      <c r="K343" s="142">
        <f>IF(offer_sale_type="транзит",IFERROR(ROUNDUP(VLOOKUP($B343,calc_data,K$14+1,0),2),0),0)</f>
        <v/>
      </c>
      <c r="L343" s="184">
        <f>IF(offer_sale_type="транзит",IFERROR(ROUNDUP(VLOOKUP($B343,calc_data,L$14+1,0),2),0),0)</f>
        <v/>
      </c>
      <c r="M343" s="141">
        <f>IF(offer_sale_type="транзит",IFERROR(ROUNDUP(VLOOKUP($B343,calc_data,M$14+1,0),2),0),0)</f>
        <v/>
      </c>
      <c r="N343" s="141">
        <f>IF(offer_sale_type="транзит",IFERROR(ROUNDUP(VLOOKUP($B343,calc_data,N$14+1,0),2),0),0)</f>
        <v/>
      </c>
      <c r="O343" s="147">
        <f>IF(offer_sale_type="транзит",IFERROR(ROUND(VLOOKUP($B343,calc_data,O$14+1,1),2),0),0)</f>
        <v/>
      </c>
      <c r="P343" s="141">
        <f>IF(offer_sale_type="транзит",IFERROR(ROUND(SUM(I343:J343,M343:O343)/E343,2),0),0)</f>
        <v/>
      </c>
      <c r="Q343" s="141">
        <f>E343*P343</f>
        <v/>
      </c>
      <c r="R343" s="141">
        <f>ROUND(Q343*IF(AND(offer_incoterms="DDP",seller_region="RU"),IF((TODAY()+offer_turnaround_time)&gt;=helpsheet!$L$17,rate_vatRU_from_26,rate_vatRu_till_25),0),2)</f>
        <v/>
      </c>
      <c r="S343" s="177">
        <f>Q343+IF(AND(offer_incoterms="DDP",seller_region="RU"),R343,0)</f>
        <v/>
      </c>
      <c r="T343" s="45" t="n"/>
      <c r="V343" s="57">
        <f>IF(Q343&gt;0,"показать","скрыть")</f>
        <v/>
      </c>
    </row>
    <row r="344" ht="15.75" customHeight="1">
      <c r="B344" s="809" t="n">
        <v>328</v>
      </c>
      <c r="C344" s="182">
        <f>IF(offer_sale_type="транзит",IFERROR(VLOOKUP($B344,calc_data,C$14+1,0),0),0)</f>
        <v/>
      </c>
      <c r="D344" s="280">
        <f>IF(offer_sale_type="транзит",IFERROR(VLOOKUP($B344,calc_data,D$14+1,0),0),0)</f>
        <v/>
      </c>
      <c r="E344" s="182">
        <f>IF(offer_sale_type="транзит",IFERROR(VLOOKUP($B344,calc_data,E$14+1,0),0),0)</f>
        <v/>
      </c>
      <c r="F344" s="182">
        <f>IF(offer_sale_type="транзит",IFERROR(VLOOKUP($B344,calc_data,F$14+1,0),0),0)</f>
        <v/>
      </c>
      <c r="G344" s="141">
        <f>IF(offer_sale_type="транзит",IFERROR(VLOOKUP($B344,calc_data,G$14+1,0),0),0)</f>
        <v/>
      </c>
      <c r="H344" s="141">
        <f>E344*G344</f>
        <v/>
      </c>
      <c r="I344" s="141">
        <f>IF(offer_sale_type="транзит",IFERROR(ROUND(VLOOKUP($B344,calc_data,I$14+1,0),2),0),0)</f>
        <v/>
      </c>
      <c r="J344" s="141">
        <f>ROUND(IF(offer_sale_type="транзит",IFERROR(VLOOKUP($B344,calc_data,J$14+1,0),0),0),2)</f>
        <v/>
      </c>
      <c r="K344" s="142">
        <f>IF(offer_sale_type="транзит",IFERROR(ROUNDUP(VLOOKUP($B344,calc_data,K$14+1,0),2),0),0)</f>
        <v/>
      </c>
      <c r="L344" s="184">
        <f>IF(offer_sale_type="транзит",IFERROR(ROUNDUP(VLOOKUP($B344,calc_data,L$14+1,0),2),0),0)</f>
        <v/>
      </c>
      <c r="M344" s="141">
        <f>IF(offer_sale_type="транзит",IFERROR(ROUNDUP(VLOOKUP($B344,calc_data,M$14+1,0),2),0),0)</f>
        <v/>
      </c>
      <c r="N344" s="141">
        <f>IF(offer_sale_type="транзит",IFERROR(ROUNDUP(VLOOKUP($B344,calc_data,N$14+1,0),2),0),0)</f>
        <v/>
      </c>
      <c r="O344" s="147">
        <f>IF(offer_sale_type="транзит",IFERROR(ROUND(VLOOKUP($B344,calc_data,O$14+1,1),2),0),0)</f>
        <v/>
      </c>
      <c r="P344" s="141">
        <f>IF(offer_sale_type="транзит",IFERROR(ROUND(SUM(I344:J344,M344:O344)/E344,2),0),0)</f>
        <v/>
      </c>
      <c r="Q344" s="141">
        <f>E344*P344</f>
        <v/>
      </c>
      <c r="R344" s="141">
        <f>ROUND(Q344*IF(AND(offer_incoterms="DDP",seller_region="RU"),IF((TODAY()+offer_turnaround_time)&gt;=helpsheet!$L$17,rate_vatRU_from_26,rate_vatRu_till_25),0),2)</f>
        <v/>
      </c>
      <c r="S344" s="177">
        <f>Q344+IF(AND(offer_incoterms="DDP",seller_region="RU"),R344,0)</f>
        <v/>
      </c>
      <c r="T344" s="45" t="n"/>
      <c r="V344" s="57">
        <f>IF(Q344&gt;0,"показать","скрыть")</f>
        <v/>
      </c>
    </row>
    <row r="345" ht="15.75" customHeight="1">
      <c r="B345" s="809" t="n">
        <v>329</v>
      </c>
      <c r="C345" s="182">
        <f>IF(offer_sale_type="транзит",IFERROR(VLOOKUP($B345,calc_data,C$14+1,0),0),0)</f>
        <v/>
      </c>
      <c r="D345" s="280">
        <f>IF(offer_sale_type="транзит",IFERROR(VLOOKUP($B345,calc_data,D$14+1,0),0),0)</f>
        <v/>
      </c>
      <c r="E345" s="182">
        <f>IF(offer_sale_type="транзит",IFERROR(VLOOKUP($B345,calc_data,E$14+1,0),0),0)</f>
        <v/>
      </c>
      <c r="F345" s="182">
        <f>IF(offer_sale_type="транзит",IFERROR(VLOOKUP($B345,calc_data,F$14+1,0),0),0)</f>
        <v/>
      </c>
      <c r="G345" s="141">
        <f>IF(offer_sale_type="транзит",IFERROR(VLOOKUP($B345,calc_data,G$14+1,0),0),0)</f>
        <v/>
      </c>
      <c r="H345" s="141">
        <f>E345*G345</f>
        <v/>
      </c>
      <c r="I345" s="141">
        <f>IF(offer_sale_type="транзит",IFERROR(ROUND(VLOOKUP($B345,calc_data,I$14+1,0),2),0),0)</f>
        <v/>
      </c>
      <c r="J345" s="141">
        <f>ROUND(IF(offer_sale_type="транзит",IFERROR(VLOOKUP($B345,calc_data,J$14+1,0),0),0),2)</f>
        <v/>
      </c>
      <c r="K345" s="142">
        <f>IF(offer_sale_type="транзит",IFERROR(ROUNDUP(VLOOKUP($B345,calc_data,K$14+1,0),2),0),0)</f>
        <v/>
      </c>
      <c r="L345" s="184">
        <f>IF(offer_sale_type="транзит",IFERROR(ROUNDUP(VLOOKUP($B345,calc_data,L$14+1,0),2),0),0)</f>
        <v/>
      </c>
      <c r="M345" s="141">
        <f>IF(offer_sale_type="транзит",IFERROR(ROUNDUP(VLOOKUP($B345,calc_data,M$14+1,0),2),0),0)</f>
        <v/>
      </c>
      <c r="N345" s="141">
        <f>IF(offer_sale_type="транзит",IFERROR(ROUNDUP(VLOOKUP($B345,calc_data,N$14+1,0),2),0),0)</f>
        <v/>
      </c>
      <c r="O345" s="147">
        <f>IF(offer_sale_type="транзит",IFERROR(ROUND(VLOOKUP($B345,calc_data,O$14+1,1),2),0),0)</f>
        <v/>
      </c>
      <c r="P345" s="141">
        <f>IF(offer_sale_type="транзит",IFERROR(ROUND(SUM(I345:J345,M345:O345)/E345,2),0),0)</f>
        <v/>
      </c>
      <c r="Q345" s="141">
        <f>E345*P345</f>
        <v/>
      </c>
      <c r="R345" s="141">
        <f>ROUND(Q345*IF(AND(offer_incoterms="DDP",seller_region="RU"),IF((TODAY()+offer_turnaround_time)&gt;=helpsheet!$L$17,rate_vatRU_from_26,rate_vatRu_till_25),0),2)</f>
        <v/>
      </c>
      <c r="S345" s="177">
        <f>Q345+IF(AND(offer_incoterms="DDP",seller_region="RU"),R345,0)</f>
        <v/>
      </c>
      <c r="T345" s="45" t="n"/>
      <c r="V345" s="57">
        <f>IF(Q345&gt;0,"показать","скрыть")</f>
        <v/>
      </c>
    </row>
    <row r="346" ht="15.75" customHeight="1">
      <c r="B346" s="809" t="n">
        <v>330</v>
      </c>
      <c r="C346" s="182">
        <f>IF(offer_sale_type="транзит",IFERROR(VLOOKUP($B346,calc_data,C$14+1,0),0),0)</f>
        <v/>
      </c>
      <c r="D346" s="280">
        <f>IF(offer_sale_type="транзит",IFERROR(VLOOKUP($B346,calc_data,D$14+1,0),0),0)</f>
        <v/>
      </c>
      <c r="E346" s="182">
        <f>IF(offer_sale_type="транзит",IFERROR(VLOOKUP($B346,calc_data,E$14+1,0),0),0)</f>
        <v/>
      </c>
      <c r="F346" s="182">
        <f>IF(offer_sale_type="транзит",IFERROR(VLOOKUP($B346,calc_data,F$14+1,0),0),0)</f>
        <v/>
      </c>
      <c r="G346" s="141">
        <f>IF(offer_sale_type="транзит",IFERROR(VLOOKUP($B346,calc_data,G$14+1,0),0),0)</f>
        <v/>
      </c>
      <c r="H346" s="141">
        <f>E346*G346</f>
        <v/>
      </c>
      <c r="I346" s="141">
        <f>IF(offer_sale_type="транзит",IFERROR(ROUND(VLOOKUP($B346,calc_data,I$14+1,0),2),0),0)</f>
        <v/>
      </c>
      <c r="J346" s="141">
        <f>ROUND(IF(offer_sale_type="транзит",IFERROR(VLOOKUP($B346,calc_data,J$14+1,0),0),0),2)</f>
        <v/>
      </c>
      <c r="K346" s="142">
        <f>IF(offer_sale_type="транзит",IFERROR(ROUNDUP(VLOOKUP($B346,calc_data,K$14+1,0),2),0),0)</f>
        <v/>
      </c>
      <c r="L346" s="184">
        <f>IF(offer_sale_type="транзит",IFERROR(ROUNDUP(VLOOKUP($B346,calc_data,L$14+1,0),2),0),0)</f>
        <v/>
      </c>
      <c r="M346" s="141">
        <f>IF(offer_sale_type="транзит",IFERROR(ROUNDUP(VLOOKUP($B346,calc_data,M$14+1,0),2),0),0)</f>
        <v/>
      </c>
      <c r="N346" s="141">
        <f>IF(offer_sale_type="транзит",IFERROR(ROUNDUP(VLOOKUP($B346,calc_data,N$14+1,0),2),0),0)</f>
        <v/>
      </c>
      <c r="O346" s="147">
        <f>IF(offer_sale_type="транзит",IFERROR(ROUND(VLOOKUP($B346,calc_data,O$14+1,1),2),0),0)</f>
        <v/>
      </c>
      <c r="P346" s="141">
        <f>IF(offer_sale_type="транзит",IFERROR(ROUND(SUM(I346:J346,M346:O346)/E346,2),0),0)</f>
        <v/>
      </c>
      <c r="Q346" s="141">
        <f>E346*P346</f>
        <v/>
      </c>
      <c r="R346" s="141">
        <f>ROUND(Q346*IF(AND(offer_incoterms="DDP",seller_region="RU"),IF((TODAY()+offer_turnaround_time)&gt;=helpsheet!$L$17,rate_vatRU_from_26,rate_vatRu_till_25),0),2)</f>
        <v/>
      </c>
      <c r="S346" s="177">
        <f>Q346+IF(AND(offer_incoterms="DDP",seller_region="RU"),R346,0)</f>
        <v/>
      </c>
      <c r="T346" s="45" t="n"/>
      <c r="V346" s="57">
        <f>IF(Q346&gt;0,"показать","скрыть")</f>
        <v/>
      </c>
    </row>
    <row r="347" ht="15.75" customHeight="1">
      <c r="B347" s="809" t="n">
        <v>331</v>
      </c>
      <c r="C347" s="182">
        <f>IF(offer_sale_type="транзит",IFERROR(VLOOKUP($B347,calc_data,C$14+1,0),0),0)</f>
        <v/>
      </c>
      <c r="D347" s="280">
        <f>IF(offer_sale_type="транзит",IFERROR(VLOOKUP($B347,calc_data,D$14+1,0),0),0)</f>
        <v/>
      </c>
      <c r="E347" s="182">
        <f>IF(offer_sale_type="транзит",IFERROR(VLOOKUP($B347,calc_data,E$14+1,0),0),0)</f>
        <v/>
      </c>
      <c r="F347" s="182">
        <f>IF(offer_sale_type="транзит",IFERROR(VLOOKUP($B347,calc_data,F$14+1,0),0),0)</f>
        <v/>
      </c>
      <c r="G347" s="141">
        <f>IF(offer_sale_type="транзит",IFERROR(VLOOKUP($B347,calc_data,G$14+1,0),0),0)</f>
        <v/>
      </c>
      <c r="H347" s="141">
        <f>E347*G347</f>
        <v/>
      </c>
      <c r="I347" s="141">
        <f>IF(offer_sale_type="транзит",IFERROR(ROUND(VLOOKUP($B347,calc_data,I$14+1,0),2),0),0)</f>
        <v/>
      </c>
      <c r="J347" s="141">
        <f>ROUND(IF(offer_sale_type="транзит",IFERROR(VLOOKUP($B347,calc_data,J$14+1,0),0),0),2)</f>
        <v/>
      </c>
      <c r="K347" s="142">
        <f>IF(offer_sale_type="транзит",IFERROR(ROUNDUP(VLOOKUP($B347,calc_data,K$14+1,0),2),0),0)</f>
        <v/>
      </c>
      <c r="L347" s="184">
        <f>IF(offer_sale_type="транзит",IFERROR(ROUNDUP(VLOOKUP($B347,calc_data,L$14+1,0),2),0),0)</f>
        <v/>
      </c>
      <c r="M347" s="141">
        <f>IF(offer_sale_type="транзит",IFERROR(ROUNDUP(VLOOKUP($B347,calc_data,M$14+1,0),2),0),0)</f>
        <v/>
      </c>
      <c r="N347" s="141">
        <f>IF(offer_sale_type="транзит",IFERROR(ROUNDUP(VLOOKUP($B347,calc_data,N$14+1,0),2),0),0)</f>
        <v/>
      </c>
      <c r="O347" s="147">
        <f>IF(offer_sale_type="транзит",IFERROR(ROUND(VLOOKUP($B347,calc_data,O$14+1,1),2),0),0)</f>
        <v/>
      </c>
      <c r="P347" s="141">
        <f>IF(offer_sale_type="транзит",IFERROR(ROUND(SUM(I347:J347,M347:O347)/E347,2),0),0)</f>
        <v/>
      </c>
      <c r="Q347" s="141">
        <f>E347*P347</f>
        <v/>
      </c>
      <c r="R347" s="141">
        <f>ROUND(Q347*IF(AND(offer_incoterms="DDP",seller_region="RU"),IF((TODAY()+offer_turnaround_time)&gt;=helpsheet!$L$17,rate_vatRU_from_26,rate_vatRu_till_25),0),2)</f>
        <v/>
      </c>
      <c r="S347" s="177">
        <f>Q347+IF(AND(offer_incoterms="DDP",seller_region="RU"),R347,0)</f>
        <v/>
      </c>
      <c r="T347" s="45" t="n"/>
      <c r="V347" s="57">
        <f>IF(Q347&gt;0,"показать","скрыть")</f>
        <v/>
      </c>
    </row>
    <row r="348" ht="15.75" customHeight="1">
      <c r="B348" s="809" t="n">
        <v>332</v>
      </c>
      <c r="C348" s="182">
        <f>IF(offer_sale_type="транзит",IFERROR(VLOOKUP($B348,calc_data,C$14+1,0),0),0)</f>
        <v/>
      </c>
      <c r="D348" s="280">
        <f>IF(offer_sale_type="транзит",IFERROR(VLOOKUP($B348,calc_data,D$14+1,0),0),0)</f>
        <v/>
      </c>
      <c r="E348" s="182">
        <f>IF(offer_sale_type="транзит",IFERROR(VLOOKUP($B348,calc_data,E$14+1,0),0),0)</f>
        <v/>
      </c>
      <c r="F348" s="182">
        <f>IF(offer_sale_type="транзит",IFERROR(VLOOKUP($B348,calc_data,F$14+1,0),0),0)</f>
        <v/>
      </c>
      <c r="G348" s="141">
        <f>IF(offer_sale_type="транзит",IFERROR(VLOOKUP($B348,calc_data,G$14+1,0),0),0)</f>
        <v/>
      </c>
      <c r="H348" s="141">
        <f>E348*G348</f>
        <v/>
      </c>
      <c r="I348" s="141">
        <f>IF(offer_sale_type="транзит",IFERROR(ROUND(VLOOKUP($B348,calc_data,I$14+1,0),2),0),0)</f>
        <v/>
      </c>
      <c r="J348" s="141">
        <f>ROUND(IF(offer_sale_type="транзит",IFERROR(VLOOKUP($B348,calc_data,J$14+1,0),0),0),2)</f>
        <v/>
      </c>
      <c r="K348" s="142">
        <f>IF(offer_sale_type="транзит",IFERROR(ROUNDUP(VLOOKUP($B348,calc_data,K$14+1,0),2),0),0)</f>
        <v/>
      </c>
      <c r="L348" s="184">
        <f>IF(offer_sale_type="транзит",IFERROR(ROUNDUP(VLOOKUP($B348,calc_data,L$14+1,0),2),0),0)</f>
        <v/>
      </c>
      <c r="M348" s="141">
        <f>IF(offer_sale_type="транзит",IFERROR(ROUNDUP(VLOOKUP($B348,calc_data,M$14+1,0),2),0),0)</f>
        <v/>
      </c>
      <c r="N348" s="141">
        <f>IF(offer_sale_type="транзит",IFERROR(ROUNDUP(VLOOKUP($B348,calc_data,N$14+1,0),2),0),0)</f>
        <v/>
      </c>
      <c r="O348" s="147">
        <f>IF(offer_sale_type="транзит",IFERROR(ROUND(VLOOKUP($B348,calc_data,O$14+1,1),2),0),0)</f>
        <v/>
      </c>
      <c r="P348" s="141">
        <f>IF(offer_sale_type="транзит",IFERROR(ROUND(SUM(I348:J348,M348:O348)/E348,2),0),0)</f>
        <v/>
      </c>
      <c r="Q348" s="141">
        <f>E348*P348</f>
        <v/>
      </c>
      <c r="R348" s="141">
        <f>ROUND(Q348*IF(AND(offer_incoterms="DDP",seller_region="RU"),IF((TODAY()+offer_turnaround_time)&gt;=helpsheet!$L$17,rate_vatRU_from_26,rate_vatRu_till_25),0),2)</f>
        <v/>
      </c>
      <c r="S348" s="177">
        <f>Q348+IF(AND(offer_incoterms="DDP",seller_region="RU"),R348,0)</f>
        <v/>
      </c>
      <c r="T348" s="45" t="n"/>
      <c r="V348" s="57">
        <f>IF(Q348&gt;0,"показать","скрыть")</f>
        <v/>
      </c>
    </row>
    <row r="349" ht="15.75" customHeight="1">
      <c r="B349" s="809" t="n">
        <v>333</v>
      </c>
      <c r="C349" s="182">
        <f>IF(offer_sale_type="транзит",IFERROR(VLOOKUP($B349,calc_data,C$14+1,0),0),0)</f>
        <v/>
      </c>
      <c r="D349" s="280">
        <f>IF(offer_sale_type="транзит",IFERROR(VLOOKUP($B349,calc_data,D$14+1,0),0),0)</f>
        <v/>
      </c>
      <c r="E349" s="182">
        <f>IF(offer_sale_type="транзит",IFERROR(VLOOKUP($B349,calc_data,E$14+1,0),0),0)</f>
        <v/>
      </c>
      <c r="F349" s="182">
        <f>IF(offer_sale_type="транзит",IFERROR(VLOOKUP($B349,calc_data,F$14+1,0),0),0)</f>
        <v/>
      </c>
      <c r="G349" s="141">
        <f>IF(offer_sale_type="транзит",IFERROR(VLOOKUP($B349,calc_data,G$14+1,0),0),0)</f>
        <v/>
      </c>
      <c r="H349" s="141">
        <f>E349*G349</f>
        <v/>
      </c>
      <c r="I349" s="141">
        <f>IF(offer_sale_type="транзит",IFERROR(ROUND(VLOOKUP($B349,calc_data,I$14+1,0),2),0),0)</f>
        <v/>
      </c>
      <c r="J349" s="141">
        <f>ROUND(IF(offer_sale_type="транзит",IFERROR(VLOOKUP($B349,calc_data,J$14+1,0),0),0),2)</f>
        <v/>
      </c>
      <c r="K349" s="142">
        <f>IF(offer_sale_type="транзит",IFERROR(ROUNDUP(VLOOKUP($B349,calc_data,K$14+1,0),2),0),0)</f>
        <v/>
      </c>
      <c r="L349" s="184">
        <f>IF(offer_sale_type="транзит",IFERROR(ROUNDUP(VLOOKUP($B349,calc_data,L$14+1,0),2),0),0)</f>
        <v/>
      </c>
      <c r="M349" s="141">
        <f>IF(offer_sale_type="транзит",IFERROR(ROUNDUP(VLOOKUP($B349,calc_data,M$14+1,0),2),0),0)</f>
        <v/>
      </c>
      <c r="N349" s="141">
        <f>IF(offer_sale_type="транзит",IFERROR(ROUNDUP(VLOOKUP($B349,calc_data,N$14+1,0),2),0),0)</f>
        <v/>
      </c>
      <c r="O349" s="147">
        <f>IF(offer_sale_type="транзит",IFERROR(ROUND(VLOOKUP($B349,calc_data,O$14+1,1),2),0),0)</f>
        <v/>
      </c>
      <c r="P349" s="141">
        <f>IF(offer_sale_type="транзит",IFERROR(ROUND(SUM(I349:J349,M349:O349)/E349,2),0),0)</f>
        <v/>
      </c>
      <c r="Q349" s="141">
        <f>E349*P349</f>
        <v/>
      </c>
      <c r="R349" s="141">
        <f>ROUND(Q349*IF(AND(offer_incoterms="DDP",seller_region="RU"),IF((TODAY()+offer_turnaround_time)&gt;=helpsheet!$L$17,rate_vatRU_from_26,rate_vatRu_till_25),0),2)</f>
        <v/>
      </c>
      <c r="S349" s="177">
        <f>Q349+IF(AND(offer_incoterms="DDP",seller_region="RU"),R349,0)</f>
        <v/>
      </c>
      <c r="T349" s="45" t="n"/>
      <c r="V349" s="57">
        <f>IF(Q349&gt;0,"показать","скрыть")</f>
        <v/>
      </c>
    </row>
    <row r="350" ht="15.75" customHeight="1">
      <c r="B350" s="809" t="n">
        <v>334</v>
      </c>
      <c r="C350" s="182">
        <f>IF(offer_sale_type="транзит",IFERROR(VLOOKUP($B350,calc_data,C$14+1,0),0),0)</f>
        <v/>
      </c>
      <c r="D350" s="280">
        <f>IF(offer_sale_type="транзит",IFERROR(VLOOKUP($B350,calc_data,D$14+1,0),0),0)</f>
        <v/>
      </c>
      <c r="E350" s="182">
        <f>IF(offer_sale_type="транзит",IFERROR(VLOOKUP($B350,calc_data,E$14+1,0),0),0)</f>
        <v/>
      </c>
      <c r="F350" s="182">
        <f>IF(offer_sale_type="транзит",IFERROR(VLOOKUP($B350,calc_data,F$14+1,0),0),0)</f>
        <v/>
      </c>
      <c r="G350" s="141">
        <f>IF(offer_sale_type="транзит",IFERROR(VLOOKUP($B350,calc_data,G$14+1,0),0),0)</f>
        <v/>
      </c>
      <c r="H350" s="141">
        <f>E350*G350</f>
        <v/>
      </c>
      <c r="I350" s="141">
        <f>IF(offer_sale_type="транзит",IFERROR(ROUND(VLOOKUP($B350,calc_data,I$14+1,0),2),0),0)</f>
        <v/>
      </c>
      <c r="J350" s="141">
        <f>ROUND(IF(offer_sale_type="транзит",IFERROR(VLOOKUP($B350,calc_data,J$14+1,0),0),0),2)</f>
        <v/>
      </c>
      <c r="K350" s="142">
        <f>IF(offer_sale_type="транзит",IFERROR(ROUNDUP(VLOOKUP($B350,calc_data,K$14+1,0),2),0),0)</f>
        <v/>
      </c>
      <c r="L350" s="184">
        <f>IF(offer_sale_type="транзит",IFERROR(ROUNDUP(VLOOKUP($B350,calc_data,L$14+1,0),2),0),0)</f>
        <v/>
      </c>
      <c r="M350" s="141">
        <f>IF(offer_sale_type="транзит",IFERROR(ROUNDUP(VLOOKUP($B350,calc_data,M$14+1,0),2),0),0)</f>
        <v/>
      </c>
      <c r="N350" s="141">
        <f>IF(offer_sale_type="транзит",IFERROR(ROUNDUP(VLOOKUP($B350,calc_data,N$14+1,0),2),0),0)</f>
        <v/>
      </c>
      <c r="O350" s="147">
        <f>IF(offer_sale_type="транзит",IFERROR(ROUND(VLOOKUP($B350,calc_data,O$14+1,1),2),0),0)</f>
        <v/>
      </c>
      <c r="P350" s="141">
        <f>IF(offer_sale_type="транзит",IFERROR(ROUND(SUM(I350:J350,M350:O350)/E350,2),0),0)</f>
        <v/>
      </c>
      <c r="Q350" s="141">
        <f>E350*P350</f>
        <v/>
      </c>
      <c r="R350" s="141">
        <f>ROUND(Q350*IF(AND(offer_incoterms="DDP",seller_region="RU"),IF((TODAY()+offer_turnaround_time)&gt;=helpsheet!$L$17,rate_vatRU_from_26,rate_vatRu_till_25),0),2)</f>
        <v/>
      </c>
      <c r="S350" s="177">
        <f>Q350+IF(AND(offer_incoterms="DDP",seller_region="RU"),R350,0)</f>
        <v/>
      </c>
      <c r="T350" s="45" t="n"/>
      <c r="V350" s="57">
        <f>IF(Q350&gt;0,"показать","скрыть")</f>
        <v/>
      </c>
    </row>
    <row r="351" ht="15.75" customHeight="1">
      <c r="B351" s="809" t="n">
        <v>335</v>
      </c>
      <c r="C351" s="182">
        <f>IF(offer_sale_type="транзит",IFERROR(VLOOKUP($B351,calc_data,C$14+1,0),0),0)</f>
        <v/>
      </c>
      <c r="D351" s="280">
        <f>IF(offer_sale_type="транзит",IFERROR(VLOOKUP($B351,calc_data,D$14+1,0),0),0)</f>
        <v/>
      </c>
      <c r="E351" s="182">
        <f>IF(offer_sale_type="транзит",IFERROR(VLOOKUP($B351,calc_data,E$14+1,0),0),0)</f>
        <v/>
      </c>
      <c r="F351" s="182">
        <f>IF(offer_sale_type="транзит",IFERROR(VLOOKUP($B351,calc_data,F$14+1,0),0),0)</f>
        <v/>
      </c>
      <c r="G351" s="141">
        <f>IF(offer_sale_type="транзит",IFERROR(VLOOKUP($B351,calc_data,G$14+1,0),0),0)</f>
        <v/>
      </c>
      <c r="H351" s="141">
        <f>E351*G351</f>
        <v/>
      </c>
      <c r="I351" s="141">
        <f>IF(offer_sale_type="транзит",IFERROR(ROUND(VLOOKUP($B351,calc_data,I$14+1,0),2),0),0)</f>
        <v/>
      </c>
      <c r="J351" s="141">
        <f>ROUND(IF(offer_sale_type="транзит",IFERROR(VLOOKUP($B351,calc_data,J$14+1,0),0),0),2)</f>
        <v/>
      </c>
      <c r="K351" s="142">
        <f>IF(offer_sale_type="транзит",IFERROR(ROUNDUP(VLOOKUP($B351,calc_data,K$14+1,0),2),0),0)</f>
        <v/>
      </c>
      <c r="L351" s="184">
        <f>IF(offer_sale_type="транзит",IFERROR(ROUNDUP(VLOOKUP($B351,calc_data,L$14+1,0),2),0),0)</f>
        <v/>
      </c>
      <c r="M351" s="141">
        <f>IF(offer_sale_type="транзит",IFERROR(ROUNDUP(VLOOKUP($B351,calc_data,M$14+1,0),2),0),0)</f>
        <v/>
      </c>
      <c r="N351" s="141">
        <f>IF(offer_sale_type="транзит",IFERROR(ROUNDUP(VLOOKUP($B351,calc_data,N$14+1,0),2),0),0)</f>
        <v/>
      </c>
      <c r="O351" s="147">
        <f>IF(offer_sale_type="транзит",IFERROR(ROUND(VLOOKUP($B351,calc_data,O$14+1,1),2),0),0)</f>
        <v/>
      </c>
      <c r="P351" s="141">
        <f>IF(offer_sale_type="транзит",IFERROR(ROUND(SUM(I351:J351,M351:O351)/E351,2),0),0)</f>
        <v/>
      </c>
      <c r="Q351" s="141">
        <f>E351*P351</f>
        <v/>
      </c>
      <c r="R351" s="141">
        <f>ROUND(Q351*IF(AND(offer_incoterms="DDP",seller_region="RU"),IF((TODAY()+offer_turnaround_time)&gt;=helpsheet!$L$17,rate_vatRU_from_26,rate_vatRu_till_25),0),2)</f>
        <v/>
      </c>
      <c r="S351" s="177">
        <f>Q351+IF(AND(offer_incoterms="DDP",seller_region="RU"),R351,0)</f>
        <v/>
      </c>
      <c r="T351" s="45" t="n"/>
      <c r="V351" s="57">
        <f>IF(Q351&gt;0,"показать","скрыть")</f>
        <v/>
      </c>
    </row>
    <row r="352" ht="15.75" customHeight="1">
      <c r="B352" s="809" t="n">
        <v>336</v>
      </c>
      <c r="C352" s="182">
        <f>IF(offer_sale_type="транзит",IFERROR(VLOOKUP($B352,calc_data,C$14+1,0),0),0)</f>
        <v/>
      </c>
      <c r="D352" s="280">
        <f>IF(offer_sale_type="транзит",IFERROR(VLOOKUP($B352,calc_data,D$14+1,0),0),0)</f>
        <v/>
      </c>
      <c r="E352" s="182">
        <f>IF(offer_sale_type="транзит",IFERROR(VLOOKUP($B352,calc_data,E$14+1,0),0),0)</f>
        <v/>
      </c>
      <c r="F352" s="182">
        <f>IF(offer_sale_type="транзит",IFERROR(VLOOKUP($B352,calc_data,F$14+1,0),0),0)</f>
        <v/>
      </c>
      <c r="G352" s="141">
        <f>IF(offer_sale_type="транзит",IFERROR(VLOOKUP($B352,calc_data,G$14+1,0),0),0)</f>
        <v/>
      </c>
      <c r="H352" s="141">
        <f>E352*G352</f>
        <v/>
      </c>
      <c r="I352" s="141">
        <f>IF(offer_sale_type="транзит",IFERROR(ROUND(VLOOKUP($B352,calc_data,I$14+1,0),2),0),0)</f>
        <v/>
      </c>
      <c r="J352" s="141">
        <f>ROUND(IF(offer_sale_type="транзит",IFERROR(VLOOKUP($B352,calc_data,J$14+1,0),0),0),2)</f>
        <v/>
      </c>
      <c r="K352" s="142">
        <f>IF(offer_sale_type="транзит",IFERROR(ROUNDUP(VLOOKUP($B352,calc_data,K$14+1,0),2),0),0)</f>
        <v/>
      </c>
      <c r="L352" s="184">
        <f>IF(offer_sale_type="транзит",IFERROR(ROUNDUP(VLOOKUP($B352,calc_data,L$14+1,0),2),0),0)</f>
        <v/>
      </c>
      <c r="M352" s="141">
        <f>IF(offer_sale_type="транзит",IFERROR(ROUNDUP(VLOOKUP($B352,calc_data,M$14+1,0),2),0),0)</f>
        <v/>
      </c>
      <c r="N352" s="141">
        <f>IF(offer_sale_type="транзит",IFERROR(ROUNDUP(VLOOKUP($B352,calc_data,N$14+1,0),2),0),0)</f>
        <v/>
      </c>
      <c r="O352" s="147">
        <f>IF(offer_sale_type="транзит",IFERROR(ROUND(VLOOKUP($B352,calc_data,O$14+1,1),2),0),0)</f>
        <v/>
      </c>
      <c r="P352" s="141">
        <f>IF(offer_sale_type="транзит",IFERROR(ROUND(SUM(I352:J352,M352:O352)/E352,2),0),0)</f>
        <v/>
      </c>
      <c r="Q352" s="141">
        <f>E352*P352</f>
        <v/>
      </c>
      <c r="R352" s="141">
        <f>ROUND(Q352*IF(AND(offer_incoterms="DDP",seller_region="RU"),IF((TODAY()+offer_turnaround_time)&gt;=helpsheet!$L$17,rate_vatRU_from_26,rate_vatRu_till_25),0),2)</f>
        <v/>
      </c>
      <c r="S352" s="177">
        <f>Q352+IF(AND(offer_incoterms="DDP",seller_region="RU"),R352,0)</f>
        <v/>
      </c>
      <c r="T352" s="45" t="n"/>
      <c r="V352" s="57">
        <f>IF(Q352&gt;0,"показать","скрыть")</f>
        <v/>
      </c>
    </row>
    <row r="353" ht="15.75" customHeight="1">
      <c r="B353" s="809" t="n">
        <v>337</v>
      </c>
      <c r="C353" s="182">
        <f>IF(offer_sale_type="транзит",IFERROR(VLOOKUP($B353,calc_data,C$14+1,0),0),0)</f>
        <v/>
      </c>
      <c r="D353" s="280">
        <f>IF(offer_sale_type="транзит",IFERROR(VLOOKUP($B353,calc_data,D$14+1,0),0),0)</f>
        <v/>
      </c>
      <c r="E353" s="182">
        <f>IF(offer_sale_type="транзит",IFERROR(VLOOKUP($B353,calc_data,E$14+1,0),0),0)</f>
        <v/>
      </c>
      <c r="F353" s="182">
        <f>IF(offer_sale_type="транзит",IFERROR(VLOOKUP($B353,calc_data,F$14+1,0),0),0)</f>
        <v/>
      </c>
      <c r="G353" s="141">
        <f>IF(offer_sale_type="транзит",IFERROR(VLOOKUP($B353,calc_data,G$14+1,0),0),0)</f>
        <v/>
      </c>
      <c r="H353" s="141">
        <f>E353*G353</f>
        <v/>
      </c>
      <c r="I353" s="141">
        <f>IF(offer_sale_type="транзит",IFERROR(ROUND(VLOOKUP($B353,calc_data,I$14+1,0),2),0),0)</f>
        <v/>
      </c>
      <c r="J353" s="141">
        <f>ROUND(IF(offer_sale_type="транзит",IFERROR(VLOOKUP($B353,calc_data,J$14+1,0),0),0),2)</f>
        <v/>
      </c>
      <c r="K353" s="142">
        <f>IF(offer_sale_type="транзит",IFERROR(ROUNDUP(VLOOKUP($B353,calc_data,K$14+1,0),2),0),0)</f>
        <v/>
      </c>
      <c r="L353" s="184">
        <f>IF(offer_sale_type="транзит",IFERROR(ROUNDUP(VLOOKUP($B353,calc_data,L$14+1,0),2),0),0)</f>
        <v/>
      </c>
      <c r="M353" s="141">
        <f>IF(offer_sale_type="транзит",IFERROR(ROUNDUP(VLOOKUP($B353,calc_data,M$14+1,0),2),0),0)</f>
        <v/>
      </c>
      <c r="N353" s="141">
        <f>IF(offer_sale_type="транзит",IFERROR(ROUNDUP(VLOOKUP($B353,calc_data,N$14+1,0),2),0),0)</f>
        <v/>
      </c>
      <c r="O353" s="147">
        <f>IF(offer_sale_type="транзит",IFERROR(ROUND(VLOOKUP($B353,calc_data,O$14+1,1),2),0),0)</f>
        <v/>
      </c>
      <c r="P353" s="141">
        <f>IF(offer_sale_type="транзит",IFERROR(ROUND(SUM(I353:J353,M353:O353)/E353,2),0),0)</f>
        <v/>
      </c>
      <c r="Q353" s="141">
        <f>E353*P353</f>
        <v/>
      </c>
      <c r="R353" s="141">
        <f>ROUND(Q353*IF(AND(offer_incoterms="DDP",seller_region="RU"),IF((TODAY()+offer_turnaround_time)&gt;=helpsheet!$L$17,rate_vatRU_from_26,rate_vatRu_till_25),0),2)</f>
        <v/>
      </c>
      <c r="S353" s="177">
        <f>Q353+IF(AND(offer_incoterms="DDP",seller_region="RU"),R353,0)</f>
        <v/>
      </c>
      <c r="T353" s="45" t="n"/>
      <c r="V353" s="57">
        <f>IF(Q353&gt;0,"показать","скрыть")</f>
        <v/>
      </c>
    </row>
    <row r="354" ht="15.75" customHeight="1">
      <c r="B354" s="809" t="n">
        <v>338</v>
      </c>
      <c r="C354" s="182">
        <f>IF(offer_sale_type="транзит",IFERROR(VLOOKUP($B354,calc_data,C$14+1,0),0),0)</f>
        <v/>
      </c>
      <c r="D354" s="280">
        <f>IF(offer_sale_type="транзит",IFERROR(VLOOKUP($B354,calc_data,D$14+1,0),0),0)</f>
        <v/>
      </c>
      <c r="E354" s="182">
        <f>IF(offer_sale_type="транзит",IFERROR(VLOOKUP($B354,calc_data,E$14+1,0),0),0)</f>
        <v/>
      </c>
      <c r="F354" s="182">
        <f>IF(offer_sale_type="транзит",IFERROR(VLOOKUP($B354,calc_data,F$14+1,0),0),0)</f>
        <v/>
      </c>
      <c r="G354" s="141">
        <f>IF(offer_sale_type="транзит",IFERROR(VLOOKUP($B354,calc_data,G$14+1,0),0),0)</f>
        <v/>
      </c>
      <c r="H354" s="141">
        <f>E354*G354</f>
        <v/>
      </c>
      <c r="I354" s="141">
        <f>IF(offer_sale_type="транзит",IFERROR(ROUND(VLOOKUP($B354,calc_data,I$14+1,0),2),0),0)</f>
        <v/>
      </c>
      <c r="J354" s="141">
        <f>ROUND(IF(offer_sale_type="транзит",IFERROR(VLOOKUP($B354,calc_data,J$14+1,0),0),0),2)</f>
        <v/>
      </c>
      <c r="K354" s="142">
        <f>IF(offer_sale_type="транзит",IFERROR(ROUNDUP(VLOOKUP($B354,calc_data,K$14+1,0),2),0),0)</f>
        <v/>
      </c>
      <c r="L354" s="184">
        <f>IF(offer_sale_type="транзит",IFERROR(ROUNDUP(VLOOKUP($B354,calc_data,L$14+1,0),2),0),0)</f>
        <v/>
      </c>
      <c r="M354" s="141">
        <f>IF(offer_sale_type="транзит",IFERROR(ROUNDUP(VLOOKUP($B354,calc_data,M$14+1,0),2),0),0)</f>
        <v/>
      </c>
      <c r="N354" s="141">
        <f>IF(offer_sale_type="транзит",IFERROR(ROUNDUP(VLOOKUP($B354,calc_data,N$14+1,0),2),0),0)</f>
        <v/>
      </c>
      <c r="O354" s="147">
        <f>IF(offer_sale_type="транзит",IFERROR(ROUND(VLOOKUP($B354,calc_data,O$14+1,1),2),0),0)</f>
        <v/>
      </c>
      <c r="P354" s="141">
        <f>IF(offer_sale_type="транзит",IFERROR(ROUND(SUM(I354:J354,M354:O354)/E354,2),0),0)</f>
        <v/>
      </c>
      <c r="Q354" s="141">
        <f>E354*P354</f>
        <v/>
      </c>
      <c r="R354" s="141">
        <f>ROUND(Q354*IF(AND(offer_incoterms="DDP",seller_region="RU"),IF((TODAY()+offer_turnaround_time)&gt;=helpsheet!$L$17,rate_vatRU_from_26,rate_vatRu_till_25),0),2)</f>
        <v/>
      </c>
      <c r="S354" s="177">
        <f>Q354+IF(AND(offer_incoterms="DDP",seller_region="RU"),R354,0)</f>
        <v/>
      </c>
      <c r="T354" s="45" t="n"/>
      <c r="V354" s="57">
        <f>IF(Q354&gt;0,"показать","скрыть")</f>
        <v/>
      </c>
    </row>
    <row r="355" ht="15.75" customHeight="1">
      <c r="B355" s="809" t="n">
        <v>339</v>
      </c>
      <c r="C355" s="182">
        <f>IF(offer_sale_type="транзит",IFERROR(VLOOKUP($B355,calc_data,C$14+1,0),0),0)</f>
        <v/>
      </c>
      <c r="D355" s="280">
        <f>IF(offer_sale_type="транзит",IFERROR(VLOOKUP($B355,calc_data,D$14+1,0),0),0)</f>
        <v/>
      </c>
      <c r="E355" s="182">
        <f>IF(offer_sale_type="транзит",IFERROR(VLOOKUP($B355,calc_data,E$14+1,0),0),0)</f>
        <v/>
      </c>
      <c r="F355" s="182">
        <f>IF(offer_sale_type="транзит",IFERROR(VLOOKUP($B355,calc_data,F$14+1,0),0),0)</f>
        <v/>
      </c>
      <c r="G355" s="141">
        <f>IF(offer_sale_type="транзит",IFERROR(VLOOKUP($B355,calc_data,G$14+1,0),0),0)</f>
        <v/>
      </c>
      <c r="H355" s="141">
        <f>E355*G355</f>
        <v/>
      </c>
      <c r="I355" s="141">
        <f>IF(offer_sale_type="транзит",IFERROR(ROUND(VLOOKUP($B355,calc_data,I$14+1,0),2),0),0)</f>
        <v/>
      </c>
      <c r="J355" s="141">
        <f>ROUND(IF(offer_sale_type="транзит",IFERROR(VLOOKUP($B355,calc_data,J$14+1,0),0),0),2)</f>
        <v/>
      </c>
      <c r="K355" s="142">
        <f>IF(offer_sale_type="транзит",IFERROR(ROUNDUP(VLOOKUP($B355,calc_data,K$14+1,0),2),0),0)</f>
        <v/>
      </c>
      <c r="L355" s="184">
        <f>IF(offer_sale_type="транзит",IFERROR(ROUNDUP(VLOOKUP($B355,calc_data,L$14+1,0),2),0),0)</f>
        <v/>
      </c>
      <c r="M355" s="141">
        <f>IF(offer_sale_type="транзит",IFERROR(ROUNDUP(VLOOKUP($B355,calc_data,M$14+1,0),2),0),0)</f>
        <v/>
      </c>
      <c r="N355" s="141">
        <f>IF(offer_sale_type="транзит",IFERROR(ROUNDUP(VLOOKUP($B355,calc_data,N$14+1,0),2),0),0)</f>
        <v/>
      </c>
      <c r="O355" s="147">
        <f>IF(offer_sale_type="транзит",IFERROR(ROUND(VLOOKUP($B355,calc_data,O$14+1,1),2),0),0)</f>
        <v/>
      </c>
      <c r="P355" s="141">
        <f>IF(offer_sale_type="транзит",IFERROR(ROUND(SUM(I355:J355,M355:O355)/E355,2),0),0)</f>
        <v/>
      </c>
      <c r="Q355" s="141">
        <f>E355*P355</f>
        <v/>
      </c>
      <c r="R355" s="141">
        <f>ROUND(Q355*IF(AND(offer_incoterms="DDP",seller_region="RU"),IF((TODAY()+offer_turnaround_time)&gt;=helpsheet!$L$17,rate_vatRU_from_26,rate_vatRu_till_25),0),2)</f>
        <v/>
      </c>
      <c r="S355" s="177">
        <f>Q355+IF(AND(offer_incoterms="DDP",seller_region="RU"),R355,0)</f>
        <v/>
      </c>
      <c r="T355" s="45" t="n"/>
      <c r="V355" s="57">
        <f>IF(Q355&gt;0,"показать","скрыть")</f>
        <v/>
      </c>
    </row>
    <row r="356" ht="15.75" customHeight="1">
      <c r="B356" s="809" t="n">
        <v>340</v>
      </c>
      <c r="C356" s="182">
        <f>IF(offer_sale_type="транзит",IFERROR(VLOOKUP($B356,calc_data,C$14+1,0),0),0)</f>
        <v/>
      </c>
      <c r="D356" s="280">
        <f>IF(offer_sale_type="транзит",IFERROR(VLOOKUP($B356,calc_data,D$14+1,0),0),0)</f>
        <v/>
      </c>
      <c r="E356" s="182">
        <f>IF(offer_sale_type="транзит",IFERROR(VLOOKUP($B356,calc_data,E$14+1,0),0),0)</f>
        <v/>
      </c>
      <c r="F356" s="182">
        <f>IF(offer_sale_type="транзит",IFERROR(VLOOKUP($B356,calc_data,F$14+1,0),0),0)</f>
        <v/>
      </c>
      <c r="G356" s="141">
        <f>IF(offer_sale_type="транзит",IFERROR(VLOOKUP($B356,calc_data,G$14+1,0),0),0)</f>
        <v/>
      </c>
      <c r="H356" s="141">
        <f>E356*G356</f>
        <v/>
      </c>
      <c r="I356" s="141">
        <f>IF(offer_sale_type="транзит",IFERROR(ROUND(VLOOKUP($B356,calc_data,I$14+1,0),2),0),0)</f>
        <v/>
      </c>
      <c r="J356" s="141">
        <f>ROUND(IF(offer_sale_type="транзит",IFERROR(VLOOKUP($B356,calc_data,J$14+1,0),0),0),2)</f>
        <v/>
      </c>
      <c r="K356" s="142">
        <f>IF(offer_sale_type="транзит",IFERROR(ROUNDUP(VLOOKUP($B356,calc_data,K$14+1,0),2),0),0)</f>
        <v/>
      </c>
      <c r="L356" s="184">
        <f>IF(offer_sale_type="транзит",IFERROR(ROUNDUP(VLOOKUP($B356,calc_data,L$14+1,0),2),0),0)</f>
        <v/>
      </c>
      <c r="M356" s="141">
        <f>IF(offer_sale_type="транзит",IFERROR(ROUNDUP(VLOOKUP($B356,calc_data,M$14+1,0),2),0),0)</f>
        <v/>
      </c>
      <c r="N356" s="141">
        <f>IF(offer_sale_type="транзит",IFERROR(ROUNDUP(VLOOKUP($B356,calc_data,N$14+1,0),2),0),0)</f>
        <v/>
      </c>
      <c r="O356" s="147">
        <f>IF(offer_sale_type="транзит",IFERROR(ROUND(VLOOKUP($B356,calc_data,O$14+1,1),2),0),0)</f>
        <v/>
      </c>
      <c r="P356" s="141">
        <f>IF(offer_sale_type="транзит",IFERROR(ROUND(SUM(I356:J356,M356:O356)/E356,2),0),0)</f>
        <v/>
      </c>
      <c r="Q356" s="141">
        <f>E356*P356</f>
        <v/>
      </c>
      <c r="R356" s="141">
        <f>ROUND(Q356*IF(AND(offer_incoterms="DDP",seller_region="RU"),IF((TODAY()+offer_turnaround_time)&gt;=helpsheet!$L$17,rate_vatRU_from_26,rate_vatRu_till_25),0),2)</f>
        <v/>
      </c>
      <c r="S356" s="177">
        <f>Q356+IF(AND(offer_incoterms="DDP",seller_region="RU"),R356,0)</f>
        <v/>
      </c>
      <c r="T356" s="45" t="n"/>
      <c r="V356" s="57">
        <f>IF(Q356&gt;0,"показать","скрыть")</f>
        <v/>
      </c>
    </row>
    <row r="357" ht="15.75" customHeight="1">
      <c r="B357" s="809" t="n">
        <v>341</v>
      </c>
      <c r="C357" s="182">
        <f>IF(offer_sale_type="транзит",IFERROR(VLOOKUP($B357,calc_data,C$14+1,0),0),0)</f>
        <v/>
      </c>
      <c r="D357" s="280">
        <f>IF(offer_sale_type="транзит",IFERROR(VLOOKUP($B357,calc_data,D$14+1,0),0),0)</f>
        <v/>
      </c>
      <c r="E357" s="182">
        <f>IF(offer_sale_type="транзит",IFERROR(VLOOKUP($B357,calc_data,E$14+1,0),0),0)</f>
        <v/>
      </c>
      <c r="F357" s="182">
        <f>IF(offer_sale_type="транзит",IFERROR(VLOOKUP($B357,calc_data,F$14+1,0),0),0)</f>
        <v/>
      </c>
      <c r="G357" s="141">
        <f>IF(offer_sale_type="транзит",IFERROR(VLOOKUP($B357,calc_data,G$14+1,0),0),0)</f>
        <v/>
      </c>
      <c r="H357" s="141">
        <f>E357*G357</f>
        <v/>
      </c>
      <c r="I357" s="141">
        <f>IF(offer_sale_type="транзит",IFERROR(ROUND(VLOOKUP($B357,calc_data,I$14+1,0),2),0),0)</f>
        <v/>
      </c>
      <c r="J357" s="141">
        <f>ROUND(IF(offer_sale_type="транзит",IFERROR(VLOOKUP($B357,calc_data,J$14+1,0),0),0),2)</f>
        <v/>
      </c>
      <c r="K357" s="142">
        <f>IF(offer_sale_type="транзит",IFERROR(ROUNDUP(VLOOKUP($B357,calc_data,K$14+1,0),2),0),0)</f>
        <v/>
      </c>
      <c r="L357" s="184">
        <f>IF(offer_sale_type="транзит",IFERROR(ROUNDUP(VLOOKUP($B357,calc_data,L$14+1,0),2),0),0)</f>
        <v/>
      </c>
      <c r="M357" s="141">
        <f>IF(offer_sale_type="транзит",IFERROR(ROUNDUP(VLOOKUP($B357,calc_data,M$14+1,0),2),0),0)</f>
        <v/>
      </c>
      <c r="N357" s="141">
        <f>IF(offer_sale_type="транзит",IFERROR(ROUNDUP(VLOOKUP($B357,calc_data,N$14+1,0),2),0),0)</f>
        <v/>
      </c>
      <c r="O357" s="147">
        <f>IF(offer_sale_type="транзит",IFERROR(ROUND(VLOOKUP($B357,calc_data,O$14+1,1),2),0),0)</f>
        <v/>
      </c>
      <c r="P357" s="141">
        <f>IF(offer_sale_type="транзит",IFERROR(ROUND(SUM(I357:J357,M357:O357)/E357,2),0),0)</f>
        <v/>
      </c>
      <c r="Q357" s="141">
        <f>E357*P357</f>
        <v/>
      </c>
      <c r="R357" s="141">
        <f>ROUND(Q357*IF(AND(offer_incoterms="DDP",seller_region="RU"),IF((TODAY()+offer_turnaround_time)&gt;=helpsheet!$L$17,rate_vatRU_from_26,rate_vatRu_till_25),0),2)</f>
        <v/>
      </c>
      <c r="S357" s="177">
        <f>Q357+IF(AND(offer_incoterms="DDP",seller_region="RU"),R357,0)</f>
        <v/>
      </c>
      <c r="T357" s="45" t="n"/>
      <c r="V357" s="57">
        <f>IF(Q357&gt;0,"показать","скрыть")</f>
        <v/>
      </c>
    </row>
    <row r="358" ht="15.75" customHeight="1">
      <c r="B358" s="809" t="n">
        <v>342</v>
      </c>
      <c r="C358" s="182">
        <f>IF(offer_sale_type="транзит",IFERROR(VLOOKUP($B358,calc_data,C$14+1,0),0),0)</f>
        <v/>
      </c>
      <c r="D358" s="280">
        <f>IF(offer_sale_type="транзит",IFERROR(VLOOKUP($B358,calc_data,D$14+1,0),0),0)</f>
        <v/>
      </c>
      <c r="E358" s="182">
        <f>IF(offer_sale_type="транзит",IFERROR(VLOOKUP($B358,calc_data,E$14+1,0),0),0)</f>
        <v/>
      </c>
      <c r="F358" s="182">
        <f>IF(offer_sale_type="транзит",IFERROR(VLOOKUP($B358,calc_data,F$14+1,0),0),0)</f>
        <v/>
      </c>
      <c r="G358" s="141">
        <f>IF(offer_sale_type="транзит",IFERROR(VLOOKUP($B358,calc_data,G$14+1,0),0),0)</f>
        <v/>
      </c>
      <c r="H358" s="141">
        <f>E358*G358</f>
        <v/>
      </c>
      <c r="I358" s="141">
        <f>IF(offer_sale_type="транзит",IFERROR(ROUND(VLOOKUP($B358,calc_data,I$14+1,0),2),0),0)</f>
        <v/>
      </c>
      <c r="J358" s="141">
        <f>ROUND(IF(offer_sale_type="транзит",IFERROR(VLOOKUP($B358,calc_data,J$14+1,0),0),0),2)</f>
        <v/>
      </c>
      <c r="K358" s="142">
        <f>IF(offer_sale_type="транзит",IFERROR(ROUNDUP(VLOOKUP($B358,calc_data,K$14+1,0),2),0),0)</f>
        <v/>
      </c>
      <c r="L358" s="184">
        <f>IF(offer_sale_type="транзит",IFERROR(ROUNDUP(VLOOKUP($B358,calc_data,L$14+1,0),2),0),0)</f>
        <v/>
      </c>
      <c r="M358" s="141">
        <f>IF(offer_sale_type="транзит",IFERROR(ROUNDUP(VLOOKUP($B358,calc_data,M$14+1,0),2),0),0)</f>
        <v/>
      </c>
      <c r="N358" s="141">
        <f>IF(offer_sale_type="транзит",IFERROR(ROUNDUP(VLOOKUP($B358,calc_data,N$14+1,0),2),0),0)</f>
        <v/>
      </c>
      <c r="O358" s="147">
        <f>IF(offer_sale_type="транзит",IFERROR(ROUND(VLOOKUP($B358,calc_data,O$14+1,1),2),0),0)</f>
        <v/>
      </c>
      <c r="P358" s="141">
        <f>IF(offer_sale_type="транзит",IFERROR(ROUND(SUM(I358:J358,M358:O358)/E358,2),0),0)</f>
        <v/>
      </c>
      <c r="Q358" s="141">
        <f>E358*P358</f>
        <v/>
      </c>
      <c r="R358" s="141">
        <f>ROUND(Q358*IF(AND(offer_incoterms="DDP",seller_region="RU"),IF((TODAY()+offer_turnaround_time)&gt;=helpsheet!$L$17,rate_vatRU_from_26,rate_vatRu_till_25),0),2)</f>
        <v/>
      </c>
      <c r="S358" s="177">
        <f>Q358+IF(AND(offer_incoterms="DDP",seller_region="RU"),R358,0)</f>
        <v/>
      </c>
      <c r="T358" s="45" t="n"/>
      <c r="V358" s="57">
        <f>IF(Q358&gt;0,"показать","скрыть")</f>
        <v/>
      </c>
    </row>
    <row r="359" ht="15.75" customHeight="1">
      <c r="B359" s="809" t="n">
        <v>343</v>
      </c>
      <c r="C359" s="182">
        <f>IF(offer_sale_type="транзит",IFERROR(VLOOKUP($B359,calc_data,C$14+1,0),0),0)</f>
        <v/>
      </c>
      <c r="D359" s="280">
        <f>IF(offer_sale_type="транзит",IFERROR(VLOOKUP($B359,calc_data,D$14+1,0),0),0)</f>
        <v/>
      </c>
      <c r="E359" s="182">
        <f>IF(offer_sale_type="транзит",IFERROR(VLOOKUP($B359,calc_data,E$14+1,0),0),0)</f>
        <v/>
      </c>
      <c r="F359" s="182">
        <f>IF(offer_sale_type="транзит",IFERROR(VLOOKUP($B359,calc_data,F$14+1,0),0),0)</f>
        <v/>
      </c>
      <c r="G359" s="141">
        <f>IF(offer_sale_type="транзит",IFERROR(VLOOKUP($B359,calc_data,G$14+1,0),0),0)</f>
        <v/>
      </c>
      <c r="H359" s="141">
        <f>E359*G359</f>
        <v/>
      </c>
      <c r="I359" s="141">
        <f>IF(offer_sale_type="транзит",IFERROR(ROUND(VLOOKUP($B359,calc_data,I$14+1,0),2),0),0)</f>
        <v/>
      </c>
      <c r="J359" s="141">
        <f>ROUND(IF(offer_sale_type="транзит",IFERROR(VLOOKUP($B359,calc_data,J$14+1,0),0),0),2)</f>
        <v/>
      </c>
      <c r="K359" s="142">
        <f>IF(offer_sale_type="транзит",IFERROR(ROUNDUP(VLOOKUP($B359,calc_data,K$14+1,0),2),0),0)</f>
        <v/>
      </c>
      <c r="L359" s="184">
        <f>IF(offer_sale_type="транзит",IFERROR(ROUNDUP(VLOOKUP($B359,calc_data,L$14+1,0),2),0),0)</f>
        <v/>
      </c>
      <c r="M359" s="141">
        <f>IF(offer_sale_type="транзит",IFERROR(ROUNDUP(VLOOKUP($B359,calc_data,M$14+1,0),2),0),0)</f>
        <v/>
      </c>
      <c r="N359" s="141">
        <f>IF(offer_sale_type="транзит",IFERROR(ROUNDUP(VLOOKUP($B359,calc_data,N$14+1,0),2),0),0)</f>
        <v/>
      </c>
      <c r="O359" s="147">
        <f>IF(offer_sale_type="транзит",IFERROR(ROUND(VLOOKUP($B359,calc_data,O$14+1,1),2),0),0)</f>
        <v/>
      </c>
      <c r="P359" s="141">
        <f>IF(offer_sale_type="транзит",IFERROR(ROUND(SUM(I359:J359,M359:O359)/E359,2),0),0)</f>
        <v/>
      </c>
      <c r="Q359" s="141">
        <f>E359*P359</f>
        <v/>
      </c>
      <c r="R359" s="141">
        <f>ROUND(Q359*IF(AND(offer_incoterms="DDP",seller_region="RU"),IF((TODAY()+offer_turnaround_time)&gt;=helpsheet!$L$17,rate_vatRU_from_26,rate_vatRu_till_25),0),2)</f>
        <v/>
      </c>
      <c r="S359" s="177">
        <f>Q359+IF(AND(offer_incoterms="DDP",seller_region="RU"),R359,0)</f>
        <v/>
      </c>
      <c r="T359" s="45" t="n"/>
      <c r="V359" s="57">
        <f>IF(Q359&gt;0,"показать","скрыть")</f>
        <v/>
      </c>
    </row>
    <row r="360" ht="15.75" customHeight="1">
      <c r="B360" s="809" t="n">
        <v>344</v>
      </c>
      <c r="C360" s="182">
        <f>IF(offer_sale_type="транзит",IFERROR(VLOOKUP($B360,calc_data,C$14+1,0),0),0)</f>
        <v/>
      </c>
      <c r="D360" s="280">
        <f>IF(offer_sale_type="транзит",IFERROR(VLOOKUP($B360,calc_data,D$14+1,0),0),0)</f>
        <v/>
      </c>
      <c r="E360" s="182">
        <f>IF(offer_sale_type="транзит",IFERROR(VLOOKUP($B360,calc_data,E$14+1,0),0),0)</f>
        <v/>
      </c>
      <c r="F360" s="182">
        <f>IF(offer_sale_type="транзит",IFERROR(VLOOKUP($B360,calc_data,F$14+1,0),0),0)</f>
        <v/>
      </c>
      <c r="G360" s="141">
        <f>IF(offer_sale_type="транзит",IFERROR(VLOOKUP($B360,calc_data,G$14+1,0),0),0)</f>
        <v/>
      </c>
      <c r="H360" s="141">
        <f>E360*G360</f>
        <v/>
      </c>
      <c r="I360" s="141">
        <f>IF(offer_sale_type="транзит",IFERROR(ROUND(VLOOKUP($B360,calc_data,I$14+1,0),2),0),0)</f>
        <v/>
      </c>
      <c r="J360" s="141">
        <f>ROUND(IF(offer_sale_type="транзит",IFERROR(VLOOKUP($B360,calc_data,J$14+1,0),0),0),2)</f>
        <v/>
      </c>
      <c r="K360" s="142">
        <f>IF(offer_sale_type="транзит",IFERROR(ROUNDUP(VLOOKUP($B360,calc_data,K$14+1,0),2),0),0)</f>
        <v/>
      </c>
      <c r="L360" s="184">
        <f>IF(offer_sale_type="транзит",IFERROR(ROUNDUP(VLOOKUP($B360,calc_data,L$14+1,0),2),0),0)</f>
        <v/>
      </c>
      <c r="M360" s="141">
        <f>IF(offer_sale_type="транзит",IFERROR(ROUNDUP(VLOOKUP($B360,calc_data,M$14+1,0),2),0),0)</f>
        <v/>
      </c>
      <c r="N360" s="141">
        <f>IF(offer_sale_type="транзит",IFERROR(ROUNDUP(VLOOKUP($B360,calc_data,N$14+1,0),2),0),0)</f>
        <v/>
      </c>
      <c r="O360" s="147">
        <f>IF(offer_sale_type="транзит",IFERROR(ROUND(VLOOKUP($B360,calc_data,O$14+1,1),2),0),0)</f>
        <v/>
      </c>
      <c r="P360" s="141">
        <f>IF(offer_sale_type="транзит",IFERROR(ROUND(SUM(I360:J360,M360:O360)/E360,2),0),0)</f>
        <v/>
      </c>
      <c r="Q360" s="141">
        <f>E360*P360</f>
        <v/>
      </c>
      <c r="R360" s="141">
        <f>ROUND(Q360*IF(AND(offer_incoterms="DDP",seller_region="RU"),IF((TODAY()+offer_turnaround_time)&gt;=helpsheet!$L$17,rate_vatRU_from_26,rate_vatRu_till_25),0),2)</f>
        <v/>
      </c>
      <c r="S360" s="177">
        <f>Q360+IF(AND(offer_incoterms="DDP",seller_region="RU"),R360,0)</f>
        <v/>
      </c>
      <c r="T360" s="45" t="n"/>
      <c r="V360" s="57">
        <f>IF(Q360&gt;0,"показать","скрыть")</f>
        <v/>
      </c>
    </row>
    <row r="361" ht="15.75" customHeight="1">
      <c r="B361" s="809" t="n">
        <v>345</v>
      </c>
      <c r="C361" s="182">
        <f>IF(offer_sale_type="транзит",IFERROR(VLOOKUP($B361,calc_data,C$14+1,0),0),0)</f>
        <v/>
      </c>
      <c r="D361" s="280">
        <f>IF(offer_sale_type="транзит",IFERROR(VLOOKUP($B361,calc_data,D$14+1,0),0),0)</f>
        <v/>
      </c>
      <c r="E361" s="182">
        <f>IF(offer_sale_type="транзит",IFERROR(VLOOKUP($B361,calc_data,E$14+1,0),0),0)</f>
        <v/>
      </c>
      <c r="F361" s="182">
        <f>IF(offer_sale_type="транзит",IFERROR(VLOOKUP($B361,calc_data,F$14+1,0),0),0)</f>
        <v/>
      </c>
      <c r="G361" s="141">
        <f>IF(offer_sale_type="транзит",IFERROR(VLOOKUP($B361,calc_data,G$14+1,0),0),0)</f>
        <v/>
      </c>
      <c r="H361" s="141">
        <f>E361*G361</f>
        <v/>
      </c>
      <c r="I361" s="141">
        <f>IF(offer_sale_type="транзит",IFERROR(ROUND(VLOOKUP($B361,calc_data,I$14+1,0),2),0),0)</f>
        <v/>
      </c>
      <c r="J361" s="141">
        <f>ROUND(IF(offer_sale_type="транзит",IFERROR(VLOOKUP($B361,calc_data,J$14+1,0),0),0),2)</f>
        <v/>
      </c>
      <c r="K361" s="142">
        <f>IF(offer_sale_type="транзит",IFERROR(ROUNDUP(VLOOKUP($B361,calc_data,K$14+1,0),2),0),0)</f>
        <v/>
      </c>
      <c r="L361" s="184">
        <f>IF(offer_sale_type="транзит",IFERROR(ROUNDUP(VLOOKUP($B361,calc_data,L$14+1,0),2),0),0)</f>
        <v/>
      </c>
      <c r="M361" s="141">
        <f>IF(offer_sale_type="транзит",IFERROR(ROUNDUP(VLOOKUP($B361,calc_data,M$14+1,0),2),0),0)</f>
        <v/>
      </c>
      <c r="N361" s="141">
        <f>IF(offer_sale_type="транзит",IFERROR(ROUNDUP(VLOOKUP($B361,calc_data,N$14+1,0),2),0),0)</f>
        <v/>
      </c>
      <c r="O361" s="147">
        <f>IF(offer_sale_type="транзит",IFERROR(ROUND(VLOOKUP($B361,calc_data,O$14+1,1),2),0),0)</f>
        <v/>
      </c>
      <c r="P361" s="141">
        <f>IF(offer_sale_type="транзит",IFERROR(ROUND(SUM(I361:J361,M361:O361)/E361,2),0),0)</f>
        <v/>
      </c>
      <c r="Q361" s="141">
        <f>E361*P361</f>
        <v/>
      </c>
      <c r="R361" s="141">
        <f>ROUND(Q361*IF(AND(offer_incoterms="DDP",seller_region="RU"),IF((TODAY()+offer_turnaround_time)&gt;=helpsheet!$L$17,rate_vatRU_from_26,rate_vatRu_till_25),0),2)</f>
        <v/>
      </c>
      <c r="S361" s="177">
        <f>Q361+IF(AND(offer_incoterms="DDP",seller_region="RU"),R361,0)</f>
        <v/>
      </c>
      <c r="T361" s="45" t="n"/>
      <c r="V361" s="57">
        <f>IF(Q361&gt;0,"показать","скрыть")</f>
        <v/>
      </c>
    </row>
    <row r="362" ht="15.75" customHeight="1">
      <c r="B362" s="809" t="n">
        <v>346</v>
      </c>
      <c r="C362" s="182">
        <f>IF(offer_sale_type="транзит",IFERROR(VLOOKUP($B362,calc_data,C$14+1,0),0),0)</f>
        <v/>
      </c>
      <c r="D362" s="280">
        <f>IF(offer_sale_type="транзит",IFERROR(VLOOKUP($B362,calc_data,D$14+1,0),0),0)</f>
        <v/>
      </c>
      <c r="E362" s="182">
        <f>IF(offer_sale_type="транзит",IFERROR(VLOOKUP($B362,calc_data,E$14+1,0),0),0)</f>
        <v/>
      </c>
      <c r="F362" s="182">
        <f>IF(offer_sale_type="транзит",IFERROR(VLOOKUP($B362,calc_data,F$14+1,0),0),0)</f>
        <v/>
      </c>
      <c r="G362" s="141">
        <f>IF(offer_sale_type="транзит",IFERROR(VLOOKUP($B362,calc_data,G$14+1,0),0),0)</f>
        <v/>
      </c>
      <c r="H362" s="141">
        <f>E362*G362</f>
        <v/>
      </c>
      <c r="I362" s="141">
        <f>IF(offer_sale_type="транзит",IFERROR(ROUND(VLOOKUP($B362,calc_data,I$14+1,0),2),0),0)</f>
        <v/>
      </c>
      <c r="J362" s="141">
        <f>ROUND(IF(offer_sale_type="транзит",IFERROR(VLOOKUP($B362,calc_data,J$14+1,0),0),0),2)</f>
        <v/>
      </c>
      <c r="K362" s="142">
        <f>IF(offer_sale_type="транзит",IFERROR(ROUNDUP(VLOOKUP($B362,calc_data,K$14+1,0),2),0),0)</f>
        <v/>
      </c>
      <c r="L362" s="184">
        <f>IF(offer_sale_type="транзит",IFERROR(ROUNDUP(VLOOKUP($B362,calc_data,L$14+1,0),2),0),0)</f>
        <v/>
      </c>
      <c r="M362" s="141">
        <f>IF(offer_sale_type="транзит",IFERROR(ROUNDUP(VLOOKUP($B362,calc_data,M$14+1,0),2),0),0)</f>
        <v/>
      </c>
      <c r="N362" s="141">
        <f>IF(offer_sale_type="транзит",IFERROR(ROUNDUP(VLOOKUP($B362,calc_data,N$14+1,0),2),0),0)</f>
        <v/>
      </c>
      <c r="O362" s="147">
        <f>IF(offer_sale_type="транзит",IFERROR(ROUND(VLOOKUP($B362,calc_data,O$14+1,1),2),0),0)</f>
        <v/>
      </c>
      <c r="P362" s="141">
        <f>IF(offer_sale_type="транзит",IFERROR(ROUND(SUM(I362:J362,M362:O362)/E362,2),0),0)</f>
        <v/>
      </c>
      <c r="Q362" s="141">
        <f>E362*P362</f>
        <v/>
      </c>
      <c r="R362" s="141">
        <f>ROUND(Q362*IF(AND(offer_incoterms="DDP",seller_region="RU"),IF((TODAY()+offer_turnaround_time)&gt;=helpsheet!$L$17,rate_vatRU_from_26,rate_vatRu_till_25),0),2)</f>
        <v/>
      </c>
      <c r="S362" s="177">
        <f>Q362+IF(AND(offer_incoterms="DDP",seller_region="RU"),R362,0)</f>
        <v/>
      </c>
      <c r="T362" s="45" t="n"/>
      <c r="V362" s="57">
        <f>IF(Q362&gt;0,"показать","скрыть")</f>
        <v/>
      </c>
    </row>
    <row r="363" ht="15.75" customHeight="1">
      <c r="B363" s="809" t="n">
        <v>347</v>
      </c>
      <c r="C363" s="182">
        <f>IF(offer_sale_type="транзит",IFERROR(VLOOKUP($B363,calc_data,C$14+1,0),0),0)</f>
        <v/>
      </c>
      <c r="D363" s="280">
        <f>IF(offer_sale_type="транзит",IFERROR(VLOOKUP($B363,calc_data,D$14+1,0),0),0)</f>
        <v/>
      </c>
      <c r="E363" s="182">
        <f>IF(offer_sale_type="транзит",IFERROR(VLOOKUP($B363,calc_data,E$14+1,0),0),0)</f>
        <v/>
      </c>
      <c r="F363" s="182">
        <f>IF(offer_sale_type="транзит",IFERROR(VLOOKUP($B363,calc_data,F$14+1,0),0),0)</f>
        <v/>
      </c>
      <c r="G363" s="141">
        <f>IF(offer_sale_type="транзит",IFERROR(VLOOKUP($B363,calc_data,G$14+1,0),0),0)</f>
        <v/>
      </c>
      <c r="H363" s="141">
        <f>E363*G363</f>
        <v/>
      </c>
      <c r="I363" s="141">
        <f>IF(offer_sale_type="транзит",IFERROR(ROUND(VLOOKUP($B363,calc_data,I$14+1,0),2),0),0)</f>
        <v/>
      </c>
      <c r="J363" s="141">
        <f>ROUND(IF(offer_sale_type="транзит",IFERROR(VLOOKUP($B363,calc_data,J$14+1,0),0),0),2)</f>
        <v/>
      </c>
      <c r="K363" s="142">
        <f>IF(offer_sale_type="транзит",IFERROR(ROUNDUP(VLOOKUP($B363,calc_data,K$14+1,0),2),0),0)</f>
        <v/>
      </c>
      <c r="L363" s="184">
        <f>IF(offer_sale_type="транзит",IFERROR(ROUNDUP(VLOOKUP($B363,calc_data,L$14+1,0),2),0),0)</f>
        <v/>
      </c>
      <c r="M363" s="141">
        <f>IF(offer_sale_type="транзит",IFERROR(ROUNDUP(VLOOKUP($B363,calc_data,M$14+1,0),2),0),0)</f>
        <v/>
      </c>
      <c r="N363" s="141">
        <f>IF(offer_sale_type="транзит",IFERROR(ROUNDUP(VLOOKUP($B363,calc_data,N$14+1,0),2),0),0)</f>
        <v/>
      </c>
      <c r="O363" s="147">
        <f>IF(offer_sale_type="транзит",IFERROR(ROUND(VLOOKUP($B363,calc_data,O$14+1,1),2),0),0)</f>
        <v/>
      </c>
      <c r="P363" s="141">
        <f>IF(offer_sale_type="транзит",IFERROR(ROUND(SUM(I363:J363,M363:O363)/E363,2),0),0)</f>
        <v/>
      </c>
      <c r="Q363" s="141">
        <f>E363*P363</f>
        <v/>
      </c>
      <c r="R363" s="141">
        <f>ROUND(Q363*IF(AND(offer_incoterms="DDP",seller_region="RU"),IF((TODAY()+offer_turnaround_time)&gt;=helpsheet!$L$17,rate_vatRU_from_26,rate_vatRu_till_25),0),2)</f>
        <v/>
      </c>
      <c r="S363" s="177">
        <f>Q363+IF(AND(offer_incoterms="DDP",seller_region="RU"),R363,0)</f>
        <v/>
      </c>
      <c r="T363" s="45" t="n"/>
      <c r="V363" s="57">
        <f>IF(Q363&gt;0,"показать","скрыть")</f>
        <v/>
      </c>
    </row>
    <row r="364" ht="15.75" customHeight="1">
      <c r="B364" s="809" t="n">
        <v>348</v>
      </c>
      <c r="C364" s="182">
        <f>IF(offer_sale_type="транзит",IFERROR(VLOOKUP($B364,calc_data,C$14+1,0),0),0)</f>
        <v/>
      </c>
      <c r="D364" s="280">
        <f>IF(offer_sale_type="транзит",IFERROR(VLOOKUP($B364,calc_data,D$14+1,0),0),0)</f>
        <v/>
      </c>
      <c r="E364" s="182">
        <f>IF(offer_sale_type="транзит",IFERROR(VLOOKUP($B364,calc_data,E$14+1,0),0),0)</f>
        <v/>
      </c>
      <c r="F364" s="182">
        <f>IF(offer_sale_type="транзит",IFERROR(VLOOKUP($B364,calc_data,F$14+1,0),0),0)</f>
        <v/>
      </c>
      <c r="G364" s="141">
        <f>IF(offer_sale_type="транзит",IFERROR(VLOOKUP($B364,calc_data,G$14+1,0),0),0)</f>
        <v/>
      </c>
      <c r="H364" s="141">
        <f>E364*G364</f>
        <v/>
      </c>
      <c r="I364" s="141">
        <f>IF(offer_sale_type="транзит",IFERROR(ROUND(VLOOKUP($B364,calc_data,I$14+1,0),2),0),0)</f>
        <v/>
      </c>
      <c r="J364" s="141">
        <f>ROUND(IF(offer_sale_type="транзит",IFERROR(VLOOKUP($B364,calc_data,J$14+1,0),0),0),2)</f>
        <v/>
      </c>
      <c r="K364" s="142">
        <f>IF(offer_sale_type="транзит",IFERROR(ROUNDUP(VLOOKUP($B364,calc_data,K$14+1,0),2),0),0)</f>
        <v/>
      </c>
      <c r="L364" s="184">
        <f>IF(offer_sale_type="транзит",IFERROR(ROUNDUP(VLOOKUP($B364,calc_data,L$14+1,0),2),0),0)</f>
        <v/>
      </c>
      <c r="M364" s="141">
        <f>IF(offer_sale_type="транзит",IFERROR(ROUNDUP(VLOOKUP($B364,calc_data,M$14+1,0),2),0),0)</f>
        <v/>
      </c>
      <c r="N364" s="141">
        <f>IF(offer_sale_type="транзит",IFERROR(ROUNDUP(VLOOKUP($B364,calc_data,N$14+1,0),2),0),0)</f>
        <v/>
      </c>
      <c r="O364" s="147">
        <f>IF(offer_sale_type="транзит",IFERROR(ROUND(VLOOKUP($B364,calc_data,O$14+1,1),2),0),0)</f>
        <v/>
      </c>
      <c r="P364" s="141">
        <f>IF(offer_sale_type="транзит",IFERROR(ROUND(SUM(I364:J364,M364:O364)/E364,2),0),0)</f>
        <v/>
      </c>
      <c r="Q364" s="141">
        <f>E364*P364</f>
        <v/>
      </c>
      <c r="R364" s="141">
        <f>ROUND(Q364*IF(AND(offer_incoterms="DDP",seller_region="RU"),IF((TODAY()+offer_turnaround_time)&gt;=helpsheet!$L$17,rate_vatRU_from_26,rate_vatRu_till_25),0),2)</f>
        <v/>
      </c>
      <c r="S364" s="177">
        <f>Q364+IF(AND(offer_incoterms="DDP",seller_region="RU"),R364,0)</f>
        <v/>
      </c>
      <c r="T364" s="45" t="n"/>
      <c r="V364" s="57">
        <f>IF(Q364&gt;0,"показать","скрыть")</f>
        <v/>
      </c>
    </row>
    <row r="365" ht="15.75" customHeight="1">
      <c r="B365" s="809" t="n">
        <v>349</v>
      </c>
      <c r="C365" s="182">
        <f>IF(offer_sale_type="транзит",IFERROR(VLOOKUP($B365,calc_data,C$14+1,0),0),0)</f>
        <v/>
      </c>
      <c r="D365" s="280">
        <f>IF(offer_sale_type="транзит",IFERROR(VLOOKUP($B365,calc_data,D$14+1,0),0),0)</f>
        <v/>
      </c>
      <c r="E365" s="182">
        <f>IF(offer_sale_type="транзит",IFERROR(VLOOKUP($B365,calc_data,E$14+1,0),0),0)</f>
        <v/>
      </c>
      <c r="F365" s="182">
        <f>IF(offer_sale_type="транзит",IFERROR(VLOOKUP($B365,calc_data,F$14+1,0),0),0)</f>
        <v/>
      </c>
      <c r="G365" s="141">
        <f>IF(offer_sale_type="транзит",IFERROR(VLOOKUP($B365,calc_data,G$14+1,0),0),0)</f>
        <v/>
      </c>
      <c r="H365" s="141">
        <f>E365*G365</f>
        <v/>
      </c>
      <c r="I365" s="141">
        <f>IF(offer_sale_type="транзит",IFERROR(ROUND(VLOOKUP($B365,calc_data,I$14+1,0),2),0),0)</f>
        <v/>
      </c>
      <c r="J365" s="141">
        <f>ROUND(IF(offer_sale_type="транзит",IFERROR(VLOOKUP($B365,calc_data,J$14+1,0),0),0),2)</f>
        <v/>
      </c>
      <c r="K365" s="142">
        <f>IF(offer_sale_type="транзит",IFERROR(ROUNDUP(VLOOKUP($B365,calc_data,K$14+1,0),2),0),0)</f>
        <v/>
      </c>
      <c r="L365" s="184">
        <f>IF(offer_sale_type="транзит",IFERROR(ROUNDUP(VLOOKUP($B365,calc_data,L$14+1,0),2),0),0)</f>
        <v/>
      </c>
      <c r="M365" s="141">
        <f>IF(offer_sale_type="транзит",IFERROR(ROUNDUP(VLOOKUP($B365,calc_data,M$14+1,0),2),0),0)</f>
        <v/>
      </c>
      <c r="N365" s="141">
        <f>IF(offer_sale_type="транзит",IFERROR(ROUNDUP(VLOOKUP($B365,calc_data,N$14+1,0),2),0),0)</f>
        <v/>
      </c>
      <c r="O365" s="147">
        <f>IF(offer_sale_type="транзит",IFERROR(ROUND(VLOOKUP($B365,calc_data,O$14+1,1),2),0),0)</f>
        <v/>
      </c>
      <c r="P365" s="141">
        <f>IF(offer_sale_type="транзит",IFERROR(ROUND(SUM(I365:J365,M365:O365)/E365,2),0),0)</f>
        <v/>
      </c>
      <c r="Q365" s="141">
        <f>E365*P365</f>
        <v/>
      </c>
      <c r="R365" s="141">
        <f>ROUND(Q365*IF(AND(offer_incoterms="DDP",seller_region="RU"),IF((TODAY()+offer_turnaround_time)&gt;=helpsheet!$L$17,rate_vatRU_from_26,rate_vatRu_till_25),0),2)</f>
        <v/>
      </c>
      <c r="S365" s="177">
        <f>Q365+IF(AND(offer_incoterms="DDP",seller_region="RU"),R365,0)</f>
        <v/>
      </c>
      <c r="T365" s="45" t="n"/>
      <c r="V365" s="57">
        <f>IF(Q365&gt;0,"показать","скрыть")</f>
        <v/>
      </c>
    </row>
    <row r="366" ht="15.75" customHeight="1">
      <c r="B366" s="809" t="n">
        <v>350</v>
      </c>
      <c r="C366" s="182">
        <f>IF(offer_sale_type="транзит",IFERROR(VLOOKUP($B366,calc_data,C$14+1,0),0),0)</f>
        <v/>
      </c>
      <c r="D366" s="280">
        <f>IF(offer_sale_type="транзит",IFERROR(VLOOKUP($B366,calc_data,D$14+1,0),0),0)</f>
        <v/>
      </c>
      <c r="E366" s="182">
        <f>IF(offer_sale_type="транзит",IFERROR(VLOOKUP($B366,calc_data,E$14+1,0),0),0)</f>
        <v/>
      </c>
      <c r="F366" s="182">
        <f>IF(offer_sale_type="транзит",IFERROR(VLOOKUP($B366,calc_data,F$14+1,0),0),0)</f>
        <v/>
      </c>
      <c r="G366" s="141">
        <f>IF(offer_sale_type="транзит",IFERROR(VLOOKUP($B366,calc_data,G$14+1,0),0),0)</f>
        <v/>
      </c>
      <c r="H366" s="141">
        <f>E366*G366</f>
        <v/>
      </c>
      <c r="I366" s="141">
        <f>IF(offer_sale_type="транзит",IFERROR(ROUND(VLOOKUP($B366,calc_data,I$14+1,0),2),0),0)</f>
        <v/>
      </c>
      <c r="J366" s="141">
        <f>ROUND(IF(offer_sale_type="транзит",IFERROR(VLOOKUP($B366,calc_data,J$14+1,0),0),0),2)</f>
        <v/>
      </c>
      <c r="K366" s="142">
        <f>IF(offer_sale_type="транзит",IFERROR(ROUNDUP(VLOOKUP($B366,calc_data,K$14+1,0),2),0),0)</f>
        <v/>
      </c>
      <c r="L366" s="184">
        <f>IF(offer_sale_type="транзит",IFERROR(ROUNDUP(VLOOKUP($B366,calc_data,L$14+1,0),2),0),0)</f>
        <v/>
      </c>
      <c r="M366" s="141">
        <f>IF(offer_sale_type="транзит",IFERROR(ROUNDUP(VLOOKUP($B366,calc_data,M$14+1,0),2),0),0)</f>
        <v/>
      </c>
      <c r="N366" s="141">
        <f>IF(offer_sale_type="транзит",IFERROR(ROUNDUP(VLOOKUP($B366,calc_data,N$14+1,0),2),0),0)</f>
        <v/>
      </c>
      <c r="O366" s="147">
        <f>IF(offer_sale_type="транзит",IFERROR(ROUND(VLOOKUP($B366,calc_data,O$14+1,1),2),0),0)</f>
        <v/>
      </c>
      <c r="P366" s="141">
        <f>IF(offer_sale_type="транзит",IFERROR(ROUND(SUM(I366:J366,M366:O366)/E366,2),0),0)</f>
        <v/>
      </c>
      <c r="Q366" s="141">
        <f>E366*P366</f>
        <v/>
      </c>
      <c r="R366" s="141">
        <f>ROUND(Q366*IF(AND(offer_incoterms="DDP",seller_region="RU"),IF((TODAY()+offer_turnaround_time)&gt;=helpsheet!$L$17,rate_vatRU_from_26,rate_vatRu_till_25),0),2)</f>
        <v/>
      </c>
      <c r="S366" s="177">
        <f>Q366+IF(AND(offer_incoterms="DDP",seller_region="RU"),R366,0)</f>
        <v/>
      </c>
      <c r="T366" s="45" t="n"/>
      <c r="V366" s="57">
        <f>IF(Q366&gt;0,"показать","скрыть")</f>
        <v/>
      </c>
    </row>
    <row r="367" ht="15.75" customHeight="1">
      <c r="B367" s="809" t="n">
        <v>351</v>
      </c>
      <c r="C367" s="182">
        <f>IF(offer_sale_type="транзит",IFERROR(VLOOKUP($B367,calc_data,C$14+1,0),0),0)</f>
        <v/>
      </c>
      <c r="D367" s="280">
        <f>IF(offer_sale_type="транзит",IFERROR(VLOOKUP($B367,calc_data,D$14+1,0),0),0)</f>
        <v/>
      </c>
      <c r="E367" s="182">
        <f>IF(offer_sale_type="транзит",IFERROR(VLOOKUP($B367,calc_data,E$14+1,0),0),0)</f>
        <v/>
      </c>
      <c r="F367" s="182">
        <f>IF(offer_sale_type="транзит",IFERROR(VLOOKUP($B367,calc_data,F$14+1,0),0),0)</f>
        <v/>
      </c>
      <c r="G367" s="141">
        <f>IF(offer_sale_type="транзит",IFERROR(VLOOKUP($B367,calc_data,G$14+1,0),0),0)</f>
        <v/>
      </c>
      <c r="H367" s="141">
        <f>E367*G367</f>
        <v/>
      </c>
      <c r="I367" s="141">
        <f>IF(offer_sale_type="транзит",IFERROR(ROUND(VLOOKUP($B367,calc_data,I$14+1,0),2),0),0)</f>
        <v/>
      </c>
      <c r="J367" s="141">
        <f>ROUND(IF(offer_sale_type="транзит",IFERROR(VLOOKUP($B367,calc_data,J$14+1,0),0),0),2)</f>
        <v/>
      </c>
      <c r="K367" s="142">
        <f>IF(offer_sale_type="транзит",IFERROR(ROUNDUP(VLOOKUP($B367,calc_data,K$14+1,0),2),0),0)</f>
        <v/>
      </c>
      <c r="L367" s="184">
        <f>IF(offer_sale_type="транзит",IFERROR(ROUNDUP(VLOOKUP($B367,calc_data,L$14+1,0),2),0),0)</f>
        <v/>
      </c>
      <c r="M367" s="141">
        <f>IF(offer_sale_type="транзит",IFERROR(ROUNDUP(VLOOKUP($B367,calc_data,M$14+1,0),2),0),0)</f>
        <v/>
      </c>
      <c r="N367" s="141">
        <f>IF(offer_sale_type="транзит",IFERROR(ROUNDUP(VLOOKUP($B367,calc_data,N$14+1,0),2),0),0)</f>
        <v/>
      </c>
      <c r="O367" s="147">
        <f>IF(offer_sale_type="транзит",IFERROR(ROUND(VLOOKUP($B367,calc_data,O$14+1,1),2),0),0)</f>
        <v/>
      </c>
      <c r="P367" s="141">
        <f>IF(offer_sale_type="транзит",IFERROR(ROUND(SUM(I367:J367,M367:O367)/E367,2),0),0)</f>
        <v/>
      </c>
      <c r="Q367" s="141">
        <f>E367*P367</f>
        <v/>
      </c>
      <c r="R367" s="141">
        <f>ROUND(Q367*IF(AND(offer_incoterms="DDP",seller_region="RU"),IF((TODAY()+offer_turnaround_time)&gt;=helpsheet!$L$17,rate_vatRU_from_26,rate_vatRu_till_25),0),2)</f>
        <v/>
      </c>
      <c r="S367" s="177">
        <f>Q367+IF(AND(offer_incoterms="DDP",seller_region="RU"),R367,0)</f>
        <v/>
      </c>
      <c r="T367" s="45" t="n"/>
      <c r="V367" s="57">
        <f>IF(Q367&gt;0,"показать","скрыть")</f>
        <v/>
      </c>
    </row>
    <row r="368" ht="15.75" customHeight="1">
      <c r="B368" s="809" t="n">
        <v>352</v>
      </c>
      <c r="C368" s="182">
        <f>IF(offer_sale_type="транзит",IFERROR(VLOOKUP($B368,calc_data,C$14+1,0),0),0)</f>
        <v/>
      </c>
      <c r="D368" s="280">
        <f>IF(offer_sale_type="транзит",IFERROR(VLOOKUP($B368,calc_data,D$14+1,0),0),0)</f>
        <v/>
      </c>
      <c r="E368" s="182">
        <f>IF(offer_sale_type="транзит",IFERROR(VLOOKUP($B368,calc_data,E$14+1,0),0),0)</f>
        <v/>
      </c>
      <c r="F368" s="182">
        <f>IF(offer_sale_type="транзит",IFERROR(VLOOKUP($B368,calc_data,F$14+1,0),0),0)</f>
        <v/>
      </c>
      <c r="G368" s="141">
        <f>IF(offer_sale_type="транзит",IFERROR(VLOOKUP($B368,calc_data,G$14+1,0),0),0)</f>
        <v/>
      </c>
      <c r="H368" s="141">
        <f>E368*G368</f>
        <v/>
      </c>
      <c r="I368" s="141">
        <f>IF(offer_sale_type="транзит",IFERROR(ROUND(VLOOKUP($B368,calc_data,I$14+1,0),2),0),0)</f>
        <v/>
      </c>
      <c r="J368" s="141">
        <f>ROUND(IF(offer_sale_type="транзит",IFERROR(VLOOKUP($B368,calc_data,J$14+1,0),0),0),2)</f>
        <v/>
      </c>
      <c r="K368" s="142">
        <f>IF(offer_sale_type="транзит",IFERROR(ROUNDUP(VLOOKUP($B368,calc_data,K$14+1,0),2),0),0)</f>
        <v/>
      </c>
      <c r="L368" s="184">
        <f>IF(offer_sale_type="транзит",IFERROR(ROUNDUP(VLOOKUP($B368,calc_data,L$14+1,0),2),0),0)</f>
        <v/>
      </c>
      <c r="M368" s="141">
        <f>IF(offer_sale_type="транзит",IFERROR(ROUNDUP(VLOOKUP($B368,calc_data,M$14+1,0),2),0),0)</f>
        <v/>
      </c>
      <c r="N368" s="141">
        <f>IF(offer_sale_type="транзит",IFERROR(ROUNDUP(VLOOKUP($B368,calc_data,N$14+1,0),2),0),0)</f>
        <v/>
      </c>
      <c r="O368" s="147">
        <f>IF(offer_sale_type="транзит",IFERROR(ROUND(VLOOKUP($B368,calc_data,O$14+1,1),2),0),0)</f>
        <v/>
      </c>
      <c r="P368" s="141">
        <f>IF(offer_sale_type="транзит",IFERROR(ROUND(SUM(I368:J368,M368:O368)/E368,2),0),0)</f>
        <v/>
      </c>
      <c r="Q368" s="141">
        <f>E368*P368</f>
        <v/>
      </c>
      <c r="R368" s="141">
        <f>ROUND(Q368*IF(AND(offer_incoterms="DDP",seller_region="RU"),IF((TODAY()+offer_turnaround_time)&gt;=helpsheet!$L$17,rate_vatRU_from_26,rate_vatRu_till_25),0),2)</f>
        <v/>
      </c>
      <c r="S368" s="177">
        <f>Q368+IF(AND(offer_incoterms="DDP",seller_region="RU"),R368,0)</f>
        <v/>
      </c>
      <c r="T368" s="45" t="n"/>
      <c r="V368" s="57">
        <f>IF(Q368&gt;0,"показать","скрыть")</f>
        <v/>
      </c>
    </row>
    <row r="369" ht="15.75" customHeight="1">
      <c r="B369" s="809" t="n">
        <v>353</v>
      </c>
      <c r="C369" s="182">
        <f>IF(offer_sale_type="транзит",IFERROR(VLOOKUP($B369,calc_data,C$14+1,0),0),0)</f>
        <v/>
      </c>
      <c r="D369" s="280">
        <f>IF(offer_sale_type="транзит",IFERROR(VLOOKUP($B369,calc_data,D$14+1,0),0),0)</f>
        <v/>
      </c>
      <c r="E369" s="182">
        <f>IF(offer_sale_type="транзит",IFERROR(VLOOKUP($B369,calc_data,E$14+1,0),0),0)</f>
        <v/>
      </c>
      <c r="F369" s="182">
        <f>IF(offer_sale_type="транзит",IFERROR(VLOOKUP($B369,calc_data,F$14+1,0),0),0)</f>
        <v/>
      </c>
      <c r="G369" s="141">
        <f>IF(offer_sale_type="транзит",IFERROR(VLOOKUP($B369,calc_data,G$14+1,0),0),0)</f>
        <v/>
      </c>
      <c r="H369" s="141">
        <f>E369*G369</f>
        <v/>
      </c>
      <c r="I369" s="141">
        <f>IF(offer_sale_type="транзит",IFERROR(ROUND(VLOOKUP($B369,calc_data,I$14+1,0),2),0),0)</f>
        <v/>
      </c>
      <c r="J369" s="141">
        <f>ROUND(IF(offer_sale_type="транзит",IFERROR(VLOOKUP($B369,calc_data,J$14+1,0),0),0),2)</f>
        <v/>
      </c>
      <c r="K369" s="142">
        <f>IF(offer_sale_type="транзит",IFERROR(ROUNDUP(VLOOKUP($B369,calc_data,K$14+1,0),2),0),0)</f>
        <v/>
      </c>
      <c r="L369" s="184">
        <f>IF(offer_sale_type="транзит",IFERROR(ROUNDUP(VLOOKUP($B369,calc_data,L$14+1,0),2),0),0)</f>
        <v/>
      </c>
      <c r="M369" s="141">
        <f>IF(offer_sale_type="транзит",IFERROR(ROUNDUP(VLOOKUP($B369,calc_data,M$14+1,0),2),0),0)</f>
        <v/>
      </c>
      <c r="N369" s="141">
        <f>IF(offer_sale_type="транзит",IFERROR(ROUNDUP(VLOOKUP($B369,calc_data,N$14+1,0),2),0),0)</f>
        <v/>
      </c>
      <c r="O369" s="147">
        <f>IF(offer_sale_type="транзит",IFERROR(ROUND(VLOOKUP($B369,calc_data,O$14+1,1),2),0),0)</f>
        <v/>
      </c>
      <c r="P369" s="141">
        <f>IF(offer_sale_type="транзит",IFERROR(ROUND(SUM(I369:J369,M369:O369)/E369,2),0),0)</f>
        <v/>
      </c>
      <c r="Q369" s="141">
        <f>E369*P369</f>
        <v/>
      </c>
      <c r="R369" s="141">
        <f>ROUND(Q369*IF(AND(offer_incoterms="DDP",seller_region="RU"),IF((TODAY()+offer_turnaround_time)&gt;=helpsheet!$L$17,rate_vatRU_from_26,rate_vatRu_till_25),0),2)</f>
        <v/>
      </c>
      <c r="S369" s="177">
        <f>Q369+IF(AND(offer_incoterms="DDP",seller_region="RU"),R369,0)</f>
        <v/>
      </c>
      <c r="T369" s="45" t="n"/>
      <c r="V369" s="57">
        <f>IF(Q369&gt;0,"показать","скрыть")</f>
        <v/>
      </c>
    </row>
    <row r="370" ht="15.75" customHeight="1">
      <c r="B370" s="809" t="n">
        <v>354</v>
      </c>
      <c r="C370" s="182">
        <f>IF(offer_sale_type="транзит",IFERROR(VLOOKUP($B370,calc_data,C$14+1,0),0),0)</f>
        <v/>
      </c>
      <c r="D370" s="280">
        <f>IF(offer_sale_type="транзит",IFERROR(VLOOKUP($B370,calc_data,D$14+1,0),0),0)</f>
        <v/>
      </c>
      <c r="E370" s="182">
        <f>IF(offer_sale_type="транзит",IFERROR(VLOOKUP($B370,calc_data,E$14+1,0),0),0)</f>
        <v/>
      </c>
      <c r="F370" s="182">
        <f>IF(offer_sale_type="транзит",IFERROR(VLOOKUP($B370,calc_data,F$14+1,0),0),0)</f>
        <v/>
      </c>
      <c r="G370" s="141">
        <f>IF(offer_sale_type="транзит",IFERROR(VLOOKUP($B370,calc_data,G$14+1,0),0),0)</f>
        <v/>
      </c>
      <c r="H370" s="141">
        <f>E370*G370</f>
        <v/>
      </c>
      <c r="I370" s="141">
        <f>IF(offer_sale_type="транзит",IFERROR(ROUND(VLOOKUP($B370,calc_data,I$14+1,0),2),0),0)</f>
        <v/>
      </c>
      <c r="J370" s="141">
        <f>ROUND(IF(offer_sale_type="транзит",IFERROR(VLOOKUP($B370,calc_data,J$14+1,0),0),0),2)</f>
        <v/>
      </c>
      <c r="K370" s="142">
        <f>IF(offer_sale_type="транзит",IFERROR(ROUNDUP(VLOOKUP($B370,calc_data,K$14+1,0),2),0),0)</f>
        <v/>
      </c>
      <c r="L370" s="184">
        <f>IF(offer_sale_type="транзит",IFERROR(ROUNDUP(VLOOKUP($B370,calc_data,L$14+1,0),2),0),0)</f>
        <v/>
      </c>
      <c r="M370" s="141">
        <f>IF(offer_sale_type="транзит",IFERROR(ROUNDUP(VLOOKUP($B370,calc_data,M$14+1,0),2),0),0)</f>
        <v/>
      </c>
      <c r="N370" s="141">
        <f>IF(offer_sale_type="транзит",IFERROR(ROUNDUP(VLOOKUP($B370,calc_data,N$14+1,0),2),0),0)</f>
        <v/>
      </c>
      <c r="O370" s="147">
        <f>IF(offer_sale_type="транзит",IFERROR(ROUND(VLOOKUP($B370,calc_data,O$14+1,1),2),0),0)</f>
        <v/>
      </c>
      <c r="P370" s="141">
        <f>IF(offer_sale_type="транзит",IFERROR(ROUND(SUM(I370:J370,M370:O370)/E370,2),0),0)</f>
        <v/>
      </c>
      <c r="Q370" s="141">
        <f>E370*P370</f>
        <v/>
      </c>
      <c r="R370" s="141">
        <f>ROUND(Q370*IF(AND(offer_incoterms="DDP",seller_region="RU"),IF((TODAY()+offer_turnaround_time)&gt;=helpsheet!$L$17,rate_vatRU_from_26,rate_vatRu_till_25),0),2)</f>
        <v/>
      </c>
      <c r="S370" s="177">
        <f>Q370+IF(AND(offer_incoterms="DDP",seller_region="RU"),R370,0)</f>
        <v/>
      </c>
      <c r="T370" s="45" t="n"/>
      <c r="V370" s="57">
        <f>IF(Q370&gt;0,"показать","скрыть")</f>
        <v/>
      </c>
    </row>
    <row r="371" ht="15.75" customHeight="1">
      <c r="B371" s="809" t="n">
        <v>355</v>
      </c>
      <c r="C371" s="182">
        <f>IF(offer_sale_type="транзит",IFERROR(VLOOKUP($B371,calc_data,C$14+1,0),0),0)</f>
        <v/>
      </c>
      <c r="D371" s="280">
        <f>IF(offer_sale_type="транзит",IFERROR(VLOOKUP($B371,calc_data,D$14+1,0),0),0)</f>
        <v/>
      </c>
      <c r="E371" s="182">
        <f>IF(offer_sale_type="транзит",IFERROR(VLOOKUP($B371,calc_data,E$14+1,0),0),0)</f>
        <v/>
      </c>
      <c r="F371" s="182">
        <f>IF(offer_sale_type="транзит",IFERROR(VLOOKUP($B371,calc_data,F$14+1,0),0),0)</f>
        <v/>
      </c>
      <c r="G371" s="141">
        <f>IF(offer_sale_type="транзит",IFERROR(VLOOKUP($B371,calc_data,G$14+1,0),0),0)</f>
        <v/>
      </c>
      <c r="H371" s="141">
        <f>E371*G371</f>
        <v/>
      </c>
      <c r="I371" s="141">
        <f>IF(offer_sale_type="транзит",IFERROR(ROUND(VLOOKUP($B371,calc_data,I$14+1,0),2),0),0)</f>
        <v/>
      </c>
      <c r="J371" s="141">
        <f>ROUND(IF(offer_sale_type="транзит",IFERROR(VLOOKUP($B371,calc_data,J$14+1,0),0),0),2)</f>
        <v/>
      </c>
      <c r="K371" s="142">
        <f>IF(offer_sale_type="транзит",IFERROR(ROUNDUP(VLOOKUP($B371,calc_data,K$14+1,0),2),0),0)</f>
        <v/>
      </c>
      <c r="L371" s="184">
        <f>IF(offer_sale_type="транзит",IFERROR(ROUNDUP(VLOOKUP($B371,calc_data,L$14+1,0),2),0),0)</f>
        <v/>
      </c>
      <c r="M371" s="141">
        <f>IF(offer_sale_type="транзит",IFERROR(ROUNDUP(VLOOKUP($B371,calc_data,M$14+1,0),2),0),0)</f>
        <v/>
      </c>
      <c r="N371" s="141">
        <f>IF(offer_sale_type="транзит",IFERROR(ROUNDUP(VLOOKUP($B371,calc_data,N$14+1,0),2),0),0)</f>
        <v/>
      </c>
      <c r="O371" s="147">
        <f>IF(offer_sale_type="транзит",IFERROR(ROUND(VLOOKUP($B371,calc_data,O$14+1,1),2),0),0)</f>
        <v/>
      </c>
      <c r="P371" s="141">
        <f>IF(offer_sale_type="транзит",IFERROR(ROUND(SUM(I371:J371,M371:O371)/E371,2),0),0)</f>
        <v/>
      </c>
      <c r="Q371" s="141">
        <f>E371*P371</f>
        <v/>
      </c>
      <c r="R371" s="141">
        <f>ROUND(Q371*IF(AND(offer_incoterms="DDP",seller_region="RU"),IF((TODAY()+offer_turnaround_time)&gt;=helpsheet!$L$17,rate_vatRU_from_26,rate_vatRu_till_25),0),2)</f>
        <v/>
      </c>
      <c r="S371" s="177">
        <f>Q371+IF(AND(offer_incoterms="DDP",seller_region="RU"),R371,0)</f>
        <v/>
      </c>
      <c r="T371" s="45" t="n"/>
      <c r="V371" s="57">
        <f>IF(Q371&gt;0,"показать","скрыть")</f>
        <v/>
      </c>
    </row>
    <row r="372" ht="15.75" customHeight="1">
      <c r="B372" s="809" t="n">
        <v>356</v>
      </c>
      <c r="C372" s="182">
        <f>IF(offer_sale_type="транзит",IFERROR(VLOOKUP($B372,calc_data,C$14+1,0),0),0)</f>
        <v/>
      </c>
      <c r="D372" s="280">
        <f>IF(offer_sale_type="транзит",IFERROR(VLOOKUP($B372,calc_data,D$14+1,0),0),0)</f>
        <v/>
      </c>
      <c r="E372" s="182">
        <f>IF(offer_sale_type="транзит",IFERROR(VLOOKUP($B372,calc_data,E$14+1,0),0),0)</f>
        <v/>
      </c>
      <c r="F372" s="182">
        <f>IF(offer_sale_type="транзит",IFERROR(VLOOKUP($B372,calc_data,F$14+1,0),0),0)</f>
        <v/>
      </c>
      <c r="G372" s="141">
        <f>IF(offer_sale_type="транзит",IFERROR(VLOOKUP($B372,calc_data,G$14+1,0),0),0)</f>
        <v/>
      </c>
      <c r="H372" s="141">
        <f>E372*G372</f>
        <v/>
      </c>
      <c r="I372" s="141">
        <f>IF(offer_sale_type="транзит",IFERROR(ROUND(VLOOKUP($B372,calc_data,I$14+1,0),2),0),0)</f>
        <v/>
      </c>
      <c r="J372" s="141">
        <f>ROUND(IF(offer_sale_type="транзит",IFERROR(VLOOKUP($B372,calc_data,J$14+1,0),0),0),2)</f>
        <v/>
      </c>
      <c r="K372" s="142">
        <f>IF(offer_sale_type="транзит",IFERROR(ROUNDUP(VLOOKUP($B372,calc_data,K$14+1,0),2),0),0)</f>
        <v/>
      </c>
      <c r="L372" s="184">
        <f>IF(offer_sale_type="транзит",IFERROR(ROUNDUP(VLOOKUP($B372,calc_data,L$14+1,0),2),0),0)</f>
        <v/>
      </c>
      <c r="M372" s="141">
        <f>IF(offer_sale_type="транзит",IFERROR(ROUNDUP(VLOOKUP($B372,calc_data,M$14+1,0),2),0),0)</f>
        <v/>
      </c>
      <c r="N372" s="141">
        <f>IF(offer_sale_type="транзит",IFERROR(ROUNDUP(VLOOKUP($B372,calc_data,N$14+1,0),2),0),0)</f>
        <v/>
      </c>
      <c r="O372" s="147">
        <f>IF(offer_sale_type="транзит",IFERROR(ROUND(VLOOKUP($B372,calc_data,O$14+1,1),2),0),0)</f>
        <v/>
      </c>
      <c r="P372" s="141">
        <f>IF(offer_sale_type="транзит",IFERROR(ROUND(SUM(I372:J372,M372:O372)/E372,2),0),0)</f>
        <v/>
      </c>
      <c r="Q372" s="141">
        <f>E372*P372</f>
        <v/>
      </c>
      <c r="R372" s="141">
        <f>ROUND(Q372*IF(AND(offer_incoterms="DDP",seller_region="RU"),IF((TODAY()+offer_turnaround_time)&gt;=helpsheet!$L$17,rate_vatRU_from_26,rate_vatRu_till_25),0),2)</f>
        <v/>
      </c>
      <c r="S372" s="177">
        <f>Q372+IF(AND(offer_incoterms="DDP",seller_region="RU"),R372,0)</f>
        <v/>
      </c>
      <c r="T372" s="45" t="n"/>
      <c r="V372" s="57">
        <f>IF(Q372&gt;0,"показать","скрыть")</f>
        <v/>
      </c>
    </row>
    <row r="373" ht="15.75" customHeight="1">
      <c r="B373" s="809" t="n">
        <v>357</v>
      </c>
      <c r="C373" s="182">
        <f>IF(offer_sale_type="транзит",IFERROR(VLOOKUP($B373,calc_data,C$14+1,0),0),0)</f>
        <v/>
      </c>
      <c r="D373" s="280">
        <f>IF(offer_sale_type="транзит",IFERROR(VLOOKUP($B373,calc_data,D$14+1,0),0),0)</f>
        <v/>
      </c>
      <c r="E373" s="182">
        <f>IF(offer_sale_type="транзит",IFERROR(VLOOKUP($B373,calc_data,E$14+1,0),0),0)</f>
        <v/>
      </c>
      <c r="F373" s="182">
        <f>IF(offer_sale_type="транзит",IFERROR(VLOOKUP($B373,calc_data,F$14+1,0),0),0)</f>
        <v/>
      </c>
      <c r="G373" s="141">
        <f>IF(offer_sale_type="транзит",IFERROR(VLOOKUP($B373,calc_data,G$14+1,0),0),0)</f>
        <v/>
      </c>
      <c r="H373" s="141">
        <f>E373*G373</f>
        <v/>
      </c>
      <c r="I373" s="141">
        <f>IF(offer_sale_type="транзит",IFERROR(ROUND(VLOOKUP($B373,calc_data,I$14+1,0),2),0),0)</f>
        <v/>
      </c>
      <c r="J373" s="141">
        <f>ROUND(IF(offer_sale_type="транзит",IFERROR(VLOOKUP($B373,calc_data,J$14+1,0),0),0),2)</f>
        <v/>
      </c>
      <c r="K373" s="142">
        <f>IF(offer_sale_type="транзит",IFERROR(ROUNDUP(VLOOKUP($B373,calc_data,K$14+1,0),2),0),0)</f>
        <v/>
      </c>
      <c r="L373" s="184">
        <f>IF(offer_sale_type="транзит",IFERROR(ROUNDUP(VLOOKUP($B373,calc_data,L$14+1,0),2),0),0)</f>
        <v/>
      </c>
      <c r="M373" s="141">
        <f>IF(offer_sale_type="транзит",IFERROR(ROUNDUP(VLOOKUP($B373,calc_data,M$14+1,0),2),0),0)</f>
        <v/>
      </c>
      <c r="N373" s="141">
        <f>IF(offer_sale_type="транзит",IFERROR(ROUNDUP(VLOOKUP($B373,calc_data,N$14+1,0),2),0),0)</f>
        <v/>
      </c>
      <c r="O373" s="147">
        <f>IF(offer_sale_type="транзит",IFERROR(ROUND(VLOOKUP($B373,calc_data,O$14+1,1),2),0),0)</f>
        <v/>
      </c>
      <c r="P373" s="141">
        <f>IF(offer_sale_type="транзит",IFERROR(ROUND(SUM(I373:J373,M373:O373)/E373,2),0),0)</f>
        <v/>
      </c>
      <c r="Q373" s="141">
        <f>E373*P373</f>
        <v/>
      </c>
      <c r="R373" s="141">
        <f>ROUND(Q373*IF(AND(offer_incoterms="DDP",seller_region="RU"),IF((TODAY()+offer_turnaround_time)&gt;=helpsheet!$L$17,rate_vatRU_from_26,rate_vatRu_till_25),0),2)</f>
        <v/>
      </c>
      <c r="S373" s="177">
        <f>Q373+IF(AND(offer_incoterms="DDP",seller_region="RU"),R373,0)</f>
        <v/>
      </c>
      <c r="T373" s="45" t="n"/>
      <c r="V373" s="57">
        <f>IF(Q373&gt;0,"показать","скрыть")</f>
        <v/>
      </c>
    </row>
    <row r="374" ht="15.75" customHeight="1">
      <c r="B374" s="809" t="n">
        <v>358</v>
      </c>
      <c r="C374" s="182">
        <f>IF(offer_sale_type="транзит",IFERROR(VLOOKUP($B374,calc_data,C$14+1,0),0),0)</f>
        <v/>
      </c>
      <c r="D374" s="280">
        <f>IF(offer_sale_type="транзит",IFERROR(VLOOKUP($B374,calc_data,D$14+1,0),0),0)</f>
        <v/>
      </c>
      <c r="E374" s="182">
        <f>IF(offer_sale_type="транзит",IFERROR(VLOOKUP($B374,calc_data,E$14+1,0),0),0)</f>
        <v/>
      </c>
      <c r="F374" s="182">
        <f>IF(offer_sale_type="транзит",IFERROR(VLOOKUP($B374,calc_data,F$14+1,0),0),0)</f>
        <v/>
      </c>
      <c r="G374" s="141">
        <f>IF(offer_sale_type="транзит",IFERROR(VLOOKUP($B374,calc_data,G$14+1,0),0),0)</f>
        <v/>
      </c>
      <c r="H374" s="141">
        <f>E374*G374</f>
        <v/>
      </c>
      <c r="I374" s="141">
        <f>IF(offer_sale_type="транзит",IFERROR(ROUND(VLOOKUP($B374,calc_data,I$14+1,0),2),0),0)</f>
        <v/>
      </c>
      <c r="J374" s="141">
        <f>ROUND(IF(offer_sale_type="транзит",IFERROR(VLOOKUP($B374,calc_data,J$14+1,0),0),0),2)</f>
        <v/>
      </c>
      <c r="K374" s="142">
        <f>IF(offer_sale_type="транзит",IFERROR(ROUNDUP(VLOOKUP($B374,calc_data,K$14+1,0),2),0),0)</f>
        <v/>
      </c>
      <c r="L374" s="184">
        <f>IF(offer_sale_type="транзит",IFERROR(ROUNDUP(VLOOKUP($B374,calc_data,L$14+1,0),2),0),0)</f>
        <v/>
      </c>
      <c r="M374" s="141">
        <f>IF(offer_sale_type="транзит",IFERROR(ROUNDUP(VLOOKUP($B374,calc_data,M$14+1,0),2),0),0)</f>
        <v/>
      </c>
      <c r="N374" s="141">
        <f>IF(offer_sale_type="транзит",IFERROR(ROUNDUP(VLOOKUP($B374,calc_data,N$14+1,0),2),0),0)</f>
        <v/>
      </c>
      <c r="O374" s="147">
        <f>IF(offer_sale_type="транзит",IFERROR(ROUND(VLOOKUP($B374,calc_data,O$14+1,1),2),0),0)</f>
        <v/>
      </c>
      <c r="P374" s="141">
        <f>IF(offer_sale_type="транзит",IFERROR(ROUND(SUM(I374:J374,M374:O374)/E374,2),0),0)</f>
        <v/>
      </c>
      <c r="Q374" s="141">
        <f>E374*P374</f>
        <v/>
      </c>
      <c r="R374" s="141">
        <f>ROUND(Q374*IF(AND(offer_incoterms="DDP",seller_region="RU"),IF((TODAY()+offer_turnaround_time)&gt;=helpsheet!$L$17,rate_vatRU_from_26,rate_vatRu_till_25),0),2)</f>
        <v/>
      </c>
      <c r="S374" s="177">
        <f>Q374+IF(AND(offer_incoterms="DDP",seller_region="RU"),R374,0)</f>
        <v/>
      </c>
      <c r="T374" s="45" t="n"/>
      <c r="V374" s="57">
        <f>IF(Q374&gt;0,"показать","скрыть")</f>
        <v/>
      </c>
    </row>
    <row r="375" ht="15.75" customHeight="1">
      <c r="B375" s="809" t="n">
        <v>359</v>
      </c>
      <c r="C375" s="182">
        <f>IF(offer_sale_type="транзит",IFERROR(VLOOKUP($B375,calc_data,C$14+1,0),0),0)</f>
        <v/>
      </c>
      <c r="D375" s="280">
        <f>IF(offer_sale_type="транзит",IFERROR(VLOOKUP($B375,calc_data,D$14+1,0),0),0)</f>
        <v/>
      </c>
      <c r="E375" s="182">
        <f>IF(offer_sale_type="транзит",IFERROR(VLOOKUP($B375,calc_data,E$14+1,0),0),0)</f>
        <v/>
      </c>
      <c r="F375" s="182">
        <f>IF(offer_sale_type="транзит",IFERROR(VLOOKUP($B375,calc_data,F$14+1,0),0),0)</f>
        <v/>
      </c>
      <c r="G375" s="141">
        <f>IF(offer_sale_type="транзит",IFERROR(VLOOKUP($B375,calc_data,G$14+1,0),0),0)</f>
        <v/>
      </c>
      <c r="H375" s="141">
        <f>E375*G375</f>
        <v/>
      </c>
      <c r="I375" s="141">
        <f>IF(offer_sale_type="транзит",IFERROR(ROUND(VLOOKUP($B375,calc_data,I$14+1,0),2),0),0)</f>
        <v/>
      </c>
      <c r="J375" s="141">
        <f>ROUND(IF(offer_sale_type="транзит",IFERROR(VLOOKUP($B375,calc_data,J$14+1,0),0),0),2)</f>
        <v/>
      </c>
      <c r="K375" s="142">
        <f>IF(offer_sale_type="транзит",IFERROR(ROUNDUP(VLOOKUP($B375,calc_data,K$14+1,0),2),0),0)</f>
        <v/>
      </c>
      <c r="L375" s="184">
        <f>IF(offer_sale_type="транзит",IFERROR(ROUNDUP(VLOOKUP($B375,calc_data,L$14+1,0),2),0),0)</f>
        <v/>
      </c>
      <c r="M375" s="141">
        <f>IF(offer_sale_type="транзит",IFERROR(ROUNDUP(VLOOKUP($B375,calc_data,M$14+1,0),2),0),0)</f>
        <v/>
      </c>
      <c r="N375" s="141">
        <f>IF(offer_sale_type="транзит",IFERROR(ROUNDUP(VLOOKUP($B375,calc_data,N$14+1,0),2),0),0)</f>
        <v/>
      </c>
      <c r="O375" s="147">
        <f>IF(offer_sale_type="транзит",IFERROR(ROUND(VLOOKUP($B375,calc_data,O$14+1,1),2),0),0)</f>
        <v/>
      </c>
      <c r="P375" s="141">
        <f>IF(offer_sale_type="транзит",IFERROR(ROUND(SUM(I375:J375,M375:O375)/E375,2),0),0)</f>
        <v/>
      </c>
      <c r="Q375" s="141">
        <f>E375*P375</f>
        <v/>
      </c>
      <c r="R375" s="141">
        <f>ROUND(Q375*IF(AND(offer_incoterms="DDP",seller_region="RU"),IF((TODAY()+offer_turnaround_time)&gt;=helpsheet!$L$17,rate_vatRU_from_26,rate_vatRu_till_25),0),2)</f>
        <v/>
      </c>
      <c r="S375" s="177">
        <f>Q375+IF(AND(offer_incoterms="DDP",seller_region="RU"),R375,0)</f>
        <v/>
      </c>
      <c r="T375" s="45" t="n"/>
      <c r="V375" s="57">
        <f>IF(Q375&gt;0,"показать","скрыть")</f>
        <v/>
      </c>
    </row>
    <row r="376" ht="15.75" customHeight="1">
      <c r="B376" s="809" t="n">
        <v>360</v>
      </c>
      <c r="C376" s="182">
        <f>IF(offer_sale_type="транзит",IFERROR(VLOOKUP($B376,calc_data,C$14+1,0),0),0)</f>
        <v/>
      </c>
      <c r="D376" s="280">
        <f>IF(offer_sale_type="транзит",IFERROR(VLOOKUP($B376,calc_data,D$14+1,0),0),0)</f>
        <v/>
      </c>
      <c r="E376" s="182">
        <f>IF(offer_sale_type="транзит",IFERROR(VLOOKUP($B376,calc_data,E$14+1,0),0),0)</f>
        <v/>
      </c>
      <c r="F376" s="182">
        <f>IF(offer_sale_type="транзит",IFERROR(VLOOKUP($B376,calc_data,F$14+1,0),0),0)</f>
        <v/>
      </c>
      <c r="G376" s="141">
        <f>IF(offer_sale_type="транзит",IFERROR(VLOOKUP($B376,calc_data,G$14+1,0),0),0)</f>
        <v/>
      </c>
      <c r="H376" s="141">
        <f>E376*G376</f>
        <v/>
      </c>
      <c r="I376" s="141">
        <f>IF(offer_sale_type="транзит",IFERROR(ROUND(VLOOKUP($B376,calc_data,I$14+1,0),2),0),0)</f>
        <v/>
      </c>
      <c r="J376" s="141">
        <f>ROUND(IF(offer_sale_type="транзит",IFERROR(VLOOKUP($B376,calc_data,J$14+1,0),0),0),2)</f>
        <v/>
      </c>
      <c r="K376" s="142">
        <f>IF(offer_sale_type="транзит",IFERROR(ROUNDUP(VLOOKUP($B376,calc_data,K$14+1,0),2),0),0)</f>
        <v/>
      </c>
      <c r="L376" s="184">
        <f>IF(offer_sale_type="транзит",IFERROR(ROUNDUP(VLOOKUP($B376,calc_data,L$14+1,0),2),0),0)</f>
        <v/>
      </c>
      <c r="M376" s="141">
        <f>IF(offer_sale_type="транзит",IFERROR(ROUNDUP(VLOOKUP($B376,calc_data,M$14+1,0),2),0),0)</f>
        <v/>
      </c>
      <c r="N376" s="141">
        <f>IF(offer_sale_type="транзит",IFERROR(ROUNDUP(VLOOKUP($B376,calc_data,N$14+1,0),2),0),0)</f>
        <v/>
      </c>
      <c r="O376" s="147">
        <f>IF(offer_sale_type="транзит",IFERROR(ROUND(VLOOKUP($B376,calc_data,O$14+1,1),2),0),0)</f>
        <v/>
      </c>
      <c r="P376" s="141">
        <f>IF(offer_sale_type="транзит",IFERROR(ROUND(SUM(I376:J376,M376:O376)/E376,2),0),0)</f>
        <v/>
      </c>
      <c r="Q376" s="141">
        <f>E376*P376</f>
        <v/>
      </c>
      <c r="R376" s="141">
        <f>ROUND(Q376*IF(AND(offer_incoterms="DDP",seller_region="RU"),IF((TODAY()+offer_turnaround_time)&gt;=helpsheet!$L$17,rate_vatRU_from_26,rate_vatRu_till_25),0),2)</f>
        <v/>
      </c>
      <c r="S376" s="177">
        <f>Q376+IF(AND(offer_incoterms="DDP",seller_region="RU"),R376,0)</f>
        <v/>
      </c>
      <c r="T376" s="45" t="n"/>
      <c r="V376" s="57">
        <f>IF(Q376&gt;0,"показать","скрыть")</f>
        <v/>
      </c>
    </row>
    <row r="377" ht="15.75" customHeight="1">
      <c r="B377" s="809" t="n">
        <v>361</v>
      </c>
      <c r="C377" s="182">
        <f>IF(offer_sale_type="транзит",IFERROR(VLOOKUP($B377,calc_data,C$14+1,0),0),0)</f>
        <v/>
      </c>
      <c r="D377" s="280">
        <f>IF(offer_sale_type="транзит",IFERROR(VLOOKUP($B377,calc_data,D$14+1,0),0),0)</f>
        <v/>
      </c>
      <c r="E377" s="182">
        <f>IF(offer_sale_type="транзит",IFERROR(VLOOKUP($B377,calc_data,E$14+1,0),0),0)</f>
        <v/>
      </c>
      <c r="F377" s="182">
        <f>IF(offer_sale_type="транзит",IFERROR(VLOOKUP($B377,calc_data,F$14+1,0),0),0)</f>
        <v/>
      </c>
      <c r="G377" s="141">
        <f>IF(offer_sale_type="транзит",IFERROR(VLOOKUP($B377,calc_data,G$14+1,0),0),0)</f>
        <v/>
      </c>
      <c r="H377" s="141">
        <f>E377*G377</f>
        <v/>
      </c>
      <c r="I377" s="141">
        <f>IF(offer_sale_type="транзит",IFERROR(ROUND(VLOOKUP($B377,calc_data,I$14+1,0),2),0),0)</f>
        <v/>
      </c>
      <c r="J377" s="141">
        <f>ROUND(IF(offer_sale_type="транзит",IFERROR(VLOOKUP($B377,calc_data,J$14+1,0),0),0),2)</f>
        <v/>
      </c>
      <c r="K377" s="142">
        <f>IF(offer_sale_type="транзит",IFERROR(ROUNDUP(VLOOKUP($B377,calc_data,K$14+1,0),2),0),0)</f>
        <v/>
      </c>
      <c r="L377" s="184">
        <f>IF(offer_sale_type="транзит",IFERROR(ROUNDUP(VLOOKUP($B377,calc_data,L$14+1,0),2),0),0)</f>
        <v/>
      </c>
      <c r="M377" s="141">
        <f>IF(offer_sale_type="транзит",IFERROR(ROUNDUP(VLOOKUP($B377,calc_data,M$14+1,0),2),0),0)</f>
        <v/>
      </c>
      <c r="N377" s="141">
        <f>IF(offer_sale_type="транзит",IFERROR(ROUNDUP(VLOOKUP($B377,calc_data,N$14+1,0),2),0),0)</f>
        <v/>
      </c>
      <c r="O377" s="147">
        <f>IF(offer_sale_type="транзит",IFERROR(ROUND(VLOOKUP($B377,calc_data,O$14+1,1),2),0),0)</f>
        <v/>
      </c>
      <c r="P377" s="141">
        <f>IF(offer_sale_type="транзит",IFERROR(ROUND(SUM(I377:J377,M377:O377)/E377,2),0),0)</f>
        <v/>
      </c>
      <c r="Q377" s="141">
        <f>E377*P377</f>
        <v/>
      </c>
      <c r="R377" s="141">
        <f>ROUND(Q377*IF(AND(offer_incoterms="DDP",seller_region="RU"),IF((TODAY()+offer_turnaround_time)&gt;=helpsheet!$L$17,rate_vatRU_from_26,rate_vatRu_till_25),0),2)</f>
        <v/>
      </c>
      <c r="S377" s="177">
        <f>Q377+IF(AND(offer_incoterms="DDP",seller_region="RU"),R377,0)</f>
        <v/>
      </c>
      <c r="T377" s="45" t="n"/>
      <c r="V377" s="57">
        <f>IF(Q377&gt;0,"показать","скрыть")</f>
        <v/>
      </c>
    </row>
    <row r="378" ht="15.75" customHeight="1">
      <c r="B378" s="809" t="n">
        <v>362</v>
      </c>
      <c r="C378" s="182">
        <f>IF(offer_sale_type="транзит",IFERROR(VLOOKUP($B378,calc_data,C$14+1,0),0),0)</f>
        <v/>
      </c>
      <c r="D378" s="280">
        <f>IF(offer_sale_type="транзит",IFERROR(VLOOKUP($B378,calc_data,D$14+1,0),0),0)</f>
        <v/>
      </c>
      <c r="E378" s="182">
        <f>IF(offer_sale_type="транзит",IFERROR(VLOOKUP($B378,calc_data,E$14+1,0),0),0)</f>
        <v/>
      </c>
      <c r="F378" s="182">
        <f>IF(offer_sale_type="транзит",IFERROR(VLOOKUP($B378,calc_data,F$14+1,0),0),0)</f>
        <v/>
      </c>
      <c r="G378" s="141">
        <f>IF(offer_sale_type="транзит",IFERROR(VLOOKUP($B378,calc_data,G$14+1,0),0),0)</f>
        <v/>
      </c>
      <c r="H378" s="141">
        <f>E378*G378</f>
        <v/>
      </c>
      <c r="I378" s="141">
        <f>IF(offer_sale_type="транзит",IFERROR(ROUND(VLOOKUP($B378,calc_data,I$14+1,0),2),0),0)</f>
        <v/>
      </c>
      <c r="J378" s="141">
        <f>ROUND(IF(offer_sale_type="транзит",IFERROR(VLOOKUP($B378,calc_data,J$14+1,0),0),0),2)</f>
        <v/>
      </c>
      <c r="K378" s="142">
        <f>IF(offer_sale_type="транзит",IFERROR(ROUNDUP(VLOOKUP($B378,calc_data,K$14+1,0),2),0),0)</f>
        <v/>
      </c>
      <c r="L378" s="184">
        <f>IF(offer_sale_type="транзит",IFERROR(ROUNDUP(VLOOKUP($B378,calc_data,L$14+1,0),2),0),0)</f>
        <v/>
      </c>
      <c r="M378" s="141">
        <f>IF(offer_sale_type="транзит",IFERROR(ROUNDUP(VLOOKUP($B378,calc_data,M$14+1,0),2),0),0)</f>
        <v/>
      </c>
      <c r="N378" s="141">
        <f>IF(offer_sale_type="транзит",IFERROR(ROUNDUP(VLOOKUP($B378,calc_data,N$14+1,0),2),0),0)</f>
        <v/>
      </c>
      <c r="O378" s="147">
        <f>IF(offer_sale_type="транзит",IFERROR(ROUND(VLOOKUP($B378,calc_data,O$14+1,1),2),0),0)</f>
        <v/>
      </c>
      <c r="P378" s="141">
        <f>IF(offer_sale_type="транзит",IFERROR(ROUND(SUM(I378:J378,M378:O378)/E378,2),0),0)</f>
        <v/>
      </c>
      <c r="Q378" s="141">
        <f>E378*P378</f>
        <v/>
      </c>
      <c r="R378" s="141">
        <f>ROUND(Q378*IF(AND(offer_incoterms="DDP",seller_region="RU"),IF((TODAY()+offer_turnaround_time)&gt;=helpsheet!$L$17,rate_vatRU_from_26,rate_vatRu_till_25),0),2)</f>
        <v/>
      </c>
      <c r="S378" s="177">
        <f>Q378+IF(AND(offer_incoterms="DDP",seller_region="RU"),R378,0)</f>
        <v/>
      </c>
      <c r="T378" s="45" t="n"/>
      <c r="V378" s="57">
        <f>IF(Q378&gt;0,"показать","скрыть")</f>
        <v/>
      </c>
    </row>
    <row r="379" ht="15.75" customHeight="1">
      <c r="B379" s="809" t="n">
        <v>363</v>
      </c>
      <c r="C379" s="182">
        <f>IF(offer_sale_type="транзит",IFERROR(VLOOKUP($B379,calc_data,C$14+1,0),0),0)</f>
        <v/>
      </c>
      <c r="D379" s="280">
        <f>IF(offer_sale_type="транзит",IFERROR(VLOOKUP($B379,calc_data,D$14+1,0),0),0)</f>
        <v/>
      </c>
      <c r="E379" s="182">
        <f>IF(offer_sale_type="транзит",IFERROR(VLOOKUP($B379,calc_data,E$14+1,0),0),0)</f>
        <v/>
      </c>
      <c r="F379" s="182">
        <f>IF(offer_sale_type="транзит",IFERROR(VLOOKUP($B379,calc_data,F$14+1,0),0),0)</f>
        <v/>
      </c>
      <c r="G379" s="141">
        <f>IF(offer_sale_type="транзит",IFERROR(VLOOKUP($B379,calc_data,G$14+1,0),0),0)</f>
        <v/>
      </c>
      <c r="H379" s="141">
        <f>E379*G379</f>
        <v/>
      </c>
      <c r="I379" s="141">
        <f>IF(offer_sale_type="транзит",IFERROR(ROUND(VLOOKUP($B379,calc_data,I$14+1,0),2),0),0)</f>
        <v/>
      </c>
      <c r="J379" s="141">
        <f>ROUND(IF(offer_sale_type="транзит",IFERROR(VLOOKUP($B379,calc_data,J$14+1,0),0),0),2)</f>
        <v/>
      </c>
      <c r="K379" s="142">
        <f>IF(offer_sale_type="транзит",IFERROR(ROUNDUP(VLOOKUP($B379,calc_data,K$14+1,0),2),0),0)</f>
        <v/>
      </c>
      <c r="L379" s="184">
        <f>IF(offer_sale_type="транзит",IFERROR(ROUNDUP(VLOOKUP($B379,calc_data,L$14+1,0),2),0),0)</f>
        <v/>
      </c>
      <c r="M379" s="141">
        <f>IF(offer_sale_type="транзит",IFERROR(ROUNDUP(VLOOKUP($B379,calc_data,M$14+1,0),2),0),0)</f>
        <v/>
      </c>
      <c r="N379" s="141">
        <f>IF(offer_sale_type="транзит",IFERROR(ROUNDUP(VLOOKUP($B379,calc_data,N$14+1,0),2),0),0)</f>
        <v/>
      </c>
      <c r="O379" s="147">
        <f>IF(offer_sale_type="транзит",IFERROR(ROUND(VLOOKUP($B379,calc_data,O$14+1,1),2),0),0)</f>
        <v/>
      </c>
      <c r="P379" s="141">
        <f>IF(offer_sale_type="транзит",IFERROR(ROUND(SUM(I379:J379,M379:O379)/E379,2),0),0)</f>
        <v/>
      </c>
      <c r="Q379" s="141">
        <f>E379*P379</f>
        <v/>
      </c>
      <c r="R379" s="141">
        <f>ROUND(Q379*IF(AND(offer_incoterms="DDP",seller_region="RU"),IF((TODAY()+offer_turnaround_time)&gt;=helpsheet!$L$17,rate_vatRU_from_26,rate_vatRu_till_25),0),2)</f>
        <v/>
      </c>
      <c r="S379" s="177">
        <f>Q379+IF(AND(offer_incoterms="DDP",seller_region="RU"),R379,0)</f>
        <v/>
      </c>
      <c r="T379" s="45" t="n"/>
      <c r="V379" s="57">
        <f>IF(Q379&gt;0,"показать","скрыть")</f>
        <v/>
      </c>
    </row>
    <row r="380" ht="15.75" customHeight="1">
      <c r="B380" s="809" t="n">
        <v>364</v>
      </c>
      <c r="C380" s="182">
        <f>IF(offer_sale_type="транзит",IFERROR(VLOOKUP($B380,calc_data,C$14+1,0),0),0)</f>
        <v/>
      </c>
      <c r="D380" s="280">
        <f>IF(offer_sale_type="транзит",IFERROR(VLOOKUP($B380,calc_data,D$14+1,0),0),0)</f>
        <v/>
      </c>
      <c r="E380" s="182">
        <f>IF(offer_sale_type="транзит",IFERROR(VLOOKUP($B380,calc_data,E$14+1,0),0),0)</f>
        <v/>
      </c>
      <c r="F380" s="182">
        <f>IF(offer_sale_type="транзит",IFERROR(VLOOKUP($B380,calc_data,F$14+1,0),0),0)</f>
        <v/>
      </c>
      <c r="G380" s="141">
        <f>IF(offer_sale_type="транзит",IFERROR(VLOOKUP($B380,calc_data,G$14+1,0),0),0)</f>
        <v/>
      </c>
      <c r="H380" s="141">
        <f>E380*G380</f>
        <v/>
      </c>
      <c r="I380" s="141">
        <f>IF(offer_sale_type="транзит",IFERROR(ROUND(VLOOKUP($B380,calc_data,I$14+1,0),2),0),0)</f>
        <v/>
      </c>
      <c r="J380" s="141">
        <f>ROUND(IF(offer_sale_type="транзит",IFERROR(VLOOKUP($B380,calc_data,J$14+1,0),0),0),2)</f>
        <v/>
      </c>
      <c r="K380" s="142">
        <f>IF(offer_sale_type="транзит",IFERROR(ROUNDUP(VLOOKUP($B380,calc_data,K$14+1,0),2),0),0)</f>
        <v/>
      </c>
      <c r="L380" s="184">
        <f>IF(offer_sale_type="транзит",IFERROR(ROUNDUP(VLOOKUP($B380,calc_data,L$14+1,0),2),0),0)</f>
        <v/>
      </c>
      <c r="M380" s="141">
        <f>IF(offer_sale_type="транзит",IFERROR(ROUNDUP(VLOOKUP($B380,calc_data,M$14+1,0),2),0),0)</f>
        <v/>
      </c>
      <c r="N380" s="141">
        <f>IF(offer_sale_type="транзит",IFERROR(ROUNDUP(VLOOKUP($B380,calc_data,N$14+1,0),2),0),0)</f>
        <v/>
      </c>
      <c r="O380" s="147">
        <f>IF(offer_sale_type="транзит",IFERROR(ROUND(VLOOKUP($B380,calc_data,O$14+1,1),2),0),0)</f>
        <v/>
      </c>
      <c r="P380" s="141">
        <f>IF(offer_sale_type="транзит",IFERROR(ROUND(SUM(I380:J380,M380:O380)/E380,2),0),0)</f>
        <v/>
      </c>
      <c r="Q380" s="141">
        <f>E380*P380</f>
        <v/>
      </c>
      <c r="R380" s="141">
        <f>ROUND(Q380*IF(AND(offer_incoterms="DDP",seller_region="RU"),IF((TODAY()+offer_turnaround_time)&gt;=helpsheet!$L$17,rate_vatRU_from_26,rate_vatRu_till_25),0),2)</f>
        <v/>
      </c>
      <c r="S380" s="177">
        <f>Q380+IF(AND(offer_incoterms="DDP",seller_region="RU"),R380,0)</f>
        <v/>
      </c>
      <c r="T380" s="45" t="n"/>
      <c r="V380" s="57">
        <f>IF(Q380&gt;0,"показать","скрыть")</f>
        <v/>
      </c>
    </row>
    <row r="381" ht="15.75" customHeight="1">
      <c r="B381" s="809" t="n">
        <v>365</v>
      </c>
      <c r="C381" s="182">
        <f>IF(offer_sale_type="транзит",IFERROR(VLOOKUP($B381,calc_data,C$14+1,0),0),0)</f>
        <v/>
      </c>
      <c r="D381" s="280">
        <f>IF(offer_sale_type="транзит",IFERROR(VLOOKUP($B381,calc_data,D$14+1,0),0),0)</f>
        <v/>
      </c>
      <c r="E381" s="182">
        <f>IF(offer_sale_type="транзит",IFERROR(VLOOKUP($B381,calc_data,E$14+1,0),0),0)</f>
        <v/>
      </c>
      <c r="F381" s="182">
        <f>IF(offer_sale_type="транзит",IFERROR(VLOOKUP($B381,calc_data,F$14+1,0),0),0)</f>
        <v/>
      </c>
      <c r="G381" s="141">
        <f>IF(offer_sale_type="транзит",IFERROR(VLOOKUP($B381,calc_data,G$14+1,0),0),0)</f>
        <v/>
      </c>
      <c r="H381" s="141">
        <f>E381*G381</f>
        <v/>
      </c>
      <c r="I381" s="141">
        <f>IF(offer_sale_type="транзит",IFERROR(ROUND(VLOOKUP($B381,calc_data,I$14+1,0),2),0),0)</f>
        <v/>
      </c>
      <c r="J381" s="141">
        <f>ROUND(IF(offer_sale_type="транзит",IFERROR(VLOOKUP($B381,calc_data,J$14+1,0),0),0),2)</f>
        <v/>
      </c>
      <c r="K381" s="142">
        <f>IF(offer_sale_type="транзит",IFERROR(ROUNDUP(VLOOKUP($B381,calc_data,K$14+1,0),2),0),0)</f>
        <v/>
      </c>
      <c r="L381" s="184">
        <f>IF(offer_sale_type="транзит",IFERROR(ROUNDUP(VLOOKUP($B381,calc_data,L$14+1,0),2),0),0)</f>
        <v/>
      </c>
      <c r="M381" s="141">
        <f>IF(offer_sale_type="транзит",IFERROR(ROUNDUP(VLOOKUP($B381,calc_data,M$14+1,0),2),0),0)</f>
        <v/>
      </c>
      <c r="N381" s="141">
        <f>IF(offer_sale_type="транзит",IFERROR(ROUNDUP(VLOOKUP($B381,calc_data,N$14+1,0),2),0),0)</f>
        <v/>
      </c>
      <c r="O381" s="147">
        <f>IF(offer_sale_type="транзит",IFERROR(ROUND(VLOOKUP($B381,calc_data,O$14+1,1),2),0),0)</f>
        <v/>
      </c>
      <c r="P381" s="141">
        <f>IF(offer_sale_type="транзит",IFERROR(ROUND(SUM(I381:J381,M381:O381)/E381,2),0),0)</f>
        <v/>
      </c>
      <c r="Q381" s="141">
        <f>E381*P381</f>
        <v/>
      </c>
      <c r="R381" s="141">
        <f>ROUND(Q381*IF(AND(offer_incoterms="DDP",seller_region="RU"),IF((TODAY()+offer_turnaround_time)&gt;=helpsheet!$L$17,rate_vatRU_from_26,rate_vatRu_till_25),0),2)</f>
        <v/>
      </c>
      <c r="S381" s="177">
        <f>Q381+IF(AND(offer_incoterms="DDP",seller_region="RU"),R381,0)</f>
        <v/>
      </c>
      <c r="T381" s="45" t="n"/>
      <c r="V381" s="57">
        <f>IF(Q381&gt;0,"показать","скрыть")</f>
        <v/>
      </c>
    </row>
    <row r="382" ht="15.75" customHeight="1">
      <c r="B382" s="809" t="n">
        <v>366</v>
      </c>
      <c r="C382" s="182">
        <f>IF(offer_sale_type="транзит",IFERROR(VLOOKUP($B382,calc_data,C$14+1,0),0),0)</f>
        <v/>
      </c>
      <c r="D382" s="280">
        <f>IF(offer_sale_type="транзит",IFERROR(VLOOKUP($B382,calc_data,D$14+1,0),0),0)</f>
        <v/>
      </c>
      <c r="E382" s="182">
        <f>IF(offer_sale_type="транзит",IFERROR(VLOOKUP($B382,calc_data,E$14+1,0),0),0)</f>
        <v/>
      </c>
      <c r="F382" s="182">
        <f>IF(offer_sale_type="транзит",IFERROR(VLOOKUP($B382,calc_data,F$14+1,0),0),0)</f>
        <v/>
      </c>
      <c r="G382" s="141">
        <f>IF(offer_sale_type="транзит",IFERROR(VLOOKUP($B382,calc_data,G$14+1,0),0),0)</f>
        <v/>
      </c>
      <c r="H382" s="141">
        <f>E382*G382</f>
        <v/>
      </c>
      <c r="I382" s="141">
        <f>IF(offer_sale_type="транзит",IFERROR(ROUND(VLOOKUP($B382,calc_data,I$14+1,0),2),0),0)</f>
        <v/>
      </c>
      <c r="J382" s="141">
        <f>ROUND(IF(offer_sale_type="транзит",IFERROR(VLOOKUP($B382,calc_data,J$14+1,0),0),0),2)</f>
        <v/>
      </c>
      <c r="K382" s="142">
        <f>IF(offer_sale_type="транзит",IFERROR(ROUNDUP(VLOOKUP($B382,calc_data,K$14+1,0),2),0),0)</f>
        <v/>
      </c>
      <c r="L382" s="184">
        <f>IF(offer_sale_type="транзит",IFERROR(ROUNDUP(VLOOKUP($B382,calc_data,L$14+1,0),2),0),0)</f>
        <v/>
      </c>
      <c r="M382" s="141">
        <f>IF(offer_sale_type="транзит",IFERROR(ROUNDUP(VLOOKUP($B382,calc_data,M$14+1,0),2),0),0)</f>
        <v/>
      </c>
      <c r="N382" s="141">
        <f>IF(offer_sale_type="транзит",IFERROR(ROUNDUP(VLOOKUP($B382,calc_data,N$14+1,0),2),0),0)</f>
        <v/>
      </c>
      <c r="O382" s="147">
        <f>IF(offer_sale_type="транзит",IFERROR(ROUND(VLOOKUP($B382,calc_data,O$14+1,1),2),0),0)</f>
        <v/>
      </c>
      <c r="P382" s="141">
        <f>IF(offer_sale_type="транзит",IFERROR(ROUND(SUM(I382:J382,M382:O382)/E382,2),0),0)</f>
        <v/>
      </c>
      <c r="Q382" s="141">
        <f>E382*P382</f>
        <v/>
      </c>
      <c r="R382" s="141">
        <f>ROUND(Q382*IF(AND(offer_incoterms="DDP",seller_region="RU"),IF((TODAY()+offer_turnaround_time)&gt;=helpsheet!$L$17,rate_vatRU_from_26,rate_vatRu_till_25),0),2)</f>
        <v/>
      </c>
      <c r="S382" s="177">
        <f>Q382+IF(AND(offer_incoterms="DDP",seller_region="RU"),R382,0)</f>
        <v/>
      </c>
      <c r="T382" s="45" t="n"/>
      <c r="V382" s="57">
        <f>IF(Q382&gt;0,"показать","скрыть")</f>
        <v/>
      </c>
    </row>
    <row r="383" ht="15.75" customHeight="1">
      <c r="B383" s="809" t="n">
        <v>367</v>
      </c>
      <c r="C383" s="182">
        <f>IF(offer_sale_type="транзит",IFERROR(VLOOKUP($B383,calc_data,C$14+1,0),0),0)</f>
        <v/>
      </c>
      <c r="D383" s="280">
        <f>IF(offer_sale_type="транзит",IFERROR(VLOOKUP($B383,calc_data,D$14+1,0),0),0)</f>
        <v/>
      </c>
      <c r="E383" s="182">
        <f>IF(offer_sale_type="транзит",IFERROR(VLOOKUP($B383,calc_data,E$14+1,0),0),0)</f>
        <v/>
      </c>
      <c r="F383" s="182">
        <f>IF(offer_sale_type="транзит",IFERROR(VLOOKUP($B383,calc_data,F$14+1,0),0),0)</f>
        <v/>
      </c>
      <c r="G383" s="141">
        <f>IF(offer_sale_type="транзит",IFERROR(VLOOKUP($B383,calc_data,G$14+1,0),0),0)</f>
        <v/>
      </c>
      <c r="H383" s="141">
        <f>E383*G383</f>
        <v/>
      </c>
      <c r="I383" s="141">
        <f>IF(offer_sale_type="транзит",IFERROR(ROUND(VLOOKUP($B383,calc_data,I$14+1,0),2),0),0)</f>
        <v/>
      </c>
      <c r="J383" s="141">
        <f>ROUND(IF(offer_sale_type="транзит",IFERROR(VLOOKUP($B383,calc_data,J$14+1,0),0),0),2)</f>
        <v/>
      </c>
      <c r="K383" s="142">
        <f>IF(offer_sale_type="транзит",IFERROR(ROUNDUP(VLOOKUP($B383,calc_data,K$14+1,0),2),0),0)</f>
        <v/>
      </c>
      <c r="L383" s="184">
        <f>IF(offer_sale_type="транзит",IFERROR(ROUNDUP(VLOOKUP($B383,calc_data,L$14+1,0),2),0),0)</f>
        <v/>
      </c>
      <c r="M383" s="141">
        <f>IF(offer_sale_type="транзит",IFERROR(ROUNDUP(VLOOKUP($B383,calc_data,M$14+1,0),2),0),0)</f>
        <v/>
      </c>
      <c r="N383" s="141">
        <f>IF(offer_sale_type="транзит",IFERROR(ROUNDUP(VLOOKUP($B383,calc_data,N$14+1,0),2),0),0)</f>
        <v/>
      </c>
      <c r="O383" s="147">
        <f>IF(offer_sale_type="транзит",IFERROR(ROUND(VLOOKUP($B383,calc_data,O$14+1,1),2),0),0)</f>
        <v/>
      </c>
      <c r="P383" s="141">
        <f>IF(offer_sale_type="транзит",IFERROR(ROUND(SUM(I383:J383,M383:O383)/E383,2),0),0)</f>
        <v/>
      </c>
      <c r="Q383" s="141">
        <f>E383*P383</f>
        <v/>
      </c>
      <c r="R383" s="141">
        <f>ROUND(Q383*IF(AND(offer_incoterms="DDP",seller_region="RU"),IF((TODAY()+offer_turnaround_time)&gt;=helpsheet!$L$17,rate_vatRU_from_26,rate_vatRu_till_25),0),2)</f>
        <v/>
      </c>
      <c r="S383" s="177">
        <f>Q383+IF(AND(offer_incoterms="DDP",seller_region="RU"),R383,0)</f>
        <v/>
      </c>
      <c r="T383" s="45" t="n"/>
      <c r="V383" s="57">
        <f>IF(Q383&gt;0,"показать","скрыть")</f>
        <v/>
      </c>
    </row>
    <row r="384" ht="15.75" customHeight="1">
      <c r="B384" s="809" t="n">
        <v>368</v>
      </c>
      <c r="C384" s="182">
        <f>IF(offer_sale_type="транзит",IFERROR(VLOOKUP($B384,calc_data,C$14+1,0),0),0)</f>
        <v/>
      </c>
      <c r="D384" s="280">
        <f>IF(offer_sale_type="транзит",IFERROR(VLOOKUP($B384,calc_data,D$14+1,0),0),0)</f>
        <v/>
      </c>
      <c r="E384" s="182">
        <f>IF(offer_sale_type="транзит",IFERROR(VLOOKUP($B384,calc_data,E$14+1,0),0),0)</f>
        <v/>
      </c>
      <c r="F384" s="182">
        <f>IF(offer_sale_type="транзит",IFERROR(VLOOKUP($B384,calc_data,F$14+1,0),0),0)</f>
        <v/>
      </c>
      <c r="G384" s="141">
        <f>IF(offer_sale_type="транзит",IFERROR(VLOOKUP($B384,calc_data,G$14+1,0),0),0)</f>
        <v/>
      </c>
      <c r="H384" s="141">
        <f>E384*G384</f>
        <v/>
      </c>
      <c r="I384" s="141">
        <f>IF(offer_sale_type="транзит",IFERROR(ROUND(VLOOKUP($B384,calc_data,I$14+1,0),2),0),0)</f>
        <v/>
      </c>
      <c r="J384" s="141">
        <f>ROUND(IF(offer_sale_type="транзит",IFERROR(VLOOKUP($B384,calc_data,J$14+1,0),0),0),2)</f>
        <v/>
      </c>
      <c r="K384" s="142">
        <f>IF(offer_sale_type="транзит",IFERROR(ROUNDUP(VLOOKUP($B384,calc_data,K$14+1,0),2),0),0)</f>
        <v/>
      </c>
      <c r="L384" s="184">
        <f>IF(offer_sale_type="транзит",IFERROR(ROUNDUP(VLOOKUP($B384,calc_data,L$14+1,0),2),0),0)</f>
        <v/>
      </c>
      <c r="M384" s="141">
        <f>IF(offer_sale_type="транзит",IFERROR(ROUNDUP(VLOOKUP($B384,calc_data,M$14+1,0),2),0),0)</f>
        <v/>
      </c>
      <c r="N384" s="141">
        <f>IF(offer_sale_type="транзит",IFERROR(ROUNDUP(VLOOKUP($B384,calc_data,N$14+1,0),2),0),0)</f>
        <v/>
      </c>
      <c r="O384" s="147">
        <f>IF(offer_sale_type="транзит",IFERROR(ROUND(VLOOKUP($B384,calc_data,O$14+1,1),2),0),0)</f>
        <v/>
      </c>
      <c r="P384" s="141">
        <f>IF(offer_sale_type="транзит",IFERROR(ROUND(SUM(I384:J384,M384:O384)/E384,2),0),0)</f>
        <v/>
      </c>
      <c r="Q384" s="141">
        <f>E384*P384</f>
        <v/>
      </c>
      <c r="R384" s="141">
        <f>ROUND(Q384*IF(AND(offer_incoterms="DDP",seller_region="RU"),IF((TODAY()+offer_turnaround_time)&gt;=helpsheet!$L$17,rate_vatRU_from_26,rate_vatRu_till_25),0),2)</f>
        <v/>
      </c>
      <c r="S384" s="177">
        <f>Q384+IF(AND(offer_incoterms="DDP",seller_region="RU"),R384,0)</f>
        <v/>
      </c>
      <c r="T384" s="45" t="n"/>
      <c r="V384" s="57">
        <f>IF(Q384&gt;0,"показать","скрыть")</f>
        <v/>
      </c>
    </row>
    <row r="385" ht="15.75" customHeight="1">
      <c r="B385" s="809" t="n">
        <v>369</v>
      </c>
      <c r="C385" s="182">
        <f>IF(offer_sale_type="транзит",IFERROR(VLOOKUP($B385,calc_data,C$14+1,0),0),0)</f>
        <v/>
      </c>
      <c r="D385" s="280">
        <f>IF(offer_sale_type="транзит",IFERROR(VLOOKUP($B385,calc_data,D$14+1,0),0),0)</f>
        <v/>
      </c>
      <c r="E385" s="182">
        <f>IF(offer_sale_type="транзит",IFERROR(VLOOKUP($B385,calc_data,E$14+1,0),0),0)</f>
        <v/>
      </c>
      <c r="F385" s="182">
        <f>IF(offer_sale_type="транзит",IFERROR(VLOOKUP($B385,calc_data,F$14+1,0),0),0)</f>
        <v/>
      </c>
      <c r="G385" s="141">
        <f>IF(offer_sale_type="транзит",IFERROR(VLOOKUP($B385,calc_data,G$14+1,0),0),0)</f>
        <v/>
      </c>
      <c r="H385" s="141">
        <f>E385*G385</f>
        <v/>
      </c>
      <c r="I385" s="141">
        <f>IF(offer_sale_type="транзит",IFERROR(ROUND(VLOOKUP($B385,calc_data,I$14+1,0),2),0),0)</f>
        <v/>
      </c>
      <c r="J385" s="141">
        <f>ROUND(IF(offer_sale_type="транзит",IFERROR(VLOOKUP($B385,calc_data,J$14+1,0),0),0),2)</f>
        <v/>
      </c>
      <c r="K385" s="142">
        <f>IF(offer_sale_type="транзит",IFERROR(ROUNDUP(VLOOKUP($B385,calc_data,K$14+1,0),2),0),0)</f>
        <v/>
      </c>
      <c r="L385" s="184">
        <f>IF(offer_sale_type="транзит",IFERROR(ROUNDUP(VLOOKUP($B385,calc_data,L$14+1,0),2),0),0)</f>
        <v/>
      </c>
      <c r="M385" s="141">
        <f>IF(offer_sale_type="транзит",IFERROR(ROUNDUP(VLOOKUP($B385,calc_data,M$14+1,0),2),0),0)</f>
        <v/>
      </c>
      <c r="N385" s="141">
        <f>IF(offer_sale_type="транзит",IFERROR(ROUNDUP(VLOOKUP($B385,calc_data,N$14+1,0),2),0),0)</f>
        <v/>
      </c>
      <c r="O385" s="147">
        <f>IF(offer_sale_type="транзит",IFERROR(ROUND(VLOOKUP($B385,calc_data,O$14+1,1),2),0),0)</f>
        <v/>
      </c>
      <c r="P385" s="141">
        <f>IF(offer_sale_type="транзит",IFERROR(ROUND(SUM(I385:J385,M385:O385)/E385,2),0),0)</f>
        <v/>
      </c>
      <c r="Q385" s="141">
        <f>E385*P385</f>
        <v/>
      </c>
      <c r="R385" s="141">
        <f>ROUND(Q385*IF(AND(offer_incoterms="DDP",seller_region="RU"),IF((TODAY()+offer_turnaround_time)&gt;=helpsheet!$L$17,rate_vatRU_from_26,rate_vatRu_till_25),0),2)</f>
        <v/>
      </c>
      <c r="S385" s="177">
        <f>Q385+IF(AND(offer_incoterms="DDP",seller_region="RU"),R385,0)</f>
        <v/>
      </c>
      <c r="T385" s="45" t="n"/>
      <c r="V385" s="57">
        <f>IF(Q385&gt;0,"показать","скрыть")</f>
        <v/>
      </c>
    </row>
    <row r="386" ht="15.75" customHeight="1">
      <c r="B386" s="809" t="n">
        <v>370</v>
      </c>
      <c r="C386" s="182">
        <f>IF(offer_sale_type="транзит",IFERROR(VLOOKUP($B386,calc_data,C$14+1,0),0),0)</f>
        <v/>
      </c>
      <c r="D386" s="280">
        <f>IF(offer_sale_type="транзит",IFERROR(VLOOKUP($B386,calc_data,D$14+1,0),0),0)</f>
        <v/>
      </c>
      <c r="E386" s="182">
        <f>IF(offer_sale_type="транзит",IFERROR(VLOOKUP($B386,calc_data,E$14+1,0),0),0)</f>
        <v/>
      </c>
      <c r="F386" s="182">
        <f>IF(offer_sale_type="транзит",IFERROR(VLOOKUP($B386,calc_data,F$14+1,0),0),0)</f>
        <v/>
      </c>
      <c r="G386" s="141">
        <f>IF(offer_sale_type="транзит",IFERROR(VLOOKUP($B386,calc_data,G$14+1,0),0),0)</f>
        <v/>
      </c>
      <c r="H386" s="141">
        <f>E386*G386</f>
        <v/>
      </c>
      <c r="I386" s="141">
        <f>IF(offer_sale_type="транзит",IFERROR(ROUND(VLOOKUP($B386,calc_data,I$14+1,0),2),0),0)</f>
        <v/>
      </c>
      <c r="J386" s="141">
        <f>ROUND(IF(offer_sale_type="транзит",IFERROR(VLOOKUP($B386,calc_data,J$14+1,0),0),0),2)</f>
        <v/>
      </c>
      <c r="K386" s="142">
        <f>IF(offer_sale_type="транзит",IFERROR(ROUNDUP(VLOOKUP($B386,calc_data,K$14+1,0),2),0),0)</f>
        <v/>
      </c>
      <c r="L386" s="184">
        <f>IF(offer_sale_type="транзит",IFERROR(ROUNDUP(VLOOKUP($B386,calc_data,L$14+1,0),2),0),0)</f>
        <v/>
      </c>
      <c r="M386" s="141">
        <f>IF(offer_sale_type="транзит",IFERROR(ROUNDUP(VLOOKUP($B386,calc_data,M$14+1,0),2),0),0)</f>
        <v/>
      </c>
      <c r="N386" s="141">
        <f>IF(offer_sale_type="транзит",IFERROR(ROUNDUP(VLOOKUP($B386,calc_data,N$14+1,0),2),0),0)</f>
        <v/>
      </c>
      <c r="O386" s="147">
        <f>IF(offer_sale_type="транзит",IFERROR(ROUND(VLOOKUP($B386,calc_data,O$14+1,1),2),0),0)</f>
        <v/>
      </c>
      <c r="P386" s="141">
        <f>IF(offer_sale_type="транзит",IFERROR(ROUND(SUM(I386:J386,M386:O386)/E386,2),0),0)</f>
        <v/>
      </c>
      <c r="Q386" s="141">
        <f>E386*P386</f>
        <v/>
      </c>
      <c r="R386" s="141">
        <f>ROUND(Q386*IF(AND(offer_incoterms="DDP",seller_region="RU"),IF((TODAY()+offer_turnaround_time)&gt;=helpsheet!$L$17,rate_vatRU_from_26,rate_vatRu_till_25),0),2)</f>
        <v/>
      </c>
      <c r="S386" s="177">
        <f>Q386+IF(AND(offer_incoterms="DDP",seller_region="RU"),R386,0)</f>
        <v/>
      </c>
      <c r="T386" s="45" t="n"/>
      <c r="V386" s="57">
        <f>IF(Q386&gt;0,"показать","скрыть")</f>
        <v/>
      </c>
    </row>
    <row r="387" ht="15.75" customHeight="1">
      <c r="B387" s="809" t="n">
        <v>371</v>
      </c>
      <c r="C387" s="182">
        <f>IF(offer_sale_type="транзит",IFERROR(VLOOKUP($B387,calc_data,C$14+1,0),0),0)</f>
        <v/>
      </c>
      <c r="D387" s="280">
        <f>IF(offer_sale_type="транзит",IFERROR(VLOOKUP($B387,calc_data,D$14+1,0),0),0)</f>
        <v/>
      </c>
      <c r="E387" s="182">
        <f>IF(offer_sale_type="транзит",IFERROR(VLOOKUP($B387,calc_data,E$14+1,0),0),0)</f>
        <v/>
      </c>
      <c r="F387" s="182">
        <f>IF(offer_sale_type="транзит",IFERROR(VLOOKUP($B387,calc_data,F$14+1,0),0),0)</f>
        <v/>
      </c>
      <c r="G387" s="141">
        <f>IF(offer_sale_type="транзит",IFERROR(VLOOKUP($B387,calc_data,G$14+1,0),0),0)</f>
        <v/>
      </c>
      <c r="H387" s="141">
        <f>E387*G387</f>
        <v/>
      </c>
      <c r="I387" s="141">
        <f>IF(offer_sale_type="транзит",IFERROR(ROUND(VLOOKUP($B387,calc_data,I$14+1,0),2),0),0)</f>
        <v/>
      </c>
      <c r="J387" s="141">
        <f>ROUND(IF(offer_sale_type="транзит",IFERROR(VLOOKUP($B387,calc_data,J$14+1,0),0),0),2)</f>
        <v/>
      </c>
      <c r="K387" s="142">
        <f>IF(offer_sale_type="транзит",IFERROR(ROUNDUP(VLOOKUP($B387,calc_data,K$14+1,0),2),0),0)</f>
        <v/>
      </c>
      <c r="L387" s="184">
        <f>IF(offer_sale_type="транзит",IFERROR(ROUNDUP(VLOOKUP($B387,calc_data,L$14+1,0),2),0),0)</f>
        <v/>
      </c>
      <c r="M387" s="141">
        <f>IF(offer_sale_type="транзит",IFERROR(ROUNDUP(VLOOKUP($B387,calc_data,M$14+1,0),2),0),0)</f>
        <v/>
      </c>
      <c r="N387" s="141">
        <f>IF(offer_sale_type="транзит",IFERROR(ROUNDUP(VLOOKUP($B387,calc_data,N$14+1,0),2),0),0)</f>
        <v/>
      </c>
      <c r="O387" s="147">
        <f>IF(offer_sale_type="транзит",IFERROR(ROUND(VLOOKUP($B387,calc_data,O$14+1,1),2),0),0)</f>
        <v/>
      </c>
      <c r="P387" s="141">
        <f>IF(offer_sale_type="транзит",IFERROR(ROUND(SUM(I387:J387,M387:O387)/E387,2),0),0)</f>
        <v/>
      </c>
      <c r="Q387" s="141">
        <f>E387*P387</f>
        <v/>
      </c>
      <c r="R387" s="141">
        <f>ROUND(Q387*IF(AND(offer_incoterms="DDP",seller_region="RU"),IF((TODAY()+offer_turnaround_time)&gt;=helpsheet!$L$17,rate_vatRU_from_26,rate_vatRu_till_25),0),2)</f>
        <v/>
      </c>
      <c r="S387" s="177">
        <f>Q387+IF(AND(offer_incoterms="DDP",seller_region="RU"),R387,0)</f>
        <v/>
      </c>
      <c r="T387" s="45" t="n"/>
      <c r="V387" s="57">
        <f>IF(Q387&gt;0,"показать","скрыть")</f>
        <v/>
      </c>
    </row>
    <row r="388" ht="15.75" customHeight="1">
      <c r="B388" s="809" t="n">
        <v>372</v>
      </c>
      <c r="C388" s="182">
        <f>IF(offer_sale_type="транзит",IFERROR(VLOOKUP($B388,calc_data,C$14+1,0),0),0)</f>
        <v/>
      </c>
      <c r="D388" s="280">
        <f>IF(offer_sale_type="транзит",IFERROR(VLOOKUP($B388,calc_data,D$14+1,0),0),0)</f>
        <v/>
      </c>
      <c r="E388" s="182">
        <f>IF(offer_sale_type="транзит",IFERROR(VLOOKUP($B388,calc_data,E$14+1,0),0),0)</f>
        <v/>
      </c>
      <c r="F388" s="182">
        <f>IF(offer_sale_type="транзит",IFERROR(VLOOKUP($B388,calc_data,F$14+1,0),0),0)</f>
        <v/>
      </c>
      <c r="G388" s="141">
        <f>IF(offer_sale_type="транзит",IFERROR(VLOOKUP($B388,calc_data,G$14+1,0),0),0)</f>
        <v/>
      </c>
      <c r="H388" s="141">
        <f>E388*G388</f>
        <v/>
      </c>
      <c r="I388" s="141">
        <f>IF(offer_sale_type="транзит",IFERROR(ROUND(VLOOKUP($B388,calc_data,I$14+1,0),2),0),0)</f>
        <v/>
      </c>
      <c r="J388" s="141">
        <f>ROUND(IF(offer_sale_type="транзит",IFERROR(VLOOKUP($B388,calc_data,J$14+1,0),0),0),2)</f>
        <v/>
      </c>
      <c r="K388" s="142">
        <f>IF(offer_sale_type="транзит",IFERROR(ROUNDUP(VLOOKUP($B388,calc_data,K$14+1,0),2),0),0)</f>
        <v/>
      </c>
      <c r="L388" s="184">
        <f>IF(offer_sale_type="транзит",IFERROR(ROUNDUP(VLOOKUP($B388,calc_data,L$14+1,0),2),0),0)</f>
        <v/>
      </c>
      <c r="M388" s="141">
        <f>IF(offer_sale_type="транзит",IFERROR(ROUNDUP(VLOOKUP($B388,calc_data,M$14+1,0),2),0),0)</f>
        <v/>
      </c>
      <c r="N388" s="141">
        <f>IF(offer_sale_type="транзит",IFERROR(ROUNDUP(VLOOKUP($B388,calc_data,N$14+1,0),2),0),0)</f>
        <v/>
      </c>
      <c r="O388" s="147">
        <f>IF(offer_sale_type="транзит",IFERROR(ROUND(VLOOKUP($B388,calc_data,O$14+1,1),2),0),0)</f>
        <v/>
      </c>
      <c r="P388" s="141">
        <f>IF(offer_sale_type="транзит",IFERROR(ROUND(SUM(I388:J388,M388:O388)/E388,2),0),0)</f>
        <v/>
      </c>
      <c r="Q388" s="141">
        <f>E388*P388</f>
        <v/>
      </c>
      <c r="R388" s="141">
        <f>ROUND(Q388*IF(AND(offer_incoterms="DDP",seller_region="RU"),IF((TODAY()+offer_turnaround_time)&gt;=helpsheet!$L$17,rate_vatRU_from_26,rate_vatRu_till_25),0),2)</f>
        <v/>
      </c>
      <c r="S388" s="177">
        <f>Q388+IF(AND(offer_incoterms="DDP",seller_region="RU"),R388,0)</f>
        <v/>
      </c>
      <c r="T388" s="45" t="n"/>
      <c r="V388" s="57">
        <f>IF(Q388&gt;0,"показать","скрыть")</f>
        <v/>
      </c>
    </row>
    <row r="389" ht="15.75" customHeight="1">
      <c r="B389" s="809" t="n">
        <v>373</v>
      </c>
      <c r="C389" s="182">
        <f>IF(offer_sale_type="транзит",IFERROR(VLOOKUP($B389,calc_data,C$14+1,0),0),0)</f>
        <v/>
      </c>
      <c r="D389" s="280">
        <f>IF(offer_sale_type="транзит",IFERROR(VLOOKUP($B389,calc_data,D$14+1,0),0),0)</f>
        <v/>
      </c>
      <c r="E389" s="182">
        <f>IF(offer_sale_type="транзит",IFERROR(VLOOKUP($B389,calc_data,E$14+1,0),0),0)</f>
        <v/>
      </c>
      <c r="F389" s="182">
        <f>IF(offer_sale_type="транзит",IFERROR(VLOOKUP($B389,calc_data,F$14+1,0),0),0)</f>
        <v/>
      </c>
      <c r="G389" s="141">
        <f>IF(offer_sale_type="транзит",IFERROR(VLOOKUP($B389,calc_data,G$14+1,0),0),0)</f>
        <v/>
      </c>
      <c r="H389" s="141">
        <f>E389*G389</f>
        <v/>
      </c>
      <c r="I389" s="141">
        <f>IF(offer_sale_type="транзит",IFERROR(ROUND(VLOOKUP($B389,calc_data,I$14+1,0),2),0),0)</f>
        <v/>
      </c>
      <c r="J389" s="141">
        <f>ROUND(IF(offer_sale_type="транзит",IFERROR(VLOOKUP($B389,calc_data,J$14+1,0),0),0),2)</f>
        <v/>
      </c>
      <c r="K389" s="142">
        <f>IF(offer_sale_type="транзит",IFERROR(ROUNDUP(VLOOKUP($B389,calc_data,K$14+1,0),2),0),0)</f>
        <v/>
      </c>
      <c r="L389" s="184">
        <f>IF(offer_sale_type="транзит",IFERROR(ROUNDUP(VLOOKUP($B389,calc_data,L$14+1,0),2),0),0)</f>
        <v/>
      </c>
      <c r="M389" s="141">
        <f>IF(offer_sale_type="транзит",IFERROR(ROUNDUP(VLOOKUP($B389,calc_data,M$14+1,0),2),0),0)</f>
        <v/>
      </c>
      <c r="N389" s="141">
        <f>IF(offer_sale_type="транзит",IFERROR(ROUNDUP(VLOOKUP($B389,calc_data,N$14+1,0),2),0),0)</f>
        <v/>
      </c>
      <c r="O389" s="147">
        <f>IF(offer_sale_type="транзит",IFERROR(ROUND(VLOOKUP($B389,calc_data,O$14+1,1),2),0),0)</f>
        <v/>
      </c>
      <c r="P389" s="141">
        <f>IF(offer_sale_type="транзит",IFERROR(ROUND(SUM(I389:J389,M389:O389)/E389,2),0),0)</f>
        <v/>
      </c>
      <c r="Q389" s="141">
        <f>E389*P389</f>
        <v/>
      </c>
      <c r="R389" s="141">
        <f>ROUND(Q389*IF(AND(offer_incoterms="DDP",seller_region="RU"),IF((TODAY()+offer_turnaround_time)&gt;=helpsheet!$L$17,rate_vatRU_from_26,rate_vatRu_till_25),0),2)</f>
        <v/>
      </c>
      <c r="S389" s="177">
        <f>Q389+IF(AND(offer_incoterms="DDP",seller_region="RU"),R389,0)</f>
        <v/>
      </c>
      <c r="T389" s="45" t="n"/>
      <c r="V389" s="57">
        <f>IF(Q389&gt;0,"показать","скрыть")</f>
        <v/>
      </c>
    </row>
    <row r="390" ht="15.75" customHeight="1">
      <c r="B390" s="809" t="n">
        <v>374</v>
      </c>
      <c r="C390" s="182">
        <f>IF(offer_sale_type="транзит",IFERROR(VLOOKUP($B390,calc_data,C$14+1,0),0),0)</f>
        <v/>
      </c>
      <c r="D390" s="280">
        <f>IF(offer_sale_type="транзит",IFERROR(VLOOKUP($B390,calc_data,D$14+1,0),0),0)</f>
        <v/>
      </c>
      <c r="E390" s="182">
        <f>IF(offer_sale_type="транзит",IFERROR(VLOOKUP($B390,calc_data,E$14+1,0),0),0)</f>
        <v/>
      </c>
      <c r="F390" s="182">
        <f>IF(offer_sale_type="транзит",IFERROR(VLOOKUP($B390,calc_data,F$14+1,0),0),0)</f>
        <v/>
      </c>
      <c r="G390" s="141">
        <f>IF(offer_sale_type="транзит",IFERROR(VLOOKUP($B390,calc_data,G$14+1,0),0),0)</f>
        <v/>
      </c>
      <c r="H390" s="141">
        <f>E390*G390</f>
        <v/>
      </c>
      <c r="I390" s="141">
        <f>IF(offer_sale_type="транзит",IFERROR(ROUND(VLOOKUP($B390,calc_data,I$14+1,0),2),0),0)</f>
        <v/>
      </c>
      <c r="J390" s="141">
        <f>ROUND(IF(offer_sale_type="транзит",IFERROR(VLOOKUP($B390,calc_data,J$14+1,0),0),0),2)</f>
        <v/>
      </c>
      <c r="K390" s="142">
        <f>IF(offer_sale_type="транзит",IFERROR(ROUNDUP(VLOOKUP($B390,calc_data,K$14+1,0),2),0),0)</f>
        <v/>
      </c>
      <c r="L390" s="184">
        <f>IF(offer_sale_type="транзит",IFERROR(ROUNDUP(VLOOKUP($B390,calc_data,L$14+1,0),2),0),0)</f>
        <v/>
      </c>
      <c r="M390" s="141">
        <f>IF(offer_sale_type="транзит",IFERROR(ROUNDUP(VLOOKUP($B390,calc_data,M$14+1,0),2),0),0)</f>
        <v/>
      </c>
      <c r="N390" s="141">
        <f>IF(offer_sale_type="транзит",IFERROR(ROUNDUP(VLOOKUP($B390,calc_data,N$14+1,0),2),0),0)</f>
        <v/>
      </c>
      <c r="O390" s="147">
        <f>IF(offer_sale_type="транзит",IFERROR(ROUND(VLOOKUP($B390,calc_data,O$14+1,1),2),0),0)</f>
        <v/>
      </c>
      <c r="P390" s="141">
        <f>IF(offer_sale_type="транзит",IFERROR(ROUND(SUM(I390:J390,M390:O390)/E390,2),0),0)</f>
        <v/>
      </c>
      <c r="Q390" s="141">
        <f>E390*P390</f>
        <v/>
      </c>
      <c r="R390" s="141">
        <f>ROUND(Q390*IF(AND(offer_incoterms="DDP",seller_region="RU"),IF((TODAY()+offer_turnaround_time)&gt;=helpsheet!$L$17,rate_vatRU_from_26,rate_vatRu_till_25),0),2)</f>
        <v/>
      </c>
      <c r="S390" s="177">
        <f>Q390+IF(AND(offer_incoterms="DDP",seller_region="RU"),R390,0)</f>
        <v/>
      </c>
      <c r="T390" s="45" t="n"/>
      <c r="V390" s="57">
        <f>IF(Q390&gt;0,"показать","скрыть")</f>
        <v/>
      </c>
    </row>
    <row r="391" ht="15.75" customHeight="1">
      <c r="B391" s="809" t="n">
        <v>375</v>
      </c>
      <c r="C391" s="182">
        <f>IF(offer_sale_type="транзит",IFERROR(VLOOKUP($B391,calc_data,C$14+1,0),0),0)</f>
        <v/>
      </c>
      <c r="D391" s="280">
        <f>IF(offer_sale_type="транзит",IFERROR(VLOOKUP($B391,calc_data,D$14+1,0),0),0)</f>
        <v/>
      </c>
      <c r="E391" s="182">
        <f>IF(offer_sale_type="транзит",IFERROR(VLOOKUP($B391,calc_data,E$14+1,0),0),0)</f>
        <v/>
      </c>
      <c r="F391" s="182">
        <f>IF(offer_sale_type="транзит",IFERROR(VLOOKUP($B391,calc_data,F$14+1,0),0),0)</f>
        <v/>
      </c>
      <c r="G391" s="141">
        <f>IF(offer_sale_type="транзит",IFERROR(VLOOKUP($B391,calc_data,G$14+1,0),0),0)</f>
        <v/>
      </c>
      <c r="H391" s="141">
        <f>E391*G391</f>
        <v/>
      </c>
      <c r="I391" s="141">
        <f>IF(offer_sale_type="транзит",IFERROR(ROUND(VLOOKUP($B391,calc_data,I$14+1,0),2),0),0)</f>
        <v/>
      </c>
      <c r="J391" s="141">
        <f>ROUND(IF(offer_sale_type="транзит",IFERROR(VLOOKUP($B391,calc_data,J$14+1,0),0),0),2)</f>
        <v/>
      </c>
      <c r="K391" s="142">
        <f>IF(offer_sale_type="транзит",IFERROR(ROUNDUP(VLOOKUP($B391,calc_data,K$14+1,0),2),0),0)</f>
        <v/>
      </c>
      <c r="L391" s="184">
        <f>IF(offer_sale_type="транзит",IFERROR(ROUNDUP(VLOOKUP($B391,calc_data,L$14+1,0),2),0),0)</f>
        <v/>
      </c>
      <c r="M391" s="141">
        <f>IF(offer_sale_type="транзит",IFERROR(ROUNDUP(VLOOKUP($B391,calc_data,M$14+1,0),2),0),0)</f>
        <v/>
      </c>
      <c r="N391" s="141">
        <f>IF(offer_sale_type="транзит",IFERROR(ROUNDUP(VLOOKUP($B391,calc_data,N$14+1,0),2),0),0)</f>
        <v/>
      </c>
      <c r="O391" s="147">
        <f>IF(offer_sale_type="транзит",IFERROR(ROUND(VLOOKUP($B391,calc_data,O$14+1,1),2),0),0)</f>
        <v/>
      </c>
      <c r="P391" s="141">
        <f>IF(offer_sale_type="транзит",IFERROR(ROUND(SUM(I391:J391,M391:O391)/E391,2),0),0)</f>
        <v/>
      </c>
      <c r="Q391" s="141">
        <f>E391*P391</f>
        <v/>
      </c>
      <c r="R391" s="141">
        <f>ROUND(Q391*IF(AND(offer_incoterms="DDP",seller_region="RU"),IF((TODAY()+offer_turnaround_time)&gt;=helpsheet!$L$17,rate_vatRU_from_26,rate_vatRu_till_25),0),2)</f>
        <v/>
      </c>
      <c r="S391" s="177">
        <f>Q391+IF(AND(offer_incoterms="DDP",seller_region="RU"),R391,0)</f>
        <v/>
      </c>
      <c r="T391" s="45" t="n"/>
      <c r="V391" s="57">
        <f>IF(Q391&gt;0,"показать","скрыть")</f>
        <v/>
      </c>
    </row>
    <row r="392" ht="15.75" customHeight="1">
      <c r="B392" s="809" t="n">
        <v>376</v>
      </c>
      <c r="C392" s="182">
        <f>IF(offer_sale_type="транзит",IFERROR(VLOOKUP($B392,calc_data,C$14+1,0),0),0)</f>
        <v/>
      </c>
      <c r="D392" s="280">
        <f>IF(offer_sale_type="транзит",IFERROR(VLOOKUP($B392,calc_data,D$14+1,0),0),0)</f>
        <v/>
      </c>
      <c r="E392" s="182">
        <f>IF(offer_sale_type="транзит",IFERROR(VLOOKUP($B392,calc_data,E$14+1,0),0),0)</f>
        <v/>
      </c>
      <c r="F392" s="182">
        <f>IF(offer_sale_type="транзит",IFERROR(VLOOKUP($B392,calc_data,F$14+1,0),0),0)</f>
        <v/>
      </c>
      <c r="G392" s="141">
        <f>IF(offer_sale_type="транзит",IFERROR(VLOOKUP($B392,calc_data,G$14+1,0),0),0)</f>
        <v/>
      </c>
      <c r="H392" s="141">
        <f>E392*G392</f>
        <v/>
      </c>
      <c r="I392" s="141">
        <f>IF(offer_sale_type="транзит",IFERROR(ROUND(VLOOKUP($B392,calc_data,I$14+1,0),2),0),0)</f>
        <v/>
      </c>
      <c r="J392" s="141">
        <f>ROUND(IF(offer_sale_type="транзит",IFERROR(VLOOKUP($B392,calc_data,J$14+1,0),0),0),2)</f>
        <v/>
      </c>
      <c r="K392" s="142">
        <f>IF(offer_sale_type="транзит",IFERROR(ROUNDUP(VLOOKUP($B392,calc_data,K$14+1,0),2),0),0)</f>
        <v/>
      </c>
      <c r="L392" s="184">
        <f>IF(offer_sale_type="транзит",IFERROR(ROUNDUP(VLOOKUP($B392,calc_data,L$14+1,0),2),0),0)</f>
        <v/>
      </c>
      <c r="M392" s="141">
        <f>IF(offer_sale_type="транзит",IFERROR(ROUNDUP(VLOOKUP($B392,calc_data,M$14+1,0),2),0),0)</f>
        <v/>
      </c>
      <c r="N392" s="141">
        <f>IF(offer_sale_type="транзит",IFERROR(ROUNDUP(VLOOKUP($B392,calc_data,N$14+1,0),2),0),0)</f>
        <v/>
      </c>
      <c r="O392" s="147">
        <f>IF(offer_sale_type="транзит",IFERROR(ROUND(VLOOKUP($B392,calc_data,O$14+1,1),2),0),0)</f>
        <v/>
      </c>
      <c r="P392" s="141">
        <f>IF(offer_sale_type="транзит",IFERROR(ROUND(SUM(I392:J392,M392:O392)/E392,2),0),0)</f>
        <v/>
      </c>
      <c r="Q392" s="141">
        <f>E392*P392</f>
        <v/>
      </c>
      <c r="R392" s="141">
        <f>ROUND(Q392*IF(AND(offer_incoterms="DDP",seller_region="RU"),IF((TODAY()+offer_turnaround_time)&gt;=helpsheet!$L$17,rate_vatRU_from_26,rate_vatRu_till_25),0),2)</f>
        <v/>
      </c>
      <c r="S392" s="177">
        <f>Q392+IF(AND(offer_incoterms="DDP",seller_region="RU"),R392,0)</f>
        <v/>
      </c>
      <c r="T392" s="45" t="n"/>
      <c r="V392" s="57">
        <f>IF(Q392&gt;0,"показать","скрыть")</f>
        <v/>
      </c>
    </row>
    <row r="393" ht="15.75" customHeight="1">
      <c r="B393" s="809" t="n">
        <v>377</v>
      </c>
      <c r="C393" s="182">
        <f>IF(offer_sale_type="транзит",IFERROR(VLOOKUP($B393,calc_data,C$14+1,0),0),0)</f>
        <v/>
      </c>
      <c r="D393" s="280">
        <f>IF(offer_sale_type="транзит",IFERROR(VLOOKUP($B393,calc_data,D$14+1,0),0),0)</f>
        <v/>
      </c>
      <c r="E393" s="182">
        <f>IF(offer_sale_type="транзит",IFERROR(VLOOKUP($B393,calc_data,E$14+1,0),0),0)</f>
        <v/>
      </c>
      <c r="F393" s="182">
        <f>IF(offer_sale_type="транзит",IFERROR(VLOOKUP($B393,calc_data,F$14+1,0),0),0)</f>
        <v/>
      </c>
      <c r="G393" s="141">
        <f>IF(offer_sale_type="транзит",IFERROR(VLOOKUP($B393,calc_data,G$14+1,0),0),0)</f>
        <v/>
      </c>
      <c r="H393" s="141">
        <f>E393*G393</f>
        <v/>
      </c>
      <c r="I393" s="141">
        <f>IF(offer_sale_type="транзит",IFERROR(ROUND(VLOOKUP($B393,calc_data,I$14+1,0),2),0),0)</f>
        <v/>
      </c>
      <c r="J393" s="141">
        <f>ROUND(IF(offer_sale_type="транзит",IFERROR(VLOOKUP($B393,calc_data,J$14+1,0),0),0),2)</f>
        <v/>
      </c>
      <c r="K393" s="142">
        <f>IF(offer_sale_type="транзит",IFERROR(ROUNDUP(VLOOKUP($B393,calc_data,K$14+1,0),2),0),0)</f>
        <v/>
      </c>
      <c r="L393" s="184">
        <f>IF(offer_sale_type="транзит",IFERROR(ROUNDUP(VLOOKUP($B393,calc_data,L$14+1,0),2),0),0)</f>
        <v/>
      </c>
      <c r="M393" s="141">
        <f>IF(offer_sale_type="транзит",IFERROR(ROUNDUP(VLOOKUP($B393,calc_data,M$14+1,0),2),0),0)</f>
        <v/>
      </c>
      <c r="N393" s="141">
        <f>IF(offer_sale_type="транзит",IFERROR(ROUNDUP(VLOOKUP($B393,calc_data,N$14+1,0),2),0),0)</f>
        <v/>
      </c>
      <c r="O393" s="147">
        <f>IF(offer_sale_type="транзит",IFERROR(ROUND(VLOOKUP($B393,calc_data,O$14+1,1),2),0),0)</f>
        <v/>
      </c>
      <c r="P393" s="141">
        <f>IF(offer_sale_type="транзит",IFERROR(ROUND(SUM(I393:J393,M393:O393)/E393,2),0),0)</f>
        <v/>
      </c>
      <c r="Q393" s="141">
        <f>E393*P393</f>
        <v/>
      </c>
      <c r="R393" s="141">
        <f>ROUND(Q393*IF(AND(offer_incoterms="DDP",seller_region="RU"),IF((TODAY()+offer_turnaround_time)&gt;=helpsheet!$L$17,rate_vatRU_from_26,rate_vatRu_till_25),0),2)</f>
        <v/>
      </c>
      <c r="S393" s="177">
        <f>Q393+IF(AND(offer_incoterms="DDP",seller_region="RU"),R393,0)</f>
        <v/>
      </c>
      <c r="T393" s="45" t="n"/>
      <c r="V393" s="57">
        <f>IF(Q393&gt;0,"показать","скрыть")</f>
        <v/>
      </c>
    </row>
    <row r="394" ht="15.75" customHeight="1">
      <c r="B394" s="809" t="n">
        <v>378</v>
      </c>
      <c r="C394" s="182">
        <f>IF(offer_sale_type="транзит",IFERROR(VLOOKUP($B394,calc_data,C$14+1,0),0),0)</f>
        <v/>
      </c>
      <c r="D394" s="280">
        <f>IF(offer_sale_type="транзит",IFERROR(VLOOKUP($B394,calc_data,D$14+1,0),0),0)</f>
        <v/>
      </c>
      <c r="E394" s="182">
        <f>IF(offer_sale_type="транзит",IFERROR(VLOOKUP($B394,calc_data,E$14+1,0),0),0)</f>
        <v/>
      </c>
      <c r="F394" s="182">
        <f>IF(offer_sale_type="транзит",IFERROR(VLOOKUP($B394,calc_data,F$14+1,0),0),0)</f>
        <v/>
      </c>
      <c r="G394" s="141">
        <f>IF(offer_sale_type="транзит",IFERROR(VLOOKUP($B394,calc_data,G$14+1,0),0),0)</f>
        <v/>
      </c>
      <c r="H394" s="141">
        <f>E394*G394</f>
        <v/>
      </c>
      <c r="I394" s="141">
        <f>IF(offer_sale_type="транзит",IFERROR(ROUND(VLOOKUP($B394,calc_data,I$14+1,0),2),0),0)</f>
        <v/>
      </c>
      <c r="J394" s="141">
        <f>ROUND(IF(offer_sale_type="транзит",IFERROR(VLOOKUP($B394,calc_data,J$14+1,0),0),0),2)</f>
        <v/>
      </c>
      <c r="K394" s="142">
        <f>IF(offer_sale_type="транзит",IFERROR(ROUNDUP(VLOOKUP($B394,calc_data,K$14+1,0),2),0),0)</f>
        <v/>
      </c>
      <c r="L394" s="184">
        <f>IF(offer_sale_type="транзит",IFERROR(ROUNDUP(VLOOKUP($B394,calc_data,L$14+1,0),2),0),0)</f>
        <v/>
      </c>
      <c r="M394" s="141">
        <f>IF(offer_sale_type="транзит",IFERROR(ROUNDUP(VLOOKUP($B394,calc_data,M$14+1,0),2),0),0)</f>
        <v/>
      </c>
      <c r="N394" s="141">
        <f>IF(offer_sale_type="транзит",IFERROR(ROUNDUP(VLOOKUP($B394,calc_data,N$14+1,0),2),0),0)</f>
        <v/>
      </c>
      <c r="O394" s="147">
        <f>IF(offer_sale_type="транзит",IFERROR(ROUND(VLOOKUP($B394,calc_data,O$14+1,1),2),0),0)</f>
        <v/>
      </c>
      <c r="P394" s="141">
        <f>IF(offer_sale_type="транзит",IFERROR(ROUND(SUM(I394:J394,M394:O394)/E394,2),0),0)</f>
        <v/>
      </c>
      <c r="Q394" s="141">
        <f>E394*P394</f>
        <v/>
      </c>
      <c r="R394" s="141">
        <f>ROUND(Q394*IF(AND(offer_incoterms="DDP",seller_region="RU"),IF((TODAY()+offer_turnaround_time)&gt;=helpsheet!$L$17,rate_vatRU_from_26,rate_vatRu_till_25),0),2)</f>
        <v/>
      </c>
      <c r="S394" s="177">
        <f>Q394+IF(AND(offer_incoterms="DDP",seller_region="RU"),R394,0)</f>
        <v/>
      </c>
      <c r="T394" s="45" t="n"/>
      <c r="V394" s="57">
        <f>IF(Q394&gt;0,"показать","скрыть")</f>
        <v/>
      </c>
    </row>
    <row r="395" ht="15.75" customHeight="1">
      <c r="B395" s="809" t="n">
        <v>379</v>
      </c>
      <c r="C395" s="182">
        <f>IF(offer_sale_type="транзит",IFERROR(VLOOKUP($B395,calc_data,C$14+1,0),0),0)</f>
        <v/>
      </c>
      <c r="D395" s="280">
        <f>IF(offer_sale_type="транзит",IFERROR(VLOOKUP($B395,calc_data,D$14+1,0),0),0)</f>
        <v/>
      </c>
      <c r="E395" s="182">
        <f>IF(offer_sale_type="транзит",IFERROR(VLOOKUP($B395,calc_data,E$14+1,0),0),0)</f>
        <v/>
      </c>
      <c r="F395" s="182">
        <f>IF(offer_sale_type="транзит",IFERROR(VLOOKUP($B395,calc_data,F$14+1,0),0),0)</f>
        <v/>
      </c>
      <c r="G395" s="141">
        <f>IF(offer_sale_type="транзит",IFERROR(VLOOKUP($B395,calc_data,G$14+1,0),0),0)</f>
        <v/>
      </c>
      <c r="H395" s="141">
        <f>E395*G395</f>
        <v/>
      </c>
      <c r="I395" s="141">
        <f>IF(offer_sale_type="транзит",IFERROR(ROUND(VLOOKUP($B395,calc_data,I$14+1,0),2),0),0)</f>
        <v/>
      </c>
      <c r="J395" s="141">
        <f>ROUND(IF(offer_sale_type="транзит",IFERROR(VLOOKUP($B395,calc_data,J$14+1,0),0),0),2)</f>
        <v/>
      </c>
      <c r="K395" s="142">
        <f>IF(offer_sale_type="транзит",IFERROR(ROUNDUP(VLOOKUP($B395,calc_data,K$14+1,0),2),0),0)</f>
        <v/>
      </c>
      <c r="L395" s="184">
        <f>IF(offer_sale_type="транзит",IFERROR(ROUNDUP(VLOOKUP($B395,calc_data,L$14+1,0),2),0),0)</f>
        <v/>
      </c>
      <c r="M395" s="141">
        <f>IF(offer_sale_type="транзит",IFERROR(ROUNDUP(VLOOKUP($B395,calc_data,M$14+1,0),2),0),0)</f>
        <v/>
      </c>
      <c r="N395" s="141">
        <f>IF(offer_sale_type="транзит",IFERROR(ROUNDUP(VLOOKUP($B395,calc_data,N$14+1,0),2),0),0)</f>
        <v/>
      </c>
      <c r="O395" s="147">
        <f>IF(offer_sale_type="транзит",IFERROR(ROUND(VLOOKUP($B395,calc_data,O$14+1,1),2),0),0)</f>
        <v/>
      </c>
      <c r="P395" s="141">
        <f>IF(offer_sale_type="транзит",IFERROR(ROUND(SUM(I395:J395,M395:O395)/E395,2),0),0)</f>
        <v/>
      </c>
      <c r="Q395" s="141">
        <f>E395*P395</f>
        <v/>
      </c>
      <c r="R395" s="141">
        <f>ROUND(Q395*IF(AND(offer_incoterms="DDP",seller_region="RU"),IF((TODAY()+offer_turnaround_time)&gt;=helpsheet!$L$17,rate_vatRU_from_26,rate_vatRu_till_25),0),2)</f>
        <v/>
      </c>
      <c r="S395" s="177">
        <f>Q395+IF(AND(offer_incoterms="DDP",seller_region="RU"),R395,0)</f>
        <v/>
      </c>
      <c r="T395" s="45" t="n"/>
      <c r="V395" s="57">
        <f>IF(Q395&gt;0,"показать","скрыть")</f>
        <v/>
      </c>
    </row>
    <row r="396" ht="15.75" customHeight="1">
      <c r="B396" s="809" t="n">
        <v>380</v>
      </c>
      <c r="C396" s="182">
        <f>IF(offer_sale_type="транзит",IFERROR(VLOOKUP($B396,calc_data,C$14+1,0),0),0)</f>
        <v/>
      </c>
      <c r="D396" s="280">
        <f>IF(offer_sale_type="транзит",IFERROR(VLOOKUP($B396,calc_data,D$14+1,0),0),0)</f>
        <v/>
      </c>
      <c r="E396" s="182">
        <f>IF(offer_sale_type="транзит",IFERROR(VLOOKUP($B396,calc_data,E$14+1,0),0),0)</f>
        <v/>
      </c>
      <c r="F396" s="182">
        <f>IF(offer_sale_type="транзит",IFERROR(VLOOKUP($B396,calc_data,F$14+1,0),0),0)</f>
        <v/>
      </c>
      <c r="G396" s="141">
        <f>IF(offer_sale_type="транзит",IFERROR(VLOOKUP($B396,calc_data,G$14+1,0),0),0)</f>
        <v/>
      </c>
      <c r="H396" s="141">
        <f>E396*G396</f>
        <v/>
      </c>
      <c r="I396" s="141">
        <f>IF(offer_sale_type="транзит",IFERROR(ROUND(VLOOKUP($B396,calc_data,I$14+1,0),2),0),0)</f>
        <v/>
      </c>
      <c r="J396" s="141">
        <f>ROUND(IF(offer_sale_type="транзит",IFERROR(VLOOKUP($B396,calc_data,J$14+1,0),0),0),2)</f>
        <v/>
      </c>
      <c r="K396" s="142">
        <f>IF(offer_sale_type="транзит",IFERROR(ROUNDUP(VLOOKUP($B396,calc_data,K$14+1,0),2),0),0)</f>
        <v/>
      </c>
      <c r="L396" s="184">
        <f>IF(offer_sale_type="транзит",IFERROR(ROUNDUP(VLOOKUP($B396,calc_data,L$14+1,0),2),0),0)</f>
        <v/>
      </c>
      <c r="M396" s="141">
        <f>IF(offer_sale_type="транзит",IFERROR(ROUNDUP(VLOOKUP($B396,calc_data,M$14+1,0),2),0),0)</f>
        <v/>
      </c>
      <c r="N396" s="141">
        <f>IF(offer_sale_type="транзит",IFERROR(ROUNDUP(VLOOKUP($B396,calc_data,N$14+1,0),2),0),0)</f>
        <v/>
      </c>
      <c r="O396" s="147">
        <f>IF(offer_sale_type="транзит",IFERROR(ROUND(VLOOKUP($B396,calc_data,O$14+1,1),2),0),0)</f>
        <v/>
      </c>
      <c r="P396" s="141">
        <f>IF(offer_sale_type="транзит",IFERROR(ROUND(SUM(I396:J396,M396:O396)/E396,2),0),0)</f>
        <v/>
      </c>
      <c r="Q396" s="141">
        <f>E396*P396</f>
        <v/>
      </c>
      <c r="R396" s="141">
        <f>ROUND(Q396*IF(AND(offer_incoterms="DDP",seller_region="RU"),IF((TODAY()+offer_turnaround_time)&gt;=helpsheet!$L$17,rate_vatRU_from_26,rate_vatRu_till_25),0),2)</f>
        <v/>
      </c>
      <c r="S396" s="177">
        <f>Q396+IF(AND(offer_incoterms="DDP",seller_region="RU"),R396,0)</f>
        <v/>
      </c>
      <c r="T396" s="45" t="n"/>
      <c r="V396" s="57">
        <f>IF(Q396&gt;0,"показать","скрыть")</f>
        <v/>
      </c>
    </row>
    <row r="397" ht="15.75" customHeight="1">
      <c r="B397" s="809" t="n">
        <v>381</v>
      </c>
      <c r="C397" s="182">
        <f>IF(offer_sale_type="транзит",IFERROR(VLOOKUP($B397,calc_data,C$14+1,0),0),0)</f>
        <v/>
      </c>
      <c r="D397" s="280">
        <f>IF(offer_sale_type="транзит",IFERROR(VLOOKUP($B397,calc_data,D$14+1,0),0),0)</f>
        <v/>
      </c>
      <c r="E397" s="182">
        <f>IF(offer_sale_type="транзит",IFERROR(VLOOKUP($B397,calc_data,E$14+1,0),0),0)</f>
        <v/>
      </c>
      <c r="F397" s="182">
        <f>IF(offer_sale_type="транзит",IFERROR(VLOOKUP($B397,calc_data,F$14+1,0),0),0)</f>
        <v/>
      </c>
      <c r="G397" s="141">
        <f>IF(offer_sale_type="транзит",IFERROR(VLOOKUP($B397,calc_data,G$14+1,0),0),0)</f>
        <v/>
      </c>
      <c r="H397" s="141">
        <f>E397*G397</f>
        <v/>
      </c>
      <c r="I397" s="141">
        <f>IF(offer_sale_type="транзит",IFERROR(ROUND(VLOOKUP($B397,calc_data,I$14+1,0),2),0),0)</f>
        <v/>
      </c>
      <c r="J397" s="141">
        <f>ROUND(IF(offer_sale_type="транзит",IFERROR(VLOOKUP($B397,calc_data,J$14+1,0),0),0),2)</f>
        <v/>
      </c>
      <c r="K397" s="142">
        <f>IF(offer_sale_type="транзит",IFERROR(ROUNDUP(VLOOKUP($B397,calc_data,K$14+1,0),2),0),0)</f>
        <v/>
      </c>
      <c r="L397" s="184">
        <f>IF(offer_sale_type="транзит",IFERROR(ROUNDUP(VLOOKUP($B397,calc_data,L$14+1,0),2),0),0)</f>
        <v/>
      </c>
      <c r="M397" s="141">
        <f>IF(offer_sale_type="транзит",IFERROR(ROUNDUP(VLOOKUP($B397,calc_data,M$14+1,0),2),0),0)</f>
        <v/>
      </c>
      <c r="N397" s="141">
        <f>IF(offer_sale_type="транзит",IFERROR(ROUNDUP(VLOOKUP($B397,calc_data,N$14+1,0),2),0),0)</f>
        <v/>
      </c>
      <c r="O397" s="147">
        <f>IF(offer_sale_type="транзит",IFERROR(ROUND(VLOOKUP($B397,calc_data,O$14+1,1),2),0),0)</f>
        <v/>
      </c>
      <c r="P397" s="141">
        <f>IF(offer_sale_type="транзит",IFERROR(ROUND(SUM(I397:J397,M397:O397)/E397,2),0),0)</f>
        <v/>
      </c>
      <c r="Q397" s="141">
        <f>E397*P397</f>
        <v/>
      </c>
      <c r="R397" s="141">
        <f>ROUND(Q397*IF(AND(offer_incoterms="DDP",seller_region="RU"),IF((TODAY()+offer_turnaround_time)&gt;=helpsheet!$L$17,rate_vatRU_from_26,rate_vatRu_till_25),0),2)</f>
        <v/>
      </c>
      <c r="S397" s="177">
        <f>Q397+IF(AND(offer_incoterms="DDP",seller_region="RU"),R397,0)</f>
        <v/>
      </c>
      <c r="T397" s="45" t="n"/>
      <c r="V397" s="57">
        <f>IF(Q397&gt;0,"показать","скрыть")</f>
        <v/>
      </c>
    </row>
    <row r="398" ht="15.75" customHeight="1">
      <c r="B398" s="809" t="n">
        <v>382</v>
      </c>
      <c r="C398" s="182">
        <f>IF(offer_sale_type="транзит",IFERROR(VLOOKUP($B398,calc_data,C$14+1,0),0),0)</f>
        <v/>
      </c>
      <c r="D398" s="280">
        <f>IF(offer_sale_type="транзит",IFERROR(VLOOKUP($B398,calc_data,D$14+1,0),0),0)</f>
        <v/>
      </c>
      <c r="E398" s="182">
        <f>IF(offer_sale_type="транзит",IFERROR(VLOOKUP($B398,calc_data,E$14+1,0),0),0)</f>
        <v/>
      </c>
      <c r="F398" s="182">
        <f>IF(offer_sale_type="транзит",IFERROR(VLOOKUP($B398,calc_data,F$14+1,0),0),0)</f>
        <v/>
      </c>
      <c r="G398" s="141">
        <f>IF(offer_sale_type="транзит",IFERROR(VLOOKUP($B398,calc_data,G$14+1,0),0),0)</f>
        <v/>
      </c>
      <c r="H398" s="141">
        <f>E398*G398</f>
        <v/>
      </c>
      <c r="I398" s="141">
        <f>IF(offer_sale_type="транзит",IFERROR(ROUND(VLOOKUP($B398,calc_data,I$14+1,0),2),0),0)</f>
        <v/>
      </c>
      <c r="J398" s="141">
        <f>ROUND(IF(offer_sale_type="транзит",IFERROR(VLOOKUP($B398,calc_data,J$14+1,0),0),0),2)</f>
        <v/>
      </c>
      <c r="K398" s="142">
        <f>IF(offer_sale_type="транзит",IFERROR(ROUNDUP(VLOOKUP($B398,calc_data,K$14+1,0),2),0),0)</f>
        <v/>
      </c>
      <c r="L398" s="184">
        <f>IF(offer_sale_type="транзит",IFERROR(ROUNDUP(VLOOKUP($B398,calc_data,L$14+1,0),2),0),0)</f>
        <v/>
      </c>
      <c r="M398" s="141">
        <f>IF(offer_sale_type="транзит",IFERROR(ROUNDUP(VLOOKUP($B398,calc_data,M$14+1,0),2),0),0)</f>
        <v/>
      </c>
      <c r="N398" s="141">
        <f>IF(offer_sale_type="транзит",IFERROR(ROUNDUP(VLOOKUP($B398,calc_data,N$14+1,0),2),0),0)</f>
        <v/>
      </c>
      <c r="O398" s="147">
        <f>IF(offer_sale_type="транзит",IFERROR(ROUND(VLOOKUP($B398,calc_data,O$14+1,1),2),0),0)</f>
        <v/>
      </c>
      <c r="P398" s="141">
        <f>IF(offer_sale_type="транзит",IFERROR(ROUND(SUM(I398:J398,M398:O398)/E398,2),0),0)</f>
        <v/>
      </c>
      <c r="Q398" s="141">
        <f>E398*P398</f>
        <v/>
      </c>
      <c r="R398" s="141">
        <f>ROUND(Q398*IF(AND(offer_incoterms="DDP",seller_region="RU"),IF((TODAY()+offer_turnaround_time)&gt;=helpsheet!$L$17,rate_vatRU_from_26,rate_vatRu_till_25),0),2)</f>
        <v/>
      </c>
      <c r="S398" s="177">
        <f>Q398+IF(AND(offer_incoterms="DDP",seller_region="RU"),R398,0)</f>
        <v/>
      </c>
      <c r="T398" s="45" t="n"/>
      <c r="V398" s="57">
        <f>IF(Q398&gt;0,"показать","скрыть")</f>
        <v/>
      </c>
    </row>
    <row r="399" ht="15.75" customHeight="1">
      <c r="B399" s="809" t="n">
        <v>383</v>
      </c>
      <c r="C399" s="182">
        <f>IF(offer_sale_type="транзит",IFERROR(VLOOKUP($B399,calc_data,C$14+1,0),0),0)</f>
        <v/>
      </c>
      <c r="D399" s="280">
        <f>IF(offer_sale_type="транзит",IFERROR(VLOOKUP($B399,calc_data,D$14+1,0),0),0)</f>
        <v/>
      </c>
      <c r="E399" s="182">
        <f>IF(offer_sale_type="транзит",IFERROR(VLOOKUP($B399,calc_data,E$14+1,0),0),0)</f>
        <v/>
      </c>
      <c r="F399" s="182">
        <f>IF(offer_sale_type="транзит",IFERROR(VLOOKUP($B399,calc_data,F$14+1,0),0),0)</f>
        <v/>
      </c>
      <c r="G399" s="141">
        <f>IF(offer_sale_type="транзит",IFERROR(VLOOKUP($B399,calc_data,G$14+1,0),0),0)</f>
        <v/>
      </c>
      <c r="H399" s="141">
        <f>E399*G399</f>
        <v/>
      </c>
      <c r="I399" s="141">
        <f>IF(offer_sale_type="транзит",IFERROR(ROUND(VLOOKUP($B399,calc_data,I$14+1,0),2),0),0)</f>
        <v/>
      </c>
      <c r="J399" s="141">
        <f>ROUND(IF(offer_sale_type="транзит",IFERROR(VLOOKUP($B399,calc_data,J$14+1,0),0),0),2)</f>
        <v/>
      </c>
      <c r="K399" s="142">
        <f>IF(offer_sale_type="транзит",IFERROR(ROUNDUP(VLOOKUP($B399,calc_data,K$14+1,0),2),0),0)</f>
        <v/>
      </c>
      <c r="L399" s="184">
        <f>IF(offer_sale_type="транзит",IFERROR(ROUNDUP(VLOOKUP($B399,calc_data,L$14+1,0),2),0),0)</f>
        <v/>
      </c>
      <c r="M399" s="141">
        <f>IF(offer_sale_type="транзит",IFERROR(ROUNDUP(VLOOKUP($B399,calc_data,M$14+1,0),2),0),0)</f>
        <v/>
      </c>
      <c r="N399" s="141">
        <f>IF(offer_sale_type="транзит",IFERROR(ROUNDUP(VLOOKUP($B399,calc_data,N$14+1,0),2),0),0)</f>
        <v/>
      </c>
      <c r="O399" s="147">
        <f>IF(offer_sale_type="транзит",IFERROR(ROUND(VLOOKUP($B399,calc_data,O$14+1,1),2),0),0)</f>
        <v/>
      </c>
      <c r="P399" s="141">
        <f>IF(offer_sale_type="транзит",IFERROR(ROUND(SUM(I399:J399,M399:O399)/E399,2),0),0)</f>
        <v/>
      </c>
      <c r="Q399" s="141">
        <f>E399*P399</f>
        <v/>
      </c>
      <c r="R399" s="141">
        <f>ROUND(Q399*IF(AND(offer_incoterms="DDP",seller_region="RU"),IF((TODAY()+offer_turnaround_time)&gt;=helpsheet!$L$17,rate_vatRU_from_26,rate_vatRu_till_25),0),2)</f>
        <v/>
      </c>
      <c r="S399" s="177">
        <f>Q399+IF(AND(offer_incoterms="DDP",seller_region="RU"),R399,0)</f>
        <v/>
      </c>
      <c r="T399" s="45" t="n"/>
      <c r="V399" s="57">
        <f>IF(Q399&gt;0,"показать","скрыть")</f>
        <v/>
      </c>
    </row>
    <row r="400" ht="15.75" customHeight="1">
      <c r="B400" s="809" t="n">
        <v>384</v>
      </c>
      <c r="C400" s="182">
        <f>IF(offer_sale_type="транзит",IFERROR(VLOOKUP($B400,calc_data,C$14+1,0),0),0)</f>
        <v/>
      </c>
      <c r="D400" s="280">
        <f>IF(offer_sale_type="транзит",IFERROR(VLOOKUP($B400,calc_data,D$14+1,0),0),0)</f>
        <v/>
      </c>
      <c r="E400" s="182">
        <f>IF(offer_sale_type="транзит",IFERROR(VLOOKUP($B400,calc_data,E$14+1,0),0),0)</f>
        <v/>
      </c>
      <c r="F400" s="182">
        <f>IF(offer_sale_type="транзит",IFERROR(VLOOKUP($B400,calc_data,F$14+1,0),0),0)</f>
        <v/>
      </c>
      <c r="G400" s="141">
        <f>IF(offer_sale_type="транзит",IFERROR(VLOOKUP($B400,calc_data,G$14+1,0),0),0)</f>
        <v/>
      </c>
      <c r="H400" s="141">
        <f>E400*G400</f>
        <v/>
      </c>
      <c r="I400" s="141">
        <f>IF(offer_sale_type="транзит",IFERROR(ROUND(VLOOKUP($B400,calc_data,I$14+1,0),2),0),0)</f>
        <v/>
      </c>
      <c r="J400" s="141">
        <f>ROUND(IF(offer_sale_type="транзит",IFERROR(VLOOKUP($B400,calc_data,J$14+1,0),0),0),2)</f>
        <v/>
      </c>
      <c r="K400" s="142">
        <f>IF(offer_sale_type="транзит",IFERROR(ROUNDUP(VLOOKUP($B400,calc_data,K$14+1,0),2),0),0)</f>
        <v/>
      </c>
      <c r="L400" s="184">
        <f>IF(offer_sale_type="транзит",IFERROR(ROUNDUP(VLOOKUP($B400,calc_data,L$14+1,0),2),0),0)</f>
        <v/>
      </c>
      <c r="M400" s="141">
        <f>IF(offer_sale_type="транзит",IFERROR(ROUNDUP(VLOOKUP($B400,calc_data,M$14+1,0),2),0),0)</f>
        <v/>
      </c>
      <c r="N400" s="141">
        <f>IF(offer_sale_type="транзит",IFERROR(ROUNDUP(VLOOKUP($B400,calc_data,N$14+1,0),2),0),0)</f>
        <v/>
      </c>
      <c r="O400" s="147">
        <f>IF(offer_sale_type="транзит",IFERROR(ROUND(VLOOKUP($B400,calc_data,O$14+1,1),2),0),0)</f>
        <v/>
      </c>
      <c r="P400" s="141">
        <f>IF(offer_sale_type="транзит",IFERROR(ROUND(SUM(I400:J400,M400:O400)/E400,2),0),0)</f>
        <v/>
      </c>
      <c r="Q400" s="141">
        <f>E400*P400</f>
        <v/>
      </c>
      <c r="R400" s="141">
        <f>ROUND(Q400*IF(AND(offer_incoterms="DDP",seller_region="RU"),IF((TODAY()+offer_turnaround_time)&gt;=helpsheet!$L$17,rate_vatRU_from_26,rate_vatRu_till_25),0),2)</f>
        <v/>
      </c>
      <c r="S400" s="177">
        <f>Q400+IF(AND(offer_incoterms="DDP",seller_region="RU"),R400,0)</f>
        <v/>
      </c>
      <c r="T400" s="45" t="n"/>
      <c r="V400" s="57">
        <f>IF(Q400&gt;0,"показать","скрыть")</f>
        <v/>
      </c>
    </row>
    <row r="401" ht="15.75" customHeight="1">
      <c r="B401" s="809" t="n">
        <v>385</v>
      </c>
      <c r="C401" s="182">
        <f>IF(offer_sale_type="транзит",IFERROR(VLOOKUP($B401,calc_data,C$14+1,0),0),0)</f>
        <v/>
      </c>
      <c r="D401" s="280">
        <f>IF(offer_sale_type="транзит",IFERROR(VLOOKUP($B401,calc_data,D$14+1,0),0),0)</f>
        <v/>
      </c>
      <c r="E401" s="182">
        <f>IF(offer_sale_type="транзит",IFERROR(VLOOKUP($B401,calc_data,E$14+1,0),0),0)</f>
        <v/>
      </c>
      <c r="F401" s="182">
        <f>IF(offer_sale_type="транзит",IFERROR(VLOOKUP($B401,calc_data,F$14+1,0),0),0)</f>
        <v/>
      </c>
      <c r="G401" s="141">
        <f>IF(offer_sale_type="транзит",IFERROR(VLOOKUP($B401,calc_data,G$14+1,0),0),0)</f>
        <v/>
      </c>
      <c r="H401" s="141">
        <f>E401*G401</f>
        <v/>
      </c>
      <c r="I401" s="141">
        <f>IF(offer_sale_type="транзит",IFERROR(ROUND(VLOOKUP($B401,calc_data,I$14+1,0),2),0),0)</f>
        <v/>
      </c>
      <c r="J401" s="141">
        <f>ROUND(IF(offer_sale_type="транзит",IFERROR(VLOOKUP($B401,calc_data,J$14+1,0),0),0),2)</f>
        <v/>
      </c>
      <c r="K401" s="142">
        <f>IF(offer_sale_type="транзит",IFERROR(ROUNDUP(VLOOKUP($B401,calc_data,K$14+1,0),2),0),0)</f>
        <v/>
      </c>
      <c r="L401" s="184">
        <f>IF(offer_sale_type="транзит",IFERROR(ROUNDUP(VLOOKUP($B401,calc_data,L$14+1,0),2),0),0)</f>
        <v/>
      </c>
      <c r="M401" s="141">
        <f>IF(offer_sale_type="транзит",IFERROR(ROUNDUP(VLOOKUP($B401,calc_data,M$14+1,0),2),0),0)</f>
        <v/>
      </c>
      <c r="N401" s="141">
        <f>IF(offer_sale_type="транзит",IFERROR(ROUNDUP(VLOOKUP($B401,calc_data,N$14+1,0),2),0),0)</f>
        <v/>
      </c>
      <c r="O401" s="147">
        <f>IF(offer_sale_type="транзит",IFERROR(ROUND(VLOOKUP($B401,calc_data,O$14+1,1),2),0),0)</f>
        <v/>
      </c>
      <c r="P401" s="141">
        <f>IF(offer_sale_type="транзит",IFERROR(ROUND(SUM(I401:J401,M401:O401)/E401,2),0),0)</f>
        <v/>
      </c>
      <c r="Q401" s="141">
        <f>E401*P401</f>
        <v/>
      </c>
      <c r="R401" s="141">
        <f>ROUND(Q401*IF(AND(offer_incoterms="DDP",seller_region="RU"),IF((TODAY()+offer_turnaround_time)&gt;=helpsheet!$L$17,rate_vatRU_from_26,rate_vatRu_till_25),0),2)</f>
        <v/>
      </c>
      <c r="S401" s="177">
        <f>Q401+IF(AND(offer_incoterms="DDP",seller_region="RU"),R401,0)</f>
        <v/>
      </c>
      <c r="T401" s="45" t="n"/>
      <c r="V401" s="57">
        <f>IF(Q401&gt;0,"показать","скрыть")</f>
        <v/>
      </c>
    </row>
    <row r="402" ht="15.75" customHeight="1">
      <c r="B402" s="809" t="n">
        <v>386</v>
      </c>
      <c r="C402" s="182">
        <f>IF(offer_sale_type="транзит",IFERROR(VLOOKUP($B402,calc_data,C$14+1,0),0),0)</f>
        <v/>
      </c>
      <c r="D402" s="280">
        <f>IF(offer_sale_type="транзит",IFERROR(VLOOKUP($B402,calc_data,D$14+1,0),0),0)</f>
        <v/>
      </c>
      <c r="E402" s="182">
        <f>IF(offer_sale_type="транзит",IFERROR(VLOOKUP($B402,calc_data,E$14+1,0),0),0)</f>
        <v/>
      </c>
      <c r="F402" s="182">
        <f>IF(offer_sale_type="транзит",IFERROR(VLOOKUP($B402,calc_data,F$14+1,0),0),0)</f>
        <v/>
      </c>
      <c r="G402" s="141">
        <f>IF(offer_sale_type="транзит",IFERROR(VLOOKUP($B402,calc_data,G$14+1,0),0),0)</f>
        <v/>
      </c>
      <c r="H402" s="141">
        <f>E402*G402</f>
        <v/>
      </c>
      <c r="I402" s="141">
        <f>IF(offer_sale_type="транзит",IFERROR(ROUND(VLOOKUP($B402,calc_data,I$14+1,0),2),0),0)</f>
        <v/>
      </c>
      <c r="J402" s="141">
        <f>ROUND(IF(offer_sale_type="транзит",IFERROR(VLOOKUP($B402,calc_data,J$14+1,0),0),0),2)</f>
        <v/>
      </c>
      <c r="K402" s="142">
        <f>IF(offer_sale_type="транзит",IFERROR(ROUNDUP(VLOOKUP($B402,calc_data,K$14+1,0),2),0),0)</f>
        <v/>
      </c>
      <c r="L402" s="184">
        <f>IF(offer_sale_type="транзит",IFERROR(ROUNDUP(VLOOKUP($B402,calc_data,L$14+1,0),2),0),0)</f>
        <v/>
      </c>
      <c r="M402" s="141">
        <f>IF(offer_sale_type="транзит",IFERROR(ROUNDUP(VLOOKUP($B402,calc_data,M$14+1,0),2),0),0)</f>
        <v/>
      </c>
      <c r="N402" s="141">
        <f>IF(offer_sale_type="транзит",IFERROR(ROUNDUP(VLOOKUP($B402,calc_data,N$14+1,0),2),0),0)</f>
        <v/>
      </c>
      <c r="O402" s="147">
        <f>IF(offer_sale_type="транзит",IFERROR(ROUND(VLOOKUP($B402,calc_data,O$14+1,1),2),0),0)</f>
        <v/>
      </c>
      <c r="P402" s="141">
        <f>IF(offer_sale_type="транзит",IFERROR(ROUND(SUM(I402:J402,M402:O402)/E402,2),0),0)</f>
        <v/>
      </c>
      <c r="Q402" s="141">
        <f>E402*P402</f>
        <v/>
      </c>
      <c r="R402" s="141">
        <f>ROUND(Q402*IF(AND(offer_incoterms="DDP",seller_region="RU"),IF((TODAY()+offer_turnaround_time)&gt;=helpsheet!$L$17,rate_vatRU_from_26,rate_vatRu_till_25),0),2)</f>
        <v/>
      </c>
      <c r="S402" s="177">
        <f>Q402+IF(AND(offer_incoterms="DDP",seller_region="RU"),R402,0)</f>
        <v/>
      </c>
      <c r="T402" s="45" t="n"/>
      <c r="V402" s="57">
        <f>IF(Q402&gt;0,"показать","скрыть")</f>
        <v/>
      </c>
    </row>
    <row r="403" ht="15.75" customHeight="1">
      <c r="B403" s="809" t="n">
        <v>387</v>
      </c>
      <c r="C403" s="182">
        <f>IF(offer_sale_type="транзит",IFERROR(VLOOKUP($B403,calc_data,C$14+1,0),0),0)</f>
        <v/>
      </c>
      <c r="D403" s="280">
        <f>IF(offer_sale_type="транзит",IFERROR(VLOOKUP($B403,calc_data,D$14+1,0),0),0)</f>
        <v/>
      </c>
      <c r="E403" s="182">
        <f>IF(offer_sale_type="транзит",IFERROR(VLOOKUP($B403,calc_data,E$14+1,0),0),0)</f>
        <v/>
      </c>
      <c r="F403" s="182">
        <f>IF(offer_sale_type="транзит",IFERROR(VLOOKUP($B403,calc_data,F$14+1,0),0),0)</f>
        <v/>
      </c>
      <c r="G403" s="141">
        <f>IF(offer_sale_type="транзит",IFERROR(VLOOKUP($B403,calc_data,G$14+1,0),0),0)</f>
        <v/>
      </c>
      <c r="H403" s="141">
        <f>E403*G403</f>
        <v/>
      </c>
      <c r="I403" s="141">
        <f>IF(offer_sale_type="транзит",IFERROR(ROUND(VLOOKUP($B403,calc_data,I$14+1,0),2),0),0)</f>
        <v/>
      </c>
      <c r="J403" s="141">
        <f>ROUND(IF(offer_sale_type="транзит",IFERROR(VLOOKUP($B403,calc_data,J$14+1,0),0),0),2)</f>
        <v/>
      </c>
      <c r="K403" s="142">
        <f>IF(offer_sale_type="транзит",IFERROR(ROUNDUP(VLOOKUP($B403,calc_data,K$14+1,0),2),0),0)</f>
        <v/>
      </c>
      <c r="L403" s="184">
        <f>IF(offer_sale_type="транзит",IFERROR(ROUNDUP(VLOOKUP($B403,calc_data,L$14+1,0),2),0),0)</f>
        <v/>
      </c>
      <c r="M403" s="141">
        <f>IF(offer_sale_type="транзит",IFERROR(ROUNDUP(VLOOKUP($B403,calc_data,M$14+1,0),2),0),0)</f>
        <v/>
      </c>
      <c r="N403" s="141">
        <f>IF(offer_sale_type="транзит",IFERROR(ROUNDUP(VLOOKUP($B403,calc_data,N$14+1,0),2),0),0)</f>
        <v/>
      </c>
      <c r="O403" s="147">
        <f>IF(offer_sale_type="транзит",IFERROR(ROUND(VLOOKUP($B403,calc_data,O$14+1,1),2),0),0)</f>
        <v/>
      </c>
      <c r="P403" s="141">
        <f>IF(offer_sale_type="транзит",IFERROR(ROUND(SUM(I403:J403,M403:O403)/E403,2),0),0)</f>
        <v/>
      </c>
      <c r="Q403" s="141">
        <f>E403*P403</f>
        <v/>
      </c>
      <c r="R403" s="141">
        <f>ROUND(Q403*IF(AND(offer_incoterms="DDP",seller_region="RU"),IF((TODAY()+offer_turnaround_time)&gt;=helpsheet!$L$17,rate_vatRU_from_26,rate_vatRu_till_25),0),2)</f>
        <v/>
      </c>
      <c r="S403" s="177">
        <f>Q403+IF(AND(offer_incoterms="DDP",seller_region="RU"),R403,0)</f>
        <v/>
      </c>
      <c r="T403" s="45" t="n"/>
      <c r="V403" s="57">
        <f>IF(Q403&gt;0,"показать","скрыть")</f>
        <v/>
      </c>
    </row>
    <row r="404" ht="15.75" customHeight="1">
      <c r="B404" s="809" t="n">
        <v>388</v>
      </c>
      <c r="C404" s="182">
        <f>IF(offer_sale_type="транзит",IFERROR(VLOOKUP($B404,calc_data,C$14+1,0),0),0)</f>
        <v/>
      </c>
      <c r="D404" s="280">
        <f>IF(offer_sale_type="транзит",IFERROR(VLOOKUP($B404,calc_data,D$14+1,0),0),0)</f>
        <v/>
      </c>
      <c r="E404" s="182">
        <f>IF(offer_sale_type="транзит",IFERROR(VLOOKUP($B404,calc_data,E$14+1,0),0),0)</f>
        <v/>
      </c>
      <c r="F404" s="182">
        <f>IF(offer_sale_type="транзит",IFERROR(VLOOKUP($B404,calc_data,F$14+1,0),0),0)</f>
        <v/>
      </c>
      <c r="G404" s="141">
        <f>IF(offer_sale_type="транзит",IFERROR(VLOOKUP($B404,calc_data,G$14+1,0),0),0)</f>
        <v/>
      </c>
      <c r="H404" s="141">
        <f>E404*G404</f>
        <v/>
      </c>
      <c r="I404" s="141">
        <f>IF(offer_sale_type="транзит",IFERROR(ROUND(VLOOKUP($B404,calc_data,I$14+1,0),2),0),0)</f>
        <v/>
      </c>
      <c r="J404" s="141">
        <f>ROUND(IF(offer_sale_type="транзит",IFERROR(VLOOKUP($B404,calc_data,J$14+1,0),0),0),2)</f>
        <v/>
      </c>
      <c r="K404" s="142">
        <f>IF(offer_sale_type="транзит",IFERROR(ROUNDUP(VLOOKUP($B404,calc_data,K$14+1,0),2),0),0)</f>
        <v/>
      </c>
      <c r="L404" s="184">
        <f>IF(offer_sale_type="транзит",IFERROR(ROUNDUP(VLOOKUP($B404,calc_data,L$14+1,0),2),0),0)</f>
        <v/>
      </c>
      <c r="M404" s="141">
        <f>IF(offer_sale_type="транзит",IFERROR(ROUNDUP(VLOOKUP($B404,calc_data,M$14+1,0),2),0),0)</f>
        <v/>
      </c>
      <c r="N404" s="141">
        <f>IF(offer_sale_type="транзит",IFERROR(ROUNDUP(VLOOKUP($B404,calc_data,N$14+1,0),2),0),0)</f>
        <v/>
      </c>
      <c r="O404" s="147">
        <f>IF(offer_sale_type="транзит",IFERROR(ROUND(VLOOKUP($B404,calc_data,O$14+1,1),2),0),0)</f>
        <v/>
      </c>
      <c r="P404" s="141">
        <f>IF(offer_sale_type="транзит",IFERROR(ROUND(SUM(I404:J404,M404:O404)/E404,2),0),0)</f>
        <v/>
      </c>
      <c r="Q404" s="141">
        <f>E404*P404</f>
        <v/>
      </c>
      <c r="R404" s="141">
        <f>ROUND(Q404*IF(AND(offer_incoterms="DDP",seller_region="RU"),IF((TODAY()+offer_turnaround_time)&gt;=helpsheet!$L$17,rate_vatRU_from_26,rate_vatRu_till_25),0),2)</f>
        <v/>
      </c>
      <c r="S404" s="177">
        <f>Q404+IF(AND(offer_incoterms="DDP",seller_region="RU"),R404,0)</f>
        <v/>
      </c>
      <c r="T404" s="45" t="n"/>
      <c r="V404" s="57">
        <f>IF(Q404&gt;0,"показать","скрыть")</f>
        <v/>
      </c>
    </row>
    <row r="405" ht="15.75" customHeight="1">
      <c r="B405" s="809" t="n">
        <v>389</v>
      </c>
      <c r="C405" s="182">
        <f>IF(offer_sale_type="транзит",IFERROR(VLOOKUP($B405,calc_data,C$14+1,0),0),0)</f>
        <v/>
      </c>
      <c r="D405" s="280">
        <f>IF(offer_sale_type="транзит",IFERROR(VLOOKUP($B405,calc_data,D$14+1,0),0),0)</f>
        <v/>
      </c>
      <c r="E405" s="182">
        <f>IF(offer_sale_type="транзит",IFERROR(VLOOKUP($B405,calc_data,E$14+1,0),0),0)</f>
        <v/>
      </c>
      <c r="F405" s="182">
        <f>IF(offer_sale_type="транзит",IFERROR(VLOOKUP($B405,calc_data,F$14+1,0),0),0)</f>
        <v/>
      </c>
      <c r="G405" s="141">
        <f>IF(offer_sale_type="транзит",IFERROR(VLOOKUP($B405,calc_data,G$14+1,0),0),0)</f>
        <v/>
      </c>
      <c r="H405" s="141">
        <f>E405*G405</f>
        <v/>
      </c>
      <c r="I405" s="141">
        <f>IF(offer_sale_type="транзит",IFERROR(ROUND(VLOOKUP($B405,calc_data,I$14+1,0),2),0),0)</f>
        <v/>
      </c>
      <c r="J405" s="141">
        <f>ROUND(IF(offer_sale_type="транзит",IFERROR(VLOOKUP($B405,calc_data,J$14+1,0),0),0),2)</f>
        <v/>
      </c>
      <c r="K405" s="142">
        <f>IF(offer_sale_type="транзит",IFERROR(ROUNDUP(VLOOKUP($B405,calc_data,K$14+1,0),2),0),0)</f>
        <v/>
      </c>
      <c r="L405" s="184">
        <f>IF(offer_sale_type="транзит",IFERROR(ROUNDUP(VLOOKUP($B405,calc_data,L$14+1,0),2),0),0)</f>
        <v/>
      </c>
      <c r="M405" s="141">
        <f>IF(offer_sale_type="транзит",IFERROR(ROUNDUP(VLOOKUP($B405,calc_data,M$14+1,0),2),0),0)</f>
        <v/>
      </c>
      <c r="N405" s="141">
        <f>IF(offer_sale_type="транзит",IFERROR(ROUNDUP(VLOOKUP($B405,calc_data,N$14+1,0),2),0),0)</f>
        <v/>
      </c>
      <c r="O405" s="147">
        <f>IF(offer_sale_type="транзит",IFERROR(ROUND(VLOOKUP($B405,calc_data,O$14+1,1),2),0),0)</f>
        <v/>
      </c>
      <c r="P405" s="141">
        <f>IF(offer_sale_type="транзит",IFERROR(ROUND(SUM(I405:J405,M405:O405)/E405,2),0),0)</f>
        <v/>
      </c>
      <c r="Q405" s="141">
        <f>E405*P405</f>
        <v/>
      </c>
      <c r="R405" s="141">
        <f>ROUND(Q405*IF(AND(offer_incoterms="DDP",seller_region="RU"),IF((TODAY()+offer_turnaround_time)&gt;=helpsheet!$L$17,rate_vatRU_from_26,rate_vatRu_till_25),0),2)</f>
        <v/>
      </c>
      <c r="S405" s="177">
        <f>Q405+IF(AND(offer_incoterms="DDP",seller_region="RU"),R405,0)</f>
        <v/>
      </c>
      <c r="T405" s="45" t="n"/>
      <c r="V405" s="57">
        <f>IF(Q405&gt;0,"показать","скрыть")</f>
        <v/>
      </c>
    </row>
    <row r="406" ht="15.75" customHeight="1">
      <c r="B406" s="809" t="n">
        <v>390</v>
      </c>
      <c r="C406" s="182">
        <f>IF(offer_sale_type="транзит",IFERROR(VLOOKUP($B406,calc_data,C$14+1,0),0),0)</f>
        <v/>
      </c>
      <c r="D406" s="280">
        <f>IF(offer_sale_type="транзит",IFERROR(VLOOKUP($B406,calc_data,D$14+1,0),0),0)</f>
        <v/>
      </c>
      <c r="E406" s="182">
        <f>IF(offer_sale_type="транзит",IFERROR(VLOOKUP($B406,calc_data,E$14+1,0),0),0)</f>
        <v/>
      </c>
      <c r="F406" s="182">
        <f>IF(offer_sale_type="транзит",IFERROR(VLOOKUP($B406,calc_data,F$14+1,0),0),0)</f>
        <v/>
      </c>
      <c r="G406" s="141">
        <f>IF(offer_sale_type="транзит",IFERROR(VLOOKUP($B406,calc_data,G$14+1,0),0),0)</f>
        <v/>
      </c>
      <c r="H406" s="141">
        <f>E406*G406</f>
        <v/>
      </c>
      <c r="I406" s="141">
        <f>IF(offer_sale_type="транзит",IFERROR(ROUND(VLOOKUP($B406,calc_data,I$14+1,0),2),0),0)</f>
        <v/>
      </c>
      <c r="J406" s="141">
        <f>ROUND(IF(offer_sale_type="транзит",IFERROR(VLOOKUP($B406,calc_data,J$14+1,0),0),0),2)</f>
        <v/>
      </c>
      <c r="K406" s="142">
        <f>IF(offer_sale_type="транзит",IFERROR(ROUNDUP(VLOOKUP($B406,calc_data,K$14+1,0),2),0),0)</f>
        <v/>
      </c>
      <c r="L406" s="184">
        <f>IF(offer_sale_type="транзит",IFERROR(ROUNDUP(VLOOKUP($B406,calc_data,L$14+1,0),2),0),0)</f>
        <v/>
      </c>
      <c r="M406" s="141">
        <f>IF(offer_sale_type="транзит",IFERROR(ROUNDUP(VLOOKUP($B406,calc_data,M$14+1,0),2),0),0)</f>
        <v/>
      </c>
      <c r="N406" s="141">
        <f>IF(offer_sale_type="транзит",IFERROR(ROUNDUP(VLOOKUP($B406,calc_data,N$14+1,0),2),0),0)</f>
        <v/>
      </c>
      <c r="O406" s="147">
        <f>IF(offer_sale_type="транзит",IFERROR(ROUND(VLOOKUP($B406,calc_data,O$14+1,1),2),0),0)</f>
        <v/>
      </c>
      <c r="P406" s="141">
        <f>IF(offer_sale_type="транзит",IFERROR(ROUND(SUM(I406:J406,M406:O406)/E406,2),0),0)</f>
        <v/>
      </c>
      <c r="Q406" s="141">
        <f>E406*P406</f>
        <v/>
      </c>
      <c r="R406" s="141">
        <f>ROUND(Q406*IF(AND(offer_incoterms="DDP",seller_region="RU"),IF((TODAY()+offer_turnaround_time)&gt;=helpsheet!$L$17,rate_vatRU_from_26,rate_vatRu_till_25),0),2)</f>
        <v/>
      </c>
      <c r="S406" s="177">
        <f>Q406+IF(AND(offer_incoterms="DDP",seller_region="RU"),R406,0)</f>
        <v/>
      </c>
      <c r="T406" s="45" t="n"/>
      <c r="V406" s="57">
        <f>IF(Q406&gt;0,"показать","скрыть")</f>
        <v/>
      </c>
    </row>
    <row r="407" ht="15.75" customHeight="1">
      <c r="B407" s="809" t="n">
        <v>391</v>
      </c>
      <c r="C407" s="182">
        <f>IF(offer_sale_type="транзит",IFERROR(VLOOKUP($B407,calc_data,C$14+1,0),0),0)</f>
        <v/>
      </c>
      <c r="D407" s="280">
        <f>IF(offer_sale_type="транзит",IFERROR(VLOOKUP($B407,calc_data,D$14+1,0),0),0)</f>
        <v/>
      </c>
      <c r="E407" s="182">
        <f>IF(offer_sale_type="транзит",IFERROR(VLOOKUP($B407,calc_data,E$14+1,0),0),0)</f>
        <v/>
      </c>
      <c r="F407" s="182">
        <f>IF(offer_sale_type="транзит",IFERROR(VLOOKUP($B407,calc_data,F$14+1,0),0),0)</f>
        <v/>
      </c>
      <c r="G407" s="141">
        <f>IF(offer_sale_type="транзит",IFERROR(VLOOKUP($B407,calc_data,G$14+1,0),0),0)</f>
        <v/>
      </c>
      <c r="H407" s="141">
        <f>E407*G407</f>
        <v/>
      </c>
      <c r="I407" s="141">
        <f>IF(offer_sale_type="транзит",IFERROR(ROUND(VLOOKUP($B407,calc_data,I$14+1,0),2),0),0)</f>
        <v/>
      </c>
      <c r="J407" s="141">
        <f>ROUND(IF(offer_sale_type="транзит",IFERROR(VLOOKUP($B407,calc_data,J$14+1,0),0),0),2)</f>
        <v/>
      </c>
      <c r="K407" s="142">
        <f>IF(offer_sale_type="транзит",IFERROR(ROUNDUP(VLOOKUP($B407,calc_data,K$14+1,0),2),0),0)</f>
        <v/>
      </c>
      <c r="L407" s="184">
        <f>IF(offer_sale_type="транзит",IFERROR(ROUNDUP(VLOOKUP($B407,calc_data,L$14+1,0),2),0),0)</f>
        <v/>
      </c>
      <c r="M407" s="141">
        <f>IF(offer_sale_type="транзит",IFERROR(ROUNDUP(VLOOKUP($B407,calc_data,M$14+1,0),2),0),0)</f>
        <v/>
      </c>
      <c r="N407" s="141">
        <f>IF(offer_sale_type="транзит",IFERROR(ROUNDUP(VLOOKUP($B407,calc_data,N$14+1,0),2),0),0)</f>
        <v/>
      </c>
      <c r="O407" s="147">
        <f>IF(offer_sale_type="транзит",IFERROR(ROUND(VLOOKUP($B407,calc_data,O$14+1,1),2),0),0)</f>
        <v/>
      </c>
      <c r="P407" s="141">
        <f>IF(offer_sale_type="транзит",IFERROR(ROUND(SUM(I407:J407,M407:O407)/E407,2),0),0)</f>
        <v/>
      </c>
      <c r="Q407" s="141">
        <f>E407*P407</f>
        <v/>
      </c>
      <c r="R407" s="141">
        <f>ROUND(Q407*IF(AND(offer_incoterms="DDP",seller_region="RU"),IF((TODAY()+offer_turnaround_time)&gt;=helpsheet!$L$17,rate_vatRU_from_26,rate_vatRu_till_25),0),2)</f>
        <v/>
      </c>
      <c r="S407" s="177">
        <f>Q407+IF(AND(offer_incoterms="DDP",seller_region="RU"),R407,0)</f>
        <v/>
      </c>
      <c r="T407" s="45" t="n"/>
      <c r="V407" s="57">
        <f>IF(Q407&gt;0,"показать","скрыть")</f>
        <v/>
      </c>
    </row>
    <row r="408" ht="15.75" customHeight="1">
      <c r="B408" s="809" t="n">
        <v>392</v>
      </c>
      <c r="C408" s="182">
        <f>IF(offer_sale_type="транзит",IFERROR(VLOOKUP($B408,calc_data,C$14+1,0),0),0)</f>
        <v/>
      </c>
      <c r="D408" s="280">
        <f>IF(offer_sale_type="транзит",IFERROR(VLOOKUP($B408,calc_data,D$14+1,0),0),0)</f>
        <v/>
      </c>
      <c r="E408" s="182">
        <f>IF(offer_sale_type="транзит",IFERROR(VLOOKUP($B408,calc_data,E$14+1,0),0),0)</f>
        <v/>
      </c>
      <c r="F408" s="182">
        <f>IF(offer_sale_type="транзит",IFERROR(VLOOKUP($B408,calc_data,F$14+1,0),0),0)</f>
        <v/>
      </c>
      <c r="G408" s="141">
        <f>IF(offer_sale_type="транзит",IFERROR(VLOOKUP($B408,calc_data,G$14+1,0),0),0)</f>
        <v/>
      </c>
      <c r="H408" s="141">
        <f>E408*G408</f>
        <v/>
      </c>
      <c r="I408" s="141">
        <f>IF(offer_sale_type="транзит",IFERROR(ROUND(VLOOKUP($B408,calc_data,I$14+1,0),2),0),0)</f>
        <v/>
      </c>
      <c r="J408" s="141">
        <f>ROUND(IF(offer_sale_type="транзит",IFERROR(VLOOKUP($B408,calc_data,J$14+1,0),0),0),2)</f>
        <v/>
      </c>
      <c r="K408" s="142">
        <f>IF(offer_sale_type="транзит",IFERROR(ROUNDUP(VLOOKUP($B408,calc_data,K$14+1,0),2),0),0)</f>
        <v/>
      </c>
      <c r="L408" s="184">
        <f>IF(offer_sale_type="транзит",IFERROR(ROUNDUP(VLOOKUP($B408,calc_data,L$14+1,0),2),0),0)</f>
        <v/>
      </c>
      <c r="M408" s="141">
        <f>IF(offer_sale_type="транзит",IFERROR(ROUNDUP(VLOOKUP($B408,calc_data,M$14+1,0),2),0),0)</f>
        <v/>
      </c>
      <c r="N408" s="141">
        <f>IF(offer_sale_type="транзит",IFERROR(ROUNDUP(VLOOKUP($B408,calc_data,N$14+1,0),2),0),0)</f>
        <v/>
      </c>
      <c r="O408" s="147">
        <f>IF(offer_sale_type="транзит",IFERROR(ROUND(VLOOKUP($B408,calc_data,O$14+1,1),2),0),0)</f>
        <v/>
      </c>
      <c r="P408" s="141">
        <f>IF(offer_sale_type="транзит",IFERROR(ROUND(SUM(I408:J408,M408:O408)/E408,2),0),0)</f>
        <v/>
      </c>
      <c r="Q408" s="141">
        <f>E408*P408</f>
        <v/>
      </c>
      <c r="R408" s="141">
        <f>ROUND(Q408*IF(AND(offer_incoterms="DDP",seller_region="RU"),IF((TODAY()+offer_turnaround_time)&gt;=helpsheet!$L$17,rate_vatRU_from_26,rate_vatRu_till_25),0),2)</f>
        <v/>
      </c>
      <c r="S408" s="177">
        <f>Q408+IF(AND(offer_incoterms="DDP",seller_region="RU"),R408,0)</f>
        <v/>
      </c>
      <c r="T408" s="45" t="n"/>
      <c r="V408" s="57">
        <f>IF(Q408&gt;0,"показать","скрыть")</f>
        <v/>
      </c>
    </row>
    <row r="409" ht="15.75" customHeight="1">
      <c r="B409" s="809" t="n">
        <v>393</v>
      </c>
      <c r="C409" s="182">
        <f>IF(offer_sale_type="транзит",IFERROR(VLOOKUP($B409,calc_data,C$14+1,0),0),0)</f>
        <v/>
      </c>
      <c r="D409" s="280">
        <f>IF(offer_sale_type="транзит",IFERROR(VLOOKUP($B409,calc_data,D$14+1,0),0),0)</f>
        <v/>
      </c>
      <c r="E409" s="182">
        <f>IF(offer_sale_type="транзит",IFERROR(VLOOKUP($B409,calc_data,E$14+1,0),0),0)</f>
        <v/>
      </c>
      <c r="F409" s="182">
        <f>IF(offer_sale_type="транзит",IFERROR(VLOOKUP($B409,calc_data,F$14+1,0),0),0)</f>
        <v/>
      </c>
      <c r="G409" s="141">
        <f>IF(offer_sale_type="транзит",IFERROR(VLOOKUP($B409,calc_data,G$14+1,0),0),0)</f>
        <v/>
      </c>
      <c r="H409" s="141">
        <f>E409*G409</f>
        <v/>
      </c>
      <c r="I409" s="141">
        <f>IF(offer_sale_type="транзит",IFERROR(ROUND(VLOOKUP($B409,calc_data,I$14+1,0),2),0),0)</f>
        <v/>
      </c>
      <c r="J409" s="141">
        <f>ROUND(IF(offer_sale_type="транзит",IFERROR(VLOOKUP($B409,calc_data,J$14+1,0),0),0),2)</f>
        <v/>
      </c>
      <c r="K409" s="142">
        <f>IF(offer_sale_type="транзит",IFERROR(ROUNDUP(VLOOKUP($B409,calc_data,K$14+1,0),2),0),0)</f>
        <v/>
      </c>
      <c r="L409" s="184">
        <f>IF(offer_sale_type="транзит",IFERROR(ROUNDUP(VLOOKUP($B409,calc_data,L$14+1,0),2),0),0)</f>
        <v/>
      </c>
      <c r="M409" s="141">
        <f>IF(offer_sale_type="транзит",IFERROR(ROUNDUP(VLOOKUP($B409,calc_data,M$14+1,0),2),0),0)</f>
        <v/>
      </c>
      <c r="N409" s="141">
        <f>IF(offer_sale_type="транзит",IFERROR(ROUNDUP(VLOOKUP($B409,calc_data,N$14+1,0),2),0),0)</f>
        <v/>
      </c>
      <c r="O409" s="147">
        <f>IF(offer_sale_type="транзит",IFERROR(ROUND(VLOOKUP($B409,calc_data,O$14+1,1),2),0),0)</f>
        <v/>
      </c>
      <c r="P409" s="141">
        <f>IF(offer_sale_type="транзит",IFERROR(ROUND(SUM(I409:J409,M409:O409)/E409,2),0),0)</f>
        <v/>
      </c>
      <c r="Q409" s="141">
        <f>E409*P409</f>
        <v/>
      </c>
      <c r="R409" s="141">
        <f>ROUND(Q409*IF(AND(offer_incoterms="DDP",seller_region="RU"),IF((TODAY()+offer_turnaround_time)&gt;=helpsheet!$L$17,rate_vatRU_from_26,rate_vatRu_till_25),0),2)</f>
        <v/>
      </c>
      <c r="S409" s="177">
        <f>Q409+IF(AND(offer_incoterms="DDP",seller_region="RU"),R409,0)</f>
        <v/>
      </c>
      <c r="T409" s="45" t="n"/>
      <c r="V409" s="57">
        <f>IF(Q409&gt;0,"показать","скрыть")</f>
        <v/>
      </c>
    </row>
    <row r="410" ht="15.75" customHeight="1">
      <c r="B410" s="809" t="n">
        <v>394</v>
      </c>
      <c r="C410" s="182">
        <f>IF(offer_sale_type="транзит",IFERROR(VLOOKUP($B410,calc_data,C$14+1,0),0),0)</f>
        <v/>
      </c>
      <c r="D410" s="280">
        <f>IF(offer_sale_type="транзит",IFERROR(VLOOKUP($B410,calc_data,D$14+1,0),0),0)</f>
        <v/>
      </c>
      <c r="E410" s="182">
        <f>IF(offer_sale_type="транзит",IFERROR(VLOOKUP($B410,calc_data,E$14+1,0),0),0)</f>
        <v/>
      </c>
      <c r="F410" s="182">
        <f>IF(offer_sale_type="транзит",IFERROR(VLOOKUP($B410,calc_data,F$14+1,0),0),0)</f>
        <v/>
      </c>
      <c r="G410" s="141">
        <f>IF(offer_sale_type="транзит",IFERROR(VLOOKUP($B410,calc_data,G$14+1,0),0),0)</f>
        <v/>
      </c>
      <c r="H410" s="141">
        <f>E410*G410</f>
        <v/>
      </c>
      <c r="I410" s="141">
        <f>IF(offer_sale_type="транзит",IFERROR(ROUND(VLOOKUP($B410,calc_data,I$14+1,0),2),0),0)</f>
        <v/>
      </c>
      <c r="J410" s="141">
        <f>ROUND(IF(offer_sale_type="транзит",IFERROR(VLOOKUP($B410,calc_data,J$14+1,0),0),0),2)</f>
        <v/>
      </c>
      <c r="K410" s="142">
        <f>IF(offer_sale_type="транзит",IFERROR(ROUNDUP(VLOOKUP($B410,calc_data,K$14+1,0),2),0),0)</f>
        <v/>
      </c>
      <c r="L410" s="184">
        <f>IF(offer_sale_type="транзит",IFERROR(ROUNDUP(VLOOKUP($B410,calc_data,L$14+1,0),2),0),0)</f>
        <v/>
      </c>
      <c r="M410" s="141">
        <f>IF(offer_sale_type="транзит",IFERROR(ROUNDUP(VLOOKUP($B410,calc_data,M$14+1,0),2),0),0)</f>
        <v/>
      </c>
      <c r="N410" s="141">
        <f>IF(offer_sale_type="транзит",IFERROR(ROUNDUP(VLOOKUP($B410,calc_data,N$14+1,0),2),0),0)</f>
        <v/>
      </c>
      <c r="O410" s="147">
        <f>IF(offer_sale_type="транзит",IFERROR(ROUND(VLOOKUP($B410,calc_data,O$14+1,1),2),0),0)</f>
        <v/>
      </c>
      <c r="P410" s="141">
        <f>IF(offer_sale_type="транзит",IFERROR(ROUND(SUM(I410:J410,M410:O410)/E410,2),0),0)</f>
        <v/>
      </c>
      <c r="Q410" s="141">
        <f>E410*P410</f>
        <v/>
      </c>
      <c r="R410" s="141">
        <f>ROUND(Q410*IF(AND(offer_incoterms="DDP",seller_region="RU"),IF((TODAY()+offer_turnaround_time)&gt;=helpsheet!$L$17,rate_vatRU_from_26,rate_vatRu_till_25),0),2)</f>
        <v/>
      </c>
      <c r="S410" s="177">
        <f>Q410+IF(AND(offer_incoterms="DDP",seller_region="RU"),R410,0)</f>
        <v/>
      </c>
      <c r="T410" s="45" t="n"/>
      <c r="V410" s="57">
        <f>IF(Q410&gt;0,"показать","скрыть")</f>
        <v/>
      </c>
    </row>
    <row r="411" ht="15.75" customHeight="1">
      <c r="B411" s="809" t="n">
        <v>395</v>
      </c>
      <c r="C411" s="182">
        <f>IF(offer_sale_type="транзит",IFERROR(VLOOKUP($B411,calc_data,C$14+1,0),0),0)</f>
        <v/>
      </c>
      <c r="D411" s="280">
        <f>IF(offer_sale_type="транзит",IFERROR(VLOOKUP($B411,calc_data,D$14+1,0),0),0)</f>
        <v/>
      </c>
      <c r="E411" s="182">
        <f>IF(offer_sale_type="транзит",IFERROR(VLOOKUP($B411,calc_data,E$14+1,0),0),0)</f>
        <v/>
      </c>
      <c r="F411" s="182">
        <f>IF(offer_sale_type="транзит",IFERROR(VLOOKUP($B411,calc_data,F$14+1,0),0),0)</f>
        <v/>
      </c>
      <c r="G411" s="141">
        <f>IF(offer_sale_type="транзит",IFERROR(VLOOKUP($B411,calc_data,G$14+1,0),0),0)</f>
        <v/>
      </c>
      <c r="H411" s="141">
        <f>E411*G411</f>
        <v/>
      </c>
      <c r="I411" s="141">
        <f>IF(offer_sale_type="транзит",IFERROR(ROUND(VLOOKUP($B411,calc_data,I$14+1,0),2),0),0)</f>
        <v/>
      </c>
      <c r="J411" s="141">
        <f>ROUND(IF(offer_sale_type="транзит",IFERROR(VLOOKUP($B411,calc_data,J$14+1,0),0),0),2)</f>
        <v/>
      </c>
      <c r="K411" s="142">
        <f>IF(offer_sale_type="транзит",IFERROR(ROUNDUP(VLOOKUP($B411,calc_data,K$14+1,0),2),0),0)</f>
        <v/>
      </c>
      <c r="L411" s="184">
        <f>IF(offer_sale_type="транзит",IFERROR(ROUNDUP(VLOOKUP($B411,calc_data,L$14+1,0),2),0),0)</f>
        <v/>
      </c>
      <c r="M411" s="141">
        <f>IF(offer_sale_type="транзит",IFERROR(ROUNDUP(VLOOKUP($B411,calc_data,M$14+1,0),2),0),0)</f>
        <v/>
      </c>
      <c r="N411" s="141">
        <f>IF(offer_sale_type="транзит",IFERROR(ROUNDUP(VLOOKUP($B411,calc_data,N$14+1,0),2),0),0)</f>
        <v/>
      </c>
      <c r="O411" s="147">
        <f>IF(offer_sale_type="транзит",IFERROR(ROUND(VLOOKUP($B411,calc_data,O$14+1,1),2),0),0)</f>
        <v/>
      </c>
      <c r="P411" s="141">
        <f>IF(offer_sale_type="транзит",IFERROR(ROUND(SUM(I411:J411,M411:O411)/E411,2),0),0)</f>
        <v/>
      </c>
      <c r="Q411" s="141">
        <f>E411*P411</f>
        <v/>
      </c>
      <c r="R411" s="141">
        <f>ROUND(Q411*IF(AND(offer_incoterms="DDP",seller_region="RU"),IF((TODAY()+offer_turnaround_time)&gt;=helpsheet!$L$17,rate_vatRU_from_26,rate_vatRu_till_25),0),2)</f>
        <v/>
      </c>
      <c r="S411" s="177">
        <f>Q411+IF(AND(offer_incoterms="DDP",seller_region="RU"),R411,0)</f>
        <v/>
      </c>
      <c r="T411" s="45" t="n"/>
      <c r="V411" s="57">
        <f>IF(Q411&gt;0,"показать","скрыть")</f>
        <v/>
      </c>
    </row>
    <row r="412" ht="15.75" customHeight="1">
      <c r="B412" s="809" t="n">
        <v>396</v>
      </c>
      <c r="C412" s="182">
        <f>IF(offer_sale_type="транзит",IFERROR(VLOOKUP($B412,calc_data,C$14+1,0),0),0)</f>
        <v/>
      </c>
      <c r="D412" s="280">
        <f>IF(offer_sale_type="транзит",IFERROR(VLOOKUP($B412,calc_data,D$14+1,0),0),0)</f>
        <v/>
      </c>
      <c r="E412" s="182">
        <f>IF(offer_sale_type="транзит",IFERROR(VLOOKUP($B412,calc_data,E$14+1,0),0),0)</f>
        <v/>
      </c>
      <c r="F412" s="182">
        <f>IF(offer_sale_type="транзит",IFERROR(VLOOKUP($B412,calc_data,F$14+1,0),0),0)</f>
        <v/>
      </c>
      <c r="G412" s="141">
        <f>IF(offer_sale_type="транзит",IFERROR(VLOOKUP($B412,calc_data,G$14+1,0),0),0)</f>
        <v/>
      </c>
      <c r="H412" s="141">
        <f>E412*G412</f>
        <v/>
      </c>
      <c r="I412" s="141">
        <f>IF(offer_sale_type="транзит",IFERROR(ROUND(VLOOKUP($B412,calc_data,I$14+1,0),2),0),0)</f>
        <v/>
      </c>
      <c r="J412" s="141">
        <f>ROUND(IF(offer_sale_type="транзит",IFERROR(VLOOKUP($B412,calc_data,J$14+1,0),0),0),2)</f>
        <v/>
      </c>
      <c r="K412" s="142">
        <f>IF(offer_sale_type="транзит",IFERROR(ROUNDUP(VLOOKUP($B412,calc_data,K$14+1,0),2),0),0)</f>
        <v/>
      </c>
      <c r="L412" s="184">
        <f>IF(offer_sale_type="транзит",IFERROR(ROUNDUP(VLOOKUP($B412,calc_data,L$14+1,0),2),0),0)</f>
        <v/>
      </c>
      <c r="M412" s="141">
        <f>IF(offer_sale_type="транзит",IFERROR(ROUNDUP(VLOOKUP($B412,calc_data,M$14+1,0),2),0),0)</f>
        <v/>
      </c>
      <c r="N412" s="141">
        <f>IF(offer_sale_type="транзит",IFERROR(ROUNDUP(VLOOKUP($B412,calc_data,N$14+1,0),2),0),0)</f>
        <v/>
      </c>
      <c r="O412" s="147">
        <f>IF(offer_sale_type="транзит",IFERROR(ROUND(VLOOKUP($B412,calc_data,O$14+1,1),2),0),0)</f>
        <v/>
      </c>
      <c r="P412" s="141">
        <f>IF(offer_sale_type="транзит",IFERROR(ROUND(SUM(I412:J412,M412:O412)/E412,2),0),0)</f>
        <v/>
      </c>
      <c r="Q412" s="141">
        <f>E412*P412</f>
        <v/>
      </c>
      <c r="R412" s="141">
        <f>ROUND(Q412*IF(AND(offer_incoterms="DDP",seller_region="RU"),IF((TODAY()+offer_turnaround_time)&gt;=helpsheet!$L$17,rate_vatRU_from_26,rate_vatRu_till_25),0),2)</f>
        <v/>
      </c>
      <c r="S412" s="177">
        <f>Q412+IF(AND(offer_incoterms="DDP",seller_region="RU"),R412,0)</f>
        <v/>
      </c>
      <c r="T412" s="45" t="n"/>
      <c r="V412" s="57">
        <f>IF(Q412&gt;0,"показать","скрыть")</f>
        <v/>
      </c>
    </row>
    <row r="413" ht="15.75" customHeight="1">
      <c r="B413" s="809" t="n">
        <v>397</v>
      </c>
      <c r="C413" s="182">
        <f>IF(offer_sale_type="транзит",IFERROR(VLOOKUP($B413,calc_data,C$14+1,0),0),0)</f>
        <v/>
      </c>
      <c r="D413" s="280">
        <f>IF(offer_sale_type="транзит",IFERROR(VLOOKUP($B413,calc_data,D$14+1,0),0),0)</f>
        <v/>
      </c>
      <c r="E413" s="182">
        <f>IF(offer_sale_type="транзит",IFERROR(VLOOKUP($B413,calc_data,E$14+1,0),0),0)</f>
        <v/>
      </c>
      <c r="F413" s="182">
        <f>IF(offer_sale_type="транзит",IFERROR(VLOOKUP($B413,calc_data,F$14+1,0),0),0)</f>
        <v/>
      </c>
      <c r="G413" s="141">
        <f>IF(offer_sale_type="транзит",IFERROR(VLOOKUP($B413,calc_data,G$14+1,0),0),0)</f>
        <v/>
      </c>
      <c r="H413" s="141">
        <f>E413*G413</f>
        <v/>
      </c>
      <c r="I413" s="141">
        <f>IF(offer_sale_type="транзит",IFERROR(ROUND(VLOOKUP($B413,calc_data,I$14+1,0),2),0),0)</f>
        <v/>
      </c>
      <c r="J413" s="141">
        <f>ROUND(IF(offer_sale_type="транзит",IFERROR(VLOOKUP($B413,calc_data,J$14+1,0),0),0),2)</f>
        <v/>
      </c>
      <c r="K413" s="142">
        <f>IF(offer_sale_type="транзит",IFERROR(ROUNDUP(VLOOKUP($B413,calc_data,K$14+1,0),2),0),0)</f>
        <v/>
      </c>
      <c r="L413" s="184">
        <f>IF(offer_sale_type="транзит",IFERROR(ROUNDUP(VLOOKUP($B413,calc_data,L$14+1,0),2),0),0)</f>
        <v/>
      </c>
      <c r="M413" s="141">
        <f>IF(offer_sale_type="транзит",IFERROR(ROUNDUP(VLOOKUP($B413,calc_data,M$14+1,0),2),0),0)</f>
        <v/>
      </c>
      <c r="N413" s="141">
        <f>IF(offer_sale_type="транзит",IFERROR(ROUNDUP(VLOOKUP($B413,calc_data,N$14+1,0),2),0),0)</f>
        <v/>
      </c>
      <c r="O413" s="147">
        <f>IF(offer_sale_type="транзит",IFERROR(ROUND(VLOOKUP($B413,calc_data,O$14+1,1),2),0),0)</f>
        <v/>
      </c>
      <c r="P413" s="141">
        <f>IF(offer_sale_type="транзит",IFERROR(ROUND(SUM(I413:J413,M413:O413)/E413,2),0),0)</f>
        <v/>
      </c>
      <c r="Q413" s="141">
        <f>E413*P413</f>
        <v/>
      </c>
      <c r="R413" s="141">
        <f>ROUND(Q413*IF(AND(offer_incoterms="DDP",seller_region="RU"),IF((TODAY()+offer_turnaround_time)&gt;=helpsheet!$L$17,rate_vatRU_from_26,rate_vatRu_till_25),0),2)</f>
        <v/>
      </c>
      <c r="S413" s="177">
        <f>Q413+IF(AND(offer_incoterms="DDP",seller_region="RU"),R413,0)</f>
        <v/>
      </c>
      <c r="T413" s="45" t="n"/>
      <c r="V413" s="57">
        <f>IF(Q413&gt;0,"показать","скрыть")</f>
        <v/>
      </c>
    </row>
    <row r="414" ht="15.75" customHeight="1">
      <c r="B414" s="809" t="n">
        <v>398</v>
      </c>
      <c r="C414" s="182">
        <f>IF(offer_sale_type="транзит",IFERROR(VLOOKUP($B414,calc_data,C$14+1,0),0),0)</f>
        <v/>
      </c>
      <c r="D414" s="280">
        <f>IF(offer_sale_type="транзит",IFERROR(VLOOKUP($B414,calc_data,D$14+1,0),0),0)</f>
        <v/>
      </c>
      <c r="E414" s="182">
        <f>IF(offer_sale_type="транзит",IFERROR(VLOOKUP($B414,calc_data,E$14+1,0),0),0)</f>
        <v/>
      </c>
      <c r="F414" s="182">
        <f>IF(offer_sale_type="транзит",IFERROR(VLOOKUP($B414,calc_data,F$14+1,0),0),0)</f>
        <v/>
      </c>
      <c r="G414" s="141">
        <f>IF(offer_sale_type="транзит",IFERROR(VLOOKUP($B414,calc_data,G$14+1,0),0),0)</f>
        <v/>
      </c>
      <c r="H414" s="141">
        <f>E414*G414</f>
        <v/>
      </c>
      <c r="I414" s="141">
        <f>IF(offer_sale_type="транзит",IFERROR(ROUND(VLOOKUP($B414,calc_data,I$14+1,0),2),0),0)</f>
        <v/>
      </c>
      <c r="J414" s="141">
        <f>ROUND(IF(offer_sale_type="транзит",IFERROR(VLOOKUP($B414,calc_data,J$14+1,0),0),0),2)</f>
        <v/>
      </c>
      <c r="K414" s="142">
        <f>IF(offer_sale_type="транзит",IFERROR(ROUNDUP(VLOOKUP($B414,calc_data,K$14+1,0),2),0),0)</f>
        <v/>
      </c>
      <c r="L414" s="184">
        <f>IF(offer_sale_type="транзит",IFERROR(ROUNDUP(VLOOKUP($B414,calc_data,L$14+1,0),2),0),0)</f>
        <v/>
      </c>
      <c r="M414" s="141">
        <f>IF(offer_sale_type="транзит",IFERROR(ROUNDUP(VLOOKUP($B414,calc_data,M$14+1,0),2),0),0)</f>
        <v/>
      </c>
      <c r="N414" s="141">
        <f>IF(offer_sale_type="транзит",IFERROR(ROUNDUP(VLOOKUP($B414,calc_data,N$14+1,0),2),0),0)</f>
        <v/>
      </c>
      <c r="O414" s="147">
        <f>IF(offer_sale_type="транзит",IFERROR(ROUND(VLOOKUP($B414,calc_data,O$14+1,1),2),0),0)</f>
        <v/>
      </c>
      <c r="P414" s="141">
        <f>IF(offer_sale_type="транзит",IFERROR(ROUND(SUM(I414:J414,M414:O414)/E414,2),0),0)</f>
        <v/>
      </c>
      <c r="Q414" s="141">
        <f>E414*P414</f>
        <v/>
      </c>
      <c r="R414" s="141">
        <f>ROUND(Q414*IF(AND(offer_incoterms="DDP",seller_region="RU"),IF((TODAY()+offer_turnaround_time)&gt;=helpsheet!$L$17,rate_vatRU_from_26,rate_vatRu_till_25),0),2)</f>
        <v/>
      </c>
      <c r="S414" s="177">
        <f>Q414+IF(AND(offer_incoterms="DDP",seller_region="RU"),R414,0)</f>
        <v/>
      </c>
      <c r="T414" s="45" t="n"/>
      <c r="V414" s="57">
        <f>IF(Q414&gt;0,"показать","скрыть")</f>
        <v/>
      </c>
    </row>
    <row r="415" ht="15.75" customHeight="1">
      <c r="B415" s="809" t="n">
        <v>399</v>
      </c>
      <c r="C415" s="182">
        <f>IF(offer_sale_type="транзит",IFERROR(VLOOKUP($B415,calc_data,C$14+1,0),0),0)</f>
        <v/>
      </c>
      <c r="D415" s="280">
        <f>IF(offer_sale_type="транзит",IFERROR(VLOOKUP($B415,calc_data,D$14+1,0),0),0)</f>
        <v/>
      </c>
      <c r="E415" s="182">
        <f>IF(offer_sale_type="транзит",IFERROR(VLOOKUP($B415,calc_data,E$14+1,0),0),0)</f>
        <v/>
      </c>
      <c r="F415" s="182">
        <f>IF(offer_sale_type="транзит",IFERROR(VLOOKUP($B415,calc_data,F$14+1,0),0),0)</f>
        <v/>
      </c>
      <c r="G415" s="141">
        <f>IF(offer_sale_type="транзит",IFERROR(VLOOKUP($B415,calc_data,G$14+1,0),0),0)</f>
        <v/>
      </c>
      <c r="H415" s="141">
        <f>E415*G415</f>
        <v/>
      </c>
      <c r="I415" s="141">
        <f>IF(offer_sale_type="транзит",IFERROR(ROUND(VLOOKUP($B415,calc_data,I$14+1,0),2),0),0)</f>
        <v/>
      </c>
      <c r="J415" s="141">
        <f>ROUND(IF(offer_sale_type="транзит",IFERROR(VLOOKUP($B415,calc_data,J$14+1,0),0),0),2)</f>
        <v/>
      </c>
      <c r="K415" s="142">
        <f>IF(offer_sale_type="транзит",IFERROR(ROUNDUP(VLOOKUP($B415,calc_data,K$14+1,0),2),0),0)</f>
        <v/>
      </c>
      <c r="L415" s="184">
        <f>IF(offer_sale_type="транзит",IFERROR(ROUNDUP(VLOOKUP($B415,calc_data,L$14+1,0),2),0),0)</f>
        <v/>
      </c>
      <c r="M415" s="141">
        <f>IF(offer_sale_type="транзит",IFERROR(ROUNDUP(VLOOKUP($B415,calc_data,M$14+1,0),2),0),0)</f>
        <v/>
      </c>
      <c r="N415" s="141">
        <f>IF(offer_sale_type="транзит",IFERROR(ROUNDUP(VLOOKUP($B415,calc_data,N$14+1,0),2),0),0)</f>
        <v/>
      </c>
      <c r="O415" s="147">
        <f>IF(offer_sale_type="транзит",IFERROR(ROUND(VLOOKUP($B415,calc_data,O$14+1,1),2),0),0)</f>
        <v/>
      </c>
      <c r="P415" s="141">
        <f>IF(offer_sale_type="транзит",IFERROR(ROUND(SUM(I415:J415,M415:O415)/E415,2),0),0)</f>
        <v/>
      </c>
      <c r="Q415" s="141">
        <f>E415*P415</f>
        <v/>
      </c>
      <c r="R415" s="141">
        <f>ROUND(Q415*IF(AND(offer_incoterms="DDP",seller_region="RU"),IF((TODAY()+offer_turnaround_time)&gt;=helpsheet!$L$17,rate_vatRU_from_26,rate_vatRu_till_25),0),2)</f>
        <v/>
      </c>
      <c r="S415" s="177">
        <f>Q415+IF(AND(offer_incoterms="DDP",seller_region="RU"),R415,0)</f>
        <v/>
      </c>
      <c r="T415" s="45" t="n"/>
      <c r="V415" s="57">
        <f>IF(Q415&gt;0,"показать","скрыть")</f>
        <v/>
      </c>
    </row>
    <row r="416" ht="15.75" customHeight="1">
      <c r="B416" s="809" t="n">
        <v>400</v>
      </c>
      <c r="C416" s="182">
        <f>IF(offer_sale_type="транзит",IFERROR(VLOOKUP($B416,calc_data,C$14+1,0),0),0)</f>
        <v/>
      </c>
      <c r="D416" s="280">
        <f>IF(offer_sale_type="транзит",IFERROR(VLOOKUP($B416,calc_data,D$14+1,0),0),0)</f>
        <v/>
      </c>
      <c r="E416" s="182">
        <f>IF(offer_sale_type="транзит",IFERROR(VLOOKUP($B416,calc_data,E$14+1,0),0),0)</f>
        <v/>
      </c>
      <c r="F416" s="182">
        <f>IF(offer_sale_type="транзит",IFERROR(VLOOKUP($B416,calc_data,F$14+1,0),0),0)</f>
        <v/>
      </c>
      <c r="G416" s="141">
        <f>IF(offer_sale_type="транзит",IFERROR(VLOOKUP($B416,calc_data,G$14+1,0),0),0)</f>
        <v/>
      </c>
      <c r="H416" s="141">
        <f>E416*G416</f>
        <v/>
      </c>
      <c r="I416" s="141">
        <f>IF(offer_sale_type="транзит",IFERROR(ROUND(VLOOKUP($B416,calc_data,I$14+1,0),2),0),0)</f>
        <v/>
      </c>
      <c r="J416" s="141">
        <f>ROUND(IF(offer_sale_type="транзит",IFERROR(VLOOKUP($B416,calc_data,J$14+1,0),0),0),2)</f>
        <v/>
      </c>
      <c r="K416" s="142">
        <f>IF(offer_sale_type="транзит",IFERROR(ROUNDUP(VLOOKUP($B416,calc_data,K$14+1,0),2),0),0)</f>
        <v/>
      </c>
      <c r="L416" s="184">
        <f>IF(offer_sale_type="транзит",IFERROR(ROUNDUP(VLOOKUP($B416,calc_data,L$14+1,0),2),0),0)</f>
        <v/>
      </c>
      <c r="M416" s="141">
        <f>IF(offer_sale_type="транзит",IFERROR(ROUNDUP(VLOOKUP($B416,calc_data,M$14+1,0),2),0),0)</f>
        <v/>
      </c>
      <c r="N416" s="141">
        <f>IF(offer_sale_type="транзит",IFERROR(ROUNDUP(VLOOKUP($B416,calc_data,N$14+1,0),2),0),0)</f>
        <v/>
      </c>
      <c r="O416" s="147">
        <f>IF(offer_sale_type="транзит",IFERROR(ROUND(VLOOKUP($B416,calc_data,O$14+1,1),2),0),0)</f>
        <v/>
      </c>
      <c r="P416" s="141">
        <f>IF(offer_sale_type="транзит",IFERROR(ROUND(SUM(I416:J416,M416:O416)/E416,2),0),0)</f>
        <v/>
      </c>
      <c r="Q416" s="141">
        <f>E416*P416</f>
        <v/>
      </c>
      <c r="R416" s="141">
        <f>ROUND(Q416*IF(AND(offer_incoterms="DDP",seller_region="RU"),IF((TODAY()+offer_turnaround_time)&gt;=helpsheet!$L$17,rate_vatRU_from_26,rate_vatRu_till_25),0),2)</f>
        <v/>
      </c>
      <c r="S416" s="177">
        <f>Q416+IF(AND(offer_incoterms="DDP",seller_region="RU"),R416,0)</f>
        <v/>
      </c>
      <c r="T416" s="45" t="n"/>
      <c r="V416" s="57">
        <f>IF(Q416&gt;0,"показать","скрыть")</f>
        <v/>
      </c>
    </row>
    <row r="417" ht="15.75" customHeight="1">
      <c r="B417" s="809" t="n">
        <v>401</v>
      </c>
      <c r="C417" s="182">
        <f>IF(offer_sale_type="транзит",IFERROR(VLOOKUP($B417,calc_data,C$14+1,0),0),0)</f>
        <v/>
      </c>
      <c r="D417" s="280">
        <f>IF(offer_sale_type="транзит",IFERROR(VLOOKUP($B417,calc_data,D$14+1,0),0),0)</f>
        <v/>
      </c>
      <c r="E417" s="182">
        <f>IF(offer_sale_type="транзит",IFERROR(VLOOKUP($B417,calc_data,E$14+1,0),0),0)</f>
        <v/>
      </c>
      <c r="F417" s="182">
        <f>IF(offer_sale_type="транзит",IFERROR(VLOOKUP($B417,calc_data,F$14+1,0),0),0)</f>
        <v/>
      </c>
      <c r="G417" s="141">
        <f>IF(offer_sale_type="транзит",IFERROR(VLOOKUP($B417,calc_data,G$14+1,0),0),0)</f>
        <v/>
      </c>
      <c r="H417" s="141">
        <f>E417*G417</f>
        <v/>
      </c>
      <c r="I417" s="141">
        <f>IF(offer_sale_type="транзит",IFERROR(ROUND(VLOOKUP($B417,calc_data,I$14+1,0),2),0),0)</f>
        <v/>
      </c>
      <c r="J417" s="141">
        <f>ROUND(IF(offer_sale_type="транзит",IFERROR(VLOOKUP($B417,calc_data,J$14+1,0),0),0),2)</f>
        <v/>
      </c>
      <c r="K417" s="142">
        <f>IF(offer_sale_type="транзит",IFERROR(ROUNDUP(VLOOKUP($B417,calc_data,K$14+1,0),2),0),0)</f>
        <v/>
      </c>
      <c r="L417" s="184">
        <f>IF(offer_sale_type="транзит",IFERROR(ROUNDUP(VLOOKUP($B417,calc_data,L$14+1,0),2),0),0)</f>
        <v/>
      </c>
      <c r="M417" s="141">
        <f>IF(offer_sale_type="транзит",IFERROR(ROUNDUP(VLOOKUP($B417,calc_data,M$14+1,0),2),0),0)</f>
        <v/>
      </c>
      <c r="N417" s="141">
        <f>IF(offer_sale_type="транзит",IFERROR(ROUNDUP(VLOOKUP($B417,calc_data,N$14+1,0),2),0),0)</f>
        <v/>
      </c>
      <c r="O417" s="147">
        <f>IF(offer_sale_type="транзит",IFERROR(ROUND(VLOOKUP($B417,calc_data,O$14+1,1),2),0),0)</f>
        <v/>
      </c>
      <c r="P417" s="141">
        <f>IF(offer_sale_type="транзит",IFERROR(ROUND(SUM(I417:J417,M417:O417)/E417,2),0),0)</f>
        <v/>
      </c>
      <c r="Q417" s="141">
        <f>E417*P417</f>
        <v/>
      </c>
      <c r="R417" s="141">
        <f>ROUND(Q417*IF(AND(offer_incoterms="DDP",seller_region="RU"),IF((TODAY()+offer_turnaround_time)&gt;=helpsheet!$L$17,rate_vatRU_from_26,rate_vatRu_till_25),0),2)</f>
        <v/>
      </c>
      <c r="S417" s="177">
        <f>Q417+IF(AND(offer_incoterms="DDP",seller_region="RU"),R417,0)</f>
        <v/>
      </c>
      <c r="T417" s="45" t="n"/>
      <c r="V417" s="57">
        <f>IF(Q417&gt;0,"показать","скрыть")</f>
        <v/>
      </c>
    </row>
    <row r="418" ht="15.75" customHeight="1">
      <c r="B418" s="809" t="n">
        <v>402</v>
      </c>
      <c r="C418" s="182">
        <f>IF(offer_sale_type="транзит",IFERROR(VLOOKUP($B418,calc_data,C$14+1,0),0),0)</f>
        <v/>
      </c>
      <c r="D418" s="280">
        <f>IF(offer_sale_type="транзит",IFERROR(VLOOKUP($B418,calc_data,D$14+1,0),0),0)</f>
        <v/>
      </c>
      <c r="E418" s="182">
        <f>IF(offer_sale_type="транзит",IFERROR(VLOOKUP($B418,calc_data,E$14+1,0),0),0)</f>
        <v/>
      </c>
      <c r="F418" s="182">
        <f>IF(offer_sale_type="транзит",IFERROR(VLOOKUP($B418,calc_data,F$14+1,0),0),0)</f>
        <v/>
      </c>
      <c r="G418" s="141">
        <f>IF(offer_sale_type="транзит",IFERROR(VLOOKUP($B418,calc_data,G$14+1,0),0),0)</f>
        <v/>
      </c>
      <c r="H418" s="141">
        <f>E418*G418</f>
        <v/>
      </c>
      <c r="I418" s="141">
        <f>IF(offer_sale_type="транзит",IFERROR(ROUND(VLOOKUP($B418,calc_data,I$14+1,0),2),0),0)</f>
        <v/>
      </c>
      <c r="J418" s="141">
        <f>ROUND(IF(offer_sale_type="транзит",IFERROR(VLOOKUP($B418,calc_data,J$14+1,0),0),0),2)</f>
        <v/>
      </c>
      <c r="K418" s="142">
        <f>IF(offer_sale_type="транзит",IFERROR(ROUNDUP(VLOOKUP($B418,calc_data,K$14+1,0),2),0),0)</f>
        <v/>
      </c>
      <c r="L418" s="184">
        <f>IF(offer_sale_type="транзит",IFERROR(ROUNDUP(VLOOKUP($B418,calc_data,L$14+1,0),2),0),0)</f>
        <v/>
      </c>
      <c r="M418" s="141">
        <f>IF(offer_sale_type="транзит",IFERROR(ROUNDUP(VLOOKUP($B418,calc_data,M$14+1,0),2),0),0)</f>
        <v/>
      </c>
      <c r="N418" s="141">
        <f>IF(offer_sale_type="транзит",IFERROR(ROUNDUP(VLOOKUP($B418,calc_data,N$14+1,0),2),0),0)</f>
        <v/>
      </c>
      <c r="O418" s="147">
        <f>IF(offer_sale_type="транзит",IFERROR(ROUND(VLOOKUP($B418,calc_data,O$14+1,1),2),0),0)</f>
        <v/>
      </c>
      <c r="P418" s="141">
        <f>IF(offer_sale_type="транзит",IFERROR(ROUND(SUM(I418:J418,M418:O418)/E418,2),0),0)</f>
        <v/>
      </c>
      <c r="Q418" s="141">
        <f>E418*P418</f>
        <v/>
      </c>
      <c r="R418" s="141">
        <f>ROUND(Q418*IF(AND(offer_incoterms="DDP",seller_region="RU"),IF((TODAY()+offer_turnaround_time)&gt;=helpsheet!$L$17,rate_vatRU_from_26,rate_vatRu_till_25),0),2)</f>
        <v/>
      </c>
      <c r="S418" s="177">
        <f>Q418+IF(AND(offer_incoterms="DDP",seller_region="RU"),R418,0)</f>
        <v/>
      </c>
      <c r="T418" s="45" t="n"/>
      <c r="V418" s="57">
        <f>IF(Q418&gt;0,"показать","скрыть")</f>
        <v/>
      </c>
    </row>
    <row r="419" ht="15.75" customHeight="1">
      <c r="B419" s="809" t="n">
        <v>403</v>
      </c>
      <c r="C419" s="182">
        <f>IF(offer_sale_type="транзит",IFERROR(VLOOKUP($B419,calc_data,C$14+1,0),0),0)</f>
        <v/>
      </c>
      <c r="D419" s="280">
        <f>IF(offer_sale_type="транзит",IFERROR(VLOOKUP($B419,calc_data,D$14+1,0),0),0)</f>
        <v/>
      </c>
      <c r="E419" s="182">
        <f>IF(offer_sale_type="транзит",IFERROR(VLOOKUP($B419,calc_data,E$14+1,0),0),0)</f>
        <v/>
      </c>
      <c r="F419" s="182">
        <f>IF(offer_sale_type="транзит",IFERROR(VLOOKUP($B419,calc_data,F$14+1,0),0),0)</f>
        <v/>
      </c>
      <c r="G419" s="141">
        <f>IF(offer_sale_type="транзит",IFERROR(VLOOKUP($B419,calc_data,G$14+1,0),0),0)</f>
        <v/>
      </c>
      <c r="H419" s="141">
        <f>E419*G419</f>
        <v/>
      </c>
      <c r="I419" s="141">
        <f>IF(offer_sale_type="транзит",IFERROR(ROUND(VLOOKUP($B419,calc_data,I$14+1,0),2),0),0)</f>
        <v/>
      </c>
      <c r="J419" s="141">
        <f>ROUND(IF(offer_sale_type="транзит",IFERROR(VLOOKUP($B419,calc_data,J$14+1,0),0),0),2)</f>
        <v/>
      </c>
      <c r="K419" s="142">
        <f>IF(offer_sale_type="транзит",IFERROR(ROUNDUP(VLOOKUP($B419,calc_data,K$14+1,0),2),0),0)</f>
        <v/>
      </c>
      <c r="L419" s="184">
        <f>IF(offer_sale_type="транзит",IFERROR(ROUNDUP(VLOOKUP($B419,calc_data,L$14+1,0),2),0),0)</f>
        <v/>
      </c>
      <c r="M419" s="141">
        <f>IF(offer_sale_type="транзит",IFERROR(ROUNDUP(VLOOKUP($B419,calc_data,M$14+1,0),2),0),0)</f>
        <v/>
      </c>
      <c r="N419" s="141">
        <f>IF(offer_sale_type="транзит",IFERROR(ROUNDUP(VLOOKUP($B419,calc_data,N$14+1,0),2),0),0)</f>
        <v/>
      </c>
      <c r="O419" s="147">
        <f>IF(offer_sale_type="транзит",IFERROR(ROUND(VLOOKUP($B419,calc_data,O$14+1,1),2),0),0)</f>
        <v/>
      </c>
      <c r="P419" s="141">
        <f>IF(offer_sale_type="транзит",IFERROR(ROUND(SUM(I419:J419,M419:O419)/E419,2),0),0)</f>
        <v/>
      </c>
      <c r="Q419" s="141">
        <f>E419*P419</f>
        <v/>
      </c>
      <c r="R419" s="141">
        <f>ROUND(Q419*IF(AND(offer_incoterms="DDP",seller_region="RU"),IF((TODAY()+offer_turnaround_time)&gt;=helpsheet!$L$17,rate_vatRU_from_26,rate_vatRu_till_25),0),2)</f>
        <v/>
      </c>
      <c r="S419" s="177">
        <f>Q419+IF(AND(offer_incoterms="DDP",seller_region="RU"),R419,0)</f>
        <v/>
      </c>
      <c r="T419" s="45" t="n"/>
      <c r="V419" s="57">
        <f>IF(Q419&gt;0,"показать","скрыть")</f>
        <v/>
      </c>
    </row>
    <row r="420" ht="15.75" customHeight="1">
      <c r="B420" s="809" t="n">
        <v>404</v>
      </c>
      <c r="C420" s="182">
        <f>IF(offer_sale_type="транзит",IFERROR(VLOOKUP($B420,calc_data,C$14+1,0),0),0)</f>
        <v/>
      </c>
      <c r="D420" s="280">
        <f>IF(offer_sale_type="транзит",IFERROR(VLOOKUP($B420,calc_data,D$14+1,0),0),0)</f>
        <v/>
      </c>
      <c r="E420" s="182">
        <f>IF(offer_sale_type="транзит",IFERROR(VLOOKUP($B420,calc_data,E$14+1,0),0),0)</f>
        <v/>
      </c>
      <c r="F420" s="182">
        <f>IF(offer_sale_type="транзит",IFERROR(VLOOKUP($B420,calc_data,F$14+1,0),0),0)</f>
        <v/>
      </c>
      <c r="G420" s="141">
        <f>IF(offer_sale_type="транзит",IFERROR(VLOOKUP($B420,calc_data,G$14+1,0),0),0)</f>
        <v/>
      </c>
      <c r="H420" s="141">
        <f>E420*G420</f>
        <v/>
      </c>
      <c r="I420" s="141">
        <f>IF(offer_sale_type="транзит",IFERROR(ROUND(VLOOKUP($B420,calc_data,I$14+1,0),2),0),0)</f>
        <v/>
      </c>
      <c r="J420" s="141">
        <f>ROUND(IF(offer_sale_type="транзит",IFERROR(VLOOKUP($B420,calc_data,J$14+1,0),0),0),2)</f>
        <v/>
      </c>
      <c r="K420" s="142">
        <f>IF(offer_sale_type="транзит",IFERROR(ROUNDUP(VLOOKUP($B420,calc_data,K$14+1,0),2),0),0)</f>
        <v/>
      </c>
      <c r="L420" s="184">
        <f>IF(offer_sale_type="транзит",IFERROR(ROUNDUP(VLOOKUP($B420,calc_data,L$14+1,0),2),0),0)</f>
        <v/>
      </c>
      <c r="M420" s="141">
        <f>IF(offer_sale_type="транзит",IFERROR(ROUNDUP(VLOOKUP($B420,calc_data,M$14+1,0),2),0),0)</f>
        <v/>
      </c>
      <c r="N420" s="141">
        <f>IF(offer_sale_type="транзит",IFERROR(ROUNDUP(VLOOKUP($B420,calc_data,N$14+1,0),2),0),0)</f>
        <v/>
      </c>
      <c r="O420" s="147">
        <f>IF(offer_sale_type="транзит",IFERROR(ROUND(VLOOKUP($B420,calc_data,O$14+1,1),2),0),0)</f>
        <v/>
      </c>
      <c r="P420" s="141">
        <f>IF(offer_sale_type="транзит",IFERROR(ROUND(SUM(I420:J420,M420:O420)/E420,2),0),0)</f>
        <v/>
      </c>
      <c r="Q420" s="141">
        <f>E420*P420</f>
        <v/>
      </c>
      <c r="R420" s="141">
        <f>ROUND(Q420*IF(AND(offer_incoterms="DDP",seller_region="RU"),IF((TODAY()+offer_turnaround_time)&gt;=helpsheet!$L$17,rate_vatRU_from_26,rate_vatRu_till_25),0),2)</f>
        <v/>
      </c>
      <c r="S420" s="177">
        <f>Q420+IF(AND(offer_incoterms="DDP",seller_region="RU"),R420,0)</f>
        <v/>
      </c>
      <c r="T420" s="45" t="n"/>
      <c r="V420" s="57">
        <f>IF(Q420&gt;0,"показать","скрыть")</f>
        <v/>
      </c>
    </row>
    <row r="421" ht="15.75" customHeight="1">
      <c r="B421" s="809" t="n">
        <v>405</v>
      </c>
      <c r="C421" s="182">
        <f>IF(offer_sale_type="транзит",IFERROR(VLOOKUP($B421,calc_data,C$14+1,0),0),0)</f>
        <v/>
      </c>
      <c r="D421" s="280">
        <f>IF(offer_sale_type="транзит",IFERROR(VLOOKUP($B421,calc_data,D$14+1,0),0),0)</f>
        <v/>
      </c>
      <c r="E421" s="182">
        <f>IF(offer_sale_type="транзит",IFERROR(VLOOKUP($B421,calc_data,E$14+1,0),0),0)</f>
        <v/>
      </c>
      <c r="F421" s="182">
        <f>IF(offer_sale_type="транзит",IFERROR(VLOOKUP($B421,calc_data,F$14+1,0),0),0)</f>
        <v/>
      </c>
      <c r="G421" s="141">
        <f>IF(offer_sale_type="транзит",IFERROR(VLOOKUP($B421,calc_data,G$14+1,0),0),0)</f>
        <v/>
      </c>
      <c r="H421" s="141">
        <f>E421*G421</f>
        <v/>
      </c>
      <c r="I421" s="141">
        <f>IF(offer_sale_type="транзит",IFERROR(ROUND(VLOOKUP($B421,calc_data,I$14+1,0),2),0),0)</f>
        <v/>
      </c>
      <c r="J421" s="141">
        <f>ROUND(IF(offer_sale_type="транзит",IFERROR(VLOOKUP($B421,calc_data,J$14+1,0),0),0),2)</f>
        <v/>
      </c>
      <c r="K421" s="142">
        <f>IF(offer_sale_type="транзит",IFERROR(ROUNDUP(VLOOKUP($B421,calc_data,K$14+1,0),2),0),0)</f>
        <v/>
      </c>
      <c r="L421" s="184">
        <f>IF(offer_sale_type="транзит",IFERROR(ROUNDUP(VLOOKUP($B421,calc_data,L$14+1,0),2),0),0)</f>
        <v/>
      </c>
      <c r="M421" s="141">
        <f>IF(offer_sale_type="транзит",IFERROR(ROUNDUP(VLOOKUP($B421,calc_data,M$14+1,0),2),0),0)</f>
        <v/>
      </c>
      <c r="N421" s="141">
        <f>IF(offer_sale_type="транзит",IFERROR(ROUNDUP(VLOOKUP($B421,calc_data,N$14+1,0),2),0),0)</f>
        <v/>
      </c>
      <c r="O421" s="147">
        <f>IF(offer_sale_type="транзит",IFERROR(ROUND(VLOOKUP($B421,calc_data,O$14+1,1),2),0),0)</f>
        <v/>
      </c>
      <c r="P421" s="141">
        <f>IF(offer_sale_type="транзит",IFERROR(ROUND(SUM(I421:J421,M421:O421)/E421,2),0),0)</f>
        <v/>
      </c>
      <c r="Q421" s="141">
        <f>E421*P421</f>
        <v/>
      </c>
      <c r="R421" s="141">
        <f>ROUND(Q421*IF(AND(offer_incoterms="DDP",seller_region="RU"),IF((TODAY()+offer_turnaround_time)&gt;=helpsheet!$L$17,rate_vatRU_from_26,rate_vatRu_till_25),0),2)</f>
        <v/>
      </c>
      <c r="S421" s="177">
        <f>Q421+IF(AND(offer_incoterms="DDP",seller_region="RU"),R421,0)</f>
        <v/>
      </c>
      <c r="T421" s="45" t="n"/>
      <c r="V421" s="57">
        <f>IF(Q421&gt;0,"показать","скрыть")</f>
        <v/>
      </c>
    </row>
    <row r="422" ht="15.75" customHeight="1">
      <c r="B422" s="809" t="n">
        <v>406</v>
      </c>
      <c r="C422" s="182">
        <f>IF(offer_sale_type="транзит",IFERROR(VLOOKUP($B422,calc_data,C$14+1,0),0),0)</f>
        <v/>
      </c>
      <c r="D422" s="280">
        <f>IF(offer_sale_type="транзит",IFERROR(VLOOKUP($B422,calc_data,D$14+1,0),0),0)</f>
        <v/>
      </c>
      <c r="E422" s="182">
        <f>IF(offer_sale_type="транзит",IFERROR(VLOOKUP($B422,calc_data,E$14+1,0),0),0)</f>
        <v/>
      </c>
      <c r="F422" s="182">
        <f>IF(offer_sale_type="транзит",IFERROR(VLOOKUP($B422,calc_data,F$14+1,0),0),0)</f>
        <v/>
      </c>
      <c r="G422" s="141">
        <f>IF(offer_sale_type="транзит",IFERROR(VLOOKUP($B422,calc_data,G$14+1,0),0),0)</f>
        <v/>
      </c>
      <c r="H422" s="141">
        <f>E422*G422</f>
        <v/>
      </c>
      <c r="I422" s="141">
        <f>IF(offer_sale_type="транзит",IFERROR(ROUND(VLOOKUP($B422,calc_data,I$14+1,0),2),0),0)</f>
        <v/>
      </c>
      <c r="J422" s="141">
        <f>ROUND(IF(offer_sale_type="транзит",IFERROR(VLOOKUP($B422,calc_data,J$14+1,0),0),0),2)</f>
        <v/>
      </c>
      <c r="K422" s="142">
        <f>IF(offer_sale_type="транзит",IFERROR(ROUNDUP(VLOOKUP($B422,calc_data,K$14+1,0),2),0),0)</f>
        <v/>
      </c>
      <c r="L422" s="184">
        <f>IF(offer_sale_type="транзит",IFERROR(ROUNDUP(VLOOKUP($B422,calc_data,L$14+1,0),2),0),0)</f>
        <v/>
      </c>
      <c r="M422" s="141">
        <f>IF(offer_sale_type="транзит",IFERROR(ROUNDUP(VLOOKUP($B422,calc_data,M$14+1,0),2),0),0)</f>
        <v/>
      </c>
      <c r="N422" s="141">
        <f>IF(offer_sale_type="транзит",IFERROR(ROUNDUP(VLOOKUP($B422,calc_data,N$14+1,0),2),0),0)</f>
        <v/>
      </c>
      <c r="O422" s="147">
        <f>IF(offer_sale_type="транзит",IFERROR(ROUND(VLOOKUP($B422,calc_data,O$14+1,1),2),0),0)</f>
        <v/>
      </c>
      <c r="P422" s="141">
        <f>IF(offer_sale_type="транзит",IFERROR(ROUND(SUM(I422:J422,M422:O422)/E422,2),0),0)</f>
        <v/>
      </c>
      <c r="Q422" s="141">
        <f>E422*P422</f>
        <v/>
      </c>
      <c r="R422" s="141">
        <f>ROUND(Q422*IF(AND(offer_incoterms="DDP",seller_region="RU"),IF((TODAY()+offer_turnaround_time)&gt;=helpsheet!$L$17,rate_vatRU_from_26,rate_vatRu_till_25),0),2)</f>
        <v/>
      </c>
      <c r="S422" s="177">
        <f>Q422+IF(AND(offer_incoterms="DDP",seller_region="RU"),R422,0)</f>
        <v/>
      </c>
      <c r="T422" s="45" t="n"/>
      <c r="V422" s="57">
        <f>IF(Q422&gt;0,"показать","скрыть")</f>
        <v/>
      </c>
    </row>
    <row r="423" ht="15.75" customHeight="1">
      <c r="B423" s="809" t="n">
        <v>407</v>
      </c>
      <c r="C423" s="182">
        <f>IF(offer_sale_type="транзит",IFERROR(VLOOKUP($B423,calc_data,C$14+1,0),0),0)</f>
        <v/>
      </c>
      <c r="D423" s="280">
        <f>IF(offer_sale_type="транзит",IFERROR(VLOOKUP($B423,calc_data,D$14+1,0),0),0)</f>
        <v/>
      </c>
      <c r="E423" s="182">
        <f>IF(offer_sale_type="транзит",IFERROR(VLOOKUP($B423,calc_data,E$14+1,0),0),0)</f>
        <v/>
      </c>
      <c r="F423" s="182">
        <f>IF(offer_sale_type="транзит",IFERROR(VLOOKUP($B423,calc_data,F$14+1,0),0),0)</f>
        <v/>
      </c>
      <c r="G423" s="141">
        <f>IF(offer_sale_type="транзит",IFERROR(VLOOKUP($B423,calc_data,G$14+1,0),0),0)</f>
        <v/>
      </c>
      <c r="H423" s="141">
        <f>E423*G423</f>
        <v/>
      </c>
      <c r="I423" s="141">
        <f>IF(offer_sale_type="транзит",IFERROR(ROUND(VLOOKUP($B423,calc_data,I$14+1,0),2),0),0)</f>
        <v/>
      </c>
      <c r="J423" s="141">
        <f>ROUND(IF(offer_sale_type="транзит",IFERROR(VLOOKUP($B423,calc_data,J$14+1,0),0),0),2)</f>
        <v/>
      </c>
      <c r="K423" s="142">
        <f>IF(offer_sale_type="транзит",IFERROR(ROUNDUP(VLOOKUP($B423,calc_data,K$14+1,0),2),0),0)</f>
        <v/>
      </c>
      <c r="L423" s="184">
        <f>IF(offer_sale_type="транзит",IFERROR(ROUNDUP(VLOOKUP($B423,calc_data,L$14+1,0),2),0),0)</f>
        <v/>
      </c>
      <c r="M423" s="141">
        <f>IF(offer_sale_type="транзит",IFERROR(ROUNDUP(VLOOKUP($B423,calc_data,M$14+1,0),2),0),0)</f>
        <v/>
      </c>
      <c r="N423" s="141">
        <f>IF(offer_sale_type="транзит",IFERROR(ROUNDUP(VLOOKUP($B423,calc_data,N$14+1,0),2),0),0)</f>
        <v/>
      </c>
      <c r="O423" s="147">
        <f>IF(offer_sale_type="транзит",IFERROR(ROUND(VLOOKUP($B423,calc_data,O$14+1,1),2),0),0)</f>
        <v/>
      </c>
      <c r="P423" s="141">
        <f>IF(offer_sale_type="транзит",IFERROR(ROUND(SUM(I423:J423,M423:O423)/E423,2),0),0)</f>
        <v/>
      </c>
      <c r="Q423" s="141">
        <f>E423*P423</f>
        <v/>
      </c>
      <c r="R423" s="141">
        <f>ROUND(Q423*IF(AND(offer_incoterms="DDP",seller_region="RU"),IF((TODAY()+offer_turnaround_time)&gt;=helpsheet!$L$17,rate_vatRU_from_26,rate_vatRu_till_25),0),2)</f>
        <v/>
      </c>
      <c r="S423" s="177">
        <f>Q423+IF(AND(offer_incoterms="DDP",seller_region="RU"),R423,0)</f>
        <v/>
      </c>
      <c r="T423" s="45" t="n"/>
      <c r="V423" s="57">
        <f>IF(Q423&gt;0,"показать","скрыть")</f>
        <v/>
      </c>
    </row>
    <row r="424" ht="15.75" customHeight="1">
      <c r="B424" s="809" t="n">
        <v>408</v>
      </c>
      <c r="C424" s="182">
        <f>IF(offer_sale_type="транзит",IFERROR(VLOOKUP($B424,calc_data,C$14+1,0),0),0)</f>
        <v/>
      </c>
      <c r="D424" s="280">
        <f>IF(offer_sale_type="транзит",IFERROR(VLOOKUP($B424,calc_data,D$14+1,0),0),0)</f>
        <v/>
      </c>
      <c r="E424" s="182">
        <f>IF(offer_sale_type="транзит",IFERROR(VLOOKUP($B424,calc_data,E$14+1,0),0),0)</f>
        <v/>
      </c>
      <c r="F424" s="182">
        <f>IF(offer_sale_type="транзит",IFERROR(VLOOKUP($B424,calc_data,F$14+1,0),0),0)</f>
        <v/>
      </c>
      <c r="G424" s="141">
        <f>IF(offer_sale_type="транзит",IFERROR(VLOOKUP($B424,calc_data,G$14+1,0),0),0)</f>
        <v/>
      </c>
      <c r="H424" s="141">
        <f>E424*G424</f>
        <v/>
      </c>
      <c r="I424" s="141">
        <f>IF(offer_sale_type="транзит",IFERROR(ROUND(VLOOKUP($B424,calc_data,I$14+1,0),2),0),0)</f>
        <v/>
      </c>
      <c r="J424" s="141">
        <f>ROUND(IF(offer_sale_type="транзит",IFERROR(VLOOKUP($B424,calc_data,J$14+1,0),0),0),2)</f>
        <v/>
      </c>
      <c r="K424" s="142">
        <f>IF(offer_sale_type="транзит",IFERROR(ROUNDUP(VLOOKUP($B424,calc_data,K$14+1,0),2),0),0)</f>
        <v/>
      </c>
      <c r="L424" s="184">
        <f>IF(offer_sale_type="транзит",IFERROR(ROUNDUP(VLOOKUP($B424,calc_data,L$14+1,0),2),0),0)</f>
        <v/>
      </c>
      <c r="M424" s="141">
        <f>IF(offer_sale_type="транзит",IFERROR(ROUNDUP(VLOOKUP($B424,calc_data,M$14+1,0),2),0),0)</f>
        <v/>
      </c>
      <c r="N424" s="141">
        <f>IF(offer_sale_type="транзит",IFERROR(ROUNDUP(VLOOKUP($B424,calc_data,N$14+1,0),2),0),0)</f>
        <v/>
      </c>
      <c r="O424" s="147">
        <f>IF(offer_sale_type="транзит",IFERROR(ROUND(VLOOKUP($B424,calc_data,O$14+1,1),2),0),0)</f>
        <v/>
      </c>
      <c r="P424" s="141">
        <f>IF(offer_sale_type="транзит",IFERROR(ROUND(SUM(I424:J424,M424:O424)/E424,2),0),0)</f>
        <v/>
      </c>
      <c r="Q424" s="141">
        <f>E424*P424</f>
        <v/>
      </c>
      <c r="R424" s="141">
        <f>ROUND(Q424*IF(AND(offer_incoterms="DDP",seller_region="RU"),IF((TODAY()+offer_turnaround_time)&gt;=helpsheet!$L$17,rate_vatRU_from_26,rate_vatRu_till_25),0),2)</f>
        <v/>
      </c>
      <c r="S424" s="177">
        <f>Q424+IF(AND(offer_incoterms="DDP",seller_region="RU"),R424,0)</f>
        <v/>
      </c>
      <c r="T424" s="45" t="n"/>
      <c r="V424" s="57">
        <f>IF(Q424&gt;0,"показать","скрыть")</f>
        <v/>
      </c>
    </row>
    <row r="425" ht="15.75" customHeight="1">
      <c r="B425" s="809" t="n">
        <v>409</v>
      </c>
      <c r="C425" s="182">
        <f>IF(offer_sale_type="транзит",IFERROR(VLOOKUP($B425,calc_data,C$14+1,0),0),0)</f>
        <v/>
      </c>
      <c r="D425" s="280">
        <f>IF(offer_sale_type="транзит",IFERROR(VLOOKUP($B425,calc_data,D$14+1,0),0),0)</f>
        <v/>
      </c>
      <c r="E425" s="182">
        <f>IF(offer_sale_type="транзит",IFERROR(VLOOKUP($B425,calc_data,E$14+1,0),0),0)</f>
        <v/>
      </c>
      <c r="F425" s="182">
        <f>IF(offer_sale_type="транзит",IFERROR(VLOOKUP($B425,calc_data,F$14+1,0),0),0)</f>
        <v/>
      </c>
      <c r="G425" s="141">
        <f>IF(offer_sale_type="транзит",IFERROR(VLOOKUP($B425,calc_data,G$14+1,0),0),0)</f>
        <v/>
      </c>
      <c r="H425" s="141">
        <f>E425*G425</f>
        <v/>
      </c>
      <c r="I425" s="141">
        <f>IF(offer_sale_type="транзит",IFERROR(ROUND(VLOOKUP($B425,calc_data,I$14+1,0),2),0),0)</f>
        <v/>
      </c>
      <c r="J425" s="141">
        <f>ROUND(IF(offer_sale_type="транзит",IFERROR(VLOOKUP($B425,calc_data,J$14+1,0),0),0),2)</f>
        <v/>
      </c>
      <c r="K425" s="142">
        <f>IF(offer_sale_type="транзит",IFERROR(ROUNDUP(VLOOKUP($B425,calc_data,K$14+1,0),2),0),0)</f>
        <v/>
      </c>
      <c r="L425" s="184">
        <f>IF(offer_sale_type="транзит",IFERROR(ROUNDUP(VLOOKUP($B425,calc_data,L$14+1,0),2),0),0)</f>
        <v/>
      </c>
      <c r="M425" s="141">
        <f>IF(offer_sale_type="транзит",IFERROR(ROUNDUP(VLOOKUP($B425,calc_data,M$14+1,0),2),0),0)</f>
        <v/>
      </c>
      <c r="N425" s="141">
        <f>IF(offer_sale_type="транзит",IFERROR(ROUNDUP(VLOOKUP($B425,calc_data,N$14+1,0),2),0),0)</f>
        <v/>
      </c>
      <c r="O425" s="147">
        <f>IF(offer_sale_type="транзит",IFERROR(ROUND(VLOOKUP($B425,calc_data,O$14+1,1),2),0),0)</f>
        <v/>
      </c>
      <c r="P425" s="141">
        <f>IF(offer_sale_type="транзит",IFERROR(ROUND(SUM(I425:J425,M425:O425)/E425,2),0),0)</f>
        <v/>
      </c>
      <c r="Q425" s="141">
        <f>E425*P425</f>
        <v/>
      </c>
      <c r="R425" s="141">
        <f>ROUND(Q425*IF(AND(offer_incoterms="DDP",seller_region="RU"),IF((TODAY()+offer_turnaround_time)&gt;=helpsheet!$L$17,rate_vatRU_from_26,rate_vatRu_till_25),0),2)</f>
        <v/>
      </c>
      <c r="S425" s="177">
        <f>Q425+IF(AND(offer_incoterms="DDP",seller_region="RU"),R425,0)</f>
        <v/>
      </c>
      <c r="T425" s="45" t="n"/>
      <c r="V425" s="57">
        <f>IF(Q425&gt;0,"показать","скрыть")</f>
        <v/>
      </c>
    </row>
    <row r="426" ht="15.75" customHeight="1">
      <c r="B426" s="809" t="n">
        <v>410</v>
      </c>
      <c r="C426" s="182">
        <f>IF(offer_sale_type="транзит",IFERROR(VLOOKUP($B426,calc_data,C$14+1,0),0),0)</f>
        <v/>
      </c>
      <c r="D426" s="280">
        <f>IF(offer_sale_type="транзит",IFERROR(VLOOKUP($B426,calc_data,D$14+1,0),0),0)</f>
        <v/>
      </c>
      <c r="E426" s="182">
        <f>IF(offer_sale_type="транзит",IFERROR(VLOOKUP($B426,calc_data,E$14+1,0),0),0)</f>
        <v/>
      </c>
      <c r="F426" s="182">
        <f>IF(offer_sale_type="транзит",IFERROR(VLOOKUP($B426,calc_data,F$14+1,0),0),0)</f>
        <v/>
      </c>
      <c r="G426" s="141">
        <f>IF(offer_sale_type="транзит",IFERROR(VLOOKUP($B426,calc_data,G$14+1,0),0),0)</f>
        <v/>
      </c>
      <c r="H426" s="141">
        <f>E426*G426</f>
        <v/>
      </c>
      <c r="I426" s="141">
        <f>IF(offer_sale_type="транзит",IFERROR(ROUND(VLOOKUP($B426,calc_data,I$14+1,0),2),0),0)</f>
        <v/>
      </c>
      <c r="J426" s="141">
        <f>ROUND(IF(offer_sale_type="транзит",IFERROR(VLOOKUP($B426,calc_data,J$14+1,0),0),0),2)</f>
        <v/>
      </c>
      <c r="K426" s="142">
        <f>IF(offer_sale_type="транзит",IFERROR(ROUNDUP(VLOOKUP($B426,calc_data,K$14+1,0),2),0),0)</f>
        <v/>
      </c>
      <c r="L426" s="184">
        <f>IF(offer_sale_type="транзит",IFERROR(ROUNDUP(VLOOKUP($B426,calc_data,L$14+1,0),2),0),0)</f>
        <v/>
      </c>
      <c r="M426" s="141">
        <f>IF(offer_sale_type="транзит",IFERROR(ROUNDUP(VLOOKUP($B426,calc_data,M$14+1,0),2),0),0)</f>
        <v/>
      </c>
      <c r="N426" s="141">
        <f>IF(offer_sale_type="транзит",IFERROR(ROUNDUP(VLOOKUP($B426,calc_data,N$14+1,0),2),0),0)</f>
        <v/>
      </c>
      <c r="O426" s="147">
        <f>IF(offer_sale_type="транзит",IFERROR(ROUND(VLOOKUP($B426,calc_data,O$14+1,1),2),0),0)</f>
        <v/>
      </c>
      <c r="P426" s="141">
        <f>IF(offer_sale_type="транзит",IFERROR(ROUND(SUM(I426:J426,M426:O426)/E426,2),0),0)</f>
        <v/>
      </c>
      <c r="Q426" s="141">
        <f>E426*P426</f>
        <v/>
      </c>
      <c r="R426" s="141">
        <f>ROUND(Q426*IF(AND(offer_incoterms="DDP",seller_region="RU"),IF((TODAY()+offer_turnaround_time)&gt;=helpsheet!$L$17,rate_vatRU_from_26,rate_vatRu_till_25),0),2)</f>
        <v/>
      </c>
      <c r="S426" s="177">
        <f>Q426+IF(AND(offer_incoterms="DDP",seller_region="RU"),R426,0)</f>
        <v/>
      </c>
      <c r="T426" s="45" t="n"/>
      <c r="V426" s="57">
        <f>IF(Q426&gt;0,"показать","скрыть")</f>
        <v/>
      </c>
    </row>
    <row r="427" ht="15.75" customHeight="1">
      <c r="B427" s="809" t="n">
        <v>411</v>
      </c>
      <c r="C427" s="182">
        <f>IF(offer_sale_type="транзит",IFERROR(VLOOKUP($B427,calc_data,C$14+1,0),0),0)</f>
        <v/>
      </c>
      <c r="D427" s="280">
        <f>IF(offer_sale_type="транзит",IFERROR(VLOOKUP($B427,calc_data,D$14+1,0),0),0)</f>
        <v/>
      </c>
      <c r="E427" s="182">
        <f>IF(offer_sale_type="транзит",IFERROR(VLOOKUP($B427,calc_data,E$14+1,0),0),0)</f>
        <v/>
      </c>
      <c r="F427" s="182">
        <f>IF(offer_sale_type="транзит",IFERROR(VLOOKUP($B427,calc_data,F$14+1,0),0),0)</f>
        <v/>
      </c>
      <c r="G427" s="141">
        <f>IF(offer_sale_type="транзит",IFERROR(VLOOKUP($B427,calc_data,G$14+1,0),0),0)</f>
        <v/>
      </c>
      <c r="H427" s="141">
        <f>E427*G427</f>
        <v/>
      </c>
      <c r="I427" s="141">
        <f>IF(offer_sale_type="транзит",IFERROR(ROUND(VLOOKUP($B427,calc_data,I$14+1,0),2),0),0)</f>
        <v/>
      </c>
      <c r="J427" s="141">
        <f>ROUND(IF(offer_sale_type="транзит",IFERROR(VLOOKUP($B427,calc_data,J$14+1,0),0),0),2)</f>
        <v/>
      </c>
      <c r="K427" s="142">
        <f>IF(offer_sale_type="транзит",IFERROR(ROUNDUP(VLOOKUP($B427,calc_data,K$14+1,0),2),0),0)</f>
        <v/>
      </c>
      <c r="L427" s="184">
        <f>IF(offer_sale_type="транзит",IFERROR(ROUNDUP(VLOOKUP($B427,calc_data,L$14+1,0),2),0),0)</f>
        <v/>
      </c>
      <c r="M427" s="141">
        <f>IF(offer_sale_type="транзит",IFERROR(ROUNDUP(VLOOKUP($B427,calc_data,M$14+1,0),2),0),0)</f>
        <v/>
      </c>
      <c r="N427" s="141">
        <f>IF(offer_sale_type="транзит",IFERROR(ROUNDUP(VLOOKUP($B427,calc_data,N$14+1,0),2),0),0)</f>
        <v/>
      </c>
      <c r="O427" s="147">
        <f>IF(offer_sale_type="транзит",IFERROR(ROUND(VLOOKUP($B427,calc_data,O$14+1,1),2),0),0)</f>
        <v/>
      </c>
      <c r="P427" s="141">
        <f>IF(offer_sale_type="транзит",IFERROR(ROUND(SUM(I427:J427,M427:O427)/E427,2),0),0)</f>
        <v/>
      </c>
      <c r="Q427" s="141">
        <f>E427*P427</f>
        <v/>
      </c>
      <c r="R427" s="141">
        <f>ROUND(Q427*IF(AND(offer_incoterms="DDP",seller_region="RU"),IF((TODAY()+offer_turnaround_time)&gt;=helpsheet!$L$17,rate_vatRU_from_26,rate_vatRu_till_25),0),2)</f>
        <v/>
      </c>
      <c r="S427" s="177">
        <f>Q427+IF(AND(offer_incoterms="DDP",seller_region="RU"),R427,0)</f>
        <v/>
      </c>
      <c r="T427" s="45" t="n"/>
      <c r="V427" s="57">
        <f>IF(Q427&gt;0,"показать","скрыть")</f>
        <v/>
      </c>
    </row>
    <row r="428" ht="15.75" customHeight="1">
      <c r="B428" s="809" t="n">
        <v>412</v>
      </c>
      <c r="C428" s="182">
        <f>IF(offer_sale_type="транзит",IFERROR(VLOOKUP($B428,calc_data,C$14+1,0),0),0)</f>
        <v/>
      </c>
      <c r="D428" s="280">
        <f>IF(offer_sale_type="транзит",IFERROR(VLOOKUP($B428,calc_data,D$14+1,0),0),0)</f>
        <v/>
      </c>
      <c r="E428" s="182">
        <f>IF(offer_sale_type="транзит",IFERROR(VLOOKUP($B428,calc_data,E$14+1,0),0),0)</f>
        <v/>
      </c>
      <c r="F428" s="182">
        <f>IF(offer_sale_type="транзит",IFERROR(VLOOKUP($B428,calc_data,F$14+1,0),0),0)</f>
        <v/>
      </c>
      <c r="G428" s="141">
        <f>IF(offer_sale_type="транзит",IFERROR(VLOOKUP($B428,calc_data,G$14+1,0),0),0)</f>
        <v/>
      </c>
      <c r="H428" s="141">
        <f>E428*G428</f>
        <v/>
      </c>
      <c r="I428" s="141">
        <f>IF(offer_sale_type="транзит",IFERROR(ROUND(VLOOKUP($B428,calc_data,I$14+1,0),2),0),0)</f>
        <v/>
      </c>
      <c r="J428" s="141">
        <f>ROUND(IF(offer_sale_type="транзит",IFERROR(VLOOKUP($B428,calc_data,J$14+1,0),0),0),2)</f>
        <v/>
      </c>
      <c r="K428" s="142">
        <f>IF(offer_sale_type="транзит",IFERROR(ROUNDUP(VLOOKUP($B428,calc_data,K$14+1,0),2),0),0)</f>
        <v/>
      </c>
      <c r="L428" s="184">
        <f>IF(offer_sale_type="транзит",IFERROR(ROUNDUP(VLOOKUP($B428,calc_data,L$14+1,0),2),0),0)</f>
        <v/>
      </c>
      <c r="M428" s="141">
        <f>IF(offer_sale_type="транзит",IFERROR(ROUNDUP(VLOOKUP($B428,calc_data,M$14+1,0),2),0),0)</f>
        <v/>
      </c>
      <c r="N428" s="141">
        <f>IF(offer_sale_type="транзит",IFERROR(ROUNDUP(VLOOKUP($B428,calc_data,N$14+1,0),2),0),0)</f>
        <v/>
      </c>
      <c r="O428" s="147">
        <f>IF(offer_sale_type="транзит",IFERROR(ROUND(VLOOKUP($B428,calc_data,O$14+1,1),2),0),0)</f>
        <v/>
      </c>
      <c r="P428" s="141">
        <f>IF(offer_sale_type="транзит",IFERROR(ROUND(SUM(I428:J428,M428:O428)/E428,2),0),0)</f>
        <v/>
      </c>
      <c r="Q428" s="141">
        <f>E428*P428</f>
        <v/>
      </c>
      <c r="R428" s="141">
        <f>ROUND(Q428*IF(AND(offer_incoterms="DDP",seller_region="RU"),IF((TODAY()+offer_turnaround_time)&gt;=helpsheet!$L$17,rate_vatRU_from_26,rate_vatRu_till_25),0),2)</f>
        <v/>
      </c>
      <c r="S428" s="177">
        <f>Q428+IF(AND(offer_incoterms="DDP",seller_region="RU"),R428,0)</f>
        <v/>
      </c>
      <c r="T428" s="45" t="n"/>
      <c r="V428" s="57">
        <f>IF(Q428&gt;0,"показать","скрыть")</f>
        <v/>
      </c>
    </row>
    <row r="429" ht="15.75" customHeight="1">
      <c r="B429" s="809" t="n">
        <v>413</v>
      </c>
      <c r="C429" s="182">
        <f>IF(offer_sale_type="транзит",IFERROR(VLOOKUP($B429,calc_data,C$14+1,0),0),0)</f>
        <v/>
      </c>
      <c r="D429" s="280">
        <f>IF(offer_sale_type="транзит",IFERROR(VLOOKUP($B429,calc_data,D$14+1,0),0),0)</f>
        <v/>
      </c>
      <c r="E429" s="182">
        <f>IF(offer_sale_type="транзит",IFERROR(VLOOKUP($B429,calc_data,E$14+1,0),0),0)</f>
        <v/>
      </c>
      <c r="F429" s="182">
        <f>IF(offer_sale_type="транзит",IFERROR(VLOOKUP($B429,calc_data,F$14+1,0),0),0)</f>
        <v/>
      </c>
      <c r="G429" s="141">
        <f>IF(offer_sale_type="транзит",IFERROR(VLOOKUP($B429,calc_data,G$14+1,0),0),0)</f>
        <v/>
      </c>
      <c r="H429" s="141">
        <f>E429*G429</f>
        <v/>
      </c>
      <c r="I429" s="141">
        <f>IF(offer_sale_type="транзит",IFERROR(ROUND(VLOOKUP($B429,calc_data,I$14+1,0),2),0),0)</f>
        <v/>
      </c>
      <c r="J429" s="141">
        <f>ROUND(IF(offer_sale_type="транзит",IFERROR(VLOOKUP($B429,calc_data,J$14+1,0),0),0),2)</f>
        <v/>
      </c>
      <c r="K429" s="142">
        <f>IF(offer_sale_type="транзит",IFERROR(ROUNDUP(VLOOKUP($B429,calc_data,K$14+1,0),2),0),0)</f>
        <v/>
      </c>
      <c r="L429" s="184">
        <f>IF(offer_sale_type="транзит",IFERROR(ROUNDUP(VLOOKUP($B429,calc_data,L$14+1,0),2),0),0)</f>
        <v/>
      </c>
      <c r="M429" s="141">
        <f>IF(offer_sale_type="транзит",IFERROR(ROUNDUP(VLOOKUP($B429,calc_data,M$14+1,0),2),0),0)</f>
        <v/>
      </c>
      <c r="N429" s="141">
        <f>IF(offer_sale_type="транзит",IFERROR(ROUNDUP(VLOOKUP($B429,calc_data,N$14+1,0),2),0),0)</f>
        <v/>
      </c>
      <c r="O429" s="147">
        <f>IF(offer_sale_type="транзит",IFERROR(ROUND(VLOOKUP($B429,calc_data,O$14+1,1),2),0),0)</f>
        <v/>
      </c>
      <c r="P429" s="141">
        <f>IF(offer_sale_type="транзит",IFERROR(ROUND(SUM(I429:J429,M429:O429)/E429,2),0),0)</f>
        <v/>
      </c>
      <c r="Q429" s="141">
        <f>E429*P429</f>
        <v/>
      </c>
      <c r="R429" s="141">
        <f>ROUND(Q429*IF(AND(offer_incoterms="DDP",seller_region="RU"),IF((TODAY()+offer_turnaround_time)&gt;=helpsheet!$L$17,rate_vatRU_from_26,rate_vatRu_till_25),0),2)</f>
        <v/>
      </c>
      <c r="S429" s="177">
        <f>Q429+IF(AND(offer_incoterms="DDP",seller_region="RU"),R429,0)</f>
        <v/>
      </c>
      <c r="T429" s="45" t="n"/>
      <c r="V429" s="57">
        <f>IF(Q429&gt;0,"показать","скрыть")</f>
        <v/>
      </c>
    </row>
    <row r="430" ht="15.75" customHeight="1">
      <c r="B430" s="809" t="n">
        <v>414</v>
      </c>
      <c r="C430" s="182">
        <f>IF(offer_sale_type="транзит",IFERROR(VLOOKUP($B430,calc_data,C$14+1,0),0),0)</f>
        <v/>
      </c>
      <c r="D430" s="280">
        <f>IF(offer_sale_type="транзит",IFERROR(VLOOKUP($B430,calc_data,D$14+1,0),0),0)</f>
        <v/>
      </c>
      <c r="E430" s="182">
        <f>IF(offer_sale_type="транзит",IFERROR(VLOOKUP($B430,calc_data,E$14+1,0),0),0)</f>
        <v/>
      </c>
      <c r="F430" s="182">
        <f>IF(offer_sale_type="транзит",IFERROR(VLOOKUP($B430,calc_data,F$14+1,0),0),0)</f>
        <v/>
      </c>
      <c r="G430" s="141">
        <f>IF(offer_sale_type="транзит",IFERROR(VLOOKUP($B430,calc_data,G$14+1,0),0),0)</f>
        <v/>
      </c>
      <c r="H430" s="141">
        <f>E430*G430</f>
        <v/>
      </c>
      <c r="I430" s="141">
        <f>IF(offer_sale_type="транзит",IFERROR(ROUND(VLOOKUP($B430,calc_data,I$14+1,0),2),0),0)</f>
        <v/>
      </c>
      <c r="J430" s="141">
        <f>ROUND(IF(offer_sale_type="транзит",IFERROR(VLOOKUP($B430,calc_data,J$14+1,0),0),0),2)</f>
        <v/>
      </c>
      <c r="K430" s="142">
        <f>IF(offer_sale_type="транзит",IFERROR(ROUNDUP(VLOOKUP($B430,calc_data,K$14+1,0),2),0),0)</f>
        <v/>
      </c>
      <c r="L430" s="184">
        <f>IF(offer_sale_type="транзит",IFERROR(ROUNDUP(VLOOKUP($B430,calc_data,L$14+1,0),2),0),0)</f>
        <v/>
      </c>
      <c r="M430" s="141">
        <f>IF(offer_sale_type="транзит",IFERROR(ROUNDUP(VLOOKUP($B430,calc_data,M$14+1,0),2),0),0)</f>
        <v/>
      </c>
      <c r="N430" s="141">
        <f>IF(offer_sale_type="транзит",IFERROR(ROUNDUP(VLOOKUP($B430,calc_data,N$14+1,0),2),0),0)</f>
        <v/>
      </c>
      <c r="O430" s="147">
        <f>IF(offer_sale_type="транзит",IFERROR(ROUND(VLOOKUP($B430,calc_data,O$14+1,1),2),0),0)</f>
        <v/>
      </c>
      <c r="P430" s="141">
        <f>IF(offer_sale_type="транзит",IFERROR(ROUND(SUM(I430:J430,M430:O430)/E430,2),0),0)</f>
        <v/>
      </c>
      <c r="Q430" s="141">
        <f>E430*P430</f>
        <v/>
      </c>
      <c r="R430" s="141">
        <f>ROUND(Q430*IF(AND(offer_incoterms="DDP",seller_region="RU"),IF((TODAY()+offer_turnaround_time)&gt;=helpsheet!$L$17,rate_vatRU_from_26,rate_vatRu_till_25),0),2)</f>
        <v/>
      </c>
      <c r="S430" s="177">
        <f>Q430+IF(AND(offer_incoterms="DDP",seller_region="RU"),R430,0)</f>
        <v/>
      </c>
      <c r="T430" s="45" t="n"/>
      <c r="V430" s="57">
        <f>IF(Q430&gt;0,"показать","скрыть")</f>
        <v/>
      </c>
    </row>
    <row r="431" ht="15.75" customHeight="1">
      <c r="B431" s="809" t="n">
        <v>415</v>
      </c>
      <c r="C431" s="182">
        <f>IF(offer_sale_type="транзит",IFERROR(VLOOKUP($B431,calc_data,C$14+1,0),0),0)</f>
        <v/>
      </c>
      <c r="D431" s="280">
        <f>IF(offer_sale_type="транзит",IFERROR(VLOOKUP($B431,calc_data,D$14+1,0),0),0)</f>
        <v/>
      </c>
      <c r="E431" s="182">
        <f>IF(offer_sale_type="транзит",IFERROR(VLOOKUP($B431,calc_data,E$14+1,0),0),0)</f>
        <v/>
      </c>
      <c r="F431" s="182">
        <f>IF(offer_sale_type="транзит",IFERROR(VLOOKUP($B431,calc_data,F$14+1,0),0),0)</f>
        <v/>
      </c>
      <c r="G431" s="141">
        <f>IF(offer_sale_type="транзит",IFERROR(VLOOKUP($B431,calc_data,G$14+1,0),0),0)</f>
        <v/>
      </c>
      <c r="H431" s="141">
        <f>E431*G431</f>
        <v/>
      </c>
      <c r="I431" s="141">
        <f>IF(offer_sale_type="транзит",IFERROR(ROUND(VLOOKUP($B431,calc_data,I$14+1,0),2),0),0)</f>
        <v/>
      </c>
      <c r="J431" s="141">
        <f>ROUND(IF(offer_sale_type="транзит",IFERROR(VLOOKUP($B431,calc_data,J$14+1,0),0),0),2)</f>
        <v/>
      </c>
      <c r="K431" s="142">
        <f>IF(offer_sale_type="транзит",IFERROR(ROUNDUP(VLOOKUP($B431,calc_data,K$14+1,0),2),0),0)</f>
        <v/>
      </c>
      <c r="L431" s="184">
        <f>IF(offer_sale_type="транзит",IFERROR(ROUNDUP(VLOOKUP($B431,calc_data,L$14+1,0),2),0),0)</f>
        <v/>
      </c>
      <c r="M431" s="141">
        <f>IF(offer_sale_type="транзит",IFERROR(ROUNDUP(VLOOKUP($B431,calc_data,M$14+1,0),2),0),0)</f>
        <v/>
      </c>
      <c r="N431" s="141">
        <f>IF(offer_sale_type="транзит",IFERROR(ROUNDUP(VLOOKUP($B431,calc_data,N$14+1,0),2),0),0)</f>
        <v/>
      </c>
      <c r="O431" s="147">
        <f>IF(offer_sale_type="транзит",IFERROR(ROUND(VLOOKUP($B431,calc_data,O$14+1,1),2),0),0)</f>
        <v/>
      </c>
      <c r="P431" s="141">
        <f>IF(offer_sale_type="транзит",IFERROR(ROUND(SUM(I431:J431,M431:O431)/E431,2),0),0)</f>
        <v/>
      </c>
      <c r="Q431" s="141">
        <f>E431*P431</f>
        <v/>
      </c>
      <c r="R431" s="141">
        <f>ROUND(Q431*IF(AND(offer_incoterms="DDP",seller_region="RU"),IF((TODAY()+offer_turnaround_time)&gt;=helpsheet!$L$17,rate_vatRU_from_26,rate_vatRu_till_25),0),2)</f>
        <v/>
      </c>
      <c r="S431" s="177">
        <f>Q431+IF(AND(offer_incoterms="DDP",seller_region="RU"),R431,0)</f>
        <v/>
      </c>
      <c r="T431" s="45" t="n"/>
      <c r="V431" s="57">
        <f>IF(Q431&gt;0,"показать","скрыть")</f>
        <v/>
      </c>
    </row>
    <row r="432" ht="15.75" customHeight="1">
      <c r="B432" s="809" t="n">
        <v>416</v>
      </c>
      <c r="C432" s="182">
        <f>IF(offer_sale_type="транзит",IFERROR(VLOOKUP($B432,calc_data,C$14+1,0),0),0)</f>
        <v/>
      </c>
      <c r="D432" s="280">
        <f>IF(offer_sale_type="транзит",IFERROR(VLOOKUP($B432,calc_data,D$14+1,0),0),0)</f>
        <v/>
      </c>
      <c r="E432" s="182">
        <f>IF(offer_sale_type="транзит",IFERROR(VLOOKUP($B432,calc_data,E$14+1,0),0),0)</f>
        <v/>
      </c>
      <c r="F432" s="182">
        <f>IF(offer_sale_type="транзит",IFERROR(VLOOKUP($B432,calc_data,F$14+1,0),0),0)</f>
        <v/>
      </c>
      <c r="G432" s="141">
        <f>IF(offer_sale_type="транзит",IFERROR(VLOOKUP($B432,calc_data,G$14+1,0),0),0)</f>
        <v/>
      </c>
      <c r="H432" s="141">
        <f>E432*G432</f>
        <v/>
      </c>
      <c r="I432" s="141">
        <f>IF(offer_sale_type="транзит",IFERROR(ROUND(VLOOKUP($B432,calc_data,I$14+1,0),2),0),0)</f>
        <v/>
      </c>
      <c r="J432" s="141">
        <f>ROUND(IF(offer_sale_type="транзит",IFERROR(VLOOKUP($B432,calc_data,J$14+1,0),0),0),2)</f>
        <v/>
      </c>
      <c r="K432" s="142">
        <f>IF(offer_sale_type="транзит",IFERROR(ROUNDUP(VLOOKUP($B432,calc_data,K$14+1,0),2),0),0)</f>
        <v/>
      </c>
      <c r="L432" s="184">
        <f>IF(offer_sale_type="транзит",IFERROR(ROUNDUP(VLOOKUP($B432,calc_data,L$14+1,0),2),0),0)</f>
        <v/>
      </c>
      <c r="M432" s="141">
        <f>IF(offer_sale_type="транзит",IFERROR(ROUNDUP(VLOOKUP($B432,calc_data,M$14+1,0),2),0),0)</f>
        <v/>
      </c>
      <c r="N432" s="141">
        <f>IF(offer_sale_type="транзит",IFERROR(ROUNDUP(VLOOKUP($B432,calc_data,N$14+1,0),2),0),0)</f>
        <v/>
      </c>
      <c r="O432" s="147">
        <f>IF(offer_sale_type="транзит",IFERROR(ROUND(VLOOKUP($B432,calc_data,O$14+1,1),2),0),0)</f>
        <v/>
      </c>
      <c r="P432" s="141">
        <f>IF(offer_sale_type="транзит",IFERROR(ROUND(SUM(I432:J432,M432:O432)/E432,2),0),0)</f>
        <v/>
      </c>
      <c r="Q432" s="141">
        <f>E432*P432</f>
        <v/>
      </c>
      <c r="R432" s="141">
        <f>ROUND(Q432*IF(AND(offer_incoterms="DDP",seller_region="RU"),IF((TODAY()+offer_turnaround_time)&gt;=helpsheet!$L$17,rate_vatRU_from_26,rate_vatRu_till_25),0),2)</f>
        <v/>
      </c>
      <c r="S432" s="177">
        <f>Q432+IF(AND(offer_incoterms="DDP",seller_region="RU"),R432,0)</f>
        <v/>
      </c>
      <c r="T432" s="45" t="n"/>
      <c r="V432" s="57">
        <f>IF(Q432&gt;0,"показать","скрыть")</f>
        <v/>
      </c>
    </row>
    <row r="433" ht="15.75" customHeight="1">
      <c r="B433" s="809" t="n">
        <v>417</v>
      </c>
      <c r="C433" s="182">
        <f>IF(offer_sale_type="транзит",IFERROR(VLOOKUP($B433,calc_data,C$14+1,0),0),0)</f>
        <v/>
      </c>
      <c r="D433" s="280">
        <f>IF(offer_sale_type="транзит",IFERROR(VLOOKUP($B433,calc_data,D$14+1,0),0),0)</f>
        <v/>
      </c>
      <c r="E433" s="182">
        <f>IF(offer_sale_type="транзит",IFERROR(VLOOKUP($B433,calc_data,E$14+1,0),0),0)</f>
        <v/>
      </c>
      <c r="F433" s="182">
        <f>IF(offer_sale_type="транзит",IFERROR(VLOOKUP($B433,calc_data,F$14+1,0),0),0)</f>
        <v/>
      </c>
      <c r="G433" s="141">
        <f>IF(offer_sale_type="транзит",IFERROR(VLOOKUP($B433,calc_data,G$14+1,0),0),0)</f>
        <v/>
      </c>
      <c r="H433" s="141">
        <f>E433*G433</f>
        <v/>
      </c>
      <c r="I433" s="141">
        <f>IF(offer_sale_type="транзит",IFERROR(ROUND(VLOOKUP($B433,calc_data,I$14+1,0),2),0),0)</f>
        <v/>
      </c>
      <c r="J433" s="141">
        <f>ROUND(IF(offer_sale_type="транзит",IFERROR(VLOOKUP($B433,calc_data,J$14+1,0),0),0),2)</f>
        <v/>
      </c>
      <c r="K433" s="142">
        <f>IF(offer_sale_type="транзит",IFERROR(ROUNDUP(VLOOKUP($B433,calc_data,K$14+1,0),2),0),0)</f>
        <v/>
      </c>
      <c r="L433" s="184">
        <f>IF(offer_sale_type="транзит",IFERROR(ROUNDUP(VLOOKUP($B433,calc_data,L$14+1,0),2),0),0)</f>
        <v/>
      </c>
      <c r="M433" s="141">
        <f>IF(offer_sale_type="транзит",IFERROR(ROUNDUP(VLOOKUP($B433,calc_data,M$14+1,0),2),0),0)</f>
        <v/>
      </c>
      <c r="N433" s="141">
        <f>IF(offer_sale_type="транзит",IFERROR(ROUNDUP(VLOOKUP($B433,calc_data,N$14+1,0),2),0),0)</f>
        <v/>
      </c>
      <c r="O433" s="147">
        <f>IF(offer_sale_type="транзит",IFERROR(ROUND(VLOOKUP($B433,calc_data,O$14+1,1),2),0),0)</f>
        <v/>
      </c>
      <c r="P433" s="141">
        <f>IF(offer_sale_type="транзит",IFERROR(ROUND(SUM(I433:J433,M433:O433)/E433,2),0),0)</f>
        <v/>
      </c>
      <c r="Q433" s="141">
        <f>E433*P433</f>
        <v/>
      </c>
      <c r="R433" s="141">
        <f>ROUND(Q433*IF(AND(offer_incoterms="DDP",seller_region="RU"),IF((TODAY()+offer_turnaround_time)&gt;=helpsheet!$L$17,rate_vatRU_from_26,rate_vatRu_till_25),0),2)</f>
        <v/>
      </c>
      <c r="S433" s="177">
        <f>Q433+IF(AND(offer_incoterms="DDP",seller_region="RU"),R433,0)</f>
        <v/>
      </c>
      <c r="T433" s="45" t="n"/>
      <c r="V433" s="57">
        <f>IF(Q433&gt;0,"показать","скрыть")</f>
        <v/>
      </c>
    </row>
    <row r="434" ht="15.75" customHeight="1">
      <c r="B434" s="809" t="n">
        <v>418</v>
      </c>
      <c r="C434" s="182">
        <f>IF(offer_sale_type="транзит",IFERROR(VLOOKUP($B434,calc_data,C$14+1,0),0),0)</f>
        <v/>
      </c>
      <c r="D434" s="280">
        <f>IF(offer_sale_type="транзит",IFERROR(VLOOKUP($B434,calc_data,D$14+1,0),0),0)</f>
        <v/>
      </c>
      <c r="E434" s="182">
        <f>IF(offer_sale_type="транзит",IFERROR(VLOOKUP($B434,calc_data,E$14+1,0),0),0)</f>
        <v/>
      </c>
      <c r="F434" s="182">
        <f>IF(offer_sale_type="транзит",IFERROR(VLOOKUP($B434,calc_data,F$14+1,0),0),0)</f>
        <v/>
      </c>
      <c r="G434" s="141">
        <f>IF(offer_sale_type="транзит",IFERROR(VLOOKUP($B434,calc_data,G$14+1,0),0),0)</f>
        <v/>
      </c>
      <c r="H434" s="141">
        <f>E434*G434</f>
        <v/>
      </c>
      <c r="I434" s="141">
        <f>IF(offer_sale_type="транзит",IFERROR(ROUND(VLOOKUP($B434,calc_data,I$14+1,0),2),0),0)</f>
        <v/>
      </c>
      <c r="J434" s="141">
        <f>ROUND(IF(offer_sale_type="транзит",IFERROR(VLOOKUP($B434,calc_data,J$14+1,0),0),0),2)</f>
        <v/>
      </c>
      <c r="K434" s="142">
        <f>IF(offer_sale_type="транзит",IFERROR(ROUNDUP(VLOOKUP($B434,calc_data,K$14+1,0),2),0),0)</f>
        <v/>
      </c>
      <c r="L434" s="184">
        <f>IF(offer_sale_type="транзит",IFERROR(ROUNDUP(VLOOKUP($B434,calc_data,L$14+1,0),2),0),0)</f>
        <v/>
      </c>
      <c r="M434" s="141">
        <f>IF(offer_sale_type="транзит",IFERROR(ROUNDUP(VLOOKUP($B434,calc_data,M$14+1,0),2),0),0)</f>
        <v/>
      </c>
      <c r="N434" s="141">
        <f>IF(offer_sale_type="транзит",IFERROR(ROUNDUP(VLOOKUP($B434,calc_data,N$14+1,0),2),0),0)</f>
        <v/>
      </c>
      <c r="O434" s="147">
        <f>IF(offer_sale_type="транзит",IFERROR(ROUND(VLOOKUP($B434,calc_data,O$14+1,1),2),0),0)</f>
        <v/>
      </c>
      <c r="P434" s="141">
        <f>IF(offer_sale_type="транзит",IFERROR(ROUND(SUM(I434:J434,M434:O434)/E434,2),0),0)</f>
        <v/>
      </c>
      <c r="Q434" s="141">
        <f>E434*P434</f>
        <v/>
      </c>
      <c r="R434" s="141">
        <f>ROUND(Q434*IF(AND(offer_incoterms="DDP",seller_region="RU"),IF((TODAY()+offer_turnaround_time)&gt;=helpsheet!$L$17,rate_vatRU_from_26,rate_vatRu_till_25),0),2)</f>
        <v/>
      </c>
      <c r="S434" s="177">
        <f>Q434+IF(AND(offer_incoterms="DDP",seller_region="RU"),R434,0)</f>
        <v/>
      </c>
      <c r="T434" s="45" t="n"/>
      <c r="V434" s="57">
        <f>IF(Q434&gt;0,"показать","скрыть")</f>
        <v/>
      </c>
    </row>
    <row r="435" ht="15.75" customHeight="1">
      <c r="B435" s="809" t="n">
        <v>419</v>
      </c>
      <c r="C435" s="182">
        <f>IF(offer_sale_type="транзит",IFERROR(VLOOKUP($B435,calc_data,C$14+1,0),0),0)</f>
        <v/>
      </c>
      <c r="D435" s="280">
        <f>IF(offer_sale_type="транзит",IFERROR(VLOOKUP($B435,calc_data,D$14+1,0),0),0)</f>
        <v/>
      </c>
      <c r="E435" s="182">
        <f>IF(offer_sale_type="транзит",IFERROR(VLOOKUP($B435,calc_data,E$14+1,0),0),0)</f>
        <v/>
      </c>
      <c r="F435" s="182">
        <f>IF(offer_sale_type="транзит",IFERROR(VLOOKUP($B435,calc_data,F$14+1,0),0),0)</f>
        <v/>
      </c>
      <c r="G435" s="141">
        <f>IF(offer_sale_type="транзит",IFERROR(VLOOKUP($B435,calc_data,G$14+1,0),0),0)</f>
        <v/>
      </c>
      <c r="H435" s="141">
        <f>E435*G435</f>
        <v/>
      </c>
      <c r="I435" s="141">
        <f>IF(offer_sale_type="транзит",IFERROR(ROUND(VLOOKUP($B435,calc_data,I$14+1,0),2),0),0)</f>
        <v/>
      </c>
      <c r="J435" s="141">
        <f>ROUND(IF(offer_sale_type="транзит",IFERROR(VLOOKUP($B435,calc_data,J$14+1,0),0),0),2)</f>
        <v/>
      </c>
      <c r="K435" s="142">
        <f>IF(offer_sale_type="транзит",IFERROR(ROUNDUP(VLOOKUP($B435,calc_data,K$14+1,0),2),0),0)</f>
        <v/>
      </c>
      <c r="L435" s="184">
        <f>IF(offer_sale_type="транзит",IFERROR(ROUNDUP(VLOOKUP($B435,calc_data,L$14+1,0),2),0),0)</f>
        <v/>
      </c>
      <c r="M435" s="141">
        <f>IF(offer_sale_type="транзит",IFERROR(ROUNDUP(VLOOKUP($B435,calc_data,M$14+1,0),2),0),0)</f>
        <v/>
      </c>
      <c r="N435" s="141">
        <f>IF(offer_sale_type="транзит",IFERROR(ROUNDUP(VLOOKUP($B435,calc_data,N$14+1,0),2),0),0)</f>
        <v/>
      </c>
      <c r="O435" s="147">
        <f>IF(offer_sale_type="транзит",IFERROR(ROUND(VLOOKUP($B435,calc_data,O$14+1,1),2),0),0)</f>
        <v/>
      </c>
      <c r="P435" s="141">
        <f>IF(offer_sale_type="транзит",IFERROR(ROUND(SUM(I435:J435,M435:O435)/E435,2),0),0)</f>
        <v/>
      </c>
      <c r="Q435" s="141">
        <f>E435*P435</f>
        <v/>
      </c>
      <c r="R435" s="141">
        <f>ROUND(Q435*IF(AND(offer_incoterms="DDP",seller_region="RU"),IF((TODAY()+offer_turnaround_time)&gt;=helpsheet!$L$17,rate_vatRU_from_26,rate_vatRu_till_25),0),2)</f>
        <v/>
      </c>
      <c r="S435" s="177">
        <f>Q435+IF(AND(offer_incoterms="DDP",seller_region="RU"),R435,0)</f>
        <v/>
      </c>
      <c r="T435" s="45" t="n"/>
      <c r="V435" s="57">
        <f>IF(Q435&gt;0,"показать","скрыть")</f>
        <v/>
      </c>
    </row>
    <row r="436" ht="15.75" customHeight="1">
      <c r="B436" s="809" t="n">
        <v>420</v>
      </c>
      <c r="C436" s="182">
        <f>IF(offer_sale_type="транзит",IFERROR(VLOOKUP($B436,calc_data,C$14+1,0),0),0)</f>
        <v/>
      </c>
      <c r="D436" s="280">
        <f>IF(offer_sale_type="транзит",IFERROR(VLOOKUP($B436,calc_data,D$14+1,0),0),0)</f>
        <v/>
      </c>
      <c r="E436" s="182">
        <f>IF(offer_sale_type="транзит",IFERROR(VLOOKUP($B436,calc_data,E$14+1,0),0),0)</f>
        <v/>
      </c>
      <c r="F436" s="182">
        <f>IF(offer_sale_type="транзит",IFERROR(VLOOKUP($B436,calc_data,F$14+1,0),0),0)</f>
        <v/>
      </c>
      <c r="G436" s="141">
        <f>IF(offer_sale_type="транзит",IFERROR(VLOOKUP($B436,calc_data,G$14+1,0),0),0)</f>
        <v/>
      </c>
      <c r="H436" s="141">
        <f>E436*G436</f>
        <v/>
      </c>
      <c r="I436" s="141">
        <f>IF(offer_sale_type="транзит",IFERROR(ROUND(VLOOKUP($B436,calc_data,I$14+1,0),2),0),0)</f>
        <v/>
      </c>
      <c r="J436" s="141">
        <f>ROUND(IF(offer_sale_type="транзит",IFERROR(VLOOKUP($B436,calc_data,J$14+1,0),0),0),2)</f>
        <v/>
      </c>
      <c r="K436" s="142">
        <f>IF(offer_sale_type="транзит",IFERROR(ROUNDUP(VLOOKUP($B436,calc_data,K$14+1,0),2),0),0)</f>
        <v/>
      </c>
      <c r="L436" s="184">
        <f>IF(offer_sale_type="транзит",IFERROR(ROUNDUP(VLOOKUP($B436,calc_data,L$14+1,0),2),0),0)</f>
        <v/>
      </c>
      <c r="M436" s="141">
        <f>IF(offer_sale_type="транзит",IFERROR(ROUNDUP(VLOOKUP($B436,calc_data,M$14+1,0),2),0),0)</f>
        <v/>
      </c>
      <c r="N436" s="141">
        <f>IF(offer_sale_type="транзит",IFERROR(ROUNDUP(VLOOKUP($B436,calc_data,N$14+1,0),2),0),0)</f>
        <v/>
      </c>
      <c r="O436" s="147">
        <f>IF(offer_sale_type="транзит",IFERROR(ROUND(VLOOKUP($B436,calc_data,O$14+1,1),2),0),0)</f>
        <v/>
      </c>
      <c r="P436" s="141">
        <f>IF(offer_sale_type="транзит",IFERROR(ROUND(SUM(I436:J436,M436:O436)/E436,2),0),0)</f>
        <v/>
      </c>
      <c r="Q436" s="141">
        <f>E436*P436</f>
        <v/>
      </c>
      <c r="R436" s="141">
        <f>ROUND(Q436*IF(AND(offer_incoterms="DDP",seller_region="RU"),IF((TODAY()+offer_turnaround_time)&gt;=helpsheet!$L$17,rate_vatRU_from_26,rate_vatRu_till_25),0),2)</f>
        <v/>
      </c>
      <c r="S436" s="177">
        <f>Q436+IF(AND(offer_incoterms="DDP",seller_region="RU"),R436,0)</f>
        <v/>
      </c>
      <c r="T436" s="45" t="n"/>
      <c r="V436" s="57">
        <f>IF(Q436&gt;0,"показать","скрыть")</f>
        <v/>
      </c>
    </row>
    <row r="437" ht="15.75" customHeight="1">
      <c r="B437" s="809" t="n">
        <v>421</v>
      </c>
      <c r="C437" s="182">
        <f>IF(offer_sale_type="транзит",IFERROR(VLOOKUP($B437,calc_data,C$14+1,0),0),0)</f>
        <v/>
      </c>
      <c r="D437" s="280">
        <f>IF(offer_sale_type="транзит",IFERROR(VLOOKUP($B437,calc_data,D$14+1,0),0),0)</f>
        <v/>
      </c>
      <c r="E437" s="182">
        <f>IF(offer_sale_type="транзит",IFERROR(VLOOKUP($B437,calc_data,E$14+1,0),0),0)</f>
        <v/>
      </c>
      <c r="F437" s="182">
        <f>IF(offer_sale_type="транзит",IFERROR(VLOOKUP($B437,calc_data,F$14+1,0),0),0)</f>
        <v/>
      </c>
      <c r="G437" s="141">
        <f>IF(offer_sale_type="транзит",IFERROR(VLOOKUP($B437,calc_data,G$14+1,0),0),0)</f>
        <v/>
      </c>
      <c r="H437" s="141">
        <f>E437*G437</f>
        <v/>
      </c>
      <c r="I437" s="141">
        <f>IF(offer_sale_type="транзит",IFERROR(ROUND(VLOOKUP($B437,calc_data,I$14+1,0),2),0),0)</f>
        <v/>
      </c>
      <c r="J437" s="141">
        <f>ROUND(IF(offer_sale_type="транзит",IFERROR(VLOOKUP($B437,calc_data,J$14+1,0),0),0),2)</f>
        <v/>
      </c>
      <c r="K437" s="142">
        <f>IF(offer_sale_type="транзит",IFERROR(ROUNDUP(VLOOKUP($B437,calc_data,K$14+1,0),2),0),0)</f>
        <v/>
      </c>
      <c r="L437" s="184">
        <f>IF(offer_sale_type="транзит",IFERROR(ROUNDUP(VLOOKUP($B437,calc_data,L$14+1,0),2),0),0)</f>
        <v/>
      </c>
      <c r="M437" s="141">
        <f>IF(offer_sale_type="транзит",IFERROR(ROUNDUP(VLOOKUP($B437,calc_data,M$14+1,0),2),0),0)</f>
        <v/>
      </c>
      <c r="N437" s="141">
        <f>IF(offer_sale_type="транзит",IFERROR(ROUNDUP(VLOOKUP($B437,calc_data,N$14+1,0),2),0),0)</f>
        <v/>
      </c>
      <c r="O437" s="147">
        <f>IF(offer_sale_type="транзит",IFERROR(ROUND(VLOOKUP($B437,calc_data,O$14+1,1),2),0),0)</f>
        <v/>
      </c>
      <c r="P437" s="141">
        <f>IF(offer_sale_type="транзит",IFERROR(ROUND(SUM(I437:J437,M437:O437)/E437,2),0),0)</f>
        <v/>
      </c>
      <c r="Q437" s="141">
        <f>E437*P437</f>
        <v/>
      </c>
      <c r="R437" s="141">
        <f>ROUND(Q437*IF(AND(offer_incoterms="DDP",seller_region="RU"),IF((TODAY()+offer_turnaround_time)&gt;=helpsheet!$L$17,rate_vatRU_from_26,rate_vatRu_till_25),0),2)</f>
        <v/>
      </c>
      <c r="S437" s="177">
        <f>Q437+IF(AND(offer_incoterms="DDP",seller_region="RU"),R437,0)</f>
        <v/>
      </c>
      <c r="T437" s="45" t="n"/>
      <c r="V437" s="57">
        <f>IF(Q437&gt;0,"показать","скрыть")</f>
        <v/>
      </c>
    </row>
    <row r="438" ht="15.75" customHeight="1">
      <c r="B438" s="809" t="n">
        <v>422</v>
      </c>
      <c r="C438" s="182">
        <f>IF(offer_sale_type="транзит",IFERROR(VLOOKUP($B438,calc_data,C$14+1,0),0),0)</f>
        <v/>
      </c>
      <c r="D438" s="280">
        <f>IF(offer_sale_type="транзит",IFERROR(VLOOKUP($B438,calc_data,D$14+1,0),0),0)</f>
        <v/>
      </c>
      <c r="E438" s="182">
        <f>IF(offer_sale_type="транзит",IFERROR(VLOOKUP($B438,calc_data,E$14+1,0),0),0)</f>
        <v/>
      </c>
      <c r="F438" s="182">
        <f>IF(offer_sale_type="транзит",IFERROR(VLOOKUP($B438,calc_data,F$14+1,0),0),0)</f>
        <v/>
      </c>
      <c r="G438" s="141">
        <f>IF(offer_sale_type="транзит",IFERROR(VLOOKUP($B438,calc_data,G$14+1,0),0),0)</f>
        <v/>
      </c>
      <c r="H438" s="141">
        <f>E438*G438</f>
        <v/>
      </c>
      <c r="I438" s="141">
        <f>IF(offer_sale_type="транзит",IFERROR(ROUND(VLOOKUP($B438,calc_data,I$14+1,0),2),0),0)</f>
        <v/>
      </c>
      <c r="J438" s="141">
        <f>ROUND(IF(offer_sale_type="транзит",IFERROR(VLOOKUP($B438,calc_data,J$14+1,0),0),0),2)</f>
        <v/>
      </c>
      <c r="K438" s="142">
        <f>IF(offer_sale_type="транзит",IFERROR(ROUNDUP(VLOOKUP($B438,calc_data,K$14+1,0),2),0),0)</f>
        <v/>
      </c>
      <c r="L438" s="184">
        <f>IF(offer_sale_type="транзит",IFERROR(ROUNDUP(VLOOKUP($B438,calc_data,L$14+1,0),2),0),0)</f>
        <v/>
      </c>
      <c r="M438" s="141">
        <f>IF(offer_sale_type="транзит",IFERROR(ROUNDUP(VLOOKUP($B438,calc_data,M$14+1,0),2),0),0)</f>
        <v/>
      </c>
      <c r="N438" s="141">
        <f>IF(offer_sale_type="транзит",IFERROR(ROUNDUP(VLOOKUP($B438,calc_data,N$14+1,0),2),0),0)</f>
        <v/>
      </c>
      <c r="O438" s="147">
        <f>IF(offer_sale_type="транзит",IFERROR(ROUND(VLOOKUP($B438,calc_data,O$14+1,1),2),0),0)</f>
        <v/>
      </c>
      <c r="P438" s="141">
        <f>IF(offer_sale_type="транзит",IFERROR(ROUND(SUM(I438:J438,M438:O438)/E438,2),0),0)</f>
        <v/>
      </c>
      <c r="Q438" s="141">
        <f>E438*P438</f>
        <v/>
      </c>
      <c r="R438" s="141">
        <f>ROUND(Q438*IF(AND(offer_incoterms="DDP",seller_region="RU"),IF((TODAY()+offer_turnaround_time)&gt;=helpsheet!$L$17,rate_vatRU_from_26,rate_vatRu_till_25),0),2)</f>
        <v/>
      </c>
      <c r="S438" s="177">
        <f>Q438+IF(AND(offer_incoterms="DDP",seller_region="RU"),R438,0)</f>
        <v/>
      </c>
      <c r="T438" s="45" t="n"/>
      <c r="V438" s="57">
        <f>IF(Q438&gt;0,"показать","скрыть")</f>
        <v/>
      </c>
    </row>
    <row r="439" ht="15.75" customHeight="1">
      <c r="B439" s="809" t="n">
        <v>423</v>
      </c>
      <c r="C439" s="182">
        <f>IF(offer_sale_type="транзит",IFERROR(VLOOKUP($B439,calc_data,C$14+1,0),0),0)</f>
        <v/>
      </c>
      <c r="D439" s="280">
        <f>IF(offer_sale_type="транзит",IFERROR(VLOOKUP($B439,calc_data,D$14+1,0),0),0)</f>
        <v/>
      </c>
      <c r="E439" s="182">
        <f>IF(offer_sale_type="транзит",IFERROR(VLOOKUP($B439,calc_data,E$14+1,0),0),0)</f>
        <v/>
      </c>
      <c r="F439" s="182">
        <f>IF(offer_sale_type="транзит",IFERROR(VLOOKUP($B439,calc_data,F$14+1,0),0),0)</f>
        <v/>
      </c>
      <c r="G439" s="141">
        <f>IF(offer_sale_type="транзит",IFERROR(VLOOKUP($B439,calc_data,G$14+1,0),0),0)</f>
        <v/>
      </c>
      <c r="H439" s="141">
        <f>E439*G439</f>
        <v/>
      </c>
      <c r="I439" s="141">
        <f>IF(offer_sale_type="транзит",IFERROR(ROUND(VLOOKUP($B439,calc_data,I$14+1,0),2),0),0)</f>
        <v/>
      </c>
      <c r="J439" s="141">
        <f>ROUND(IF(offer_sale_type="транзит",IFERROR(VLOOKUP($B439,calc_data,J$14+1,0),0),0),2)</f>
        <v/>
      </c>
      <c r="K439" s="142">
        <f>IF(offer_sale_type="транзит",IFERROR(ROUNDUP(VLOOKUP($B439,calc_data,K$14+1,0),2),0),0)</f>
        <v/>
      </c>
      <c r="L439" s="184">
        <f>IF(offer_sale_type="транзит",IFERROR(ROUNDUP(VLOOKUP($B439,calc_data,L$14+1,0),2),0),0)</f>
        <v/>
      </c>
      <c r="M439" s="141">
        <f>IF(offer_sale_type="транзит",IFERROR(ROUNDUP(VLOOKUP($B439,calc_data,M$14+1,0),2),0),0)</f>
        <v/>
      </c>
      <c r="N439" s="141">
        <f>IF(offer_sale_type="транзит",IFERROR(ROUNDUP(VLOOKUP($B439,calc_data,N$14+1,0),2),0),0)</f>
        <v/>
      </c>
      <c r="O439" s="147">
        <f>IF(offer_sale_type="транзит",IFERROR(ROUND(VLOOKUP($B439,calc_data,O$14+1,1),2),0),0)</f>
        <v/>
      </c>
      <c r="P439" s="141">
        <f>IF(offer_sale_type="транзит",IFERROR(ROUND(SUM(I439:J439,M439:O439)/E439,2),0),0)</f>
        <v/>
      </c>
      <c r="Q439" s="141">
        <f>E439*P439</f>
        <v/>
      </c>
      <c r="R439" s="141">
        <f>ROUND(Q439*IF(AND(offer_incoterms="DDP",seller_region="RU"),IF((TODAY()+offer_turnaround_time)&gt;=helpsheet!$L$17,rate_vatRU_from_26,rate_vatRu_till_25),0),2)</f>
        <v/>
      </c>
      <c r="S439" s="177">
        <f>Q439+IF(AND(offer_incoterms="DDP",seller_region="RU"),R439,0)</f>
        <v/>
      </c>
      <c r="T439" s="45" t="n"/>
      <c r="V439" s="57">
        <f>IF(Q439&gt;0,"показать","скрыть")</f>
        <v/>
      </c>
    </row>
    <row r="440" ht="15.75" customHeight="1">
      <c r="B440" s="809" t="n">
        <v>424</v>
      </c>
      <c r="C440" s="182">
        <f>IF(offer_sale_type="транзит",IFERROR(VLOOKUP($B440,calc_data,C$14+1,0),0),0)</f>
        <v/>
      </c>
      <c r="D440" s="280">
        <f>IF(offer_sale_type="транзит",IFERROR(VLOOKUP($B440,calc_data,D$14+1,0),0),0)</f>
        <v/>
      </c>
      <c r="E440" s="182">
        <f>IF(offer_sale_type="транзит",IFERROR(VLOOKUP($B440,calc_data,E$14+1,0),0),0)</f>
        <v/>
      </c>
      <c r="F440" s="182">
        <f>IF(offer_sale_type="транзит",IFERROR(VLOOKUP($B440,calc_data,F$14+1,0),0),0)</f>
        <v/>
      </c>
      <c r="G440" s="141">
        <f>IF(offer_sale_type="транзит",IFERROR(VLOOKUP($B440,calc_data,G$14+1,0),0),0)</f>
        <v/>
      </c>
      <c r="H440" s="141">
        <f>E440*G440</f>
        <v/>
      </c>
      <c r="I440" s="141">
        <f>IF(offer_sale_type="транзит",IFERROR(ROUND(VLOOKUP($B440,calc_data,I$14+1,0),2),0),0)</f>
        <v/>
      </c>
      <c r="J440" s="141">
        <f>ROUND(IF(offer_sale_type="транзит",IFERROR(VLOOKUP($B440,calc_data,J$14+1,0),0),0),2)</f>
        <v/>
      </c>
      <c r="K440" s="142">
        <f>IF(offer_sale_type="транзит",IFERROR(ROUNDUP(VLOOKUP($B440,calc_data,K$14+1,0),2),0),0)</f>
        <v/>
      </c>
      <c r="L440" s="184">
        <f>IF(offer_sale_type="транзит",IFERROR(ROUNDUP(VLOOKUP($B440,calc_data,L$14+1,0),2),0),0)</f>
        <v/>
      </c>
      <c r="M440" s="141">
        <f>IF(offer_sale_type="транзит",IFERROR(ROUNDUP(VLOOKUP($B440,calc_data,M$14+1,0),2),0),0)</f>
        <v/>
      </c>
      <c r="N440" s="141">
        <f>IF(offer_sale_type="транзит",IFERROR(ROUNDUP(VLOOKUP($B440,calc_data,N$14+1,0),2),0),0)</f>
        <v/>
      </c>
      <c r="O440" s="147">
        <f>IF(offer_sale_type="транзит",IFERROR(ROUND(VLOOKUP($B440,calc_data,O$14+1,1),2),0),0)</f>
        <v/>
      </c>
      <c r="P440" s="141">
        <f>IF(offer_sale_type="транзит",IFERROR(ROUND(SUM(I440:J440,M440:O440)/E440,2),0),0)</f>
        <v/>
      </c>
      <c r="Q440" s="141">
        <f>E440*P440</f>
        <v/>
      </c>
      <c r="R440" s="141">
        <f>ROUND(Q440*IF(AND(offer_incoterms="DDP",seller_region="RU"),IF((TODAY()+offer_turnaround_time)&gt;=helpsheet!$L$17,rate_vatRU_from_26,rate_vatRu_till_25),0),2)</f>
        <v/>
      </c>
      <c r="S440" s="177">
        <f>Q440+IF(AND(offer_incoterms="DDP",seller_region="RU"),R440,0)</f>
        <v/>
      </c>
      <c r="T440" s="45" t="n"/>
      <c r="V440" s="57">
        <f>IF(Q440&gt;0,"показать","скрыть")</f>
        <v/>
      </c>
    </row>
    <row r="441" ht="15.75" customHeight="1">
      <c r="B441" s="809" t="n">
        <v>425</v>
      </c>
      <c r="C441" s="182">
        <f>IF(offer_sale_type="транзит",IFERROR(VLOOKUP($B441,calc_data,C$14+1,0),0),0)</f>
        <v/>
      </c>
      <c r="D441" s="280">
        <f>IF(offer_sale_type="транзит",IFERROR(VLOOKUP($B441,calc_data,D$14+1,0),0),0)</f>
        <v/>
      </c>
      <c r="E441" s="182">
        <f>IF(offer_sale_type="транзит",IFERROR(VLOOKUP($B441,calc_data,E$14+1,0),0),0)</f>
        <v/>
      </c>
      <c r="F441" s="182">
        <f>IF(offer_sale_type="транзит",IFERROR(VLOOKUP($B441,calc_data,F$14+1,0),0),0)</f>
        <v/>
      </c>
      <c r="G441" s="141">
        <f>IF(offer_sale_type="транзит",IFERROR(VLOOKUP($B441,calc_data,G$14+1,0),0),0)</f>
        <v/>
      </c>
      <c r="H441" s="141">
        <f>E441*G441</f>
        <v/>
      </c>
      <c r="I441" s="141">
        <f>IF(offer_sale_type="транзит",IFERROR(ROUND(VLOOKUP($B441,calc_data,I$14+1,0),2),0),0)</f>
        <v/>
      </c>
      <c r="J441" s="141">
        <f>ROUND(IF(offer_sale_type="транзит",IFERROR(VLOOKUP($B441,calc_data,J$14+1,0),0),0),2)</f>
        <v/>
      </c>
      <c r="K441" s="142">
        <f>IF(offer_sale_type="транзит",IFERROR(ROUNDUP(VLOOKUP($B441,calc_data,K$14+1,0),2),0),0)</f>
        <v/>
      </c>
      <c r="L441" s="184">
        <f>IF(offer_sale_type="транзит",IFERROR(ROUNDUP(VLOOKUP($B441,calc_data,L$14+1,0),2),0),0)</f>
        <v/>
      </c>
      <c r="M441" s="141">
        <f>IF(offer_sale_type="транзит",IFERROR(ROUNDUP(VLOOKUP($B441,calc_data,M$14+1,0),2),0),0)</f>
        <v/>
      </c>
      <c r="N441" s="141">
        <f>IF(offer_sale_type="транзит",IFERROR(ROUNDUP(VLOOKUP($B441,calc_data,N$14+1,0),2),0),0)</f>
        <v/>
      </c>
      <c r="O441" s="147">
        <f>IF(offer_sale_type="транзит",IFERROR(ROUND(VLOOKUP($B441,calc_data,O$14+1,1),2),0),0)</f>
        <v/>
      </c>
      <c r="P441" s="141">
        <f>IF(offer_sale_type="транзит",IFERROR(ROUND(SUM(I441:J441,M441:O441)/E441,2),0),0)</f>
        <v/>
      </c>
      <c r="Q441" s="141">
        <f>E441*P441</f>
        <v/>
      </c>
      <c r="R441" s="141">
        <f>ROUND(Q441*IF(AND(offer_incoterms="DDP",seller_region="RU"),IF((TODAY()+offer_turnaround_time)&gt;=helpsheet!$L$17,rate_vatRU_from_26,rate_vatRu_till_25),0),2)</f>
        <v/>
      </c>
      <c r="S441" s="177">
        <f>Q441+IF(AND(offer_incoterms="DDP",seller_region="RU"),R441,0)</f>
        <v/>
      </c>
      <c r="T441" s="45" t="n"/>
      <c r="V441" s="57">
        <f>IF(Q441&gt;0,"показать","скрыть")</f>
        <v/>
      </c>
    </row>
    <row r="442" ht="15.75" customHeight="1">
      <c r="B442" s="809" t="n">
        <v>426</v>
      </c>
      <c r="C442" s="182">
        <f>IF(offer_sale_type="транзит",IFERROR(VLOOKUP($B442,calc_data,C$14+1,0),0),0)</f>
        <v/>
      </c>
      <c r="D442" s="280">
        <f>IF(offer_sale_type="транзит",IFERROR(VLOOKUP($B442,calc_data,D$14+1,0),0),0)</f>
        <v/>
      </c>
      <c r="E442" s="182">
        <f>IF(offer_sale_type="транзит",IFERROR(VLOOKUP($B442,calc_data,E$14+1,0),0),0)</f>
        <v/>
      </c>
      <c r="F442" s="182">
        <f>IF(offer_sale_type="транзит",IFERROR(VLOOKUP($B442,calc_data,F$14+1,0),0),0)</f>
        <v/>
      </c>
      <c r="G442" s="141">
        <f>IF(offer_sale_type="транзит",IFERROR(VLOOKUP($B442,calc_data,G$14+1,0),0),0)</f>
        <v/>
      </c>
      <c r="H442" s="141">
        <f>E442*G442</f>
        <v/>
      </c>
      <c r="I442" s="141">
        <f>IF(offer_sale_type="транзит",IFERROR(ROUND(VLOOKUP($B442,calc_data,I$14+1,0),2),0),0)</f>
        <v/>
      </c>
      <c r="J442" s="141">
        <f>ROUND(IF(offer_sale_type="транзит",IFERROR(VLOOKUP($B442,calc_data,J$14+1,0),0),0),2)</f>
        <v/>
      </c>
      <c r="K442" s="142">
        <f>IF(offer_sale_type="транзит",IFERROR(ROUNDUP(VLOOKUP($B442,calc_data,K$14+1,0),2),0),0)</f>
        <v/>
      </c>
      <c r="L442" s="184">
        <f>IF(offer_sale_type="транзит",IFERROR(ROUNDUP(VLOOKUP($B442,calc_data,L$14+1,0),2),0),0)</f>
        <v/>
      </c>
      <c r="M442" s="141">
        <f>IF(offer_sale_type="транзит",IFERROR(ROUNDUP(VLOOKUP($B442,calc_data,M$14+1,0),2),0),0)</f>
        <v/>
      </c>
      <c r="N442" s="141">
        <f>IF(offer_sale_type="транзит",IFERROR(ROUNDUP(VLOOKUP($B442,calc_data,N$14+1,0),2),0),0)</f>
        <v/>
      </c>
      <c r="O442" s="147">
        <f>IF(offer_sale_type="транзит",IFERROR(ROUND(VLOOKUP($B442,calc_data,O$14+1,1),2),0),0)</f>
        <v/>
      </c>
      <c r="P442" s="141">
        <f>IF(offer_sale_type="транзит",IFERROR(ROUND(SUM(I442:J442,M442:O442)/E442,2),0),0)</f>
        <v/>
      </c>
      <c r="Q442" s="141">
        <f>E442*P442</f>
        <v/>
      </c>
      <c r="R442" s="141">
        <f>ROUND(Q442*IF(AND(offer_incoterms="DDP",seller_region="RU"),IF((TODAY()+offer_turnaround_time)&gt;=helpsheet!$L$17,rate_vatRU_from_26,rate_vatRu_till_25),0),2)</f>
        <v/>
      </c>
      <c r="S442" s="177">
        <f>Q442+IF(AND(offer_incoterms="DDP",seller_region="RU"),R442,0)</f>
        <v/>
      </c>
      <c r="T442" s="45" t="n"/>
      <c r="V442" s="57">
        <f>IF(Q442&gt;0,"показать","скрыть")</f>
        <v/>
      </c>
    </row>
    <row r="443" ht="15.75" customHeight="1">
      <c r="B443" s="809" t="n">
        <v>427</v>
      </c>
      <c r="C443" s="182">
        <f>IF(offer_sale_type="транзит",IFERROR(VLOOKUP($B443,calc_data,C$14+1,0),0),0)</f>
        <v/>
      </c>
      <c r="D443" s="280">
        <f>IF(offer_sale_type="транзит",IFERROR(VLOOKUP($B443,calc_data,D$14+1,0),0),0)</f>
        <v/>
      </c>
      <c r="E443" s="182">
        <f>IF(offer_sale_type="транзит",IFERROR(VLOOKUP($B443,calc_data,E$14+1,0),0),0)</f>
        <v/>
      </c>
      <c r="F443" s="182">
        <f>IF(offer_sale_type="транзит",IFERROR(VLOOKUP($B443,calc_data,F$14+1,0),0),0)</f>
        <v/>
      </c>
      <c r="G443" s="141">
        <f>IF(offer_sale_type="транзит",IFERROR(VLOOKUP($B443,calc_data,G$14+1,0),0),0)</f>
        <v/>
      </c>
      <c r="H443" s="141">
        <f>E443*G443</f>
        <v/>
      </c>
      <c r="I443" s="141">
        <f>IF(offer_sale_type="транзит",IFERROR(ROUND(VLOOKUP($B443,calc_data,I$14+1,0),2),0),0)</f>
        <v/>
      </c>
      <c r="J443" s="141">
        <f>ROUND(IF(offer_sale_type="транзит",IFERROR(VLOOKUP($B443,calc_data,J$14+1,0),0),0),2)</f>
        <v/>
      </c>
      <c r="K443" s="142">
        <f>IF(offer_sale_type="транзит",IFERROR(ROUNDUP(VLOOKUP($B443,calc_data,K$14+1,0),2),0),0)</f>
        <v/>
      </c>
      <c r="L443" s="184">
        <f>IF(offer_sale_type="транзит",IFERROR(ROUNDUP(VLOOKUP($B443,calc_data,L$14+1,0),2),0),0)</f>
        <v/>
      </c>
      <c r="M443" s="141">
        <f>IF(offer_sale_type="транзит",IFERROR(ROUNDUP(VLOOKUP($B443,calc_data,M$14+1,0),2),0),0)</f>
        <v/>
      </c>
      <c r="N443" s="141">
        <f>IF(offer_sale_type="транзит",IFERROR(ROUNDUP(VLOOKUP($B443,calc_data,N$14+1,0),2),0),0)</f>
        <v/>
      </c>
      <c r="O443" s="147">
        <f>IF(offer_sale_type="транзит",IFERROR(ROUND(VLOOKUP($B443,calc_data,O$14+1,1),2),0),0)</f>
        <v/>
      </c>
      <c r="P443" s="141">
        <f>IF(offer_sale_type="транзит",IFERROR(ROUND(SUM(I443:J443,M443:O443)/E443,2),0),0)</f>
        <v/>
      </c>
      <c r="Q443" s="141">
        <f>E443*P443</f>
        <v/>
      </c>
      <c r="R443" s="141">
        <f>ROUND(Q443*IF(AND(offer_incoterms="DDP",seller_region="RU"),IF((TODAY()+offer_turnaround_time)&gt;=helpsheet!$L$17,rate_vatRU_from_26,rate_vatRu_till_25),0),2)</f>
        <v/>
      </c>
      <c r="S443" s="177">
        <f>Q443+IF(AND(offer_incoterms="DDP",seller_region="RU"),R443,0)</f>
        <v/>
      </c>
      <c r="T443" s="45" t="n"/>
      <c r="V443" s="57">
        <f>IF(Q443&gt;0,"показать","скрыть")</f>
        <v/>
      </c>
    </row>
    <row r="444" ht="15.75" customHeight="1">
      <c r="B444" s="809" t="n">
        <v>428</v>
      </c>
      <c r="C444" s="182">
        <f>IF(offer_sale_type="транзит",IFERROR(VLOOKUP($B444,calc_data,C$14+1,0),0),0)</f>
        <v/>
      </c>
      <c r="D444" s="280">
        <f>IF(offer_sale_type="транзит",IFERROR(VLOOKUP($B444,calc_data,D$14+1,0),0),0)</f>
        <v/>
      </c>
      <c r="E444" s="182">
        <f>IF(offer_sale_type="транзит",IFERROR(VLOOKUP($B444,calc_data,E$14+1,0),0),0)</f>
        <v/>
      </c>
      <c r="F444" s="182">
        <f>IF(offer_sale_type="транзит",IFERROR(VLOOKUP($B444,calc_data,F$14+1,0),0),0)</f>
        <v/>
      </c>
      <c r="G444" s="141">
        <f>IF(offer_sale_type="транзит",IFERROR(VLOOKUP($B444,calc_data,G$14+1,0),0),0)</f>
        <v/>
      </c>
      <c r="H444" s="141">
        <f>E444*G444</f>
        <v/>
      </c>
      <c r="I444" s="141">
        <f>IF(offer_sale_type="транзит",IFERROR(ROUND(VLOOKUP($B444,calc_data,I$14+1,0),2),0),0)</f>
        <v/>
      </c>
      <c r="J444" s="141">
        <f>ROUND(IF(offer_sale_type="транзит",IFERROR(VLOOKUP($B444,calc_data,J$14+1,0),0),0),2)</f>
        <v/>
      </c>
      <c r="K444" s="142">
        <f>IF(offer_sale_type="транзит",IFERROR(ROUNDUP(VLOOKUP($B444,calc_data,K$14+1,0),2),0),0)</f>
        <v/>
      </c>
      <c r="L444" s="184">
        <f>IF(offer_sale_type="транзит",IFERROR(ROUNDUP(VLOOKUP($B444,calc_data,L$14+1,0),2),0),0)</f>
        <v/>
      </c>
      <c r="M444" s="141">
        <f>IF(offer_sale_type="транзит",IFERROR(ROUNDUP(VLOOKUP($B444,calc_data,M$14+1,0),2),0),0)</f>
        <v/>
      </c>
      <c r="N444" s="141">
        <f>IF(offer_sale_type="транзит",IFERROR(ROUNDUP(VLOOKUP($B444,calc_data,N$14+1,0),2),0),0)</f>
        <v/>
      </c>
      <c r="O444" s="147">
        <f>IF(offer_sale_type="транзит",IFERROR(ROUND(VLOOKUP($B444,calc_data,O$14+1,1),2),0),0)</f>
        <v/>
      </c>
      <c r="P444" s="141">
        <f>IF(offer_sale_type="транзит",IFERROR(ROUND(SUM(I444:J444,M444:O444)/E444,2),0),0)</f>
        <v/>
      </c>
      <c r="Q444" s="141">
        <f>E444*P444</f>
        <v/>
      </c>
      <c r="R444" s="141">
        <f>ROUND(Q444*IF(AND(offer_incoterms="DDP",seller_region="RU"),IF((TODAY()+offer_turnaround_time)&gt;=helpsheet!$L$17,rate_vatRU_from_26,rate_vatRu_till_25),0),2)</f>
        <v/>
      </c>
      <c r="S444" s="177">
        <f>Q444+IF(AND(offer_incoterms="DDP",seller_region="RU"),R444,0)</f>
        <v/>
      </c>
      <c r="T444" s="45" t="n"/>
      <c r="V444" s="57">
        <f>IF(Q444&gt;0,"показать","скрыть")</f>
        <v/>
      </c>
    </row>
    <row r="445" ht="15.75" customHeight="1">
      <c r="B445" s="809" t="n">
        <v>429</v>
      </c>
      <c r="C445" s="182">
        <f>IF(offer_sale_type="транзит",IFERROR(VLOOKUP($B445,calc_data,C$14+1,0),0),0)</f>
        <v/>
      </c>
      <c r="D445" s="280">
        <f>IF(offer_sale_type="транзит",IFERROR(VLOOKUP($B445,calc_data,D$14+1,0),0),0)</f>
        <v/>
      </c>
      <c r="E445" s="182">
        <f>IF(offer_sale_type="транзит",IFERROR(VLOOKUP($B445,calc_data,E$14+1,0),0),0)</f>
        <v/>
      </c>
      <c r="F445" s="182">
        <f>IF(offer_sale_type="транзит",IFERROR(VLOOKUP($B445,calc_data,F$14+1,0),0),0)</f>
        <v/>
      </c>
      <c r="G445" s="141">
        <f>IF(offer_sale_type="транзит",IFERROR(VLOOKUP($B445,calc_data,G$14+1,0),0),0)</f>
        <v/>
      </c>
      <c r="H445" s="141">
        <f>E445*G445</f>
        <v/>
      </c>
      <c r="I445" s="141">
        <f>IF(offer_sale_type="транзит",IFERROR(ROUND(VLOOKUP($B445,calc_data,I$14+1,0),2),0),0)</f>
        <v/>
      </c>
      <c r="J445" s="141">
        <f>ROUND(IF(offer_sale_type="транзит",IFERROR(VLOOKUP($B445,calc_data,J$14+1,0),0),0),2)</f>
        <v/>
      </c>
      <c r="K445" s="142">
        <f>IF(offer_sale_type="транзит",IFERROR(ROUNDUP(VLOOKUP($B445,calc_data,K$14+1,0),2),0),0)</f>
        <v/>
      </c>
      <c r="L445" s="184">
        <f>IF(offer_sale_type="транзит",IFERROR(ROUNDUP(VLOOKUP($B445,calc_data,L$14+1,0),2),0),0)</f>
        <v/>
      </c>
      <c r="M445" s="141">
        <f>IF(offer_sale_type="транзит",IFERROR(ROUNDUP(VLOOKUP($B445,calc_data,M$14+1,0),2),0),0)</f>
        <v/>
      </c>
      <c r="N445" s="141">
        <f>IF(offer_sale_type="транзит",IFERROR(ROUNDUP(VLOOKUP($B445,calc_data,N$14+1,0),2),0),0)</f>
        <v/>
      </c>
      <c r="O445" s="147">
        <f>IF(offer_sale_type="транзит",IFERROR(ROUND(VLOOKUP($B445,calc_data,O$14+1,1),2),0),0)</f>
        <v/>
      </c>
      <c r="P445" s="141">
        <f>IF(offer_sale_type="транзит",IFERROR(ROUND(SUM(I445:J445,M445:O445)/E445,2),0),0)</f>
        <v/>
      </c>
      <c r="Q445" s="141">
        <f>E445*P445</f>
        <v/>
      </c>
      <c r="R445" s="141">
        <f>ROUND(Q445*IF(AND(offer_incoterms="DDP",seller_region="RU"),IF((TODAY()+offer_turnaround_time)&gt;=helpsheet!$L$17,rate_vatRU_from_26,rate_vatRu_till_25),0),2)</f>
        <v/>
      </c>
      <c r="S445" s="177">
        <f>Q445+IF(AND(offer_incoterms="DDP",seller_region="RU"),R445,0)</f>
        <v/>
      </c>
      <c r="T445" s="45" t="n"/>
      <c r="V445" s="57">
        <f>IF(Q445&gt;0,"показать","скрыть")</f>
        <v/>
      </c>
    </row>
    <row r="446" ht="15.75" customHeight="1">
      <c r="B446" s="809" t="n">
        <v>430</v>
      </c>
      <c r="C446" s="182">
        <f>IF(offer_sale_type="транзит",IFERROR(VLOOKUP($B446,calc_data,C$14+1,0),0),0)</f>
        <v/>
      </c>
      <c r="D446" s="280">
        <f>IF(offer_sale_type="транзит",IFERROR(VLOOKUP($B446,calc_data,D$14+1,0),0),0)</f>
        <v/>
      </c>
      <c r="E446" s="182">
        <f>IF(offer_sale_type="транзит",IFERROR(VLOOKUP($B446,calc_data,E$14+1,0),0),0)</f>
        <v/>
      </c>
      <c r="F446" s="182">
        <f>IF(offer_sale_type="транзит",IFERROR(VLOOKUP($B446,calc_data,F$14+1,0),0),0)</f>
        <v/>
      </c>
      <c r="G446" s="141">
        <f>IF(offer_sale_type="транзит",IFERROR(VLOOKUP($B446,calc_data,G$14+1,0),0),0)</f>
        <v/>
      </c>
      <c r="H446" s="141">
        <f>E446*G446</f>
        <v/>
      </c>
      <c r="I446" s="141">
        <f>IF(offer_sale_type="транзит",IFERROR(ROUND(VLOOKUP($B446,calc_data,I$14+1,0),2),0),0)</f>
        <v/>
      </c>
      <c r="J446" s="141">
        <f>ROUND(IF(offer_sale_type="транзит",IFERROR(VLOOKUP($B446,calc_data,J$14+1,0),0),0),2)</f>
        <v/>
      </c>
      <c r="K446" s="142">
        <f>IF(offer_sale_type="транзит",IFERROR(ROUNDUP(VLOOKUP($B446,calc_data,K$14+1,0),2),0),0)</f>
        <v/>
      </c>
      <c r="L446" s="184">
        <f>IF(offer_sale_type="транзит",IFERROR(ROUNDUP(VLOOKUP($B446,calc_data,L$14+1,0),2),0),0)</f>
        <v/>
      </c>
      <c r="M446" s="141">
        <f>IF(offer_sale_type="транзит",IFERROR(ROUNDUP(VLOOKUP($B446,calc_data,M$14+1,0),2),0),0)</f>
        <v/>
      </c>
      <c r="N446" s="141">
        <f>IF(offer_sale_type="транзит",IFERROR(ROUNDUP(VLOOKUP($B446,calc_data,N$14+1,0),2),0),0)</f>
        <v/>
      </c>
      <c r="O446" s="147">
        <f>IF(offer_sale_type="транзит",IFERROR(ROUND(VLOOKUP($B446,calc_data,O$14+1,1),2),0),0)</f>
        <v/>
      </c>
      <c r="P446" s="141">
        <f>IF(offer_sale_type="транзит",IFERROR(ROUND(SUM(I446:J446,M446:O446)/E446,2),0),0)</f>
        <v/>
      </c>
      <c r="Q446" s="141">
        <f>E446*P446</f>
        <v/>
      </c>
      <c r="R446" s="141">
        <f>ROUND(Q446*IF(AND(offer_incoterms="DDP",seller_region="RU"),IF((TODAY()+offer_turnaround_time)&gt;=helpsheet!$L$17,rate_vatRU_from_26,rate_vatRu_till_25),0),2)</f>
        <v/>
      </c>
      <c r="S446" s="177">
        <f>Q446+IF(AND(offer_incoterms="DDP",seller_region="RU"),R446,0)</f>
        <v/>
      </c>
      <c r="T446" s="45" t="n"/>
      <c r="V446" s="57">
        <f>IF(Q446&gt;0,"показать","скрыть")</f>
        <v/>
      </c>
    </row>
    <row r="447" ht="15.75" customHeight="1">
      <c r="B447" s="809" t="n">
        <v>431</v>
      </c>
      <c r="C447" s="182">
        <f>IF(offer_sale_type="транзит",IFERROR(VLOOKUP($B447,calc_data,C$14+1,0),0),0)</f>
        <v/>
      </c>
      <c r="D447" s="280">
        <f>IF(offer_sale_type="транзит",IFERROR(VLOOKUP($B447,calc_data,D$14+1,0),0),0)</f>
        <v/>
      </c>
      <c r="E447" s="182">
        <f>IF(offer_sale_type="транзит",IFERROR(VLOOKUP($B447,calc_data,E$14+1,0),0),0)</f>
        <v/>
      </c>
      <c r="F447" s="182">
        <f>IF(offer_sale_type="транзит",IFERROR(VLOOKUP($B447,calc_data,F$14+1,0),0),0)</f>
        <v/>
      </c>
      <c r="G447" s="141">
        <f>IF(offer_sale_type="транзит",IFERROR(VLOOKUP($B447,calc_data,G$14+1,0),0),0)</f>
        <v/>
      </c>
      <c r="H447" s="141">
        <f>E447*G447</f>
        <v/>
      </c>
      <c r="I447" s="141">
        <f>IF(offer_sale_type="транзит",IFERROR(ROUND(VLOOKUP($B447,calc_data,I$14+1,0),2),0),0)</f>
        <v/>
      </c>
      <c r="J447" s="141">
        <f>ROUND(IF(offer_sale_type="транзит",IFERROR(VLOOKUP($B447,calc_data,J$14+1,0),0),0),2)</f>
        <v/>
      </c>
      <c r="K447" s="142">
        <f>IF(offer_sale_type="транзит",IFERROR(ROUNDUP(VLOOKUP($B447,calc_data,K$14+1,0),2),0),0)</f>
        <v/>
      </c>
      <c r="L447" s="184">
        <f>IF(offer_sale_type="транзит",IFERROR(ROUNDUP(VLOOKUP($B447,calc_data,L$14+1,0),2),0),0)</f>
        <v/>
      </c>
      <c r="M447" s="141">
        <f>IF(offer_sale_type="транзит",IFERROR(ROUNDUP(VLOOKUP($B447,calc_data,M$14+1,0),2),0),0)</f>
        <v/>
      </c>
      <c r="N447" s="141">
        <f>IF(offer_sale_type="транзит",IFERROR(ROUNDUP(VLOOKUP($B447,calc_data,N$14+1,0),2),0),0)</f>
        <v/>
      </c>
      <c r="O447" s="147">
        <f>IF(offer_sale_type="транзит",IFERROR(ROUND(VLOOKUP($B447,calc_data,O$14+1,1),2),0),0)</f>
        <v/>
      </c>
      <c r="P447" s="141">
        <f>IF(offer_sale_type="транзит",IFERROR(ROUND(SUM(I447:J447,M447:O447)/E447,2),0),0)</f>
        <v/>
      </c>
      <c r="Q447" s="141">
        <f>E447*P447</f>
        <v/>
      </c>
      <c r="R447" s="141">
        <f>ROUND(Q447*IF(AND(offer_incoterms="DDP",seller_region="RU"),IF((TODAY()+offer_turnaround_time)&gt;=helpsheet!$L$17,rate_vatRU_from_26,rate_vatRu_till_25),0),2)</f>
        <v/>
      </c>
      <c r="S447" s="177">
        <f>Q447+IF(AND(offer_incoterms="DDP",seller_region="RU"),R447,0)</f>
        <v/>
      </c>
      <c r="T447" s="45" t="n"/>
      <c r="V447" s="57">
        <f>IF(Q447&gt;0,"показать","скрыть")</f>
        <v/>
      </c>
    </row>
    <row r="448" ht="15.75" customHeight="1">
      <c r="B448" s="809" t="n">
        <v>432</v>
      </c>
      <c r="C448" s="182">
        <f>IF(offer_sale_type="транзит",IFERROR(VLOOKUP($B448,calc_data,C$14+1,0),0),0)</f>
        <v/>
      </c>
      <c r="D448" s="280">
        <f>IF(offer_sale_type="транзит",IFERROR(VLOOKUP($B448,calc_data,D$14+1,0),0),0)</f>
        <v/>
      </c>
      <c r="E448" s="182">
        <f>IF(offer_sale_type="транзит",IFERROR(VLOOKUP($B448,calc_data,E$14+1,0),0),0)</f>
        <v/>
      </c>
      <c r="F448" s="182">
        <f>IF(offer_sale_type="транзит",IFERROR(VLOOKUP($B448,calc_data,F$14+1,0),0),0)</f>
        <v/>
      </c>
      <c r="G448" s="141">
        <f>IF(offer_sale_type="транзит",IFERROR(VLOOKUP($B448,calc_data,G$14+1,0),0),0)</f>
        <v/>
      </c>
      <c r="H448" s="141">
        <f>E448*G448</f>
        <v/>
      </c>
      <c r="I448" s="141">
        <f>IF(offer_sale_type="транзит",IFERROR(ROUND(VLOOKUP($B448,calc_data,I$14+1,0),2),0),0)</f>
        <v/>
      </c>
      <c r="J448" s="141">
        <f>ROUND(IF(offer_sale_type="транзит",IFERROR(VLOOKUP($B448,calc_data,J$14+1,0),0),0),2)</f>
        <v/>
      </c>
      <c r="K448" s="142">
        <f>IF(offer_sale_type="транзит",IFERROR(ROUNDUP(VLOOKUP($B448,calc_data,K$14+1,0),2),0),0)</f>
        <v/>
      </c>
      <c r="L448" s="184">
        <f>IF(offer_sale_type="транзит",IFERROR(ROUNDUP(VLOOKUP($B448,calc_data,L$14+1,0),2),0),0)</f>
        <v/>
      </c>
      <c r="M448" s="141">
        <f>IF(offer_sale_type="транзит",IFERROR(ROUNDUP(VLOOKUP($B448,calc_data,M$14+1,0),2),0),0)</f>
        <v/>
      </c>
      <c r="N448" s="141">
        <f>IF(offer_sale_type="транзит",IFERROR(ROUNDUP(VLOOKUP($B448,calc_data,N$14+1,0),2),0),0)</f>
        <v/>
      </c>
      <c r="O448" s="147">
        <f>IF(offer_sale_type="транзит",IFERROR(ROUND(VLOOKUP($B448,calc_data,O$14+1,1),2),0),0)</f>
        <v/>
      </c>
      <c r="P448" s="141">
        <f>IF(offer_sale_type="транзит",IFERROR(ROUND(SUM(I448:J448,M448:O448)/E448,2),0),0)</f>
        <v/>
      </c>
      <c r="Q448" s="141">
        <f>E448*P448</f>
        <v/>
      </c>
      <c r="R448" s="141">
        <f>ROUND(Q448*IF(AND(offer_incoterms="DDP",seller_region="RU"),IF((TODAY()+offer_turnaround_time)&gt;=helpsheet!$L$17,rate_vatRU_from_26,rate_vatRu_till_25),0),2)</f>
        <v/>
      </c>
      <c r="S448" s="177">
        <f>Q448+IF(AND(offer_incoterms="DDP",seller_region="RU"),R448,0)</f>
        <v/>
      </c>
      <c r="T448" s="45" t="n"/>
      <c r="V448" s="57">
        <f>IF(Q448&gt;0,"показать","скрыть")</f>
        <v/>
      </c>
    </row>
    <row r="449" ht="15.75" customHeight="1">
      <c r="B449" s="809" t="n">
        <v>433</v>
      </c>
      <c r="C449" s="182">
        <f>IF(offer_sale_type="транзит",IFERROR(VLOOKUP($B449,calc_data,C$14+1,0),0),0)</f>
        <v/>
      </c>
      <c r="D449" s="280">
        <f>IF(offer_sale_type="транзит",IFERROR(VLOOKUP($B449,calc_data,D$14+1,0),0),0)</f>
        <v/>
      </c>
      <c r="E449" s="182">
        <f>IF(offer_sale_type="транзит",IFERROR(VLOOKUP($B449,calc_data,E$14+1,0),0),0)</f>
        <v/>
      </c>
      <c r="F449" s="182">
        <f>IF(offer_sale_type="транзит",IFERROR(VLOOKUP($B449,calc_data,F$14+1,0),0),0)</f>
        <v/>
      </c>
      <c r="G449" s="141">
        <f>IF(offer_sale_type="транзит",IFERROR(VLOOKUP($B449,calc_data,G$14+1,0),0),0)</f>
        <v/>
      </c>
      <c r="H449" s="141">
        <f>E449*G449</f>
        <v/>
      </c>
      <c r="I449" s="141">
        <f>IF(offer_sale_type="транзит",IFERROR(ROUND(VLOOKUP($B449,calc_data,I$14+1,0),2),0),0)</f>
        <v/>
      </c>
      <c r="J449" s="141">
        <f>ROUND(IF(offer_sale_type="транзит",IFERROR(VLOOKUP($B449,calc_data,J$14+1,0),0),0),2)</f>
        <v/>
      </c>
      <c r="K449" s="142">
        <f>IF(offer_sale_type="транзит",IFERROR(ROUNDUP(VLOOKUP($B449,calc_data,K$14+1,0),2),0),0)</f>
        <v/>
      </c>
      <c r="L449" s="184">
        <f>IF(offer_sale_type="транзит",IFERROR(ROUNDUP(VLOOKUP($B449,calc_data,L$14+1,0),2),0),0)</f>
        <v/>
      </c>
      <c r="M449" s="141">
        <f>IF(offer_sale_type="транзит",IFERROR(ROUNDUP(VLOOKUP($B449,calc_data,M$14+1,0),2),0),0)</f>
        <v/>
      </c>
      <c r="N449" s="141">
        <f>IF(offer_sale_type="транзит",IFERROR(ROUNDUP(VLOOKUP($B449,calc_data,N$14+1,0),2),0),0)</f>
        <v/>
      </c>
      <c r="O449" s="147">
        <f>IF(offer_sale_type="транзит",IFERROR(ROUND(VLOOKUP($B449,calc_data,O$14+1,1),2),0),0)</f>
        <v/>
      </c>
      <c r="P449" s="141">
        <f>IF(offer_sale_type="транзит",IFERROR(ROUND(SUM(I449:J449,M449:O449)/E449,2),0),0)</f>
        <v/>
      </c>
      <c r="Q449" s="141">
        <f>E449*P449</f>
        <v/>
      </c>
      <c r="R449" s="141">
        <f>ROUND(Q449*IF(AND(offer_incoterms="DDP",seller_region="RU"),IF((TODAY()+offer_turnaround_time)&gt;=helpsheet!$L$17,rate_vatRU_from_26,rate_vatRu_till_25),0),2)</f>
        <v/>
      </c>
      <c r="S449" s="177">
        <f>Q449+IF(AND(offer_incoterms="DDP",seller_region="RU"),R449,0)</f>
        <v/>
      </c>
      <c r="T449" s="45" t="n"/>
      <c r="V449" s="57">
        <f>IF(Q449&gt;0,"показать","скрыть")</f>
        <v/>
      </c>
    </row>
    <row r="450" ht="15.75" customHeight="1">
      <c r="B450" s="809" t="n">
        <v>434</v>
      </c>
      <c r="C450" s="182">
        <f>IF(offer_sale_type="транзит",IFERROR(VLOOKUP($B450,calc_data,C$14+1,0),0),0)</f>
        <v/>
      </c>
      <c r="D450" s="280">
        <f>IF(offer_sale_type="транзит",IFERROR(VLOOKUP($B450,calc_data,D$14+1,0),0),0)</f>
        <v/>
      </c>
      <c r="E450" s="182">
        <f>IF(offer_sale_type="транзит",IFERROR(VLOOKUP($B450,calc_data,E$14+1,0),0),0)</f>
        <v/>
      </c>
      <c r="F450" s="182">
        <f>IF(offer_sale_type="транзит",IFERROR(VLOOKUP($B450,calc_data,F$14+1,0),0),0)</f>
        <v/>
      </c>
      <c r="G450" s="141">
        <f>IF(offer_sale_type="транзит",IFERROR(VLOOKUP($B450,calc_data,G$14+1,0),0),0)</f>
        <v/>
      </c>
      <c r="H450" s="141">
        <f>E450*G450</f>
        <v/>
      </c>
      <c r="I450" s="141">
        <f>IF(offer_sale_type="транзит",IFERROR(ROUND(VLOOKUP($B450,calc_data,I$14+1,0),2),0),0)</f>
        <v/>
      </c>
      <c r="J450" s="141">
        <f>ROUND(IF(offer_sale_type="транзит",IFERROR(VLOOKUP($B450,calc_data,J$14+1,0),0),0),2)</f>
        <v/>
      </c>
      <c r="K450" s="142">
        <f>IF(offer_sale_type="транзит",IFERROR(ROUNDUP(VLOOKUP($B450,calc_data,K$14+1,0),2),0),0)</f>
        <v/>
      </c>
      <c r="L450" s="184">
        <f>IF(offer_sale_type="транзит",IFERROR(ROUNDUP(VLOOKUP($B450,calc_data,L$14+1,0),2),0),0)</f>
        <v/>
      </c>
      <c r="M450" s="141">
        <f>IF(offer_sale_type="транзит",IFERROR(ROUNDUP(VLOOKUP($B450,calc_data,M$14+1,0),2),0),0)</f>
        <v/>
      </c>
      <c r="N450" s="141">
        <f>IF(offer_sale_type="транзит",IFERROR(ROUNDUP(VLOOKUP($B450,calc_data,N$14+1,0),2),0),0)</f>
        <v/>
      </c>
      <c r="O450" s="147">
        <f>IF(offer_sale_type="транзит",IFERROR(ROUND(VLOOKUP($B450,calc_data,O$14+1,1),2),0),0)</f>
        <v/>
      </c>
      <c r="P450" s="141">
        <f>IF(offer_sale_type="транзит",IFERROR(ROUND(SUM(I450:J450,M450:O450)/E450,2),0),0)</f>
        <v/>
      </c>
      <c r="Q450" s="141">
        <f>E450*P450</f>
        <v/>
      </c>
      <c r="R450" s="141">
        <f>ROUND(Q450*IF(AND(offer_incoterms="DDP",seller_region="RU"),IF((TODAY()+offer_turnaround_time)&gt;=helpsheet!$L$17,rate_vatRU_from_26,rate_vatRu_till_25),0),2)</f>
        <v/>
      </c>
      <c r="S450" s="177">
        <f>Q450+IF(AND(offer_incoterms="DDP",seller_region="RU"),R450,0)</f>
        <v/>
      </c>
      <c r="T450" s="45" t="n"/>
      <c r="V450" s="57">
        <f>IF(Q450&gt;0,"показать","скрыть")</f>
        <v/>
      </c>
    </row>
    <row r="451" ht="15.75" customHeight="1">
      <c r="B451" s="809" t="n">
        <v>435</v>
      </c>
      <c r="C451" s="182">
        <f>IF(offer_sale_type="транзит",IFERROR(VLOOKUP($B451,calc_data,C$14+1,0),0),0)</f>
        <v/>
      </c>
      <c r="D451" s="280">
        <f>IF(offer_sale_type="транзит",IFERROR(VLOOKUP($B451,calc_data,D$14+1,0),0),0)</f>
        <v/>
      </c>
      <c r="E451" s="182">
        <f>IF(offer_sale_type="транзит",IFERROR(VLOOKUP($B451,calc_data,E$14+1,0),0),0)</f>
        <v/>
      </c>
      <c r="F451" s="182">
        <f>IF(offer_sale_type="транзит",IFERROR(VLOOKUP($B451,calc_data,F$14+1,0),0),0)</f>
        <v/>
      </c>
      <c r="G451" s="141">
        <f>IF(offer_sale_type="транзит",IFERROR(VLOOKUP($B451,calc_data,G$14+1,0),0),0)</f>
        <v/>
      </c>
      <c r="H451" s="141">
        <f>E451*G451</f>
        <v/>
      </c>
      <c r="I451" s="141">
        <f>IF(offer_sale_type="транзит",IFERROR(ROUND(VLOOKUP($B451,calc_data,I$14+1,0),2),0),0)</f>
        <v/>
      </c>
      <c r="J451" s="141">
        <f>ROUND(IF(offer_sale_type="транзит",IFERROR(VLOOKUP($B451,calc_data,J$14+1,0),0),0),2)</f>
        <v/>
      </c>
      <c r="K451" s="142">
        <f>IF(offer_sale_type="транзит",IFERROR(ROUNDUP(VLOOKUP($B451,calc_data,K$14+1,0),2),0),0)</f>
        <v/>
      </c>
      <c r="L451" s="184">
        <f>IF(offer_sale_type="транзит",IFERROR(ROUNDUP(VLOOKUP($B451,calc_data,L$14+1,0),2),0),0)</f>
        <v/>
      </c>
      <c r="M451" s="141">
        <f>IF(offer_sale_type="транзит",IFERROR(ROUNDUP(VLOOKUP($B451,calc_data,M$14+1,0),2),0),0)</f>
        <v/>
      </c>
      <c r="N451" s="141">
        <f>IF(offer_sale_type="транзит",IFERROR(ROUNDUP(VLOOKUP($B451,calc_data,N$14+1,0),2),0),0)</f>
        <v/>
      </c>
      <c r="O451" s="147">
        <f>IF(offer_sale_type="транзит",IFERROR(ROUND(VLOOKUP($B451,calc_data,O$14+1,1),2),0),0)</f>
        <v/>
      </c>
      <c r="P451" s="141">
        <f>IF(offer_sale_type="транзит",IFERROR(ROUND(SUM(I451:J451,M451:O451)/E451,2),0),0)</f>
        <v/>
      </c>
      <c r="Q451" s="141">
        <f>E451*P451</f>
        <v/>
      </c>
      <c r="R451" s="141">
        <f>ROUND(Q451*IF(AND(offer_incoterms="DDP",seller_region="RU"),IF((TODAY()+offer_turnaround_time)&gt;=helpsheet!$L$17,rate_vatRU_from_26,rate_vatRu_till_25),0),2)</f>
        <v/>
      </c>
      <c r="S451" s="177">
        <f>Q451+IF(AND(offer_incoterms="DDP",seller_region="RU"),R451,0)</f>
        <v/>
      </c>
      <c r="T451" s="45" t="n"/>
      <c r="V451" s="57">
        <f>IF(Q451&gt;0,"показать","скрыть")</f>
        <v/>
      </c>
    </row>
    <row r="452" ht="15.75" customHeight="1">
      <c r="B452" s="809" t="n">
        <v>436</v>
      </c>
      <c r="C452" s="182">
        <f>IF(offer_sale_type="транзит",IFERROR(VLOOKUP($B452,calc_data,C$14+1,0),0),0)</f>
        <v/>
      </c>
      <c r="D452" s="280">
        <f>IF(offer_sale_type="транзит",IFERROR(VLOOKUP($B452,calc_data,D$14+1,0),0),0)</f>
        <v/>
      </c>
      <c r="E452" s="182">
        <f>IF(offer_sale_type="транзит",IFERROR(VLOOKUP($B452,calc_data,E$14+1,0),0),0)</f>
        <v/>
      </c>
      <c r="F452" s="182">
        <f>IF(offer_sale_type="транзит",IFERROR(VLOOKUP($B452,calc_data,F$14+1,0),0),0)</f>
        <v/>
      </c>
      <c r="G452" s="141">
        <f>IF(offer_sale_type="транзит",IFERROR(VLOOKUP($B452,calc_data,G$14+1,0),0),0)</f>
        <v/>
      </c>
      <c r="H452" s="141">
        <f>E452*G452</f>
        <v/>
      </c>
      <c r="I452" s="141">
        <f>IF(offer_sale_type="транзит",IFERROR(ROUND(VLOOKUP($B452,calc_data,I$14+1,0),2),0),0)</f>
        <v/>
      </c>
      <c r="J452" s="141">
        <f>ROUND(IF(offer_sale_type="транзит",IFERROR(VLOOKUP($B452,calc_data,J$14+1,0),0),0),2)</f>
        <v/>
      </c>
      <c r="K452" s="142">
        <f>IF(offer_sale_type="транзит",IFERROR(ROUNDUP(VLOOKUP($B452,calc_data,K$14+1,0),2),0),0)</f>
        <v/>
      </c>
      <c r="L452" s="184">
        <f>IF(offer_sale_type="транзит",IFERROR(ROUNDUP(VLOOKUP($B452,calc_data,L$14+1,0),2),0),0)</f>
        <v/>
      </c>
      <c r="M452" s="141">
        <f>IF(offer_sale_type="транзит",IFERROR(ROUNDUP(VLOOKUP($B452,calc_data,M$14+1,0),2),0),0)</f>
        <v/>
      </c>
      <c r="N452" s="141">
        <f>IF(offer_sale_type="транзит",IFERROR(ROUNDUP(VLOOKUP($B452,calc_data,N$14+1,0),2),0),0)</f>
        <v/>
      </c>
      <c r="O452" s="147">
        <f>IF(offer_sale_type="транзит",IFERROR(ROUND(VLOOKUP($B452,calc_data,O$14+1,1),2),0),0)</f>
        <v/>
      </c>
      <c r="P452" s="141">
        <f>IF(offer_sale_type="транзит",IFERROR(ROUND(SUM(I452:J452,M452:O452)/E452,2),0),0)</f>
        <v/>
      </c>
      <c r="Q452" s="141">
        <f>E452*P452</f>
        <v/>
      </c>
      <c r="R452" s="141">
        <f>ROUND(Q452*IF(AND(offer_incoterms="DDP",seller_region="RU"),IF((TODAY()+offer_turnaround_time)&gt;=helpsheet!$L$17,rate_vatRU_from_26,rate_vatRu_till_25),0),2)</f>
        <v/>
      </c>
      <c r="S452" s="177">
        <f>Q452+IF(AND(offer_incoterms="DDP",seller_region="RU"),R452,0)</f>
        <v/>
      </c>
      <c r="T452" s="45" t="n"/>
      <c r="V452" s="57">
        <f>IF(Q452&gt;0,"показать","скрыть")</f>
        <v/>
      </c>
    </row>
    <row r="453" ht="15.75" customHeight="1">
      <c r="B453" s="809" t="n">
        <v>437</v>
      </c>
      <c r="C453" s="182">
        <f>IF(offer_sale_type="транзит",IFERROR(VLOOKUP($B453,calc_data,C$14+1,0),0),0)</f>
        <v/>
      </c>
      <c r="D453" s="280">
        <f>IF(offer_sale_type="транзит",IFERROR(VLOOKUP($B453,calc_data,D$14+1,0),0),0)</f>
        <v/>
      </c>
      <c r="E453" s="182">
        <f>IF(offer_sale_type="транзит",IFERROR(VLOOKUP($B453,calc_data,E$14+1,0),0),0)</f>
        <v/>
      </c>
      <c r="F453" s="182">
        <f>IF(offer_sale_type="транзит",IFERROR(VLOOKUP($B453,calc_data,F$14+1,0),0),0)</f>
        <v/>
      </c>
      <c r="G453" s="141">
        <f>IF(offer_sale_type="транзит",IFERROR(VLOOKUP($B453,calc_data,G$14+1,0),0),0)</f>
        <v/>
      </c>
      <c r="H453" s="141">
        <f>E453*G453</f>
        <v/>
      </c>
      <c r="I453" s="141">
        <f>IF(offer_sale_type="транзит",IFERROR(ROUND(VLOOKUP($B453,calc_data,I$14+1,0),2),0),0)</f>
        <v/>
      </c>
      <c r="J453" s="141">
        <f>ROUND(IF(offer_sale_type="транзит",IFERROR(VLOOKUP($B453,calc_data,J$14+1,0),0),0),2)</f>
        <v/>
      </c>
      <c r="K453" s="142">
        <f>IF(offer_sale_type="транзит",IFERROR(ROUNDUP(VLOOKUP($B453,calc_data,K$14+1,0),2),0),0)</f>
        <v/>
      </c>
      <c r="L453" s="184">
        <f>IF(offer_sale_type="транзит",IFERROR(ROUNDUP(VLOOKUP($B453,calc_data,L$14+1,0),2),0),0)</f>
        <v/>
      </c>
      <c r="M453" s="141">
        <f>IF(offer_sale_type="транзит",IFERROR(ROUNDUP(VLOOKUP($B453,calc_data,M$14+1,0),2),0),0)</f>
        <v/>
      </c>
      <c r="N453" s="141">
        <f>IF(offer_sale_type="транзит",IFERROR(ROUNDUP(VLOOKUP($B453,calc_data,N$14+1,0),2),0),0)</f>
        <v/>
      </c>
      <c r="O453" s="147">
        <f>IF(offer_sale_type="транзит",IFERROR(ROUND(VLOOKUP($B453,calc_data,O$14+1,1),2),0),0)</f>
        <v/>
      </c>
      <c r="P453" s="141">
        <f>IF(offer_sale_type="транзит",IFERROR(ROUND(SUM(I453:J453,M453:O453)/E453,2),0),0)</f>
        <v/>
      </c>
      <c r="Q453" s="141">
        <f>E453*P453</f>
        <v/>
      </c>
      <c r="R453" s="141">
        <f>ROUND(Q453*IF(AND(offer_incoterms="DDP",seller_region="RU"),IF((TODAY()+offer_turnaround_time)&gt;=helpsheet!$L$17,rate_vatRU_from_26,rate_vatRu_till_25),0),2)</f>
        <v/>
      </c>
      <c r="S453" s="177">
        <f>Q453+IF(AND(offer_incoterms="DDP",seller_region="RU"),R453,0)</f>
        <v/>
      </c>
      <c r="T453" s="45" t="n"/>
      <c r="V453" s="57">
        <f>IF(Q453&gt;0,"показать","скрыть")</f>
        <v/>
      </c>
    </row>
    <row r="454" ht="15.75" customHeight="1">
      <c r="B454" s="809" t="n">
        <v>438</v>
      </c>
      <c r="C454" s="182">
        <f>IF(offer_sale_type="транзит",IFERROR(VLOOKUP($B454,calc_data,C$14+1,0),0),0)</f>
        <v/>
      </c>
      <c r="D454" s="280">
        <f>IF(offer_sale_type="транзит",IFERROR(VLOOKUP($B454,calc_data,D$14+1,0),0),0)</f>
        <v/>
      </c>
      <c r="E454" s="182">
        <f>IF(offer_sale_type="транзит",IFERROR(VLOOKUP($B454,calc_data,E$14+1,0),0),0)</f>
        <v/>
      </c>
      <c r="F454" s="182">
        <f>IF(offer_sale_type="транзит",IFERROR(VLOOKUP($B454,calc_data,F$14+1,0),0),0)</f>
        <v/>
      </c>
      <c r="G454" s="141">
        <f>IF(offer_sale_type="транзит",IFERROR(VLOOKUP($B454,calc_data,G$14+1,0),0),0)</f>
        <v/>
      </c>
      <c r="H454" s="141">
        <f>E454*G454</f>
        <v/>
      </c>
      <c r="I454" s="141">
        <f>IF(offer_sale_type="транзит",IFERROR(ROUND(VLOOKUP($B454,calc_data,I$14+1,0),2),0),0)</f>
        <v/>
      </c>
      <c r="J454" s="141">
        <f>ROUND(IF(offer_sale_type="транзит",IFERROR(VLOOKUP($B454,calc_data,J$14+1,0),0),0),2)</f>
        <v/>
      </c>
      <c r="K454" s="142">
        <f>IF(offer_sale_type="транзит",IFERROR(ROUNDUP(VLOOKUP($B454,calc_data,K$14+1,0),2),0),0)</f>
        <v/>
      </c>
      <c r="L454" s="184">
        <f>IF(offer_sale_type="транзит",IFERROR(ROUNDUP(VLOOKUP($B454,calc_data,L$14+1,0),2),0),0)</f>
        <v/>
      </c>
      <c r="M454" s="141">
        <f>IF(offer_sale_type="транзит",IFERROR(ROUNDUP(VLOOKUP($B454,calc_data,M$14+1,0),2),0),0)</f>
        <v/>
      </c>
      <c r="N454" s="141">
        <f>IF(offer_sale_type="транзит",IFERROR(ROUNDUP(VLOOKUP($B454,calc_data,N$14+1,0),2),0),0)</f>
        <v/>
      </c>
      <c r="O454" s="147">
        <f>IF(offer_sale_type="транзит",IFERROR(ROUND(VLOOKUP($B454,calc_data,O$14+1,1),2),0),0)</f>
        <v/>
      </c>
      <c r="P454" s="141">
        <f>IF(offer_sale_type="транзит",IFERROR(ROUND(SUM(I454:J454,M454:O454)/E454,2),0),0)</f>
        <v/>
      </c>
      <c r="Q454" s="141">
        <f>E454*P454</f>
        <v/>
      </c>
      <c r="R454" s="141">
        <f>ROUND(Q454*IF(AND(offer_incoterms="DDP",seller_region="RU"),IF((TODAY()+offer_turnaround_time)&gt;=helpsheet!$L$17,rate_vatRU_from_26,rate_vatRu_till_25),0),2)</f>
        <v/>
      </c>
      <c r="S454" s="177">
        <f>Q454+IF(AND(offer_incoterms="DDP",seller_region="RU"),R454,0)</f>
        <v/>
      </c>
      <c r="T454" s="45" t="n"/>
      <c r="V454" s="57">
        <f>IF(Q454&gt;0,"показать","скрыть")</f>
        <v/>
      </c>
    </row>
    <row r="455" ht="15.75" customHeight="1">
      <c r="B455" s="809" t="n">
        <v>439</v>
      </c>
      <c r="C455" s="182">
        <f>IF(offer_sale_type="транзит",IFERROR(VLOOKUP($B455,calc_data,C$14+1,0),0),0)</f>
        <v/>
      </c>
      <c r="D455" s="280">
        <f>IF(offer_sale_type="транзит",IFERROR(VLOOKUP($B455,calc_data,D$14+1,0),0),0)</f>
        <v/>
      </c>
      <c r="E455" s="182">
        <f>IF(offer_sale_type="транзит",IFERROR(VLOOKUP($B455,calc_data,E$14+1,0),0),0)</f>
        <v/>
      </c>
      <c r="F455" s="182">
        <f>IF(offer_sale_type="транзит",IFERROR(VLOOKUP($B455,calc_data,F$14+1,0),0),0)</f>
        <v/>
      </c>
      <c r="G455" s="141">
        <f>IF(offer_sale_type="транзит",IFERROR(VLOOKUP($B455,calc_data,G$14+1,0),0),0)</f>
        <v/>
      </c>
      <c r="H455" s="141">
        <f>E455*G455</f>
        <v/>
      </c>
      <c r="I455" s="141">
        <f>IF(offer_sale_type="транзит",IFERROR(ROUND(VLOOKUP($B455,calc_data,I$14+1,0),2),0),0)</f>
        <v/>
      </c>
      <c r="J455" s="141">
        <f>ROUND(IF(offer_sale_type="транзит",IFERROR(VLOOKUP($B455,calc_data,J$14+1,0),0),0),2)</f>
        <v/>
      </c>
      <c r="K455" s="142">
        <f>IF(offer_sale_type="транзит",IFERROR(ROUNDUP(VLOOKUP($B455,calc_data,K$14+1,0),2),0),0)</f>
        <v/>
      </c>
      <c r="L455" s="184">
        <f>IF(offer_sale_type="транзит",IFERROR(ROUNDUP(VLOOKUP($B455,calc_data,L$14+1,0),2),0),0)</f>
        <v/>
      </c>
      <c r="M455" s="141">
        <f>IF(offer_sale_type="транзит",IFERROR(ROUNDUP(VLOOKUP($B455,calc_data,M$14+1,0),2),0),0)</f>
        <v/>
      </c>
      <c r="N455" s="141">
        <f>IF(offer_sale_type="транзит",IFERROR(ROUNDUP(VLOOKUP($B455,calc_data,N$14+1,0),2),0),0)</f>
        <v/>
      </c>
      <c r="O455" s="147">
        <f>IF(offer_sale_type="транзит",IFERROR(ROUND(VLOOKUP($B455,calc_data,O$14+1,1),2),0),0)</f>
        <v/>
      </c>
      <c r="P455" s="141">
        <f>IF(offer_sale_type="транзит",IFERROR(ROUND(SUM(I455:J455,M455:O455)/E455,2),0),0)</f>
        <v/>
      </c>
      <c r="Q455" s="141">
        <f>E455*P455</f>
        <v/>
      </c>
      <c r="R455" s="141">
        <f>ROUND(Q455*IF(AND(offer_incoterms="DDP",seller_region="RU"),IF((TODAY()+offer_turnaround_time)&gt;=helpsheet!$L$17,rate_vatRU_from_26,rate_vatRu_till_25),0),2)</f>
        <v/>
      </c>
      <c r="S455" s="177">
        <f>Q455+IF(AND(offer_incoterms="DDP",seller_region="RU"),R455,0)</f>
        <v/>
      </c>
      <c r="T455" s="45" t="n"/>
      <c r="V455" s="57">
        <f>IF(Q455&gt;0,"показать","скрыть")</f>
        <v/>
      </c>
    </row>
    <row r="456" ht="15.75" customHeight="1">
      <c r="B456" s="809" t="n">
        <v>440</v>
      </c>
      <c r="C456" s="182">
        <f>IF(offer_sale_type="транзит",IFERROR(VLOOKUP($B456,calc_data,C$14+1,0),0),0)</f>
        <v/>
      </c>
      <c r="D456" s="280">
        <f>IF(offer_sale_type="транзит",IFERROR(VLOOKUP($B456,calc_data,D$14+1,0),0),0)</f>
        <v/>
      </c>
      <c r="E456" s="182">
        <f>IF(offer_sale_type="транзит",IFERROR(VLOOKUP($B456,calc_data,E$14+1,0),0),0)</f>
        <v/>
      </c>
      <c r="F456" s="182">
        <f>IF(offer_sale_type="транзит",IFERROR(VLOOKUP($B456,calc_data,F$14+1,0),0),0)</f>
        <v/>
      </c>
      <c r="G456" s="141">
        <f>IF(offer_sale_type="транзит",IFERROR(VLOOKUP($B456,calc_data,G$14+1,0),0),0)</f>
        <v/>
      </c>
      <c r="H456" s="141">
        <f>E456*G456</f>
        <v/>
      </c>
      <c r="I456" s="141">
        <f>IF(offer_sale_type="транзит",IFERROR(ROUND(VLOOKUP($B456,calc_data,I$14+1,0),2),0),0)</f>
        <v/>
      </c>
      <c r="J456" s="141">
        <f>ROUND(IF(offer_sale_type="транзит",IFERROR(VLOOKUP($B456,calc_data,J$14+1,0),0),0),2)</f>
        <v/>
      </c>
      <c r="K456" s="142">
        <f>IF(offer_sale_type="транзит",IFERROR(ROUNDUP(VLOOKUP($B456,calc_data,K$14+1,0),2),0),0)</f>
        <v/>
      </c>
      <c r="L456" s="184">
        <f>IF(offer_sale_type="транзит",IFERROR(ROUNDUP(VLOOKUP($B456,calc_data,L$14+1,0),2),0),0)</f>
        <v/>
      </c>
      <c r="M456" s="141">
        <f>IF(offer_sale_type="транзит",IFERROR(ROUNDUP(VLOOKUP($B456,calc_data,M$14+1,0),2),0),0)</f>
        <v/>
      </c>
      <c r="N456" s="141">
        <f>IF(offer_sale_type="транзит",IFERROR(ROUNDUP(VLOOKUP($B456,calc_data,N$14+1,0),2),0),0)</f>
        <v/>
      </c>
      <c r="O456" s="147">
        <f>IF(offer_sale_type="транзит",IFERROR(ROUND(VLOOKUP($B456,calc_data,O$14+1,1),2),0),0)</f>
        <v/>
      </c>
      <c r="P456" s="141">
        <f>IF(offer_sale_type="транзит",IFERROR(ROUND(SUM(I456:J456,M456:O456)/E456,2),0),0)</f>
        <v/>
      </c>
      <c r="Q456" s="141">
        <f>E456*P456</f>
        <v/>
      </c>
      <c r="R456" s="141">
        <f>ROUND(Q456*IF(AND(offer_incoterms="DDP",seller_region="RU"),IF((TODAY()+offer_turnaround_time)&gt;=helpsheet!$L$17,rate_vatRU_from_26,rate_vatRu_till_25),0),2)</f>
        <v/>
      </c>
      <c r="S456" s="177">
        <f>Q456+IF(AND(offer_incoterms="DDP",seller_region="RU"),R456,0)</f>
        <v/>
      </c>
      <c r="T456" s="45" t="n"/>
      <c r="V456" s="57">
        <f>IF(Q456&gt;0,"показать","скрыть")</f>
        <v/>
      </c>
    </row>
    <row r="457" ht="15.75" customHeight="1">
      <c r="B457" s="809" t="n">
        <v>441</v>
      </c>
      <c r="C457" s="182">
        <f>IF(offer_sale_type="транзит",IFERROR(VLOOKUP($B457,calc_data,C$14+1,0),0),0)</f>
        <v/>
      </c>
      <c r="D457" s="280">
        <f>IF(offer_sale_type="транзит",IFERROR(VLOOKUP($B457,calc_data,D$14+1,0),0),0)</f>
        <v/>
      </c>
      <c r="E457" s="182">
        <f>IF(offer_sale_type="транзит",IFERROR(VLOOKUP($B457,calc_data,E$14+1,0),0),0)</f>
        <v/>
      </c>
      <c r="F457" s="182">
        <f>IF(offer_sale_type="транзит",IFERROR(VLOOKUP($B457,calc_data,F$14+1,0),0),0)</f>
        <v/>
      </c>
      <c r="G457" s="141">
        <f>IF(offer_sale_type="транзит",IFERROR(VLOOKUP($B457,calc_data,G$14+1,0),0),0)</f>
        <v/>
      </c>
      <c r="H457" s="141">
        <f>E457*G457</f>
        <v/>
      </c>
      <c r="I457" s="141">
        <f>IF(offer_sale_type="транзит",IFERROR(ROUND(VLOOKUP($B457,calc_data,I$14+1,0),2),0),0)</f>
        <v/>
      </c>
      <c r="J457" s="141">
        <f>ROUND(IF(offer_sale_type="транзит",IFERROR(VLOOKUP($B457,calc_data,J$14+1,0),0),0),2)</f>
        <v/>
      </c>
      <c r="K457" s="142">
        <f>IF(offer_sale_type="транзит",IFERROR(ROUNDUP(VLOOKUP($B457,calc_data,K$14+1,0),2),0),0)</f>
        <v/>
      </c>
      <c r="L457" s="184">
        <f>IF(offer_sale_type="транзит",IFERROR(ROUNDUP(VLOOKUP($B457,calc_data,L$14+1,0),2),0),0)</f>
        <v/>
      </c>
      <c r="M457" s="141">
        <f>IF(offer_sale_type="транзит",IFERROR(ROUNDUP(VLOOKUP($B457,calc_data,M$14+1,0),2),0),0)</f>
        <v/>
      </c>
      <c r="N457" s="141">
        <f>IF(offer_sale_type="транзит",IFERROR(ROUNDUP(VLOOKUP($B457,calc_data,N$14+1,0),2),0),0)</f>
        <v/>
      </c>
      <c r="O457" s="147">
        <f>IF(offer_sale_type="транзит",IFERROR(ROUND(VLOOKUP($B457,calc_data,O$14+1,1),2),0),0)</f>
        <v/>
      </c>
      <c r="P457" s="141">
        <f>IF(offer_sale_type="транзит",IFERROR(ROUND(SUM(I457:J457,M457:O457)/E457,2),0),0)</f>
        <v/>
      </c>
      <c r="Q457" s="141">
        <f>E457*P457</f>
        <v/>
      </c>
      <c r="R457" s="141">
        <f>ROUND(Q457*IF(AND(offer_incoterms="DDP",seller_region="RU"),IF((TODAY()+offer_turnaround_time)&gt;=helpsheet!$L$17,rate_vatRU_from_26,rate_vatRu_till_25),0),2)</f>
        <v/>
      </c>
      <c r="S457" s="177">
        <f>Q457+IF(AND(offer_incoterms="DDP",seller_region="RU"),R457,0)</f>
        <v/>
      </c>
      <c r="T457" s="45" t="n"/>
      <c r="V457" s="57">
        <f>IF(Q457&gt;0,"показать","скрыть")</f>
        <v/>
      </c>
    </row>
    <row r="458" ht="15.75" customHeight="1">
      <c r="B458" s="809" t="n">
        <v>442</v>
      </c>
      <c r="C458" s="182">
        <f>IF(offer_sale_type="транзит",IFERROR(VLOOKUP($B458,calc_data,C$14+1,0),0),0)</f>
        <v/>
      </c>
      <c r="D458" s="280">
        <f>IF(offer_sale_type="транзит",IFERROR(VLOOKUP($B458,calc_data,D$14+1,0),0),0)</f>
        <v/>
      </c>
      <c r="E458" s="182">
        <f>IF(offer_sale_type="транзит",IFERROR(VLOOKUP($B458,calc_data,E$14+1,0),0),0)</f>
        <v/>
      </c>
      <c r="F458" s="182">
        <f>IF(offer_sale_type="транзит",IFERROR(VLOOKUP($B458,calc_data,F$14+1,0),0),0)</f>
        <v/>
      </c>
      <c r="G458" s="141">
        <f>IF(offer_sale_type="транзит",IFERROR(VLOOKUP($B458,calc_data,G$14+1,0),0),0)</f>
        <v/>
      </c>
      <c r="H458" s="141">
        <f>E458*G458</f>
        <v/>
      </c>
      <c r="I458" s="141">
        <f>IF(offer_sale_type="транзит",IFERROR(ROUND(VLOOKUP($B458,calc_data,I$14+1,0),2),0),0)</f>
        <v/>
      </c>
      <c r="J458" s="141">
        <f>ROUND(IF(offer_sale_type="транзит",IFERROR(VLOOKUP($B458,calc_data,J$14+1,0),0),0),2)</f>
        <v/>
      </c>
      <c r="K458" s="142">
        <f>IF(offer_sale_type="транзит",IFERROR(ROUNDUP(VLOOKUP($B458,calc_data,K$14+1,0),2),0),0)</f>
        <v/>
      </c>
      <c r="L458" s="184">
        <f>IF(offer_sale_type="транзит",IFERROR(ROUNDUP(VLOOKUP($B458,calc_data,L$14+1,0),2),0),0)</f>
        <v/>
      </c>
      <c r="M458" s="141">
        <f>IF(offer_sale_type="транзит",IFERROR(ROUNDUP(VLOOKUP($B458,calc_data,M$14+1,0),2),0),0)</f>
        <v/>
      </c>
      <c r="N458" s="141">
        <f>IF(offer_sale_type="транзит",IFERROR(ROUNDUP(VLOOKUP($B458,calc_data,N$14+1,0),2),0),0)</f>
        <v/>
      </c>
      <c r="O458" s="147">
        <f>IF(offer_sale_type="транзит",IFERROR(ROUND(VLOOKUP($B458,calc_data,O$14+1,1),2),0),0)</f>
        <v/>
      </c>
      <c r="P458" s="141">
        <f>IF(offer_sale_type="транзит",IFERROR(ROUND(SUM(I458:J458,M458:O458)/E458,2),0),0)</f>
        <v/>
      </c>
      <c r="Q458" s="141">
        <f>E458*P458</f>
        <v/>
      </c>
      <c r="R458" s="141">
        <f>ROUND(Q458*IF(AND(offer_incoterms="DDP",seller_region="RU"),IF((TODAY()+offer_turnaround_time)&gt;=helpsheet!$L$17,rate_vatRU_from_26,rate_vatRu_till_25),0),2)</f>
        <v/>
      </c>
      <c r="S458" s="177">
        <f>Q458+IF(AND(offer_incoterms="DDP",seller_region="RU"),R458,0)</f>
        <v/>
      </c>
      <c r="T458" s="45" t="n"/>
      <c r="V458" s="57">
        <f>IF(Q458&gt;0,"показать","скрыть")</f>
        <v/>
      </c>
    </row>
    <row r="459" ht="15.75" customHeight="1">
      <c r="B459" s="809" t="n">
        <v>443</v>
      </c>
      <c r="C459" s="182">
        <f>IF(offer_sale_type="транзит",IFERROR(VLOOKUP($B459,calc_data,C$14+1,0),0),0)</f>
        <v/>
      </c>
      <c r="D459" s="280">
        <f>IF(offer_sale_type="транзит",IFERROR(VLOOKUP($B459,calc_data,D$14+1,0),0),0)</f>
        <v/>
      </c>
      <c r="E459" s="182">
        <f>IF(offer_sale_type="транзит",IFERROR(VLOOKUP($B459,calc_data,E$14+1,0),0),0)</f>
        <v/>
      </c>
      <c r="F459" s="182">
        <f>IF(offer_sale_type="транзит",IFERROR(VLOOKUP($B459,calc_data,F$14+1,0),0),0)</f>
        <v/>
      </c>
      <c r="G459" s="141">
        <f>IF(offer_sale_type="транзит",IFERROR(VLOOKUP($B459,calc_data,G$14+1,0),0),0)</f>
        <v/>
      </c>
      <c r="H459" s="141">
        <f>E459*G459</f>
        <v/>
      </c>
      <c r="I459" s="141">
        <f>IF(offer_sale_type="транзит",IFERROR(ROUND(VLOOKUP($B459,calc_data,I$14+1,0),2),0),0)</f>
        <v/>
      </c>
      <c r="J459" s="141">
        <f>ROUND(IF(offer_sale_type="транзит",IFERROR(VLOOKUP($B459,calc_data,J$14+1,0),0),0),2)</f>
        <v/>
      </c>
      <c r="K459" s="142">
        <f>IF(offer_sale_type="транзит",IFERROR(ROUNDUP(VLOOKUP($B459,calc_data,K$14+1,0),2),0),0)</f>
        <v/>
      </c>
      <c r="L459" s="184">
        <f>IF(offer_sale_type="транзит",IFERROR(ROUNDUP(VLOOKUP($B459,calc_data,L$14+1,0),2),0),0)</f>
        <v/>
      </c>
      <c r="M459" s="141">
        <f>IF(offer_sale_type="транзит",IFERROR(ROUNDUP(VLOOKUP($B459,calc_data,M$14+1,0),2),0),0)</f>
        <v/>
      </c>
      <c r="N459" s="141">
        <f>IF(offer_sale_type="транзит",IFERROR(ROUNDUP(VLOOKUP($B459,calc_data,N$14+1,0),2),0),0)</f>
        <v/>
      </c>
      <c r="O459" s="147">
        <f>IF(offer_sale_type="транзит",IFERROR(ROUND(VLOOKUP($B459,calc_data,O$14+1,1),2),0),0)</f>
        <v/>
      </c>
      <c r="P459" s="141">
        <f>IF(offer_sale_type="транзит",IFERROR(ROUND(SUM(I459:J459,M459:O459)/E459,2),0),0)</f>
        <v/>
      </c>
      <c r="Q459" s="141">
        <f>E459*P459</f>
        <v/>
      </c>
      <c r="R459" s="141">
        <f>ROUND(Q459*IF(AND(offer_incoterms="DDP",seller_region="RU"),IF((TODAY()+offer_turnaround_time)&gt;=helpsheet!$L$17,rate_vatRU_from_26,rate_vatRu_till_25),0),2)</f>
        <v/>
      </c>
      <c r="S459" s="177">
        <f>Q459+IF(AND(offer_incoterms="DDP",seller_region="RU"),R459,0)</f>
        <v/>
      </c>
      <c r="T459" s="45" t="n"/>
      <c r="V459" s="57">
        <f>IF(Q459&gt;0,"показать","скрыть")</f>
        <v/>
      </c>
    </row>
    <row r="460" ht="15.75" customHeight="1">
      <c r="B460" s="809" t="n">
        <v>444</v>
      </c>
      <c r="C460" s="182">
        <f>IF(offer_sale_type="транзит",IFERROR(VLOOKUP($B460,calc_data,C$14+1,0),0),0)</f>
        <v/>
      </c>
      <c r="D460" s="280">
        <f>IF(offer_sale_type="транзит",IFERROR(VLOOKUP($B460,calc_data,D$14+1,0),0),0)</f>
        <v/>
      </c>
      <c r="E460" s="182">
        <f>IF(offer_sale_type="транзит",IFERROR(VLOOKUP($B460,calc_data,E$14+1,0),0),0)</f>
        <v/>
      </c>
      <c r="F460" s="182">
        <f>IF(offer_sale_type="транзит",IFERROR(VLOOKUP($B460,calc_data,F$14+1,0),0),0)</f>
        <v/>
      </c>
      <c r="G460" s="141">
        <f>IF(offer_sale_type="транзит",IFERROR(VLOOKUP($B460,calc_data,G$14+1,0),0),0)</f>
        <v/>
      </c>
      <c r="H460" s="141">
        <f>E460*G460</f>
        <v/>
      </c>
      <c r="I460" s="141">
        <f>IF(offer_sale_type="транзит",IFERROR(ROUND(VLOOKUP($B460,calc_data,I$14+1,0),2),0),0)</f>
        <v/>
      </c>
      <c r="J460" s="141">
        <f>ROUND(IF(offer_sale_type="транзит",IFERROR(VLOOKUP($B460,calc_data,J$14+1,0),0),0),2)</f>
        <v/>
      </c>
      <c r="K460" s="142">
        <f>IF(offer_sale_type="транзит",IFERROR(ROUNDUP(VLOOKUP($B460,calc_data,K$14+1,0),2),0),0)</f>
        <v/>
      </c>
      <c r="L460" s="184">
        <f>IF(offer_sale_type="транзит",IFERROR(ROUNDUP(VLOOKUP($B460,calc_data,L$14+1,0),2),0),0)</f>
        <v/>
      </c>
      <c r="M460" s="141">
        <f>IF(offer_sale_type="транзит",IFERROR(ROUNDUP(VLOOKUP($B460,calc_data,M$14+1,0),2),0),0)</f>
        <v/>
      </c>
      <c r="N460" s="141">
        <f>IF(offer_sale_type="транзит",IFERROR(ROUNDUP(VLOOKUP($B460,calc_data,N$14+1,0),2),0),0)</f>
        <v/>
      </c>
      <c r="O460" s="147">
        <f>IF(offer_sale_type="транзит",IFERROR(ROUND(VLOOKUP($B460,calc_data,O$14+1,1),2),0),0)</f>
        <v/>
      </c>
      <c r="P460" s="141">
        <f>IF(offer_sale_type="транзит",IFERROR(ROUND(SUM(I460:J460,M460:O460)/E460,2),0),0)</f>
        <v/>
      </c>
      <c r="Q460" s="141">
        <f>E460*P460</f>
        <v/>
      </c>
      <c r="R460" s="141">
        <f>ROUND(Q460*IF(AND(offer_incoterms="DDP",seller_region="RU"),IF((TODAY()+offer_turnaround_time)&gt;=helpsheet!$L$17,rate_vatRU_from_26,rate_vatRu_till_25),0),2)</f>
        <v/>
      </c>
      <c r="S460" s="177">
        <f>Q460+IF(AND(offer_incoterms="DDP",seller_region="RU"),R460,0)</f>
        <v/>
      </c>
      <c r="T460" s="45" t="n"/>
      <c r="V460" s="57">
        <f>IF(Q460&gt;0,"показать","скрыть")</f>
        <v/>
      </c>
    </row>
    <row r="461" ht="15.75" customHeight="1">
      <c r="B461" s="809" t="n">
        <v>445</v>
      </c>
      <c r="C461" s="182">
        <f>IF(offer_sale_type="транзит",IFERROR(VLOOKUP($B461,calc_data,C$14+1,0),0),0)</f>
        <v/>
      </c>
      <c r="D461" s="280">
        <f>IF(offer_sale_type="транзит",IFERROR(VLOOKUP($B461,calc_data,D$14+1,0),0),0)</f>
        <v/>
      </c>
      <c r="E461" s="182">
        <f>IF(offer_sale_type="транзит",IFERROR(VLOOKUP($B461,calc_data,E$14+1,0),0),0)</f>
        <v/>
      </c>
      <c r="F461" s="182">
        <f>IF(offer_sale_type="транзит",IFERROR(VLOOKUP($B461,calc_data,F$14+1,0),0),0)</f>
        <v/>
      </c>
      <c r="G461" s="141">
        <f>IF(offer_sale_type="транзит",IFERROR(VLOOKUP($B461,calc_data,G$14+1,0),0),0)</f>
        <v/>
      </c>
      <c r="H461" s="141">
        <f>E461*G461</f>
        <v/>
      </c>
      <c r="I461" s="141">
        <f>IF(offer_sale_type="транзит",IFERROR(ROUND(VLOOKUP($B461,calc_data,I$14+1,0),2),0),0)</f>
        <v/>
      </c>
      <c r="J461" s="141">
        <f>ROUND(IF(offer_sale_type="транзит",IFERROR(VLOOKUP($B461,calc_data,J$14+1,0),0),0),2)</f>
        <v/>
      </c>
      <c r="K461" s="142">
        <f>IF(offer_sale_type="транзит",IFERROR(ROUNDUP(VLOOKUP($B461,calc_data,K$14+1,0),2),0),0)</f>
        <v/>
      </c>
      <c r="L461" s="184">
        <f>IF(offer_sale_type="транзит",IFERROR(ROUNDUP(VLOOKUP($B461,calc_data,L$14+1,0),2),0),0)</f>
        <v/>
      </c>
      <c r="M461" s="141">
        <f>IF(offer_sale_type="транзит",IFERROR(ROUNDUP(VLOOKUP($B461,calc_data,M$14+1,0),2),0),0)</f>
        <v/>
      </c>
      <c r="N461" s="141">
        <f>IF(offer_sale_type="транзит",IFERROR(ROUNDUP(VLOOKUP($B461,calc_data,N$14+1,0),2),0),0)</f>
        <v/>
      </c>
      <c r="O461" s="147">
        <f>IF(offer_sale_type="транзит",IFERROR(ROUND(VLOOKUP($B461,calc_data,O$14+1,1),2),0),0)</f>
        <v/>
      </c>
      <c r="P461" s="141">
        <f>IF(offer_sale_type="транзит",IFERROR(ROUND(SUM(I461:J461,M461:O461)/E461,2),0),0)</f>
        <v/>
      </c>
      <c r="Q461" s="141">
        <f>E461*P461</f>
        <v/>
      </c>
      <c r="R461" s="141">
        <f>ROUND(Q461*IF(AND(offer_incoterms="DDP",seller_region="RU"),IF((TODAY()+offer_turnaround_time)&gt;=helpsheet!$L$17,rate_vatRU_from_26,rate_vatRu_till_25),0),2)</f>
        <v/>
      </c>
      <c r="S461" s="177">
        <f>Q461+IF(AND(offer_incoterms="DDP",seller_region="RU"),R461,0)</f>
        <v/>
      </c>
      <c r="T461" s="45" t="n"/>
      <c r="V461" s="57">
        <f>IF(Q461&gt;0,"показать","скрыть")</f>
        <v/>
      </c>
    </row>
    <row r="462" ht="15.75" customHeight="1">
      <c r="B462" s="809" t="n">
        <v>446</v>
      </c>
      <c r="C462" s="182">
        <f>IF(offer_sale_type="транзит",IFERROR(VLOOKUP($B462,calc_data,C$14+1,0),0),0)</f>
        <v/>
      </c>
      <c r="D462" s="280">
        <f>IF(offer_sale_type="транзит",IFERROR(VLOOKUP($B462,calc_data,D$14+1,0),0),0)</f>
        <v/>
      </c>
      <c r="E462" s="182">
        <f>IF(offer_sale_type="транзит",IFERROR(VLOOKUP($B462,calc_data,E$14+1,0),0),0)</f>
        <v/>
      </c>
      <c r="F462" s="182">
        <f>IF(offer_sale_type="транзит",IFERROR(VLOOKUP($B462,calc_data,F$14+1,0),0),0)</f>
        <v/>
      </c>
      <c r="G462" s="141">
        <f>IF(offer_sale_type="транзит",IFERROR(VLOOKUP($B462,calc_data,G$14+1,0),0),0)</f>
        <v/>
      </c>
      <c r="H462" s="141">
        <f>E462*G462</f>
        <v/>
      </c>
      <c r="I462" s="141">
        <f>IF(offer_sale_type="транзит",IFERROR(ROUND(VLOOKUP($B462,calc_data,I$14+1,0),2),0),0)</f>
        <v/>
      </c>
      <c r="J462" s="141">
        <f>ROUND(IF(offer_sale_type="транзит",IFERROR(VLOOKUP($B462,calc_data,J$14+1,0),0),0),2)</f>
        <v/>
      </c>
      <c r="K462" s="142">
        <f>IF(offer_sale_type="транзит",IFERROR(ROUNDUP(VLOOKUP($B462,calc_data,K$14+1,0),2),0),0)</f>
        <v/>
      </c>
      <c r="L462" s="184">
        <f>IF(offer_sale_type="транзит",IFERROR(ROUNDUP(VLOOKUP($B462,calc_data,L$14+1,0),2),0),0)</f>
        <v/>
      </c>
      <c r="M462" s="141">
        <f>IF(offer_sale_type="транзит",IFERROR(ROUNDUP(VLOOKUP($B462,calc_data,M$14+1,0),2),0),0)</f>
        <v/>
      </c>
      <c r="N462" s="141">
        <f>IF(offer_sale_type="транзит",IFERROR(ROUNDUP(VLOOKUP($B462,calc_data,N$14+1,0),2),0),0)</f>
        <v/>
      </c>
      <c r="O462" s="147">
        <f>IF(offer_sale_type="транзит",IFERROR(ROUND(VLOOKUP($B462,calc_data,O$14+1,1),2),0),0)</f>
        <v/>
      </c>
      <c r="P462" s="141">
        <f>IF(offer_sale_type="транзит",IFERROR(ROUND(SUM(I462:J462,M462:O462)/E462,2),0),0)</f>
        <v/>
      </c>
      <c r="Q462" s="141">
        <f>E462*P462</f>
        <v/>
      </c>
      <c r="R462" s="141">
        <f>ROUND(Q462*IF(AND(offer_incoterms="DDP",seller_region="RU"),IF((TODAY()+offer_turnaround_time)&gt;=helpsheet!$L$17,rate_vatRU_from_26,rate_vatRu_till_25),0),2)</f>
        <v/>
      </c>
      <c r="S462" s="177">
        <f>Q462+IF(AND(offer_incoterms="DDP",seller_region="RU"),R462,0)</f>
        <v/>
      </c>
      <c r="T462" s="45" t="n"/>
      <c r="V462" s="57">
        <f>IF(Q462&gt;0,"показать","скрыть")</f>
        <v/>
      </c>
    </row>
    <row r="463" ht="15.75" customHeight="1">
      <c r="B463" s="809" t="n">
        <v>447</v>
      </c>
      <c r="C463" s="182">
        <f>IF(offer_sale_type="транзит",IFERROR(VLOOKUP($B463,calc_data,C$14+1,0),0),0)</f>
        <v/>
      </c>
      <c r="D463" s="280">
        <f>IF(offer_sale_type="транзит",IFERROR(VLOOKUP($B463,calc_data,D$14+1,0),0),0)</f>
        <v/>
      </c>
      <c r="E463" s="182">
        <f>IF(offer_sale_type="транзит",IFERROR(VLOOKUP($B463,calc_data,E$14+1,0),0),0)</f>
        <v/>
      </c>
      <c r="F463" s="182">
        <f>IF(offer_sale_type="транзит",IFERROR(VLOOKUP($B463,calc_data,F$14+1,0),0),0)</f>
        <v/>
      </c>
      <c r="G463" s="141">
        <f>IF(offer_sale_type="транзит",IFERROR(VLOOKUP($B463,calc_data,G$14+1,0),0),0)</f>
        <v/>
      </c>
      <c r="H463" s="141">
        <f>E463*G463</f>
        <v/>
      </c>
      <c r="I463" s="141">
        <f>IF(offer_sale_type="транзит",IFERROR(ROUND(VLOOKUP($B463,calc_data,I$14+1,0),2),0),0)</f>
        <v/>
      </c>
      <c r="J463" s="141">
        <f>ROUND(IF(offer_sale_type="транзит",IFERROR(VLOOKUP($B463,calc_data,J$14+1,0),0),0),2)</f>
        <v/>
      </c>
      <c r="K463" s="142">
        <f>IF(offer_sale_type="транзит",IFERROR(ROUNDUP(VLOOKUP($B463,calc_data,K$14+1,0),2),0),0)</f>
        <v/>
      </c>
      <c r="L463" s="184">
        <f>IF(offer_sale_type="транзит",IFERROR(ROUNDUP(VLOOKUP($B463,calc_data,L$14+1,0),2),0),0)</f>
        <v/>
      </c>
      <c r="M463" s="141">
        <f>IF(offer_sale_type="транзит",IFERROR(ROUNDUP(VLOOKUP($B463,calc_data,M$14+1,0),2),0),0)</f>
        <v/>
      </c>
      <c r="N463" s="141">
        <f>IF(offer_sale_type="транзит",IFERROR(ROUNDUP(VLOOKUP($B463,calc_data,N$14+1,0),2),0),0)</f>
        <v/>
      </c>
      <c r="O463" s="147">
        <f>IF(offer_sale_type="транзит",IFERROR(ROUND(VLOOKUP($B463,calc_data,O$14+1,1),2),0),0)</f>
        <v/>
      </c>
      <c r="P463" s="141">
        <f>IF(offer_sale_type="транзит",IFERROR(ROUND(SUM(I463:J463,M463:O463)/E463,2),0),0)</f>
        <v/>
      </c>
      <c r="Q463" s="141">
        <f>E463*P463</f>
        <v/>
      </c>
      <c r="R463" s="141">
        <f>ROUND(Q463*IF(AND(offer_incoterms="DDP",seller_region="RU"),IF((TODAY()+offer_turnaround_time)&gt;=helpsheet!$L$17,rate_vatRU_from_26,rate_vatRu_till_25),0),2)</f>
        <v/>
      </c>
      <c r="S463" s="177">
        <f>Q463+IF(AND(offer_incoterms="DDP",seller_region="RU"),R463,0)</f>
        <v/>
      </c>
      <c r="T463" s="45" t="n"/>
      <c r="V463" s="57">
        <f>IF(Q463&gt;0,"показать","скрыть")</f>
        <v/>
      </c>
    </row>
    <row r="464" ht="15.75" customHeight="1">
      <c r="B464" s="809" t="n">
        <v>448</v>
      </c>
      <c r="C464" s="182">
        <f>IF(offer_sale_type="транзит",IFERROR(VLOOKUP($B464,calc_data,C$14+1,0),0),0)</f>
        <v/>
      </c>
      <c r="D464" s="280">
        <f>IF(offer_sale_type="транзит",IFERROR(VLOOKUP($B464,calc_data,D$14+1,0),0),0)</f>
        <v/>
      </c>
      <c r="E464" s="182">
        <f>IF(offer_sale_type="транзит",IFERROR(VLOOKUP($B464,calc_data,E$14+1,0),0),0)</f>
        <v/>
      </c>
      <c r="F464" s="182">
        <f>IF(offer_sale_type="транзит",IFERROR(VLOOKUP($B464,calc_data,F$14+1,0),0),0)</f>
        <v/>
      </c>
      <c r="G464" s="141">
        <f>IF(offer_sale_type="транзит",IFERROR(VLOOKUP($B464,calc_data,G$14+1,0),0),0)</f>
        <v/>
      </c>
      <c r="H464" s="141">
        <f>E464*G464</f>
        <v/>
      </c>
      <c r="I464" s="141">
        <f>IF(offer_sale_type="транзит",IFERROR(ROUND(VLOOKUP($B464,calc_data,I$14+1,0),2),0),0)</f>
        <v/>
      </c>
      <c r="J464" s="141">
        <f>ROUND(IF(offer_sale_type="транзит",IFERROR(VLOOKUP($B464,calc_data,J$14+1,0),0),0),2)</f>
        <v/>
      </c>
      <c r="K464" s="142">
        <f>IF(offer_sale_type="транзит",IFERROR(ROUNDUP(VLOOKUP($B464,calc_data,K$14+1,0),2),0),0)</f>
        <v/>
      </c>
      <c r="L464" s="184">
        <f>IF(offer_sale_type="транзит",IFERROR(ROUNDUP(VLOOKUP($B464,calc_data,L$14+1,0),2),0),0)</f>
        <v/>
      </c>
      <c r="M464" s="141">
        <f>IF(offer_sale_type="транзит",IFERROR(ROUNDUP(VLOOKUP($B464,calc_data,M$14+1,0),2),0),0)</f>
        <v/>
      </c>
      <c r="N464" s="141">
        <f>IF(offer_sale_type="транзит",IFERROR(ROUNDUP(VLOOKUP($B464,calc_data,N$14+1,0),2),0),0)</f>
        <v/>
      </c>
      <c r="O464" s="147">
        <f>IF(offer_sale_type="транзит",IFERROR(ROUND(VLOOKUP($B464,calc_data,O$14+1,1),2),0),0)</f>
        <v/>
      </c>
      <c r="P464" s="141">
        <f>IF(offer_sale_type="транзит",IFERROR(ROUND(SUM(I464:J464,M464:O464)/E464,2),0),0)</f>
        <v/>
      </c>
      <c r="Q464" s="141">
        <f>E464*P464</f>
        <v/>
      </c>
      <c r="R464" s="141">
        <f>ROUND(Q464*IF(AND(offer_incoterms="DDP",seller_region="RU"),IF((TODAY()+offer_turnaround_time)&gt;=helpsheet!$L$17,rate_vatRU_from_26,rate_vatRu_till_25),0),2)</f>
        <v/>
      </c>
      <c r="S464" s="177">
        <f>Q464+IF(AND(offer_incoterms="DDP",seller_region="RU"),R464,0)</f>
        <v/>
      </c>
      <c r="T464" s="45" t="n"/>
      <c r="V464" s="57">
        <f>IF(Q464&gt;0,"показать","скрыть")</f>
        <v/>
      </c>
    </row>
    <row r="465" ht="15.75" customHeight="1">
      <c r="B465" s="809" t="n">
        <v>449</v>
      </c>
      <c r="C465" s="182">
        <f>IF(offer_sale_type="транзит",IFERROR(VLOOKUP($B465,calc_data,C$14+1,0),0),0)</f>
        <v/>
      </c>
      <c r="D465" s="280">
        <f>IF(offer_sale_type="транзит",IFERROR(VLOOKUP($B465,calc_data,D$14+1,0),0),0)</f>
        <v/>
      </c>
      <c r="E465" s="182">
        <f>IF(offer_sale_type="транзит",IFERROR(VLOOKUP($B465,calc_data,E$14+1,0),0),0)</f>
        <v/>
      </c>
      <c r="F465" s="182">
        <f>IF(offer_sale_type="транзит",IFERROR(VLOOKUP($B465,calc_data,F$14+1,0),0),0)</f>
        <v/>
      </c>
      <c r="G465" s="141">
        <f>IF(offer_sale_type="транзит",IFERROR(VLOOKUP($B465,calc_data,G$14+1,0),0),0)</f>
        <v/>
      </c>
      <c r="H465" s="141">
        <f>E465*G465</f>
        <v/>
      </c>
      <c r="I465" s="141">
        <f>IF(offer_sale_type="транзит",IFERROR(ROUND(VLOOKUP($B465,calc_data,I$14+1,0),2),0),0)</f>
        <v/>
      </c>
      <c r="J465" s="141">
        <f>ROUND(IF(offer_sale_type="транзит",IFERROR(VLOOKUP($B465,calc_data,J$14+1,0),0),0),2)</f>
        <v/>
      </c>
      <c r="K465" s="142">
        <f>IF(offer_sale_type="транзит",IFERROR(ROUNDUP(VLOOKUP($B465,calc_data,K$14+1,0),2),0),0)</f>
        <v/>
      </c>
      <c r="L465" s="184">
        <f>IF(offer_sale_type="транзит",IFERROR(ROUNDUP(VLOOKUP($B465,calc_data,L$14+1,0),2),0),0)</f>
        <v/>
      </c>
      <c r="M465" s="141">
        <f>IF(offer_sale_type="транзит",IFERROR(ROUNDUP(VLOOKUP($B465,calc_data,M$14+1,0),2),0),0)</f>
        <v/>
      </c>
      <c r="N465" s="141">
        <f>IF(offer_sale_type="транзит",IFERROR(ROUNDUP(VLOOKUP($B465,calc_data,N$14+1,0),2),0),0)</f>
        <v/>
      </c>
      <c r="O465" s="147">
        <f>IF(offer_sale_type="транзит",IFERROR(ROUND(VLOOKUP($B465,calc_data,O$14+1,1),2),0),0)</f>
        <v/>
      </c>
      <c r="P465" s="141">
        <f>IF(offer_sale_type="транзит",IFERROR(ROUND(SUM(I465:J465,M465:O465)/E465,2),0),0)</f>
        <v/>
      </c>
      <c r="Q465" s="141">
        <f>E465*P465</f>
        <v/>
      </c>
      <c r="R465" s="141">
        <f>ROUND(Q465*IF(AND(offer_incoterms="DDP",seller_region="RU"),IF((TODAY()+offer_turnaround_time)&gt;=helpsheet!$L$17,rate_vatRU_from_26,rate_vatRu_till_25),0),2)</f>
        <v/>
      </c>
      <c r="S465" s="177">
        <f>Q465+IF(AND(offer_incoterms="DDP",seller_region="RU"),R465,0)</f>
        <v/>
      </c>
      <c r="T465" s="45" t="n"/>
      <c r="V465" s="57">
        <f>IF(Q465&gt;0,"показать","скрыть")</f>
        <v/>
      </c>
    </row>
    <row r="466" ht="15.75" customHeight="1">
      <c r="B466" s="809" t="n">
        <v>450</v>
      </c>
      <c r="C466" s="182">
        <f>IF(offer_sale_type="транзит",IFERROR(VLOOKUP($B466,calc_data,C$14+1,0),0),0)</f>
        <v/>
      </c>
      <c r="D466" s="280">
        <f>IF(offer_sale_type="транзит",IFERROR(VLOOKUP($B466,calc_data,D$14+1,0),0),0)</f>
        <v/>
      </c>
      <c r="E466" s="182">
        <f>IF(offer_sale_type="транзит",IFERROR(VLOOKUP($B466,calc_data,E$14+1,0),0),0)</f>
        <v/>
      </c>
      <c r="F466" s="182">
        <f>IF(offer_sale_type="транзит",IFERROR(VLOOKUP($B466,calc_data,F$14+1,0),0),0)</f>
        <v/>
      </c>
      <c r="G466" s="141">
        <f>IF(offer_sale_type="транзит",IFERROR(VLOOKUP($B466,calc_data,G$14+1,0),0),0)</f>
        <v/>
      </c>
      <c r="H466" s="141">
        <f>E466*G466</f>
        <v/>
      </c>
      <c r="I466" s="141">
        <f>IF(offer_sale_type="транзит",IFERROR(ROUND(VLOOKUP($B466,calc_data,I$14+1,0),2),0),0)</f>
        <v/>
      </c>
      <c r="J466" s="141">
        <f>ROUND(IF(offer_sale_type="транзит",IFERROR(VLOOKUP($B466,calc_data,J$14+1,0),0),0),2)</f>
        <v/>
      </c>
      <c r="K466" s="142">
        <f>IF(offer_sale_type="транзит",IFERROR(ROUNDUP(VLOOKUP($B466,calc_data,K$14+1,0),2),0),0)</f>
        <v/>
      </c>
      <c r="L466" s="184">
        <f>IF(offer_sale_type="транзит",IFERROR(ROUNDUP(VLOOKUP($B466,calc_data,L$14+1,0),2),0),0)</f>
        <v/>
      </c>
      <c r="M466" s="141">
        <f>IF(offer_sale_type="транзит",IFERROR(ROUNDUP(VLOOKUP($B466,calc_data,M$14+1,0),2),0),0)</f>
        <v/>
      </c>
      <c r="N466" s="141">
        <f>IF(offer_sale_type="транзит",IFERROR(ROUNDUP(VLOOKUP($B466,calc_data,N$14+1,0),2),0),0)</f>
        <v/>
      </c>
      <c r="O466" s="147">
        <f>IF(offer_sale_type="транзит",IFERROR(ROUND(VLOOKUP($B466,calc_data,O$14+1,1),2),0),0)</f>
        <v/>
      </c>
      <c r="P466" s="141">
        <f>IF(offer_sale_type="транзит",IFERROR(ROUND(SUM(I466:J466,M466:O466)/E466,2),0),0)</f>
        <v/>
      </c>
      <c r="Q466" s="141">
        <f>E466*P466</f>
        <v/>
      </c>
      <c r="R466" s="141">
        <f>ROUND(Q466*IF(AND(offer_incoterms="DDP",seller_region="RU"),IF((TODAY()+offer_turnaround_time)&gt;=helpsheet!$L$17,rate_vatRU_from_26,rate_vatRu_till_25),0),2)</f>
        <v/>
      </c>
      <c r="S466" s="177">
        <f>Q466+IF(AND(offer_incoterms="DDP",seller_region="RU"),R466,0)</f>
        <v/>
      </c>
      <c r="T466" s="45" t="n"/>
      <c r="V466" s="57">
        <f>IF(Q466&gt;0,"показать","скрыть")</f>
        <v/>
      </c>
    </row>
    <row r="467" ht="15.75" customHeight="1">
      <c r="B467" s="809" t="n">
        <v>451</v>
      </c>
      <c r="C467" s="182">
        <f>IF(offer_sale_type="транзит",IFERROR(VLOOKUP($B467,calc_data,C$14+1,0),0),0)</f>
        <v/>
      </c>
      <c r="D467" s="280">
        <f>IF(offer_sale_type="транзит",IFERROR(VLOOKUP($B467,calc_data,D$14+1,0),0),0)</f>
        <v/>
      </c>
      <c r="E467" s="182">
        <f>IF(offer_sale_type="транзит",IFERROR(VLOOKUP($B467,calc_data,E$14+1,0),0),0)</f>
        <v/>
      </c>
      <c r="F467" s="182">
        <f>IF(offer_sale_type="транзит",IFERROR(VLOOKUP($B467,calc_data,F$14+1,0),0),0)</f>
        <v/>
      </c>
      <c r="G467" s="141">
        <f>IF(offer_sale_type="транзит",IFERROR(VLOOKUP($B467,calc_data,G$14+1,0),0),0)</f>
        <v/>
      </c>
      <c r="H467" s="141">
        <f>E467*G467</f>
        <v/>
      </c>
      <c r="I467" s="141">
        <f>IF(offer_sale_type="транзит",IFERROR(ROUND(VLOOKUP($B467,calc_data,I$14+1,0),2),0),0)</f>
        <v/>
      </c>
      <c r="J467" s="141">
        <f>ROUND(IF(offer_sale_type="транзит",IFERROR(VLOOKUP($B467,calc_data,J$14+1,0),0),0),2)</f>
        <v/>
      </c>
      <c r="K467" s="142">
        <f>IF(offer_sale_type="транзит",IFERROR(ROUNDUP(VLOOKUP($B467,calc_data,K$14+1,0),2),0),0)</f>
        <v/>
      </c>
      <c r="L467" s="184">
        <f>IF(offer_sale_type="транзит",IFERROR(ROUNDUP(VLOOKUP($B467,calc_data,L$14+1,0),2),0),0)</f>
        <v/>
      </c>
      <c r="M467" s="141">
        <f>IF(offer_sale_type="транзит",IFERROR(ROUNDUP(VLOOKUP($B467,calc_data,M$14+1,0),2),0),0)</f>
        <v/>
      </c>
      <c r="N467" s="141">
        <f>IF(offer_sale_type="транзит",IFERROR(ROUNDUP(VLOOKUP($B467,calc_data,N$14+1,0),2),0),0)</f>
        <v/>
      </c>
      <c r="O467" s="147">
        <f>IF(offer_sale_type="транзит",IFERROR(ROUND(VLOOKUP($B467,calc_data,O$14+1,1),2),0),0)</f>
        <v/>
      </c>
      <c r="P467" s="141">
        <f>IF(offer_sale_type="транзит",IFERROR(ROUND(SUM(I467:J467,M467:O467)/E467,2),0),0)</f>
        <v/>
      </c>
      <c r="Q467" s="141">
        <f>E467*P467</f>
        <v/>
      </c>
      <c r="R467" s="141">
        <f>ROUND(Q467*IF(AND(offer_incoterms="DDP",seller_region="RU"),IF((TODAY()+offer_turnaround_time)&gt;=helpsheet!$L$17,rate_vatRU_from_26,rate_vatRu_till_25),0),2)</f>
        <v/>
      </c>
      <c r="S467" s="177">
        <f>Q467+IF(AND(offer_incoterms="DDP",seller_region="RU"),R467,0)</f>
        <v/>
      </c>
      <c r="T467" s="45" t="n"/>
      <c r="V467" s="57">
        <f>IF(Q467&gt;0,"показать","скрыть")</f>
        <v/>
      </c>
    </row>
    <row r="468" ht="15.75" customHeight="1">
      <c r="B468" s="809" t="n">
        <v>452</v>
      </c>
      <c r="C468" s="182">
        <f>IF(offer_sale_type="транзит",IFERROR(VLOOKUP($B468,calc_data,C$14+1,0),0),0)</f>
        <v/>
      </c>
      <c r="D468" s="280">
        <f>IF(offer_sale_type="транзит",IFERROR(VLOOKUP($B468,calc_data,D$14+1,0),0),0)</f>
        <v/>
      </c>
      <c r="E468" s="182">
        <f>IF(offer_sale_type="транзит",IFERROR(VLOOKUP($B468,calc_data,E$14+1,0),0),0)</f>
        <v/>
      </c>
      <c r="F468" s="182">
        <f>IF(offer_sale_type="транзит",IFERROR(VLOOKUP($B468,calc_data,F$14+1,0),0),0)</f>
        <v/>
      </c>
      <c r="G468" s="141">
        <f>IF(offer_sale_type="транзит",IFERROR(VLOOKUP($B468,calc_data,G$14+1,0),0),0)</f>
        <v/>
      </c>
      <c r="H468" s="141">
        <f>E468*G468</f>
        <v/>
      </c>
      <c r="I468" s="141">
        <f>IF(offer_sale_type="транзит",IFERROR(ROUND(VLOOKUP($B468,calc_data,I$14+1,0),2),0),0)</f>
        <v/>
      </c>
      <c r="J468" s="141">
        <f>ROUND(IF(offer_sale_type="транзит",IFERROR(VLOOKUP($B468,calc_data,J$14+1,0),0),0),2)</f>
        <v/>
      </c>
      <c r="K468" s="142">
        <f>IF(offer_sale_type="транзит",IFERROR(ROUNDUP(VLOOKUP($B468,calc_data,K$14+1,0),2),0),0)</f>
        <v/>
      </c>
      <c r="L468" s="184">
        <f>IF(offer_sale_type="транзит",IFERROR(ROUNDUP(VLOOKUP($B468,calc_data,L$14+1,0),2),0),0)</f>
        <v/>
      </c>
      <c r="M468" s="141">
        <f>IF(offer_sale_type="транзит",IFERROR(ROUNDUP(VLOOKUP($B468,calc_data,M$14+1,0),2),0),0)</f>
        <v/>
      </c>
      <c r="N468" s="141">
        <f>IF(offer_sale_type="транзит",IFERROR(ROUNDUP(VLOOKUP($B468,calc_data,N$14+1,0),2),0),0)</f>
        <v/>
      </c>
      <c r="O468" s="147">
        <f>IF(offer_sale_type="транзит",IFERROR(ROUND(VLOOKUP($B468,calc_data,O$14+1,1),2),0),0)</f>
        <v/>
      </c>
      <c r="P468" s="141">
        <f>IF(offer_sale_type="транзит",IFERROR(ROUND(SUM(I468:J468,M468:O468)/E468,2),0),0)</f>
        <v/>
      </c>
      <c r="Q468" s="141">
        <f>E468*P468</f>
        <v/>
      </c>
      <c r="R468" s="141">
        <f>ROUND(Q468*IF(AND(offer_incoterms="DDP",seller_region="RU"),IF((TODAY()+offer_turnaround_time)&gt;=helpsheet!$L$17,rate_vatRU_from_26,rate_vatRu_till_25),0),2)</f>
        <v/>
      </c>
      <c r="S468" s="177">
        <f>Q468+IF(AND(offer_incoterms="DDP",seller_region="RU"),R468,0)</f>
        <v/>
      </c>
      <c r="T468" s="45" t="n"/>
      <c r="V468" s="57">
        <f>IF(Q468&gt;0,"показать","скрыть")</f>
        <v/>
      </c>
    </row>
    <row r="469" ht="15.75" customHeight="1">
      <c r="B469" s="809" t="n">
        <v>453</v>
      </c>
      <c r="C469" s="182">
        <f>IF(offer_sale_type="транзит",IFERROR(VLOOKUP($B469,calc_data,C$14+1,0),0),0)</f>
        <v/>
      </c>
      <c r="D469" s="280">
        <f>IF(offer_sale_type="транзит",IFERROR(VLOOKUP($B469,calc_data,D$14+1,0),0),0)</f>
        <v/>
      </c>
      <c r="E469" s="182">
        <f>IF(offer_sale_type="транзит",IFERROR(VLOOKUP($B469,calc_data,E$14+1,0),0),0)</f>
        <v/>
      </c>
      <c r="F469" s="182">
        <f>IF(offer_sale_type="транзит",IFERROR(VLOOKUP($B469,calc_data,F$14+1,0),0),0)</f>
        <v/>
      </c>
      <c r="G469" s="141">
        <f>IF(offer_sale_type="транзит",IFERROR(VLOOKUP($B469,calc_data,G$14+1,0),0),0)</f>
        <v/>
      </c>
      <c r="H469" s="141">
        <f>E469*G469</f>
        <v/>
      </c>
      <c r="I469" s="141">
        <f>IF(offer_sale_type="транзит",IFERROR(ROUND(VLOOKUP($B469,calc_data,I$14+1,0),2),0),0)</f>
        <v/>
      </c>
      <c r="J469" s="141">
        <f>ROUND(IF(offer_sale_type="транзит",IFERROR(VLOOKUP($B469,calc_data,J$14+1,0),0),0),2)</f>
        <v/>
      </c>
      <c r="K469" s="142">
        <f>IF(offer_sale_type="транзит",IFERROR(ROUNDUP(VLOOKUP($B469,calc_data,K$14+1,0),2),0),0)</f>
        <v/>
      </c>
      <c r="L469" s="184">
        <f>IF(offer_sale_type="транзит",IFERROR(ROUNDUP(VLOOKUP($B469,calc_data,L$14+1,0),2),0),0)</f>
        <v/>
      </c>
      <c r="M469" s="141">
        <f>IF(offer_sale_type="транзит",IFERROR(ROUNDUP(VLOOKUP($B469,calc_data,M$14+1,0),2),0),0)</f>
        <v/>
      </c>
      <c r="N469" s="141">
        <f>IF(offer_sale_type="транзит",IFERROR(ROUNDUP(VLOOKUP($B469,calc_data,N$14+1,0),2),0),0)</f>
        <v/>
      </c>
      <c r="O469" s="147">
        <f>IF(offer_sale_type="транзит",IFERROR(ROUND(VLOOKUP($B469,calc_data,O$14+1,1),2),0),0)</f>
        <v/>
      </c>
      <c r="P469" s="141">
        <f>IF(offer_sale_type="транзит",IFERROR(ROUND(SUM(I469:J469,M469:O469)/E469,2),0),0)</f>
        <v/>
      </c>
      <c r="Q469" s="141">
        <f>E469*P469</f>
        <v/>
      </c>
      <c r="R469" s="141">
        <f>ROUND(Q469*IF(AND(offer_incoterms="DDP",seller_region="RU"),IF((TODAY()+offer_turnaround_time)&gt;=helpsheet!$L$17,rate_vatRU_from_26,rate_vatRu_till_25),0),2)</f>
        <v/>
      </c>
      <c r="S469" s="177">
        <f>Q469+IF(AND(offer_incoterms="DDP",seller_region="RU"),R469,0)</f>
        <v/>
      </c>
      <c r="T469" s="45" t="n"/>
      <c r="V469" s="57">
        <f>IF(Q469&gt;0,"показать","скрыть")</f>
        <v/>
      </c>
    </row>
    <row r="470" ht="15.75" customHeight="1">
      <c r="B470" s="809" t="n">
        <v>454</v>
      </c>
      <c r="C470" s="182">
        <f>IF(offer_sale_type="транзит",IFERROR(VLOOKUP($B470,calc_data,C$14+1,0),0),0)</f>
        <v/>
      </c>
      <c r="D470" s="280">
        <f>IF(offer_sale_type="транзит",IFERROR(VLOOKUP($B470,calc_data,D$14+1,0),0),0)</f>
        <v/>
      </c>
      <c r="E470" s="182">
        <f>IF(offer_sale_type="транзит",IFERROR(VLOOKUP($B470,calc_data,E$14+1,0),0),0)</f>
        <v/>
      </c>
      <c r="F470" s="182">
        <f>IF(offer_sale_type="транзит",IFERROR(VLOOKUP($B470,calc_data,F$14+1,0),0),0)</f>
        <v/>
      </c>
      <c r="G470" s="141">
        <f>IF(offer_sale_type="транзит",IFERROR(VLOOKUP($B470,calc_data,G$14+1,0),0),0)</f>
        <v/>
      </c>
      <c r="H470" s="141">
        <f>E470*G470</f>
        <v/>
      </c>
      <c r="I470" s="141">
        <f>IF(offer_sale_type="транзит",IFERROR(ROUND(VLOOKUP($B470,calc_data,I$14+1,0),2),0),0)</f>
        <v/>
      </c>
      <c r="J470" s="141">
        <f>ROUND(IF(offer_sale_type="транзит",IFERROR(VLOOKUP($B470,calc_data,J$14+1,0),0),0),2)</f>
        <v/>
      </c>
      <c r="K470" s="142">
        <f>IF(offer_sale_type="транзит",IFERROR(ROUNDUP(VLOOKUP($B470,calc_data,K$14+1,0),2),0),0)</f>
        <v/>
      </c>
      <c r="L470" s="184">
        <f>IF(offer_sale_type="транзит",IFERROR(ROUNDUP(VLOOKUP($B470,calc_data,L$14+1,0),2),0),0)</f>
        <v/>
      </c>
      <c r="M470" s="141">
        <f>IF(offer_sale_type="транзит",IFERROR(ROUNDUP(VLOOKUP($B470,calc_data,M$14+1,0),2),0),0)</f>
        <v/>
      </c>
      <c r="N470" s="141">
        <f>IF(offer_sale_type="транзит",IFERROR(ROUNDUP(VLOOKUP($B470,calc_data,N$14+1,0),2),0),0)</f>
        <v/>
      </c>
      <c r="O470" s="147">
        <f>IF(offer_sale_type="транзит",IFERROR(ROUND(VLOOKUP($B470,calc_data,O$14+1,1),2),0),0)</f>
        <v/>
      </c>
      <c r="P470" s="141">
        <f>IF(offer_sale_type="транзит",IFERROR(ROUND(SUM(I470:J470,M470:O470)/E470,2),0),0)</f>
        <v/>
      </c>
      <c r="Q470" s="141">
        <f>E470*P470</f>
        <v/>
      </c>
      <c r="R470" s="141">
        <f>ROUND(Q470*IF(AND(offer_incoterms="DDP",seller_region="RU"),IF((TODAY()+offer_turnaround_time)&gt;=helpsheet!$L$17,rate_vatRU_from_26,rate_vatRu_till_25),0),2)</f>
        <v/>
      </c>
      <c r="S470" s="177">
        <f>Q470+IF(AND(offer_incoterms="DDP",seller_region="RU"),R470,0)</f>
        <v/>
      </c>
      <c r="T470" s="45" t="n"/>
      <c r="V470" s="57">
        <f>IF(Q470&gt;0,"показать","скрыть")</f>
        <v/>
      </c>
    </row>
    <row r="471" ht="15.75" customHeight="1">
      <c r="B471" s="809" t="n">
        <v>455</v>
      </c>
      <c r="C471" s="182">
        <f>IF(offer_sale_type="транзит",IFERROR(VLOOKUP($B471,calc_data,C$14+1,0),0),0)</f>
        <v/>
      </c>
      <c r="D471" s="280">
        <f>IF(offer_sale_type="транзит",IFERROR(VLOOKUP($B471,calc_data,D$14+1,0),0),0)</f>
        <v/>
      </c>
      <c r="E471" s="182">
        <f>IF(offer_sale_type="транзит",IFERROR(VLOOKUP($B471,calc_data,E$14+1,0),0),0)</f>
        <v/>
      </c>
      <c r="F471" s="182">
        <f>IF(offer_sale_type="транзит",IFERROR(VLOOKUP($B471,calc_data,F$14+1,0),0),0)</f>
        <v/>
      </c>
      <c r="G471" s="141">
        <f>IF(offer_sale_type="транзит",IFERROR(VLOOKUP($B471,calc_data,G$14+1,0),0),0)</f>
        <v/>
      </c>
      <c r="H471" s="141">
        <f>E471*G471</f>
        <v/>
      </c>
      <c r="I471" s="141">
        <f>IF(offer_sale_type="транзит",IFERROR(ROUND(VLOOKUP($B471,calc_data,I$14+1,0),2),0),0)</f>
        <v/>
      </c>
      <c r="J471" s="141">
        <f>ROUND(IF(offer_sale_type="транзит",IFERROR(VLOOKUP($B471,calc_data,J$14+1,0),0),0),2)</f>
        <v/>
      </c>
      <c r="K471" s="142">
        <f>IF(offer_sale_type="транзит",IFERROR(ROUNDUP(VLOOKUP($B471,calc_data,K$14+1,0),2),0),0)</f>
        <v/>
      </c>
      <c r="L471" s="184">
        <f>IF(offer_sale_type="транзит",IFERROR(ROUNDUP(VLOOKUP($B471,calc_data,L$14+1,0),2),0),0)</f>
        <v/>
      </c>
      <c r="M471" s="141">
        <f>IF(offer_sale_type="транзит",IFERROR(ROUNDUP(VLOOKUP($B471,calc_data,M$14+1,0),2),0),0)</f>
        <v/>
      </c>
      <c r="N471" s="141">
        <f>IF(offer_sale_type="транзит",IFERROR(ROUNDUP(VLOOKUP($B471,calc_data,N$14+1,0),2),0),0)</f>
        <v/>
      </c>
      <c r="O471" s="147">
        <f>IF(offer_sale_type="транзит",IFERROR(ROUND(VLOOKUP($B471,calc_data,O$14+1,1),2),0),0)</f>
        <v/>
      </c>
      <c r="P471" s="141">
        <f>IF(offer_sale_type="транзит",IFERROR(ROUND(SUM(I471:J471,M471:O471)/E471,2),0),0)</f>
        <v/>
      </c>
      <c r="Q471" s="141">
        <f>E471*P471</f>
        <v/>
      </c>
      <c r="R471" s="141">
        <f>ROUND(Q471*IF(AND(offer_incoterms="DDP",seller_region="RU"),IF((TODAY()+offer_turnaround_time)&gt;=helpsheet!$L$17,rate_vatRU_from_26,rate_vatRu_till_25),0),2)</f>
        <v/>
      </c>
      <c r="S471" s="177">
        <f>Q471+IF(AND(offer_incoterms="DDP",seller_region="RU"),R471,0)</f>
        <v/>
      </c>
      <c r="T471" s="45" t="n"/>
      <c r="V471" s="57">
        <f>IF(Q471&gt;0,"показать","скрыть")</f>
        <v/>
      </c>
    </row>
    <row r="472" ht="15.75" customHeight="1">
      <c r="B472" s="809" t="n">
        <v>456</v>
      </c>
      <c r="C472" s="182">
        <f>IF(offer_sale_type="транзит",IFERROR(VLOOKUP($B472,calc_data,C$14+1,0),0),0)</f>
        <v/>
      </c>
      <c r="D472" s="280">
        <f>IF(offer_sale_type="транзит",IFERROR(VLOOKUP($B472,calc_data,D$14+1,0),0),0)</f>
        <v/>
      </c>
      <c r="E472" s="182">
        <f>IF(offer_sale_type="транзит",IFERROR(VLOOKUP($B472,calc_data,E$14+1,0),0),0)</f>
        <v/>
      </c>
      <c r="F472" s="182">
        <f>IF(offer_sale_type="транзит",IFERROR(VLOOKUP($B472,calc_data,F$14+1,0),0),0)</f>
        <v/>
      </c>
      <c r="G472" s="141">
        <f>IF(offer_sale_type="транзит",IFERROR(VLOOKUP($B472,calc_data,G$14+1,0),0),0)</f>
        <v/>
      </c>
      <c r="H472" s="141">
        <f>E472*G472</f>
        <v/>
      </c>
      <c r="I472" s="141">
        <f>IF(offer_sale_type="транзит",IFERROR(ROUND(VLOOKUP($B472,calc_data,I$14+1,0),2),0),0)</f>
        <v/>
      </c>
      <c r="J472" s="141">
        <f>ROUND(IF(offer_sale_type="транзит",IFERROR(VLOOKUP($B472,calc_data,J$14+1,0),0),0),2)</f>
        <v/>
      </c>
      <c r="K472" s="142">
        <f>IF(offer_sale_type="транзит",IFERROR(ROUNDUP(VLOOKUP($B472,calc_data,K$14+1,0),2),0),0)</f>
        <v/>
      </c>
      <c r="L472" s="184">
        <f>IF(offer_sale_type="транзит",IFERROR(ROUNDUP(VLOOKUP($B472,calc_data,L$14+1,0),2),0),0)</f>
        <v/>
      </c>
      <c r="M472" s="141">
        <f>IF(offer_sale_type="транзит",IFERROR(ROUNDUP(VLOOKUP($B472,calc_data,M$14+1,0),2),0),0)</f>
        <v/>
      </c>
      <c r="N472" s="141">
        <f>IF(offer_sale_type="транзит",IFERROR(ROUNDUP(VLOOKUP($B472,calc_data,N$14+1,0),2),0),0)</f>
        <v/>
      </c>
      <c r="O472" s="147">
        <f>IF(offer_sale_type="транзит",IFERROR(ROUND(VLOOKUP($B472,calc_data,O$14+1,1),2),0),0)</f>
        <v/>
      </c>
      <c r="P472" s="141">
        <f>IF(offer_sale_type="транзит",IFERROR(ROUND(SUM(I472:J472,M472:O472)/E472,2),0),0)</f>
        <v/>
      </c>
      <c r="Q472" s="141">
        <f>E472*P472</f>
        <v/>
      </c>
      <c r="R472" s="141">
        <f>ROUND(Q472*IF(AND(offer_incoterms="DDP",seller_region="RU"),IF((TODAY()+offer_turnaround_time)&gt;=helpsheet!$L$17,rate_vatRU_from_26,rate_vatRu_till_25),0),2)</f>
        <v/>
      </c>
      <c r="S472" s="177">
        <f>Q472+IF(AND(offer_incoterms="DDP",seller_region="RU"),R472,0)</f>
        <v/>
      </c>
      <c r="T472" s="45" t="n"/>
      <c r="V472" s="57">
        <f>IF(Q472&gt;0,"показать","скрыть")</f>
        <v/>
      </c>
    </row>
    <row r="473" ht="15.75" customHeight="1">
      <c r="B473" s="809" t="n">
        <v>457</v>
      </c>
      <c r="C473" s="182">
        <f>IF(offer_sale_type="транзит",IFERROR(VLOOKUP($B473,calc_data,C$14+1,0),0),0)</f>
        <v/>
      </c>
      <c r="D473" s="280">
        <f>IF(offer_sale_type="транзит",IFERROR(VLOOKUP($B473,calc_data,D$14+1,0),0),0)</f>
        <v/>
      </c>
      <c r="E473" s="182">
        <f>IF(offer_sale_type="транзит",IFERROR(VLOOKUP($B473,calc_data,E$14+1,0),0),0)</f>
        <v/>
      </c>
      <c r="F473" s="182">
        <f>IF(offer_sale_type="транзит",IFERROR(VLOOKUP($B473,calc_data,F$14+1,0),0),0)</f>
        <v/>
      </c>
      <c r="G473" s="141">
        <f>IF(offer_sale_type="транзит",IFERROR(VLOOKUP($B473,calc_data,G$14+1,0),0),0)</f>
        <v/>
      </c>
      <c r="H473" s="141">
        <f>E473*G473</f>
        <v/>
      </c>
      <c r="I473" s="141">
        <f>IF(offer_sale_type="транзит",IFERROR(ROUND(VLOOKUP($B473,calc_data,I$14+1,0),2),0),0)</f>
        <v/>
      </c>
      <c r="J473" s="141">
        <f>ROUND(IF(offer_sale_type="транзит",IFERROR(VLOOKUP($B473,calc_data,J$14+1,0),0),0),2)</f>
        <v/>
      </c>
      <c r="K473" s="142">
        <f>IF(offer_sale_type="транзит",IFERROR(ROUNDUP(VLOOKUP($B473,calc_data,K$14+1,0),2),0),0)</f>
        <v/>
      </c>
      <c r="L473" s="184">
        <f>IF(offer_sale_type="транзит",IFERROR(ROUNDUP(VLOOKUP($B473,calc_data,L$14+1,0),2),0),0)</f>
        <v/>
      </c>
      <c r="M473" s="141">
        <f>IF(offer_sale_type="транзит",IFERROR(ROUNDUP(VLOOKUP($B473,calc_data,M$14+1,0),2),0),0)</f>
        <v/>
      </c>
      <c r="N473" s="141">
        <f>IF(offer_sale_type="транзит",IFERROR(ROUNDUP(VLOOKUP($B473,calc_data,N$14+1,0),2),0),0)</f>
        <v/>
      </c>
      <c r="O473" s="147">
        <f>IF(offer_sale_type="транзит",IFERROR(ROUND(VLOOKUP($B473,calc_data,O$14+1,1),2),0),0)</f>
        <v/>
      </c>
      <c r="P473" s="141">
        <f>IF(offer_sale_type="транзит",IFERROR(ROUND(SUM(I473:J473,M473:O473)/E473,2),0),0)</f>
        <v/>
      </c>
      <c r="Q473" s="141">
        <f>E473*P473</f>
        <v/>
      </c>
      <c r="R473" s="141">
        <f>ROUND(Q473*IF(AND(offer_incoterms="DDP",seller_region="RU"),IF((TODAY()+offer_turnaround_time)&gt;=helpsheet!$L$17,rate_vatRU_from_26,rate_vatRu_till_25),0),2)</f>
        <v/>
      </c>
      <c r="S473" s="177">
        <f>Q473+IF(AND(offer_incoterms="DDP",seller_region="RU"),R473,0)</f>
        <v/>
      </c>
      <c r="T473" s="45" t="n"/>
      <c r="V473" s="57">
        <f>IF(Q473&gt;0,"показать","скрыть")</f>
        <v/>
      </c>
    </row>
    <row r="474" ht="15.75" customHeight="1">
      <c r="B474" s="809" t="n">
        <v>458</v>
      </c>
      <c r="C474" s="182">
        <f>IF(offer_sale_type="транзит",IFERROR(VLOOKUP($B474,calc_data,C$14+1,0),0),0)</f>
        <v/>
      </c>
      <c r="D474" s="280">
        <f>IF(offer_sale_type="транзит",IFERROR(VLOOKUP($B474,calc_data,D$14+1,0),0),0)</f>
        <v/>
      </c>
      <c r="E474" s="182">
        <f>IF(offer_sale_type="транзит",IFERROR(VLOOKUP($B474,calc_data,E$14+1,0),0),0)</f>
        <v/>
      </c>
      <c r="F474" s="182">
        <f>IF(offer_sale_type="транзит",IFERROR(VLOOKUP($B474,calc_data,F$14+1,0),0),0)</f>
        <v/>
      </c>
      <c r="G474" s="141">
        <f>IF(offer_sale_type="транзит",IFERROR(VLOOKUP($B474,calc_data,G$14+1,0),0),0)</f>
        <v/>
      </c>
      <c r="H474" s="141">
        <f>E474*G474</f>
        <v/>
      </c>
      <c r="I474" s="141">
        <f>IF(offer_sale_type="транзит",IFERROR(ROUND(VLOOKUP($B474,calc_data,I$14+1,0),2),0),0)</f>
        <v/>
      </c>
      <c r="J474" s="141">
        <f>ROUND(IF(offer_sale_type="транзит",IFERROR(VLOOKUP($B474,calc_data,J$14+1,0),0),0),2)</f>
        <v/>
      </c>
      <c r="K474" s="142">
        <f>IF(offer_sale_type="транзит",IFERROR(ROUNDUP(VLOOKUP($B474,calc_data,K$14+1,0),2),0),0)</f>
        <v/>
      </c>
      <c r="L474" s="184">
        <f>IF(offer_sale_type="транзит",IFERROR(ROUNDUP(VLOOKUP($B474,calc_data,L$14+1,0),2),0),0)</f>
        <v/>
      </c>
      <c r="M474" s="141">
        <f>IF(offer_sale_type="транзит",IFERROR(ROUNDUP(VLOOKUP($B474,calc_data,M$14+1,0),2),0),0)</f>
        <v/>
      </c>
      <c r="N474" s="141">
        <f>IF(offer_sale_type="транзит",IFERROR(ROUNDUP(VLOOKUP($B474,calc_data,N$14+1,0),2),0),0)</f>
        <v/>
      </c>
      <c r="O474" s="147">
        <f>IF(offer_sale_type="транзит",IFERROR(ROUND(VLOOKUP($B474,calc_data,O$14+1,1),2),0),0)</f>
        <v/>
      </c>
      <c r="P474" s="141">
        <f>IF(offer_sale_type="транзит",IFERROR(ROUND(SUM(I474:J474,M474:O474)/E474,2),0),0)</f>
        <v/>
      </c>
      <c r="Q474" s="141">
        <f>E474*P474</f>
        <v/>
      </c>
      <c r="R474" s="141">
        <f>ROUND(Q474*IF(AND(offer_incoterms="DDP",seller_region="RU"),IF((TODAY()+offer_turnaround_time)&gt;=helpsheet!$L$17,rate_vatRU_from_26,rate_vatRu_till_25),0),2)</f>
        <v/>
      </c>
      <c r="S474" s="177">
        <f>Q474+IF(AND(offer_incoterms="DDP",seller_region="RU"),R474,0)</f>
        <v/>
      </c>
      <c r="T474" s="45" t="n"/>
      <c r="V474" s="57">
        <f>IF(Q474&gt;0,"показать","скрыть")</f>
        <v/>
      </c>
    </row>
    <row r="475" ht="15.75" customHeight="1">
      <c r="B475" s="809" t="n">
        <v>459</v>
      </c>
      <c r="C475" s="182">
        <f>IF(offer_sale_type="транзит",IFERROR(VLOOKUP($B475,calc_data,C$14+1,0),0),0)</f>
        <v/>
      </c>
      <c r="D475" s="280">
        <f>IF(offer_sale_type="транзит",IFERROR(VLOOKUP($B475,calc_data,D$14+1,0),0),0)</f>
        <v/>
      </c>
      <c r="E475" s="182">
        <f>IF(offer_sale_type="транзит",IFERROR(VLOOKUP($B475,calc_data,E$14+1,0),0),0)</f>
        <v/>
      </c>
      <c r="F475" s="182">
        <f>IF(offer_sale_type="транзит",IFERROR(VLOOKUP($B475,calc_data,F$14+1,0),0),0)</f>
        <v/>
      </c>
      <c r="G475" s="141">
        <f>IF(offer_sale_type="транзит",IFERROR(VLOOKUP($B475,calc_data,G$14+1,0),0),0)</f>
        <v/>
      </c>
      <c r="H475" s="141">
        <f>E475*G475</f>
        <v/>
      </c>
      <c r="I475" s="141">
        <f>IF(offer_sale_type="транзит",IFERROR(ROUND(VLOOKUP($B475,calc_data,I$14+1,0),2),0),0)</f>
        <v/>
      </c>
      <c r="J475" s="141">
        <f>ROUND(IF(offer_sale_type="транзит",IFERROR(VLOOKUP($B475,calc_data,J$14+1,0),0),0),2)</f>
        <v/>
      </c>
      <c r="K475" s="142">
        <f>IF(offer_sale_type="транзит",IFERROR(ROUNDUP(VLOOKUP($B475,calc_data,K$14+1,0),2),0),0)</f>
        <v/>
      </c>
      <c r="L475" s="184">
        <f>IF(offer_sale_type="транзит",IFERROR(ROUNDUP(VLOOKUP($B475,calc_data,L$14+1,0),2),0),0)</f>
        <v/>
      </c>
      <c r="M475" s="141">
        <f>IF(offer_sale_type="транзит",IFERROR(ROUNDUP(VLOOKUP($B475,calc_data,M$14+1,0),2),0),0)</f>
        <v/>
      </c>
      <c r="N475" s="141">
        <f>IF(offer_sale_type="транзит",IFERROR(ROUNDUP(VLOOKUP($B475,calc_data,N$14+1,0),2),0),0)</f>
        <v/>
      </c>
      <c r="O475" s="147">
        <f>IF(offer_sale_type="транзит",IFERROR(ROUND(VLOOKUP($B475,calc_data,O$14+1,1),2),0),0)</f>
        <v/>
      </c>
      <c r="P475" s="141">
        <f>IF(offer_sale_type="транзит",IFERROR(ROUND(SUM(I475:J475,M475:O475)/E475,2),0),0)</f>
        <v/>
      </c>
      <c r="Q475" s="141">
        <f>E475*P475</f>
        <v/>
      </c>
      <c r="R475" s="141">
        <f>ROUND(Q475*IF(AND(offer_incoterms="DDP",seller_region="RU"),IF((TODAY()+offer_turnaround_time)&gt;=helpsheet!$L$17,rate_vatRU_from_26,rate_vatRu_till_25),0),2)</f>
        <v/>
      </c>
      <c r="S475" s="177">
        <f>Q475+IF(AND(offer_incoterms="DDP",seller_region="RU"),R475,0)</f>
        <v/>
      </c>
      <c r="T475" s="45" t="n"/>
      <c r="V475" s="57">
        <f>IF(Q475&gt;0,"показать","скрыть")</f>
        <v/>
      </c>
    </row>
    <row r="476" ht="15.75" customHeight="1">
      <c r="B476" s="809" t="n">
        <v>460</v>
      </c>
      <c r="C476" s="182">
        <f>IF(offer_sale_type="транзит",IFERROR(VLOOKUP($B476,calc_data,C$14+1,0),0),0)</f>
        <v/>
      </c>
      <c r="D476" s="280">
        <f>IF(offer_sale_type="транзит",IFERROR(VLOOKUP($B476,calc_data,D$14+1,0),0),0)</f>
        <v/>
      </c>
      <c r="E476" s="182">
        <f>IF(offer_sale_type="транзит",IFERROR(VLOOKUP($B476,calc_data,E$14+1,0),0),0)</f>
        <v/>
      </c>
      <c r="F476" s="182">
        <f>IF(offer_sale_type="транзит",IFERROR(VLOOKUP($B476,calc_data,F$14+1,0),0),0)</f>
        <v/>
      </c>
      <c r="G476" s="141">
        <f>IF(offer_sale_type="транзит",IFERROR(VLOOKUP($B476,calc_data,G$14+1,0),0),0)</f>
        <v/>
      </c>
      <c r="H476" s="141">
        <f>E476*G476</f>
        <v/>
      </c>
      <c r="I476" s="141">
        <f>IF(offer_sale_type="транзит",IFERROR(ROUND(VLOOKUP($B476,calc_data,I$14+1,0),2),0),0)</f>
        <v/>
      </c>
      <c r="J476" s="141">
        <f>ROUND(IF(offer_sale_type="транзит",IFERROR(VLOOKUP($B476,calc_data,J$14+1,0),0),0),2)</f>
        <v/>
      </c>
      <c r="K476" s="142">
        <f>IF(offer_sale_type="транзит",IFERROR(ROUNDUP(VLOOKUP($B476,calc_data,K$14+1,0),2),0),0)</f>
        <v/>
      </c>
      <c r="L476" s="184">
        <f>IF(offer_sale_type="транзит",IFERROR(ROUNDUP(VLOOKUP($B476,calc_data,L$14+1,0),2),0),0)</f>
        <v/>
      </c>
      <c r="M476" s="141">
        <f>IF(offer_sale_type="транзит",IFERROR(ROUNDUP(VLOOKUP($B476,calc_data,M$14+1,0),2),0),0)</f>
        <v/>
      </c>
      <c r="N476" s="141">
        <f>IF(offer_sale_type="транзит",IFERROR(ROUNDUP(VLOOKUP($B476,calc_data,N$14+1,0),2),0),0)</f>
        <v/>
      </c>
      <c r="O476" s="147">
        <f>IF(offer_sale_type="транзит",IFERROR(ROUND(VLOOKUP($B476,calc_data,O$14+1,1),2),0),0)</f>
        <v/>
      </c>
      <c r="P476" s="141">
        <f>IF(offer_sale_type="транзит",IFERROR(ROUND(SUM(I476:J476,M476:O476)/E476,2),0),0)</f>
        <v/>
      </c>
      <c r="Q476" s="141">
        <f>E476*P476</f>
        <v/>
      </c>
      <c r="R476" s="141">
        <f>ROUND(Q476*IF(AND(offer_incoterms="DDP",seller_region="RU"),IF((TODAY()+offer_turnaround_time)&gt;=helpsheet!$L$17,rate_vatRU_from_26,rate_vatRu_till_25),0),2)</f>
        <v/>
      </c>
      <c r="S476" s="177">
        <f>Q476+IF(AND(offer_incoterms="DDP",seller_region="RU"),R476,0)</f>
        <v/>
      </c>
      <c r="T476" s="45" t="n"/>
      <c r="V476" s="57">
        <f>IF(Q476&gt;0,"показать","скрыть")</f>
        <v/>
      </c>
    </row>
    <row r="477" ht="15.75" customHeight="1">
      <c r="B477" s="809" t="n">
        <v>461</v>
      </c>
      <c r="C477" s="182">
        <f>IF(offer_sale_type="транзит",IFERROR(VLOOKUP($B477,calc_data,C$14+1,0),0),0)</f>
        <v/>
      </c>
      <c r="D477" s="280">
        <f>IF(offer_sale_type="транзит",IFERROR(VLOOKUP($B477,calc_data,D$14+1,0),0),0)</f>
        <v/>
      </c>
      <c r="E477" s="182">
        <f>IF(offer_sale_type="транзит",IFERROR(VLOOKUP($B477,calc_data,E$14+1,0),0),0)</f>
        <v/>
      </c>
      <c r="F477" s="182">
        <f>IF(offer_sale_type="транзит",IFERROR(VLOOKUP($B477,calc_data,F$14+1,0),0),0)</f>
        <v/>
      </c>
      <c r="G477" s="141">
        <f>IF(offer_sale_type="транзит",IFERROR(VLOOKUP($B477,calc_data,G$14+1,0),0),0)</f>
        <v/>
      </c>
      <c r="H477" s="141">
        <f>E477*G477</f>
        <v/>
      </c>
      <c r="I477" s="141">
        <f>IF(offer_sale_type="транзит",IFERROR(ROUND(VLOOKUP($B477,calc_data,I$14+1,0),2),0),0)</f>
        <v/>
      </c>
      <c r="J477" s="141">
        <f>ROUND(IF(offer_sale_type="транзит",IFERROR(VLOOKUP($B477,calc_data,J$14+1,0),0),0),2)</f>
        <v/>
      </c>
      <c r="K477" s="142">
        <f>IF(offer_sale_type="транзит",IFERROR(ROUNDUP(VLOOKUP($B477,calc_data,K$14+1,0),2),0),0)</f>
        <v/>
      </c>
      <c r="L477" s="184">
        <f>IF(offer_sale_type="транзит",IFERROR(ROUNDUP(VLOOKUP($B477,calc_data,L$14+1,0),2),0),0)</f>
        <v/>
      </c>
      <c r="M477" s="141">
        <f>IF(offer_sale_type="транзит",IFERROR(ROUNDUP(VLOOKUP($B477,calc_data,M$14+1,0),2),0),0)</f>
        <v/>
      </c>
      <c r="N477" s="141">
        <f>IF(offer_sale_type="транзит",IFERROR(ROUNDUP(VLOOKUP($B477,calc_data,N$14+1,0),2),0),0)</f>
        <v/>
      </c>
      <c r="O477" s="147">
        <f>IF(offer_sale_type="транзит",IFERROR(ROUND(VLOOKUP($B477,calc_data,O$14+1,1),2),0),0)</f>
        <v/>
      </c>
      <c r="P477" s="141">
        <f>IF(offer_sale_type="транзит",IFERROR(ROUND(SUM(I477:J477,M477:O477)/E477,2),0),0)</f>
        <v/>
      </c>
      <c r="Q477" s="141">
        <f>E477*P477</f>
        <v/>
      </c>
      <c r="R477" s="141">
        <f>ROUND(Q477*IF(AND(offer_incoterms="DDP",seller_region="RU"),IF((TODAY()+offer_turnaround_time)&gt;=helpsheet!$L$17,rate_vatRU_from_26,rate_vatRu_till_25),0),2)</f>
        <v/>
      </c>
      <c r="S477" s="177">
        <f>Q477+IF(AND(offer_incoterms="DDP",seller_region="RU"),R477,0)</f>
        <v/>
      </c>
      <c r="T477" s="45" t="n"/>
      <c r="V477" s="57">
        <f>IF(Q477&gt;0,"показать","скрыть")</f>
        <v/>
      </c>
    </row>
    <row r="478" ht="15.75" customHeight="1">
      <c r="B478" s="809" t="n">
        <v>462</v>
      </c>
      <c r="C478" s="182">
        <f>IF(offer_sale_type="транзит",IFERROR(VLOOKUP($B478,calc_data,C$14+1,0),0),0)</f>
        <v/>
      </c>
      <c r="D478" s="280">
        <f>IF(offer_sale_type="транзит",IFERROR(VLOOKUP($B478,calc_data,D$14+1,0),0),0)</f>
        <v/>
      </c>
      <c r="E478" s="182">
        <f>IF(offer_sale_type="транзит",IFERROR(VLOOKUP($B478,calc_data,E$14+1,0),0),0)</f>
        <v/>
      </c>
      <c r="F478" s="182">
        <f>IF(offer_sale_type="транзит",IFERROR(VLOOKUP($B478,calc_data,F$14+1,0),0),0)</f>
        <v/>
      </c>
      <c r="G478" s="141">
        <f>IF(offer_sale_type="транзит",IFERROR(VLOOKUP($B478,calc_data,G$14+1,0),0),0)</f>
        <v/>
      </c>
      <c r="H478" s="141">
        <f>E478*G478</f>
        <v/>
      </c>
      <c r="I478" s="141">
        <f>IF(offer_sale_type="транзит",IFERROR(ROUND(VLOOKUP($B478,calc_data,I$14+1,0),2),0),0)</f>
        <v/>
      </c>
      <c r="J478" s="141">
        <f>ROUND(IF(offer_sale_type="транзит",IFERROR(VLOOKUP($B478,calc_data,J$14+1,0),0),0),2)</f>
        <v/>
      </c>
      <c r="K478" s="142">
        <f>IF(offer_sale_type="транзит",IFERROR(ROUNDUP(VLOOKUP($B478,calc_data,K$14+1,0),2),0),0)</f>
        <v/>
      </c>
      <c r="L478" s="184">
        <f>IF(offer_sale_type="транзит",IFERROR(ROUNDUP(VLOOKUP($B478,calc_data,L$14+1,0),2),0),0)</f>
        <v/>
      </c>
      <c r="M478" s="141">
        <f>IF(offer_sale_type="транзит",IFERROR(ROUNDUP(VLOOKUP($B478,calc_data,M$14+1,0),2),0),0)</f>
        <v/>
      </c>
      <c r="N478" s="141">
        <f>IF(offer_sale_type="транзит",IFERROR(ROUNDUP(VLOOKUP($B478,calc_data,N$14+1,0),2),0),0)</f>
        <v/>
      </c>
      <c r="O478" s="147">
        <f>IF(offer_sale_type="транзит",IFERROR(ROUND(VLOOKUP($B478,calc_data,O$14+1,1),2),0),0)</f>
        <v/>
      </c>
      <c r="P478" s="141">
        <f>IF(offer_sale_type="транзит",IFERROR(ROUND(SUM(I478:J478,M478:O478)/E478,2),0),0)</f>
        <v/>
      </c>
      <c r="Q478" s="141">
        <f>E478*P478</f>
        <v/>
      </c>
      <c r="R478" s="141">
        <f>ROUND(Q478*IF(AND(offer_incoterms="DDP",seller_region="RU"),IF((TODAY()+offer_turnaround_time)&gt;=helpsheet!$L$17,rate_vatRU_from_26,rate_vatRu_till_25),0),2)</f>
        <v/>
      </c>
      <c r="S478" s="177">
        <f>Q478+IF(AND(offer_incoterms="DDP",seller_region="RU"),R478,0)</f>
        <v/>
      </c>
      <c r="T478" s="45" t="n"/>
      <c r="V478" s="57">
        <f>IF(Q478&gt;0,"показать","скрыть")</f>
        <v/>
      </c>
    </row>
    <row r="479" ht="15.75" customHeight="1">
      <c r="B479" s="809" t="n">
        <v>463</v>
      </c>
      <c r="C479" s="182">
        <f>IF(offer_sale_type="транзит",IFERROR(VLOOKUP($B479,calc_data,C$14+1,0),0),0)</f>
        <v/>
      </c>
      <c r="D479" s="280">
        <f>IF(offer_sale_type="транзит",IFERROR(VLOOKUP($B479,calc_data,D$14+1,0),0),0)</f>
        <v/>
      </c>
      <c r="E479" s="182">
        <f>IF(offer_sale_type="транзит",IFERROR(VLOOKUP($B479,calc_data,E$14+1,0),0),0)</f>
        <v/>
      </c>
      <c r="F479" s="182">
        <f>IF(offer_sale_type="транзит",IFERROR(VLOOKUP($B479,calc_data,F$14+1,0),0),0)</f>
        <v/>
      </c>
      <c r="G479" s="141">
        <f>IF(offer_sale_type="транзит",IFERROR(VLOOKUP($B479,calc_data,G$14+1,0),0),0)</f>
        <v/>
      </c>
      <c r="H479" s="141">
        <f>E479*G479</f>
        <v/>
      </c>
      <c r="I479" s="141">
        <f>IF(offer_sale_type="транзит",IFERROR(ROUND(VLOOKUP($B479,calc_data,I$14+1,0),2),0),0)</f>
        <v/>
      </c>
      <c r="J479" s="141">
        <f>ROUND(IF(offer_sale_type="транзит",IFERROR(VLOOKUP($B479,calc_data,J$14+1,0),0),0),2)</f>
        <v/>
      </c>
      <c r="K479" s="142">
        <f>IF(offer_sale_type="транзит",IFERROR(ROUNDUP(VLOOKUP($B479,calc_data,K$14+1,0),2),0),0)</f>
        <v/>
      </c>
      <c r="L479" s="184">
        <f>IF(offer_sale_type="транзит",IFERROR(ROUNDUP(VLOOKUP($B479,calc_data,L$14+1,0),2),0),0)</f>
        <v/>
      </c>
      <c r="M479" s="141">
        <f>IF(offer_sale_type="транзит",IFERROR(ROUNDUP(VLOOKUP($B479,calc_data,M$14+1,0),2),0),0)</f>
        <v/>
      </c>
      <c r="N479" s="141">
        <f>IF(offer_sale_type="транзит",IFERROR(ROUNDUP(VLOOKUP($B479,calc_data,N$14+1,0),2),0),0)</f>
        <v/>
      </c>
      <c r="O479" s="147">
        <f>IF(offer_sale_type="транзит",IFERROR(ROUND(VLOOKUP($B479,calc_data,O$14+1,1),2),0),0)</f>
        <v/>
      </c>
      <c r="P479" s="141">
        <f>IF(offer_sale_type="транзит",IFERROR(ROUND(SUM(I479:J479,M479:O479)/E479,2),0),0)</f>
        <v/>
      </c>
      <c r="Q479" s="141">
        <f>E479*P479</f>
        <v/>
      </c>
      <c r="R479" s="141">
        <f>ROUND(Q479*IF(AND(offer_incoterms="DDP",seller_region="RU"),IF((TODAY()+offer_turnaround_time)&gt;=helpsheet!$L$17,rate_vatRU_from_26,rate_vatRu_till_25),0),2)</f>
        <v/>
      </c>
      <c r="S479" s="177">
        <f>Q479+IF(AND(offer_incoterms="DDP",seller_region="RU"),R479,0)</f>
        <v/>
      </c>
      <c r="T479" s="45" t="n"/>
      <c r="V479" s="57">
        <f>IF(Q479&gt;0,"показать","скрыть")</f>
        <v/>
      </c>
    </row>
    <row r="480" ht="15.75" customHeight="1">
      <c r="B480" s="809" t="n">
        <v>464</v>
      </c>
      <c r="C480" s="182">
        <f>IF(offer_sale_type="транзит",IFERROR(VLOOKUP($B480,calc_data,C$14+1,0),0),0)</f>
        <v/>
      </c>
      <c r="D480" s="280">
        <f>IF(offer_sale_type="транзит",IFERROR(VLOOKUP($B480,calc_data,D$14+1,0),0),0)</f>
        <v/>
      </c>
      <c r="E480" s="182">
        <f>IF(offer_sale_type="транзит",IFERROR(VLOOKUP($B480,calc_data,E$14+1,0),0),0)</f>
        <v/>
      </c>
      <c r="F480" s="182">
        <f>IF(offer_sale_type="транзит",IFERROR(VLOOKUP($B480,calc_data,F$14+1,0),0),0)</f>
        <v/>
      </c>
      <c r="G480" s="141">
        <f>IF(offer_sale_type="транзит",IFERROR(VLOOKUP($B480,calc_data,G$14+1,0),0),0)</f>
        <v/>
      </c>
      <c r="H480" s="141">
        <f>E480*G480</f>
        <v/>
      </c>
      <c r="I480" s="141">
        <f>IF(offer_sale_type="транзит",IFERROR(ROUND(VLOOKUP($B480,calc_data,I$14+1,0),2),0),0)</f>
        <v/>
      </c>
      <c r="J480" s="141">
        <f>ROUND(IF(offer_sale_type="транзит",IFERROR(VLOOKUP($B480,calc_data,J$14+1,0),0),0),2)</f>
        <v/>
      </c>
      <c r="K480" s="142">
        <f>IF(offer_sale_type="транзит",IFERROR(ROUNDUP(VLOOKUP($B480,calc_data,K$14+1,0),2),0),0)</f>
        <v/>
      </c>
      <c r="L480" s="184">
        <f>IF(offer_sale_type="транзит",IFERROR(ROUNDUP(VLOOKUP($B480,calc_data,L$14+1,0),2),0),0)</f>
        <v/>
      </c>
      <c r="M480" s="141">
        <f>IF(offer_sale_type="транзит",IFERROR(ROUNDUP(VLOOKUP($B480,calc_data,M$14+1,0),2),0),0)</f>
        <v/>
      </c>
      <c r="N480" s="141">
        <f>IF(offer_sale_type="транзит",IFERROR(ROUNDUP(VLOOKUP($B480,calc_data,N$14+1,0),2),0),0)</f>
        <v/>
      </c>
      <c r="O480" s="147">
        <f>IF(offer_sale_type="транзит",IFERROR(ROUND(VLOOKUP($B480,calc_data,O$14+1,1),2),0),0)</f>
        <v/>
      </c>
      <c r="P480" s="141">
        <f>IF(offer_sale_type="транзит",IFERROR(ROUND(SUM(I480:J480,M480:O480)/E480,2),0),0)</f>
        <v/>
      </c>
      <c r="Q480" s="141">
        <f>E480*P480</f>
        <v/>
      </c>
      <c r="R480" s="141">
        <f>ROUND(Q480*IF(AND(offer_incoterms="DDP",seller_region="RU"),IF((TODAY()+offer_turnaround_time)&gt;=helpsheet!$L$17,rate_vatRU_from_26,rate_vatRu_till_25),0),2)</f>
        <v/>
      </c>
      <c r="S480" s="177">
        <f>Q480+IF(AND(offer_incoterms="DDP",seller_region="RU"),R480,0)</f>
        <v/>
      </c>
      <c r="T480" s="45" t="n"/>
      <c r="V480" s="57">
        <f>IF(Q480&gt;0,"показать","скрыть")</f>
        <v/>
      </c>
    </row>
    <row r="481" ht="15.75" customHeight="1">
      <c r="B481" s="809" t="n">
        <v>465</v>
      </c>
      <c r="C481" s="182">
        <f>IF(offer_sale_type="транзит",IFERROR(VLOOKUP($B481,calc_data,C$14+1,0),0),0)</f>
        <v/>
      </c>
      <c r="D481" s="280">
        <f>IF(offer_sale_type="транзит",IFERROR(VLOOKUP($B481,calc_data,D$14+1,0),0),0)</f>
        <v/>
      </c>
      <c r="E481" s="182">
        <f>IF(offer_sale_type="транзит",IFERROR(VLOOKUP($B481,calc_data,E$14+1,0),0),0)</f>
        <v/>
      </c>
      <c r="F481" s="182">
        <f>IF(offer_sale_type="транзит",IFERROR(VLOOKUP($B481,calc_data,F$14+1,0),0),0)</f>
        <v/>
      </c>
      <c r="G481" s="141">
        <f>IF(offer_sale_type="транзит",IFERROR(VLOOKUP($B481,calc_data,G$14+1,0),0),0)</f>
        <v/>
      </c>
      <c r="H481" s="141">
        <f>E481*G481</f>
        <v/>
      </c>
      <c r="I481" s="141">
        <f>IF(offer_sale_type="транзит",IFERROR(ROUND(VLOOKUP($B481,calc_data,I$14+1,0),2),0),0)</f>
        <v/>
      </c>
      <c r="J481" s="141">
        <f>ROUND(IF(offer_sale_type="транзит",IFERROR(VLOOKUP($B481,calc_data,J$14+1,0),0),0),2)</f>
        <v/>
      </c>
      <c r="K481" s="142">
        <f>IF(offer_sale_type="транзит",IFERROR(ROUNDUP(VLOOKUP($B481,calc_data,K$14+1,0),2),0),0)</f>
        <v/>
      </c>
      <c r="L481" s="184">
        <f>IF(offer_sale_type="транзит",IFERROR(ROUNDUP(VLOOKUP($B481,calc_data,L$14+1,0),2),0),0)</f>
        <v/>
      </c>
      <c r="M481" s="141">
        <f>IF(offer_sale_type="транзит",IFERROR(ROUNDUP(VLOOKUP($B481,calc_data,M$14+1,0),2),0),0)</f>
        <v/>
      </c>
      <c r="N481" s="141">
        <f>IF(offer_sale_type="транзит",IFERROR(ROUNDUP(VLOOKUP($B481,calc_data,N$14+1,0),2),0),0)</f>
        <v/>
      </c>
      <c r="O481" s="147">
        <f>IF(offer_sale_type="транзит",IFERROR(ROUND(VLOOKUP($B481,calc_data,O$14+1,1),2),0),0)</f>
        <v/>
      </c>
      <c r="P481" s="141">
        <f>IF(offer_sale_type="транзит",IFERROR(ROUND(SUM(I481:J481,M481:O481)/E481,2),0),0)</f>
        <v/>
      </c>
      <c r="Q481" s="141">
        <f>E481*P481</f>
        <v/>
      </c>
      <c r="R481" s="141">
        <f>ROUND(Q481*IF(AND(offer_incoterms="DDP",seller_region="RU"),IF((TODAY()+offer_turnaround_time)&gt;=helpsheet!$L$17,rate_vatRU_from_26,rate_vatRu_till_25),0),2)</f>
        <v/>
      </c>
      <c r="S481" s="177">
        <f>Q481+IF(AND(offer_incoterms="DDP",seller_region="RU"),R481,0)</f>
        <v/>
      </c>
      <c r="T481" s="45" t="n"/>
      <c r="V481" s="57">
        <f>IF(Q481&gt;0,"показать","скрыть")</f>
        <v/>
      </c>
    </row>
    <row r="482" ht="15.75" customHeight="1">
      <c r="B482" s="809" t="n">
        <v>466</v>
      </c>
      <c r="C482" s="182">
        <f>IF(offer_sale_type="транзит",IFERROR(VLOOKUP($B482,calc_data,C$14+1,0),0),0)</f>
        <v/>
      </c>
      <c r="D482" s="280">
        <f>IF(offer_sale_type="транзит",IFERROR(VLOOKUP($B482,calc_data,D$14+1,0),0),0)</f>
        <v/>
      </c>
      <c r="E482" s="182">
        <f>IF(offer_sale_type="транзит",IFERROR(VLOOKUP($B482,calc_data,E$14+1,0),0),0)</f>
        <v/>
      </c>
      <c r="F482" s="182">
        <f>IF(offer_sale_type="транзит",IFERROR(VLOOKUP($B482,calc_data,F$14+1,0),0),0)</f>
        <v/>
      </c>
      <c r="G482" s="141">
        <f>IF(offer_sale_type="транзит",IFERROR(VLOOKUP($B482,calc_data,G$14+1,0),0),0)</f>
        <v/>
      </c>
      <c r="H482" s="141">
        <f>E482*G482</f>
        <v/>
      </c>
      <c r="I482" s="141">
        <f>IF(offer_sale_type="транзит",IFERROR(ROUND(VLOOKUP($B482,calc_data,I$14+1,0),2),0),0)</f>
        <v/>
      </c>
      <c r="J482" s="141">
        <f>ROUND(IF(offer_sale_type="транзит",IFERROR(VLOOKUP($B482,calc_data,J$14+1,0),0),0),2)</f>
        <v/>
      </c>
      <c r="K482" s="142">
        <f>IF(offer_sale_type="транзит",IFERROR(ROUNDUP(VLOOKUP($B482,calc_data,K$14+1,0),2),0),0)</f>
        <v/>
      </c>
      <c r="L482" s="184">
        <f>IF(offer_sale_type="транзит",IFERROR(ROUNDUP(VLOOKUP($B482,calc_data,L$14+1,0),2),0),0)</f>
        <v/>
      </c>
      <c r="M482" s="141">
        <f>IF(offer_sale_type="транзит",IFERROR(ROUNDUP(VLOOKUP($B482,calc_data,M$14+1,0),2),0),0)</f>
        <v/>
      </c>
      <c r="N482" s="141">
        <f>IF(offer_sale_type="транзит",IFERROR(ROUNDUP(VLOOKUP($B482,calc_data,N$14+1,0),2),0),0)</f>
        <v/>
      </c>
      <c r="O482" s="147">
        <f>IF(offer_sale_type="транзит",IFERROR(ROUND(VLOOKUP($B482,calc_data,O$14+1,1),2),0),0)</f>
        <v/>
      </c>
      <c r="P482" s="141">
        <f>IF(offer_sale_type="транзит",IFERROR(ROUND(SUM(I482:J482,M482:O482)/E482,2),0),0)</f>
        <v/>
      </c>
      <c r="Q482" s="141">
        <f>E482*P482</f>
        <v/>
      </c>
      <c r="R482" s="141">
        <f>ROUND(Q482*IF(AND(offer_incoterms="DDP",seller_region="RU"),IF((TODAY()+offer_turnaround_time)&gt;=helpsheet!$L$17,rate_vatRU_from_26,rate_vatRu_till_25),0),2)</f>
        <v/>
      </c>
      <c r="S482" s="177">
        <f>Q482+IF(AND(offer_incoterms="DDP",seller_region="RU"),R482,0)</f>
        <v/>
      </c>
      <c r="T482" s="45" t="n"/>
      <c r="V482" s="57">
        <f>IF(Q482&gt;0,"показать","скрыть")</f>
        <v/>
      </c>
    </row>
    <row r="483" ht="15.75" customHeight="1">
      <c r="B483" s="809" t="n">
        <v>467</v>
      </c>
      <c r="C483" s="182">
        <f>IF(offer_sale_type="транзит",IFERROR(VLOOKUP($B483,calc_data,C$14+1,0),0),0)</f>
        <v/>
      </c>
      <c r="D483" s="280">
        <f>IF(offer_sale_type="транзит",IFERROR(VLOOKUP($B483,calc_data,D$14+1,0),0),0)</f>
        <v/>
      </c>
      <c r="E483" s="182">
        <f>IF(offer_sale_type="транзит",IFERROR(VLOOKUP($B483,calc_data,E$14+1,0),0),0)</f>
        <v/>
      </c>
      <c r="F483" s="182">
        <f>IF(offer_sale_type="транзит",IFERROR(VLOOKUP($B483,calc_data,F$14+1,0),0),0)</f>
        <v/>
      </c>
      <c r="G483" s="141">
        <f>IF(offer_sale_type="транзит",IFERROR(VLOOKUP($B483,calc_data,G$14+1,0),0),0)</f>
        <v/>
      </c>
      <c r="H483" s="141">
        <f>E483*G483</f>
        <v/>
      </c>
      <c r="I483" s="141">
        <f>IF(offer_sale_type="транзит",IFERROR(ROUND(VLOOKUP($B483,calc_data,I$14+1,0),2),0),0)</f>
        <v/>
      </c>
      <c r="J483" s="141">
        <f>ROUND(IF(offer_sale_type="транзит",IFERROR(VLOOKUP($B483,calc_data,J$14+1,0),0),0),2)</f>
        <v/>
      </c>
      <c r="K483" s="142">
        <f>IF(offer_sale_type="транзит",IFERROR(ROUNDUP(VLOOKUP($B483,calc_data,K$14+1,0),2),0),0)</f>
        <v/>
      </c>
      <c r="L483" s="184">
        <f>IF(offer_sale_type="транзит",IFERROR(ROUNDUP(VLOOKUP($B483,calc_data,L$14+1,0),2),0),0)</f>
        <v/>
      </c>
      <c r="M483" s="141">
        <f>IF(offer_sale_type="транзит",IFERROR(ROUNDUP(VLOOKUP($B483,calc_data,M$14+1,0),2),0),0)</f>
        <v/>
      </c>
      <c r="N483" s="141">
        <f>IF(offer_sale_type="транзит",IFERROR(ROUNDUP(VLOOKUP($B483,calc_data,N$14+1,0),2),0),0)</f>
        <v/>
      </c>
      <c r="O483" s="147">
        <f>IF(offer_sale_type="транзит",IFERROR(ROUND(VLOOKUP($B483,calc_data,O$14+1,1),2),0),0)</f>
        <v/>
      </c>
      <c r="P483" s="141">
        <f>IF(offer_sale_type="транзит",IFERROR(ROUND(SUM(I483:J483,M483:O483)/E483,2),0),0)</f>
        <v/>
      </c>
      <c r="Q483" s="141">
        <f>E483*P483</f>
        <v/>
      </c>
      <c r="R483" s="141">
        <f>ROUND(Q483*IF(AND(offer_incoterms="DDP",seller_region="RU"),IF((TODAY()+offer_turnaround_time)&gt;=helpsheet!$L$17,rate_vatRU_from_26,rate_vatRu_till_25),0),2)</f>
        <v/>
      </c>
      <c r="S483" s="177">
        <f>Q483+IF(AND(offer_incoterms="DDP",seller_region="RU"),R483,0)</f>
        <v/>
      </c>
      <c r="T483" s="45" t="n"/>
      <c r="V483" s="57">
        <f>IF(Q483&gt;0,"показать","скрыть")</f>
        <v/>
      </c>
    </row>
    <row r="484" ht="15.75" customHeight="1">
      <c r="B484" s="809" t="n">
        <v>468</v>
      </c>
      <c r="C484" s="182">
        <f>IF(offer_sale_type="транзит",IFERROR(VLOOKUP($B484,calc_data,C$14+1,0),0),0)</f>
        <v/>
      </c>
      <c r="D484" s="280">
        <f>IF(offer_sale_type="транзит",IFERROR(VLOOKUP($B484,calc_data,D$14+1,0),0),0)</f>
        <v/>
      </c>
      <c r="E484" s="182">
        <f>IF(offer_sale_type="транзит",IFERROR(VLOOKUP($B484,calc_data,E$14+1,0),0),0)</f>
        <v/>
      </c>
      <c r="F484" s="182">
        <f>IF(offer_sale_type="транзит",IFERROR(VLOOKUP($B484,calc_data,F$14+1,0),0),0)</f>
        <v/>
      </c>
      <c r="G484" s="141">
        <f>IF(offer_sale_type="транзит",IFERROR(VLOOKUP($B484,calc_data,G$14+1,0),0),0)</f>
        <v/>
      </c>
      <c r="H484" s="141">
        <f>E484*G484</f>
        <v/>
      </c>
      <c r="I484" s="141">
        <f>IF(offer_sale_type="транзит",IFERROR(ROUND(VLOOKUP($B484,calc_data,I$14+1,0),2),0),0)</f>
        <v/>
      </c>
      <c r="J484" s="141">
        <f>ROUND(IF(offer_sale_type="транзит",IFERROR(VLOOKUP($B484,calc_data,J$14+1,0),0),0),2)</f>
        <v/>
      </c>
      <c r="K484" s="142">
        <f>IF(offer_sale_type="транзит",IFERROR(ROUNDUP(VLOOKUP($B484,calc_data,K$14+1,0),2),0),0)</f>
        <v/>
      </c>
      <c r="L484" s="184">
        <f>IF(offer_sale_type="транзит",IFERROR(ROUNDUP(VLOOKUP($B484,calc_data,L$14+1,0),2),0),0)</f>
        <v/>
      </c>
      <c r="M484" s="141">
        <f>IF(offer_sale_type="транзит",IFERROR(ROUNDUP(VLOOKUP($B484,calc_data,M$14+1,0),2),0),0)</f>
        <v/>
      </c>
      <c r="N484" s="141">
        <f>IF(offer_sale_type="транзит",IFERROR(ROUNDUP(VLOOKUP($B484,calc_data,N$14+1,0),2),0),0)</f>
        <v/>
      </c>
      <c r="O484" s="147">
        <f>IF(offer_sale_type="транзит",IFERROR(ROUND(VLOOKUP($B484,calc_data,O$14+1,1),2),0),0)</f>
        <v/>
      </c>
      <c r="P484" s="141">
        <f>IF(offer_sale_type="транзит",IFERROR(ROUND(SUM(I484:J484,M484:O484)/E484,2),0),0)</f>
        <v/>
      </c>
      <c r="Q484" s="141">
        <f>E484*P484</f>
        <v/>
      </c>
      <c r="R484" s="141">
        <f>ROUND(Q484*IF(AND(offer_incoterms="DDP",seller_region="RU"),IF((TODAY()+offer_turnaround_time)&gt;=helpsheet!$L$17,rate_vatRU_from_26,rate_vatRu_till_25),0),2)</f>
        <v/>
      </c>
      <c r="S484" s="177">
        <f>Q484+IF(AND(offer_incoterms="DDP",seller_region="RU"),R484,0)</f>
        <v/>
      </c>
      <c r="T484" s="45" t="n"/>
      <c r="V484" s="57">
        <f>IF(Q484&gt;0,"показать","скрыть")</f>
        <v/>
      </c>
    </row>
    <row r="485" ht="15.75" customHeight="1">
      <c r="B485" s="809" t="n">
        <v>469</v>
      </c>
      <c r="C485" s="182">
        <f>IF(offer_sale_type="транзит",IFERROR(VLOOKUP($B485,calc_data,C$14+1,0),0),0)</f>
        <v/>
      </c>
      <c r="D485" s="280">
        <f>IF(offer_sale_type="транзит",IFERROR(VLOOKUP($B485,calc_data,D$14+1,0),0),0)</f>
        <v/>
      </c>
      <c r="E485" s="182">
        <f>IF(offer_sale_type="транзит",IFERROR(VLOOKUP($B485,calc_data,E$14+1,0),0),0)</f>
        <v/>
      </c>
      <c r="F485" s="182">
        <f>IF(offer_sale_type="транзит",IFERROR(VLOOKUP($B485,calc_data,F$14+1,0),0),0)</f>
        <v/>
      </c>
      <c r="G485" s="141">
        <f>IF(offer_sale_type="транзит",IFERROR(VLOOKUP($B485,calc_data,G$14+1,0),0),0)</f>
        <v/>
      </c>
      <c r="H485" s="141">
        <f>E485*G485</f>
        <v/>
      </c>
      <c r="I485" s="141">
        <f>IF(offer_sale_type="транзит",IFERROR(ROUND(VLOOKUP($B485,calc_data,I$14+1,0),2),0),0)</f>
        <v/>
      </c>
      <c r="J485" s="141">
        <f>ROUND(IF(offer_sale_type="транзит",IFERROR(VLOOKUP($B485,calc_data,J$14+1,0),0),0),2)</f>
        <v/>
      </c>
      <c r="K485" s="142">
        <f>IF(offer_sale_type="транзит",IFERROR(ROUNDUP(VLOOKUP($B485,calc_data,K$14+1,0),2),0),0)</f>
        <v/>
      </c>
      <c r="L485" s="184">
        <f>IF(offer_sale_type="транзит",IFERROR(ROUNDUP(VLOOKUP($B485,calc_data,L$14+1,0),2),0),0)</f>
        <v/>
      </c>
      <c r="M485" s="141">
        <f>IF(offer_sale_type="транзит",IFERROR(ROUNDUP(VLOOKUP($B485,calc_data,M$14+1,0),2),0),0)</f>
        <v/>
      </c>
      <c r="N485" s="141">
        <f>IF(offer_sale_type="транзит",IFERROR(ROUNDUP(VLOOKUP($B485,calc_data,N$14+1,0),2),0),0)</f>
        <v/>
      </c>
      <c r="O485" s="147">
        <f>IF(offer_sale_type="транзит",IFERROR(ROUND(VLOOKUP($B485,calc_data,O$14+1,1),2),0),0)</f>
        <v/>
      </c>
      <c r="P485" s="141">
        <f>IF(offer_sale_type="транзит",IFERROR(ROUND(SUM(I485:J485,M485:O485)/E485,2),0),0)</f>
        <v/>
      </c>
      <c r="Q485" s="141">
        <f>E485*P485</f>
        <v/>
      </c>
      <c r="R485" s="141">
        <f>ROUND(Q485*IF(AND(offer_incoterms="DDP",seller_region="RU"),IF((TODAY()+offer_turnaround_time)&gt;=helpsheet!$L$17,rate_vatRU_from_26,rate_vatRu_till_25),0),2)</f>
        <v/>
      </c>
      <c r="S485" s="177">
        <f>Q485+IF(AND(offer_incoterms="DDP",seller_region="RU"),R485,0)</f>
        <v/>
      </c>
      <c r="T485" s="45" t="n"/>
      <c r="V485" s="57">
        <f>IF(Q485&gt;0,"показать","скрыть")</f>
        <v/>
      </c>
    </row>
    <row r="486" ht="15.75" customHeight="1">
      <c r="B486" s="809" t="n">
        <v>470</v>
      </c>
      <c r="C486" s="182">
        <f>IF(offer_sale_type="транзит",IFERROR(VLOOKUP($B486,calc_data,C$14+1,0),0),0)</f>
        <v/>
      </c>
      <c r="D486" s="280">
        <f>IF(offer_sale_type="транзит",IFERROR(VLOOKUP($B486,calc_data,D$14+1,0),0),0)</f>
        <v/>
      </c>
      <c r="E486" s="182">
        <f>IF(offer_sale_type="транзит",IFERROR(VLOOKUP($B486,calc_data,E$14+1,0),0),0)</f>
        <v/>
      </c>
      <c r="F486" s="182">
        <f>IF(offer_sale_type="транзит",IFERROR(VLOOKUP($B486,calc_data,F$14+1,0),0),0)</f>
        <v/>
      </c>
      <c r="G486" s="141">
        <f>IF(offer_sale_type="транзит",IFERROR(VLOOKUP($B486,calc_data,G$14+1,0),0),0)</f>
        <v/>
      </c>
      <c r="H486" s="141">
        <f>E486*G486</f>
        <v/>
      </c>
      <c r="I486" s="141">
        <f>IF(offer_sale_type="транзит",IFERROR(ROUND(VLOOKUP($B486,calc_data,I$14+1,0),2),0),0)</f>
        <v/>
      </c>
      <c r="J486" s="141">
        <f>ROUND(IF(offer_sale_type="транзит",IFERROR(VLOOKUP($B486,calc_data,J$14+1,0),0),0),2)</f>
        <v/>
      </c>
      <c r="K486" s="142">
        <f>IF(offer_sale_type="транзит",IFERROR(ROUNDUP(VLOOKUP($B486,calc_data,K$14+1,0),2),0),0)</f>
        <v/>
      </c>
      <c r="L486" s="184">
        <f>IF(offer_sale_type="транзит",IFERROR(ROUNDUP(VLOOKUP($B486,calc_data,L$14+1,0),2),0),0)</f>
        <v/>
      </c>
      <c r="M486" s="141">
        <f>IF(offer_sale_type="транзит",IFERROR(ROUNDUP(VLOOKUP($B486,calc_data,M$14+1,0),2),0),0)</f>
        <v/>
      </c>
      <c r="N486" s="141">
        <f>IF(offer_sale_type="транзит",IFERROR(ROUNDUP(VLOOKUP($B486,calc_data,N$14+1,0),2),0),0)</f>
        <v/>
      </c>
      <c r="O486" s="147">
        <f>IF(offer_sale_type="транзит",IFERROR(ROUND(VLOOKUP($B486,calc_data,O$14+1,1),2),0),0)</f>
        <v/>
      </c>
      <c r="P486" s="141">
        <f>IF(offer_sale_type="транзит",IFERROR(ROUND(SUM(I486:J486,M486:O486)/E486,2),0),0)</f>
        <v/>
      </c>
      <c r="Q486" s="141">
        <f>E486*P486</f>
        <v/>
      </c>
      <c r="R486" s="141">
        <f>ROUND(Q486*IF(AND(offer_incoterms="DDP",seller_region="RU"),IF((TODAY()+offer_turnaround_time)&gt;=helpsheet!$L$17,rate_vatRU_from_26,rate_vatRu_till_25),0),2)</f>
        <v/>
      </c>
      <c r="S486" s="177">
        <f>Q486+IF(AND(offer_incoterms="DDP",seller_region="RU"),R486,0)</f>
        <v/>
      </c>
      <c r="T486" s="45" t="n"/>
      <c r="V486" s="57">
        <f>IF(Q486&gt;0,"показать","скрыть")</f>
        <v/>
      </c>
    </row>
    <row r="487" ht="15.75" customHeight="1">
      <c r="B487" s="809" t="n">
        <v>471</v>
      </c>
      <c r="C487" s="182">
        <f>IF(offer_sale_type="транзит",IFERROR(VLOOKUP($B487,calc_data,C$14+1,0),0),0)</f>
        <v/>
      </c>
      <c r="D487" s="280">
        <f>IF(offer_sale_type="транзит",IFERROR(VLOOKUP($B487,calc_data,D$14+1,0),0),0)</f>
        <v/>
      </c>
      <c r="E487" s="182">
        <f>IF(offer_sale_type="транзит",IFERROR(VLOOKUP($B487,calc_data,E$14+1,0),0),0)</f>
        <v/>
      </c>
      <c r="F487" s="182">
        <f>IF(offer_sale_type="транзит",IFERROR(VLOOKUP($B487,calc_data,F$14+1,0),0),0)</f>
        <v/>
      </c>
      <c r="G487" s="141">
        <f>IF(offer_sale_type="транзит",IFERROR(VLOOKUP($B487,calc_data,G$14+1,0),0),0)</f>
        <v/>
      </c>
      <c r="H487" s="141">
        <f>E487*G487</f>
        <v/>
      </c>
      <c r="I487" s="141">
        <f>IF(offer_sale_type="транзит",IFERROR(ROUND(VLOOKUP($B487,calc_data,I$14+1,0),2),0),0)</f>
        <v/>
      </c>
      <c r="J487" s="141">
        <f>ROUND(IF(offer_sale_type="транзит",IFERROR(VLOOKUP($B487,calc_data,J$14+1,0),0),0),2)</f>
        <v/>
      </c>
      <c r="K487" s="142">
        <f>IF(offer_sale_type="транзит",IFERROR(ROUNDUP(VLOOKUP($B487,calc_data,K$14+1,0),2),0),0)</f>
        <v/>
      </c>
      <c r="L487" s="184">
        <f>IF(offer_sale_type="транзит",IFERROR(ROUNDUP(VLOOKUP($B487,calc_data,L$14+1,0),2),0),0)</f>
        <v/>
      </c>
      <c r="M487" s="141">
        <f>IF(offer_sale_type="транзит",IFERROR(ROUNDUP(VLOOKUP($B487,calc_data,M$14+1,0),2),0),0)</f>
        <v/>
      </c>
      <c r="N487" s="141">
        <f>IF(offer_sale_type="транзит",IFERROR(ROUNDUP(VLOOKUP($B487,calc_data,N$14+1,0),2),0),0)</f>
        <v/>
      </c>
      <c r="O487" s="147">
        <f>IF(offer_sale_type="транзит",IFERROR(ROUND(VLOOKUP($B487,calc_data,O$14+1,1),2),0),0)</f>
        <v/>
      </c>
      <c r="P487" s="141">
        <f>IF(offer_sale_type="транзит",IFERROR(ROUND(SUM(I487:J487,M487:O487)/E487,2),0),0)</f>
        <v/>
      </c>
      <c r="Q487" s="141">
        <f>E487*P487</f>
        <v/>
      </c>
      <c r="R487" s="141">
        <f>ROUND(Q487*IF(AND(offer_incoterms="DDP",seller_region="RU"),IF((TODAY()+offer_turnaround_time)&gt;=helpsheet!$L$17,rate_vatRU_from_26,rate_vatRu_till_25),0),2)</f>
        <v/>
      </c>
      <c r="S487" s="177">
        <f>Q487+IF(AND(offer_incoterms="DDP",seller_region="RU"),R487,0)</f>
        <v/>
      </c>
      <c r="T487" s="45" t="n"/>
      <c r="V487" s="57">
        <f>IF(Q487&gt;0,"показать","скрыть")</f>
        <v/>
      </c>
    </row>
    <row r="488" ht="15.75" customHeight="1">
      <c r="B488" s="809" t="n">
        <v>472</v>
      </c>
      <c r="C488" s="182">
        <f>IF(offer_sale_type="транзит",IFERROR(VLOOKUP($B488,calc_data,C$14+1,0),0),0)</f>
        <v/>
      </c>
      <c r="D488" s="280">
        <f>IF(offer_sale_type="транзит",IFERROR(VLOOKUP($B488,calc_data,D$14+1,0),0),0)</f>
        <v/>
      </c>
      <c r="E488" s="182">
        <f>IF(offer_sale_type="транзит",IFERROR(VLOOKUP($B488,calc_data,E$14+1,0),0),0)</f>
        <v/>
      </c>
      <c r="F488" s="182">
        <f>IF(offer_sale_type="транзит",IFERROR(VLOOKUP($B488,calc_data,F$14+1,0),0),0)</f>
        <v/>
      </c>
      <c r="G488" s="141">
        <f>IF(offer_sale_type="транзит",IFERROR(VLOOKUP($B488,calc_data,G$14+1,0),0),0)</f>
        <v/>
      </c>
      <c r="H488" s="141">
        <f>E488*G488</f>
        <v/>
      </c>
      <c r="I488" s="141">
        <f>IF(offer_sale_type="транзит",IFERROR(ROUND(VLOOKUP($B488,calc_data,I$14+1,0),2),0),0)</f>
        <v/>
      </c>
      <c r="J488" s="141">
        <f>ROUND(IF(offer_sale_type="транзит",IFERROR(VLOOKUP($B488,calc_data,J$14+1,0),0),0),2)</f>
        <v/>
      </c>
      <c r="K488" s="142">
        <f>IF(offer_sale_type="транзит",IFERROR(ROUNDUP(VLOOKUP($B488,calc_data,K$14+1,0),2),0),0)</f>
        <v/>
      </c>
      <c r="L488" s="184">
        <f>IF(offer_sale_type="транзит",IFERROR(ROUNDUP(VLOOKUP($B488,calc_data,L$14+1,0),2),0),0)</f>
        <v/>
      </c>
      <c r="M488" s="141">
        <f>IF(offer_sale_type="транзит",IFERROR(ROUNDUP(VLOOKUP($B488,calc_data,M$14+1,0),2),0),0)</f>
        <v/>
      </c>
      <c r="N488" s="141">
        <f>IF(offer_sale_type="транзит",IFERROR(ROUNDUP(VLOOKUP($B488,calc_data,N$14+1,0),2),0),0)</f>
        <v/>
      </c>
      <c r="O488" s="147">
        <f>IF(offer_sale_type="транзит",IFERROR(ROUND(VLOOKUP($B488,calc_data,O$14+1,1),2),0),0)</f>
        <v/>
      </c>
      <c r="P488" s="141">
        <f>IF(offer_sale_type="транзит",IFERROR(ROUND(SUM(I488:J488,M488:O488)/E488,2),0),0)</f>
        <v/>
      </c>
      <c r="Q488" s="141">
        <f>E488*P488</f>
        <v/>
      </c>
      <c r="R488" s="141">
        <f>ROUND(Q488*IF(AND(offer_incoterms="DDP",seller_region="RU"),IF((TODAY()+offer_turnaround_time)&gt;=helpsheet!$L$17,rate_vatRU_from_26,rate_vatRu_till_25),0),2)</f>
        <v/>
      </c>
      <c r="S488" s="177">
        <f>Q488+IF(AND(offer_incoterms="DDP",seller_region="RU"),R488,0)</f>
        <v/>
      </c>
      <c r="T488" s="45" t="n"/>
      <c r="V488" s="57">
        <f>IF(Q488&gt;0,"показать","скрыть")</f>
        <v/>
      </c>
    </row>
    <row r="489" ht="15.75" customHeight="1">
      <c r="B489" s="809" t="n">
        <v>473</v>
      </c>
      <c r="C489" s="182">
        <f>IF(offer_sale_type="транзит",IFERROR(VLOOKUP($B489,calc_data,C$14+1,0),0),0)</f>
        <v/>
      </c>
      <c r="D489" s="280">
        <f>IF(offer_sale_type="транзит",IFERROR(VLOOKUP($B489,calc_data,D$14+1,0),0),0)</f>
        <v/>
      </c>
      <c r="E489" s="182">
        <f>IF(offer_sale_type="транзит",IFERROR(VLOOKUP($B489,calc_data,E$14+1,0),0),0)</f>
        <v/>
      </c>
      <c r="F489" s="182">
        <f>IF(offer_sale_type="транзит",IFERROR(VLOOKUP($B489,calc_data,F$14+1,0),0),0)</f>
        <v/>
      </c>
      <c r="G489" s="141">
        <f>IF(offer_sale_type="транзит",IFERROR(VLOOKUP($B489,calc_data,G$14+1,0),0),0)</f>
        <v/>
      </c>
      <c r="H489" s="141">
        <f>E489*G489</f>
        <v/>
      </c>
      <c r="I489" s="141">
        <f>IF(offer_sale_type="транзит",IFERROR(ROUND(VLOOKUP($B489,calc_data,I$14+1,0),2),0),0)</f>
        <v/>
      </c>
      <c r="J489" s="141">
        <f>ROUND(IF(offer_sale_type="транзит",IFERROR(VLOOKUP($B489,calc_data,J$14+1,0),0),0),2)</f>
        <v/>
      </c>
      <c r="K489" s="142">
        <f>IF(offer_sale_type="транзит",IFERROR(ROUNDUP(VLOOKUP($B489,calc_data,K$14+1,0),2),0),0)</f>
        <v/>
      </c>
      <c r="L489" s="184">
        <f>IF(offer_sale_type="транзит",IFERROR(ROUNDUP(VLOOKUP($B489,calc_data,L$14+1,0),2),0),0)</f>
        <v/>
      </c>
      <c r="M489" s="141">
        <f>IF(offer_sale_type="транзит",IFERROR(ROUNDUP(VLOOKUP($B489,calc_data,M$14+1,0),2),0),0)</f>
        <v/>
      </c>
      <c r="N489" s="141">
        <f>IF(offer_sale_type="транзит",IFERROR(ROUNDUP(VLOOKUP($B489,calc_data,N$14+1,0),2),0),0)</f>
        <v/>
      </c>
      <c r="O489" s="147">
        <f>IF(offer_sale_type="транзит",IFERROR(ROUND(VLOOKUP($B489,calc_data,O$14+1,1),2),0),0)</f>
        <v/>
      </c>
      <c r="P489" s="141">
        <f>IF(offer_sale_type="транзит",IFERROR(ROUND(SUM(I489:J489,M489:O489)/E489,2),0),0)</f>
        <v/>
      </c>
      <c r="Q489" s="141">
        <f>E489*P489</f>
        <v/>
      </c>
      <c r="R489" s="141">
        <f>ROUND(Q489*IF(AND(offer_incoterms="DDP",seller_region="RU"),IF((TODAY()+offer_turnaround_time)&gt;=helpsheet!$L$17,rate_vatRU_from_26,rate_vatRu_till_25),0),2)</f>
        <v/>
      </c>
      <c r="S489" s="177">
        <f>Q489+IF(AND(offer_incoterms="DDP",seller_region="RU"),R489,0)</f>
        <v/>
      </c>
      <c r="T489" s="45" t="n"/>
      <c r="V489" s="57">
        <f>IF(Q489&gt;0,"показать","скрыть")</f>
        <v/>
      </c>
    </row>
    <row r="490" ht="15.75" customHeight="1">
      <c r="B490" s="809" t="n">
        <v>474</v>
      </c>
      <c r="C490" s="182">
        <f>IF(offer_sale_type="транзит",IFERROR(VLOOKUP($B490,calc_data,C$14+1,0),0),0)</f>
        <v/>
      </c>
      <c r="D490" s="280">
        <f>IF(offer_sale_type="транзит",IFERROR(VLOOKUP($B490,calc_data,D$14+1,0),0),0)</f>
        <v/>
      </c>
      <c r="E490" s="182">
        <f>IF(offer_sale_type="транзит",IFERROR(VLOOKUP($B490,calc_data,E$14+1,0),0),0)</f>
        <v/>
      </c>
      <c r="F490" s="182">
        <f>IF(offer_sale_type="транзит",IFERROR(VLOOKUP($B490,calc_data,F$14+1,0),0),0)</f>
        <v/>
      </c>
      <c r="G490" s="141">
        <f>IF(offer_sale_type="транзит",IFERROR(VLOOKUP($B490,calc_data,G$14+1,0),0),0)</f>
        <v/>
      </c>
      <c r="H490" s="141">
        <f>E490*G490</f>
        <v/>
      </c>
      <c r="I490" s="141">
        <f>IF(offer_sale_type="транзит",IFERROR(ROUND(VLOOKUP($B490,calc_data,I$14+1,0),2),0),0)</f>
        <v/>
      </c>
      <c r="J490" s="141">
        <f>ROUND(IF(offer_sale_type="транзит",IFERROR(VLOOKUP($B490,calc_data,J$14+1,0),0),0),2)</f>
        <v/>
      </c>
      <c r="K490" s="142">
        <f>IF(offer_sale_type="транзит",IFERROR(ROUNDUP(VLOOKUP($B490,calc_data,K$14+1,0),2),0),0)</f>
        <v/>
      </c>
      <c r="L490" s="184">
        <f>IF(offer_sale_type="транзит",IFERROR(ROUNDUP(VLOOKUP($B490,calc_data,L$14+1,0),2),0),0)</f>
        <v/>
      </c>
      <c r="M490" s="141">
        <f>IF(offer_sale_type="транзит",IFERROR(ROUNDUP(VLOOKUP($B490,calc_data,M$14+1,0),2),0),0)</f>
        <v/>
      </c>
      <c r="N490" s="141">
        <f>IF(offer_sale_type="транзит",IFERROR(ROUNDUP(VLOOKUP($B490,calc_data,N$14+1,0),2),0),0)</f>
        <v/>
      </c>
      <c r="O490" s="147">
        <f>IF(offer_sale_type="транзит",IFERROR(ROUND(VLOOKUP($B490,calc_data,O$14+1,1),2),0),0)</f>
        <v/>
      </c>
      <c r="P490" s="141">
        <f>IF(offer_sale_type="транзит",IFERROR(ROUND(SUM(I490:J490,M490:O490)/E490,2),0),0)</f>
        <v/>
      </c>
      <c r="Q490" s="141">
        <f>E490*P490</f>
        <v/>
      </c>
      <c r="R490" s="141">
        <f>ROUND(Q490*IF(AND(offer_incoterms="DDP",seller_region="RU"),IF((TODAY()+offer_turnaround_time)&gt;=helpsheet!$L$17,rate_vatRU_from_26,rate_vatRu_till_25),0),2)</f>
        <v/>
      </c>
      <c r="S490" s="177">
        <f>Q490+IF(AND(offer_incoterms="DDP",seller_region="RU"),R490,0)</f>
        <v/>
      </c>
      <c r="T490" s="45" t="n"/>
      <c r="V490" s="57">
        <f>IF(Q490&gt;0,"показать","скрыть")</f>
        <v/>
      </c>
    </row>
    <row r="491" ht="15.75" customHeight="1">
      <c r="B491" s="809" t="n">
        <v>475</v>
      </c>
      <c r="C491" s="182">
        <f>IF(offer_sale_type="транзит",IFERROR(VLOOKUP($B491,calc_data,C$14+1,0),0),0)</f>
        <v/>
      </c>
      <c r="D491" s="280">
        <f>IF(offer_sale_type="транзит",IFERROR(VLOOKUP($B491,calc_data,D$14+1,0),0),0)</f>
        <v/>
      </c>
      <c r="E491" s="182">
        <f>IF(offer_sale_type="транзит",IFERROR(VLOOKUP($B491,calc_data,E$14+1,0),0),0)</f>
        <v/>
      </c>
      <c r="F491" s="182">
        <f>IF(offer_sale_type="транзит",IFERROR(VLOOKUP($B491,calc_data,F$14+1,0),0),0)</f>
        <v/>
      </c>
      <c r="G491" s="141">
        <f>IF(offer_sale_type="транзит",IFERROR(VLOOKUP($B491,calc_data,G$14+1,0),0),0)</f>
        <v/>
      </c>
      <c r="H491" s="141">
        <f>E491*G491</f>
        <v/>
      </c>
      <c r="I491" s="141">
        <f>IF(offer_sale_type="транзит",IFERROR(ROUND(VLOOKUP($B491,calc_data,I$14+1,0),2),0),0)</f>
        <v/>
      </c>
      <c r="J491" s="141">
        <f>ROUND(IF(offer_sale_type="транзит",IFERROR(VLOOKUP($B491,calc_data,J$14+1,0),0),0),2)</f>
        <v/>
      </c>
      <c r="K491" s="142">
        <f>IF(offer_sale_type="транзит",IFERROR(ROUNDUP(VLOOKUP($B491,calc_data,K$14+1,0),2),0),0)</f>
        <v/>
      </c>
      <c r="L491" s="184">
        <f>IF(offer_sale_type="транзит",IFERROR(ROUNDUP(VLOOKUP($B491,calc_data,L$14+1,0),2),0),0)</f>
        <v/>
      </c>
      <c r="M491" s="141">
        <f>IF(offer_sale_type="транзит",IFERROR(ROUNDUP(VLOOKUP($B491,calc_data,M$14+1,0),2),0),0)</f>
        <v/>
      </c>
      <c r="N491" s="141">
        <f>IF(offer_sale_type="транзит",IFERROR(ROUNDUP(VLOOKUP($B491,calc_data,N$14+1,0),2),0),0)</f>
        <v/>
      </c>
      <c r="O491" s="147">
        <f>IF(offer_sale_type="транзит",IFERROR(ROUND(VLOOKUP($B491,calc_data,O$14+1,1),2),0),0)</f>
        <v/>
      </c>
      <c r="P491" s="141">
        <f>IF(offer_sale_type="транзит",IFERROR(ROUND(SUM(I491:J491,M491:O491)/E491,2),0),0)</f>
        <v/>
      </c>
      <c r="Q491" s="141">
        <f>E491*P491</f>
        <v/>
      </c>
      <c r="R491" s="141">
        <f>ROUND(Q491*IF(AND(offer_incoterms="DDP",seller_region="RU"),IF((TODAY()+offer_turnaround_time)&gt;=helpsheet!$L$17,rate_vatRU_from_26,rate_vatRu_till_25),0),2)</f>
        <v/>
      </c>
      <c r="S491" s="177">
        <f>Q491+IF(AND(offer_incoterms="DDP",seller_region="RU"),R491,0)</f>
        <v/>
      </c>
      <c r="T491" s="45" t="n"/>
      <c r="V491" s="57">
        <f>IF(Q491&gt;0,"показать","скрыть")</f>
        <v/>
      </c>
    </row>
    <row r="492" ht="15.75" customHeight="1">
      <c r="B492" s="809" t="n">
        <v>476</v>
      </c>
      <c r="C492" s="182">
        <f>IF(offer_sale_type="транзит",IFERROR(VLOOKUP($B492,calc_data,C$14+1,0),0),0)</f>
        <v/>
      </c>
      <c r="D492" s="280">
        <f>IF(offer_sale_type="транзит",IFERROR(VLOOKUP($B492,calc_data,D$14+1,0),0),0)</f>
        <v/>
      </c>
      <c r="E492" s="182">
        <f>IF(offer_sale_type="транзит",IFERROR(VLOOKUP($B492,calc_data,E$14+1,0),0),0)</f>
        <v/>
      </c>
      <c r="F492" s="182">
        <f>IF(offer_sale_type="транзит",IFERROR(VLOOKUP($B492,calc_data,F$14+1,0),0),0)</f>
        <v/>
      </c>
      <c r="G492" s="141">
        <f>IF(offer_sale_type="транзит",IFERROR(VLOOKUP($B492,calc_data,G$14+1,0),0),0)</f>
        <v/>
      </c>
      <c r="H492" s="141">
        <f>E492*G492</f>
        <v/>
      </c>
      <c r="I492" s="141">
        <f>IF(offer_sale_type="транзит",IFERROR(ROUND(VLOOKUP($B492,calc_data,I$14+1,0),2),0),0)</f>
        <v/>
      </c>
      <c r="J492" s="141">
        <f>ROUND(IF(offer_sale_type="транзит",IFERROR(VLOOKUP($B492,calc_data,J$14+1,0),0),0),2)</f>
        <v/>
      </c>
      <c r="K492" s="142">
        <f>IF(offer_sale_type="транзит",IFERROR(ROUNDUP(VLOOKUP($B492,calc_data,K$14+1,0),2),0),0)</f>
        <v/>
      </c>
      <c r="L492" s="184">
        <f>IF(offer_sale_type="транзит",IFERROR(ROUNDUP(VLOOKUP($B492,calc_data,L$14+1,0),2),0),0)</f>
        <v/>
      </c>
      <c r="M492" s="141">
        <f>IF(offer_sale_type="транзит",IFERROR(ROUNDUP(VLOOKUP($B492,calc_data,M$14+1,0),2),0),0)</f>
        <v/>
      </c>
      <c r="N492" s="141">
        <f>IF(offer_sale_type="транзит",IFERROR(ROUNDUP(VLOOKUP($B492,calc_data,N$14+1,0),2),0),0)</f>
        <v/>
      </c>
      <c r="O492" s="147">
        <f>IF(offer_sale_type="транзит",IFERROR(ROUND(VLOOKUP($B492,calc_data,O$14+1,1),2),0),0)</f>
        <v/>
      </c>
      <c r="P492" s="141">
        <f>IF(offer_sale_type="транзит",IFERROR(ROUND(SUM(I492:J492,M492:O492)/E492,2),0),0)</f>
        <v/>
      </c>
      <c r="Q492" s="141">
        <f>E492*P492</f>
        <v/>
      </c>
      <c r="R492" s="141">
        <f>ROUND(Q492*IF(AND(offer_incoterms="DDP",seller_region="RU"),IF((TODAY()+offer_turnaround_time)&gt;=helpsheet!$L$17,rate_vatRU_from_26,rate_vatRu_till_25),0),2)</f>
        <v/>
      </c>
      <c r="S492" s="177">
        <f>Q492+IF(AND(offer_incoterms="DDP",seller_region="RU"),R492,0)</f>
        <v/>
      </c>
      <c r="T492" s="45" t="n"/>
      <c r="V492" s="57">
        <f>IF(Q492&gt;0,"показать","скрыть")</f>
        <v/>
      </c>
    </row>
    <row r="493" ht="15.75" customHeight="1">
      <c r="B493" s="809" t="n">
        <v>477</v>
      </c>
      <c r="C493" s="182">
        <f>IF(offer_sale_type="транзит",IFERROR(VLOOKUP($B493,calc_data,C$14+1,0),0),0)</f>
        <v/>
      </c>
      <c r="D493" s="280">
        <f>IF(offer_sale_type="транзит",IFERROR(VLOOKUP($B493,calc_data,D$14+1,0),0),0)</f>
        <v/>
      </c>
      <c r="E493" s="182">
        <f>IF(offer_sale_type="транзит",IFERROR(VLOOKUP($B493,calc_data,E$14+1,0),0),0)</f>
        <v/>
      </c>
      <c r="F493" s="182">
        <f>IF(offer_sale_type="транзит",IFERROR(VLOOKUP($B493,calc_data,F$14+1,0),0),0)</f>
        <v/>
      </c>
      <c r="G493" s="141">
        <f>IF(offer_sale_type="транзит",IFERROR(VLOOKUP($B493,calc_data,G$14+1,0),0),0)</f>
        <v/>
      </c>
      <c r="H493" s="141">
        <f>E493*G493</f>
        <v/>
      </c>
      <c r="I493" s="141">
        <f>IF(offer_sale_type="транзит",IFERROR(ROUND(VLOOKUP($B493,calc_data,I$14+1,0),2),0),0)</f>
        <v/>
      </c>
      <c r="J493" s="141">
        <f>ROUND(IF(offer_sale_type="транзит",IFERROR(VLOOKUP($B493,calc_data,J$14+1,0),0),0),2)</f>
        <v/>
      </c>
      <c r="K493" s="142">
        <f>IF(offer_sale_type="транзит",IFERROR(ROUNDUP(VLOOKUP($B493,calc_data,K$14+1,0),2),0),0)</f>
        <v/>
      </c>
      <c r="L493" s="184">
        <f>IF(offer_sale_type="транзит",IFERROR(ROUNDUP(VLOOKUP($B493,calc_data,L$14+1,0),2),0),0)</f>
        <v/>
      </c>
      <c r="M493" s="141">
        <f>IF(offer_sale_type="транзит",IFERROR(ROUNDUP(VLOOKUP($B493,calc_data,M$14+1,0),2),0),0)</f>
        <v/>
      </c>
      <c r="N493" s="141">
        <f>IF(offer_sale_type="транзит",IFERROR(ROUNDUP(VLOOKUP($B493,calc_data,N$14+1,0),2),0),0)</f>
        <v/>
      </c>
      <c r="O493" s="147">
        <f>IF(offer_sale_type="транзит",IFERROR(ROUND(VLOOKUP($B493,calc_data,O$14+1,1),2),0),0)</f>
        <v/>
      </c>
      <c r="P493" s="141">
        <f>IF(offer_sale_type="транзит",IFERROR(ROUND(SUM(I493:J493,M493:O493)/E493,2),0),0)</f>
        <v/>
      </c>
      <c r="Q493" s="141">
        <f>E493*P493</f>
        <v/>
      </c>
      <c r="R493" s="141">
        <f>ROUND(Q493*IF(AND(offer_incoterms="DDP",seller_region="RU"),IF((TODAY()+offer_turnaround_time)&gt;=helpsheet!$L$17,rate_vatRU_from_26,rate_vatRu_till_25),0),2)</f>
        <v/>
      </c>
      <c r="S493" s="177">
        <f>Q493+IF(AND(offer_incoterms="DDP",seller_region="RU"),R493,0)</f>
        <v/>
      </c>
      <c r="T493" s="45" t="n"/>
      <c r="V493" s="57">
        <f>IF(Q493&gt;0,"показать","скрыть")</f>
        <v/>
      </c>
    </row>
    <row r="494" ht="15.75" customHeight="1">
      <c r="B494" s="809" t="n">
        <v>478</v>
      </c>
      <c r="C494" s="182">
        <f>IF(offer_sale_type="транзит",IFERROR(VLOOKUP($B494,calc_data,C$14+1,0),0),0)</f>
        <v/>
      </c>
      <c r="D494" s="280">
        <f>IF(offer_sale_type="транзит",IFERROR(VLOOKUP($B494,calc_data,D$14+1,0),0),0)</f>
        <v/>
      </c>
      <c r="E494" s="182">
        <f>IF(offer_sale_type="транзит",IFERROR(VLOOKUP($B494,calc_data,E$14+1,0),0),0)</f>
        <v/>
      </c>
      <c r="F494" s="182">
        <f>IF(offer_sale_type="транзит",IFERROR(VLOOKUP($B494,calc_data,F$14+1,0),0),0)</f>
        <v/>
      </c>
      <c r="G494" s="141">
        <f>IF(offer_sale_type="транзит",IFERROR(VLOOKUP($B494,calc_data,G$14+1,0),0),0)</f>
        <v/>
      </c>
      <c r="H494" s="141">
        <f>E494*G494</f>
        <v/>
      </c>
      <c r="I494" s="141">
        <f>IF(offer_sale_type="транзит",IFERROR(ROUND(VLOOKUP($B494,calc_data,I$14+1,0),2),0),0)</f>
        <v/>
      </c>
      <c r="J494" s="141">
        <f>ROUND(IF(offer_sale_type="транзит",IFERROR(VLOOKUP($B494,calc_data,J$14+1,0),0),0),2)</f>
        <v/>
      </c>
      <c r="K494" s="142">
        <f>IF(offer_sale_type="транзит",IFERROR(ROUNDUP(VLOOKUP($B494,calc_data,K$14+1,0),2),0),0)</f>
        <v/>
      </c>
      <c r="L494" s="184">
        <f>IF(offer_sale_type="транзит",IFERROR(ROUNDUP(VLOOKUP($B494,calc_data,L$14+1,0),2),0),0)</f>
        <v/>
      </c>
      <c r="M494" s="141">
        <f>IF(offer_sale_type="транзит",IFERROR(ROUNDUP(VLOOKUP($B494,calc_data,M$14+1,0),2),0),0)</f>
        <v/>
      </c>
      <c r="N494" s="141">
        <f>IF(offer_sale_type="транзит",IFERROR(ROUNDUP(VLOOKUP($B494,calc_data,N$14+1,0),2),0),0)</f>
        <v/>
      </c>
      <c r="O494" s="147">
        <f>IF(offer_sale_type="транзит",IFERROR(ROUND(VLOOKUP($B494,calc_data,O$14+1,1),2),0),0)</f>
        <v/>
      </c>
      <c r="P494" s="141">
        <f>IF(offer_sale_type="транзит",IFERROR(ROUND(SUM(I494:J494,M494:O494)/E494,2),0),0)</f>
        <v/>
      </c>
      <c r="Q494" s="141">
        <f>E494*P494</f>
        <v/>
      </c>
      <c r="R494" s="141">
        <f>ROUND(Q494*IF(AND(offer_incoterms="DDP",seller_region="RU"),IF((TODAY()+offer_turnaround_time)&gt;=helpsheet!$L$17,rate_vatRU_from_26,rate_vatRu_till_25),0),2)</f>
        <v/>
      </c>
      <c r="S494" s="177">
        <f>Q494+IF(AND(offer_incoterms="DDP",seller_region="RU"),R494,0)</f>
        <v/>
      </c>
      <c r="T494" s="45" t="n"/>
      <c r="V494" s="57">
        <f>IF(Q494&gt;0,"показать","скрыть")</f>
        <v/>
      </c>
    </row>
    <row r="495" ht="15.75" customHeight="1">
      <c r="B495" s="809" t="n">
        <v>479</v>
      </c>
      <c r="C495" s="182">
        <f>IF(offer_sale_type="транзит",IFERROR(VLOOKUP($B495,calc_data,C$14+1,0),0),0)</f>
        <v/>
      </c>
      <c r="D495" s="280">
        <f>IF(offer_sale_type="транзит",IFERROR(VLOOKUP($B495,calc_data,D$14+1,0),0),0)</f>
        <v/>
      </c>
      <c r="E495" s="182">
        <f>IF(offer_sale_type="транзит",IFERROR(VLOOKUP($B495,calc_data,E$14+1,0),0),0)</f>
        <v/>
      </c>
      <c r="F495" s="182">
        <f>IF(offer_sale_type="транзит",IFERROR(VLOOKUP($B495,calc_data,F$14+1,0),0),0)</f>
        <v/>
      </c>
      <c r="G495" s="141">
        <f>IF(offer_sale_type="транзит",IFERROR(VLOOKUP($B495,calc_data,G$14+1,0),0),0)</f>
        <v/>
      </c>
      <c r="H495" s="141">
        <f>E495*G495</f>
        <v/>
      </c>
      <c r="I495" s="141">
        <f>IF(offer_sale_type="транзит",IFERROR(ROUND(VLOOKUP($B495,calc_data,I$14+1,0),2),0),0)</f>
        <v/>
      </c>
      <c r="J495" s="141">
        <f>ROUND(IF(offer_sale_type="транзит",IFERROR(VLOOKUP($B495,calc_data,J$14+1,0),0),0),2)</f>
        <v/>
      </c>
      <c r="K495" s="142">
        <f>IF(offer_sale_type="транзит",IFERROR(ROUNDUP(VLOOKUP($B495,calc_data,K$14+1,0),2),0),0)</f>
        <v/>
      </c>
      <c r="L495" s="184">
        <f>IF(offer_sale_type="транзит",IFERROR(ROUNDUP(VLOOKUP($B495,calc_data,L$14+1,0),2),0),0)</f>
        <v/>
      </c>
      <c r="M495" s="141">
        <f>IF(offer_sale_type="транзит",IFERROR(ROUNDUP(VLOOKUP($B495,calc_data,M$14+1,0),2),0),0)</f>
        <v/>
      </c>
      <c r="N495" s="141">
        <f>IF(offer_sale_type="транзит",IFERROR(ROUNDUP(VLOOKUP($B495,calc_data,N$14+1,0),2),0),0)</f>
        <v/>
      </c>
      <c r="O495" s="147">
        <f>IF(offer_sale_type="транзит",IFERROR(ROUND(VLOOKUP($B495,calc_data,O$14+1,1),2),0),0)</f>
        <v/>
      </c>
      <c r="P495" s="141">
        <f>IF(offer_sale_type="транзит",IFERROR(ROUND(SUM(I495:J495,M495:O495)/E495,2),0),0)</f>
        <v/>
      </c>
      <c r="Q495" s="141">
        <f>E495*P495</f>
        <v/>
      </c>
      <c r="R495" s="141">
        <f>ROUND(Q495*IF(AND(offer_incoterms="DDP",seller_region="RU"),IF((TODAY()+offer_turnaround_time)&gt;=helpsheet!$L$17,rate_vatRU_from_26,rate_vatRu_till_25),0),2)</f>
        <v/>
      </c>
      <c r="S495" s="177">
        <f>Q495+IF(AND(offer_incoterms="DDP",seller_region="RU"),R495,0)</f>
        <v/>
      </c>
      <c r="T495" s="45" t="n"/>
      <c r="V495" s="57">
        <f>IF(Q495&gt;0,"показать","скрыть")</f>
        <v/>
      </c>
    </row>
    <row r="496" ht="15.75" customHeight="1">
      <c r="B496" s="809" t="n">
        <v>480</v>
      </c>
      <c r="C496" s="182">
        <f>IF(offer_sale_type="транзит",IFERROR(VLOOKUP($B496,calc_data,C$14+1,0),0),0)</f>
        <v/>
      </c>
      <c r="D496" s="280">
        <f>IF(offer_sale_type="транзит",IFERROR(VLOOKUP($B496,calc_data,D$14+1,0),0),0)</f>
        <v/>
      </c>
      <c r="E496" s="182">
        <f>IF(offer_sale_type="транзит",IFERROR(VLOOKUP($B496,calc_data,E$14+1,0),0),0)</f>
        <v/>
      </c>
      <c r="F496" s="182">
        <f>IF(offer_sale_type="транзит",IFERROR(VLOOKUP($B496,calc_data,F$14+1,0),0),0)</f>
        <v/>
      </c>
      <c r="G496" s="141">
        <f>IF(offer_sale_type="транзит",IFERROR(VLOOKUP($B496,calc_data,G$14+1,0),0),0)</f>
        <v/>
      </c>
      <c r="H496" s="141">
        <f>E496*G496</f>
        <v/>
      </c>
      <c r="I496" s="141">
        <f>IF(offer_sale_type="транзит",IFERROR(ROUND(VLOOKUP($B496,calc_data,I$14+1,0),2),0),0)</f>
        <v/>
      </c>
      <c r="J496" s="141">
        <f>ROUND(IF(offer_sale_type="транзит",IFERROR(VLOOKUP($B496,calc_data,J$14+1,0),0),0),2)</f>
        <v/>
      </c>
      <c r="K496" s="142">
        <f>IF(offer_sale_type="транзит",IFERROR(ROUNDUP(VLOOKUP($B496,calc_data,K$14+1,0),2),0),0)</f>
        <v/>
      </c>
      <c r="L496" s="184">
        <f>IF(offer_sale_type="транзит",IFERROR(ROUNDUP(VLOOKUP($B496,calc_data,L$14+1,0),2),0),0)</f>
        <v/>
      </c>
      <c r="M496" s="141">
        <f>IF(offer_sale_type="транзит",IFERROR(ROUNDUP(VLOOKUP($B496,calc_data,M$14+1,0),2),0),0)</f>
        <v/>
      </c>
      <c r="N496" s="141">
        <f>IF(offer_sale_type="транзит",IFERROR(ROUNDUP(VLOOKUP($B496,calc_data,N$14+1,0),2),0),0)</f>
        <v/>
      </c>
      <c r="O496" s="147">
        <f>IF(offer_sale_type="транзит",IFERROR(ROUND(VLOOKUP($B496,calc_data,O$14+1,1),2),0),0)</f>
        <v/>
      </c>
      <c r="P496" s="141">
        <f>IF(offer_sale_type="транзит",IFERROR(ROUND(SUM(I496:J496,M496:O496)/E496,2),0),0)</f>
        <v/>
      </c>
      <c r="Q496" s="141">
        <f>E496*P496</f>
        <v/>
      </c>
      <c r="R496" s="141">
        <f>ROUND(Q496*IF(AND(offer_incoterms="DDP",seller_region="RU"),IF((TODAY()+offer_turnaround_time)&gt;=helpsheet!$L$17,rate_vatRU_from_26,rate_vatRu_till_25),0),2)</f>
        <v/>
      </c>
      <c r="S496" s="177">
        <f>Q496+IF(AND(offer_incoterms="DDP",seller_region="RU"),R496,0)</f>
        <v/>
      </c>
      <c r="T496" s="45" t="n"/>
      <c r="V496" s="57">
        <f>IF(Q496&gt;0,"показать","скрыть")</f>
        <v/>
      </c>
    </row>
    <row r="497" ht="15.75" customHeight="1">
      <c r="B497" s="809" t="n">
        <v>481</v>
      </c>
      <c r="C497" s="182">
        <f>IF(offer_sale_type="транзит",IFERROR(VLOOKUP($B497,calc_data,C$14+1,0),0),0)</f>
        <v/>
      </c>
      <c r="D497" s="280">
        <f>IF(offer_sale_type="транзит",IFERROR(VLOOKUP($B497,calc_data,D$14+1,0),0),0)</f>
        <v/>
      </c>
      <c r="E497" s="182">
        <f>IF(offer_sale_type="транзит",IFERROR(VLOOKUP($B497,calc_data,E$14+1,0),0),0)</f>
        <v/>
      </c>
      <c r="F497" s="182">
        <f>IF(offer_sale_type="транзит",IFERROR(VLOOKUP($B497,calc_data,F$14+1,0),0),0)</f>
        <v/>
      </c>
      <c r="G497" s="141">
        <f>IF(offer_sale_type="транзит",IFERROR(VLOOKUP($B497,calc_data,G$14+1,0),0),0)</f>
        <v/>
      </c>
      <c r="H497" s="141">
        <f>E497*G497</f>
        <v/>
      </c>
      <c r="I497" s="141">
        <f>IF(offer_sale_type="транзит",IFERROR(ROUND(VLOOKUP($B497,calc_data,I$14+1,0),2),0),0)</f>
        <v/>
      </c>
      <c r="J497" s="141">
        <f>ROUND(IF(offer_sale_type="транзит",IFERROR(VLOOKUP($B497,calc_data,J$14+1,0),0),0),2)</f>
        <v/>
      </c>
      <c r="K497" s="142">
        <f>IF(offer_sale_type="транзит",IFERROR(ROUNDUP(VLOOKUP($B497,calc_data,K$14+1,0),2),0),0)</f>
        <v/>
      </c>
      <c r="L497" s="184">
        <f>IF(offer_sale_type="транзит",IFERROR(ROUNDUP(VLOOKUP($B497,calc_data,L$14+1,0),2),0),0)</f>
        <v/>
      </c>
      <c r="M497" s="141">
        <f>IF(offer_sale_type="транзит",IFERROR(ROUNDUP(VLOOKUP($B497,calc_data,M$14+1,0),2),0),0)</f>
        <v/>
      </c>
      <c r="N497" s="141">
        <f>IF(offer_sale_type="транзит",IFERROR(ROUNDUP(VLOOKUP($B497,calc_data,N$14+1,0),2),0),0)</f>
        <v/>
      </c>
      <c r="O497" s="147">
        <f>IF(offer_sale_type="транзит",IFERROR(ROUND(VLOOKUP($B497,calc_data,O$14+1,1),2),0),0)</f>
        <v/>
      </c>
      <c r="P497" s="141">
        <f>IF(offer_sale_type="транзит",IFERROR(ROUND(SUM(I497:J497,M497:O497)/E497,2),0),0)</f>
        <v/>
      </c>
      <c r="Q497" s="141">
        <f>E497*P497</f>
        <v/>
      </c>
      <c r="R497" s="141">
        <f>ROUND(Q497*IF(AND(offer_incoterms="DDP",seller_region="RU"),IF((TODAY()+offer_turnaround_time)&gt;=helpsheet!$L$17,rate_vatRU_from_26,rate_vatRu_till_25),0),2)</f>
        <v/>
      </c>
      <c r="S497" s="177">
        <f>Q497+IF(AND(offer_incoterms="DDP",seller_region="RU"),R497,0)</f>
        <v/>
      </c>
      <c r="T497" s="45" t="n"/>
      <c r="V497" s="57">
        <f>IF(Q497&gt;0,"показать","скрыть")</f>
        <v/>
      </c>
    </row>
    <row r="498" ht="15.75" customHeight="1">
      <c r="B498" s="809" t="n">
        <v>482</v>
      </c>
      <c r="C498" s="182">
        <f>IF(offer_sale_type="транзит",IFERROR(VLOOKUP($B498,calc_data,C$14+1,0),0),0)</f>
        <v/>
      </c>
      <c r="D498" s="280">
        <f>IF(offer_sale_type="транзит",IFERROR(VLOOKUP($B498,calc_data,D$14+1,0),0),0)</f>
        <v/>
      </c>
      <c r="E498" s="182">
        <f>IF(offer_sale_type="транзит",IFERROR(VLOOKUP($B498,calc_data,E$14+1,0),0),0)</f>
        <v/>
      </c>
      <c r="F498" s="182">
        <f>IF(offer_sale_type="транзит",IFERROR(VLOOKUP($B498,calc_data,F$14+1,0),0),0)</f>
        <v/>
      </c>
      <c r="G498" s="141">
        <f>IF(offer_sale_type="транзит",IFERROR(VLOOKUP($B498,calc_data,G$14+1,0),0),0)</f>
        <v/>
      </c>
      <c r="H498" s="141">
        <f>E498*G498</f>
        <v/>
      </c>
      <c r="I498" s="141">
        <f>IF(offer_sale_type="транзит",IFERROR(ROUND(VLOOKUP($B498,calc_data,I$14+1,0),2),0),0)</f>
        <v/>
      </c>
      <c r="J498" s="141">
        <f>ROUND(IF(offer_sale_type="транзит",IFERROR(VLOOKUP($B498,calc_data,J$14+1,0),0),0),2)</f>
        <v/>
      </c>
      <c r="K498" s="142">
        <f>IF(offer_sale_type="транзит",IFERROR(ROUNDUP(VLOOKUP($B498,calc_data,K$14+1,0),2),0),0)</f>
        <v/>
      </c>
      <c r="L498" s="184">
        <f>IF(offer_sale_type="транзит",IFERROR(ROUNDUP(VLOOKUP($B498,calc_data,L$14+1,0),2),0),0)</f>
        <v/>
      </c>
      <c r="M498" s="141">
        <f>IF(offer_sale_type="транзит",IFERROR(ROUNDUP(VLOOKUP($B498,calc_data,M$14+1,0),2),0),0)</f>
        <v/>
      </c>
      <c r="N498" s="141">
        <f>IF(offer_sale_type="транзит",IFERROR(ROUNDUP(VLOOKUP($B498,calc_data,N$14+1,0),2),0),0)</f>
        <v/>
      </c>
      <c r="O498" s="147">
        <f>IF(offer_sale_type="транзит",IFERROR(ROUND(VLOOKUP($B498,calc_data,O$14+1,1),2),0),0)</f>
        <v/>
      </c>
      <c r="P498" s="141">
        <f>IF(offer_sale_type="транзит",IFERROR(ROUND(SUM(I498:J498,M498:O498)/E498,2),0),0)</f>
        <v/>
      </c>
      <c r="Q498" s="141">
        <f>E498*P498</f>
        <v/>
      </c>
      <c r="R498" s="141">
        <f>ROUND(Q498*IF(AND(offer_incoterms="DDP",seller_region="RU"),IF((TODAY()+offer_turnaround_time)&gt;=helpsheet!$L$17,rate_vatRU_from_26,rate_vatRu_till_25),0),2)</f>
        <v/>
      </c>
      <c r="S498" s="177">
        <f>Q498+IF(AND(offer_incoterms="DDP",seller_region="RU"),R498,0)</f>
        <v/>
      </c>
      <c r="T498" s="45" t="n"/>
      <c r="V498" s="57">
        <f>IF(Q498&gt;0,"показать","скрыть")</f>
        <v/>
      </c>
    </row>
    <row r="499" ht="15.75" customHeight="1">
      <c r="B499" s="809" t="n">
        <v>483</v>
      </c>
      <c r="C499" s="182">
        <f>IF(offer_sale_type="транзит",IFERROR(VLOOKUP($B499,calc_data,C$14+1,0),0),0)</f>
        <v/>
      </c>
      <c r="D499" s="280">
        <f>IF(offer_sale_type="транзит",IFERROR(VLOOKUP($B499,calc_data,D$14+1,0),0),0)</f>
        <v/>
      </c>
      <c r="E499" s="182">
        <f>IF(offer_sale_type="транзит",IFERROR(VLOOKUP($B499,calc_data,E$14+1,0),0),0)</f>
        <v/>
      </c>
      <c r="F499" s="182">
        <f>IF(offer_sale_type="транзит",IFERROR(VLOOKUP($B499,calc_data,F$14+1,0),0),0)</f>
        <v/>
      </c>
      <c r="G499" s="141">
        <f>IF(offer_sale_type="транзит",IFERROR(VLOOKUP($B499,calc_data,G$14+1,0),0),0)</f>
        <v/>
      </c>
      <c r="H499" s="141">
        <f>E499*G499</f>
        <v/>
      </c>
      <c r="I499" s="141">
        <f>IF(offer_sale_type="транзит",IFERROR(ROUND(VLOOKUP($B499,calc_data,I$14+1,0),2),0),0)</f>
        <v/>
      </c>
      <c r="J499" s="141">
        <f>ROUND(IF(offer_sale_type="транзит",IFERROR(VLOOKUP($B499,calc_data,J$14+1,0),0),0),2)</f>
        <v/>
      </c>
      <c r="K499" s="142">
        <f>IF(offer_sale_type="транзит",IFERROR(ROUNDUP(VLOOKUP($B499,calc_data,K$14+1,0),2),0),0)</f>
        <v/>
      </c>
      <c r="L499" s="184">
        <f>IF(offer_sale_type="транзит",IFERROR(ROUNDUP(VLOOKUP($B499,calc_data,L$14+1,0),2),0),0)</f>
        <v/>
      </c>
      <c r="M499" s="141">
        <f>IF(offer_sale_type="транзит",IFERROR(ROUNDUP(VLOOKUP($B499,calc_data,M$14+1,0),2),0),0)</f>
        <v/>
      </c>
      <c r="N499" s="141">
        <f>IF(offer_sale_type="транзит",IFERROR(ROUNDUP(VLOOKUP($B499,calc_data,N$14+1,0),2),0),0)</f>
        <v/>
      </c>
      <c r="O499" s="147">
        <f>IF(offer_sale_type="транзит",IFERROR(ROUND(VLOOKUP($B499,calc_data,O$14+1,1),2),0),0)</f>
        <v/>
      </c>
      <c r="P499" s="141">
        <f>IF(offer_sale_type="транзит",IFERROR(ROUND(SUM(I499:J499,M499:O499)/E499,2),0),0)</f>
        <v/>
      </c>
      <c r="Q499" s="141">
        <f>E499*P499</f>
        <v/>
      </c>
      <c r="R499" s="141">
        <f>ROUND(Q499*IF(AND(offer_incoterms="DDP",seller_region="RU"),IF((TODAY()+offer_turnaround_time)&gt;=helpsheet!$L$17,rate_vatRU_from_26,rate_vatRu_till_25),0),2)</f>
        <v/>
      </c>
      <c r="S499" s="177">
        <f>Q499+IF(AND(offer_incoterms="DDP",seller_region="RU"),R499,0)</f>
        <v/>
      </c>
      <c r="T499" s="45" t="n"/>
      <c r="V499" s="57">
        <f>IF(Q499&gt;0,"показать","скрыть")</f>
        <v/>
      </c>
    </row>
    <row r="500" ht="15.75" customHeight="1">
      <c r="B500" s="809" t="n">
        <v>484</v>
      </c>
      <c r="C500" s="182">
        <f>IF(offer_sale_type="транзит",IFERROR(VLOOKUP($B500,calc_data,C$14+1,0),0),0)</f>
        <v/>
      </c>
      <c r="D500" s="280">
        <f>IF(offer_sale_type="транзит",IFERROR(VLOOKUP($B500,calc_data,D$14+1,0),0),0)</f>
        <v/>
      </c>
      <c r="E500" s="182">
        <f>IF(offer_sale_type="транзит",IFERROR(VLOOKUP($B500,calc_data,E$14+1,0),0),0)</f>
        <v/>
      </c>
      <c r="F500" s="182">
        <f>IF(offer_sale_type="транзит",IFERROR(VLOOKUP($B500,calc_data,F$14+1,0),0),0)</f>
        <v/>
      </c>
      <c r="G500" s="141">
        <f>IF(offer_sale_type="транзит",IFERROR(VLOOKUP($B500,calc_data,G$14+1,0),0),0)</f>
        <v/>
      </c>
      <c r="H500" s="141">
        <f>E500*G500</f>
        <v/>
      </c>
      <c r="I500" s="141">
        <f>IF(offer_sale_type="транзит",IFERROR(ROUND(VLOOKUP($B500,calc_data,I$14+1,0),2),0),0)</f>
        <v/>
      </c>
      <c r="J500" s="141">
        <f>ROUND(IF(offer_sale_type="транзит",IFERROR(VLOOKUP($B500,calc_data,J$14+1,0),0),0),2)</f>
        <v/>
      </c>
      <c r="K500" s="142">
        <f>IF(offer_sale_type="транзит",IFERROR(ROUNDUP(VLOOKUP($B500,calc_data,K$14+1,0),2),0),0)</f>
        <v/>
      </c>
      <c r="L500" s="184">
        <f>IF(offer_sale_type="транзит",IFERROR(ROUNDUP(VLOOKUP($B500,calc_data,L$14+1,0),2),0),0)</f>
        <v/>
      </c>
      <c r="M500" s="141">
        <f>IF(offer_sale_type="транзит",IFERROR(ROUNDUP(VLOOKUP($B500,calc_data,M$14+1,0),2),0),0)</f>
        <v/>
      </c>
      <c r="N500" s="141">
        <f>IF(offer_sale_type="транзит",IFERROR(ROUNDUP(VLOOKUP($B500,calc_data,N$14+1,0),2),0),0)</f>
        <v/>
      </c>
      <c r="O500" s="147">
        <f>IF(offer_sale_type="транзит",IFERROR(ROUND(VLOOKUP($B500,calc_data,O$14+1,1),2),0),0)</f>
        <v/>
      </c>
      <c r="P500" s="141">
        <f>IF(offer_sale_type="транзит",IFERROR(ROUND(SUM(I500:J500,M500:O500)/E500,2),0),0)</f>
        <v/>
      </c>
      <c r="Q500" s="141">
        <f>E500*P500</f>
        <v/>
      </c>
      <c r="R500" s="141">
        <f>ROUND(Q500*IF(AND(offer_incoterms="DDP",seller_region="RU"),IF((TODAY()+offer_turnaround_time)&gt;=helpsheet!$L$17,rate_vatRU_from_26,rate_vatRu_till_25),0),2)</f>
        <v/>
      </c>
      <c r="S500" s="177">
        <f>Q500+IF(AND(offer_incoterms="DDP",seller_region="RU"),R500,0)</f>
        <v/>
      </c>
      <c r="T500" s="45" t="n"/>
      <c r="V500" s="57">
        <f>IF(Q500&gt;0,"показать","скрыть")</f>
        <v/>
      </c>
    </row>
    <row r="501" ht="15.75" customHeight="1">
      <c r="B501" s="809" t="n">
        <v>485</v>
      </c>
      <c r="C501" s="182">
        <f>IF(offer_sale_type="транзит",IFERROR(VLOOKUP($B501,calc_data,C$14+1,0),0),0)</f>
        <v/>
      </c>
      <c r="D501" s="280">
        <f>IF(offer_sale_type="транзит",IFERROR(VLOOKUP($B501,calc_data,D$14+1,0),0),0)</f>
        <v/>
      </c>
      <c r="E501" s="182">
        <f>IF(offer_sale_type="транзит",IFERROR(VLOOKUP($B501,calc_data,E$14+1,0),0),0)</f>
        <v/>
      </c>
      <c r="F501" s="182">
        <f>IF(offer_sale_type="транзит",IFERROR(VLOOKUP($B501,calc_data,F$14+1,0),0),0)</f>
        <v/>
      </c>
      <c r="G501" s="141">
        <f>IF(offer_sale_type="транзит",IFERROR(VLOOKUP($B501,calc_data,G$14+1,0),0),0)</f>
        <v/>
      </c>
      <c r="H501" s="141">
        <f>E501*G501</f>
        <v/>
      </c>
      <c r="I501" s="141">
        <f>IF(offer_sale_type="транзит",IFERROR(ROUND(VLOOKUP($B501,calc_data,I$14+1,0),2),0),0)</f>
        <v/>
      </c>
      <c r="J501" s="141">
        <f>ROUND(IF(offer_sale_type="транзит",IFERROR(VLOOKUP($B501,calc_data,J$14+1,0),0),0),2)</f>
        <v/>
      </c>
      <c r="K501" s="142">
        <f>IF(offer_sale_type="транзит",IFERROR(ROUNDUP(VLOOKUP($B501,calc_data,K$14+1,0),2),0),0)</f>
        <v/>
      </c>
      <c r="L501" s="184">
        <f>IF(offer_sale_type="транзит",IFERROR(ROUNDUP(VLOOKUP($B501,calc_data,L$14+1,0),2),0),0)</f>
        <v/>
      </c>
      <c r="M501" s="141">
        <f>IF(offer_sale_type="транзит",IFERROR(ROUNDUP(VLOOKUP($B501,calc_data,M$14+1,0),2),0),0)</f>
        <v/>
      </c>
      <c r="N501" s="141">
        <f>IF(offer_sale_type="транзит",IFERROR(ROUNDUP(VLOOKUP($B501,calc_data,N$14+1,0),2),0),0)</f>
        <v/>
      </c>
      <c r="O501" s="147">
        <f>IF(offer_sale_type="транзит",IFERROR(ROUND(VLOOKUP($B501,calc_data,O$14+1,1),2),0),0)</f>
        <v/>
      </c>
      <c r="P501" s="141">
        <f>IF(offer_sale_type="транзит",IFERROR(ROUND(SUM(I501:J501,M501:O501)/E501,2),0),0)</f>
        <v/>
      </c>
      <c r="Q501" s="141">
        <f>E501*P501</f>
        <v/>
      </c>
      <c r="R501" s="141">
        <f>ROUND(Q501*IF(AND(offer_incoterms="DDP",seller_region="RU"),IF((TODAY()+offer_turnaround_time)&gt;=helpsheet!$L$17,rate_vatRU_from_26,rate_vatRu_till_25),0),2)</f>
        <v/>
      </c>
      <c r="S501" s="177">
        <f>Q501+IF(AND(offer_incoterms="DDP",seller_region="RU"),R501,0)</f>
        <v/>
      </c>
      <c r="T501" s="45" t="n"/>
      <c r="V501" s="57">
        <f>IF(Q501&gt;0,"показать","скрыть")</f>
        <v/>
      </c>
    </row>
    <row r="502" ht="15.75" customHeight="1">
      <c r="B502" s="809" t="n">
        <v>486</v>
      </c>
      <c r="C502" s="182">
        <f>IF(offer_sale_type="транзит",IFERROR(VLOOKUP($B502,calc_data,C$14+1,0),0),0)</f>
        <v/>
      </c>
      <c r="D502" s="280">
        <f>IF(offer_sale_type="транзит",IFERROR(VLOOKUP($B502,calc_data,D$14+1,0),0),0)</f>
        <v/>
      </c>
      <c r="E502" s="182">
        <f>IF(offer_sale_type="транзит",IFERROR(VLOOKUP($B502,calc_data,E$14+1,0),0),0)</f>
        <v/>
      </c>
      <c r="F502" s="182">
        <f>IF(offer_sale_type="транзит",IFERROR(VLOOKUP($B502,calc_data,F$14+1,0),0),0)</f>
        <v/>
      </c>
      <c r="G502" s="141">
        <f>IF(offer_sale_type="транзит",IFERROR(VLOOKUP($B502,calc_data,G$14+1,0),0),0)</f>
        <v/>
      </c>
      <c r="H502" s="141">
        <f>E502*G502</f>
        <v/>
      </c>
      <c r="I502" s="141">
        <f>IF(offer_sale_type="транзит",IFERROR(ROUND(VLOOKUP($B502,calc_data,I$14+1,0),2),0),0)</f>
        <v/>
      </c>
      <c r="J502" s="141">
        <f>ROUND(IF(offer_sale_type="транзит",IFERROR(VLOOKUP($B502,calc_data,J$14+1,0),0),0),2)</f>
        <v/>
      </c>
      <c r="K502" s="142">
        <f>IF(offer_sale_type="транзит",IFERROR(ROUNDUP(VLOOKUP($B502,calc_data,K$14+1,0),2),0),0)</f>
        <v/>
      </c>
      <c r="L502" s="184">
        <f>IF(offer_sale_type="транзит",IFERROR(ROUNDUP(VLOOKUP($B502,calc_data,L$14+1,0),2),0),0)</f>
        <v/>
      </c>
      <c r="M502" s="141">
        <f>IF(offer_sale_type="транзит",IFERROR(ROUNDUP(VLOOKUP($B502,calc_data,M$14+1,0),2),0),0)</f>
        <v/>
      </c>
      <c r="N502" s="141">
        <f>IF(offer_sale_type="транзит",IFERROR(ROUNDUP(VLOOKUP($B502,calc_data,N$14+1,0),2),0),0)</f>
        <v/>
      </c>
      <c r="O502" s="147">
        <f>IF(offer_sale_type="транзит",IFERROR(ROUND(VLOOKUP($B502,calc_data,O$14+1,1),2),0),0)</f>
        <v/>
      </c>
      <c r="P502" s="141">
        <f>IF(offer_sale_type="транзит",IFERROR(ROUND(SUM(I502:J502,M502:O502)/E502,2),0),0)</f>
        <v/>
      </c>
      <c r="Q502" s="141">
        <f>E502*P502</f>
        <v/>
      </c>
      <c r="R502" s="141">
        <f>ROUND(Q502*IF(AND(offer_incoterms="DDP",seller_region="RU"),IF((TODAY()+offer_turnaround_time)&gt;=helpsheet!$L$17,rate_vatRU_from_26,rate_vatRu_till_25),0),2)</f>
        <v/>
      </c>
      <c r="S502" s="177">
        <f>Q502+IF(AND(offer_incoterms="DDP",seller_region="RU"),R502,0)</f>
        <v/>
      </c>
      <c r="T502" s="45" t="n"/>
      <c r="V502" s="57">
        <f>IF(Q502&gt;0,"показать","скрыть")</f>
        <v/>
      </c>
    </row>
    <row r="503" ht="15.75" customHeight="1">
      <c r="B503" s="809" t="n">
        <v>487</v>
      </c>
      <c r="C503" s="182">
        <f>IF(offer_sale_type="транзит",IFERROR(VLOOKUP($B503,calc_data,C$14+1,0),0),0)</f>
        <v/>
      </c>
      <c r="D503" s="280">
        <f>IF(offer_sale_type="транзит",IFERROR(VLOOKUP($B503,calc_data,D$14+1,0),0),0)</f>
        <v/>
      </c>
      <c r="E503" s="182">
        <f>IF(offer_sale_type="транзит",IFERROR(VLOOKUP($B503,calc_data,E$14+1,0),0),0)</f>
        <v/>
      </c>
      <c r="F503" s="182">
        <f>IF(offer_sale_type="транзит",IFERROR(VLOOKUP($B503,calc_data,F$14+1,0),0),0)</f>
        <v/>
      </c>
      <c r="G503" s="141">
        <f>IF(offer_sale_type="транзит",IFERROR(VLOOKUP($B503,calc_data,G$14+1,0),0),0)</f>
        <v/>
      </c>
      <c r="H503" s="141">
        <f>E503*G503</f>
        <v/>
      </c>
      <c r="I503" s="141">
        <f>IF(offer_sale_type="транзит",IFERROR(ROUND(VLOOKUP($B503,calc_data,I$14+1,0),2),0),0)</f>
        <v/>
      </c>
      <c r="J503" s="141">
        <f>ROUND(IF(offer_sale_type="транзит",IFERROR(VLOOKUP($B503,calc_data,J$14+1,0),0),0),2)</f>
        <v/>
      </c>
      <c r="K503" s="142">
        <f>IF(offer_sale_type="транзит",IFERROR(ROUNDUP(VLOOKUP($B503,calc_data,K$14+1,0),2),0),0)</f>
        <v/>
      </c>
      <c r="L503" s="184">
        <f>IF(offer_sale_type="транзит",IFERROR(ROUNDUP(VLOOKUP($B503,calc_data,L$14+1,0),2),0),0)</f>
        <v/>
      </c>
      <c r="M503" s="141">
        <f>IF(offer_sale_type="транзит",IFERROR(ROUNDUP(VLOOKUP($B503,calc_data,M$14+1,0),2),0),0)</f>
        <v/>
      </c>
      <c r="N503" s="141">
        <f>IF(offer_sale_type="транзит",IFERROR(ROUNDUP(VLOOKUP($B503,calc_data,N$14+1,0),2),0),0)</f>
        <v/>
      </c>
      <c r="O503" s="147">
        <f>IF(offer_sale_type="транзит",IFERROR(ROUND(VLOOKUP($B503,calc_data,O$14+1,1),2),0),0)</f>
        <v/>
      </c>
      <c r="P503" s="141">
        <f>IF(offer_sale_type="транзит",IFERROR(ROUND(SUM(I503:J503,M503:O503)/E503,2),0),0)</f>
        <v/>
      </c>
      <c r="Q503" s="141">
        <f>E503*P503</f>
        <v/>
      </c>
      <c r="R503" s="141">
        <f>ROUND(Q503*IF(AND(offer_incoterms="DDP",seller_region="RU"),IF((TODAY()+offer_turnaround_time)&gt;=helpsheet!$L$17,rate_vatRU_from_26,rate_vatRu_till_25),0),2)</f>
        <v/>
      </c>
      <c r="S503" s="177">
        <f>Q503+IF(AND(offer_incoterms="DDP",seller_region="RU"),R503,0)</f>
        <v/>
      </c>
      <c r="T503" s="45" t="n"/>
      <c r="V503" s="57">
        <f>IF(Q503&gt;0,"показать","скрыть")</f>
        <v/>
      </c>
    </row>
    <row r="504" ht="15.75" customHeight="1">
      <c r="B504" s="809" t="n">
        <v>488</v>
      </c>
      <c r="C504" s="182">
        <f>IF(offer_sale_type="транзит",IFERROR(VLOOKUP($B504,calc_data,C$14+1,0),0),0)</f>
        <v/>
      </c>
      <c r="D504" s="280">
        <f>IF(offer_sale_type="транзит",IFERROR(VLOOKUP($B504,calc_data,D$14+1,0),0),0)</f>
        <v/>
      </c>
      <c r="E504" s="182">
        <f>IF(offer_sale_type="транзит",IFERROR(VLOOKUP($B504,calc_data,E$14+1,0),0),0)</f>
        <v/>
      </c>
      <c r="F504" s="182">
        <f>IF(offer_sale_type="транзит",IFERROR(VLOOKUP($B504,calc_data,F$14+1,0),0),0)</f>
        <v/>
      </c>
      <c r="G504" s="141">
        <f>IF(offer_sale_type="транзит",IFERROR(VLOOKUP($B504,calc_data,G$14+1,0),0),0)</f>
        <v/>
      </c>
      <c r="H504" s="141">
        <f>E504*G504</f>
        <v/>
      </c>
      <c r="I504" s="141">
        <f>IF(offer_sale_type="транзит",IFERROR(ROUND(VLOOKUP($B504,calc_data,I$14+1,0),2),0),0)</f>
        <v/>
      </c>
      <c r="J504" s="141">
        <f>ROUND(IF(offer_sale_type="транзит",IFERROR(VLOOKUP($B504,calc_data,J$14+1,0),0),0),2)</f>
        <v/>
      </c>
      <c r="K504" s="142">
        <f>IF(offer_sale_type="транзит",IFERROR(ROUNDUP(VLOOKUP($B504,calc_data,K$14+1,0),2),0),0)</f>
        <v/>
      </c>
      <c r="L504" s="184">
        <f>IF(offer_sale_type="транзит",IFERROR(ROUNDUP(VLOOKUP($B504,calc_data,L$14+1,0),2),0),0)</f>
        <v/>
      </c>
      <c r="M504" s="141">
        <f>IF(offer_sale_type="транзит",IFERROR(ROUNDUP(VLOOKUP($B504,calc_data,M$14+1,0),2),0),0)</f>
        <v/>
      </c>
      <c r="N504" s="141">
        <f>IF(offer_sale_type="транзит",IFERROR(ROUNDUP(VLOOKUP($B504,calc_data,N$14+1,0),2),0),0)</f>
        <v/>
      </c>
      <c r="O504" s="147">
        <f>IF(offer_sale_type="транзит",IFERROR(ROUND(VLOOKUP($B504,calc_data,O$14+1,1),2),0),0)</f>
        <v/>
      </c>
      <c r="P504" s="141">
        <f>IF(offer_sale_type="транзит",IFERROR(ROUND(SUM(I504:J504,M504:O504)/E504,2),0),0)</f>
        <v/>
      </c>
      <c r="Q504" s="141">
        <f>E504*P504</f>
        <v/>
      </c>
      <c r="R504" s="141">
        <f>ROUND(Q504*IF(AND(offer_incoterms="DDP",seller_region="RU"),IF((TODAY()+offer_turnaround_time)&gt;=helpsheet!$L$17,rate_vatRU_from_26,rate_vatRu_till_25),0),2)</f>
        <v/>
      </c>
      <c r="S504" s="177">
        <f>Q504+IF(AND(offer_incoterms="DDP",seller_region="RU"),R504,0)</f>
        <v/>
      </c>
      <c r="T504" s="45" t="n"/>
      <c r="V504" s="57">
        <f>IF(Q504&gt;0,"показать","скрыть")</f>
        <v/>
      </c>
    </row>
    <row r="505" ht="15.75" customHeight="1">
      <c r="B505" s="809" t="n">
        <v>489</v>
      </c>
      <c r="C505" s="182">
        <f>IF(offer_sale_type="транзит",IFERROR(VLOOKUP($B505,calc_data,C$14+1,0),0),0)</f>
        <v/>
      </c>
      <c r="D505" s="280">
        <f>IF(offer_sale_type="транзит",IFERROR(VLOOKUP($B505,calc_data,D$14+1,0),0),0)</f>
        <v/>
      </c>
      <c r="E505" s="182">
        <f>IF(offer_sale_type="транзит",IFERROR(VLOOKUP($B505,calc_data,E$14+1,0),0),0)</f>
        <v/>
      </c>
      <c r="F505" s="182">
        <f>IF(offer_sale_type="транзит",IFERROR(VLOOKUP($B505,calc_data,F$14+1,0),0),0)</f>
        <v/>
      </c>
      <c r="G505" s="141">
        <f>IF(offer_sale_type="транзит",IFERROR(VLOOKUP($B505,calc_data,G$14+1,0),0),0)</f>
        <v/>
      </c>
      <c r="H505" s="141">
        <f>E505*G505</f>
        <v/>
      </c>
      <c r="I505" s="141">
        <f>IF(offer_sale_type="транзит",IFERROR(ROUND(VLOOKUP($B505,calc_data,I$14+1,0),2),0),0)</f>
        <v/>
      </c>
      <c r="J505" s="141">
        <f>ROUND(IF(offer_sale_type="транзит",IFERROR(VLOOKUP($B505,calc_data,J$14+1,0),0),0),2)</f>
        <v/>
      </c>
      <c r="K505" s="142">
        <f>IF(offer_sale_type="транзит",IFERROR(ROUNDUP(VLOOKUP($B505,calc_data,K$14+1,0),2),0),0)</f>
        <v/>
      </c>
      <c r="L505" s="184">
        <f>IF(offer_sale_type="транзит",IFERROR(ROUNDUP(VLOOKUP($B505,calc_data,L$14+1,0),2),0),0)</f>
        <v/>
      </c>
      <c r="M505" s="141">
        <f>IF(offer_sale_type="транзит",IFERROR(ROUNDUP(VLOOKUP($B505,calc_data,M$14+1,0),2),0),0)</f>
        <v/>
      </c>
      <c r="N505" s="141">
        <f>IF(offer_sale_type="транзит",IFERROR(ROUNDUP(VLOOKUP($B505,calc_data,N$14+1,0),2),0),0)</f>
        <v/>
      </c>
      <c r="O505" s="147">
        <f>IF(offer_sale_type="транзит",IFERROR(ROUND(VLOOKUP($B505,calc_data,O$14+1,1),2),0),0)</f>
        <v/>
      </c>
      <c r="P505" s="141">
        <f>IF(offer_sale_type="транзит",IFERROR(ROUND(SUM(I505:J505,M505:O505)/E505,2),0),0)</f>
        <v/>
      </c>
      <c r="Q505" s="141">
        <f>E505*P505</f>
        <v/>
      </c>
      <c r="R505" s="141">
        <f>ROUND(Q505*IF(AND(offer_incoterms="DDP",seller_region="RU"),IF((TODAY()+offer_turnaround_time)&gt;=helpsheet!$L$17,rate_vatRU_from_26,rate_vatRu_till_25),0),2)</f>
        <v/>
      </c>
      <c r="S505" s="177">
        <f>Q505+IF(AND(offer_incoterms="DDP",seller_region="RU"),R505,0)</f>
        <v/>
      </c>
      <c r="T505" s="45" t="n"/>
      <c r="V505" s="57">
        <f>IF(Q505&gt;0,"показать","скрыть")</f>
        <v/>
      </c>
    </row>
    <row r="506" ht="15.75" customHeight="1">
      <c r="B506" s="809" t="n">
        <v>490</v>
      </c>
      <c r="C506" s="182">
        <f>IF(offer_sale_type="транзит",IFERROR(VLOOKUP($B506,calc_data,C$14+1,0),0),0)</f>
        <v/>
      </c>
      <c r="D506" s="280">
        <f>IF(offer_sale_type="транзит",IFERROR(VLOOKUP($B506,calc_data,D$14+1,0),0),0)</f>
        <v/>
      </c>
      <c r="E506" s="182">
        <f>IF(offer_sale_type="транзит",IFERROR(VLOOKUP($B506,calc_data,E$14+1,0),0),0)</f>
        <v/>
      </c>
      <c r="F506" s="182">
        <f>IF(offer_sale_type="транзит",IFERROR(VLOOKUP($B506,calc_data,F$14+1,0),0),0)</f>
        <v/>
      </c>
      <c r="G506" s="141">
        <f>IF(offer_sale_type="транзит",IFERROR(VLOOKUP($B506,calc_data,G$14+1,0),0),0)</f>
        <v/>
      </c>
      <c r="H506" s="141">
        <f>E506*G506</f>
        <v/>
      </c>
      <c r="I506" s="141">
        <f>IF(offer_sale_type="транзит",IFERROR(ROUND(VLOOKUP($B506,calc_data,I$14+1,0),2),0),0)</f>
        <v/>
      </c>
      <c r="J506" s="141">
        <f>ROUND(IF(offer_sale_type="транзит",IFERROR(VLOOKUP($B506,calc_data,J$14+1,0),0),0),2)</f>
        <v/>
      </c>
      <c r="K506" s="142">
        <f>IF(offer_sale_type="транзит",IFERROR(ROUNDUP(VLOOKUP($B506,calc_data,K$14+1,0),2),0),0)</f>
        <v/>
      </c>
      <c r="L506" s="184">
        <f>IF(offer_sale_type="транзит",IFERROR(ROUNDUP(VLOOKUP($B506,calc_data,L$14+1,0),2),0),0)</f>
        <v/>
      </c>
      <c r="M506" s="141">
        <f>IF(offer_sale_type="транзит",IFERROR(ROUNDUP(VLOOKUP($B506,calc_data,M$14+1,0),2),0),0)</f>
        <v/>
      </c>
      <c r="N506" s="141">
        <f>IF(offer_sale_type="транзит",IFERROR(ROUNDUP(VLOOKUP($B506,calc_data,N$14+1,0),2),0),0)</f>
        <v/>
      </c>
      <c r="O506" s="147">
        <f>IF(offer_sale_type="транзит",IFERROR(ROUND(VLOOKUP($B506,calc_data,O$14+1,1),2),0),0)</f>
        <v/>
      </c>
      <c r="P506" s="141">
        <f>IF(offer_sale_type="транзит",IFERROR(ROUND(SUM(I506:J506,M506:O506)/E506,2),0),0)</f>
        <v/>
      </c>
      <c r="Q506" s="141">
        <f>E506*P506</f>
        <v/>
      </c>
      <c r="R506" s="141">
        <f>ROUND(Q506*IF(AND(offer_incoterms="DDP",seller_region="RU"),IF((TODAY()+offer_turnaround_time)&gt;=helpsheet!$L$17,rate_vatRU_from_26,rate_vatRu_till_25),0),2)</f>
        <v/>
      </c>
      <c r="S506" s="177">
        <f>Q506+IF(AND(offer_incoterms="DDP",seller_region="RU"),R506,0)</f>
        <v/>
      </c>
      <c r="T506" s="45" t="n"/>
      <c r="V506" s="57">
        <f>IF(Q506&gt;0,"показать","скрыть")</f>
        <v/>
      </c>
    </row>
    <row r="507" ht="15.75" customHeight="1">
      <c r="B507" s="809" t="n">
        <v>491</v>
      </c>
      <c r="C507" s="182">
        <f>IF(offer_sale_type="транзит",IFERROR(VLOOKUP($B507,calc_data,C$14+1,0),0),0)</f>
        <v/>
      </c>
      <c r="D507" s="280">
        <f>IF(offer_sale_type="транзит",IFERROR(VLOOKUP($B507,calc_data,D$14+1,0),0),0)</f>
        <v/>
      </c>
      <c r="E507" s="182">
        <f>IF(offer_sale_type="транзит",IFERROR(VLOOKUP($B507,calc_data,E$14+1,0),0),0)</f>
        <v/>
      </c>
      <c r="F507" s="182">
        <f>IF(offer_sale_type="транзит",IFERROR(VLOOKUP($B507,calc_data,F$14+1,0),0),0)</f>
        <v/>
      </c>
      <c r="G507" s="141">
        <f>IF(offer_sale_type="транзит",IFERROR(VLOOKUP($B507,calc_data,G$14+1,0),0),0)</f>
        <v/>
      </c>
      <c r="H507" s="141">
        <f>E507*G507</f>
        <v/>
      </c>
      <c r="I507" s="141">
        <f>IF(offer_sale_type="транзит",IFERROR(ROUND(VLOOKUP($B507,calc_data,I$14+1,0),2),0),0)</f>
        <v/>
      </c>
      <c r="J507" s="141">
        <f>ROUND(IF(offer_sale_type="транзит",IFERROR(VLOOKUP($B507,calc_data,J$14+1,0),0),0),2)</f>
        <v/>
      </c>
      <c r="K507" s="142">
        <f>IF(offer_sale_type="транзит",IFERROR(ROUNDUP(VLOOKUP($B507,calc_data,K$14+1,0),2),0),0)</f>
        <v/>
      </c>
      <c r="L507" s="184">
        <f>IF(offer_sale_type="транзит",IFERROR(ROUNDUP(VLOOKUP($B507,calc_data,L$14+1,0),2),0),0)</f>
        <v/>
      </c>
      <c r="M507" s="141">
        <f>IF(offer_sale_type="транзит",IFERROR(ROUNDUP(VLOOKUP($B507,calc_data,M$14+1,0),2),0),0)</f>
        <v/>
      </c>
      <c r="N507" s="141">
        <f>IF(offer_sale_type="транзит",IFERROR(ROUNDUP(VLOOKUP($B507,calc_data,N$14+1,0),2),0),0)</f>
        <v/>
      </c>
      <c r="O507" s="147">
        <f>IF(offer_sale_type="транзит",IFERROR(ROUND(VLOOKUP($B507,calc_data,O$14+1,1),2),0),0)</f>
        <v/>
      </c>
      <c r="P507" s="141">
        <f>IF(offer_sale_type="транзит",IFERROR(ROUND(SUM(I507:J507,M507:O507)/E507,2),0),0)</f>
        <v/>
      </c>
      <c r="Q507" s="141">
        <f>E507*P507</f>
        <v/>
      </c>
      <c r="R507" s="141">
        <f>ROUND(Q507*IF(AND(offer_incoterms="DDP",seller_region="RU"),IF((TODAY()+offer_turnaround_time)&gt;=helpsheet!$L$17,rate_vatRU_from_26,rate_vatRu_till_25),0),2)</f>
        <v/>
      </c>
      <c r="S507" s="177">
        <f>Q507+IF(AND(offer_incoterms="DDP",seller_region="RU"),R507,0)</f>
        <v/>
      </c>
      <c r="T507" s="45" t="n"/>
      <c r="V507" s="57">
        <f>IF(Q507&gt;0,"показать","скрыть")</f>
        <v/>
      </c>
    </row>
    <row r="508" ht="15.75" customHeight="1">
      <c r="B508" s="809" t="n">
        <v>492</v>
      </c>
      <c r="C508" s="182">
        <f>IF(offer_sale_type="транзит",IFERROR(VLOOKUP($B508,calc_data,C$14+1,0),0),0)</f>
        <v/>
      </c>
      <c r="D508" s="280">
        <f>IF(offer_sale_type="транзит",IFERROR(VLOOKUP($B508,calc_data,D$14+1,0),0),0)</f>
        <v/>
      </c>
      <c r="E508" s="182">
        <f>IF(offer_sale_type="транзит",IFERROR(VLOOKUP($B508,calc_data,E$14+1,0),0),0)</f>
        <v/>
      </c>
      <c r="F508" s="182">
        <f>IF(offer_sale_type="транзит",IFERROR(VLOOKUP($B508,calc_data,F$14+1,0),0),0)</f>
        <v/>
      </c>
      <c r="G508" s="141">
        <f>IF(offer_sale_type="транзит",IFERROR(VLOOKUP($B508,calc_data,G$14+1,0),0),0)</f>
        <v/>
      </c>
      <c r="H508" s="141">
        <f>E508*G508</f>
        <v/>
      </c>
      <c r="I508" s="141">
        <f>IF(offer_sale_type="транзит",IFERROR(ROUND(VLOOKUP($B508,calc_data,I$14+1,0),2),0),0)</f>
        <v/>
      </c>
      <c r="J508" s="141">
        <f>ROUND(IF(offer_sale_type="транзит",IFERROR(VLOOKUP($B508,calc_data,J$14+1,0),0),0),2)</f>
        <v/>
      </c>
      <c r="K508" s="142">
        <f>IF(offer_sale_type="транзит",IFERROR(ROUNDUP(VLOOKUP($B508,calc_data,K$14+1,0),2),0),0)</f>
        <v/>
      </c>
      <c r="L508" s="184">
        <f>IF(offer_sale_type="транзит",IFERROR(ROUNDUP(VLOOKUP($B508,calc_data,L$14+1,0),2),0),0)</f>
        <v/>
      </c>
      <c r="M508" s="141">
        <f>IF(offer_sale_type="транзит",IFERROR(ROUNDUP(VLOOKUP($B508,calc_data,M$14+1,0),2),0),0)</f>
        <v/>
      </c>
      <c r="N508" s="141">
        <f>IF(offer_sale_type="транзит",IFERROR(ROUNDUP(VLOOKUP($B508,calc_data,N$14+1,0),2),0),0)</f>
        <v/>
      </c>
      <c r="O508" s="147">
        <f>IF(offer_sale_type="транзит",IFERROR(ROUND(VLOOKUP($B508,calc_data,O$14+1,1),2),0),0)</f>
        <v/>
      </c>
      <c r="P508" s="141">
        <f>IF(offer_sale_type="транзит",IFERROR(ROUND(SUM(I508:J508,M508:O508)/E508,2),0),0)</f>
        <v/>
      </c>
      <c r="Q508" s="141">
        <f>E508*P508</f>
        <v/>
      </c>
      <c r="R508" s="141">
        <f>ROUND(Q508*IF(AND(offer_incoterms="DDP",seller_region="RU"),IF((TODAY()+offer_turnaround_time)&gt;=helpsheet!$L$17,rate_vatRU_from_26,rate_vatRu_till_25),0),2)</f>
        <v/>
      </c>
      <c r="S508" s="177">
        <f>Q508+IF(AND(offer_incoterms="DDP",seller_region="RU"),R508,0)</f>
        <v/>
      </c>
      <c r="T508" s="45" t="n"/>
      <c r="V508" s="57">
        <f>IF(Q508&gt;0,"показать","скрыть")</f>
        <v/>
      </c>
    </row>
    <row r="509" ht="15.75" customHeight="1">
      <c r="B509" s="809" t="n">
        <v>493</v>
      </c>
      <c r="C509" s="182">
        <f>IF(offer_sale_type="транзит",IFERROR(VLOOKUP($B509,calc_data,C$14+1,0),0),0)</f>
        <v/>
      </c>
      <c r="D509" s="280">
        <f>IF(offer_sale_type="транзит",IFERROR(VLOOKUP($B509,calc_data,D$14+1,0),0),0)</f>
        <v/>
      </c>
      <c r="E509" s="182">
        <f>IF(offer_sale_type="транзит",IFERROR(VLOOKUP($B509,calc_data,E$14+1,0),0),0)</f>
        <v/>
      </c>
      <c r="F509" s="182">
        <f>IF(offer_sale_type="транзит",IFERROR(VLOOKUP($B509,calc_data,F$14+1,0),0),0)</f>
        <v/>
      </c>
      <c r="G509" s="141">
        <f>IF(offer_sale_type="транзит",IFERROR(VLOOKUP($B509,calc_data,G$14+1,0),0),0)</f>
        <v/>
      </c>
      <c r="H509" s="141">
        <f>E509*G509</f>
        <v/>
      </c>
      <c r="I509" s="141">
        <f>IF(offer_sale_type="транзит",IFERROR(ROUND(VLOOKUP($B509,calc_data,I$14+1,0),2),0),0)</f>
        <v/>
      </c>
      <c r="J509" s="141">
        <f>ROUND(IF(offer_sale_type="транзит",IFERROR(VLOOKUP($B509,calc_data,J$14+1,0),0),0),2)</f>
        <v/>
      </c>
      <c r="K509" s="142">
        <f>IF(offer_sale_type="транзит",IFERROR(ROUNDUP(VLOOKUP($B509,calc_data,K$14+1,0),2),0),0)</f>
        <v/>
      </c>
      <c r="L509" s="184">
        <f>IF(offer_sale_type="транзит",IFERROR(ROUNDUP(VLOOKUP($B509,calc_data,L$14+1,0),2),0),0)</f>
        <v/>
      </c>
      <c r="M509" s="141">
        <f>IF(offer_sale_type="транзит",IFERROR(ROUNDUP(VLOOKUP($B509,calc_data,M$14+1,0),2),0),0)</f>
        <v/>
      </c>
      <c r="N509" s="141">
        <f>IF(offer_sale_type="транзит",IFERROR(ROUNDUP(VLOOKUP($B509,calc_data,N$14+1,0),2),0),0)</f>
        <v/>
      </c>
      <c r="O509" s="147">
        <f>IF(offer_sale_type="транзит",IFERROR(ROUND(VLOOKUP($B509,calc_data,O$14+1,1),2),0),0)</f>
        <v/>
      </c>
      <c r="P509" s="141">
        <f>IF(offer_sale_type="транзит",IFERROR(ROUND(SUM(I509:J509,M509:O509)/E509,2),0),0)</f>
        <v/>
      </c>
      <c r="Q509" s="141">
        <f>E509*P509</f>
        <v/>
      </c>
      <c r="R509" s="141">
        <f>ROUND(Q509*IF(AND(offer_incoterms="DDP",seller_region="RU"),IF((TODAY()+offer_turnaround_time)&gt;=helpsheet!$L$17,rate_vatRU_from_26,rate_vatRu_till_25),0),2)</f>
        <v/>
      </c>
      <c r="S509" s="177">
        <f>Q509+IF(AND(offer_incoterms="DDP",seller_region="RU"),R509,0)</f>
        <v/>
      </c>
      <c r="T509" s="45" t="n"/>
      <c r="V509" s="57">
        <f>IF(Q509&gt;0,"показать","скрыть")</f>
        <v/>
      </c>
    </row>
    <row r="510" ht="15.75" customHeight="1">
      <c r="B510" s="809" t="n">
        <v>494</v>
      </c>
      <c r="C510" s="182">
        <f>IF(offer_sale_type="транзит",IFERROR(VLOOKUP($B510,calc_data,C$14+1,0),0),0)</f>
        <v/>
      </c>
      <c r="D510" s="280">
        <f>IF(offer_sale_type="транзит",IFERROR(VLOOKUP($B510,calc_data,D$14+1,0),0),0)</f>
        <v/>
      </c>
      <c r="E510" s="182">
        <f>IF(offer_sale_type="транзит",IFERROR(VLOOKUP($B510,calc_data,E$14+1,0),0),0)</f>
        <v/>
      </c>
      <c r="F510" s="182">
        <f>IF(offer_sale_type="транзит",IFERROR(VLOOKUP($B510,calc_data,F$14+1,0),0),0)</f>
        <v/>
      </c>
      <c r="G510" s="141">
        <f>IF(offer_sale_type="транзит",IFERROR(VLOOKUP($B510,calc_data,G$14+1,0),0),0)</f>
        <v/>
      </c>
      <c r="H510" s="141">
        <f>E510*G510</f>
        <v/>
      </c>
      <c r="I510" s="141">
        <f>IF(offer_sale_type="транзит",IFERROR(ROUND(VLOOKUP($B510,calc_data,I$14+1,0),2),0),0)</f>
        <v/>
      </c>
      <c r="J510" s="141">
        <f>ROUND(IF(offer_sale_type="транзит",IFERROR(VLOOKUP($B510,calc_data,J$14+1,0),0),0),2)</f>
        <v/>
      </c>
      <c r="K510" s="142">
        <f>IF(offer_sale_type="транзит",IFERROR(ROUNDUP(VLOOKUP($B510,calc_data,K$14+1,0),2),0),0)</f>
        <v/>
      </c>
      <c r="L510" s="184">
        <f>IF(offer_sale_type="транзит",IFERROR(ROUNDUP(VLOOKUP($B510,calc_data,L$14+1,0),2),0),0)</f>
        <v/>
      </c>
      <c r="M510" s="141">
        <f>IF(offer_sale_type="транзит",IFERROR(ROUNDUP(VLOOKUP($B510,calc_data,M$14+1,0),2),0),0)</f>
        <v/>
      </c>
      <c r="N510" s="141">
        <f>IF(offer_sale_type="транзит",IFERROR(ROUNDUP(VLOOKUP($B510,calc_data,N$14+1,0),2),0),0)</f>
        <v/>
      </c>
      <c r="O510" s="147">
        <f>IF(offer_sale_type="транзит",IFERROR(ROUND(VLOOKUP($B510,calc_data,O$14+1,1),2),0),0)</f>
        <v/>
      </c>
      <c r="P510" s="141">
        <f>IF(offer_sale_type="транзит",IFERROR(ROUND(SUM(I510:J510,M510:O510)/E510,2),0),0)</f>
        <v/>
      </c>
      <c r="Q510" s="141">
        <f>E510*P510</f>
        <v/>
      </c>
      <c r="R510" s="141">
        <f>ROUND(Q510*IF(AND(offer_incoterms="DDP",seller_region="RU"),IF((TODAY()+offer_turnaround_time)&gt;=helpsheet!$L$17,rate_vatRU_from_26,rate_vatRu_till_25),0),2)</f>
        <v/>
      </c>
      <c r="S510" s="177">
        <f>Q510+IF(AND(offer_incoterms="DDP",seller_region="RU"),R510,0)</f>
        <v/>
      </c>
      <c r="T510" s="45" t="n"/>
      <c r="V510" s="57">
        <f>IF(Q510&gt;0,"показать","скрыть")</f>
        <v/>
      </c>
    </row>
    <row r="511" ht="15.75" customHeight="1">
      <c r="B511" s="809" t="n">
        <v>495</v>
      </c>
      <c r="C511" s="182">
        <f>IF(offer_sale_type="транзит",IFERROR(VLOOKUP($B511,calc_data,C$14+1,0),0),0)</f>
        <v/>
      </c>
      <c r="D511" s="280">
        <f>IF(offer_sale_type="транзит",IFERROR(VLOOKUP($B511,calc_data,D$14+1,0),0),0)</f>
        <v/>
      </c>
      <c r="E511" s="182">
        <f>IF(offer_sale_type="транзит",IFERROR(VLOOKUP($B511,calc_data,E$14+1,0),0),0)</f>
        <v/>
      </c>
      <c r="F511" s="182">
        <f>IF(offer_sale_type="транзит",IFERROR(VLOOKUP($B511,calc_data,F$14+1,0),0),0)</f>
        <v/>
      </c>
      <c r="G511" s="141">
        <f>IF(offer_sale_type="транзит",IFERROR(VLOOKUP($B511,calc_data,G$14+1,0),0),0)</f>
        <v/>
      </c>
      <c r="H511" s="141">
        <f>E511*G511</f>
        <v/>
      </c>
      <c r="I511" s="141">
        <f>IF(offer_sale_type="транзит",IFERROR(ROUND(VLOOKUP($B511,calc_data,I$14+1,0),2),0),0)</f>
        <v/>
      </c>
      <c r="J511" s="141">
        <f>ROUND(IF(offer_sale_type="транзит",IFERROR(VLOOKUP($B511,calc_data,J$14+1,0),0),0),2)</f>
        <v/>
      </c>
      <c r="K511" s="142">
        <f>IF(offer_sale_type="транзит",IFERROR(ROUNDUP(VLOOKUP($B511,calc_data,K$14+1,0),2),0),0)</f>
        <v/>
      </c>
      <c r="L511" s="184">
        <f>IF(offer_sale_type="транзит",IFERROR(ROUNDUP(VLOOKUP($B511,calc_data,L$14+1,0),2),0),0)</f>
        <v/>
      </c>
      <c r="M511" s="141">
        <f>IF(offer_sale_type="транзит",IFERROR(ROUNDUP(VLOOKUP($B511,calc_data,M$14+1,0),2),0),0)</f>
        <v/>
      </c>
      <c r="N511" s="141">
        <f>IF(offer_sale_type="транзит",IFERROR(ROUNDUP(VLOOKUP($B511,calc_data,N$14+1,0),2),0),0)</f>
        <v/>
      </c>
      <c r="O511" s="147">
        <f>IF(offer_sale_type="транзит",IFERROR(ROUND(VLOOKUP($B511,calc_data,O$14+1,1),2),0),0)</f>
        <v/>
      </c>
      <c r="P511" s="141">
        <f>IF(offer_sale_type="транзит",IFERROR(ROUND(SUM(I511:J511,M511:O511)/E511,2),0),0)</f>
        <v/>
      </c>
      <c r="Q511" s="141">
        <f>E511*P511</f>
        <v/>
      </c>
      <c r="R511" s="141">
        <f>ROUND(Q511*IF(AND(offer_incoterms="DDP",seller_region="RU"),IF((TODAY()+offer_turnaround_time)&gt;=helpsheet!$L$17,rate_vatRU_from_26,rate_vatRu_till_25),0),2)</f>
        <v/>
      </c>
      <c r="S511" s="177">
        <f>Q511+IF(AND(offer_incoterms="DDP",seller_region="RU"),R511,0)</f>
        <v/>
      </c>
      <c r="T511" s="45" t="n"/>
      <c r="V511" s="57">
        <f>IF(Q511&gt;0,"показать","скрыть")</f>
        <v/>
      </c>
    </row>
    <row r="512" ht="15.75" customHeight="1">
      <c r="B512" s="809" t="n">
        <v>496</v>
      </c>
      <c r="C512" s="182">
        <f>IF(offer_sale_type="транзит",IFERROR(VLOOKUP($B512,calc_data,C$14+1,0),0),0)</f>
        <v/>
      </c>
      <c r="D512" s="280">
        <f>IF(offer_sale_type="транзит",IFERROR(VLOOKUP($B512,calc_data,D$14+1,0),0),0)</f>
        <v/>
      </c>
      <c r="E512" s="182">
        <f>IF(offer_sale_type="транзит",IFERROR(VLOOKUP($B512,calc_data,E$14+1,0),0),0)</f>
        <v/>
      </c>
      <c r="F512" s="182">
        <f>IF(offer_sale_type="транзит",IFERROR(VLOOKUP($B512,calc_data,F$14+1,0),0),0)</f>
        <v/>
      </c>
      <c r="G512" s="141">
        <f>IF(offer_sale_type="транзит",IFERROR(VLOOKUP($B512,calc_data,G$14+1,0),0),0)</f>
        <v/>
      </c>
      <c r="H512" s="141">
        <f>E512*G512</f>
        <v/>
      </c>
      <c r="I512" s="141">
        <f>IF(offer_sale_type="транзит",IFERROR(ROUND(VLOOKUP($B512,calc_data,I$14+1,0),2),0),0)</f>
        <v/>
      </c>
      <c r="J512" s="141">
        <f>ROUND(IF(offer_sale_type="транзит",IFERROR(VLOOKUP($B512,calc_data,J$14+1,0),0),0),2)</f>
        <v/>
      </c>
      <c r="K512" s="142">
        <f>IF(offer_sale_type="транзит",IFERROR(ROUNDUP(VLOOKUP($B512,calc_data,K$14+1,0),2),0),0)</f>
        <v/>
      </c>
      <c r="L512" s="184">
        <f>IF(offer_sale_type="транзит",IFERROR(ROUNDUP(VLOOKUP($B512,calc_data,L$14+1,0),2),0),0)</f>
        <v/>
      </c>
      <c r="M512" s="141">
        <f>IF(offer_sale_type="транзит",IFERROR(ROUNDUP(VLOOKUP($B512,calc_data,M$14+1,0),2),0),0)</f>
        <v/>
      </c>
      <c r="N512" s="141">
        <f>IF(offer_sale_type="транзит",IFERROR(ROUNDUP(VLOOKUP($B512,calc_data,N$14+1,0),2),0),0)</f>
        <v/>
      </c>
      <c r="O512" s="147">
        <f>IF(offer_sale_type="транзит",IFERROR(ROUND(VLOOKUP($B512,calc_data,O$14+1,1),2),0),0)</f>
        <v/>
      </c>
      <c r="P512" s="141">
        <f>IF(offer_sale_type="транзит",IFERROR(ROUND(SUM(I512:J512,M512:O512)/E512,2),0),0)</f>
        <v/>
      </c>
      <c r="Q512" s="141">
        <f>E512*P512</f>
        <v/>
      </c>
      <c r="R512" s="141">
        <f>ROUND(Q512*IF(AND(offer_incoterms="DDP",seller_region="RU"),IF((TODAY()+offer_turnaround_time)&gt;=helpsheet!$L$17,rate_vatRU_from_26,rate_vatRu_till_25),0),2)</f>
        <v/>
      </c>
      <c r="S512" s="177">
        <f>Q512+IF(AND(offer_incoterms="DDP",seller_region="RU"),R512,0)</f>
        <v/>
      </c>
      <c r="T512" s="45" t="n"/>
      <c r="V512" s="57">
        <f>IF(Q512&gt;0,"показать","скрыть")</f>
        <v/>
      </c>
    </row>
    <row r="513" ht="15.75" customHeight="1">
      <c r="B513" s="809" t="n">
        <v>497</v>
      </c>
      <c r="C513" s="182">
        <f>IF(offer_sale_type="транзит",IFERROR(VLOOKUP($B513,calc_data,C$14+1,0),0),0)</f>
        <v/>
      </c>
      <c r="D513" s="280">
        <f>IF(offer_sale_type="транзит",IFERROR(VLOOKUP($B513,calc_data,D$14+1,0),0),0)</f>
        <v/>
      </c>
      <c r="E513" s="182">
        <f>IF(offer_sale_type="транзит",IFERROR(VLOOKUP($B513,calc_data,E$14+1,0),0),0)</f>
        <v/>
      </c>
      <c r="F513" s="182">
        <f>IF(offer_sale_type="транзит",IFERROR(VLOOKUP($B513,calc_data,F$14+1,0),0),0)</f>
        <v/>
      </c>
      <c r="G513" s="141">
        <f>IF(offer_sale_type="транзит",IFERROR(VLOOKUP($B513,calc_data,G$14+1,0),0),0)</f>
        <v/>
      </c>
      <c r="H513" s="141">
        <f>E513*G513</f>
        <v/>
      </c>
      <c r="I513" s="141">
        <f>IF(offer_sale_type="транзит",IFERROR(ROUND(VLOOKUP($B513,calc_data,I$14+1,0),2),0),0)</f>
        <v/>
      </c>
      <c r="J513" s="141">
        <f>ROUND(IF(offer_sale_type="транзит",IFERROR(VLOOKUP($B513,calc_data,J$14+1,0),0),0),2)</f>
        <v/>
      </c>
      <c r="K513" s="142">
        <f>IF(offer_sale_type="транзит",IFERROR(ROUNDUP(VLOOKUP($B513,calc_data,K$14+1,0),2),0),0)</f>
        <v/>
      </c>
      <c r="L513" s="184">
        <f>IF(offer_sale_type="транзит",IFERROR(ROUNDUP(VLOOKUP($B513,calc_data,L$14+1,0),2),0),0)</f>
        <v/>
      </c>
      <c r="M513" s="141">
        <f>IF(offer_sale_type="транзит",IFERROR(ROUNDUP(VLOOKUP($B513,calc_data,M$14+1,0),2),0),0)</f>
        <v/>
      </c>
      <c r="N513" s="141">
        <f>IF(offer_sale_type="транзит",IFERROR(ROUNDUP(VLOOKUP($B513,calc_data,N$14+1,0),2),0),0)</f>
        <v/>
      </c>
      <c r="O513" s="147">
        <f>IF(offer_sale_type="транзит",IFERROR(ROUND(VLOOKUP($B513,calc_data,O$14+1,1),2),0),0)</f>
        <v/>
      </c>
      <c r="P513" s="141">
        <f>IF(offer_sale_type="транзит",IFERROR(ROUND(SUM(I513:J513,M513:O513)/E513,2),0),0)</f>
        <v/>
      </c>
      <c r="Q513" s="141">
        <f>E513*P513</f>
        <v/>
      </c>
      <c r="R513" s="141">
        <f>ROUND(Q513*IF(AND(offer_incoterms="DDP",seller_region="RU"),IF((TODAY()+offer_turnaround_time)&gt;=helpsheet!$L$17,rate_vatRU_from_26,rate_vatRu_till_25),0),2)</f>
        <v/>
      </c>
      <c r="S513" s="177">
        <f>Q513+IF(AND(offer_incoterms="DDP",seller_region="RU"),R513,0)</f>
        <v/>
      </c>
      <c r="T513" s="45" t="n"/>
      <c r="V513" s="57">
        <f>IF(Q513&gt;0,"показать","скрыть")</f>
        <v/>
      </c>
    </row>
    <row r="514" ht="15.75" customHeight="1">
      <c r="B514" s="809" t="n">
        <v>498</v>
      </c>
      <c r="C514" s="182">
        <f>IF(offer_sale_type="транзит",IFERROR(VLOOKUP($B514,calc_data,C$14+1,0),0),0)</f>
        <v/>
      </c>
      <c r="D514" s="280">
        <f>IF(offer_sale_type="транзит",IFERROR(VLOOKUP($B514,calc_data,D$14+1,0),0),0)</f>
        <v/>
      </c>
      <c r="E514" s="182">
        <f>IF(offer_sale_type="транзит",IFERROR(VLOOKUP($B514,calc_data,E$14+1,0),0),0)</f>
        <v/>
      </c>
      <c r="F514" s="182">
        <f>IF(offer_sale_type="транзит",IFERROR(VLOOKUP($B514,calc_data,F$14+1,0),0),0)</f>
        <v/>
      </c>
      <c r="G514" s="141">
        <f>IF(offer_sale_type="транзит",IFERROR(VLOOKUP($B514,calc_data,G$14+1,0),0),0)</f>
        <v/>
      </c>
      <c r="H514" s="141">
        <f>E514*G514</f>
        <v/>
      </c>
      <c r="I514" s="141">
        <f>IF(offer_sale_type="транзит",IFERROR(ROUND(VLOOKUP($B514,calc_data,I$14+1,0),2),0),0)</f>
        <v/>
      </c>
      <c r="J514" s="141">
        <f>ROUND(IF(offer_sale_type="транзит",IFERROR(VLOOKUP($B514,calc_data,J$14+1,0),0),0),2)</f>
        <v/>
      </c>
      <c r="K514" s="142">
        <f>IF(offer_sale_type="транзит",IFERROR(ROUNDUP(VLOOKUP($B514,calc_data,K$14+1,0),2),0),0)</f>
        <v/>
      </c>
      <c r="L514" s="184">
        <f>IF(offer_sale_type="транзит",IFERROR(ROUNDUP(VLOOKUP($B514,calc_data,L$14+1,0),2),0),0)</f>
        <v/>
      </c>
      <c r="M514" s="141">
        <f>IF(offer_sale_type="транзит",IFERROR(ROUNDUP(VLOOKUP($B514,calc_data,M$14+1,0),2),0),0)</f>
        <v/>
      </c>
      <c r="N514" s="141">
        <f>IF(offer_sale_type="транзит",IFERROR(ROUNDUP(VLOOKUP($B514,calc_data,N$14+1,0),2),0),0)</f>
        <v/>
      </c>
      <c r="O514" s="147">
        <f>IF(offer_sale_type="транзит",IFERROR(ROUND(VLOOKUP($B514,calc_data,O$14+1,1),2),0),0)</f>
        <v/>
      </c>
      <c r="P514" s="141">
        <f>IF(offer_sale_type="транзит",IFERROR(ROUND(SUM(I514:J514,M514:O514)/E514,2),0),0)</f>
        <v/>
      </c>
      <c r="Q514" s="141">
        <f>E514*P514</f>
        <v/>
      </c>
      <c r="R514" s="141">
        <f>ROUND(Q514*IF(AND(offer_incoterms="DDP",seller_region="RU"),IF((TODAY()+offer_turnaround_time)&gt;=helpsheet!$L$17,rate_vatRU_from_26,rate_vatRu_till_25),0),2)</f>
        <v/>
      </c>
      <c r="S514" s="177">
        <f>Q514+IF(AND(offer_incoterms="DDP",seller_region="RU"),R514,0)</f>
        <v/>
      </c>
      <c r="T514" s="45" t="n"/>
      <c r="V514" s="57">
        <f>IF(Q514&gt;0,"показать","скрыть")</f>
        <v/>
      </c>
    </row>
    <row r="515" ht="15.75" customHeight="1">
      <c r="B515" s="809" t="n">
        <v>499</v>
      </c>
      <c r="C515" s="182">
        <f>IF(offer_sale_type="транзит",IFERROR(VLOOKUP($B515,calc_data,C$14+1,0),0),0)</f>
        <v/>
      </c>
      <c r="D515" s="280">
        <f>IF(offer_sale_type="транзит",IFERROR(VLOOKUP($B515,calc_data,D$14+1,0),0),0)</f>
        <v/>
      </c>
      <c r="E515" s="182">
        <f>IF(offer_sale_type="транзит",IFERROR(VLOOKUP($B515,calc_data,E$14+1,0),0),0)</f>
        <v/>
      </c>
      <c r="F515" s="182">
        <f>IF(offer_sale_type="транзит",IFERROR(VLOOKUP($B515,calc_data,F$14+1,0),0),0)</f>
        <v/>
      </c>
      <c r="G515" s="141">
        <f>IF(offer_sale_type="транзит",IFERROR(VLOOKUP($B515,calc_data,G$14+1,0),0),0)</f>
        <v/>
      </c>
      <c r="H515" s="141">
        <f>E515*G515</f>
        <v/>
      </c>
      <c r="I515" s="141">
        <f>IF(offer_sale_type="транзит",IFERROR(ROUND(VLOOKUP($B515,calc_data,I$14+1,0),2),0),0)</f>
        <v/>
      </c>
      <c r="J515" s="141">
        <f>ROUND(IF(offer_sale_type="транзит",IFERROR(VLOOKUP($B515,calc_data,J$14+1,0),0),0),2)</f>
        <v/>
      </c>
      <c r="K515" s="142">
        <f>IF(offer_sale_type="транзит",IFERROR(ROUNDUP(VLOOKUP($B515,calc_data,K$14+1,0),2),0),0)</f>
        <v/>
      </c>
      <c r="L515" s="184">
        <f>IF(offer_sale_type="транзит",IFERROR(ROUNDUP(VLOOKUP($B515,calc_data,L$14+1,0),2),0),0)</f>
        <v/>
      </c>
      <c r="M515" s="141">
        <f>IF(offer_sale_type="транзит",IFERROR(ROUNDUP(VLOOKUP($B515,calc_data,M$14+1,0),2),0),0)</f>
        <v/>
      </c>
      <c r="N515" s="141">
        <f>IF(offer_sale_type="транзит",IFERROR(ROUNDUP(VLOOKUP($B515,calc_data,N$14+1,0),2),0),0)</f>
        <v/>
      </c>
      <c r="O515" s="147">
        <f>IF(offer_sale_type="транзит",IFERROR(ROUND(VLOOKUP($B515,calc_data,O$14+1,1),2),0),0)</f>
        <v/>
      </c>
      <c r="P515" s="141">
        <f>IF(offer_sale_type="транзит",IFERROR(ROUND(SUM(I515:J515,M515:O515)/E515,2),0),0)</f>
        <v/>
      </c>
      <c r="Q515" s="141">
        <f>E515*P515</f>
        <v/>
      </c>
      <c r="R515" s="141">
        <f>ROUND(Q515*IF(AND(offer_incoterms="DDP",seller_region="RU"),IF((TODAY()+offer_turnaround_time)&gt;=helpsheet!$L$17,rate_vatRU_from_26,rate_vatRu_till_25),0),2)</f>
        <v/>
      </c>
      <c r="S515" s="177">
        <f>Q515+IF(AND(offer_incoterms="DDP",seller_region="RU"),R515,0)</f>
        <v/>
      </c>
      <c r="T515" s="45" t="n"/>
      <c r="V515" s="57">
        <f>IF(Q515&gt;0,"показать","скрыть")</f>
        <v/>
      </c>
    </row>
    <row r="516" ht="15.75" customHeight="1">
      <c r="B516" s="809" t="n">
        <v>500</v>
      </c>
      <c r="C516" s="182">
        <f>IF(offer_sale_type="транзит",IFERROR(VLOOKUP($B516,calc_data,C$14+1,0),0),0)</f>
        <v/>
      </c>
      <c r="D516" s="280">
        <f>IF(offer_sale_type="транзит",IFERROR(VLOOKUP($B516,calc_data,D$14+1,0),0),0)</f>
        <v/>
      </c>
      <c r="E516" s="182">
        <f>IF(offer_sale_type="транзит",IFERROR(VLOOKUP($B516,calc_data,E$14+1,0),0),0)</f>
        <v/>
      </c>
      <c r="F516" s="182">
        <f>IF(offer_sale_type="транзит",IFERROR(VLOOKUP($B516,calc_data,F$14+1,0),0),0)</f>
        <v/>
      </c>
      <c r="G516" s="141">
        <f>IF(offer_sale_type="транзит",IFERROR(VLOOKUP($B516,calc_data,G$14+1,0),0),0)</f>
        <v/>
      </c>
      <c r="H516" s="141">
        <f>E516*G516</f>
        <v/>
      </c>
      <c r="I516" s="141">
        <f>IF(offer_sale_type="транзит",IFERROR(ROUND(VLOOKUP($B516,calc_data,I$14+1,0),2),0),0)</f>
        <v/>
      </c>
      <c r="J516" s="141">
        <f>ROUND(IF(offer_sale_type="транзит",IFERROR(VLOOKUP($B516,calc_data,J$14+1,0),0),0),2)</f>
        <v/>
      </c>
      <c r="K516" s="142">
        <f>IF(offer_sale_type="транзит",IFERROR(ROUNDUP(VLOOKUP($B516,calc_data,K$14+1,0),2),0),0)</f>
        <v/>
      </c>
      <c r="L516" s="184">
        <f>IF(offer_sale_type="транзит",IFERROR(ROUNDUP(VLOOKUP($B516,calc_data,L$14+1,0),2),0),0)</f>
        <v/>
      </c>
      <c r="M516" s="141">
        <f>IF(offer_sale_type="транзит",IFERROR(ROUNDUP(VLOOKUP($B516,calc_data,M$14+1,0),2),0),0)</f>
        <v/>
      </c>
      <c r="N516" s="141">
        <f>IF(offer_sale_type="транзит",IFERROR(ROUNDUP(VLOOKUP($B516,calc_data,N$14+1,0),2),0),0)</f>
        <v/>
      </c>
      <c r="O516" s="147">
        <f>IF(offer_sale_type="транзит",IFERROR(ROUND(VLOOKUP($B516,calc_data,O$14+1,1),2),0),0)</f>
        <v/>
      </c>
      <c r="P516" s="141">
        <f>IF(offer_sale_type="транзит",IFERROR(ROUND(SUM(I516:J516,M516:O516)/E516,2),0),0)</f>
        <v/>
      </c>
      <c r="Q516" s="141">
        <f>E516*P516</f>
        <v/>
      </c>
      <c r="R516" s="141">
        <f>ROUND(Q516*IF(AND(offer_incoterms="DDP",seller_region="RU"),IF((TODAY()+offer_turnaround_time)&gt;=helpsheet!$L$17,rate_vatRU_from_26,rate_vatRu_till_25),0),2)</f>
        <v/>
      </c>
      <c r="S516" s="177">
        <f>Q516+IF(AND(offer_incoterms="DDP",seller_region="RU"),R516,0)</f>
        <v/>
      </c>
      <c r="T516" s="45" t="n"/>
      <c r="V516" s="57">
        <f>IF(Q516&gt;0,"показать","скрыть")</f>
        <v/>
      </c>
    </row>
    <row r="517" ht="15.75" customHeight="1">
      <c r="B517" s="809" t="n">
        <v>501</v>
      </c>
      <c r="C517" s="182">
        <f>IF(offer_sale_type="транзит",IFERROR(VLOOKUP($B517,calc_data,C$14+1,0),0),0)</f>
        <v/>
      </c>
      <c r="D517" s="280">
        <f>IF(offer_sale_type="транзит",IFERROR(VLOOKUP($B517,calc_data,D$14+1,0),0),0)</f>
        <v/>
      </c>
      <c r="E517" s="182">
        <f>IF(offer_sale_type="транзит",IFERROR(VLOOKUP($B517,calc_data,E$14+1,0),0),0)</f>
        <v/>
      </c>
      <c r="F517" s="182">
        <f>IF(offer_sale_type="транзит",IFERROR(VLOOKUP($B517,calc_data,F$14+1,0),0),0)</f>
        <v/>
      </c>
      <c r="G517" s="141">
        <f>IF(offer_sale_type="транзит",IFERROR(VLOOKUP($B517,calc_data,G$14+1,0),0),0)</f>
        <v/>
      </c>
      <c r="H517" s="141">
        <f>E517*G517</f>
        <v/>
      </c>
      <c r="I517" s="141">
        <f>IF(offer_sale_type="транзит",IFERROR(ROUND(VLOOKUP($B517,calc_data,I$14+1,0),2),0),0)</f>
        <v/>
      </c>
      <c r="J517" s="141">
        <f>ROUND(IF(offer_sale_type="транзит",IFERROR(VLOOKUP($B517,calc_data,J$14+1,0),0),0),2)</f>
        <v/>
      </c>
      <c r="K517" s="142">
        <f>IF(offer_sale_type="транзит",IFERROR(ROUNDUP(VLOOKUP($B517,calc_data,K$14+1,0),2),0),0)</f>
        <v/>
      </c>
      <c r="L517" s="184">
        <f>IF(offer_sale_type="транзит",IFERROR(ROUNDUP(VLOOKUP($B517,calc_data,L$14+1,0),2),0),0)</f>
        <v/>
      </c>
      <c r="M517" s="141">
        <f>IF(offer_sale_type="транзит",IFERROR(ROUNDUP(VLOOKUP($B517,calc_data,M$14+1,0),2),0),0)</f>
        <v/>
      </c>
      <c r="N517" s="141">
        <f>IF(offer_sale_type="транзит",IFERROR(ROUNDUP(VLOOKUP($B517,calc_data,N$14+1,0),2),0),0)</f>
        <v/>
      </c>
      <c r="O517" s="147">
        <f>IF(offer_sale_type="транзит",IFERROR(ROUND(VLOOKUP($B517,calc_data,O$14+1,1),2),0),0)</f>
        <v/>
      </c>
      <c r="P517" s="141">
        <f>IF(offer_sale_type="транзит",IFERROR(ROUND(SUM(I517:J517,M517:O517)/E517,2),0),0)</f>
        <v/>
      </c>
      <c r="Q517" s="141">
        <f>E517*P517</f>
        <v/>
      </c>
      <c r="R517" s="141">
        <f>ROUND(Q517*IF(AND(offer_incoterms="DDP",seller_region="RU"),IF((TODAY()+offer_turnaround_time)&gt;=helpsheet!$L$17,rate_vatRU_from_26,rate_vatRu_till_25),0),2)</f>
        <v/>
      </c>
      <c r="S517" s="177">
        <f>Q517+IF(AND(offer_incoterms="DDP",seller_region="RU"),R517,0)</f>
        <v/>
      </c>
      <c r="T517" s="45" t="n"/>
      <c r="V517" s="57">
        <f>IF(Q517&gt;0,"показать","скрыть")</f>
        <v/>
      </c>
    </row>
    <row r="518" ht="15.75" customHeight="1">
      <c r="B518" s="809" t="n">
        <v>502</v>
      </c>
      <c r="C518" s="182">
        <f>IF(offer_sale_type="транзит",IFERROR(VLOOKUP($B518,calc_data,C$14+1,0),0),0)</f>
        <v/>
      </c>
      <c r="D518" s="280">
        <f>IF(offer_sale_type="транзит",IFERROR(VLOOKUP($B518,calc_data,D$14+1,0),0),0)</f>
        <v/>
      </c>
      <c r="E518" s="182">
        <f>IF(offer_sale_type="транзит",IFERROR(VLOOKUP($B518,calc_data,E$14+1,0),0),0)</f>
        <v/>
      </c>
      <c r="F518" s="182">
        <f>IF(offer_sale_type="транзит",IFERROR(VLOOKUP($B518,calc_data,F$14+1,0),0),0)</f>
        <v/>
      </c>
      <c r="G518" s="141">
        <f>IF(offer_sale_type="транзит",IFERROR(VLOOKUP($B518,calc_data,G$14+1,0),0),0)</f>
        <v/>
      </c>
      <c r="H518" s="141">
        <f>E518*G518</f>
        <v/>
      </c>
      <c r="I518" s="141">
        <f>IF(offer_sale_type="транзит",IFERROR(ROUND(VLOOKUP($B518,calc_data,I$14+1,0),2),0),0)</f>
        <v/>
      </c>
      <c r="J518" s="141">
        <f>ROUND(IF(offer_sale_type="транзит",IFERROR(VLOOKUP($B518,calc_data,J$14+1,0),0),0),2)</f>
        <v/>
      </c>
      <c r="K518" s="142">
        <f>IF(offer_sale_type="транзит",IFERROR(ROUNDUP(VLOOKUP($B518,calc_data,K$14+1,0),2),0),0)</f>
        <v/>
      </c>
      <c r="L518" s="184">
        <f>IF(offer_sale_type="транзит",IFERROR(ROUNDUP(VLOOKUP($B518,calc_data,L$14+1,0),2),0),0)</f>
        <v/>
      </c>
      <c r="M518" s="141">
        <f>IF(offer_sale_type="транзит",IFERROR(ROUNDUP(VLOOKUP($B518,calc_data,M$14+1,0),2),0),0)</f>
        <v/>
      </c>
      <c r="N518" s="141">
        <f>IF(offer_sale_type="транзит",IFERROR(ROUNDUP(VLOOKUP($B518,calc_data,N$14+1,0),2),0),0)</f>
        <v/>
      </c>
      <c r="O518" s="147">
        <f>IF(offer_sale_type="транзит",IFERROR(ROUND(VLOOKUP($B518,calc_data,O$14+1,1),2),0),0)</f>
        <v/>
      </c>
      <c r="P518" s="141">
        <f>IF(offer_sale_type="транзит",IFERROR(ROUND(SUM(I518:J518,M518:O518)/E518,2),0),0)</f>
        <v/>
      </c>
      <c r="Q518" s="141">
        <f>E518*P518</f>
        <v/>
      </c>
      <c r="R518" s="141">
        <f>ROUND(Q518*IF(AND(offer_incoterms="DDP",seller_region="RU"),IF((TODAY()+offer_turnaround_time)&gt;=helpsheet!$L$17,rate_vatRU_from_26,rate_vatRu_till_25),0),2)</f>
        <v/>
      </c>
      <c r="S518" s="177">
        <f>Q518+IF(AND(offer_incoterms="DDP",seller_region="RU"),R518,0)</f>
        <v/>
      </c>
      <c r="T518" s="45" t="n"/>
      <c r="V518" s="57">
        <f>IF(Q518&gt;0,"показать","скрыть")</f>
        <v/>
      </c>
    </row>
    <row r="519" ht="15.75" customHeight="1">
      <c r="B519" s="809" t="n">
        <v>503</v>
      </c>
      <c r="C519" s="182">
        <f>IF(offer_sale_type="транзит",IFERROR(VLOOKUP($B519,calc_data,C$14+1,0),0),0)</f>
        <v/>
      </c>
      <c r="D519" s="280">
        <f>IF(offer_sale_type="транзит",IFERROR(VLOOKUP($B519,calc_data,D$14+1,0),0),0)</f>
        <v/>
      </c>
      <c r="E519" s="182">
        <f>IF(offer_sale_type="транзит",IFERROR(VLOOKUP($B519,calc_data,E$14+1,0),0),0)</f>
        <v/>
      </c>
      <c r="F519" s="182">
        <f>IF(offer_sale_type="транзит",IFERROR(VLOOKUP($B519,calc_data,F$14+1,0),0),0)</f>
        <v/>
      </c>
      <c r="G519" s="141">
        <f>IF(offer_sale_type="транзит",IFERROR(VLOOKUP($B519,calc_data,G$14+1,0),0),0)</f>
        <v/>
      </c>
      <c r="H519" s="141">
        <f>E519*G519</f>
        <v/>
      </c>
      <c r="I519" s="141">
        <f>IF(offer_sale_type="транзит",IFERROR(ROUND(VLOOKUP($B519,calc_data,I$14+1,0),2),0),0)</f>
        <v/>
      </c>
      <c r="J519" s="141">
        <f>ROUND(IF(offer_sale_type="транзит",IFERROR(VLOOKUP($B519,calc_data,J$14+1,0),0),0),2)</f>
        <v/>
      </c>
      <c r="K519" s="142">
        <f>IF(offer_sale_type="транзит",IFERROR(ROUNDUP(VLOOKUP($B519,calc_data,K$14+1,0),2),0),0)</f>
        <v/>
      </c>
      <c r="L519" s="184">
        <f>IF(offer_sale_type="транзит",IFERROR(ROUNDUP(VLOOKUP($B519,calc_data,L$14+1,0),2),0),0)</f>
        <v/>
      </c>
      <c r="M519" s="141">
        <f>IF(offer_sale_type="транзит",IFERROR(ROUNDUP(VLOOKUP($B519,calc_data,M$14+1,0),2),0),0)</f>
        <v/>
      </c>
      <c r="N519" s="141">
        <f>IF(offer_sale_type="транзит",IFERROR(ROUNDUP(VLOOKUP($B519,calc_data,N$14+1,0),2),0),0)</f>
        <v/>
      </c>
      <c r="O519" s="147">
        <f>IF(offer_sale_type="транзит",IFERROR(ROUND(VLOOKUP($B519,calc_data,O$14+1,1),2),0),0)</f>
        <v/>
      </c>
      <c r="P519" s="141">
        <f>IF(offer_sale_type="транзит",IFERROR(ROUND(SUM(I519:J519,M519:O519)/E519,2),0),0)</f>
        <v/>
      </c>
      <c r="Q519" s="141">
        <f>E519*P519</f>
        <v/>
      </c>
      <c r="R519" s="141">
        <f>ROUND(Q519*IF(AND(offer_incoterms="DDP",seller_region="RU"),IF((TODAY()+offer_turnaround_time)&gt;=helpsheet!$L$17,rate_vatRU_from_26,rate_vatRu_till_25),0),2)</f>
        <v/>
      </c>
      <c r="S519" s="177">
        <f>Q519+IF(AND(offer_incoterms="DDP",seller_region="RU"),R519,0)</f>
        <v/>
      </c>
      <c r="T519" s="45" t="n"/>
      <c r="V519" s="57">
        <f>IF(Q519&gt;0,"показать","скрыть")</f>
        <v/>
      </c>
    </row>
    <row r="520" ht="15.75" customHeight="1">
      <c r="B520" s="809" t="n">
        <v>504</v>
      </c>
      <c r="C520" s="182">
        <f>IF(offer_sale_type="транзит",IFERROR(VLOOKUP($B520,calc_data,C$14+1,0),0),0)</f>
        <v/>
      </c>
      <c r="D520" s="280">
        <f>IF(offer_sale_type="транзит",IFERROR(VLOOKUP($B520,calc_data,D$14+1,0),0),0)</f>
        <v/>
      </c>
      <c r="E520" s="182">
        <f>IF(offer_sale_type="транзит",IFERROR(VLOOKUP($B520,calc_data,E$14+1,0),0),0)</f>
        <v/>
      </c>
      <c r="F520" s="182">
        <f>IF(offer_sale_type="транзит",IFERROR(VLOOKUP($B520,calc_data,F$14+1,0),0),0)</f>
        <v/>
      </c>
      <c r="G520" s="141">
        <f>IF(offer_sale_type="транзит",IFERROR(VLOOKUP($B520,calc_data,G$14+1,0),0),0)</f>
        <v/>
      </c>
      <c r="H520" s="141">
        <f>E520*G520</f>
        <v/>
      </c>
      <c r="I520" s="141">
        <f>IF(offer_sale_type="транзит",IFERROR(ROUND(VLOOKUP($B520,calc_data,I$14+1,0),2),0),0)</f>
        <v/>
      </c>
      <c r="J520" s="141">
        <f>ROUND(IF(offer_sale_type="транзит",IFERROR(VLOOKUP($B520,calc_data,J$14+1,0),0),0),2)</f>
        <v/>
      </c>
      <c r="K520" s="142">
        <f>IF(offer_sale_type="транзит",IFERROR(ROUNDUP(VLOOKUP($B520,calc_data,K$14+1,0),2),0),0)</f>
        <v/>
      </c>
      <c r="L520" s="184">
        <f>IF(offer_sale_type="транзит",IFERROR(ROUNDUP(VLOOKUP($B520,calc_data,L$14+1,0),2),0),0)</f>
        <v/>
      </c>
      <c r="M520" s="141">
        <f>IF(offer_sale_type="транзит",IFERROR(ROUNDUP(VLOOKUP($B520,calc_data,M$14+1,0),2),0),0)</f>
        <v/>
      </c>
      <c r="N520" s="141">
        <f>IF(offer_sale_type="транзит",IFERROR(ROUNDUP(VLOOKUP($B520,calc_data,N$14+1,0),2),0),0)</f>
        <v/>
      </c>
      <c r="O520" s="147">
        <f>IF(offer_sale_type="транзит",IFERROR(ROUND(VLOOKUP($B520,calc_data,O$14+1,1),2),0),0)</f>
        <v/>
      </c>
      <c r="P520" s="141">
        <f>IF(offer_sale_type="транзит",IFERROR(ROUND(SUM(I520:J520,M520:O520)/E520,2),0),0)</f>
        <v/>
      </c>
      <c r="Q520" s="141">
        <f>E520*P520</f>
        <v/>
      </c>
      <c r="R520" s="141">
        <f>ROUND(Q520*IF(AND(offer_incoterms="DDP",seller_region="RU"),IF((TODAY()+offer_turnaround_time)&gt;=helpsheet!$L$17,rate_vatRU_from_26,rate_vatRu_till_25),0),2)</f>
        <v/>
      </c>
      <c r="S520" s="177">
        <f>Q520+IF(AND(offer_incoterms="DDP",seller_region="RU"),R520,0)</f>
        <v/>
      </c>
      <c r="T520" s="45" t="n"/>
      <c r="V520" s="57">
        <f>IF(Q520&gt;0,"показать","скрыть")</f>
        <v/>
      </c>
    </row>
    <row r="521" ht="15.75" customHeight="1">
      <c r="B521" s="809" t="n">
        <v>505</v>
      </c>
      <c r="C521" s="182">
        <f>IF(offer_sale_type="транзит",IFERROR(VLOOKUP($B521,calc_data,C$14+1,0),0),0)</f>
        <v/>
      </c>
      <c r="D521" s="280">
        <f>IF(offer_sale_type="транзит",IFERROR(VLOOKUP($B521,calc_data,D$14+1,0),0),0)</f>
        <v/>
      </c>
      <c r="E521" s="182">
        <f>IF(offer_sale_type="транзит",IFERROR(VLOOKUP($B521,calc_data,E$14+1,0),0),0)</f>
        <v/>
      </c>
      <c r="F521" s="182">
        <f>IF(offer_sale_type="транзит",IFERROR(VLOOKUP($B521,calc_data,F$14+1,0),0),0)</f>
        <v/>
      </c>
      <c r="G521" s="141">
        <f>IF(offer_sale_type="транзит",IFERROR(VLOOKUP($B521,calc_data,G$14+1,0),0),0)</f>
        <v/>
      </c>
      <c r="H521" s="141">
        <f>E521*G521</f>
        <v/>
      </c>
      <c r="I521" s="141">
        <f>IF(offer_sale_type="транзит",IFERROR(ROUND(VLOOKUP($B521,calc_data,I$14+1,0),2),0),0)</f>
        <v/>
      </c>
      <c r="J521" s="141">
        <f>ROUND(IF(offer_sale_type="транзит",IFERROR(VLOOKUP($B521,calc_data,J$14+1,0),0),0),2)</f>
        <v/>
      </c>
      <c r="K521" s="142">
        <f>IF(offer_sale_type="транзит",IFERROR(ROUNDUP(VLOOKUP($B521,calc_data,K$14+1,0),2),0),0)</f>
        <v/>
      </c>
      <c r="L521" s="184">
        <f>IF(offer_sale_type="транзит",IFERROR(ROUNDUP(VLOOKUP($B521,calc_data,L$14+1,0),2),0),0)</f>
        <v/>
      </c>
      <c r="M521" s="141">
        <f>IF(offer_sale_type="транзит",IFERROR(ROUNDUP(VLOOKUP($B521,calc_data,M$14+1,0),2),0),0)</f>
        <v/>
      </c>
      <c r="N521" s="141">
        <f>IF(offer_sale_type="транзит",IFERROR(ROUNDUP(VLOOKUP($B521,calc_data,N$14+1,0),2),0),0)</f>
        <v/>
      </c>
      <c r="O521" s="147">
        <f>IF(offer_sale_type="транзит",IFERROR(ROUND(VLOOKUP($B521,calc_data,O$14+1,1),2),0),0)</f>
        <v/>
      </c>
      <c r="P521" s="141">
        <f>IF(offer_sale_type="транзит",IFERROR(ROUND(SUM(I521:J521,M521:O521)/E521,2),0),0)</f>
        <v/>
      </c>
      <c r="Q521" s="141">
        <f>E521*P521</f>
        <v/>
      </c>
      <c r="R521" s="141">
        <f>ROUND(Q521*IF(AND(offer_incoterms="DDP",seller_region="RU"),IF((TODAY()+offer_turnaround_time)&gt;=helpsheet!$L$17,rate_vatRU_from_26,rate_vatRu_till_25),0),2)</f>
        <v/>
      </c>
      <c r="S521" s="177">
        <f>Q521+IF(AND(offer_incoterms="DDP",seller_region="RU"),R521,0)</f>
        <v/>
      </c>
      <c r="T521" s="45" t="n"/>
      <c r="V521" s="57">
        <f>IF(Q521&gt;0,"показать","скрыть")</f>
        <v/>
      </c>
    </row>
    <row r="522" ht="15.75" customHeight="1">
      <c r="B522" s="809" t="n">
        <v>506</v>
      </c>
      <c r="C522" s="182">
        <f>IF(offer_sale_type="транзит",IFERROR(VLOOKUP($B522,calc_data,C$14+1,0),0),0)</f>
        <v/>
      </c>
      <c r="D522" s="280">
        <f>IF(offer_sale_type="транзит",IFERROR(VLOOKUP($B522,calc_data,D$14+1,0),0),0)</f>
        <v/>
      </c>
      <c r="E522" s="182">
        <f>IF(offer_sale_type="транзит",IFERROR(VLOOKUP($B522,calc_data,E$14+1,0),0),0)</f>
        <v/>
      </c>
      <c r="F522" s="182">
        <f>IF(offer_sale_type="транзит",IFERROR(VLOOKUP($B522,calc_data,F$14+1,0),0),0)</f>
        <v/>
      </c>
      <c r="G522" s="141">
        <f>IF(offer_sale_type="транзит",IFERROR(VLOOKUP($B522,calc_data,G$14+1,0),0),0)</f>
        <v/>
      </c>
      <c r="H522" s="141">
        <f>E522*G522</f>
        <v/>
      </c>
      <c r="I522" s="141">
        <f>IF(offer_sale_type="транзит",IFERROR(ROUND(VLOOKUP($B522,calc_data,I$14+1,0),2),0),0)</f>
        <v/>
      </c>
      <c r="J522" s="141">
        <f>ROUND(IF(offer_sale_type="транзит",IFERROR(VLOOKUP($B522,calc_data,J$14+1,0),0),0),2)</f>
        <v/>
      </c>
      <c r="K522" s="142">
        <f>IF(offer_sale_type="транзит",IFERROR(ROUNDUP(VLOOKUP($B522,calc_data,K$14+1,0),2),0),0)</f>
        <v/>
      </c>
      <c r="L522" s="184">
        <f>IF(offer_sale_type="транзит",IFERROR(ROUNDUP(VLOOKUP($B522,calc_data,L$14+1,0),2),0),0)</f>
        <v/>
      </c>
      <c r="M522" s="141">
        <f>IF(offer_sale_type="транзит",IFERROR(ROUNDUP(VLOOKUP($B522,calc_data,M$14+1,0),2),0),0)</f>
        <v/>
      </c>
      <c r="N522" s="141">
        <f>IF(offer_sale_type="транзит",IFERROR(ROUNDUP(VLOOKUP($B522,calc_data,N$14+1,0),2),0),0)</f>
        <v/>
      </c>
      <c r="O522" s="147">
        <f>IF(offer_sale_type="транзит",IFERROR(ROUND(VLOOKUP($B522,calc_data,O$14+1,1),2),0),0)</f>
        <v/>
      </c>
      <c r="P522" s="141">
        <f>IF(offer_sale_type="транзит",IFERROR(ROUND(SUM(I522:J522,M522:O522)/E522,2),0),0)</f>
        <v/>
      </c>
      <c r="Q522" s="141">
        <f>E522*P522</f>
        <v/>
      </c>
      <c r="R522" s="141">
        <f>ROUND(Q522*IF(AND(offer_incoterms="DDP",seller_region="RU"),IF((TODAY()+offer_turnaround_time)&gt;=helpsheet!$L$17,rate_vatRU_from_26,rate_vatRu_till_25),0),2)</f>
        <v/>
      </c>
      <c r="S522" s="177">
        <f>Q522+IF(AND(offer_incoterms="DDP",seller_region="RU"),R522,0)</f>
        <v/>
      </c>
      <c r="T522" s="45" t="n"/>
      <c r="V522" s="57">
        <f>IF(Q522&gt;0,"показать","скрыть")</f>
        <v/>
      </c>
    </row>
    <row r="523" ht="15.75" customHeight="1">
      <c r="B523" s="809" t="n">
        <v>507</v>
      </c>
      <c r="C523" s="182">
        <f>IF(offer_sale_type="транзит",IFERROR(VLOOKUP($B523,calc_data,C$14+1,0),0),0)</f>
        <v/>
      </c>
      <c r="D523" s="280">
        <f>IF(offer_sale_type="транзит",IFERROR(VLOOKUP($B523,calc_data,D$14+1,0),0),0)</f>
        <v/>
      </c>
      <c r="E523" s="182">
        <f>IF(offer_sale_type="транзит",IFERROR(VLOOKUP($B523,calc_data,E$14+1,0),0),0)</f>
        <v/>
      </c>
      <c r="F523" s="182">
        <f>IF(offer_sale_type="транзит",IFERROR(VLOOKUP($B523,calc_data,F$14+1,0),0),0)</f>
        <v/>
      </c>
      <c r="G523" s="141">
        <f>IF(offer_sale_type="транзит",IFERROR(VLOOKUP($B523,calc_data,G$14+1,0),0),0)</f>
        <v/>
      </c>
      <c r="H523" s="141">
        <f>E523*G523</f>
        <v/>
      </c>
      <c r="I523" s="141">
        <f>IF(offer_sale_type="транзит",IFERROR(ROUND(VLOOKUP($B523,calc_data,I$14+1,0),2),0),0)</f>
        <v/>
      </c>
      <c r="J523" s="141">
        <f>ROUND(IF(offer_sale_type="транзит",IFERROR(VLOOKUP($B523,calc_data,J$14+1,0),0),0),2)</f>
        <v/>
      </c>
      <c r="K523" s="142">
        <f>IF(offer_sale_type="транзит",IFERROR(ROUNDUP(VLOOKUP($B523,calc_data,K$14+1,0),2),0),0)</f>
        <v/>
      </c>
      <c r="L523" s="184">
        <f>IF(offer_sale_type="транзит",IFERROR(ROUNDUP(VLOOKUP($B523,calc_data,L$14+1,0),2),0),0)</f>
        <v/>
      </c>
      <c r="M523" s="141">
        <f>IF(offer_sale_type="транзит",IFERROR(ROUNDUP(VLOOKUP($B523,calc_data,M$14+1,0),2),0),0)</f>
        <v/>
      </c>
      <c r="N523" s="141">
        <f>IF(offer_sale_type="транзит",IFERROR(ROUNDUP(VLOOKUP($B523,calc_data,N$14+1,0),2),0),0)</f>
        <v/>
      </c>
      <c r="O523" s="147">
        <f>IF(offer_sale_type="транзит",IFERROR(ROUND(VLOOKUP($B523,calc_data,O$14+1,1),2),0),0)</f>
        <v/>
      </c>
      <c r="P523" s="141">
        <f>IF(offer_sale_type="транзит",IFERROR(ROUND(SUM(I523:J523,M523:O523)/E523,2),0),0)</f>
        <v/>
      </c>
      <c r="Q523" s="141">
        <f>E523*P523</f>
        <v/>
      </c>
      <c r="R523" s="141">
        <f>ROUND(Q523*IF(AND(offer_incoterms="DDP",seller_region="RU"),IF((TODAY()+offer_turnaround_time)&gt;=helpsheet!$L$17,rate_vatRU_from_26,rate_vatRu_till_25),0),2)</f>
        <v/>
      </c>
      <c r="S523" s="177">
        <f>Q523+IF(AND(offer_incoterms="DDP",seller_region="RU"),R523,0)</f>
        <v/>
      </c>
      <c r="T523" s="45" t="n"/>
      <c r="V523" s="57">
        <f>IF(Q523&gt;0,"показать","скрыть")</f>
        <v/>
      </c>
    </row>
    <row r="524" ht="15.75" customHeight="1">
      <c r="B524" s="809" t="n">
        <v>508</v>
      </c>
      <c r="C524" s="182">
        <f>IF(offer_sale_type="транзит",IFERROR(VLOOKUP($B524,calc_data,C$14+1,0),0),0)</f>
        <v/>
      </c>
      <c r="D524" s="280">
        <f>IF(offer_sale_type="транзит",IFERROR(VLOOKUP($B524,calc_data,D$14+1,0),0),0)</f>
        <v/>
      </c>
      <c r="E524" s="182">
        <f>IF(offer_sale_type="транзит",IFERROR(VLOOKUP($B524,calc_data,E$14+1,0),0),0)</f>
        <v/>
      </c>
      <c r="F524" s="182">
        <f>IF(offer_sale_type="транзит",IFERROR(VLOOKUP($B524,calc_data,F$14+1,0),0),0)</f>
        <v/>
      </c>
      <c r="G524" s="141">
        <f>IF(offer_sale_type="транзит",IFERROR(VLOOKUP($B524,calc_data,G$14+1,0),0),0)</f>
        <v/>
      </c>
      <c r="H524" s="141">
        <f>E524*G524</f>
        <v/>
      </c>
      <c r="I524" s="141">
        <f>IF(offer_sale_type="транзит",IFERROR(ROUND(VLOOKUP($B524,calc_data,I$14+1,0),2),0),0)</f>
        <v/>
      </c>
      <c r="J524" s="141">
        <f>ROUND(IF(offer_sale_type="транзит",IFERROR(VLOOKUP($B524,calc_data,J$14+1,0),0),0),2)</f>
        <v/>
      </c>
      <c r="K524" s="142">
        <f>IF(offer_sale_type="транзит",IFERROR(ROUNDUP(VLOOKUP($B524,calc_data,K$14+1,0),2),0),0)</f>
        <v/>
      </c>
      <c r="L524" s="184">
        <f>IF(offer_sale_type="транзит",IFERROR(ROUNDUP(VLOOKUP($B524,calc_data,L$14+1,0),2),0),0)</f>
        <v/>
      </c>
      <c r="M524" s="141">
        <f>IF(offer_sale_type="транзит",IFERROR(ROUNDUP(VLOOKUP($B524,calc_data,M$14+1,0),2),0),0)</f>
        <v/>
      </c>
      <c r="N524" s="141">
        <f>IF(offer_sale_type="транзит",IFERROR(ROUNDUP(VLOOKUP($B524,calc_data,N$14+1,0),2),0),0)</f>
        <v/>
      </c>
      <c r="O524" s="147">
        <f>IF(offer_sale_type="транзит",IFERROR(ROUND(VLOOKUP($B524,calc_data,O$14+1,1),2),0),0)</f>
        <v/>
      </c>
      <c r="P524" s="141">
        <f>IF(offer_sale_type="транзит",IFERROR(ROUND(SUM(I524:J524,M524:O524)/E524,2),0),0)</f>
        <v/>
      </c>
      <c r="Q524" s="141">
        <f>E524*P524</f>
        <v/>
      </c>
      <c r="R524" s="141">
        <f>ROUND(Q524*IF(AND(offer_incoterms="DDP",seller_region="RU"),IF((TODAY()+offer_turnaround_time)&gt;=helpsheet!$L$17,rate_vatRU_from_26,rate_vatRu_till_25),0),2)</f>
        <v/>
      </c>
      <c r="S524" s="177">
        <f>Q524+IF(AND(offer_incoterms="DDP",seller_region="RU"),R524,0)</f>
        <v/>
      </c>
      <c r="T524" s="45" t="n"/>
      <c r="V524" s="57">
        <f>IF(Q524&gt;0,"показать","скрыть")</f>
        <v/>
      </c>
    </row>
    <row r="525" ht="15.75" customHeight="1">
      <c r="B525" s="809" t="n">
        <v>509</v>
      </c>
      <c r="C525" s="182">
        <f>IF(offer_sale_type="транзит",IFERROR(VLOOKUP($B525,calc_data,C$14+1,0),0),0)</f>
        <v/>
      </c>
      <c r="D525" s="280">
        <f>IF(offer_sale_type="транзит",IFERROR(VLOOKUP($B525,calc_data,D$14+1,0),0),0)</f>
        <v/>
      </c>
      <c r="E525" s="182">
        <f>IF(offer_sale_type="транзит",IFERROR(VLOOKUP($B525,calc_data,E$14+1,0),0),0)</f>
        <v/>
      </c>
      <c r="F525" s="182">
        <f>IF(offer_sale_type="транзит",IFERROR(VLOOKUP($B525,calc_data,F$14+1,0),0),0)</f>
        <v/>
      </c>
      <c r="G525" s="141">
        <f>IF(offer_sale_type="транзит",IFERROR(VLOOKUP($B525,calc_data,G$14+1,0),0),0)</f>
        <v/>
      </c>
      <c r="H525" s="141">
        <f>E525*G525</f>
        <v/>
      </c>
      <c r="I525" s="141">
        <f>IF(offer_sale_type="транзит",IFERROR(ROUND(VLOOKUP($B525,calc_data,I$14+1,0),2),0),0)</f>
        <v/>
      </c>
      <c r="J525" s="141">
        <f>ROUND(IF(offer_sale_type="транзит",IFERROR(VLOOKUP($B525,calc_data,J$14+1,0),0),0),2)</f>
        <v/>
      </c>
      <c r="K525" s="142">
        <f>IF(offer_sale_type="транзит",IFERROR(ROUNDUP(VLOOKUP($B525,calc_data,K$14+1,0),2),0),0)</f>
        <v/>
      </c>
      <c r="L525" s="184">
        <f>IF(offer_sale_type="транзит",IFERROR(ROUNDUP(VLOOKUP($B525,calc_data,L$14+1,0),2),0),0)</f>
        <v/>
      </c>
      <c r="M525" s="141">
        <f>IF(offer_sale_type="транзит",IFERROR(ROUNDUP(VLOOKUP($B525,calc_data,M$14+1,0),2),0),0)</f>
        <v/>
      </c>
      <c r="N525" s="141">
        <f>IF(offer_sale_type="транзит",IFERROR(ROUNDUP(VLOOKUP($B525,calc_data,N$14+1,0),2),0),0)</f>
        <v/>
      </c>
      <c r="O525" s="147">
        <f>IF(offer_sale_type="транзит",IFERROR(ROUND(VLOOKUP($B525,calc_data,O$14+1,1),2),0),0)</f>
        <v/>
      </c>
      <c r="P525" s="141">
        <f>IF(offer_sale_type="транзит",IFERROR(ROUND(SUM(I525:J525,M525:O525)/E525,2),0),0)</f>
        <v/>
      </c>
      <c r="Q525" s="141">
        <f>E525*P525</f>
        <v/>
      </c>
      <c r="R525" s="141">
        <f>ROUND(Q525*IF(AND(offer_incoterms="DDP",seller_region="RU"),IF((TODAY()+offer_turnaround_time)&gt;=helpsheet!$L$17,rate_vatRU_from_26,rate_vatRu_till_25),0),2)</f>
        <v/>
      </c>
      <c r="S525" s="177">
        <f>Q525+IF(AND(offer_incoterms="DDP",seller_region="RU"),R525,0)</f>
        <v/>
      </c>
      <c r="T525" s="45" t="n"/>
      <c r="V525" s="57">
        <f>IF(Q525&gt;0,"показать","скрыть")</f>
        <v/>
      </c>
    </row>
    <row r="526" ht="15.75" customHeight="1">
      <c r="B526" s="809" t="n">
        <v>510</v>
      </c>
      <c r="C526" s="182">
        <f>IF(offer_sale_type="транзит",IFERROR(VLOOKUP($B526,calc_data,C$14+1,0),0),0)</f>
        <v/>
      </c>
      <c r="D526" s="280">
        <f>IF(offer_sale_type="транзит",IFERROR(VLOOKUP($B526,calc_data,D$14+1,0),0),0)</f>
        <v/>
      </c>
      <c r="E526" s="182">
        <f>IF(offer_sale_type="транзит",IFERROR(VLOOKUP($B526,calc_data,E$14+1,0),0),0)</f>
        <v/>
      </c>
      <c r="F526" s="182">
        <f>IF(offer_sale_type="транзит",IFERROR(VLOOKUP($B526,calc_data,F$14+1,0),0),0)</f>
        <v/>
      </c>
      <c r="G526" s="141">
        <f>IF(offer_sale_type="транзит",IFERROR(VLOOKUP($B526,calc_data,G$14+1,0),0),0)</f>
        <v/>
      </c>
      <c r="H526" s="141">
        <f>E526*G526</f>
        <v/>
      </c>
      <c r="I526" s="141">
        <f>IF(offer_sale_type="транзит",IFERROR(ROUND(VLOOKUP($B526,calc_data,I$14+1,0),2),0),0)</f>
        <v/>
      </c>
      <c r="J526" s="141">
        <f>ROUND(IF(offer_sale_type="транзит",IFERROR(VLOOKUP($B526,calc_data,J$14+1,0),0),0),2)</f>
        <v/>
      </c>
      <c r="K526" s="142">
        <f>IF(offer_sale_type="транзит",IFERROR(ROUNDUP(VLOOKUP($B526,calc_data,K$14+1,0),2),0),0)</f>
        <v/>
      </c>
      <c r="L526" s="184">
        <f>IF(offer_sale_type="транзит",IFERROR(ROUNDUP(VLOOKUP($B526,calc_data,L$14+1,0),2),0),0)</f>
        <v/>
      </c>
      <c r="M526" s="141">
        <f>IF(offer_sale_type="транзит",IFERROR(ROUNDUP(VLOOKUP($B526,calc_data,M$14+1,0),2),0),0)</f>
        <v/>
      </c>
      <c r="N526" s="141">
        <f>IF(offer_sale_type="транзит",IFERROR(ROUNDUP(VLOOKUP($B526,calc_data,N$14+1,0),2),0),0)</f>
        <v/>
      </c>
      <c r="O526" s="147">
        <f>IF(offer_sale_type="транзит",IFERROR(ROUND(VLOOKUP($B526,calc_data,O$14+1,1),2),0),0)</f>
        <v/>
      </c>
      <c r="P526" s="141">
        <f>IF(offer_sale_type="транзит",IFERROR(ROUND(SUM(I526:J526,M526:O526)/E526,2),0),0)</f>
        <v/>
      </c>
      <c r="Q526" s="141">
        <f>E526*P526</f>
        <v/>
      </c>
      <c r="R526" s="141">
        <f>ROUND(Q526*IF(AND(offer_incoterms="DDP",seller_region="RU"),IF((TODAY()+offer_turnaround_time)&gt;=helpsheet!$L$17,rate_vatRU_from_26,rate_vatRu_till_25),0),2)</f>
        <v/>
      </c>
      <c r="S526" s="177">
        <f>Q526+IF(AND(offer_incoterms="DDP",seller_region="RU"),R526,0)</f>
        <v/>
      </c>
      <c r="T526" s="45" t="n"/>
      <c r="V526" s="57">
        <f>IF(Q526&gt;0,"показать","скрыть")</f>
        <v/>
      </c>
    </row>
    <row r="527" ht="15.75" customHeight="1">
      <c r="B527" s="809" t="n">
        <v>511</v>
      </c>
      <c r="C527" s="182">
        <f>IF(offer_sale_type="транзит",IFERROR(VLOOKUP($B527,calc_data,C$14+1,0),0),0)</f>
        <v/>
      </c>
      <c r="D527" s="280">
        <f>IF(offer_sale_type="транзит",IFERROR(VLOOKUP($B527,calc_data,D$14+1,0),0),0)</f>
        <v/>
      </c>
      <c r="E527" s="182">
        <f>IF(offer_sale_type="транзит",IFERROR(VLOOKUP($B527,calc_data,E$14+1,0),0),0)</f>
        <v/>
      </c>
      <c r="F527" s="182">
        <f>IF(offer_sale_type="транзит",IFERROR(VLOOKUP($B527,calc_data,F$14+1,0),0),0)</f>
        <v/>
      </c>
      <c r="G527" s="141">
        <f>IF(offer_sale_type="транзит",IFERROR(VLOOKUP($B527,calc_data,G$14+1,0),0),0)</f>
        <v/>
      </c>
      <c r="H527" s="141">
        <f>E527*G527</f>
        <v/>
      </c>
      <c r="I527" s="141">
        <f>IF(offer_sale_type="транзит",IFERROR(ROUND(VLOOKUP($B527,calc_data,I$14+1,0),2),0),0)</f>
        <v/>
      </c>
      <c r="J527" s="141">
        <f>ROUND(IF(offer_sale_type="транзит",IFERROR(VLOOKUP($B527,calc_data,J$14+1,0),0),0),2)</f>
        <v/>
      </c>
      <c r="K527" s="142">
        <f>IF(offer_sale_type="транзит",IFERROR(ROUNDUP(VLOOKUP($B527,calc_data,K$14+1,0),2),0),0)</f>
        <v/>
      </c>
      <c r="L527" s="184">
        <f>IF(offer_sale_type="транзит",IFERROR(ROUNDUP(VLOOKUP($B527,calc_data,L$14+1,0),2),0),0)</f>
        <v/>
      </c>
      <c r="M527" s="141">
        <f>IF(offer_sale_type="транзит",IFERROR(ROUNDUP(VLOOKUP($B527,calc_data,M$14+1,0),2),0),0)</f>
        <v/>
      </c>
      <c r="N527" s="141">
        <f>IF(offer_sale_type="транзит",IFERROR(ROUNDUP(VLOOKUP($B527,calc_data,N$14+1,0),2),0),0)</f>
        <v/>
      </c>
      <c r="O527" s="147">
        <f>IF(offer_sale_type="транзит",IFERROR(ROUND(VLOOKUP($B527,calc_data,O$14+1,1),2),0),0)</f>
        <v/>
      </c>
      <c r="P527" s="141">
        <f>IF(offer_sale_type="транзит",IFERROR(ROUND(SUM(I527:J527,M527:O527)/E527,2),0),0)</f>
        <v/>
      </c>
      <c r="Q527" s="141">
        <f>E527*P527</f>
        <v/>
      </c>
      <c r="R527" s="141">
        <f>ROUND(Q527*IF(AND(offer_incoterms="DDP",seller_region="RU"),IF((TODAY()+offer_turnaround_time)&gt;=helpsheet!$L$17,rate_vatRU_from_26,rate_vatRu_till_25),0),2)</f>
        <v/>
      </c>
      <c r="S527" s="177">
        <f>Q527+IF(AND(offer_incoterms="DDP",seller_region="RU"),R527,0)</f>
        <v/>
      </c>
      <c r="T527" s="45" t="n"/>
      <c r="V527" s="57">
        <f>IF(Q527&gt;0,"показать","скрыть")</f>
        <v/>
      </c>
    </row>
    <row r="528" ht="15.75" customHeight="1">
      <c r="B528" s="809" t="n">
        <v>512</v>
      </c>
      <c r="C528" s="182">
        <f>IF(offer_sale_type="транзит",IFERROR(VLOOKUP($B528,calc_data,C$14+1,0),0),0)</f>
        <v/>
      </c>
      <c r="D528" s="280">
        <f>IF(offer_sale_type="транзит",IFERROR(VLOOKUP($B528,calc_data,D$14+1,0),0),0)</f>
        <v/>
      </c>
      <c r="E528" s="182">
        <f>IF(offer_sale_type="транзит",IFERROR(VLOOKUP($B528,calc_data,E$14+1,0),0),0)</f>
        <v/>
      </c>
      <c r="F528" s="182">
        <f>IF(offer_sale_type="транзит",IFERROR(VLOOKUP($B528,calc_data,F$14+1,0),0),0)</f>
        <v/>
      </c>
      <c r="G528" s="141">
        <f>IF(offer_sale_type="транзит",IFERROR(VLOOKUP($B528,calc_data,G$14+1,0),0),0)</f>
        <v/>
      </c>
      <c r="H528" s="141">
        <f>E528*G528</f>
        <v/>
      </c>
      <c r="I528" s="141">
        <f>IF(offer_sale_type="транзит",IFERROR(ROUND(VLOOKUP($B528,calc_data,I$14+1,0),2),0),0)</f>
        <v/>
      </c>
      <c r="J528" s="141">
        <f>ROUND(IF(offer_sale_type="транзит",IFERROR(VLOOKUP($B528,calc_data,J$14+1,0),0),0),2)</f>
        <v/>
      </c>
      <c r="K528" s="142">
        <f>IF(offer_sale_type="транзит",IFERROR(ROUNDUP(VLOOKUP($B528,calc_data,K$14+1,0),2),0),0)</f>
        <v/>
      </c>
      <c r="L528" s="184">
        <f>IF(offer_sale_type="транзит",IFERROR(ROUNDUP(VLOOKUP($B528,calc_data,L$14+1,0),2),0),0)</f>
        <v/>
      </c>
      <c r="M528" s="141">
        <f>IF(offer_sale_type="транзит",IFERROR(ROUNDUP(VLOOKUP($B528,calc_data,M$14+1,0),2),0),0)</f>
        <v/>
      </c>
      <c r="N528" s="141">
        <f>IF(offer_sale_type="транзит",IFERROR(ROUNDUP(VLOOKUP($B528,calc_data,N$14+1,0),2),0),0)</f>
        <v/>
      </c>
      <c r="O528" s="147">
        <f>IF(offer_sale_type="транзит",IFERROR(ROUND(VLOOKUP($B528,calc_data,O$14+1,1),2),0),0)</f>
        <v/>
      </c>
      <c r="P528" s="141">
        <f>IF(offer_sale_type="транзит",IFERROR(ROUND(SUM(I528:J528,M528:O528)/E528,2),0),0)</f>
        <v/>
      </c>
      <c r="Q528" s="141">
        <f>E528*P528</f>
        <v/>
      </c>
      <c r="R528" s="141">
        <f>ROUND(Q528*IF(AND(offer_incoterms="DDP",seller_region="RU"),IF((TODAY()+offer_turnaround_time)&gt;=helpsheet!$L$17,rate_vatRU_from_26,rate_vatRu_till_25),0),2)</f>
        <v/>
      </c>
      <c r="S528" s="177">
        <f>Q528+IF(AND(offer_incoterms="DDP",seller_region="RU"),R528,0)</f>
        <v/>
      </c>
      <c r="T528" s="45" t="n"/>
      <c r="V528" s="57">
        <f>IF(Q528&gt;0,"показать","скрыть")</f>
        <v/>
      </c>
    </row>
    <row r="529" ht="15.75" customHeight="1">
      <c r="B529" s="809" t="n">
        <v>513</v>
      </c>
      <c r="C529" s="182">
        <f>IF(offer_sale_type="транзит",IFERROR(VLOOKUP($B529,calc_data,C$14+1,0),0),0)</f>
        <v/>
      </c>
      <c r="D529" s="280">
        <f>IF(offer_sale_type="транзит",IFERROR(VLOOKUP($B529,calc_data,D$14+1,0),0),0)</f>
        <v/>
      </c>
      <c r="E529" s="182">
        <f>IF(offer_sale_type="транзит",IFERROR(VLOOKUP($B529,calc_data,E$14+1,0),0),0)</f>
        <v/>
      </c>
      <c r="F529" s="182">
        <f>IF(offer_sale_type="транзит",IFERROR(VLOOKUP($B529,calc_data,F$14+1,0),0),0)</f>
        <v/>
      </c>
      <c r="G529" s="141">
        <f>IF(offer_sale_type="транзит",IFERROR(VLOOKUP($B529,calc_data,G$14+1,0),0),0)</f>
        <v/>
      </c>
      <c r="H529" s="141">
        <f>E529*G529</f>
        <v/>
      </c>
      <c r="I529" s="141">
        <f>IF(offer_sale_type="транзит",IFERROR(ROUND(VLOOKUP($B529,calc_data,I$14+1,0),2),0),0)</f>
        <v/>
      </c>
      <c r="J529" s="141">
        <f>ROUND(IF(offer_sale_type="транзит",IFERROR(VLOOKUP($B529,calc_data,J$14+1,0),0),0),2)</f>
        <v/>
      </c>
      <c r="K529" s="142">
        <f>IF(offer_sale_type="транзит",IFERROR(ROUNDUP(VLOOKUP($B529,calc_data,K$14+1,0),2),0),0)</f>
        <v/>
      </c>
      <c r="L529" s="184">
        <f>IF(offer_sale_type="транзит",IFERROR(ROUNDUP(VLOOKUP($B529,calc_data,L$14+1,0),2),0),0)</f>
        <v/>
      </c>
      <c r="M529" s="141">
        <f>IF(offer_sale_type="транзит",IFERROR(ROUNDUP(VLOOKUP($B529,calc_data,M$14+1,0),2),0),0)</f>
        <v/>
      </c>
      <c r="N529" s="141">
        <f>IF(offer_sale_type="транзит",IFERROR(ROUNDUP(VLOOKUP($B529,calc_data,N$14+1,0),2),0),0)</f>
        <v/>
      </c>
      <c r="O529" s="147">
        <f>IF(offer_sale_type="транзит",IFERROR(ROUND(VLOOKUP($B529,calc_data,O$14+1,1),2),0),0)</f>
        <v/>
      </c>
      <c r="P529" s="141">
        <f>IF(offer_sale_type="транзит",IFERROR(ROUND(SUM(I529:J529,M529:O529)/E529,2),0),0)</f>
        <v/>
      </c>
      <c r="Q529" s="141">
        <f>E529*P529</f>
        <v/>
      </c>
      <c r="R529" s="141">
        <f>ROUND(Q529*IF(AND(offer_incoterms="DDP",seller_region="RU"),IF((TODAY()+offer_turnaround_time)&gt;=helpsheet!$L$17,rate_vatRU_from_26,rate_vatRu_till_25),0),2)</f>
        <v/>
      </c>
      <c r="S529" s="177">
        <f>Q529+IF(AND(offer_incoterms="DDP",seller_region="RU"),R529,0)</f>
        <v/>
      </c>
      <c r="T529" s="45" t="n"/>
      <c r="V529" s="57">
        <f>IF(Q529&gt;0,"показать","скрыть")</f>
        <v/>
      </c>
    </row>
    <row r="530" ht="15.75" customHeight="1">
      <c r="B530" s="809" t="n">
        <v>514</v>
      </c>
      <c r="C530" s="182">
        <f>IF(offer_sale_type="транзит",IFERROR(VLOOKUP($B530,calc_data,C$14+1,0),0),0)</f>
        <v/>
      </c>
      <c r="D530" s="280">
        <f>IF(offer_sale_type="транзит",IFERROR(VLOOKUP($B530,calc_data,D$14+1,0),0),0)</f>
        <v/>
      </c>
      <c r="E530" s="182">
        <f>IF(offer_sale_type="транзит",IFERROR(VLOOKUP($B530,calc_data,E$14+1,0),0),0)</f>
        <v/>
      </c>
      <c r="F530" s="182">
        <f>IF(offer_sale_type="транзит",IFERROR(VLOOKUP($B530,calc_data,F$14+1,0),0),0)</f>
        <v/>
      </c>
      <c r="G530" s="141">
        <f>IF(offer_sale_type="транзит",IFERROR(VLOOKUP($B530,calc_data,G$14+1,0),0),0)</f>
        <v/>
      </c>
      <c r="H530" s="141">
        <f>E530*G530</f>
        <v/>
      </c>
      <c r="I530" s="141">
        <f>IF(offer_sale_type="транзит",IFERROR(ROUND(VLOOKUP($B530,calc_data,I$14+1,0),2),0),0)</f>
        <v/>
      </c>
      <c r="J530" s="141">
        <f>ROUND(IF(offer_sale_type="транзит",IFERROR(VLOOKUP($B530,calc_data,J$14+1,0),0),0),2)</f>
        <v/>
      </c>
      <c r="K530" s="142">
        <f>IF(offer_sale_type="транзит",IFERROR(ROUNDUP(VLOOKUP($B530,calc_data,K$14+1,0),2),0),0)</f>
        <v/>
      </c>
      <c r="L530" s="184">
        <f>IF(offer_sale_type="транзит",IFERROR(ROUNDUP(VLOOKUP($B530,calc_data,L$14+1,0),2),0),0)</f>
        <v/>
      </c>
      <c r="M530" s="141">
        <f>IF(offer_sale_type="транзит",IFERROR(ROUNDUP(VLOOKUP($B530,calc_data,M$14+1,0),2),0),0)</f>
        <v/>
      </c>
      <c r="N530" s="141">
        <f>IF(offer_sale_type="транзит",IFERROR(ROUNDUP(VLOOKUP($B530,calc_data,N$14+1,0),2),0),0)</f>
        <v/>
      </c>
      <c r="O530" s="147">
        <f>IF(offer_sale_type="транзит",IFERROR(ROUND(VLOOKUP($B530,calc_data,O$14+1,1),2),0),0)</f>
        <v/>
      </c>
      <c r="P530" s="141">
        <f>IF(offer_sale_type="транзит",IFERROR(ROUND(SUM(I530:J530,M530:O530)/E530,2),0),0)</f>
        <v/>
      </c>
      <c r="Q530" s="141">
        <f>E530*P530</f>
        <v/>
      </c>
      <c r="R530" s="141">
        <f>ROUND(Q530*IF(AND(offer_incoterms="DDP",seller_region="RU"),IF((TODAY()+offer_turnaround_time)&gt;=helpsheet!$L$17,rate_vatRU_from_26,rate_vatRu_till_25),0),2)</f>
        <v/>
      </c>
      <c r="S530" s="177">
        <f>Q530+IF(AND(offer_incoterms="DDP",seller_region="RU"),R530,0)</f>
        <v/>
      </c>
      <c r="T530" s="45" t="n"/>
      <c r="V530" s="57">
        <f>IF(Q530&gt;0,"показать","скрыть")</f>
        <v/>
      </c>
    </row>
    <row r="531" ht="15.75" customHeight="1">
      <c r="B531" s="809" t="n">
        <v>515</v>
      </c>
      <c r="C531" s="182">
        <f>IF(offer_sale_type="транзит",IFERROR(VLOOKUP($B531,calc_data,C$14+1,0),0),0)</f>
        <v/>
      </c>
      <c r="D531" s="280">
        <f>IF(offer_sale_type="транзит",IFERROR(VLOOKUP($B531,calc_data,D$14+1,0),0),0)</f>
        <v/>
      </c>
      <c r="E531" s="182">
        <f>IF(offer_sale_type="транзит",IFERROR(VLOOKUP($B531,calc_data,E$14+1,0),0),0)</f>
        <v/>
      </c>
      <c r="F531" s="182">
        <f>IF(offer_sale_type="транзит",IFERROR(VLOOKUP($B531,calc_data,F$14+1,0),0),0)</f>
        <v/>
      </c>
      <c r="G531" s="141">
        <f>IF(offer_sale_type="транзит",IFERROR(VLOOKUP($B531,calc_data,G$14+1,0),0),0)</f>
        <v/>
      </c>
      <c r="H531" s="141">
        <f>E531*G531</f>
        <v/>
      </c>
      <c r="I531" s="141">
        <f>IF(offer_sale_type="транзит",IFERROR(ROUND(VLOOKUP($B531,calc_data,I$14+1,0),2),0),0)</f>
        <v/>
      </c>
      <c r="J531" s="141">
        <f>ROUND(IF(offer_sale_type="транзит",IFERROR(VLOOKUP($B531,calc_data,J$14+1,0),0),0),2)</f>
        <v/>
      </c>
      <c r="K531" s="142">
        <f>IF(offer_sale_type="транзит",IFERROR(ROUNDUP(VLOOKUP($B531,calc_data,K$14+1,0),2),0),0)</f>
        <v/>
      </c>
      <c r="L531" s="184">
        <f>IF(offer_sale_type="транзит",IFERROR(ROUNDUP(VLOOKUP($B531,calc_data,L$14+1,0),2),0),0)</f>
        <v/>
      </c>
      <c r="M531" s="141">
        <f>IF(offer_sale_type="транзит",IFERROR(ROUNDUP(VLOOKUP($B531,calc_data,M$14+1,0),2),0),0)</f>
        <v/>
      </c>
      <c r="N531" s="141">
        <f>IF(offer_sale_type="транзит",IFERROR(ROUNDUP(VLOOKUP($B531,calc_data,N$14+1,0),2),0),0)</f>
        <v/>
      </c>
      <c r="O531" s="147">
        <f>IF(offer_sale_type="транзит",IFERROR(ROUND(VLOOKUP($B531,calc_data,O$14+1,1),2),0),0)</f>
        <v/>
      </c>
      <c r="P531" s="141">
        <f>IF(offer_sale_type="транзит",IFERROR(ROUND(SUM(I531:J531,M531:O531)/E531,2),0),0)</f>
        <v/>
      </c>
      <c r="Q531" s="141">
        <f>E531*P531</f>
        <v/>
      </c>
      <c r="R531" s="141">
        <f>ROUND(Q531*IF(AND(offer_incoterms="DDP",seller_region="RU"),IF((TODAY()+offer_turnaround_time)&gt;=helpsheet!$L$17,rate_vatRU_from_26,rate_vatRu_till_25),0),2)</f>
        <v/>
      </c>
      <c r="S531" s="177">
        <f>Q531+IF(AND(offer_incoterms="DDP",seller_region="RU"),R531,0)</f>
        <v/>
      </c>
      <c r="T531" s="45" t="n"/>
      <c r="V531" s="57">
        <f>IF(Q531&gt;0,"показать","скрыть")</f>
        <v/>
      </c>
    </row>
    <row r="532" ht="15.75" customHeight="1">
      <c r="B532" s="809" t="n">
        <v>516</v>
      </c>
      <c r="C532" s="182">
        <f>IF(offer_sale_type="транзит",IFERROR(VLOOKUP($B532,calc_data,C$14+1,0),0),0)</f>
        <v/>
      </c>
      <c r="D532" s="280">
        <f>IF(offer_sale_type="транзит",IFERROR(VLOOKUP($B532,calc_data,D$14+1,0),0),0)</f>
        <v/>
      </c>
      <c r="E532" s="182">
        <f>IF(offer_sale_type="транзит",IFERROR(VLOOKUP($B532,calc_data,E$14+1,0),0),0)</f>
        <v/>
      </c>
      <c r="F532" s="182">
        <f>IF(offer_sale_type="транзит",IFERROR(VLOOKUP($B532,calc_data,F$14+1,0),0),0)</f>
        <v/>
      </c>
      <c r="G532" s="141">
        <f>IF(offer_sale_type="транзит",IFERROR(VLOOKUP($B532,calc_data,G$14+1,0),0),0)</f>
        <v/>
      </c>
      <c r="H532" s="141">
        <f>E532*G532</f>
        <v/>
      </c>
      <c r="I532" s="141">
        <f>IF(offer_sale_type="транзит",IFERROR(ROUND(VLOOKUP($B532,calc_data,I$14+1,0),2),0),0)</f>
        <v/>
      </c>
      <c r="J532" s="141">
        <f>ROUND(IF(offer_sale_type="транзит",IFERROR(VLOOKUP($B532,calc_data,J$14+1,0),0),0),2)</f>
        <v/>
      </c>
      <c r="K532" s="142">
        <f>IF(offer_sale_type="транзит",IFERROR(ROUNDUP(VLOOKUP($B532,calc_data,K$14+1,0),2),0),0)</f>
        <v/>
      </c>
      <c r="L532" s="184">
        <f>IF(offer_sale_type="транзит",IFERROR(ROUNDUP(VLOOKUP($B532,calc_data,L$14+1,0),2),0),0)</f>
        <v/>
      </c>
      <c r="M532" s="141">
        <f>IF(offer_sale_type="транзит",IFERROR(ROUNDUP(VLOOKUP($B532,calc_data,M$14+1,0),2),0),0)</f>
        <v/>
      </c>
      <c r="N532" s="141">
        <f>IF(offer_sale_type="транзит",IFERROR(ROUNDUP(VLOOKUP($B532,calc_data,N$14+1,0),2),0),0)</f>
        <v/>
      </c>
      <c r="O532" s="147">
        <f>IF(offer_sale_type="транзит",IFERROR(ROUND(VLOOKUP($B532,calc_data,O$14+1,1),2),0),0)</f>
        <v/>
      </c>
      <c r="P532" s="141">
        <f>IF(offer_sale_type="транзит",IFERROR(ROUND(SUM(I532:J532,M532:O532)/E532,2),0),0)</f>
        <v/>
      </c>
      <c r="Q532" s="141">
        <f>E532*P532</f>
        <v/>
      </c>
      <c r="R532" s="141">
        <f>ROUND(Q532*IF(AND(offer_incoterms="DDP",seller_region="RU"),IF((TODAY()+offer_turnaround_time)&gt;=helpsheet!$L$17,rate_vatRU_from_26,rate_vatRu_till_25),0),2)</f>
        <v/>
      </c>
      <c r="S532" s="177">
        <f>Q532+IF(AND(offer_incoterms="DDP",seller_region="RU"),R532,0)</f>
        <v/>
      </c>
      <c r="T532" s="45" t="n"/>
      <c r="V532" s="57">
        <f>IF(Q532&gt;0,"показать","скрыть")</f>
        <v/>
      </c>
    </row>
    <row r="533" ht="15.75" customHeight="1">
      <c r="B533" s="809" t="n">
        <v>517</v>
      </c>
      <c r="C533" s="182">
        <f>IF(offer_sale_type="транзит",IFERROR(VLOOKUP($B533,calc_data,C$14+1,0),0),0)</f>
        <v/>
      </c>
      <c r="D533" s="280">
        <f>IF(offer_sale_type="транзит",IFERROR(VLOOKUP($B533,calc_data,D$14+1,0),0),0)</f>
        <v/>
      </c>
      <c r="E533" s="182">
        <f>IF(offer_sale_type="транзит",IFERROR(VLOOKUP($B533,calc_data,E$14+1,0),0),0)</f>
        <v/>
      </c>
      <c r="F533" s="182">
        <f>IF(offer_sale_type="транзит",IFERROR(VLOOKUP($B533,calc_data,F$14+1,0),0),0)</f>
        <v/>
      </c>
      <c r="G533" s="141">
        <f>IF(offer_sale_type="транзит",IFERROR(VLOOKUP($B533,calc_data,G$14+1,0),0),0)</f>
        <v/>
      </c>
      <c r="H533" s="141">
        <f>E533*G533</f>
        <v/>
      </c>
      <c r="I533" s="141">
        <f>IF(offer_sale_type="транзит",IFERROR(ROUND(VLOOKUP($B533,calc_data,I$14+1,0),2),0),0)</f>
        <v/>
      </c>
      <c r="J533" s="141">
        <f>ROUND(IF(offer_sale_type="транзит",IFERROR(VLOOKUP($B533,calc_data,J$14+1,0),0),0),2)</f>
        <v/>
      </c>
      <c r="K533" s="142">
        <f>IF(offer_sale_type="транзит",IFERROR(ROUNDUP(VLOOKUP($B533,calc_data,K$14+1,0),2),0),0)</f>
        <v/>
      </c>
      <c r="L533" s="184">
        <f>IF(offer_sale_type="транзит",IFERROR(ROUNDUP(VLOOKUP($B533,calc_data,L$14+1,0),2),0),0)</f>
        <v/>
      </c>
      <c r="M533" s="141">
        <f>IF(offer_sale_type="транзит",IFERROR(ROUNDUP(VLOOKUP($B533,calc_data,M$14+1,0),2),0),0)</f>
        <v/>
      </c>
      <c r="N533" s="141">
        <f>IF(offer_sale_type="транзит",IFERROR(ROUNDUP(VLOOKUP($B533,calc_data,N$14+1,0),2),0),0)</f>
        <v/>
      </c>
      <c r="O533" s="147">
        <f>IF(offer_sale_type="транзит",IFERROR(ROUND(VLOOKUP($B533,calc_data,O$14+1,1),2),0),0)</f>
        <v/>
      </c>
      <c r="P533" s="141">
        <f>IF(offer_sale_type="транзит",IFERROR(ROUND(SUM(I533:J533,M533:O533)/E533,2),0),0)</f>
        <v/>
      </c>
      <c r="Q533" s="141">
        <f>E533*P533</f>
        <v/>
      </c>
      <c r="R533" s="141">
        <f>ROUND(Q533*IF(AND(offer_incoterms="DDP",seller_region="RU"),IF((TODAY()+offer_turnaround_time)&gt;=helpsheet!$L$17,rate_vatRU_from_26,rate_vatRu_till_25),0),2)</f>
        <v/>
      </c>
      <c r="S533" s="177">
        <f>Q533+IF(AND(offer_incoterms="DDP",seller_region="RU"),R533,0)</f>
        <v/>
      </c>
      <c r="T533" s="45" t="n"/>
      <c r="V533" s="57">
        <f>IF(Q533&gt;0,"показать","скрыть")</f>
        <v/>
      </c>
    </row>
    <row r="534" ht="15.75" customHeight="1">
      <c r="B534" s="809" t="n">
        <v>518</v>
      </c>
      <c r="C534" s="182">
        <f>IF(offer_sale_type="транзит",IFERROR(VLOOKUP($B534,calc_data,C$14+1,0),0),0)</f>
        <v/>
      </c>
      <c r="D534" s="280">
        <f>IF(offer_sale_type="транзит",IFERROR(VLOOKUP($B534,calc_data,D$14+1,0),0),0)</f>
        <v/>
      </c>
      <c r="E534" s="182">
        <f>IF(offer_sale_type="транзит",IFERROR(VLOOKUP($B534,calc_data,E$14+1,0),0),0)</f>
        <v/>
      </c>
      <c r="F534" s="182">
        <f>IF(offer_sale_type="транзит",IFERROR(VLOOKUP($B534,calc_data,F$14+1,0),0),0)</f>
        <v/>
      </c>
      <c r="G534" s="141">
        <f>IF(offer_sale_type="транзит",IFERROR(VLOOKUP($B534,calc_data,G$14+1,0),0),0)</f>
        <v/>
      </c>
      <c r="H534" s="141">
        <f>E534*G534</f>
        <v/>
      </c>
      <c r="I534" s="141">
        <f>IF(offer_sale_type="транзит",IFERROR(ROUND(VLOOKUP($B534,calc_data,I$14+1,0),2),0),0)</f>
        <v/>
      </c>
      <c r="J534" s="141">
        <f>ROUND(IF(offer_sale_type="транзит",IFERROR(VLOOKUP($B534,calc_data,J$14+1,0),0),0),2)</f>
        <v/>
      </c>
      <c r="K534" s="142">
        <f>IF(offer_sale_type="транзит",IFERROR(ROUNDUP(VLOOKUP($B534,calc_data,K$14+1,0),2),0),0)</f>
        <v/>
      </c>
      <c r="L534" s="184">
        <f>IF(offer_sale_type="транзит",IFERROR(ROUNDUP(VLOOKUP($B534,calc_data,L$14+1,0),2),0),0)</f>
        <v/>
      </c>
      <c r="M534" s="141">
        <f>IF(offer_sale_type="транзит",IFERROR(ROUNDUP(VLOOKUP($B534,calc_data,M$14+1,0),2),0),0)</f>
        <v/>
      </c>
      <c r="N534" s="141">
        <f>IF(offer_sale_type="транзит",IFERROR(ROUNDUP(VLOOKUP($B534,calc_data,N$14+1,0),2),0),0)</f>
        <v/>
      </c>
      <c r="O534" s="147">
        <f>IF(offer_sale_type="транзит",IFERROR(ROUND(VLOOKUP($B534,calc_data,O$14+1,1),2),0),0)</f>
        <v/>
      </c>
      <c r="P534" s="141">
        <f>IF(offer_sale_type="транзит",IFERROR(ROUND(SUM(I534:J534,M534:O534)/E534,2),0),0)</f>
        <v/>
      </c>
      <c r="Q534" s="141">
        <f>E534*P534</f>
        <v/>
      </c>
      <c r="R534" s="141">
        <f>ROUND(Q534*IF(AND(offer_incoterms="DDP",seller_region="RU"),IF((TODAY()+offer_turnaround_time)&gt;=helpsheet!$L$17,rate_vatRU_from_26,rate_vatRu_till_25),0),2)</f>
        <v/>
      </c>
      <c r="S534" s="177">
        <f>Q534+IF(AND(offer_incoterms="DDP",seller_region="RU"),R534,0)</f>
        <v/>
      </c>
      <c r="T534" s="45" t="n"/>
      <c r="V534" s="57">
        <f>IF(Q534&gt;0,"показать","скрыть")</f>
        <v/>
      </c>
    </row>
    <row r="535" ht="15.75" customHeight="1">
      <c r="B535" s="809" t="n">
        <v>519</v>
      </c>
      <c r="C535" s="182">
        <f>IF(offer_sale_type="транзит",IFERROR(VLOOKUP($B535,calc_data,C$14+1,0),0),0)</f>
        <v/>
      </c>
      <c r="D535" s="280">
        <f>IF(offer_sale_type="транзит",IFERROR(VLOOKUP($B535,calc_data,D$14+1,0),0),0)</f>
        <v/>
      </c>
      <c r="E535" s="182">
        <f>IF(offer_sale_type="транзит",IFERROR(VLOOKUP($B535,calc_data,E$14+1,0),0),0)</f>
        <v/>
      </c>
      <c r="F535" s="182">
        <f>IF(offer_sale_type="транзит",IFERROR(VLOOKUP($B535,calc_data,F$14+1,0),0),0)</f>
        <v/>
      </c>
      <c r="G535" s="141">
        <f>IF(offer_sale_type="транзит",IFERROR(VLOOKUP($B535,calc_data,G$14+1,0),0),0)</f>
        <v/>
      </c>
      <c r="H535" s="141">
        <f>E535*G535</f>
        <v/>
      </c>
      <c r="I535" s="141">
        <f>IF(offer_sale_type="транзит",IFERROR(ROUND(VLOOKUP($B535,calc_data,I$14+1,0),2),0),0)</f>
        <v/>
      </c>
      <c r="J535" s="141">
        <f>ROUND(IF(offer_sale_type="транзит",IFERROR(VLOOKUP($B535,calc_data,J$14+1,0),0),0),2)</f>
        <v/>
      </c>
      <c r="K535" s="142">
        <f>IF(offer_sale_type="транзит",IFERROR(ROUNDUP(VLOOKUP($B535,calc_data,K$14+1,0),2),0),0)</f>
        <v/>
      </c>
      <c r="L535" s="184">
        <f>IF(offer_sale_type="транзит",IFERROR(ROUNDUP(VLOOKUP($B535,calc_data,L$14+1,0),2),0),0)</f>
        <v/>
      </c>
      <c r="M535" s="141">
        <f>IF(offer_sale_type="транзит",IFERROR(ROUNDUP(VLOOKUP($B535,calc_data,M$14+1,0),2),0),0)</f>
        <v/>
      </c>
      <c r="N535" s="141">
        <f>IF(offer_sale_type="транзит",IFERROR(ROUNDUP(VLOOKUP($B535,calc_data,N$14+1,0),2),0),0)</f>
        <v/>
      </c>
      <c r="O535" s="147">
        <f>IF(offer_sale_type="транзит",IFERROR(ROUND(VLOOKUP($B535,calc_data,O$14+1,1),2),0),0)</f>
        <v/>
      </c>
      <c r="P535" s="141">
        <f>IF(offer_sale_type="транзит",IFERROR(ROUND(SUM(I535:J535,M535:O535)/E535,2),0),0)</f>
        <v/>
      </c>
      <c r="Q535" s="141">
        <f>E535*P535</f>
        <v/>
      </c>
      <c r="R535" s="141">
        <f>ROUND(Q535*IF(AND(offer_incoterms="DDP",seller_region="RU"),IF((TODAY()+offer_turnaround_time)&gt;=helpsheet!$L$17,rate_vatRU_from_26,rate_vatRu_till_25),0),2)</f>
        <v/>
      </c>
      <c r="S535" s="177">
        <f>Q535+IF(AND(offer_incoterms="DDP",seller_region="RU"),R535,0)</f>
        <v/>
      </c>
      <c r="T535" s="45" t="n"/>
      <c r="V535" s="57">
        <f>IF(Q535&gt;0,"показать","скрыть")</f>
        <v/>
      </c>
    </row>
    <row r="536" ht="15.75" customHeight="1">
      <c r="B536" s="809" t="n">
        <v>520</v>
      </c>
      <c r="C536" s="182">
        <f>IF(offer_sale_type="транзит",IFERROR(VLOOKUP($B536,calc_data,C$14+1,0),0),0)</f>
        <v/>
      </c>
      <c r="D536" s="280">
        <f>IF(offer_sale_type="транзит",IFERROR(VLOOKUP($B536,calc_data,D$14+1,0),0),0)</f>
        <v/>
      </c>
      <c r="E536" s="182">
        <f>IF(offer_sale_type="транзит",IFERROR(VLOOKUP($B536,calc_data,E$14+1,0),0),0)</f>
        <v/>
      </c>
      <c r="F536" s="182">
        <f>IF(offer_sale_type="транзит",IFERROR(VLOOKUP($B536,calc_data,F$14+1,0),0),0)</f>
        <v/>
      </c>
      <c r="G536" s="141">
        <f>IF(offer_sale_type="транзит",IFERROR(VLOOKUP($B536,calc_data,G$14+1,0),0),0)</f>
        <v/>
      </c>
      <c r="H536" s="141">
        <f>E536*G536</f>
        <v/>
      </c>
      <c r="I536" s="141">
        <f>IF(offer_sale_type="транзит",IFERROR(ROUND(VLOOKUP($B536,calc_data,I$14+1,0),2),0),0)</f>
        <v/>
      </c>
      <c r="J536" s="141">
        <f>ROUND(IF(offer_sale_type="транзит",IFERROR(VLOOKUP($B536,calc_data,J$14+1,0),0),0),2)</f>
        <v/>
      </c>
      <c r="K536" s="142">
        <f>IF(offer_sale_type="транзит",IFERROR(ROUNDUP(VLOOKUP($B536,calc_data,K$14+1,0),2),0),0)</f>
        <v/>
      </c>
      <c r="L536" s="184">
        <f>IF(offer_sale_type="транзит",IFERROR(ROUNDUP(VLOOKUP($B536,calc_data,L$14+1,0),2),0),0)</f>
        <v/>
      </c>
      <c r="M536" s="141">
        <f>IF(offer_sale_type="транзит",IFERROR(ROUNDUP(VLOOKUP($B536,calc_data,M$14+1,0),2),0),0)</f>
        <v/>
      </c>
      <c r="N536" s="141">
        <f>IF(offer_sale_type="транзит",IFERROR(ROUNDUP(VLOOKUP($B536,calc_data,N$14+1,0),2),0),0)</f>
        <v/>
      </c>
      <c r="O536" s="147">
        <f>IF(offer_sale_type="транзит",IFERROR(ROUND(VLOOKUP($B536,calc_data,O$14+1,1),2),0),0)</f>
        <v/>
      </c>
      <c r="P536" s="141">
        <f>IF(offer_sale_type="транзит",IFERROR(ROUND(SUM(I536:J536,M536:O536)/E536,2),0),0)</f>
        <v/>
      </c>
      <c r="Q536" s="141">
        <f>E536*P536</f>
        <v/>
      </c>
      <c r="R536" s="141">
        <f>ROUND(Q536*IF(AND(offer_incoterms="DDP",seller_region="RU"),IF((TODAY()+offer_turnaround_time)&gt;=helpsheet!$L$17,rate_vatRU_from_26,rate_vatRu_till_25),0),2)</f>
        <v/>
      </c>
      <c r="S536" s="177">
        <f>Q536+IF(AND(offer_incoterms="DDP",seller_region="RU"),R536,0)</f>
        <v/>
      </c>
      <c r="T536" s="45" t="n"/>
      <c r="V536" s="57">
        <f>IF(Q536&gt;0,"показать","скрыть")</f>
        <v/>
      </c>
    </row>
    <row r="537" ht="15.75" customHeight="1">
      <c r="B537" s="809" t="n">
        <v>521</v>
      </c>
      <c r="C537" s="182">
        <f>IF(offer_sale_type="транзит",IFERROR(VLOOKUP($B537,calc_data,C$14+1,0),0),0)</f>
        <v/>
      </c>
      <c r="D537" s="280">
        <f>IF(offer_sale_type="транзит",IFERROR(VLOOKUP($B537,calc_data,D$14+1,0),0),0)</f>
        <v/>
      </c>
      <c r="E537" s="182">
        <f>IF(offer_sale_type="транзит",IFERROR(VLOOKUP($B537,calc_data,E$14+1,0),0),0)</f>
        <v/>
      </c>
      <c r="F537" s="182">
        <f>IF(offer_sale_type="транзит",IFERROR(VLOOKUP($B537,calc_data,F$14+1,0),0),0)</f>
        <v/>
      </c>
      <c r="G537" s="141">
        <f>IF(offer_sale_type="транзит",IFERROR(VLOOKUP($B537,calc_data,G$14+1,0),0),0)</f>
        <v/>
      </c>
      <c r="H537" s="141">
        <f>E537*G537</f>
        <v/>
      </c>
      <c r="I537" s="141">
        <f>IF(offer_sale_type="транзит",IFERROR(ROUND(VLOOKUP($B537,calc_data,I$14+1,0),2),0),0)</f>
        <v/>
      </c>
      <c r="J537" s="141">
        <f>ROUND(IF(offer_sale_type="транзит",IFERROR(VLOOKUP($B537,calc_data,J$14+1,0),0),0),2)</f>
        <v/>
      </c>
      <c r="K537" s="142">
        <f>IF(offer_sale_type="транзит",IFERROR(ROUNDUP(VLOOKUP($B537,calc_data,K$14+1,0),2),0),0)</f>
        <v/>
      </c>
      <c r="L537" s="184">
        <f>IF(offer_sale_type="транзит",IFERROR(ROUNDUP(VLOOKUP($B537,calc_data,L$14+1,0),2),0),0)</f>
        <v/>
      </c>
      <c r="M537" s="141">
        <f>IF(offer_sale_type="транзит",IFERROR(ROUNDUP(VLOOKUP($B537,calc_data,M$14+1,0),2),0),0)</f>
        <v/>
      </c>
      <c r="N537" s="141">
        <f>IF(offer_sale_type="транзит",IFERROR(ROUNDUP(VLOOKUP($B537,calc_data,N$14+1,0),2),0),0)</f>
        <v/>
      </c>
      <c r="O537" s="147">
        <f>IF(offer_sale_type="транзит",IFERROR(ROUND(VLOOKUP($B537,calc_data,O$14+1,1),2),0),0)</f>
        <v/>
      </c>
      <c r="P537" s="141">
        <f>IF(offer_sale_type="транзит",IFERROR(ROUND(SUM(I537:J537,M537:O537)/E537,2),0),0)</f>
        <v/>
      </c>
      <c r="Q537" s="141">
        <f>E537*P537</f>
        <v/>
      </c>
      <c r="R537" s="141">
        <f>ROUND(Q537*IF(AND(offer_incoterms="DDP",seller_region="RU"),IF((TODAY()+offer_turnaround_time)&gt;=helpsheet!$L$17,rate_vatRU_from_26,rate_vatRu_till_25),0),2)</f>
        <v/>
      </c>
      <c r="S537" s="177">
        <f>Q537+IF(AND(offer_incoterms="DDP",seller_region="RU"),R537,0)</f>
        <v/>
      </c>
      <c r="T537" s="45" t="n"/>
      <c r="V537" s="57">
        <f>IF(Q537&gt;0,"показать","скрыть")</f>
        <v/>
      </c>
    </row>
    <row r="538" ht="15.75" customHeight="1">
      <c r="B538" s="809" t="n">
        <v>522</v>
      </c>
      <c r="C538" s="182">
        <f>IF(offer_sale_type="транзит",IFERROR(VLOOKUP($B538,calc_data,C$14+1,0),0),0)</f>
        <v/>
      </c>
      <c r="D538" s="280">
        <f>IF(offer_sale_type="транзит",IFERROR(VLOOKUP($B538,calc_data,D$14+1,0),0),0)</f>
        <v/>
      </c>
      <c r="E538" s="182">
        <f>IF(offer_sale_type="транзит",IFERROR(VLOOKUP($B538,calc_data,E$14+1,0),0),0)</f>
        <v/>
      </c>
      <c r="F538" s="182">
        <f>IF(offer_sale_type="транзит",IFERROR(VLOOKUP($B538,calc_data,F$14+1,0),0),0)</f>
        <v/>
      </c>
      <c r="G538" s="141">
        <f>IF(offer_sale_type="транзит",IFERROR(VLOOKUP($B538,calc_data,G$14+1,0),0),0)</f>
        <v/>
      </c>
      <c r="H538" s="141">
        <f>E538*G538</f>
        <v/>
      </c>
      <c r="I538" s="141">
        <f>IF(offer_sale_type="транзит",IFERROR(ROUND(VLOOKUP($B538,calc_data,I$14+1,0),2),0),0)</f>
        <v/>
      </c>
      <c r="J538" s="141">
        <f>ROUND(IF(offer_sale_type="транзит",IFERROR(VLOOKUP($B538,calc_data,J$14+1,0),0),0),2)</f>
        <v/>
      </c>
      <c r="K538" s="142">
        <f>IF(offer_sale_type="транзит",IFERROR(ROUNDUP(VLOOKUP($B538,calc_data,K$14+1,0),2),0),0)</f>
        <v/>
      </c>
      <c r="L538" s="184">
        <f>IF(offer_sale_type="транзит",IFERROR(ROUNDUP(VLOOKUP($B538,calc_data,L$14+1,0),2),0),0)</f>
        <v/>
      </c>
      <c r="M538" s="141">
        <f>IF(offer_sale_type="транзит",IFERROR(ROUNDUP(VLOOKUP($B538,calc_data,M$14+1,0),2),0),0)</f>
        <v/>
      </c>
      <c r="N538" s="141">
        <f>IF(offer_sale_type="транзит",IFERROR(ROUNDUP(VLOOKUP($B538,calc_data,N$14+1,0),2),0),0)</f>
        <v/>
      </c>
      <c r="O538" s="147">
        <f>IF(offer_sale_type="транзит",IFERROR(ROUND(VLOOKUP($B538,calc_data,O$14+1,1),2),0),0)</f>
        <v/>
      </c>
      <c r="P538" s="141">
        <f>IF(offer_sale_type="транзит",IFERROR(ROUND(SUM(I538:J538,M538:O538)/E538,2),0),0)</f>
        <v/>
      </c>
      <c r="Q538" s="141">
        <f>E538*P538</f>
        <v/>
      </c>
      <c r="R538" s="141">
        <f>ROUND(Q538*IF(AND(offer_incoterms="DDP",seller_region="RU"),IF((TODAY()+offer_turnaround_time)&gt;=helpsheet!$L$17,rate_vatRU_from_26,rate_vatRu_till_25),0),2)</f>
        <v/>
      </c>
      <c r="S538" s="177">
        <f>Q538+IF(AND(offer_incoterms="DDP",seller_region="RU"),R538,0)</f>
        <v/>
      </c>
      <c r="T538" s="45" t="n"/>
      <c r="V538" s="57">
        <f>IF(Q538&gt;0,"показать","скрыть")</f>
        <v/>
      </c>
    </row>
    <row r="539" ht="15.75" customHeight="1">
      <c r="B539" s="809" t="n">
        <v>523</v>
      </c>
      <c r="C539" s="182">
        <f>IF(offer_sale_type="транзит",IFERROR(VLOOKUP($B539,calc_data,C$14+1,0),0),0)</f>
        <v/>
      </c>
      <c r="D539" s="280">
        <f>IF(offer_sale_type="транзит",IFERROR(VLOOKUP($B539,calc_data,D$14+1,0),0),0)</f>
        <v/>
      </c>
      <c r="E539" s="182">
        <f>IF(offer_sale_type="транзит",IFERROR(VLOOKUP($B539,calc_data,E$14+1,0),0),0)</f>
        <v/>
      </c>
      <c r="F539" s="182">
        <f>IF(offer_sale_type="транзит",IFERROR(VLOOKUP($B539,calc_data,F$14+1,0),0),0)</f>
        <v/>
      </c>
      <c r="G539" s="141">
        <f>IF(offer_sale_type="транзит",IFERROR(VLOOKUP($B539,calc_data,G$14+1,0),0),0)</f>
        <v/>
      </c>
      <c r="H539" s="141">
        <f>E539*G539</f>
        <v/>
      </c>
      <c r="I539" s="141">
        <f>IF(offer_sale_type="транзит",IFERROR(ROUND(VLOOKUP($B539,calc_data,I$14+1,0),2),0),0)</f>
        <v/>
      </c>
      <c r="J539" s="141">
        <f>ROUND(IF(offer_sale_type="транзит",IFERROR(VLOOKUP($B539,calc_data,J$14+1,0),0),0),2)</f>
        <v/>
      </c>
      <c r="K539" s="142">
        <f>IF(offer_sale_type="транзит",IFERROR(ROUNDUP(VLOOKUP($B539,calc_data,K$14+1,0),2),0),0)</f>
        <v/>
      </c>
      <c r="L539" s="184">
        <f>IF(offer_sale_type="транзит",IFERROR(ROUNDUP(VLOOKUP($B539,calc_data,L$14+1,0),2),0),0)</f>
        <v/>
      </c>
      <c r="M539" s="141">
        <f>IF(offer_sale_type="транзит",IFERROR(ROUNDUP(VLOOKUP($B539,calc_data,M$14+1,0),2),0),0)</f>
        <v/>
      </c>
      <c r="N539" s="141">
        <f>IF(offer_sale_type="транзит",IFERROR(ROUNDUP(VLOOKUP($B539,calc_data,N$14+1,0),2),0),0)</f>
        <v/>
      </c>
      <c r="O539" s="147">
        <f>IF(offer_sale_type="транзит",IFERROR(ROUND(VLOOKUP($B539,calc_data,O$14+1,1),2),0),0)</f>
        <v/>
      </c>
      <c r="P539" s="141">
        <f>IF(offer_sale_type="транзит",IFERROR(ROUND(SUM(I539:J539,M539:O539)/E539,2),0),0)</f>
        <v/>
      </c>
      <c r="Q539" s="141">
        <f>E539*P539</f>
        <v/>
      </c>
      <c r="R539" s="141">
        <f>ROUND(Q539*IF(AND(offer_incoterms="DDP",seller_region="RU"),IF((TODAY()+offer_turnaround_time)&gt;=helpsheet!$L$17,rate_vatRU_from_26,rate_vatRu_till_25),0),2)</f>
        <v/>
      </c>
      <c r="S539" s="177">
        <f>Q539+IF(AND(offer_incoterms="DDP",seller_region="RU"),R539,0)</f>
        <v/>
      </c>
      <c r="T539" s="45" t="n"/>
      <c r="V539" s="57">
        <f>IF(Q539&gt;0,"показать","скрыть")</f>
        <v/>
      </c>
    </row>
    <row r="540" ht="15.75" customHeight="1">
      <c r="B540" s="809" t="n">
        <v>524</v>
      </c>
      <c r="C540" s="182">
        <f>IF(offer_sale_type="транзит",IFERROR(VLOOKUP($B540,calc_data,C$14+1,0),0),0)</f>
        <v/>
      </c>
      <c r="D540" s="280">
        <f>IF(offer_sale_type="транзит",IFERROR(VLOOKUP($B540,calc_data,D$14+1,0),0),0)</f>
        <v/>
      </c>
      <c r="E540" s="182">
        <f>IF(offer_sale_type="транзит",IFERROR(VLOOKUP($B540,calc_data,E$14+1,0),0),0)</f>
        <v/>
      </c>
      <c r="F540" s="182">
        <f>IF(offer_sale_type="транзит",IFERROR(VLOOKUP($B540,calc_data,F$14+1,0),0),0)</f>
        <v/>
      </c>
      <c r="G540" s="141">
        <f>IF(offer_sale_type="транзит",IFERROR(VLOOKUP($B540,calc_data,G$14+1,0),0),0)</f>
        <v/>
      </c>
      <c r="H540" s="141">
        <f>E540*G540</f>
        <v/>
      </c>
      <c r="I540" s="141">
        <f>IF(offer_sale_type="транзит",IFERROR(ROUND(VLOOKUP($B540,calc_data,I$14+1,0),2),0),0)</f>
        <v/>
      </c>
      <c r="J540" s="141">
        <f>ROUND(IF(offer_sale_type="транзит",IFERROR(VLOOKUP($B540,calc_data,J$14+1,0),0),0),2)</f>
        <v/>
      </c>
      <c r="K540" s="142">
        <f>IF(offer_sale_type="транзит",IFERROR(ROUNDUP(VLOOKUP($B540,calc_data,K$14+1,0),2),0),0)</f>
        <v/>
      </c>
      <c r="L540" s="184">
        <f>IF(offer_sale_type="транзит",IFERROR(ROUNDUP(VLOOKUP($B540,calc_data,L$14+1,0),2),0),0)</f>
        <v/>
      </c>
      <c r="M540" s="141">
        <f>IF(offer_sale_type="транзит",IFERROR(ROUNDUP(VLOOKUP($B540,calc_data,M$14+1,0),2),0),0)</f>
        <v/>
      </c>
      <c r="N540" s="141">
        <f>IF(offer_sale_type="транзит",IFERROR(ROUNDUP(VLOOKUP($B540,calc_data,N$14+1,0),2),0),0)</f>
        <v/>
      </c>
      <c r="O540" s="147">
        <f>IF(offer_sale_type="транзит",IFERROR(ROUND(VLOOKUP($B540,calc_data,O$14+1,1),2),0),0)</f>
        <v/>
      </c>
      <c r="P540" s="141">
        <f>IF(offer_sale_type="транзит",IFERROR(ROUND(SUM(I540:J540,M540:O540)/E540,2),0),0)</f>
        <v/>
      </c>
      <c r="Q540" s="141">
        <f>E540*P540</f>
        <v/>
      </c>
      <c r="R540" s="141">
        <f>ROUND(Q540*IF(AND(offer_incoterms="DDP",seller_region="RU"),IF((TODAY()+offer_turnaround_time)&gt;=helpsheet!$L$17,rate_vatRU_from_26,rate_vatRu_till_25),0),2)</f>
        <v/>
      </c>
      <c r="S540" s="177">
        <f>Q540+IF(AND(offer_incoterms="DDP",seller_region="RU"),R540,0)</f>
        <v/>
      </c>
      <c r="T540" s="45" t="n"/>
      <c r="V540" s="57">
        <f>IF(Q540&gt;0,"показать","скрыть")</f>
        <v/>
      </c>
    </row>
    <row r="541" ht="15.75" customHeight="1">
      <c r="B541" s="809" t="n">
        <v>525</v>
      </c>
      <c r="C541" s="182">
        <f>IF(offer_sale_type="транзит",IFERROR(VLOOKUP($B541,calc_data,C$14+1,0),0),0)</f>
        <v/>
      </c>
      <c r="D541" s="280">
        <f>IF(offer_sale_type="транзит",IFERROR(VLOOKUP($B541,calc_data,D$14+1,0),0),0)</f>
        <v/>
      </c>
      <c r="E541" s="182">
        <f>IF(offer_sale_type="транзит",IFERROR(VLOOKUP($B541,calc_data,E$14+1,0),0),0)</f>
        <v/>
      </c>
      <c r="F541" s="182">
        <f>IF(offer_sale_type="транзит",IFERROR(VLOOKUP($B541,calc_data,F$14+1,0),0),0)</f>
        <v/>
      </c>
      <c r="G541" s="141">
        <f>IF(offer_sale_type="транзит",IFERROR(VLOOKUP($B541,calc_data,G$14+1,0),0),0)</f>
        <v/>
      </c>
      <c r="H541" s="141">
        <f>E541*G541</f>
        <v/>
      </c>
      <c r="I541" s="141">
        <f>IF(offer_sale_type="транзит",IFERROR(ROUND(VLOOKUP($B541,calc_data,I$14+1,0),2),0),0)</f>
        <v/>
      </c>
      <c r="J541" s="141">
        <f>ROUND(IF(offer_sale_type="транзит",IFERROR(VLOOKUP($B541,calc_data,J$14+1,0),0),0),2)</f>
        <v/>
      </c>
      <c r="K541" s="142">
        <f>IF(offer_sale_type="транзит",IFERROR(ROUNDUP(VLOOKUP($B541,calc_data,K$14+1,0),2),0),0)</f>
        <v/>
      </c>
      <c r="L541" s="184">
        <f>IF(offer_sale_type="транзит",IFERROR(ROUNDUP(VLOOKUP($B541,calc_data,L$14+1,0),2),0),0)</f>
        <v/>
      </c>
      <c r="M541" s="141">
        <f>IF(offer_sale_type="транзит",IFERROR(ROUNDUP(VLOOKUP($B541,calc_data,M$14+1,0),2),0),0)</f>
        <v/>
      </c>
      <c r="N541" s="141">
        <f>IF(offer_sale_type="транзит",IFERROR(ROUNDUP(VLOOKUP($B541,calc_data,N$14+1,0),2),0),0)</f>
        <v/>
      </c>
      <c r="O541" s="147">
        <f>IF(offer_sale_type="транзит",IFERROR(ROUND(VLOOKUP($B541,calc_data,O$14+1,1),2),0),0)</f>
        <v/>
      </c>
      <c r="P541" s="141">
        <f>IF(offer_sale_type="транзит",IFERROR(ROUND(SUM(I541:J541,M541:O541)/E541,2),0),0)</f>
        <v/>
      </c>
      <c r="Q541" s="141">
        <f>E541*P541</f>
        <v/>
      </c>
      <c r="R541" s="141">
        <f>ROUND(Q541*IF(AND(offer_incoterms="DDP",seller_region="RU"),IF((TODAY()+offer_turnaround_time)&gt;=helpsheet!$L$17,rate_vatRU_from_26,rate_vatRu_till_25),0),2)</f>
        <v/>
      </c>
      <c r="S541" s="177">
        <f>Q541+IF(AND(offer_incoterms="DDP",seller_region="RU"),R541,0)</f>
        <v/>
      </c>
      <c r="T541" s="45" t="n"/>
      <c r="V541" s="57">
        <f>IF(Q541&gt;0,"показать","скрыть")</f>
        <v/>
      </c>
    </row>
    <row r="542" ht="15.75" customHeight="1">
      <c r="B542" s="809" t="n">
        <v>526</v>
      </c>
      <c r="C542" s="182">
        <f>IF(offer_sale_type="транзит",IFERROR(VLOOKUP($B542,calc_data,C$14+1,0),0),0)</f>
        <v/>
      </c>
      <c r="D542" s="280">
        <f>IF(offer_sale_type="транзит",IFERROR(VLOOKUP($B542,calc_data,D$14+1,0),0),0)</f>
        <v/>
      </c>
      <c r="E542" s="182">
        <f>IF(offer_sale_type="транзит",IFERROR(VLOOKUP($B542,calc_data,E$14+1,0),0),0)</f>
        <v/>
      </c>
      <c r="F542" s="182">
        <f>IF(offer_sale_type="транзит",IFERROR(VLOOKUP($B542,calc_data,F$14+1,0),0),0)</f>
        <v/>
      </c>
      <c r="G542" s="141">
        <f>IF(offer_sale_type="транзит",IFERROR(VLOOKUP($B542,calc_data,G$14+1,0),0),0)</f>
        <v/>
      </c>
      <c r="H542" s="141">
        <f>E542*G542</f>
        <v/>
      </c>
      <c r="I542" s="141">
        <f>IF(offer_sale_type="транзит",IFERROR(ROUND(VLOOKUP($B542,calc_data,I$14+1,0),2),0),0)</f>
        <v/>
      </c>
      <c r="J542" s="141">
        <f>ROUND(IF(offer_sale_type="транзит",IFERROR(VLOOKUP($B542,calc_data,J$14+1,0),0),0),2)</f>
        <v/>
      </c>
      <c r="K542" s="142">
        <f>IF(offer_sale_type="транзит",IFERROR(ROUNDUP(VLOOKUP($B542,calc_data,K$14+1,0),2),0),0)</f>
        <v/>
      </c>
      <c r="L542" s="184">
        <f>IF(offer_sale_type="транзит",IFERROR(ROUNDUP(VLOOKUP($B542,calc_data,L$14+1,0),2),0),0)</f>
        <v/>
      </c>
      <c r="M542" s="141">
        <f>IF(offer_sale_type="транзит",IFERROR(ROUNDUP(VLOOKUP($B542,calc_data,M$14+1,0),2),0),0)</f>
        <v/>
      </c>
      <c r="N542" s="141">
        <f>IF(offer_sale_type="транзит",IFERROR(ROUNDUP(VLOOKUP($B542,calc_data,N$14+1,0),2),0),0)</f>
        <v/>
      </c>
      <c r="O542" s="147">
        <f>IF(offer_sale_type="транзит",IFERROR(ROUND(VLOOKUP($B542,calc_data,O$14+1,1),2),0),0)</f>
        <v/>
      </c>
      <c r="P542" s="141">
        <f>IF(offer_sale_type="транзит",IFERROR(ROUND(SUM(I542:J542,M542:O542)/E542,2),0),0)</f>
        <v/>
      </c>
      <c r="Q542" s="141">
        <f>E542*P542</f>
        <v/>
      </c>
      <c r="R542" s="141">
        <f>ROUND(Q542*IF(AND(offer_incoterms="DDP",seller_region="RU"),IF((TODAY()+offer_turnaround_time)&gt;=helpsheet!$L$17,rate_vatRU_from_26,rate_vatRu_till_25),0),2)</f>
        <v/>
      </c>
      <c r="S542" s="177">
        <f>Q542+IF(AND(offer_incoterms="DDP",seller_region="RU"),R542,0)</f>
        <v/>
      </c>
      <c r="T542" s="45" t="n"/>
      <c r="V542" s="57">
        <f>IF(Q542&gt;0,"показать","скрыть")</f>
        <v/>
      </c>
    </row>
    <row r="543" ht="15.75" customHeight="1">
      <c r="B543" s="809" t="n">
        <v>527</v>
      </c>
      <c r="C543" s="182">
        <f>IF(offer_sale_type="транзит",IFERROR(VLOOKUP($B543,calc_data,C$14+1,0),0),0)</f>
        <v/>
      </c>
      <c r="D543" s="280">
        <f>IF(offer_sale_type="транзит",IFERROR(VLOOKUP($B543,calc_data,D$14+1,0),0),0)</f>
        <v/>
      </c>
      <c r="E543" s="182">
        <f>IF(offer_sale_type="транзит",IFERROR(VLOOKUP($B543,calc_data,E$14+1,0),0),0)</f>
        <v/>
      </c>
      <c r="F543" s="182">
        <f>IF(offer_sale_type="транзит",IFERROR(VLOOKUP($B543,calc_data,F$14+1,0),0),0)</f>
        <v/>
      </c>
      <c r="G543" s="141">
        <f>IF(offer_sale_type="транзит",IFERROR(VLOOKUP($B543,calc_data,G$14+1,0),0),0)</f>
        <v/>
      </c>
      <c r="H543" s="141">
        <f>E543*G543</f>
        <v/>
      </c>
      <c r="I543" s="141">
        <f>IF(offer_sale_type="транзит",IFERROR(ROUND(VLOOKUP($B543,calc_data,I$14+1,0),2),0),0)</f>
        <v/>
      </c>
      <c r="J543" s="141">
        <f>ROUND(IF(offer_sale_type="транзит",IFERROR(VLOOKUP($B543,calc_data,J$14+1,0),0),0),2)</f>
        <v/>
      </c>
      <c r="K543" s="142">
        <f>IF(offer_sale_type="транзит",IFERROR(ROUNDUP(VLOOKUP($B543,calc_data,K$14+1,0),2),0),0)</f>
        <v/>
      </c>
      <c r="L543" s="184">
        <f>IF(offer_sale_type="транзит",IFERROR(ROUNDUP(VLOOKUP($B543,calc_data,L$14+1,0),2),0),0)</f>
        <v/>
      </c>
      <c r="M543" s="141">
        <f>IF(offer_sale_type="транзит",IFERROR(ROUNDUP(VLOOKUP($B543,calc_data,M$14+1,0),2),0),0)</f>
        <v/>
      </c>
      <c r="N543" s="141">
        <f>IF(offer_sale_type="транзит",IFERROR(ROUNDUP(VLOOKUP($B543,calc_data,N$14+1,0),2),0),0)</f>
        <v/>
      </c>
      <c r="O543" s="147">
        <f>IF(offer_sale_type="транзит",IFERROR(ROUND(VLOOKUP($B543,calc_data,O$14+1,1),2),0),0)</f>
        <v/>
      </c>
      <c r="P543" s="141">
        <f>IF(offer_sale_type="транзит",IFERROR(ROUND(SUM(I543:J543,M543:O543)/E543,2),0),0)</f>
        <v/>
      </c>
      <c r="Q543" s="141">
        <f>E543*P543</f>
        <v/>
      </c>
      <c r="R543" s="141">
        <f>ROUND(Q543*IF(AND(offer_incoterms="DDP",seller_region="RU"),IF((TODAY()+offer_turnaround_time)&gt;=helpsheet!$L$17,rate_vatRU_from_26,rate_vatRu_till_25),0),2)</f>
        <v/>
      </c>
      <c r="S543" s="177">
        <f>Q543+IF(AND(offer_incoterms="DDP",seller_region="RU"),R543,0)</f>
        <v/>
      </c>
      <c r="T543" s="45" t="n"/>
      <c r="V543" s="57">
        <f>IF(Q543&gt;0,"показать","скрыть")</f>
        <v/>
      </c>
    </row>
    <row r="544" ht="15.75" customHeight="1">
      <c r="B544" s="809" t="n">
        <v>528</v>
      </c>
      <c r="C544" s="182">
        <f>IF(offer_sale_type="транзит",IFERROR(VLOOKUP($B544,calc_data,C$14+1,0),0),0)</f>
        <v/>
      </c>
      <c r="D544" s="280">
        <f>IF(offer_sale_type="транзит",IFERROR(VLOOKUP($B544,calc_data,D$14+1,0),0),0)</f>
        <v/>
      </c>
      <c r="E544" s="182">
        <f>IF(offer_sale_type="транзит",IFERROR(VLOOKUP($B544,calc_data,E$14+1,0),0),0)</f>
        <v/>
      </c>
      <c r="F544" s="182">
        <f>IF(offer_sale_type="транзит",IFERROR(VLOOKUP($B544,calc_data,F$14+1,0),0),0)</f>
        <v/>
      </c>
      <c r="G544" s="141">
        <f>IF(offer_sale_type="транзит",IFERROR(VLOOKUP($B544,calc_data,G$14+1,0),0),0)</f>
        <v/>
      </c>
      <c r="H544" s="141">
        <f>E544*G544</f>
        <v/>
      </c>
      <c r="I544" s="141">
        <f>IF(offer_sale_type="транзит",IFERROR(ROUND(VLOOKUP($B544,calc_data,I$14+1,0),2),0),0)</f>
        <v/>
      </c>
      <c r="J544" s="141">
        <f>ROUND(IF(offer_sale_type="транзит",IFERROR(VLOOKUP($B544,calc_data,J$14+1,0),0),0),2)</f>
        <v/>
      </c>
      <c r="K544" s="142">
        <f>IF(offer_sale_type="транзит",IFERROR(ROUNDUP(VLOOKUP($B544,calc_data,K$14+1,0),2),0),0)</f>
        <v/>
      </c>
      <c r="L544" s="184">
        <f>IF(offer_sale_type="транзит",IFERROR(ROUNDUP(VLOOKUP($B544,calc_data,L$14+1,0),2),0),0)</f>
        <v/>
      </c>
      <c r="M544" s="141">
        <f>IF(offer_sale_type="транзит",IFERROR(ROUNDUP(VLOOKUP($B544,calc_data,M$14+1,0),2),0),0)</f>
        <v/>
      </c>
      <c r="N544" s="141">
        <f>IF(offer_sale_type="транзит",IFERROR(ROUNDUP(VLOOKUP($B544,calc_data,N$14+1,0),2),0),0)</f>
        <v/>
      </c>
      <c r="O544" s="147">
        <f>IF(offer_sale_type="транзит",IFERROR(ROUND(VLOOKUP($B544,calc_data,O$14+1,1),2),0),0)</f>
        <v/>
      </c>
      <c r="P544" s="141">
        <f>IF(offer_sale_type="транзит",IFERROR(ROUND(SUM(I544:J544,M544:O544)/E544,2),0),0)</f>
        <v/>
      </c>
      <c r="Q544" s="141">
        <f>E544*P544</f>
        <v/>
      </c>
      <c r="R544" s="141">
        <f>ROUND(Q544*IF(AND(offer_incoterms="DDP",seller_region="RU"),IF((TODAY()+offer_turnaround_time)&gt;=helpsheet!$L$17,rate_vatRU_from_26,rate_vatRu_till_25),0),2)</f>
        <v/>
      </c>
      <c r="S544" s="177">
        <f>Q544+IF(AND(offer_incoterms="DDP",seller_region="RU"),R544,0)</f>
        <v/>
      </c>
      <c r="T544" s="45" t="n"/>
      <c r="V544" s="57">
        <f>IF(Q544&gt;0,"показать","скрыть")</f>
        <v/>
      </c>
    </row>
    <row r="545" ht="15.75" customHeight="1">
      <c r="B545" s="809" t="n">
        <v>529</v>
      </c>
      <c r="C545" s="182">
        <f>IF(offer_sale_type="транзит",IFERROR(VLOOKUP($B545,calc_data,C$14+1,0),0),0)</f>
        <v/>
      </c>
      <c r="D545" s="280">
        <f>IF(offer_sale_type="транзит",IFERROR(VLOOKUP($B545,calc_data,D$14+1,0),0),0)</f>
        <v/>
      </c>
      <c r="E545" s="182">
        <f>IF(offer_sale_type="транзит",IFERROR(VLOOKUP($B545,calc_data,E$14+1,0),0),0)</f>
        <v/>
      </c>
      <c r="F545" s="182">
        <f>IF(offer_sale_type="транзит",IFERROR(VLOOKUP($B545,calc_data,F$14+1,0),0),0)</f>
        <v/>
      </c>
      <c r="G545" s="141">
        <f>IF(offer_sale_type="транзит",IFERROR(VLOOKUP($B545,calc_data,G$14+1,0),0),0)</f>
        <v/>
      </c>
      <c r="H545" s="141">
        <f>E545*G545</f>
        <v/>
      </c>
      <c r="I545" s="141">
        <f>IF(offer_sale_type="транзит",IFERROR(ROUND(VLOOKUP($B545,calc_data,I$14+1,0),2),0),0)</f>
        <v/>
      </c>
      <c r="J545" s="141">
        <f>ROUND(IF(offer_sale_type="транзит",IFERROR(VLOOKUP($B545,calc_data,J$14+1,0),0),0),2)</f>
        <v/>
      </c>
      <c r="K545" s="142">
        <f>IF(offer_sale_type="транзит",IFERROR(ROUNDUP(VLOOKUP($B545,calc_data,K$14+1,0),2),0),0)</f>
        <v/>
      </c>
      <c r="L545" s="184">
        <f>IF(offer_sale_type="транзит",IFERROR(ROUNDUP(VLOOKUP($B545,calc_data,L$14+1,0),2),0),0)</f>
        <v/>
      </c>
      <c r="M545" s="141">
        <f>IF(offer_sale_type="транзит",IFERROR(ROUNDUP(VLOOKUP($B545,calc_data,M$14+1,0),2),0),0)</f>
        <v/>
      </c>
      <c r="N545" s="141">
        <f>IF(offer_sale_type="транзит",IFERROR(ROUNDUP(VLOOKUP($B545,calc_data,N$14+1,0),2),0),0)</f>
        <v/>
      </c>
      <c r="O545" s="147">
        <f>IF(offer_sale_type="транзит",IFERROR(ROUND(VLOOKUP($B545,calc_data,O$14+1,1),2),0),0)</f>
        <v/>
      </c>
      <c r="P545" s="141">
        <f>IF(offer_sale_type="транзит",IFERROR(ROUND(SUM(I545:J545,M545:O545)/E545,2),0),0)</f>
        <v/>
      </c>
      <c r="Q545" s="141">
        <f>E545*P545</f>
        <v/>
      </c>
      <c r="R545" s="141">
        <f>ROUND(Q545*IF(AND(offer_incoterms="DDP",seller_region="RU"),IF((TODAY()+offer_turnaround_time)&gt;=helpsheet!$L$17,rate_vatRU_from_26,rate_vatRu_till_25),0),2)</f>
        <v/>
      </c>
      <c r="S545" s="177">
        <f>Q545+IF(AND(offer_incoterms="DDP",seller_region="RU"),R545,0)</f>
        <v/>
      </c>
      <c r="T545" s="45" t="n"/>
      <c r="V545" s="57">
        <f>IF(Q545&gt;0,"показать","скрыть")</f>
        <v/>
      </c>
    </row>
    <row r="546" ht="15.75" customHeight="1">
      <c r="B546" s="809" t="n">
        <v>530</v>
      </c>
      <c r="C546" s="182">
        <f>IF(offer_sale_type="транзит",IFERROR(VLOOKUP($B546,calc_data,C$14+1,0),0),0)</f>
        <v/>
      </c>
      <c r="D546" s="280">
        <f>IF(offer_sale_type="транзит",IFERROR(VLOOKUP($B546,calc_data,D$14+1,0),0),0)</f>
        <v/>
      </c>
      <c r="E546" s="182">
        <f>IF(offer_sale_type="транзит",IFERROR(VLOOKUP($B546,calc_data,E$14+1,0),0),0)</f>
        <v/>
      </c>
      <c r="F546" s="182">
        <f>IF(offer_sale_type="транзит",IFERROR(VLOOKUP($B546,calc_data,F$14+1,0),0),0)</f>
        <v/>
      </c>
      <c r="G546" s="141">
        <f>IF(offer_sale_type="транзит",IFERROR(VLOOKUP($B546,calc_data,G$14+1,0),0),0)</f>
        <v/>
      </c>
      <c r="H546" s="141">
        <f>E546*G546</f>
        <v/>
      </c>
      <c r="I546" s="141">
        <f>IF(offer_sale_type="транзит",IFERROR(ROUND(VLOOKUP($B546,calc_data,I$14+1,0),2),0),0)</f>
        <v/>
      </c>
      <c r="J546" s="141">
        <f>ROUND(IF(offer_sale_type="транзит",IFERROR(VLOOKUP($B546,calc_data,J$14+1,0),0),0),2)</f>
        <v/>
      </c>
      <c r="K546" s="142">
        <f>IF(offer_sale_type="транзит",IFERROR(ROUNDUP(VLOOKUP($B546,calc_data,K$14+1,0),2),0),0)</f>
        <v/>
      </c>
      <c r="L546" s="184">
        <f>IF(offer_sale_type="транзит",IFERROR(ROUNDUP(VLOOKUP($B546,calc_data,L$14+1,0),2),0),0)</f>
        <v/>
      </c>
      <c r="M546" s="141">
        <f>IF(offer_sale_type="транзит",IFERROR(ROUNDUP(VLOOKUP($B546,calc_data,M$14+1,0),2),0),0)</f>
        <v/>
      </c>
      <c r="N546" s="141">
        <f>IF(offer_sale_type="транзит",IFERROR(ROUNDUP(VLOOKUP($B546,calc_data,N$14+1,0),2),0),0)</f>
        <v/>
      </c>
      <c r="O546" s="147">
        <f>IF(offer_sale_type="транзит",IFERROR(ROUND(VLOOKUP($B546,calc_data,O$14+1,1),2),0),0)</f>
        <v/>
      </c>
      <c r="P546" s="141">
        <f>IF(offer_sale_type="транзит",IFERROR(ROUND(SUM(I546:J546,M546:O546)/E546,2),0),0)</f>
        <v/>
      </c>
      <c r="Q546" s="141">
        <f>E546*P546</f>
        <v/>
      </c>
      <c r="R546" s="141">
        <f>ROUND(Q546*IF(AND(offer_incoterms="DDP",seller_region="RU"),IF((TODAY()+offer_turnaround_time)&gt;=helpsheet!$L$17,rate_vatRU_from_26,rate_vatRu_till_25),0),2)</f>
        <v/>
      </c>
      <c r="S546" s="177">
        <f>Q546+IF(AND(offer_incoterms="DDP",seller_region="RU"),R546,0)</f>
        <v/>
      </c>
      <c r="T546" s="45" t="n"/>
      <c r="V546" s="57">
        <f>IF(Q546&gt;0,"показать","скрыть")</f>
        <v/>
      </c>
    </row>
    <row r="547" ht="15.75" customHeight="1">
      <c r="B547" s="809" t="n">
        <v>531</v>
      </c>
      <c r="C547" s="182">
        <f>IF(offer_sale_type="транзит",IFERROR(VLOOKUP($B547,calc_data,C$14+1,0),0),0)</f>
        <v/>
      </c>
      <c r="D547" s="280">
        <f>IF(offer_sale_type="транзит",IFERROR(VLOOKUP($B547,calc_data,D$14+1,0),0),0)</f>
        <v/>
      </c>
      <c r="E547" s="182">
        <f>IF(offer_sale_type="транзит",IFERROR(VLOOKUP($B547,calc_data,E$14+1,0),0),0)</f>
        <v/>
      </c>
      <c r="F547" s="182">
        <f>IF(offer_sale_type="транзит",IFERROR(VLOOKUP($B547,calc_data,F$14+1,0),0),0)</f>
        <v/>
      </c>
      <c r="G547" s="141">
        <f>IF(offer_sale_type="транзит",IFERROR(VLOOKUP($B547,calc_data,G$14+1,0),0),0)</f>
        <v/>
      </c>
      <c r="H547" s="141">
        <f>E547*G547</f>
        <v/>
      </c>
      <c r="I547" s="141">
        <f>IF(offer_sale_type="транзит",IFERROR(ROUND(VLOOKUP($B547,calc_data,I$14+1,0),2),0),0)</f>
        <v/>
      </c>
      <c r="J547" s="141">
        <f>ROUND(IF(offer_sale_type="транзит",IFERROR(VLOOKUP($B547,calc_data,J$14+1,0),0),0),2)</f>
        <v/>
      </c>
      <c r="K547" s="142">
        <f>IF(offer_sale_type="транзит",IFERROR(ROUNDUP(VLOOKUP($B547,calc_data,K$14+1,0),2),0),0)</f>
        <v/>
      </c>
      <c r="L547" s="184">
        <f>IF(offer_sale_type="транзит",IFERROR(ROUNDUP(VLOOKUP($B547,calc_data,L$14+1,0),2),0),0)</f>
        <v/>
      </c>
      <c r="M547" s="141">
        <f>IF(offer_sale_type="транзит",IFERROR(ROUNDUP(VLOOKUP($B547,calc_data,M$14+1,0),2),0),0)</f>
        <v/>
      </c>
      <c r="N547" s="141">
        <f>IF(offer_sale_type="транзит",IFERROR(ROUNDUP(VLOOKUP($B547,calc_data,N$14+1,0),2),0),0)</f>
        <v/>
      </c>
      <c r="O547" s="147">
        <f>IF(offer_sale_type="транзит",IFERROR(ROUND(VLOOKUP($B547,calc_data,O$14+1,1),2),0),0)</f>
        <v/>
      </c>
      <c r="P547" s="141">
        <f>IF(offer_sale_type="транзит",IFERROR(ROUND(SUM(I547:J547,M547:O547)/E547,2),0),0)</f>
        <v/>
      </c>
      <c r="Q547" s="141">
        <f>E547*P547</f>
        <v/>
      </c>
      <c r="R547" s="141">
        <f>ROUND(Q547*IF(AND(offer_incoterms="DDP",seller_region="RU"),IF((TODAY()+offer_turnaround_time)&gt;=helpsheet!$L$17,rate_vatRU_from_26,rate_vatRu_till_25),0),2)</f>
        <v/>
      </c>
      <c r="S547" s="177">
        <f>Q547+IF(AND(offer_incoterms="DDP",seller_region="RU"),R547,0)</f>
        <v/>
      </c>
      <c r="T547" s="45" t="n"/>
      <c r="V547" s="57">
        <f>IF(Q547&gt;0,"показать","скрыть")</f>
        <v/>
      </c>
    </row>
    <row r="548" ht="15.75" customHeight="1">
      <c r="B548" s="809" t="n">
        <v>532</v>
      </c>
      <c r="C548" s="182">
        <f>IF(offer_sale_type="транзит",IFERROR(VLOOKUP($B548,calc_data,C$14+1,0),0),0)</f>
        <v/>
      </c>
      <c r="D548" s="280">
        <f>IF(offer_sale_type="транзит",IFERROR(VLOOKUP($B548,calc_data,D$14+1,0),0),0)</f>
        <v/>
      </c>
      <c r="E548" s="182">
        <f>IF(offer_sale_type="транзит",IFERROR(VLOOKUP($B548,calc_data,E$14+1,0),0),0)</f>
        <v/>
      </c>
      <c r="F548" s="182">
        <f>IF(offer_sale_type="транзит",IFERROR(VLOOKUP($B548,calc_data,F$14+1,0),0),0)</f>
        <v/>
      </c>
      <c r="G548" s="141">
        <f>IF(offer_sale_type="транзит",IFERROR(VLOOKUP($B548,calc_data,G$14+1,0),0),0)</f>
        <v/>
      </c>
      <c r="H548" s="141">
        <f>E548*G548</f>
        <v/>
      </c>
      <c r="I548" s="141">
        <f>IF(offer_sale_type="транзит",IFERROR(ROUND(VLOOKUP($B548,calc_data,I$14+1,0),2),0),0)</f>
        <v/>
      </c>
      <c r="J548" s="141">
        <f>ROUND(IF(offer_sale_type="транзит",IFERROR(VLOOKUP($B548,calc_data,J$14+1,0),0),0),2)</f>
        <v/>
      </c>
      <c r="K548" s="142">
        <f>IF(offer_sale_type="транзит",IFERROR(ROUNDUP(VLOOKUP($B548,calc_data,K$14+1,0),2),0),0)</f>
        <v/>
      </c>
      <c r="L548" s="184">
        <f>IF(offer_sale_type="транзит",IFERROR(ROUNDUP(VLOOKUP($B548,calc_data,L$14+1,0),2),0),0)</f>
        <v/>
      </c>
      <c r="M548" s="141">
        <f>IF(offer_sale_type="транзит",IFERROR(ROUNDUP(VLOOKUP($B548,calc_data,M$14+1,0),2),0),0)</f>
        <v/>
      </c>
      <c r="N548" s="141">
        <f>IF(offer_sale_type="транзит",IFERROR(ROUNDUP(VLOOKUP($B548,calc_data,N$14+1,0),2),0),0)</f>
        <v/>
      </c>
      <c r="O548" s="147">
        <f>IF(offer_sale_type="транзит",IFERROR(ROUND(VLOOKUP($B548,calc_data,O$14+1,1),2),0),0)</f>
        <v/>
      </c>
      <c r="P548" s="141">
        <f>IF(offer_sale_type="транзит",IFERROR(ROUND(SUM(I548:J548,M548:O548)/E548,2),0),0)</f>
        <v/>
      </c>
      <c r="Q548" s="141">
        <f>E548*P548</f>
        <v/>
      </c>
      <c r="R548" s="141">
        <f>ROUND(Q548*IF(AND(offer_incoterms="DDP",seller_region="RU"),IF((TODAY()+offer_turnaround_time)&gt;=helpsheet!$L$17,rate_vatRU_from_26,rate_vatRu_till_25),0),2)</f>
        <v/>
      </c>
      <c r="S548" s="177">
        <f>Q548+IF(AND(offer_incoterms="DDP",seller_region="RU"),R548,0)</f>
        <v/>
      </c>
      <c r="T548" s="45" t="n"/>
      <c r="V548" s="57">
        <f>IF(Q548&gt;0,"показать","скрыть")</f>
        <v/>
      </c>
    </row>
    <row r="549" ht="15.75" customHeight="1">
      <c r="B549" s="809" t="n">
        <v>533</v>
      </c>
      <c r="C549" s="182">
        <f>IF(offer_sale_type="транзит",IFERROR(VLOOKUP($B549,calc_data,C$14+1,0),0),0)</f>
        <v/>
      </c>
      <c r="D549" s="280">
        <f>IF(offer_sale_type="транзит",IFERROR(VLOOKUP($B549,calc_data,D$14+1,0),0),0)</f>
        <v/>
      </c>
      <c r="E549" s="182">
        <f>IF(offer_sale_type="транзит",IFERROR(VLOOKUP($B549,calc_data,E$14+1,0),0),0)</f>
        <v/>
      </c>
      <c r="F549" s="182">
        <f>IF(offer_sale_type="транзит",IFERROR(VLOOKUP($B549,calc_data,F$14+1,0),0),0)</f>
        <v/>
      </c>
      <c r="G549" s="141">
        <f>IF(offer_sale_type="транзит",IFERROR(VLOOKUP($B549,calc_data,G$14+1,0),0),0)</f>
        <v/>
      </c>
      <c r="H549" s="141">
        <f>E549*G549</f>
        <v/>
      </c>
      <c r="I549" s="141">
        <f>IF(offer_sale_type="транзит",IFERROR(ROUND(VLOOKUP($B549,calc_data,I$14+1,0),2),0),0)</f>
        <v/>
      </c>
      <c r="J549" s="141">
        <f>ROUND(IF(offer_sale_type="транзит",IFERROR(VLOOKUP($B549,calc_data,J$14+1,0),0),0),2)</f>
        <v/>
      </c>
      <c r="K549" s="142">
        <f>IF(offer_sale_type="транзит",IFERROR(ROUNDUP(VLOOKUP($B549,calc_data,K$14+1,0),2),0),0)</f>
        <v/>
      </c>
      <c r="L549" s="184">
        <f>IF(offer_sale_type="транзит",IFERROR(ROUNDUP(VLOOKUP($B549,calc_data,L$14+1,0),2),0),0)</f>
        <v/>
      </c>
      <c r="M549" s="141">
        <f>IF(offer_sale_type="транзит",IFERROR(ROUNDUP(VLOOKUP($B549,calc_data,M$14+1,0),2),0),0)</f>
        <v/>
      </c>
      <c r="N549" s="141">
        <f>IF(offer_sale_type="транзит",IFERROR(ROUNDUP(VLOOKUP($B549,calc_data,N$14+1,0),2),0),0)</f>
        <v/>
      </c>
      <c r="O549" s="147">
        <f>IF(offer_sale_type="транзит",IFERROR(ROUND(VLOOKUP($B549,calc_data,O$14+1,1),2),0),0)</f>
        <v/>
      </c>
      <c r="P549" s="141">
        <f>IF(offer_sale_type="транзит",IFERROR(ROUND(SUM(I549:J549,M549:O549)/E549,2),0),0)</f>
        <v/>
      </c>
      <c r="Q549" s="141">
        <f>E549*P549</f>
        <v/>
      </c>
      <c r="R549" s="141">
        <f>ROUND(Q549*IF(AND(offer_incoterms="DDP",seller_region="RU"),IF((TODAY()+offer_turnaround_time)&gt;=helpsheet!$L$17,rate_vatRU_from_26,rate_vatRu_till_25),0),2)</f>
        <v/>
      </c>
      <c r="S549" s="177">
        <f>Q549+IF(AND(offer_incoterms="DDP",seller_region="RU"),R549,0)</f>
        <v/>
      </c>
      <c r="T549" s="45" t="n"/>
      <c r="V549" s="57">
        <f>IF(Q549&gt;0,"показать","скрыть")</f>
        <v/>
      </c>
    </row>
    <row r="550" ht="15.75" customHeight="1">
      <c r="B550" s="809" t="n">
        <v>534</v>
      </c>
      <c r="C550" s="182">
        <f>IF(offer_sale_type="транзит",IFERROR(VLOOKUP($B550,calc_data,C$14+1,0),0),0)</f>
        <v/>
      </c>
      <c r="D550" s="280">
        <f>IF(offer_sale_type="транзит",IFERROR(VLOOKUP($B550,calc_data,D$14+1,0),0),0)</f>
        <v/>
      </c>
      <c r="E550" s="182">
        <f>IF(offer_sale_type="транзит",IFERROR(VLOOKUP($B550,calc_data,E$14+1,0),0),0)</f>
        <v/>
      </c>
      <c r="F550" s="182">
        <f>IF(offer_sale_type="транзит",IFERROR(VLOOKUP($B550,calc_data,F$14+1,0),0),0)</f>
        <v/>
      </c>
      <c r="G550" s="141">
        <f>IF(offer_sale_type="транзит",IFERROR(VLOOKUP($B550,calc_data,G$14+1,0),0),0)</f>
        <v/>
      </c>
      <c r="H550" s="141">
        <f>E550*G550</f>
        <v/>
      </c>
      <c r="I550" s="141">
        <f>IF(offer_sale_type="транзит",IFERROR(ROUND(VLOOKUP($B550,calc_data,I$14+1,0),2),0),0)</f>
        <v/>
      </c>
      <c r="J550" s="141">
        <f>ROUND(IF(offer_sale_type="транзит",IFERROR(VLOOKUP($B550,calc_data,J$14+1,0),0),0),2)</f>
        <v/>
      </c>
      <c r="K550" s="142">
        <f>IF(offer_sale_type="транзит",IFERROR(ROUNDUP(VLOOKUP($B550,calc_data,K$14+1,0),2),0),0)</f>
        <v/>
      </c>
      <c r="L550" s="184">
        <f>IF(offer_sale_type="транзит",IFERROR(ROUNDUP(VLOOKUP($B550,calc_data,L$14+1,0),2),0),0)</f>
        <v/>
      </c>
      <c r="M550" s="141">
        <f>IF(offer_sale_type="транзит",IFERROR(ROUNDUP(VLOOKUP($B550,calc_data,M$14+1,0),2),0),0)</f>
        <v/>
      </c>
      <c r="N550" s="141">
        <f>IF(offer_sale_type="транзит",IFERROR(ROUNDUP(VLOOKUP($B550,calc_data,N$14+1,0),2),0),0)</f>
        <v/>
      </c>
      <c r="O550" s="147">
        <f>IF(offer_sale_type="транзит",IFERROR(ROUND(VLOOKUP($B550,calc_data,O$14+1,1),2),0),0)</f>
        <v/>
      </c>
      <c r="P550" s="141">
        <f>IF(offer_sale_type="транзит",IFERROR(ROUND(SUM(I550:J550,M550:O550)/E550,2),0),0)</f>
        <v/>
      </c>
      <c r="Q550" s="141">
        <f>E550*P550</f>
        <v/>
      </c>
      <c r="R550" s="141">
        <f>ROUND(Q550*IF(AND(offer_incoterms="DDP",seller_region="RU"),IF((TODAY()+offer_turnaround_time)&gt;=helpsheet!$L$17,rate_vatRU_from_26,rate_vatRu_till_25),0),2)</f>
        <v/>
      </c>
      <c r="S550" s="177">
        <f>Q550+IF(AND(offer_incoterms="DDP",seller_region="RU"),R550,0)</f>
        <v/>
      </c>
      <c r="T550" s="45" t="n"/>
      <c r="V550" s="57">
        <f>IF(Q550&gt;0,"показать","скрыть")</f>
        <v/>
      </c>
    </row>
    <row r="551" ht="15.75" customHeight="1">
      <c r="B551" s="809" t="n">
        <v>535</v>
      </c>
      <c r="C551" s="182">
        <f>IF(offer_sale_type="транзит",IFERROR(VLOOKUP($B551,calc_data,C$14+1,0),0),0)</f>
        <v/>
      </c>
      <c r="D551" s="280">
        <f>IF(offer_sale_type="транзит",IFERROR(VLOOKUP($B551,calc_data,D$14+1,0),0),0)</f>
        <v/>
      </c>
      <c r="E551" s="182">
        <f>IF(offer_sale_type="транзит",IFERROR(VLOOKUP($B551,calc_data,E$14+1,0),0),0)</f>
        <v/>
      </c>
      <c r="F551" s="182">
        <f>IF(offer_sale_type="транзит",IFERROR(VLOOKUP($B551,calc_data,F$14+1,0),0),0)</f>
        <v/>
      </c>
      <c r="G551" s="141">
        <f>IF(offer_sale_type="транзит",IFERROR(VLOOKUP($B551,calc_data,G$14+1,0),0),0)</f>
        <v/>
      </c>
      <c r="H551" s="141">
        <f>E551*G551</f>
        <v/>
      </c>
      <c r="I551" s="141">
        <f>IF(offer_sale_type="транзит",IFERROR(ROUND(VLOOKUP($B551,calc_data,I$14+1,0),2),0),0)</f>
        <v/>
      </c>
      <c r="J551" s="141">
        <f>ROUND(IF(offer_sale_type="транзит",IFERROR(VLOOKUP($B551,calc_data,J$14+1,0),0),0),2)</f>
        <v/>
      </c>
      <c r="K551" s="142">
        <f>IF(offer_sale_type="транзит",IFERROR(ROUNDUP(VLOOKUP($B551,calc_data,K$14+1,0),2),0),0)</f>
        <v/>
      </c>
      <c r="L551" s="184">
        <f>IF(offer_sale_type="транзит",IFERROR(ROUNDUP(VLOOKUP($B551,calc_data,L$14+1,0),2),0),0)</f>
        <v/>
      </c>
      <c r="M551" s="141">
        <f>IF(offer_sale_type="транзит",IFERROR(ROUNDUP(VLOOKUP($B551,calc_data,M$14+1,0),2),0),0)</f>
        <v/>
      </c>
      <c r="N551" s="141">
        <f>IF(offer_sale_type="транзит",IFERROR(ROUNDUP(VLOOKUP($B551,calc_data,N$14+1,0),2),0),0)</f>
        <v/>
      </c>
      <c r="O551" s="147">
        <f>IF(offer_sale_type="транзит",IFERROR(ROUND(VLOOKUP($B551,calc_data,O$14+1,1),2),0),0)</f>
        <v/>
      </c>
      <c r="P551" s="141">
        <f>IF(offer_sale_type="транзит",IFERROR(ROUND(SUM(I551:J551,M551:O551)/E551,2),0),0)</f>
        <v/>
      </c>
      <c r="Q551" s="141">
        <f>E551*P551</f>
        <v/>
      </c>
      <c r="R551" s="141">
        <f>ROUND(Q551*IF(AND(offer_incoterms="DDP",seller_region="RU"),IF((TODAY()+offer_turnaround_time)&gt;=helpsheet!$L$17,rate_vatRU_from_26,rate_vatRu_till_25),0),2)</f>
        <v/>
      </c>
      <c r="S551" s="177">
        <f>Q551+IF(AND(offer_incoterms="DDP",seller_region="RU"),R551,0)</f>
        <v/>
      </c>
      <c r="T551" s="45" t="n"/>
      <c r="V551" s="57">
        <f>IF(Q551&gt;0,"показать","скрыть")</f>
        <v/>
      </c>
    </row>
    <row r="552" ht="15.75" customHeight="1">
      <c r="B552" s="809" t="n">
        <v>536</v>
      </c>
      <c r="C552" s="182">
        <f>IF(offer_sale_type="транзит",IFERROR(VLOOKUP($B552,calc_data,C$14+1,0),0),0)</f>
        <v/>
      </c>
      <c r="D552" s="280">
        <f>IF(offer_sale_type="транзит",IFERROR(VLOOKUP($B552,calc_data,D$14+1,0),0),0)</f>
        <v/>
      </c>
      <c r="E552" s="182">
        <f>IF(offer_sale_type="транзит",IFERROR(VLOOKUP($B552,calc_data,E$14+1,0),0),0)</f>
        <v/>
      </c>
      <c r="F552" s="182">
        <f>IF(offer_sale_type="транзит",IFERROR(VLOOKUP($B552,calc_data,F$14+1,0),0),0)</f>
        <v/>
      </c>
      <c r="G552" s="141">
        <f>IF(offer_sale_type="транзит",IFERROR(VLOOKUP($B552,calc_data,G$14+1,0),0),0)</f>
        <v/>
      </c>
      <c r="H552" s="141">
        <f>E552*G552</f>
        <v/>
      </c>
      <c r="I552" s="141">
        <f>IF(offer_sale_type="транзит",IFERROR(ROUND(VLOOKUP($B552,calc_data,I$14+1,0),2),0),0)</f>
        <v/>
      </c>
      <c r="J552" s="141">
        <f>ROUND(IF(offer_sale_type="транзит",IFERROR(VLOOKUP($B552,calc_data,J$14+1,0),0),0),2)</f>
        <v/>
      </c>
      <c r="K552" s="142">
        <f>IF(offer_sale_type="транзит",IFERROR(ROUNDUP(VLOOKUP($B552,calc_data,K$14+1,0),2),0),0)</f>
        <v/>
      </c>
      <c r="L552" s="184">
        <f>IF(offer_sale_type="транзит",IFERROR(ROUNDUP(VLOOKUP($B552,calc_data,L$14+1,0),2),0),0)</f>
        <v/>
      </c>
      <c r="M552" s="141">
        <f>IF(offer_sale_type="транзит",IFERROR(ROUNDUP(VLOOKUP($B552,calc_data,M$14+1,0),2),0),0)</f>
        <v/>
      </c>
      <c r="N552" s="141">
        <f>IF(offer_sale_type="транзит",IFERROR(ROUNDUP(VLOOKUP($B552,calc_data,N$14+1,0),2),0),0)</f>
        <v/>
      </c>
      <c r="O552" s="147">
        <f>IF(offer_sale_type="транзит",IFERROR(ROUND(VLOOKUP($B552,calc_data,O$14+1,1),2),0),0)</f>
        <v/>
      </c>
      <c r="P552" s="141">
        <f>IF(offer_sale_type="транзит",IFERROR(ROUND(SUM(I552:J552,M552:O552)/E552,2),0),0)</f>
        <v/>
      </c>
      <c r="Q552" s="141">
        <f>E552*P552</f>
        <v/>
      </c>
      <c r="R552" s="141">
        <f>ROUND(Q552*IF(AND(offer_incoterms="DDP",seller_region="RU"),IF((TODAY()+offer_turnaround_time)&gt;=helpsheet!$L$17,rate_vatRU_from_26,rate_vatRu_till_25),0),2)</f>
        <v/>
      </c>
      <c r="S552" s="177">
        <f>Q552+IF(AND(offer_incoterms="DDP",seller_region="RU"),R552,0)</f>
        <v/>
      </c>
      <c r="T552" s="45" t="n"/>
      <c r="V552" s="57">
        <f>IF(Q552&gt;0,"показать","скрыть")</f>
        <v/>
      </c>
    </row>
    <row r="553" ht="15.75" customHeight="1">
      <c r="B553" s="809" t="n">
        <v>537</v>
      </c>
      <c r="C553" s="182">
        <f>IF(offer_sale_type="транзит",IFERROR(VLOOKUP($B553,calc_data,C$14+1,0),0),0)</f>
        <v/>
      </c>
      <c r="D553" s="280">
        <f>IF(offer_sale_type="транзит",IFERROR(VLOOKUP($B553,calc_data,D$14+1,0),0),0)</f>
        <v/>
      </c>
      <c r="E553" s="182">
        <f>IF(offer_sale_type="транзит",IFERROR(VLOOKUP($B553,calc_data,E$14+1,0),0),0)</f>
        <v/>
      </c>
      <c r="F553" s="182">
        <f>IF(offer_sale_type="транзит",IFERROR(VLOOKUP($B553,calc_data,F$14+1,0),0),0)</f>
        <v/>
      </c>
      <c r="G553" s="141">
        <f>IF(offer_sale_type="транзит",IFERROR(VLOOKUP($B553,calc_data,G$14+1,0),0),0)</f>
        <v/>
      </c>
      <c r="H553" s="141">
        <f>E553*G553</f>
        <v/>
      </c>
      <c r="I553" s="141">
        <f>IF(offer_sale_type="транзит",IFERROR(ROUND(VLOOKUP($B553,calc_data,I$14+1,0),2),0),0)</f>
        <v/>
      </c>
      <c r="J553" s="141">
        <f>ROUND(IF(offer_sale_type="транзит",IFERROR(VLOOKUP($B553,calc_data,J$14+1,0),0),0),2)</f>
        <v/>
      </c>
      <c r="K553" s="142">
        <f>IF(offer_sale_type="транзит",IFERROR(ROUNDUP(VLOOKUP($B553,calc_data,K$14+1,0),2),0),0)</f>
        <v/>
      </c>
      <c r="L553" s="184">
        <f>IF(offer_sale_type="транзит",IFERROR(ROUNDUP(VLOOKUP($B553,calc_data,L$14+1,0),2),0),0)</f>
        <v/>
      </c>
      <c r="M553" s="141">
        <f>IF(offer_sale_type="транзит",IFERROR(ROUNDUP(VLOOKUP($B553,calc_data,M$14+1,0),2),0),0)</f>
        <v/>
      </c>
      <c r="N553" s="141">
        <f>IF(offer_sale_type="транзит",IFERROR(ROUNDUP(VLOOKUP($B553,calc_data,N$14+1,0),2),0),0)</f>
        <v/>
      </c>
      <c r="O553" s="147">
        <f>IF(offer_sale_type="транзит",IFERROR(ROUND(VLOOKUP($B553,calc_data,O$14+1,1),2),0),0)</f>
        <v/>
      </c>
      <c r="P553" s="141">
        <f>IF(offer_sale_type="транзит",IFERROR(ROUND(SUM(I553:J553,M553:O553)/E553,2),0),0)</f>
        <v/>
      </c>
      <c r="Q553" s="141">
        <f>E553*P553</f>
        <v/>
      </c>
      <c r="R553" s="141">
        <f>ROUND(Q553*IF(AND(offer_incoterms="DDP",seller_region="RU"),IF((TODAY()+offer_turnaround_time)&gt;=helpsheet!$L$17,rate_vatRU_from_26,rate_vatRu_till_25),0),2)</f>
        <v/>
      </c>
      <c r="S553" s="177">
        <f>Q553+IF(AND(offer_incoterms="DDP",seller_region="RU"),R553,0)</f>
        <v/>
      </c>
      <c r="T553" s="45" t="n"/>
      <c r="V553" s="57">
        <f>IF(Q553&gt;0,"показать","скрыть")</f>
        <v/>
      </c>
    </row>
    <row r="554" ht="15.75" customHeight="1">
      <c r="B554" s="809" t="n">
        <v>538</v>
      </c>
      <c r="C554" s="182">
        <f>IF(offer_sale_type="транзит",IFERROR(VLOOKUP($B554,calc_data,C$14+1,0),0),0)</f>
        <v/>
      </c>
      <c r="D554" s="280">
        <f>IF(offer_sale_type="транзит",IFERROR(VLOOKUP($B554,calc_data,D$14+1,0),0),0)</f>
        <v/>
      </c>
      <c r="E554" s="182">
        <f>IF(offer_sale_type="транзит",IFERROR(VLOOKUP($B554,calc_data,E$14+1,0),0),0)</f>
        <v/>
      </c>
      <c r="F554" s="182">
        <f>IF(offer_sale_type="транзит",IFERROR(VLOOKUP($B554,calc_data,F$14+1,0),0),0)</f>
        <v/>
      </c>
      <c r="G554" s="141">
        <f>IF(offer_sale_type="транзит",IFERROR(VLOOKUP($B554,calc_data,G$14+1,0),0),0)</f>
        <v/>
      </c>
      <c r="H554" s="141">
        <f>E554*G554</f>
        <v/>
      </c>
      <c r="I554" s="141">
        <f>IF(offer_sale_type="транзит",IFERROR(ROUND(VLOOKUP($B554,calc_data,I$14+1,0),2),0),0)</f>
        <v/>
      </c>
      <c r="J554" s="141">
        <f>ROUND(IF(offer_sale_type="транзит",IFERROR(VLOOKUP($B554,calc_data,J$14+1,0),0),0),2)</f>
        <v/>
      </c>
      <c r="K554" s="142">
        <f>IF(offer_sale_type="транзит",IFERROR(ROUNDUP(VLOOKUP($B554,calc_data,K$14+1,0),2),0),0)</f>
        <v/>
      </c>
      <c r="L554" s="184">
        <f>IF(offer_sale_type="транзит",IFERROR(ROUNDUP(VLOOKUP($B554,calc_data,L$14+1,0),2),0),0)</f>
        <v/>
      </c>
      <c r="M554" s="141">
        <f>IF(offer_sale_type="транзит",IFERROR(ROUNDUP(VLOOKUP($B554,calc_data,M$14+1,0),2),0),0)</f>
        <v/>
      </c>
      <c r="N554" s="141">
        <f>IF(offer_sale_type="транзит",IFERROR(ROUNDUP(VLOOKUP($B554,calc_data,N$14+1,0),2),0),0)</f>
        <v/>
      </c>
      <c r="O554" s="147">
        <f>IF(offer_sale_type="транзит",IFERROR(ROUND(VLOOKUP($B554,calc_data,O$14+1,1),2),0),0)</f>
        <v/>
      </c>
      <c r="P554" s="141">
        <f>IF(offer_sale_type="транзит",IFERROR(ROUND(SUM(I554:J554,M554:O554)/E554,2),0),0)</f>
        <v/>
      </c>
      <c r="Q554" s="141">
        <f>E554*P554</f>
        <v/>
      </c>
      <c r="R554" s="141">
        <f>ROUND(Q554*IF(AND(offer_incoterms="DDP",seller_region="RU"),IF((TODAY()+offer_turnaround_time)&gt;=helpsheet!$L$17,rate_vatRU_from_26,rate_vatRu_till_25),0),2)</f>
        <v/>
      </c>
      <c r="S554" s="177">
        <f>Q554+IF(AND(offer_incoterms="DDP",seller_region="RU"),R554,0)</f>
        <v/>
      </c>
      <c r="T554" s="45" t="n"/>
      <c r="V554" s="57">
        <f>IF(Q554&gt;0,"показать","скрыть")</f>
        <v/>
      </c>
    </row>
    <row r="555" ht="15.75" customHeight="1">
      <c r="B555" s="809" t="n">
        <v>539</v>
      </c>
      <c r="C555" s="182">
        <f>IF(offer_sale_type="транзит",IFERROR(VLOOKUP($B555,calc_data,C$14+1,0),0),0)</f>
        <v/>
      </c>
      <c r="D555" s="280">
        <f>IF(offer_sale_type="транзит",IFERROR(VLOOKUP($B555,calc_data,D$14+1,0),0),0)</f>
        <v/>
      </c>
      <c r="E555" s="182">
        <f>IF(offer_sale_type="транзит",IFERROR(VLOOKUP($B555,calc_data,E$14+1,0),0),0)</f>
        <v/>
      </c>
      <c r="F555" s="182">
        <f>IF(offer_sale_type="транзит",IFERROR(VLOOKUP($B555,calc_data,F$14+1,0),0),0)</f>
        <v/>
      </c>
      <c r="G555" s="141">
        <f>IF(offer_sale_type="транзит",IFERROR(VLOOKUP($B555,calc_data,G$14+1,0),0),0)</f>
        <v/>
      </c>
      <c r="H555" s="141">
        <f>E555*G555</f>
        <v/>
      </c>
      <c r="I555" s="141">
        <f>IF(offer_sale_type="транзит",IFERROR(ROUND(VLOOKUP($B555,calc_data,I$14+1,0),2),0),0)</f>
        <v/>
      </c>
      <c r="J555" s="141">
        <f>ROUND(IF(offer_sale_type="транзит",IFERROR(VLOOKUP($B555,calc_data,J$14+1,0),0),0),2)</f>
        <v/>
      </c>
      <c r="K555" s="142">
        <f>IF(offer_sale_type="транзит",IFERROR(ROUNDUP(VLOOKUP($B555,calc_data,K$14+1,0),2),0),0)</f>
        <v/>
      </c>
      <c r="L555" s="184">
        <f>IF(offer_sale_type="транзит",IFERROR(ROUNDUP(VLOOKUP($B555,calc_data,L$14+1,0),2),0),0)</f>
        <v/>
      </c>
      <c r="M555" s="141">
        <f>IF(offer_sale_type="транзит",IFERROR(ROUNDUP(VLOOKUP($B555,calc_data,M$14+1,0),2),0),0)</f>
        <v/>
      </c>
      <c r="N555" s="141">
        <f>IF(offer_sale_type="транзит",IFERROR(ROUNDUP(VLOOKUP($B555,calc_data,N$14+1,0),2),0),0)</f>
        <v/>
      </c>
      <c r="O555" s="147">
        <f>IF(offer_sale_type="транзит",IFERROR(ROUND(VLOOKUP($B555,calc_data,O$14+1,1),2),0),0)</f>
        <v/>
      </c>
      <c r="P555" s="141">
        <f>IF(offer_sale_type="транзит",IFERROR(ROUND(SUM(I555:J555,M555:O555)/E555,2),0),0)</f>
        <v/>
      </c>
      <c r="Q555" s="141">
        <f>E555*P555</f>
        <v/>
      </c>
      <c r="R555" s="141">
        <f>ROUND(Q555*IF(AND(offer_incoterms="DDP",seller_region="RU"),IF((TODAY()+offer_turnaround_time)&gt;=helpsheet!$L$17,rate_vatRU_from_26,rate_vatRu_till_25),0),2)</f>
        <v/>
      </c>
      <c r="S555" s="177">
        <f>Q555+IF(AND(offer_incoterms="DDP",seller_region="RU"),R555,0)</f>
        <v/>
      </c>
      <c r="T555" s="45" t="n"/>
      <c r="V555" s="57">
        <f>IF(Q555&gt;0,"показать","скрыть")</f>
        <v/>
      </c>
    </row>
    <row r="556" ht="15.75" customHeight="1">
      <c r="B556" s="809" t="n">
        <v>540</v>
      </c>
      <c r="C556" s="182">
        <f>IF(offer_sale_type="транзит",IFERROR(VLOOKUP($B556,calc_data,C$14+1,0),0),0)</f>
        <v/>
      </c>
      <c r="D556" s="280">
        <f>IF(offer_sale_type="транзит",IFERROR(VLOOKUP($B556,calc_data,D$14+1,0),0),0)</f>
        <v/>
      </c>
      <c r="E556" s="182">
        <f>IF(offer_sale_type="транзит",IFERROR(VLOOKUP($B556,calc_data,E$14+1,0),0),0)</f>
        <v/>
      </c>
      <c r="F556" s="182">
        <f>IF(offer_sale_type="транзит",IFERROR(VLOOKUP($B556,calc_data,F$14+1,0),0),0)</f>
        <v/>
      </c>
      <c r="G556" s="141">
        <f>IF(offer_sale_type="транзит",IFERROR(VLOOKUP($B556,calc_data,G$14+1,0),0),0)</f>
        <v/>
      </c>
      <c r="H556" s="141">
        <f>E556*G556</f>
        <v/>
      </c>
      <c r="I556" s="141">
        <f>IF(offer_sale_type="транзит",IFERROR(ROUND(VLOOKUP($B556,calc_data,I$14+1,0),2),0),0)</f>
        <v/>
      </c>
      <c r="J556" s="141">
        <f>ROUND(IF(offer_sale_type="транзит",IFERROR(VLOOKUP($B556,calc_data,J$14+1,0),0),0),2)</f>
        <v/>
      </c>
      <c r="K556" s="142">
        <f>IF(offer_sale_type="транзит",IFERROR(ROUNDUP(VLOOKUP($B556,calc_data,K$14+1,0),2),0),0)</f>
        <v/>
      </c>
      <c r="L556" s="184">
        <f>IF(offer_sale_type="транзит",IFERROR(ROUNDUP(VLOOKUP($B556,calc_data,L$14+1,0),2),0),0)</f>
        <v/>
      </c>
      <c r="M556" s="141">
        <f>IF(offer_sale_type="транзит",IFERROR(ROUNDUP(VLOOKUP($B556,calc_data,M$14+1,0),2),0),0)</f>
        <v/>
      </c>
      <c r="N556" s="141">
        <f>IF(offer_sale_type="транзит",IFERROR(ROUNDUP(VLOOKUP($B556,calc_data,N$14+1,0),2),0),0)</f>
        <v/>
      </c>
      <c r="O556" s="147">
        <f>IF(offer_sale_type="транзит",IFERROR(ROUND(VLOOKUP($B556,calc_data,O$14+1,1),2),0),0)</f>
        <v/>
      </c>
      <c r="P556" s="141">
        <f>IF(offer_sale_type="транзит",IFERROR(ROUND(SUM(I556:J556,M556:O556)/E556,2),0),0)</f>
        <v/>
      </c>
      <c r="Q556" s="141">
        <f>E556*P556</f>
        <v/>
      </c>
      <c r="R556" s="141">
        <f>ROUND(Q556*IF(AND(offer_incoterms="DDP",seller_region="RU"),IF((TODAY()+offer_turnaround_time)&gt;=helpsheet!$L$17,rate_vatRU_from_26,rate_vatRu_till_25),0),2)</f>
        <v/>
      </c>
      <c r="S556" s="177">
        <f>Q556+IF(AND(offer_incoterms="DDP",seller_region="RU"),R556,0)</f>
        <v/>
      </c>
      <c r="T556" s="45" t="n"/>
      <c r="V556" s="57">
        <f>IF(Q556&gt;0,"показать","скрыть")</f>
        <v/>
      </c>
    </row>
    <row r="557" ht="15.75" customHeight="1">
      <c r="B557" s="809" t="n">
        <v>541</v>
      </c>
      <c r="C557" s="182">
        <f>IF(offer_sale_type="транзит",IFERROR(VLOOKUP($B557,calc_data,C$14+1,0),0),0)</f>
        <v/>
      </c>
      <c r="D557" s="280">
        <f>IF(offer_sale_type="транзит",IFERROR(VLOOKUP($B557,calc_data,D$14+1,0),0),0)</f>
        <v/>
      </c>
      <c r="E557" s="182">
        <f>IF(offer_sale_type="транзит",IFERROR(VLOOKUP($B557,calc_data,E$14+1,0),0),0)</f>
        <v/>
      </c>
      <c r="F557" s="182">
        <f>IF(offer_sale_type="транзит",IFERROR(VLOOKUP($B557,calc_data,F$14+1,0),0),0)</f>
        <v/>
      </c>
      <c r="G557" s="141">
        <f>IF(offer_sale_type="транзит",IFERROR(VLOOKUP($B557,calc_data,G$14+1,0),0),0)</f>
        <v/>
      </c>
      <c r="H557" s="141">
        <f>E557*G557</f>
        <v/>
      </c>
      <c r="I557" s="141">
        <f>IF(offer_sale_type="транзит",IFERROR(ROUND(VLOOKUP($B557,calc_data,I$14+1,0),2),0),0)</f>
        <v/>
      </c>
      <c r="J557" s="141">
        <f>ROUND(IF(offer_sale_type="транзит",IFERROR(VLOOKUP($B557,calc_data,J$14+1,0),0),0),2)</f>
        <v/>
      </c>
      <c r="K557" s="142">
        <f>IF(offer_sale_type="транзит",IFERROR(ROUNDUP(VLOOKUP($B557,calc_data,K$14+1,0),2),0),0)</f>
        <v/>
      </c>
      <c r="L557" s="184">
        <f>IF(offer_sale_type="транзит",IFERROR(ROUNDUP(VLOOKUP($B557,calc_data,L$14+1,0),2),0),0)</f>
        <v/>
      </c>
      <c r="M557" s="141">
        <f>IF(offer_sale_type="транзит",IFERROR(ROUNDUP(VLOOKUP($B557,calc_data,M$14+1,0),2),0),0)</f>
        <v/>
      </c>
      <c r="N557" s="141">
        <f>IF(offer_sale_type="транзит",IFERROR(ROUNDUP(VLOOKUP($B557,calc_data,N$14+1,0),2),0),0)</f>
        <v/>
      </c>
      <c r="O557" s="147">
        <f>IF(offer_sale_type="транзит",IFERROR(ROUND(VLOOKUP($B557,calc_data,O$14+1,1),2),0),0)</f>
        <v/>
      </c>
      <c r="P557" s="141">
        <f>IF(offer_sale_type="транзит",IFERROR(ROUND(SUM(I557:J557,M557:O557)/E557,2),0),0)</f>
        <v/>
      </c>
      <c r="Q557" s="141">
        <f>E557*P557</f>
        <v/>
      </c>
      <c r="R557" s="141">
        <f>ROUND(Q557*IF(AND(offer_incoterms="DDP",seller_region="RU"),IF((TODAY()+offer_turnaround_time)&gt;=helpsheet!$L$17,rate_vatRU_from_26,rate_vatRu_till_25),0),2)</f>
        <v/>
      </c>
      <c r="S557" s="177">
        <f>Q557+IF(AND(offer_incoterms="DDP",seller_region="RU"),R557,0)</f>
        <v/>
      </c>
      <c r="T557" s="45" t="n"/>
      <c r="V557" s="57">
        <f>IF(Q557&gt;0,"показать","скрыть")</f>
        <v/>
      </c>
    </row>
    <row r="558" ht="15.75" customHeight="1">
      <c r="B558" s="809" t="n">
        <v>542</v>
      </c>
      <c r="C558" s="182">
        <f>IF(offer_sale_type="транзит",IFERROR(VLOOKUP($B558,calc_data,C$14+1,0),0),0)</f>
        <v/>
      </c>
      <c r="D558" s="280">
        <f>IF(offer_sale_type="транзит",IFERROR(VLOOKUP($B558,calc_data,D$14+1,0),0),0)</f>
        <v/>
      </c>
      <c r="E558" s="182">
        <f>IF(offer_sale_type="транзит",IFERROR(VLOOKUP($B558,calc_data,E$14+1,0),0),0)</f>
        <v/>
      </c>
      <c r="F558" s="182">
        <f>IF(offer_sale_type="транзит",IFERROR(VLOOKUP($B558,calc_data,F$14+1,0),0),0)</f>
        <v/>
      </c>
      <c r="G558" s="141">
        <f>IF(offer_sale_type="транзит",IFERROR(VLOOKUP($B558,calc_data,G$14+1,0),0),0)</f>
        <v/>
      </c>
      <c r="H558" s="141">
        <f>E558*G558</f>
        <v/>
      </c>
      <c r="I558" s="141">
        <f>IF(offer_sale_type="транзит",IFERROR(ROUND(VLOOKUP($B558,calc_data,I$14+1,0),2),0),0)</f>
        <v/>
      </c>
      <c r="J558" s="141">
        <f>ROUND(IF(offer_sale_type="транзит",IFERROR(VLOOKUP($B558,calc_data,J$14+1,0),0),0),2)</f>
        <v/>
      </c>
      <c r="K558" s="142">
        <f>IF(offer_sale_type="транзит",IFERROR(ROUNDUP(VLOOKUP($B558,calc_data,K$14+1,0),2),0),0)</f>
        <v/>
      </c>
      <c r="L558" s="184">
        <f>IF(offer_sale_type="транзит",IFERROR(ROUNDUP(VLOOKUP($B558,calc_data,L$14+1,0),2),0),0)</f>
        <v/>
      </c>
      <c r="M558" s="141">
        <f>IF(offer_sale_type="транзит",IFERROR(ROUNDUP(VLOOKUP($B558,calc_data,M$14+1,0),2),0),0)</f>
        <v/>
      </c>
      <c r="N558" s="141">
        <f>IF(offer_sale_type="транзит",IFERROR(ROUNDUP(VLOOKUP($B558,calc_data,N$14+1,0),2),0),0)</f>
        <v/>
      </c>
      <c r="O558" s="147">
        <f>IF(offer_sale_type="транзит",IFERROR(ROUND(VLOOKUP($B558,calc_data,O$14+1,1),2),0),0)</f>
        <v/>
      </c>
      <c r="P558" s="141">
        <f>IF(offer_sale_type="транзит",IFERROR(ROUND(SUM(I558:J558,M558:O558)/E558,2),0),0)</f>
        <v/>
      </c>
      <c r="Q558" s="141">
        <f>E558*P558</f>
        <v/>
      </c>
      <c r="R558" s="141">
        <f>ROUND(Q558*IF(AND(offer_incoterms="DDP",seller_region="RU"),IF((TODAY()+offer_turnaround_time)&gt;=helpsheet!$L$17,rate_vatRU_from_26,rate_vatRu_till_25),0),2)</f>
        <v/>
      </c>
      <c r="S558" s="177">
        <f>Q558+IF(AND(offer_incoterms="DDP",seller_region="RU"),R558,0)</f>
        <v/>
      </c>
      <c r="T558" s="45" t="n"/>
      <c r="V558" s="57">
        <f>IF(Q558&gt;0,"показать","скрыть")</f>
        <v/>
      </c>
    </row>
    <row r="559" ht="15.75" customHeight="1">
      <c r="B559" s="809" t="n">
        <v>543</v>
      </c>
      <c r="C559" s="182">
        <f>IF(offer_sale_type="транзит",IFERROR(VLOOKUP($B559,calc_data,C$14+1,0),0),0)</f>
        <v/>
      </c>
      <c r="D559" s="280">
        <f>IF(offer_sale_type="транзит",IFERROR(VLOOKUP($B559,calc_data,D$14+1,0),0),0)</f>
        <v/>
      </c>
      <c r="E559" s="182">
        <f>IF(offer_sale_type="транзит",IFERROR(VLOOKUP($B559,calc_data,E$14+1,0),0),0)</f>
        <v/>
      </c>
      <c r="F559" s="182">
        <f>IF(offer_sale_type="транзит",IFERROR(VLOOKUP($B559,calc_data,F$14+1,0),0),0)</f>
        <v/>
      </c>
      <c r="G559" s="141">
        <f>IF(offer_sale_type="транзит",IFERROR(VLOOKUP($B559,calc_data,G$14+1,0),0),0)</f>
        <v/>
      </c>
      <c r="H559" s="141">
        <f>E559*G559</f>
        <v/>
      </c>
      <c r="I559" s="141">
        <f>IF(offer_sale_type="транзит",IFERROR(ROUND(VLOOKUP($B559,calc_data,I$14+1,0),2),0),0)</f>
        <v/>
      </c>
      <c r="J559" s="141">
        <f>ROUND(IF(offer_sale_type="транзит",IFERROR(VLOOKUP($B559,calc_data,J$14+1,0),0),0),2)</f>
        <v/>
      </c>
      <c r="K559" s="142">
        <f>IF(offer_sale_type="транзит",IFERROR(ROUNDUP(VLOOKUP($B559,calc_data,K$14+1,0),2),0),0)</f>
        <v/>
      </c>
      <c r="L559" s="184">
        <f>IF(offer_sale_type="транзит",IFERROR(ROUNDUP(VLOOKUP($B559,calc_data,L$14+1,0),2),0),0)</f>
        <v/>
      </c>
      <c r="M559" s="141">
        <f>IF(offer_sale_type="транзит",IFERROR(ROUNDUP(VLOOKUP($B559,calc_data,M$14+1,0),2),0),0)</f>
        <v/>
      </c>
      <c r="N559" s="141">
        <f>IF(offer_sale_type="транзит",IFERROR(ROUNDUP(VLOOKUP($B559,calc_data,N$14+1,0),2),0),0)</f>
        <v/>
      </c>
      <c r="O559" s="147">
        <f>IF(offer_sale_type="транзит",IFERROR(ROUND(VLOOKUP($B559,calc_data,O$14+1,1),2),0),0)</f>
        <v/>
      </c>
      <c r="P559" s="141">
        <f>IF(offer_sale_type="транзит",IFERROR(ROUND(SUM(I559:J559,M559:O559)/E559,2),0),0)</f>
        <v/>
      </c>
      <c r="Q559" s="141">
        <f>E559*P559</f>
        <v/>
      </c>
      <c r="R559" s="141">
        <f>ROUND(Q559*IF(AND(offer_incoterms="DDP",seller_region="RU"),IF((TODAY()+offer_turnaround_time)&gt;=helpsheet!$L$17,rate_vatRU_from_26,rate_vatRu_till_25),0),2)</f>
        <v/>
      </c>
      <c r="S559" s="177">
        <f>Q559+IF(AND(offer_incoterms="DDP",seller_region="RU"),R559,0)</f>
        <v/>
      </c>
      <c r="T559" s="45" t="n"/>
      <c r="V559" s="57">
        <f>IF(Q559&gt;0,"показать","скрыть")</f>
        <v/>
      </c>
    </row>
    <row r="560" ht="15.75" customHeight="1">
      <c r="B560" s="809" t="n">
        <v>544</v>
      </c>
      <c r="C560" s="182">
        <f>IF(offer_sale_type="транзит",IFERROR(VLOOKUP($B560,calc_data,C$14+1,0),0),0)</f>
        <v/>
      </c>
      <c r="D560" s="280">
        <f>IF(offer_sale_type="транзит",IFERROR(VLOOKUP($B560,calc_data,D$14+1,0),0),0)</f>
        <v/>
      </c>
      <c r="E560" s="182">
        <f>IF(offer_sale_type="транзит",IFERROR(VLOOKUP($B560,calc_data,E$14+1,0),0),0)</f>
        <v/>
      </c>
      <c r="F560" s="182">
        <f>IF(offer_sale_type="транзит",IFERROR(VLOOKUP($B560,calc_data,F$14+1,0),0),0)</f>
        <v/>
      </c>
      <c r="G560" s="141">
        <f>IF(offer_sale_type="транзит",IFERROR(VLOOKUP($B560,calc_data,G$14+1,0),0),0)</f>
        <v/>
      </c>
      <c r="H560" s="141">
        <f>E560*G560</f>
        <v/>
      </c>
      <c r="I560" s="141">
        <f>IF(offer_sale_type="транзит",IFERROR(ROUND(VLOOKUP($B560,calc_data,I$14+1,0),2),0),0)</f>
        <v/>
      </c>
      <c r="J560" s="141">
        <f>ROUND(IF(offer_sale_type="транзит",IFERROR(VLOOKUP($B560,calc_data,J$14+1,0),0),0),2)</f>
        <v/>
      </c>
      <c r="K560" s="142">
        <f>IF(offer_sale_type="транзит",IFERROR(ROUNDUP(VLOOKUP($B560,calc_data,K$14+1,0),2),0),0)</f>
        <v/>
      </c>
      <c r="L560" s="184">
        <f>IF(offer_sale_type="транзит",IFERROR(ROUNDUP(VLOOKUP($B560,calc_data,L$14+1,0),2),0),0)</f>
        <v/>
      </c>
      <c r="M560" s="141">
        <f>IF(offer_sale_type="транзит",IFERROR(ROUNDUP(VLOOKUP($B560,calc_data,M$14+1,0),2),0),0)</f>
        <v/>
      </c>
      <c r="N560" s="141">
        <f>IF(offer_sale_type="транзит",IFERROR(ROUNDUP(VLOOKUP($B560,calc_data,N$14+1,0),2),0),0)</f>
        <v/>
      </c>
      <c r="O560" s="147">
        <f>IF(offer_sale_type="транзит",IFERROR(ROUND(VLOOKUP($B560,calc_data,O$14+1,1),2),0),0)</f>
        <v/>
      </c>
      <c r="P560" s="141">
        <f>IF(offer_sale_type="транзит",IFERROR(ROUND(SUM(I560:J560,M560:O560)/E560,2),0),0)</f>
        <v/>
      </c>
      <c r="Q560" s="141">
        <f>E560*P560</f>
        <v/>
      </c>
      <c r="R560" s="141">
        <f>ROUND(Q560*IF(AND(offer_incoterms="DDP",seller_region="RU"),IF((TODAY()+offer_turnaround_time)&gt;=helpsheet!$L$17,rate_vatRU_from_26,rate_vatRu_till_25),0),2)</f>
        <v/>
      </c>
      <c r="S560" s="177">
        <f>Q560+IF(AND(offer_incoterms="DDP",seller_region="RU"),R560,0)</f>
        <v/>
      </c>
      <c r="T560" s="45" t="n"/>
      <c r="V560" s="57">
        <f>IF(Q560&gt;0,"показать","скрыть")</f>
        <v/>
      </c>
    </row>
    <row r="561" ht="15.75" customHeight="1">
      <c r="B561" s="809" t="n">
        <v>545</v>
      </c>
      <c r="C561" s="182">
        <f>IF(offer_sale_type="транзит",IFERROR(VLOOKUP($B561,calc_data,C$14+1,0),0),0)</f>
        <v/>
      </c>
      <c r="D561" s="280">
        <f>IF(offer_sale_type="транзит",IFERROR(VLOOKUP($B561,calc_data,D$14+1,0),0),0)</f>
        <v/>
      </c>
      <c r="E561" s="182">
        <f>IF(offer_sale_type="транзит",IFERROR(VLOOKUP($B561,calc_data,E$14+1,0),0),0)</f>
        <v/>
      </c>
      <c r="F561" s="182">
        <f>IF(offer_sale_type="транзит",IFERROR(VLOOKUP($B561,calc_data,F$14+1,0),0),0)</f>
        <v/>
      </c>
      <c r="G561" s="141">
        <f>IF(offer_sale_type="транзит",IFERROR(VLOOKUP($B561,calc_data,G$14+1,0),0),0)</f>
        <v/>
      </c>
      <c r="H561" s="141">
        <f>E561*G561</f>
        <v/>
      </c>
      <c r="I561" s="141">
        <f>IF(offer_sale_type="транзит",IFERROR(ROUND(VLOOKUP($B561,calc_data,I$14+1,0),2),0),0)</f>
        <v/>
      </c>
      <c r="J561" s="141">
        <f>ROUND(IF(offer_sale_type="транзит",IFERROR(VLOOKUP($B561,calc_data,J$14+1,0),0),0),2)</f>
        <v/>
      </c>
      <c r="K561" s="142">
        <f>IF(offer_sale_type="транзит",IFERROR(ROUNDUP(VLOOKUP($B561,calc_data,K$14+1,0),2),0),0)</f>
        <v/>
      </c>
      <c r="L561" s="184">
        <f>IF(offer_sale_type="транзит",IFERROR(ROUNDUP(VLOOKUP($B561,calc_data,L$14+1,0),2),0),0)</f>
        <v/>
      </c>
      <c r="M561" s="141">
        <f>IF(offer_sale_type="транзит",IFERROR(ROUNDUP(VLOOKUP($B561,calc_data,M$14+1,0),2),0),0)</f>
        <v/>
      </c>
      <c r="N561" s="141">
        <f>IF(offer_sale_type="транзит",IFERROR(ROUNDUP(VLOOKUP($B561,calc_data,N$14+1,0),2),0),0)</f>
        <v/>
      </c>
      <c r="O561" s="147">
        <f>IF(offer_sale_type="транзит",IFERROR(ROUND(VLOOKUP($B561,calc_data,O$14+1,1),2),0),0)</f>
        <v/>
      </c>
      <c r="P561" s="141">
        <f>IF(offer_sale_type="транзит",IFERROR(ROUND(SUM(I561:J561,M561:O561)/E561,2),0),0)</f>
        <v/>
      </c>
      <c r="Q561" s="141">
        <f>E561*P561</f>
        <v/>
      </c>
      <c r="R561" s="141">
        <f>ROUND(Q561*IF(AND(offer_incoterms="DDP",seller_region="RU"),IF((TODAY()+offer_turnaround_time)&gt;=helpsheet!$L$17,rate_vatRU_from_26,rate_vatRu_till_25),0),2)</f>
        <v/>
      </c>
      <c r="S561" s="177">
        <f>Q561+IF(AND(offer_incoterms="DDP",seller_region="RU"),R561,0)</f>
        <v/>
      </c>
      <c r="T561" s="45" t="n"/>
      <c r="V561" s="57">
        <f>IF(Q561&gt;0,"показать","скрыть")</f>
        <v/>
      </c>
    </row>
    <row r="562" ht="15.75" customHeight="1">
      <c r="B562" s="809" t="n">
        <v>546</v>
      </c>
      <c r="C562" s="182">
        <f>IF(offer_sale_type="транзит",IFERROR(VLOOKUP($B562,calc_data,C$14+1,0),0),0)</f>
        <v/>
      </c>
      <c r="D562" s="280">
        <f>IF(offer_sale_type="транзит",IFERROR(VLOOKUP($B562,calc_data,D$14+1,0),0),0)</f>
        <v/>
      </c>
      <c r="E562" s="182">
        <f>IF(offer_sale_type="транзит",IFERROR(VLOOKUP($B562,calc_data,E$14+1,0),0),0)</f>
        <v/>
      </c>
      <c r="F562" s="182">
        <f>IF(offer_sale_type="транзит",IFERROR(VLOOKUP($B562,calc_data,F$14+1,0),0),0)</f>
        <v/>
      </c>
      <c r="G562" s="141">
        <f>IF(offer_sale_type="транзит",IFERROR(VLOOKUP($B562,calc_data,G$14+1,0),0),0)</f>
        <v/>
      </c>
      <c r="H562" s="141">
        <f>E562*G562</f>
        <v/>
      </c>
      <c r="I562" s="141">
        <f>IF(offer_sale_type="транзит",IFERROR(ROUND(VLOOKUP($B562,calc_data,I$14+1,0),2),0),0)</f>
        <v/>
      </c>
      <c r="J562" s="141">
        <f>ROUND(IF(offer_sale_type="транзит",IFERROR(VLOOKUP($B562,calc_data,J$14+1,0),0),0),2)</f>
        <v/>
      </c>
      <c r="K562" s="142">
        <f>IF(offer_sale_type="транзит",IFERROR(ROUNDUP(VLOOKUP($B562,calc_data,K$14+1,0),2),0),0)</f>
        <v/>
      </c>
      <c r="L562" s="184">
        <f>IF(offer_sale_type="транзит",IFERROR(ROUNDUP(VLOOKUP($B562,calc_data,L$14+1,0),2),0),0)</f>
        <v/>
      </c>
      <c r="M562" s="141">
        <f>IF(offer_sale_type="транзит",IFERROR(ROUNDUP(VLOOKUP($B562,calc_data,M$14+1,0),2),0),0)</f>
        <v/>
      </c>
      <c r="N562" s="141">
        <f>IF(offer_sale_type="транзит",IFERROR(ROUNDUP(VLOOKUP($B562,calc_data,N$14+1,0),2),0),0)</f>
        <v/>
      </c>
      <c r="O562" s="147">
        <f>IF(offer_sale_type="транзит",IFERROR(ROUND(VLOOKUP($B562,calc_data,O$14+1,1),2),0),0)</f>
        <v/>
      </c>
      <c r="P562" s="141">
        <f>IF(offer_sale_type="транзит",IFERROR(ROUND(SUM(I562:J562,M562:O562)/E562,2),0),0)</f>
        <v/>
      </c>
      <c r="Q562" s="141">
        <f>E562*P562</f>
        <v/>
      </c>
      <c r="R562" s="141">
        <f>ROUND(Q562*IF(AND(offer_incoterms="DDP",seller_region="RU"),IF((TODAY()+offer_turnaround_time)&gt;=helpsheet!$L$17,rate_vatRU_from_26,rate_vatRu_till_25),0),2)</f>
        <v/>
      </c>
      <c r="S562" s="177">
        <f>Q562+IF(AND(offer_incoterms="DDP",seller_region="RU"),R562,0)</f>
        <v/>
      </c>
      <c r="T562" s="45" t="n"/>
      <c r="V562" s="57">
        <f>IF(Q562&gt;0,"показать","скрыть")</f>
        <v/>
      </c>
    </row>
    <row r="563" ht="15.75" customHeight="1">
      <c r="B563" s="809" t="n">
        <v>547</v>
      </c>
      <c r="C563" s="182">
        <f>IF(offer_sale_type="транзит",IFERROR(VLOOKUP($B563,calc_data,C$14+1,0),0),0)</f>
        <v/>
      </c>
      <c r="D563" s="280">
        <f>IF(offer_sale_type="транзит",IFERROR(VLOOKUP($B563,calc_data,D$14+1,0),0),0)</f>
        <v/>
      </c>
      <c r="E563" s="182">
        <f>IF(offer_sale_type="транзит",IFERROR(VLOOKUP($B563,calc_data,E$14+1,0),0),0)</f>
        <v/>
      </c>
      <c r="F563" s="182">
        <f>IF(offer_sale_type="транзит",IFERROR(VLOOKUP($B563,calc_data,F$14+1,0),0),0)</f>
        <v/>
      </c>
      <c r="G563" s="141">
        <f>IF(offer_sale_type="транзит",IFERROR(VLOOKUP($B563,calc_data,G$14+1,0),0),0)</f>
        <v/>
      </c>
      <c r="H563" s="141">
        <f>E563*G563</f>
        <v/>
      </c>
      <c r="I563" s="141">
        <f>IF(offer_sale_type="транзит",IFERROR(ROUND(VLOOKUP($B563,calc_data,I$14+1,0),2),0),0)</f>
        <v/>
      </c>
      <c r="J563" s="141">
        <f>ROUND(IF(offer_sale_type="транзит",IFERROR(VLOOKUP($B563,calc_data,J$14+1,0),0),0),2)</f>
        <v/>
      </c>
      <c r="K563" s="142">
        <f>IF(offer_sale_type="транзит",IFERROR(ROUNDUP(VLOOKUP($B563,calc_data,K$14+1,0),2),0),0)</f>
        <v/>
      </c>
      <c r="L563" s="184">
        <f>IF(offer_sale_type="транзит",IFERROR(ROUNDUP(VLOOKUP($B563,calc_data,L$14+1,0),2),0),0)</f>
        <v/>
      </c>
      <c r="M563" s="141">
        <f>IF(offer_sale_type="транзит",IFERROR(ROUNDUP(VLOOKUP($B563,calc_data,M$14+1,0),2),0),0)</f>
        <v/>
      </c>
      <c r="N563" s="141">
        <f>IF(offer_sale_type="транзит",IFERROR(ROUNDUP(VLOOKUP($B563,calc_data,N$14+1,0),2),0),0)</f>
        <v/>
      </c>
      <c r="O563" s="147">
        <f>IF(offer_sale_type="транзит",IFERROR(ROUND(VLOOKUP($B563,calc_data,O$14+1,1),2),0),0)</f>
        <v/>
      </c>
      <c r="P563" s="141">
        <f>IF(offer_sale_type="транзит",IFERROR(ROUND(SUM(I563:J563,M563:O563)/E563,2),0),0)</f>
        <v/>
      </c>
      <c r="Q563" s="141">
        <f>E563*P563</f>
        <v/>
      </c>
      <c r="R563" s="141">
        <f>ROUND(Q563*IF(AND(offer_incoterms="DDP",seller_region="RU"),IF((TODAY()+offer_turnaround_time)&gt;=helpsheet!$L$17,rate_vatRU_from_26,rate_vatRu_till_25),0),2)</f>
        <v/>
      </c>
      <c r="S563" s="177">
        <f>Q563+IF(AND(offer_incoterms="DDP",seller_region="RU"),R563,0)</f>
        <v/>
      </c>
      <c r="T563" s="45" t="n"/>
      <c r="V563" s="57">
        <f>IF(Q563&gt;0,"показать","скрыть")</f>
        <v/>
      </c>
    </row>
    <row r="564" ht="15.75" customHeight="1">
      <c r="B564" s="809" t="n">
        <v>548</v>
      </c>
      <c r="C564" s="182">
        <f>IF(offer_sale_type="транзит",IFERROR(VLOOKUP($B564,calc_data,C$14+1,0),0),0)</f>
        <v/>
      </c>
      <c r="D564" s="280">
        <f>IF(offer_sale_type="транзит",IFERROR(VLOOKUP($B564,calc_data,D$14+1,0),0),0)</f>
        <v/>
      </c>
      <c r="E564" s="182">
        <f>IF(offer_sale_type="транзит",IFERROR(VLOOKUP($B564,calc_data,E$14+1,0),0),0)</f>
        <v/>
      </c>
      <c r="F564" s="182">
        <f>IF(offer_sale_type="транзит",IFERROR(VLOOKUP($B564,calc_data,F$14+1,0),0),0)</f>
        <v/>
      </c>
      <c r="G564" s="141">
        <f>IF(offer_sale_type="транзит",IFERROR(VLOOKUP($B564,calc_data,G$14+1,0),0),0)</f>
        <v/>
      </c>
      <c r="H564" s="141">
        <f>E564*G564</f>
        <v/>
      </c>
      <c r="I564" s="141">
        <f>IF(offer_sale_type="транзит",IFERROR(ROUND(VLOOKUP($B564,calc_data,I$14+1,0),2),0),0)</f>
        <v/>
      </c>
      <c r="J564" s="141">
        <f>ROUND(IF(offer_sale_type="транзит",IFERROR(VLOOKUP($B564,calc_data,J$14+1,0),0),0),2)</f>
        <v/>
      </c>
      <c r="K564" s="142">
        <f>IF(offer_sale_type="транзит",IFERROR(ROUNDUP(VLOOKUP($B564,calc_data,K$14+1,0),2),0),0)</f>
        <v/>
      </c>
      <c r="L564" s="184">
        <f>IF(offer_sale_type="транзит",IFERROR(ROUNDUP(VLOOKUP($B564,calc_data,L$14+1,0),2),0),0)</f>
        <v/>
      </c>
      <c r="M564" s="141">
        <f>IF(offer_sale_type="транзит",IFERROR(ROUNDUP(VLOOKUP($B564,calc_data,M$14+1,0),2),0),0)</f>
        <v/>
      </c>
      <c r="N564" s="141">
        <f>IF(offer_sale_type="транзит",IFERROR(ROUNDUP(VLOOKUP($B564,calc_data,N$14+1,0),2),0),0)</f>
        <v/>
      </c>
      <c r="O564" s="147">
        <f>IF(offer_sale_type="транзит",IFERROR(ROUND(VLOOKUP($B564,calc_data,O$14+1,1),2),0),0)</f>
        <v/>
      </c>
      <c r="P564" s="141">
        <f>IF(offer_sale_type="транзит",IFERROR(ROUND(SUM(I564:J564,M564:O564)/E564,2),0),0)</f>
        <v/>
      </c>
      <c r="Q564" s="141">
        <f>E564*P564</f>
        <v/>
      </c>
      <c r="R564" s="141">
        <f>ROUND(Q564*IF(AND(offer_incoterms="DDP",seller_region="RU"),IF((TODAY()+offer_turnaround_time)&gt;=helpsheet!$L$17,rate_vatRU_from_26,rate_vatRu_till_25),0),2)</f>
        <v/>
      </c>
      <c r="S564" s="177">
        <f>Q564+IF(AND(offer_incoterms="DDP",seller_region="RU"),R564,0)</f>
        <v/>
      </c>
      <c r="T564" s="45" t="n"/>
      <c r="V564" s="57">
        <f>IF(Q564&gt;0,"показать","скрыть")</f>
        <v/>
      </c>
    </row>
    <row r="565" ht="15.75" customHeight="1">
      <c r="B565" s="809" t="n">
        <v>549</v>
      </c>
      <c r="C565" s="182">
        <f>IF(offer_sale_type="транзит",IFERROR(VLOOKUP($B565,calc_data,C$14+1,0),0),0)</f>
        <v/>
      </c>
      <c r="D565" s="280">
        <f>IF(offer_sale_type="транзит",IFERROR(VLOOKUP($B565,calc_data,D$14+1,0),0),0)</f>
        <v/>
      </c>
      <c r="E565" s="182">
        <f>IF(offer_sale_type="транзит",IFERROR(VLOOKUP($B565,calc_data,E$14+1,0),0),0)</f>
        <v/>
      </c>
      <c r="F565" s="182">
        <f>IF(offer_sale_type="транзит",IFERROR(VLOOKUP($B565,calc_data,F$14+1,0),0),0)</f>
        <v/>
      </c>
      <c r="G565" s="141">
        <f>IF(offer_sale_type="транзит",IFERROR(VLOOKUP($B565,calc_data,G$14+1,0),0),0)</f>
        <v/>
      </c>
      <c r="H565" s="141">
        <f>E565*G565</f>
        <v/>
      </c>
      <c r="I565" s="141">
        <f>IF(offer_sale_type="транзит",IFERROR(ROUND(VLOOKUP($B565,calc_data,I$14+1,0),2),0),0)</f>
        <v/>
      </c>
      <c r="J565" s="141">
        <f>ROUND(IF(offer_sale_type="транзит",IFERROR(VLOOKUP($B565,calc_data,J$14+1,0),0),0),2)</f>
        <v/>
      </c>
      <c r="K565" s="142">
        <f>IF(offer_sale_type="транзит",IFERROR(ROUNDUP(VLOOKUP($B565,calc_data,K$14+1,0),2),0),0)</f>
        <v/>
      </c>
      <c r="L565" s="184">
        <f>IF(offer_sale_type="транзит",IFERROR(ROUNDUP(VLOOKUP($B565,calc_data,L$14+1,0),2),0),0)</f>
        <v/>
      </c>
      <c r="M565" s="141">
        <f>IF(offer_sale_type="транзит",IFERROR(ROUNDUP(VLOOKUP($B565,calc_data,M$14+1,0),2),0),0)</f>
        <v/>
      </c>
      <c r="N565" s="141">
        <f>IF(offer_sale_type="транзит",IFERROR(ROUNDUP(VLOOKUP($B565,calc_data,N$14+1,0),2),0),0)</f>
        <v/>
      </c>
      <c r="O565" s="147">
        <f>IF(offer_sale_type="транзит",IFERROR(ROUND(VLOOKUP($B565,calc_data,O$14+1,1),2),0),0)</f>
        <v/>
      </c>
      <c r="P565" s="141">
        <f>IF(offer_sale_type="транзит",IFERROR(ROUND(SUM(I565:J565,M565:O565)/E565,2),0),0)</f>
        <v/>
      </c>
      <c r="Q565" s="141">
        <f>E565*P565</f>
        <v/>
      </c>
      <c r="R565" s="141">
        <f>ROUND(Q565*IF(AND(offer_incoterms="DDP",seller_region="RU"),IF((TODAY()+offer_turnaround_time)&gt;=helpsheet!$L$17,rate_vatRU_from_26,rate_vatRu_till_25),0),2)</f>
        <v/>
      </c>
      <c r="S565" s="177">
        <f>Q565+IF(AND(offer_incoterms="DDP",seller_region="RU"),R565,0)</f>
        <v/>
      </c>
      <c r="T565" s="45" t="n"/>
      <c r="V565" s="57">
        <f>IF(Q565&gt;0,"показать","скрыть")</f>
        <v/>
      </c>
    </row>
    <row r="566" ht="15.75" customHeight="1">
      <c r="B566" s="809" t="n">
        <v>550</v>
      </c>
      <c r="C566" s="182">
        <f>IF(offer_sale_type="транзит",IFERROR(VLOOKUP($B566,calc_data,C$14+1,0),0),0)</f>
        <v/>
      </c>
      <c r="D566" s="280">
        <f>IF(offer_sale_type="транзит",IFERROR(VLOOKUP($B566,calc_data,D$14+1,0),0),0)</f>
        <v/>
      </c>
      <c r="E566" s="182">
        <f>IF(offer_sale_type="транзит",IFERROR(VLOOKUP($B566,calc_data,E$14+1,0),0),0)</f>
        <v/>
      </c>
      <c r="F566" s="182">
        <f>IF(offer_sale_type="транзит",IFERROR(VLOOKUP($B566,calc_data,F$14+1,0),0),0)</f>
        <v/>
      </c>
      <c r="G566" s="141">
        <f>IF(offer_sale_type="транзит",IFERROR(VLOOKUP($B566,calc_data,G$14+1,0),0),0)</f>
        <v/>
      </c>
      <c r="H566" s="141">
        <f>E566*G566</f>
        <v/>
      </c>
      <c r="I566" s="141">
        <f>IF(offer_sale_type="транзит",IFERROR(ROUND(VLOOKUP($B566,calc_data,I$14+1,0),2),0),0)</f>
        <v/>
      </c>
      <c r="J566" s="141">
        <f>ROUND(IF(offer_sale_type="транзит",IFERROR(VLOOKUP($B566,calc_data,J$14+1,0),0),0),2)</f>
        <v/>
      </c>
      <c r="K566" s="142">
        <f>IF(offer_sale_type="транзит",IFERROR(ROUNDUP(VLOOKUP($B566,calc_data,K$14+1,0),2),0),0)</f>
        <v/>
      </c>
      <c r="L566" s="184">
        <f>IF(offer_sale_type="транзит",IFERROR(ROUNDUP(VLOOKUP($B566,calc_data,L$14+1,0),2),0),0)</f>
        <v/>
      </c>
      <c r="M566" s="141">
        <f>IF(offer_sale_type="транзит",IFERROR(ROUNDUP(VLOOKUP($B566,calc_data,M$14+1,0),2),0),0)</f>
        <v/>
      </c>
      <c r="N566" s="141">
        <f>IF(offer_sale_type="транзит",IFERROR(ROUNDUP(VLOOKUP($B566,calc_data,N$14+1,0),2),0),0)</f>
        <v/>
      </c>
      <c r="O566" s="147">
        <f>IF(offer_sale_type="транзит",IFERROR(ROUND(VLOOKUP($B566,calc_data,O$14+1,1),2),0),0)</f>
        <v/>
      </c>
      <c r="P566" s="141">
        <f>IF(offer_sale_type="транзит",IFERROR(ROUND(SUM(I566:J566,M566:O566)/E566,2),0),0)</f>
        <v/>
      </c>
      <c r="Q566" s="141">
        <f>E566*P566</f>
        <v/>
      </c>
      <c r="R566" s="141">
        <f>ROUND(Q566*IF(AND(offer_incoterms="DDP",seller_region="RU"),IF((TODAY()+offer_turnaround_time)&gt;=helpsheet!$L$17,rate_vatRU_from_26,rate_vatRu_till_25),0),2)</f>
        <v/>
      </c>
      <c r="S566" s="177">
        <f>Q566+IF(AND(offer_incoterms="DDP",seller_region="RU"),R566,0)</f>
        <v/>
      </c>
      <c r="T566" s="45" t="n"/>
      <c r="V566" s="57">
        <f>IF(Q566&gt;0,"показать","скрыть")</f>
        <v/>
      </c>
    </row>
    <row r="567" ht="15.75" customHeight="1">
      <c r="B567" s="809" t="n">
        <v>551</v>
      </c>
      <c r="C567" s="182">
        <f>IF(offer_sale_type="транзит",IFERROR(VLOOKUP($B567,calc_data,C$14+1,0),0),0)</f>
        <v/>
      </c>
      <c r="D567" s="280">
        <f>IF(offer_sale_type="транзит",IFERROR(VLOOKUP($B567,calc_data,D$14+1,0),0),0)</f>
        <v/>
      </c>
      <c r="E567" s="182">
        <f>IF(offer_sale_type="транзит",IFERROR(VLOOKUP($B567,calc_data,E$14+1,0),0),0)</f>
        <v/>
      </c>
      <c r="F567" s="182">
        <f>IF(offer_sale_type="транзит",IFERROR(VLOOKUP($B567,calc_data,F$14+1,0),0),0)</f>
        <v/>
      </c>
      <c r="G567" s="141">
        <f>IF(offer_sale_type="транзит",IFERROR(VLOOKUP($B567,calc_data,G$14+1,0),0),0)</f>
        <v/>
      </c>
      <c r="H567" s="141">
        <f>E567*G567</f>
        <v/>
      </c>
      <c r="I567" s="141">
        <f>IF(offer_sale_type="транзит",IFERROR(ROUND(VLOOKUP($B567,calc_data,I$14+1,0),2),0),0)</f>
        <v/>
      </c>
      <c r="J567" s="141">
        <f>ROUND(IF(offer_sale_type="транзит",IFERROR(VLOOKUP($B567,calc_data,J$14+1,0),0),0),2)</f>
        <v/>
      </c>
      <c r="K567" s="142">
        <f>IF(offer_sale_type="транзит",IFERROR(ROUNDUP(VLOOKUP($B567,calc_data,K$14+1,0),2),0),0)</f>
        <v/>
      </c>
      <c r="L567" s="184">
        <f>IF(offer_sale_type="транзит",IFERROR(ROUNDUP(VLOOKUP($B567,calc_data,L$14+1,0),2),0),0)</f>
        <v/>
      </c>
      <c r="M567" s="141">
        <f>IF(offer_sale_type="транзит",IFERROR(ROUNDUP(VLOOKUP($B567,calc_data,M$14+1,0),2),0),0)</f>
        <v/>
      </c>
      <c r="N567" s="141">
        <f>IF(offer_sale_type="транзит",IFERROR(ROUNDUP(VLOOKUP($B567,calc_data,N$14+1,0),2),0),0)</f>
        <v/>
      </c>
      <c r="O567" s="147">
        <f>IF(offer_sale_type="транзит",IFERROR(ROUND(VLOOKUP($B567,calc_data,O$14+1,1),2),0),0)</f>
        <v/>
      </c>
      <c r="P567" s="141">
        <f>IF(offer_sale_type="транзит",IFERROR(ROUND(SUM(I567:J567,M567:O567)/E567,2),0),0)</f>
        <v/>
      </c>
      <c r="Q567" s="141">
        <f>E567*P567</f>
        <v/>
      </c>
      <c r="R567" s="141">
        <f>ROUND(Q567*IF(AND(offer_incoterms="DDP",seller_region="RU"),IF((TODAY()+offer_turnaround_time)&gt;=helpsheet!$L$17,rate_vatRU_from_26,rate_vatRu_till_25),0),2)</f>
        <v/>
      </c>
      <c r="S567" s="177">
        <f>Q567+IF(AND(offer_incoterms="DDP",seller_region="RU"),R567,0)</f>
        <v/>
      </c>
      <c r="T567" s="45" t="n"/>
      <c r="V567" s="57">
        <f>IF(Q567&gt;0,"показать","скрыть")</f>
        <v/>
      </c>
    </row>
    <row r="568" ht="15.75" customHeight="1">
      <c r="B568" s="809" t="n">
        <v>552</v>
      </c>
      <c r="C568" s="182">
        <f>IF(offer_sale_type="транзит",IFERROR(VLOOKUP($B568,calc_data,C$14+1,0),0),0)</f>
        <v/>
      </c>
      <c r="D568" s="280">
        <f>IF(offer_sale_type="транзит",IFERROR(VLOOKUP($B568,calc_data,D$14+1,0),0),0)</f>
        <v/>
      </c>
      <c r="E568" s="182">
        <f>IF(offer_sale_type="транзит",IFERROR(VLOOKUP($B568,calc_data,E$14+1,0),0),0)</f>
        <v/>
      </c>
      <c r="F568" s="182">
        <f>IF(offer_sale_type="транзит",IFERROR(VLOOKUP($B568,calc_data,F$14+1,0),0),0)</f>
        <v/>
      </c>
      <c r="G568" s="141">
        <f>IF(offer_sale_type="транзит",IFERROR(VLOOKUP($B568,calc_data,G$14+1,0),0),0)</f>
        <v/>
      </c>
      <c r="H568" s="141">
        <f>E568*G568</f>
        <v/>
      </c>
      <c r="I568" s="141">
        <f>IF(offer_sale_type="транзит",IFERROR(ROUND(VLOOKUP($B568,calc_data,I$14+1,0),2),0),0)</f>
        <v/>
      </c>
      <c r="J568" s="141">
        <f>ROUND(IF(offer_sale_type="транзит",IFERROR(VLOOKUP($B568,calc_data,J$14+1,0),0),0),2)</f>
        <v/>
      </c>
      <c r="K568" s="142">
        <f>IF(offer_sale_type="транзит",IFERROR(ROUNDUP(VLOOKUP($B568,calc_data,K$14+1,0),2),0),0)</f>
        <v/>
      </c>
      <c r="L568" s="184">
        <f>IF(offer_sale_type="транзит",IFERROR(ROUNDUP(VLOOKUP($B568,calc_data,L$14+1,0),2),0),0)</f>
        <v/>
      </c>
      <c r="M568" s="141">
        <f>IF(offer_sale_type="транзит",IFERROR(ROUNDUP(VLOOKUP($B568,calc_data,M$14+1,0),2),0),0)</f>
        <v/>
      </c>
      <c r="N568" s="141">
        <f>IF(offer_sale_type="транзит",IFERROR(ROUNDUP(VLOOKUP($B568,calc_data,N$14+1,0),2),0),0)</f>
        <v/>
      </c>
      <c r="O568" s="147">
        <f>IF(offer_sale_type="транзит",IFERROR(ROUND(VLOOKUP($B568,calc_data,O$14+1,1),2),0),0)</f>
        <v/>
      </c>
      <c r="P568" s="141">
        <f>IF(offer_sale_type="транзит",IFERROR(ROUND(SUM(I568:J568,M568:O568)/E568,2),0),0)</f>
        <v/>
      </c>
      <c r="Q568" s="141">
        <f>E568*P568</f>
        <v/>
      </c>
      <c r="R568" s="141">
        <f>ROUND(Q568*IF(AND(offer_incoterms="DDP",seller_region="RU"),IF((TODAY()+offer_turnaround_time)&gt;=helpsheet!$L$17,rate_vatRU_from_26,rate_vatRu_till_25),0),2)</f>
        <v/>
      </c>
      <c r="S568" s="177">
        <f>Q568+IF(AND(offer_incoterms="DDP",seller_region="RU"),R568,0)</f>
        <v/>
      </c>
      <c r="T568" s="45" t="n"/>
      <c r="V568" s="57">
        <f>IF(Q568&gt;0,"показать","скрыть")</f>
        <v/>
      </c>
    </row>
    <row r="569" ht="15.75" customHeight="1">
      <c r="B569" s="809" t="n">
        <v>553</v>
      </c>
      <c r="C569" s="182">
        <f>IF(offer_sale_type="транзит",IFERROR(VLOOKUP($B569,calc_data,C$14+1,0),0),0)</f>
        <v/>
      </c>
      <c r="D569" s="280">
        <f>IF(offer_sale_type="транзит",IFERROR(VLOOKUP($B569,calc_data,D$14+1,0),0),0)</f>
        <v/>
      </c>
      <c r="E569" s="182">
        <f>IF(offer_sale_type="транзит",IFERROR(VLOOKUP($B569,calc_data,E$14+1,0),0),0)</f>
        <v/>
      </c>
      <c r="F569" s="182">
        <f>IF(offer_sale_type="транзит",IFERROR(VLOOKUP($B569,calc_data,F$14+1,0),0),0)</f>
        <v/>
      </c>
      <c r="G569" s="141">
        <f>IF(offer_sale_type="транзит",IFERROR(VLOOKUP($B569,calc_data,G$14+1,0),0),0)</f>
        <v/>
      </c>
      <c r="H569" s="141">
        <f>E569*G569</f>
        <v/>
      </c>
      <c r="I569" s="141">
        <f>IF(offer_sale_type="транзит",IFERROR(ROUND(VLOOKUP($B569,calc_data,I$14+1,0),2),0),0)</f>
        <v/>
      </c>
      <c r="J569" s="141">
        <f>ROUND(IF(offer_sale_type="транзит",IFERROR(VLOOKUP($B569,calc_data,J$14+1,0),0),0),2)</f>
        <v/>
      </c>
      <c r="K569" s="142">
        <f>IF(offer_sale_type="транзит",IFERROR(ROUNDUP(VLOOKUP($B569,calc_data,K$14+1,0),2),0),0)</f>
        <v/>
      </c>
      <c r="L569" s="184">
        <f>IF(offer_sale_type="транзит",IFERROR(ROUNDUP(VLOOKUP($B569,calc_data,L$14+1,0),2),0),0)</f>
        <v/>
      </c>
      <c r="M569" s="141">
        <f>IF(offer_sale_type="транзит",IFERROR(ROUNDUP(VLOOKUP($B569,calc_data,M$14+1,0),2),0),0)</f>
        <v/>
      </c>
      <c r="N569" s="141">
        <f>IF(offer_sale_type="транзит",IFERROR(ROUNDUP(VLOOKUP($B569,calc_data,N$14+1,0),2),0),0)</f>
        <v/>
      </c>
      <c r="O569" s="147">
        <f>IF(offer_sale_type="транзит",IFERROR(ROUND(VLOOKUP($B569,calc_data,O$14+1,1),2),0),0)</f>
        <v/>
      </c>
      <c r="P569" s="141">
        <f>IF(offer_sale_type="транзит",IFERROR(ROUND(SUM(I569:J569,M569:O569)/E569,2),0),0)</f>
        <v/>
      </c>
      <c r="Q569" s="141">
        <f>E569*P569</f>
        <v/>
      </c>
      <c r="R569" s="141">
        <f>ROUND(Q569*IF(AND(offer_incoterms="DDP",seller_region="RU"),IF((TODAY()+offer_turnaround_time)&gt;=helpsheet!$L$17,rate_vatRU_from_26,rate_vatRu_till_25),0),2)</f>
        <v/>
      </c>
      <c r="S569" s="177">
        <f>Q569+IF(AND(offer_incoterms="DDP",seller_region="RU"),R569,0)</f>
        <v/>
      </c>
      <c r="T569" s="45" t="n"/>
      <c r="V569" s="57">
        <f>IF(Q569&gt;0,"показать","скрыть")</f>
        <v/>
      </c>
    </row>
    <row r="570" ht="15.75" customHeight="1">
      <c r="B570" s="809" t="n">
        <v>554</v>
      </c>
      <c r="C570" s="182">
        <f>IF(offer_sale_type="транзит",IFERROR(VLOOKUP($B570,calc_data,C$14+1,0),0),0)</f>
        <v/>
      </c>
      <c r="D570" s="280">
        <f>IF(offer_sale_type="транзит",IFERROR(VLOOKUP($B570,calc_data,D$14+1,0),0),0)</f>
        <v/>
      </c>
      <c r="E570" s="182">
        <f>IF(offer_sale_type="транзит",IFERROR(VLOOKUP($B570,calc_data,E$14+1,0),0),0)</f>
        <v/>
      </c>
      <c r="F570" s="182">
        <f>IF(offer_sale_type="транзит",IFERROR(VLOOKUP($B570,calc_data,F$14+1,0),0),0)</f>
        <v/>
      </c>
      <c r="G570" s="141">
        <f>IF(offer_sale_type="транзит",IFERROR(VLOOKUP($B570,calc_data,G$14+1,0),0),0)</f>
        <v/>
      </c>
      <c r="H570" s="141">
        <f>E570*G570</f>
        <v/>
      </c>
      <c r="I570" s="141">
        <f>IF(offer_sale_type="транзит",IFERROR(ROUND(VLOOKUP($B570,calc_data,I$14+1,0),2),0),0)</f>
        <v/>
      </c>
      <c r="J570" s="141">
        <f>ROUND(IF(offer_sale_type="транзит",IFERROR(VLOOKUP($B570,calc_data,J$14+1,0),0),0),2)</f>
        <v/>
      </c>
      <c r="K570" s="142">
        <f>IF(offer_sale_type="транзит",IFERROR(ROUNDUP(VLOOKUP($B570,calc_data,K$14+1,0),2),0),0)</f>
        <v/>
      </c>
      <c r="L570" s="184">
        <f>IF(offer_sale_type="транзит",IFERROR(ROUNDUP(VLOOKUP($B570,calc_data,L$14+1,0),2),0),0)</f>
        <v/>
      </c>
      <c r="M570" s="141">
        <f>IF(offer_sale_type="транзит",IFERROR(ROUNDUP(VLOOKUP($B570,calc_data,M$14+1,0),2),0),0)</f>
        <v/>
      </c>
      <c r="N570" s="141">
        <f>IF(offer_sale_type="транзит",IFERROR(ROUNDUP(VLOOKUP($B570,calc_data,N$14+1,0),2),0),0)</f>
        <v/>
      </c>
      <c r="O570" s="147">
        <f>IF(offer_sale_type="транзит",IFERROR(ROUND(VLOOKUP($B570,calc_data,O$14+1,1),2),0),0)</f>
        <v/>
      </c>
      <c r="P570" s="141">
        <f>IF(offer_sale_type="транзит",IFERROR(ROUND(SUM(I570:J570,M570:O570)/E570,2),0),0)</f>
        <v/>
      </c>
      <c r="Q570" s="141">
        <f>E570*P570</f>
        <v/>
      </c>
      <c r="R570" s="141">
        <f>ROUND(Q570*IF(AND(offer_incoterms="DDP",seller_region="RU"),IF((TODAY()+offer_turnaround_time)&gt;=helpsheet!$L$17,rate_vatRU_from_26,rate_vatRu_till_25),0),2)</f>
        <v/>
      </c>
      <c r="S570" s="177">
        <f>Q570+IF(AND(offer_incoterms="DDP",seller_region="RU"),R570,0)</f>
        <v/>
      </c>
      <c r="T570" s="45" t="n"/>
      <c r="V570" s="57">
        <f>IF(Q570&gt;0,"показать","скрыть")</f>
        <v/>
      </c>
    </row>
    <row r="571" ht="15.75" customHeight="1">
      <c r="B571" s="809" t="n">
        <v>555</v>
      </c>
      <c r="C571" s="182">
        <f>IF(offer_sale_type="транзит",IFERROR(VLOOKUP($B571,calc_data,C$14+1,0),0),0)</f>
        <v/>
      </c>
      <c r="D571" s="280">
        <f>IF(offer_sale_type="транзит",IFERROR(VLOOKUP($B571,calc_data,D$14+1,0),0),0)</f>
        <v/>
      </c>
      <c r="E571" s="182">
        <f>IF(offer_sale_type="транзит",IFERROR(VLOOKUP($B571,calc_data,E$14+1,0),0),0)</f>
        <v/>
      </c>
      <c r="F571" s="182">
        <f>IF(offer_sale_type="транзит",IFERROR(VLOOKUP($B571,calc_data,F$14+1,0),0),0)</f>
        <v/>
      </c>
      <c r="G571" s="141">
        <f>IF(offer_sale_type="транзит",IFERROR(VLOOKUP($B571,calc_data,G$14+1,0),0),0)</f>
        <v/>
      </c>
      <c r="H571" s="141">
        <f>E571*G571</f>
        <v/>
      </c>
      <c r="I571" s="141">
        <f>IF(offer_sale_type="транзит",IFERROR(ROUND(VLOOKUP($B571,calc_data,I$14+1,0),2),0),0)</f>
        <v/>
      </c>
      <c r="J571" s="141">
        <f>ROUND(IF(offer_sale_type="транзит",IFERROR(VLOOKUP($B571,calc_data,J$14+1,0),0),0),2)</f>
        <v/>
      </c>
      <c r="K571" s="142">
        <f>IF(offer_sale_type="транзит",IFERROR(ROUNDUP(VLOOKUP($B571,calc_data,K$14+1,0),2),0),0)</f>
        <v/>
      </c>
      <c r="L571" s="184">
        <f>IF(offer_sale_type="транзит",IFERROR(ROUNDUP(VLOOKUP($B571,calc_data,L$14+1,0),2),0),0)</f>
        <v/>
      </c>
      <c r="M571" s="141">
        <f>IF(offer_sale_type="транзит",IFERROR(ROUNDUP(VLOOKUP($B571,calc_data,M$14+1,0),2),0),0)</f>
        <v/>
      </c>
      <c r="N571" s="141">
        <f>IF(offer_sale_type="транзит",IFERROR(ROUNDUP(VLOOKUP($B571,calc_data,N$14+1,0),2),0),0)</f>
        <v/>
      </c>
      <c r="O571" s="147">
        <f>IF(offer_sale_type="транзит",IFERROR(ROUND(VLOOKUP($B571,calc_data,O$14+1,1),2),0),0)</f>
        <v/>
      </c>
      <c r="P571" s="141">
        <f>IF(offer_sale_type="транзит",IFERROR(ROUND(SUM(I571:J571,M571:O571)/E571,2),0),0)</f>
        <v/>
      </c>
      <c r="Q571" s="141">
        <f>E571*P571</f>
        <v/>
      </c>
      <c r="R571" s="141">
        <f>ROUND(Q571*IF(AND(offer_incoterms="DDP",seller_region="RU"),IF((TODAY()+offer_turnaround_time)&gt;=helpsheet!$L$17,rate_vatRU_from_26,rate_vatRu_till_25),0),2)</f>
        <v/>
      </c>
      <c r="S571" s="177">
        <f>Q571+IF(AND(offer_incoterms="DDP",seller_region="RU"),R571,0)</f>
        <v/>
      </c>
      <c r="T571" s="45" t="n"/>
      <c r="V571" s="57">
        <f>IF(Q571&gt;0,"показать","скрыть")</f>
        <v/>
      </c>
    </row>
    <row r="572" ht="15.75" customHeight="1">
      <c r="B572" s="809" t="n">
        <v>556</v>
      </c>
      <c r="C572" s="182">
        <f>IF(offer_sale_type="транзит",IFERROR(VLOOKUP($B572,calc_data,C$14+1,0),0),0)</f>
        <v/>
      </c>
      <c r="D572" s="280">
        <f>IF(offer_sale_type="транзит",IFERROR(VLOOKUP($B572,calc_data,D$14+1,0),0),0)</f>
        <v/>
      </c>
      <c r="E572" s="182">
        <f>IF(offer_sale_type="транзит",IFERROR(VLOOKUP($B572,calc_data,E$14+1,0),0),0)</f>
        <v/>
      </c>
      <c r="F572" s="182">
        <f>IF(offer_sale_type="транзит",IFERROR(VLOOKUP($B572,calc_data,F$14+1,0),0),0)</f>
        <v/>
      </c>
      <c r="G572" s="141">
        <f>IF(offer_sale_type="транзит",IFERROR(VLOOKUP($B572,calc_data,G$14+1,0),0),0)</f>
        <v/>
      </c>
      <c r="H572" s="141">
        <f>E572*G572</f>
        <v/>
      </c>
      <c r="I572" s="141">
        <f>IF(offer_sale_type="транзит",IFERROR(ROUND(VLOOKUP($B572,calc_data,I$14+1,0),2),0),0)</f>
        <v/>
      </c>
      <c r="J572" s="141">
        <f>ROUND(IF(offer_sale_type="транзит",IFERROR(VLOOKUP($B572,calc_data,J$14+1,0),0),0),2)</f>
        <v/>
      </c>
      <c r="K572" s="142">
        <f>IF(offer_sale_type="транзит",IFERROR(ROUNDUP(VLOOKUP($B572,calc_data,K$14+1,0),2),0),0)</f>
        <v/>
      </c>
      <c r="L572" s="184">
        <f>IF(offer_sale_type="транзит",IFERROR(ROUNDUP(VLOOKUP($B572,calc_data,L$14+1,0),2),0),0)</f>
        <v/>
      </c>
      <c r="M572" s="141">
        <f>IF(offer_sale_type="транзит",IFERROR(ROUNDUP(VLOOKUP($B572,calc_data,M$14+1,0),2),0),0)</f>
        <v/>
      </c>
      <c r="N572" s="141">
        <f>IF(offer_sale_type="транзит",IFERROR(ROUNDUP(VLOOKUP($B572,calc_data,N$14+1,0),2),0),0)</f>
        <v/>
      </c>
      <c r="O572" s="147">
        <f>IF(offer_sale_type="транзит",IFERROR(ROUND(VLOOKUP($B572,calc_data,O$14+1,1),2),0),0)</f>
        <v/>
      </c>
      <c r="P572" s="141">
        <f>IF(offer_sale_type="транзит",IFERROR(ROUND(SUM(I572:J572,M572:O572)/E572,2),0),0)</f>
        <v/>
      </c>
      <c r="Q572" s="141">
        <f>E572*P572</f>
        <v/>
      </c>
      <c r="R572" s="141">
        <f>ROUND(Q572*IF(AND(offer_incoterms="DDP",seller_region="RU"),IF((TODAY()+offer_turnaround_time)&gt;=helpsheet!$L$17,rate_vatRU_from_26,rate_vatRu_till_25),0),2)</f>
        <v/>
      </c>
      <c r="S572" s="177">
        <f>Q572+IF(AND(offer_incoterms="DDP",seller_region="RU"),R572,0)</f>
        <v/>
      </c>
      <c r="T572" s="45" t="n"/>
      <c r="V572" s="57">
        <f>IF(Q572&gt;0,"показать","скрыть")</f>
        <v/>
      </c>
    </row>
    <row r="573" ht="15.75" customHeight="1">
      <c r="B573" s="809" t="n">
        <v>557</v>
      </c>
      <c r="C573" s="182">
        <f>IF(offer_sale_type="транзит",IFERROR(VLOOKUP($B573,calc_data,C$14+1,0),0),0)</f>
        <v/>
      </c>
      <c r="D573" s="280">
        <f>IF(offer_sale_type="транзит",IFERROR(VLOOKUP($B573,calc_data,D$14+1,0),0),0)</f>
        <v/>
      </c>
      <c r="E573" s="182">
        <f>IF(offer_sale_type="транзит",IFERROR(VLOOKUP($B573,calc_data,E$14+1,0),0),0)</f>
        <v/>
      </c>
      <c r="F573" s="182">
        <f>IF(offer_sale_type="транзит",IFERROR(VLOOKUP($B573,calc_data,F$14+1,0),0),0)</f>
        <v/>
      </c>
      <c r="G573" s="141">
        <f>IF(offer_sale_type="транзит",IFERROR(VLOOKUP($B573,calc_data,G$14+1,0),0),0)</f>
        <v/>
      </c>
      <c r="H573" s="141">
        <f>E573*G573</f>
        <v/>
      </c>
      <c r="I573" s="141">
        <f>IF(offer_sale_type="транзит",IFERROR(ROUND(VLOOKUP($B573,calc_data,I$14+1,0),2),0),0)</f>
        <v/>
      </c>
      <c r="J573" s="141">
        <f>ROUND(IF(offer_sale_type="транзит",IFERROR(VLOOKUP($B573,calc_data,J$14+1,0),0),0),2)</f>
        <v/>
      </c>
      <c r="K573" s="142">
        <f>IF(offer_sale_type="транзит",IFERROR(ROUNDUP(VLOOKUP($B573,calc_data,K$14+1,0),2),0),0)</f>
        <v/>
      </c>
      <c r="L573" s="184">
        <f>IF(offer_sale_type="транзит",IFERROR(ROUNDUP(VLOOKUP($B573,calc_data,L$14+1,0),2),0),0)</f>
        <v/>
      </c>
      <c r="M573" s="141">
        <f>IF(offer_sale_type="транзит",IFERROR(ROUNDUP(VLOOKUP($B573,calc_data,M$14+1,0),2),0),0)</f>
        <v/>
      </c>
      <c r="N573" s="141">
        <f>IF(offer_sale_type="транзит",IFERROR(ROUNDUP(VLOOKUP($B573,calc_data,N$14+1,0),2),0),0)</f>
        <v/>
      </c>
      <c r="O573" s="147">
        <f>IF(offer_sale_type="транзит",IFERROR(ROUND(VLOOKUP($B573,calc_data,O$14+1,1),2),0),0)</f>
        <v/>
      </c>
      <c r="P573" s="141">
        <f>IF(offer_sale_type="транзит",IFERROR(ROUND(SUM(I573:J573,M573:O573)/E573,2),0),0)</f>
        <v/>
      </c>
      <c r="Q573" s="141">
        <f>E573*P573</f>
        <v/>
      </c>
      <c r="R573" s="141">
        <f>ROUND(Q573*IF(AND(offer_incoterms="DDP",seller_region="RU"),IF((TODAY()+offer_turnaround_time)&gt;=helpsheet!$L$17,rate_vatRU_from_26,rate_vatRu_till_25),0),2)</f>
        <v/>
      </c>
      <c r="S573" s="177">
        <f>Q573+IF(AND(offer_incoterms="DDP",seller_region="RU"),R573,0)</f>
        <v/>
      </c>
      <c r="T573" s="45" t="n"/>
      <c r="V573" s="57">
        <f>IF(Q573&gt;0,"показать","скрыть")</f>
        <v/>
      </c>
    </row>
    <row r="574" ht="15.75" customHeight="1">
      <c r="B574" s="809" t="n">
        <v>558</v>
      </c>
      <c r="C574" s="182">
        <f>IF(offer_sale_type="транзит",IFERROR(VLOOKUP($B574,calc_data,C$14+1,0),0),0)</f>
        <v/>
      </c>
      <c r="D574" s="280">
        <f>IF(offer_sale_type="транзит",IFERROR(VLOOKUP($B574,calc_data,D$14+1,0),0),0)</f>
        <v/>
      </c>
      <c r="E574" s="182">
        <f>IF(offer_sale_type="транзит",IFERROR(VLOOKUP($B574,calc_data,E$14+1,0),0),0)</f>
        <v/>
      </c>
      <c r="F574" s="182">
        <f>IF(offer_sale_type="транзит",IFERROR(VLOOKUP($B574,calc_data,F$14+1,0),0),0)</f>
        <v/>
      </c>
      <c r="G574" s="141">
        <f>IF(offer_sale_type="транзит",IFERROR(VLOOKUP($B574,calc_data,G$14+1,0),0),0)</f>
        <v/>
      </c>
      <c r="H574" s="141">
        <f>E574*G574</f>
        <v/>
      </c>
      <c r="I574" s="141">
        <f>IF(offer_sale_type="транзит",IFERROR(ROUND(VLOOKUP($B574,calc_data,I$14+1,0),2),0),0)</f>
        <v/>
      </c>
      <c r="J574" s="141">
        <f>ROUND(IF(offer_sale_type="транзит",IFERROR(VLOOKUP($B574,calc_data,J$14+1,0),0),0),2)</f>
        <v/>
      </c>
      <c r="K574" s="142">
        <f>IF(offer_sale_type="транзит",IFERROR(ROUNDUP(VLOOKUP($B574,calc_data,K$14+1,0),2),0),0)</f>
        <v/>
      </c>
      <c r="L574" s="184">
        <f>IF(offer_sale_type="транзит",IFERROR(ROUNDUP(VLOOKUP($B574,calc_data,L$14+1,0),2),0),0)</f>
        <v/>
      </c>
      <c r="M574" s="141">
        <f>IF(offer_sale_type="транзит",IFERROR(ROUNDUP(VLOOKUP($B574,calc_data,M$14+1,0),2),0),0)</f>
        <v/>
      </c>
      <c r="N574" s="141">
        <f>IF(offer_sale_type="транзит",IFERROR(ROUNDUP(VLOOKUP($B574,calc_data,N$14+1,0),2),0),0)</f>
        <v/>
      </c>
      <c r="O574" s="147">
        <f>IF(offer_sale_type="транзит",IFERROR(ROUND(VLOOKUP($B574,calc_data,O$14+1,1),2),0),0)</f>
        <v/>
      </c>
      <c r="P574" s="141">
        <f>IF(offer_sale_type="транзит",IFERROR(ROUND(SUM(I574:J574,M574:O574)/E574,2),0),0)</f>
        <v/>
      </c>
      <c r="Q574" s="141">
        <f>E574*P574</f>
        <v/>
      </c>
      <c r="R574" s="141">
        <f>ROUND(Q574*IF(AND(offer_incoterms="DDP",seller_region="RU"),IF((TODAY()+offer_turnaround_time)&gt;=helpsheet!$L$17,rate_vatRU_from_26,rate_vatRu_till_25),0),2)</f>
        <v/>
      </c>
      <c r="S574" s="177">
        <f>Q574+IF(AND(offer_incoterms="DDP",seller_region="RU"),R574,0)</f>
        <v/>
      </c>
      <c r="T574" s="45" t="n"/>
      <c r="V574" s="57">
        <f>IF(Q574&gt;0,"показать","скрыть")</f>
        <v/>
      </c>
    </row>
    <row r="575" ht="15.75" customHeight="1">
      <c r="B575" s="809" t="n">
        <v>559</v>
      </c>
      <c r="C575" s="182">
        <f>IF(offer_sale_type="транзит",IFERROR(VLOOKUP($B575,calc_data,C$14+1,0),0),0)</f>
        <v/>
      </c>
      <c r="D575" s="280">
        <f>IF(offer_sale_type="транзит",IFERROR(VLOOKUP($B575,calc_data,D$14+1,0),0),0)</f>
        <v/>
      </c>
      <c r="E575" s="182">
        <f>IF(offer_sale_type="транзит",IFERROR(VLOOKUP($B575,calc_data,E$14+1,0),0),0)</f>
        <v/>
      </c>
      <c r="F575" s="182">
        <f>IF(offer_sale_type="транзит",IFERROR(VLOOKUP($B575,calc_data,F$14+1,0),0),0)</f>
        <v/>
      </c>
      <c r="G575" s="141">
        <f>IF(offer_sale_type="транзит",IFERROR(VLOOKUP($B575,calc_data,G$14+1,0),0),0)</f>
        <v/>
      </c>
      <c r="H575" s="141">
        <f>E575*G575</f>
        <v/>
      </c>
      <c r="I575" s="141">
        <f>IF(offer_sale_type="транзит",IFERROR(ROUND(VLOOKUP($B575,calc_data,I$14+1,0),2),0),0)</f>
        <v/>
      </c>
      <c r="J575" s="141">
        <f>ROUND(IF(offer_sale_type="транзит",IFERROR(VLOOKUP($B575,calc_data,J$14+1,0),0),0),2)</f>
        <v/>
      </c>
      <c r="K575" s="142">
        <f>IF(offer_sale_type="транзит",IFERROR(ROUNDUP(VLOOKUP($B575,calc_data,K$14+1,0),2),0),0)</f>
        <v/>
      </c>
      <c r="L575" s="184">
        <f>IF(offer_sale_type="транзит",IFERROR(ROUNDUP(VLOOKUP($B575,calc_data,L$14+1,0),2),0),0)</f>
        <v/>
      </c>
      <c r="M575" s="141">
        <f>IF(offer_sale_type="транзит",IFERROR(ROUNDUP(VLOOKUP($B575,calc_data,M$14+1,0),2),0),0)</f>
        <v/>
      </c>
      <c r="N575" s="141">
        <f>IF(offer_sale_type="транзит",IFERROR(ROUNDUP(VLOOKUP($B575,calc_data,N$14+1,0),2),0),0)</f>
        <v/>
      </c>
      <c r="O575" s="147">
        <f>IF(offer_sale_type="транзит",IFERROR(ROUND(VLOOKUP($B575,calc_data,O$14+1,1),2),0),0)</f>
        <v/>
      </c>
      <c r="P575" s="141">
        <f>IF(offer_sale_type="транзит",IFERROR(ROUND(SUM(I575:J575,M575:O575)/E575,2),0),0)</f>
        <v/>
      </c>
      <c r="Q575" s="141">
        <f>E575*P575</f>
        <v/>
      </c>
      <c r="R575" s="141">
        <f>ROUND(Q575*IF(AND(offer_incoterms="DDP",seller_region="RU"),IF((TODAY()+offer_turnaround_time)&gt;=helpsheet!$L$17,rate_vatRU_from_26,rate_vatRu_till_25),0),2)</f>
        <v/>
      </c>
      <c r="S575" s="177">
        <f>Q575+IF(AND(offer_incoterms="DDP",seller_region="RU"),R575,0)</f>
        <v/>
      </c>
      <c r="T575" s="45" t="n"/>
      <c r="V575" s="57">
        <f>IF(Q575&gt;0,"показать","скрыть")</f>
        <v/>
      </c>
    </row>
    <row r="576" ht="15.75" customHeight="1">
      <c r="B576" s="809" t="n">
        <v>560</v>
      </c>
      <c r="C576" s="182">
        <f>IF(offer_sale_type="транзит",IFERROR(VLOOKUP($B576,calc_data,C$14+1,0),0),0)</f>
        <v/>
      </c>
      <c r="D576" s="280">
        <f>IF(offer_sale_type="транзит",IFERROR(VLOOKUP($B576,calc_data,D$14+1,0),0),0)</f>
        <v/>
      </c>
      <c r="E576" s="182">
        <f>IF(offer_sale_type="транзит",IFERROR(VLOOKUP($B576,calc_data,E$14+1,0),0),0)</f>
        <v/>
      </c>
      <c r="F576" s="182">
        <f>IF(offer_sale_type="транзит",IFERROR(VLOOKUP($B576,calc_data,F$14+1,0),0),0)</f>
        <v/>
      </c>
      <c r="G576" s="141">
        <f>IF(offer_sale_type="транзит",IFERROR(VLOOKUP($B576,calc_data,G$14+1,0),0),0)</f>
        <v/>
      </c>
      <c r="H576" s="141">
        <f>E576*G576</f>
        <v/>
      </c>
      <c r="I576" s="141">
        <f>IF(offer_sale_type="транзит",IFERROR(ROUND(VLOOKUP($B576,calc_data,I$14+1,0),2),0),0)</f>
        <v/>
      </c>
      <c r="J576" s="141">
        <f>ROUND(IF(offer_sale_type="транзит",IFERROR(VLOOKUP($B576,calc_data,J$14+1,0),0),0),2)</f>
        <v/>
      </c>
      <c r="K576" s="142">
        <f>IF(offer_sale_type="транзит",IFERROR(ROUNDUP(VLOOKUP($B576,calc_data,K$14+1,0),2),0),0)</f>
        <v/>
      </c>
      <c r="L576" s="184">
        <f>IF(offer_sale_type="транзит",IFERROR(ROUNDUP(VLOOKUP($B576,calc_data,L$14+1,0),2),0),0)</f>
        <v/>
      </c>
      <c r="M576" s="141">
        <f>IF(offer_sale_type="транзит",IFERROR(ROUNDUP(VLOOKUP($B576,calc_data,M$14+1,0),2),0),0)</f>
        <v/>
      </c>
      <c r="N576" s="141">
        <f>IF(offer_sale_type="транзит",IFERROR(ROUNDUP(VLOOKUP($B576,calc_data,N$14+1,0),2),0),0)</f>
        <v/>
      </c>
      <c r="O576" s="147">
        <f>IF(offer_sale_type="транзит",IFERROR(ROUND(VLOOKUP($B576,calc_data,O$14+1,1),2),0),0)</f>
        <v/>
      </c>
      <c r="P576" s="141">
        <f>IF(offer_sale_type="транзит",IFERROR(ROUND(SUM(I576:J576,M576:O576)/E576,2),0),0)</f>
        <v/>
      </c>
      <c r="Q576" s="141">
        <f>E576*P576</f>
        <v/>
      </c>
      <c r="R576" s="141">
        <f>ROUND(Q576*IF(AND(offer_incoterms="DDP",seller_region="RU"),IF((TODAY()+offer_turnaround_time)&gt;=helpsheet!$L$17,rate_vatRU_from_26,rate_vatRu_till_25),0),2)</f>
        <v/>
      </c>
      <c r="S576" s="177">
        <f>Q576+IF(AND(offer_incoterms="DDP",seller_region="RU"),R576,0)</f>
        <v/>
      </c>
      <c r="T576" s="45" t="n"/>
      <c r="V576" s="57">
        <f>IF(Q576&gt;0,"показать","скрыть")</f>
        <v/>
      </c>
    </row>
    <row r="577" ht="15.75" customHeight="1">
      <c r="B577" s="809" t="n">
        <v>561</v>
      </c>
      <c r="C577" s="182">
        <f>IF(offer_sale_type="транзит",IFERROR(VLOOKUP($B577,calc_data,C$14+1,0),0),0)</f>
        <v/>
      </c>
      <c r="D577" s="280">
        <f>IF(offer_sale_type="транзит",IFERROR(VLOOKUP($B577,calc_data,D$14+1,0),0),0)</f>
        <v/>
      </c>
      <c r="E577" s="182">
        <f>IF(offer_sale_type="транзит",IFERROR(VLOOKUP($B577,calc_data,E$14+1,0),0),0)</f>
        <v/>
      </c>
      <c r="F577" s="182">
        <f>IF(offer_sale_type="транзит",IFERROR(VLOOKUP($B577,calc_data,F$14+1,0),0),0)</f>
        <v/>
      </c>
      <c r="G577" s="141">
        <f>IF(offer_sale_type="транзит",IFERROR(VLOOKUP($B577,calc_data,G$14+1,0),0),0)</f>
        <v/>
      </c>
      <c r="H577" s="141">
        <f>E577*G577</f>
        <v/>
      </c>
      <c r="I577" s="141">
        <f>IF(offer_sale_type="транзит",IFERROR(ROUND(VLOOKUP($B577,calc_data,I$14+1,0),2),0),0)</f>
        <v/>
      </c>
      <c r="J577" s="141">
        <f>ROUND(IF(offer_sale_type="транзит",IFERROR(VLOOKUP($B577,calc_data,J$14+1,0),0),0),2)</f>
        <v/>
      </c>
      <c r="K577" s="142">
        <f>IF(offer_sale_type="транзит",IFERROR(ROUNDUP(VLOOKUP($B577,calc_data,K$14+1,0),2),0),0)</f>
        <v/>
      </c>
      <c r="L577" s="184">
        <f>IF(offer_sale_type="транзит",IFERROR(ROUNDUP(VLOOKUP($B577,calc_data,L$14+1,0),2),0),0)</f>
        <v/>
      </c>
      <c r="M577" s="141">
        <f>IF(offer_sale_type="транзит",IFERROR(ROUNDUP(VLOOKUP($B577,calc_data,M$14+1,0),2),0),0)</f>
        <v/>
      </c>
      <c r="N577" s="141">
        <f>IF(offer_sale_type="транзит",IFERROR(ROUNDUP(VLOOKUP($B577,calc_data,N$14+1,0),2),0),0)</f>
        <v/>
      </c>
      <c r="O577" s="147">
        <f>IF(offer_sale_type="транзит",IFERROR(ROUND(VLOOKUP($B577,calc_data,O$14+1,1),2),0),0)</f>
        <v/>
      </c>
      <c r="P577" s="141">
        <f>IF(offer_sale_type="транзит",IFERROR(ROUND(SUM(I577:J577,M577:O577)/E577,2),0),0)</f>
        <v/>
      </c>
      <c r="Q577" s="141">
        <f>E577*P577</f>
        <v/>
      </c>
      <c r="R577" s="141">
        <f>ROUND(Q577*IF(AND(offer_incoterms="DDP",seller_region="RU"),IF((TODAY()+offer_turnaround_time)&gt;=helpsheet!$L$17,rate_vatRU_from_26,rate_vatRu_till_25),0),2)</f>
        <v/>
      </c>
      <c r="S577" s="177">
        <f>Q577+IF(AND(offer_incoterms="DDP",seller_region="RU"),R577,0)</f>
        <v/>
      </c>
      <c r="T577" s="45" t="n"/>
      <c r="V577" s="57">
        <f>IF(Q577&gt;0,"показать","скрыть")</f>
        <v/>
      </c>
    </row>
    <row r="578" ht="15.75" customHeight="1">
      <c r="B578" s="809" t="n">
        <v>562</v>
      </c>
      <c r="C578" s="182">
        <f>IF(offer_sale_type="транзит",IFERROR(VLOOKUP($B578,calc_data,C$14+1,0),0),0)</f>
        <v/>
      </c>
      <c r="D578" s="280">
        <f>IF(offer_sale_type="транзит",IFERROR(VLOOKUP($B578,calc_data,D$14+1,0),0),0)</f>
        <v/>
      </c>
      <c r="E578" s="182">
        <f>IF(offer_sale_type="транзит",IFERROR(VLOOKUP($B578,calc_data,E$14+1,0),0),0)</f>
        <v/>
      </c>
      <c r="F578" s="182">
        <f>IF(offer_sale_type="транзит",IFERROR(VLOOKUP($B578,calc_data,F$14+1,0),0),0)</f>
        <v/>
      </c>
      <c r="G578" s="141">
        <f>IF(offer_sale_type="транзит",IFERROR(VLOOKUP($B578,calc_data,G$14+1,0),0),0)</f>
        <v/>
      </c>
      <c r="H578" s="141">
        <f>E578*G578</f>
        <v/>
      </c>
      <c r="I578" s="141">
        <f>IF(offer_sale_type="транзит",IFERROR(ROUND(VLOOKUP($B578,calc_data,I$14+1,0),2),0),0)</f>
        <v/>
      </c>
      <c r="J578" s="141">
        <f>ROUND(IF(offer_sale_type="транзит",IFERROR(VLOOKUP($B578,calc_data,J$14+1,0),0),0),2)</f>
        <v/>
      </c>
      <c r="K578" s="142">
        <f>IF(offer_sale_type="транзит",IFERROR(ROUNDUP(VLOOKUP($B578,calc_data,K$14+1,0),2),0),0)</f>
        <v/>
      </c>
      <c r="L578" s="184">
        <f>IF(offer_sale_type="транзит",IFERROR(ROUNDUP(VLOOKUP($B578,calc_data,L$14+1,0),2),0),0)</f>
        <v/>
      </c>
      <c r="M578" s="141">
        <f>IF(offer_sale_type="транзит",IFERROR(ROUNDUP(VLOOKUP($B578,calc_data,M$14+1,0),2),0),0)</f>
        <v/>
      </c>
      <c r="N578" s="141">
        <f>IF(offer_sale_type="транзит",IFERROR(ROUNDUP(VLOOKUP($B578,calc_data,N$14+1,0),2),0),0)</f>
        <v/>
      </c>
      <c r="O578" s="147">
        <f>IF(offer_sale_type="транзит",IFERROR(ROUND(VLOOKUP($B578,calc_data,O$14+1,1),2),0),0)</f>
        <v/>
      </c>
      <c r="P578" s="141">
        <f>IF(offer_sale_type="транзит",IFERROR(ROUND(SUM(I578:J578,M578:O578)/E578,2),0),0)</f>
        <v/>
      </c>
      <c r="Q578" s="141">
        <f>E578*P578</f>
        <v/>
      </c>
      <c r="R578" s="141">
        <f>ROUND(Q578*IF(AND(offer_incoterms="DDP",seller_region="RU"),IF((TODAY()+offer_turnaround_time)&gt;=helpsheet!$L$17,rate_vatRU_from_26,rate_vatRu_till_25),0),2)</f>
        <v/>
      </c>
      <c r="S578" s="177">
        <f>Q578+IF(AND(offer_incoterms="DDP",seller_region="RU"),R578,0)</f>
        <v/>
      </c>
      <c r="T578" s="45" t="n"/>
      <c r="V578" s="57">
        <f>IF(Q578&gt;0,"показать","скрыть")</f>
        <v/>
      </c>
    </row>
    <row r="579" ht="15.75" customHeight="1">
      <c r="B579" s="809" t="n">
        <v>563</v>
      </c>
      <c r="C579" s="182">
        <f>IF(offer_sale_type="транзит",IFERROR(VLOOKUP($B579,calc_data,C$14+1,0),0),0)</f>
        <v/>
      </c>
      <c r="D579" s="280">
        <f>IF(offer_sale_type="транзит",IFERROR(VLOOKUP($B579,calc_data,D$14+1,0),0),0)</f>
        <v/>
      </c>
      <c r="E579" s="182">
        <f>IF(offer_sale_type="транзит",IFERROR(VLOOKUP($B579,calc_data,E$14+1,0),0),0)</f>
        <v/>
      </c>
      <c r="F579" s="182">
        <f>IF(offer_sale_type="транзит",IFERROR(VLOOKUP($B579,calc_data,F$14+1,0),0),0)</f>
        <v/>
      </c>
      <c r="G579" s="141">
        <f>IF(offer_sale_type="транзит",IFERROR(VLOOKUP($B579,calc_data,G$14+1,0),0),0)</f>
        <v/>
      </c>
      <c r="H579" s="141">
        <f>E579*G579</f>
        <v/>
      </c>
      <c r="I579" s="141">
        <f>IF(offer_sale_type="транзит",IFERROR(ROUND(VLOOKUP($B579,calc_data,I$14+1,0),2),0),0)</f>
        <v/>
      </c>
      <c r="J579" s="141">
        <f>ROUND(IF(offer_sale_type="транзит",IFERROR(VLOOKUP($B579,calc_data,J$14+1,0),0),0),2)</f>
        <v/>
      </c>
      <c r="K579" s="142">
        <f>IF(offer_sale_type="транзит",IFERROR(ROUNDUP(VLOOKUP($B579,calc_data,K$14+1,0),2),0),0)</f>
        <v/>
      </c>
      <c r="L579" s="184">
        <f>IF(offer_sale_type="транзит",IFERROR(ROUNDUP(VLOOKUP($B579,calc_data,L$14+1,0),2),0),0)</f>
        <v/>
      </c>
      <c r="M579" s="141">
        <f>IF(offer_sale_type="транзит",IFERROR(ROUNDUP(VLOOKUP($B579,calc_data,M$14+1,0),2),0),0)</f>
        <v/>
      </c>
      <c r="N579" s="141">
        <f>IF(offer_sale_type="транзит",IFERROR(ROUNDUP(VLOOKUP($B579,calc_data,N$14+1,0),2),0),0)</f>
        <v/>
      </c>
      <c r="O579" s="147">
        <f>IF(offer_sale_type="транзит",IFERROR(ROUND(VLOOKUP($B579,calc_data,O$14+1,1),2),0),0)</f>
        <v/>
      </c>
      <c r="P579" s="141">
        <f>IF(offer_sale_type="транзит",IFERROR(ROUND(SUM(I579:J579,M579:O579)/E579,2),0),0)</f>
        <v/>
      </c>
      <c r="Q579" s="141">
        <f>E579*P579</f>
        <v/>
      </c>
      <c r="R579" s="141">
        <f>ROUND(Q579*IF(AND(offer_incoterms="DDP",seller_region="RU"),IF((TODAY()+offer_turnaround_time)&gt;=helpsheet!$L$17,rate_vatRU_from_26,rate_vatRu_till_25),0),2)</f>
        <v/>
      </c>
      <c r="S579" s="177">
        <f>Q579+IF(AND(offer_incoterms="DDP",seller_region="RU"),R579,0)</f>
        <v/>
      </c>
      <c r="T579" s="45" t="n"/>
      <c r="V579" s="57">
        <f>IF(Q579&gt;0,"показать","скрыть")</f>
        <v/>
      </c>
    </row>
    <row r="580" ht="15.75" customHeight="1">
      <c r="B580" s="809" t="n">
        <v>564</v>
      </c>
      <c r="C580" s="182">
        <f>IF(offer_sale_type="транзит",IFERROR(VLOOKUP($B580,calc_data,C$14+1,0),0),0)</f>
        <v/>
      </c>
      <c r="D580" s="280">
        <f>IF(offer_sale_type="транзит",IFERROR(VLOOKUP($B580,calc_data,D$14+1,0),0),0)</f>
        <v/>
      </c>
      <c r="E580" s="182">
        <f>IF(offer_sale_type="транзит",IFERROR(VLOOKUP($B580,calc_data,E$14+1,0),0),0)</f>
        <v/>
      </c>
      <c r="F580" s="182">
        <f>IF(offer_sale_type="транзит",IFERROR(VLOOKUP($B580,calc_data,F$14+1,0),0),0)</f>
        <v/>
      </c>
      <c r="G580" s="141">
        <f>IF(offer_sale_type="транзит",IFERROR(VLOOKUP($B580,calc_data,G$14+1,0),0),0)</f>
        <v/>
      </c>
      <c r="H580" s="141">
        <f>E580*G580</f>
        <v/>
      </c>
      <c r="I580" s="141">
        <f>IF(offer_sale_type="транзит",IFERROR(ROUND(VLOOKUP($B580,calc_data,I$14+1,0),2),0),0)</f>
        <v/>
      </c>
      <c r="J580" s="141">
        <f>ROUND(IF(offer_sale_type="транзит",IFERROR(VLOOKUP($B580,calc_data,J$14+1,0),0),0),2)</f>
        <v/>
      </c>
      <c r="K580" s="142">
        <f>IF(offer_sale_type="транзит",IFERROR(ROUNDUP(VLOOKUP($B580,calc_data,K$14+1,0),2),0),0)</f>
        <v/>
      </c>
      <c r="L580" s="184">
        <f>IF(offer_sale_type="транзит",IFERROR(ROUNDUP(VLOOKUP($B580,calc_data,L$14+1,0),2),0),0)</f>
        <v/>
      </c>
      <c r="M580" s="141">
        <f>IF(offer_sale_type="транзит",IFERROR(ROUNDUP(VLOOKUP($B580,calc_data,M$14+1,0),2),0),0)</f>
        <v/>
      </c>
      <c r="N580" s="141">
        <f>IF(offer_sale_type="транзит",IFERROR(ROUNDUP(VLOOKUP($B580,calc_data,N$14+1,0),2),0),0)</f>
        <v/>
      </c>
      <c r="O580" s="147">
        <f>IF(offer_sale_type="транзит",IFERROR(ROUND(VLOOKUP($B580,calc_data,O$14+1,1),2),0),0)</f>
        <v/>
      </c>
      <c r="P580" s="141">
        <f>IF(offer_sale_type="транзит",IFERROR(ROUND(SUM(I580:J580,M580:O580)/E580,2),0),0)</f>
        <v/>
      </c>
      <c r="Q580" s="141">
        <f>E580*P580</f>
        <v/>
      </c>
      <c r="R580" s="141">
        <f>ROUND(Q580*IF(AND(offer_incoterms="DDP",seller_region="RU"),IF((TODAY()+offer_turnaround_time)&gt;=helpsheet!$L$17,rate_vatRU_from_26,rate_vatRu_till_25),0),2)</f>
        <v/>
      </c>
      <c r="S580" s="177">
        <f>Q580+IF(AND(offer_incoterms="DDP",seller_region="RU"),R580,0)</f>
        <v/>
      </c>
      <c r="T580" s="45" t="n"/>
      <c r="V580" s="57">
        <f>IF(Q580&gt;0,"показать","скрыть")</f>
        <v/>
      </c>
    </row>
    <row r="581" ht="15.75" customHeight="1">
      <c r="B581" s="809" t="n">
        <v>565</v>
      </c>
      <c r="C581" s="182">
        <f>IF(offer_sale_type="транзит",IFERROR(VLOOKUP($B581,calc_data,C$14+1,0),0),0)</f>
        <v/>
      </c>
      <c r="D581" s="280">
        <f>IF(offer_sale_type="транзит",IFERROR(VLOOKUP($B581,calc_data,D$14+1,0),0),0)</f>
        <v/>
      </c>
      <c r="E581" s="182">
        <f>IF(offer_sale_type="транзит",IFERROR(VLOOKUP($B581,calc_data,E$14+1,0),0),0)</f>
        <v/>
      </c>
      <c r="F581" s="182">
        <f>IF(offer_sale_type="транзит",IFERROR(VLOOKUP($B581,calc_data,F$14+1,0),0),0)</f>
        <v/>
      </c>
      <c r="G581" s="141">
        <f>IF(offer_sale_type="транзит",IFERROR(VLOOKUP($B581,calc_data,G$14+1,0),0),0)</f>
        <v/>
      </c>
      <c r="H581" s="141">
        <f>E581*G581</f>
        <v/>
      </c>
      <c r="I581" s="141">
        <f>IF(offer_sale_type="транзит",IFERROR(ROUND(VLOOKUP($B581,calc_data,I$14+1,0),2),0),0)</f>
        <v/>
      </c>
      <c r="J581" s="141">
        <f>ROUND(IF(offer_sale_type="транзит",IFERROR(VLOOKUP($B581,calc_data,J$14+1,0),0),0),2)</f>
        <v/>
      </c>
      <c r="K581" s="142">
        <f>IF(offer_sale_type="транзит",IFERROR(ROUNDUP(VLOOKUP($B581,calc_data,K$14+1,0),2),0),0)</f>
        <v/>
      </c>
      <c r="L581" s="184">
        <f>IF(offer_sale_type="транзит",IFERROR(ROUNDUP(VLOOKUP($B581,calc_data,L$14+1,0),2),0),0)</f>
        <v/>
      </c>
      <c r="M581" s="141">
        <f>IF(offer_sale_type="транзит",IFERROR(ROUNDUP(VLOOKUP($B581,calc_data,M$14+1,0),2),0),0)</f>
        <v/>
      </c>
      <c r="N581" s="141">
        <f>IF(offer_sale_type="транзит",IFERROR(ROUNDUP(VLOOKUP($B581,calc_data,N$14+1,0),2),0),0)</f>
        <v/>
      </c>
      <c r="O581" s="147">
        <f>IF(offer_sale_type="транзит",IFERROR(ROUND(VLOOKUP($B581,calc_data,O$14+1,1),2),0),0)</f>
        <v/>
      </c>
      <c r="P581" s="141">
        <f>IF(offer_sale_type="транзит",IFERROR(ROUND(SUM(I581:J581,M581:O581)/E581,2),0),0)</f>
        <v/>
      </c>
      <c r="Q581" s="141">
        <f>E581*P581</f>
        <v/>
      </c>
      <c r="R581" s="141">
        <f>ROUND(Q581*IF(AND(offer_incoterms="DDP",seller_region="RU"),IF((TODAY()+offer_turnaround_time)&gt;=helpsheet!$L$17,rate_vatRU_from_26,rate_vatRu_till_25),0),2)</f>
        <v/>
      </c>
      <c r="S581" s="177">
        <f>Q581+IF(AND(offer_incoterms="DDP",seller_region="RU"),R581,0)</f>
        <v/>
      </c>
      <c r="T581" s="45" t="n"/>
      <c r="V581" s="57">
        <f>IF(Q581&gt;0,"показать","скрыть")</f>
        <v/>
      </c>
    </row>
    <row r="582" ht="15.75" customHeight="1">
      <c r="B582" s="809" t="n">
        <v>566</v>
      </c>
      <c r="C582" s="182">
        <f>IF(offer_sale_type="транзит",IFERROR(VLOOKUP($B582,calc_data,C$14+1,0),0),0)</f>
        <v/>
      </c>
      <c r="D582" s="280">
        <f>IF(offer_sale_type="транзит",IFERROR(VLOOKUP($B582,calc_data,D$14+1,0),0),0)</f>
        <v/>
      </c>
      <c r="E582" s="182">
        <f>IF(offer_sale_type="транзит",IFERROR(VLOOKUP($B582,calc_data,E$14+1,0),0),0)</f>
        <v/>
      </c>
      <c r="F582" s="182">
        <f>IF(offer_sale_type="транзит",IFERROR(VLOOKUP($B582,calc_data,F$14+1,0),0),0)</f>
        <v/>
      </c>
      <c r="G582" s="141">
        <f>IF(offer_sale_type="транзит",IFERROR(VLOOKUP($B582,calc_data,G$14+1,0),0),0)</f>
        <v/>
      </c>
      <c r="H582" s="141">
        <f>E582*G582</f>
        <v/>
      </c>
      <c r="I582" s="141">
        <f>IF(offer_sale_type="транзит",IFERROR(ROUND(VLOOKUP($B582,calc_data,I$14+1,0),2),0),0)</f>
        <v/>
      </c>
      <c r="J582" s="141">
        <f>ROUND(IF(offer_sale_type="транзит",IFERROR(VLOOKUP($B582,calc_data,J$14+1,0),0),0),2)</f>
        <v/>
      </c>
      <c r="K582" s="142">
        <f>IF(offer_sale_type="транзит",IFERROR(ROUNDUP(VLOOKUP($B582,calc_data,K$14+1,0),2),0),0)</f>
        <v/>
      </c>
      <c r="L582" s="184">
        <f>IF(offer_sale_type="транзит",IFERROR(ROUNDUP(VLOOKUP($B582,calc_data,L$14+1,0),2),0),0)</f>
        <v/>
      </c>
      <c r="M582" s="141">
        <f>IF(offer_sale_type="транзит",IFERROR(ROUNDUP(VLOOKUP($B582,calc_data,M$14+1,0),2),0),0)</f>
        <v/>
      </c>
      <c r="N582" s="141">
        <f>IF(offer_sale_type="транзит",IFERROR(ROUNDUP(VLOOKUP($B582,calc_data,N$14+1,0),2),0),0)</f>
        <v/>
      </c>
      <c r="O582" s="147">
        <f>IF(offer_sale_type="транзит",IFERROR(ROUND(VLOOKUP($B582,calc_data,O$14+1,1),2),0),0)</f>
        <v/>
      </c>
      <c r="P582" s="141">
        <f>IF(offer_sale_type="транзит",IFERROR(ROUND(SUM(I582:J582,M582:O582)/E582,2),0),0)</f>
        <v/>
      </c>
      <c r="Q582" s="141">
        <f>E582*P582</f>
        <v/>
      </c>
      <c r="R582" s="141">
        <f>ROUND(Q582*IF(AND(offer_incoterms="DDP",seller_region="RU"),IF((TODAY()+offer_turnaround_time)&gt;=helpsheet!$L$17,rate_vatRU_from_26,rate_vatRu_till_25),0),2)</f>
        <v/>
      </c>
      <c r="S582" s="177">
        <f>Q582+IF(AND(offer_incoterms="DDP",seller_region="RU"),R582,0)</f>
        <v/>
      </c>
      <c r="T582" s="45" t="n"/>
      <c r="V582" s="57">
        <f>IF(Q582&gt;0,"показать","скрыть")</f>
        <v/>
      </c>
    </row>
    <row r="583" ht="15.75" customHeight="1">
      <c r="B583" s="809" t="n">
        <v>567</v>
      </c>
      <c r="C583" s="182">
        <f>IF(offer_sale_type="транзит",IFERROR(VLOOKUP($B583,calc_data,C$14+1,0),0),0)</f>
        <v/>
      </c>
      <c r="D583" s="280">
        <f>IF(offer_sale_type="транзит",IFERROR(VLOOKUP($B583,calc_data,D$14+1,0),0),0)</f>
        <v/>
      </c>
      <c r="E583" s="182">
        <f>IF(offer_sale_type="транзит",IFERROR(VLOOKUP($B583,calc_data,E$14+1,0),0),0)</f>
        <v/>
      </c>
      <c r="F583" s="182">
        <f>IF(offer_sale_type="транзит",IFERROR(VLOOKUP($B583,calc_data,F$14+1,0),0),0)</f>
        <v/>
      </c>
      <c r="G583" s="141">
        <f>IF(offer_sale_type="транзит",IFERROR(VLOOKUP($B583,calc_data,G$14+1,0),0),0)</f>
        <v/>
      </c>
      <c r="H583" s="141">
        <f>E583*G583</f>
        <v/>
      </c>
      <c r="I583" s="141">
        <f>IF(offer_sale_type="транзит",IFERROR(ROUND(VLOOKUP($B583,calc_data,I$14+1,0),2),0),0)</f>
        <v/>
      </c>
      <c r="J583" s="141">
        <f>ROUND(IF(offer_sale_type="транзит",IFERROR(VLOOKUP($B583,calc_data,J$14+1,0),0),0),2)</f>
        <v/>
      </c>
      <c r="K583" s="142">
        <f>IF(offer_sale_type="транзит",IFERROR(ROUNDUP(VLOOKUP($B583,calc_data,K$14+1,0),2),0),0)</f>
        <v/>
      </c>
      <c r="L583" s="184">
        <f>IF(offer_sale_type="транзит",IFERROR(ROUNDUP(VLOOKUP($B583,calc_data,L$14+1,0),2),0),0)</f>
        <v/>
      </c>
      <c r="M583" s="141">
        <f>IF(offer_sale_type="транзит",IFERROR(ROUNDUP(VLOOKUP($B583,calc_data,M$14+1,0),2),0),0)</f>
        <v/>
      </c>
      <c r="N583" s="141">
        <f>IF(offer_sale_type="транзит",IFERROR(ROUNDUP(VLOOKUP($B583,calc_data,N$14+1,0),2),0),0)</f>
        <v/>
      </c>
      <c r="O583" s="147">
        <f>IF(offer_sale_type="транзит",IFERROR(ROUND(VLOOKUP($B583,calc_data,O$14+1,1),2),0),0)</f>
        <v/>
      </c>
      <c r="P583" s="141">
        <f>IF(offer_sale_type="транзит",IFERROR(ROUND(SUM(I583:J583,M583:O583)/E583,2),0),0)</f>
        <v/>
      </c>
      <c r="Q583" s="141">
        <f>E583*P583</f>
        <v/>
      </c>
      <c r="R583" s="141">
        <f>ROUND(Q583*IF(AND(offer_incoterms="DDP",seller_region="RU"),IF((TODAY()+offer_turnaround_time)&gt;=helpsheet!$L$17,rate_vatRU_from_26,rate_vatRu_till_25),0),2)</f>
        <v/>
      </c>
      <c r="S583" s="177">
        <f>Q583+IF(AND(offer_incoterms="DDP",seller_region="RU"),R583,0)</f>
        <v/>
      </c>
      <c r="T583" s="45" t="n"/>
      <c r="V583" s="57">
        <f>IF(Q583&gt;0,"показать","скрыть")</f>
        <v/>
      </c>
    </row>
    <row r="584" ht="15.75" customHeight="1">
      <c r="B584" s="809" t="n">
        <v>568</v>
      </c>
      <c r="C584" s="182">
        <f>IF(offer_sale_type="транзит",IFERROR(VLOOKUP($B584,calc_data,C$14+1,0),0),0)</f>
        <v/>
      </c>
      <c r="D584" s="280">
        <f>IF(offer_sale_type="транзит",IFERROR(VLOOKUP($B584,calc_data,D$14+1,0),0),0)</f>
        <v/>
      </c>
      <c r="E584" s="182">
        <f>IF(offer_sale_type="транзит",IFERROR(VLOOKUP($B584,calc_data,E$14+1,0),0),0)</f>
        <v/>
      </c>
      <c r="F584" s="182">
        <f>IF(offer_sale_type="транзит",IFERROR(VLOOKUP($B584,calc_data,F$14+1,0),0),0)</f>
        <v/>
      </c>
      <c r="G584" s="141">
        <f>IF(offer_sale_type="транзит",IFERROR(VLOOKUP($B584,calc_data,G$14+1,0),0),0)</f>
        <v/>
      </c>
      <c r="H584" s="141">
        <f>E584*G584</f>
        <v/>
      </c>
      <c r="I584" s="141">
        <f>IF(offer_sale_type="транзит",IFERROR(ROUND(VLOOKUP($B584,calc_data,I$14+1,0),2),0),0)</f>
        <v/>
      </c>
      <c r="J584" s="141">
        <f>ROUND(IF(offer_sale_type="транзит",IFERROR(VLOOKUP($B584,calc_data,J$14+1,0),0),0),2)</f>
        <v/>
      </c>
      <c r="K584" s="142">
        <f>IF(offer_sale_type="транзит",IFERROR(ROUNDUP(VLOOKUP($B584,calc_data,K$14+1,0),2),0),0)</f>
        <v/>
      </c>
      <c r="L584" s="184">
        <f>IF(offer_sale_type="транзит",IFERROR(ROUNDUP(VLOOKUP($B584,calc_data,L$14+1,0),2),0),0)</f>
        <v/>
      </c>
      <c r="M584" s="141">
        <f>IF(offer_sale_type="транзит",IFERROR(ROUNDUP(VLOOKUP($B584,calc_data,M$14+1,0),2),0),0)</f>
        <v/>
      </c>
      <c r="N584" s="141">
        <f>IF(offer_sale_type="транзит",IFERROR(ROUNDUP(VLOOKUP($B584,calc_data,N$14+1,0),2),0),0)</f>
        <v/>
      </c>
      <c r="O584" s="147">
        <f>IF(offer_sale_type="транзит",IFERROR(ROUND(VLOOKUP($B584,calc_data,O$14+1,1),2),0),0)</f>
        <v/>
      </c>
      <c r="P584" s="141">
        <f>IF(offer_sale_type="транзит",IFERROR(ROUND(SUM(I584:J584,M584:O584)/E584,2),0),0)</f>
        <v/>
      </c>
      <c r="Q584" s="141">
        <f>E584*P584</f>
        <v/>
      </c>
      <c r="R584" s="141">
        <f>ROUND(Q584*IF(AND(offer_incoterms="DDP",seller_region="RU"),IF((TODAY()+offer_turnaround_time)&gt;=helpsheet!$L$17,rate_vatRU_from_26,rate_vatRu_till_25),0),2)</f>
        <v/>
      </c>
      <c r="S584" s="177">
        <f>Q584+IF(AND(offer_incoterms="DDP",seller_region="RU"),R584,0)</f>
        <v/>
      </c>
      <c r="T584" s="45" t="n"/>
      <c r="V584" s="57">
        <f>IF(Q584&gt;0,"показать","скрыть")</f>
        <v/>
      </c>
    </row>
    <row r="585" ht="15.75" customHeight="1">
      <c r="B585" s="809" t="n">
        <v>569</v>
      </c>
      <c r="C585" s="182">
        <f>IF(offer_sale_type="транзит",IFERROR(VLOOKUP($B585,calc_data,C$14+1,0),0),0)</f>
        <v/>
      </c>
      <c r="D585" s="280">
        <f>IF(offer_sale_type="транзит",IFERROR(VLOOKUP($B585,calc_data,D$14+1,0),0),0)</f>
        <v/>
      </c>
      <c r="E585" s="182">
        <f>IF(offer_sale_type="транзит",IFERROR(VLOOKUP($B585,calc_data,E$14+1,0),0),0)</f>
        <v/>
      </c>
      <c r="F585" s="182">
        <f>IF(offer_sale_type="транзит",IFERROR(VLOOKUP($B585,calc_data,F$14+1,0),0),0)</f>
        <v/>
      </c>
      <c r="G585" s="141">
        <f>IF(offer_sale_type="транзит",IFERROR(VLOOKUP($B585,calc_data,G$14+1,0),0),0)</f>
        <v/>
      </c>
      <c r="H585" s="141">
        <f>E585*G585</f>
        <v/>
      </c>
      <c r="I585" s="141">
        <f>IF(offer_sale_type="транзит",IFERROR(ROUND(VLOOKUP($B585,calc_data,I$14+1,0),2),0),0)</f>
        <v/>
      </c>
      <c r="J585" s="141">
        <f>ROUND(IF(offer_sale_type="транзит",IFERROR(VLOOKUP($B585,calc_data,J$14+1,0),0),0),2)</f>
        <v/>
      </c>
      <c r="K585" s="142">
        <f>IF(offer_sale_type="транзит",IFERROR(ROUNDUP(VLOOKUP($B585,calc_data,K$14+1,0),2),0),0)</f>
        <v/>
      </c>
      <c r="L585" s="184">
        <f>IF(offer_sale_type="транзит",IFERROR(ROUNDUP(VLOOKUP($B585,calc_data,L$14+1,0),2),0),0)</f>
        <v/>
      </c>
      <c r="M585" s="141">
        <f>IF(offer_sale_type="транзит",IFERROR(ROUNDUP(VLOOKUP($B585,calc_data,M$14+1,0),2),0),0)</f>
        <v/>
      </c>
      <c r="N585" s="141">
        <f>IF(offer_sale_type="транзит",IFERROR(ROUNDUP(VLOOKUP($B585,calc_data,N$14+1,0),2),0),0)</f>
        <v/>
      </c>
      <c r="O585" s="147">
        <f>IF(offer_sale_type="транзит",IFERROR(ROUND(VLOOKUP($B585,calc_data,O$14+1,1),2),0),0)</f>
        <v/>
      </c>
      <c r="P585" s="141">
        <f>IF(offer_sale_type="транзит",IFERROR(ROUND(SUM(I585:J585,M585:O585)/E585,2),0),0)</f>
        <v/>
      </c>
      <c r="Q585" s="141">
        <f>E585*P585</f>
        <v/>
      </c>
      <c r="R585" s="141">
        <f>ROUND(Q585*IF(AND(offer_incoterms="DDP",seller_region="RU"),IF((TODAY()+offer_turnaround_time)&gt;=helpsheet!$L$17,rate_vatRU_from_26,rate_vatRu_till_25),0),2)</f>
        <v/>
      </c>
      <c r="S585" s="177">
        <f>Q585+IF(AND(offer_incoterms="DDP",seller_region="RU"),R585,0)</f>
        <v/>
      </c>
      <c r="T585" s="45" t="n"/>
      <c r="V585" s="57">
        <f>IF(Q585&gt;0,"показать","скрыть")</f>
        <v/>
      </c>
    </row>
    <row r="586" ht="15.75" customHeight="1">
      <c r="B586" s="809" t="n">
        <v>570</v>
      </c>
      <c r="C586" s="182">
        <f>IF(offer_sale_type="транзит",IFERROR(VLOOKUP($B586,calc_data,C$14+1,0),0),0)</f>
        <v/>
      </c>
      <c r="D586" s="280">
        <f>IF(offer_sale_type="транзит",IFERROR(VLOOKUP($B586,calc_data,D$14+1,0),0),0)</f>
        <v/>
      </c>
      <c r="E586" s="182">
        <f>IF(offer_sale_type="транзит",IFERROR(VLOOKUP($B586,calc_data,E$14+1,0),0),0)</f>
        <v/>
      </c>
      <c r="F586" s="182">
        <f>IF(offer_sale_type="транзит",IFERROR(VLOOKUP($B586,calc_data,F$14+1,0),0),0)</f>
        <v/>
      </c>
      <c r="G586" s="141">
        <f>IF(offer_sale_type="транзит",IFERROR(VLOOKUP($B586,calc_data,G$14+1,0),0),0)</f>
        <v/>
      </c>
      <c r="H586" s="141">
        <f>E586*G586</f>
        <v/>
      </c>
      <c r="I586" s="141">
        <f>IF(offer_sale_type="транзит",IFERROR(ROUND(VLOOKUP($B586,calc_data,I$14+1,0),2),0),0)</f>
        <v/>
      </c>
      <c r="J586" s="141">
        <f>ROUND(IF(offer_sale_type="транзит",IFERROR(VLOOKUP($B586,calc_data,J$14+1,0),0),0),2)</f>
        <v/>
      </c>
      <c r="K586" s="142">
        <f>IF(offer_sale_type="транзит",IFERROR(ROUNDUP(VLOOKUP($B586,calc_data,K$14+1,0),2),0),0)</f>
        <v/>
      </c>
      <c r="L586" s="184">
        <f>IF(offer_sale_type="транзит",IFERROR(ROUNDUP(VLOOKUP($B586,calc_data,L$14+1,0),2),0),0)</f>
        <v/>
      </c>
      <c r="M586" s="141">
        <f>IF(offer_sale_type="транзит",IFERROR(ROUNDUP(VLOOKUP($B586,calc_data,M$14+1,0),2),0),0)</f>
        <v/>
      </c>
      <c r="N586" s="141">
        <f>IF(offer_sale_type="транзит",IFERROR(ROUNDUP(VLOOKUP($B586,calc_data,N$14+1,0),2),0),0)</f>
        <v/>
      </c>
      <c r="O586" s="147">
        <f>IF(offer_sale_type="транзит",IFERROR(ROUND(VLOOKUP($B586,calc_data,O$14+1,1),2),0),0)</f>
        <v/>
      </c>
      <c r="P586" s="141">
        <f>IF(offer_sale_type="транзит",IFERROR(ROUND(SUM(I586:J586,M586:O586)/E586,2),0),0)</f>
        <v/>
      </c>
      <c r="Q586" s="141">
        <f>E586*P586</f>
        <v/>
      </c>
      <c r="R586" s="141">
        <f>ROUND(Q586*IF(AND(offer_incoterms="DDP",seller_region="RU"),IF((TODAY()+offer_turnaround_time)&gt;=helpsheet!$L$17,rate_vatRU_from_26,rate_vatRu_till_25),0),2)</f>
        <v/>
      </c>
      <c r="S586" s="177">
        <f>Q586+IF(AND(offer_incoterms="DDP",seller_region="RU"),R586,0)</f>
        <v/>
      </c>
      <c r="T586" s="45" t="n"/>
      <c r="V586" s="57">
        <f>IF(Q586&gt;0,"показать","скрыть")</f>
        <v/>
      </c>
    </row>
    <row r="587" ht="15.75" customHeight="1">
      <c r="B587" s="809" t="n">
        <v>571</v>
      </c>
      <c r="C587" s="182">
        <f>IF(offer_sale_type="транзит",IFERROR(VLOOKUP($B587,calc_data,C$14+1,0),0),0)</f>
        <v/>
      </c>
      <c r="D587" s="280">
        <f>IF(offer_sale_type="транзит",IFERROR(VLOOKUP($B587,calc_data,D$14+1,0),0),0)</f>
        <v/>
      </c>
      <c r="E587" s="182">
        <f>IF(offer_sale_type="транзит",IFERROR(VLOOKUP($B587,calc_data,E$14+1,0),0),0)</f>
        <v/>
      </c>
      <c r="F587" s="182">
        <f>IF(offer_sale_type="транзит",IFERROR(VLOOKUP($B587,calc_data,F$14+1,0),0),0)</f>
        <v/>
      </c>
      <c r="G587" s="141">
        <f>IF(offer_sale_type="транзит",IFERROR(VLOOKUP($B587,calc_data,G$14+1,0),0),0)</f>
        <v/>
      </c>
      <c r="H587" s="141">
        <f>E587*G587</f>
        <v/>
      </c>
      <c r="I587" s="141">
        <f>IF(offer_sale_type="транзит",IFERROR(ROUND(VLOOKUP($B587,calc_data,I$14+1,0),2),0),0)</f>
        <v/>
      </c>
      <c r="J587" s="141">
        <f>ROUND(IF(offer_sale_type="транзит",IFERROR(VLOOKUP($B587,calc_data,J$14+1,0),0),0),2)</f>
        <v/>
      </c>
      <c r="K587" s="142">
        <f>IF(offer_sale_type="транзит",IFERROR(ROUNDUP(VLOOKUP($B587,calc_data,K$14+1,0),2),0),0)</f>
        <v/>
      </c>
      <c r="L587" s="184">
        <f>IF(offer_sale_type="транзит",IFERROR(ROUNDUP(VLOOKUP($B587,calc_data,L$14+1,0),2),0),0)</f>
        <v/>
      </c>
      <c r="M587" s="141">
        <f>IF(offer_sale_type="транзит",IFERROR(ROUNDUP(VLOOKUP($B587,calc_data,M$14+1,0),2),0),0)</f>
        <v/>
      </c>
      <c r="N587" s="141">
        <f>IF(offer_sale_type="транзит",IFERROR(ROUNDUP(VLOOKUP($B587,calc_data,N$14+1,0),2),0),0)</f>
        <v/>
      </c>
      <c r="O587" s="147">
        <f>IF(offer_sale_type="транзит",IFERROR(ROUND(VLOOKUP($B587,calc_data,O$14+1,1),2),0),0)</f>
        <v/>
      </c>
      <c r="P587" s="141">
        <f>IF(offer_sale_type="транзит",IFERROR(ROUND(SUM(I587:J587,M587:O587)/E587,2),0),0)</f>
        <v/>
      </c>
      <c r="Q587" s="141">
        <f>E587*P587</f>
        <v/>
      </c>
      <c r="R587" s="141">
        <f>ROUND(Q587*IF(AND(offer_incoterms="DDP",seller_region="RU"),IF((TODAY()+offer_turnaround_time)&gt;=helpsheet!$L$17,rate_vatRU_from_26,rate_vatRu_till_25),0),2)</f>
        <v/>
      </c>
      <c r="S587" s="177">
        <f>Q587+IF(AND(offer_incoterms="DDP",seller_region="RU"),R587,0)</f>
        <v/>
      </c>
      <c r="T587" s="45" t="n"/>
      <c r="V587" s="57">
        <f>IF(Q587&gt;0,"показать","скрыть")</f>
        <v/>
      </c>
    </row>
    <row r="588" ht="15.75" customHeight="1">
      <c r="B588" s="809" t="n">
        <v>572</v>
      </c>
      <c r="C588" s="182">
        <f>IF(offer_sale_type="транзит",IFERROR(VLOOKUP($B588,calc_data,C$14+1,0),0),0)</f>
        <v/>
      </c>
      <c r="D588" s="280">
        <f>IF(offer_sale_type="транзит",IFERROR(VLOOKUP($B588,calc_data,D$14+1,0),0),0)</f>
        <v/>
      </c>
      <c r="E588" s="182">
        <f>IF(offer_sale_type="транзит",IFERROR(VLOOKUP($B588,calc_data,E$14+1,0),0),0)</f>
        <v/>
      </c>
      <c r="F588" s="182">
        <f>IF(offer_sale_type="транзит",IFERROR(VLOOKUP($B588,calc_data,F$14+1,0),0),0)</f>
        <v/>
      </c>
      <c r="G588" s="141">
        <f>IF(offer_sale_type="транзит",IFERROR(VLOOKUP($B588,calc_data,G$14+1,0),0),0)</f>
        <v/>
      </c>
      <c r="H588" s="141">
        <f>E588*G588</f>
        <v/>
      </c>
      <c r="I588" s="141">
        <f>IF(offer_sale_type="транзит",IFERROR(ROUND(VLOOKUP($B588,calc_data,I$14+1,0),2),0),0)</f>
        <v/>
      </c>
      <c r="J588" s="141">
        <f>ROUND(IF(offer_sale_type="транзит",IFERROR(VLOOKUP($B588,calc_data,J$14+1,0),0),0),2)</f>
        <v/>
      </c>
      <c r="K588" s="142">
        <f>IF(offer_sale_type="транзит",IFERROR(ROUNDUP(VLOOKUP($B588,calc_data,K$14+1,0),2),0),0)</f>
        <v/>
      </c>
      <c r="L588" s="184">
        <f>IF(offer_sale_type="транзит",IFERROR(ROUNDUP(VLOOKUP($B588,calc_data,L$14+1,0),2),0),0)</f>
        <v/>
      </c>
      <c r="M588" s="141">
        <f>IF(offer_sale_type="транзит",IFERROR(ROUNDUP(VLOOKUP($B588,calc_data,M$14+1,0),2),0),0)</f>
        <v/>
      </c>
      <c r="N588" s="141">
        <f>IF(offer_sale_type="транзит",IFERROR(ROUNDUP(VLOOKUP($B588,calc_data,N$14+1,0),2),0),0)</f>
        <v/>
      </c>
      <c r="O588" s="147">
        <f>IF(offer_sale_type="транзит",IFERROR(ROUND(VLOOKUP($B588,calc_data,O$14+1,1),2),0),0)</f>
        <v/>
      </c>
      <c r="P588" s="141">
        <f>IF(offer_sale_type="транзит",IFERROR(ROUND(SUM(I588:J588,M588:O588)/E588,2),0),0)</f>
        <v/>
      </c>
      <c r="Q588" s="141">
        <f>E588*P588</f>
        <v/>
      </c>
      <c r="R588" s="141">
        <f>ROUND(Q588*IF(AND(offer_incoterms="DDP",seller_region="RU"),IF((TODAY()+offer_turnaround_time)&gt;=helpsheet!$L$17,rate_vatRU_from_26,rate_vatRu_till_25),0),2)</f>
        <v/>
      </c>
      <c r="S588" s="177">
        <f>Q588+IF(AND(offer_incoterms="DDP",seller_region="RU"),R588,0)</f>
        <v/>
      </c>
      <c r="T588" s="45" t="n"/>
      <c r="V588" s="57">
        <f>IF(Q588&gt;0,"показать","скрыть")</f>
        <v/>
      </c>
    </row>
    <row r="589" ht="15.75" customHeight="1">
      <c r="B589" s="809" t="n">
        <v>573</v>
      </c>
      <c r="C589" s="182">
        <f>IF(offer_sale_type="транзит",IFERROR(VLOOKUP($B589,calc_data,C$14+1,0),0),0)</f>
        <v/>
      </c>
      <c r="D589" s="280">
        <f>IF(offer_sale_type="транзит",IFERROR(VLOOKUP($B589,calc_data,D$14+1,0),0),0)</f>
        <v/>
      </c>
      <c r="E589" s="182">
        <f>IF(offer_sale_type="транзит",IFERROR(VLOOKUP($B589,calc_data,E$14+1,0),0),0)</f>
        <v/>
      </c>
      <c r="F589" s="182">
        <f>IF(offer_sale_type="транзит",IFERROR(VLOOKUP($B589,calc_data,F$14+1,0),0),0)</f>
        <v/>
      </c>
      <c r="G589" s="141">
        <f>IF(offer_sale_type="транзит",IFERROR(VLOOKUP($B589,calc_data,G$14+1,0),0),0)</f>
        <v/>
      </c>
      <c r="H589" s="141">
        <f>E589*G589</f>
        <v/>
      </c>
      <c r="I589" s="141">
        <f>IF(offer_sale_type="транзит",IFERROR(ROUND(VLOOKUP($B589,calc_data,I$14+1,0),2),0),0)</f>
        <v/>
      </c>
      <c r="J589" s="141">
        <f>ROUND(IF(offer_sale_type="транзит",IFERROR(VLOOKUP($B589,calc_data,J$14+1,0),0),0),2)</f>
        <v/>
      </c>
      <c r="K589" s="142">
        <f>IF(offer_sale_type="транзит",IFERROR(ROUNDUP(VLOOKUP($B589,calc_data,K$14+1,0),2),0),0)</f>
        <v/>
      </c>
      <c r="L589" s="184">
        <f>IF(offer_sale_type="транзит",IFERROR(ROUNDUP(VLOOKUP($B589,calc_data,L$14+1,0),2),0),0)</f>
        <v/>
      </c>
      <c r="M589" s="141">
        <f>IF(offer_sale_type="транзит",IFERROR(ROUNDUP(VLOOKUP($B589,calc_data,M$14+1,0),2),0),0)</f>
        <v/>
      </c>
      <c r="N589" s="141">
        <f>IF(offer_sale_type="транзит",IFERROR(ROUNDUP(VLOOKUP($B589,calc_data,N$14+1,0),2),0),0)</f>
        <v/>
      </c>
      <c r="O589" s="147">
        <f>IF(offer_sale_type="транзит",IFERROR(ROUND(VLOOKUP($B589,calc_data,O$14+1,1),2),0),0)</f>
        <v/>
      </c>
      <c r="P589" s="141">
        <f>IF(offer_sale_type="транзит",IFERROR(ROUND(SUM(I589:J589,M589:O589)/E589,2),0),0)</f>
        <v/>
      </c>
      <c r="Q589" s="141">
        <f>E589*P589</f>
        <v/>
      </c>
      <c r="R589" s="141">
        <f>ROUND(Q589*IF(AND(offer_incoterms="DDP",seller_region="RU"),IF((TODAY()+offer_turnaround_time)&gt;=helpsheet!$L$17,rate_vatRU_from_26,rate_vatRu_till_25),0),2)</f>
        <v/>
      </c>
      <c r="S589" s="177">
        <f>Q589+IF(AND(offer_incoterms="DDP",seller_region="RU"),R589,0)</f>
        <v/>
      </c>
      <c r="T589" s="45" t="n"/>
      <c r="V589" s="57">
        <f>IF(Q589&gt;0,"показать","скрыть")</f>
        <v/>
      </c>
    </row>
    <row r="590" ht="15.75" customHeight="1">
      <c r="B590" s="809" t="n">
        <v>574</v>
      </c>
      <c r="C590" s="182">
        <f>IF(offer_sale_type="транзит",IFERROR(VLOOKUP($B590,calc_data,C$14+1,0),0),0)</f>
        <v/>
      </c>
      <c r="D590" s="280">
        <f>IF(offer_sale_type="транзит",IFERROR(VLOOKUP($B590,calc_data,D$14+1,0),0),0)</f>
        <v/>
      </c>
      <c r="E590" s="182">
        <f>IF(offer_sale_type="транзит",IFERROR(VLOOKUP($B590,calc_data,E$14+1,0),0),0)</f>
        <v/>
      </c>
      <c r="F590" s="182">
        <f>IF(offer_sale_type="транзит",IFERROR(VLOOKUP($B590,calc_data,F$14+1,0),0),0)</f>
        <v/>
      </c>
      <c r="G590" s="141">
        <f>IF(offer_sale_type="транзит",IFERROR(VLOOKUP($B590,calc_data,G$14+1,0),0),0)</f>
        <v/>
      </c>
      <c r="H590" s="141">
        <f>E590*G590</f>
        <v/>
      </c>
      <c r="I590" s="141">
        <f>IF(offer_sale_type="транзит",IFERROR(ROUND(VLOOKUP($B590,calc_data,I$14+1,0),2),0),0)</f>
        <v/>
      </c>
      <c r="J590" s="141">
        <f>ROUND(IF(offer_sale_type="транзит",IFERROR(VLOOKUP($B590,calc_data,J$14+1,0),0),0),2)</f>
        <v/>
      </c>
      <c r="K590" s="142">
        <f>IF(offer_sale_type="транзит",IFERROR(ROUNDUP(VLOOKUP($B590,calc_data,K$14+1,0),2),0),0)</f>
        <v/>
      </c>
      <c r="L590" s="184">
        <f>IF(offer_sale_type="транзит",IFERROR(ROUNDUP(VLOOKUP($B590,calc_data,L$14+1,0),2),0),0)</f>
        <v/>
      </c>
      <c r="M590" s="141">
        <f>IF(offer_sale_type="транзит",IFERROR(ROUNDUP(VLOOKUP($B590,calc_data,M$14+1,0),2),0),0)</f>
        <v/>
      </c>
      <c r="N590" s="141">
        <f>IF(offer_sale_type="транзит",IFERROR(ROUNDUP(VLOOKUP($B590,calc_data,N$14+1,0),2),0),0)</f>
        <v/>
      </c>
      <c r="O590" s="147">
        <f>IF(offer_sale_type="транзит",IFERROR(ROUND(VLOOKUP($B590,calc_data,O$14+1,1),2),0),0)</f>
        <v/>
      </c>
      <c r="P590" s="141">
        <f>IF(offer_sale_type="транзит",IFERROR(ROUND(SUM(I590:J590,M590:O590)/E590,2),0),0)</f>
        <v/>
      </c>
      <c r="Q590" s="141">
        <f>E590*P590</f>
        <v/>
      </c>
      <c r="R590" s="141">
        <f>ROUND(Q590*IF(AND(offer_incoterms="DDP",seller_region="RU"),IF((TODAY()+offer_turnaround_time)&gt;=helpsheet!$L$17,rate_vatRU_from_26,rate_vatRu_till_25),0),2)</f>
        <v/>
      </c>
      <c r="S590" s="177">
        <f>Q590+IF(AND(offer_incoterms="DDP",seller_region="RU"),R590,0)</f>
        <v/>
      </c>
      <c r="T590" s="45" t="n"/>
      <c r="V590" s="57">
        <f>IF(Q590&gt;0,"показать","скрыть")</f>
        <v/>
      </c>
    </row>
    <row r="591" ht="15.75" customHeight="1">
      <c r="B591" s="809" t="n">
        <v>575</v>
      </c>
      <c r="C591" s="182">
        <f>IF(offer_sale_type="транзит",IFERROR(VLOOKUP($B591,calc_data,C$14+1,0),0),0)</f>
        <v/>
      </c>
      <c r="D591" s="280">
        <f>IF(offer_sale_type="транзит",IFERROR(VLOOKUP($B591,calc_data,D$14+1,0),0),0)</f>
        <v/>
      </c>
      <c r="E591" s="182">
        <f>IF(offer_sale_type="транзит",IFERROR(VLOOKUP($B591,calc_data,E$14+1,0),0),0)</f>
        <v/>
      </c>
      <c r="F591" s="182">
        <f>IF(offer_sale_type="транзит",IFERROR(VLOOKUP($B591,calc_data,F$14+1,0),0),0)</f>
        <v/>
      </c>
      <c r="G591" s="141">
        <f>IF(offer_sale_type="транзит",IFERROR(VLOOKUP($B591,calc_data,G$14+1,0),0),0)</f>
        <v/>
      </c>
      <c r="H591" s="141">
        <f>E591*G591</f>
        <v/>
      </c>
      <c r="I591" s="141">
        <f>IF(offer_sale_type="транзит",IFERROR(ROUND(VLOOKUP($B591,calc_data,I$14+1,0),2),0),0)</f>
        <v/>
      </c>
      <c r="J591" s="141">
        <f>ROUND(IF(offer_sale_type="транзит",IFERROR(VLOOKUP($B591,calc_data,J$14+1,0),0),0),2)</f>
        <v/>
      </c>
      <c r="K591" s="142">
        <f>IF(offer_sale_type="транзит",IFERROR(ROUNDUP(VLOOKUP($B591,calc_data,K$14+1,0),2),0),0)</f>
        <v/>
      </c>
      <c r="L591" s="184">
        <f>IF(offer_sale_type="транзит",IFERROR(ROUNDUP(VLOOKUP($B591,calc_data,L$14+1,0),2),0),0)</f>
        <v/>
      </c>
      <c r="M591" s="141">
        <f>IF(offer_sale_type="транзит",IFERROR(ROUNDUP(VLOOKUP($B591,calc_data,M$14+1,0),2),0),0)</f>
        <v/>
      </c>
      <c r="N591" s="141">
        <f>IF(offer_sale_type="транзит",IFERROR(ROUNDUP(VLOOKUP($B591,calc_data,N$14+1,0),2),0),0)</f>
        <v/>
      </c>
      <c r="O591" s="147">
        <f>IF(offer_sale_type="транзит",IFERROR(ROUND(VLOOKUP($B591,calc_data,O$14+1,1),2),0),0)</f>
        <v/>
      </c>
      <c r="P591" s="141">
        <f>IF(offer_sale_type="транзит",IFERROR(ROUND(SUM(I591:J591,M591:O591)/E591,2),0),0)</f>
        <v/>
      </c>
      <c r="Q591" s="141">
        <f>E591*P591</f>
        <v/>
      </c>
      <c r="R591" s="141">
        <f>ROUND(Q591*IF(AND(offer_incoterms="DDP",seller_region="RU"),IF((TODAY()+offer_turnaround_time)&gt;=helpsheet!$L$17,rate_vatRU_from_26,rate_vatRu_till_25),0),2)</f>
        <v/>
      </c>
      <c r="S591" s="177">
        <f>Q591+IF(AND(offer_incoterms="DDP",seller_region="RU"),R591,0)</f>
        <v/>
      </c>
      <c r="T591" s="45" t="n"/>
      <c r="V591" s="57">
        <f>IF(Q591&gt;0,"показать","скрыть")</f>
        <v/>
      </c>
    </row>
    <row r="592" ht="15.75" customHeight="1">
      <c r="B592" s="809" t="n">
        <v>576</v>
      </c>
      <c r="C592" s="182">
        <f>IF(offer_sale_type="транзит",IFERROR(VLOOKUP($B592,calc_data,C$14+1,0),0),0)</f>
        <v/>
      </c>
      <c r="D592" s="280">
        <f>IF(offer_sale_type="транзит",IFERROR(VLOOKUP($B592,calc_data,D$14+1,0),0),0)</f>
        <v/>
      </c>
      <c r="E592" s="182">
        <f>IF(offer_sale_type="транзит",IFERROR(VLOOKUP($B592,calc_data,E$14+1,0),0),0)</f>
        <v/>
      </c>
      <c r="F592" s="182">
        <f>IF(offer_sale_type="транзит",IFERROR(VLOOKUP($B592,calc_data,F$14+1,0),0),0)</f>
        <v/>
      </c>
      <c r="G592" s="141">
        <f>IF(offer_sale_type="транзит",IFERROR(VLOOKUP($B592,calc_data,G$14+1,0),0),0)</f>
        <v/>
      </c>
      <c r="H592" s="141">
        <f>E592*G592</f>
        <v/>
      </c>
      <c r="I592" s="141">
        <f>IF(offer_sale_type="транзит",IFERROR(ROUND(VLOOKUP($B592,calc_data,I$14+1,0),2),0),0)</f>
        <v/>
      </c>
      <c r="J592" s="141">
        <f>ROUND(IF(offer_sale_type="транзит",IFERROR(VLOOKUP($B592,calc_data,J$14+1,0),0),0),2)</f>
        <v/>
      </c>
      <c r="K592" s="142">
        <f>IF(offer_sale_type="транзит",IFERROR(ROUNDUP(VLOOKUP($B592,calc_data,K$14+1,0),2),0),0)</f>
        <v/>
      </c>
      <c r="L592" s="184">
        <f>IF(offer_sale_type="транзит",IFERROR(ROUNDUP(VLOOKUP($B592,calc_data,L$14+1,0),2),0),0)</f>
        <v/>
      </c>
      <c r="M592" s="141">
        <f>IF(offer_sale_type="транзит",IFERROR(ROUNDUP(VLOOKUP($B592,calc_data,M$14+1,0),2),0),0)</f>
        <v/>
      </c>
      <c r="N592" s="141">
        <f>IF(offer_sale_type="транзит",IFERROR(ROUNDUP(VLOOKUP($B592,calc_data,N$14+1,0),2),0),0)</f>
        <v/>
      </c>
      <c r="O592" s="147">
        <f>IF(offer_sale_type="транзит",IFERROR(ROUND(VLOOKUP($B592,calc_data,O$14+1,1),2),0),0)</f>
        <v/>
      </c>
      <c r="P592" s="141">
        <f>IF(offer_sale_type="транзит",IFERROR(ROUND(SUM(I592:J592,M592:O592)/E592,2),0),0)</f>
        <v/>
      </c>
      <c r="Q592" s="141">
        <f>E592*P592</f>
        <v/>
      </c>
      <c r="R592" s="141">
        <f>ROUND(Q592*IF(AND(offer_incoterms="DDP",seller_region="RU"),IF((TODAY()+offer_turnaround_time)&gt;=helpsheet!$L$17,rate_vatRU_from_26,rate_vatRu_till_25),0),2)</f>
        <v/>
      </c>
      <c r="S592" s="177">
        <f>Q592+IF(AND(offer_incoterms="DDP",seller_region="RU"),R592,0)</f>
        <v/>
      </c>
      <c r="T592" s="45" t="n"/>
      <c r="V592" s="57">
        <f>IF(Q592&gt;0,"показать","скрыть")</f>
        <v/>
      </c>
    </row>
    <row r="593" ht="15.75" customHeight="1">
      <c r="B593" s="809" t="n">
        <v>577</v>
      </c>
      <c r="C593" s="182">
        <f>IF(offer_sale_type="транзит",IFERROR(VLOOKUP($B593,calc_data,C$14+1,0),0),0)</f>
        <v/>
      </c>
      <c r="D593" s="280">
        <f>IF(offer_sale_type="транзит",IFERROR(VLOOKUP($B593,calc_data,D$14+1,0),0),0)</f>
        <v/>
      </c>
      <c r="E593" s="182">
        <f>IF(offer_sale_type="транзит",IFERROR(VLOOKUP($B593,calc_data,E$14+1,0),0),0)</f>
        <v/>
      </c>
      <c r="F593" s="182">
        <f>IF(offer_sale_type="транзит",IFERROR(VLOOKUP($B593,calc_data,F$14+1,0),0),0)</f>
        <v/>
      </c>
      <c r="G593" s="141">
        <f>IF(offer_sale_type="транзит",IFERROR(VLOOKUP($B593,calc_data,G$14+1,0),0),0)</f>
        <v/>
      </c>
      <c r="H593" s="141">
        <f>E593*G593</f>
        <v/>
      </c>
      <c r="I593" s="141">
        <f>IF(offer_sale_type="транзит",IFERROR(ROUND(VLOOKUP($B593,calc_data,I$14+1,0),2),0),0)</f>
        <v/>
      </c>
      <c r="J593" s="141">
        <f>ROUND(IF(offer_sale_type="транзит",IFERROR(VLOOKUP($B593,calc_data,J$14+1,0),0),0),2)</f>
        <v/>
      </c>
      <c r="K593" s="142">
        <f>IF(offer_sale_type="транзит",IFERROR(ROUNDUP(VLOOKUP($B593,calc_data,K$14+1,0),2),0),0)</f>
        <v/>
      </c>
      <c r="L593" s="184">
        <f>IF(offer_sale_type="транзит",IFERROR(ROUNDUP(VLOOKUP($B593,calc_data,L$14+1,0),2),0),0)</f>
        <v/>
      </c>
      <c r="M593" s="141">
        <f>IF(offer_sale_type="транзит",IFERROR(ROUNDUP(VLOOKUP($B593,calc_data,M$14+1,0),2),0),0)</f>
        <v/>
      </c>
      <c r="N593" s="141">
        <f>IF(offer_sale_type="транзит",IFERROR(ROUNDUP(VLOOKUP($B593,calc_data,N$14+1,0),2),0),0)</f>
        <v/>
      </c>
      <c r="O593" s="147">
        <f>IF(offer_sale_type="транзит",IFERROR(ROUND(VLOOKUP($B593,calc_data,O$14+1,1),2),0),0)</f>
        <v/>
      </c>
      <c r="P593" s="141">
        <f>IF(offer_sale_type="транзит",IFERROR(ROUND(SUM(I593:J593,M593:O593)/E593,2),0),0)</f>
        <v/>
      </c>
      <c r="Q593" s="141">
        <f>E593*P593</f>
        <v/>
      </c>
      <c r="R593" s="141">
        <f>ROUND(Q593*IF(AND(offer_incoterms="DDP",seller_region="RU"),IF((TODAY()+offer_turnaround_time)&gt;=helpsheet!$L$17,rate_vatRU_from_26,rate_vatRu_till_25),0),2)</f>
        <v/>
      </c>
      <c r="S593" s="177">
        <f>Q593+IF(AND(offer_incoterms="DDP",seller_region="RU"),R593,0)</f>
        <v/>
      </c>
      <c r="T593" s="45" t="n"/>
      <c r="V593" s="57">
        <f>IF(Q593&gt;0,"показать","скрыть")</f>
        <v/>
      </c>
    </row>
    <row r="594" ht="15.75" customHeight="1">
      <c r="B594" s="809" t="n">
        <v>578</v>
      </c>
      <c r="C594" s="182">
        <f>IF(offer_sale_type="транзит",IFERROR(VLOOKUP($B594,calc_data,C$14+1,0),0),0)</f>
        <v/>
      </c>
      <c r="D594" s="280">
        <f>IF(offer_sale_type="транзит",IFERROR(VLOOKUP($B594,calc_data,D$14+1,0),0),0)</f>
        <v/>
      </c>
      <c r="E594" s="182">
        <f>IF(offer_sale_type="транзит",IFERROR(VLOOKUP($B594,calc_data,E$14+1,0),0),0)</f>
        <v/>
      </c>
      <c r="F594" s="182">
        <f>IF(offer_sale_type="транзит",IFERROR(VLOOKUP($B594,calc_data,F$14+1,0),0),0)</f>
        <v/>
      </c>
      <c r="G594" s="141">
        <f>IF(offer_sale_type="транзит",IFERROR(VLOOKUP($B594,calc_data,G$14+1,0),0),0)</f>
        <v/>
      </c>
      <c r="H594" s="141">
        <f>E594*G594</f>
        <v/>
      </c>
      <c r="I594" s="141">
        <f>IF(offer_sale_type="транзит",IFERROR(ROUND(VLOOKUP($B594,calc_data,I$14+1,0),2),0),0)</f>
        <v/>
      </c>
      <c r="J594" s="141">
        <f>ROUND(IF(offer_sale_type="транзит",IFERROR(VLOOKUP($B594,calc_data,J$14+1,0),0),0),2)</f>
        <v/>
      </c>
      <c r="K594" s="142">
        <f>IF(offer_sale_type="транзит",IFERROR(ROUNDUP(VLOOKUP($B594,calc_data,K$14+1,0),2),0),0)</f>
        <v/>
      </c>
      <c r="L594" s="184">
        <f>IF(offer_sale_type="транзит",IFERROR(ROUNDUP(VLOOKUP($B594,calc_data,L$14+1,0),2),0),0)</f>
        <v/>
      </c>
      <c r="M594" s="141">
        <f>IF(offer_sale_type="транзит",IFERROR(ROUNDUP(VLOOKUP($B594,calc_data,M$14+1,0),2),0),0)</f>
        <v/>
      </c>
      <c r="N594" s="141">
        <f>IF(offer_sale_type="транзит",IFERROR(ROUNDUP(VLOOKUP($B594,calc_data,N$14+1,0),2),0),0)</f>
        <v/>
      </c>
      <c r="O594" s="147">
        <f>IF(offer_sale_type="транзит",IFERROR(ROUND(VLOOKUP($B594,calc_data,O$14+1,1),2),0),0)</f>
        <v/>
      </c>
      <c r="P594" s="141">
        <f>IF(offer_sale_type="транзит",IFERROR(ROUND(SUM(I594:J594,M594:O594)/E594,2),0),0)</f>
        <v/>
      </c>
      <c r="Q594" s="141">
        <f>E594*P594</f>
        <v/>
      </c>
      <c r="R594" s="141">
        <f>ROUND(Q594*IF(AND(offer_incoterms="DDP",seller_region="RU"),IF((TODAY()+offer_turnaround_time)&gt;=helpsheet!$L$17,rate_vatRU_from_26,rate_vatRu_till_25),0),2)</f>
        <v/>
      </c>
      <c r="S594" s="177">
        <f>Q594+IF(AND(offer_incoterms="DDP",seller_region="RU"),R594,0)</f>
        <v/>
      </c>
      <c r="T594" s="45" t="n"/>
      <c r="V594" s="57">
        <f>IF(Q594&gt;0,"показать","скрыть")</f>
        <v/>
      </c>
    </row>
    <row r="595" ht="15.75" customHeight="1">
      <c r="B595" s="809" t="n">
        <v>579</v>
      </c>
      <c r="C595" s="182">
        <f>IF(offer_sale_type="транзит",IFERROR(VLOOKUP($B595,calc_data,C$14+1,0),0),0)</f>
        <v/>
      </c>
      <c r="D595" s="280">
        <f>IF(offer_sale_type="транзит",IFERROR(VLOOKUP($B595,calc_data,D$14+1,0),0),0)</f>
        <v/>
      </c>
      <c r="E595" s="182">
        <f>IF(offer_sale_type="транзит",IFERROR(VLOOKUP($B595,calc_data,E$14+1,0),0),0)</f>
        <v/>
      </c>
      <c r="F595" s="182">
        <f>IF(offer_sale_type="транзит",IFERROR(VLOOKUP($B595,calc_data,F$14+1,0),0),0)</f>
        <v/>
      </c>
      <c r="G595" s="141">
        <f>IF(offer_sale_type="транзит",IFERROR(VLOOKUP($B595,calc_data,G$14+1,0),0),0)</f>
        <v/>
      </c>
      <c r="H595" s="141">
        <f>E595*G595</f>
        <v/>
      </c>
      <c r="I595" s="141">
        <f>IF(offer_sale_type="транзит",IFERROR(ROUND(VLOOKUP($B595,calc_data,I$14+1,0),2),0),0)</f>
        <v/>
      </c>
      <c r="J595" s="141">
        <f>ROUND(IF(offer_sale_type="транзит",IFERROR(VLOOKUP($B595,calc_data,J$14+1,0),0),0),2)</f>
        <v/>
      </c>
      <c r="K595" s="142">
        <f>IF(offer_sale_type="транзит",IFERROR(ROUNDUP(VLOOKUP($B595,calc_data,K$14+1,0),2),0),0)</f>
        <v/>
      </c>
      <c r="L595" s="184">
        <f>IF(offer_sale_type="транзит",IFERROR(ROUNDUP(VLOOKUP($B595,calc_data,L$14+1,0),2),0),0)</f>
        <v/>
      </c>
      <c r="M595" s="141">
        <f>IF(offer_sale_type="транзит",IFERROR(ROUNDUP(VLOOKUP($B595,calc_data,M$14+1,0),2),0),0)</f>
        <v/>
      </c>
      <c r="N595" s="141">
        <f>IF(offer_sale_type="транзит",IFERROR(ROUNDUP(VLOOKUP($B595,calc_data,N$14+1,0),2),0),0)</f>
        <v/>
      </c>
      <c r="O595" s="147">
        <f>IF(offer_sale_type="транзит",IFERROR(ROUND(VLOOKUP($B595,calc_data,O$14+1,1),2),0),0)</f>
        <v/>
      </c>
      <c r="P595" s="141">
        <f>IF(offer_sale_type="транзит",IFERROR(ROUND(SUM(I595:J595,M595:O595)/E595,2),0),0)</f>
        <v/>
      </c>
      <c r="Q595" s="141">
        <f>E595*P595</f>
        <v/>
      </c>
      <c r="R595" s="141">
        <f>ROUND(Q595*IF(AND(offer_incoterms="DDP",seller_region="RU"),IF((TODAY()+offer_turnaround_time)&gt;=helpsheet!$L$17,rate_vatRU_from_26,rate_vatRu_till_25),0),2)</f>
        <v/>
      </c>
      <c r="S595" s="177">
        <f>Q595+IF(AND(offer_incoterms="DDP",seller_region="RU"),R595,0)</f>
        <v/>
      </c>
      <c r="T595" s="45" t="n"/>
      <c r="V595" s="57">
        <f>IF(Q595&gt;0,"показать","скрыть")</f>
        <v/>
      </c>
    </row>
    <row r="596" ht="15.75" customHeight="1">
      <c r="B596" s="809" t="n">
        <v>580</v>
      </c>
      <c r="C596" s="182">
        <f>IF(offer_sale_type="транзит",IFERROR(VLOOKUP($B596,calc_data,C$14+1,0),0),0)</f>
        <v/>
      </c>
      <c r="D596" s="280">
        <f>IF(offer_sale_type="транзит",IFERROR(VLOOKUP($B596,calc_data,D$14+1,0),0),0)</f>
        <v/>
      </c>
      <c r="E596" s="182">
        <f>IF(offer_sale_type="транзит",IFERROR(VLOOKUP($B596,calc_data,E$14+1,0),0),0)</f>
        <v/>
      </c>
      <c r="F596" s="182">
        <f>IF(offer_sale_type="транзит",IFERROR(VLOOKUP($B596,calc_data,F$14+1,0),0),0)</f>
        <v/>
      </c>
      <c r="G596" s="141">
        <f>IF(offer_sale_type="транзит",IFERROR(VLOOKUP($B596,calc_data,G$14+1,0),0),0)</f>
        <v/>
      </c>
      <c r="H596" s="141">
        <f>E596*G596</f>
        <v/>
      </c>
      <c r="I596" s="141">
        <f>IF(offer_sale_type="транзит",IFERROR(ROUND(VLOOKUP($B596,calc_data,I$14+1,0),2),0),0)</f>
        <v/>
      </c>
      <c r="J596" s="141">
        <f>ROUND(IF(offer_sale_type="транзит",IFERROR(VLOOKUP($B596,calc_data,J$14+1,0),0),0),2)</f>
        <v/>
      </c>
      <c r="K596" s="142">
        <f>IF(offer_sale_type="транзит",IFERROR(ROUNDUP(VLOOKUP($B596,calc_data,K$14+1,0),2),0),0)</f>
        <v/>
      </c>
      <c r="L596" s="184">
        <f>IF(offer_sale_type="транзит",IFERROR(ROUNDUP(VLOOKUP($B596,calc_data,L$14+1,0),2),0),0)</f>
        <v/>
      </c>
      <c r="M596" s="141">
        <f>IF(offer_sale_type="транзит",IFERROR(ROUNDUP(VLOOKUP($B596,calc_data,M$14+1,0),2),0),0)</f>
        <v/>
      </c>
      <c r="N596" s="141">
        <f>IF(offer_sale_type="транзит",IFERROR(ROUNDUP(VLOOKUP($B596,calc_data,N$14+1,0),2),0),0)</f>
        <v/>
      </c>
      <c r="O596" s="147">
        <f>IF(offer_sale_type="транзит",IFERROR(ROUND(VLOOKUP($B596,calc_data,O$14+1,1),2),0),0)</f>
        <v/>
      </c>
      <c r="P596" s="141">
        <f>IF(offer_sale_type="транзит",IFERROR(ROUND(SUM(I596:J596,M596:O596)/E596,2),0),0)</f>
        <v/>
      </c>
      <c r="Q596" s="141">
        <f>E596*P596</f>
        <v/>
      </c>
      <c r="R596" s="141">
        <f>ROUND(Q596*IF(AND(offer_incoterms="DDP",seller_region="RU"),IF((TODAY()+offer_turnaround_time)&gt;=helpsheet!$L$17,rate_vatRU_from_26,rate_vatRu_till_25),0),2)</f>
        <v/>
      </c>
      <c r="S596" s="177">
        <f>Q596+IF(AND(offer_incoterms="DDP",seller_region="RU"),R596,0)</f>
        <v/>
      </c>
      <c r="T596" s="45" t="n"/>
      <c r="V596" s="57">
        <f>IF(Q596&gt;0,"показать","скрыть")</f>
        <v/>
      </c>
    </row>
    <row r="597" ht="15.75" customHeight="1">
      <c r="B597" s="809" t="n">
        <v>581</v>
      </c>
      <c r="C597" s="182">
        <f>IF(offer_sale_type="транзит",IFERROR(VLOOKUP($B597,calc_data,C$14+1,0),0),0)</f>
        <v/>
      </c>
      <c r="D597" s="280">
        <f>IF(offer_sale_type="транзит",IFERROR(VLOOKUP($B597,calc_data,D$14+1,0),0),0)</f>
        <v/>
      </c>
      <c r="E597" s="182">
        <f>IF(offer_sale_type="транзит",IFERROR(VLOOKUP($B597,calc_data,E$14+1,0),0),0)</f>
        <v/>
      </c>
      <c r="F597" s="182">
        <f>IF(offer_sale_type="транзит",IFERROR(VLOOKUP($B597,calc_data,F$14+1,0),0),0)</f>
        <v/>
      </c>
      <c r="G597" s="141">
        <f>IF(offer_sale_type="транзит",IFERROR(VLOOKUP($B597,calc_data,G$14+1,0),0),0)</f>
        <v/>
      </c>
      <c r="H597" s="141">
        <f>E597*G597</f>
        <v/>
      </c>
      <c r="I597" s="141">
        <f>IF(offer_sale_type="транзит",IFERROR(ROUND(VLOOKUP($B597,calc_data,I$14+1,0),2),0),0)</f>
        <v/>
      </c>
      <c r="J597" s="141">
        <f>ROUND(IF(offer_sale_type="транзит",IFERROR(VLOOKUP($B597,calc_data,J$14+1,0),0),0),2)</f>
        <v/>
      </c>
      <c r="K597" s="142">
        <f>IF(offer_sale_type="транзит",IFERROR(ROUNDUP(VLOOKUP($B597,calc_data,K$14+1,0),2),0),0)</f>
        <v/>
      </c>
      <c r="L597" s="184">
        <f>IF(offer_sale_type="транзит",IFERROR(ROUNDUP(VLOOKUP($B597,calc_data,L$14+1,0),2),0),0)</f>
        <v/>
      </c>
      <c r="M597" s="141">
        <f>IF(offer_sale_type="транзит",IFERROR(ROUNDUP(VLOOKUP($B597,calc_data,M$14+1,0),2),0),0)</f>
        <v/>
      </c>
      <c r="N597" s="141">
        <f>IF(offer_sale_type="транзит",IFERROR(ROUNDUP(VLOOKUP($B597,calc_data,N$14+1,0),2),0),0)</f>
        <v/>
      </c>
      <c r="O597" s="147">
        <f>IF(offer_sale_type="транзит",IFERROR(ROUND(VLOOKUP($B597,calc_data,O$14+1,1),2),0),0)</f>
        <v/>
      </c>
      <c r="P597" s="141">
        <f>IF(offer_sale_type="транзит",IFERROR(ROUND(SUM(I597:J597,M597:O597)/E597,2),0),0)</f>
        <v/>
      </c>
      <c r="Q597" s="141">
        <f>E597*P597</f>
        <v/>
      </c>
      <c r="R597" s="141">
        <f>ROUND(Q597*IF(AND(offer_incoterms="DDP",seller_region="RU"),IF((TODAY()+offer_turnaround_time)&gt;=helpsheet!$L$17,rate_vatRU_from_26,rate_vatRu_till_25),0),2)</f>
        <v/>
      </c>
      <c r="S597" s="177">
        <f>Q597+IF(AND(offer_incoterms="DDP",seller_region="RU"),R597,0)</f>
        <v/>
      </c>
      <c r="T597" s="45" t="n"/>
      <c r="V597" s="57">
        <f>IF(Q597&gt;0,"показать","скрыть")</f>
        <v/>
      </c>
    </row>
    <row r="598" ht="15.75" customHeight="1">
      <c r="B598" s="809" t="n">
        <v>582</v>
      </c>
      <c r="C598" s="182">
        <f>IF(offer_sale_type="транзит",IFERROR(VLOOKUP($B598,calc_data,C$14+1,0),0),0)</f>
        <v/>
      </c>
      <c r="D598" s="280">
        <f>IF(offer_sale_type="транзит",IFERROR(VLOOKUP($B598,calc_data,D$14+1,0),0),0)</f>
        <v/>
      </c>
      <c r="E598" s="182">
        <f>IF(offer_sale_type="транзит",IFERROR(VLOOKUP($B598,calc_data,E$14+1,0),0),0)</f>
        <v/>
      </c>
      <c r="F598" s="182">
        <f>IF(offer_sale_type="транзит",IFERROR(VLOOKUP($B598,calc_data,F$14+1,0),0),0)</f>
        <v/>
      </c>
      <c r="G598" s="141">
        <f>IF(offer_sale_type="транзит",IFERROR(VLOOKUP($B598,calc_data,G$14+1,0),0),0)</f>
        <v/>
      </c>
      <c r="H598" s="141">
        <f>E598*G598</f>
        <v/>
      </c>
      <c r="I598" s="141">
        <f>IF(offer_sale_type="транзит",IFERROR(ROUND(VLOOKUP($B598,calc_data,I$14+1,0),2),0),0)</f>
        <v/>
      </c>
      <c r="J598" s="141">
        <f>ROUND(IF(offer_sale_type="транзит",IFERROR(VLOOKUP($B598,calc_data,J$14+1,0),0),0),2)</f>
        <v/>
      </c>
      <c r="K598" s="142">
        <f>IF(offer_sale_type="транзит",IFERROR(ROUNDUP(VLOOKUP($B598,calc_data,K$14+1,0),2),0),0)</f>
        <v/>
      </c>
      <c r="L598" s="184">
        <f>IF(offer_sale_type="транзит",IFERROR(ROUNDUP(VLOOKUP($B598,calc_data,L$14+1,0),2),0),0)</f>
        <v/>
      </c>
      <c r="M598" s="141">
        <f>IF(offer_sale_type="транзит",IFERROR(ROUNDUP(VLOOKUP($B598,calc_data,M$14+1,0),2),0),0)</f>
        <v/>
      </c>
      <c r="N598" s="141">
        <f>IF(offer_sale_type="транзит",IFERROR(ROUNDUP(VLOOKUP($B598,calc_data,N$14+1,0),2),0),0)</f>
        <v/>
      </c>
      <c r="O598" s="147">
        <f>IF(offer_sale_type="транзит",IFERROR(ROUND(VLOOKUP($B598,calc_data,O$14+1,1),2),0),0)</f>
        <v/>
      </c>
      <c r="P598" s="141">
        <f>IF(offer_sale_type="транзит",IFERROR(ROUND(SUM(I598:J598,M598:O598)/E598,2),0),0)</f>
        <v/>
      </c>
      <c r="Q598" s="141">
        <f>E598*P598</f>
        <v/>
      </c>
      <c r="R598" s="141">
        <f>ROUND(Q598*IF(AND(offer_incoterms="DDP",seller_region="RU"),IF((TODAY()+offer_turnaround_time)&gt;=helpsheet!$L$17,rate_vatRU_from_26,rate_vatRu_till_25),0),2)</f>
        <v/>
      </c>
      <c r="S598" s="177">
        <f>Q598+IF(AND(offer_incoterms="DDP",seller_region="RU"),R598,0)</f>
        <v/>
      </c>
      <c r="T598" s="45" t="n"/>
      <c r="V598" s="57">
        <f>IF(Q598&gt;0,"показать","скрыть")</f>
        <v/>
      </c>
    </row>
    <row r="599" ht="15.75" customHeight="1">
      <c r="B599" s="809" t="n">
        <v>583</v>
      </c>
      <c r="C599" s="182">
        <f>IF(offer_sale_type="транзит",IFERROR(VLOOKUP($B599,calc_data,C$14+1,0),0),0)</f>
        <v/>
      </c>
      <c r="D599" s="280">
        <f>IF(offer_sale_type="транзит",IFERROR(VLOOKUP($B599,calc_data,D$14+1,0),0),0)</f>
        <v/>
      </c>
      <c r="E599" s="182">
        <f>IF(offer_sale_type="транзит",IFERROR(VLOOKUP($B599,calc_data,E$14+1,0),0),0)</f>
        <v/>
      </c>
      <c r="F599" s="182">
        <f>IF(offer_sale_type="транзит",IFERROR(VLOOKUP($B599,calc_data,F$14+1,0),0),0)</f>
        <v/>
      </c>
      <c r="G599" s="141">
        <f>IF(offer_sale_type="транзит",IFERROR(VLOOKUP($B599,calc_data,G$14+1,0),0),0)</f>
        <v/>
      </c>
      <c r="H599" s="141">
        <f>E599*G599</f>
        <v/>
      </c>
      <c r="I599" s="141">
        <f>IF(offer_sale_type="транзит",IFERROR(ROUND(VLOOKUP($B599,calc_data,I$14+1,0),2),0),0)</f>
        <v/>
      </c>
      <c r="J599" s="141">
        <f>ROUND(IF(offer_sale_type="транзит",IFERROR(VLOOKUP($B599,calc_data,J$14+1,0),0),0),2)</f>
        <v/>
      </c>
      <c r="K599" s="142">
        <f>IF(offer_sale_type="транзит",IFERROR(ROUNDUP(VLOOKUP($B599,calc_data,K$14+1,0),2),0),0)</f>
        <v/>
      </c>
      <c r="L599" s="184">
        <f>IF(offer_sale_type="транзит",IFERROR(ROUNDUP(VLOOKUP($B599,calc_data,L$14+1,0),2),0),0)</f>
        <v/>
      </c>
      <c r="M599" s="141">
        <f>IF(offer_sale_type="транзит",IFERROR(ROUNDUP(VLOOKUP($B599,calc_data,M$14+1,0),2),0),0)</f>
        <v/>
      </c>
      <c r="N599" s="141">
        <f>IF(offer_sale_type="транзит",IFERROR(ROUNDUP(VLOOKUP($B599,calc_data,N$14+1,0),2),0),0)</f>
        <v/>
      </c>
      <c r="O599" s="147">
        <f>IF(offer_sale_type="транзит",IFERROR(ROUND(VLOOKUP($B599,calc_data,O$14+1,1),2),0),0)</f>
        <v/>
      </c>
      <c r="P599" s="141">
        <f>IF(offer_sale_type="транзит",IFERROR(ROUND(SUM(I599:J599,M599:O599)/E599,2),0),0)</f>
        <v/>
      </c>
      <c r="Q599" s="141">
        <f>E599*P599</f>
        <v/>
      </c>
      <c r="R599" s="141">
        <f>ROUND(Q599*IF(AND(offer_incoterms="DDP",seller_region="RU"),IF((TODAY()+offer_turnaround_time)&gt;=helpsheet!$L$17,rate_vatRU_from_26,rate_vatRu_till_25),0),2)</f>
        <v/>
      </c>
      <c r="S599" s="177">
        <f>Q599+IF(AND(offer_incoterms="DDP",seller_region="RU"),R599,0)</f>
        <v/>
      </c>
      <c r="T599" s="45" t="n"/>
      <c r="V599" s="57">
        <f>IF(Q599&gt;0,"показать","скрыть")</f>
        <v/>
      </c>
    </row>
    <row r="600" ht="15.75" customHeight="1">
      <c r="B600" s="809" t="n">
        <v>584</v>
      </c>
      <c r="C600" s="182">
        <f>IF(offer_sale_type="транзит",IFERROR(VLOOKUP($B600,calc_data,C$14+1,0),0),0)</f>
        <v/>
      </c>
      <c r="D600" s="280">
        <f>IF(offer_sale_type="транзит",IFERROR(VLOOKUP($B600,calc_data,D$14+1,0),0),0)</f>
        <v/>
      </c>
      <c r="E600" s="182">
        <f>IF(offer_sale_type="транзит",IFERROR(VLOOKUP($B600,calc_data,E$14+1,0),0),0)</f>
        <v/>
      </c>
      <c r="F600" s="182">
        <f>IF(offer_sale_type="транзит",IFERROR(VLOOKUP($B600,calc_data,F$14+1,0),0),0)</f>
        <v/>
      </c>
      <c r="G600" s="141">
        <f>IF(offer_sale_type="транзит",IFERROR(VLOOKUP($B600,calc_data,G$14+1,0),0),0)</f>
        <v/>
      </c>
      <c r="H600" s="141">
        <f>E600*G600</f>
        <v/>
      </c>
      <c r="I600" s="141">
        <f>IF(offer_sale_type="транзит",IFERROR(ROUND(VLOOKUP($B600,calc_data,I$14+1,0),2),0),0)</f>
        <v/>
      </c>
      <c r="J600" s="141">
        <f>ROUND(IF(offer_sale_type="транзит",IFERROR(VLOOKUP($B600,calc_data,J$14+1,0),0),0),2)</f>
        <v/>
      </c>
      <c r="K600" s="142">
        <f>IF(offer_sale_type="транзит",IFERROR(ROUNDUP(VLOOKUP($B600,calc_data,K$14+1,0),2),0),0)</f>
        <v/>
      </c>
      <c r="L600" s="184">
        <f>IF(offer_sale_type="транзит",IFERROR(ROUNDUP(VLOOKUP($B600,calc_data,L$14+1,0),2),0),0)</f>
        <v/>
      </c>
      <c r="M600" s="141">
        <f>IF(offer_sale_type="транзит",IFERROR(ROUNDUP(VLOOKUP($B600,calc_data,M$14+1,0),2),0),0)</f>
        <v/>
      </c>
      <c r="N600" s="141">
        <f>IF(offer_sale_type="транзит",IFERROR(ROUNDUP(VLOOKUP($B600,calc_data,N$14+1,0),2),0),0)</f>
        <v/>
      </c>
      <c r="O600" s="147">
        <f>IF(offer_sale_type="транзит",IFERROR(ROUND(VLOOKUP($B600,calc_data,O$14+1,1),2),0),0)</f>
        <v/>
      </c>
      <c r="P600" s="141">
        <f>IF(offer_sale_type="транзит",IFERROR(ROUND(SUM(I600:J600,M600:O600)/E600,2),0),0)</f>
        <v/>
      </c>
      <c r="Q600" s="141">
        <f>E600*P600</f>
        <v/>
      </c>
      <c r="R600" s="141">
        <f>ROUND(Q600*IF(AND(offer_incoterms="DDP",seller_region="RU"),IF((TODAY()+offer_turnaround_time)&gt;=helpsheet!$L$17,rate_vatRU_from_26,rate_vatRu_till_25),0),2)</f>
        <v/>
      </c>
      <c r="S600" s="177">
        <f>Q600+IF(AND(offer_incoterms="DDP",seller_region="RU"),R600,0)</f>
        <v/>
      </c>
      <c r="T600" s="45" t="n"/>
      <c r="V600" s="57">
        <f>IF(Q600&gt;0,"показать","скрыть")</f>
        <v/>
      </c>
    </row>
    <row r="601" ht="15.75" customHeight="1">
      <c r="B601" s="809" t="n">
        <v>585</v>
      </c>
      <c r="C601" s="182">
        <f>IF(offer_sale_type="транзит",IFERROR(VLOOKUP($B601,calc_data,C$14+1,0),0),0)</f>
        <v/>
      </c>
      <c r="D601" s="280">
        <f>IF(offer_sale_type="транзит",IFERROR(VLOOKUP($B601,calc_data,D$14+1,0),0),0)</f>
        <v/>
      </c>
      <c r="E601" s="182">
        <f>IF(offer_sale_type="транзит",IFERROR(VLOOKUP($B601,calc_data,E$14+1,0),0),0)</f>
        <v/>
      </c>
      <c r="F601" s="182">
        <f>IF(offer_sale_type="транзит",IFERROR(VLOOKUP($B601,calc_data,F$14+1,0),0),0)</f>
        <v/>
      </c>
      <c r="G601" s="141">
        <f>IF(offer_sale_type="транзит",IFERROR(VLOOKUP($B601,calc_data,G$14+1,0),0),0)</f>
        <v/>
      </c>
      <c r="H601" s="141">
        <f>E601*G601</f>
        <v/>
      </c>
      <c r="I601" s="141">
        <f>IF(offer_sale_type="транзит",IFERROR(ROUND(VLOOKUP($B601,calc_data,I$14+1,0),2),0),0)</f>
        <v/>
      </c>
      <c r="J601" s="141">
        <f>ROUND(IF(offer_sale_type="транзит",IFERROR(VLOOKUP($B601,calc_data,J$14+1,0),0),0),2)</f>
        <v/>
      </c>
      <c r="K601" s="142">
        <f>IF(offer_sale_type="транзит",IFERROR(ROUNDUP(VLOOKUP($B601,calc_data,K$14+1,0),2),0),0)</f>
        <v/>
      </c>
      <c r="L601" s="184">
        <f>IF(offer_sale_type="транзит",IFERROR(ROUNDUP(VLOOKUP($B601,calc_data,L$14+1,0),2),0),0)</f>
        <v/>
      </c>
      <c r="M601" s="141">
        <f>IF(offer_sale_type="транзит",IFERROR(ROUNDUP(VLOOKUP($B601,calc_data,M$14+1,0),2),0),0)</f>
        <v/>
      </c>
      <c r="N601" s="141">
        <f>IF(offer_sale_type="транзит",IFERROR(ROUNDUP(VLOOKUP($B601,calc_data,N$14+1,0),2),0),0)</f>
        <v/>
      </c>
      <c r="O601" s="147">
        <f>IF(offer_sale_type="транзит",IFERROR(ROUND(VLOOKUP($B601,calc_data,O$14+1,1),2),0),0)</f>
        <v/>
      </c>
      <c r="P601" s="141">
        <f>IF(offer_sale_type="транзит",IFERROR(ROUND(SUM(I601:J601,M601:O601)/E601,2),0),0)</f>
        <v/>
      </c>
      <c r="Q601" s="141">
        <f>E601*P601</f>
        <v/>
      </c>
      <c r="R601" s="141">
        <f>ROUND(Q601*IF(AND(offer_incoterms="DDP",seller_region="RU"),IF((TODAY()+offer_turnaround_time)&gt;=helpsheet!$L$17,rate_vatRU_from_26,rate_vatRu_till_25),0),2)</f>
        <v/>
      </c>
      <c r="S601" s="177">
        <f>Q601+IF(AND(offer_incoterms="DDP",seller_region="RU"),R601,0)</f>
        <v/>
      </c>
      <c r="T601" s="45" t="n"/>
      <c r="V601" s="57">
        <f>IF(Q601&gt;0,"показать","скрыть")</f>
        <v/>
      </c>
    </row>
    <row r="602" ht="15.75" customHeight="1">
      <c r="B602" s="809" t="n">
        <v>586</v>
      </c>
      <c r="C602" s="182">
        <f>IF(offer_sale_type="транзит",IFERROR(VLOOKUP($B602,calc_data,C$14+1,0),0),0)</f>
        <v/>
      </c>
      <c r="D602" s="280">
        <f>IF(offer_sale_type="транзит",IFERROR(VLOOKUP($B602,calc_data,D$14+1,0),0),0)</f>
        <v/>
      </c>
      <c r="E602" s="182">
        <f>IF(offer_sale_type="транзит",IFERROR(VLOOKUP($B602,calc_data,E$14+1,0),0),0)</f>
        <v/>
      </c>
      <c r="F602" s="182">
        <f>IF(offer_sale_type="транзит",IFERROR(VLOOKUP($B602,calc_data,F$14+1,0),0),0)</f>
        <v/>
      </c>
      <c r="G602" s="141">
        <f>IF(offer_sale_type="транзит",IFERROR(VLOOKUP($B602,calc_data,G$14+1,0),0),0)</f>
        <v/>
      </c>
      <c r="H602" s="141">
        <f>E602*G602</f>
        <v/>
      </c>
      <c r="I602" s="141">
        <f>IF(offer_sale_type="транзит",IFERROR(ROUND(VLOOKUP($B602,calc_data,I$14+1,0),2),0),0)</f>
        <v/>
      </c>
      <c r="J602" s="141">
        <f>ROUND(IF(offer_sale_type="транзит",IFERROR(VLOOKUP($B602,calc_data,J$14+1,0),0),0),2)</f>
        <v/>
      </c>
      <c r="K602" s="142">
        <f>IF(offer_sale_type="транзит",IFERROR(ROUNDUP(VLOOKUP($B602,calc_data,K$14+1,0),2),0),0)</f>
        <v/>
      </c>
      <c r="L602" s="184">
        <f>IF(offer_sale_type="транзит",IFERROR(ROUNDUP(VLOOKUP($B602,calc_data,L$14+1,0),2),0),0)</f>
        <v/>
      </c>
      <c r="M602" s="141">
        <f>IF(offer_sale_type="транзит",IFERROR(ROUNDUP(VLOOKUP($B602,calc_data,M$14+1,0),2),0),0)</f>
        <v/>
      </c>
      <c r="N602" s="141">
        <f>IF(offer_sale_type="транзит",IFERROR(ROUNDUP(VLOOKUP($B602,calc_data,N$14+1,0),2),0),0)</f>
        <v/>
      </c>
      <c r="O602" s="147">
        <f>IF(offer_sale_type="транзит",IFERROR(ROUND(VLOOKUP($B602,calc_data,O$14+1,1),2),0),0)</f>
        <v/>
      </c>
      <c r="P602" s="141">
        <f>IF(offer_sale_type="транзит",IFERROR(ROUND(SUM(I602:J602,M602:O602)/E602,2),0),0)</f>
        <v/>
      </c>
      <c r="Q602" s="141">
        <f>E602*P602</f>
        <v/>
      </c>
      <c r="R602" s="141">
        <f>ROUND(Q602*IF(AND(offer_incoterms="DDP",seller_region="RU"),IF((TODAY()+offer_turnaround_time)&gt;=helpsheet!$L$17,rate_vatRU_from_26,rate_vatRu_till_25),0),2)</f>
        <v/>
      </c>
      <c r="S602" s="177">
        <f>Q602+IF(AND(offer_incoterms="DDP",seller_region="RU"),R602,0)</f>
        <v/>
      </c>
      <c r="T602" s="45" t="n"/>
      <c r="V602" s="57">
        <f>IF(Q602&gt;0,"показать","скрыть")</f>
        <v/>
      </c>
    </row>
    <row r="603" ht="15.75" customHeight="1">
      <c r="B603" s="809" t="n">
        <v>587</v>
      </c>
      <c r="C603" s="182">
        <f>IF(offer_sale_type="транзит",IFERROR(VLOOKUP($B603,calc_data,C$14+1,0),0),0)</f>
        <v/>
      </c>
      <c r="D603" s="280">
        <f>IF(offer_sale_type="транзит",IFERROR(VLOOKUP($B603,calc_data,D$14+1,0),0),0)</f>
        <v/>
      </c>
      <c r="E603" s="182">
        <f>IF(offer_sale_type="транзит",IFERROR(VLOOKUP($B603,calc_data,E$14+1,0),0),0)</f>
        <v/>
      </c>
      <c r="F603" s="182">
        <f>IF(offer_sale_type="транзит",IFERROR(VLOOKUP($B603,calc_data,F$14+1,0),0),0)</f>
        <v/>
      </c>
      <c r="G603" s="141">
        <f>IF(offer_sale_type="транзит",IFERROR(VLOOKUP($B603,calc_data,G$14+1,0),0),0)</f>
        <v/>
      </c>
      <c r="H603" s="141">
        <f>E603*G603</f>
        <v/>
      </c>
      <c r="I603" s="141">
        <f>IF(offer_sale_type="транзит",IFERROR(ROUND(VLOOKUP($B603,calc_data,I$14+1,0),2),0),0)</f>
        <v/>
      </c>
      <c r="J603" s="141">
        <f>ROUND(IF(offer_sale_type="транзит",IFERROR(VLOOKUP($B603,calc_data,J$14+1,0),0),0),2)</f>
        <v/>
      </c>
      <c r="K603" s="142">
        <f>IF(offer_sale_type="транзит",IFERROR(ROUNDUP(VLOOKUP($B603,calc_data,K$14+1,0),2),0),0)</f>
        <v/>
      </c>
      <c r="L603" s="184">
        <f>IF(offer_sale_type="транзит",IFERROR(ROUNDUP(VLOOKUP($B603,calc_data,L$14+1,0),2),0),0)</f>
        <v/>
      </c>
      <c r="M603" s="141">
        <f>IF(offer_sale_type="транзит",IFERROR(ROUNDUP(VLOOKUP($B603,calc_data,M$14+1,0),2),0),0)</f>
        <v/>
      </c>
      <c r="N603" s="141">
        <f>IF(offer_sale_type="транзит",IFERROR(ROUNDUP(VLOOKUP($B603,calc_data,N$14+1,0),2),0),0)</f>
        <v/>
      </c>
      <c r="O603" s="147">
        <f>IF(offer_sale_type="транзит",IFERROR(ROUND(VLOOKUP($B603,calc_data,O$14+1,1),2),0),0)</f>
        <v/>
      </c>
      <c r="P603" s="141">
        <f>IF(offer_sale_type="транзит",IFERROR(ROUND(SUM(I603:J603,M603:O603)/E603,2),0),0)</f>
        <v/>
      </c>
      <c r="Q603" s="141">
        <f>E603*P603</f>
        <v/>
      </c>
      <c r="R603" s="141">
        <f>ROUND(Q603*IF(AND(offer_incoterms="DDP",seller_region="RU"),IF((TODAY()+offer_turnaround_time)&gt;=helpsheet!$L$17,rate_vatRU_from_26,rate_vatRu_till_25),0),2)</f>
        <v/>
      </c>
      <c r="S603" s="177">
        <f>Q603+IF(AND(offer_incoterms="DDP",seller_region="RU"),R603,0)</f>
        <v/>
      </c>
      <c r="T603" s="45" t="n"/>
      <c r="V603" s="57">
        <f>IF(Q603&gt;0,"показать","скрыть")</f>
        <v/>
      </c>
    </row>
    <row r="604" ht="15.75" customHeight="1">
      <c r="B604" s="809" t="n">
        <v>588</v>
      </c>
      <c r="C604" s="182">
        <f>IF(offer_sale_type="транзит",IFERROR(VLOOKUP($B604,calc_data,C$14+1,0),0),0)</f>
        <v/>
      </c>
      <c r="D604" s="280">
        <f>IF(offer_sale_type="транзит",IFERROR(VLOOKUP($B604,calc_data,D$14+1,0),0),0)</f>
        <v/>
      </c>
      <c r="E604" s="182">
        <f>IF(offer_sale_type="транзит",IFERROR(VLOOKUP($B604,calc_data,E$14+1,0),0),0)</f>
        <v/>
      </c>
      <c r="F604" s="182">
        <f>IF(offer_sale_type="транзит",IFERROR(VLOOKUP($B604,calc_data,F$14+1,0),0),0)</f>
        <v/>
      </c>
      <c r="G604" s="141">
        <f>IF(offer_sale_type="транзит",IFERROR(VLOOKUP($B604,calc_data,G$14+1,0),0),0)</f>
        <v/>
      </c>
      <c r="H604" s="141">
        <f>E604*G604</f>
        <v/>
      </c>
      <c r="I604" s="141">
        <f>IF(offer_sale_type="транзит",IFERROR(ROUND(VLOOKUP($B604,calc_data,I$14+1,0),2),0),0)</f>
        <v/>
      </c>
      <c r="J604" s="141">
        <f>ROUND(IF(offer_sale_type="транзит",IFERROR(VLOOKUP($B604,calc_data,J$14+1,0),0),0),2)</f>
        <v/>
      </c>
      <c r="K604" s="142">
        <f>IF(offer_sale_type="транзит",IFERROR(ROUNDUP(VLOOKUP($B604,calc_data,K$14+1,0),2),0),0)</f>
        <v/>
      </c>
      <c r="L604" s="184">
        <f>IF(offer_sale_type="транзит",IFERROR(ROUNDUP(VLOOKUP($B604,calc_data,L$14+1,0),2),0),0)</f>
        <v/>
      </c>
      <c r="M604" s="141">
        <f>IF(offer_sale_type="транзит",IFERROR(ROUNDUP(VLOOKUP($B604,calc_data,M$14+1,0),2),0),0)</f>
        <v/>
      </c>
      <c r="N604" s="141">
        <f>IF(offer_sale_type="транзит",IFERROR(ROUNDUP(VLOOKUP($B604,calc_data,N$14+1,0),2),0),0)</f>
        <v/>
      </c>
      <c r="O604" s="147">
        <f>IF(offer_sale_type="транзит",IFERROR(ROUND(VLOOKUP($B604,calc_data,O$14+1,1),2),0),0)</f>
        <v/>
      </c>
      <c r="P604" s="141">
        <f>IF(offer_sale_type="транзит",IFERROR(ROUND(SUM(I604:J604,M604:O604)/E604,2),0),0)</f>
        <v/>
      </c>
      <c r="Q604" s="141">
        <f>E604*P604</f>
        <v/>
      </c>
      <c r="R604" s="141">
        <f>ROUND(Q604*IF(AND(offer_incoterms="DDP",seller_region="RU"),IF((TODAY()+offer_turnaround_time)&gt;=helpsheet!$L$17,rate_vatRU_from_26,rate_vatRu_till_25),0),2)</f>
        <v/>
      </c>
      <c r="S604" s="177">
        <f>Q604+IF(AND(offer_incoterms="DDP",seller_region="RU"),R604,0)</f>
        <v/>
      </c>
      <c r="T604" s="45" t="n"/>
      <c r="V604" s="57">
        <f>IF(Q604&gt;0,"показать","скрыть")</f>
        <v/>
      </c>
    </row>
    <row r="605" ht="15.75" customHeight="1">
      <c r="B605" s="809" t="n">
        <v>589</v>
      </c>
      <c r="C605" s="182">
        <f>IF(offer_sale_type="транзит",IFERROR(VLOOKUP($B605,calc_data,C$14+1,0),0),0)</f>
        <v/>
      </c>
      <c r="D605" s="280">
        <f>IF(offer_sale_type="транзит",IFERROR(VLOOKUP($B605,calc_data,D$14+1,0),0),0)</f>
        <v/>
      </c>
      <c r="E605" s="182">
        <f>IF(offer_sale_type="транзит",IFERROR(VLOOKUP($B605,calc_data,E$14+1,0),0),0)</f>
        <v/>
      </c>
      <c r="F605" s="182">
        <f>IF(offer_sale_type="транзит",IFERROR(VLOOKUP($B605,calc_data,F$14+1,0),0),0)</f>
        <v/>
      </c>
      <c r="G605" s="141">
        <f>IF(offer_sale_type="транзит",IFERROR(VLOOKUP($B605,calc_data,G$14+1,0),0),0)</f>
        <v/>
      </c>
      <c r="H605" s="141">
        <f>E605*G605</f>
        <v/>
      </c>
      <c r="I605" s="141">
        <f>IF(offer_sale_type="транзит",IFERROR(ROUND(VLOOKUP($B605,calc_data,I$14+1,0),2),0),0)</f>
        <v/>
      </c>
      <c r="J605" s="141">
        <f>ROUND(IF(offer_sale_type="транзит",IFERROR(VLOOKUP($B605,calc_data,J$14+1,0),0),0),2)</f>
        <v/>
      </c>
      <c r="K605" s="142">
        <f>IF(offer_sale_type="транзит",IFERROR(ROUNDUP(VLOOKUP($B605,calc_data,K$14+1,0),2),0),0)</f>
        <v/>
      </c>
      <c r="L605" s="184">
        <f>IF(offer_sale_type="транзит",IFERROR(ROUNDUP(VLOOKUP($B605,calc_data,L$14+1,0),2),0),0)</f>
        <v/>
      </c>
      <c r="M605" s="141">
        <f>IF(offer_sale_type="транзит",IFERROR(ROUNDUP(VLOOKUP($B605,calc_data,M$14+1,0),2),0),0)</f>
        <v/>
      </c>
      <c r="N605" s="141">
        <f>IF(offer_sale_type="транзит",IFERROR(ROUNDUP(VLOOKUP($B605,calc_data,N$14+1,0),2),0),0)</f>
        <v/>
      </c>
      <c r="O605" s="147">
        <f>IF(offer_sale_type="транзит",IFERROR(ROUND(VLOOKUP($B605,calc_data,O$14+1,1),2),0),0)</f>
        <v/>
      </c>
      <c r="P605" s="141">
        <f>IF(offer_sale_type="транзит",IFERROR(ROUND(SUM(I605:J605,M605:O605)/E605,2),0),0)</f>
        <v/>
      </c>
      <c r="Q605" s="141">
        <f>E605*P605</f>
        <v/>
      </c>
      <c r="R605" s="141">
        <f>ROUND(Q605*IF(AND(offer_incoterms="DDP",seller_region="RU"),IF((TODAY()+offer_turnaround_time)&gt;=helpsheet!$L$17,rate_vatRU_from_26,rate_vatRu_till_25),0),2)</f>
        <v/>
      </c>
      <c r="S605" s="177">
        <f>Q605+IF(AND(offer_incoterms="DDP",seller_region="RU"),R605,0)</f>
        <v/>
      </c>
      <c r="T605" s="45" t="n"/>
      <c r="V605" s="57">
        <f>IF(Q605&gt;0,"показать","скрыть")</f>
        <v/>
      </c>
    </row>
    <row r="606" ht="15.75" customHeight="1">
      <c r="B606" s="809" t="n">
        <v>590</v>
      </c>
      <c r="C606" s="182">
        <f>IF(offer_sale_type="транзит",IFERROR(VLOOKUP($B606,calc_data,C$14+1,0),0),0)</f>
        <v/>
      </c>
      <c r="D606" s="280">
        <f>IF(offer_sale_type="транзит",IFERROR(VLOOKUP($B606,calc_data,D$14+1,0),0),0)</f>
        <v/>
      </c>
      <c r="E606" s="182">
        <f>IF(offer_sale_type="транзит",IFERROR(VLOOKUP($B606,calc_data,E$14+1,0),0),0)</f>
        <v/>
      </c>
      <c r="F606" s="182">
        <f>IF(offer_sale_type="транзит",IFERROR(VLOOKUP($B606,calc_data,F$14+1,0),0),0)</f>
        <v/>
      </c>
      <c r="G606" s="141">
        <f>IF(offer_sale_type="транзит",IFERROR(VLOOKUP($B606,calc_data,G$14+1,0),0),0)</f>
        <v/>
      </c>
      <c r="H606" s="141">
        <f>E606*G606</f>
        <v/>
      </c>
      <c r="I606" s="141">
        <f>IF(offer_sale_type="транзит",IFERROR(ROUND(VLOOKUP($B606,calc_data,I$14+1,0),2),0),0)</f>
        <v/>
      </c>
      <c r="J606" s="141">
        <f>ROUND(IF(offer_sale_type="транзит",IFERROR(VLOOKUP($B606,calc_data,J$14+1,0),0),0),2)</f>
        <v/>
      </c>
      <c r="K606" s="142">
        <f>IF(offer_sale_type="транзит",IFERROR(ROUNDUP(VLOOKUP($B606,calc_data,K$14+1,0),2),0),0)</f>
        <v/>
      </c>
      <c r="L606" s="184">
        <f>IF(offer_sale_type="транзит",IFERROR(ROUNDUP(VLOOKUP($B606,calc_data,L$14+1,0),2),0),0)</f>
        <v/>
      </c>
      <c r="M606" s="141">
        <f>IF(offer_sale_type="транзит",IFERROR(ROUNDUP(VLOOKUP($B606,calc_data,M$14+1,0),2),0),0)</f>
        <v/>
      </c>
      <c r="N606" s="141">
        <f>IF(offer_sale_type="транзит",IFERROR(ROUNDUP(VLOOKUP($B606,calc_data,N$14+1,0),2),0),0)</f>
        <v/>
      </c>
      <c r="O606" s="147">
        <f>IF(offer_sale_type="транзит",IFERROR(ROUND(VLOOKUP($B606,calc_data,O$14+1,1),2),0),0)</f>
        <v/>
      </c>
      <c r="P606" s="141">
        <f>IF(offer_sale_type="транзит",IFERROR(ROUND(SUM(I606:J606,M606:O606)/E606,2),0),0)</f>
        <v/>
      </c>
      <c r="Q606" s="141">
        <f>E606*P606</f>
        <v/>
      </c>
      <c r="R606" s="141">
        <f>ROUND(Q606*IF(AND(offer_incoterms="DDP",seller_region="RU"),IF((TODAY()+offer_turnaround_time)&gt;=helpsheet!$L$17,rate_vatRU_from_26,rate_vatRu_till_25),0),2)</f>
        <v/>
      </c>
      <c r="S606" s="177">
        <f>Q606+IF(AND(offer_incoterms="DDP",seller_region="RU"),R606,0)</f>
        <v/>
      </c>
      <c r="T606" s="45" t="n"/>
      <c r="V606" s="57">
        <f>IF(Q606&gt;0,"показать","скрыть")</f>
        <v/>
      </c>
    </row>
    <row r="607" ht="15.75" customHeight="1">
      <c r="B607" s="809" t="n">
        <v>591</v>
      </c>
      <c r="C607" s="182">
        <f>IF(offer_sale_type="транзит",IFERROR(VLOOKUP($B607,calc_data,C$14+1,0),0),0)</f>
        <v/>
      </c>
      <c r="D607" s="280">
        <f>IF(offer_sale_type="транзит",IFERROR(VLOOKUP($B607,calc_data,D$14+1,0),0),0)</f>
        <v/>
      </c>
      <c r="E607" s="182">
        <f>IF(offer_sale_type="транзит",IFERROR(VLOOKUP($B607,calc_data,E$14+1,0),0),0)</f>
        <v/>
      </c>
      <c r="F607" s="182">
        <f>IF(offer_sale_type="транзит",IFERROR(VLOOKUP($B607,calc_data,F$14+1,0),0),0)</f>
        <v/>
      </c>
      <c r="G607" s="141">
        <f>IF(offer_sale_type="транзит",IFERROR(VLOOKUP($B607,calc_data,G$14+1,0),0),0)</f>
        <v/>
      </c>
      <c r="H607" s="141">
        <f>E607*G607</f>
        <v/>
      </c>
      <c r="I607" s="141">
        <f>IF(offer_sale_type="транзит",IFERROR(ROUND(VLOOKUP($B607,calc_data,I$14+1,0),2),0),0)</f>
        <v/>
      </c>
      <c r="J607" s="141">
        <f>ROUND(IF(offer_sale_type="транзит",IFERROR(VLOOKUP($B607,calc_data,J$14+1,0),0),0),2)</f>
        <v/>
      </c>
      <c r="K607" s="142">
        <f>IF(offer_sale_type="транзит",IFERROR(ROUNDUP(VLOOKUP($B607,calc_data,K$14+1,0),2),0),0)</f>
        <v/>
      </c>
      <c r="L607" s="184">
        <f>IF(offer_sale_type="транзит",IFERROR(ROUNDUP(VLOOKUP($B607,calc_data,L$14+1,0),2),0),0)</f>
        <v/>
      </c>
      <c r="M607" s="141">
        <f>IF(offer_sale_type="транзит",IFERROR(ROUNDUP(VLOOKUP($B607,calc_data,M$14+1,0),2),0),0)</f>
        <v/>
      </c>
      <c r="N607" s="141">
        <f>IF(offer_sale_type="транзит",IFERROR(ROUNDUP(VLOOKUP($B607,calc_data,N$14+1,0),2),0),0)</f>
        <v/>
      </c>
      <c r="O607" s="147">
        <f>IF(offer_sale_type="транзит",IFERROR(ROUND(VLOOKUP($B607,calc_data,O$14+1,1),2),0),0)</f>
        <v/>
      </c>
      <c r="P607" s="141">
        <f>IF(offer_sale_type="транзит",IFERROR(ROUND(SUM(I607:J607,M607:O607)/E607,2),0),0)</f>
        <v/>
      </c>
      <c r="Q607" s="141">
        <f>E607*P607</f>
        <v/>
      </c>
      <c r="R607" s="141">
        <f>ROUND(Q607*IF(AND(offer_incoterms="DDP",seller_region="RU"),IF((TODAY()+offer_turnaround_time)&gt;=helpsheet!$L$17,rate_vatRU_from_26,rate_vatRu_till_25),0),2)</f>
        <v/>
      </c>
      <c r="S607" s="177">
        <f>Q607+IF(AND(offer_incoterms="DDP",seller_region="RU"),R607,0)</f>
        <v/>
      </c>
      <c r="T607" s="45" t="n"/>
      <c r="V607" s="57">
        <f>IF(Q607&gt;0,"показать","скрыть")</f>
        <v/>
      </c>
    </row>
    <row r="608" ht="15.75" customHeight="1">
      <c r="B608" s="809" t="n">
        <v>592</v>
      </c>
      <c r="C608" s="182">
        <f>IF(offer_sale_type="транзит",IFERROR(VLOOKUP($B608,calc_data,C$14+1,0),0),0)</f>
        <v/>
      </c>
      <c r="D608" s="280">
        <f>IF(offer_sale_type="транзит",IFERROR(VLOOKUP($B608,calc_data,D$14+1,0),0),0)</f>
        <v/>
      </c>
      <c r="E608" s="182">
        <f>IF(offer_sale_type="транзит",IFERROR(VLOOKUP($B608,calc_data,E$14+1,0),0),0)</f>
        <v/>
      </c>
      <c r="F608" s="182">
        <f>IF(offer_sale_type="транзит",IFERROR(VLOOKUP($B608,calc_data,F$14+1,0),0),0)</f>
        <v/>
      </c>
      <c r="G608" s="141">
        <f>IF(offer_sale_type="транзит",IFERROR(VLOOKUP($B608,calc_data,G$14+1,0),0),0)</f>
        <v/>
      </c>
      <c r="H608" s="141">
        <f>E608*G608</f>
        <v/>
      </c>
      <c r="I608" s="141">
        <f>IF(offer_sale_type="транзит",IFERROR(ROUND(VLOOKUP($B608,calc_data,I$14+1,0),2),0),0)</f>
        <v/>
      </c>
      <c r="J608" s="141">
        <f>ROUND(IF(offer_sale_type="транзит",IFERROR(VLOOKUP($B608,calc_data,J$14+1,0),0),0),2)</f>
        <v/>
      </c>
      <c r="K608" s="142">
        <f>IF(offer_sale_type="транзит",IFERROR(ROUNDUP(VLOOKUP($B608,calc_data,K$14+1,0),2),0),0)</f>
        <v/>
      </c>
      <c r="L608" s="184">
        <f>IF(offer_sale_type="транзит",IFERROR(ROUNDUP(VLOOKUP($B608,calc_data,L$14+1,0),2),0),0)</f>
        <v/>
      </c>
      <c r="M608" s="141">
        <f>IF(offer_sale_type="транзит",IFERROR(ROUNDUP(VLOOKUP($B608,calc_data,M$14+1,0),2),0),0)</f>
        <v/>
      </c>
      <c r="N608" s="141">
        <f>IF(offer_sale_type="транзит",IFERROR(ROUNDUP(VLOOKUP($B608,calc_data,N$14+1,0),2),0),0)</f>
        <v/>
      </c>
      <c r="O608" s="147">
        <f>IF(offer_sale_type="транзит",IFERROR(ROUND(VLOOKUP($B608,calc_data,O$14+1,1),2),0),0)</f>
        <v/>
      </c>
      <c r="P608" s="141">
        <f>IF(offer_sale_type="транзит",IFERROR(ROUND(SUM(I608:J608,M608:O608)/E608,2),0),0)</f>
        <v/>
      </c>
      <c r="Q608" s="141">
        <f>E608*P608</f>
        <v/>
      </c>
      <c r="R608" s="141">
        <f>ROUND(Q608*IF(AND(offer_incoterms="DDP",seller_region="RU"),IF((TODAY()+offer_turnaround_time)&gt;=helpsheet!$L$17,rate_vatRU_from_26,rate_vatRu_till_25),0),2)</f>
        <v/>
      </c>
      <c r="S608" s="177">
        <f>Q608+IF(AND(offer_incoterms="DDP",seller_region="RU"),R608,0)</f>
        <v/>
      </c>
      <c r="T608" s="45" t="n"/>
      <c r="V608" s="57">
        <f>IF(Q608&gt;0,"показать","скрыть")</f>
        <v/>
      </c>
    </row>
    <row r="609" ht="15.75" customHeight="1">
      <c r="B609" s="809" t="n">
        <v>593</v>
      </c>
      <c r="C609" s="182">
        <f>IF(offer_sale_type="транзит",IFERROR(VLOOKUP($B609,calc_data,C$14+1,0),0),0)</f>
        <v/>
      </c>
      <c r="D609" s="280">
        <f>IF(offer_sale_type="транзит",IFERROR(VLOOKUP($B609,calc_data,D$14+1,0),0),0)</f>
        <v/>
      </c>
      <c r="E609" s="182">
        <f>IF(offer_sale_type="транзит",IFERROR(VLOOKUP($B609,calc_data,E$14+1,0),0),0)</f>
        <v/>
      </c>
      <c r="F609" s="182">
        <f>IF(offer_sale_type="транзит",IFERROR(VLOOKUP($B609,calc_data,F$14+1,0),0),0)</f>
        <v/>
      </c>
      <c r="G609" s="141">
        <f>IF(offer_sale_type="транзит",IFERROR(VLOOKUP($B609,calc_data,G$14+1,0),0),0)</f>
        <v/>
      </c>
      <c r="H609" s="141">
        <f>E609*G609</f>
        <v/>
      </c>
      <c r="I609" s="141">
        <f>IF(offer_sale_type="транзит",IFERROR(ROUND(VLOOKUP($B609,calc_data,I$14+1,0),2),0),0)</f>
        <v/>
      </c>
      <c r="J609" s="141">
        <f>ROUND(IF(offer_sale_type="транзит",IFERROR(VLOOKUP($B609,calc_data,J$14+1,0),0),0),2)</f>
        <v/>
      </c>
      <c r="K609" s="142">
        <f>IF(offer_sale_type="транзит",IFERROR(ROUNDUP(VLOOKUP($B609,calc_data,K$14+1,0),2),0),0)</f>
        <v/>
      </c>
      <c r="L609" s="184">
        <f>IF(offer_sale_type="транзит",IFERROR(ROUNDUP(VLOOKUP($B609,calc_data,L$14+1,0),2),0),0)</f>
        <v/>
      </c>
      <c r="M609" s="141">
        <f>IF(offer_sale_type="транзит",IFERROR(ROUNDUP(VLOOKUP($B609,calc_data,M$14+1,0),2),0),0)</f>
        <v/>
      </c>
      <c r="N609" s="141">
        <f>IF(offer_sale_type="транзит",IFERROR(ROUNDUP(VLOOKUP($B609,calc_data,N$14+1,0),2),0),0)</f>
        <v/>
      </c>
      <c r="O609" s="147">
        <f>IF(offer_sale_type="транзит",IFERROR(ROUND(VLOOKUP($B609,calc_data,O$14+1,1),2),0),0)</f>
        <v/>
      </c>
      <c r="P609" s="141">
        <f>IF(offer_sale_type="транзит",IFERROR(ROUND(SUM(I609:J609,M609:O609)/E609,2),0),0)</f>
        <v/>
      </c>
      <c r="Q609" s="141">
        <f>E609*P609</f>
        <v/>
      </c>
      <c r="R609" s="141">
        <f>ROUND(Q609*IF(AND(offer_incoterms="DDP",seller_region="RU"),IF((TODAY()+offer_turnaround_time)&gt;=helpsheet!$L$17,rate_vatRU_from_26,rate_vatRu_till_25),0),2)</f>
        <v/>
      </c>
      <c r="S609" s="177">
        <f>Q609+IF(AND(offer_incoterms="DDP",seller_region="RU"),R609,0)</f>
        <v/>
      </c>
      <c r="T609" s="45" t="n"/>
      <c r="V609" s="57">
        <f>IF(Q609&gt;0,"показать","скрыть")</f>
        <v/>
      </c>
    </row>
    <row r="610" ht="15.75" customHeight="1">
      <c r="B610" s="809" t="n">
        <v>594</v>
      </c>
      <c r="C610" s="182">
        <f>IF(offer_sale_type="транзит",IFERROR(VLOOKUP($B610,calc_data,C$14+1,0),0),0)</f>
        <v/>
      </c>
      <c r="D610" s="280">
        <f>IF(offer_sale_type="транзит",IFERROR(VLOOKUP($B610,calc_data,D$14+1,0),0),0)</f>
        <v/>
      </c>
      <c r="E610" s="182">
        <f>IF(offer_sale_type="транзит",IFERROR(VLOOKUP($B610,calc_data,E$14+1,0),0),0)</f>
        <v/>
      </c>
      <c r="F610" s="182">
        <f>IF(offer_sale_type="транзит",IFERROR(VLOOKUP($B610,calc_data,F$14+1,0),0),0)</f>
        <v/>
      </c>
      <c r="G610" s="141">
        <f>IF(offer_sale_type="транзит",IFERROR(VLOOKUP($B610,calc_data,G$14+1,0),0),0)</f>
        <v/>
      </c>
      <c r="H610" s="141">
        <f>E610*G610</f>
        <v/>
      </c>
      <c r="I610" s="141">
        <f>IF(offer_sale_type="транзит",IFERROR(ROUND(VLOOKUP($B610,calc_data,I$14+1,0),2),0),0)</f>
        <v/>
      </c>
      <c r="J610" s="141">
        <f>ROUND(IF(offer_sale_type="транзит",IFERROR(VLOOKUP($B610,calc_data,J$14+1,0),0),0),2)</f>
        <v/>
      </c>
      <c r="K610" s="142">
        <f>IF(offer_sale_type="транзит",IFERROR(ROUNDUP(VLOOKUP($B610,calc_data,K$14+1,0),2),0),0)</f>
        <v/>
      </c>
      <c r="L610" s="184">
        <f>IF(offer_sale_type="транзит",IFERROR(ROUNDUP(VLOOKUP($B610,calc_data,L$14+1,0),2),0),0)</f>
        <v/>
      </c>
      <c r="M610" s="141">
        <f>IF(offer_sale_type="транзит",IFERROR(ROUNDUP(VLOOKUP($B610,calc_data,M$14+1,0),2),0),0)</f>
        <v/>
      </c>
      <c r="N610" s="141">
        <f>IF(offer_sale_type="транзит",IFERROR(ROUNDUP(VLOOKUP($B610,calc_data,N$14+1,0),2),0),0)</f>
        <v/>
      </c>
      <c r="O610" s="147">
        <f>IF(offer_sale_type="транзит",IFERROR(ROUND(VLOOKUP($B610,calc_data,O$14+1,1),2),0),0)</f>
        <v/>
      </c>
      <c r="P610" s="141">
        <f>IF(offer_sale_type="транзит",IFERROR(ROUND(SUM(I610:J610,M610:O610)/E610,2),0),0)</f>
        <v/>
      </c>
      <c r="Q610" s="141">
        <f>E610*P610</f>
        <v/>
      </c>
      <c r="R610" s="141">
        <f>ROUND(Q610*IF(AND(offer_incoterms="DDP",seller_region="RU"),IF((TODAY()+offer_turnaround_time)&gt;=helpsheet!$L$17,rate_vatRU_from_26,rate_vatRu_till_25),0),2)</f>
        <v/>
      </c>
      <c r="S610" s="177">
        <f>Q610+IF(AND(offer_incoterms="DDP",seller_region="RU"),R610,0)</f>
        <v/>
      </c>
      <c r="T610" s="45" t="n"/>
      <c r="V610" s="57">
        <f>IF(Q610&gt;0,"показать","скрыть")</f>
        <v/>
      </c>
    </row>
    <row r="611" ht="15.75" customHeight="1">
      <c r="B611" s="809" t="n">
        <v>595</v>
      </c>
      <c r="C611" s="182">
        <f>IF(offer_sale_type="транзит",IFERROR(VLOOKUP($B611,calc_data,C$14+1,0),0),0)</f>
        <v/>
      </c>
      <c r="D611" s="280">
        <f>IF(offer_sale_type="транзит",IFERROR(VLOOKUP($B611,calc_data,D$14+1,0),0),0)</f>
        <v/>
      </c>
      <c r="E611" s="182">
        <f>IF(offer_sale_type="транзит",IFERROR(VLOOKUP($B611,calc_data,E$14+1,0),0),0)</f>
        <v/>
      </c>
      <c r="F611" s="182">
        <f>IF(offer_sale_type="транзит",IFERROR(VLOOKUP($B611,calc_data,F$14+1,0),0),0)</f>
        <v/>
      </c>
      <c r="G611" s="141">
        <f>IF(offer_sale_type="транзит",IFERROR(VLOOKUP($B611,calc_data,G$14+1,0),0),0)</f>
        <v/>
      </c>
      <c r="H611" s="141">
        <f>E611*G611</f>
        <v/>
      </c>
      <c r="I611" s="141">
        <f>IF(offer_sale_type="транзит",IFERROR(ROUND(VLOOKUP($B611,calc_data,I$14+1,0),2),0),0)</f>
        <v/>
      </c>
      <c r="J611" s="141">
        <f>ROUND(IF(offer_sale_type="транзит",IFERROR(VLOOKUP($B611,calc_data,J$14+1,0),0),0),2)</f>
        <v/>
      </c>
      <c r="K611" s="142">
        <f>IF(offer_sale_type="транзит",IFERROR(ROUNDUP(VLOOKUP($B611,calc_data,K$14+1,0),2),0),0)</f>
        <v/>
      </c>
      <c r="L611" s="184">
        <f>IF(offer_sale_type="транзит",IFERROR(ROUNDUP(VLOOKUP($B611,calc_data,L$14+1,0),2),0),0)</f>
        <v/>
      </c>
      <c r="M611" s="141">
        <f>IF(offer_sale_type="транзит",IFERROR(ROUNDUP(VLOOKUP($B611,calc_data,M$14+1,0),2),0),0)</f>
        <v/>
      </c>
      <c r="N611" s="141">
        <f>IF(offer_sale_type="транзит",IFERROR(ROUNDUP(VLOOKUP($B611,calc_data,N$14+1,0),2),0),0)</f>
        <v/>
      </c>
      <c r="O611" s="147">
        <f>IF(offer_sale_type="транзит",IFERROR(ROUND(VLOOKUP($B611,calc_data,O$14+1,1),2),0),0)</f>
        <v/>
      </c>
      <c r="P611" s="141">
        <f>IF(offer_sale_type="транзит",IFERROR(ROUND(SUM(I611:J611,M611:O611)/E611,2),0),0)</f>
        <v/>
      </c>
      <c r="Q611" s="141">
        <f>E611*P611</f>
        <v/>
      </c>
      <c r="R611" s="141">
        <f>ROUND(Q611*IF(AND(offer_incoterms="DDP",seller_region="RU"),IF((TODAY()+offer_turnaround_time)&gt;=helpsheet!$L$17,rate_vatRU_from_26,rate_vatRu_till_25),0),2)</f>
        <v/>
      </c>
      <c r="S611" s="177">
        <f>Q611+IF(AND(offer_incoterms="DDP",seller_region="RU"),R611,0)</f>
        <v/>
      </c>
      <c r="T611" s="45" t="n"/>
      <c r="V611" s="57">
        <f>IF(Q611&gt;0,"показать","скрыть")</f>
        <v/>
      </c>
    </row>
    <row r="612" ht="15.75" customHeight="1">
      <c r="B612" s="809" t="n">
        <v>596</v>
      </c>
      <c r="C612" s="182">
        <f>IF(offer_sale_type="транзит",IFERROR(VLOOKUP($B612,calc_data,C$14+1,0),0),0)</f>
        <v/>
      </c>
      <c r="D612" s="280">
        <f>IF(offer_sale_type="транзит",IFERROR(VLOOKUP($B612,calc_data,D$14+1,0),0),0)</f>
        <v/>
      </c>
      <c r="E612" s="182">
        <f>IF(offer_sale_type="транзит",IFERROR(VLOOKUP($B612,calc_data,E$14+1,0),0),0)</f>
        <v/>
      </c>
      <c r="F612" s="182">
        <f>IF(offer_sale_type="транзит",IFERROR(VLOOKUP($B612,calc_data,F$14+1,0),0),0)</f>
        <v/>
      </c>
      <c r="G612" s="141">
        <f>IF(offer_sale_type="транзит",IFERROR(VLOOKUP($B612,calc_data,G$14+1,0),0),0)</f>
        <v/>
      </c>
      <c r="H612" s="141">
        <f>E612*G612</f>
        <v/>
      </c>
      <c r="I612" s="141">
        <f>IF(offer_sale_type="транзит",IFERROR(ROUND(VLOOKUP($B612,calc_data,I$14+1,0),2),0),0)</f>
        <v/>
      </c>
      <c r="J612" s="141">
        <f>ROUND(IF(offer_sale_type="транзит",IFERROR(VLOOKUP($B612,calc_data,J$14+1,0),0),0),2)</f>
        <v/>
      </c>
      <c r="K612" s="142">
        <f>IF(offer_sale_type="транзит",IFERROR(ROUNDUP(VLOOKUP($B612,calc_data,K$14+1,0),2),0),0)</f>
        <v/>
      </c>
      <c r="L612" s="184">
        <f>IF(offer_sale_type="транзит",IFERROR(ROUNDUP(VLOOKUP($B612,calc_data,L$14+1,0),2),0),0)</f>
        <v/>
      </c>
      <c r="M612" s="141">
        <f>IF(offer_sale_type="транзит",IFERROR(ROUNDUP(VLOOKUP($B612,calc_data,M$14+1,0),2),0),0)</f>
        <v/>
      </c>
      <c r="N612" s="141">
        <f>IF(offer_sale_type="транзит",IFERROR(ROUNDUP(VLOOKUP($B612,calc_data,N$14+1,0),2),0),0)</f>
        <v/>
      </c>
      <c r="O612" s="147">
        <f>IF(offer_sale_type="транзит",IFERROR(ROUND(VLOOKUP($B612,calc_data,O$14+1,1),2),0),0)</f>
        <v/>
      </c>
      <c r="P612" s="141">
        <f>IF(offer_sale_type="транзит",IFERROR(ROUND(SUM(I612:J612,M612:O612)/E612,2),0),0)</f>
        <v/>
      </c>
      <c r="Q612" s="141">
        <f>E612*P612</f>
        <v/>
      </c>
      <c r="R612" s="141">
        <f>ROUND(Q612*IF(AND(offer_incoterms="DDP",seller_region="RU"),IF((TODAY()+offer_turnaround_time)&gt;=helpsheet!$L$17,rate_vatRU_from_26,rate_vatRu_till_25),0),2)</f>
        <v/>
      </c>
      <c r="S612" s="177">
        <f>Q612+IF(AND(offer_incoterms="DDP",seller_region="RU"),R612,0)</f>
        <v/>
      </c>
      <c r="T612" s="45" t="n"/>
      <c r="V612" s="57">
        <f>IF(Q612&gt;0,"показать","скрыть")</f>
        <v/>
      </c>
    </row>
    <row r="613" ht="15.75" customHeight="1">
      <c r="B613" s="809" t="n">
        <v>597</v>
      </c>
      <c r="C613" s="182">
        <f>IF(offer_sale_type="транзит",IFERROR(VLOOKUP($B613,calc_data,C$14+1,0),0),0)</f>
        <v/>
      </c>
      <c r="D613" s="280">
        <f>IF(offer_sale_type="транзит",IFERROR(VLOOKUP($B613,calc_data,D$14+1,0),0),0)</f>
        <v/>
      </c>
      <c r="E613" s="182">
        <f>IF(offer_sale_type="транзит",IFERROR(VLOOKUP($B613,calc_data,E$14+1,0),0),0)</f>
        <v/>
      </c>
      <c r="F613" s="182">
        <f>IF(offer_sale_type="транзит",IFERROR(VLOOKUP($B613,calc_data,F$14+1,0),0),0)</f>
        <v/>
      </c>
      <c r="G613" s="141">
        <f>IF(offer_sale_type="транзит",IFERROR(VLOOKUP($B613,calc_data,G$14+1,0),0),0)</f>
        <v/>
      </c>
      <c r="H613" s="141">
        <f>E613*G613</f>
        <v/>
      </c>
      <c r="I613" s="141">
        <f>IF(offer_sale_type="транзит",IFERROR(ROUND(VLOOKUP($B613,calc_data,I$14+1,0),2),0),0)</f>
        <v/>
      </c>
      <c r="J613" s="141">
        <f>ROUND(IF(offer_sale_type="транзит",IFERROR(VLOOKUP($B613,calc_data,J$14+1,0),0),0),2)</f>
        <v/>
      </c>
      <c r="K613" s="142">
        <f>IF(offer_sale_type="транзит",IFERROR(ROUNDUP(VLOOKUP($B613,calc_data,K$14+1,0),2),0),0)</f>
        <v/>
      </c>
      <c r="L613" s="184">
        <f>IF(offer_sale_type="транзит",IFERROR(ROUNDUP(VLOOKUP($B613,calc_data,L$14+1,0),2),0),0)</f>
        <v/>
      </c>
      <c r="M613" s="141">
        <f>IF(offer_sale_type="транзит",IFERROR(ROUNDUP(VLOOKUP($B613,calc_data,M$14+1,0),2),0),0)</f>
        <v/>
      </c>
      <c r="N613" s="141">
        <f>IF(offer_sale_type="транзит",IFERROR(ROUNDUP(VLOOKUP($B613,calc_data,N$14+1,0),2),0),0)</f>
        <v/>
      </c>
      <c r="O613" s="147">
        <f>IF(offer_sale_type="транзит",IFERROR(ROUND(VLOOKUP($B613,calc_data,O$14+1,1),2),0),0)</f>
        <v/>
      </c>
      <c r="P613" s="141">
        <f>IF(offer_sale_type="транзит",IFERROR(ROUND(SUM(I613:J613,M613:O613)/E613,2),0),0)</f>
        <v/>
      </c>
      <c r="Q613" s="141">
        <f>E613*P613</f>
        <v/>
      </c>
      <c r="R613" s="141">
        <f>ROUND(Q613*IF(AND(offer_incoterms="DDP",seller_region="RU"),IF((TODAY()+offer_turnaround_time)&gt;=helpsheet!$L$17,rate_vatRU_from_26,rate_vatRu_till_25),0),2)</f>
        <v/>
      </c>
      <c r="S613" s="177">
        <f>Q613+IF(AND(offer_incoterms="DDP",seller_region="RU"),R613,0)</f>
        <v/>
      </c>
      <c r="T613" s="45" t="n"/>
      <c r="V613" s="57">
        <f>IF(Q613&gt;0,"показать","скрыть")</f>
        <v/>
      </c>
    </row>
    <row r="614" ht="15.75" customHeight="1">
      <c r="B614" s="809" t="n">
        <v>598</v>
      </c>
      <c r="C614" s="182">
        <f>IF(offer_sale_type="транзит",IFERROR(VLOOKUP($B614,calc_data,C$14+1,0),0),0)</f>
        <v/>
      </c>
      <c r="D614" s="280">
        <f>IF(offer_sale_type="транзит",IFERROR(VLOOKUP($B614,calc_data,D$14+1,0),0),0)</f>
        <v/>
      </c>
      <c r="E614" s="182">
        <f>IF(offer_sale_type="транзит",IFERROR(VLOOKUP($B614,calc_data,E$14+1,0),0),0)</f>
        <v/>
      </c>
      <c r="F614" s="182">
        <f>IF(offer_sale_type="транзит",IFERROR(VLOOKUP($B614,calc_data,F$14+1,0),0),0)</f>
        <v/>
      </c>
      <c r="G614" s="141">
        <f>IF(offer_sale_type="транзит",IFERROR(VLOOKUP($B614,calc_data,G$14+1,0),0),0)</f>
        <v/>
      </c>
      <c r="H614" s="141">
        <f>E614*G614</f>
        <v/>
      </c>
      <c r="I614" s="141">
        <f>IF(offer_sale_type="транзит",IFERROR(ROUND(VLOOKUP($B614,calc_data,I$14+1,0),2),0),0)</f>
        <v/>
      </c>
      <c r="J614" s="141">
        <f>ROUND(IF(offer_sale_type="транзит",IFERROR(VLOOKUP($B614,calc_data,J$14+1,0),0),0),2)</f>
        <v/>
      </c>
      <c r="K614" s="142">
        <f>IF(offer_sale_type="транзит",IFERROR(ROUNDUP(VLOOKUP($B614,calc_data,K$14+1,0),2),0),0)</f>
        <v/>
      </c>
      <c r="L614" s="184">
        <f>IF(offer_sale_type="транзит",IFERROR(ROUNDUP(VLOOKUP($B614,calc_data,L$14+1,0),2),0),0)</f>
        <v/>
      </c>
      <c r="M614" s="141">
        <f>IF(offer_sale_type="транзит",IFERROR(ROUNDUP(VLOOKUP($B614,calc_data,M$14+1,0),2),0),0)</f>
        <v/>
      </c>
      <c r="N614" s="141">
        <f>IF(offer_sale_type="транзит",IFERROR(ROUNDUP(VLOOKUP($B614,calc_data,N$14+1,0),2),0),0)</f>
        <v/>
      </c>
      <c r="O614" s="147">
        <f>IF(offer_sale_type="транзит",IFERROR(ROUND(VLOOKUP($B614,calc_data,O$14+1,1),2),0),0)</f>
        <v/>
      </c>
      <c r="P614" s="141">
        <f>IF(offer_sale_type="транзит",IFERROR(ROUND(SUM(I614:J614,M614:O614)/E614,2),0),0)</f>
        <v/>
      </c>
      <c r="Q614" s="141">
        <f>E614*P614</f>
        <v/>
      </c>
      <c r="R614" s="141">
        <f>ROUND(Q614*IF(AND(offer_incoterms="DDP",seller_region="RU"),IF((TODAY()+offer_turnaround_time)&gt;=helpsheet!$L$17,rate_vatRU_from_26,rate_vatRu_till_25),0),2)</f>
        <v/>
      </c>
      <c r="S614" s="177">
        <f>Q614+IF(AND(offer_incoterms="DDP",seller_region="RU"),R614,0)</f>
        <v/>
      </c>
      <c r="T614" s="45" t="n"/>
      <c r="V614" s="57">
        <f>IF(Q614&gt;0,"показать","скрыть")</f>
        <v/>
      </c>
    </row>
    <row r="615" ht="15.75" customHeight="1">
      <c r="B615" s="809" t="n">
        <v>599</v>
      </c>
      <c r="C615" s="182">
        <f>IF(offer_sale_type="транзит",IFERROR(VLOOKUP($B615,calc_data,C$14+1,0),0),0)</f>
        <v/>
      </c>
      <c r="D615" s="280">
        <f>IF(offer_sale_type="транзит",IFERROR(VLOOKUP($B615,calc_data,D$14+1,0),0),0)</f>
        <v/>
      </c>
      <c r="E615" s="182">
        <f>IF(offer_sale_type="транзит",IFERROR(VLOOKUP($B615,calc_data,E$14+1,0),0),0)</f>
        <v/>
      </c>
      <c r="F615" s="182">
        <f>IF(offer_sale_type="транзит",IFERROR(VLOOKUP($B615,calc_data,F$14+1,0),0),0)</f>
        <v/>
      </c>
      <c r="G615" s="141">
        <f>IF(offer_sale_type="транзит",IFERROR(VLOOKUP($B615,calc_data,G$14+1,0),0),0)</f>
        <v/>
      </c>
      <c r="H615" s="141">
        <f>E615*G615</f>
        <v/>
      </c>
      <c r="I615" s="141">
        <f>IF(offer_sale_type="транзит",IFERROR(ROUND(VLOOKUP($B615,calc_data,I$14+1,0),2),0),0)</f>
        <v/>
      </c>
      <c r="J615" s="141">
        <f>ROUND(IF(offer_sale_type="транзит",IFERROR(VLOOKUP($B615,calc_data,J$14+1,0),0),0),2)</f>
        <v/>
      </c>
      <c r="K615" s="142">
        <f>IF(offer_sale_type="транзит",IFERROR(ROUNDUP(VLOOKUP($B615,calc_data,K$14+1,0),2),0),0)</f>
        <v/>
      </c>
      <c r="L615" s="184">
        <f>IF(offer_sale_type="транзит",IFERROR(ROUNDUP(VLOOKUP($B615,calc_data,L$14+1,0),2),0),0)</f>
        <v/>
      </c>
      <c r="M615" s="141">
        <f>IF(offer_sale_type="транзит",IFERROR(ROUNDUP(VLOOKUP($B615,calc_data,M$14+1,0),2),0),0)</f>
        <v/>
      </c>
      <c r="N615" s="141">
        <f>IF(offer_sale_type="транзит",IFERROR(ROUNDUP(VLOOKUP($B615,calc_data,N$14+1,0),2),0),0)</f>
        <v/>
      </c>
      <c r="O615" s="147">
        <f>IF(offer_sale_type="транзит",IFERROR(ROUND(VLOOKUP($B615,calc_data,O$14+1,1),2),0),0)</f>
        <v/>
      </c>
      <c r="P615" s="141">
        <f>IF(offer_sale_type="транзит",IFERROR(ROUND(SUM(I615:J615,M615:O615)/E615,2),0),0)</f>
        <v/>
      </c>
      <c r="Q615" s="141">
        <f>E615*P615</f>
        <v/>
      </c>
      <c r="R615" s="141">
        <f>ROUND(Q615*IF(AND(offer_incoterms="DDP",seller_region="RU"),IF((TODAY()+offer_turnaround_time)&gt;=helpsheet!$L$17,rate_vatRU_from_26,rate_vatRu_till_25),0),2)</f>
        <v/>
      </c>
      <c r="S615" s="177">
        <f>Q615+IF(AND(offer_incoterms="DDP",seller_region="RU"),R615,0)</f>
        <v/>
      </c>
      <c r="T615" s="45" t="n"/>
      <c r="V615" s="57">
        <f>IF(Q615&gt;0,"показать","скрыть")</f>
        <v/>
      </c>
    </row>
    <row r="616" ht="15.75" customHeight="1">
      <c r="B616" s="809" t="n">
        <v>600</v>
      </c>
      <c r="C616" s="182">
        <f>IF(offer_sale_type="транзит",IFERROR(VLOOKUP($B616,calc_data,C$14+1,0),0),0)</f>
        <v/>
      </c>
      <c r="D616" s="280">
        <f>IF(offer_sale_type="транзит",IFERROR(VLOOKUP($B616,calc_data,D$14+1,0),0),0)</f>
        <v/>
      </c>
      <c r="E616" s="182">
        <f>IF(offer_sale_type="транзит",IFERROR(VLOOKUP($B616,calc_data,E$14+1,0),0),0)</f>
        <v/>
      </c>
      <c r="F616" s="182">
        <f>IF(offer_sale_type="транзит",IFERROR(VLOOKUP($B616,calc_data,F$14+1,0),0),0)</f>
        <v/>
      </c>
      <c r="G616" s="141">
        <f>IF(offer_sale_type="транзит",IFERROR(VLOOKUP($B616,calc_data,G$14+1,0),0),0)</f>
        <v/>
      </c>
      <c r="H616" s="141">
        <f>E616*G616</f>
        <v/>
      </c>
      <c r="I616" s="141">
        <f>IF(offer_sale_type="транзит",IFERROR(ROUND(VLOOKUP($B616,calc_data,I$14+1,0),2),0),0)</f>
        <v/>
      </c>
      <c r="J616" s="141">
        <f>ROUND(IF(offer_sale_type="транзит",IFERROR(VLOOKUP($B616,calc_data,J$14+1,0),0),0),2)</f>
        <v/>
      </c>
      <c r="K616" s="142">
        <f>IF(offer_sale_type="транзит",IFERROR(ROUNDUP(VLOOKUP($B616,calc_data,K$14+1,0),2),0),0)</f>
        <v/>
      </c>
      <c r="L616" s="184">
        <f>IF(offer_sale_type="транзит",IFERROR(ROUNDUP(VLOOKUP($B616,calc_data,L$14+1,0),2),0),0)</f>
        <v/>
      </c>
      <c r="M616" s="141">
        <f>IF(offer_sale_type="транзит",IFERROR(ROUNDUP(VLOOKUP($B616,calc_data,M$14+1,0),2),0),0)</f>
        <v/>
      </c>
      <c r="N616" s="141">
        <f>IF(offer_sale_type="транзит",IFERROR(ROUNDUP(VLOOKUP($B616,calc_data,N$14+1,0),2),0),0)</f>
        <v/>
      </c>
      <c r="O616" s="147">
        <f>IF(offer_sale_type="транзит",IFERROR(ROUND(VLOOKUP($B616,calc_data,O$14+1,1),2),0),0)</f>
        <v/>
      </c>
      <c r="P616" s="141">
        <f>IF(offer_sale_type="транзит",IFERROR(ROUND(SUM(I616:J616,M616:O616)/E616,2),0),0)</f>
        <v/>
      </c>
      <c r="Q616" s="141">
        <f>E616*P616</f>
        <v/>
      </c>
      <c r="R616" s="141">
        <f>ROUND(Q616*IF(AND(offer_incoterms="DDP",seller_region="RU"),IF((TODAY()+offer_turnaround_time)&gt;=helpsheet!$L$17,rate_vatRU_from_26,rate_vatRu_till_25),0),2)</f>
        <v/>
      </c>
      <c r="S616" s="177">
        <f>Q616+IF(AND(offer_incoterms="DDP",seller_region="RU"),R616,0)</f>
        <v/>
      </c>
      <c r="T616" s="45" t="n"/>
      <c r="V616" s="57">
        <f>IF(Q616&gt;0,"показать","скрыть")</f>
        <v/>
      </c>
    </row>
    <row r="617" ht="15.75" customHeight="1">
      <c r="B617" s="809" t="n">
        <v>601</v>
      </c>
      <c r="C617" s="182">
        <f>IF(offer_sale_type="транзит",IFERROR(VLOOKUP($B617,calc_data,C$14+1,0),0),0)</f>
        <v/>
      </c>
      <c r="D617" s="280">
        <f>IF(offer_sale_type="транзит",IFERROR(VLOOKUP($B617,calc_data,D$14+1,0),0),0)</f>
        <v/>
      </c>
      <c r="E617" s="182">
        <f>IF(offer_sale_type="транзит",IFERROR(VLOOKUP($B617,calc_data,E$14+1,0),0),0)</f>
        <v/>
      </c>
      <c r="F617" s="182">
        <f>IF(offer_sale_type="транзит",IFERROR(VLOOKUP($B617,calc_data,F$14+1,0),0),0)</f>
        <v/>
      </c>
      <c r="G617" s="141">
        <f>IF(offer_sale_type="транзит",IFERROR(VLOOKUP($B617,calc_data,G$14+1,0),0),0)</f>
        <v/>
      </c>
      <c r="H617" s="141">
        <f>E617*G617</f>
        <v/>
      </c>
      <c r="I617" s="141">
        <f>IF(offer_sale_type="транзит",IFERROR(ROUND(VLOOKUP($B617,calc_data,I$14+1,0),2),0),0)</f>
        <v/>
      </c>
      <c r="J617" s="141">
        <f>ROUND(IF(offer_sale_type="транзит",IFERROR(VLOOKUP($B617,calc_data,J$14+1,0),0),0),2)</f>
        <v/>
      </c>
      <c r="K617" s="142">
        <f>IF(offer_sale_type="транзит",IFERROR(ROUNDUP(VLOOKUP($B617,calc_data,K$14+1,0),2),0),0)</f>
        <v/>
      </c>
      <c r="L617" s="184">
        <f>IF(offer_sale_type="транзит",IFERROR(ROUNDUP(VLOOKUP($B617,calc_data,L$14+1,0),2),0),0)</f>
        <v/>
      </c>
      <c r="M617" s="141">
        <f>IF(offer_sale_type="транзит",IFERROR(ROUNDUP(VLOOKUP($B617,calc_data,M$14+1,0),2),0),0)</f>
        <v/>
      </c>
      <c r="N617" s="141">
        <f>IF(offer_sale_type="транзит",IFERROR(ROUNDUP(VLOOKUP($B617,calc_data,N$14+1,0),2),0),0)</f>
        <v/>
      </c>
      <c r="O617" s="147">
        <f>IF(offer_sale_type="транзит",IFERROR(ROUND(VLOOKUP($B617,calc_data,O$14+1,1),2),0),0)</f>
        <v/>
      </c>
      <c r="P617" s="141">
        <f>IF(offer_sale_type="транзит",IFERROR(ROUND(SUM(I617:J617,M617:O617)/E617,2),0),0)</f>
        <v/>
      </c>
      <c r="Q617" s="141">
        <f>E617*P617</f>
        <v/>
      </c>
      <c r="R617" s="141">
        <f>ROUND(Q617*IF(AND(offer_incoterms="DDP",seller_region="RU"),IF((TODAY()+offer_turnaround_time)&gt;=helpsheet!$L$17,rate_vatRU_from_26,rate_vatRu_till_25),0),2)</f>
        <v/>
      </c>
      <c r="S617" s="177">
        <f>Q617+IF(AND(offer_incoterms="DDP",seller_region="RU"),R617,0)</f>
        <v/>
      </c>
      <c r="T617" s="45" t="n"/>
      <c r="V617" s="57">
        <f>IF(Q617&gt;0,"показать","скрыть")</f>
        <v/>
      </c>
    </row>
    <row r="618" ht="15.75" customHeight="1">
      <c r="B618" s="809" t="n">
        <v>602</v>
      </c>
      <c r="C618" s="182">
        <f>IF(offer_sale_type="транзит",IFERROR(VLOOKUP($B618,calc_data,C$14+1,0),0),0)</f>
        <v/>
      </c>
      <c r="D618" s="280">
        <f>IF(offer_sale_type="транзит",IFERROR(VLOOKUP($B618,calc_data,D$14+1,0),0),0)</f>
        <v/>
      </c>
      <c r="E618" s="182">
        <f>IF(offer_sale_type="транзит",IFERROR(VLOOKUP($B618,calc_data,E$14+1,0),0),0)</f>
        <v/>
      </c>
      <c r="F618" s="182">
        <f>IF(offer_sale_type="транзит",IFERROR(VLOOKUP($B618,calc_data,F$14+1,0),0),0)</f>
        <v/>
      </c>
      <c r="G618" s="141">
        <f>IF(offer_sale_type="транзит",IFERROR(VLOOKUP($B618,calc_data,G$14+1,0),0),0)</f>
        <v/>
      </c>
      <c r="H618" s="141">
        <f>E618*G618</f>
        <v/>
      </c>
      <c r="I618" s="141">
        <f>IF(offer_sale_type="транзит",IFERROR(ROUND(VLOOKUP($B618,calc_data,I$14+1,0),2),0),0)</f>
        <v/>
      </c>
      <c r="J618" s="141">
        <f>ROUND(IF(offer_sale_type="транзит",IFERROR(VLOOKUP($B618,calc_data,J$14+1,0),0),0),2)</f>
        <v/>
      </c>
      <c r="K618" s="142">
        <f>IF(offer_sale_type="транзит",IFERROR(ROUNDUP(VLOOKUP($B618,calc_data,K$14+1,0),2),0),0)</f>
        <v/>
      </c>
      <c r="L618" s="184">
        <f>IF(offer_sale_type="транзит",IFERROR(ROUNDUP(VLOOKUP($B618,calc_data,L$14+1,0),2),0),0)</f>
        <v/>
      </c>
      <c r="M618" s="141">
        <f>IF(offer_sale_type="транзит",IFERROR(ROUNDUP(VLOOKUP($B618,calc_data,M$14+1,0),2),0),0)</f>
        <v/>
      </c>
      <c r="N618" s="141">
        <f>IF(offer_sale_type="транзит",IFERROR(ROUNDUP(VLOOKUP($B618,calc_data,N$14+1,0),2),0),0)</f>
        <v/>
      </c>
      <c r="O618" s="147">
        <f>IF(offer_sale_type="транзит",IFERROR(ROUND(VLOOKUP($B618,calc_data,O$14+1,1),2),0),0)</f>
        <v/>
      </c>
      <c r="P618" s="141">
        <f>IF(offer_sale_type="транзит",IFERROR(ROUND(SUM(I618:J618,M618:O618)/E618,2),0),0)</f>
        <v/>
      </c>
      <c r="Q618" s="141">
        <f>E618*P618</f>
        <v/>
      </c>
      <c r="R618" s="141">
        <f>ROUND(Q618*IF(AND(offer_incoterms="DDP",seller_region="RU"),IF((TODAY()+offer_turnaround_time)&gt;=helpsheet!$L$17,rate_vatRU_from_26,rate_vatRu_till_25),0),2)</f>
        <v/>
      </c>
      <c r="S618" s="177">
        <f>Q618+IF(AND(offer_incoterms="DDP",seller_region="RU"),R618,0)</f>
        <v/>
      </c>
      <c r="T618" s="45" t="n"/>
      <c r="V618" s="57">
        <f>IF(Q618&gt;0,"показать","скрыть")</f>
        <v/>
      </c>
    </row>
    <row r="619" ht="15.75" customHeight="1">
      <c r="B619" s="809" t="n">
        <v>603</v>
      </c>
      <c r="C619" s="182">
        <f>IF(offer_sale_type="транзит",IFERROR(VLOOKUP($B619,calc_data,C$14+1,0),0),0)</f>
        <v/>
      </c>
      <c r="D619" s="280">
        <f>IF(offer_sale_type="транзит",IFERROR(VLOOKUP($B619,calc_data,D$14+1,0),0),0)</f>
        <v/>
      </c>
      <c r="E619" s="182">
        <f>IF(offer_sale_type="транзит",IFERROR(VLOOKUP($B619,calc_data,E$14+1,0),0),0)</f>
        <v/>
      </c>
      <c r="F619" s="182">
        <f>IF(offer_sale_type="транзит",IFERROR(VLOOKUP($B619,calc_data,F$14+1,0),0),0)</f>
        <v/>
      </c>
      <c r="G619" s="141">
        <f>IF(offer_sale_type="транзит",IFERROR(VLOOKUP($B619,calc_data,G$14+1,0),0),0)</f>
        <v/>
      </c>
      <c r="H619" s="141">
        <f>E619*G619</f>
        <v/>
      </c>
      <c r="I619" s="141">
        <f>IF(offer_sale_type="транзит",IFERROR(ROUND(VLOOKUP($B619,calc_data,I$14+1,0),2),0),0)</f>
        <v/>
      </c>
      <c r="J619" s="141">
        <f>ROUND(IF(offer_sale_type="транзит",IFERROR(VLOOKUP($B619,calc_data,J$14+1,0),0),0),2)</f>
        <v/>
      </c>
      <c r="K619" s="142">
        <f>IF(offer_sale_type="транзит",IFERROR(ROUNDUP(VLOOKUP($B619,calc_data,K$14+1,0),2),0),0)</f>
        <v/>
      </c>
      <c r="L619" s="184">
        <f>IF(offer_sale_type="транзит",IFERROR(ROUNDUP(VLOOKUP($B619,calc_data,L$14+1,0),2),0),0)</f>
        <v/>
      </c>
      <c r="M619" s="141">
        <f>IF(offer_sale_type="транзит",IFERROR(ROUNDUP(VLOOKUP($B619,calc_data,M$14+1,0),2),0),0)</f>
        <v/>
      </c>
      <c r="N619" s="141">
        <f>IF(offer_sale_type="транзит",IFERROR(ROUNDUP(VLOOKUP($B619,calc_data,N$14+1,0),2),0),0)</f>
        <v/>
      </c>
      <c r="O619" s="147">
        <f>IF(offer_sale_type="транзит",IFERROR(ROUND(VLOOKUP($B619,calc_data,O$14+1,1),2),0),0)</f>
        <v/>
      </c>
      <c r="P619" s="141">
        <f>IF(offer_sale_type="транзит",IFERROR(ROUND(SUM(I619:J619,M619:O619)/E619,2),0),0)</f>
        <v/>
      </c>
      <c r="Q619" s="141">
        <f>E619*P619</f>
        <v/>
      </c>
      <c r="R619" s="141">
        <f>ROUND(Q619*IF(AND(offer_incoterms="DDP",seller_region="RU"),IF((TODAY()+offer_turnaround_time)&gt;=helpsheet!$L$17,rate_vatRU_from_26,rate_vatRu_till_25),0),2)</f>
        <v/>
      </c>
      <c r="S619" s="177">
        <f>Q619+IF(AND(offer_incoterms="DDP",seller_region="RU"),R619,0)</f>
        <v/>
      </c>
      <c r="T619" s="45" t="n"/>
      <c r="V619" s="57">
        <f>IF(Q619&gt;0,"показать","скрыть")</f>
        <v/>
      </c>
    </row>
    <row r="620" ht="15.75" customHeight="1">
      <c r="B620" s="809" t="n">
        <v>604</v>
      </c>
      <c r="C620" s="182">
        <f>IF(offer_sale_type="транзит",IFERROR(VLOOKUP($B620,calc_data,C$14+1,0),0),0)</f>
        <v/>
      </c>
      <c r="D620" s="280">
        <f>IF(offer_sale_type="транзит",IFERROR(VLOOKUP($B620,calc_data,D$14+1,0),0),0)</f>
        <v/>
      </c>
      <c r="E620" s="182">
        <f>IF(offer_sale_type="транзит",IFERROR(VLOOKUP($B620,calc_data,E$14+1,0),0),0)</f>
        <v/>
      </c>
      <c r="F620" s="182">
        <f>IF(offer_sale_type="транзит",IFERROR(VLOOKUP($B620,calc_data,F$14+1,0),0),0)</f>
        <v/>
      </c>
      <c r="G620" s="141">
        <f>IF(offer_sale_type="транзит",IFERROR(VLOOKUP($B620,calc_data,G$14+1,0),0),0)</f>
        <v/>
      </c>
      <c r="H620" s="141">
        <f>E620*G620</f>
        <v/>
      </c>
      <c r="I620" s="141">
        <f>IF(offer_sale_type="транзит",IFERROR(ROUND(VLOOKUP($B620,calc_data,I$14+1,0),2),0),0)</f>
        <v/>
      </c>
      <c r="J620" s="141">
        <f>ROUND(IF(offer_sale_type="транзит",IFERROR(VLOOKUP($B620,calc_data,J$14+1,0),0),0),2)</f>
        <v/>
      </c>
      <c r="K620" s="142">
        <f>IF(offer_sale_type="транзит",IFERROR(ROUNDUP(VLOOKUP($B620,calc_data,K$14+1,0),2),0),0)</f>
        <v/>
      </c>
      <c r="L620" s="184">
        <f>IF(offer_sale_type="транзит",IFERROR(ROUNDUP(VLOOKUP($B620,calc_data,L$14+1,0),2),0),0)</f>
        <v/>
      </c>
      <c r="M620" s="141">
        <f>IF(offer_sale_type="транзит",IFERROR(ROUNDUP(VLOOKUP($B620,calc_data,M$14+1,0),2),0),0)</f>
        <v/>
      </c>
      <c r="N620" s="141">
        <f>IF(offer_sale_type="транзит",IFERROR(ROUNDUP(VLOOKUP($B620,calc_data,N$14+1,0),2),0),0)</f>
        <v/>
      </c>
      <c r="O620" s="147">
        <f>IF(offer_sale_type="транзит",IFERROR(ROUND(VLOOKUP($B620,calc_data,O$14+1,1),2),0),0)</f>
        <v/>
      </c>
      <c r="P620" s="141">
        <f>IF(offer_sale_type="транзит",IFERROR(ROUND(SUM(I620:J620,M620:O620)/E620,2),0),0)</f>
        <v/>
      </c>
      <c r="Q620" s="141">
        <f>E620*P620</f>
        <v/>
      </c>
      <c r="R620" s="141">
        <f>ROUND(Q620*IF(AND(offer_incoterms="DDP",seller_region="RU"),IF((TODAY()+offer_turnaround_time)&gt;=helpsheet!$L$17,rate_vatRU_from_26,rate_vatRu_till_25),0),2)</f>
        <v/>
      </c>
      <c r="S620" s="177">
        <f>Q620+IF(AND(offer_incoterms="DDP",seller_region="RU"),R620,0)</f>
        <v/>
      </c>
      <c r="T620" s="45" t="n"/>
      <c r="V620" s="57">
        <f>IF(Q620&gt;0,"показать","скрыть")</f>
        <v/>
      </c>
    </row>
    <row r="621" ht="15.75" customHeight="1">
      <c r="B621" s="809" t="n">
        <v>605</v>
      </c>
      <c r="C621" s="182">
        <f>IF(offer_sale_type="транзит",IFERROR(VLOOKUP($B621,calc_data,C$14+1,0),0),0)</f>
        <v/>
      </c>
      <c r="D621" s="280">
        <f>IF(offer_sale_type="транзит",IFERROR(VLOOKUP($B621,calc_data,D$14+1,0),0),0)</f>
        <v/>
      </c>
      <c r="E621" s="182">
        <f>IF(offer_sale_type="транзит",IFERROR(VLOOKUP($B621,calc_data,E$14+1,0),0),0)</f>
        <v/>
      </c>
      <c r="F621" s="182">
        <f>IF(offer_sale_type="транзит",IFERROR(VLOOKUP($B621,calc_data,F$14+1,0),0),0)</f>
        <v/>
      </c>
      <c r="G621" s="141">
        <f>IF(offer_sale_type="транзит",IFERROR(VLOOKUP($B621,calc_data,G$14+1,0),0),0)</f>
        <v/>
      </c>
      <c r="H621" s="141">
        <f>E621*G621</f>
        <v/>
      </c>
      <c r="I621" s="141">
        <f>IF(offer_sale_type="транзит",IFERROR(ROUND(VLOOKUP($B621,calc_data,I$14+1,0),2),0),0)</f>
        <v/>
      </c>
      <c r="J621" s="141">
        <f>ROUND(IF(offer_sale_type="транзит",IFERROR(VLOOKUP($B621,calc_data,J$14+1,0),0),0),2)</f>
        <v/>
      </c>
      <c r="K621" s="142">
        <f>IF(offer_sale_type="транзит",IFERROR(ROUNDUP(VLOOKUP($B621,calc_data,K$14+1,0),2),0),0)</f>
        <v/>
      </c>
      <c r="L621" s="184">
        <f>IF(offer_sale_type="транзит",IFERROR(ROUNDUP(VLOOKUP($B621,calc_data,L$14+1,0),2),0),0)</f>
        <v/>
      </c>
      <c r="M621" s="141">
        <f>IF(offer_sale_type="транзит",IFERROR(ROUNDUP(VLOOKUP($B621,calc_data,M$14+1,0),2),0),0)</f>
        <v/>
      </c>
      <c r="N621" s="141">
        <f>IF(offer_sale_type="транзит",IFERROR(ROUNDUP(VLOOKUP($B621,calc_data,N$14+1,0),2),0),0)</f>
        <v/>
      </c>
      <c r="O621" s="147">
        <f>IF(offer_sale_type="транзит",IFERROR(ROUND(VLOOKUP($B621,calc_data,O$14+1,1),2),0),0)</f>
        <v/>
      </c>
      <c r="P621" s="141">
        <f>IF(offer_sale_type="транзит",IFERROR(ROUND(SUM(I621:J621,M621:O621)/E621,2),0),0)</f>
        <v/>
      </c>
      <c r="Q621" s="141">
        <f>E621*P621</f>
        <v/>
      </c>
      <c r="R621" s="141">
        <f>ROUND(Q621*IF(AND(offer_incoterms="DDP",seller_region="RU"),IF((TODAY()+offer_turnaround_time)&gt;=helpsheet!$L$17,rate_vatRU_from_26,rate_vatRu_till_25),0),2)</f>
        <v/>
      </c>
      <c r="S621" s="177">
        <f>Q621+IF(AND(offer_incoterms="DDP",seller_region="RU"),R621,0)</f>
        <v/>
      </c>
      <c r="T621" s="45" t="n"/>
      <c r="V621" s="57">
        <f>IF(Q621&gt;0,"показать","скрыть")</f>
        <v/>
      </c>
    </row>
    <row r="622" ht="15.75" customHeight="1">
      <c r="B622" s="809" t="n">
        <v>606</v>
      </c>
      <c r="C622" s="182">
        <f>IF(offer_sale_type="транзит",IFERROR(VLOOKUP($B622,calc_data,C$14+1,0),0),0)</f>
        <v/>
      </c>
      <c r="D622" s="280">
        <f>IF(offer_sale_type="транзит",IFERROR(VLOOKUP($B622,calc_data,D$14+1,0),0),0)</f>
        <v/>
      </c>
      <c r="E622" s="182">
        <f>IF(offer_sale_type="транзит",IFERROR(VLOOKUP($B622,calc_data,E$14+1,0),0),0)</f>
        <v/>
      </c>
      <c r="F622" s="182">
        <f>IF(offer_sale_type="транзит",IFERROR(VLOOKUP($B622,calc_data,F$14+1,0),0),0)</f>
        <v/>
      </c>
      <c r="G622" s="141">
        <f>IF(offer_sale_type="транзит",IFERROR(VLOOKUP($B622,calc_data,G$14+1,0),0),0)</f>
        <v/>
      </c>
      <c r="H622" s="141">
        <f>E622*G622</f>
        <v/>
      </c>
      <c r="I622" s="141">
        <f>IF(offer_sale_type="транзит",IFERROR(ROUND(VLOOKUP($B622,calc_data,I$14+1,0),2),0),0)</f>
        <v/>
      </c>
      <c r="J622" s="141">
        <f>ROUND(IF(offer_sale_type="транзит",IFERROR(VLOOKUP($B622,calc_data,J$14+1,0),0),0),2)</f>
        <v/>
      </c>
      <c r="K622" s="142">
        <f>IF(offer_sale_type="транзит",IFERROR(ROUNDUP(VLOOKUP($B622,calc_data,K$14+1,0),2),0),0)</f>
        <v/>
      </c>
      <c r="L622" s="184">
        <f>IF(offer_sale_type="транзит",IFERROR(ROUNDUP(VLOOKUP($B622,calc_data,L$14+1,0),2),0),0)</f>
        <v/>
      </c>
      <c r="M622" s="141">
        <f>IF(offer_sale_type="транзит",IFERROR(ROUNDUP(VLOOKUP($B622,calc_data,M$14+1,0),2),0),0)</f>
        <v/>
      </c>
      <c r="N622" s="141">
        <f>IF(offer_sale_type="транзит",IFERROR(ROUNDUP(VLOOKUP($B622,calc_data,N$14+1,0),2),0),0)</f>
        <v/>
      </c>
      <c r="O622" s="147">
        <f>IF(offer_sale_type="транзит",IFERROR(ROUND(VLOOKUP($B622,calc_data,O$14+1,1),2),0),0)</f>
        <v/>
      </c>
      <c r="P622" s="141">
        <f>IF(offer_sale_type="транзит",IFERROR(ROUND(SUM(I622:J622,M622:O622)/E622,2),0),0)</f>
        <v/>
      </c>
      <c r="Q622" s="141">
        <f>E622*P622</f>
        <v/>
      </c>
      <c r="R622" s="141">
        <f>ROUND(Q622*IF(AND(offer_incoterms="DDP",seller_region="RU"),IF((TODAY()+offer_turnaround_time)&gt;=helpsheet!$L$17,rate_vatRU_from_26,rate_vatRu_till_25),0),2)</f>
        <v/>
      </c>
      <c r="S622" s="177">
        <f>Q622+IF(AND(offer_incoterms="DDP",seller_region="RU"),R622,0)</f>
        <v/>
      </c>
      <c r="T622" s="45" t="n"/>
      <c r="V622" s="57">
        <f>IF(Q622&gt;0,"показать","скрыть")</f>
        <v/>
      </c>
    </row>
    <row r="623" ht="15.75" customHeight="1">
      <c r="B623" s="809" t="n">
        <v>607</v>
      </c>
      <c r="C623" s="182">
        <f>IF(offer_sale_type="транзит",IFERROR(VLOOKUP($B623,calc_data,C$14+1,0),0),0)</f>
        <v/>
      </c>
      <c r="D623" s="280">
        <f>IF(offer_sale_type="транзит",IFERROR(VLOOKUP($B623,calc_data,D$14+1,0),0),0)</f>
        <v/>
      </c>
      <c r="E623" s="182">
        <f>IF(offer_sale_type="транзит",IFERROR(VLOOKUP($B623,calc_data,E$14+1,0),0),0)</f>
        <v/>
      </c>
      <c r="F623" s="182">
        <f>IF(offer_sale_type="транзит",IFERROR(VLOOKUP($B623,calc_data,F$14+1,0),0),0)</f>
        <v/>
      </c>
      <c r="G623" s="141">
        <f>IF(offer_sale_type="транзит",IFERROR(VLOOKUP($B623,calc_data,G$14+1,0),0),0)</f>
        <v/>
      </c>
      <c r="H623" s="141">
        <f>E623*G623</f>
        <v/>
      </c>
      <c r="I623" s="141">
        <f>IF(offer_sale_type="транзит",IFERROR(ROUND(VLOOKUP($B623,calc_data,I$14+1,0),2),0),0)</f>
        <v/>
      </c>
      <c r="J623" s="141">
        <f>ROUND(IF(offer_sale_type="транзит",IFERROR(VLOOKUP($B623,calc_data,J$14+1,0),0),0),2)</f>
        <v/>
      </c>
      <c r="K623" s="142">
        <f>IF(offer_sale_type="транзит",IFERROR(ROUNDUP(VLOOKUP($B623,calc_data,K$14+1,0),2),0),0)</f>
        <v/>
      </c>
      <c r="L623" s="184">
        <f>IF(offer_sale_type="транзит",IFERROR(ROUNDUP(VLOOKUP($B623,calc_data,L$14+1,0),2),0),0)</f>
        <v/>
      </c>
      <c r="M623" s="141">
        <f>IF(offer_sale_type="транзит",IFERROR(ROUNDUP(VLOOKUP($B623,calc_data,M$14+1,0),2),0),0)</f>
        <v/>
      </c>
      <c r="N623" s="141">
        <f>IF(offer_sale_type="транзит",IFERROR(ROUNDUP(VLOOKUP($B623,calc_data,N$14+1,0),2),0),0)</f>
        <v/>
      </c>
      <c r="O623" s="147">
        <f>IF(offer_sale_type="транзит",IFERROR(ROUND(VLOOKUP($B623,calc_data,O$14+1,1),2),0),0)</f>
        <v/>
      </c>
      <c r="P623" s="141">
        <f>IF(offer_sale_type="транзит",IFERROR(ROUND(SUM(I623:J623,M623:O623)/E623,2),0),0)</f>
        <v/>
      </c>
      <c r="Q623" s="141">
        <f>E623*P623</f>
        <v/>
      </c>
      <c r="R623" s="141">
        <f>ROUND(Q623*IF(AND(offer_incoterms="DDP",seller_region="RU"),IF((TODAY()+offer_turnaround_time)&gt;=helpsheet!$L$17,rate_vatRU_from_26,rate_vatRu_till_25),0),2)</f>
        <v/>
      </c>
      <c r="S623" s="177">
        <f>Q623+IF(AND(offer_incoterms="DDP",seller_region="RU"),R623,0)</f>
        <v/>
      </c>
      <c r="T623" s="45" t="n"/>
      <c r="V623" s="57">
        <f>IF(Q623&gt;0,"показать","скрыть")</f>
        <v/>
      </c>
    </row>
    <row r="624" ht="15.75" customHeight="1">
      <c r="B624" s="809" t="n">
        <v>608</v>
      </c>
      <c r="C624" s="182">
        <f>IF(offer_sale_type="транзит",IFERROR(VLOOKUP($B624,calc_data,C$14+1,0),0),0)</f>
        <v/>
      </c>
      <c r="D624" s="280">
        <f>IF(offer_sale_type="транзит",IFERROR(VLOOKUP($B624,calc_data,D$14+1,0),0),0)</f>
        <v/>
      </c>
      <c r="E624" s="182">
        <f>IF(offer_sale_type="транзит",IFERROR(VLOOKUP($B624,calc_data,E$14+1,0),0),0)</f>
        <v/>
      </c>
      <c r="F624" s="182">
        <f>IF(offer_sale_type="транзит",IFERROR(VLOOKUP($B624,calc_data,F$14+1,0),0),0)</f>
        <v/>
      </c>
      <c r="G624" s="141">
        <f>IF(offer_sale_type="транзит",IFERROR(VLOOKUP($B624,calc_data,G$14+1,0),0),0)</f>
        <v/>
      </c>
      <c r="H624" s="141">
        <f>E624*G624</f>
        <v/>
      </c>
      <c r="I624" s="141">
        <f>IF(offer_sale_type="транзит",IFERROR(ROUND(VLOOKUP($B624,calc_data,I$14+1,0),2),0),0)</f>
        <v/>
      </c>
      <c r="J624" s="141">
        <f>ROUND(IF(offer_sale_type="транзит",IFERROR(VLOOKUP($B624,calc_data,J$14+1,0),0),0),2)</f>
        <v/>
      </c>
      <c r="K624" s="142">
        <f>IF(offer_sale_type="транзит",IFERROR(ROUNDUP(VLOOKUP($B624,calc_data,K$14+1,0),2),0),0)</f>
        <v/>
      </c>
      <c r="L624" s="184">
        <f>IF(offer_sale_type="транзит",IFERROR(ROUNDUP(VLOOKUP($B624,calc_data,L$14+1,0),2),0),0)</f>
        <v/>
      </c>
      <c r="M624" s="141">
        <f>IF(offer_sale_type="транзит",IFERROR(ROUNDUP(VLOOKUP($B624,calc_data,M$14+1,0),2),0),0)</f>
        <v/>
      </c>
      <c r="N624" s="141">
        <f>IF(offer_sale_type="транзит",IFERROR(ROUNDUP(VLOOKUP($B624,calc_data,N$14+1,0),2),0),0)</f>
        <v/>
      </c>
      <c r="O624" s="147">
        <f>IF(offer_sale_type="транзит",IFERROR(ROUND(VLOOKUP($B624,calc_data,O$14+1,1),2),0),0)</f>
        <v/>
      </c>
      <c r="P624" s="141">
        <f>IF(offer_sale_type="транзит",IFERROR(ROUND(SUM(I624:J624,M624:O624)/E624,2),0),0)</f>
        <v/>
      </c>
      <c r="Q624" s="141">
        <f>E624*P624</f>
        <v/>
      </c>
      <c r="R624" s="141">
        <f>ROUND(Q624*IF(AND(offer_incoterms="DDP",seller_region="RU"),IF((TODAY()+offer_turnaround_time)&gt;=helpsheet!$L$17,rate_vatRU_from_26,rate_vatRu_till_25),0),2)</f>
        <v/>
      </c>
      <c r="S624" s="177">
        <f>Q624+IF(AND(offer_incoterms="DDP",seller_region="RU"),R624,0)</f>
        <v/>
      </c>
      <c r="T624" s="45" t="n"/>
      <c r="V624" s="57">
        <f>IF(Q624&gt;0,"показать","скрыть")</f>
        <v/>
      </c>
    </row>
    <row r="625" ht="15.75" customHeight="1">
      <c r="B625" s="809" t="n">
        <v>609</v>
      </c>
      <c r="C625" s="182">
        <f>IF(offer_sale_type="транзит",IFERROR(VLOOKUP($B625,calc_data,C$14+1,0),0),0)</f>
        <v/>
      </c>
      <c r="D625" s="280">
        <f>IF(offer_sale_type="транзит",IFERROR(VLOOKUP($B625,calc_data,D$14+1,0),0),0)</f>
        <v/>
      </c>
      <c r="E625" s="182">
        <f>IF(offer_sale_type="транзит",IFERROR(VLOOKUP($B625,calc_data,E$14+1,0),0),0)</f>
        <v/>
      </c>
      <c r="F625" s="182">
        <f>IF(offer_sale_type="транзит",IFERROR(VLOOKUP($B625,calc_data,F$14+1,0),0),0)</f>
        <v/>
      </c>
      <c r="G625" s="141">
        <f>IF(offer_sale_type="транзит",IFERROR(VLOOKUP($B625,calc_data,G$14+1,0),0),0)</f>
        <v/>
      </c>
      <c r="H625" s="141">
        <f>E625*G625</f>
        <v/>
      </c>
      <c r="I625" s="141">
        <f>IF(offer_sale_type="транзит",IFERROR(ROUND(VLOOKUP($B625,calc_data,I$14+1,0),2),0),0)</f>
        <v/>
      </c>
      <c r="J625" s="141">
        <f>ROUND(IF(offer_sale_type="транзит",IFERROR(VLOOKUP($B625,calc_data,J$14+1,0),0),0),2)</f>
        <v/>
      </c>
      <c r="K625" s="142">
        <f>IF(offer_sale_type="транзит",IFERROR(ROUNDUP(VLOOKUP($B625,calc_data,K$14+1,0),2),0),0)</f>
        <v/>
      </c>
      <c r="L625" s="184">
        <f>IF(offer_sale_type="транзит",IFERROR(ROUNDUP(VLOOKUP($B625,calc_data,L$14+1,0),2),0),0)</f>
        <v/>
      </c>
      <c r="M625" s="141">
        <f>IF(offer_sale_type="транзит",IFERROR(ROUNDUP(VLOOKUP($B625,calc_data,M$14+1,0),2),0),0)</f>
        <v/>
      </c>
      <c r="N625" s="141">
        <f>IF(offer_sale_type="транзит",IFERROR(ROUNDUP(VLOOKUP($B625,calc_data,N$14+1,0),2),0),0)</f>
        <v/>
      </c>
      <c r="O625" s="147">
        <f>IF(offer_sale_type="транзит",IFERROR(ROUND(VLOOKUP($B625,calc_data,O$14+1,1),2),0),0)</f>
        <v/>
      </c>
      <c r="P625" s="141">
        <f>IF(offer_sale_type="транзит",IFERROR(ROUND(SUM(I625:J625,M625:O625)/E625,2),0),0)</f>
        <v/>
      </c>
      <c r="Q625" s="141">
        <f>E625*P625</f>
        <v/>
      </c>
      <c r="R625" s="141">
        <f>ROUND(Q625*IF(AND(offer_incoterms="DDP",seller_region="RU"),IF((TODAY()+offer_turnaround_time)&gt;=helpsheet!$L$17,rate_vatRU_from_26,rate_vatRu_till_25),0),2)</f>
        <v/>
      </c>
      <c r="S625" s="177">
        <f>Q625+IF(AND(offer_incoterms="DDP",seller_region="RU"),R625,0)</f>
        <v/>
      </c>
      <c r="T625" s="45" t="n"/>
      <c r="V625" s="57">
        <f>IF(Q625&gt;0,"показать","скрыть")</f>
        <v/>
      </c>
    </row>
    <row r="626" ht="15.75" customHeight="1">
      <c r="B626" s="809" t="n">
        <v>610</v>
      </c>
      <c r="C626" s="182">
        <f>IF(offer_sale_type="транзит",IFERROR(VLOOKUP($B626,calc_data,C$14+1,0),0),0)</f>
        <v/>
      </c>
      <c r="D626" s="280">
        <f>IF(offer_sale_type="транзит",IFERROR(VLOOKUP($B626,calc_data,D$14+1,0),0),0)</f>
        <v/>
      </c>
      <c r="E626" s="182">
        <f>IF(offer_sale_type="транзит",IFERROR(VLOOKUP($B626,calc_data,E$14+1,0),0),0)</f>
        <v/>
      </c>
      <c r="F626" s="182">
        <f>IF(offer_sale_type="транзит",IFERROR(VLOOKUP($B626,calc_data,F$14+1,0),0),0)</f>
        <v/>
      </c>
      <c r="G626" s="141">
        <f>IF(offer_sale_type="транзит",IFERROR(VLOOKUP($B626,calc_data,G$14+1,0),0),0)</f>
        <v/>
      </c>
      <c r="H626" s="141">
        <f>E626*G626</f>
        <v/>
      </c>
      <c r="I626" s="141">
        <f>IF(offer_sale_type="транзит",IFERROR(ROUND(VLOOKUP($B626,calc_data,I$14+1,0),2),0),0)</f>
        <v/>
      </c>
      <c r="J626" s="141">
        <f>ROUND(IF(offer_sale_type="транзит",IFERROR(VLOOKUP($B626,calc_data,J$14+1,0),0),0),2)</f>
        <v/>
      </c>
      <c r="K626" s="142">
        <f>IF(offer_sale_type="транзит",IFERROR(ROUNDUP(VLOOKUP($B626,calc_data,K$14+1,0),2),0),0)</f>
        <v/>
      </c>
      <c r="L626" s="184">
        <f>IF(offer_sale_type="транзит",IFERROR(ROUNDUP(VLOOKUP($B626,calc_data,L$14+1,0),2),0),0)</f>
        <v/>
      </c>
      <c r="M626" s="141">
        <f>IF(offer_sale_type="транзит",IFERROR(ROUNDUP(VLOOKUP($B626,calc_data,M$14+1,0),2),0),0)</f>
        <v/>
      </c>
      <c r="N626" s="141">
        <f>IF(offer_sale_type="транзит",IFERROR(ROUNDUP(VLOOKUP($B626,calc_data,N$14+1,0),2),0),0)</f>
        <v/>
      </c>
      <c r="O626" s="147">
        <f>IF(offer_sale_type="транзит",IFERROR(ROUND(VLOOKUP($B626,calc_data,O$14+1,1),2),0),0)</f>
        <v/>
      </c>
      <c r="P626" s="141">
        <f>IF(offer_sale_type="транзит",IFERROR(ROUND(SUM(I626:J626,M626:O626)/E626,2),0),0)</f>
        <v/>
      </c>
      <c r="Q626" s="141">
        <f>E626*P626</f>
        <v/>
      </c>
      <c r="R626" s="141">
        <f>ROUND(Q626*IF(AND(offer_incoterms="DDP",seller_region="RU"),IF((TODAY()+offer_turnaround_time)&gt;=helpsheet!$L$17,rate_vatRU_from_26,rate_vatRu_till_25),0),2)</f>
        <v/>
      </c>
      <c r="S626" s="177">
        <f>Q626+IF(AND(offer_incoterms="DDP",seller_region="RU"),R626,0)</f>
        <v/>
      </c>
      <c r="T626" s="45" t="n"/>
      <c r="V626" s="57">
        <f>IF(Q626&gt;0,"показать","скрыть")</f>
        <v/>
      </c>
    </row>
    <row r="627" ht="15.75" customHeight="1">
      <c r="B627" s="809" t="n">
        <v>611</v>
      </c>
      <c r="C627" s="182">
        <f>IF(offer_sale_type="транзит",IFERROR(VLOOKUP($B627,calc_data,C$14+1,0),0),0)</f>
        <v/>
      </c>
      <c r="D627" s="280">
        <f>IF(offer_sale_type="транзит",IFERROR(VLOOKUP($B627,calc_data,D$14+1,0),0),0)</f>
        <v/>
      </c>
      <c r="E627" s="182">
        <f>IF(offer_sale_type="транзит",IFERROR(VLOOKUP($B627,calc_data,E$14+1,0),0),0)</f>
        <v/>
      </c>
      <c r="F627" s="182">
        <f>IF(offer_sale_type="транзит",IFERROR(VLOOKUP($B627,calc_data,F$14+1,0),0),0)</f>
        <v/>
      </c>
      <c r="G627" s="141">
        <f>IF(offer_sale_type="транзит",IFERROR(VLOOKUP($B627,calc_data,G$14+1,0),0),0)</f>
        <v/>
      </c>
      <c r="H627" s="141">
        <f>E627*G627</f>
        <v/>
      </c>
      <c r="I627" s="141">
        <f>IF(offer_sale_type="транзит",IFERROR(ROUND(VLOOKUP($B627,calc_data,I$14+1,0),2),0),0)</f>
        <v/>
      </c>
      <c r="J627" s="141">
        <f>ROUND(IF(offer_sale_type="транзит",IFERROR(VLOOKUP($B627,calc_data,J$14+1,0),0),0),2)</f>
        <v/>
      </c>
      <c r="K627" s="142">
        <f>IF(offer_sale_type="транзит",IFERROR(ROUNDUP(VLOOKUP($B627,calc_data,K$14+1,0),2),0),0)</f>
        <v/>
      </c>
      <c r="L627" s="184">
        <f>IF(offer_sale_type="транзит",IFERROR(ROUNDUP(VLOOKUP($B627,calc_data,L$14+1,0),2),0),0)</f>
        <v/>
      </c>
      <c r="M627" s="141">
        <f>IF(offer_sale_type="транзит",IFERROR(ROUNDUP(VLOOKUP($B627,calc_data,M$14+1,0),2),0),0)</f>
        <v/>
      </c>
      <c r="N627" s="141">
        <f>IF(offer_sale_type="транзит",IFERROR(ROUNDUP(VLOOKUP($B627,calc_data,N$14+1,0),2),0),0)</f>
        <v/>
      </c>
      <c r="O627" s="147">
        <f>IF(offer_sale_type="транзит",IFERROR(ROUND(VLOOKUP($B627,calc_data,O$14+1,1),2),0),0)</f>
        <v/>
      </c>
      <c r="P627" s="141">
        <f>IF(offer_sale_type="транзит",IFERROR(ROUND(SUM(I627:J627,M627:O627)/E627,2),0),0)</f>
        <v/>
      </c>
      <c r="Q627" s="141">
        <f>E627*P627</f>
        <v/>
      </c>
      <c r="R627" s="141">
        <f>ROUND(Q627*IF(AND(offer_incoterms="DDP",seller_region="RU"),IF((TODAY()+offer_turnaround_time)&gt;=helpsheet!$L$17,rate_vatRU_from_26,rate_vatRu_till_25),0),2)</f>
        <v/>
      </c>
      <c r="S627" s="177">
        <f>Q627+IF(AND(offer_incoterms="DDP",seller_region="RU"),R627,0)</f>
        <v/>
      </c>
      <c r="T627" s="45" t="n"/>
      <c r="V627" s="57">
        <f>IF(Q627&gt;0,"показать","скрыть")</f>
        <v/>
      </c>
    </row>
    <row r="628" ht="15.75" customHeight="1">
      <c r="B628" s="809" t="n">
        <v>612</v>
      </c>
      <c r="C628" s="182">
        <f>IF(offer_sale_type="транзит",IFERROR(VLOOKUP($B628,calc_data,C$14+1,0),0),0)</f>
        <v/>
      </c>
      <c r="D628" s="280">
        <f>IF(offer_sale_type="транзит",IFERROR(VLOOKUP($B628,calc_data,D$14+1,0),0),0)</f>
        <v/>
      </c>
      <c r="E628" s="182">
        <f>IF(offer_sale_type="транзит",IFERROR(VLOOKUP($B628,calc_data,E$14+1,0),0),0)</f>
        <v/>
      </c>
      <c r="F628" s="182">
        <f>IF(offer_sale_type="транзит",IFERROR(VLOOKUP($B628,calc_data,F$14+1,0),0),0)</f>
        <v/>
      </c>
      <c r="G628" s="141">
        <f>IF(offer_sale_type="транзит",IFERROR(VLOOKUP($B628,calc_data,G$14+1,0),0),0)</f>
        <v/>
      </c>
      <c r="H628" s="141">
        <f>E628*G628</f>
        <v/>
      </c>
      <c r="I628" s="141">
        <f>IF(offer_sale_type="транзит",IFERROR(ROUND(VLOOKUP($B628,calc_data,I$14+1,0),2),0),0)</f>
        <v/>
      </c>
      <c r="J628" s="141">
        <f>ROUND(IF(offer_sale_type="транзит",IFERROR(VLOOKUP($B628,calc_data,J$14+1,0),0),0),2)</f>
        <v/>
      </c>
      <c r="K628" s="142">
        <f>IF(offer_sale_type="транзит",IFERROR(ROUNDUP(VLOOKUP($B628,calc_data,K$14+1,0),2),0),0)</f>
        <v/>
      </c>
      <c r="L628" s="184">
        <f>IF(offer_sale_type="транзит",IFERROR(ROUNDUP(VLOOKUP($B628,calc_data,L$14+1,0),2),0),0)</f>
        <v/>
      </c>
      <c r="M628" s="141">
        <f>IF(offer_sale_type="транзит",IFERROR(ROUNDUP(VLOOKUP($B628,calc_data,M$14+1,0),2),0),0)</f>
        <v/>
      </c>
      <c r="N628" s="141">
        <f>IF(offer_sale_type="транзит",IFERROR(ROUNDUP(VLOOKUP($B628,calc_data,N$14+1,0),2),0),0)</f>
        <v/>
      </c>
      <c r="O628" s="147">
        <f>IF(offer_sale_type="транзит",IFERROR(ROUND(VLOOKUP($B628,calc_data,O$14+1,1),2),0),0)</f>
        <v/>
      </c>
      <c r="P628" s="141">
        <f>IF(offer_sale_type="транзит",IFERROR(ROUND(SUM(I628:J628,M628:O628)/E628,2),0),0)</f>
        <v/>
      </c>
      <c r="Q628" s="141">
        <f>E628*P628</f>
        <v/>
      </c>
      <c r="R628" s="141">
        <f>ROUND(Q628*IF(AND(offer_incoterms="DDP",seller_region="RU"),IF((TODAY()+offer_turnaround_time)&gt;=helpsheet!$L$17,rate_vatRU_from_26,rate_vatRu_till_25),0),2)</f>
        <v/>
      </c>
      <c r="S628" s="177">
        <f>Q628+IF(AND(offer_incoterms="DDP",seller_region="RU"),R628,0)</f>
        <v/>
      </c>
      <c r="T628" s="45" t="n"/>
      <c r="V628" s="57">
        <f>IF(Q628&gt;0,"показать","скрыть")</f>
        <v/>
      </c>
    </row>
    <row r="629" ht="15.75" customHeight="1">
      <c r="B629" s="809" t="n">
        <v>613</v>
      </c>
      <c r="C629" s="182">
        <f>IF(offer_sale_type="транзит",IFERROR(VLOOKUP($B629,calc_data,C$14+1,0),0),0)</f>
        <v/>
      </c>
      <c r="D629" s="280">
        <f>IF(offer_sale_type="транзит",IFERROR(VLOOKUP($B629,calc_data,D$14+1,0),0),0)</f>
        <v/>
      </c>
      <c r="E629" s="182">
        <f>IF(offer_sale_type="транзит",IFERROR(VLOOKUP($B629,calc_data,E$14+1,0),0),0)</f>
        <v/>
      </c>
      <c r="F629" s="182">
        <f>IF(offer_sale_type="транзит",IFERROR(VLOOKUP($B629,calc_data,F$14+1,0),0),0)</f>
        <v/>
      </c>
      <c r="G629" s="141">
        <f>IF(offer_sale_type="транзит",IFERROR(VLOOKUP($B629,calc_data,G$14+1,0),0),0)</f>
        <v/>
      </c>
      <c r="H629" s="141">
        <f>E629*G629</f>
        <v/>
      </c>
      <c r="I629" s="141">
        <f>IF(offer_sale_type="транзит",IFERROR(ROUND(VLOOKUP($B629,calc_data,I$14+1,0),2),0),0)</f>
        <v/>
      </c>
      <c r="J629" s="141">
        <f>ROUND(IF(offer_sale_type="транзит",IFERROR(VLOOKUP($B629,calc_data,J$14+1,0),0),0),2)</f>
        <v/>
      </c>
      <c r="K629" s="142">
        <f>IF(offer_sale_type="транзит",IFERROR(ROUNDUP(VLOOKUP($B629,calc_data,K$14+1,0),2),0),0)</f>
        <v/>
      </c>
      <c r="L629" s="184">
        <f>IF(offer_sale_type="транзит",IFERROR(ROUNDUP(VLOOKUP($B629,calc_data,L$14+1,0),2),0),0)</f>
        <v/>
      </c>
      <c r="M629" s="141">
        <f>IF(offer_sale_type="транзит",IFERROR(ROUNDUP(VLOOKUP($B629,calc_data,M$14+1,0),2),0),0)</f>
        <v/>
      </c>
      <c r="N629" s="141">
        <f>IF(offer_sale_type="транзит",IFERROR(ROUNDUP(VLOOKUP($B629,calc_data,N$14+1,0),2),0),0)</f>
        <v/>
      </c>
      <c r="O629" s="147">
        <f>IF(offer_sale_type="транзит",IFERROR(ROUND(VLOOKUP($B629,calc_data,O$14+1,1),2),0),0)</f>
        <v/>
      </c>
      <c r="P629" s="141">
        <f>IF(offer_sale_type="транзит",IFERROR(ROUND(SUM(I629:J629,M629:O629)/E629,2),0),0)</f>
        <v/>
      </c>
      <c r="Q629" s="141">
        <f>E629*P629</f>
        <v/>
      </c>
      <c r="R629" s="141">
        <f>ROUND(Q629*IF(AND(offer_incoterms="DDP",seller_region="RU"),IF((TODAY()+offer_turnaround_time)&gt;=helpsheet!$L$17,rate_vatRU_from_26,rate_vatRu_till_25),0),2)</f>
        <v/>
      </c>
      <c r="S629" s="177">
        <f>Q629+IF(AND(offer_incoterms="DDP",seller_region="RU"),R629,0)</f>
        <v/>
      </c>
      <c r="T629" s="45" t="n"/>
      <c r="V629" s="57">
        <f>IF(Q629&gt;0,"показать","скрыть")</f>
        <v/>
      </c>
    </row>
    <row r="630" ht="15.75" customHeight="1">
      <c r="B630" s="809" t="n">
        <v>614</v>
      </c>
      <c r="C630" s="182">
        <f>IF(offer_sale_type="транзит",IFERROR(VLOOKUP($B630,calc_data,C$14+1,0),0),0)</f>
        <v/>
      </c>
      <c r="D630" s="280">
        <f>IF(offer_sale_type="транзит",IFERROR(VLOOKUP($B630,calc_data,D$14+1,0),0),0)</f>
        <v/>
      </c>
      <c r="E630" s="182">
        <f>IF(offer_sale_type="транзит",IFERROR(VLOOKUP($B630,calc_data,E$14+1,0),0),0)</f>
        <v/>
      </c>
      <c r="F630" s="182">
        <f>IF(offer_sale_type="транзит",IFERROR(VLOOKUP($B630,calc_data,F$14+1,0),0),0)</f>
        <v/>
      </c>
      <c r="G630" s="141">
        <f>IF(offer_sale_type="транзит",IFERROR(VLOOKUP($B630,calc_data,G$14+1,0),0),0)</f>
        <v/>
      </c>
      <c r="H630" s="141">
        <f>E630*G630</f>
        <v/>
      </c>
      <c r="I630" s="141">
        <f>IF(offer_sale_type="транзит",IFERROR(ROUND(VLOOKUP($B630,calc_data,I$14+1,0),2),0),0)</f>
        <v/>
      </c>
      <c r="J630" s="141">
        <f>ROUND(IF(offer_sale_type="транзит",IFERROR(VLOOKUP($B630,calc_data,J$14+1,0),0),0),2)</f>
        <v/>
      </c>
      <c r="K630" s="142">
        <f>IF(offer_sale_type="транзит",IFERROR(ROUNDUP(VLOOKUP($B630,calc_data,K$14+1,0),2),0),0)</f>
        <v/>
      </c>
      <c r="L630" s="184">
        <f>IF(offer_sale_type="транзит",IFERROR(ROUNDUP(VLOOKUP($B630,calc_data,L$14+1,0),2),0),0)</f>
        <v/>
      </c>
      <c r="M630" s="141">
        <f>IF(offer_sale_type="транзит",IFERROR(ROUNDUP(VLOOKUP($B630,calc_data,M$14+1,0),2),0),0)</f>
        <v/>
      </c>
      <c r="N630" s="141">
        <f>IF(offer_sale_type="транзит",IFERROR(ROUNDUP(VLOOKUP($B630,calc_data,N$14+1,0),2),0),0)</f>
        <v/>
      </c>
      <c r="O630" s="147">
        <f>IF(offer_sale_type="транзит",IFERROR(ROUND(VLOOKUP($B630,calc_data,O$14+1,1),2),0),0)</f>
        <v/>
      </c>
      <c r="P630" s="141">
        <f>IF(offer_sale_type="транзит",IFERROR(ROUND(SUM(I630:J630,M630:O630)/E630,2),0),0)</f>
        <v/>
      </c>
      <c r="Q630" s="141">
        <f>E630*P630</f>
        <v/>
      </c>
      <c r="R630" s="141">
        <f>ROUND(Q630*IF(AND(offer_incoterms="DDP",seller_region="RU"),IF((TODAY()+offer_turnaround_time)&gt;=helpsheet!$L$17,rate_vatRU_from_26,rate_vatRu_till_25),0),2)</f>
        <v/>
      </c>
      <c r="S630" s="177">
        <f>Q630+IF(AND(offer_incoterms="DDP",seller_region="RU"),R630,0)</f>
        <v/>
      </c>
      <c r="T630" s="45" t="n"/>
      <c r="V630" s="57">
        <f>IF(Q630&gt;0,"показать","скрыть")</f>
        <v/>
      </c>
    </row>
    <row r="631" ht="15.75" customHeight="1">
      <c r="B631" s="809" t="n">
        <v>615</v>
      </c>
      <c r="C631" s="182">
        <f>IF(offer_sale_type="транзит",IFERROR(VLOOKUP($B631,calc_data,C$14+1,0),0),0)</f>
        <v/>
      </c>
      <c r="D631" s="280">
        <f>IF(offer_sale_type="транзит",IFERROR(VLOOKUP($B631,calc_data,D$14+1,0),0),0)</f>
        <v/>
      </c>
      <c r="E631" s="182">
        <f>IF(offer_sale_type="транзит",IFERROR(VLOOKUP($B631,calc_data,E$14+1,0),0),0)</f>
        <v/>
      </c>
      <c r="F631" s="182">
        <f>IF(offer_sale_type="транзит",IFERROR(VLOOKUP($B631,calc_data,F$14+1,0),0),0)</f>
        <v/>
      </c>
      <c r="G631" s="141">
        <f>IF(offer_sale_type="транзит",IFERROR(VLOOKUP($B631,calc_data,G$14+1,0),0),0)</f>
        <v/>
      </c>
      <c r="H631" s="141">
        <f>E631*G631</f>
        <v/>
      </c>
      <c r="I631" s="141">
        <f>IF(offer_sale_type="транзит",IFERROR(ROUND(VLOOKUP($B631,calc_data,I$14+1,0),2),0),0)</f>
        <v/>
      </c>
      <c r="J631" s="141">
        <f>ROUND(IF(offer_sale_type="транзит",IFERROR(VLOOKUP($B631,calc_data,J$14+1,0),0),0),2)</f>
        <v/>
      </c>
      <c r="K631" s="142">
        <f>IF(offer_sale_type="транзит",IFERROR(ROUNDUP(VLOOKUP($B631,calc_data,K$14+1,0),2),0),0)</f>
        <v/>
      </c>
      <c r="L631" s="184">
        <f>IF(offer_sale_type="транзит",IFERROR(ROUNDUP(VLOOKUP($B631,calc_data,L$14+1,0),2),0),0)</f>
        <v/>
      </c>
      <c r="M631" s="141">
        <f>IF(offer_sale_type="транзит",IFERROR(ROUNDUP(VLOOKUP($B631,calc_data,M$14+1,0),2),0),0)</f>
        <v/>
      </c>
      <c r="N631" s="141">
        <f>IF(offer_sale_type="транзит",IFERROR(ROUNDUP(VLOOKUP($B631,calc_data,N$14+1,0),2),0),0)</f>
        <v/>
      </c>
      <c r="O631" s="147">
        <f>IF(offer_sale_type="транзит",IFERROR(ROUND(VLOOKUP($B631,calc_data,O$14+1,1),2),0),0)</f>
        <v/>
      </c>
      <c r="P631" s="141">
        <f>IF(offer_sale_type="транзит",IFERROR(ROUND(SUM(I631:J631,M631:O631)/E631,2),0),0)</f>
        <v/>
      </c>
      <c r="Q631" s="141">
        <f>E631*P631</f>
        <v/>
      </c>
      <c r="R631" s="141">
        <f>ROUND(Q631*IF(AND(offer_incoterms="DDP",seller_region="RU"),IF((TODAY()+offer_turnaround_time)&gt;=helpsheet!$L$17,rate_vatRU_from_26,rate_vatRu_till_25),0),2)</f>
        <v/>
      </c>
      <c r="S631" s="177">
        <f>Q631+IF(AND(offer_incoterms="DDP",seller_region="RU"),R631,0)</f>
        <v/>
      </c>
      <c r="T631" s="45" t="n"/>
      <c r="V631" s="57">
        <f>IF(Q631&gt;0,"показать","скрыть")</f>
        <v/>
      </c>
    </row>
    <row r="632" ht="15.75" customHeight="1">
      <c r="B632" s="809" t="n">
        <v>616</v>
      </c>
      <c r="C632" s="182">
        <f>IF(offer_sale_type="транзит",IFERROR(VLOOKUP($B632,calc_data,C$14+1,0),0),0)</f>
        <v/>
      </c>
      <c r="D632" s="280">
        <f>IF(offer_sale_type="транзит",IFERROR(VLOOKUP($B632,calc_data,D$14+1,0),0),0)</f>
        <v/>
      </c>
      <c r="E632" s="182">
        <f>IF(offer_sale_type="транзит",IFERROR(VLOOKUP($B632,calc_data,E$14+1,0),0),0)</f>
        <v/>
      </c>
      <c r="F632" s="182">
        <f>IF(offer_sale_type="транзит",IFERROR(VLOOKUP($B632,calc_data,F$14+1,0),0),0)</f>
        <v/>
      </c>
      <c r="G632" s="141">
        <f>IF(offer_sale_type="транзит",IFERROR(VLOOKUP($B632,calc_data,G$14+1,0),0),0)</f>
        <v/>
      </c>
      <c r="H632" s="141">
        <f>E632*G632</f>
        <v/>
      </c>
      <c r="I632" s="141">
        <f>IF(offer_sale_type="транзит",IFERROR(ROUND(VLOOKUP($B632,calc_data,I$14+1,0),2),0),0)</f>
        <v/>
      </c>
      <c r="J632" s="141">
        <f>ROUND(IF(offer_sale_type="транзит",IFERROR(VLOOKUP($B632,calc_data,J$14+1,0),0),0),2)</f>
        <v/>
      </c>
      <c r="K632" s="142">
        <f>IF(offer_sale_type="транзит",IFERROR(ROUNDUP(VLOOKUP($B632,calc_data,K$14+1,0),2),0),0)</f>
        <v/>
      </c>
      <c r="L632" s="184">
        <f>IF(offer_sale_type="транзит",IFERROR(ROUNDUP(VLOOKUP($B632,calc_data,L$14+1,0),2),0),0)</f>
        <v/>
      </c>
      <c r="M632" s="141">
        <f>IF(offer_sale_type="транзит",IFERROR(ROUNDUP(VLOOKUP($B632,calc_data,M$14+1,0),2),0),0)</f>
        <v/>
      </c>
      <c r="N632" s="141">
        <f>IF(offer_sale_type="транзит",IFERROR(ROUNDUP(VLOOKUP($B632,calc_data,N$14+1,0),2),0),0)</f>
        <v/>
      </c>
      <c r="O632" s="147">
        <f>IF(offer_sale_type="транзит",IFERROR(ROUND(VLOOKUP($B632,calc_data,O$14+1,1),2),0),0)</f>
        <v/>
      </c>
      <c r="P632" s="141">
        <f>IF(offer_sale_type="транзит",IFERROR(ROUND(SUM(I632:J632,M632:O632)/E632,2),0),0)</f>
        <v/>
      </c>
      <c r="Q632" s="141">
        <f>E632*P632</f>
        <v/>
      </c>
      <c r="R632" s="141">
        <f>ROUND(Q632*IF(AND(offer_incoterms="DDP",seller_region="RU"),IF((TODAY()+offer_turnaround_time)&gt;=helpsheet!$L$17,rate_vatRU_from_26,rate_vatRu_till_25),0),2)</f>
        <v/>
      </c>
      <c r="S632" s="177">
        <f>Q632+IF(AND(offer_incoterms="DDP",seller_region="RU"),R632,0)</f>
        <v/>
      </c>
      <c r="T632" s="45" t="n"/>
      <c r="V632" s="57">
        <f>IF(Q632&gt;0,"показать","скрыть")</f>
        <v/>
      </c>
    </row>
    <row r="633" ht="15.75" customHeight="1">
      <c r="B633" s="809" t="n">
        <v>617</v>
      </c>
      <c r="C633" s="182">
        <f>IF(offer_sale_type="транзит",IFERROR(VLOOKUP($B633,calc_data,C$14+1,0),0),0)</f>
        <v/>
      </c>
      <c r="D633" s="280">
        <f>IF(offer_sale_type="транзит",IFERROR(VLOOKUP($B633,calc_data,D$14+1,0),0),0)</f>
        <v/>
      </c>
      <c r="E633" s="182">
        <f>IF(offer_sale_type="транзит",IFERROR(VLOOKUP($B633,calc_data,E$14+1,0),0),0)</f>
        <v/>
      </c>
      <c r="F633" s="182">
        <f>IF(offer_sale_type="транзит",IFERROR(VLOOKUP($B633,calc_data,F$14+1,0),0),0)</f>
        <v/>
      </c>
      <c r="G633" s="141">
        <f>IF(offer_sale_type="транзит",IFERROR(VLOOKUP($B633,calc_data,G$14+1,0),0),0)</f>
        <v/>
      </c>
      <c r="H633" s="141">
        <f>E633*G633</f>
        <v/>
      </c>
      <c r="I633" s="141">
        <f>IF(offer_sale_type="транзит",IFERROR(ROUND(VLOOKUP($B633,calc_data,I$14+1,0),2),0),0)</f>
        <v/>
      </c>
      <c r="J633" s="141">
        <f>ROUND(IF(offer_sale_type="транзит",IFERROR(VLOOKUP($B633,calc_data,J$14+1,0),0),0),2)</f>
        <v/>
      </c>
      <c r="K633" s="142">
        <f>IF(offer_sale_type="транзит",IFERROR(ROUNDUP(VLOOKUP($B633,calc_data,K$14+1,0),2),0),0)</f>
        <v/>
      </c>
      <c r="L633" s="184">
        <f>IF(offer_sale_type="транзит",IFERROR(ROUNDUP(VLOOKUP($B633,calc_data,L$14+1,0),2),0),0)</f>
        <v/>
      </c>
      <c r="M633" s="141">
        <f>IF(offer_sale_type="транзит",IFERROR(ROUNDUP(VLOOKUP($B633,calc_data,M$14+1,0),2),0),0)</f>
        <v/>
      </c>
      <c r="N633" s="141">
        <f>IF(offer_sale_type="транзит",IFERROR(ROUNDUP(VLOOKUP($B633,calc_data,N$14+1,0),2),0),0)</f>
        <v/>
      </c>
      <c r="O633" s="147">
        <f>IF(offer_sale_type="транзит",IFERROR(ROUND(VLOOKUP($B633,calc_data,O$14+1,1),2),0),0)</f>
        <v/>
      </c>
      <c r="P633" s="141">
        <f>IF(offer_sale_type="транзит",IFERROR(ROUND(SUM(I633:J633,M633:O633)/E633,2),0),0)</f>
        <v/>
      </c>
      <c r="Q633" s="141">
        <f>E633*P633</f>
        <v/>
      </c>
      <c r="R633" s="141">
        <f>ROUND(Q633*IF(AND(offer_incoterms="DDP",seller_region="RU"),IF((TODAY()+offer_turnaround_time)&gt;=helpsheet!$L$17,rate_vatRU_from_26,rate_vatRu_till_25),0),2)</f>
        <v/>
      </c>
      <c r="S633" s="177">
        <f>Q633+IF(AND(offer_incoterms="DDP",seller_region="RU"),R633,0)</f>
        <v/>
      </c>
      <c r="T633" s="45" t="n"/>
      <c r="V633" s="57">
        <f>IF(Q633&gt;0,"показать","скрыть")</f>
        <v/>
      </c>
    </row>
    <row r="634" ht="15.75" customHeight="1">
      <c r="B634" s="809" t="n">
        <v>618</v>
      </c>
      <c r="C634" s="182">
        <f>IF(offer_sale_type="транзит",IFERROR(VLOOKUP($B634,calc_data,C$14+1,0),0),0)</f>
        <v/>
      </c>
      <c r="D634" s="280">
        <f>IF(offer_sale_type="транзит",IFERROR(VLOOKUP($B634,calc_data,D$14+1,0),0),0)</f>
        <v/>
      </c>
      <c r="E634" s="182">
        <f>IF(offer_sale_type="транзит",IFERROR(VLOOKUP($B634,calc_data,E$14+1,0),0),0)</f>
        <v/>
      </c>
      <c r="F634" s="182">
        <f>IF(offer_sale_type="транзит",IFERROR(VLOOKUP($B634,calc_data,F$14+1,0),0),0)</f>
        <v/>
      </c>
      <c r="G634" s="141">
        <f>IF(offer_sale_type="транзит",IFERROR(VLOOKUP($B634,calc_data,G$14+1,0),0),0)</f>
        <v/>
      </c>
      <c r="H634" s="141">
        <f>E634*G634</f>
        <v/>
      </c>
      <c r="I634" s="141">
        <f>IF(offer_sale_type="транзит",IFERROR(ROUND(VLOOKUP($B634,calc_data,I$14+1,0),2),0),0)</f>
        <v/>
      </c>
      <c r="J634" s="141">
        <f>ROUND(IF(offer_sale_type="транзит",IFERROR(VLOOKUP($B634,calc_data,J$14+1,0),0),0),2)</f>
        <v/>
      </c>
      <c r="K634" s="142">
        <f>IF(offer_sale_type="транзит",IFERROR(ROUNDUP(VLOOKUP($B634,calc_data,K$14+1,0),2),0),0)</f>
        <v/>
      </c>
      <c r="L634" s="184">
        <f>IF(offer_sale_type="транзит",IFERROR(ROUNDUP(VLOOKUP($B634,calc_data,L$14+1,0),2),0),0)</f>
        <v/>
      </c>
      <c r="M634" s="141">
        <f>IF(offer_sale_type="транзит",IFERROR(ROUNDUP(VLOOKUP($B634,calc_data,M$14+1,0),2),0),0)</f>
        <v/>
      </c>
      <c r="N634" s="141">
        <f>IF(offer_sale_type="транзит",IFERROR(ROUNDUP(VLOOKUP($B634,calc_data,N$14+1,0),2),0),0)</f>
        <v/>
      </c>
      <c r="O634" s="147">
        <f>IF(offer_sale_type="транзит",IFERROR(ROUND(VLOOKUP($B634,calc_data,O$14+1,1),2),0),0)</f>
        <v/>
      </c>
      <c r="P634" s="141">
        <f>IF(offer_sale_type="транзит",IFERROR(ROUND(SUM(I634:J634,M634:O634)/E634,2),0),0)</f>
        <v/>
      </c>
      <c r="Q634" s="141">
        <f>E634*P634</f>
        <v/>
      </c>
      <c r="R634" s="141">
        <f>ROUND(Q634*IF(AND(offer_incoterms="DDP",seller_region="RU"),IF((TODAY()+offer_turnaround_time)&gt;=helpsheet!$L$17,rate_vatRU_from_26,rate_vatRu_till_25),0),2)</f>
        <v/>
      </c>
      <c r="S634" s="177">
        <f>Q634+IF(AND(offer_incoterms="DDP",seller_region="RU"),R634,0)</f>
        <v/>
      </c>
      <c r="T634" s="45" t="n"/>
      <c r="V634" s="57">
        <f>IF(Q634&gt;0,"показать","скрыть")</f>
        <v/>
      </c>
    </row>
    <row r="635" ht="15.75" customHeight="1">
      <c r="B635" s="809" t="n">
        <v>619</v>
      </c>
      <c r="C635" s="182">
        <f>IF(offer_sale_type="транзит",IFERROR(VLOOKUP($B635,calc_data,C$14+1,0),0),0)</f>
        <v/>
      </c>
      <c r="D635" s="280">
        <f>IF(offer_sale_type="транзит",IFERROR(VLOOKUP($B635,calc_data,D$14+1,0),0),0)</f>
        <v/>
      </c>
      <c r="E635" s="182">
        <f>IF(offer_sale_type="транзит",IFERROR(VLOOKUP($B635,calc_data,E$14+1,0),0),0)</f>
        <v/>
      </c>
      <c r="F635" s="182">
        <f>IF(offer_sale_type="транзит",IFERROR(VLOOKUP($B635,calc_data,F$14+1,0),0),0)</f>
        <v/>
      </c>
      <c r="G635" s="141">
        <f>IF(offer_sale_type="транзит",IFERROR(VLOOKUP($B635,calc_data,G$14+1,0),0),0)</f>
        <v/>
      </c>
      <c r="H635" s="141">
        <f>E635*G635</f>
        <v/>
      </c>
      <c r="I635" s="141">
        <f>IF(offer_sale_type="транзит",IFERROR(ROUND(VLOOKUP($B635,calc_data,I$14+1,0),2),0),0)</f>
        <v/>
      </c>
      <c r="J635" s="141">
        <f>ROUND(IF(offer_sale_type="транзит",IFERROR(VLOOKUP($B635,calc_data,J$14+1,0),0),0),2)</f>
        <v/>
      </c>
      <c r="K635" s="142">
        <f>IF(offer_sale_type="транзит",IFERROR(ROUNDUP(VLOOKUP($B635,calc_data,K$14+1,0),2),0),0)</f>
        <v/>
      </c>
      <c r="L635" s="184">
        <f>IF(offer_sale_type="транзит",IFERROR(ROUNDUP(VLOOKUP($B635,calc_data,L$14+1,0),2),0),0)</f>
        <v/>
      </c>
      <c r="M635" s="141">
        <f>IF(offer_sale_type="транзит",IFERROR(ROUNDUP(VLOOKUP($B635,calc_data,M$14+1,0),2),0),0)</f>
        <v/>
      </c>
      <c r="N635" s="141">
        <f>IF(offer_sale_type="транзит",IFERROR(ROUNDUP(VLOOKUP($B635,calc_data,N$14+1,0),2),0),0)</f>
        <v/>
      </c>
      <c r="O635" s="147">
        <f>IF(offer_sale_type="транзит",IFERROR(ROUND(VLOOKUP($B635,calc_data,O$14+1,1),2),0),0)</f>
        <v/>
      </c>
      <c r="P635" s="141">
        <f>IF(offer_sale_type="транзит",IFERROR(ROUND(SUM(I635:J635,M635:O635)/E635,2),0),0)</f>
        <v/>
      </c>
      <c r="Q635" s="141">
        <f>E635*P635</f>
        <v/>
      </c>
      <c r="R635" s="141">
        <f>ROUND(Q635*IF(AND(offer_incoterms="DDP",seller_region="RU"),IF((TODAY()+offer_turnaround_time)&gt;=helpsheet!$L$17,rate_vatRU_from_26,rate_vatRu_till_25),0),2)</f>
        <v/>
      </c>
      <c r="S635" s="177">
        <f>Q635+IF(AND(offer_incoterms="DDP",seller_region="RU"),R635,0)</f>
        <v/>
      </c>
      <c r="T635" s="45" t="n"/>
      <c r="V635" s="57">
        <f>IF(Q635&gt;0,"показать","скрыть")</f>
        <v/>
      </c>
    </row>
    <row r="636" ht="15.75" customHeight="1">
      <c r="B636" s="809" t="n">
        <v>620</v>
      </c>
      <c r="C636" s="182">
        <f>IF(offer_sale_type="транзит",IFERROR(VLOOKUP($B636,calc_data,C$14+1,0),0),0)</f>
        <v/>
      </c>
      <c r="D636" s="280">
        <f>IF(offer_sale_type="транзит",IFERROR(VLOOKUP($B636,calc_data,D$14+1,0),0),0)</f>
        <v/>
      </c>
      <c r="E636" s="182">
        <f>IF(offer_sale_type="транзит",IFERROR(VLOOKUP($B636,calc_data,E$14+1,0),0),0)</f>
        <v/>
      </c>
      <c r="F636" s="182">
        <f>IF(offer_sale_type="транзит",IFERROR(VLOOKUP($B636,calc_data,F$14+1,0),0),0)</f>
        <v/>
      </c>
      <c r="G636" s="141">
        <f>IF(offer_sale_type="транзит",IFERROR(VLOOKUP($B636,calc_data,G$14+1,0),0),0)</f>
        <v/>
      </c>
      <c r="H636" s="141">
        <f>E636*G636</f>
        <v/>
      </c>
      <c r="I636" s="141">
        <f>IF(offer_sale_type="транзит",IFERROR(ROUND(VLOOKUP($B636,calc_data,I$14+1,0),2),0),0)</f>
        <v/>
      </c>
      <c r="J636" s="141">
        <f>ROUND(IF(offer_sale_type="транзит",IFERROR(VLOOKUP($B636,calc_data,J$14+1,0),0),0),2)</f>
        <v/>
      </c>
      <c r="K636" s="142">
        <f>IF(offer_sale_type="транзит",IFERROR(ROUNDUP(VLOOKUP($B636,calc_data,K$14+1,0),2),0),0)</f>
        <v/>
      </c>
      <c r="L636" s="184">
        <f>IF(offer_sale_type="транзит",IFERROR(ROUNDUP(VLOOKUP($B636,calc_data,L$14+1,0),2),0),0)</f>
        <v/>
      </c>
      <c r="M636" s="141">
        <f>IF(offer_sale_type="транзит",IFERROR(ROUNDUP(VLOOKUP($B636,calc_data,M$14+1,0),2),0),0)</f>
        <v/>
      </c>
      <c r="N636" s="141">
        <f>IF(offer_sale_type="транзит",IFERROR(ROUNDUP(VLOOKUP($B636,calc_data,N$14+1,0),2),0),0)</f>
        <v/>
      </c>
      <c r="O636" s="147">
        <f>IF(offer_sale_type="транзит",IFERROR(ROUND(VLOOKUP($B636,calc_data,O$14+1,1),2),0),0)</f>
        <v/>
      </c>
      <c r="P636" s="141">
        <f>IF(offer_sale_type="транзит",IFERROR(ROUND(SUM(I636:J636,M636:O636)/E636,2),0),0)</f>
        <v/>
      </c>
      <c r="Q636" s="141">
        <f>E636*P636</f>
        <v/>
      </c>
      <c r="R636" s="141">
        <f>ROUND(Q636*IF(AND(offer_incoterms="DDP",seller_region="RU"),IF((TODAY()+offer_turnaround_time)&gt;=helpsheet!$L$17,rate_vatRU_from_26,rate_vatRu_till_25),0),2)</f>
        <v/>
      </c>
      <c r="S636" s="177">
        <f>Q636+IF(AND(offer_incoterms="DDP",seller_region="RU"),R636,0)</f>
        <v/>
      </c>
      <c r="T636" s="45" t="n"/>
      <c r="V636" s="57">
        <f>IF(Q636&gt;0,"показать","скрыть")</f>
        <v/>
      </c>
    </row>
    <row r="637" ht="15.75" customHeight="1">
      <c r="B637" s="809" t="n">
        <v>621</v>
      </c>
      <c r="C637" s="182">
        <f>IF(offer_sale_type="транзит",IFERROR(VLOOKUP($B637,calc_data,C$14+1,0),0),0)</f>
        <v/>
      </c>
      <c r="D637" s="280">
        <f>IF(offer_sale_type="транзит",IFERROR(VLOOKUP($B637,calc_data,D$14+1,0),0),0)</f>
        <v/>
      </c>
      <c r="E637" s="182">
        <f>IF(offer_sale_type="транзит",IFERROR(VLOOKUP($B637,calc_data,E$14+1,0),0),0)</f>
        <v/>
      </c>
      <c r="F637" s="182">
        <f>IF(offer_sale_type="транзит",IFERROR(VLOOKUP($B637,calc_data,F$14+1,0),0),0)</f>
        <v/>
      </c>
      <c r="G637" s="141">
        <f>IF(offer_sale_type="транзит",IFERROR(VLOOKUP($B637,calc_data,G$14+1,0),0),0)</f>
        <v/>
      </c>
      <c r="H637" s="141">
        <f>E637*G637</f>
        <v/>
      </c>
      <c r="I637" s="141">
        <f>IF(offer_sale_type="транзит",IFERROR(ROUND(VLOOKUP($B637,calc_data,I$14+1,0),2),0),0)</f>
        <v/>
      </c>
      <c r="J637" s="141">
        <f>ROUND(IF(offer_sale_type="транзит",IFERROR(VLOOKUP($B637,calc_data,J$14+1,0),0),0),2)</f>
        <v/>
      </c>
      <c r="K637" s="142">
        <f>IF(offer_sale_type="транзит",IFERROR(ROUNDUP(VLOOKUP($B637,calc_data,K$14+1,0),2),0),0)</f>
        <v/>
      </c>
      <c r="L637" s="184">
        <f>IF(offer_sale_type="транзит",IFERROR(ROUNDUP(VLOOKUP($B637,calc_data,L$14+1,0),2),0),0)</f>
        <v/>
      </c>
      <c r="M637" s="141">
        <f>IF(offer_sale_type="транзит",IFERROR(ROUNDUP(VLOOKUP($B637,calc_data,M$14+1,0),2),0),0)</f>
        <v/>
      </c>
      <c r="N637" s="141">
        <f>IF(offer_sale_type="транзит",IFERROR(ROUNDUP(VLOOKUP($B637,calc_data,N$14+1,0),2),0),0)</f>
        <v/>
      </c>
      <c r="O637" s="147">
        <f>IF(offer_sale_type="транзит",IFERROR(ROUND(VLOOKUP($B637,calc_data,O$14+1,1),2),0),0)</f>
        <v/>
      </c>
      <c r="P637" s="141">
        <f>IF(offer_sale_type="транзит",IFERROR(ROUND(SUM(I637:J637,M637:O637)/E637,2),0),0)</f>
        <v/>
      </c>
      <c r="Q637" s="141">
        <f>E637*P637</f>
        <v/>
      </c>
      <c r="R637" s="141">
        <f>ROUND(Q637*IF(AND(offer_incoterms="DDP",seller_region="RU"),IF((TODAY()+offer_turnaround_time)&gt;=helpsheet!$L$17,rate_vatRU_from_26,rate_vatRu_till_25),0),2)</f>
        <v/>
      </c>
      <c r="S637" s="177">
        <f>Q637+IF(AND(offer_incoterms="DDP",seller_region="RU"),R637,0)</f>
        <v/>
      </c>
      <c r="T637" s="45" t="n"/>
      <c r="V637" s="57">
        <f>IF(Q637&gt;0,"показать","скрыть")</f>
        <v/>
      </c>
    </row>
    <row r="638" ht="15.75" customHeight="1">
      <c r="B638" s="809" t="n">
        <v>622</v>
      </c>
      <c r="C638" s="182">
        <f>IF(offer_sale_type="транзит",IFERROR(VLOOKUP($B638,calc_data,C$14+1,0),0),0)</f>
        <v/>
      </c>
      <c r="D638" s="280">
        <f>IF(offer_sale_type="транзит",IFERROR(VLOOKUP($B638,calc_data,D$14+1,0),0),0)</f>
        <v/>
      </c>
      <c r="E638" s="182">
        <f>IF(offer_sale_type="транзит",IFERROR(VLOOKUP($B638,calc_data,E$14+1,0),0),0)</f>
        <v/>
      </c>
      <c r="F638" s="182">
        <f>IF(offer_sale_type="транзит",IFERROR(VLOOKUP($B638,calc_data,F$14+1,0),0),0)</f>
        <v/>
      </c>
      <c r="G638" s="141">
        <f>IF(offer_sale_type="транзит",IFERROR(VLOOKUP($B638,calc_data,G$14+1,0),0),0)</f>
        <v/>
      </c>
      <c r="H638" s="141">
        <f>E638*G638</f>
        <v/>
      </c>
      <c r="I638" s="141">
        <f>IF(offer_sale_type="транзит",IFERROR(ROUND(VLOOKUP($B638,calc_data,I$14+1,0),2),0),0)</f>
        <v/>
      </c>
      <c r="J638" s="141">
        <f>ROUND(IF(offer_sale_type="транзит",IFERROR(VLOOKUP($B638,calc_data,J$14+1,0),0),0),2)</f>
        <v/>
      </c>
      <c r="K638" s="142">
        <f>IF(offer_sale_type="транзит",IFERROR(ROUNDUP(VLOOKUP($B638,calc_data,K$14+1,0),2),0),0)</f>
        <v/>
      </c>
      <c r="L638" s="184">
        <f>IF(offer_sale_type="транзит",IFERROR(ROUNDUP(VLOOKUP($B638,calc_data,L$14+1,0),2),0),0)</f>
        <v/>
      </c>
      <c r="M638" s="141">
        <f>IF(offer_sale_type="транзит",IFERROR(ROUNDUP(VLOOKUP($B638,calc_data,M$14+1,0),2),0),0)</f>
        <v/>
      </c>
      <c r="N638" s="141">
        <f>IF(offer_sale_type="транзит",IFERROR(ROUNDUP(VLOOKUP($B638,calc_data,N$14+1,0),2),0),0)</f>
        <v/>
      </c>
      <c r="O638" s="147">
        <f>IF(offer_sale_type="транзит",IFERROR(ROUND(VLOOKUP($B638,calc_data,O$14+1,1),2),0),0)</f>
        <v/>
      </c>
      <c r="P638" s="141">
        <f>IF(offer_sale_type="транзит",IFERROR(ROUND(SUM(I638:J638,M638:O638)/E638,2),0),0)</f>
        <v/>
      </c>
      <c r="Q638" s="141">
        <f>E638*P638</f>
        <v/>
      </c>
      <c r="R638" s="141">
        <f>ROUND(Q638*IF(AND(offer_incoterms="DDP",seller_region="RU"),IF((TODAY()+offer_turnaround_time)&gt;=helpsheet!$L$17,rate_vatRU_from_26,rate_vatRu_till_25),0),2)</f>
        <v/>
      </c>
      <c r="S638" s="177">
        <f>Q638+IF(AND(offer_incoterms="DDP",seller_region="RU"),R638,0)</f>
        <v/>
      </c>
      <c r="T638" s="45" t="n"/>
      <c r="V638" s="57">
        <f>IF(Q638&gt;0,"показать","скрыть")</f>
        <v/>
      </c>
    </row>
    <row r="639" ht="15.75" customHeight="1">
      <c r="B639" s="809" t="n">
        <v>623</v>
      </c>
      <c r="C639" s="182">
        <f>IF(offer_sale_type="транзит",IFERROR(VLOOKUP($B639,calc_data,C$14+1,0),0),0)</f>
        <v/>
      </c>
      <c r="D639" s="280">
        <f>IF(offer_sale_type="транзит",IFERROR(VLOOKUP($B639,calc_data,D$14+1,0),0),0)</f>
        <v/>
      </c>
      <c r="E639" s="182">
        <f>IF(offer_sale_type="транзит",IFERROR(VLOOKUP($B639,calc_data,E$14+1,0),0),0)</f>
        <v/>
      </c>
      <c r="F639" s="182">
        <f>IF(offer_sale_type="транзит",IFERROR(VLOOKUP($B639,calc_data,F$14+1,0),0),0)</f>
        <v/>
      </c>
      <c r="G639" s="141">
        <f>IF(offer_sale_type="транзит",IFERROR(VLOOKUP($B639,calc_data,G$14+1,0),0),0)</f>
        <v/>
      </c>
      <c r="H639" s="141">
        <f>E639*G639</f>
        <v/>
      </c>
      <c r="I639" s="141">
        <f>IF(offer_sale_type="транзит",IFERROR(ROUND(VLOOKUP($B639,calc_data,I$14+1,0),2),0),0)</f>
        <v/>
      </c>
      <c r="J639" s="141">
        <f>ROUND(IF(offer_sale_type="транзит",IFERROR(VLOOKUP($B639,calc_data,J$14+1,0),0),0),2)</f>
        <v/>
      </c>
      <c r="K639" s="142">
        <f>IF(offer_sale_type="транзит",IFERROR(ROUNDUP(VLOOKUP($B639,calc_data,K$14+1,0),2),0),0)</f>
        <v/>
      </c>
      <c r="L639" s="184">
        <f>IF(offer_sale_type="транзит",IFERROR(ROUNDUP(VLOOKUP($B639,calc_data,L$14+1,0),2),0),0)</f>
        <v/>
      </c>
      <c r="M639" s="141">
        <f>IF(offer_sale_type="транзит",IFERROR(ROUNDUP(VLOOKUP($B639,calc_data,M$14+1,0),2),0),0)</f>
        <v/>
      </c>
      <c r="N639" s="141">
        <f>IF(offer_sale_type="транзит",IFERROR(ROUNDUP(VLOOKUP($B639,calc_data,N$14+1,0),2),0),0)</f>
        <v/>
      </c>
      <c r="O639" s="147">
        <f>IF(offer_sale_type="транзит",IFERROR(ROUND(VLOOKUP($B639,calc_data,O$14+1,1),2),0),0)</f>
        <v/>
      </c>
      <c r="P639" s="141">
        <f>IF(offer_sale_type="транзит",IFERROR(ROUND(SUM(I639:J639,M639:O639)/E639,2),0),0)</f>
        <v/>
      </c>
      <c r="Q639" s="141">
        <f>E639*P639</f>
        <v/>
      </c>
      <c r="R639" s="141">
        <f>ROUND(Q639*IF(AND(offer_incoterms="DDP",seller_region="RU"),IF((TODAY()+offer_turnaround_time)&gt;=helpsheet!$L$17,rate_vatRU_from_26,rate_vatRu_till_25),0),2)</f>
        <v/>
      </c>
      <c r="S639" s="177">
        <f>Q639+IF(AND(offer_incoterms="DDP",seller_region="RU"),R639,0)</f>
        <v/>
      </c>
      <c r="T639" s="45" t="n"/>
      <c r="V639" s="57">
        <f>IF(Q639&gt;0,"показать","скрыть")</f>
        <v/>
      </c>
    </row>
    <row r="640" ht="15.75" customHeight="1">
      <c r="B640" s="809" t="n">
        <v>624</v>
      </c>
      <c r="C640" s="182">
        <f>IF(offer_sale_type="транзит",IFERROR(VLOOKUP($B640,calc_data,C$14+1,0),0),0)</f>
        <v/>
      </c>
      <c r="D640" s="280">
        <f>IF(offer_sale_type="транзит",IFERROR(VLOOKUP($B640,calc_data,D$14+1,0),0),0)</f>
        <v/>
      </c>
      <c r="E640" s="182">
        <f>IF(offer_sale_type="транзит",IFERROR(VLOOKUP($B640,calc_data,E$14+1,0),0),0)</f>
        <v/>
      </c>
      <c r="F640" s="182">
        <f>IF(offer_sale_type="транзит",IFERROR(VLOOKUP($B640,calc_data,F$14+1,0),0),0)</f>
        <v/>
      </c>
      <c r="G640" s="141">
        <f>IF(offer_sale_type="транзит",IFERROR(VLOOKUP($B640,calc_data,G$14+1,0),0),0)</f>
        <v/>
      </c>
      <c r="H640" s="141">
        <f>E640*G640</f>
        <v/>
      </c>
      <c r="I640" s="141">
        <f>IF(offer_sale_type="транзит",IFERROR(ROUND(VLOOKUP($B640,calc_data,I$14+1,0),2),0),0)</f>
        <v/>
      </c>
      <c r="J640" s="141">
        <f>ROUND(IF(offer_sale_type="транзит",IFERROR(VLOOKUP($B640,calc_data,J$14+1,0),0),0),2)</f>
        <v/>
      </c>
      <c r="K640" s="142">
        <f>IF(offer_sale_type="транзит",IFERROR(ROUNDUP(VLOOKUP($B640,calc_data,K$14+1,0),2),0),0)</f>
        <v/>
      </c>
      <c r="L640" s="184">
        <f>IF(offer_sale_type="транзит",IFERROR(ROUNDUP(VLOOKUP($B640,calc_data,L$14+1,0),2),0),0)</f>
        <v/>
      </c>
      <c r="M640" s="141">
        <f>IF(offer_sale_type="транзит",IFERROR(ROUNDUP(VLOOKUP($B640,calc_data,M$14+1,0),2),0),0)</f>
        <v/>
      </c>
      <c r="N640" s="141">
        <f>IF(offer_sale_type="транзит",IFERROR(ROUNDUP(VLOOKUP($B640,calc_data,N$14+1,0),2),0),0)</f>
        <v/>
      </c>
      <c r="O640" s="147">
        <f>IF(offer_sale_type="транзит",IFERROR(ROUND(VLOOKUP($B640,calc_data,O$14+1,1),2),0),0)</f>
        <v/>
      </c>
      <c r="P640" s="141">
        <f>IF(offer_sale_type="транзит",IFERROR(ROUND(SUM(I640:J640,M640:O640)/E640,2),0),0)</f>
        <v/>
      </c>
      <c r="Q640" s="141">
        <f>E640*P640</f>
        <v/>
      </c>
      <c r="R640" s="141">
        <f>ROUND(Q640*IF(AND(offer_incoterms="DDP",seller_region="RU"),IF((TODAY()+offer_turnaround_time)&gt;=helpsheet!$L$17,rate_vatRU_from_26,rate_vatRu_till_25),0),2)</f>
        <v/>
      </c>
      <c r="S640" s="177">
        <f>Q640+IF(AND(offer_incoterms="DDP",seller_region="RU"),R640,0)</f>
        <v/>
      </c>
      <c r="T640" s="45" t="n"/>
      <c r="V640" s="57">
        <f>IF(Q640&gt;0,"показать","скрыть")</f>
        <v/>
      </c>
    </row>
    <row r="641" ht="15.75" customHeight="1">
      <c r="B641" s="809" t="n">
        <v>625</v>
      </c>
      <c r="C641" s="182">
        <f>IF(offer_sale_type="транзит",IFERROR(VLOOKUP($B641,calc_data,C$14+1,0),0),0)</f>
        <v/>
      </c>
      <c r="D641" s="280">
        <f>IF(offer_sale_type="транзит",IFERROR(VLOOKUP($B641,calc_data,D$14+1,0),0),0)</f>
        <v/>
      </c>
      <c r="E641" s="182">
        <f>IF(offer_sale_type="транзит",IFERROR(VLOOKUP($B641,calc_data,E$14+1,0),0),0)</f>
        <v/>
      </c>
      <c r="F641" s="182">
        <f>IF(offer_sale_type="транзит",IFERROR(VLOOKUP($B641,calc_data,F$14+1,0),0),0)</f>
        <v/>
      </c>
      <c r="G641" s="141">
        <f>IF(offer_sale_type="транзит",IFERROR(VLOOKUP($B641,calc_data,G$14+1,0),0),0)</f>
        <v/>
      </c>
      <c r="H641" s="141">
        <f>E641*G641</f>
        <v/>
      </c>
      <c r="I641" s="141">
        <f>IF(offer_sale_type="транзит",IFERROR(ROUND(VLOOKUP($B641,calc_data,I$14+1,0),2),0),0)</f>
        <v/>
      </c>
      <c r="J641" s="141">
        <f>ROUND(IF(offer_sale_type="транзит",IFERROR(VLOOKUP($B641,calc_data,J$14+1,0),0),0),2)</f>
        <v/>
      </c>
      <c r="K641" s="142">
        <f>IF(offer_sale_type="транзит",IFERROR(ROUNDUP(VLOOKUP($B641,calc_data,K$14+1,0),2),0),0)</f>
        <v/>
      </c>
      <c r="L641" s="184">
        <f>IF(offer_sale_type="транзит",IFERROR(ROUNDUP(VLOOKUP($B641,calc_data,L$14+1,0),2),0),0)</f>
        <v/>
      </c>
      <c r="M641" s="141">
        <f>IF(offer_sale_type="транзит",IFERROR(ROUNDUP(VLOOKUP($B641,calc_data,M$14+1,0),2),0),0)</f>
        <v/>
      </c>
      <c r="N641" s="141">
        <f>IF(offer_sale_type="транзит",IFERROR(ROUNDUP(VLOOKUP($B641,calc_data,N$14+1,0),2),0),0)</f>
        <v/>
      </c>
      <c r="O641" s="147">
        <f>IF(offer_sale_type="транзит",IFERROR(ROUND(VLOOKUP($B641,calc_data,O$14+1,1),2),0),0)</f>
        <v/>
      </c>
      <c r="P641" s="141">
        <f>IF(offer_sale_type="транзит",IFERROR(ROUND(SUM(I641:J641,M641:O641)/E641,2),0),0)</f>
        <v/>
      </c>
      <c r="Q641" s="141">
        <f>E641*P641</f>
        <v/>
      </c>
      <c r="R641" s="141">
        <f>ROUND(Q641*IF(AND(offer_incoterms="DDP",seller_region="RU"),IF((TODAY()+offer_turnaround_time)&gt;=helpsheet!$L$17,rate_vatRU_from_26,rate_vatRu_till_25),0),2)</f>
        <v/>
      </c>
      <c r="S641" s="177">
        <f>Q641+IF(AND(offer_incoterms="DDP",seller_region="RU"),R641,0)</f>
        <v/>
      </c>
      <c r="T641" s="45" t="n"/>
      <c r="V641" s="57">
        <f>IF(Q641&gt;0,"показать","скрыть")</f>
        <v/>
      </c>
    </row>
    <row r="642" ht="15.75" customHeight="1">
      <c r="B642" s="809" t="n">
        <v>626</v>
      </c>
      <c r="C642" s="182">
        <f>IF(offer_sale_type="транзит",IFERROR(VLOOKUP($B642,calc_data,C$14+1,0),0),0)</f>
        <v/>
      </c>
      <c r="D642" s="280">
        <f>IF(offer_sale_type="транзит",IFERROR(VLOOKUP($B642,calc_data,D$14+1,0),0),0)</f>
        <v/>
      </c>
      <c r="E642" s="182">
        <f>IF(offer_sale_type="транзит",IFERROR(VLOOKUP($B642,calc_data,E$14+1,0),0),0)</f>
        <v/>
      </c>
      <c r="F642" s="182">
        <f>IF(offer_sale_type="транзит",IFERROR(VLOOKUP($B642,calc_data,F$14+1,0),0),0)</f>
        <v/>
      </c>
      <c r="G642" s="141">
        <f>IF(offer_sale_type="транзит",IFERROR(VLOOKUP($B642,calc_data,G$14+1,0),0),0)</f>
        <v/>
      </c>
      <c r="H642" s="141">
        <f>E642*G642</f>
        <v/>
      </c>
      <c r="I642" s="141">
        <f>IF(offer_sale_type="транзит",IFERROR(ROUND(VLOOKUP($B642,calc_data,I$14+1,0),2),0),0)</f>
        <v/>
      </c>
      <c r="J642" s="141">
        <f>ROUND(IF(offer_sale_type="транзит",IFERROR(VLOOKUP($B642,calc_data,J$14+1,0),0),0),2)</f>
        <v/>
      </c>
      <c r="K642" s="142">
        <f>IF(offer_sale_type="транзит",IFERROR(ROUNDUP(VLOOKUP($B642,calc_data,K$14+1,0),2),0),0)</f>
        <v/>
      </c>
      <c r="L642" s="184">
        <f>IF(offer_sale_type="транзит",IFERROR(ROUNDUP(VLOOKUP($B642,calc_data,L$14+1,0),2),0),0)</f>
        <v/>
      </c>
      <c r="M642" s="141">
        <f>IF(offer_sale_type="транзит",IFERROR(ROUNDUP(VLOOKUP($B642,calc_data,M$14+1,0),2),0),0)</f>
        <v/>
      </c>
      <c r="N642" s="141">
        <f>IF(offer_sale_type="транзит",IFERROR(ROUNDUP(VLOOKUP($B642,calc_data,N$14+1,0),2),0),0)</f>
        <v/>
      </c>
      <c r="O642" s="147">
        <f>IF(offer_sale_type="транзит",IFERROR(ROUND(VLOOKUP($B642,calc_data,O$14+1,1),2),0),0)</f>
        <v/>
      </c>
      <c r="P642" s="141">
        <f>IF(offer_sale_type="транзит",IFERROR(ROUND(SUM(I642:J642,M642:O642)/E642,2),0),0)</f>
        <v/>
      </c>
      <c r="Q642" s="141">
        <f>E642*P642</f>
        <v/>
      </c>
      <c r="R642" s="141">
        <f>ROUND(Q642*IF(AND(offer_incoterms="DDP",seller_region="RU"),IF((TODAY()+offer_turnaround_time)&gt;=helpsheet!$L$17,rate_vatRU_from_26,rate_vatRu_till_25),0),2)</f>
        <v/>
      </c>
      <c r="S642" s="177">
        <f>Q642+IF(AND(offer_incoterms="DDP",seller_region="RU"),R642,0)</f>
        <v/>
      </c>
      <c r="T642" s="45" t="n"/>
      <c r="V642" s="57">
        <f>IF(Q642&gt;0,"показать","скрыть")</f>
        <v/>
      </c>
    </row>
    <row r="643" ht="15.75" customHeight="1">
      <c r="B643" s="809" t="n">
        <v>627</v>
      </c>
      <c r="C643" s="182">
        <f>IF(offer_sale_type="транзит",IFERROR(VLOOKUP($B643,calc_data,C$14+1,0),0),0)</f>
        <v/>
      </c>
      <c r="D643" s="280">
        <f>IF(offer_sale_type="транзит",IFERROR(VLOOKUP($B643,calc_data,D$14+1,0),0),0)</f>
        <v/>
      </c>
      <c r="E643" s="182">
        <f>IF(offer_sale_type="транзит",IFERROR(VLOOKUP($B643,calc_data,E$14+1,0),0),0)</f>
        <v/>
      </c>
      <c r="F643" s="182">
        <f>IF(offer_sale_type="транзит",IFERROR(VLOOKUP($B643,calc_data,F$14+1,0),0),0)</f>
        <v/>
      </c>
      <c r="G643" s="141">
        <f>IF(offer_sale_type="транзит",IFERROR(VLOOKUP($B643,calc_data,G$14+1,0),0),0)</f>
        <v/>
      </c>
      <c r="H643" s="141">
        <f>E643*G643</f>
        <v/>
      </c>
      <c r="I643" s="141">
        <f>IF(offer_sale_type="транзит",IFERROR(ROUND(VLOOKUP($B643,calc_data,I$14+1,0),2),0),0)</f>
        <v/>
      </c>
      <c r="J643" s="141">
        <f>ROUND(IF(offer_sale_type="транзит",IFERROR(VLOOKUP($B643,calc_data,J$14+1,0),0),0),2)</f>
        <v/>
      </c>
      <c r="K643" s="142">
        <f>IF(offer_sale_type="транзит",IFERROR(ROUNDUP(VLOOKUP($B643,calc_data,K$14+1,0),2),0),0)</f>
        <v/>
      </c>
      <c r="L643" s="184">
        <f>IF(offer_sale_type="транзит",IFERROR(ROUNDUP(VLOOKUP($B643,calc_data,L$14+1,0),2),0),0)</f>
        <v/>
      </c>
      <c r="M643" s="141">
        <f>IF(offer_sale_type="транзит",IFERROR(ROUNDUP(VLOOKUP($B643,calc_data,M$14+1,0),2),0),0)</f>
        <v/>
      </c>
      <c r="N643" s="141">
        <f>IF(offer_sale_type="транзит",IFERROR(ROUNDUP(VLOOKUP($B643,calc_data,N$14+1,0),2),0),0)</f>
        <v/>
      </c>
      <c r="O643" s="147">
        <f>IF(offer_sale_type="транзит",IFERROR(ROUND(VLOOKUP($B643,calc_data,O$14+1,1),2),0),0)</f>
        <v/>
      </c>
      <c r="P643" s="141">
        <f>IF(offer_sale_type="транзит",IFERROR(ROUND(SUM(I643:J643,M643:O643)/E643,2),0),0)</f>
        <v/>
      </c>
      <c r="Q643" s="141">
        <f>E643*P643</f>
        <v/>
      </c>
      <c r="R643" s="141">
        <f>ROUND(Q643*IF(AND(offer_incoterms="DDP",seller_region="RU"),IF((TODAY()+offer_turnaround_time)&gt;=helpsheet!$L$17,rate_vatRU_from_26,rate_vatRu_till_25),0),2)</f>
        <v/>
      </c>
      <c r="S643" s="177">
        <f>Q643+IF(AND(offer_incoterms="DDP",seller_region="RU"),R643,0)</f>
        <v/>
      </c>
      <c r="T643" s="45" t="n"/>
      <c r="V643" s="57">
        <f>IF(Q643&gt;0,"показать","скрыть")</f>
        <v/>
      </c>
    </row>
    <row r="644" ht="15.75" customHeight="1">
      <c r="B644" s="809" t="n">
        <v>628</v>
      </c>
      <c r="C644" s="182">
        <f>IF(offer_sale_type="транзит",IFERROR(VLOOKUP($B644,calc_data,C$14+1,0),0),0)</f>
        <v/>
      </c>
      <c r="D644" s="280">
        <f>IF(offer_sale_type="транзит",IFERROR(VLOOKUP($B644,calc_data,D$14+1,0),0),0)</f>
        <v/>
      </c>
      <c r="E644" s="182">
        <f>IF(offer_sale_type="транзит",IFERROR(VLOOKUP($B644,calc_data,E$14+1,0),0),0)</f>
        <v/>
      </c>
      <c r="F644" s="182">
        <f>IF(offer_sale_type="транзит",IFERROR(VLOOKUP($B644,calc_data,F$14+1,0),0),0)</f>
        <v/>
      </c>
      <c r="G644" s="141">
        <f>IF(offer_sale_type="транзит",IFERROR(VLOOKUP($B644,calc_data,G$14+1,0),0),0)</f>
        <v/>
      </c>
      <c r="H644" s="141">
        <f>E644*G644</f>
        <v/>
      </c>
      <c r="I644" s="141">
        <f>IF(offer_sale_type="транзит",IFERROR(ROUND(VLOOKUP($B644,calc_data,I$14+1,0),2),0),0)</f>
        <v/>
      </c>
      <c r="J644" s="141">
        <f>ROUND(IF(offer_sale_type="транзит",IFERROR(VLOOKUP($B644,calc_data,J$14+1,0),0),0),2)</f>
        <v/>
      </c>
      <c r="K644" s="142">
        <f>IF(offer_sale_type="транзит",IFERROR(ROUNDUP(VLOOKUP($B644,calc_data,K$14+1,0),2),0),0)</f>
        <v/>
      </c>
      <c r="L644" s="184">
        <f>IF(offer_sale_type="транзит",IFERROR(ROUNDUP(VLOOKUP($B644,calc_data,L$14+1,0),2),0),0)</f>
        <v/>
      </c>
      <c r="M644" s="141">
        <f>IF(offer_sale_type="транзит",IFERROR(ROUNDUP(VLOOKUP($B644,calc_data,M$14+1,0),2),0),0)</f>
        <v/>
      </c>
      <c r="N644" s="141">
        <f>IF(offer_sale_type="транзит",IFERROR(ROUNDUP(VLOOKUP($B644,calc_data,N$14+1,0),2),0),0)</f>
        <v/>
      </c>
      <c r="O644" s="147">
        <f>IF(offer_sale_type="транзит",IFERROR(ROUND(VLOOKUP($B644,calc_data,O$14+1,1),2),0),0)</f>
        <v/>
      </c>
      <c r="P644" s="141">
        <f>IF(offer_sale_type="транзит",IFERROR(ROUND(SUM(I644:J644,M644:O644)/E644,2),0),0)</f>
        <v/>
      </c>
      <c r="Q644" s="141">
        <f>E644*P644</f>
        <v/>
      </c>
      <c r="R644" s="141">
        <f>ROUND(Q644*IF(AND(offer_incoterms="DDP",seller_region="RU"),IF((TODAY()+offer_turnaround_time)&gt;=helpsheet!$L$17,rate_vatRU_from_26,rate_vatRu_till_25),0),2)</f>
        <v/>
      </c>
      <c r="S644" s="177">
        <f>Q644+IF(AND(offer_incoterms="DDP",seller_region="RU"),R644,0)</f>
        <v/>
      </c>
      <c r="T644" s="45" t="n"/>
      <c r="V644" s="57">
        <f>IF(Q644&gt;0,"показать","скрыть")</f>
        <v/>
      </c>
    </row>
    <row r="645" ht="15.75" customHeight="1">
      <c r="B645" s="809" t="n">
        <v>629</v>
      </c>
      <c r="C645" s="182">
        <f>IF(offer_sale_type="транзит",IFERROR(VLOOKUP($B645,calc_data,C$14+1,0),0),0)</f>
        <v/>
      </c>
      <c r="D645" s="280">
        <f>IF(offer_sale_type="транзит",IFERROR(VLOOKUP($B645,calc_data,D$14+1,0),0),0)</f>
        <v/>
      </c>
      <c r="E645" s="182">
        <f>IF(offer_sale_type="транзит",IFERROR(VLOOKUP($B645,calc_data,E$14+1,0),0),0)</f>
        <v/>
      </c>
      <c r="F645" s="182">
        <f>IF(offer_sale_type="транзит",IFERROR(VLOOKUP($B645,calc_data,F$14+1,0),0),0)</f>
        <v/>
      </c>
      <c r="G645" s="141">
        <f>IF(offer_sale_type="транзит",IFERROR(VLOOKUP($B645,calc_data,G$14+1,0),0),0)</f>
        <v/>
      </c>
      <c r="H645" s="141">
        <f>E645*G645</f>
        <v/>
      </c>
      <c r="I645" s="141">
        <f>IF(offer_sale_type="транзит",IFERROR(ROUND(VLOOKUP($B645,calc_data,I$14+1,0),2),0),0)</f>
        <v/>
      </c>
      <c r="J645" s="141">
        <f>ROUND(IF(offer_sale_type="транзит",IFERROR(VLOOKUP($B645,calc_data,J$14+1,0),0),0),2)</f>
        <v/>
      </c>
      <c r="K645" s="142">
        <f>IF(offer_sale_type="транзит",IFERROR(ROUNDUP(VLOOKUP($B645,calc_data,K$14+1,0),2),0),0)</f>
        <v/>
      </c>
      <c r="L645" s="184">
        <f>IF(offer_sale_type="транзит",IFERROR(ROUNDUP(VLOOKUP($B645,calc_data,L$14+1,0),2),0),0)</f>
        <v/>
      </c>
      <c r="M645" s="141">
        <f>IF(offer_sale_type="транзит",IFERROR(ROUNDUP(VLOOKUP($B645,calc_data,M$14+1,0),2),0),0)</f>
        <v/>
      </c>
      <c r="N645" s="141">
        <f>IF(offer_sale_type="транзит",IFERROR(ROUNDUP(VLOOKUP($B645,calc_data,N$14+1,0),2),0),0)</f>
        <v/>
      </c>
      <c r="O645" s="147">
        <f>IF(offer_sale_type="транзит",IFERROR(ROUND(VLOOKUP($B645,calc_data,O$14+1,1),2),0),0)</f>
        <v/>
      </c>
      <c r="P645" s="141">
        <f>IF(offer_sale_type="транзит",IFERROR(ROUND(SUM(I645:J645,M645:O645)/E645,2),0),0)</f>
        <v/>
      </c>
      <c r="Q645" s="141">
        <f>E645*P645</f>
        <v/>
      </c>
      <c r="R645" s="141">
        <f>ROUND(Q645*IF(AND(offer_incoterms="DDP",seller_region="RU"),IF((TODAY()+offer_turnaround_time)&gt;=helpsheet!$L$17,rate_vatRU_from_26,rate_vatRu_till_25),0),2)</f>
        <v/>
      </c>
      <c r="S645" s="177">
        <f>Q645+IF(AND(offer_incoterms="DDP",seller_region="RU"),R645,0)</f>
        <v/>
      </c>
      <c r="T645" s="45" t="n"/>
      <c r="V645" s="57">
        <f>IF(Q645&gt;0,"показать","скрыть")</f>
        <v/>
      </c>
    </row>
    <row r="646" ht="15.75" customHeight="1">
      <c r="B646" s="809" t="n">
        <v>630</v>
      </c>
      <c r="C646" s="182">
        <f>IF(offer_sale_type="транзит",IFERROR(VLOOKUP($B646,calc_data,C$14+1,0),0),0)</f>
        <v/>
      </c>
      <c r="D646" s="280">
        <f>IF(offer_sale_type="транзит",IFERROR(VLOOKUP($B646,calc_data,D$14+1,0),0),0)</f>
        <v/>
      </c>
      <c r="E646" s="182">
        <f>IF(offer_sale_type="транзит",IFERROR(VLOOKUP($B646,calc_data,E$14+1,0),0),0)</f>
        <v/>
      </c>
      <c r="F646" s="182">
        <f>IF(offer_sale_type="транзит",IFERROR(VLOOKUP($B646,calc_data,F$14+1,0),0),0)</f>
        <v/>
      </c>
      <c r="G646" s="141">
        <f>IF(offer_sale_type="транзит",IFERROR(VLOOKUP($B646,calc_data,G$14+1,0),0),0)</f>
        <v/>
      </c>
      <c r="H646" s="141">
        <f>E646*G646</f>
        <v/>
      </c>
      <c r="I646" s="141">
        <f>IF(offer_sale_type="транзит",IFERROR(ROUND(VLOOKUP($B646,calc_data,I$14+1,0),2),0),0)</f>
        <v/>
      </c>
      <c r="J646" s="141">
        <f>ROUND(IF(offer_sale_type="транзит",IFERROR(VLOOKUP($B646,calc_data,J$14+1,0),0),0),2)</f>
        <v/>
      </c>
      <c r="K646" s="142">
        <f>IF(offer_sale_type="транзит",IFERROR(ROUNDUP(VLOOKUP($B646,calc_data,K$14+1,0),2),0),0)</f>
        <v/>
      </c>
      <c r="L646" s="184">
        <f>IF(offer_sale_type="транзит",IFERROR(ROUNDUP(VLOOKUP($B646,calc_data,L$14+1,0),2),0),0)</f>
        <v/>
      </c>
      <c r="M646" s="141">
        <f>IF(offer_sale_type="транзит",IFERROR(ROUNDUP(VLOOKUP($B646,calc_data,M$14+1,0),2),0),0)</f>
        <v/>
      </c>
      <c r="N646" s="141">
        <f>IF(offer_sale_type="транзит",IFERROR(ROUNDUP(VLOOKUP($B646,calc_data,N$14+1,0),2),0),0)</f>
        <v/>
      </c>
      <c r="O646" s="147">
        <f>IF(offer_sale_type="транзит",IFERROR(ROUND(VLOOKUP($B646,calc_data,O$14+1,1),2),0),0)</f>
        <v/>
      </c>
      <c r="P646" s="141">
        <f>IF(offer_sale_type="транзит",IFERROR(ROUND(SUM(I646:J646,M646:O646)/E646,2),0),0)</f>
        <v/>
      </c>
      <c r="Q646" s="141">
        <f>E646*P646</f>
        <v/>
      </c>
      <c r="R646" s="141">
        <f>ROUND(Q646*IF(AND(offer_incoterms="DDP",seller_region="RU"),IF((TODAY()+offer_turnaround_time)&gt;=helpsheet!$L$17,rate_vatRU_from_26,rate_vatRu_till_25),0),2)</f>
        <v/>
      </c>
      <c r="S646" s="177">
        <f>Q646+IF(AND(offer_incoterms="DDP",seller_region="RU"),R646,0)</f>
        <v/>
      </c>
      <c r="T646" s="45" t="n"/>
      <c r="V646" s="57">
        <f>IF(Q646&gt;0,"показать","скрыть")</f>
        <v/>
      </c>
    </row>
    <row r="647" ht="15.75" customHeight="1">
      <c r="B647" s="809" t="n">
        <v>631</v>
      </c>
      <c r="C647" s="182">
        <f>IF(offer_sale_type="транзит",IFERROR(VLOOKUP($B647,calc_data,C$14+1,0),0),0)</f>
        <v/>
      </c>
      <c r="D647" s="280">
        <f>IF(offer_sale_type="транзит",IFERROR(VLOOKUP($B647,calc_data,D$14+1,0),0),0)</f>
        <v/>
      </c>
      <c r="E647" s="182">
        <f>IF(offer_sale_type="транзит",IFERROR(VLOOKUP($B647,calc_data,E$14+1,0),0),0)</f>
        <v/>
      </c>
      <c r="F647" s="182">
        <f>IF(offer_sale_type="транзит",IFERROR(VLOOKUP($B647,calc_data,F$14+1,0),0),0)</f>
        <v/>
      </c>
      <c r="G647" s="141">
        <f>IF(offer_sale_type="транзит",IFERROR(VLOOKUP($B647,calc_data,G$14+1,0),0),0)</f>
        <v/>
      </c>
      <c r="H647" s="141">
        <f>E647*G647</f>
        <v/>
      </c>
      <c r="I647" s="141">
        <f>IF(offer_sale_type="транзит",IFERROR(ROUND(VLOOKUP($B647,calc_data,I$14+1,0),2),0),0)</f>
        <v/>
      </c>
      <c r="J647" s="141">
        <f>ROUND(IF(offer_sale_type="транзит",IFERROR(VLOOKUP($B647,calc_data,J$14+1,0),0),0),2)</f>
        <v/>
      </c>
      <c r="K647" s="142">
        <f>IF(offer_sale_type="транзит",IFERROR(ROUNDUP(VLOOKUP($B647,calc_data,K$14+1,0),2),0),0)</f>
        <v/>
      </c>
      <c r="L647" s="184">
        <f>IF(offer_sale_type="транзит",IFERROR(ROUNDUP(VLOOKUP($B647,calc_data,L$14+1,0),2),0),0)</f>
        <v/>
      </c>
      <c r="M647" s="141">
        <f>IF(offer_sale_type="транзит",IFERROR(ROUNDUP(VLOOKUP($B647,calc_data,M$14+1,0),2),0),0)</f>
        <v/>
      </c>
      <c r="N647" s="141">
        <f>IF(offer_sale_type="транзит",IFERROR(ROUNDUP(VLOOKUP($B647,calc_data,N$14+1,0),2),0),0)</f>
        <v/>
      </c>
      <c r="O647" s="147">
        <f>IF(offer_sale_type="транзит",IFERROR(ROUND(VLOOKUP($B647,calc_data,O$14+1,1),2),0),0)</f>
        <v/>
      </c>
      <c r="P647" s="141">
        <f>IF(offer_sale_type="транзит",IFERROR(ROUND(SUM(I647:J647,M647:O647)/E647,2),0),0)</f>
        <v/>
      </c>
      <c r="Q647" s="141">
        <f>E647*P647</f>
        <v/>
      </c>
      <c r="R647" s="141">
        <f>ROUND(Q647*IF(AND(offer_incoterms="DDP",seller_region="RU"),IF((TODAY()+offer_turnaround_time)&gt;=helpsheet!$L$17,rate_vatRU_from_26,rate_vatRu_till_25),0),2)</f>
        <v/>
      </c>
      <c r="S647" s="177">
        <f>Q647+IF(AND(offer_incoterms="DDP",seller_region="RU"),R647,0)</f>
        <v/>
      </c>
      <c r="T647" s="45" t="n"/>
      <c r="V647" s="57">
        <f>IF(Q647&gt;0,"показать","скрыть")</f>
        <v/>
      </c>
    </row>
    <row r="648" ht="15.75" customHeight="1">
      <c r="B648" s="809" t="n">
        <v>632</v>
      </c>
      <c r="C648" s="182">
        <f>IF(offer_sale_type="транзит",IFERROR(VLOOKUP($B648,calc_data,C$14+1,0),0),0)</f>
        <v/>
      </c>
      <c r="D648" s="280">
        <f>IF(offer_sale_type="транзит",IFERROR(VLOOKUP($B648,calc_data,D$14+1,0),0),0)</f>
        <v/>
      </c>
      <c r="E648" s="182">
        <f>IF(offer_sale_type="транзит",IFERROR(VLOOKUP($B648,calc_data,E$14+1,0),0),0)</f>
        <v/>
      </c>
      <c r="F648" s="182">
        <f>IF(offer_sale_type="транзит",IFERROR(VLOOKUP($B648,calc_data,F$14+1,0),0),0)</f>
        <v/>
      </c>
      <c r="G648" s="141">
        <f>IF(offer_sale_type="транзит",IFERROR(VLOOKUP($B648,calc_data,G$14+1,0),0),0)</f>
        <v/>
      </c>
      <c r="H648" s="141">
        <f>E648*G648</f>
        <v/>
      </c>
      <c r="I648" s="141">
        <f>IF(offer_sale_type="транзит",IFERROR(ROUND(VLOOKUP($B648,calc_data,I$14+1,0),2),0),0)</f>
        <v/>
      </c>
      <c r="J648" s="141">
        <f>ROUND(IF(offer_sale_type="транзит",IFERROR(VLOOKUP($B648,calc_data,J$14+1,0),0),0),2)</f>
        <v/>
      </c>
      <c r="K648" s="142">
        <f>IF(offer_sale_type="транзит",IFERROR(ROUNDUP(VLOOKUP($B648,calc_data,K$14+1,0),2),0),0)</f>
        <v/>
      </c>
      <c r="L648" s="184">
        <f>IF(offer_sale_type="транзит",IFERROR(ROUNDUP(VLOOKUP($B648,calc_data,L$14+1,0),2),0),0)</f>
        <v/>
      </c>
      <c r="M648" s="141">
        <f>IF(offer_sale_type="транзит",IFERROR(ROUNDUP(VLOOKUP($B648,calc_data,M$14+1,0),2),0),0)</f>
        <v/>
      </c>
      <c r="N648" s="141">
        <f>IF(offer_sale_type="транзит",IFERROR(ROUNDUP(VLOOKUP($B648,calc_data,N$14+1,0),2),0),0)</f>
        <v/>
      </c>
      <c r="O648" s="147">
        <f>IF(offer_sale_type="транзит",IFERROR(ROUND(VLOOKUP($B648,calc_data,O$14+1,1),2),0),0)</f>
        <v/>
      </c>
      <c r="P648" s="141">
        <f>IF(offer_sale_type="транзит",IFERROR(ROUND(SUM(I648:J648,M648:O648)/E648,2),0),0)</f>
        <v/>
      </c>
      <c r="Q648" s="141">
        <f>E648*P648</f>
        <v/>
      </c>
      <c r="R648" s="141">
        <f>ROUND(Q648*IF(AND(offer_incoterms="DDP",seller_region="RU"),IF((TODAY()+offer_turnaround_time)&gt;=helpsheet!$L$17,rate_vatRU_from_26,rate_vatRu_till_25),0),2)</f>
        <v/>
      </c>
      <c r="S648" s="177">
        <f>Q648+IF(AND(offer_incoterms="DDP",seller_region="RU"),R648,0)</f>
        <v/>
      </c>
      <c r="T648" s="45" t="n"/>
      <c r="V648" s="57">
        <f>IF(Q648&gt;0,"показать","скрыть")</f>
        <v/>
      </c>
    </row>
    <row r="649" ht="15.75" customHeight="1">
      <c r="B649" s="809" t="n">
        <v>633</v>
      </c>
      <c r="C649" s="182">
        <f>IF(offer_sale_type="транзит",IFERROR(VLOOKUP($B649,calc_data,C$14+1,0),0),0)</f>
        <v/>
      </c>
      <c r="D649" s="280">
        <f>IF(offer_sale_type="транзит",IFERROR(VLOOKUP($B649,calc_data,D$14+1,0),0),0)</f>
        <v/>
      </c>
      <c r="E649" s="182">
        <f>IF(offer_sale_type="транзит",IFERROR(VLOOKUP($B649,calc_data,E$14+1,0),0),0)</f>
        <v/>
      </c>
      <c r="F649" s="182">
        <f>IF(offer_sale_type="транзит",IFERROR(VLOOKUP($B649,calc_data,F$14+1,0),0),0)</f>
        <v/>
      </c>
      <c r="G649" s="141">
        <f>IF(offer_sale_type="транзит",IFERROR(VLOOKUP($B649,calc_data,G$14+1,0),0),0)</f>
        <v/>
      </c>
      <c r="H649" s="141">
        <f>E649*G649</f>
        <v/>
      </c>
      <c r="I649" s="141">
        <f>IF(offer_sale_type="транзит",IFERROR(ROUND(VLOOKUP($B649,calc_data,I$14+1,0),2),0),0)</f>
        <v/>
      </c>
      <c r="J649" s="141">
        <f>ROUND(IF(offer_sale_type="транзит",IFERROR(VLOOKUP($B649,calc_data,J$14+1,0),0),0),2)</f>
        <v/>
      </c>
      <c r="K649" s="142">
        <f>IF(offer_sale_type="транзит",IFERROR(ROUNDUP(VLOOKUP($B649,calc_data,K$14+1,0),2),0),0)</f>
        <v/>
      </c>
      <c r="L649" s="184">
        <f>IF(offer_sale_type="транзит",IFERROR(ROUNDUP(VLOOKUP($B649,calc_data,L$14+1,0),2),0),0)</f>
        <v/>
      </c>
      <c r="M649" s="141">
        <f>IF(offer_sale_type="транзит",IFERROR(ROUNDUP(VLOOKUP($B649,calc_data,M$14+1,0),2),0),0)</f>
        <v/>
      </c>
      <c r="N649" s="141">
        <f>IF(offer_sale_type="транзит",IFERROR(ROUNDUP(VLOOKUP($B649,calc_data,N$14+1,0),2),0),0)</f>
        <v/>
      </c>
      <c r="O649" s="147">
        <f>IF(offer_sale_type="транзит",IFERROR(ROUND(VLOOKUP($B649,calc_data,O$14+1,1),2),0),0)</f>
        <v/>
      </c>
      <c r="P649" s="141">
        <f>IF(offer_sale_type="транзит",IFERROR(ROUND(SUM(I649:J649,M649:O649)/E649,2),0),0)</f>
        <v/>
      </c>
      <c r="Q649" s="141">
        <f>E649*P649</f>
        <v/>
      </c>
      <c r="R649" s="141">
        <f>ROUND(Q649*IF(AND(offer_incoterms="DDP",seller_region="RU"),IF((TODAY()+offer_turnaround_time)&gt;=helpsheet!$L$17,rate_vatRU_from_26,rate_vatRu_till_25),0),2)</f>
        <v/>
      </c>
      <c r="S649" s="177">
        <f>Q649+IF(AND(offer_incoterms="DDP",seller_region="RU"),R649,0)</f>
        <v/>
      </c>
      <c r="T649" s="45" t="n"/>
      <c r="V649" s="57">
        <f>IF(Q649&gt;0,"показать","скрыть")</f>
        <v/>
      </c>
    </row>
    <row r="650" ht="15.75" customHeight="1">
      <c r="B650" s="809" t="n">
        <v>634</v>
      </c>
      <c r="C650" s="182">
        <f>IF(offer_sale_type="транзит",IFERROR(VLOOKUP($B650,calc_data,C$14+1,0),0),0)</f>
        <v/>
      </c>
      <c r="D650" s="280">
        <f>IF(offer_sale_type="транзит",IFERROR(VLOOKUP($B650,calc_data,D$14+1,0),0),0)</f>
        <v/>
      </c>
      <c r="E650" s="182">
        <f>IF(offer_sale_type="транзит",IFERROR(VLOOKUP($B650,calc_data,E$14+1,0),0),0)</f>
        <v/>
      </c>
      <c r="F650" s="182">
        <f>IF(offer_sale_type="транзит",IFERROR(VLOOKUP($B650,calc_data,F$14+1,0),0),0)</f>
        <v/>
      </c>
      <c r="G650" s="141">
        <f>IF(offer_sale_type="транзит",IFERROR(VLOOKUP($B650,calc_data,G$14+1,0),0),0)</f>
        <v/>
      </c>
      <c r="H650" s="141">
        <f>E650*G650</f>
        <v/>
      </c>
      <c r="I650" s="141">
        <f>IF(offer_sale_type="транзит",IFERROR(ROUND(VLOOKUP($B650,calc_data,I$14+1,0),2),0),0)</f>
        <v/>
      </c>
      <c r="J650" s="141">
        <f>ROUND(IF(offer_sale_type="транзит",IFERROR(VLOOKUP($B650,calc_data,J$14+1,0),0),0),2)</f>
        <v/>
      </c>
      <c r="K650" s="142">
        <f>IF(offer_sale_type="транзит",IFERROR(ROUNDUP(VLOOKUP($B650,calc_data,K$14+1,0),2),0),0)</f>
        <v/>
      </c>
      <c r="L650" s="184">
        <f>IF(offer_sale_type="транзит",IFERROR(ROUNDUP(VLOOKUP($B650,calc_data,L$14+1,0),2),0),0)</f>
        <v/>
      </c>
      <c r="M650" s="141">
        <f>IF(offer_sale_type="транзит",IFERROR(ROUNDUP(VLOOKUP($B650,calc_data,M$14+1,0),2),0),0)</f>
        <v/>
      </c>
      <c r="N650" s="141">
        <f>IF(offer_sale_type="транзит",IFERROR(ROUNDUP(VLOOKUP($B650,calc_data,N$14+1,0),2),0),0)</f>
        <v/>
      </c>
      <c r="O650" s="147">
        <f>IF(offer_sale_type="транзит",IFERROR(ROUND(VLOOKUP($B650,calc_data,O$14+1,1),2),0),0)</f>
        <v/>
      </c>
      <c r="P650" s="141">
        <f>IF(offer_sale_type="транзит",IFERROR(ROUND(SUM(I650:J650,M650:O650)/E650,2),0),0)</f>
        <v/>
      </c>
      <c r="Q650" s="141">
        <f>E650*P650</f>
        <v/>
      </c>
      <c r="R650" s="141">
        <f>ROUND(Q650*IF(AND(offer_incoterms="DDP",seller_region="RU"),IF((TODAY()+offer_turnaround_time)&gt;=helpsheet!$L$17,rate_vatRU_from_26,rate_vatRu_till_25),0),2)</f>
        <v/>
      </c>
      <c r="S650" s="177">
        <f>Q650+IF(AND(offer_incoterms="DDP",seller_region="RU"),R650,0)</f>
        <v/>
      </c>
      <c r="T650" s="45" t="n"/>
      <c r="V650" s="57">
        <f>IF(Q650&gt;0,"показать","скрыть")</f>
        <v/>
      </c>
    </row>
    <row r="651" ht="15.75" customHeight="1">
      <c r="B651" s="809" t="n">
        <v>635</v>
      </c>
      <c r="C651" s="182">
        <f>IF(offer_sale_type="транзит",IFERROR(VLOOKUP($B651,calc_data,C$14+1,0),0),0)</f>
        <v/>
      </c>
      <c r="D651" s="280">
        <f>IF(offer_sale_type="транзит",IFERROR(VLOOKUP($B651,calc_data,D$14+1,0),0),0)</f>
        <v/>
      </c>
      <c r="E651" s="182">
        <f>IF(offer_sale_type="транзит",IFERROR(VLOOKUP($B651,calc_data,E$14+1,0),0),0)</f>
        <v/>
      </c>
      <c r="F651" s="182">
        <f>IF(offer_sale_type="транзит",IFERROR(VLOOKUP($B651,calc_data,F$14+1,0),0),0)</f>
        <v/>
      </c>
      <c r="G651" s="141">
        <f>IF(offer_sale_type="транзит",IFERROR(VLOOKUP($B651,calc_data,G$14+1,0),0),0)</f>
        <v/>
      </c>
      <c r="H651" s="141">
        <f>E651*G651</f>
        <v/>
      </c>
      <c r="I651" s="141">
        <f>IF(offer_sale_type="транзит",IFERROR(ROUND(VLOOKUP($B651,calc_data,I$14+1,0),2),0),0)</f>
        <v/>
      </c>
      <c r="J651" s="141">
        <f>ROUND(IF(offer_sale_type="транзит",IFERROR(VLOOKUP($B651,calc_data,J$14+1,0),0),0),2)</f>
        <v/>
      </c>
      <c r="K651" s="142">
        <f>IF(offer_sale_type="транзит",IFERROR(ROUNDUP(VLOOKUP($B651,calc_data,K$14+1,0),2),0),0)</f>
        <v/>
      </c>
      <c r="L651" s="184">
        <f>IF(offer_sale_type="транзит",IFERROR(ROUNDUP(VLOOKUP($B651,calc_data,L$14+1,0),2),0),0)</f>
        <v/>
      </c>
      <c r="M651" s="141">
        <f>IF(offer_sale_type="транзит",IFERROR(ROUNDUP(VLOOKUP($B651,calc_data,M$14+1,0),2),0),0)</f>
        <v/>
      </c>
      <c r="N651" s="141">
        <f>IF(offer_sale_type="транзит",IFERROR(ROUNDUP(VLOOKUP($B651,calc_data,N$14+1,0),2),0),0)</f>
        <v/>
      </c>
      <c r="O651" s="147">
        <f>IF(offer_sale_type="транзит",IFERROR(ROUND(VLOOKUP($B651,calc_data,O$14+1,1),2),0),0)</f>
        <v/>
      </c>
      <c r="P651" s="141">
        <f>IF(offer_sale_type="транзит",IFERROR(ROUND(SUM(I651:J651,M651:O651)/E651,2),0),0)</f>
        <v/>
      </c>
      <c r="Q651" s="141">
        <f>E651*P651</f>
        <v/>
      </c>
      <c r="R651" s="141">
        <f>ROUND(Q651*IF(AND(offer_incoterms="DDP",seller_region="RU"),IF((TODAY()+offer_turnaround_time)&gt;=helpsheet!$L$17,rate_vatRU_from_26,rate_vatRu_till_25),0),2)</f>
        <v/>
      </c>
      <c r="S651" s="177">
        <f>Q651+IF(AND(offer_incoterms="DDP",seller_region="RU"),R651,0)</f>
        <v/>
      </c>
      <c r="T651" s="45" t="n"/>
      <c r="V651" s="57">
        <f>IF(Q651&gt;0,"показать","скрыть")</f>
        <v/>
      </c>
    </row>
    <row r="652" ht="15.75" customHeight="1">
      <c r="B652" s="809" t="n">
        <v>636</v>
      </c>
      <c r="C652" s="182">
        <f>IF(offer_sale_type="транзит",IFERROR(VLOOKUP($B652,calc_data,C$14+1,0),0),0)</f>
        <v/>
      </c>
      <c r="D652" s="280">
        <f>IF(offer_sale_type="транзит",IFERROR(VLOOKUP($B652,calc_data,D$14+1,0),0),0)</f>
        <v/>
      </c>
      <c r="E652" s="182">
        <f>IF(offer_sale_type="транзит",IFERROR(VLOOKUP($B652,calc_data,E$14+1,0),0),0)</f>
        <v/>
      </c>
      <c r="F652" s="182">
        <f>IF(offer_sale_type="транзит",IFERROR(VLOOKUP($B652,calc_data,F$14+1,0),0),0)</f>
        <v/>
      </c>
      <c r="G652" s="141">
        <f>IF(offer_sale_type="транзит",IFERROR(VLOOKUP($B652,calc_data,G$14+1,0),0),0)</f>
        <v/>
      </c>
      <c r="H652" s="141">
        <f>E652*G652</f>
        <v/>
      </c>
      <c r="I652" s="141">
        <f>IF(offer_sale_type="транзит",IFERROR(ROUND(VLOOKUP($B652,calc_data,I$14+1,0),2),0),0)</f>
        <v/>
      </c>
      <c r="J652" s="141">
        <f>ROUND(IF(offer_sale_type="транзит",IFERROR(VLOOKUP($B652,calc_data,J$14+1,0),0),0),2)</f>
        <v/>
      </c>
      <c r="K652" s="142">
        <f>IF(offer_sale_type="транзит",IFERROR(ROUNDUP(VLOOKUP($B652,calc_data,K$14+1,0),2),0),0)</f>
        <v/>
      </c>
      <c r="L652" s="184">
        <f>IF(offer_sale_type="транзит",IFERROR(ROUNDUP(VLOOKUP($B652,calc_data,L$14+1,0),2),0),0)</f>
        <v/>
      </c>
      <c r="M652" s="141">
        <f>IF(offer_sale_type="транзит",IFERROR(ROUNDUP(VLOOKUP($B652,calc_data,M$14+1,0),2),0),0)</f>
        <v/>
      </c>
      <c r="N652" s="141">
        <f>IF(offer_sale_type="транзит",IFERROR(ROUNDUP(VLOOKUP($B652,calc_data,N$14+1,0),2),0),0)</f>
        <v/>
      </c>
      <c r="O652" s="147">
        <f>IF(offer_sale_type="транзит",IFERROR(ROUND(VLOOKUP($B652,calc_data,O$14+1,1),2),0),0)</f>
        <v/>
      </c>
      <c r="P652" s="141">
        <f>IF(offer_sale_type="транзит",IFERROR(ROUND(SUM(I652:J652,M652:O652)/E652,2),0),0)</f>
        <v/>
      </c>
      <c r="Q652" s="141">
        <f>E652*P652</f>
        <v/>
      </c>
      <c r="R652" s="141">
        <f>ROUND(Q652*IF(AND(offer_incoterms="DDP",seller_region="RU"),IF((TODAY()+offer_turnaround_time)&gt;=helpsheet!$L$17,rate_vatRU_from_26,rate_vatRu_till_25),0),2)</f>
        <v/>
      </c>
      <c r="S652" s="177">
        <f>Q652+IF(AND(offer_incoterms="DDP",seller_region="RU"),R652,0)</f>
        <v/>
      </c>
      <c r="T652" s="45" t="n"/>
      <c r="V652" s="57">
        <f>IF(Q652&gt;0,"показать","скрыть")</f>
        <v/>
      </c>
    </row>
    <row r="653" ht="15.75" customHeight="1">
      <c r="B653" s="809" t="n">
        <v>637</v>
      </c>
      <c r="C653" s="182">
        <f>IF(offer_sale_type="транзит",IFERROR(VLOOKUP($B653,calc_data,C$14+1,0),0),0)</f>
        <v/>
      </c>
      <c r="D653" s="280">
        <f>IF(offer_sale_type="транзит",IFERROR(VLOOKUP($B653,calc_data,D$14+1,0),0),0)</f>
        <v/>
      </c>
      <c r="E653" s="182">
        <f>IF(offer_sale_type="транзит",IFERROR(VLOOKUP($B653,calc_data,E$14+1,0),0),0)</f>
        <v/>
      </c>
      <c r="F653" s="182">
        <f>IF(offer_sale_type="транзит",IFERROR(VLOOKUP($B653,calc_data,F$14+1,0),0),0)</f>
        <v/>
      </c>
      <c r="G653" s="141">
        <f>IF(offer_sale_type="транзит",IFERROR(VLOOKUP($B653,calc_data,G$14+1,0),0),0)</f>
        <v/>
      </c>
      <c r="H653" s="141">
        <f>E653*G653</f>
        <v/>
      </c>
      <c r="I653" s="141">
        <f>IF(offer_sale_type="транзит",IFERROR(ROUND(VLOOKUP($B653,calc_data,I$14+1,0),2),0),0)</f>
        <v/>
      </c>
      <c r="J653" s="141">
        <f>ROUND(IF(offer_sale_type="транзит",IFERROR(VLOOKUP($B653,calc_data,J$14+1,0),0),0),2)</f>
        <v/>
      </c>
      <c r="K653" s="142">
        <f>IF(offer_sale_type="транзит",IFERROR(ROUNDUP(VLOOKUP($B653,calc_data,K$14+1,0),2),0),0)</f>
        <v/>
      </c>
      <c r="L653" s="184">
        <f>IF(offer_sale_type="транзит",IFERROR(ROUNDUP(VLOOKUP($B653,calc_data,L$14+1,0),2),0),0)</f>
        <v/>
      </c>
      <c r="M653" s="141">
        <f>IF(offer_sale_type="транзит",IFERROR(ROUNDUP(VLOOKUP($B653,calc_data,M$14+1,0),2),0),0)</f>
        <v/>
      </c>
      <c r="N653" s="141">
        <f>IF(offer_sale_type="транзит",IFERROR(ROUNDUP(VLOOKUP($B653,calc_data,N$14+1,0),2),0),0)</f>
        <v/>
      </c>
      <c r="O653" s="147">
        <f>IF(offer_sale_type="транзит",IFERROR(ROUND(VLOOKUP($B653,calc_data,O$14+1,1),2),0),0)</f>
        <v/>
      </c>
      <c r="P653" s="141">
        <f>IF(offer_sale_type="транзит",IFERROR(ROUND(SUM(I653:J653,M653:O653)/E653,2),0),0)</f>
        <v/>
      </c>
      <c r="Q653" s="141">
        <f>E653*P653</f>
        <v/>
      </c>
      <c r="R653" s="141">
        <f>ROUND(Q653*IF(AND(offer_incoterms="DDP",seller_region="RU"),IF((TODAY()+offer_turnaround_time)&gt;=helpsheet!$L$17,rate_vatRU_from_26,rate_vatRu_till_25),0),2)</f>
        <v/>
      </c>
      <c r="S653" s="177">
        <f>Q653+IF(AND(offer_incoterms="DDP",seller_region="RU"),R653,0)</f>
        <v/>
      </c>
      <c r="T653" s="45" t="n"/>
      <c r="V653" s="57">
        <f>IF(Q653&gt;0,"показать","скрыть")</f>
        <v/>
      </c>
    </row>
    <row r="654" ht="15.75" customHeight="1">
      <c r="B654" s="809" t="n">
        <v>638</v>
      </c>
      <c r="C654" s="182">
        <f>IF(offer_sale_type="транзит",IFERROR(VLOOKUP($B654,calc_data,C$14+1,0),0),0)</f>
        <v/>
      </c>
      <c r="D654" s="280">
        <f>IF(offer_sale_type="транзит",IFERROR(VLOOKUP($B654,calc_data,D$14+1,0),0),0)</f>
        <v/>
      </c>
      <c r="E654" s="182">
        <f>IF(offer_sale_type="транзит",IFERROR(VLOOKUP($B654,calc_data,E$14+1,0),0),0)</f>
        <v/>
      </c>
      <c r="F654" s="182">
        <f>IF(offer_sale_type="транзит",IFERROR(VLOOKUP($B654,calc_data,F$14+1,0),0),0)</f>
        <v/>
      </c>
      <c r="G654" s="141">
        <f>IF(offer_sale_type="транзит",IFERROR(VLOOKUP($B654,calc_data,G$14+1,0),0),0)</f>
        <v/>
      </c>
      <c r="H654" s="141">
        <f>E654*G654</f>
        <v/>
      </c>
      <c r="I654" s="141">
        <f>IF(offer_sale_type="транзит",IFERROR(ROUND(VLOOKUP($B654,calc_data,I$14+1,0),2),0),0)</f>
        <v/>
      </c>
      <c r="J654" s="141">
        <f>ROUND(IF(offer_sale_type="транзит",IFERROR(VLOOKUP($B654,calc_data,J$14+1,0),0),0),2)</f>
        <v/>
      </c>
      <c r="K654" s="142">
        <f>IF(offer_sale_type="транзит",IFERROR(ROUNDUP(VLOOKUP($B654,calc_data,K$14+1,0),2),0),0)</f>
        <v/>
      </c>
      <c r="L654" s="184">
        <f>IF(offer_sale_type="транзит",IFERROR(ROUNDUP(VLOOKUP($B654,calc_data,L$14+1,0),2),0),0)</f>
        <v/>
      </c>
      <c r="M654" s="141">
        <f>IF(offer_sale_type="транзит",IFERROR(ROUNDUP(VLOOKUP($B654,calc_data,M$14+1,0),2),0),0)</f>
        <v/>
      </c>
      <c r="N654" s="141">
        <f>IF(offer_sale_type="транзит",IFERROR(ROUNDUP(VLOOKUP($B654,calc_data,N$14+1,0),2),0),0)</f>
        <v/>
      </c>
      <c r="O654" s="147">
        <f>IF(offer_sale_type="транзит",IFERROR(ROUND(VLOOKUP($B654,calc_data,O$14+1,1),2),0),0)</f>
        <v/>
      </c>
      <c r="P654" s="141">
        <f>IF(offer_sale_type="транзит",IFERROR(ROUND(SUM(I654:J654,M654:O654)/E654,2),0),0)</f>
        <v/>
      </c>
      <c r="Q654" s="141">
        <f>E654*P654</f>
        <v/>
      </c>
      <c r="R654" s="141">
        <f>ROUND(Q654*IF(AND(offer_incoterms="DDP",seller_region="RU"),IF((TODAY()+offer_turnaround_time)&gt;=helpsheet!$L$17,rate_vatRU_from_26,rate_vatRu_till_25),0),2)</f>
        <v/>
      </c>
      <c r="S654" s="177">
        <f>Q654+IF(AND(offer_incoterms="DDP",seller_region="RU"),R654,0)</f>
        <v/>
      </c>
      <c r="T654" s="45" t="n"/>
      <c r="V654" s="57">
        <f>IF(Q654&gt;0,"показать","скрыть")</f>
        <v/>
      </c>
    </row>
    <row r="655" ht="15.75" customHeight="1">
      <c r="B655" s="809" t="n">
        <v>639</v>
      </c>
      <c r="C655" s="182">
        <f>IF(offer_sale_type="транзит",IFERROR(VLOOKUP($B655,calc_data,C$14+1,0),0),0)</f>
        <v/>
      </c>
      <c r="D655" s="280">
        <f>IF(offer_sale_type="транзит",IFERROR(VLOOKUP($B655,calc_data,D$14+1,0),0),0)</f>
        <v/>
      </c>
      <c r="E655" s="182">
        <f>IF(offer_sale_type="транзит",IFERROR(VLOOKUP($B655,calc_data,E$14+1,0),0),0)</f>
        <v/>
      </c>
      <c r="F655" s="182">
        <f>IF(offer_sale_type="транзит",IFERROR(VLOOKUP($B655,calc_data,F$14+1,0),0),0)</f>
        <v/>
      </c>
      <c r="G655" s="141">
        <f>IF(offer_sale_type="транзит",IFERROR(VLOOKUP($B655,calc_data,G$14+1,0),0),0)</f>
        <v/>
      </c>
      <c r="H655" s="141">
        <f>E655*G655</f>
        <v/>
      </c>
      <c r="I655" s="141">
        <f>IF(offer_sale_type="транзит",IFERROR(ROUND(VLOOKUP($B655,calc_data,I$14+1,0),2),0),0)</f>
        <v/>
      </c>
      <c r="J655" s="141">
        <f>ROUND(IF(offer_sale_type="транзит",IFERROR(VLOOKUP($B655,calc_data,J$14+1,0),0),0),2)</f>
        <v/>
      </c>
      <c r="K655" s="142">
        <f>IF(offer_sale_type="транзит",IFERROR(ROUNDUP(VLOOKUP($B655,calc_data,K$14+1,0),2),0),0)</f>
        <v/>
      </c>
      <c r="L655" s="184">
        <f>IF(offer_sale_type="транзит",IFERROR(ROUNDUP(VLOOKUP($B655,calc_data,L$14+1,0),2),0),0)</f>
        <v/>
      </c>
      <c r="M655" s="141">
        <f>IF(offer_sale_type="транзит",IFERROR(ROUNDUP(VLOOKUP($B655,calc_data,M$14+1,0),2),0),0)</f>
        <v/>
      </c>
      <c r="N655" s="141">
        <f>IF(offer_sale_type="транзит",IFERROR(ROUNDUP(VLOOKUP($B655,calc_data,N$14+1,0),2),0),0)</f>
        <v/>
      </c>
      <c r="O655" s="147">
        <f>IF(offer_sale_type="транзит",IFERROR(ROUND(VLOOKUP($B655,calc_data,O$14+1,1),2),0),0)</f>
        <v/>
      </c>
      <c r="P655" s="141">
        <f>IF(offer_sale_type="транзит",IFERROR(ROUND(SUM(I655:J655,M655:O655)/E655,2),0),0)</f>
        <v/>
      </c>
      <c r="Q655" s="141">
        <f>E655*P655</f>
        <v/>
      </c>
      <c r="R655" s="141">
        <f>ROUND(Q655*IF(AND(offer_incoterms="DDP",seller_region="RU"),IF((TODAY()+offer_turnaround_time)&gt;=helpsheet!$L$17,rate_vatRU_from_26,rate_vatRu_till_25),0),2)</f>
        <v/>
      </c>
      <c r="S655" s="177">
        <f>Q655+IF(AND(offer_incoterms="DDP",seller_region="RU"),R655,0)</f>
        <v/>
      </c>
      <c r="T655" s="45" t="n"/>
      <c r="V655" s="57">
        <f>IF(Q655&gt;0,"показать","скрыть")</f>
        <v/>
      </c>
    </row>
    <row r="656" ht="15.75" customHeight="1">
      <c r="B656" s="809" t="n">
        <v>640</v>
      </c>
      <c r="C656" s="182">
        <f>IF(offer_sale_type="транзит",IFERROR(VLOOKUP($B656,calc_data,C$14+1,0),0),0)</f>
        <v/>
      </c>
      <c r="D656" s="280">
        <f>IF(offer_sale_type="транзит",IFERROR(VLOOKUP($B656,calc_data,D$14+1,0),0),0)</f>
        <v/>
      </c>
      <c r="E656" s="182">
        <f>IF(offer_sale_type="транзит",IFERROR(VLOOKUP($B656,calc_data,E$14+1,0),0),0)</f>
        <v/>
      </c>
      <c r="F656" s="182">
        <f>IF(offer_sale_type="транзит",IFERROR(VLOOKUP($B656,calc_data,F$14+1,0),0),0)</f>
        <v/>
      </c>
      <c r="G656" s="141">
        <f>IF(offer_sale_type="транзит",IFERROR(VLOOKUP($B656,calc_data,G$14+1,0),0),0)</f>
        <v/>
      </c>
      <c r="H656" s="141">
        <f>E656*G656</f>
        <v/>
      </c>
      <c r="I656" s="141">
        <f>IF(offer_sale_type="транзит",IFERROR(ROUND(VLOOKUP($B656,calc_data,I$14+1,0),2),0),0)</f>
        <v/>
      </c>
      <c r="J656" s="141">
        <f>ROUND(IF(offer_sale_type="транзит",IFERROR(VLOOKUP($B656,calc_data,J$14+1,0),0),0),2)</f>
        <v/>
      </c>
      <c r="K656" s="142">
        <f>IF(offer_sale_type="транзит",IFERROR(ROUNDUP(VLOOKUP($B656,calc_data,K$14+1,0),2),0),0)</f>
        <v/>
      </c>
      <c r="L656" s="184">
        <f>IF(offer_sale_type="транзит",IFERROR(ROUNDUP(VLOOKUP($B656,calc_data,L$14+1,0),2),0),0)</f>
        <v/>
      </c>
      <c r="M656" s="141">
        <f>IF(offer_sale_type="транзит",IFERROR(ROUNDUP(VLOOKUP($B656,calc_data,M$14+1,0),2),0),0)</f>
        <v/>
      </c>
      <c r="N656" s="141">
        <f>IF(offer_sale_type="транзит",IFERROR(ROUNDUP(VLOOKUP($B656,calc_data,N$14+1,0),2),0),0)</f>
        <v/>
      </c>
      <c r="O656" s="147">
        <f>IF(offer_sale_type="транзит",IFERROR(ROUND(VLOOKUP($B656,calc_data,O$14+1,1),2),0),0)</f>
        <v/>
      </c>
      <c r="P656" s="141">
        <f>IF(offer_sale_type="транзит",IFERROR(ROUND(SUM(I656:J656,M656:O656)/E656,2),0),0)</f>
        <v/>
      </c>
      <c r="Q656" s="141">
        <f>E656*P656</f>
        <v/>
      </c>
      <c r="R656" s="141">
        <f>ROUND(Q656*IF(AND(offer_incoterms="DDP",seller_region="RU"),IF((TODAY()+offer_turnaround_time)&gt;=helpsheet!$L$17,rate_vatRU_from_26,rate_vatRu_till_25),0),2)</f>
        <v/>
      </c>
      <c r="S656" s="177">
        <f>Q656+IF(AND(offer_incoterms="DDP",seller_region="RU"),R656,0)</f>
        <v/>
      </c>
      <c r="T656" s="45" t="n"/>
      <c r="V656" s="57">
        <f>IF(Q656&gt;0,"показать","скрыть")</f>
        <v/>
      </c>
    </row>
    <row r="657" ht="15.75" customHeight="1">
      <c r="B657" s="809" t="n">
        <v>641</v>
      </c>
      <c r="C657" s="182">
        <f>IF(offer_sale_type="транзит",IFERROR(VLOOKUP($B657,calc_data,C$14+1,0),0),0)</f>
        <v/>
      </c>
      <c r="D657" s="280">
        <f>IF(offer_sale_type="транзит",IFERROR(VLOOKUP($B657,calc_data,D$14+1,0),0),0)</f>
        <v/>
      </c>
      <c r="E657" s="182">
        <f>IF(offer_sale_type="транзит",IFERROR(VLOOKUP($B657,calc_data,E$14+1,0),0),0)</f>
        <v/>
      </c>
      <c r="F657" s="182">
        <f>IF(offer_sale_type="транзит",IFERROR(VLOOKUP($B657,calc_data,F$14+1,0),0),0)</f>
        <v/>
      </c>
      <c r="G657" s="141">
        <f>IF(offer_sale_type="транзит",IFERROR(VLOOKUP($B657,calc_data,G$14+1,0),0),0)</f>
        <v/>
      </c>
      <c r="H657" s="141">
        <f>E657*G657</f>
        <v/>
      </c>
      <c r="I657" s="141">
        <f>IF(offer_sale_type="транзит",IFERROR(ROUND(VLOOKUP($B657,calc_data,I$14+1,0),2),0),0)</f>
        <v/>
      </c>
      <c r="J657" s="141">
        <f>ROUND(IF(offer_sale_type="транзит",IFERROR(VLOOKUP($B657,calc_data,J$14+1,0),0),0),2)</f>
        <v/>
      </c>
      <c r="K657" s="142">
        <f>IF(offer_sale_type="транзит",IFERROR(ROUNDUP(VLOOKUP($B657,calc_data,K$14+1,0),2),0),0)</f>
        <v/>
      </c>
      <c r="L657" s="184">
        <f>IF(offer_sale_type="транзит",IFERROR(ROUNDUP(VLOOKUP($B657,calc_data,L$14+1,0),2),0),0)</f>
        <v/>
      </c>
      <c r="M657" s="141">
        <f>IF(offer_sale_type="транзит",IFERROR(ROUNDUP(VLOOKUP($B657,calc_data,M$14+1,0),2),0),0)</f>
        <v/>
      </c>
      <c r="N657" s="141">
        <f>IF(offer_sale_type="транзит",IFERROR(ROUNDUP(VLOOKUP($B657,calc_data,N$14+1,0),2),0),0)</f>
        <v/>
      </c>
      <c r="O657" s="147">
        <f>IF(offer_sale_type="транзит",IFERROR(ROUND(VLOOKUP($B657,calc_data,O$14+1,1),2),0),0)</f>
        <v/>
      </c>
      <c r="P657" s="141">
        <f>IF(offer_sale_type="транзит",IFERROR(ROUND(SUM(I657:J657,M657:O657)/E657,2),0),0)</f>
        <v/>
      </c>
      <c r="Q657" s="141">
        <f>E657*P657</f>
        <v/>
      </c>
      <c r="R657" s="141">
        <f>ROUND(Q657*IF(AND(offer_incoterms="DDP",seller_region="RU"),IF((TODAY()+offer_turnaround_time)&gt;=helpsheet!$L$17,rate_vatRU_from_26,rate_vatRu_till_25),0),2)</f>
        <v/>
      </c>
      <c r="S657" s="177">
        <f>Q657+IF(AND(offer_incoterms="DDP",seller_region="RU"),R657,0)</f>
        <v/>
      </c>
      <c r="T657" s="45" t="n"/>
      <c r="V657" s="57">
        <f>IF(Q657&gt;0,"показать","скрыть")</f>
        <v/>
      </c>
    </row>
    <row r="658" ht="15.75" customHeight="1">
      <c r="B658" s="809" t="n">
        <v>642</v>
      </c>
      <c r="C658" s="182">
        <f>IF(offer_sale_type="транзит",IFERROR(VLOOKUP($B658,calc_data,C$14+1,0),0),0)</f>
        <v/>
      </c>
      <c r="D658" s="280">
        <f>IF(offer_sale_type="транзит",IFERROR(VLOOKUP($B658,calc_data,D$14+1,0),0),0)</f>
        <v/>
      </c>
      <c r="E658" s="182">
        <f>IF(offer_sale_type="транзит",IFERROR(VLOOKUP($B658,calc_data,E$14+1,0),0),0)</f>
        <v/>
      </c>
      <c r="F658" s="182">
        <f>IF(offer_sale_type="транзит",IFERROR(VLOOKUP($B658,calc_data,F$14+1,0),0),0)</f>
        <v/>
      </c>
      <c r="G658" s="141">
        <f>IF(offer_sale_type="транзит",IFERROR(VLOOKUP($B658,calc_data,G$14+1,0),0),0)</f>
        <v/>
      </c>
      <c r="H658" s="141">
        <f>E658*G658</f>
        <v/>
      </c>
      <c r="I658" s="141">
        <f>IF(offer_sale_type="транзит",IFERROR(ROUND(VLOOKUP($B658,calc_data,I$14+1,0),2),0),0)</f>
        <v/>
      </c>
      <c r="J658" s="141">
        <f>ROUND(IF(offer_sale_type="транзит",IFERROR(VLOOKUP($B658,calc_data,J$14+1,0),0),0),2)</f>
        <v/>
      </c>
      <c r="K658" s="142">
        <f>IF(offer_sale_type="транзит",IFERROR(ROUNDUP(VLOOKUP($B658,calc_data,K$14+1,0),2),0),0)</f>
        <v/>
      </c>
      <c r="L658" s="184">
        <f>IF(offer_sale_type="транзит",IFERROR(ROUNDUP(VLOOKUP($B658,calc_data,L$14+1,0),2),0),0)</f>
        <v/>
      </c>
      <c r="M658" s="141">
        <f>IF(offer_sale_type="транзит",IFERROR(ROUNDUP(VLOOKUP($B658,calc_data,M$14+1,0),2),0),0)</f>
        <v/>
      </c>
      <c r="N658" s="141">
        <f>IF(offer_sale_type="транзит",IFERROR(ROUNDUP(VLOOKUP($B658,calc_data,N$14+1,0),2),0),0)</f>
        <v/>
      </c>
      <c r="O658" s="147">
        <f>IF(offer_sale_type="транзит",IFERROR(ROUND(VLOOKUP($B658,calc_data,O$14+1,1),2),0),0)</f>
        <v/>
      </c>
      <c r="P658" s="141">
        <f>IF(offer_sale_type="транзит",IFERROR(ROUND(SUM(I658:J658,M658:O658)/E658,2),0),0)</f>
        <v/>
      </c>
      <c r="Q658" s="141">
        <f>E658*P658</f>
        <v/>
      </c>
      <c r="R658" s="141">
        <f>ROUND(Q658*IF(AND(offer_incoterms="DDP",seller_region="RU"),IF((TODAY()+offer_turnaround_time)&gt;=helpsheet!$L$17,rate_vatRU_from_26,rate_vatRu_till_25),0),2)</f>
        <v/>
      </c>
      <c r="S658" s="177">
        <f>Q658+IF(AND(offer_incoterms="DDP",seller_region="RU"),R658,0)</f>
        <v/>
      </c>
      <c r="T658" s="45" t="n"/>
      <c r="V658" s="57">
        <f>IF(Q658&gt;0,"показать","скрыть")</f>
        <v/>
      </c>
    </row>
    <row r="659" ht="15.75" customHeight="1">
      <c r="B659" s="809" t="n">
        <v>643</v>
      </c>
      <c r="C659" s="182">
        <f>IF(offer_sale_type="транзит",IFERROR(VLOOKUP($B659,calc_data,C$14+1,0),0),0)</f>
        <v/>
      </c>
      <c r="D659" s="280">
        <f>IF(offer_sale_type="транзит",IFERROR(VLOOKUP($B659,calc_data,D$14+1,0),0),0)</f>
        <v/>
      </c>
      <c r="E659" s="182">
        <f>IF(offer_sale_type="транзит",IFERROR(VLOOKUP($B659,calc_data,E$14+1,0),0),0)</f>
        <v/>
      </c>
      <c r="F659" s="182">
        <f>IF(offer_sale_type="транзит",IFERROR(VLOOKUP($B659,calc_data,F$14+1,0),0),0)</f>
        <v/>
      </c>
      <c r="G659" s="141">
        <f>IF(offer_sale_type="транзит",IFERROR(VLOOKUP($B659,calc_data,G$14+1,0),0),0)</f>
        <v/>
      </c>
      <c r="H659" s="141">
        <f>E659*G659</f>
        <v/>
      </c>
      <c r="I659" s="141">
        <f>IF(offer_sale_type="транзит",IFERROR(ROUND(VLOOKUP($B659,calc_data,I$14+1,0),2),0),0)</f>
        <v/>
      </c>
      <c r="J659" s="141">
        <f>ROUND(IF(offer_sale_type="транзит",IFERROR(VLOOKUP($B659,calc_data,J$14+1,0),0),0),2)</f>
        <v/>
      </c>
      <c r="K659" s="142">
        <f>IF(offer_sale_type="транзит",IFERROR(ROUNDUP(VLOOKUP($B659,calc_data,K$14+1,0),2),0),0)</f>
        <v/>
      </c>
      <c r="L659" s="184">
        <f>IF(offer_sale_type="транзит",IFERROR(ROUNDUP(VLOOKUP($B659,calc_data,L$14+1,0),2),0),0)</f>
        <v/>
      </c>
      <c r="M659" s="141">
        <f>IF(offer_sale_type="транзит",IFERROR(ROUNDUP(VLOOKUP($B659,calc_data,M$14+1,0),2),0),0)</f>
        <v/>
      </c>
      <c r="N659" s="141">
        <f>IF(offer_sale_type="транзит",IFERROR(ROUNDUP(VLOOKUP($B659,calc_data,N$14+1,0),2),0),0)</f>
        <v/>
      </c>
      <c r="O659" s="147">
        <f>IF(offer_sale_type="транзит",IFERROR(ROUND(VLOOKUP($B659,calc_data,O$14+1,1),2),0),0)</f>
        <v/>
      </c>
      <c r="P659" s="141">
        <f>IF(offer_sale_type="транзит",IFERROR(ROUND(SUM(I659:J659,M659:O659)/E659,2),0),0)</f>
        <v/>
      </c>
      <c r="Q659" s="141">
        <f>E659*P659</f>
        <v/>
      </c>
      <c r="R659" s="141">
        <f>ROUND(Q659*IF(AND(offer_incoterms="DDP",seller_region="RU"),IF((TODAY()+offer_turnaround_time)&gt;=helpsheet!$L$17,rate_vatRU_from_26,rate_vatRu_till_25),0),2)</f>
        <v/>
      </c>
      <c r="S659" s="177">
        <f>Q659+IF(AND(offer_incoterms="DDP",seller_region="RU"),R659,0)</f>
        <v/>
      </c>
      <c r="T659" s="45" t="n"/>
      <c r="V659" s="57">
        <f>IF(Q659&gt;0,"показать","скрыть")</f>
        <v/>
      </c>
    </row>
    <row r="660" ht="15.75" customHeight="1">
      <c r="B660" s="809" t="n">
        <v>644</v>
      </c>
      <c r="C660" s="182">
        <f>IF(offer_sale_type="транзит",IFERROR(VLOOKUP($B660,calc_data,C$14+1,0),0),0)</f>
        <v/>
      </c>
      <c r="D660" s="280">
        <f>IF(offer_sale_type="транзит",IFERROR(VLOOKUP($B660,calc_data,D$14+1,0),0),0)</f>
        <v/>
      </c>
      <c r="E660" s="182">
        <f>IF(offer_sale_type="транзит",IFERROR(VLOOKUP($B660,calc_data,E$14+1,0),0),0)</f>
        <v/>
      </c>
      <c r="F660" s="182">
        <f>IF(offer_sale_type="транзит",IFERROR(VLOOKUP($B660,calc_data,F$14+1,0),0),0)</f>
        <v/>
      </c>
      <c r="G660" s="141">
        <f>IF(offer_sale_type="транзит",IFERROR(VLOOKUP($B660,calc_data,G$14+1,0),0),0)</f>
        <v/>
      </c>
      <c r="H660" s="141">
        <f>E660*G660</f>
        <v/>
      </c>
      <c r="I660" s="141">
        <f>IF(offer_sale_type="транзит",IFERROR(ROUND(VLOOKUP($B660,calc_data,I$14+1,0),2),0),0)</f>
        <v/>
      </c>
      <c r="J660" s="141">
        <f>ROUND(IF(offer_sale_type="транзит",IFERROR(VLOOKUP($B660,calc_data,J$14+1,0),0),0),2)</f>
        <v/>
      </c>
      <c r="K660" s="142">
        <f>IF(offer_sale_type="транзит",IFERROR(ROUNDUP(VLOOKUP($B660,calc_data,K$14+1,0),2),0),0)</f>
        <v/>
      </c>
      <c r="L660" s="184">
        <f>IF(offer_sale_type="транзит",IFERROR(ROUNDUP(VLOOKUP($B660,calc_data,L$14+1,0),2),0),0)</f>
        <v/>
      </c>
      <c r="M660" s="141">
        <f>IF(offer_sale_type="транзит",IFERROR(ROUNDUP(VLOOKUP($B660,calc_data,M$14+1,0),2),0),0)</f>
        <v/>
      </c>
      <c r="N660" s="141">
        <f>IF(offer_sale_type="транзит",IFERROR(ROUNDUP(VLOOKUP($B660,calc_data,N$14+1,0),2),0),0)</f>
        <v/>
      </c>
      <c r="O660" s="147">
        <f>IF(offer_sale_type="транзит",IFERROR(ROUND(VLOOKUP($B660,calc_data,O$14+1,1),2),0),0)</f>
        <v/>
      </c>
      <c r="P660" s="141">
        <f>IF(offer_sale_type="транзит",IFERROR(ROUND(SUM(I660:J660,M660:O660)/E660,2),0),0)</f>
        <v/>
      </c>
      <c r="Q660" s="141">
        <f>E660*P660</f>
        <v/>
      </c>
      <c r="R660" s="141">
        <f>ROUND(Q660*IF(AND(offer_incoterms="DDP",seller_region="RU"),IF((TODAY()+offer_turnaround_time)&gt;=helpsheet!$L$17,rate_vatRU_from_26,rate_vatRu_till_25),0),2)</f>
        <v/>
      </c>
      <c r="S660" s="177">
        <f>Q660+IF(AND(offer_incoterms="DDP",seller_region="RU"),R660,0)</f>
        <v/>
      </c>
      <c r="T660" s="45" t="n"/>
      <c r="V660" s="57">
        <f>IF(Q660&gt;0,"показать","скрыть")</f>
        <v/>
      </c>
    </row>
    <row r="661" ht="15.75" customHeight="1">
      <c r="B661" s="809" t="n">
        <v>645</v>
      </c>
      <c r="C661" s="182">
        <f>IF(offer_sale_type="транзит",IFERROR(VLOOKUP($B661,calc_data,C$14+1,0),0),0)</f>
        <v/>
      </c>
      <c r="D661" s="280">
        <f>IF(offer_sale_type="транзит",IFERROR(VLOOKUP($B661,calc_data,D$14+1,0),0),0)</f>
        <v/>
      </c>
      <c r="E661" s="182">
        <f>IF(offer_sale_type="транзит",IFERROR(VLOOKUP($B661,calc_data,E$14+1,0),0),0)</f>
        <v/>
      </c>
      <c r="F661" s="182">
        <f>IF(offer_sale_type="транзит",IFERROR(VLOOKUP($B661,calc_data,F$14+1,0),0),0)</f>
        <v/>
      </c>
      <c r="G661" s="141">
        <f>IF(offer_sale_type="транзит",IFERROR(VLOOKUP($B661,calc_data,G$14+1,0),0),0)</f>
        <v/>
      </c>
      <c r="H661" s="141">
        <f>E661*G661</f>
        <v/>
      </c>
      <c r="I661" s="141">
        <f>IF(offer_sale_type="транзит",IFERROR(ROUND(VLOOKUP($B661,calc_data,I$14+1,0),2),0),0)</f>
        <v/>
      </c>
      <c r="J661" s="141">
        <f>ROUND(IF(offer_sale_type="транзит",IFERROR(VLOOKUP($B661,calc_data,J$14+1,0),0),0),2)</f>
        <v/>
      </c>
      <c r="K661" s="142">
        <f>IF(offer_sale_type="транзит",IFERROR(ROUNDUP(VLOOKUP($B661,calc_data,K$14+1,0),2),0),0)</f>
        <v/>
      </c>
      <c r="L661" s="184">
        <f>IF(offer_sale_type="транзит",IFERROR(ROUNDUP(VLOOKUP($B661,calc_data,L$14+1,0),2),0),0)</f>
        <v/>
      </c>
      <c r="M661" s="141">
        <f>IF(offer_sale_type="транзит",IFERROR(ROUNDUP(VLOOKUP($B661,calc_data,M$14+1,0),2),0),0)</f>
        <v/>
      </c>
      <c r="N661" s="141">
        <f>IF(offer_sale_type="транзит",IFERROR(ROUNDUP(VLOOKUP($B661,calc_data,N$14+1,0),2),0),0)</f>
        <v/>
      </c>
      <c r="O661" s="147">
        <f>IF(offer_sale_type="транзит",IFERROR(ROUND(VLOOKUP($B661,calc_data,O$14+1,1),2),0),0)</f>
        <v/>
      </c>
      <c r="P661" s="141">
        <f>IF(offer_sale_type="транзит",IFERROR(ROUND(SUM(I661:J661,M661:O661)/E661,2),0),0)</f>
        <v/>
      </c>
      <c r="Q661" s="141">
        <f>E661*P661</f>
        <v/>
      </c>
      <c r="R661" s="141">
        <f>ROUND(Q661*IF(AND(offer_incoterms="DDP",seller_region="RU"),IF((TODAY()+offer_turnaround_time)&gt;=helpsheet!$L$17,rate_vatRU_from_26,rate_vatRu_till_25),0),2)</f>
        <v/>
      </c>
      <c r="S661" s="177">
        <f>Q661+IF(AND(offer_incoterms="DDP",seller_region="RU"),R661,0)</f>
        <v/>
      </c>
      <c r="T661" s="45" t="n"/>
      <c r="V661" s="57">
        <f>IF(Q661&gt;0,"показать","скрыть")</f>
        <v/>
      </c>
    </row>
    <row r="662" ht="15.75" customHeight="1">
      <c r="B662" s="809" t="n">
        <v>646</v>
      </c>
      <c r="C662" s="182">
        <f>IF(offer_sale_type="транзит",IFERROR(VLOOKUP($B662,calc_data,C$14+1,0),0),0)</f>
        <v/>
      </c>
      <c r="D662" s="280">
        <f>IF(offer_sale_type="транзит",IFERROR(VLOOKUP($B662,calc_data,D$14+1,0),0),0)</f>
        <v/>
      </c>
      <c r="E662" s="182">
        <f>IF(offer_sale_type="транзит",IFERROR(VLOOKUP($B662,calc_data,E$14+1,0),0),0)</f>
        <v/>
      </c>
      <c r="F662" s="182">
        <f>IF(offer_sale_type="транзит",IFERROR(VLOOKUP($B662,calc_data,F$14+1,0),0),0)</f>
        <v/>
      </c>
      <c r="G662" s="141">
        <f>IF(offer_sale_type="транзит",IFERROR(VLOOKUP($B662,calc_data,G$14+1,0),0),0)</f>
        <v/>
      </c>
      <c r="H662" s="141">
        <f>E662*G662</f>
        <v/>
      </c>
      <c r="I662" s="141">
        <f>IF(offer_sale_type="транзит",IFERROR(ROUND(VLOOKUP($B662,calc_data,I$14+1,0),2),0),0)</f>
        <v/>
      </c>
      <c r="J662" s="141">
        <f>ROUND(IF(offer_sale_type="транзит",IFERROR(VLOOKUP($B662,calc_data,J$14+1,0),0),0),2)</f>
        <v/>
      </c>
      <c r="K662" s="142">
        <f>IF(offer_sale_type="транзит",IFERROR(ROUNDUP(VLOOKUP($B662,calc_data,K$14+1,0),2),0),0)</f>
        <v/>
      </c>
      <c r="L662" s="184">
        <f>IF(offer_sale_type="транзит",IFERROR(ROUNDUP(VLOOKUP($B662,calc_data,L$14+1,0),2),0),0)</f>
        <v/>
      </c>
      <c r="M662" s="141">
        <f>IF(offer_sale_type="транзит",IFERROR(ROUNDUP(VLOOKUP($B662,calc_data,M$14+1,0),2),0),0)</f>
        <v/>
      </c>
      <c r="N662" s="141">
        <f>IF(offer_sale_type="транзит",IFERROR(ROUNDUP(VLOOKUP($B662,calc_data,N$14+1,0),2),0),0)</f>
        <v/>
      </c>
      <c r="O662" s="147">
        <f>IF(offer_sale_type="транзит",IFERROR(ROUND(VLOOKUP($B662,calc_data,O$14+1,1),2),0),0)</f>
        <v/>
      </c>
      <c r="P662" s="141">
        <f>IF(offer_sale_type="транзит",IFERROR(ROUND(SUM(I662:J662,M662:O662)/E662,2),0),0)</f>
        <v/>
      </c>
      <c r="Q662" s="141">
        <f>E662*P662</f>
        <v/>
      </c>
      <c r="R662" s="141">
        <f>ROUND(Q662*IF(AND(offer_incoterms="DDP",seller_region="RU"),IF((TODAY()+offer_turnaround_time)&gt;=helpsheet!$L$17,rate_vatRU_from_26,rate_vatRu_till_25),0),2)</f>
        <v/>
      </c>
      <c r="S662" s="177">
        <f>Q662+IF(AND(offer_incoterms="DDP",seller_region="RU"),R662,0)</f>
        <v/>
      </c>
      <c r="T662" s="45" t="n"/>
      <c r="V662" s="57">
        <f>IF(Q662&gt;0,"показать","скрыть")</f>
        <v/>
      </c>
    </row>
    <row r="663" ht="15.75" customHeight="1">
      <c r="B663" s="809" t="n">
        <v>647</v>
      </c>
      <c r="C663" s="182">
        <f>IF(offer_sale_type="транзит",IFERROR(VLOOKUP($B663,calc_data,C$14+1,0),0),0)</f>
        <v/>
      </c>
      <c r="D663" s="280">
        <f>IF(offer_sale_type="транзит",IFERROR(VLOOKUP($B663,calc_data,D$14+1,0),0),0)</f>
        <v/>
      </c>
      <c r="E663" s="182">
        <f>IF(offer_sale_type="транзит",IFERROR(VLOOKUP($B663,calc_data,E$14+1,0),0),0)</f>
        <v/>
      </c>
      <c r="F663" s="182">
        <f>IF(offer_sale_type="транзит",IFERROR(VLOOKUP($B663,calc_data,F$14+1,0),0),0)</f>
        <v/>
      </c>
      <c r="G663" s="141">
        <f>IF(offer_sale_type="транзит",IFERROR(VLOOKUP($B663,calc_data,G$14+1,0),0),0)</f>
        <v/>
      </c>
      <c r="H663" s="141">
        <f>E663*G663</f>
        <v/>
      </c>
      <c r="I663" s="141">
        <f>IF(offer_sale_type="транзит",IFERROR(ROUND(VLOOKUP($B663,calc_data,I$14+1,0),2),0),0)</f>
        <v/>
      </c>
      <c r="J663" s="141">
        <f>ROUND(IF(offer_sale_type="транзит",IFERROR(VLOOKUP($B663,calc_data,J$14+1,0),0),0),2)</f>
        <v/>
      </c>
      <c r="K663" s="142">
        <f>IF(offer_sale_type="транзит",IFERROR(ROUNDUP(VLOOKUP($B663,calc_data,K$14+1,0),2),0),0)</f>
        <v/>
      </c>
      <c r="L663" s="184">
        <f>IF(offer_sale_type="транзит",IFERROR(ROUNDUP(VLOOKUP($B663,calc_data,L$14+1,0),2),0),0)</f>
        <v/>
      </c>
      <c r="M663" s="141">
        <f>IF(offer_sale_type="транзит",IFERROR(ROUNDUP(VLOOKUP($B663,calc_data,M$14+1,0),2),0),0)</f>
        <v/>
      </c>
      <c r="N663" s="141">
        <f>IF(offer_sale_type="транзит",IFERROR(ROUNDUP(VLOOKUP($B663,calc_data,N$14+1,0),2),0),0)</f>
        <v/>
      </c>
      <c r="O663" s="147">
        <f>IF(offer_sale_type="транзит",IFERROR(ROUND(VLOOKUP($B663,calc_data,O$14+1,1),2),0),0)</f>
        <v/>
      </c>
      <c r="P663" s="141">
        <f>IF(offer_sale_type="транзит",IFERROR(ROUND(SUM(I663:J663,M663:O663)/E663,2),0),0)</f>
        <v/>
      </c>
      <c r="Q663" s="141">
        <f>E663*P663</f>
        <v/>
      </c>
      <c r="R663" s="141">
        <f>ROUND(Q663*IF(AND(offer_incoterms="DDP",seller_region="RU"),IF((TODAY()+offer_turnaround_time)&gt;=helpsheet!$L$17,rate_vatRU_from_26,rate_vatRu_till_25),0),2)</f>
        <v/>
      </c>
      <c r="S663" s="177">
        <f>Q663+IF(AND(offer_incoterms="DDP",seller_region="RU"),R663,0)</f>
        <v/>
      </c>
      <c r="T663" s="45" t="n"/>
      <c r="V663" s="57">
        <f>IF(Q663&gt;0,"показать","скрыть")</f>
        <v/>
      </c>
    </row>
    <row r="664" ht="15.75" customHeight="1">
      <c r="B664" s="809" t="n">
        <v>648</v>
      </c>
      <c r="C664" s="182">
        <f>IF(offer_sale_type="транзит",IFERROR(VLOOKUP($B664,calc_data,C$14+1,0),0),0)</f>
        <v/>
      </c>
      <c r="D664" s="280">
        <f>IF(offer_sale_type="транзит",IFERROR(VLOOKUP($B664,calc_data,D$14+1,0),0),0)</f>
        <v/>
      </c>
      <c r="E664" s="182">
        <f>IF(offer_sale_type="транзит",IFERROR(VLOOKUP($B664,calc_data,E$14+1,0),0),0)</f>
        <v/>
      </c>
      <c r="F664" s="182">
        <f>IF(offer_sale_type="транзит",IFERROR(VLOOKUP($B664,calc_data,F$14+1,0),0),0)</f>
        <v/>
      </c>
      <c r="G664" s="141">
        <f>IF(offer_sale_type="транзит",IFERROR(VLOOKUP($B664,calc_data,G$14+1,0),0),0)</f>
        <v/>
      </c>
      <c r="H664" s="141">
        <f>E664*G664</f>
        <v/>
      </c>
      <c r="I664" s="141">
        <f>IF(offer_sale_type="транзит",IFERROR(ROUND(VLOOKUP($B664,calc_data,I$14+1,0),2),0),0)</f>
        <v/>
      </c>
      <c r="J664" s="141">
        <f>ROUND(IF(offer_sale_type="транзит",IFERROR(VLOOKUP($B664,calc_data,J$14+1,0),0),0),2)</f>
        <v/>
      </c>
      <c r="K664" s="142">
        <f>IF(offer_sale_type="транзит",IFERROR(ROUNDUP(VLOOKUP($B664,calc_data,K$14+1,0),2),0),0)</f>
        <v/>
      </c>
      <c r="L664" s="184">
        <f>IF(offer_sale_type="транзит",IFERROR(ROUNDUP(VLOOKUP($B664,calc_data,L$14+1,0),2),0),0)</f>
        <v/>
      </c>
      <c r="M664" s="141">
        <f>IF(offer_sale_type="транзит",IFERROR(ROUNDUP(VLOOKUP($B664,calc_data,M$14+1,0),2),0),0)</f>
        <v/>
      </c>
      <c r="N664" s="141">
        <f>IF(offer_sale_type="транзит",IFERROR(ROUNDUP(VLOOKUP($B664,calc_data,N$14+1,0),2),0),0)</f>
        <v/>
      </c>
      <c r="O664" s="147">
        <f>IF(offer_sale_type="транзит",IFERROR(ROUND(VLOOKUP($B664,calc_data,O$14+1,1),2),0),0)</f>
        <v/>
      </c>
      <c r="P664" s="141">
        <f>IF(offer_sale_type="транзит",IFERROR(ROUND(SUM(I664:J664,M664:O664)/E664,2),0),0)</f>
        <v/>
      </c>
      <c r="Q664" s="141">
        <f>E664*P664</f>
        <v/>
      </c>
      <c r="R664" s="141">
        <f>ROUND(Q664*IF(AND(offer_incoterms="DDP",seller_region="RU"),IF((TODAY()+offer_turnaround_time)&gt;=helpsheet!$L$17,rate_vatRU_from_26,rate_vatRu_till_25),0),2)</f>
        <v/>
      </c>
      <c r="S664" s="177">
        <f>Q664+IF(AND(offer_incoterms="DDP",seller_region="RU"),R664,0)</f>
        <v/>
      </c>
      <c r="T664" s="45" t="n"/>
      <c r="V664" s="57">
        <f>IF(Q664&gt;0,"показать","скрыть")</f>
        <v/>
      </c>
    </row>
    <row r="665" ht="15.75" customHeight="1">
      <c r="B665" s="809" t="n">
        <v>649</v>
      </c>
      <c r="C665" s="182">
        <f>IF(offer_sale_type="транзит",IFERROR(VLOOKUP($B665,calc_data,C$14+1,0),0),0)</f>
        <v/>
      </c>
      <c r="D665" s="280">
        <f>IF(offer_sale_type="транзит",IFERROR(VLOOKUP($B665,calc_data,D$14+1,0),0),0)</f>
        <v/>
      </c>
      <c r="E665" s="182">
        <f>IF(offer_sale_type="транзит",IFERROR(VLOOKUP($B665,calc_data,E$14+1,0),0),0)</f>
        <v/>
      </c>
      <c r="F665" s="182">
        <f>IF(offer_sale_type="транзит",IFERROR(VLOOKUP($B665,calc_data,F$14+1,0),0),0)</f>
        <v/>
      </c>
      <c r="G665" s="141">
        <f>IF(offer_sale_type="транзит",IFERROR(VLOOKUP($B665,calc_data,G$14+1,0),0),0)</f>
        <v/>
      </c>
      <c r="H665" s="141">
        <f>E665*G665</f>
        <v/>
      </c>
      <c r="I665" s="141">
        <f>IF(offer_sale_type="транзит",IFERROR(ROUND(VLOOKUP($B665,calc_data,I$14+1,0),2),0),0)</f>
        <v/>
      </c>
      <c r="J665" s="141">
        <f>ROUND(IF(offer_sale_type="транзит",IFERROR(VLOOKUP($B665,calc_data,J$14+1,0),0),0),2)</f>
        <v/>
      </c>
      <c r="K665" s="142">
        <f>IF(offer_sale_type="транзит",IFERROR(ROUNDUP(VLOOKUP($B665,calc_data,K$14+1,0),2),0),0)</f>
        <v/>
      </c>
      <c r="L665" s="184">
        <f>IF(offer_sale_type="транзит",IFERROR(ROUNDUP(VLOOKUP($B665,calc_data,L$14+1,0),2),0),0)</f>
        <v/>
      </c>
      <c r="M665" s="141">
        <f>IF(offer_sale_type="транзит",IFERROR(ROUNDUP(VLOOKUP($B665,calc_data,M$14+1,0),2),0),0)</f>
        <v/>
      </c>
      <c r="N665" s="141">
        <f>IF(offer_sale_type="транзит",IFERROR(ROUNDUP(VLOOKUP($B665,calc_data,N$14+1,0),2),0),0)</f>
        <v/>
      </c>
      <c r="O665" s="147">
        <f>IF(offer_sale_type="транзит",IFERROR(ROUND(VLOOKUP($B665,calc_data,O$14+1,1),2),0),0)</f>
        <v/>
      </c>
      <c r="P665" s="141">
        <f>IF(offer_sale_type="транзит",IFERROR(ROUND(SUM(I665:J665,M665:O665)/E665,2),0),0)</f>
        <v/>
      </c>
      <c r="Q665" s="141">
        <f>E665*P665</f>
        <v/>
      </c>
      <c r="R665" s="141">
        <f>ROUND(Q665*IF(AND(offer_incoterms="DDP",seller_region="RU"),IF((TODAY()+offer_turnaround_time)&gt;=helpsheet!$L$17,rate_vatRU_from_26,rate_vatRu_till_25),0),2)</f>
        <v/>
      </c>
      <c r="S665" s="177">
        <f>Q665+IF(AND(offer_incoterms="DDP",seller_region="RU"),R665,0)</f>
        <v/>
      </c>
      <c r="T665" s="45" t="n"/>
      <c r="V665" s="57">
        <f>IF(Q665&gt;0,"показать","скрыть")</f>
        <v/>
      </c>
    </row>
    <row r="666" ht="15.75" customHeight="1">
      <c r="B666" s="809" t="n">
        <v>650</v>
      </c>
      <c r="C666" s="182">
        <f>IF(offer_sale_type="транзит",IFERROR(VLOOKUP($B666,calc_data,C$14+1,0),0),0)</f>
        <v/>
      </c>
      <c r="D666" s="280">
        <f>IF(offer_sale_type="транзит",IFERROR(VLOOKUP($B666,calc_data,D$14+1,0),0),0)</f>
        <v/>
      </c>
      <c r="E666" s="182">
        <f>IF(offer_sale_type="транзит",IFERROR(VLOOKUP($B666,calc_data,E$14+1,0),0),0)</f>
        <v/>
      </c>
      <c r="F666" s="182">
        <f>IF(offer_sale_type="транзит",IFERROR(VLOOKUP($B666,calc_data,F$14+1,0),0),0)</f>
        <v/>
      </c>
      <c r="G666" s="141">
        <f>IF(offer_sale_type="транзит",IFERROR(VLOOKUP($B666,calc_data,G$14+1,0),0),0)</f>
        <v/>
      </c>
      <c r="H666" s="141">
        <f>E666*G666</f>
        <v/>
      </c>
      <c r="I666" s="141">
        <f>IF(offer_sale_type="транзит",IFERROR(ROUND(VLOOKUP($B666,calc_data,I$14+1,0),2),0),0)</f>
        <v/>
      </c>
      <c r="J666" s="141">
        <f>ROUND(IF(offer_sale_type="транзит",IFERROR(VLOOKUP($B666,calc_data,J$14+1,0),0),0),2)</f>
        <v/>
      </c>
      <c r="K666" s="142">
        <f>IF(offer_sale_type="транзит",IFERROR(ROUNDUP(VLOOKUP($B666,calc_data,K$14+1,0),2),0),0)</f>
        <v/>
      </c>
      <c r="L666" s="184">
        <f>IF(offer_sale_type="транзит",IFERROR(ROUNDUP(VLOOKUP($B666,calc_data,L$14+1,0),2),0),0)</f>
        <v/>
      </c>
      <c r="M666" s="141">
        <f>IF(offer_sale_type="транзит",IFERROR(ROUNDUP(VLOOKUP($B666,calc_data,M$14+1,0),2),0),0)</f>
        <v/>
      </c>
      <c r="N666" s="141">
        <f>IF(offer_sale_type="транзит",IFERROR(ROUNDUP(VLOOKUP($B666,calc_data,N$14+1,0),2),0),0)</f>
        <v/>
      </c>
      <c r="O666" s="147">
        <f>IF(offer_sale_type="транзит",IFERROR(ROUND(VLOOKUP($B666,calc_data,O$14+1,1),2),0),0)</f>
        <v/>
      </c>
      <c r="P666" s="141">
        <f>IF(offer_sale_type="транзит",IFERROR(ROUND(SUM(I666:J666,M666:O666)/E666,2),0),0)</f>
        <v/>
      </c>
      <c r="Q666" s="141">
        <f>E666*P666</f>
        <v/>
      </c>
      <c r="R666" s="141">
        <f>ROUND(Q666*IF(AND(offer_incoterms="DDP",seller_region="RU"),IF((TODAY()+offer_turnaround_time)&gt;=helpsheet!$L$17,rate_vatRU_from_26,rate_vatRu_till_25),0),2)</f>
        <v/>
      </c>
      <c r="S666" s="177">
        <f>Q666+IF(AND(offer_incoterms="DDP",seller_region="RU"),R666,0)</f>
        <v/>
      </c>
      <c r="T666" s="45" t="n"/>
      <c r="V666" s="57">
        <f>IF(Q666&gt;0,"показать","скрыть")</f>
        <v/>
      </c>
    </row>
    <row r="667" ht="15.75" customHeight="1">
      <c r="B667" s="809" t="n">
        <v>651</v>
      </c>
      <c r="C667" s="182">
        <f>IF(offer_sale_type="транзит",IFERROR(VLOOKUP($B667,calc_data,C$14+1,0),0),0)</f>
        <v/>
      </c>
      <c r="D667" s="280">
        <f>IF(offer_sale_type="транзит",IFERROR(VLOOKUP($B667,calc_data,D$14+1,0),0),0)</f>
        <v/>
      </c>
      <c r="E667" s="182">
        <f>IF(offer_sale_type="транзит",IFERROR(VLOOKUP($B667,calc_data,E$14+1,0),0),0)</f>
        <v/>
      </c>
      <c r="F667" s="182">
        <f>IF(offer_sale_type="транзит",IFERROR(VLOOKUP($B667,calc_data,F$14+1,0),0),0)</f>
        <v/>
      </c>
      <c r="G667" s="141">
        <f>IF(offer_sale_type="транзит",IFERROR(VLOOKUP($B667,calc_data,G$14+1,0),0),0)</f>
        <v/>
      </c>
      <c r="H667" s="141">
        <f>E667*G667</f>
        <v/>
      </c>
      <c r="I667" s="141">
        <f>IF(offer_sale_type="транзит",IFERROR(ROUND(VLOOKUP($B667,calc_data,I$14+1,0),2),0),0)</f>
        <v/>
      </c>
      <c r="J667" s="141">
        <f>ROUND(IF(offer_sale_type="транзит",IFERROR(VLOOKUP($B667,calc_data,J$14+1,0),0),0),2)</f>
        <v/>
      </c>
      <c r="K667" s="142">
        <f>IF(offer_sale_type="транзит",IFERROR(ROUNDUP(VLOOKUP($B667,calc_data,K$14+1,0),2),0),0)</f>
        <v/>
      </c>
      <c r="L667" s="184">
        <f>IF(offer_sale_type="транзит",IFERROR(ROUNDUP(VLOOKUP($B667,calc_data,L$14+1,0),2),0),0)</f>
        <v/>
      </c>
      <c r="M667" s="141">
        <f>IF(offer_sale_type="транзит",IFERROR(ROUNDUP(VLOOKUP($B667,calc_data,M$14+1,0),2),0),0)</f>
        <v/>
      </c>
      <c r="N667" s="141">
        <f>IF(offer_sale_type="транзит",IFERROR(ROUNDUP(VLOOKUP($B667,calc_data,N$14+1,0),2),0),0)</f>
        <v/>
      </c>
      <c r="O667" s="147">
        <f>IF(offer_sale_type="транзит",IFERROR(ROUND(VLOOKUP($B667,calc_data,O$14+1,1),2),0),0)</f>
        <v/>
      </c>
      <c r="P667" s="141">
        <f>IF(offer_sale_type="транзит",IFERROR(ROUND(SUM(I667:J667,M667:O667)/E667,2),0),0)</f>
        <v/>
      </c>
      <c r="Q667" s="141">
        <f>E667*P667</f>
        <v/>
      </c>
      <c r="R667" s="141">
        <f>ROUND(Q667*IF(AND(offer_incoterms="DDP",seller_region="RU"),IF((TODAY()+offer_turnaround_time)&gt;=helpsheet!$L$17,rate_vatRU_from_26,rate_vatRu_till_25),0),2)</f>
        <v/>
      </c>
      <c r="S667" s="177">
        <f>Q667+IF(AND(offer_incoterms="DDP",seller_region="RU"),R667,0)</f>
        <v/>
      </c>
      <c r="T667" s="45" t="n"/>
      <c r="V667" s="57">
        <f>IF(Q667&gt;0,"показать","скрыть")</f>
        <v/>
      </c>
    </row>
    <row r="668" ht="15.75" customHeight="1">
      <c r="B668" s="809" t="n">
        <v>652</v>
      </c>
      <c r="C668" s="182">
        <f>IF(offer_sale_type="транзит",IFERROR(VLOOKUP($B668,calc_data,C$14+1,0),0),0)</f>
        <v/>
      </c>
      <c r="D668" s="280">
        <f>IF(offer_sale_type="транзит",IFERROR(VLOOKUP($B668,calc_data,D$14+1,0),0),0)</f>
        <v/>
      </c>
      <c r="E668" s="182">
        <f>IF(offer_sale_type="транзит",IFERROR(VLOOKUP($B668,calc_data,E$14+1,0),0),0)</f>
        <v/>
      </c>
      <c r="F668" s="182">
        <f>IF(offer_sale_type="транзит",IFERROR(VLOOKUP($B668,calc_data,F$14+1,0),0),0)</f>
        <v/>
      </c>
      <c r="G668" s="141">
        <f>IF(offer_sale_type="транзит",IFERROR(VLOOKUP($B668,calc_data,G$14+1,0),0),0)</f>
        <v/>
      </c>
      <c r="H668" s="141">
        <f>E668*G668</f>
        <v/>
      </c>
      <c r="I668" s="141">
        <f>IF(offer_sale_type="транзит",IFERROR(ROUND(VLOOKUP($B668,calc_data,I$14+1,0),2),0),0)</f>
        <v/>
      </c>
      <c r="J668" s="141">
        <f>ROUND(IF(offer_sale_type="транзит",IFERROR(VLOOKUP($B668,calc_data,J$14+1,0),0),0),2)</f>
        <v/>
      </c>
      <c r="K668" s="142">
        <f>IF(offer_sale_type="транзит",IFERROR(ROUNDUP(VLOOKUP($B668,calc_data,K$14+1,0),2),0),0)</f>
        <v/>
      </c>
      <c r="L668" s="184">
        <f>IF(offer_sale_type="транзит",IFERROR(ROUNDUP(VLOOKUP($B668,calc_data,L$14+1,0),2),0),0)</f>
        <v/>
      </c>
      <c r="M668" s="141">
        <f>IF(offer_sale_type="транзит",IFERROR(ROUNDUP(VLOOKUP($B668,calc_data,M$14+1,0),2),0),0)</f>
        <v/>
      </c>
      <c r="N668" s="141">
        <f>IF(offer_sale_type="транзит",IFERROR(ROUNDUP(VLOOKUP($B668,calc_data,N$14+1,0),2),0),0)</f>
        <v/>
      </c>
      <c r="O668" s="147">
        <f>IF(offer_sale_type="транзит",IFERROR(ROUND(VLOOKUP($B668,calc_data,O$14+1,1),2),0),0)</f>
        <v/>
      </c>
      <c r="P668" s="141">
        <f>IF(offer_sale_type="транзит",IFERROR(ROUND(SUM(I668:J668,M668:O668)/E668,2),0),0)</f>
        <v/>
      </c>
      <c r="Q668" s="141">
        <f>E668*P668</f>
        <v/>
      </c>
      <c r="R668" s="141">
        <f>ROUND(Q668*IF(AND(offer_incoterms="DDP",seller_region="RU"),IF((TODAY()+offer_turnaround_time)&gt;=helpsheet!$L$17,rate_vatRU_from_26,rate_vatRu_till_25),0),2)</f>
        <v/>
      </c>
      <c r="S668" s="177">
        <f>Q668+IF(AND(offer_incoterms="DDP",seller_region="RU"),R668,0)</f>
        <v/>
      </c>
      <c r="T668" s="45" t="n"/>
      <c r="V668" s="57">
        <f>IF(Q668&gt;0,"показать","скрыть")</f>
        <v/>
      </c>
    </row>
    <row r="669" ht="15.75" customHeight="1">
      <c r="B669" s="809" t="n">
        <v>653</v>
      </c>
      <c r="C669" s="182">
        <f>IF(offer_sale_type="транзит",IFERROR(VLOOKUP($B669,calc_data,C$14+1,0),0),0)</f>
        <v/>
      </c>
      <c r="D669" s="280">
        <f>IF(offer_sale_type="транзит",IFERROR(VLOOKUP($B669,calc_data,D$14+1,0),0),0)</f>
        <v/>
      </c>
      <c r="E669" s="182">
        <f>IF(offer_sale_type="транзит",IFERROR(VLOOKUP($B669,calc_data,E$14+1,0),0),0)</f>
        <v/>
      </c>
      <c r="F669" s="182">
        <f>IF(offer_sale_type="транзит",IFERROR(VLOOKUP($B669,calc_data,F$14+1,0),0),0)</f>
        <v/>
      </c>
      <c r="G669" s="141">
        <f>IF(offer_sale_type="транзит",IFERROR(VLOOKUP($B669,calc_data,G$14+1,0),0),0)</f>
        <v/>
      </c>
      <c r="H669" s="141">
        <f>E669*G669</f>
        <v/>
      </c>
      <c r="I669" s="141">
        <f>IF(offer_sale_type="транзит",IFERROR(ROUND(VLOOKUP($B669,calc_data,I$14+1,0),2),0),0)</f>
        <v/>
      </c>
      <c r="J669" s="141">
        <f>ROUND(IF(offer_sale_type="транзит",IFERROR(VLOOKUP($B669,calc_data,J$14+1,0),0),0),2)</f>
        <v/>
      </c>
      <c r="K669" s="142">
        <f>IF(offer_sale_type="транзит",IFERROR(ROUNDUP(VLOOKUP($B669,calc_data,K$14+1,0),2),0),0)</f>
        <v/>
      </c>
      <c r="L669" s="184">
        <f>IF(offer_sale_type="транзит",IFERROR(ROUNDUP(VLOOKUP($B669,calc_data,L$14+1,0),2),0),0)</f>
        <v/>
      </c>
      <c r="M669" s="141">
        <f>IF(offer_sale_type="транзит",IFERROR(ROUNDUP(VLOOKUP($B669,calc_data,M$14+1,0),2),0),0)</f>
        <v/>
      </c>
      <c r="N669" s="141">
        <f>IF(offer_sale_type="транзит",IFERROR(ROUNDUP(VLOOKUP($B669,calc_data,N$14+1,0),2),0),0)</f>
        <v/>
      </c>
      <c r="O669" s="147">
        <f>IF(offer_sale_type="транзит",IFERROR(ROUND(VLOOKUP($B669,calc_data,O$14+1,1),2),0),0)</f>
        <v/>
      </c>
      <c r="P669" s="141">
        <f>IF(offer_sale_type="транзит",IFERROR(ROUND(SUM(I669:J669,M669:O669)/E669,2),0),0)</f>
        <v/>
      </c>
      <c r="Q669" s="141">
        <f>E669*P669</f>
        <v/>
      </c>
      <c r="R669" s="141">
        <f>ROUND(Q669*IF(AND(offer_incoterms="DDP",seller_region="RU"),IF((TODAY()+offer_turnaround_time)&gt;=helpsheet!$L$17,rate_vatRU_from_26,rate_vatRu_till_25),0),2)</f>
        <v/>
      </c>
      <c r="S669" s="177">
        <f>Q669+IF(AND(offer_incoterms="DDP",seller_region="RU"),R669,0)</f>
        <v/>
      </c>
      <c r="T669" s="45" t="n"/>
      <c r="V669" s="57">
        <f>IF(Q669&gt;0,"показать","скрыть")</f>
        <v/>
      </c>
    </row>
    <row r="670" ht="15.75" customHeight="1">
      <c r="B670" s="809" t="n">
        <v>654</v>
      </c>
      <c r="C670" s="182">
        <f>IF(offer_sale_type="транзит",IFERROR(VLOOKUP($B670,calc_data,C$14+1,0),0),0)</f>
        <v/>
      </c>
      <c r="D670" s="280">
        <f>IF(offer_sale_type="транзит",IFERROR(VLOOKUP($B670,calc_data,D$14+1,0),0),0)</f>
        <v/>
      </c>
      <c r="E670" s="182">
        <f>IF(offer_sale_type="транзит",IFERROR(VLOOKUP($B670,calc_data,E$14+1,0),0),0)</f>
        <v/>
      </c>
      <c r="F670" s="182">
        <f>IF(offer_sale_type="транзит",IFERROR(VLOOKUP($B670,calc_data,F$14+1,0),0),0)</f>
        <v/>
      </c>
      <c r="G670" s="141">
        <f>IF(offer_sale_type="транзит",IFERROR(VLOOKUP($B670,calc_data,G$14+1,0),0),0)</f>
        <v/>
      </c>
      <c r="H670" s="141">
        <f>E670*G670</f>
        <v/>
      </c>
      <c r="I670" s="141">
        <f>IF(offer_sale_type="транзит",IFERROR(ROUND(VLOOKUP($B670,calc_data,I$14+1,0),2),0),0)</f>
        <v/>
      </c>
      <c r="J670" s="141">
        <f>ROUND(IF(offer_sale_type="транзит",IFERROR(VLOOKUP($B670,calc_data,J$14+1,0),0),0),2)</f>
        <v/>
      </c>
      <c r="K670" s="142">
        <f>IF(offer_sale_type="транзит",IFERROR(ROUNDUP(VLOOKUP($B670,calc_data,K$14+1,0),2),0),0)</f>
        <v/>
      </c>
      <c r="L670" s="184">
        <f>IF(offer_sale_type="транзит",IFERROR(ROUNDUP(VLOOKUP($B670,calc_data,L$14+1,0),2),0),0)</f>
        <v/>
      </c>
      <c r="M670" s="141">
        <f>IF(offer_sale_type="транзит",IFERROR(ROUNDUP(VLOOKUP($B670,calc_data,M$14+1,0),2),0),0)</f>
        <v/>
      </c>
      <c r="N670" s="141">
        <f>IF(offer_sale_type="транзит",IFERROR(ROUNDUP(VLOOKUP($B670,calc_data,N$14+1,0),2),0),0)</f>
        <v/>
      </c>
      <c r="O670" s="147">
        <f>IF(offer_sale_type="транзит",IFERROR(ROUND(VLOOKUP($B670,calc_data,O$14+1,1),2),0),0)</f>
        <v/>
      </c>
      <c r="P670" s="141">
        <f>IF(offer_sale_type="транзит",IFERROR(ROUND(SUM(I670:J670,M670:O670)/E670,2),0),0)</f>
        <v/>
      </c>
      <c r="Q670" s="141">
        <f>E670*P670</f>
        <v/>
      </c>
      <c r="R670" s="141">
        <f>ROUND(Q670*IF(AND(offer_incoterms="DDP",seller_region="RU"),IF((TODAY()+offer_turnaround_time)&gt;=helpsheet!$L$17,rate_vatRU_from_26,rate_vatRu_till_25),0),2)</f>
        <v/>
      </c>
      <c r="S670" s="177">
        <f>Q670+IF(AND(offer_incoterms="DDP",seller_region="RU"),R670,0)</f>
        <v/>
      </c>
      <c r="T670" s="45" t="n"/>
      <c r="V670" s="57">
        <f>IF(Q670&gt;0,"показать","скрыть")</f>
        <v/>
      </c>
    </row>
    <row r="671" ht="15.75" customHeight="1">
      <c r="B671" s="809" t="n">
        <v>655</v>
      </c>
      <c r="C671" s="182">
        <f>IF(offer_sale_type="транзит",IFERROR(VLOOKUP($B671,calc_data,C$14+1,0),0),0)</f>
        <v/>
      </c>
      <c r="D671" s="280">
        <f>IF(offer_sale_type="транзит",IFERROR(VLOOKUP($B671,calc_data,D$14+1,0),0),0)</f>
        <v/>
      </c>
      <c r="E671" s="182">
        <f>IF(offer_sale_type="транзит",IFERROR(VLOOKUP($B671,calc_data,E$14+1,0),0),0)</f>
        <v/>
      </c>
      <c r="F671" s="182">
        <f>IF(offer_sale_type="транзит",IFERROR(VLOOKUP($B671,calc_data,F$14+1,0),0),0)</f>
        <v/>
      </c>
      <c r="G671" s="141">
        <f>IF(offer_sale_type="транзит",IFERROR(VLOOKUP($B671,calc_data,G$14+1,0),0),0)</f>
        <v/>
      </c>
      <c r="H671" s="141">
        <f>E671*G671</f>
        <v/>
      </c>
      <c r="I671" s="141">
        <f>IF(offer_sale_type="транзит",IFERROR(ROUND(VLOOKUP($B671,calc_data,I$14+1,0),2),0),0)</f>
        <v/>
      </c>
      <c r="J671" s="141">
        <f>ROUND(IF(offer_sale_type="транзит",IFERROR(VLOOKUP($B671,calc_data,J$14+1,0),0),0),2)</f>
        <v/>
      </c>
      <c r="K671" s="142">
        <f>IF(offer_sale_type="транзит",IFERROR(ROUNDUP(VLOOKUP($B671,calc_data,K$14+1,0),2),0),0)</f>
        <v/>
      </c>
      <c r="L671" s="184">
        <f>IF(offer_sale_type="транзит",IFERROR(ROUNDUP(VLOOKUP($B671,calc_data,L$14+1,0),2),0),0)</f>
        <v/>
      </c>
      <c r="M671" s="141">
        <f>IF(offer_sale_type="транзит",IFERROR(ROUNDUP(VLOOKUP($B671,calc_data,M$14+1,0),2),0),0)</f>
        <v/>
      </c>
      <c r="N671" s="141">
        <f>IF(offer_sale_type="транзит",IFERROR(ROUNDUP(VLOOKUP($B671,calc_data,N$14+1,0),2),0),0)</f>
        <v/>
      </c>
      <c r="O671" s="147">
        <f>IF(offer_sale_type="транзит",IFERROR(ROUND(VLOOKUP($B671,calc_data,O$14+1,1),2),0),0)</f>
        <v/>
      </c>
      <c r="P671" s="141">
        <f>IF(offer_sale_type="транзит",IFERROR(ROUND(SUM(I671:J671,M671:O671)/E671,2),0),0)</f>
        <v/>
      </c>
      <c r="Q671" s="141">
        <f>E671*P671</f>
        <v/>
      </c>
      <c r="R671" s="141">
        <f>ROUND(Q671*IF(AND(offer_incoterms="DDP",seller_region="RU"),IF((TODAY()+offer_turnaround_time)&gt;=helpsheet!$L$17,rate_vatRU_from_26,rate_vatRu_till_25),0),2)</f>
        <v/>
      </c>
      <c r="S671" s="177">
        <f>Q671+IF(AND(offer_incoterms="DDP",seller_region="RU"),R671,0)</f>
        <v/>
      </c>
      <c r="T671" s="45" t="n"/>
      <c r="V671" s="57">
        <f>IF(Q671&gt;0,"показать","скрыть")</f>
        <v/>
      </c>
    </row>
    <row r="672" ht="15.75" customHeight="1">
      <c r="B672" s="809" t="n">
        <v>656</v>
      </c>
      <c r="C672" s="182">
        <f>IF(offer_sale_type="транзит",IFERROR(VLOOKUP($B672,calc_data,C$14+1,0),0),0)</f>
        <v/>
      </c>
      <c r="D672" s="280">
        <f>IF(offer_sale_type="транзит",IFERROR(VLOOKUP($B672,calc_data,D$14+1,0),0),0)</f>
        <v/>
      </c>
      <c r="E672" s="182">
        <f>IF(offer_sale_type="транзит",IFERROR(VLOOKUP($B672,calc_data,E$14+1,0),0),0)</f>
        <v/>
      </c>
      <c r="F672" s="182">
        <f>IF(offer_sale_type="транзит",IFERROR(VLOOKUP($B672,calc_data,F$14+1,0),0),0)</f>
        <v/>
      </c>
      <c r="G672" s="141">
        <f>IF(offer_sale_type="транзит",IFERROR(VLOOKUP($B672,calc_data,G$14+1,0),0),0)</f>
        <v/>
      </c>
      <c r="H672" s="141">
        <f>E672*G672</f>
        <v/>
      </c>
      <c r="I672" s="141">
        <f>IF(offer_sale_type="транзит",IFERROR(ROUND(VLOOKUP($B672,calc_data,I$14+1,0),2),0),0)</f>
        <v/>
      </c>
      <c r="J672" s="141">
        <f>ROUND(IF(offer_sale_type="транзит",IFERROR(VLOOKUP($B672,calc_data,J$14+1,0),0),0),2)</f>
        <v/>
      </c>
      <c r="K672" s="142">
        <f>IF(offer_sale_type="транзит",IFERROR(ROUNDUP(VLOOKUP($B672,calc_data,K$14+1,0),2),0),0)</f>
        <v/>
      </c>
      <c r="L672" s="184">
        <f>IF(offer_sale_type="транзит",IFERROR(ROUNDUP(VLOOKUP($B672,calc_data,L$14+1,0),2),0),0)</f>
        <v/>
      </c>
      <c r="M672" s="141">
        <f>IF(offer_sale_type="транзит",IFERROR(ROUNDUP(VLOOKUP($B672,calc_data,M$14+1,0),2),0),0)</f>
        <v/>
      </c>
      <c r="N672" s="141">
        <f>IF(offer_sale_type="транзит",IFERROR(ROUNDUP(VLOOKUP($B672,calc_data,N$14+1,0),2),0),0)</f>
        <v/>
      </c>
      <c r="O672" s="147">
        <f>IF(offer_sale_type="транзит",IFERROR(ROUND(VLOOKUP($B672,calc_data,O$14+1,1),2),0),0)</f>
        <v/>
      </c>
      <c r="P672" s="141">
        <f>IF(offer_sale_type="транзит",IFERROR(ROUND(SUM(I672:J672,M672:O672)/E672,2),0),0)</f>
        <v/>
      </c>
      <c r="Q672" s="141">
        <f>E672*P672</f>
        <v/>
      </c>
      <c r="R672" s="141">
        <f>ROUND(Q672*IF(AND(offer_incoterms="DDP",seller_region="RU"),IF((TODAY()+offer_turnaround_time)&gt;=helpsheet!$L$17,rate_vatRU_from_26,rate_vatRu_till_25),0),2)</f>
        <v/>
      </c>
      <c r="S672" s="177">
        <f>Q672+IF(AND(offer_incoterms="DDP",seller_region="RU"),R672,0)</f>
        <v/>
      </c>
      <c r="T672" s="45" t="n"/>
      <c r="V672" s="57">
        <f>IF(Q672&gt;0,"показать","скрыть")</f>
        <v/>
      </c>
    </row>
    <row r="673" ht="15.75" customHeight="1">
      <c r="B673" s="809" t="n">
        <v>657</v>
      </c>
      <c r="C673" s="182">
        <f>IF(offer_sale_type="транзит",IFERROR(VLOOKUP($B673,calc_data,C$14+1,0),0),0)</f>
        <v/>
      </c>
      <c r="D673" s="280">
        <f>IF(offer_sale_type="транзит",IFERROR(VLOOKUP($B673,calc_data,D$14+1,0),0),0)</f>
        <v/>
      </c>
      <c r="E673" s="182">
        <f>IF(offer_sale_type="транзит",IFERROR(VLOOKUP($B673,calc_data,E$14+1,0),0),0)</f>
        <v/>
      </c>
      <c r="F673" s="182">
        <f>IF(offer_sale_type="транзит",IFERROR(VLOOKUP($B673,calc_data,F$14+1,0),0),0)</f>
        <v/>
      </c>
      <c r="G673" s="141">
        <f>IF(offer_sale_type="транзит",IFERROR(VLOOKUP($B673,calc_data,G$14+1,0),0),0)</f>
        <v/>
      </c>
      <c r="H673" s="141">
        <f>E673*G673</f>
        <v/>
      </c>
      <c r="I673" s="141">
        <f>IF(offer_sale_type="транзит",IFERROR(ROUND(VLOOKUP($B673,calc_data,I$14+1,0),2),0),0)</f>
        <v/>
      </c>
      <c r="J673" s="141">
        <f>ROUND(IF(offer_sale_type="транзит",IFERROR(VLOOKUP($B673,calc_data,J$14+1,0),0),0),2)</f>
        <v/>
      </c>
      <c r="K673" s="142">
        <f>IF(offer_sale_type="транзит",IFERROR(ROUNDUP(VLOOKUP($B673,calc_data,K$14+1,0),2),0),0)</f>
        <v/>
      </c>
      <c r="L673" s="184">
        <f>IF(offer_sale_type="транзит",IFERROR(ROUNDUP(VLOOKUP($B673,calc_data,L$14+1,0),2),0),0)</f>
        <v/>
      </c>
      <c r="M673" s="141">
        <f>IF(offer_sale_type="транзит",IFERROR(ROUNDUP(VLOOKUP($B673,calc_data,M$14+1,0),2),0),0)</f>
        <v/>
      </c>
      <c r="N673" s="141">
        <f>IF(offer_sale_type="транзит",IFERROR(ROUNDUP(VLOOKUP($B673,calc_data,N$14+1,0),2),0),0)</f>
        <v/>
      </c>
      <c r="O673" s="147">
        <f>IF(offer_sale_type="транзит",IFERROR(ROUND(VLOOKUP($B673,calc_data,O$14+1,1),2),0),0)</f>
        <v/>
      </c>
      <c r="P673" s="141">
        <f>IF(offer_sale_type="транзит",IFERROR(ROUND(SUM(I673:J673,M673:O673)/E673,2),0),0)</f>
        <v/>
      </c>
      <c r="Q673" s="141">
        <f>E673*P673</f>
        <v/>
      </c>
      <c r="R673" s="141">
        <f>ROUND(Q673*IF(AND(offer_incoterms="DDP",seller_region="RU"),IF((TODAY()+offer_turnaround_time)&gt;=helpsheet!$L$17,rate_vatRU_from_26,rate_vatRu_till_25),0),2)</f>
        <v/>
      </c>
      <c r="S673" s="177">
        <f>Q673+IF(AND(offer_incoterms="DDP",seller_region="RU"),R673,0)</f>
        <v/>
      </c>
      <c r="T673" s="45" t="n"/>
      <c r="V673" s="57">
        <f>IF(Q673&gt;0,"показать","скрыть")</f>
        <v/>
      </c>
    </row>
    <row r="674" ht="15.75" customHeight="1">
      <c r="B674" s="809" t="n">
        <v>658</v>
      </c>
      <c r="C674" s="182">
        <f>IF(offer_sale_type="транзит",IFERROR(VLOOKUP($B674,calc_data,C$14+1,0),0),0)</f>
        <v/>
      </c>
      <c r="D674" s="280">
        <f>IF(offer_sale_type="транзит",IFERROR(VLOOKUP($B674,calc_data,D$14+1,0),0),0)</f>
        <v/>
      </c>
      <c r="E674" s="182">
        <f>IF(offer_sale_type="транзит",IFERROR(VLOOKUP($B674,calc_data,E$14+1,0),0),0)</f>
        <v/>
      </c>
      <c r="F674" s="182">
        <f>IF(offer_sale_type="транзит",IFERROR(VLOOKUP($B674,calc_data,F$14+1,0),0),0)</f>
        <v/>
      </c>
      <c r="G674" s="141">
        <f>IF(offer_sale_type="транзит",IFERROR(VLOOKUP($B674,calc_data,G$14+1,0),0),0)</f>
        <v/>
      </c>
      <c r="H674" s="141">
        <f>E674*G674</f>
        <v/>
      </c>
      <c r="I674" s="141">
        <f>IF(offer_sale_type="транзит",IFERROR(ROUND(VLOOKUP($B674,calc_data,I$14+1,0),2),0),0)</f>
        <v/>
      </c>
      <c r="J674" s="141">
        <f>ROUND(IF(offer_sale_type="транзит",IFERROR(VLOOKUP($B674,calc_data,J$14+1,0),0),0),2)</f>
        <v/>
      </c>
      <c r="K674" s="142">
        <f>IF(offer_sale_type="транзит",IFERROR(ROUNDUP(VLOOKUP($B674,calc_data,K$14+1,0),2),0),0)</f>
        <v/>
      </c>
      <c r="L674" s="184">
        <f>IF(offer_sale_type="транзит",IFERROR(ROUNDUP(VLOOKUP($B674,calc_data,L$14+1,0),2),0),0)</f>
        <v/>
      </c>
      <c r="M674" s="141">
        <f>IF(offer_sale_type="транзит",IFERROR(ROUNDUP(VLOOKUP($B674,calc_data,M$14+1,0),2),0),0)</f>
        <v/>
      </c>
      <c r="N674" s="141">
        <f>IF(offer_sale_type="транзит",IFERROR(ROUNDUP(VLOOKUP($B674,calc_data,N$14+1,0),2),0),0)</f>
        <v/>
      </c>
      <c r="O674" s="147">
        <f>IF(offer_sale_type="транзит",IFERROR(ROUND(VLOOKUP($B674,calc_data,O$14+1,1),2),0),0)</f>
        <v/>
      </c>
      <c r="P674" s="141">
        <f>IF(offer_sale_type="транзит",IFERROR(ROUND(SUM(I674:J674,M674:O674)/E674,2),0),0)</f>
        <v/>
      </c>
      <c r="Q674" s="141">
        <f>E674*P674</f>
        <v/>
      </c>
      <c r="R674" s="141">
        <f>ROUND(Q674*IF(AND(offer_incoterms="DDP",seller_region="RU"),IF((TODAY()+offer_turnaround_time)&gt;=helpsheet!$L$17,rate_vatRU_from_26,rate_vatRu_till_25),0),2)</f>
        <v/>
      </c>
      <c r="S674" s="177">
        <f>Q674+IF(AND(offer_incoterms="DDP",seller_region="RU"),R674,0)</f>
        <v/>
      </c>
      <c r="T674" s="45" t="n"/>
      <c r="V674" s="57">
        <f>IF(Q674&gt;0,"показать","скрыть")</f>
        <v/>
      </c>
    </row>
    <row r="675" ht="15.75" customHeight="1">
      <c r="B675" s="809" t="n">
        <v>659</v>
      </c>
      <c r="C675" s="182">
        <f>IF(offer_sale_type="транзит",IFERROR(VLOOKUP($B675,calc_data,C$14+1,0),0),0)</f>
        <v/>
      </c>
      <c r="D675" s="280">
        <f>IF(offer_sale_type="транзит",IFERROR(VLOOKUP($B675,calc_data,D$14+1,0),0),0)</f>
        <v/>
      </c>
      <c r="E675" s="182">
        <f>IF(offer_sale_type="транзит",IFERROR(VLOOKUP($B675,calc_data,E$14+1,0),0),0)</f>
        <v/>
      </c>
      <c r="F675" s="182">
        <f>IF(offer_sale_type="транзит",IFERROR(VLOOKUP($B675,calc_data,F$14+1,0),0),0)</f>
        <v/>
      </c>
      <c r="G675" s="141">
        <f>IF(offer_sale_type="транзит",IFERROR(VLOOKUP($B675,calc_data,G$14+1,0),0),0)</f>
        <v/>
      </c>
      <c r="H675" s="141">
        <f>E675*G675</f>
        <v/>
      </c>
      <c r="I675" s="141">
        <f>IF(offer_sale_type="транзит",IFERROR(ROUND(VLOOKUP($B675,calc_data,I$14+1,0),2),0),0)</f>
        <v/>
      </c>
      <c r="J675" s="141">
        <f>ROUND(IF(offer_sale_type="транзит",IFERROR(VLOOKUP($B675,calc_data,J$14+1,0),0),0),2)</f>
        <v/>
      </c>
      <c r="K675" s="142">
        <f>IF(offer_sale_type="транзит",IFERROR(ROUNDUP(VLOOKUP($B675,calc_data,K$14+1,0),2),0),0)</f>
        <v/>
      </c>
      <c r="L675" s="184">
        <f>IF(offer_sale_type="транзит",IFERROR(ROUNDUP(VLOOKUP($B675,calc_data,L$14+1,0),2),0),0)</f>
        <v/>
      </c>
      <c r="M675" s="141">
        <f>IF(offer_sale_type="транзит",IFERROR(ROUNDUP(VLOOKUP($B675,calc_data,M$14+1,0),2),0),0)</f>
        <v/>
      </c>
      <c r="N675" s="141">
        <f>IF(offer_sale_type="транзит",IFERROR(ROUNDUP(VLOOKUP($B675,calc_data,N$14+1,0),2),0),0)</f>
        <v/>
      </c>
      <c r="O675" s="147">
        <f>IF(offer_sale_type="транзит",IFERROR(ROUND(VLOOKUP($B675,calc_data,O$14+1,1),2),0),0)</f>
        <v/>
      </c>
      <c r="P675" s="141">
        <f>IF(offer_sale_type="транзит",IFERROR(ROUND(SUM(I675:J675,M675:O675)/E675,2),0),0)</f>
        <v/>
      </c>
      <c r="Q675" s="141">
        <f>E675*P675</f>
        <v/>
      </c>
      <c r="R675" s="141">
        <f>ROUND(Q675*IF(AND(offer_incoterms="DDP",seller_region="RU"),IF((TODAY()+offer_turnaround_time)&gt;=helpsheet!$L$17,rate_vatRU_from_26,rate_vatRu_till_25),0),2)</f>
        <v/>
      </c>
      <c r="S675" s="177">
        <f>Q675+IF(AND(offer_incoterms="DDP",seller_region="RU"),R675,0)</f>
        <v/>
      </c>
      <c r="T675" s="45" t="n"/>
      <c r="V675" s="57">
        <f>IF(Q675&gt;0,"показать","скрыть")</f>
        <v/>
      </c>
    </row>
    <row r="676" ht="15.75" customHeight="1">
      <c r="B676" s="809" t="n">
        <v>660</v>
      </c>
      <c r="C676" s="182">
        <f>IF(offer_sale_type="транзит",IFERROR(VLOOKUP($B676,calc_data,C$14+1,0),0),0)</f>
        <v/>
      </c>
      <c r="D676" s="280">
        <f>IF(offer_sale_type="транзит",IFERROR(VLOOKUP($B676,calc_data,D$14+1,0),0),0)</f>
        <v/>
      </c>
      <c r="E676" s="182">
        <f>IF(offer_sale_type="транзит",IFERROR(VLOOKUP($B676,calc_data,E$14+1,0),0),0)</f>
        <v/>
      </c>
      <c r="F676" s="182">
        <f>IF(offer_sale_type="транзит",IFERROR(VLOOKUP($B676,calc_data,F$14+1,0),0),0)</f>
        <v/>
      </c>
      <c r="G676" s="141">
        <f>IF(offer_sale_type="транзит",IFERROR(VLOOKUP($B676,calc_data,G$14+1,0),0),0)</f>
        <v/>
      </c>
      <c r="H676" s="141">
        <f>E676*G676</f>
        <v/>
      </c>
      <c r="I676" s="141">
        <f>IF(offer_sale_type="транзит",IFERROR(ROUND(VLOOKUP($B676,calc_data,I$14+1,0),2),0),0)</f>
        <v/>
      </c>
      <c r="J676" s="141">
        <f>ROUND(IF(offer_sale_type="транзит",IFERROR(VLOOKUP($B676,calc_data,J$14+1,0),0),0),2)</f>
        <v/>
      </c>
      <c r="K676" s="142">
        <f>IF(offer_sale_type="транзит",IFERROR(ROUNDUP(VLOOKUP($B676,calc_data,K$14+1,0),2),0),0)</f>
        <v/>
      </c>
      <c r="L676" s="184">
        <f>IF(offer_sale_type="транзит",IFERROR(ROUNDUP(VLOOKUP($B676,calc_data,L$14+1,0),2),0),0)</f>
        <v/>
      </c>
      <c r="M676" s="141">
        <f>IF(offer_sale_type="транзит",IFERROR(ROUNDUP(VLOOKUP($B676,calc_data,M$14+1,0),2),0),0)</f>
        <v/>
      </c>
      <c r="N676" s="141">
        <f>IF(offer_sale_type="транзит",IFERROR(ROUNDUP(VLOOKUP($B676,calc_data,N$14+1,0),2),0),0)</f>
        <v/>
      </c>
      <c r="O676" s="147">
        <f>IF(offer_sale_type="транзит",IFERROR(ROUND(VLOOKUP($B676,calc_data,O$14+1,1),2),0),0)</f>
        <v/>
      </c>
      <c r="P676" s="141">
        <f>IF(offer_sale_type="транзит",IFERROR(ROUND(SUM(I676:J676,M676:O676)/E676,2),0),0)</f>
        <v/>
      </c>
      <c r="Q676" s="141">
        <f>E676*P676</f>
        <v/>
      </c>
      <c r="R676" s="141">
        <f>ROUND(Q676*IF(AND(offer_incoterms="DDP",seller_region="RU"),IF((TODAY()+offer_turnaround_time)&gt;=helpsheet!$L$17,rate_vatRU_from_26,rate_vatRu_till_25),0),2)</f>
        <v/>
      </c>
      <c r="S676" s="177">
        <f>Q676+IF(AND(offer_incoterms="DDP",seller_region="RU"),R676,0)</f>
        <v/>
      </c>
      <c r="T676" s="45" t="n"/>
      <c r="V676" s="57">
        <f>IF(Q676&gt;0,"показать","скрыть")</f>
        <v/>
      </c>
    </row>
    <row r="677" ht="15.75" customHeight="1">
      <c r="B677" s="809" t="n">
        <v>661</v>
      </c>
      <c r="C677" s="182">
        <f>IF(offer_sale_type="транзит",IFERROR(VLOOKUP($B677,calc_data,C$14+1,0),0),0)</f>
        <v/>
      </c>
      <c r="D677" s="280">
        <f>IF(offer_sale_type="транзит",IFERROR(VLOOKUP($B677,calc_data,D$14+1,0),0),0)</f>
        <v/>
      </c>
      <c r="E677" s="182">
        <f>IF(offer_sale_type="транзит",IFERROR(VLOOKUP($B677,calc_data,E$14+1,0),0),0)</f>
        <v/>
      </c>
      <c r="F677" s="182">
        <f>IF(offer_sale_type="транзит",IFERROR(VLOOKUP($B677,calc_data,F$14+1,0),0),0)</f>
        <v/>
      </c>
      <c r="G677" s="141">
        <f>IF(offer_sale_type="транзит",IFERROR(VLOOKUP($B677,calc_data,G$14+1,0),0),0)</f>
        <v/>
      </c>
      <c r="H677" s="141">
        <f>E677*G677</f>
        <v/>
      </c>
      <c r="I677" s="141">
        <f>IF(offer_sale_type="транзит",IFERROR(ROUND(VLOOKUP($B677,calc_data,I$14+1,0),2),0),0)</f>
        <v/>
      </c>
      <c r="J677" s="141">
        <f>ROUND(IF(offer_sale_type="транзит",IFERROR(VLOOKUP($B677,calc_data,J$14+1,0),0),0),2)</f>
        <v/>
      </c>
      <c r="K677" s="142">
        <f>IF(offer_sale_type="транзит",IFERROR(ROUNDUP(VLOOKUP($B677,calc_data,K$14+1,0),2),0),0)</f>
        <v/>
      </c>
      <c r="L677" s="184">
        <f>IF(offer_sale_type="транзит",IFERROR(ROUNDUP(VLOOKUP($B677,calc_data,L$14+1,0),2),0),0)</f>
        <v/>
      </c>
      <c r="M677" s="141">
        <f>IF(offer_sale_type="транзит",IFERROR(ROUNDUP(VLOOKUP($B677,calc_data,M$14+1,0),2),0),0)</f>
        <v/>
      </c>
      <c r="N677" s="141">
        <f>IF(offer_sale_type="транзит",IFERROR(ROUNDUP(VLOOKUP($B677,calc_data,N$14+1,0),2),0),0)</f>
        <v/>
      </c>
      <c r="O677" s="147">
        <f>IF(offer_sale_type="транзит",IFERROR(ROUND(VLOOKUP($B677,calc_data,O$14+1,1),2),0),0)</f>
        <v/>
      </c>
      <c r="P677" s="141">
        <f>IF(offer_sale_type="транзит",IFERROR(ROUND(SUM(I677:J677,M677:O677)/E677,2),0),0)</f>
        <v/>
      </c>
      <c r="Q677" s="141">
        <f>E677*P677</f>
        <v/>
      </c>
      <c r="R677" s="141">
        <f>ROUND(Q677*IF(AND(offer_incoterms="DDP",seller_region="RU"),IF((TODAY()+offer_turnaround_time)&gt;=helpsheet!$L$17,rate_vatRU_from_26,rate_vatRu_till_25),0),2)</f>
        <v/>
      </c>
      <c r="S677" s="177">
        <f>Q677+IF(AND(offer_incoterms="DDP",seller_region="RU"),R677,0)</f>
        <v/>
      </c>
      <c r="T677" s="45" t="n"/>
      <c r="V677" s="57">
        <f>IF(Q677&gt;0,"показать","скрыть")</f>
        <v/>
      </c>
    </row>
    <row r="678" ht="15.75" customHeight="1">
      <c r="B678" s="809" t="n">
        <v>662</v>
      </c>
      <c r="C678" s="182">
        <f>IF(offer_sale_type="транзит",IFERROR(VLOOKUP($B678,calc_data,C$14+1,0),0),0)</f>
        <v/>
      </c>
      <c r="D678" s="280">
        <f>IF(offer_sale_type="транзит",IFERROR(VLOOKUP($B678,calc_data,D$14+1,0),0),0)</f>
        <v/>
      </c>
      <c r="E678" s="182">
        <f>IF(offer_sale_type="транзит",IFERROR(VLOOKUP($B678,calc_data,E$14+1,0),0),0)</f>
        <v/>
      </c>
      <c r="F678" s="182">
        <f>IF(offer_sale_type="транзит",IFERROR(VLOOKUP($B678,calc_data,F$14+1,0),0),0)</f>
        <v/>
      </c>
      <c r="G678" s="141">
        <f>IF(offer_sale_type="транзит",IFERROR(VLOOKUP($B678,calc_data,G$14+1,0),0),0)</f>
        <v/>
      </c>
      <c r="H678" s="141">
        <f>E678*G678</f>
        <v/>
      </c>
      <c r="I678" s="141">
        <f>IF(offer_sale_type="транзит",IFERROR(ROUND(VLOOKUP($B678,calc_data,I$14+1,0),2),0),0)</f>
        <v/>
      </c>
      <c r="J678" s="141">
        <f>ROUND(IF(offer_sale_type="транзит",IFERROR(VLOOKUP($B678,calc_data,J$14+1,0),0),0),2)</f>
        <v/>
      </c>
      <c r="K678" s="142">
        <f>IF(offer_sale_type="транзит",IFERROR(ROUNDUP(VLOOKUP($B678,calc_data,K$14+1,0),2),0),0)</f>
        <v/>
      </c>
      <c r="L678" s="184">
        <f>IF(offer_sale_type="транзит",IFERROR(ROUNDUP(VLOOKUP($B678,calc_data,L$14+1,0),2),0),0)</f>
        <v/>
      </c>
      <c r="M678" s="141">
        <f>IF(offer_sale_type="транзит",IFERROR(ROUNDUP(VLOOKUP($B678,calc_data,M$14+1,0),2),0),0)</f>
        <v/>
      </c>
      <c r="N678" s="141">
        <f>IF(offer_sale_type="транзит",IFERROR(ROUNDUP(VLOOKUP($B678,calc_data,N$14+1,0),2),0),0)</f>
        <v/>
      </c>
      <c r="O678" s="147">
        <f>IF(offer_sale_type="транзит",IFERROR(ROUND(VLOOKUP($B678,calc_data,O$14+1,1),2),0),0)</f>
        <v/>
      </c>
      <c r="P678" s="141">
        <f>IF(offer_sale_type="транзит",IFERROR(ROUND(SUM(I678:J678,M678:O678)/E678,2),0),0)</f>
        <v/>
      </c>
      <c r="Q678" s="141">
        <f>E678*P678</f>
        <v/>
      </c>
      <c r="R678" s="141">
        <f>ROUND(Q678*IF(AND(offer_incoterms="DDP",seller_region="RU"),IF((TODAY()+offer_turnaround_time)&gt;=helpsheet!$L$17,rate_vatRU_from_26,rate_vatRu_till_25),0),2)</f>
        <v/>
      </c>
      <c r="S678" s="177">
        <f>Q678+IF(AND(offer_incoterms="DDP",seller_region="RU"),R678,0)</f>
        <v/>
      </c>
      <c r="T678" s="45" t="n"/>
      <c r="V678" s="57">
        <f>IF(Q678&gt;0,"показать","скрыть")</f>
        <v/>
      </c>
    </row>
    <row r="679" ht="15.75" customHeight="1">
      <c r="B679" s="809" t="n">
        <v>663</v>
      </c>
      <c r="C679" s="182">
        <f>IF(offer_sale_type="транзит",IFERROR(VLOOKUP($B679,calc_data,C$14+1,0),0),0)</f>
        <v/>
      </c>
      <c r="D679" s="280">
        <f>IF(offer_sale_type="транзит",IFERROR(VLOOKUP($B679,calc_data,D$14+1,0),0),0)</f>
        <v/>
      </c>
      <c r="E679" s="182">
        <f>IF(offer_sale_type="транзит",IFERROR(VLOOKUP($B679,calc_data,E$14+1,0),0),0)</f>
        <v/>
      </c>
      <c r="F679" s="182">
        <f>IF(offer_sale_type="транзит",IFERROR(VLOOKUP($B679,calc_data,F$14+1,0),0),0)</f>
        <v/>
      </c>
      <c r="G679" s="141">
        <f>IF(offer_sale_type="транзит",IFERROR(VLOOKUP($B679,calc_data,G$14+1,0),0),0)</f>
        <v/>
      </c>
      <c r="H679" s="141">
        <f>E679*G679</f>
        <v/>
      </c>
      <c r="I679" s="141">
        <f>IF(offer_sale_type="транзит",IFERROR(ROUND(VLOOKUP($B679,calc_data,I$14+1,0),2),0),0)</f>
        <v/>
      </c>
      <c r="J679" s="141">
        <f>ROUND(IF(offer_sale_type="транзит",IFERROR(VLOOKUP($B679,calc_data,J$14+1,0),0),0),2)</f>
        <v/>
      </c>
      <c r="K679" s="142">
        <f>IF(offer_sale_type="транзит",IFERROR(ROUNDUP(VLOOKUP($B679,calc_data,K$14+1,0),2),0),0)</f>
        <v/>
      </c>
      <c r="L679" s="184">
        <f>IF(offer_sale_type="транзит",IFERROR(ROUNDUP(VLOOKUP($B679,calc_data,L$14+1,0),2),0),0)</f>
        <v/>
      </c>
      <c r="M679" s="141">
        <f>IF(offer_sale_type="транзит",IFERROR(ROUNDUP(VLOOKUP($B679,calc_data,M$14+1,0),2),0),0)</f>
        <v/>
      </c>
      <c r="N679" s="141">
        <f>IF(offer_sale_type="транзит",IFERROR(ROUNDUP(VLOOKUP($B679,calc_data,N$14+1,0),2),0),0)</f>
        <v/>
      </c>
      <c r="O679" s="147">
        <f>IF(offer_sale_type="транзит",IFERROR(ROUND(VLOOKUP($B679,calc_data,O$14+1,1),2),0),0)</f>
        <v/>
      </c>
      <c r="P679" s="141">
        <f>IF(offer_sale_type="транзит",IFERROR(ROUND(SUM(I679:J679,M679:O679)/E679,2),0),0)</f>
        <v/>
      </c>
      <c r="Q679" s="141">
        <f>E679*P679</f>
        <v/>
      </c>
      <c r="R679" s="141">
        <f>ROUND(Q679*IF(AND(offer_incoterms="DDP",seller_region="RU"),IF((TODAY()+offer_turnaround_time)&gt;=helpsheet!$L$17,rate_vatRU_from_26,rate_vatRu_till_25),0),2)</f>
        <v/>
      </c>
      <c r="S679" s="177">
        <f>Q679+IF(AND(offer_incoterms="DDP",seller_region="RU"),R679,0)</f>
        <v/>
      </c>
      <c r="T679" s="45" t="n"/>
      <c r="V679" s="57">
        <f>IF(Q679&gt;0,"показать","скрыть")</f>
        <v/>
      </c>
    </row>
    <row r="680" ht="15.75" customHeight="1">
      <c r="B680" s="809" t="n">
        <v>664</v>
      </c>
      <c r="C680" s="182">
        <f>IF(offer_sale_type="транзит",IFERROR(VLOOKUP($B680,calc_data,C$14+1,0),0),0)</f>
        <v/>
      </c>
      <c r="D680" s="280">
        <f>IF(offer_sale_type="транзит",IFERROR(VLOOKUP($B680,calc_data,D$14+1,0),0),0)</f>
        <v/>
      </c>
      <c r="E680" s="182">
        <f>IF(offer_sale_type="транзит",IFERROR(VLOOKUP($B680,calc_data,E$14+1,0),0),0)</f>
        <v/>
      </c>
      <c r="F680" s="182">
        <f>IF(offer_sale_type="транзит",IFERROR(VLOOKUP($B680,calc_data,F$14+1,0),0),0)</f>
        <v/>
      </c>
      <c r="G680" s="141">
        <f>IF(offer_sale_type="транзит",IFERROR(VLOOKUP($B680,calc_data,G$14+1,0),0),0)</f>
        <v/>
      </c>
      <c r="H680" s="141">
        <f>E680*G680</f>
        <v/>
      </c>
      <c r="I680" s="141">
        <f>IF(offer_sale_type="транзит",IFERROR(ROUND(VLOOKUP($B680,calc_data,I$14+1,0),2),0),0)</f>
        <v/>
      </c>
      <c r="J680" s="141">
        <f>ROUND(IF(offer_sale_type="транзит",IFERROR(VLOOKUP($B680,calc_data,J$14+1,0),0),0),2)</f>
        <v/>
      </c>
      <c r="K680" s="142">
        <f>IF(offer_sale_type="транзит",IFERROR(ROUNDUP(VLOOKUP($B680,calc_data,K$14+1,0),2),0),0)</f>
        <v/>
      </c>
      <c r="L680" s="184">
        <f>IF(offer_sale_type="транзит",IFERROR(ROUNDUP(VLOOKUP($B680,calc_data,L$14+1,0),2),0),0)</f>
        <v/>
      </c>
      <c r="M680" s="141">
        <f>IF(offer_sale_type="транзит",IFERROR(ROUNDUP(VLOOKUP($B680,calc_data,M$14+1,0),2),0),0)</f>
        <v/>
      </c>
      <c r="N680" s="141">
        <f>IF(offer_sale_type="транзит",IFERROR(ROUNDUP(VLOOKUP($B680,calc_data,N$14+1,0),2),0),0)</f>
        <v/>
      </c>
      <c r="O680" s="147">
        <f>IF(offer_sale_type="транзит",IFERROR(ROUND(VLOOKUP($B680,calc_data,O$14+1,1),2),0),0)</f>
        <v/>
      </c>
      <c r="P680" s="141">
        <f>IF(offer_sale_type="транзит",IFERROR(ROUND(SUM(I680:J680,M680:O680)/E680,2),0),0)</f>
        <v/>
      </c>
      <c r="Q680" s="141">
        <f>E680*P680</f>
        <v/>
      </c>
      <c r="R680" s="141">
        <f>ROUND(Q680*IF(AND(offer_incoterms="DDP",seller_region="RU"),IF((TODAY()+offer_turnaround_time)&gt;=helpsheet!$L$17,rate_vatRU_from_26,rate_vatRu_till_25),0),2)</f>
        <v/>
      </c>
      <c r="S680" s="177">
        <f>Q680+IF(AND(offer_incoterms="DDP",seller_region="RU"),R680,0)</f>
        <v/>
      </c>
      <c r="T680" s="45" t="n"/>
      <c r="V680" s="57">
        <f>IF(Q680&gt;0,"показать","скрыть")</f>
        <v/>
      </c>
    </row>
    <row r="681" ht="15.75" customHeight="1">
      <c r="B681" s="809" t="n">
        <v>665</v>
      </c>
      <c r="C681" s="182">
        <f>IF(offer_sale_type="транзит",IFERROR(VLOOKUP($B681,calc_data,C$14+1,0),0),0)</f>
        <v/>
      </c>
      <c r="D681" s="280">
        <f>IF(offer_sale_type="транзит",IFERROR(VLOOKUP($B681,calc_data,D$14+1,0),0),0)</f>
        <v/>
      </c>
      <c r="E681" s="182">
        <f>IF(offer_sale_type="транзит",IFERROR(VLOOKUP($B681,calc_data,E$14+1,0),0),0)</f>
        <v/>
      </c>
      <c r="F681" s="182">
        <f>IF(offer_sale_type="транзит",IFERROR(VLOOKUP($B681,calc_data,F$14+1,0),0),0)</f>
        <v/>
      </c>
      <c r="G681" s="141">
        <f>IF(offer_sale_type="транзит",IFERROR(VLOOKUP($B681,calc_data,G$14+1,0),0),0)</f>
        <v/>
      </c>
      <c r="H681" s="141">
        <f>E681*G681</f>
        <v/>
      </c>
      <c r="I681" s="141">
        <f>IF(offer_sale_type="транзит",IFERROR(ROUND(VLOOKUP($B681,calc_data,I$14+1,0),2),0),0)</f>
        <v/>
      </c>
      <c r="J681" s="141">
        <f>ROUND(IF(offer_sale_type="транзит",IFERROR(VLOOKUP($B681,calc_data,J$14+1,0),0),0),2)</f>
        <v/>
      </c>
      <c r="K681" s="142">
        <f>IF(offer_sale_type="транзит",IFERROR(ROUNDUP(VLOOKUP($B681,calc_data,K$14+1,0),2),0),0)</f>
        <v/>
      </c>
      <c r="L681" s="184">
        <f>IF(offer_sale_type="транзит",IFERROR(ROUNDUP(VLOOKUP($B681,calc_data,L$14+1,0),2),0),0)</f>
        <v/>
      </c>
      <c r="M681" s="141">
        <f>IF(offer_sale_type="транзит",IFERROR(ROUNDUP(VLOOKUP($B681,calc_data,M$14+1,0),2),0),0)</f>
        <v/>
      </c>
      <c r="N681" s="141">
        <f>IF(offer_sale_type="транзит",IFERROR(ROUNDUP(VLOOKUP($B681,calc_data,N$14+1,0),2),0),0)</f>
        <v/>
      </c>
      <c r="O681" s="147">
        <f>IF(offer_sale_type="транзит",IFERROR(ROUND(VLOOKUP($B681,calc_data,O$14+1,1),2),0),0)</f>
        <v/>
      </c>
      <c r="P681" s="141">
        <f>IF(offer_sale_type="транзит",IFERROR(ROUND(SUM(I681:J681,M681:O681)/E681,2),0),0)</f>
        <v/>
      </c>
      <c r="Q681" s="141">
        <f>E681*P681</f>
        <v/>
      </c>
      <c r="R681" s="141">
        <f>ROUND(Q681*IF(AND(offer_incoterms="DDP",seller_region="RU"),IF((TODAY()+offer_turnaround_time)&gt;=helpsheet!$L$17,rate_vatRU_from_26,rate_vatRu_till_25),0),2)</f>
        <v/>
      </c>
      <c r="S681" s="177">
        <f>Q681+IF(AND(offer_incoterms="DDP",seller_region="RU"),R681,0)</f>
        <v/>
      </c>
      <c r="T681" s="45" t="n"/>
      <c r="V681" s="57">
        <f>IF(Q681&gt;0,"показать","скрыть")</f>
        <v/>
      </c>
    </row>
    <row r="682" ht="15.75" customHeight="1">
      <c r="B682" s="809" t="n">
        <v>666</v>
      </c>
      <c r="C682" s="182">
        <f>IF(offer_sale_type="транзит",IFERROR(VLOOKUP($B682,calc_data,C$14+1,0),0),0)</f>
        <v/>
      </c>
      <c r="D682" s="280">
        <f>IF(offer_sale_type="транзит",IFERROR(VLOOKUP($B682,calc_data,D$14+1,0),0),0)</f>
        <v/>
      </c>
      <c r="E682" s="182">
        <f>IF(offer_sale_type="транзит",IFERROR(VLOOKUP($B682,calc_data,E$14+1,0),0),0)</f>
        <v/>
      </c>
      <c r="F682" s="182">
        <f>IF(offer_sale_type="транзит",IFERROR(VLOOKUP($B682,calc_data,F$14+1,0),0),0)</f>
        <v/>
      </c>
      <c r="G682" s="141">
        <f>IF(offer_sale_type="транзит",IFERROR(VLOOKUP($B682,calc_data,G$14+1,0),0),0)</f>
        <v/>
      </c>
      <c r="H682" s="141">
        <f>E682*G682</f>
        <v/>
      </c>
      <c r="I682" s="141">
        <f>IF(offer_sale_type="транзит",IFERROR(ROUND(VLOOKUP($B682,calc_data,I$14+1,0),2),0),0)</f>
        <v/>
      </c>
      <c r="J682" s="141">
        <f>ROUND(IF(offer_sale_type="транзит",IFERROR(VLOOKUP($B682,calc_data,J$14+1,0),0),0),2)</f>
        <v/>
      </c>
      <c r="K682" s="142">
        <f>IF(offer_sale_type="транзит",IFERROR(ROUNDUP(VLOOKUP($B682,calc_data,K$14+1,0),2),0),0)</f>
        <v/>
      </c>
      <c r="L682" s="184">
        <f>IF(offer_sale_type="транзит",IFERROR(ROUNDUP(VLOOKUP($B682,calc_data,L$14+1,0),2),0),0)</f>
        <v/>
      </c>
      <c r="M682" s="141">
        <f>IF(offer_sale_type="транзит",IFERROR(ROUNDUP(VLOOKUP($B682,calc_data,M$14+1,0),2),0),0)</f>
        <v/>
      </c>
      <c r="N682" s="141">
        <f>IF(offer_sale_type="транзит",IFERROR(ROUNDUP(VLOOKUP($B682,calc_data,N$14+1,0),2),0),0)</f>
        <v/>
      </c>
      <c r="O682" s="147">
        <f>IF(offer_sale_type="транзит",IFERROR(ROUND(VLOOKUP($B682,calc_data,O$14+1,1),2),0),0)</f>
        <v/>
      </c>
      <c r="P682" s="141">
        <f>IF(offer_sale_type="транзит",IFERROR(ROUND(SUM(I682:J682,M682:O682)/E682,2),0),0)</f>
        <v/>
      </c>
      <c r="Q682" s="141">
        <f>E682*P682</f>
        <v/>
      </c>
      <c r="R682" s="141">
        <f>ROUND(Q682*IF(AND(offer_incoterms="DDP",seller_region="RU"),IF((TODAY()+offer_turnaround_time)&gt;=helpsheet!$L$17,rate_vatRU_from_26,rate_vatRu_till_25),0),2)</f>
        <v/>
      </c>
      <c r="S682" s="177">
        <f>Q682+IF(AND(offer_incoterms="DDP",seller_region="RU"),R682,0)</f>
        <v/>
      </c>
      <c r="T682" s="45" t="n"/>
      <c r="V682" s="57">
        <f>IF(Q682&gt;0,"показать","скрыть")</f>
        <v/>
      </c>
    </row>
    <row r="683" ht="15.75" customHeight="1">
      <c r="B683" s="809" t="n">
        <v>667</v>
      </c>
      <c r="C683" s="182">
        <f>IF(offer_sale_type="транзит",IFERROR(VLOOKUP($B683,calc_data,C$14+1,0),0),0)</f>
        <v/>
      </c>
      <c r="D683" s="280">
        <f>IF(offer_sale_type="транзит",IFERROR(VLOOKUP($B683,calc_data,D$14+1,0),0),0)</f>
        <v/>
      </c>
      <c r="E683" s="182">
        <f>IF(offer_sale_type="транзит",IFERROR(VLOOKUP($B683,calc_data,E$14+1,0),0),0)</f>
        <v/>
      </c>
      <c r="F683" s="182">
        <f>IF(offer_sale_type="транзит",IFERROR(VLOOKUP($B683,calc_data,F$14+1,0),0),0)</f>
        <v/>
      </c>
      <c r="G683" s="141">
        <f>IF(offer_sale_type="транзит",IFERROR(VLOOKUP($B683,calc_data,G$14+1,0),0),0)</f>
        <v/>
      </c>
      <c r="H683" s="141">
        <f>E683*G683</f>
        <v/>
      </c>
      <c r="I683" s="141">
        <f>IF(offer_sale_type="транзит",IFERROR(ROUND(VLOOKUP($B683,calc_data,I$14+1,0),2),0),0)</f>
        <v/>
      </c>
      <c r="J683" s="141">
        <f>ROUND(IF(offer_sale_type="транзит",IFERROR(VLOOKUP($B683,calc_data,J$14+1,0),0),0),2)</f>
        <v/>
      </c>
      <c r="K683" s="142">
        <f>IF(offer_sale_type="транзит",IFERROR(ROUNDUP(VLOOKUP($B683,calc_data,K$14+1,0),2),0),0)</f>
        <v/>
      </c>
      <c r="L683" s="184">
        <f>IF(offer_sale_type="транзит",IFERROR(ROUNDUP(VLOOKUP($B683,calc_data,L$14+1,0),2),0),0)</f>
        <v/>
      </c>
      <c r="M683" s="141">
        <f>IF(offer_sale_type="транзит",IFERROR(ROUNDUP(VLOOKUP($B683,calc_data,M$14+1,0),2),0),0)</f>
        <v/>
      </c>
      <c r="N683" s="141">
        <f>IF(offer_sale_type="транзит",IFERROR(ROUNDUP(VLOOKUP($B683,calc_data,N$14+1,0),2),0),0)</f>
        <v/>
      </c>
      <c r="O683" s="147">
        <f>IF(offer_sale_type="транзит",IFERROR(ROUND(VLOOKUP($B683,calc_data,O$14+1,1),2),0),0)</f>
        <v/>
      </c>
      <c r="P683" s="141">
        <f>IF(offer_sale_type="транзит",IFERROR(ROUND(SUM(I683:J683,M683:O683)/E683,2),0),0)</f>
        <v/>
      </c>
      <c r="Q683" s="141">
        <f>E683*P683</f>
        <v/>
      </c>
      <c r="R683" s="141">
        <f>ROUND(Q683*IF(AND(offer_incoterms="DDP",seller_region="RU"),IF((TODAY()+offer_turnaround_time)&gt;=helpsheet!$L$17,rate_vatRU_from_26,rate_vatRu_till_25),0),2)</f>
        <v/>
      </c>
      <c r="S683" s="177">
        <f>Q683+IF(AND(offer_incoterms="DDP",seller_region="RU"),R683,0)</f>
        <v/>
      </c>
      <c r="T683" s="45" t="n"/>
      <c r="V683" s="57">
        <f>IF(Q683&gt;0,"показать","скрыть")</f>
        <v/>
      </c>
    </row>
    <row r="684" ht="15.75" customHeight="1">
      <c r="B684" s="809" t="n">
        <v>668</v>
      </c>
      <c r="C684" s="182">
        <f>IF(offer_sale_type="транзит",IFERROR(VLOOKUP($B684,calc_data,C$14+1,0),0),0)</f>
        <v/>
      </c>
      <c r="D684" s="280">
        <f>IF(offer_sale_type="транзит",IFERROR(VLOOKUP($B684,calc_data,D$14+1,0),0),0)</f>
        <v/>
      </c>
      <c r="E684" s="182">
        <f>IF(offer_sale_type="транзит",IFERROR(VLOOKUP($B684,calc_data,E$14+1,0),0),0)</f>
        <v/>
      </c>
      <c r="F684" s="182">
        <f>IF(offer_sale_type="транзит",IFERROR(VLOOKUP($B684,calc_data,F$14+1,0),0),0)</f>
        <v/>
      </c>
      <c r="G684" s="141">
        <f>IF(offer_sale_type="транзит",IFERROR(VLOOKUP($B684,calc_data,G$14+1,0),0),0)</f>
        <v/>
      </c>
      <c r="H684" s="141">
        <f>E684*G684</f>
        <v/>
      </c>
      <c r="I684" s="141">
        <f>IF(offer_sale_type="транзит",IFERROR(ROUND(VLOOKUP($B684,calc_data,I$14+1,0),2),0),0)</f>
        <v/>
      </c>
      <c r="J684" s="141">
        <f>ROUND(IF(offer_sale_type="транзит",IFERROR(VLOOKUP($B684,calc_data,J$14+1,0),0),0),2)</f>
        <v/>
      </c>
      <c r="K684" s="142">
        <f>IF(offer_sale_type="транзит",IFERROR(ROUNDUP(VLOOKUP($B684,calc_data,K$14+1,0),2),0),0)</f>
        <v/>
      </c>
      <c r="L684" s="184">
        <f>IF(offer_sale_type="транзит",IFERROR(ROUNDUP(VLOOKUP($B684,calc_data,L$14+1,0),2),0),0)</f>
        <v/>
      </c>
      <c r="M684" s="141">
        <f>IF(offer_sale_type="транзит",IFERROR(ROUNDUP(VLOOKUP($B684,calc_data,M$14+1,0),2),0),0)</f>
        <v/>
      </c>
      <c r="N684" s="141">
        <f>IF(offer_sale_type="транзит",IFERROR(ROUNDUP(VLOOKUP($B684,calc_data,N$14+1,0),2),0),0)</f>
        <v/>
      </c>
      <c r="O684" s="147">
        <f>IF(offer_sale_type="транзит",IFERROR(ROUND(VLOOKUP($B684,calc_data,O$14+1,1),2),0),0)</f>
        <v/>
      </c>
      <c r="P684" s="141">
        <f>IF(offer_sale_type="транзит",IFERROR(ROUND(SUM(I684:J684,M684:O684)/E684,2),0),0)</f>
        <v/>
      </c>
      <c r="Q684" s="141">
        <f>E684*P684</f>
        <v/>
      </c>
      <c r="R684" s="141">
        <f>ROUND(Q684*IF(AND(offer_incoterms="DDP",seller_region="RU"),IF((TODAY()+offer_turnaround_time)&gt;=helpsheet!$L$17,rate_vatRU_from_26,rate_vatRu_till_25),0),2)</f>
        <v/>
      </c>
      <c r="S684" s="177">
        <f>Q684+IF(AND(offer_incoterms="DDP",seller_region="RU"),R684,0)</f>
        <v/>
      </c>
      <c r="T684" s="45" t="n"/>
      <c r="V684" s="57">
        <f>IF(Q684&gt;0,"показать","скрыть")</f>
        <v/>
      </c>
    </row>
    <row r="685" ht="15.75" customHeight="1">
      <c r="B685" s="809" t="n">
        <v>669</v>
      </c>
      <c r="C685" s="182">
        <f>IF(offer_sale_type="транзит",IFERROR(VLOOKUP($B685,calc_data,C$14+1,0),0),0)</f>
        <v/>
      </c>
      <c r="D685" s="280">
        <f>IF(offer_sale_type="транзит",IFERROR(VLOOKUP($B685,calc_data,D$14+1,0),0),0)</f>
        <v/>
      </c>
      <c r="E685" s="182">
        <f>IF(offer_sale_type="транзит",IFERROR(VLOOKUP($B685,calc_data,E$14+1,0),0),0)</f>
        <v/>
      </c>
      <c r="F685" s="182">
        <f>IF(offer_sale_type="транзит",IFERROR(VLOOKUP($B685,calc_data,F$14+1,0),0),0)</f>
        <v/>
      </c>
      <c r="G685" s="141">
        <f>IF(offer_sale_type="транзит",IFERROR(VLOOKUP($B685,calc_data,G$14+1,0),0),0)</f>
        <v/>
      </c>
      <c r="H685" s="141">
        <f>E685*G685</f>
        <v/>
      </c>
      <c r="I685" s="141">
        <f>IF(offer_sale_type="транзит",IFERROR(ROUND(VLOOKUP($B685,calc_data,I$14+1,0),2),0),0)</f>
        <v/>
      </c>
      <c r="J685" s="141">
        <f>ROUND(IF(offer_sale_type="транзит",IFERROR(VLOOKUP($B685,calc_data,J$14+1,0),0),0),2)</f>
        <v/>
      </c>
      <c r="K685" s="142">
        <f>IF(offer_sale_type="транзит",IFERROR(ROUNDUP(VLOOKUP($B685,calc_data,K$14+1,0),2),0),0)</f>
        <v/>
      </c>
      <c r="L685" s="184">
        <f>IF(offer_sale_type="транзит",IFERROR(ROUNDUP(VLOOKUP($B685,calc_data,L$14+1,0),2),0),0)</f>
        <v/>
      </c>
      <c r="M685" s="141">
        <f>IF(offer_sale_type="транзит",IFERROR(ROUNDUP(VLOOKUP($B685,calc_data,M$14+1,0),2),0),0)</f>
        <v/>
      </c>
      <c r="N685" s="141">
        <f>IF(offer_sale_type="транзит",IFERROR(ROUNDUP(VLOOKUP($B685,calc_data,N$14+1,0),2),0),0)</f>
        <v/>
      </c>
      <c r="O685" s="147">
        <f>IF(offer_sale_type="транзит",IFERROR(ROUND(VLOOKUP($B685,calc_data,O$14+1,1),2),0),0)</f>
        <v/>
      </c>
      <c r="P685" s="141">
        <f>IF(offer_sale_type="транзит",IFERROR(ROUND(SUM(I685:J685,M685:O685)/E685,2),0),0)</f>
        <v/>
      </c>
      <c r="Q685" s="141">
        <f>E685*P685</f>
        <v/>
      </c>
      <c r="R685" s="141">
        <f>ROUND(Q685*IF(AND(offer_incoterms="DDP",seller_region="RU"),IF((TODAY()+offer_turnaround_time)&gt;=helpsheet!$L$17,rate_vatRU_from_26,rate_vatRu_till_25),0),2)</f>
        <v/>
      </c>
      <c r="S685" s="177">
        <f>Q685+IF(AND(offer_incoterms="DDP",seller_region="RU"),R685,0)</f>
        <v/>
      </c>
      <c r="T685" s="45" t="n"/>
      <c r="V685" s="57">
        <f>IF(Q685&gt;0,"показать","скрыть")</f>
        <v/>
      </c>
    </row>
    <row r="686" ht="15.75" customHeight="1">
      <c r="B686" s="809" t="n">
        <v>670</v>
      </c>
      <c r="C686" s="182">
        <f>IF(offer_sale_type="транзит",IFERROR(VLOOKUP($B686,calc_data,C$14+1,0),0),0)</f>
        <v/>
      </c>
      <c r="D686" s="280">
        <f>IF(offer_sale_type="транзит",IFERROR(VLOOKUP($B686,calc_data,D$14+1,0),0),0)</f>
        <v/>
      </c>
      <c r="E686" s="182">
        <f>IF(offer_sale_type="транзит",IFERROR(VLOOKUP($B686,calc_data,E$14+1,0),0),0)</f>
        <v/>
      </c>
      <c r="F686" s="182">
        <f>IF(offer_sale_type="транзит",IFERROR(VLOOKUP($B686,calc_data,F$14+1,0),0),0)</f>
        <v/>
      </c>
      <c r="G686" s="141">
        <f>IF(offer_sale_type="транзит",IFERROR(VLOOKUP($B686,calc_data,G$14+1,0),0),0)</f>
        <v/>
      </c>
      <c r="H686" s="141">
        <f>E686*G686</f>
        <v/>
      </c>
      <c r="I686" s="141">
        <f>IF(offer_sale_type="транзит",IFERROR(ROUND(VLOOKUP($B686,calc_data,I$14+1,0),2),0),0)</f>
        <v/>
      </c>
      <c r="J686" s="141">
        <f>ROUND(IF(offer_sale_type="транзит",IFERROR(VLOOKUP($B686,calc_data,J$14+1,0),0),0),2)</f>
        <v/>
      </c>
      <c r="K686" s="142">
        <f>IF(offer_sale_type="транзит",IFERROR(ROUNDUP(VLOOKUP($B686,calc_data,K$14+1,0),2),0),0)</f>
        <v/>
      </c>
      <c r="L686" s="184">
        <f>IF(offer_sale_type="транзит",IFERROR(ROUNDUP(VLOOKUP($B686,calc_data,L$14+1,0),2),0),0)</f>
        <v/>
      </c>
      <c r="M686" s="141">
        <f>IF(offer_sale_type="транзит",IFERROR(ROUNDUP(VLOOKUP($B686,calc_data,M$14+1,0),2),0),0)</f>
        <v/>
      </c>
      <c r="N686" s="141">
        <f>IF(offer_sale_type="транзит",IFERROR(ROUNDUP(VLOOKUP($B686,calc_data,N$14+1,0),2),0),0)</f>
        <v/>
      </c>
      <c r="O686" s="147">
        <f>IF(offer_sale_type="транзит",IFERROR(ROUND(VLOOKUP($B686,calc_data,O$14+1,1),2),0),0)</f>
        <v/>
      </c>
      <c r="P686" s="141">
        <f>IF(offer_sale_type="транзит",IFERROR(ROUND(SUM(I686:J686,M686:O686)/E686,2),0),0)</f>
        <v/>
      </c>
      <c r="Q686" s="141">
        <f>E686*P686</f>
        <v/>
      </c>
      <c r="R686" s="141">
        <f>ROUND(Q686*IF(AND(offer_incoterms="DDP",seller_region="RU"),IF((TODAY()+offer_turnaround_time)&gt;=helpsheet!$L$17,rate_vatRU_from_26,rate_vatRu_till_25),0),2)</f>
        <v/>
      </c>
      <c r="S686" s="177">
        <f>Q686+IF(AND(offer_incoterms="DDP",seller_region="RU"),R686,0)</f>
        <v/>
      </c>
      <c r="T686" s="45" t="n"/>
      <c r="V686" s="57">
        <f>IF(Q686&gt;0,"показать","скрыть")</f>
        <v/>
      </c>
    </row>
    <row r="687" ht="15.75" customHeight="1">
      <c r="B687" s="809" t="n">
        <v>671</v>
      </c>
      <c r="C687" s="182">
        <f>IF(offer_sale_type="транзит",IFERROR(VLOOKUP($B687,calc_data,C$14+1,0),0),0)</f>
        <v/>
      </c>
      <c r="D687" s="280">
        <f>IF(offer_sale_type="транзит",IFERROR(VLOOKUP($B687,calc_data,D$14+1,0),0),0)</f>
        <v/>
      </c>
      <c r="E687" s="182">
        <f>IF(offer_sale_type="транзит",IFERROR(VLOOKUP($B687,calc_data,E$14+1,0),0),0)</f>
        <v/>
      </c>
      <c r="F687" s="182">
        <f>IF(offer_sale_type="транзит",IFERROR(VLOOKUP($B687,calc_data,F$14+1,0),0),0)</f>
        <v/>
      </c>
      <c r="G687" s="141">
        <f>IF(offer_sale_type="транзит",IFERROR(VLOOKUP($B687,calc_data,G$14+1,0),0),0)</f>
        <v/>
      </c>
      <c r="H687" s="141">
        <f>E687*G687</f>
        <v/>
      </c>
      <c r="I687" s="141">
        <f>IF(offer_sale_type="транзит",IFERROR(ROUND(VLOOKUP($B687,calc_data,I$14+1,0),2),0),0)</f>
        <v/>
      </c>
      <c r="J687" s="141">
        <f>ROUND(IF(offer_sale_type="транзит",IFERROR(VLOOKUP($B687,calc_data,J$14+1,0),0),0),2)</f>
        <v/>
      </c>
      <c r="K687" s="142">
        <f>IF(offer_sale_type="транзит",IFERROR(ROUNDUP(VLOOKUP($B687,calc_data,K$14+1,0),2),0),0)</f>
        <v/>
      </c>
      <c r="L687" s="184">
        <f>IF(offer_sale_type="транзит",IFERROR(ROUNDUP(VLOOKUP($B687,calc_data,L$14+1,0),2),0),0)</f>
        <v/>
      </c>
      <c r="M687" s="141">
        <f>IF(offer_sale_type="транзит",IFERROR(ROUNDUP(VLOOKUP($B687,calc_data,M$14+1,0),2),0),0)</f>
        <v/>
      </c>
      <c r="N687" s="141">
        <f>IF(offer_sale_type="транзит",IFERROR(ROUNDUP(VLOOKUP($B687,calc_data,N$14+1,0),2),0),0)</f>
        <v/>
      </c>
      <c r="O687" s="147">
        <f>IF(offer_sale_type="транзит",IFERROR(ROUND(VLOOKUP($B687,calc_data,O$14+1,1),2),0),0)</f>
        <v/>
      </c>
      <c r="P687" s="141">
        <f>IF(offer_sale_type="транзит",IFERROR(ROUND(SUM(I687:J687,M687:O687)/E687,2),0),0)</f>
        <v/>
      </c>
      <c r="Q687" s="141">
        <f>E687*P687</f>
        <v/>
      </c>
      <c r="R687" s="141">
        <f>ROUND(Q687*IF(AND(offer_incoterms="DDP",seller_region="RU"),IF((TODAY()+offer_turnaround_time)&gt;=helpsheet!$L$17,rate_vatRU_from_26,rate_vatRu_till_25),0),2)</f>
        <v/>
      </c>
      <c r="S687" s="177">
        <f>Q687+IF(AND(offer_incoterms="DDP",seller_region="RU"),R687,0)</f>
        <v/>
      </c>
      <c r="T687" s="45" t="n"/>
      <c r="V687" s="57">
        <f>IF(Q687&gt;0,"показать","скрыть")</f>
        <v/>
      </c>
    </row>
    <row r="688" ht="15.75" customHeight="1">
      <c r="B688" s="809" t="n">
        <v>672</v>
      </c>
      <c r="C688" s="182">
        <f>IF(offer_sale_type="транзит",IFERROR(VLOOKUP($B688,calc_data,C$14+1,0),0),0)</f>
        <v/>
      </c>
      <c r="D688" s="280">
        <f>IF(offer_sale_type="транзит",IFERROR(VLOOKUP($B688,calc_data,D$14+1,0),0),0)</f>
        <v/>
      </c>
      <c r="E688" s="182">
        <f>IF(offer_sale_type="транзит",IFERROR(VLOOKUP($B688,calc_data,E$14+1,0),0),0)</f>
        <v/>
      </c>
      <c r="F688" s="182">
        <f>IF(offer_sale_type="транзит",IFERROR(VLOOKUP($B688,calc_data,F$14+1,0),0),0)</f>
        <v/>
      </c>
      <c r="G688" s="141">
        <f>IF(offer_sale_type="транзит",IFERROR(VLOOKUP($B688,calc_data,G$14+1,0),0),0)</f>
        <v/>
      </c>
      <c r="H688" s="141">
        <f>E688*G688</f>
        <v/>
      </c>
      <c r="I688" s="141">
        <f>IF(offer_sale_type="транзит",IFERROR(ROUND(VLOOKUP($B688,calc_data,I$14+1,0),2),0),0)</f>
        <v/>
      </c>
      <c r="J688" s="141">
        <f>ROUND(IF(offer_sale_type="транзит",IFERROR(VLOOKUP($B688,calc_data,J$14+1,0),0),0),2)</f>
        <v/>
      </c>
      <c r="K688" s="142">
        <f>IF(offer_sale_type="транзит",IFERROR(ROUNDUP(VLOOKUP($B688,calc_data,K$14+1,0),2),0),0)</f>
        <v/>
      </c>
      <c r="L688" s="184">
        <f>IF(offer_sale_type="транзит",IFERROR(ROUNDUP(VLOOKUP($B688,calc_data,L$14+1,0),2),0),0)</f>
        <v/>
      </c>
      <c r="M688" s="141">
        <f>IF(offer_sale_type="транзит",IFERROR(ROUNDUP(VLOOKUP($B688,calc_data,M$14+1,0),2),0),0)</f>
        <v/>
      </c>
      <c r="N688" s="141">
        <f>IF(offer_sale_type="транзит",IFERROR(ROUNDUP(VLOOKUP($B688,calc_data,N$14+1,0),2),0),0)</f>
        <v/>
      </c>
      <c r="O688" s="147">
        <f>IF(offer_sale_type="транзит",IFERROR(ROUND(VLOOKUP($B688,calc_data,O$14+1,1),2),0),0)</f>
        <v/>
      </c>
      <c r="P688" s="141">
        <f>IF(offer_sale_type="транзит",IFERROR(ROUND(SUM(I688:J688,M688:O688)/E688,2),0),0)</f>
        <v/>
      </c>
      <c r="Q688" s="141">
        <f>E688*P688</f>
        <v/>
      </c>
      <c r="R688" s="141">
        <f>ROUND(Q688*IF(AND(offer_incoterms="DDP",seller_region="RU"),IF((TODAY()+offer_turnaround_time)&gt;=helpsheet!$L$17,rate_vatRU_from_26,rate_vatRu_till_25),0),2)</f>
        <v/>
      </c>
      <c r="S688" s="177">
        <f>Q688+IF(AND(offer_incoterms="DDP",seller_region="RU"),R688,0)</f>
        <v/>
      </c>
      <c r="T688" s="45" t="n"/>
      <c r="V688" s="57">
        <f>IF(Q688&gt;0,"показать","скрыть")</f>
        <v/>
      </c>
    </row>
    <row r="689" ht="15.75" customHeight="1">
      <c r="B689" s="809" t="n">
        <v>673</v>
      </c>
      <c r="C689" s="182">
        <f>IF(offer_sale_type="транзит",IFERROR(VLOOKUP($B689,calc_data,C$14+1,0),0),0)</f>
        <v/>
      </c>
      <c r="D689" s="280">
        <f>IF(offer_sale_type="транзит",IFERROR(VLOOKUP($B689,calc_data,D$14+1,0),0),0)</f>
        <v/>
      </c>
      <c r="E689" s="182">
        <f>IF(offer_sale_type="транзит",IFERROR(VLOOKUP($B689,calc_data,E$14+1,0),0),0)</f>
        <v/>
      </c>
      <c r="F689" s="182">
        <f>IF(offer_sale_type="транзит",IFERROR(VLOOKUP($B689,calc_data,F$14+1,0),0),0)</f>
        <v/>
      </c>
      <c r="G689" s="141">
        <f>IF(offer_sale_type="транзит",IFERROR(VLOOKUP($B689,calc_data,G$14+1,0),0),0)</f>
        <v/>
      </c>
      <c r="H689" s="141">
        <f>E689*G689</f>
        <v/>
      </c>
      <c r="I689" s="141">
        <f>IF(offer_sale_type="транзит",IFERROR(ROUND(VLOOKUP($B689,calc_data,I$14+1,0),2),0),0)</f>
        <v/>
      </c>
      <c r="J689" s="141">
        <f>ROUND(IF(offer_sale_type="транзит",IFERROR(VLOOKUP($B689,calc_data,J$14+1,0),0),0),2)</f>
        <v/>
      </c>
      <c r="K689" s="142">
        <f>IF(offer_sale_type="транзит",IFERROR(ROUNDUP(VLOOKUP($B689,calc_data,K$14+1,0),2),0),0)</f>
        <v/>
      </c>
      <c r="L689" s="184">
        <f>IF(offer_sale_type="транзит",IFERROR(ROUNDUP(VLOOKUP($B689,calc_data,L$14+1,0),2),0),0)</f>
        <v/>
      </c>
      <c r="M689" s="141">
        <f>IF(offer_sale_type="транзит",IFERROR(ROUNDUP(VLOOKUP($B689,calc_data,M$14+1,0),2),0),0)</f>
        <v/>
      </c>
      <c r="N689" s="141">
        <f>IF(offer_sale_type="транзит",IFERROR(ROUNDUP(VLOOKUP($B689,calc_data,N$14+1,0),2),0),0)</f>
        <v/>
      </c>
      <c r="O689" s="147">
        <f>IF(offer_sale_type="транзит",IFERROR(ROUND(VLOOKUP($B689,calc_data,O$14+1,1),2),0),0)</f>
        <v/>
      </c>
      <c r="P689" s="141">
        <f>IF(offer_sale_type="транзит",IFERROR(ROUND(SUM(I689:J689,M689:O689)/E689,2),0),0)</f>
        <v/>
      </c>
      <c r="Q689" s="141">
        <f>E689*P689</f>
        <v/>
      </c>
      <c r="R689" s="141">
        <f>ROUND(Q689*IF(AND(offer_incoterms="DDP",seller_region="RU"),IF((TODAY()+offer_turnaround_time)&gt;=helpsheet!$L$17,rate_vatRU_from_26,rate_vatRu_till_25),0),2)</f>
        <v/>
      </c>
      <c r="S689" s="177">
        <f>Q689+IF(AND(offer_incoterms="DDP",seller_region="RU"),R689,0)</f>
        <v/>
      </c>
      <c r="T689" s="45" t="n"/>
      <c r="V689" s="57">
        <f>IF(Q689&gt;0,"показать","скрыть")</f>
        <v/>
      </c>
    </row>
    <row r="690" ht="15.75" customHeight="1">
      <c r="B690" s="809" t="n">
        <v>674</v>
      </c>
      <c r="C690" s="182">
        <f>IF(offer_sale_type="транзит",IFERROR(VLOOKUP($B690,calc_data,C$14+1,0),0),0)</f>
        <v/>
      </c>
      <c r="D690" s="280">
        <f>IF(offer_sale_type="транзит",IFERROR(VLOOKUP($B690,calc_data,D$14+1,0),0),0)</f>
        <v/>
      </c>
      <c r="E690" s="182">
        <f>IF(offer_sale_type="транзит",IFERROR(VLOOKUP($B690,calc_data,E$14+1,0),0),0)</f>
        <v/>
      </c>
      <c r="F690" s="182">
        <f>IF(offer_sale_type="транзит",IFERROR(VLOOKUP($B690,calc_data,F$14+1,0),0),0)</f>
        <v/>
      </c>
      <c r="G690" s="141">
        <f>IF(offer_sale_type="транзит",IFERROR(VLOOKUP($B690,calc_data,G$14+1,0),0),0)</f>
        <v/>
      </c>
      <c r="H690" s="141">
        <f>E690*G690</f>
        <v/>
      </c>
      <c r="I690" s="141">
        <f>IF(offer_sale_type="транзит",IFERROR(ROUND(VLOOKUP($B690,calc_data,I$14+1,0),2),0),0)</f>
        <v/>
      </c>
      <c r="J690" s="141">
        <f>ROUND(IF(offer_sale_type="транзит",IFERROR(VLOOKUP($B690,calc_data,J$14+1,0),0),0),2)</f>
        <v/>
      </c>
      <c r="K690" s="142">
        <f>IF(offer_sale_type="транзит",IFERROR(ROUNDUP(VLOOKUP($B690,calc_data,K$14+1,0),2),0),0)</f>
        <v/>
      </c>
      <c r="L690" s="184">
        <f>IF(offer_sale_type="транзит",IFERROR(ROUNDUP(VLOOKUP($B690,calc_data,L$14+1,0),2),0),0)</f>
        <v/>
      </c>
      <c r="M690" s="141">
        <f>IF(offer_sale_type="транзит",IFERROR(ROUNDUP(VLOOKUP($B690,calc_data,M$14+1,0),2),0),0)</f>
        <v/>
      </c>
      <c r="N690" s="141">
        <f>IF(offer_sale_type="транзит",IFERROR(ROUNDUP(VLOOKUP($B690,calc_data,N$14+1,0),2),0),0)</f>
        <v/>
      </c>
      <c r="O690" s="147">
        <f>IF(offer_sale_type="транзит",IFERROR(ROUND(VLOOKUP($B690,calc_data,O$14+1,1),2),0),0)</f>
        <v/>
      </c>
      <c r="P690" s="141">
        <f>IF(offer_sale_type="транзит",IFERROR(ROUND(SUM(I690:J690,M690:O690)/E690,2),0),0)</f>
        <v/>
      </c>
      <c r="Q690" s="141">
        <f>E690*P690</f>
        <v/>
      </c>
      <c r="R690" s="141">
        <f>ROUND(Q690*IF(AND(offer_incoterms="DDP",seller_region="RU"),IF((TODAY()+offer_turnaround_time)&gt;=helpsheet!$L$17,rate_vatRU_from_26,rate_vatRu_till_25),0),2)</f>
        <v/>
      </c>
      <c r="S690" s="177">
        <f>Q690+IF(AND(offer_incoterms="DDP",seller_region="RU"),R690,0)</f>
        <v/>
      </c>
      <c r="T690" s="45" t="n"/>
      <c r="V690" s="57">
        <f>IF(Q690&gt;0,"показать","скрыть")</f>
        <v/>
      </c>
    </row>
    <row r="691" ht="15.75" customHeight="1">
      <c r="B691" s="809" t="n">
        <v>675</v>
      </c>
      <c r="C691" s="182">
        <f>IF(offer_sale_type="транзит",IFERROR(VLOOKUP($B691,calc_data,C$14+1,0),0),0)</f>
        <v/>
      </c>
      <c r="D691" s="280">
        <f>IF(offer_sale_type="транзит",IFERROR(VLOOKUP($B691,calc_data,D$14+1,0),0),0)</f>
        <v/>
      </c>
      <c r="E691" s="182">
        <f>IF(offer_sale_type="транзит",IFERROR(VLOOKUP($B691,calc_data,E$14+1,0),0),0)</f>
        <v/>
      </c>
      <c r="F691" s="182">
        <f>IF(offer_sale_type="транзит",IFERROR(VLOOKUP($B691,calc_data,F$14+1,0),0),0)</f>
        <v/>
      </c>
      <c r="G691" s="141">
        <f>IF(offer_sale_type="транзит",IFERROR(VLOOKUP($B691,calc_data,G$14+1,0),0),0)</f>
        <v/>
      </c>
      <c r="H691" s="141">
        <f>E691*G691</f>
        <v/>
      </c>
      <c r="I691" s="141">
        <f>IF(offer_sale_type="транзит",IFERROR(ROUND(VLOOKUP($B691,calc_data,I$14+1,0),2),0),0)</f>
        <v/>
      </c>
      <c r="J691" s="141">
        <f>ROUND(IF(offer_sale_type="транзит",IFERROR(VLOOKUP($B691,calc_data,J$14+1,0),0),0),2)</f>
        <v/>
      </c>
      <c r="K691" s="142">
        <f>IF(offer_sale_type="транзит",IFERROR(ROUNDUP(VLOOKUP($B691,calc_data,K$14+1,0),2),0),0)</f>
        <v/>
      </c>
      <c r="L691" s="184">
        <f>IF(offer_sale_type="транзит",IFERROR(ROUNDUP(VLOOKUP($B691,calc_data,L$14+1,0),2),0),0)</f>
        <v/>
      </c>
      <c r="M691" s="141">
        <f>IF(offer_sale_type="транзит",IFERROR(ROUNDUP(VLOOKUP($B691,calc_data,M$14+1,0),2),0),0)</f>
        <v/>
      </c>
      <c r="N691" s="141">
        <f>IF(offer_sale_type="транзит",IFERROR(ROUNDUP(VLOOKUP($B691,calc_data,N$14+1,0),2),0),0)</f>
        <v/>
      </c>
      <c r="O691" s="147">
        <f>IF(offer_sale_type="транзит",IFERROR(ROUND(VLOOKUP($B691,calc_data,O$14+1,1),2),0),0)</f>
        <v/>
      </c>
      <c r="P691" s="141">
        <f>IF(offer_sale_type="транзит",IFERROR(ROUND(SUM(I691:J691,M691:O691)/E691,2),0),0)</f>
        <v/>
      </c>
      <c r="Q691" s="141">
        <f>E691*P691</f>
        <v/>
      </c>
      <c r="R691" s="141">
        <f>ROUND(Q691*IF(AND(offer_incoterms="DDP",seller_region="RU"),IF((TODAY()+offer_turnaround_time)&gt;=helpsheet!$L$17,rate_vatRU_from_26,rate_vatRu_till_25),0),2)</f>
        <v/>
      </c>
      <c r="S691" s="177">
        <f>Q691+IF(AND(offer_incoterms="DDP",seller_region="RU"),R691,0)</f>
        <v/>
      </c>
      <c r="T691" s="45" t="n"/>
      <c r="V691" s="57">
        <f>IF(Q691&gt;0,"показать","скрыть")</f>
        <v/>
      </c>
    </row>
    <row r="692" ht="15.75" customHeight="1">
      <c r="B692" s="809" t="n">
        <v>676</v>
      </c>
      <c r="C692" s="182">
        <f>IF(offer_sale_type="транзит",IFERROR(VLOOKUP($B692,calc_data,C$14+1,0),0),0)</f>
        <v/>
      </c>
      <c r="D692" s="280">
        <f>IF(offer_sale_type="транзит",IFERROR(VLOOKUP($B692,calc_data,D$14+1,0),0),0)</f>
        <v/>
      </c>
      <c r="E692" s="182">
        <f>IF(offer_sale_type="транзит",IFERROR(VLOOKUP($B692,calc_data,E$14+1,0),0),0)</f>
        <v/>
      </c>
      <c r="F692" s="182">
        <f>IF(offer_sale_type="транзит",IFERROR(VLOOKUP($B692,calc_data,F$14+1,0),0),0)</f>
        <v/>
      </c>
      <c r="G692" s="141">
        <f>IF(offer_sale_type="транзит",IFERROR(VLOOKUP($B692,calc_data,G$14+1,0),0),0)</f>
        <v/>
      </c>
      <c r="H692" s="141">
        <f>E692*G692</f>
        <v/>
      </c>
      <c r="I692" s="141">
        <f>IF(offer_sale_type="транзит",IFERROR(ROUND(VLOOKUP($B692,calc_data,I$14+1,0),2),0),0)</f>
        <v/>
      </c>
      <c r="J692" s="141">
        <f>ROUND(IF(offer_sale_type="транзит",IFERROR(VLOOKUP($B692,calc_data,J$14+1,0),0),0),2)</f>
        <v/>
      </c>
      <c r="K692" s="142">
        <f>IF(offer_sale_type="транзит",IFERROR(ROUNDUP(VLOOKUP($B692,calc_data,K$14+1,0),2),0),0)</f>
        <v/>
      </c>
      <c r="L692" s="184">
        <f>IF(offer_sale_type="транзит",IFERROR(ROUNDUP(VLOOKUP($B692,calc_data,L$14+1,0),2),0),0)</f>
        <v/>
      </c>
      <c r="M692" s="141">
        <f>IF(offer_sale_type="транзит",IFERROR(ROUNDUP(VLOOKUP($B692,calc_data,M$14+1,0),2),0),0)</f>
        <v/>
      </c>
      <c r="N692" s="141">
        <f>IF(offer_sale_type="транзит",IFERROR(ROUNDUP(VLOOKUP($B692,calc_data,N$14+1,0),2),0),0)</f>
        <v/>
      </c>
      <c r="O692" s="147">
        <f>IF(offer_sale_type="транзит",IFERROR(ROUND(VLOOKUP($B692,calc_data,O$14+1,1),2),0),0)</f>
        <v/>
      </c>
      <c r="P692" s="141">
        <f>IF(offer_sale_type="транзит",IFERROR(ROUND(SUM(I692:J692,M692:O692)/E692,2),0),0)</f>
        <v/>
      </c>
      <c r="Q692" s="141">
        <f>E692*P692</f>
        <v/>
      </c>
      <c r="R692" s="141">
        <f>ROUND(Q692*IF(AND(offer_incoterms="DDP",seller_region="RU"),IF((TODAY()+offer_turnaround_time)&gt;=helpsheet!$L$17,rate_vatRU_from_26,rate_vatRu_till_25),0),2)</f>
        <v/>
      </c>
      <c r="S692" s="177">
        <f>Q692+IF(AND(offer_incoterms="DDP",seller_region="RU"),R692,0)</f>
        <v/>
      </c>
      <c r="T692" s="45" t="n"/>
      <c r="V692" s="57">
        <f>IF(Q692&gt;0,"показать","скрыть")</f>
        <v/>
      </c>
    </row>
    <row r="693" ht="15.75" customHeight="1">
      <c r="B693" s="809" t="n">
        <v>677</v>
      </c>
      <c r="C693" s="182">
        <f>IF(offer_sale_type="транзит",IFERROR(VLOOKUP($B693,calc_data,C$14+1,0),0),0)</f>
        <v/>
      </c>
      <c r="D693" s="280">
        <f>IF(offer_sale_type="транзит",IFERROR(VLOOKUP($B693,calc_data,D$14+1,0),0),0)</f>
        <v/>
      </c>
      <c r="E693" s="182">
        <f>IF(offer_sale_type="транзит",IFERROR(VLOOKUP($B693,calc_data,E$14+1,0),0),0)</f>
        <v/>
      </c>
      <c r="F693" s="182">
        <f>IF(offer_sale_type="транзит",IFERROR(VLOOKUP($B693,calc_data,F$14+1,0),0),0)</f>
        <v/>
      </c>
      <c r="G693" s="141">
        <f>IF(offer_sale_type="транзит",IFERROR(VLOOKUP($B693,calc_data,G$14+1,0),0),0)</f>
        <v/>
      </c>
      <c r="H693" s="141">
        <f>E693*G693</f>
        <v/>
      </c>
      <c r="I693" s="141">
        <f>IF(offer_sale_type="транзит",IFERROR(ROUND(VLOOKUP($B693,calc_data,I$14+1,0),2),0),0)</f>
        <v/>
      </c>
      <c r="J693" s="141">
        <f>ROUND(IF(offer_sale_type="транзит",IFERROR(VLOOKUP($B693,calc_data,J$14+1,0),0),0),2)</f>
        <v/>
      </c>
      <c r="K693" s="142">
        <f>IF(offer_sale_type="транзит",IFERROR(ROUNDUP(VLOOKUP($B693,calc_data,K$14+1,0),2),0),0)</f>
        <v/>
      </c>
      <c r="L693" s="184">
        <f>IF(offer_sale_type="транзит",IFERROR(ROUNDUP(VLOOKUP($B693,calc_data,L$14+1,0),2),0),0)</f>
        <v/>
      </c>
      <c r="M693" s="141">
        <f>IF(offer_sale_type="транзит",IFERROR(ROUNDUP(VLOOKUP($B693,calc_data,M$14+1,0),2),0),0)</f>
        <v/>
      </c>
      <c r="N693" s="141">
        <f>IF(offer_sale_type="транзит",IFERROR(ROUNDUP(VLOOKUP($B693,calc_data,N$14+1,0),2),0),0)</f>
        <v/>
      </c>
      <c r="O693" s="147">
        <f>IF(offer_sale_type="транзит",IFERROR(ROUND(VLOOKUP($B693,calc_data,O$14+1,1),2),0),0)</f>
        <v/>
      </c>
      <c r="P693" s="141">
        <f>IF(offer_sale_type="транзит",IFERROR(ROUND(SUM(I693:J693,M693:O693)/E693,2),0),0)</f>
        <v/>
      </c>
      <c r="Q693" s="141">
        <f>E693*P693</f>
        <v/>
      </c>
      <c r="R693" s="141">
        <f>ROUND(Q693*IF(AND(offer_incoterms="DDP",seller_region="RU"),IF((TODAY()+offer_turnaround_time)&gt;=helpsheet!$L$17,rate_vatRU_from_26,rate_vatRu_till_25),0),2)</f>
        <v/>
      </c>
      <c r="S693" s="177">
        <f>Q693+IF(AND(offer_incoterms="DDP",seller_region="RU"),R693,0)</f>
        <v/>
      </c>
      <c r="T693" s="45" t="n"/>
      <c r="V693" s="57">
        <f>IF(Q693&gt;0,"показать","скрыть")</f>
        <v/>
      </c>
    </row>
    <row r="694" ht="15.75" customHeight="1">
      <c r="B694" s="809" t="n">
        <v>678</v>
      </c>
      <c r="C694" s="182">
        <f>IF(offer_sale_type="транзит",IFERROR(VLOOKUP($B694,calc_data,C$14+1,0),0),0)</f>
        <v/>
      </c>
      <c r="D694" s="280">
        <f>IF(offer_sale_type="транзит",IFERROR(VLOOKUP($B694,calc_data,D$14+1,0),0),0)</f>
        <v/>
      </c>
      <c r="E694" s="182">
        <f>IF(offer_sale_type="транзит",IFERROR(VLOOKUP($B694,calc_data,E$14+1,0),0),0)</f>
        <v/>
      </c>
      <c r="F694" s="182">
        <f>IF(offer_sale_type="транзит",IFERROR(VLOOKUP($B694,calc_data,F$14+1,0),0),0)</f>
        <v/>
      </c>
      <c r="G694" s="141">
        <f>IF(offer_sale_type="транзит",IFERROR(VLOOKUP($B694,calc_data,G$14+1,0),0),0)</f>
        <v/>
      </c>
      <c r="H694" s="141">
        <f>E694*G694</f>
        <v/>
      </c>
      <c r="I694" s="141">
        <f>IF(offer_sale_type="транзит",IFERROR(ROUND(VLOOKUP($B694,calc_data,I$14+1,0),2),0),0)</f>
        <v/>
      </c>
      <c r="J694" s="141">
        <f>ROUND(IF(offer_sale_type="транзит",IFERROR(VLOOKUP($B694,calc_data,J$14+1,0),0),0),2)</f>
        <v/>
      </c>
      <c r="K694" s="142">
        <f>IF(offer_sale_type="транзит",IFERROR(ROUNDUP(VLOOKUP($B694,calc_data,K$14+1,0),2),0),0)</f>
        <v/>
      </c>
      <c r="L694" s="184">
        <f>IF(offer_sale_type="транзит",IFERROR(ROUNDUP(VLOOKUP($B694,calc_data,L$14+1,0),2),0),0)</f>
        <v/>
      </c>
      <c r="M694" s="141">
        <f>IF(offer_sale_type="транзит",IFERROR(ROUNDUP(VLOOKUP($B694,calc_data,M$14+1,0),2),0),0)</f>
        <v/>
      </c>
      <c r="N694" s="141">
        <f>IF(offer_sale_type="транзит",IFERROR(ROUNDUP(VLOOKUP($B694,calc_data,N$14+1,0),2),0),0)</f>
        <v/>
      </c>
      <c r="O694" s="147">
        <f>IF(offer_sale_type="транзит",IFERROR(ROUND(VLOOKUP($B694,calc_data,O$14+1,1),2),0),0)</f>
        <v/>
      </c>
      <c r="P694" s="141">
        <f>IF(offer_sale_type="транзит",IFERROR(ROUND(SUM(I694:J694,M694:O694)/E694,2),0),0)</f>
        <v/>
      </c>
      <c r="Q694" s="141">
        <f>E694*P694</f>
        <v/>
      </c>
      <c r="R694" s="141">
        <f>ROUND(Q694*IF(AND(offer_incoterms="DDP",seller_region="RU"),IF((TODAY()+offer_turnaround_time)&gt;=helpsheet!$L$17,rate_vatRU_from_26,rate_vatRu_till_25),0),2)</f>
        <v/>
      </c>
      <c r="S694" s="177">
        <f>Q694+IF(AND(offer_incoterms="DDP",seller_region="RU"),R694,0)</f>
        <v/>
      </c>
      <c r="T694" s="45" t="n"/>
      <c r="V694" s="57">
        <f>IF(Q694&gt;0,"показать","скрыть")</f>
        <v/>
      </c>
    </row>
    <row r="695" ht="15.75" customHeight="1">
      <c r="B695" s="809" t="n">
        <v>679</v>
      </c>
      <c r="C695" s="182">
        <f>IF(offer_sale_type="транзит",IFERROR(VLOOKUP($B695,calc_data,C$14+1,0),0),0)</f>
        <v/>
      </c>
      <c r="D695" s="280">
        <f>IF(offer_sale_type="транзит",IFERROR(VLOOKUP($B695,calc_data,D$14+1,0),0),0)</f>
        <v/>
      </c>
      <c r="E695" s="182">
        <f>IF(offer_sale_type="транзит",IFERROR(VLOOKUP($B695,calc_data,E$14+1,0),0),0)</f>
        <v/>
      </c>
      <c r="F695" s="182">
        <f>IF(offer_sale_type="транзит",IFERROR(VLOOKUP($B695,calc_data,F$14+1,0),0),0)</f>
        <v/>
      </c>
      <c r="G695" s="141">
        <f>IF(offer_sale_type="транзит",IFERROR(VLOOKUP($B695,calc_data,G$14+1,0),0),0)</f>
        <v/>
      </c>
      <c r="H695" s="141">
        <f>E695*G695</f>
        <v/>
      </c>
      <c r="I695" s="141">
        <f>IF(offer_sale_type="транзит",IFERROR(ROUND(VLOOKUP($B695,calc_data,I$14+1,0),2),0),0)</f>
        <v/>
      </c>
      <c r="J695" s="141">
        <f>ROUND(IF(offer_sale_type="транзит",IFERROR(VLOOKUP($B695,calc_data,J$14+1,0),0),0),2)</f>
        <v/>
      </c>
      <c r="K695" s="142">
        <f>IF(offer_sale_type="транзит",IFERROR(ROUNDUP(VLOOKUP($B695,calc_data,K$14+1,0),2),0),0)</f>
        <v/>
      </c>
      <c r="L695" s="184">
        <f>IF(offer_sale_type="транзит",IFERROR(ROUNDUP(VLOOKUP($B695,calc_data,L$14+1,0),2),0),0)</f>
        <v/>
      </c>
      <c r="M695" s="141">
        <f>IF(offer_sale_type="транзит",IFERROR(ROUNDUP(VLOOKUP($B695,calc_data,M$14+1,0),2),0),0)</f>
        <v/>
      </c>
      <c r="N695" s="141">
        <f>IF(offer_sale_type="транзит",IFERROR(ROUNDUP(VLOOKUP($B695,calc_data,N$14+1,0),2),0),0)</f>
        <v/>
      </c>
      <c r="O695" s="147">
        <f>IF(offer_sale_type="транзит",IFERROR(ROUND(VLOOKUP($B695,calc_data,O$14+1,1),2),0),0)</f>
        <v/>
      </c>
      <c r="P695" s="141">
        <f>IF(offer_sale_type="транзит",IFERROR(ROUND(SUM(I695:J695,M695:O695)/E695,2),0),0)</f>
        <v/>
      </c>
      <c r="Q695" s="141">
        <f>E695*P695</f>
        <v/>
      </c>
      <c r="R695" s="141">
        <f>ROUND(Q695*IF(AND(offer_incoterms="DDP",seller_region="RU"),IF((TODAY()+offer_turnaround_time)&gt;=helpsheet!$L$17,rate_vatRU_from_26,rate_vatRu_till_25),0),2)</f>
        <v/>
      </c>
      <c r="S695" s="177">
        <f>Q695+IF(AND(offer_incoterms="DDP",seller_region="RU"),R695,0)</f>
        <v/>
      </c>
      <c r="T695" s="45" t="n"/>
      <c r="V695" s="57">
        <f>IF(Q695&gt;0,"показать","скрыть")</f>
        <v/>
      </c>
    </row>
    <row r="696" ht="15.75" customHeight="1">
      <c r="B696" s="809" t="n">
        <v>680</v>
      </c>
      <c r="C696" s="182">
        <f>IF(offer_sale_type="транзит",IFERROR(VLOOKUP($B696,calc_data,C$14+1,0),0),0)</f>
        <v/>
      </c>
      <c r="D696" s="280">
        <f>IF(offer_sale_type="транзит",IFERROR(VLOOKUP($B696,calc_data,D$14+1,0),0),0)</f>
        <v/>
      </c>
      <c r="E696" s="182">
        <f>IF(offer_sale_type="транзит",IFERROR(VLOOKUP($B696,calc_data,E$14+1,0),0),0)</f>
        <v/>
      </c>
      <c r="F696" s="182">
        <f>IF(offer_sale_type="транзит",IFERROR(VLOOKUP($B696,calc_data,F$14+1,0),0),0)</f>
        <v/>
      </c>
      <c r="G696" s="141">
        <f>IF(offer_sale_type="транзит",IFERROR(VLOOKUP($B696,calc_data,G$14+1,0),0),0)</f>
        <v/>
      </c>
      <c r="H696" s="141">
        <f>E696*G696</f>
        <v/>
      </c>
      <c r="I696" s="141">
        <f>IF(offer_sale_type="транзит",IFERROR(ROUND(VLOOKUP($B696,calc_data,I$14+1,0),2),0),0)</f>
        <v/>
      </c>
      <c r="J696" s="141">
        <f>ROUND(IF(offer_sale_type="транзит",IFERROR(VLOOKUP($B696,calc_data,J$14+1,0),0),0),2)</f>
        <v/>
      </c>
      <c r="K696" s="142">
        <f>IF(offer_sale_type="транзит",IFERROR(ROUNDUP(VLOOKUP($B696,calc_data,K$14+1,0),2),0),0)</f>
        <v/>
      </c>
      <c r="L696" s="184">
        <f>IF(offer_sale_type="транзит",IFERROR(ROUNDUP(VLOOKUP($B696,calc_data,L$14+1,0),2),0),0)</f>
        <v/>
      </c>
      <c r="M696" s="141">
        <f>IF(offer_sale_type="транзит",IFERROR(ROUNDUP(VLOOKUP($B696,calc_data,M$14+1,0),2),0),0)</f>
        <v/>
      </c>
      <c r="N696" s="141">
        <f>IF(offer_sale_type="транзит",IFERROR(ROUNDUP(VLOOKUP($B696,calc_data,N$14+1,0),2),0),0)</f>
        <v/>
      </c>
      <c r="O696" s="147">
        <f>IF(offer_sale_type="транзит",IFERROR(ROUND(VLOOKUP($B696,calc_data,O$14+1,1),2),0),0)</f>
        <v/>
      </c>
      <c r="P696" s="141">
        <f>IF(offer_sale_type="транзит",IFERROR(ROUND(SUM(I696:J696,M696:O696)/E696,2),0),0)</f>
        <v/>
      </c>
      <c r="Q696" s="141">
        <f>E696*P696</f>
        <v/>
      </c>
      <c r="R696" s="141">
        <f>ROUND(Q696*IF(AND(offer_incoterms="DDP",seller_region="RU"),IF((TODAY()+offer_turnaround_time)&gt;=helpsheet!$L$17,rate_vatRU_from_26,rate_vatRu_till_25),0),2)</f>
        <v/>
      </c>
      <c r="S696" s="177">
        <f>Q696+IF(AND(offer_incoterms="DDP",seller_region="RU"),R696,0)</f>
        <v/>
      </c>
      <c r="T696" s="45" t="n"/>
      <c r="V696" s="57">
        <f>IF(Q696&gt;0,"показать","скрыть")</f>
        <v/>
      </c>
    </row>
    <row r="697" ht="15.75" customHeight="1">
      <c r="B697" s="809" t="n">
        <v>681</v>
      </c>
      <c r="C697" s="182">
        <f>IF(offer_sale_type="транзит",IFERROR(VLOOKUP($B697,calc_data,C$14+1,0),0),0)</f>
        <v/>
      </c>
      <c r="D697" s="280">
        <f>IF(offer_sale_type="транзит",IFERROR(VLOOKUP($B697,calc_data,D$14+1,0),0),0)</f>
        <v/>
      </c>
      <c r="E697" s="182">
        <f>IF(offer_sale_type="транзит",IFERROR(VLOOKUP($B697,calc_data,E$14+1,0),0),0)</f>
        <v/>
      </c>
      <c r="F697" s="182">
        <f>IF(offer_sale_type="транзит",IFERROR(VLOOKUP($B697,calc_data,F$14+1,0),0),0)</f>
        <v/>
      </c>
      <c r="G697" s="141">
        <f>IF(offer_sale_type="транзит",IFERROR(VLOOKUP($B697,calc_data,G$14+1,0),0),0)</f>
        <v/>
      </c>
      <c r="H697" s="141">
        <f>E697*G697</f>
        <v/>
      </c>
      <c r="I697" s="141">
        <f>IF(offer_sale_type="транзит",IFERROR(ROUND(VLOOKUP($B697,calc_data,I$14+1,0),2),0),0)</f>
        <v/>
      </c>
      <c r="J697" s="141">
        <f>ROUND(IF(offer_sale_type="транзит",IFERROR(VLOOKUP($B697,calc_data,J$14+1,0),0),0),2)</f>
        <v/>
      </c>
      <c r="K697" s="142">
        <f>IF(offer_sale_type="транзит",IFERROR(ROUNDUP(VLOOKUP($B697,calc_data,K$14+1,0),2),0),0)</f>
        <v/>
      </c>
      <c r="L697" s="184">
        <f>IF(offer_sale_type="транзит",IFERROR(ROUNDUP(VLOOKUP($B697,calc_data,L$14+1,0),2),0),0)</f>
        <v/>
      </c>
      <c r="M697" s="141">
        <f>IF(offer_sale_type="транзит",IFERROR(ROUNDUP(VLOOKUP($B697,calc_data,M$14+1,0),2),0),0)</f>
        <v/>
      </c>
      <c r="N697" s="141">
        <f>IF(offer_sale_type="транзит",IFERROR(ROUNDUP(VLOOKUP($B697,calc_data,N$14+1,0),2),0),0)</f>
        <v/>
      </c>
      <c r="O697" s="147">
        <f>IF(offer_sale_type="транзит",IFERROR(ROUND(VLOOKUP($B697,calc_data,O$14+1,1),2),0),0)</f>
        <v/>
      </c>
      <c r="P697" s="141">
        <f>IF(offer_sale_type="транзит",IFERROR(ROUND(SUM(I697:J697,M697:O697)/E697,2),0),0)</f>
        <v/>
      </c>
      <c r="Q697" s="141">
        <f>E697*P697</f>
        <v/>
      </c>
      <c r="R697" s="141">
        <f>ROUND(Q697*IF(AND(offer_incoterms="DDP",seller_region="RU"),IF((TODAY()+offer_turnaround_time)&gt;=helpsheet!$L$17,rate_vatRU_from_26,rate_vatRu_till_25),0),2)</f>
        <v/>
      </c>
      <c r="S697" s="177">
        <f>Q697+IF(AND(offer_incoterms="DDP",seller_region="RU"),R697,0)</f>
        <v/>
      </c>
      <c r="T697" s="45" t="n"/>
      <c r="V697" s="57">
        <f>IF(Q697&gt;0,"показать","скрыть")</f>
        <v/>
      </c>
    </row>
    <row r="698" ht="15.75" customHeight="1">
      <c r="B698" s="809" t="n">
        <v>682</v>
      </c>
      <c r="C698" s="182">
        <f>IF(offer_sale_type="транзит",IFERROR(VLOOKUP($B698,calc_data,C$14+1,0),0),0)</f>
        <v/>
      </c>
      <c r="D698" s="280">
        <f>IF(offer_sale_type="транзит",IFERROR(VLOOKUP($B698,calc_data,D$14+1,0),0),0)</f>
        <v/>
      </c>
      <c r="E698" s="182">
        <f>IF(offer_sale_type="транзит",IFERROR(VLOOKUP($B698,calc_data,E$14+1,0),0),0)</f>
        <v/>
      </c>
      <c r="F698" s="182">
        <f>IF(offer_sale_type="транзит",IFERROR(VLOOKUP($B698,calc_data,F$14+1,0),0),0)</f>
        <v/>
      </c>
      <c r="G698" s="141">
        <f>IF(offer_sale_type="транзит",IFERROR(VLOOKUP($B698,calc_data,G$14+1,0),0),0)</f>
        <v/>
      </c>
      <c r="H698" s="141">
        <f>E698*G698</f>
        <v/>
      </c>
      <c r="I698" s="141">
        <f>IF(offer_sale_type="транзит",IFERROR(ROUND(VLOOKUP($B698,calc_data,I$14+1,0),2),0),0)</f>
        <v/>
      </c>
      <c r="J698" s="141">
        <f>ROUND(IF(offer_sale_type="транзит",IFERROR(VLOOKUP($B698,calc_data,J$14+1,0),0),0),2)</f>
        <v/>
      </c>
      <c r="K698" s="142">
        <f>IF(offer_sale_type="транзит",IFERROR(ROUNDUP(VLOOKUP($B698,calc_data,K$14+1,0),2),0),0)</f>
        <v/>
      </c>
      <c r="L698" s="184">
        <f>IF(offer_sale_type="транзит",IFERROR(ROUNDUP(VLOOKUP($B698,calc_data,L$14+1,0),2),0),0)</f>
        <v/>
      </c>
      <c r="M698" s="141">
        <f>IF(offer_sale_type="транзит",IFERROR(ROUNDUP(VLOOKUP($B698,calc_data,M$14+1,0),2),0),0)</f>
        <v/>
      </c>
      <c r="N698" s="141">
        <f>IF(offer_sale_type="транзит",IFERROR(ROUNDUP(VLOOKUP($B698,calc_data,N$14+1,0),2),0),0)</f>
        <v/>
      </c>
      <c r="O698" s="147">
        <f>IF(offer_sale_type="транзит",IFERROR(ROUND(VLOOKUP($B698,calc_data,O$14+1,1),2),0),0)</f>
        <v/>
      </c>
      <c r="P698" s="141">
        <f>IF(offer_sale_type="транзит",IFERROR(ROUND(SUM(I698:J698,M698:O698)/E698,2),0),0)</f>
        <v/>
      </c>
      <c r="Q698" s="141">
        <f>E698*P698</f>
        <v/>
      </c>
      <c r="R698" s="141">
        <f>ROUND(Q698*IF(AND(offer_incoterms="DDP",seller_region="RU"),IF((TODAY()+offer_turnaround_time)&gt;=helpsheet!$L$17,rate_vatRU_from_26,rate_vatRu_till_25),0),2)</f>
        <v/>
      </c>
      <c r="S698" s="177">
        <f>Q698+IF(AND(offer_incoterms="DDP",seller_region="RU"),R698,0)</f>
        <v/>
      </c>
      <c r="T698" s="45" t="n"/>
      <c r="V698" s="57">
        <f>IF(Q698&gt;0,"показать","скрыть")</f>
        <v/>
      </c>
    </row>
    <row r="699" ht="15.75" customHeight="1">
      <c r="B699" s="809" t="n">
        <v>683</v>
      </c>
      <c r="C699" s="182">
        <f>IF(offer_sale_type="транзит",IFERROR(VLOOKUP($B699,calc_data,C$14+1,0),0),0)</f>
        <v/>
      </c>
      <c r="D699" s="280">
        <f>IF(offer_sale_type="транзит",IFERROR(VLOOKUP($B699,calc_data,D$14+1,0),0),0)</f>
        <v/>
      </c>
      <c r="E699" s="182">
        <f>IF(offer_sale_type="транзит",IFERROR(VLOOKUP($B699,calc_data,E$14+1,0),0),0)</f>
        <v/>
      </c>
      <c r="F699" s="182">
        <f>IF(offer_sale_type="транзит",IFERROR(VLOOKUP($B699,calc_data,F$14+1,0),0),0)</f>
        <v/>
      </c>
      <c r="G699" s="141">
        <f>IF(offer_sale_type="транзит",IFERROR(VLOOKUP($B699,calc_data,G$14+1,0),0),0)</f>
        <v/>
      </c>
      <c r="H699" s="141">
        <f>E699*G699</f>
        <v/>
      </c>
      <c r="I699" s="141">
        <f>IF(offer_sale_type="транзит",IFERROR(ROUND(VLOOKUP($B699,calc_data,I$14+1,0),2),0),0)</f>
        <v/>
      </c>
      <c r="J699" s="141">
        <f>ROUND(IF(offer_sale_type="транзит",IFERROR(VLOOKUP($B699,calc_data,J$14+1,0),0),0),2)</f>
        <v/>
      </c>
      <c r="K699" s="142">
        <f>IF(offer_sale_type="транзит",IFERROR(ROUNDUP(VLOOKUP($B699,calc_data,K$14+1,0),2),0),0)</f>
        <v/>
      </c>
      <c r="L699" s="184">
        <f>IF(offer_sale_type="транзит",IFERROR(ROUNDUP(VLOOKUP($B699,calc_data,L$14+1,0),2),0),0)</f>
        <v/>
      </c>
      <c r="M699" s="141">
        <f>IF(offer_sale_type="транзит",IFERROR(ROUNDUP(VLOOKUP($B699,calc_data,M$14+1,0),2),0),0)</f>
        <v/>
      </c>
      <c r="N699" s="141">
        <f>IF(offer_sale_type="транзит",IFERROR(ROUNDUP(VLOOKUP($B699,calc_data,N$14+1,0),2),0),0)</f>
        <v/>
      </c>
      <c r="O699" s="147">
        <f>IF(offer_sale_type="транзит",IFERROR(ROUND(VLOOKUP($B699,calc_data,O$14+1,1),2),0),0)</f>
        <v/>
      </c>
      <c r="P699" s="141">
        <f>IF(offer_sale_type="транзит",IFERROR(ROUND(SUM(I699:J699,M699:O699)/E699,2),0),0)</f>
        <v/>
      </c>
      <c r="Q699" s="141">
        <f>E699*P699</f>
        <v/>
      </c>
      <c r="R699" s="141">
        <f>ROUND(Q699*IF(AND(offer_incoterms="DDP",seller_region="RU"),IF((TODAY()+offer_turnaround_time)&gt;=helpsheet!$L$17,rate_vatRU_from_26,rate_vatRu_till_25),0),2)</f>
        <v/>
      </c>
      <c r="S699" s="177">
        <f>Q699+IF(AND(offer_incoterms="DDP",seller_region="RU"),R699,0)</f>
        <v/>
      </c>
      <c r="T699" s="45" t="n"/>
      <c r="V699" s="57">
        <f>IF(Q699&gt;0,"показать","скрыть")</f>
        <v/>
      </c>
    </row>
    <row r="700" ht="15.75" customHeight="1">
      <c r="B700" s="809" t="n">
        <v>684</v>
      </c>
      <c r="C700" s="182">
        <f>IF(offer_sale_type="транзит",IFERROR(VLOOKUP($B700,calc_data,C$14+1,0),0),0)</f>
        <v/>
      </c>
      <c r="D700" s="280">
        <f>IF(offer_sale_type="транзит",IFERROR(VLOOKUP($B700,calc_data,D$14+1,0),0),0)</f>
        <v/>
      </c>
      <c r="E700" s="182">
        <f>IF(offer_sale_type="транзит",IFERROR(VLOOKUP($B700,calc_data,E$14+1,0),0),0)</f>
        <v/>
      </c>
      <c r="F700" s="182">
        <f>IF(offer_sale_type="транзит",IFERROR(VLOOKUP($B700,calc_data,F$14+1,0),0),0)</f>
        <v/>
      </c>
      <c r="G700" s="141">
        <f>IF(offer_sale_type="транзит",IFERROR(VLOOKUP($B700,calc_data,G$14+1,0),0),0)</f>
        <v/>
      </c>
      <c r="H700" s="141">
        <f>E700*G700</f>
        <v/>
      </c>
      <c r="I700" s="141">
        <f>IF(offer_sale_type="транзит",IFERROR(ROUND(VLOOKUP($B700,calc_data,I$14+1,0),2),0),0)</f>
        <v/>
      </c>
      <c r="J700" s="141">
        <f>ROUND(IF(offer_sale_type="транзит",IFERROR(VLOOKUP($B700,calc_data,J$14+1,0),0),0),2)</f>
        <v/>
      </c>
      <c r="K700" s="142">
        <f>IF(offer_sale_type="транзит",IFERROR(ROUNDUP(VLOOKUP($B700,calc_data,K$14+1,0),2),0),0)</f>
        <v/>
      </c>
      <c r="L700" s="184">
        <f>IF(offer_sale_type="транзит",IFERROR(ROUNDUP(VLOOKUP($B700,calc_data,L$14+1,0),2),0),0)</f>
        <v/>
      </c>
      <c r="M700" s="141">
        <f>IF(offer_sale_type="транзит",IFERROR(ROUNDUP(VLOOKUP($B700,calc_data,M$14+1,0),2),0),0)</f>
        <v/>
      </c>
      <c r="N700" s="141">
        <f>IF(offer_sale_type="транзит",IFERROR(ROUNDUP(VLOOKUP($B700,calc_data,N$14+1,0),2),0),0)</f>
        <v/>
      </c>
      <c r="O700" s="147">
        <f>IF(offer_sale_type="транзит",IFERROR(ROUND(VLOOKUP($B700,calc_data,O$14+1,1),2),0),0)</f>
        <v/>
      </c>
      <c r="P700" s="141">
        <f>IF(offer_sale_type="транзит",IFERROR(ROUND(SUM(I700:J700,M700:O700)/E700,2),0),0)</f>
        <v/>
      </c>
      <c r="Q700" s="141">
        <f>E700*P700</f>
        <v/>
      </c>
      <c r="R700" s="141">
        <f>ROUND(Q700*IF(AND(offer_incoterms="DDP",seller_region="RU"),IF((TODAY()+offer_turnaround_time)&gt;=helpsheet!$L$17,rate_vatRU_from_26,rate_vatRu_till_25),0),2)</f>
        <v/>
      </c>
      <c r="S700" s="177">
        <f>Q700+IF(AND(offer_incoterms="DDP",seller_region="RU"),R700,0)</f>
        <v/>
      </c>
      <c r="T700" s="45" t="n"/>
      <c r="V700" s="57">
        <f>IF(Q700&gt;0,"показать","скрыть")</f>
        <v/>
      </c>
    </row>
    <row r="701" ht="15.75" customHeight="1">
      <c r="B701" s="809" t="n">
        <v>685</v>
      </c>
      <c r="C701" s="182">
        <f>IF(offer_sale_type="транзит",IFERROR(VLOOKUP($B701,calc_data,C$14+1,0),0),0)</f>
        <v/>
      </c>
      <c r="D701" s="280">
        <f>IF(offer_sale_type="транзит",IFERROR(VLOOKUP($B701,calc_data,D$14+1,0),0),0)</f>
        <v/>
      </c>
      <c r="E701" s="182">
        <f>IF(offer_sale_type="транзит",IFERROR(VLOOKUP($B701,calc_data,E$14+1,0),0),0)</f>
        <v/>
      </c>
      <c r="F701" s="182">
        <f>IF(offer_sale_type="транзит",IFERROR(VLOOKUP($B701,calc_data,F$14+1,0),0),0)</f>
        <v/>
      </c>
      <c r="G701" s="141">
        <f>IF(offer_sale_type="транзит",IFERROR(VLOOKUP($B701,calc_data,G$14+1,0),0),0)</f>
        <v/>
      </c>
      <c r="H701" s="141">
        <f>E701*G701</f>
        <v/>
      </c>
      <c r="I701" s="141">
        <f>IF(offer_sale_type="транзит",IFERROR(ROUND(VLOOKUP($B701,calc_data,I$14+1,0),2),0),0)</f>
        <v/>
      </c>
      <c r="J701" s="141">
        <f>ROUND(IF(offer_sale_type="транзит",IFERROR(VLOOKUP($B701,calc_data,J$14+1,0),0),0),2)</f>
        <v/>
      </c>
      <c r="K701" s="142">
        <f>IF(offer_sale_type="транзит",IFERROR(ROUNDUP(VLOOKUP($B701,calc_data,K$14+1,0),2),0),0)</f>
        <v/>
      </c>
      <c r="L701" s="184">
        <f>IF(offer_sale_type="транзит",IFERROR(ROUNDUP(VLOOKUP($B701,calc_data,L$14+1,0),2),0),0)</f>
        <v/>
      </c>
      <c r="M701" s="141">
        <f>IF(offer_sale_type="транзит",IFERROR(ROUNDUP(VLOOKUP($B701,calc_data,M$14+1,0),2),0),0)</f>
        <v/>
      </c>
      <c r="N701" s="141">
        <f>IF(offer_sale_type="транзит",IFERROR(ROUNDUP(VLOOKUP($B701,calc_data,N$14+1,0),2),0),0)</f>
        <v/>
      </c>
      <c r="O701" s="147">
        <f>IF(offer_sale_type="транзит",IFERROR(ROUND(VLOOKUP($B701,calc_data,O$14+1,1),2),0),0)</f>
        <v/>
      </c>
      <c r="P701" s="141">
        <f>IF(offer_sale_type="транзит",IFERROR(ROUND(SUM(I701:J701,M701:O701)/E701,2),0),0)</f>
        <v/>
      </c>
      <c r="Q701" s="141">
        <f>E701*P701</f>
        <v/>
      </c>
      <c r="R701" s="141">
        <f>ROUND(Q701*IF(AND(offer_incoterms="DDP",seller_region="RU"),IF((TODAY()+offer_turnaround_time)&gt;=helpsheet!$L$17,rate_vatRU_from_26,rate_vatRu_till_25),0),2)</f>
        <v/>
      </c>
      <c r="S701" s="177">
        <f>Q701+IF(AND(offer_incoterms="DDP",seller_region="RU"),R701,0)</f>
        <v/>
      </c>
      <c r="T701" s="45" t="n"/>
      <c r="V701" s="57">
        <f>IF(Q701&gt;0,"показать","скрыть")</f>
        <v/>
      </c>
    </row>
    <row r="702" ht="15.75" customHeight="1">
      <c r="B702" s="809" t="n">
        <v>686</v>
      </c>
      <c r="C702" s="182">
        <f>IF(offer_sale_type="транзит",IFERROR(VLOOKUP($B702,calc_data,C$14+1,0),0),0)</f>
        <v/>
      </c>
      <c r="D702" s="280">
        <f>IF(offer_sale_type="транзит",IFERROR(VLOOKUP($B702,calc_data,D$14+1,0),0),0)</f>
        <v/>
      </c>
      <c r="E702" s="182">
        <f>IF(offer_sale_type="транзит",IFERROR(VLOOKUP($B702,calc_data,E$14+1,0),0),0)</f>
        <v/>
      </c>
      <c r="F702" s="182">
        <f>IF(offer_sale_type="транзит",IFERROR(VLOOKUP($B702,calc_data,F$14+1,0),0),0)</f>
        <v/>
      </c>
      <c r="G702" s="141">
        <f>IF(offer_sale_type="транзит",IFERROR(VLOOKUP($B702,calc_data,G$14+1,0),0),0)</f>
        <v/>
      </c>
      <c r="H702" s="141">
        <f>E702*G702</f>
        <v/>
      </c>
      <c r="I702" s="141">
        <f>IF(offer_sale_type="транзит",IFERROR(ROUND(VLOOKUP($B702,calc_data,I$14+1,0),2),0),0)</f>
        <v/>
      </c>
      <c r="J702" s="141">
        <f>ROUND(IF(offer_sale_type="транзит",IFERROR(VLOOKUP($B702,calc_data,J$14+1,0),0),0),2)</f>
        <v/>
      </c>
      <c r="K702" s="142">
        <f>IF(offer_sale_type="транзит",IFERROR(ROUNDUP(VLOOKUP($B702,calc_data,K$14+1,0),2),0),0)</f>
        <v/>
      </c>
      <c r="L702" s="184">
        <f>IF(offer_sale_type="транзит",IFERROR(ROUNDUP(VLOOKUP($B702,calc_data,L$14+1,0),2),0),0)</f>
        <v/>
      </c>
      <c r="M702" s="141">
        <f>IF(offer_sale_type="транзит",IFERROR(ROUNDUP(VLOOKUP($B702,calc_data,M$14+1,0),2),0),0)</f>
        <v/>
      </c>
      <c r="N702" s="141">
        <f>IF(offer_sale_type="транзит",IFERROR(ROUNDUP(VLOOKUP($B702,calc_data,N$14+1,0),2),0),0)</f>
        <v/>
      </c>
      <c r="O702" s="147">
        <f>IF(offer_sale_type="транзит",IFERROR(ROUND(VLOOKUP($B702,calc_data,O$14+1,1),2),0),0)</f>
        <v/>
      </c>
      <c r="P702" s="141">
        <f>IF(offer_sale_type="транзит",IFERROR(ROUND(SUM(I702:J702,M702:O702)/E702,2),0),0)</f>
        <v/>
      </c>
      <c r="Q702" s="141">
        <f>E702*P702</f>
        <v/>
      </c>
      <c r="R702" s="141">
        <f>ROUND(Q702*IF(AND(offer_incoterms="DDP",seller_region="RU"),IF((TODAY()+offer_turnaround_time)&gt;=helpsheet!$L$17,rate_vatRU_from_26,rate_vatRu_till_25),0),2)</f>
        <v/>
      </c>
      <c r="S702" s="177">
        <f>Q702+IF(AND(offer_incoterms="DDP",seller_region="RU"),R702,0)</f>
        <v/>
      </c>
      <c r="T702" s="45" t="n"/>
      <c r="V702" s="57">
        <f>IF(Q702&gt;0,"показать","скрыть")</f>
        <v/>
      </c>
    </row>
    <row r="703" ht="15.75" customHeight="1">
      <c r="B703" s="809" t="n">
        <v>687</v>
      </c>
      <c r="C703" s="182">
        <f>IF(offer_sale_type="транзит",IFERROR(VLOOKUP($B703,calc_data,C$14+1,0),0),0)</f>
        <v/>
      </c>
      <c r="D703" s="280">
        <f>IF(offer_sale_type="транзит",IFERROR(VLOOKUP($B703,calc_data,D$14+1,0),0),0)</f>
        <v/>
      </c>
      <c r="E703" s="182">
        <f>IF(offer_sale_type="транзит",IFERROR(VLOOKUP($B703,calc_data,E$14+1,0),0),0)</f>
        <v/>
      </c>
      <c r="F703" s="182">
        <f>IF(offer_sale_type="транзит",IFERROR(VLOOKUP($B703,calc_data,F$14+1,0),0),0)</f>
        <v/>
      </c>
      <c r="G703" s="141">
        <f>IF(offer_sale_type="транзит",IFERROR(VLOOKUP($B703,calc_data,G$14+1,0),0),0)</f>
        <v/>
      </c>
      <c r="H703" s="141">
        <f>E703*G703</f>
        <v/>
      </c>
      <c r="I703" s="141">
        <f>IF(offer_sale_type="транзит",IFERROR(ROUND(VLOOKUP($B703,calc_data,I$14+1,0),2),0),0)</f>
        <v/>
      </c>
      <c r="J703" s="141">
        <f>ROUND(IF(offer_sale_type="транзит",IFERROR(VLOOKUP($B703,calc_data,J$14+1,0),0),0),2)</f>
        <v/>
      </c>
      <c r="K703" s="142">
        <f>IF(offer_sale_type="транзит",IFERROR(ROUNDUP(VLOOKUP($B703,calc_data,K$14+1,0),2),0),0)</f>
        <v/>
      </c>
      <c r="L703" s="184">
        <f>IF(offer_sale_type="транзит",IFERROR(ROUNDUP(VLOOKUP($B703,calc_data,L$14+1,0),2),0),0)</f>
        <v/>
      </c>
      <c r="M703" s="141">
        <f>IF(offer_sale_type="транзит",IFERROR(ROUNDUP(VLOOKUP($B703,calc_data,M$14+1,0),2),0),0)</f>
        <v/>
      </c>
      <c r="N703" s="141">
        <f>IF(offer_sale_type="транзит",IFERROR(ROUNDUP(VLOOKUP($B703,calc_data,N$14+1,0),2),0),0)</f>
        <v/>
      </c>
      <c r="O703" s="147">
        <f>IF(offer_sale_type="транзит",IFERROR(ROUND(VLOOKUP($B703,calc_data,O$14+1,1),2),0),0)</f>
        <v/>
      </c>
      <c r="P703" s="141">
        <f>IF(offer_sale_type="транзит",IFERROR(ROUND(SUM(I703:J703,M703:O703)/E703,2),0),0)</f>
        <v/>
      </c>
      <c r="Q703" s="141">
        <f>E703*P703</f>
        <v/>
      </c>
      <c r="R703" s="141">
        <f>ROUND(Q703*IF(AND(offer_incoterms="DDP",seller_region="RU"),IF((TODAY()+offer_turnaround_time)&gt;=helpsheet!$L$17,rate_vatRU_from_26,rate_vatRu_till_25),0),2)</f>
        <v/>
      </c>
      <c r="S703" s="177">
        <f>Q703+IF(AND(offer_incoterms="DDP",seller_region="RU"),R703,0)</f>
        <v/>
      </c>
      <c r="T703" s="45" t="n"/>
      <c r="V703" s="57">
        <f>IF(Q703&gt;0,"показать","скрыть")</f>
        <v/>
      </c>
    </row>
    <row r="704" ht="15.75" customHeight="1">
      <c r="B704" s="809" t="n">
        <v>688</v>
      </c>
      <c r="C704" s="182">
        <f>IF(offer_sale_type="транзит",IFERROR(VLOOKUP($B704,calc_data,C$14+1,0),0),0)</f>
        <v/>
      </c>
      <c r="D704" s="280">
        <f>IF(offer_sale_type="транзит",IFERROR(VLOOKUP($B704,calc_data,D$14+1,0),0),0)</f>
        <v/>
      </c>
      <c r="E704" s="182">
        <f>IF(offer_sale_type="транзит",IFERROR(VLOOKUP($B704,calc_data,E$14+1,0),0),0)</f>
        <v/>
      </c>
      <c r="F704" s="182">
        <f>IF(offer_sale_type="транзит",IFERROR(VLOOKUP($B704,calc_data,F$14+1,0),0),0)</f>
        <v/>
      </c>
      <c r="G704" s="141">
        <f>IF(offer_sale_type="транзит",IFERROR(VLOOKUP($B704,calc_data,G$14+1,0),0),0)</f>
        <v/>
      </c>
      <c r="H704" s="141">
        <f>E704*G704</f>
        <v/>
      </c>
      <c r="I704" s="141">
        <f>IF(offer_sale_type="транзит",IFERROR(ROUND(VLOOKUP($B704,calc_data,I$14+1,0),2),0),0)</f>
        <v/>
      </c>
      <c r="J704" s="141">
        <f>ROUND(IF(offer_sale_type="транзит",IFERROR(VLOOKUP($B704,calc_data,J$14+1,0),0),0),2)</f>
        <v/>
      </c>
      <c r="K704" s="142">
        <f>IF(offer_sale_type="транзит",IFERROR(ROUNDUP(VLOOKUP($B704,calc_data,K$14+1,0),2),0),0)</f>
        <v/>
      </c>
      <c r="L704" s="184">
        <f>IF(offer_sale_type="транзит",IFERROR(ROUNDUP(VLOOKUP($B704,calc_data,L$14+1,0),2),0),0)</f>
        <v/>
      </c>
      <c r="M704" s="141">
        <f>IF(offer_sale_type="транзит",IFERROR(ROUNDUP(VLOOKUP($B704,calc_data,M$14+1,0),2),0),0)</f>
        <v/>
      </c>
      <c r="N704" s="141">
        <f>IF(offer_sale_type="транзит",IFERROR(ROUNDUP(VLOOKUP($B704,calc_data,N$14+1,0),2),0),0)</f>
        <v/>
      </c>
      <c r="O704" s="147">
        <f>IF(offer_sale_type="транзит",IFERROR(ROUND(VLOOKUP($B704,calc_data,O$14+1,1),2),0),0)</f>
        <v/>
      </c>
      <c r="P704" s="141">
        <f>IF(offer_sale_type="транзит",IFERROR(ROUND(SUM(I704:J704,M704:O704)/E704,2),0),0)</f>
        <v/>
      </c>
      <c r="Q704" s="141">
        <f>E704*P704</f>
        <v/>
      </c>
      <c r="R704" s="141">
        <f>ROUND(Q704*IF(AND(offer_incoterms="DDP",seller_region="RU"),IF((TODAY()+offer_turnaround_time)&gt;=helpsheet!$L$17,rate_vatRU_from_26,rate_vatRu_till_25),0),2)</f>
        <v/>
      </c>
      <c r="S704" s="177">
        <f>Q704+IF(AND(offer_incoterms="DDP",seller_region="RU"),R704,0)</f>
        <v/>
      </c>
      <c r="T704" s="45" t="n"/>
      <c r="V704" s="57">
        <f>IF(Q704&gt;0,"показать","скрыть")</f>
        <v/>
      </c>
    </row>
    <row r="705" ht="15.75" customHeight="1">
      <c r="B705" s="809" t="n">
        <v>689</v>
      </c>
      <c r="C705" s="182">
        <f>IF(offer_sale_type="транзит",IFERROR(VLOOKUP($B705,calc_data,C$14+1,0),0),0)</f>
        <v/>
      </c>
      <c r="D705" s="280">
        <f>IF(offer_sale_type="транзит",IFERROR(VLOOKUP($B705,calc_data,D$14+1,0),0),0)</f>
        <v/>
      </c>
      <c r="E705" s="182">
        <f>IF(offer_sale_type="транзит",IFERROR(VLOOKUP($B705,calc_data,E$14+1,0),0),0)</f>
        <v/>
      </c>
      <c r="F705" s="182">
        <f>IF(offer_sale_type="транзит",IFERROR(VLOOKUP($B705,calc_data,F$14+1,0),0),0)</f>
        <v/>
      </c>
      <c r="G705" s="141">
        <f>IF(offer_sale_type="транзит",IFERROR(VLOOKUP($B705,calc_data,G$14+1,0),0),0)</f>
        <v/>
      </c>
      <c r="H705" s="141">
        <f>E705*G705</f>
        <v/>
      </c>
      <c r="I705" s="141">
        <f>IF(offer_sale_type="транзит",IFERROR(ROUND(VLOOKUP($B705,calc_data,I$14+1,0),2),0),0)</f>
        <v/>
      </c>
      <c r="J705" s="141">
        <f>ROUND(IF(offer_sale_type="транзит",IFERROR(VLOOKUP($B705,calc_data,J$14+1,0),0),0),2)</f>
        <v/>
      </c>
      <c r="K705" s="142">
        <f>IF(offer_sale_type="транзит",IFERROR(ROUNDUP(VLOOKUP($B705,calc_data,K$14+1,0),2),0),0)</f>
        <v/>
      </c>
      <c r="L705" s="184">
        <f>IF(offer_sale_type="транзит",IFERROR(ROUNDUP(VLOOKUP($B705,calc_data,L$14+1,0),2),0),0)</f>
        <v/>
      </c>
      <c r="M705" s="141">
        <f>IF(offer_sale_type="транзит",IFERROR(ROUNDUP(VLOOKUP($B705,calc_data,M$14+1,0),2),0),0)</f>
        <v/>
      </c>
      <c r="N705" s="141">
        <f>IF(offer_sale_type="транзит",IFERROR(ROUNDUP(VLOOKUP($B705,calc_data,N$14+1,0),2),0),0)</f>
        <v/>
      </c>
      <c r="O705" s="147">
        <f>IF(offer_sale_type="транзит",IFERROR(ROUND(VLOOKUP($B705,calc_data,O$14+1,1),2),0),0)</f>
        <v/>
      </c>
      <c r="P705" s="141">
        <f>IF(offer_sale_type="транзит",IFERROR(ROUND(SUM(I705:J705,M705:O705)/E705,2),0),0)</f>
        <v/>
      </c>
      <c r="Q705" s="141">
        <f>E705*P705</f>
        <v/>
      </c>
      <c r="R705" s="141">
        <f>ROUND(Q705*IF(AND(offer_incoterms="DDP",seller_region="RU"),IF((TODAY()+offer_turnaround_time)&gt;=helpsheet!$L$17,rate_vatRU_from_26,rate_vatRu_till_25),0),2)</f>
        <v/>
      </c>
      <c r="S705" s="177">
        <f>Q705+IF(AND(offer_incoterms="DDP",seller_region="RU"),R705,0)</f>
        <v/>
      </c>
      <c r="T705" s="45" t="n"/>
      <c r="V705" s="57">
        <f>IF(Q705&gt;0,"показать","скрыть")</f>
        <v/>
      </c>
    </row>
    <row r="706" ht="15.75" customHeight="1">
      <c r="B706" s="809" t="n">
        <v>690</v>
      </c>
      <c r="C706" s="182">
        <f>IF(offer_sale_type="транзит",IFERROR(VLOOKUP($B706,calc_data,C$14+1,0),0),0)</f>
        <v/>
      </c>
      <c r="D706" s="280">
        <f>IF(offer_sale_type="транзит",IFERROR(VLOOKUP($B706,calc_data,D$14+1,0),0),0)</f>
        <v/>
      </c>
      <c r="E706" s="182">
        <f>IF(offer_sale_type="транзит",IFERROR(VLOOKUP($B706,calc_data,E$14+1,0),0),0)</f>
        <v/>
      </c>
      <c r="F706" s="182">
        <f>IF(offer_sale_type="транзит",IFERROR(VLOOKUP($B706,calc_data,F$14+1,0),0),0)</f>
        <v/>
      </c>
      <c r="G706" s="141">
        <f>IF(offer_sale_type="транзит",IFERROR(VLOOKUP($B706,calc_data,G$14+1,0),0),0)</f>
        <v/>
      </c>
      <c r="H706" s="141">
        <f>E706*G706</f>
        <v/>
      </c>
      <c r="I706" s="141">
        <f>IF(offer_sale_type="транзит",IFERROR(ROUND(VLOOKUP($B706,calc_data,I$14+1,0),2),0),0)</f>
        <v/>
      </c>
      <c r="J706" s="141">
        <f>ROUND(IF(offer_sale_type="транзит",IFERROR(VLOOKUP($B706,calc_data,J$14+1,0),0),0),2)</f>
        <v/>
      </c>
      <c r="K706" s="142">
        <f>IF(offer_sale_type="транзит",IFERROR(ROUNDUP(VLOOKUP($B706,calc_data,K$14+1,0),2),0),0)</f>
        <v/>
      </c>
      <c r="L706" s="184">
        <f>IF(offer_sale_type="транзит",IFERROR(ROUNDUP(VLOOKUP($B706,calc_data,L$14+1,0),2),0),0)</f>
        <v/>
      </c>
      <c r="M706" s="141">
        <f>IF(offer_sale_type="транзит",IFERROR(ROUNDUP(VLOOKUP($B706,calc_data,M$14+1,0),2),0),0)</f>
        <v/>
      </c>
      <c r="N706" s="141">
        <f>IF(offer_sale_type="транзит",IFERROR(ROUNDUP(VLOOKUP($B706,calc_data,N$14+1,0),2),0),0)</f>
        <v/>
      </c>
      <c r="O706" s="147">
        <f>IF(offer_sale_type="транзит",IFERROR(ROUND(VLOOKUP($B706,calc_data,O$14+1,1),2),0),0)</f>
        <v/>
      </c>
      <c r="P706" s="141">
        <f>IF(offer_sale_type="транзит",IFERROR(ROUND(SUM(I706:J706,M706:O706)/E706,2),0),0)</f>
        <v/>
      </c>
      <c r="Q706" s="141">
        <f>E706*P706</f>
        <v/>
      </c>
      <c r="R706" s="141">
        <f>ROUND(Q706*IF(AND(offer_incoterms="DDP",seller_region="RU"),IF((TODAY()+offer_turnaround_time)&gt;=helpsheet!$L$17,rate_vatRU_from_26,rate_vatRu_till_25),0),2)</f>
        <v/>
      </c>
      <c r="S706" s="177">
        <f>Q706+IF(AND(offer_incoterms="DDP",seller_region="RU"),R706,0)</f>
        <v/>
      </c>
      <c r="T706" s="45" t="n"/>
      <c r="V706" s="57">
        <f>IF(Q706&gt;0,"показать","скрыть")</f>
        <v/>
      </c>
    </row>
    <row r="707" ht="15.75" customHeight="1">
      <c r="B707" s="809" t="n">
        <v>691</v>
      </c>
      <c r="C707" s="182">
        <f>IF(offer_sale_type="транзит",IFERROR(VLOOKUP($B707,calc_data,C$14+1,0),0),0)</f>
        <v/>
      </c>
      <c r="D707" s="280">
        <f>IF(offer_sale_type="транзит",IFERROR(VLOOKUP($B707,calc_data,D$14+1,0),0),0)</f>
        <v/>
      </c>
      <c r="E707" s="182">
        <f>IF(offer_sale_type="транзит",IFERROR(VLOOKUP($B707,calc_data,E$14+1,0),0),0)</f>
        <v/>
      </c>
      <c r="F707" s="182">
        <f>IF(offer_sale_type="транзит",IFERROR(VLOOKUP($B707,calc_data,F$14+1,0),0),0)</f>
        <v/>
      </c>
      <c r="G707" s="141">
        <f>IF(offer_sale_type="транзит",IFERROR(VLOOKUP($B707,calc_data,G$14+1,0),0),0)</f>
        <v/>
      </c>
      <c r="H707" s="141">
        <f>E707*G707</f>
        <v/>
      </c>
      <c r="I707" s="141">
        <f>IF(offer_sale_type="транзит",IFERROR(ROUND(VLOOKUP($B707,calc_data,I$14+1,0),2),0),0)</f>
        <v/>
      </c>
      <c r="J707" s="141">
        <f>ROUND(IF(offer_sale_type="транзит",IFERROR(VLOOKUP($B707,calc_data,J$14+1,0),0),0),2)</f>
        <v/>
      </c>
      <c r="K707" s="142">
        <f>IF(offer_sale_type="транзит",IFERROR(ROUNDUP(VLOOKUP($B707,calc_data,K$14+1,0),2),0),0)</f>
        <v/>
      </c>
      <c r="L707" s="184">
        <f>IF(offer_sale_type="транзит",IFERROR(ROUNDUP(VLOOKUP($B707,calc_data,L$14+1,0),2),0),0)</f>
        <v/>
      </c>
      <c r="M707" s="141">
        <f>IF(offer_sale_type="транзит",IFERROR(ROUNDUP(VLOOKUP($B707,calc_data,M$14+1,0),2),0),0)</f>
        <v/>
      </c>
      <c r="N707" s="141">
        <f>IF(offer_sale_type="транзит",IFERROR(ROUNDUP(VLOOKUP($B707,calc_data,N$14+1,0),2),0),0)</f>
        <v/>
      </c>
      <c r="O707" s="147">
        <f>IF(offer_sale_type="транзит",IFERROR(ROUND(VLOOKUP($B707,calc_data,O$14+1,1),2),0),0)</f>
        <v/>
      </c>
      <c r="P707" s="141">
        <f>IF(offer_sale_type="транзит",IFERROR(ROUND(SUM(I707:J707,M707:O707)/E707,2),0),0)</f>
        <v/>
      </c>
      <c r="Q707" s="141">
        <f>E707*P707</f>
        <v/>
      </c>
      <c r="R707" s="141">
        <f>ROUND(Q707*IF(AND(offer_incoterms="DDP",seller_region="RU"),IF((TODAY()+offer_turnaround_time)&gt;=helpsheet!$L$17,rate_vatRU_from_26,rate_vatRu_till_25),0),2)</f>
        <v/>
      </c>
      <c r="S707" s="177">
        <f>Q707+IF(AND(offer_incoterms="DDP",seller_region="RU"),R707,0)</f>
        <v/>
      </c>
      <c r="T707" s="45" t="n"/>
      <c r="V707" s="57">
        <f>IF(Q707&gt;0,"показать","скрыть")</f>
        <v/>
      </c>
    </row>
    <row r="708" ht="15.75" customHeight="1">
      <c r="B708" s="809" t="n">
        <v>692</v>
      </c>
      <c r="C708" s="182">
        <f>IF(offer_sale_type="транзит",IFERROR(VLOOKUP($B708,calc_data,C$14+1,0),0),0)</f>
        <v/>
      </c>
      <c r="D708" s="280">
        <f>IF(offer_sale_type="транзит",IFERROR(VLOOKUP($B708,calc_data,D$14+1,0),0),0)</f>
        <v/>
      </c>
      <c r="E708" s="182">
        <f>IF(offer_sale_type="транзит",IFERROR(VLOOKUP($B708,calc_data,E$14+1,0),0),0)</f>
        <v/>
      </c>
      <c r="F708" s="182">
        <f>IF(offer_sale_type="транзит",IFERROR(VLOOKUP($B708,calc_data,F$14+1,0),0),0)</f>
        <v/>
      </c>
      <c r="G708" s="141">
        <f>IF(offer_sale_type="транзит",IFERROR(VLOOKUP($B708,calc_data,G$14+1,0),0),0)</f>
        <v/>
      </c>
      <c r="H708" s="141">
        <f>E708*G708</f>
        <v/>
      </c>
      <c r="I708" s="141">
        <f>IF(offer_sale_type="транзит",IFERROR(ROUND(VLOOKUP($B708,calc_data,I$14+1,0),2),0),0)</f>
        <v/>
      </c>
      <c r="J708" s="141">
        <f>ROUND(IF(offer_sale_type="транзит",IFERROR(VLOOKUP($B708,calc_data,J$14+1,0),0),0),2)</f>
        <v/>
      </c>
      <c r="K708" s="142">
        <f>IF(offer_sale_type="транзит",IFERROR(ROUNDUP(VLOOKUP($B708,calc_data,K$14+1,0),2),0),0)</f>
        <v/>
      </c>
      <c r="L708" s="184">
        <f>IF(offer_sale_type="транзит",IFERROR(ROUNDUP(VLOOKUP($B708,calc_data,L$14+1,0),2),0),0)</f>
        <v/>
      </c>
      <c r="M708" s="141">
        <f>IF(offer_sale_type="транзит",IFERROR(ROUNDUP(VLOOKUP($B708,calc_data,M$14+1,0),2),0),0)</f>
        <v/>
      </c>
      <c r="N708" s="141">
        <f>IF(offer_sale_type="транзит",IFERROR(ROUNDUP(VLOOKUP($B708,calc_data,N$14+1,0),2),0),0)</f>
        <v/>
      </c>
      <c r="O708" s="147">
        <f>IF(offer_sale_type="транзит",IFERROR(ROUND(VLOOKUP($B708,calc_data,O$14+1,1),2),0),0)</f>
        <v/>
      </c>
      <c r="P708" s="141">
        <f>IF(offer_sale_type="транзит",IFERROR(ROUND(SUM(I708:J708,M708:O708)/E708,2),0),0)</f>
        <v/>
      </c>
      <c r="Q708" s="141">
        <f>E708*P708</f>
        <v/>
      </c>
      <c r="R708" s="141">
        <f>ROUND(Q708*IF(AND(offer_incoterms="DDP",seller_region="RU"),IF((TODAY()+offer_turnaround_time)&gt;=helpsheet!$L$17,rate_vatRU_from_26,rate_vatRu_till_25),0),2)</f>
        <v/>
      </c>
      <c r="S708" s="177">
        <f>Q708+IF(AND(offer_incoterms="DDP",seller_region="RU"),R708,0)</f>
        <v/>
      </c>
      <c r="T708" s="45" t="n"/>
      <c r="V708" s="57">
        <f>IF(Q708&gt;0,"показать","скрыть")</f>
        <v/>
      </c>
    </row>
    <row r="709" ht="15.75" customHeight="1">
      <c r="B709" s="809" t="n">
        <v>693</v>
      </c>
      <c r="C709" s="182">
        <f>IF(offer_sale_type="транзит",IFERROR(VLOOKUP($B709,calc_data,C$14+1,0),0),0)</f>
        <v/>
      </c>
      <c r="D709" s="280">
        <f>IF(offer_sale_type="транзит",IFERROR(VLOOKUP($B709,calc_data,D$14+1,0),0),0)</f>
        <v/>
      </c>
      <c r="E709" s="182">
        <f>IF(offer_sale_type="транзит",IFERROR(VLOOKUP($B709,calc_data,E$14+1,0),0),0)</f>
        <v/>
      </c>
      <c r="F709" s="182">
        <f>IF(offer_sale_type="транзит",IFERROR(VLOOKUP($B709,calc_data,F$14+1,0),0),0)</f>
        <v/>
      </c>
      <c r="G709" s="141">
        <f>IF(offer_sale_type="транзит",IFERROR(VLOOKUP($B709,calc_data,G$14+1,0),0),0)</f>
        <v/>
      </c>
      <c r="H709" s="141">
        <f>E709*G709</f>
        <v/>
      </c>
      <c r="I709" s="141">
        <f>IF(offer_sale_type="транзит",IFERROR(ROUND(VLOOKUP($B709,calc_data,I$14+1,0),2),0),0)</f>
        <v/>
      </c>
      <c r="J709" s="141">
        <f>ROUND(IF(offer_sale_type="транзит",IFERROR(VLOOKUP($B709,calc_data,J$14+1,0),0),0),2)</f>
        <v/>
      </c>
      <c r="K709" s="142">
        <f>IF(offer_sale_type="транзит",IFERROR(ROUNDUP(VLOOKUP($B709,calc_data,K$14+1,0),2),0),0)</f>
        <v/>
      </c>
      <c r="L709" s="184">
        <f>IF(offer_sale_type="транзит",IFERROR(ROUNDUP(VLOOKUP($B709,calc_data,L$14+1,0),2),0),0)</f>
        <v/>
      </c>
      <c r="M709" s="141">
        <f>IF(offer_sale_type="транзит",IFERROR(ROUNDUP(VLOOKUP($B709,calc_data,M$14+1,0),2),0),0)</f>
        <v/>
      </c>
      <c r="N709" s="141">
        <f>IF(offer_sale_type="транзит",IFERROR(ROUNDUP(VLOOKUP($B709,calc_data,N$14+1,0),2),0),0)</f>
        <v/>
      </c>
      <c r="O709" s="147">
        <f>IF(offer_sale_type="транзит",IFERROR(ROUND(VLOOKUP($B709,calc_data,O$14+1,1),2),0),0)</f>
        <v/>
      </c>
      <c r="P709" s="141">
        <f>IF(offer_sale_type="транзит",IFERROR(ROUND(SUM(I709:J709,M709:O709)/E709,2),0),0)</f>
        <v/>
      </c>
      <c r="Q709" s="141">
        <f>E709*P709</f>
        <v/>
      </c>
      <c r="R709" s="141">
        <f>ROUND(Q709*IF(AND(offer_incoterms="DDP",seller_region="RU"),IF((TODAY()+offer_turnaround_time)&gt;=helpsheet!$L$17,rate_vatRU_from_26,rate_vatRu_till_25),0),2)</f>
        <v/>
      </c>
      <c r="S709" s="177">
        <f>Q709+IF(AND(offer_incoterms="DDP",seller_region="RU"),R709,0)</f>
        <v/>
      </c>
      <c r="T709" s="45" t="n"/>
      <c r="V709" s="57">
        <f>IF(Q709&gt;0,"показать","скрыть")</f>
        <v/>
      </c>
    </row>
    <row r="710" ht="15.75" customHeight="1">
      <c r="B710" s="809" t="n">
        <v>694</v>
      </c>
      <c r="C710" s="182">
        <f>IF(offer_sale_type="транзит",IFERROR(VLOOKUP($B710,calc_data,C$14+1,0),0),0)</f>
        <v/>
      </c>
      <c r="D710" s="280">
        <f>IF(offer_sale_type="транзит",IFERROR(VLOOKUP($B710,calc_data,D$14+1,0),0),0)</f>
        <v/>
      </c>
      <c r="E710" s="182">
        <f>IF(offer_sale_type="транзит",IFERROR(VLOOKUP($B710,calc_data,E$14+1,0),0),0)</f>
        <v/>
      </c>
      <c r="F710" s="182">
        <f>IF(offer_sale_type="транзит",IFERROR(VLOOKUP($B710,calc_data,F$14+1,0),0),0)</f>
        <v/>
      </c>
      <c r="G710" s="141">
        <f>IF(offer_sale_type="транзит",IFERROR(VLOOKUP($B710,calc_data,G$14+1,0),0),0)</f>
        <v/>
      </c>
      <c r="H710" s="141">
        <f>E710*G710</f>
        <v/>
      </c>
      <c r="I710" s="141">
        <f>IF(offer_sale_type="транзит",IFERROR(ROUND(VLOOKUP($B710,calc_data,I$14+1,0),2),0),0)</f>
        <v/>
      </c>
      <c r="J710" s="141">
        <f>ROUND(IF(offer_sale_type="транзит",IFERROR(VLOOKUP($B710,calc_data,J$14+1,0),0),0),2)</f>
        <v/>
      </c>
      <c r="K710" s="142">
        <f>IF(offer_sale_type="транзит",IFERROR(ROUNDUP(VLOOKUP($B710,calc_data,K$14+1,0),2),0),0)</f>
        <v/>
      </c>
      <c r="L710" s="184">
        <f>IF(offer_sale_type="транзит",IFERROR(ROUNDUP(VLOOKUP($B710,calc_data,L$14+1,0),2),0),0)</f>
        <v/>
      </c>
      <c r="M710" s="141">
        <f>IF(offer_sale_type="транзит",IFERROR(ROUNDUP(VLOOKUP($B710,calc_data,M$14+1,0),2),0),0)</f>
        <v/>
      </c>
      <c r="N710" s="141">
        <f>IF(offer_sale_type="транзит",IFERROR(ROUNDUP(VLOOKUP($B710,calc_data,N$14+1,0),2),0),0)</f>
        <v/>
      </c>
      <c r="O710" s="147">
        <f>IF(offer_sale_type="транзит",IFERROR(ROUND(VLOOKUP($B710,calc_data,O$14+1,1),2),0),0)</f>
        <v/>
      </c>
      <c r="P710" s="141">
        <f>IF(offer_sale_type="транзит",IFERROR(ROUND(SUM(I710:J710,M710:O710)/E710,2),0),0)</f>
        <v/>
      </c>
      <c r="Q710" s="141">
        <f>E710*P710</f>
        <v/>
      </c>
      <c r="R710" s="141">
        <f>ROUND(Q710*IF(AND(offer_incoterms="DDP",seller_region="RU"),IF((TODAY()+offer_turnaround_time)&gt;=helpsheet!$L$17,rate_vatRU_from_26,rate_vatRu_till_25),0),2)</f>
        <v/>
      </c>
      <c r="S710" s="177">
        <f>Q710+IF(AND(offer_incoterms="DDP",seller_region="RU"),R710,0)</f>
        <v/>
      </c>
      <c r="T710" s="45" t="n"/>
      <c r="V710" s="57">
        <f>IF(Q710&gt;0,"показать","скрыть")</f>
        <v/>
      </c>
    </row>
    <row r="711" ht="15.75" customHeight="1">
      <c r="B711" s="809" t="n">
        <v>695</v>
      </c>
      <c r="C711" s="182">
        <f>IF(offer_sale_type="транзит",IFERROR(VLOOKUP($B711,calc_data,C$14+1,0),0),0)</f>
        <v/>
      </c>
      <c r="D711" s="280">
        <f>IF(offer_sale_type="транзит",IFERROR(VLOOKUP($B711,calc_data,D$14+1,0),0),0)</f>
        <v/>
      </c>
      <c r="E711" s="182">
        <f>IF(offer_sale_type="транзит",IFERROR(VLOOKUP($B711,calc_data,E$14+1,0),0),0)</f>
        <v/>
      </c>
      <c r="F711" s="182">
        <f>IF(offer_sale_type="транзит",IFERROR(VLOOKUP($B711,calc_data,F$14+1,0),0),0)</f>
        <v/>
      </c>
      <c r="G711" s="141">
        <f>IF(offer_sale_type="транзит",IFERROR(VLOOKUP($B711,calc_data,G$14+1,0),0),0)</f>
        <v/>
      </c>
      <c r="H711" s="141">
        <f>E711*G711</f>
        <v/>
      </c>
      <c r="I711" s="141">
        <f>IF(offer_sale_type="транзит",IFERROR(ROUND(VLOOKUP($B711,calc_data,I$14+1,0),2),0),0)</f>
        <v/>
      </c>
      <c r="J711" s="141">
        <f>ROUND(IF(offer_sale_type="транзит",IFERROR(VLOOKUP($B711,calc_data,J$14+1,0),0),0),2)</f>
        <v/>
      </c>
      <c r="K711" s="142">
        <f>IF(offer_sale_type="транзит",IFERROR(ROUNDUP(VLOOKUP($B711,calc_data,K$14+1,0),2),0),0)</f>
        <v/>
      </c>
      <c r="L711" s="184">
        <f>IF(offer_sale_type="транзит",IFERROR(ROUNDUP(VLOOKUP($B711,calc_data,L$14+1,0),2),0),0)</f>
        <v/>
      </c>
      <c r="M711" s="141">
        <f>IF(offer_sale_type="транзит",IFERROR(ROUNDUP(VLOOKUP($B711,calc_data,M$14+1,0),2),0),0)</f>
        <v/>
      </c>
      <c r="N711" s="141">
        <f>IF(offer_sale_type="транзит",IFERROR(ROUNDUP(VLOOKUP($B711,calc_data,N$14+1,0),2),0),0)</f>
        <v/>
      </c>
      <c r="O711" s="147">
        <f>IF(offer_sale_type="транзит",IFERROR(ROUND(VLOOKUP($B711,calc_data,O$14+1,1),2),0),0)</f>
        <v/>
      </c>
      <c r="P711" s="141">
        <f>IF(offer_sale_type="транзит",IFERROR(ROUND(SUM(I711:J711,M711:O711)/E711,2),0),0)</f>
        <v/>
      </c>
      <c r="Q711" s="141">
        <f>E711*P711</f>
        <v/>
      </c>
      <c r="R711" s="141">
        <f>ROUND(Q711*IF(AND(offer_incoterms="DDP",seller_region="RU"),IF((TODAY()+offer_turnaround_time)&gt;=helpsheet!$L$17,rate_vatRU_from_26,rate_vatRu_till_25),0),2)</f>
        <v/>
      </c>
      <c r="S711" s="177">
        <f>Q711+IF(AND(offer_incoterms="DDP",seller_region="RU"),R711,0)</f>
        <v/>
      </c>
      <c r="T711" s="45" t="n"/>
      <c r="V711" s="57">
        <f>IF(Q711&gt;0,"показать","скрыть")</f>
        <v/>
      </c>
    </row>
    <row r="712" ht="15.75" customHeight="1">
      <c r="B712" s="809" t="n">
        <v>696</v>
      </c>
      <c r="C712" s="182">
        <f>IF(offer_sale_type="транзит",IFERROR(VLOOKUP($B712,calc_data,C$14+1,0),0),0)</f>
        <v/>
      </c>
      <c r="D712" s="280">
        <f>IF(offer_sale_type="транзит",IFERROR(VLOOKUP($B712,calc_data,D$14+1,0),0),0)</f>
        <v/>
      </c>
      <c r="E712" s="182">
        <f>IF(offer_sale_type="транзит",IFERROR(VLOOKUP($B712,calc_data,E$14+1,0),0),0)</f>
        <v/>
      </c>
      <c r="F712" s="182">
        <f>IF(offer_sale_type="транзит",IFERROR(VLOOKUP($B712,calc_data,F$14+1,0),0),0)</f>
        <v/>
      </c>
      <c r="G712" s="141">
        <f>IF(offer_sale_type="транзит",IFERROR(VLOOKUP($B712,calc_data,G$14+1,0),0),0)</f>
        <v/>
      </c>
      <c r="H712" s="141">
        <f>E712*G712</f>
        <v/>
      </c>
      <c r="I712" s="141">
        <f>IF(offer_sale_type="транзит",IFERROR(ROUND(VLOOKUP($B712,calc_data,I$14+1,0),2),0),0)</f>
        <v/>
      </c>
      <c r="J712" s="141">
        <f>ROUND(IF(offer_sale_type="транзит",IFERROR(VLOOKUP($B712,calc_data,J$14+1,0),0),0),2)</f>
        <v/>
      </c>
      <c r="K712" s="142">
        <f>IF(offer_sale_type="транзит",IFERROR(ROUNDUP(VLOOKUP($B712,calc_data,K$14+1,0),2),0),0)</f>
        <v/>
      </c>
      <c r="L712" s="184">
        <f>IF(offer_sale_type="транзит",IFERROR(ROUNDUP(VLOOKUP($B712,calc_data,L$14+1,0),2),0),0)</f>
        <v/>
      </c>
      <c r="M712" s="141">
        <f>IF(offer_sale_type="транзит",IFERROR(ROUNDUP(VLOOKUP($B712,calc_data,M$14+1,0),2),0),0)</f>
        <v/>
      </c>
      <c r="N712" s="141">
        <f>IF(offer_sale_type="транзит",IFERROR(ROUNDUP(VLOOKUP($B712,calc_data,N$14+1,0),2),0),0)</f>
        <v/>
      </c>
      <c r="O712" s="147">
        <f>IF(offer_sale_type="транзит",IFERROR(ROUND(VLOOKUP($B712,calc_data,O$14+1,1),2),0),0)</f>
        <v/>
      </c>
      <c r="P712" s="141">
        <f>IF(offer_sale_type="транзит",IFERROR(ROUND(SUM(I712:J712,M712:O712)/E712,2),0),0)</f>
        <v/>
      </c>
      <c r="Q712" s="141">
        <f>E712*P712</f>
        <v/>
      </c>
      <c r="R712" s="141">
        <f>ROUND(Q712*IF(AND(offer_incoterms="DDP",seller_region="RU"),IF((TODAY()+offer_turnaround_time)&gt;=helpsheet!$L$17,rate_vatRU_from_26,rate_vatRu_till_25),0),2)</f>
        <v/>
      </c>
      <c r="S712" s="177">
        <f>Q712+IF(AND(offer_incoterms="DDP",seller_region="RU"),R712,0)</f>
        <v/>
      </c>
      <c r="T712" s="45" t="n"/>
      <c r="V712" s="57">
        <f>IF(Q712&gt;0,"показать","скрыть")</f>
        <v/>
      </c>
    </row>
    <row r="713" ht="15.75" customHeight="1">
      <c r="B713" s="809" t="n">
        <v>697</v>
      </c>
      <c r="C713" s="182">
        <f>IF(offer_sale_type="транзит",IFERROR(VLOOKUP($B713,calc_data,C$14+1,0),0),0)</f>
        <v/>
      </c>
      <c r="D713" s="280">
        <f>IF(offer_sale_type="транзит",IFERROR(VLOOKUP($B713,calc_data,D$14+1,0),0),0)</f>
        <v/>
      </c>
      <c r="E713" s="182">
        <f>IF(offer_sale_type="транзит",IFERROR(VLOOKUP($B713,calc_data,E$14+1,0),0),0)</f>
        <v/>
      </c>
      <c r="F713" s="182">
        <f>IF(offer_sale_type="транзит",IFERROR(VLOOKUP($B713,calc_data,F$14+1,0),0),0)</f>
        <v/>
      </c>
      <c r="G713" s="141">
        <f>IF(offer_sale_type="транзит",IFERROR(VLOOKUP($B713,calc_data,G$14+1,0),0),0)</f>
        <v/>
      </c>
      <c r="H713" s="141">
        <f>E713*G713</f>
        <v/>
      </c>
      <c r="I713" s="141">
        <f>IF(offer_sale_type="транзит",IFERROR(ROUND(VLOOKUP($B713,calc_data,I$14+1,0),2),0),0)</f>
        <v/>
      </c>
      <c r="J713" s="141">
        <f>ROUND(IF(offer_sale_type="транзит",IFERROR(VLOOKUP($B713,calc_data,J$14+1,0),0),0),2)</f>
        <v/>
      </c>
      <c r="K713" s="142">
        <f>IF(offer_sale_type="транзит",IFERROR(ROUNDUP(VLOOKUP($B713,calc_data,K$14+1,0),2),0),0)</f>
        <v/>
      </c>
      <c r="L713" s="184">
        <f>IF(offer_sale_type="транзит",IFERROR(ROUNDUP(VLOOKUP($B713,calc_data,L$14+1,0),2),0),0)</f>
        <v/>
      </c>
      <c r="M713" s="141">
        <f>IF(offer_sale_type="транзит",IFERROR(ROUNDUP(VLOOKUP($B713,calc_data,M$14+1,0),2),0),0)</f>
        <v/>
      </c>
      <c r="N713" s="141">
        <f>IF(offer_sale_type="транзит",IFERROR(ROUNDUP(VLOOKUP($B713,calc_data,N$14+1,0),2),0),0)</f>
        <v/>
      </c>
      <c r="O713" s="147">
        <f>IF(offer_sale_type="транзит",IFERROR(ROUND(VLOOKUP($B713,calc_data,O$14+1,1),2),0),0)</f>
        <v/>
      </c>
      <c r="P713" s="141">
        <f>IF(offer_sale_type="транзит",IFERROR(ROUND(SUM(I713:J713,M713:O713)/E713,2),0),0)</f>
        <v/>
      </c>
      <c r="Q713" s="141">
        <f>E713*P713</f>
        <v/>
      </c>
      <c r="R713" s="141">
        <f>ROUND(Q713*IF(AND(offer_incoterms="DDP",seller_region="RU"),IF((TODAY()+offer_turnaround_time)&gt;=helpsheet!$L$17,rate_vatRU_from_26,rate_vatRu_till_25),0),2)</f>
        <v/>
      </c>
      <c r="S713" s="177">
        <f>Q713+IF(AND(offer_incoterms="DDP",seller_region="RU"),R713,0)</f>
        <v/>
      </c>
      <c r="T713" s="45" t="n"/>
      <c r="V713" s="57">
        <f>IF(Q713&gt;0,"показать","скрыть")</f>
        <v/>
      </c>
    </row>
    <row r="714" ht="15.75" customHeight="1">
      <c r="B714" s="809" t="n">
        <v>698</v>
      </c>
      <c r="C714" s="182">
        <f>IF(offer_sale_type="транзит",IFERROR(VLOOKUP($B714,calc_data,C$14+1,0),0),0)</f>
        <v/>
      </c>
      <c r="D714" s="280">
        <f>IF(offer_sale_type="транзит",IFERROR(VLOOKUP($B714,calc_data,D$14+1,0),0),0)</f>
        <v/>
      </c>
      <c r="E714" s="182">
        <f>IF(offer_sale_type="транзит",IFERROR(VLOOKUP($B714,calc_data,E$14+1,0),0),0)</f>
        <v/>
      </c>
      <c r="F714" s="182">
        <f>IF(offer_sale_type="транзит",IFERROR(VLOOKUP($B714,calc_data,F$14+1,0),0),0)</f>
        <v/>
      </c>
      <c r="G714" s="141">
        <f>IF(offer_sale_type="транзит",IFERROR(VLOOKUP($B714,calc_data,G$14+1,0),0),0)</f>
        <v/>
      </c>
      <c r="H714" s="141">
        <f>E714*G714</f>
        <v/>
      </c>
      <c r="I714" s="141">
        <f>IF(offer_sale_type="транзит",IFERROR(ROUND(VLOOKUP($B714,calc_data,I$14+1,0),2),0),0)</f>
        <v/>
      </c>
      <c r="J714" s="141">
        <f>ROUND(IF(offer_sale_type="транзит",IFERROR(VLOOKUP($B714,calc_data,J$14+1,0),0),0),2)</f>
        <v/>
      </c>
      <c r="K714" s="142">
        <f>IF(offer_sale_type="транзит",IFERROR(ROUNDUP(VLOOKUP($B714,calc_data,K$14+1,0),2),0),0)</f>
        <v/>
      </c>
      <c r="L714" s="184">
        <f>IF(offer_sale_type="транзит",IFERROR(ROUNDUP(VLOOKUP($B714,calc_data,L$14+1,0),2),0),0)</f>
        <v/>
      </c>
      <c r="M714" s="141">
        <f>IF(offer_sale_type="транзит",IFERROR(ROUNDUP(VLOOKUP($B714,calc_data,M$14+1,0),2),0),0)</f>
        <v/>
      </c>
      <c r="N714" s="141">
        <f>IF(offer_sale_type="транзит",IFERROR(ROUNDUP(VLOOKUP($B714,calc_data,N$14+1,0),2),0),0)</f>
        <v/>
      </c>
      <c r="O714" s="147">
        <f>IF(offer_sale_type="транзит",IFERROR(ROUND(VLOOKUP($B714,calc_data,O$14+1,1),2),0),0)</f>
        <v/>
      </c>
      <c r="P714" s="141">
        <f>IF(offer_sale_type="транзит",IFERROR(ROUND(SUM(I714:J714,M714:O714)/E714,2),0),0)</f>
        <v/>
      </c>
      <c r="Q714" s="141">
        <f>E714*P714</f>
        <v/>
      </c>
      <c r="R714" s="141">
        <f>ROUND(Q714*IF(AND(offer_incoterms="DDP",seller_region="RU"),IF((TODAY()+offer_turnaround_time)&gt;=helpsheet!$L$17,rate_vatRU_from_26,rate_vatRu_till_25),0),2)</f>
        <v/>
      </c>
      <c r="S714" s="177">
        <f>Q714+IF(AND(offer_incoterms="DDP",seller_region="RU"),R714,0)</f>
        <v/>
      </c>
      <c r="T714" s="45" t="n"/>
      <c r="V714" s="57">
        <f>IF(Q714&gt;0,"показать","скрыть")</f>
        <v/>
      </c>
    </row>
    <row r="715" ht="15.75" customHeight="1">
      <c r="B715" s="809" t="n">
        <v>699</v>
      </c>
      <c r="C715" s="182">
        <f>IF(offer_sale_type="транзит",IFERROR(VLOOKUP($B715,calc_data,C$14+1,0),0),0)</f>
        <v/>
      </c>
      <c r="D715" s="280">
        <f>IF(offer_sale_type="транзит",IFERROR(VLOOKUP($B715,calc_data,D$14+1,0),0),0)</f>
        <v/>
      </c>
      <c r="E715" s="182">
        <f>IF(offer_sale_type="транзит",IFERROR(VLOOKUP($B715,calc_data,E$14+1,0),0),0)</f>
        <v/>
      </c>
      <c r="F715" s="182">
        <f>IF(offer_sale_type="транзит",IFERROR(VLOOKUP($B715,calc_data,F$14+1,0),0),0)</f>
        <v/>
      </c>
      <c r="G715" s="141">
        <f>IF(offer_sale_type="транзит",IFERROR(VLOOKUP($B715,calc_data,G$14+1,0),0),0)</f>
        <v/>
      </c>
      <c r="H715" s="141">
        <f>E715*G715</f>
        <v/>
      </c>
      <c r="I715" s="141">
        <f>IF(offer_sale_type="транзит",IFERROR(ROUND(VLOOKUP($B715,calc_data,I$14+1,0),2),0),0)</f>
        <v/>
      </c>
      <c r="J715" s="141">
        <f>ROUND(IF(offer_sale_type="транзит",IFERROR(VLOOKUP($B715,calc_data,J$14+1,0),0),0),2)</f>
        <v/>
      </c>
      <c r="K715" s="142">
        <f>IF(offer_sale_type="транзит",IFERROR(ROUNDUP(VLOOKUP($B715,calc_data,K$14+1,0),2),0),0)</f>
        <v/>
      </c>
      <c r="L715" s="184">
        <f>IF(offer_sale_type="транзит",IFERROR(ROUNDUP(VLOOKUP($B715,calc_data,L$14+1,0),2),0),0)</f>
        <v/>
      </c>
      <c r="M715" s="141">
        <f>IF(offer_sale_type="транзит",IFERROR(ROUNDUP(VLOOKUP($B715,calc_data,M$14+1,0),2),0),0)</f>
        <v/>
      </c>
      <c r="N715" s="141">
        <f>IF(offer_sale_type="транзит",IFERROR(ROUNDUP(VLOOKUP($B715,calc_data,N$14+1,0),2),0),0)</f>
        <v/>
      </c>
      <c r="O715" s="147">
        <f>IF(offer_sale_type="транзит",IFERROR(ROUND(VLOOKUP($B715,calc_data,O$14+1,1),2),0),0)</f>
        <v/>
      </c>
      <c r="P715" s="141">
        <f>IF(offer_sale_type="транзит",IFERROR(ROUND(SUM(I715:J715,M715:O715)/E715,2),0),0)</f>
        <v/>
      </c>
      <c r="Q715" s="141">
        <f>E715*P715</f>
        <v/>
      </c>
      <c r="R715" s="141">
        <f>ROUND(Q715*IF(AND(offer_incoterms="DDP",seller_region="RU"),IF((TODAY()+offer_turnaround_time)&gt;=helpsheet!$L$17,rate_vatRU_from_26,rate_vatRu_till_25),0),2)</f>
        <v/>
      </c>
      <c r="S715" s="177">
        <f>Q715+IF(AND(offer_incoterms="DDP",seller_region="RU"),R715,0)</f>
        <v/>
      </c>
      <c r="T715" s="45" t="n"/>
      <c r="V715" s="57">
        <f>IF(Q715&gt;0,"показать","скрыть")</f>
        <v/>
      </c>
    </row>
    <row r="716" ht="15.75" customHeight="1">
      <c r="B716" s="809" t="n">
        <v>700</v>
      </c>
      <c r="C716" s="182">
        <f>IF(offer_sale_type="транзит",IFERROR(VLOOKUP($B716,calc_data,C$14+1,0),0),0)</f>
        <v/>
      </c>
      <c r="D716" s="280">
        <f>IF(offer_sale_type="транзит",IFERROR(VLOOKUP($B716,calc_data,D$14+1,0),0),0)</f>
        <v/>
      </c>
      <c r="E716" s="182">
        <f>IF(offer_sale_type="транзит",IFERROR(VLOOKUP($B716,calc_data,E$14+1,0),0),0)</f>
        <v/>
      </c>
      <c r="F716" s="182">
        <f>IF(offer_sale_type="транзит",IFERROR(VLOOKUP($B716,calc_data,F$14+1,0),0),0)</f>
        <v/>
      </c>
      <c r="G716" s="141">
        <f>IF(offer_sale_type="транзит",IFERROR(VLOOKUP($B716,calc_data,G$14+1,0),0),0)</f>
        <v/>
      </c>
      <c r="H716" s="141">
        <f>E716*G716</f>
        <v/>
      </c>
      <c r="I716" s="141">
        <f>IF(offer_sale_type="транзит",IFERROR(ROUND(VLOOKUP($B716,calc_data,I$14+1,0),2),0),0)</f>
        <v/>
      </c>
      <c r="J716" s="141">
        <f>ROUND(IF(offer_sale_type="транзит",IFERROR(VLOOKUP($B716,calc_data,J$14+1,0),0),0),2)</f>
        <v/>
      </c>
      <c r="K716" s="142">
        <f>IF(offer_sale_type="транзит",IFERROR(ROUNDUP(VLOOKUP($B716,calc_data,K$14+1,0),2),0),0)</f>
        <v/>
      </c>
      <c r="L716" s="184">
        <f>IF(offer_sale_type="транзит",IFERROR(ROUNDUP(VLOOKUP($B716,calc_data,L$14+1,0),2),0),0)</f>
        <v/>
      </c>
      <c r="M716" s="141">
        <f>IF(offer_sale_type="транзит",IFERROR(ROUNDUP(VLOOKUP($B716,calc_data,M$14+1,0),2),0),0)</f>
        <v/>
      </c>
      <c r="N716" s="141">
        <f>IF(offer_sale_type="транзит",IFERROR(ROUNDUP(VLOOKUP($B716,calc_data,N$14+1,0),2),0),0)</f>
        <v/>
      </c>
      <c r="O716" s="147">
        <f>IF(offer_sale_type="транзит",IFERROR(ROUND(VLOOKUP($B716,calc_data,O$14+1,1),2),0),0)</f>
        <v/>
      </c>
      <c r="P716" s="141">
        <f>IF(offer_sale_type="транзит",IFERROR(ROUND(SUM(I716:J716,M716:O716)/E716,2),0),0)</f>
        <v/>
      </c>
      <c r="Q716" s="141">
        <f>E716*P716</f>
        <v/>
      </c>
      <c r="R716" s="141">
        <f>ROUND(Q716*IF(AND(offer_incoterms="DDP",seller_region="RU"),IF((TODAY()+offer_turnaround_time)&gt;=helpsheet!$L$17,rate_vatRU_from_26,rate_vatRu_till_25),0),2)</f>
        <v/>
      </c>
      <c r="S716" s="177">
        <f>Q716+IF(AND(offer_incoterms="DDP",seller_region="RU"),R716,0)</f>
        <v/>
      </c>
      <c r="T716" s="45" t="n"/>
      <c r="V716" s="57">
        <f>IF(Q716&gt;0,"показать","скрыть")</f>
        <v/>
      </c>
    </row>
    <row r="717" ht="15.75" customHeight="1">
      <c r="B717" s="809" t="n">
        <v>701</v>
      </c>
      <c r="C717" s="182">
        <f>IF(offer_sale_type="транзит",IFERROR(VLOOKUP($B717,calc_data,C$14+1,0),0),0)</f>
        <v/>
      </c>
      <c r="D717" s="280">
        <f>IF(offer_sale_type="транзит",IFERROR(VLOOKUP($B717,calc_data,D$14+1,0),0),0)</f>
        <v/>
      </c>
      <c r="E717" s="182">
        <f>IF(offer_sale_type="транзит",IFERROR(VLOOKUP($B717,calc_data,E$14+1,0),0),0)</f>
        <v/>
      </c>
      <c r="F717" s="182">
        <f>IF(offer_sale_type="транзит",IFERROR(VLOOKUP($B717,calc_data,F$14+1,0),0),0)</f>
        <v/>
      </c>
      <c r="G717" s="141">
        <f>IF(offer_sale_type="транзит",IFERROR(VLOOKUP($B717,calc_data,G$14+1,0),0),0)</f>
        <v/>
      </c>
      <c r="H717" s="141">
        <f>E717*G717</f>
        <v/>
      </c>
      <c r="I717" s="141">
        <f>IF(offer_sale_type="транзит",IFERROR(ROUND(VLOOKUP($B717,calc_data,I$14+1,0),2),0),0)</f>
        <v/>
      </c>
      <c r="J717" s="141">
        <f>ROUND(IF(offer_sale_type="транзит",IFERROR(VLOOKUP($B717,calc_data,J$14+1,0),0),0),2)</f>
        <v/>
      </c>
      <c r="K717" s="142">
        <f>IF(offer_sale_type="транзит",IFERROR(ROUNDUP(VLOOKUP($B717,calc_data,K$14+1,0),2),0),0)</f>
        <v/>
      </c>
      <c r="L717" s="184">
        <f>IF(offer_sale_type="транзит",IFERROR(ROUNDUP(VLOOKUP($B717,calc_data,L$14+1,0),2),0),0)</f>
        <v/>
      </c>
      <c r="M717" s="141">
        <f>IF(offer_sale_type="транзит",IFERROR(ROUNDUP(VLOOKUP($B717,calc_data,M$14+1,0),2),0),0)</f>
        <v/>
      </c>
      <c r="N717" s="141">
        <f>IF(offer_sale_type="транзит",IFERROR(ROUNDUP(VLOOKUP($B717,calc_data,N$14+1,0),2),0),0)</f>
        <v/>
      </c>
      <c r="O717" s="147">
        <f>IF(offer_sale_type="транзит",IFERROR(ROUND(VLOOKUP($B717,calc_data,O$14+1,1),2),0),0)</f>
        <v/>
      </c>
      <c r="P717" s="141">
        <f>IF(offer_sale_type="транзит",IFERROR(ROUND(SUM(I717:J717,M717:O717)/E717,2),0),0)</f>
        <v/>
      </c>
      <c r="Q717" s="141">
        <f>E717*P717</f>
        <v/>
      </c>
      <c r="R717" s="141">
        <f>ROUND(Q717*IF(AND(offer_incoterms="DDP",seller_region="RU"),IF((TODAY()+offer_turnaround_time)&gt;=helpsheet!$L$17,rate_vatRU_from_26,rate_vatRu_till_25),0),2)</f>
        <v/>
      </c>
      <c r="S717" s="177">
        <f>Q717+IF(AND(offer_incoterms="DDP",seller_region="RU"),R717,0)</f>
        <v/>
      </c>
      <c r="T717" s="45" t="n"/>
      <c r="V717" s="57">
        <f>IF(Q717&gt;0,"показать","скрыть")</f>
        <v/>
      </c>
    </row>
    <row r="718" ht="15.75" customHeight="1">
      <c r="B718" s="809" t="n">
        <v>702</v>
      </c>
      <c r="C718" s="182">
        <f>IF(offer_sale_type="транзит",IFERROR(VLOOKUP($B718,calc_data,C$14+1,0),0),0)</f>
        <v/>
      </c>
      <c r="D718" s="280">
        <f>IF(offer_sale_type="транзит",IFERROR(VLOOKUP($B718,calc_data,D$14+1,0),0),0)</f>
        <v/>
      </c>
      <c r="E718" s="182">
        <f>IF(offer_sale_type="транзит",IFERROR(VLOOKUP($B718,calc_data,E$14+1,0),0),0)</f>
        <v/>
      </c>
      <c r="F718" s="182">
        <f>IF(offer_sale_type="транзит",IFERROR(VLOOKUP($B718,calc_data,F$14+1,0),0),0)</f>
        <v/>
      </c>
      <c r="G718" s="141">
        <f>IF(offer_sale_type="транзит",IFERROR(VLOOKUP($B718,calc_data,G$14+1,0),0),0)</f>
        <v/>
      </c>
      <c r="H718" s="141">
        <f>E718*G718</f>
        <v/>
      </c>
      <c r="I718" s="141">
        <f>IF(offer_sale_type="транзит",IFERROR(ROUND(VLOOKUP($B718,calc_data,I$14+1,0),2),0),0)</f>
        <v/>
      </c>
      <c r="J718" s="141">
        <f>ROUND(IF(offer_sale_type="транзит",IFERROR(VLOOKUP($B718,calc_data,J$14+1,0),0),0),2)</f>
        <v/>
      </c>
      <c r="K718" s="142">
        <f>IF(offer_sale_type="транзит",IFERROR(ROUNDUP(VLOOKUP($B718,calc_data,K$14+1,0),2),0),0)</f>
        <v/>
      </c>
      <c r="L718" s="184">
        <f>IF(offer_sale_type="транзит",IFERROR(ROUNDUP(VLOOKUP($B718,calc_data,L$14+1,0),2),0),0)</f>
        <v/>
      </c>
      <c r="M718" s="141">
        <f>IF(offer_sale_type="транзит",IFERROR(ROUNDUP(VLOOKUP($B718,calc_data,M$14+1,0),2),0),0)</f>
        <v/>
      </c>
      <c r="N718" s="141">
        <f>IF(offer_sale_type="транзит",IFERROR(ROUNDUP(VLOOKUP($B718,calc_data,N$14+1,0),2),0),0)</f>
        <v/>
      </c>
      <c r="O718" s="147">
        <f>IF(offer_sale_type="транзит",IFERROR(ROUND(VLOOKUP($B718,calc_data,O$14+1,1),2),0),0)</f>
        <v/>
      </c>
      <c r="P718" s="141">
        <f>IF(offer_sale_type="транзит",IFERROR(ROUND(SUM(I718:J718,M718:O718)/E718,2),0),0)</f>
        <v/>
      </c>
      <c r="Q718" s="141">
        <f>E718*P718</f>
        <v/>
      </c>
      <c r="R718" s="141">
        <f>ROUND(Q718*IF(AND(offer_incoterms="DDP",seller_region="RU"),IF((TODAY()+offer_turnaround_time)&gt;=helpsheet!$L$17,rate_vatRU_from_26,rate_vatRu_till_25),0),2)</f>
        <v/>
      </c>
      <c r="S718" s="177">
        <f>Q718+IF(AND(offer_incoterms="DDP",seller_region="RU"),R718,0)</f>
        <v/>
      </c>
      <c r="T718" s="45" t="n"/>
      <c r="V718" s="57">
        <f>IF(Q718&gt;0,"показать","скрыть")</f>
        <v/>
      </c>
    </row>
    <row r="719" ht="15.75" customHeight="1">
      <c r="B719" s="809" t="n">
        <v>703</v>
      </c>
      <c r="C719" s="182">
        <f>IF(offer_sale_type="транзит",IFERROR(VLOOKUP($B719,calc_data,C$14+1,0),0),0)</f>
        <v/>
      </c>
      <c r="D719" s="280">
        <f>IF(offer_sale_type="транзит",IFERROR(VLOOKUP($B719,calc_data,D$14+1,0),0),0)</f>
        <v/>
      </c>
      <c r="E719" s="182">
        <f>IF(offer_sale_type="транзит",IFERROR(VLOOKUP($B719,calc_data,E$14+1,0),0),0)</f>
        <v/>
      </c>
      <c r="F719" s="182">
        <f>IF(offer_sale_type="транзит",IFERROR(VLOOKUP($B719,calc_data,F$14+1,0),0),0)</f>
        <v/>
      </c>
      <c r="G719" s="141">
        <f>IF(offer_sale_type="транзит",IFERROR(VLOOKUP($B719,calc_data,G$14+1,0),0),0)</f>
        <v/>
      </c>
      <c r="H719" s="141">
        <f>E719*G719</f>
        <v/>
      </c>
      <c r="I719" s="141">
        <f>IF(offer_sale_type="транзит",IFERROR(ROUND(VLOOKUP($B719,calc_data,I$14+1,0),2),0),0)</f>
        <v/>
      </c>
      <c r="J719" s="141">
        <f>ROUND(IF(offer_sale_type="транзит",IFERROR(VLOOKUP($B719,calc_data,J$14+1,0),0),0),2)</f>
        <v/>
      </c>
      <c r="K719" s="142">
        <f>IF(offer_sale_type="транзит",IFERROR(ROUNDUP(VLOOKUP($B719,calc_data,K$14+1,0),2),0),0)</f>
        <v/>
      </c>
      <c r="L719" s="184">
        <f>IF(offer_sale_type="транзит",IFERROR(ROUNDUP(VLOOKUP($B719,calc_data,L$14+1,0),2),0),0)</f>
        <v/>
      </c>
      <c r="M719" s="141">
        <f>IF(offer_sale_type="транзит",IFERROR(ROUNDUP(VLOOKUP($B719,calc_data,M$14+1,0),2),0),0)</f>
        <v/>
      </c>
      <c r="N719" s="141">
        <f>IF(offer_sale_type="транзит",IFERROR(ROUNDUP(VLOOKUP($B719,calc_data,N$14+1,0),2),0),0)</f>
        <v/>
      </c>
      <c r="O719" s="147">
        <f>IF(offer_sale_type="транзит",IFERROR(ROUND(VLOOKUP($B719,calc_data,O$14+1,1),2),0),0)</f>
        <v/>
      </c>
      <c r="P719" s="141">
        <f>IF(offer_sale_type="транзит",IFERROR(ROUND(SUM(I719:J719,M719:O719)/E719,2),0),0)</f>
        <v/>
      </c>
      <c r="Q719" s="141">
        <f>E719*P719</f>
        <v/>
      </c>
      <c r="R719" s="141">
        <f>ROUND(Q719*IF(AND(offer_incoterms="DDP",seller_region="RU"),IF((TODAY()+offer_turnaround_time)&gt;=helpsheet!$L$17,rate_vatRU_from_26,rate_vatRu_till_25),0),2)</f>
        <v/>
      </c>
      <c r="S719" s="177">
        <f>Q719+IF(AND(offer_incoterms="DDP",seller_region="RU"),R719,0)</f>
        <v/>
      </c>
      <c r="T719" s="45" t="n"/>
      <c r="V719" s="57">
        <f>IF(Q719&gt;0,"показать","скрыть")</f>
        <v/>
      </c>
    </row>
    <row r="720" ht="15.75" customHeight="1">
      <c r="B720" s="809" t="n">
        <v>704</v>
      </c>
      <c r="C720" s="182">
        <f>IF(offer_sale_type="транзит",IFERROR(VLOOKUP($B720,calc_data,C$14+1,0),0),0)</f>
        <v/>
      </c>
      <c r="D720" s="280">
        <f>IF(offer_sale_type="транзит",IFERROR(VLOOKUP($B720,calc_data,D$14+1,0),0),0)</f>
        <v/>
      </c>
      <c r="E720" s="182">
        <f>IF(offer_sale_type="транзит",IFERROR(VLOOKUP($B720,calc_data,E$14+1,0),0),0)</f>
        <v/>
      </c>
      <c r="F720" s="182">
        <f>IF(offer_sale_type="транзит",IFERROR(VLOOKUP($B720,calc_data,F$14+1,0),0),0)</f>
        <v/>
      </c>
      <c r="G720" s="141">
        <f>IF(offer_sale_type="транзит",IFERROR(VLOOKUP($B720,calc_data,G$14+1,0),0),0)</f>
        <v/>
      </c>
      <c r="H720" s="141">
        <f>E720*G720</f>
        <v/>
      </c>
      <c r="I720" s="141">
        <f>IF(offer_sale_type="транзит",IFERROR(ROUND(VLOOKUP($B720,calc_data,I$14+1,0),2),0),0)</f>
        <v/>
      </c>
      <c r="J720" s="141">
        <f>ROUND(IF(offer_sale_type="транзит",IFERROR(VLOOKUP($B720,calc_data,J$14+1,0),0),0),2)</f>
        <v/>
      </c>
      <c r="K720" s="142">
        <f>IF(offer_sale_type="транзит",IFERROR(ROUNDUP(VLOOKUP($B720,calc_data,K$14+1,0),2),0),0)</f>
        <v/>
      </c>
      <c r="L720" s="184">
        <f>IF(offer_sale_type="транзит",IFERROR(ROUNDUP(VLOOKUP($B720,calc_data,L$14+1,0),2),0),0)</f>
        <v/>
      </c>
      <c r="M720" s="141">
        <f>IF(offer_sale_type="транзит",IFERROR(ROUNDUP(VLOOKUP($B720,calc_data,M$14+1,0),2),0),0)</f>
        <v/>
      </c>
      <c r="N720" s="141">
        <f>IF(offer_sale_type="транзит",IFERROR(ROUNDUP(VLOOKUP($B720,calc_data,N$14+1,0),2),0),0)</f>
        <v/>
      </c>
      <c r="O720" s="147">
        <f>IF(offer_sale_type="транзит",IFERROR(ROUND(VLOOKUP($B720,calc_data,O$14+1,1),2),0),0)</f>
        <v/>
      </c>
      <c r="P720" s="141">
        <f>IF(offer_sale_type="транзит",IFERROR(ROUND(SUM(I720:J720,M720:O720)/E720,2),0),0)</f>
        <v/>
      </c>
      <c r="Q720" s="141">
        <f>E720*P720</f>
        <v/>
      </c>
      <c r="R720" s="141">
        <f>ROUND(Q720*IF(AND(offer_incoterms="DDP",seller_region="RU"),IF((TODAY()+offer_turnaround_time)&gt;=helpsheet!$L$17,rate_vatRU_from_26,rate_vatRu_till_25),0),2)</f>
        <v/>
      </c>
      <c r="S720" s="177">
        <f>Q720+IF(AND(offer_incoterms="DDP",seller_region="RU"),R720,0)</f>
        <v/>
      </c>
      <c r="T720" s="45" t="n"/>
      <c r="V720" s="57">
        <f>IF(Q720&gt;0,"показать","скрыть")</f>
        <v/>
      </c>
    </row>
    <row r="721" ht="15.75" customHeight="1">
      <c r="B721" s="809" t="n">
        <v>705</v>
      </c>
      <c r="C721" s="182">
        <f>IF(offer_sale_type="транзит",IFERROR(VLOOKUP($B721,calc_data,C$14+1,0),0),0)</f>
        <v/>
      </c>
      <c r="D721" s="280">
        <f>IF(offer_sale_type="транзит",IFERROR(VLOOKUP($B721,calc_data,D$14+1,0),0),0)</f>
        <v/>
      </c>
      <c r="E721" s="182">
        <f>IF(offer_sale_type="транзит",IFERROR(VLOOKUP($B721,calc_data,E$14+1,0),0),0)</f>
        <v/>
      </c>
      <c r="F721" s="182">
        <f>IF(offer_sale_type="транзит",IFERROR(VLOOKUP($B721,calc_data,F$14+1,0),0),0)</f>
        <v/>
      </c>
      <c r="G721" s="141">
        <f>IF(offer_sale_type="транзит",IFERROR(VLOOKUP($B721,calc_data,G$14+1,0),0),0)</f>
        <v/>
      </c>
      <c r="H721" s="141">
        <f>E721*G721</f>
        <v/>
      </c>
      <c r="I721" s="141">
        <f>IF(offer_sale_type="транзит",IFERROR(ROUND(VLOOKUP($B721,calc_data,I$14+1,0),2),0),0)</f>
        <v/>
      </c>
      <c r="J721" s="141">
        <f>ROUND(IF(offer_sale_type="транзит",IFERROR(VLOOKUP($B721,calc_data,J$14+1,0),0),0),2)</f>
        <v/>
      </c>
      <c r="K721" s="142">
        <f>IF(offer_sale_type="транзит",IFERROR(ROUNDUP(VLOOKUP($B721,calc_data,K$14+1,0),2),0),0)</f>
        <v/>
      </c>
      <c r="L721" s="184">
        <f>IF(offer_sale_type="транзит",IFERROR(ROUNDUP(VLOOKUP($B721,calc_data,L$14+1,0),2),0),0)</f>
        <v/>
      </c>
      <c r="M721" s="141">
        <f>IF(offer_sale_type="транзит",IFERROR(ROUNDUP(VLOOKUP($B721,calc_data,M$14+1,0),2),0),0)</f>
        <v/>
      </c>
      <c r="N721" s="141">
        <f>IF(offer_sale_type="транзит",IFERROR(ROUNDUP(VLOOKUP($B721,calc_data,N$14+1,0),2),0),0)</f>
        <v/>
      </c>
      <c r="O721" s="147">
        <f>IF(offer_sale_type="транзит",IFERROR(ROUND(VLOOKUP($B721,calc_data,O$14+1,1),2),0),0)</f>
        <v/>
      </c>
      <c r="P721" s="141">
        <f>IF(offer_sale_type="транзит",IFERROR(ROUND(SUM(I721:J721,M721:O721)/E721,2),0),0)</f>
        <v/>
      </c>
      <c r="Q721" s="141">
        <f>E721*P721</f>
        <v/>
      </c>
      <c r="R721" s="141">
        <f>ROUND(Q721*IF(AND(offer_incoterms="DDP",seller_region="RU"),IF((TODAY()+offer_turnaround_time)&gt;=helpsheet!$L$17,rate_vatRU_from_26,rate_vatRu_till_25),0),2)</f>
        <v/>
      </c>
      <c r="S721" s="177">
        <f>Q721+IF(AND(offer_incoterms="DDP",seller_region="RU"),R721,0)</f>
        <v/>
      </c>
      <c r="T721" s="45" t="n"/>
      <c r="V721" s="57">
        <f>IF(Q721&gt;0,"показать","скрыть")</f>
        <v/>
      </c>
    </row>
    <row r="722" ht="15.75" customHeight="1">
      <c r="B722" s="809" t="n">
        <v>706</v>
      </c>
      <c r="C722" s="182">
        <f>IF(offer_sale_type="транзит",IFERROR(VLOOKUP($B722,calc_data,C$14+1,0),0),0)</f>
        <v/>
      </c>
      <c r="D722" s="280">
        <f>IF(offer_sale_type="транзит",IFERROR(VLOOKUP($B722,calc_data,D$14+1,0),0),0)</f>
        <v/>
      </c>
      <c r="E722" s="182">
        <f>IF(offer_sale_type="транзит",IFERROR(VLOOKUP($B722,calc_data,E$14+1,0),0),0)</f>
        <v/>
      </c>
      <c r="F722" s="182">
        <f>IF(offer_sale_type="транзит",IFERROR(VLOOKUP($B722,calc_data,F$14+1,0),0),0)</f>
        <v/>
      </c>
      <c r="G722" s="141">
        <f>IF(offer_sale_type="транзит",IFERROR(VLOOKUP($B722,calc_data,G$14+1,0),0),0)</f>
        <v/>
      </c>
      <c r="H722" s="141">
        <f>E722*G722</f>
        <v/>
      </c>
      <c r="I722" s="141">
        <f>IF(offer_sale_type="транзит",IFERROR(ROUND(VLOOKUP($B722,calc_data,I$14+1,0),2),0),0)</f>
        <v/>
      </c>
      <c r="J722" s="141">
        <f>ROUND(IF(offer_sale_type="транзит",IFERROR(VLOOKUP($B722,calc_data,J$14+1,0),0),0),2)</f>
        <v/>
      </c>
      <c r="K722" s="142">
        <f>IF(offer_sale_type="транзит",IFERROR(ROUNDUP(VLOOKUP($B722,calc_data,K$14+1,0),2),0),0)</f>
        <v/>
      </c>
      <c r="L722" s="184">
        <f>IF(offer_sale_type="транзит",IFERROR(ROUNDUP(VLOOKUP($B722,calc_data,L$14+1,0),2),0),0)</f>
        <v/>
      </c>
      <c r="M722" s="141">
        <f>IF(offer_sale_type="транзит",IFERROR(ROUNDUP(VLOOKUP($B722,calc_data,M$14+1,0),2),0),0)</f>
        <v/>
      </c>
      <c r="N722" s="141">
        <f>IF(offer_sale_type="транзит",IFERROR(ROUNDUP(VLOOKUP($B722,calc_data,N$14+1,0),2),0),0)</f>
        <v/>
      </c>
      <c r="O722" s="147">
        <f>IF(offer_sale_type="транзит",IFERROR(ROUND(VLOOKUP($B722,calc_data,O$14+1,1),2),0),0)</f>
        <v/>
      </c>
      <c r="P722" s="141">
        <f>IF(offer_sale_type="транзит",IFERROR(ROUND(SUM(I722:J722,M722:O722)/E722,2),0),0)</f>
        <v/>
      </c>
      <c r="Q722" s="141">
        <f>E722*P722</f>
        <v/>
      </c>
      <c r="R722" s="141">
        <f>ROUND(Q722*IF(AND(offer_incoterms="DDP",seller_region="RU"),IF((TODAY()+offer_turnaround_time)&gt;=helpsheet!$L$17,rate_vatRU_from_26,rate_vatRu_till_25),0),2)</f>
        <v/>
      </c>
      <c r="S722" s="177">
        <f>Q722+IF(AND(offer_incoterms="DDP",seller_region="RU"),R722,0)</f>
        <v/>
      </c>
      <c r="T722" s="45" t="n"/>
      <c r="V722" s="57">
        <f>IF(Q722&gt;0,"показать","скрыть")</f>
        <v/>
      </c>
    </row>
    <row r="723" ht="15.75" customHeight="1">
      <c r="B723" s="809" t="n">
        <v>707</v>
      </c>
      <c r="C723" s="182">
        <f>IF(offer_sale_type="транзит",IFERROR(VLOOKUP($B723,calc_data,C$14+1,0),0),0)</f>
        <v/>
      </c>
      <c r="D723" s="280">
        <f>IF(offer_sale_type="транзит",IFERROR(VLOOKUP($B723,calc_data,D$14+1,0),0),0)</f>
        <v/>
      </c>
      <c r="E723" s="182">
        <f>IF(offer_sale_type="транзит",IFERROR(VLOOKUP($B723,calc_data,E$14+1,0),0),0)</f>
        <v/>
      </c>
      <c r="F723" s="182">
        <f>IF(offer_sale_type="транзит",IFERROR(VLOOKUP($B723,calc_data,F$14+1,0),0),0)</f>
        <v/>
      </c>
      <c r="G723" s="141">
        <f>IF(offer_sale_type="транзит",IFERROR(VLOOKUP($B723,calc_data,G$14+1,0),0),0)</f>
        <v/>
      </c>
      <c r="H723" s="141">
        <f>E723*G723</f>
        <v/>
      </c>
      <c r="I723" s="141">
        <f>IF(offer_sale_type="транзит",IFERROR(ROUND(VLOOKUP($B723,calc_data,I$14+1,0),2),0),0)</f>
        <v/>
      </c>
      <c r="J723" s="141">
        <f>ROUND(IF(offer_sale_type="транзит",IFERROR(VLOOKUP($B723,calc_data,J$14+1,0),0),0),2)</f>
        <v/>
      </c>
      <c r="K723" s="142">
        <f>IF(offer_sale_type="транзит",IFERROR(ROUNDUP(VLOOKUP($B723,calc_data,K$14+1,0),2),0),0)</f>
        <v/>
      </c>
      <c r="L723" s="184">
        <f>IF(offer_sale_type="транзит",IFERROR(ROUNDUP(VLOOKUP($B723,calc_data,L$14+1,0),2),0),0)</f>
        <v/>
      </c>
      <c r="M723" s="141">
        <f>IF(offer_sale_type="транзит",IFERROR(ROUNDUP(VLOOKUP($B723,calc_data,M$14+1,0),2),0),0)</f>
        <v/>
      </c>
      <c r="N723" s="141">
        <f>IF(offer_sale_type="транзит",IFERROR(ROUNDUP(VLOOKUP($B723,calc_data,N$14+1,0),2),0),0)</f>
        <v/>
      </c>
      <c r="O723" s="147">
        <f>IF(offer_sale_type="транзит",IFERROR(ROUND(VLOOKUP($B723,calc_data,O$14+1,1),2),0),0)</f>
        <v/>
      </c>
      <c r="P723" s="141">
        <f>IF(offer_sale_type="транзит",IFERROR(ROUND(SUM(I723:J723,M723:O723)/E723,2),0),0)</f>
        <v/>
      </c>
      <c r="Q723" s="141">
        <f>E723*P723</f>
        <v/>
      </c>
      <c r="R723" s="141">
        <f>ROUND(Q723*IF(AND(offer_incoterms="DDP",seller_region="RU"),IF((TODAY()+offer_turnaround_time)&gt;=helpsheet!$L$17,rate_vatRU_from_26,rate_vatRu_till_25),0),2)</f>
        <v/>
      </c>
      <c r="S723" s="177">
        <f>Q723+IF(AND(offer_incoterms="DDP",seller_region="RU"),R723,0)</f>
        <v/>
      </c>
      <c r="T723" s="45" t="n"/>
      <c r="V723" s="57">
        <f>IF(Q723&gt;0,"показать","скрыть")</f>
        <v/>
      </c>
    </row>
    <row r="724" ht="15.75" customHeight="1">
      <c r="B724" s="809" t="n">
        <v>708</v>
      </c>
      <c r="C724" s="182">
        <f>IF(offer_sale_type="транзит",IFERROR(VLOOKUP($B724,calc_data,C$14+1,0),0),0)</f>
        <v/>
      </c>
      <c r="D724" s="280">
        <f>IF(offer_sale_type="транзит",IFERROR(VLOOKUP($B724,calc_data,D$14+1,0),0),0)</f>
        <v/>
      </c>
      <c r="E724" s="182">
        <f>IF(offer_sale_type="транзит",IFERROR(VLOOKUP($B724,calc_data,E$14+1,0),0),0)</f>
        <v/>
      </c>
      <c r="F724" s="182">
        <f>IF(offer_sale_type="транзит",IFERROR(VLOOKUP($B724,calc_data,F$14+1,0),0),0)</f>
        <v/>
      </c>
      <c r="G724" s="141">
        <f>IF(offer_sale_type="транзит",IFERROR(VLOOKUP($B724,calc_data,G$14+1,0),0),0)</f>
        <v/>
      </c>
      <c r="H724" s="141">
        <f>E724*G724</f>
        <v/>
      </c>
      <c r="I724" s="141">
        <f>IF(offer_sale_type="транзит",IFERROR(ROUND(VLOOKUP($B724,calc_data,I$14+1,0),2),0),0)</f>
        <v/>
      </c>
      <c r="J724" s="141">
        <f>ROUND(IF(offer_sale_type="транзит",IFERROR(VLOOKUP($B724,calc_data,J$14+1,0),0),0),2)</f>
        <v/>
      </c>
      <c r="K724" s="142">
        <f>IF(offer_sale_type="транзит",IFERROR(ROUNDUP(VLOOKUP($B724,calc_data,K$14+1,0),2),0),0)</f>
        <v/>
      </c>
      <c r="L724" s="184">
        <f>IF(offer_sale_type="транзит",IFERROR(ROUNDUP(VLOOKUP($B724,calc_data,L$14+1,0),2),0),0)</f>
        <v/>
      </c>
      <c r="M724" s="141">
        <f>IF(offer_sale_type="транзит",IFERROR(ROUNDUP(VLOOKUP($B724,calc_data,M$14+1,0),2),0),0)</f>
        <v/>
      </c>
      <c r="N724" s="141">
        <f>IF(offer_sale_type="транзит",IFERROR(ROUNDUP(VLOOKUP($B724,calc_data,N$14+1,0),2),0),0)</f>
        <v/>
      </c>
      <c r="O724" s="147">
        <f>IF(offer_sale_type="транзит",IFERROR(ROUND(VLOOKUP($B724,calc_data,O$14+1,1),2),0),0)</f>
        <v/>
      </c>
      <c r="P724" s="141">
        <f>IF(offer_sale_type="транзит",IFERROR(ROUND(SUM(I724:J724,M724:O724)/E724,2),0),0)</f>
        <v/>
      </c>
      <c r="Q724" s="141">
        <f>E724*P724</f>
        <v/>
      </c>
      <c r="R724" s="141">
        <f>ROUND(Q724*IF(AND(offer_incoterms="DDP",seller_region="RU"),IF((TODAY()+offer_turnaround_time)&gt;=helpsheet!$L$17,rate_vatRU_from_26,rate_vatRu_till_25),0),2)</f>
        <v/>
      </c>
      <c r="S724" s="177">
        <f>Q724+IF(AND(offer_incoterms="DDP",seller_region="RU"),R724,0)</f>
        <v/>
      </c>
      <c r="T724" s="45" t="n"/>
      <c r="V724" s="57">
        <f>IF(Q724&gt;0,"показать","скрыть")</f>
        <v/>
      </c>
    </row>
    <row r="725" ht="15.75" customHeight="1">
      <c r="B725" s="809" t="n">
        <v>709</v>
      </c>
      <c r="C725" s="182">
        <f>IF(offer_sale_type="транзит",IFERROR(VLOOKUP($B725,calc_data,C$14+1,0),0),0)</f>
        <v/>
      </c>
      <c r="D725" s="280">
        <f>IF(offer_sale_type="транзит",IFERROR(VLOOKUP($B725,calc_data,D$14+1,0),0),0)</f>
        <v/>
      </c>
      <c r="E725" s="182">
        <f>IF(offer_sale_type="транзит",IFERROR(VLOOKUP($B725,calc_data,E$14+1,0),0),0)</f>
        <v/>
      </c>
      <c r="F725" s="182">
        <f>IF(offer_sale_type="транзит",IFERROR(VLOOKUP($B725,calc_data,F$14+1,0),0),0)</f>
        <v/>
      </c>
      <c r="G725" s="141">
        <f>IF(offer_sale_type="транзит",IFERROR(VLOOKUP($B725,calc_data,G$14+1,0),0),0)</f>
        <v/>
      </c>
      <c r="H725" s="141">
        <f>E725*G725</f>
        <v/>
      </c>
      <c r="I725" s="141">
        <f>IF(offer_sale_type="транзит",IFERROR(ROUND(VLOOKUP($B725,calc_data,I$14+1,0),2),0),0)</f>
        <v/>
      </c>
      <c r="J725" s="141">
        <f>ROUND(IF(offer_sale_type="транзит",IFERROR(VLOOKUP($B725,calc_data,J$14+1,0),0),0),2)</f>
        <v/>
      </c>
      <c r="K725" s="142">
        <f>IF(offer_sale_type="транзит",IFERROR(ROUNDUP(VLOOKUP($B725,calc_data,K$14+1,0),2),0),0)</f>
        <v/>
      </c>
      <c r="L725" s="184">
        <f>IF(offer_sale_type="транзит",IFERROR(ROUNDUP(VLOOKUP($B725,calc_data,L$14+1,0),2),0),0)</f>
        <v/>
      </c>
      <c r="M725" s="141">
        <f>IF(offer_sale_type="транзит",IFERROR(ROUNDUP(VLOOKUP($B725,calc_data,M$14+1,0),2),0),0)</f>
        <v/>
      </c>
      <c r="N725" s="141">
        <f>IF(offer_sale_type="транзит",IFERROR(ROUNDUP(VLOOKUP($B725,calc_data,N$14+1,0),2),0),0)</f>
        <v/>
      </c>
      <c r="O725" s="147">
        <f>IF(offer_sale_type="транзит",IFERROR(ROUND(VLOOKUP($B725,calc_data,O$14+1,1),2),0),0)</f>
        <v/>
      </c>
      <c r="P725" s="141">
        <f>IF(offer_sale_type="транзит",IFERROR(ROUND(SUM(I725:J725,M725:O725)/E725,2),0),0)</f>
        <v/>
      </c>
      <c r="Q725" s="141">
        <f>E725*P725</f>
        <v/>
      </c>
      <c r="R725" s="141">
        <f>ROUND(Q725*IF(AND(offer_incoterms="DDP",seller_region="RU"),IF((TODAY()+offer_turnaround_time)&gt;=helpsheet!$L$17,rate_vatRU_from_26,rate_vatRu_till_25),0),2)</f>
        <v/>
      </c>
      <c r="S725" s="177">
        <f>Q725+IF(AND(offer_incoterms="DDP",seller_region="RU"),R725,0)</f>
        <v/>
      </c>
      <c r="T725" s="45" t="n"/>
      <c r="V725" s="57">
        <f>IF(Q725&gt;0,"показать","скрыть")</f>
        <v/>
      </c>
    </row>
    <row r="726" ht="15.75" customHeight="1">
      <c r="B726" s="809" t="n">
        <v>710</v>
      </c>
      <c r="C726" s="182">
        <f>IF(offer_sale_type="транзит",IFERROR(VLOOKUP($B726,calc_data,C$14+1,0),0),0)</f>
        <v/>
      </c>
      <c r="D726" s="280">
        <f>IF(offer_sale_type="транзит",IFERROR(VLOOKUP($B726,calc_data,D$14+1,0),0),0)</f>
        <v/>
      </c>
      <c r="E726" s="182">
        <f>IF(offer_sale_type="транзит",IFERROR(VLOOKUP($B726,calc_data,E$14+1,0),0),0)</f>
        <v/>
      </c>
      <c r="F726" s="182">
        <f>IF(offer_sale_type="транзит",IFERROR(VLOOKUP($B726,calc_data,F$14+1,0),0),0)</f>
        <v/>
      </c>
      <c r="G726" s="141">
        <f>IF(offer_sale_type="транзит",IFERROR(VLOOKUP($B726,calc_data,G$14+1,0),0),0)</f>
        <v/>
      </c>
      <c r="H726" s="141">
        <f>E726*G726</f>
        <v/>
      </c>
      <c r="I726" s="141">
        <f>IF(offer_sale_type="транзит",IFERROR(ROUND(VLOOKUP($B726,calc_data,I$14+1,0),2),0),0)</f>
        <v/>
      </c>
      <c r="J726" s="141">
        <f>ROUND(IF(offer_sale_type="транзит",IFERROR(VLOOKUP($B726,calc_data,J$14+1,0),0),0),2)</f>
        <v/>
      </c>
      <c r="K726" s="142">
        <f>IF(offer_sale_type="транзит",IFERROR(ROUNDUP(VLOOKUP($B726,calc_data,K$14+1,0),2),0),0)</f>
        <v/>
      </c>
      <c r="L726" s="184">
        <f>IF(offer_sale_type="транзит",IFERROR(ROUNDUP(VLOOKUP($B726,calc_data,L$14+1,0),2),0),0)</f>
        <v/>
      </c>
      <c r="M726" s="141">
        <f>IF(offer_sale_type="транзит",IFERROR(ROUNDUP(VLOOKUP($B726,calc_data,M$14+1,0),2),0),0)</f>
        <v/>
      </c>
      <c r="N726" s="141">
        <f>IF(offer_sale_type="транзит",IFERROR(ROUNDUP(VLOOKUP($B726,calc_data,N$14+1,0),2),0),0)</f>
        <v/>
      </c>
      <c r="O726" s="147">
        <f>IF(offer_sale_type="транзит",IFERROR(ROUND(VLOOKUP($B726,calc_data,O$14+1,1),2),0),0)</f>
        <v/>
      </c>
      <c r="P726" s="141">
        <f>IF(offer_sale_type="транзит",IFERROR(ROUND(SUM(I726:J726,M726:O726)/E726,2),0),0)</f>
        <v/>
      </c>
      <c r="Q726" s="141">
        <f>E726*P726</f>
        <v/>
      </c>
      <c r="R726" s="141">
        <f>ROUND(Q726*IF(AND(offer_incoterms="DDP",seller_region="RU"),IF((TODAY()+offer_turnaround_time)&gt;=helpsheet!$L$17,rate_vatRU_from_26,rate_vatRu_till_25),0),2)</f>
        <v/>
      </c>
      <c r="S726" s="177">
        <f>Q726+IF(AND(offer_incoterms="DDP",seller_region="RU"),R726,0)</f>
        <v/>
      </c>
      <c r="T726" s="45" t="n"/>
      <c r="V726" s="57">
        <f>IF(Q726&gt;0,"показать","скрыть")</f>
        <v/>
      </c>
    </row>
    <row r="727" ht="15.75" customHeight="1">
      <c r="B727" s="809" t="n">
        <v>711</v>
      </c>
      <c r="C727" s="182">
        <f>IF(offer_sale_type="транзит",IFERROR(VLOOKUP($B727,calc_data,C$14+1,0),0),0)</f>
        <v/>
      </c>
      <c r="D727" s="280">
        <f>IF(offer_sale_type="транзит",IFERROR(VLOOKUP($B727,calc_data,D$14+1,0),0),0)</f>
        <v/>
      </c>
      <c r="E727" s="182">
        <f>IF(offer_sale_type="транзит",IFERROR(VLOOKUP($B727,calc_data,E$14+1,0),0),0)</f>
        <v/>
      </c>
      <c r="F727" s="182">
        <f>IF(offer_sale_type="транзит",IFERROR(VLOOKUP($B727,calc_data,F$14+1,0),0),0)</f>
        <v/>
      </c>
      <c r="G727" s="141">
        <f>IF(offer_sale_type="транзит",IFERROR(VLOOKUP($B727,calc_data,G$14+1,0),0),0)</f>
        <v/>
      </c>
      <c r="H727" s="141">
        <f>E727*G727</f>
        <v/>
      </c>
      <c r="I727" s="141">
        <f>IF(offer_sale_type="транзит",IFERROR(ROUND(VLOOKUP($B727,calc_data,I$14+1,0),2),0),0)</f>
        <v/>
      </c>
      <c r="J727" s="141">
        <f>ROUND(IF(offer_sale_type="транзит",IFERROR(VLOOKUP($B727,calc_data,J$14+1,0),0),0),2)</f>
        <v/>
      </c>
      <c r="K727" s="142">
        <f>IF(offer_sale_type="транзит",IFERROR(ROUNDUP(VLOOKUP($B727,calc_data,K$14+1,0),2),0),0)</f>
        <v/>
      </c>
      <c r="L727" s="184">
        <f>IF(offer_sale_type="транзит",IFERROR(ROUNDUP(VLOOKUP($B727,calc_data,L$14+1,0),2),0),0)</f>
        <v/>
      </c>
      <c r="M727" s="141">
        <f>IF(offer_sale_type="транзит",IFERROR(ROUNDUP(VLOOKUP($B727,calc_data,M$14+1,0),2),0),0)</f>
        <v/>
      </c>
      <c r="N727" s="141">
        <f>IF(offer_sale_type="транзит",IFERROR(ROUNDUP(VLOOKUP($B727,calc_data,N$14+1,0),2),0),0)</f>
        <v/>
      </c>
      <c r="O727" s="147">
        <f>IF(offer_sale_type="транзит",IFERROR(ROUND(VLOOKUP($B727,calc_data,O$14+1,1),2),0),0)</f>
        <v/>
      </c>
      <c r="P727" s="141">
        <f>IF(offer_sale_type="транзит",IFERROR(ROUND(SUM(I727:J727,M727:O727)/E727,2),0),0)</f>
        <v/>
      </c>
      <c r="Q727" s="141">
        <f>E727*P727</f>
        <v/>
      </c>
      <c r="R727" s="141">
        <f>ROUND(Q727*IF(AND(offer_incoterms="DDP",seller_region="RU"),IF((TODAY()+offer_turnaround_time)&gt;=helpsheet!$L$17,rate_vatRU_from_26,rate_vatRu_till_25),0),2)</f>
        <v/>
      </c>
      <c r="S727" s="177">
        <f>Q727+IF(AND(offer_incoterms="DDP",seller_region="RU"),R727,0)</f>
        <v/>
      </c>
      <c r="T727" s="45" t="n"/>
      <c r="V727" s="57">
        <f>IF(Q727&gt;0,"показать","скрыть")</f>
        <v/>
      </c>
    </row>
    <row r="728" ht="15.75" customHeight="1">
      <c r="B728" s="809" t="n">
        <v>712</v>
      </c>
      <c r="C728" s="182">
        <f>IF(offer_sale_type="транзит",IFERROR(VLOOKUP($B728,calc_data,C$14+1,0),0),0)</f>
        <v/>
      </c>
      <c r="D728" s="280">
        <f>IF(offer_sale_type="транзит",IFERROR(VLOOKUP($B728,calc_data,D$14+1,0),0),0)</f>
        <v/>
      </c>
      <c r="E728" s="182">
        <f>IF(offer_sale_type="транзит",IFERROR(VLOOKUP($B728,calc_data,E$14+1,0),0),0)</f>
        <v/>
      </c>
      <c r="F728" s="182">
        <f>IF(offer_sale_type="транзит",IFERROR(VLOOKUP($B728,calc_data,F$14+1,0),0),0)</f>
        <v/>
      </c>
      <c r="G728" s="141">
        <f>IF(offer_sale_type="транзит",IFERROR(VLOOKUP($B728,calc_data,G$14+1,0),0),0)</f>
        <v/>
      </c>
      <c r="H728" s="141">
        <f>E728*G728</f>
        <v/>
      </c>
      <c r="I728" s="141">
        <f>IF(offer_sale_type="транзит",IFERROR(ROUND(VLOOKUP($B728,calc_data,I$14+1,0),2),0),0)</f>
        <v/>
      </c>
      <c r="J728" s="141">
        <f>ROUND(IF(offer_sale_type="транзит",IFERROR(VLOOKUP($B728,calc_data,J$14+1,0),0),0),2)</f>
        <v/>
      </c>
      <c r="K728" s="142">
        <f>IF(offer_sale_type="транзит",IFERROR(ROUNDUP(VLOOKUP($B728,calc_data,K$14+1,0),2),0),0)</f>
        <v/>
      </c>
      <c r="L728" s="184">
        <f>IF(offer_sale_type="транзит",IFERROR(ROUNDUP(VLOOKUP($B728,calc_data,L$14+1,0),2),0),0)</f>
        <v/>
      </c>
      <c r="M728" s="141">
        <f>IF(offer_sale_type="транзит",IFERROR(ROUNDUP(VLOOKUP($B728,calc_data,M$14+1,0),2),0),0)</f>
        <v/>
      </c>
      <c r="N728" s="141">
        <f>IF(offer_sale_type="транзит",IFERROR(ROUNDUP(VLOOKUP($B728,calc_data,N$14+1,0),2),0),0)</f>
        <v/>
      </c>
      <c r="O728" s="147">
        <f>IF(offer_sale_type="транзит",IFERROR(ROUND(VLOOKUP($B728,calc_data,O$14+1,1),2),0),0)</f>
        <v/>
      </c>
      <c r="P728" s="141">
        <f>IF(offer_sale_type="транзит",IFERROR(ROUND(SUM(I728:J728,M728:O728)/E728,2),0),0)</f>
        <v/>
      </c>
      <c r="Q728" s="141">
        <f>E728*P728</f>
        <v/>
      </c>
      <c r="R728" s="141">
        <f>ROUND(Q728*IF(AND(offer_incoterms="DDP",seller_region="RU"),IF((TODAY()+offer_turnaround_time)&gt;=helpsheet!$L$17,rate_vatRU_from_26,rate_vatRu_till_25),0),2)</f>
        <v/>
      </c>
      <c r="S728" s="177">
        <f>Q728+IF(AND(offer_incoterms="DDP",seller_region="RU"),R728,0)</f>
        <v/>
      </c>
      <c r="T728" s="45" t="n"/>
      <c r="V728" s="57">
        <f>IF(Q728&gt;0,"показать","скрыть")</f>
        <v/>
      </c>
    </row>
    <row r="729" ht="15.75" customHeight="1">
      <c r="B729" s="809" t="n">
        <v>713</v>
      </c>
      <c r="C729" s="182">
        <f>IF(offer_sale_type="транзит",IFERROR(VLOOKUP($B729,calc_data,C$14+1,0),0),0)</f>
        <v/>
      </c>
      <c r="D729" s="280">
        <f>IF(offer_sale_type="транзит",IFERROR(VLOOKUP($B729,calc_data,D$14+1,0),0),0)</f>
        <v/>
      </c>
      <c r="E729" s="182">
        <f>IF(offer_sale_type="транзит",IFERROR(VLOOKUP($B729,calc_data,E$14+1,0),0),0)</f>
        <v/>
      </c>
      <c r="F729" s="182">
        <f>IF(offer_sale_type="транзит",IFERROR(VLOOKUP($B729,calc_data,F$14+1,0),0),0)</f>
        <v/>
      </c>
      <c r="G729" s="141">
        <f>IF(offer_sale_type="транзит",IFERROR(VLOOKUP($B729,calc_data,G$14+1,0),0),0)</f>
        <v/>
      </c>
      <c r="H729" s="141">
        <f>E729*G729</f>
        <v/>
      </c>
      <c r="I729" s="141">
        <f>IF(offer_sale_type="транзит",IFERROR(ROUND(VLOOKUP($B729,calc_data,I$14+1,0),2),0),0)</f>
        <v/>
      </c>
      <c r="J729" s="141">
        <f>ROUND(IF(offer_sale_type="транзит",IFERROR(VLOOKUP($B729,calc_data,J$14+1,0),0),0),2)</f>
        <v/>
      </c>
      <c r="K729" s="142">
        <f>IF(offer_sale_type="транзит",IFERROR(ROUNDUP(VLOOKUP($B729,calc_data,K$14+1,0),2),0),0)</f>
        <v/>
      </c>
      <c r="L729" s="184">
        <f>IF(offer_sale_type="транзит",IFERROR(ROUNDUP(VLOOKUP($B729,calc_data,L$14+1,0),2),0),0)</f>
        <v/>
      </c>
      <c r="M729" s="141">
        <f>IF(offer_sale_type="транзит",IFERROR(ROUNDUP(VLOOKUP($B729,calc_data,M$14+1,0),2),0),0)</f>
        <v/>
      </c>
      <c r="N729" s="141">
        <f>IF(offer_sale_type="транзит",IFERROR(ROUNDUP(VLOOKUP($B729,calc_data,N$14+1,0),2),0),0)</f>
        <v/>
      </c>
      <c r="O729" s="147">
        <f>IF(offer_sale_type="транзит",IFERROR(ROUND(VLOOKUP($B729,calc_data,O$14+1,1),2),0),0)</f>
        <v/>
      </c>
      <c r="P729" s="141">
        <f>IF(offer_sale_type="транзит",IFERROR(ROUND(SUM(I729:J729,M729:O729)/E729,2),0),0)</f>
        <v/>
      </c>
      <c r="Q729" s="141">
        <f>E729*P729</f>
        <v/>
      </c>
      <c r="R729" s="141">
        <f>ROUND(Q729*IF(AND(offer_incoterms="DDP",seller_region="RU"),IF((TODAY()+offer_turnaround_time)&gt;=helpsheet!$L$17,rate_vatRU_from_26,rate_vatRu_till_25),0),2)</f>
        <v/>
      </c>
      <c r="S729" s="177">
        <f>Q729+IF(AND(offer_incoterms="DDP",seller_region="RU"),R729,0)</f>
        <v/>
      </c>
      <c r="T729" s="45" t="n"/>
      <c r="V729" s="57">
        <f>IF(Q729&gt;0,"показать","скрыть")</f>
        <v/>
      </c>
    </row>
    <row r="730" ht="15.75" customHeight="1">
      <c r="B730" s="809" t="n">
        <v>714</v>
      </c>
      <c r="C730" s="182">
        <f>IF(offer_sale_type="транзит",IFERROR(VLOOKUP($B730,calc_data,C$14+1,0),0),0)</f>
        <v/>
      </c>
      <c r="D730" s="280">
        <f>IF(offer_sale_type="транзит",IFERROR(VLOOKUP($B730,calc_data,D$14+1,0),0),0)</f>
        <v/>
      </c>
      <c r="E730" s="182">
        <f>IF(offer_sale_type="транзит",IFERROR(VLOOKUP($B730,calc_data,E$14+1,0),0),0)</f>
        <v/>
      </c>
      <c r="F730" s="182">
        <f>IF(offer_sale_type="транзит",IFERROR(VLOOKUP($B730,calc_data,F$14+1,0),0),0)</f>
        <v/>
      </c>
      <c r="G730" s="141">
        <f>IF(offer_sale_type="транзит",IFERROR(VLOOKUP($B730,calc_data,G$14+1,0),0),0)</f>
        <v/>
      </c>
      <c r="H730" s="141">
        <f>E730*G730</f>
        <v/>
      </c>
      <c r="I730" s="141">
        <f>IF(offer_sale_type="транзит",IFERROR(ROUND(VLOOKUP($B730,calc_data,I$14+1,0),2),0),0)</f>
        <v/>
      </c>
      <c r="J730" s="141">
        <f>ROUND(IF(offer_sale_type="транзит",IFERROR(VLOOKUP($B730,calc_data,J$14+1,0),0),0),2)</f>
        <v/>
      </c>
      <c r="K730" s="142">
        <f>IF(offer_sale_type="транзит",IFERROR(ROUNDUP(VLOOKUP($B730,calc_data,K$14+1,0),2),0),0)</f>
        <v/>
      </c>
      <c r="L730" s="184">
        <f>IF(offer_sale_type="транзит",IFERROR(ROUNDUP(VLOOKUP($B730,calc_data,L$14+1,0),2),0),0)</f>
        <v/>
      </c>
      <c r="M730" s="141">
        <f>IF(offer_sale_type="транзит",IFERROR(ROUNDUP(VLOOKUP($B730,calc_data,M$14+1,0),2),0),0)</f>
        <v/>
      </c>
      <c r="N730" s="141">
        <f>IF(offer_sale_type="транзит",IFERROR(ROUNDUP(VLOOKUP($B730,calc_data,N$14+1,0),2),0),0)</f>
        <v/>
      </c>
      <c r="O730" s="147">
        <f>IF(offer_sale_type="транзит",IFERROR(ROUND(VLOOKUP($B730,calc_data,O$14+1,1),2),0),0)</f>
        <v/>
      </c>
      <c r="P730" s="141">
        <f>IF(offer_sale_type="транзит",IFERROR(ROUND(SUM(I730:J730,M730:O730)/E730,2),0),0)</f>
        <v/>
      </c>
      <c r="Q730" s="141">
        <f>E730*P730</f>
        <v/>
      </c>
      <c r="R730" s="141">
        <f>ROUND(Q730*IF(AND(offer_incoterms="DDP",seller_region="RU"),IF((TODAY()+offer_turnaround_time)&gt;=helpsheet!$L$17,rate_vatRU_from_26,rate_vatRu_till_25),0),2)</f>
        <v/>
      </c>
      <c r="S730" s="177">
        <f>Q730+IF(AND(offer_incoterms="DDP",seller_region="RU"),R730,0)</f>
        <v/>
      </c>
      <c r="T730" s="45" t="n"/>
      <c r="V730" s="57">
        <f>IF(Q730&gt;0,"показать","скрыть")</f>
        <v/>
      </c>
    </row>
    <row r="731" ht="15.75" customHeight="1">
      <c r="B731" s="809" t="n">
        <v>715</v>
      </c>
      <c r="C731" s="182">
        <f>IF(offer_sale_type="транзит",IFERROR(VLOOKUP($B731,calc_data,C$14+1,0),0),0)</f>
        <v/>
      </c>
      <c r="D731" s="280">
        <f>IF(offer_sale_type="транзит",IFERROR(VLOOKUP($B731,calc_data,D$14+1,0),0),0)</f>
        <v/>
      </c>
      <c r="E731" s="182">
        <f>IF(offer_sale_type="транзит",IFERROR(VLOOKUP($B731,calc_data,E$14+1,0),0),0)</f>
        <v/>
      </c>
      <c r="F731" s="182">
        <f>IF(offer_sale_type="транзит",IFERROR(VLOOKUP($B731,calc_data,F$14+1,0),0),0)</f>
        <v/>
      </c>
      <c r="G731" s="141">
        <f>IF(offer_sale_type="транзит",IFERROR(VLOOKUP($B731,calc_data,G$14+1,0),0),0)</f>
        <v/>
      </c>
      <c r="H731" s="141">
        <f>E731*G731</f>
        <v/>
      </c>
      <c r="I731" s="141">
        <f>IF(offer_sale_type="транзит",IFERROR(ROUND(VLOOKUP($B731,calc_data,I$14+1,0),2),0),0)</f>
        <v/>
      </c>
      <c r="J731" s="141">
        <f>ROUND(IF(offer_sale_type="транзит",IFERROR(VLOOKUP($B731,calc_data,J$14+1,0),0),0),2)</f>
        <v/>
      </c>
      <c r="K731" s="142">
        <f>IF(offer_sale_type="транзит",IFERROR(ROUNDUP(VLOOKUP($B731,calc_data,K$14+1,0),2),0),0)</f>
        <v/>
      </c>
      <c r="L731" s="184">
        <f>IF(offer_sale_type="транзит",IFERROR(ROUNDUP(VLOOKUP($B731,calc_data,L$14+1,0),2),0),0)</f>
        <v/>
      </c>
      <c r="M731" s="141">
        <f>IF(offer_sale_type="транзит",IFERROR(ROUNDUP(VLOOKUP($B731,calc_data,M$14+1,0),2),0),0)</f>
        <v/>
      </c>
      <c r="N731" s="141">
        <f>IF(offer_sale_type="транзит",IFERROR(ROUNDUP(VLOOKUP($B731,calc_data,N$14+1,0),2),0),0)</f>
        <v/>
      </c>
      <c r="O731" s="147">
        <f>IF(offer_sale_type="транзит",IFERROR(ROUND(VLOOKUP($B731,calc_data,O$14+1,1),2),0),0)</f>
        <v/>
      </c>
      <c r="P731" s="141">
        <f>IF(offer_sale_type="транзит",IFERROR(ROUND(SUM(I731:J731,M731:O731)/E731,2),0),0)</f>
        <v/>
      </c>
      <c r="Q731" s="141">
        <f>E731*P731</f>
        <v/>
      </c>
      <c r="R731" s="141">
        <f>ROUND(Q731*IF(AND(offer_incoterms="DDP",seller_region="RU"),IF((TODAY()+offer_turnaround_time)&gt;=helpsheet!$L$17,rate_vatRU_from_26,rate_vatRu_till_25),0),2)</f>
        <v/>
      </c>
      <c r="S731" s="177">
        <f>Q731+IF(AND(offer_incoterms="DDP",seller_region="RU"),R731,0)</f>
        <v/>
      </c>
      <c r="T731" s="45" t="n"/>
      <c r="V731" s="57">
        <f>IF(Q731&gt;0,"показать","скрыть")</f>
        <v/>
      </c>
    </row>
    <row r="732" ht="15.75" customHeight="1">
      <c r="B732" s="809" t="n">
        <v>716</v>
      </c>
      <c r="C732" s="182">
        <f>IF(offer_sale_type="транзит",IFERROR(VLOOKUP($B732,calc_data,C$14+1,0),0),0)</f>
        <v/>
      </c>
      <c r="D732" s="280">
        <f>IF(offer_sale_type="транзит",IFERROR(VLOOKUP($B732,calc_data,D$14+1,0),0),0)</f>
        <v/>
      </c>
      <c r="E732" s="182">
        <f>IF(offer_sale_type="транзит",IFERROR(VLOOKUP($B732,calc_data,E$14+1,0),0),0)</f>
        <v/>
      </c>
      <c r="F732" s="182">
        <f>IF(offer_sale_type="транзит",IFERROR(VLOOKUP($B732,calc_data,F$14+1,0),0),0)</f>
        <v/>
      </c>
      <c r="G732" s="141">
        <f>IF(offer_sale_type="транзит",IFERROR(VLOOKUP($B732,calc_data,G$14+1,0),0),0)</f>
        <v/>
      </c>
      <c r="H732" s="141">
        <f>E732*G732</f>
        <v/>
      </c>
      <c r="I732" s="141">
        <f>IF(offer_sale_type="транзит",IFERROR(ROUND(VLOOKUP($B732,calc_data,I$14+1,0),2),0),0)</f>
        <v/>
      </c>
      <c r="J732" s="141">
        <f>ROUND(IF(offer_sale_type="транзит",IFERROR(VLOOKUP($B732,calc_data,J$14+1,0),0),0),2)</f>
        <v/>
      </c>
      <c r="K732" s="142">
        <f>IF(offer_sale_type="транзит",IFERROR(ROUNDUP(VLOOKUP($B732,calc_data,K$14+1,0),2),0),0)</f>
        <v/>
      </c>
      <c r="L732" s="184">
        <f>IF(offer_sale_type="транзит",IFERROR(ROUNDUP(VLOOKUP($B732,calc_data,L$14+1,0),2),0),0)</f>
        <v/>
      </c>
      <c r="M732" s="141">
        <f>IF(offer_sale_type="транзит",IFERROR(ROUNDUP(VLOOKUP($B732,calc_data,M$14+1,0),2),0),0)</f>
        <v/>
      </c>
      <c r="N732" s="141">
        <f>IF(offer_sale_type="транзит",IFERROR(ROUNDUP(VLOOKUP($B732,calc_data,N$14+1,0),2),0),0)</f>
        <v/>
      </c>
      <c r="O732" s="147">
        <f>IF(offer_sale_type="транзит",IFERROR(ROUND(VLOOKUP($B732,calc_data,O$14+1,1),2),0),0)</f>
        <v/>
      </c>
      <c r="P732" s="141">
        <f>IF(offer_sale_type="транзит",IFERROR(ROUND(SUM(I732:J732,M732:O732)/E732,2),0),0)</f>
        <v/>
      </c>
      <c r="Q732" s="141">
        <f>E732*P732</f>
        <v/>
      </c>
      <c r="R732" s="141">
        <f>ROUND(Q732*IF(AND(offer_incoterms="DDP",seller_region="RU"),IF((TODAY()+offer_turnaround_time)&gt;=helpsheet!$L$17,rate_vatRU_from_26,rate_vatRu_till_25),0),2)</f>
        <v/>
      </c>
      <c r="S732" s="177">
        <f>Q732+IF(AND(offer_incoterms="DDP",seller_region="RU"),R732,0)</f>
        <v/>
      </c>
      <c r="T732" s="45" t="n"/>
      <c r="V732" s="57">
        <f>IF(Q732&gt;0,"показать","скрыть")</f>
        <v/>
      </c>
    </row>
    <row r="733" ht="15.75" customHeight="1">
      <c r="B733" s="809" t="n">
        <v>717</v>
      </c>
      <c r="C733" s="182">
        <f>IF(offer_sale_type="транзит",IFERROR(VLOOKUP($B733,calc_data,C$14+1,0),0),0)</f>
        <v/>
      </c>
      <c r="D733" s="280">
        <f>IF(offer_sale_type="транзит",IFERROR(VLOOKUP($B733,calc_data,D$14+1,0),0),0)</f>
        <v/>
      </c>
      <c r="E733" s="182">
        <f>IF(offer_sale_type="транзит",IFERROR(VLOOKUP($B733,calc_data,E$14+1,0),0),0)</f>
        <v/>
      </c>
      <c r="F733" s="182">
        <f>IF(offer_sale_type="транзит",IFERROR(VLOOKUP($B733,calc_data,F$14+1,0),0),0)</f>
        <v/>
      </c>
      <c r="G733" s="141">
        <f>IF(offer_sale_type="транзит",IFERROR(VLOOKUP($B733,calc_data,G$14+1,0),0),0)</f>
        <v/>
      </c>
      <c r="H733" s="141">
        <f>E733*G733</f>
        <v/>
      </c>
      <c r="I733" s="141">
        <f>IF(offer_sale_type="транзит",IFERROR(ROUND(VLOOKUP($B733,calc_data,I$14+1,0),2),0),0)</f>
        <v/>
      </c>
      <c r="J733" s="141">
        <f>ROUND(IF(offer_sale_type="транзит",IFERROR(VLOOKUP($B733,calc_data,J$14+1,0),0),0),2)</f>
        <v/>
      </c>
      <c r="K733" s="142">
        <f>IF(offer_sale_type="транзит",IFERROR(ROUNDUP(VLOOKUP($B733,calc_data,K$14+1,0),2),0),0)</f>
        <v/>
      </c>
      <c r="L733" s="184">
        <f>IF(offer_sale_type="транзит",IFERROR(ROUNDUP(VLOOKUP($B733,calc_data,L$14+1,0),2),0),0)</f>
        <v/>
      </c>
      <c r="M733" s="141">
        <f>IF(offer_sale_type="транзит",IFERROR(ROUNDUP(VLOOKUP($B733,calc_data,M$14+1,0),2),0),0)</f>
        <v/>
      </c>
      <c r="N733" s="141">
        <f>IF(offer_sale_type="транзит",IFERROR(ROUNDUP(VLOOKUP($B733,calc_data,N$14+1,0),2),0),0)</f>
        <v/>
      </c>
      <c r="O733" s="147">
        <f>IF(offer_sale_type="транзит",IFERROR(ROUND(VLOOKUP($B733,calc_data,O$14+1,1),2),0),0)</f>
        <v/>
      </c>
      <c r="P733" s="141">
        <f>IF(offer_sale_type="транзит",IFERROR(ROUND(SUM(I733:J733,M733:O733)/E733,2),0),0)</f>
        <v/>
      </c>
      <c r="Q733" s="141">
        <f>E733*P733</f>
        <v/>
      </c>
      <c r="R733" s="141">
        <f>ROUND(Q733*IF(AND(offer_incoterms="DDP",seller_region="RU"),IF((TODAY()+offer_turnaround_time)&gt;=helpsheet!$L$17,rate_vatRU_from_26,rate_vatRu_till_25),0),2)</f>
        <v/>
      </c>
      <c r="S733" s="177">
        <f>Q733+IF(AND(offer_incoterms="DDP",seller_region="RU"),R733,0)</f>
        <v/>
      </c>
      <c r="T733" s="45" t="n"/>
      <c r="V733" s="57">
        <f>IF(Q733&gt;0,"показать","скрыть")</f>
        <v/>
      </c>
    </row>
    <row r="734" ht="15.75" customHeight="1">
      <c r="B734" s="809" t="n">
        <v>718</v>
      </c>
      <c r="C734" s="182">
        <f>IF(offer_sale_type="транзит",IFERROR(VLOOKUP($B734,calc_data,C$14+1,0),0),0)</f>
        <v/>
      </c>
      <c r="D734" s="280">
        <f>IF(offer_sale_type="транзит",IFERROR(VLOOKUP($B734,calc_data,D$14+1,0),0),0)</f>
        <v/>
      </c>
      <c r="E734" s="182">
        <f>IF(offer_sale_type="транзит",IFERROR(VLOOKUP($B734,calc_data,E$14+1,0),0),0)</f>
        <v/>
      </c>
      <c r="F734" s="182">
        <f>IF(offer_sale_type="транзит",IFERROR(VLOOKUP($B734,calc_data,F$14+1,0),0),0)</f>
        <v/>
      </c>
      <c r="G734" s="141">
        <f>IF(offer_sale_type="транзит",IFERROR(VLOOKUP($B734,calc_data,G$14+1,0),0),0)</f>
        <v/>
      </c>
      <c r="H734" s="141">
        <f>E734*G734</f>
        <v/>
      </c>
      <c r="I734" s="141">
        <f>IF(offer_sale_type="транзит",IFERROR(ROUND(VLOOKUP($B734,calc_data,I$14+1,0),2),0),0)</f>
        <v/>
      </c>
      <c r="J734" s="141">
        <f>ROUND(IF(offer_sale_type="транзит",IFERROR(VLOOKUP($B734,calc_data,J$14+1,0),0),0),2)</f>
        <v/>
      </c>
      <c r="K734" s="142">
        <f>IF(offer_sale_type="транзит",IFERROR(ROUNDUP(VLOOKUP($B734,calc_data,K$14+1,0),2),0),0)</f>
        <v/>
      </c>
      <c r="L734" s="184">
        <f>IF(offer_sale_type="транзит",IFERROR(ROUNDUP(VLOOKUP($B734,calc_data,L$14+1,0),2),0),0)</f>
        <v/>
      </c>
      <c r="M734" s="141">
        <f>IF(offer_sale_type="транзит",IFERROR(ROUNDUP(VLOOKUP($B734,calc_data,M$14+1,0),2),0),0)</f>
        <v/>
      </c>
      <c r="N734" s="141">
        <f>IF(offer_sale_type="транзит",IFERROR(ROUNDUP(VLOOKUP($B734,calc_data,N$14+1,0),2),0),0)</f>
        <v/>
      </c>
      <c r="O734" s="147">
        <f>IF(offer_sale_type="транзит",IFERROR(ROUND(VLOOKUP($B734,calc_data,O$14+1,1),2),0),0)</f>
        <v/>
      </c>
      <c r="P734" s="141">
        <f>IF(offer_sale_type="транзит",IFERROR(ROUND(SUM(I734:J734,M734:O734)/E734,2),0),0)</f>
        <v/>
      </c>
      <c r="Q734" s="141">
        <f>E734*P734</f>
        <v/>
      </c>
      <c r="R734" s="141">
        <f>ROUND(Q734*IF(AND(offer_incoterms="DDP",seller_region="RU"),IF((TODAY()+offer_turnaround_time)&gt;=helpsheet!$L$17,rate_vatRU_from_26,rate_vatRu_till_25),0),2)</f>
        <v/>
      </c>
      <c r="S734" s="177">
        <f>Q734+IF(AND(offer_incoterms="DDP",seller_region="RU"),R734,0)</f>
        <v/>
      </c>
      <c r="T734" s="45" t="n"/>
      <c r="V734" s="57">
        <f>IF(Q734&gt;0,"показать","скрыть")</f>
        <v/>
      </c>
    </row>
    <row r="735" ht="15.75" customHeight="1">
      <c r="B735" s="809" t="n">
        <v>719</v>
      </c>
      <c r="C735" s="182">
        <f>IF(offer_sale_type="транзит",IFERROR(VLOOKUP($B735,calc_data,C$14+1,0),0),0)</f>
        <v/>
      </c>
      <c r="D735" s="280">
        <f>IF(offer_sale_type="транзит",IFERROR(VLOOKUP($B735,calc_data,D$14+1,0),0),0)</f>
        <v/>
      </c>
      <c r="E735" s="182">
        <f>IF(offer_sale_type="транзит",IFERROR(VLOOKUP($B735,calc_data,E$14+1,0),0),0)</f>
        <v/>
      </c>
      <c r="F735" s="182">
        <f>IF(offer_sale_type="транзит",IFERROR(VLOOKUP($B735,calc_data,F$14+1,0),0),0)</f>
        <v/>
      </c>
      <c r="G735" s="141">
        <f>IF(offer_sale_type="транзит",IFERROR(VLOOKUP($B735,calc_data,G$14+1,0),0),0)</f>
        <v/>
      </c>
      <c r="H735" s="141">
        <f>E735*G735</f>
        <v/>
      </c>
      <c r="I735" s="141">
        <f>IF(offer_sale_type="транзит",IFERROR(ROUND(VLOOKUP($B735,calc_data,I$14+1,0),2),0),0)</f>
        <v/>
      </c>
      <c r="J735" s="141">
        <f>ROUND(IF(offer_sale_type="транзит",IFERROR(VLOOKUP($B735,calc_data,J$14+1,0),0),0),2)</f>
        <v/>
      </c>
      <c r="K735" s="142">
        <f>IF(offer_sale_type="транзит",IFERROR(ROUNDUP(VLOOKUP($B735,calc_data,K$14+1,0),2),0),0)</f>
        <v/>
      </c>
      <c r="L735" s="184">
        <f>IF(offer_sale_type="транзит",IFERROR(ROUNDUP(VLOOKUP($B735,calc_data,L$14+1,0),2),0),0)</f>
        <v/>
      </c>
      <c r="M735" s="141">
        <f>IF(offer_sale_type="транзит",IFERROR(ROUNDUP(VLOOKUP($B735,calc_data,M$14+1,0),2),0),0)</f>
        <v/>
      </c>
      <c r="N735" s="141">
        <f>IF(offer_sale_type="транзит",IFERROR(ROUNDUP(VLOOKUP($B735,calc_data,N$14+1,0),2),0),0)</f>
        <v/>
      </c>
      <c r="O735" s="147">
        <f>IF(offer_sale_type="транзит",IFERROR(ROUND(VLOOKUP($B735,calc_data,O$14+1,1),2),0),0)</f>
        <v/>
      </c>
      <c r="P735" s="141">
        <f>IF(offer_sale_type="транзит",IFERROR(ROUND(SUM(I735:J735,M735:O735)/E735,2),0),0)</f>
        <v/>
      </c>
      <c r="Q735" s="141">
        <f>E735*P735</f>
        <v/>
      </c>
      <c r="R735" s="141">
        <f>ROUND(Q735*IF(AND(offer_incoterms="DDP",seller_region="RU"),IF((TODAY()+offer_turnaround_time)&gt;=helpsheet!$L$17,rate_vatRU_from_26,rate_vatRu_till_25),0),2)</f>
        <v/>
      </c>
      <c r="S735" s="177">
        <f>Q735+IF(AND(offer_incoterms="DDP",seller_region="RU"),R735,0)</f>
        <v/>
      </c>
      <c r="T735" s="45" t="n"/>
      <c r="V735" s="57">
        <f>IF(Q735&gt;0,"показать","скрыть")</f>
        <v/>
      </c>
    </row>
    <row r="736" ht="15.75" customHeight="1">
      <c r="B736" s="809" t="n">
        <v>720</v>
      </c>
      <c r="C736" s="182">
        <f>IF(offer_sale_type="транзит",IFERROR(VLOOKUP($B736,calc_data,C$14+1,0),0),0)</f>
        <v/>
      </c>
      <c r="D736" s="280">
        <f>IF(offer_sale_type="транзит",IFERROR(VLOOKUP($B736,calc_data,D$14+1,0),0),0)</f>
        <v/>
      </c>
      <c r="E736" s="182">
        <f>IF(offer_sale_type="транзит",IFERROR(VLOOKUP($B736,calc_data,E$14+1,0),0),0)</f>
        <v/>
      </c>
      <c r="F736" s="182">
        <f>IF(offer_sale_type="транзит",IFERROR(VLOOKUP($B736,calc_data,F$14+1,0),0),0)</f>
        <v/>
      </c>
      <c r="G736" s="141">
        <f>IF(offer_sale_type="транзит",IFERROR(VLOOKUP($B736,calc_data,G$14+1,0),0),0)</f>
        <v/>
      </c>
      <c r="H736" s="141">
        <f>E736*G736</f>
        <v/>
      </c>
      <c r="I736" s="141">
        <f>IF(offer_sale_type="транзит",IFERROR(ROUND(VLOOKUP($B736,calc_data,I$14+1,0),2),0),0)</f>
        <v/>
      </c>
      <c r="J736" s="141">
        <f>ROUND(IF(offer_sale_type="транзит",IFERROR(VLOOKUP($B736,calc_data,J$14+1,0),0),0),2)</f>
        <v/>
      </c>
      <c r="K736" s="142">
        <f>IF(offer_sale_type="транзит",IFERROR(ROUNDUP(VLOOKUP($B736,calc_data,K$14+1,0),2),0),0)</f>
        <v/>
      </c>
      <c r="L736" s="184">
        <f>IF(offer_sale_type="транзит",IFERROR(ROUNDUP(VLOOKUP($B736,calc_data,L$14+1,0),2),0),0)</f>
        <v/>
      </c>
      <c r="M736" s="141">
        <f>IF(offer_sale_type="транзит",IFERROR(ROUNDUP(VLOOKUP($B736,calc_data,M$14+1,0),2),0),0)</f>
        <v/>
      </c>
      <c r="N736" s="141">
        <f>IF(offer_sale_type="транзит",IFERROR(ROUNDUP(VLOOKUP($B736,calc_data,N$14+1,0),2),0),0)</f>
        <v/>
      </c>
      <c r="O736" s="147">
        <f>IF(offer_sale_type="транзит",IFERROR(ROUND(VLOOKUP($B736,calc_data,O$14+1,1),2),0),0)</f>
        <v/>
      </c>
      <c r="P736" s="141">
        <f>IF(offer_sale_type="транзит",IFERROR(ROUND(SUM(I736:J736,M736:O736)/E736,2),0),0)</f>
        <v/>
      </c>
      <c r="Q736" s="141">
        <f>E736*P736</f>
        <v/>
      </c>
      <c r="R736" s="141">
        <f>ROUND(Q736*IF(AND(offer_incoterms="DDP",seller_region="RU"),IF((TODAY()+offer_turnaround_time)&gt;=helpsheet!$L$17,rate_vatRU_from_26,rate_vatRu_till_25),0),2)</f>
        <v/>
      </c>
      <c r="S736" s="177">
        <f>Q736+IF(AND(offer_incoterms="DDP",seller_region="RU"),R736,0)</f>
        <v/>
      </c>
      <c r="T736" s="45" t="n"/>
      <c r="V736" s="57">
        <f>IF(Q736&gt;0,"показать","скрыть")</f>
        <v/>
      </c>
    </row>
    <row r="737" ht="15.75" customHeight="1">
      <c r="B737" s="809" t="n">
        <v>721</v>
      </c>
      <c r="C737" s="182">
        <f>IF(offer_sale_type="транзит",IFERROR(VLOOKUP($B737,calc_data,C$14+1,0),0),0)</f>
        <v/>
      </c>
      <c r="D737" s="280">
        <f>IF(offer_sale_type="транзит",IFERROR(VLOOKUP($B737,calc_data,D$14+1,0),0),0)</f>
        <v/>
      </c>
      <c r="E737" s="182">
        <f>IF(offer_sale_type="транзит",IFERROR(VLOOKUP($B737,calc_data,E$14+1,0),0),0)</f>
        <v/>
      </c>
      <c r="F737" s="182">
        <f>IF(offer_sale_type="транзит",IFERROR(VLOOKUP($B737,calc_data,F$14+1,0),0),0)</f>
        <v/>
      </c>
      <c r="G737" s="141">
        <f>IF(offer_sale_type="транзит",IFERROR(VLOOKUP($B737,calc_data,G$14+1,0),0),0)</f>
        <v/>
      </c>
      <c r="H737" s="141">
        <f>E737*G737</f>
        <v/>
      </c>
      <c r="I737" s="141">
        <f>IF(offer_sale_type="транзит",IFERROR(ROUND(VLOOKUP($B737,calc_data,I$14+1,0),2),0),0)</f>
        <v/>
      </c>
      <c r="J737" s="141">
        <f>ROUND(IF(offer_sale_type="транзит",IFERROR(VLOOKUP($B737,calc_data,J$14+1,0),0),0),2)</f>
        <v/>
      </c>
      <c r="K737" s="142">
        <f>IF(offer_sale_type="транзит",IFERROR(ROUNDUP(VLOOKUP($B737,calc_data,K$14+1,0),2),0),0)</f>
        <v/>
      </c>
      <c r="L737" s="184">
        <f>IF(offer_sale_type="транзит",IFERROR(ROUNDUP(VLOOKUP($B737,calc_data,L$14+1,0),2),0),0)</f>
        <v/>
      </c>
      <c r="M737" s="141">
        <f>IF(offer_sale_type="транзит",IFERROR(ROUNDUP(VLOOKUP($B737,calc_data,M$14+1,0),2),0),0)</f>
        <v/>
      </c>
      <c r="N737" s="141">
        <f>IF(offer_sale_type="транзит",IFERROR(ROUNDUP(VLOOKUP($B737,calc_data,N$14+1,0),2),0),0)</f>
        <v/>
      </c>
      <c r="O737" s="147">
        <f>IF(offer_sale_type="транзит",IFERROR(ROUND(VLOOKUP($B737,calc_data,O$14+1,1),2),0),0)</f>
        <v/>
      </c>
      <c r="P737" s="141">
        <f>IF(offer_sale_type="транзит",IFERROR(ROUND(SUM(I737:J737,M737:O737)/E737,2),0),0)</f>
        <v/>
      </c>
      <c r="Q737" s="141">
        <f>E737*P737</f>
        <v/>
      </c>
      <c r="R737" s="141">
        <f>ROUND(Q737*IF(AND(offer_incoterms="DDP",seller_region="RU"),IF((TODAY()+offer_turnaround_time)&gt;=helpsheet!$L$17,rate_vatRU_from_26,rate_vatRu_till_25),0),2)</f>
        <v/>
      </c>
      <c r="S737" s="177">
        <f>Q737+IF(AND(offer_incoterms="DDP",seller_region="RU"),R737,0)</f>
        <v/>
      </c>
      <c r="T737" s="45" t="n"/>
      <c r="V737" s="57">
        <f>IF(Q737&gt;0,"показать","скрыть")</f>
        <v/>
      </c>
    </row>
    <row r="738" ht="15.75" customHeight="1">
      <c r="B738" s="809" t="n">
        <v>722</v>
      </c>
      <c r="C738" s="182">
        <f>IF(offer_sale_type="транзит",IFERROR(VLOOKUP($B738,calc_data,C$14+1,0),0),0)</f>
        <v/>
      </c>
      <c r="D738" s="280">
        <f>IF(offer_sale_type="транзит",IFERROR(VLOOKUP($B738,calc_data,D$14+1,0),0),0)</f>
        <v/>
      </c>
      <c r="E738" s="182">
        <f>IF(offer_sale_type="транзит",IFERROR(VLOOKUP($B738,calc_data,E$14+1,0),0),0)</f>
        <v/>
      </c>
      <c r="F738" s="182">
        <f>IF(offer_sale_type="транзит",IFERROR(VLOOKUP($B738,calc_data,F$14+1,0),0),0)</f>
        <v/>
      </c>
      <c r="G738" s="141">
        <f>IF(offer_sale_type="транзит",IFERROR(VLOOKUP($B738,calc_data,G$14+1,0),0),0)</f>
        <v/>
      </c>
      <c r="H738" s="141">
        <f>E738*G738</f>
        <v/>
      </c>
      <c r="I738" s="141">
        <f>IF(offer_sale_type="транзит",IFERROR(ROUND(VLOOKUP($B738,calc_data,I$14+1,0),2),0),0)</f>
        <v/>
      </c>
      <c r="J738" s="141">
        <f>ROUND(IF(offer_sale_type="транзит",IFERROR(VLOOKUP($B738,calc_data,J$14+1,0),0),0),2)</f>
        <v/>
      </c>
      <c r="K738" s="142">
        <f>IF(offer_sale_type="транзит",IFERROR(ROUNDUP(VLOOKUP($B738,calc_data,K$14+1,0),2),0),0)</f>
        <v/>
      </c>
      <c r="L738" s="184">
        <f>IF(offer_sale_type="транзит",IFERROR(ROUNDUP(VLOOKUP($B738,calc_data,L$14+1,0),2),0),0)</f>
        <v/>
      </c>
      <c r="M738" s="141">
        <f>IF(offer_sale_type="транзит",IFERROR(ROUNDUP(VLOOKUP($B738,calc_data,M$14+1,0),2),0),0)</f>
        <v/>
      </c>
      <c r="N738" s="141">
        <f>IF(offer_sale_type="транзит",IFERROR(ROUNDUP(VLOOKUP($B738,calc_data,N$14+1,0),2),0),0)</f>
        <v/>
      </c>
      <c r="O738" s="147">
        <f>IF(offer_sale_type="транзит",IFERROR(ROUND(VLOOKUP($B738,calc_data,O$14+1,1),2),0),0)</f>
        <v/>
      </c>
      <c r="P738" s="141">
        <f>IF(offer_sale_type="транзит",IFERROR(ROUND(SUM(I738:J738,M738:O738)/E738,2),0),0)</f>
        <v/>
      </c>
      <c r="Q738" s="141">
        <f>E738*P738</f>
        <v/>
      </c>
      <c r="R738" s="141">
        <f>ROUND(Q738*IF(AND(offer_incoterms="DDP",seller_region="RU"),IF((TODAY()+offer_turnaround_time)&gt;=helpsheet!$L$17,rate_vatRU_from_26,rate_vatRu_till_25),0),2)</f>
        <v/>
      </c>
      <c r="S738" s="177">
        <f>Q738+IF(AND(offer_incoterms="DDP",seller_region="RU"),R738,0)</f>
        <v/>
      </c>
      <c r="T738" s="45" t="n"/>
      <c r="V738" s="57">
        <f>IF(Q738&gt;0,"показать","скрыть")</f>
        <v/>
      </c>
    </row>
    <row r="739" ht="15.75" customHeight="1">
      <c r="B739" s="809" t="n">
        <v>723</v>
      </c>
      <c r="C739" s="182">
        <f>IF(offer_sale_type="транзит",IFERROR(VLOOKUP($B739,calc_data,C$14+1,0),0),0)</f>
        <v/>
      </c>
      <c r="D739" s="280">
        <f>IF(offer_sale_type="транзит",IFERROR(VLOOKUP($B739,calc_data,D$14+1,0),0),0)</f>
        <v/>
      </c>
      <c r="E739" s="182">
        <f>IF(offer_sale_type="транзит",IFERROR(VLOOKUP($B739,calc_data,E$14+1,0),0),0)</f>
        <v/>
      </c>
      <c r="F739" s="182">
        <f>IF(offer_sale_type="транзит",IFERROR(VLOOKUP($B739,calc_data,F$14+1,0),0),0)</f>
        <v/>
      </c>
      <c r="G739" s="141">
        <f>IF(offer_sale_type="транзит",IFERROR(VLOOKUP($B739,calc_data,G$14+1,0),0),0)</f>
        <v/>
      </c>
      <c r="H739" s="141">
        <f>E739*G739</f>
        <v/>
      </c>
      <c r="I739" s="141">
        <f>IF(offer_sale_type="транзит",IFERROR(ROUND(VLOOKUP($B739,calc_data,I$14+1,0),2),0),0)</f>
        <v/>
      </c>
      <c r="J739" s="141">
        <f>ROUND(IF(offer_sale_type="транзит",IFERROR(VLOOKUP($B739,calc_data,J$14+1,0),0),0),2)</f>
        <v/>
      </c>
      <c r="K739" s="142">
        <f>IF(offer_sale_type="транзит",IFERROR(ROUNDUP(VLOOKUP($B739,calc_data,K$14+1,0),2),0),0)</f>
        <v/>
      </c>
      <c r="L739" s="184">
        <f>IF(offer_sale_type="транзит",IFERROR(ROUNDUP(VLOOKUP($B739,calc_data,L$14+1,0),2),0),0)</f>
        <v/>
      </c>
      <c r="M739" s="141">
        <f>IF(offer_sale_type="транзит",IFERROR(ROUNDUP(VLOOKUP($B739,calc_data,M$14+1,0),2),0),0)</f>
        <v/>
      </c>
      <c r="N739" s="141">
        <f>IF(offer_sale_type="транзит",IFERROR(ROUNDUP(VLOOKUP($B739,calc_data,N$14+1,0),2),0),0)</f>
        <v/>
      </c>
      <c r="O739" s="147">
        <f>IF(offer_sale_type="транзит",IFERROR(ROUND(VLOOKUP($B739,calc_data,O$14+1,1),2),0),0)</f>
        <v/>
      </c>
      <c r="P739" s="141">
        <f>IF(offer_sale_type="транзит",IFERROR(ROUND(SUM(I739:J739,M739:O739)/E739,2),0),0)</f>
        <v/>
      </c>
      <c r="Q739" s="141">
        <f>E739*P739</f>
        <v/>
      </c>
      <c r="R739" s="141">
        <f>ROUND(Q739*IF(AND(offer_incoterms="DDP",seller_region="RU"),IF((TODAY()+offer_turnaround_time)&gt;=helpsheet!$L$17,rate_vatRU_from_26,rate_vatRu_till_25),0),2)</f>
        <v/>
      </c>
      <c r="S739" s="177">
        <f>Q739+IF(AND(offer_incoterms="DDP",seller_region="RU"),R739,0)</f>
        <v/>
      </c>
      <c r="T739" s="45" t="n"/>
      <c r="V739" s="57">
        <f>IF(Q739&gt;0,"показать","скрыть")</f>
        <v/>
      </c>
    </row>
    <row r="740" ht="15.75" customHeight="1">
      <c r="B740" s="809" t="n">
        <v>724</v>
      </c>
      <c r="C740" s="182">
        <f>IF(offer_sale_type="транзит",IFERROR(VLOOKUP($B740,calc_data,C$14+1,0),0),0)</f>
        <v/>
      </c>
      <c r="D740" s="280">
        <f>IF(offer_sale_type="транзит",IFERROR(VLOOKUP($B740,calc_data,D$14+1,0),0),0)</f>
        <v/>
      </c>
      <c r="E740" s="182">
        <f>IF(offer_sale_type="транзит",IFERROR(VLOOKUP($B740,calc_data,E$14+1,0),0),0)</f>
        <v/>
      </c>
      <c r="F740" s="182">
        <f>IF(offer_sale_type="транзит",IFERROR(VLOOKUP($B740,calc_data,F$14+1,0),0),0)</f>
        <v/>
      </c>
      <c r="G740" s="141">
        <f>IF(offer_sale_type="транзит",IFERROR(VLOOKUP($B740,calc_data,G$14+1,0),0),0)</f>
        <v/>
      </c>
      <c r="H740" s="141">
        <f>E740*G740</f>
        <v/>
      </c>
      <c r="I740" s="141">
        <f>IF(offer_sale_type="транзит",IFERROR(ROUND(VLOOKUP($B740,calc_data,I$14+1,0),2),0),0)</f>
        <v/>
      </c>
      <c r="J740" s="141">
        <f>ROUND(IF(offer_sale_type="транзит",IFERROR(VLOOKUP($B740,calc_data,J$14+1,0),0),0),2)</f>
        <v/>
      </c>
      <c r="K740" s="142">
        <f>IF(offer_sale_type="транзит",IFERROR(ROUNDUP(VLOOKUP($B740,calc_data,K$14+1,0),2),0),0)</f>
        <v/>
      </c>
      <c r="L740" s="184">
        <f>IF(offer_sale_type="транзит",IFERROR(ROUNDUP(VLOOKUP($B740,calc_data,L$14+1,0),2),0),0)</f>
        <v/>
      </c>
      <c r="M740" s="141">
        <f>IF(offer_sale_type="транзит",IFERROR(ROUNDUP(VLOOKUP($B740,calc_data,M$14+1,0),2),0),0)</f>
        <v/>
      </c>
      <c r="N740" s="141">
        <f>IF(offer_sale_type="транзит",IFERROR(ROUNDUP(VLOOKUP($B740,calc_data,N$14+1,0),2),0),0)</f>
        <v/>
      </c>
      <c r="O740" s="147">
        <f>IF(offer_sale_type="транзит",IFERROR(ROUND(VLOOKUP($B740,calc_data,O$14+1,1),2),0),0)</f>
        <v/>
      </c>
      <c r="P740" s="141">
        <f>IF(offer_sale_type="транзит",IFERROR(ROUND(SUM(I740:J740,M740:O740)/E740,2),0),0)</f>
        <v/>
      </c>
      <c r="Q740" s="141">
        <f>E740*P740</f>
        <v/>
      </c>
      <c r="R740" s="141">
        <f>ROUND(Q740*IF(AND(offer_incoterms="DDP",seller_region="RU"),IF((TODAY()+offer_turnaround_time)&gt;=helpsheet!$L$17,rate_vatRU_from_26,rate_vatRu_till_25),0),2)</f>
        <v/>
      </c>
      <c r="S740" s="177">
        <f>Q740+IF(AND(offer_incoterms="DDP",seller_region="RU"),R740,0)</f>
        <v/>
      </c>
      <c r="T740" s="45" t="n"/>
      <c r="V740" s="57">
        <f>IF(Q740&gt;0,"показать","скрыть")</f>
        <v/>
      </c>
    </row>
    <row r="741" ht="15.75" customHeight="1">
      <c r="B741" s="809" t="n">
        <v>725</v>
      </c>
      <c r="C741" s="182">
        <f>IF(offer_sale_type="транзит",IFERROR(VLOOKUP($B741,calc_data,C$14+1,0),0),0)</f>
        <v/>
      </c>
      <c r="D741" s="280">
        <f>IF(offer_sale_type="транзит",IFERROR(VLOOKUP($B741,calc_data,D$14+1,0),0),0)</f>
        <v/>
      </c>
      <c r="E741" s="182">
        <f>IF(offer_sale_type="транзит",IFERROR(VLOOKUP($B741,calc_data,E$14+1,0),0),0)</f>
        <v/>
      </c>
      <c r="F741" s="182">
        <f>IF(offer_sale_type="транзит",IFERROR(VLOOKUP($B741,calc_data,F$14+1,0),0),0)</f>
        <v/>
      </c>
      <c r="G741" s="141">
        <f>IF(offer_sale_type="транзит",IFERROR(VLOOKUP($B741,calc_data,G$14+1,0),0),0)</f>
        <v/>
      </c>
      <c r="H741" s="141">
        <f>E741*G741</f>
        <v/>
      </c>
      <c r="I741" s="141">
        <f>IF(offer_sale_type="транзит",IFERROR(ROUND(VLOOKUP($B741,calc_data,I$14+1,0),2),0),0)</f>
        <v/>
      </c>
      <c r="J741" s="141">
        <f>ROUND(IF(offer_sale_type="транзит",IFERROR(VLOOKUP($B741,calc_data,J$14+1,0),0),0),2)</f>
        <v/>
      </c>
      <c r="K741" s="142">
        <f>IF(offer_sale_type="транзит",IFERROR(ROUNDUP(VLOOKUP($B741,calc_data,K$14+1,0),2),0),0)</f>
        <v/>
      </c>
      <c r="L741" s="184">
        <f>IF(offer_sale_type="транзит",IFERROR(ROUNDUP(VLOOKUP($B741,calc_data,L$14+1,0),2),0),0)</f>
        <v/>
      </c>
      <c r="M741" s="141">
        <f>IF(offer_sale_type="транзит",IFERROR(ROUNDUP(VLOOKUP($B741,calc_data,M$14+1,0),2),0),0)</f>
        <v/>
      </c>
      <c r="N741" s="141">
        <f>IF(offer_sale_type="транзит",IFERROR(ROUNDUP(VLOOKUP($B741,calc_data,N$14+1,0),2),0),0)</f>
        <v/>
      </c>
      <c r="O741" s="147">
        <f>IF(offer_sale_type="транзит",IFERROR(ROUND(VLOOKUP($B741,calc_data,O$14+1,1),2),0),0)</f>
        <v/>
      </c>
      <c r="P741" s="141">
        <f>IF(offer_sale_type="транзит",IFERROR(ROUND(SUM(I741:J741,M741:O741)/E741,2),0),0)</f>
        <v/>
      </c>
      <c r="Q741" s="141">
        <f>E741*P741</f>
        <v/>
      </c>
      <c r="R741" s="141">
        <f>ROUND(Q741*IF(AND(offer_incoterms="DDP",seller_region="RU"),IF((TODAY()+offer_turnaround_time)&gt;=helpsheet!$L$17,rate_vatRU_from_26,rate_vatRu_till_25),0),2)</f>
        <v/>
      </c>
      <c r="S741" s="177">
        <f>Q741+IF(AND(offer_incoterms="DDP",seller_region="RU"),R741,0)</f>
        <v/>
      </c>
      <c r="T741" s="45" t="n"/>
      <c r="V741" s="57">
        <f>IF(Q741&gt;0,"показать","скрыть")</f>
        <v/>
      </c>
    </row>
    <row r="742" ht="15.75" customHeight="1">
      <c r="B742" s="809" t="n">
        <v>726</v>
      </c>
      <c r="C742" s="182">
        <f>IF(offer_sale_type="транзит",IFERROR(VLOOKUP($B742,calc_data,C$14+1,0),0),0)</f>
        <v/>
      </c>
      <c r="D742" s="280">
        <f>IF(offer_sale_type="транзит",IFERROR(VLOOKUP($B742,calc_data,D$14+1,0),0),0)</f>
        <v/>
      </c>
      <c r="E742" s="182">
        <f>IF(offer_sale_type="транзит",IFERROR(VLOOKUP($B742,calc_data,E$14+1,0),0),0)</f>
        <v/>
      </c>
      <c r="F742" s="182">
        <f>IF(offer_sale_type="транзит",IFERROR(VLOOKUP($B742,calc_data,F$14+1,0),0),0)</f>
        <v/>
      </c>
      <c r="G742" s="141">
        <f>IF(offer_sale_type="транзит",IFERROR(VLOOKUP($B742,calc_data,G$14+1,0),0),0)</f>
        <v/>
      </c>
      <c r="H742" s="141">
        <f>E742*G742</f>
        <v/>
      </c>
      <c r="I742" s="141">
        <f>IF(offer_sale_type="транзит",IFERROR(ROUND(VLOOKUP($B742,calc_data,I$14+1,0),2),0),0)</f>
        <v/>
      </c>
      <c r="J742" s="141">
        <f>ROUND(IF(offer_sale_type="транзит",IFERROR(VLOOKUP($B742,calc_data,J$14+1,0),0),0),2)</f>
        <v/>
      </c>
      <c r="K742" s="142">
        <f>IF(offer_sale_type="транзит",IFERROR(ROUNDUP(VLOOKUP($B742,calc_data,K$14+1,0),2),0),0)</f>
        <v/>
      </c>
      <c r="L742" s="184">
        <f>IF(offer_sale_type="транзит",IFERROR(ROUNDUP(VLOOKUP($B742,calc_data,L$14+1,0),2),0),0)</f>
        <v/>
      </c>
      <c r="M742" s="141">
        <f>IF(offer_sale_type="транзит",IFERROR(ROUNDUP(VLOOKUP($B742,calc_data,M$14+1,0),2),0),0)</f>
        <v/>
      </c>
      <c r="N742" s="141">
        <f>IF(offer_sale_type="транзит",IFERROR(ROUNDUP(VLOOKUP($B742,calc_data,N$14+1,0),2),0),0)</f>
        <v/>
      </c>
      <c r="O742" s="147">
        <f>IF(offer_sale_type="транзит",IFERROR(ROUND(VLOOKUP($B742,calc_data,O$14+1,1),2),0),0)</f>
        <v/>
      </c>
      <c r="P742" s="141">
        <f>IF(offer_sale_type="транзит",IFERROR(ROUND(SUM(I742:J742,M742:O742)/E742,2),0),0)</f>
        <v/>
      </c>
      <c r="Q742" s="141">
        <f>E742*P742</f>
        <v/>
      </c>
      <c r="R742" s="141">
        <f>ROUND(Q742*IF(AND(offer_incoterms="DDP",seller_region="RU"),IF((TODAY()+offer_turnaround_time)&gt;=helpsheet!$L$17,rate_vatRU_from_26,rate_vatRu_till_25),0),2)</f>
        <v/>
      </c>
      <c r="S742" s="177">
        <f>Q742+IF(AND(offer_incoterms="DDP",seller_region="RU"),R742,0)</f>
        <v/>
      </c>
      <c r="T742" s="45" t="n"/>
      <c r="V742" s="57">
        <f>IF(Q742&gt;0,"показать","скрыть")</f>
        <v/>
      </c>
    </row>
    <row r="743" ht="15.75" customHeight="1">
      <c r="B743" s="809" t="n">
        <v>727</v>
      </c>
      <c r="C743" s="182">
        <f>IF(offer_sale_type="транзит",IFERROR(VLOOKUP($B743,calc_data,C$14+1,0),0),0)</f>
        <v/>
      </c>
      <c r="D743" s="280">
        <f>IF(offer_sale_type="транзит",IFERROR(VLOOKUP($B743,calc_data,D$14+1,0),0),0)</f>
        <v/>
      </c>
      <c r="E743" s="182">
        <f>IF(offer_sale_type="транзит",IFERROR(VLOOKUP($B743,calc_data,E$14+1,0),0),0)</f>
        <v/>
      </c>
      <c r="F743" s="182">
        <f>IF(offer_sale_type="транзит",IFERROR(VLOOKUP($B743,calc_data,F$14+1,0),0),0)</f>
        <v/>
      </c>
      <c r="G743" s="141">
        <f>IF(offer_sale_type="транзит",IFERROR(VLOOKUP($B743,calc_data,G$14+1,0),0),0)</f>
        <v/>
      </c>
      <c r="H743" s="141">
        <f>E743*G743</f>
        <v/>
      </c>
      <c r="I743" s="141">
        <f>IF(offer_sale_type="транзит",IFERROR(ROUND(VLOOKUP($B743,calc_data,I$14+1,0),2),0),0)</f>
        <v/>
      </c>
      <c r="J743" s="141">
        <f>ROUND(IF(offer_sale_type="транзит",IFERROR(VLOOKUP($B743,calc_data,J$14+1,0),0),0),2)</f>
        <v/>
      </c>
      <c r="K743" s="142">
        <f>IF(offer_sale_type="транзит",IFERROR(ROUNDUP(VLOOKUP($B743,calc_data,K$14+1,0),2),0),0)</f>
        <v/>
      </c>
      <c r="L743" s="184">
        <f>IF(offer_sale_type="транзит",IFERROR(ROUNDUP(VLOOKUP($B743,calc_data,L$14+1,0),2),0),0)</f>
        <v/>
      </c>
      <c r="M743" s="141">
        <f>IF(offer_sale_type="транзит",IFERROR(ROUNDUP(VLOOKUP($B743,calc_data,M$14+1,0),2),0),0)</f>
        <v/>
      </c>
      <c r="N743" s="141">
        <f>IF(offer_sale_type="транзит",IFERROR(ROUNDUP(VLOOKUP($B743,calc_data,N$14+1,0),2),0),0)</f>
        <v/>
      </c>
      <c r="O743" s="147">
        <f>IF(offer_sale_type="транзит",IFERROR(ROUND(VLOOKUP($B743,calc_data,O$14+1,1),2),0),0)</f>
        <v/>
      </c>
      <c r="P743" s="141">
        <f>IF(offer_sale_type="транзит",IFERROR(ROUND(SUM(I743:J743,M743:O743)/E743,2),0),0)</f>
        <v/>
      </c>
      <c r="Q743" s="141">
        <f>E743*P743</f>
        <v/>
      </c>
      <c r="R743" s="141">
        <f>ROUND(Q743*IF(AND(offer_incoterms="DDP",seller_region="RU"),IF((TODAY()+offer_turnaround_time)&gt;=helpsheet!$L$17,rate_vatRU_from_26,rate_vatRu_till_25),0),2)</f>
        <v/>
      </c>
      <c r="S743" s="177">
        <f>Q743+IF(AND(offer_incoterms="DDP",seller_region="RU"),R743,0)</f>
        <v/>
      </c>
      <c r="T743" s="45" t="n"/>
      <c r="V743" s="57">
        <f>IF(Q743&gt;0,"показать","скрыть")</f>
        <v/>
      </c>
    </row>
    <row r="744" ht="15.75" customHeight="1">
      <c r="B744" s="809" t="n">
        <v>728</v>
      </c>
      <c r="C744" s="182">
        <f>IF(offer_sale_type="транзит",IFERROR(VLOOKUP($B744,calc_data,C$14+1,0),0),0)</f>
        <v/>
      </c>
      <c r="D744" s="280">
        <f>IF(offer_sale_type="транзит",IFERROR(VLOOKUP($B744,calc_data,D$14+1,0),0),0)</f>
        <v/>
      </c>
      <c r="E744" s="182">
        <f>IF(offer_sale_type="транзит",IFERROR(VLOOKUP($B744,calc_data,E$14+1,0),0),0)</f>
        <v/>
      </c>
      <c r="F744" s="182">
        <f>IF(offer_sale_type="транзит",IFERROR(VLOOKUP($B744,calc_data,F$14+1,0),0),0)</f>
        <v/>
      </c>
      <c r="G744" s="141">
        <f>IF(offer_sale_type="транзит",IFERROR(VLOOKUP($B744,calc_data,G$14+1,0),0),0)</f>
        <v/>
      </c>
      <c r="H744" s="141">
        <f>E744*G744</f>
        <v/>
      </c>
      <c r="I744" s="141">
        <f>IF(offer_sale_type="транзит",IFERROR(ROUND(VLOOKUP($B744,calc_data,I$14+1,0),2),0),0)</f>
        <v/>
      </c>
      <c r="J744" s="141">
        <f>ROUND(IF(offer_sale_type="транзит",IFERROR(VLOOKUP($B744,calc_data,J$14+1,0),0),0),2)</f>
        <v/>
      </c>
      <c r="K744" s="142">
        <f>IF(offer_sale_type="транзит",IFERROR(ROUNDUP(VLOOKUP($B744,calc_data,K$14+1,0),2),0),0)</f>
        <v/>
      </c>
      <c r="L744" s="184">
        <f>IF(offer_sale_type="транзит",IFERROR(ROUNDUP(VLOOKUP($B744,calc_data,L$14+1,0),2),0),0)</f>
        <v/>
      </c>
      <c r="M744" s="141">
        <f>IF(offer_sale_type="транзит",IFERROR(ROUNDUP(VLOOKUP($B744,calc_data,M$14+1,0),2),0),0)</f>
        <v/>
      </c>
      <c r="N744" s="141">
        <f>IF(offer_sale_type="транзит",IFERROR(ROUNDUP(VLOOKUP($B744,calc_data,N$14+1,0),2),0),0)</f>
        <v/>
      </c>
      <c r="O744" s="147">
        <f>IF(offer_sale_type="транзит",IFERROR(ROUND(VLOOKUP($B744,calc_data,O$14+1,1),2),0),0)</f>
        <v/>
      </c>
      <c r="P744" s="141">
        <f>IF(offer_sale_type="транзит",IFERROR(ROUND(SUM(I744:J744,M744:O744)/E744,2),0),0)</f>
        <v/>
      </c>
      <c r="Q744" s="141">
        <f>E744*P744</f>
        <v/>
      </c>
      <c r="R744" s="141">
        <f>ROUND(Q744*IF(AND(offer_incoterms="DDP",seller_region="RU"),IF((TODAY()+offer_turnaround_time)&gt;=helpsheet!$L$17,rate_vatRU_from_26,rate_vatRu_till_25),0),2)</f>
        <v/>
      </c>
      <c r="S744" s="177">
        <f>Q744+IF(AND(offer_incoterms="DDP",seller_region="RU"),R744,0)</f>
        <v/>
      </c>
      <c r="T744" s="45" t="n"/>
      <c r="V744" s="57">
        <f>IF(Q744&gt;0,"показать","скрыть")</f>
        <v/>
      </c>
    </row>
    <row r="745" ht="15.75" customHeight="1">
      <c r="B745" s="809" t="n">
        <v>729</v>
      </c>
      <c r="C745" s="182">
        <f>IF(offer_sale_type="транзит",IFERROR(VLOOKUP($B745,calc_data,C$14+1,0),0),0)</f>
        <v/>
      </c>
      <c r="D745" s="280">
        <f>IF(offer_sale_type="транзит",IFERROR(VLOOKUP($B745,calc_data,D$14+1,0),0),0)</f>
        <v/>
      </c>
      <c r="E745" s="182">
        <f>IF(offer_sale_type="транзит",IFERROR(VLOOKUP($B745,calc_data,E$14+1,0),0),0)</f>
        <v/>
      </c>
      <c r="F745" s="182">
        <f>IF(offer_sale_type="транзит",IFERROR(VLOOKUP($B745,calc_data,F$14+1,0),0),0)</f>
        <v/>
      </c>
      <c r="G745" s="141">
        <f>IF(offer_sale_type="транзит",IFERROR(VLOOKUP($B745,calc_data,G$14+1,0),0),0)</f>
        <v/>
      </c>
      <c r="H745" s="141">
        <f>E745*G745</f>
        <v/>
      </c>
      <c r="I745" s="141">
        <f>IF(offer_sale_type="транзит",IFERROR(ROUND(VLOOKUP($B745,calc_data,I$14+1,0),2),0),0)</f>
        <v/>
      </c>
      <c r="J745" s="141">
        <f>ROUND(IF(offer_sale_type="транзит",IFERROR(VLOOKUP($B745,calc_data,J$14+1,0),0),0),2)</f>
        <v/>
      </c>
      <c r="K745" s="142">
        <f>IF(offer_sale_type="транзит",IFERROR(ROUNDUP(VLOOKUP($B745,calc_data,K$14+1,0),2),0),0)</f>
        <v/>
      </c>
      <c r="L745" s="184">
        <f>IF(offer_sale_type="транзит",IFERROR(ROUNDUP(VLOOKUP($B745,calc_data,L$14+1,0),2),0),0)</f>
        <v/>
      </c>
      <c r="M745" s="141">
        <f>IF(offer_sale_type="транзит",IFERROR(ROUNDUP(VLOOKUP($B745,calc_data,M$14+1,0),2),0),0)</f>
        <v/>
      </c>
      <c r="N745" s="141">
        <f>IF(offer_sale_type="транзит",IFERROR(ROUNDUP(VLOOKUP($B745,calc_data,N$14+1,0),2),0),0)</f>
        <v/>
      </c>
      <c r="O745" s="147">
        <f>IF(offer_sale_type="транзит",IFERROR(ROUND(VLOOKUP($B745,calc_data,O$14+1,1),2),0),0)</f>
        <v/>
      </c>
      <c r="P745" s="141">
        <f>IF(offer_sale_type="транзит",IFERROR(ROUND(SUM(I745:J745,M745:O745)/E745,2),0),0)</f>
        <v/>
      </c>
      <c r="Q745" s="141">
        <f>E745*P745</f>
        <v/>
      </c>
      <c r="R745" s="141">
        <f>ROUND(Q745*IF(AND(offer_incoterms="DDP",seller_region="RU"),IF((TODAY()+offer_turnaround_time)&gt;=helpsheet!$L$17,rate_vatRU_from_26,rate_vatRu_till_25),0),2)</f>
        <v/>
      </c>
      <c r="S745" s="177">
        <f>Q745+IF(AND(offer_incoterms="DDP",seller_region="RU"),R745,0)</f>
        <v/>
      </c>
      <c r="T745" s="45" t="n"/>
      <c r="V745" s="57">
        <f>IF(Q745&gt;0,"показать","скрыть")</f>
        <v/>
      </c>
    </row>
    <row r="746" ht="15.75" customHeight="1">
      <c r="B746" s="809" t="n">
        <v>730</v>
      </c>
      <c r="C746" s="182">
        <f>IF(offer_sale_type="транзит",IFERROR(VLOOKUP($B746,calc_data,C$14+1,0),0),0)</f>
        <v/>
      </c>
      <c r="D746" s="280">
        <f>IF(offer_sale_type="транзит",IFERROR(VLOOKUP($B746,calc_data,D$14+1,0),0),0)</f>
        <v/>
      </c>
      <c r="E746" s="182">
        <f>IF(offer_sale_type="транзит",IFERROR(VLOOKUP($B746,calc_data,E$14+1,0),0),0)</f>
        <v/>
      </c>
      <c r="F746" s="182">
        <f>IF(offer_sale_type="транзит",IFERROR(VLOOKUP($B746,calc_data,F$14+1,0),0),0)</f>
        <v/>
      </c>
      <c r="G746" s="141">
        <f>IF(offer_sale_type="транзит",IFERROR(VLOOKUP($B746,calc_data,G$14+1,0),0),0)</f>
        <v/>
      </c>
      <c r="H746" s="141">
        <f>E746*G746</f>
        <v/>
      </c>
      <c r="I746" s="141">
        <f>IF(offer_sale_type="транзит",IFERROR(ROUND(VLOOKUP($B746,calc_data,I$14+1,0),2),0),0)</f>
        <v/>
      </c>
      <c r="J746" s="141">
        <f>ROUND(IF(offer_sale_type="транзит",IFERROR(VLOOKUP($B746,calc_data,J$14+1,0),0),0),2)</f>
        <v/>
      </c>
      <c r="K746" s="142">
        <f>IF(offer_sale_type="транзит",IFERROR(ROUNDUP(VLOOKUP($B746,calc_data,K$14+1,0),2),0),0)</f>
        <v/>
      </c>
      <c r="L746" s="184">
        <f>IF(offer_sale_type="транзит",IFERROR(ROUNDUP(VLOOKUP($B746,calc_data,L$14+1,0),2),0),0)</f>
        <v/>
      </c>
      <c r="M746" s="141">
        <f>IF(offer_sale_type="транзит",IFERROR(ROUNDUP(VLOOKUP($B746,calc_data,M$14+1,0),2),0),0)</f>
        <v/>
      </c>
      <c r="N746" s="141">
        <f>IF(offer_sale_type="транзит",IFERROR(ROUNDUP(VLOOKUP($B746,calc_data,N$14+1,0),2),0),0)</f>
        <v/>
      </c>
      <c r="O746" s="147">
        <f>IF(offer_sale_type="транзит",IFERROR(ROUND(VLOOKUP($B746,calc_data,O$14+1,1),2),0),0)</f>
        <v/>
      </c>
      <c r="P746" s="141">
        <f>IF(offer_sale_type="транзит",IFERROR(ROUND(SUM(I746:J746,M746:O746)/E746,2),0),0)</f>
        <v/>
      </c>
      <c r="Q746" s="141">
        <f>E746*P746</f>
        <v/>
      </c>
      <c r="R746" s="141">
        <f>ROUND(Q746*IF(AND(offer_incoterms="DDP",seller_region="RU"),IF((TODAY()+offer_turnaround_time)&gt;=helpsheet!$L$17,rate_vatRU_from_26,rate_vatRu_till_25),0),2)</f>
        <v/>
      </c>
      <c r="S746" s="177">
        <f>Q746+IF(AND(offer_incoterms="DDP",seller_region="RU"),R746,0)</f>
        <v/>
      </c>
      <c r="T746" s="45" t="n"/>
      <c r="V746" s="57">
        <f>IF(Q746&gt;0,"показать","скрыть")</f>
        <v/>
      </c>
    </row>
    <row r="747" ht="15.75" customHeight="1">
      <c r="B747" s="809" t="n">
        <v>731</v>
      </c>
      <c r="C747" s="182">
        <f>IF(offer_sale_type="транзит",IFERROR(VLOOKUP($B747,calc_data,C$14+1,0),0),0)</f>
        <v/>
      </c>
      <c r="D747" s="280">
        <f>IF(offer_sale_type="транзит",IFERROR(VLOOKUP($B747,calc_data,D$14+1,0),0),0)</f>
        <v/>
      </c>
      <c r="E747" s="182">
        <f>IF(offer_sale_type="транзит",IFERROR(VLOOKUP($B747,calc_data,E$14+1,0),0),0)</f>
        <v/>
      </c>
      <c r="F747" s="182">
        <f>IF(offer_sale_type="транзит",IFERROR(VLOOKUP($B747,calc_data,F$14+1,0),0),0)</f>
        <v/>
      </c>
      <c r="G747" s="141">
        <f>IF(offer_sale_type="транзит",IFERROR(VLOOKUP($B747,calc_data,G$14+1,0),0),0)</f>
        <v/>
      </c>
      <c r="H747" s="141">
        <f>E747*G747</f>
        <v/>
      </c>
      <c r="I747" s="141">
        <f>IF(offer_sale_type="транзит",IFERROR(ROUND(VLOOKUP($B747,calc_data,I$14+1,0),2),0),0)</f>
        <v/>
      </c>
      <c r="J747" s="141">
        <f>ROUND(IF(offer_sale_type="транзит",IFERROR(VLOOKUP($B747,calc_data,J$14+1,0),0),0),2)</f>
        <v/>
      </c>
      <c r="K747" s="142">
        <f>IF(offer_sale_type="транзит",IFERROR(ROUNDUP(VLOOKUP($B747,calc_data,K$14+1,0),2),0),0)</f>
        <v/>
      </c>
      <c r="L747" s="184">
        <f>IF(offer_sale_type="транзит",IFERROR(ROUNDUP(VLOOKUP($B747,calc_data,L$14+1,0),2),0),0)</f>
        <v/>
      </c>
      <c r="M747" s="141">
        <f>IF(offer_sale_type="транзит",IFERROR(ROUNDUP(VLOOKUP($B747,calc_data,M$14+1,0),2),0),0)</f>
        <v/>
      </c>
      <c r="N747" s="141">
        <f>IF(offer_sale_type="транзит",IFERROR(ROUNDUP(VLOOKUP($B747,calc_data,N$14+1,0),2),0),0)</f>
        <v/>
      </c>
      <c r="O747" s="147">
        <f>IF(offer_sale_type="транзит",IFERROR(ROUND(VLOOKUP($B747,calc_data,O$14+1,1),2),0),0)</f>
        <v/>
      </c>
      <c r="P747" s="141">
        <f>IF(offer_sale_type="транзит",IFERROR(ROUND(SUM(I747:J747,M747:O747)/E747,2),0),0)</f>
        <v/>
      </c>
      <c r="Q747" s="141">
        <f>E747*P747</f>
        <v/>
      </c>
      <c r="R747" s="141">
        <f>ROUND(Q747*IF(AND(offer_incoterms="DDP",seller_region="RU"),IF((TODAY()+offer_turnaround_time)&gt;=helpsheet!$L$17,rate_vatRU_from_26,rate_vatRu_till_25),0),2)</f>
        <v/>
      </c>
      <c r="S747" s="177">
        <f>Q747+IF(AND(offer_incoterms="DDP",seller_region="RU"),R747,0)</f>
        <v/>
      </c>
      <c r="T747" s="45" t="n"/>
      <c r="V747" s="57">
        <f>IF(Q747&gt;0,"показать","скрыть")</f>
        <v/>
      </c>
    </row>
    <row r="748" ht="15.75" customHeight="1">
      <c r="B748" s="809" t="n">
        <v>732</v>
      </c>
      <c r="C748" s="182">
        <f>IF(offer_sale_type="транзит",IFERROR(VLOOKUP($B748,calc_data,C$14+1,0),0),0)</f>
        <v/>
      </c>
      <c r="D748" s="280">
        <f>IF(offer_sale_type="транзит",IFERROR(VLOOKUP($B748,calc_data,D$14+1,0),0),0)</f>
        <v/>
      </c>
      <c r="E748" s="182">
        <f>IF(offer_sale_type="транзит",IFERROR(VLOOKUP($B748,calc_data,E$14+1,0),0),0)</f>
        <v/>
      </c>
      <c r="F748" s="182">
        <f>IF(offer_sale_type="транзит",IFERROR(VLOOKUP($B748,calc_data,F$14+1,0),0),0)</f>
        <v/>
      </c>
      <c r="G748" s="141">
        <f>IF(offer_sale_type="транзит",IFERROR(VLOOKUP($B748,calc_data,G$14+1,0),0),0)</f>
        <v/>
      </c>
      <c r="H748" s="141">
        <f>E748*G748</f>
        <v/>
      </c>
      <c r="I748" s="141">
        <f>IF(offer_sale_type="транзит",IFERROR(ROUND(VLOOKUP($B748,calc_data,I$14+1,0),2),0),0)</f>
        <v/>
      </c>
      <c r="J748" s="141">
        <f>ROUND(IF(offer_sale_type="транзит",IFERROR(VLOOKUP($B748,calc_data,J$14+1,0),0),0),2)</f>
        <v/>
      </c>
      <c r="K748" s="142">
        <f>IF(offer_sale_type="транзит",IFERROR(ROUNDUP(VLOOKUP($B748,calc_data,K$14+1,0),2),0),0)</f>
        <v/>
      </c>
      <c r="L748" s="184">
        <f>IF(offer_sale_type="транзит",IFERROR(ROUNDUP(VLOOKUP($B748,calc_data,L$14+1,0),2),0),0)</f>
        <v/>
      </c>
      <c r="M748" s="141">
        <f>IF(offer_sale_type="транзит",IFERROR(ROUNDUP(VLOOKUP($B748,calc_data,M$14+1,0),2),0),0)</f>
        <v/>
      </c>
      <c r="N748" s="141">
        <f>IF(offer_sale_type="транзит",IFERROR(ROUNDUP(VLOOKUP($B748,calc_data,N$14+1,0),2),0),0)</f>
        <v/>
      </c>
      <c r="O748" s="147">
        <f>IF(offer_sale_type="транзит",IFERROR(ROUND(VLOOKUP($B748,calc_data,O$14+1,1),2),0),0)</f>
        <v/>
      </c>
      <c r="P748" s="141">
        <f>IF(offer_sale_type="транзит",IFERROR(ROUND(SUM(I748:J748,M748:O748)/E748,2),0),0)</f>
        <v/>
      </c>
      <c r="Q748" s="141">
        <f>E748*P748</f>
        <v/>
      </c>
      <c r="R748" s="141">
        <f>ROUND(Q748*IF(AND(offer_incoterms="DDP",seller_region="RU"),IF((TODAY()+offer_turnaround_time)&gt;=helpsheet!$L$17,rate_vatRU_from_26,rate_vatRu_till_25),0),2)</f>
        <v/>
      </c>
      <c r="S748" s="177">
        <f>Q748+IF(AND(offer_incoterms="DDP",seller_region="RU"),R748,0)</f>
        <v/>
      </c>
      <c r="T748" s="45" t="n"/>
      <c r="V748" s="57">
        <f>IF(Q748&gt;0,"показать","скрыть")</f>
        <v/>
      </c>
    </row>
    <row r="749" ht="15.75" customHeight="1">
      <c r="B749" s="809" t="n">
        <v>733</v>
      </c>
      <c r="C749" s="182">
        <f>IF(offer_sale_type="транзит",IFERROR(VLOOKUP($B749,calc_data,C$14+1,0),0),0)</f>
        <v/>
      </c>
      <c r="D749" s="280">
        <f>IF(offer_sale_type="транзит",IFERROR(VLOOKUP($B749,calc_data,D$14+1,0),0),0)</f>
        <v/>
      </c>
      <c r="E749" s="182">
        <f>IF(offer_sale_type="транзит",IFERROR(VLOOKUP($B749,calc_data,E$14+1,0),0),0)</f>
        <v/>
      </c>
      <c r="F749" s="182">
        <f>IF(offer_sale_type="транзит",IFERROR(VLOOKUP($B749,calc_data,F$14+1,0),0),0)</f>
        <v/>
      </c>
      <c r="G749" s="141">
        <f>IF(offer_sale_type="транзит",IFERROR(VLOOKUP($B749,calc_data,G$14+1,0),0),0)</f>
        <v/>
      </c>
      <c r="H749" s="141">
        <f>E749*G749</f>
        <v/>
      </c>
      <c r="I749" s="141">
        <f>IF(offer_sale_type="транзит",IFERROR(ROUND(VLOOKUP($B749,calc_data,I$14+1,0),2),0),0)</f>
        <v/>
      </c>
      <c r="J749" s="141">
        <f>ROUND(IF(offer_sale_type="транзит",IFERROR(VLOOKUP($B749,calc_data,J$14+1,0),0),0),2)</f>
        <v/>
      </c>
      <c r="K749" s="142">
        <f>IF(offer_sale_type="транзит",IFERROR(ROUNDUP(VLOOKUP($B749,calc_data,K$14+1,0),2),0),0)</f>
        <v/>
      </c>
      <c r="L749" s="184">
        <f>IF(offer_sale_type="транзит",IFERROR(ROUNDUP(VLOOKUP($B749,calc_data,L$14+1,0),2),0),0)</f>
        <v/>
      </c>
      <c r="M749" s="141">
        <f>IF(offer_sale_type="транзит",IFERROR(ROUNDUP(VLOOKUP($B749,calc_data,M$14+1,0),2),0),0)</f>
        <v/>
      </c>
      <c r="N749" s="141">
        <f>IF(offer_sale_type="транзит",IFERROR(ROUNDUP(VLOOKUP($B749,calc_data,N$14+1,0),2),0),0)</f>
        <v/>
      </c>
      <c r="O749" s="147">
        <f>IF(offer_sale_type="транзит",IFERROR(ROUND(VLOOKUP($B749,calc_data,O$14+1,1),2),0),0)</f>
        <v/>
      </c>
      <c r="P749" s="141">
        <f>IF(offer_sale_type="транзит",IFERROR(ROUND(SUM(I749:J749,M749:O749)/E749,2),0),0)</f>
        <v/>
      </c>
      <c r="Q749" s="141">
        <f>E749*P749</f>
        <v/>
      </c>
      <c r="R749" s="141">
        <f>ROUND(Q749*IF(AND(offer_incoterms="DDP",seller_region="RU"),IF((TODAY()+offer_turnaround_time)&gt;=helpsheet!$L$17,rate_vatRU_from_26,rate_vatRu_till_25),0),2)</f>
        <v/>
      </c>
      <c r="S749" s="177">
        <f>Q749+IF(AND(offer_incoterms="DDP",seller_region="RU"),R749,0)</f>
        <v/>
      </c>
      <c r="T749" s="45" t="n"/>
      <c r="V749" s="57">
        <f>IF(Q749&gt;0,"показать","скрыть")</f>
        <v/>
      </c>
    </row>
    <row r="750" ht="15.75" customHeight="1">
      <c r="B750" s="809" t="n">
        <v>734</v>
      </c>
      <c r="C750" s="182">
        <f>IF(offer_sale_type="транзит",IFERROR(VLOOKUP($B750,calc_data,C$14+1,0),0),0)</f>
        <v/>
      </c>
      <c r="D750" s="280">
        <f>IF(offer_sale_type="транзит",IFERROR(VLOOKUP($B750,calc_data,D$14+1,0),0),0)</f>
        <v/>
      </c>
      <c r="E750" s="182">
        <f>IF(offer_sale_type="транзит",IFERROR(VLOOKUP($B750,calc_data,E$14+1,0),0),0)</f>
        <v/>
      </c>
      <c r="F750" s="182">
        <f>IF(offer_sale_type="транзит",IFERROR(VLOOKUP($B750,calc_data,F$14+1,0),0),0)</f>
        <v/>
      </c>
      <c r="G750" s="141">
        <f>IF(offer_sale_type="транзит",IFERROR(VLOOKUP($B750,calc_data,G$14+1,0),0),0)</f>
        <v/>
      </c>
      <c r="H750" s="141">
        <f>E750*G750</f>
        <v/>
      </c>
      <c r="I750" s="141">
        <f>IF(offer_sale_type="транзит",IFERROR(ROUND(VLOOKUP($B750,calc_data,I$14+1,0),2),0),0)</f>
        <v/>
      </c>
      <c r="J750" s="141">
        <f>ROUND(IF(offer_sale_type="транзит",IFERROR(VLOOKUP($B750,calc_data,J$14+1,0),0),0),2)</f>
        <v/>
      </c>
      <c r="K750" s="142">
        <f>IF(offer_sale_type="транзит",IFERROR(ROUNDUP(VLOOKUP($B750,calc_data,K$14+1,0),2),0),0)</f>
        <v/>
      </c>
      <c r="L750" s="184">
        <f>IF(offer_sale_type="транзит",IFERROR(ROUNDUP(VLOOKUP($B750,calc_data,L$14+1,0),2),0),0)</f>
        <v/>
      </c>
      <c r="M750" s="141">
        <f>IF(offer_sale_type="транзит",IFERROR(ROUNDUP(VLOOKUP($B750,calc_data,M$14+1,0),2),0),0)</f>
        <v/>
      </c>
      <c r="N750" s="141">
        <f>IF(offer_sale_type="транзит",IFERROR(ROUNDUP(VLOOKUP($B750,calc_data,N$14+1,0),2),0),0)</f>
        <v/>
      </c>
      <c r="O750" s="147">
        <f>IF(offer_sale_type="транзит",IFERROR(ROUND(VLOOKUP($B750,calc_data,O$14+1,1),2),0),0)</f>
        <v/>
      </c>
      <c r="P750" s="141">
        <f>IF(offer_sale_type="транзит",IFERROR(ROUND(SUM(I750:J750,M750:O750)/E750,2),0),0)</f>
        <v/>
      </c>
      <c r="Q750" s="141">
        <f>E750*P750</f>
        <v/>
      </c>
      <c r="R750" s="141">
        <f>ROUND(Q750*IF(AND(offer_incoterms="DDP",seller_region="RU"),IF((TODAY()+offer_turnaround_time)&gt;=helpsheet!$L$17,rate_vatRU_from_26,rate_vatRu_till_25),0),2)</f>
        <v/>
      </c>
      <c r="S750" s="177">
        <f>Q750+IF(AND(offer_incoterms="DDP",seller_region="RU"),R750,0)</f>
        <v/>
      </c>
      <c r="T750" s="45" t="n"/>
      <c r="V750" s="57">
        <f>IF(Q750&gt;0,"показать","скрыть")</f>
        <v/>
      </c>
    </row>
    <row r="751" ht="15.75" customHeight="1">
      <c r="B751" s="809" t="n">
        <v>735</v>
      </c>
      <c r="C751" s="182">
        <f>IF(offer_sale_type="транзит",IFERROR(VLOOKUP($B751,calc_data,C$14+1,0),0),0)</f>
        <v/>
      </c>
      <c r="D751" s="280">
        <f>IF(offer_sale_type="транзит",IFERROR(VLOOKUP($B751,calc_data,D$14+1,0),0),0)</f>
        <v/>
      </c>
      <c r="E751" s="182">
        <f>IF(offer_sale_type="транзит",IFERROR(VLOOKUP($B751,calc_data,E$14+1,0),0),0)</f>
        <v/>
      </c>
      <c r="F751" s="182">
        <f>IF(offer_sale_type="транзит",IFERROR(VLOOKUP($B751,calc_data,F$14+1,0),0),0)</f>
        <v/>
      </c>
      <c r="G751" s="141">
        <f>IF(offer_sale_type="транзит",IFERROR(VLOOKUP($B751,calc_data,G$14+1,0),0),0)</f>
        <v/>
      </c>
      <c r="H751" s="141">
        <f>E751*G751</f>
        <v/>
      </c>
      <c r="I751" s="141">
        <f>IF(offer_sale_type="транзит",IFERROR(ROUND(VLOOKUP($B751,calc_data,I$14+1,0),2),0),0)</f>
        <v/>
      </c>
      <c r="J751" s="141">
        <f>ROUND(IF(offer_sale_type="транзит",IFERROR(VLOOKUP($B751,calc_data,J$14+1,0),0),0),2)</f>
        <v/>
      </c>
      <c r="K751" s="142">
        <f>IF(offer_sale_type="транзит",IFERROR(ROUNDUP(VLOOKUP($B751,calc_data,K$14+1,0),2),0),0)</f>
        <v/>
      </c>
      <c r="L751" s="184">
        <f>IF(offer_sale_type="транзит",IFERROR(ROUNDUP(VLOOKUP($B751,calc_data,L$14+1,0),2),0),0)</f>
        <v/>
      </c>
      <c r="M751" s="141">
        <f>IF(offer_sale_type="транзит",IFERROR(ROUNDUP(VLOOKUP($B751,calc_data,M$14+1,0),2),0),0)</f>
        <v/>
      </c>
      <c r="N751" s="141">
        <f>IF(offer_sale_type="транзит",IFERROR(ROUNDUP(VLOOKUP($B751,calc_data,N$14+1,0),2),0),0)</f>
        <v/>
      </c>
      <c r="O751" s="147">
        <f>IF(offer_sale_type="транзит",IFERROR(ROUND(VLOOKUP($B751,calc_data,O$14+1,1),2),0),0)</f>
        <v/>
      </c>
      <c r="P751" s="141">
        <f>IF(offer_sale_type="транзит",IFERROR(ROUND(SUM(I751:J751,M751:O751)/E751,2),0),0)</f>
        <v/>
      </c>
      <c r="Q751" s="141">
        <f>E751*P751</f>
        <v/>
      </c>
      <c r="R751" s="141">
        <f>ROUND(Q751*IF(AND(offer_incoterms="DDP",seller_region="RU"),IF((TODAY()+offer_turnaround_time)&gt;=helpsheet!$L$17,rate_vatRU_from_26,rate_vatRu_till_25),0),2)</f>
        <v/>
      </c>
      <c r="S751" s="177">
        <f>Q751+IF(AND(offer_incoterms="DDP",seller_region="RU"),R751,0)</f>
        <v/>
      </c>
      <c r="T751" s="45" t="n"/>
      <c r="V751" s="57">
        <f>IF(Q751&gt;0,"показать","скрыть")</f>
        <v/>
      </c>
    </row>
    <row r="752" ht="15.75" customHeight="1">
      <c r="B752" s="809" t="n">
        <v>736</v>
      </c>
      <c r="C752" s="182">
        <f>IF(offer_sale_type="транзит",IFERROR(VLOOKUP($B752,calc_data,C$14+1,0),0),0)</f>
        <v/>
      </c>
      <c r="D752" s="280">
        <f>IF(offer_sale_type="транзит",IFERROR(VLOOKUP($B752,calc_data,D$14+1,0),0),0)</f>
        <v/>
      </c>
      <c r="E752" s="182">
        <f>IF(offer_sale_type="транзит",IFERROR(VLOOKUP($B752,calc_data,E$14+1,0),0),0)</f>
        <v/>
      </c>
      <c r="F752" s="182">
        <f>IF(offer_sale_type="транзит",IFERROR(VLOOKUP($B752,calc_data,F$14+1,0),0),0)</f>
        <v/>
      </c>
      <c r="G752" s="141">
        <f>IF(offer_sale_type="транзит",IFERROR(VLOOKUP($B752,calc_data,G$14+1,0),0),0)</f>
        <v/>
      </c>
      <c r="H752" s="141">
        <f>E752*G752</f>
        <v/>
      </c>
      <c r="I752" s="141">
        <f>IF(offer_sale_type="транзит",IFERROR(ROUND(VLOOKUP($B752,calc_data,I$14+1,0),2),0),0)</f>
        <v/>
      </c>
      <c r="J752" s="141">
        <f>ROUND(IF(offer_sale_type="транзит",IFERROR(VLOOKUP($B752,calc_data,J$14+1,0),0),0),2)</f>
        <v/>
      </c>
      <c r="K752" s="142">
        <f>IF(offer_sale_type="транзит",IFERROR(ROUNDUP(VLOOKUP($B752,calc_data,K$14+1,0),2),0),0)</f>
        <v/>
      </c>
      <c r="L752" s="184">
        <f>IF(offer_sale_type="транзит",IFERROR(ROUNDUP(VLOOKUP($B752,calc_data,L$14+1,0),2),0),0)</f>
        <v/>
      </c>
      <c r="M752" s="141">
        <f>IF(offer_sale_type="транзит",IFERROR(ROUNDUP(VLOOKUP($B752,calc_data,M$14+1,0),2),0),0)</f>
        <v/>
      </c>
      <c r="N752" s="141">
        <f>IF(offer_sale_type="транзит",IFERROR(ROUNDUP(VLOOKUP($B752,calc_data,N$14+1,0),2),0),0)</f>
        <v/>
      </c>
      <c r="O752" s="147">
        <f>IF(offer_sale_type="транзит",IFERROR(ROUND(VLOOKUP($B752,calc_data,O$14+1,1),2),0),0)</f>
        <v/>
      </c>
      <c r="P752" s="141">
        <f>IF(offer_sale_type="транзит",IFERROR(ROUND(SUM(I752:J752,M752:O752)/E752,2),0),0)</f>
        <v/>
      </c>
      <c r="Q752" s="141">
        <f>E752*P752</f>
        <v/>
      </c>
      <c r="R752" s="141">
        <f>ROUND(Q752*IF(AND(offer_incoterms="DDP",seller_region="RU"),IF((TODAY()+offer_turnaround_time)&gt;=helpsheet!$L$17,rate_vatRU_from_26,rate_vatRu_till_25),0),2)</f>
        <v/>
      </c>
      <c r="S752" s="177">
        <f>Q752+IF(AND(offer_incoterms="DDP",seller_region="RU"),R752,0)</f>
        <v/>
      </c>
      <c r="T752" s="45" t="n"/>
      <c r="V752" s="57">
        <f>IF(Q752&gt;0,"показать","скрыть")</f>
        <v/>
      </c>
    </row>
    <row r="753" ht="15.75" customHeight="1">
      <c r="B753" s="809" t="n">
        <v>737</v>
      </c>
      <c r="C753" s="182">
        <f>IF(offer_sale_type="транзит",IFERROR(VLOOKUP($B753,calc_data,C$14+1,0),0),0)</f>
        <v/>
      </c>
      <c r="D753" s="280">
        <f>IF(offer_sale_type="транзит",IFERROR(VLOOKUP($B753,calc_data,D$14+1,0),0),0)</f>
        <v/>
      </c>
      <c r="E753" s="182">
        <f>IF(offer_sale_type="транзит",IFERROR(VLOOKUP($B753,calc_data,E$14+1,0),0),0)</f>
        <v/>
      </c>
      <c r="F753" s="182">
        <f>IF(offer_sale_type="транзит",IFERROR(VLOOKUP($B753,calc_data,F$14+1,0),0),0)</f>
        <v/>
      </c>
      <c r="G753" s="141">
        <f>IF(offer_sale_type="транзит",IFERROR(VLOOKUP($B753,calc_data,G$14+1,0),0),0)</f>
        <v/>
      </c>
      <c r="H753" s="141">
        <f>E753*G753</f>
        <v/>
      </c>
      <c r="I753" s="141">
        <f>IF(offer_sale_type="транзит",IFERROR(ROUND(VLOOKUP($B753,calc_data,I$14+1,0),2),0),0)</f>
        <v/>
      </c>
      <c r="J753" s="141">
        <f>ROUND(IF(offer_sale_type="транзит",IFERROR(VLOOKUP($B753,calc_data,J$14+1,0),0),0),2)</f>
        <v/>
      </c>
      <c r="K753" s="142">
        <f>IF(offer_sale_type="транзит",IFERROR(ROUNDUP(VLOOKUP($B753,calc_data,K$14+1,0),2),0),0)</f>
        <v/>
      </c>
      <c r="L753" s="184">
        <f>IF(offer_sale_type="транзит",IFERROR(ROUNDUP(VLOOKUP($B753,calc_data,L$14+1,0),2),0),0)</f>
        <v/>
      </c>
      <c r="M753" s="141">
        <f>IF(offer_sale_type="транзит",IFERROR(ROUNDUP(VLOOKUP($B753,calc_data,M$14+1,0),2),0),0)</f>
        <v/>
      </c>
      <c r="N753" s="141">
        <f>IF(offer_sale_type="транзит",IFERROR(ROUNDUP(VLOOKUP($B753,calc_data,N$14+1,0),2),0),0)</f>
        <v/>
      </c>
      <c r="O753" s="147">
        <f>IF(offer_sale_type="транзит",IFERROR(ROUND(VLOOKUP($B753,calc_data,O$14+1,1),2),0),0)</f>
        <v/>
      </c>
      <c r="P753" s="141">
        <f>IF(offer_sale_type="транзит",IFERROR(ROUND(SUM(I753:J753,M753:O753)/E753,2),0),0)</f>
        <v/>
      </c>
      <c r="Q753" s="141">
        <f>E753*P753</f>
        <v/>
      </c>
      <c r="R753" s="141">
        <f>ROUND(Q753*IF(AND(offer_incoterms="DDP",seller_region="RU"),IF((TODAY()+offer_turnaround_time)&gt;=helpsheet!$L$17,rate_vatRU_from_26,rate_vatRu_till_25),0),2)</f>
        <v/>
      </c>
      <c r="S753" s="177">
        <f>Q753+IF(AND(offer_incoterms="DDP",seller_region="RU"),R753,0)</f>
        <v/>
      </c>
      <c r="T753" s="45" t="n"/>
      <c r="V753" s="57">
        <f>IF(Q753&gt;0,"показать","скрыть")</f>
        <v/>
      </c>
    </row>
    <row r="754" ht="15.75" customHeight="1">
      <c r="B754" s="809" t="n">
        <v>738</v>
      </c>
      <c r="C754" s="182">
        <f>IF(offer_sale_type="транзит",IFERROR(VLOOKUP($B754,calc_data,C$14+1,0),0),0)</f>
        <v/>
      </c>
      <c r="D754" s="280">
        <f>IF(offer_sale_type="транзит",IFERROR(VLOOKUP($B754,calc_data,D$14+1,0),0),0)</f>
        <v/>
      </c>
      <c r="E754" s="182">
        <f>IF(offer_sale_type="транзит",IFERROR(VLOOKUP($B754,calc_data,E$14+1,0),0),0)</f>
        <v/>
      </c>
      <c r="F754" s="182">
        <f>IF(offer_sale_type="транзит",IFERROR(VLOOKUP($B754,calc_data,F$14+1,0),0),0)</f>
        <v/>
      </c>
      <c r="G754" s="141">
        <f>IF(offer_sale_type="транзит",IFERROR(VLOOKUP($B754,calc_data,G$14+1,0),0),0)</f>
        <v/>
      </c>
      <c r="H754" s="141">
        <f>E754*G754</f>
        <v/>
      </c>
      <c r="I754" s="141">
        <f>IF(offer_sale_type="транзит",IFERROR(ROUND(VLOOKUP($B754,calc_data,I$14+1,0),2),0),0)</f>
        <v/>
      </c>
      <c r="J754" s="141">
        <f>ROUND(IF(offer_sale_type="транзит",IFERROR(VLOOKUP($B754,calc_data,J$14+1,0),0),0),2)</f>
        <v/>
      </c>
      <c r="K754" s="142">
        <f>IF(offer_sale_type="транзит",IFERROR(ROUNDUP(VLOOKUP($B754,calc_data,K$14+1,0),2),0),0)</f>
        <v/>
      </c>
      <c r="L754" s="184">
        <f>IF(offer_sale_type="транзит",IFERROR(ROUNDUP(VLOOKUP($B754,calc_data,L$14+1,0),2),0),0)</f>
        <v/>
      </c>
      <c r="M754" s="141">
        <f>IF(offer_sale_type="транзит",IFERROR(ROUNDUP(VLOOKUP($B754,calc_data,M$14+1,0),2),0),0)</f>
        <v/>
      </c>
      <c r="N754" s="141">
        <f>IF(offer_sale_type="транзит",IFERROR(ROUNDUP(VLOOKUP($B754,calc_data,N$14+1,0),2),0),0)</f>
        <v/>
      </c>
      <c r="O754" s="147">
        <f>IF(offer_sale_type="транзит",IFERROR(ROUND(VLOOKUP($B754,calc_data,O$14+1,1),2),0),0)</f>
        <v/>
      </c>
      <c r="P754" s="141">
        <f>IF(offer_sale_type="транзит",IFERROR(ROUND(SUM(I754:J754,M754:O754)/E754,2),0),0)</f>
        <v/>
      </c>
      <c r="Q754" s="141">
        <f>E754*P754</f>
        <v/>
      </c>
      <c r="R754" s="141">
        <f>ROUND(Q754*IF(AND(offer_incoterms="DDP",seller_region="RU"),IF((TODAY()+offer_turnaround_time)&gt;=helpsheet!$L$17,rate_vatRU_from_26,rate_vatRu_till_25),0),2)</f>
        <v/>
      </c>
      <c r="S754" s="177">
        <f>Q754+IF(AND(offer_incoterms="DDP",seller_region="RU"),R754,0)</f>
        <v/>
      </c>
      <c r="T754" s="45" t="n"/>
      <c r="V754" s="57">
        <f>IF(Q754&gt;0,"показать","скрыть")</f>
        <v/>
      </c>
    </row>
    <row r="755" ht="15.75" customHeight="1">
      <c r="B755" s="809" t="n">
        <v>739</v>
      </c>
      <c r="C755" s="182">
        <f>IF(offer_sale_type="транзит",IFERROR(VLOOKUP($B755,calc_data,C$14+1,0),0),0)</f>
        <v/>
      </c>
      <c r="D755" s="280">
        <f>IF(offer_sale_type="транзит",IFERROR(VLOOKUP($B755,calc_data,D$14+1,0),0),0)</f>
        <v/>
      </c>
      <c r="E755" s="182">
        <f>IF(offer_sale_type="транзит",IFERROR(VLOOKUP($B755,calc_data,E$14+1,0),0),0)</f>
        <v/>
      </c>
      <c r="F755" s="182">
        <f>IF(offer_sale_type="транзит",IFERROR(VLOOKUP($B755,calc_data,F$14+1,0),0),0)</f>
        <v/>
      </c>
      <c r="G755" s="141">
        <f>IF(offer_sale_type="транзит",IFERROR(VLOOKUP($B755,calc_data,G$14+1,0),0),0)</f>
        <v/>
      </c>
      <c r="H755" s="141">
        <f>E755*G755</f>
        <v/>
      </c>
      <c r="I755" s="141">
        <f>IF(offer_sale_type="транзит",IFERROR(ROUND(VLOOKUP($B755,calc_data,I$14+1,0),2),0),0)</f>
        <v/>
      </c>
      <c r="J755" s="141">
        <f>ROUND(IF(offer_sale_type="транзит",IFERROR(VLOOKUP($B755,calc_data,J$14+1,0),0),0),2)</f>
        <v/>
      </c>
      <c r="K755" s="142">
        <f>IF(offer_sale_type="транзит",IFERROR(ROUNDUP(VLOOKUP($B755,calc_data,K$14+1,0),2),0),0)</f>
        <v/>
      </c>
      <c r="L755" s="184">
        <f>IF(offer_sale_type="транзит",IFERROR(ROUNDUP(VLOOKUP($B755,calc_data,L$14+1,0),2),0),0)</f>
        <v/>
      </c>
      <c r="M755" s="141">
        <f>IF(offer_sale_type="транзит",IFERROR(ROUNDUP(VLOOKUP($B755,calc_data,M$14+1,0),2),0),0)</f>
        <v/>
      </c>
      <c r="N755" s="141">
        <f>IF(offer_sale_type="транзит",IFERROR(ROUNDUP(VLOOKUP($B755,calc_data,N$14+1,0),2),0),0)</f>
        <v/>
      </c>
      <c r="O755" s="147">
        <f>IF(offer_sale_type="транзит",IFERROR(ROUND(VLOOKUP($B755,calc_data,O$14+1,1),2),0),0)</f>
        <v/>
      </c>
      <c r="P755" s="141">
        <f>IF(offer_sale_type="транзит",IFERROR(ROUND(SUM(I755:J755,M755:O755)/E755,2),0),0)</f>
        <v/>
      </c>
      <c r="Q755" s="141">
        <f>E755*P755</f>
        <v/>
      </c>
      <c r="R755" s="141">
        <f>ROUND(Q755*IF(AND(offer_incoterms="DDP",seller_region="RU"),IF((TODAY()+offer_turnaround_time)&gt;=helpsheet!$L$17,rate_vatRU_from_26,rate_vatRu_till_25),0),2)</f>
        <v/>
      </c>
      <c r="S755" s="177">
        <f>Q755+IF(AND(offer_incoterms="DDP",seller_region="RU"),R755,0)</f>
        <v/>
      </c>
      <c r="T755" s="45" t="n"/>
      <c r="V755" s="57">
        <f>IF(Q755&gt;0,"показать","скрыть")</f>
        <v/>
      </c>
    </row>
    <row r="756" ht="15.75" customHeight="1">
      <c r="B756" s="809" t="n">
        <v>740</v>
      </c>
      <c r="C756" s="182">
        <f>IF(offer_sale_type="транзит",IFERROR(VLOOKUP($B756,calc_data,C$14+1,0),0),0)</f>
        <v/>
      </c>
      <c r="D756" s="280">
        <f>IF(offer_sale_type="транзит",IFERROR(VLOOKUP($B756,calc_data,D$14+1,0),0),0)</f>
        <v/>
      </c>
      <c r="E756" s="182">
        <f>IF(offer_sale_type="транзит",IFERROR(VLOOKUP($B756,calc_data,E$14+1,0),0),0)</f>
        <v/>
      </c>
      <c r="F756" s="182">
        <f>IF(offer_sale_type="транзит",IFERROR(VLOOKUP($B756,calc_data,F$14+1,0),0),0)</f>
        <v/>
      </c>
      <c r="G756" s="141">
        <f>IF(offer_sale_type="транзит",IFERROR(VLOOKUP($B756,calc_data,G$14+1,0),0),0)</f>
        <v/>
      </c>
      <c r="H756" s="141">
        <f>E756*G756</f>
        <v/>
      </c>
      <c r="I756" s="141">
        <f>IF(offer_sale_type="транзит",IFERROR(ROUND(VLOOKUP($B756,calc_data,I$14+1,0),2),0),0)</f>
        <v/>
      </c>
      <c r="J756" s="141">
        <f>ROUND(IF(offer_sale_type="транзит",IFERROR(VLOOKUP($B756,calc_data,J$14+1,0),0),0),2)</f>
        <v/>
      </c>
      <c r="K756" s="142">
        <f>IF(offer_sale_type="транзит",IFERROR(ROUNDUP(VLOOKUP($B756,calc_data,K$14+1,0),2),0),0)</f>
        <v/>
      </c>
      <c r="L756" s="184">
        <f>IF(offer_sale_type="транзит",IFERROR(ROUNDUP(VLOOKUP($B756,calc_data,L$14+1,0),2),0),0)</f>
        <v/>
      </c>
      <c r="M756" s="141">
        <f>IF(offer_sale_type="транзит",IFERROR(ROUNDUP(VLOOKUP($B756,calc_data,M$14+1,0),2),0),0)</f>
        <v/>
      </c>
      <c r="N756" s="141">
        <f>IF(offer_sale_type="транзит",IFERROR(ROUNDUP(VLOOKUP($B756,calc_data,N$14+1,0),2),0),0)</f>
        <v/>
      </c>
      <c r="O756" s="147">
        <f>IF(offer_sale_type="транзит",IFERROR(ROUND(VLOOKUP($B756,calc_data,O$14+1,1),2),0),0)</f>
        <v/>
      </c>
      <c r="P756" s="141">
        <f>IF(offer_sale_type="транзит",IFERROR(ROUND(SUM(I756:J756,M756:O756)/E756,2),0),0)</f>
        <v/>
      </c>
      <c r="Q756" s="141">
        <f>E756*P756</f>
        <v/>
      </c>
      <c r="R756" s="141">
        <f>ROUND(Q756*IF(AND(offer_incoterms="DDP",seller_region="RU"),IF((TODAY()+offer_turnaround_time)&gt;=helpsheet!$L$17,rate_vatRU_from_26,rate_vatRu_till_25),0),2)</f>
        <v/>
      </c>
      <c r="S756" s="177">
        <f>Q756+IF(AND(offer_incoterms="DDP",seller_region="RU"),R756,0)</f>
        <v/>
      </c>
      <c r="T756" s="45" t="n"/>
      <c r="V756" s="57">
        <f>IF(Q756&gt;0,"показать","скрыть")</f>
        <v/>
      </c>
    </row>
    <row r="757" ht="15.75" customHeight="1">
      <c r="B757" s="809" t="n">
        <v>741</v>
      </c>
      <c r="C757" s="182">
        <f>IF(offer_sale_type="транзит",IFERROR(VLOOKUP($B757,calc_data,C$14+1,0),0),0)</f>
        <v/>
      </c>
      <c r="D757" s="280">
        <f>IF(offer_sale_type="транзит",IFERROR(VLOOKUP($B757,calc_data,D$14+1,0),0),0)</f>
        <v/>
      </c>
      <c r="E757" s="182">
        <f>IF(offer_sale_type="транзит",IFERROR(VLOOKUP($B757,calc_data,E$14+1,0),0),0)</f>
        <v/>
      </c>
      <c r="F757" s="182">
        <f>IF(offer_sale_type="транзит",IFERROR(VLOOKUP($B757,calc_data,F$14+1,0),0),0)</f>
        <v/>
      </c>
      <c r="G757" s="141">
        <f>IF(offer_sale_type="транзит",IFERROR(VLOOKUP($B757,calc_data,G$14+1,0),0),0)</f>
        <v/>
      </c>
      <c r="H757" s="141">
        <f>E757*G757</f>
        <v/>
      </c>
      <c r="I757" s="141">
        <f>IF(offer_sale_type="транзит",IFERROR(ROUND(VLOOKUP($B757,calc_data,I$14+1,0),2),0),0)</f>
        <v/>
      </c>
      <c r="J757" s="141">
        <f>ROUND(IF(offer_sale_type="транзит",IFERROR(VLOOKUP($B757,calc_data,J$14+1,0),0),0),2)</f>
        <v/>
      </c>
      <c r="K757" s="142">
        <f>IF(offer_sale_type="транзит",IFERROR(ROUNDUP(VLOOKUP($B757,calc_data,K$14+1,0),2),0),0)</f>
        <v/>
      </c>
      <c r="L757" s="184">
        <f>IF(offer_sale_type="транзит",IFERROR(ROUNDUP(VLOOKUP($B757,calc_data,L$14+1,0),2),0),0)</f>
        <v/>
      </c>
      <c r="M757" s="141">
        <f>IF(offer_sale_type="транзит",IFERROR(ROUNDUP(VLOOKUP($B757,calc_data,M$14+1,0),2),0),0)</f>
        <v/>
      </c>
      <c r="N757" s="141">
        <f>IF(offer_sale_type="транзит",IFERROR(ROUNDUP(VLOOKUP($B757,calc_data,N$14+1,0),2),0),0)</f>
        <v/>
      </c>
      <c r="O757" s="147">
        <f>IF(offer_sale_type="транзит",IFERROR(ROUND(VLOOKUP($B757,calc_data,O$14+1,1),2),0),0)</f>
        <v/>
      </c>
      <c r="P757" s="141">
        <f>IF(offer_sale_type="транзит",IFERROR(ROUND(SUM(I757:J757,M757:O757)/E757,2),0),0)</f>
        <v/>
      </c>
      <c r="Q757" s="141">
        <f>E757*P757</f>
        <v/>
      </c>
      <c r="R757" s="141">
        <f>ROUND(Q757*IF(AND(offer_incoterms="DDP",seller_region="RU"),IF((TODAY()+offer_turnaround_time)&gt;=helpsheet!$L$17,rate_vatRU_from_26,rate_vatRu_till_25),0),2)</f>
        <v/>
      </c>
      <c r="S757" s="177">
        <f>Q757+IF(AND(offer_incoterms="DDP",seller_region="RU"),R757,0)</f>
        <v/>
      </c>
      <c r="T757" s="45" t="n"/>
      <c r="V757" s="57">
        <f>IF(Q757&gt;0,"показать","скрыть")</f>
        <v/>
      </c>
    </row>
    <row r="758" ht="15.75" customHeight="1">
      <c r="B758" s="809" t="n">
        <v>742</v>
      </c>
      <c r="C758" s="182">
        <f>IF(offer_sale_type="транзит",IFERROR(VLOOKUP($B758,calc_data,C$14+1,0),0),0)</f>
        <v/>
      </c>
      <c r="D758" s="280">
        <f>IF(offer_sale_type="транзит",IFERROR(VLOOKUP($B758,calc_data,D$14+1,0),0),0)</f>
        <v/>
      </c>
      <c r="E758" s="182">
        <f>IF(offer_sale_type="транзит",IFERROR(VLOOKUP($B758,calc_data,E$14+1,0),0),0)</f>
        <v/>
      </c>
      <c r="F758" s="182">
        <f>IF(offer_sale_type="транзит",IFERROR(VLOOKUP($B758,calc_data,F$14+1,0),0),0)</f>
        <v/>
      </c>
      <c r="G758" s="141">
        <f>IF(offer_sale_type="транзит",IFERROR(VLOOKUP($B758,calc_data,G$14+1,0),0),0)</f>
        <v/>
      </c>
      <c r="H758" s="141">
        <f>E758*G758</f>
        <v/>
      </c>
      <c r="I758" s="141">
        <f>IF(offer_sale_type="транзит",IFERROR(ROUND(VLOOKUP($B758,calc_data,I$14+1,0),2),0),0)</f>
        <v/>
      </c>
      <c r="J758" s="141">
        <f>ROUND(IF(offer_sale_type="транзит",IFERROR(VLOOKUP($B758,calc_data,J$14+1,0),0),0),2)</f>
        <v/>
      </c>
      <c r="K758" s="142">
        <f>IF(offer_sale_type="транзит",IFERROR(ROUNDUP(VLOOKUP($B758,calc_data,K$14+1,0),2),0),0)</f>
        <v/>
      </c>
      <c r="L758" s="184">
        <f>IF(offer_sale_type="транзит",IFERROR(ROUNDUP(VLOOKUP($B758,calc_data,L$14+1,0),2),0),0)</f>
        <v/>
      </c>
      <c r="M758" s="141">
        <f>IF(offer_sale_type="транзит",IFERROR(ROUNDUP(VLOOKUP($B758,calc_data,M$14+1,0),2),0),0)</f>
        <v/>
      </c>
      <c r="N758" s="141">
        <f>IF(offer_sale_type="транзит",IFERROR(ROUNDUP(VLOOKUP($B758,calc_data,N$14+1,0),2),0),0)</f>
        <v/>
      </c>
      <c r="O758" s="147">
        <f>IF(offer_sale_type="транзит",IFERROR(ROUND(VLOOKUP($B758,calc_data,O$14+1,1),2),0),0)</f>
        <v/>
      </c>
      <c r="P758" s="141">
        <f>IF(offer_sale_type="транзит",IFERROR(ROUND(SUM(I758:J758,M758:O758)/E758,2),0),0)</f>
        <v/>
      </c>
      <c r="Q758" s="141">
        <f>E758*P758</f>
        <v/>
      </c>
      <c r="R758" s="141">
        <f>ROUND(Q758*IF(AND(offer_incoterms="DDP",seller_region="RU"),IF((TODAY()+offer_turnaround_time)&gt;=helpsheet!$L$17,rate_vatRU_from_26,rate_vatRu_till_25),0),2)</f>
        <v/>
      </c>
      <c r="S758" s="177">
        <f>Q758+IF(AND(offer_incoterms="DDP",seller_region="RU"),R758,0)</f>
        <v/>
      </c>
      <c r="T758" s="45" t="n"/>
      <c r="V758" s="57">
        <f>IF(Q758&gt;0,"показать","скрыть")</f>
        <v/>
      </c>
    </row>
    <row r="759" ht="15.75" customHeight="1">
      <c r="B759" s="809" t="n">
        <v>743</v>
      </c>
      <c r="C759" s="182">
        <f>IF(offer_sale_type="транзит",IFERROR(VLOOKUP($B759,calc_data,C$14+1,0),0),0)</f>
        <v/>
      </c>
      <c r="D759" s="280">
        <f>IF(offer_sale_type="транзит",IFERROR(VLOOKUP($B759,calc_data,D$14+1,0),0),0)</f>
        <v/>
      </c>
      <c r="E759" s="182">
        <f>IF(offer_sale_type="транзит",IFERROR(VLOOKUP($B759,calc_data,E$14+1,0),0),0)</f>
        <v/>
      </c>
      <c r="F759" s="182">
        <f>IF(offer_sale_type="транзит",IFERROR(VLOOKUP($B759,calc_data,F$14+1,0),0),0)</f>
        <v/>
      </c>
      <c r="G759" s="141">
        <f>IF(offer_sale_type="транзит",IFERROR(VLOOKUP($B759,calc_data,G$14+1,0),0),0)</f>
        <v/>
      </c>
      <c r="H759" s="141">
        <f>E759*G759</f>
        <v/>
      </c>
      <c r="I759" s="141">
        <f>IF(offer_sale_type="транзит",IFERROR(ROUND(VLOOKUP($B759,calc_data,I$14+1,0),2),0),0)</f>
        <v/>
      </c>
      <c r="J759" s="141">
        <f>ROUND(IF(offer_sale_type="транзит",IFERROR(VLOOKUP($B759,calc_data,J$14+1,0),0),0),2)</f>
        <v/>
      </c>
      <c r="K759" s="142">
        <f>IF(offer_sale_type="транзит",IFERROR(ROUNDUP(VLOOKUP($B759,calc_data,K$14+1,0),2),0),0)</f>
        <v/>
      </c>
      <c r="L759" s="184">
        <f>IF(offer_sale_type="транзит",IFERROR(ROUNDUP(VLOOKUP($B759,calc_data,L$14+1,0),2),0),0)</f>
        <v/>
      </c>
      <c r="M759" s="141">
        <f>IF(offer_sale_type="транзит",IFERROR(ROUNDUP(VLOOKUP($B759,calc_data,M$14+1,0),2),0),0)</f>
        <v/>
      </c>
      <c r="N759" s="141">
        <f>IF(offer_sale_type="транзит",IFERROR(ROUNDUP(VLOOKUP($B759,calc_data,N$14+1,0),2),0),0)</f>
        <v/>
      </c>
      <c r="O759" s="147">
        <f>IF(offer_sale_type="транзит",IFERROR(ROUND(VLOOKUP($B759,calc_data,O$14+1,1),2),0),0)</f>
        <v/>
      </c>
      <c r="P759" s="141">
        <f>IF(offer_sale_type="транзит",IFERROR(ROUND(SUM(I759:J759,M759:O759)/E759,2),0),0)</f>
        <v/>
      </c>
      <c r="Q759" s="141">
        <f>E759*P759</f>
        <v/>
      </c>
      <c r="R759" s="141">
        <f>ROUND(Q759*IF(AND(offer_incoterms="DDP",seller_region="RU"),IF((TODAY()+offer_turnaround_time)&gt;=helpsheet!$L$17,rate_vatRU_from_26,rate_vatRu_till_25),0),2)</f>
        <v/>
      </c>
      <c r="S759" s="177">
        <f>Q759+IF(AND(offer_incoterms="DDP",seller_region="RU"),R759,0)</f>
        <v/>
      </c>
      <c r="T759" s="45" t="n"/>
      <c r="V759" s="57">
        <f>IF(Q759&gt;0,"показать","скрыть")</f>
        <v/>
      </c>
    </row>
    <row r="760" ht="15.75" customHeight="1">
      <c r="B760" s="809" t="n">
        <v>744</v>
      </c>
      <c r="C760" s="182">
        <f>IF(offer_sale_type="транзит",IFERROR(VLOOKUP($B760,calc_data,C$14+1,0),0),0)</f>
        <v/>
      </c>
      <c r="D760" s="280">
        <f>IF(offer_sale_type="транзит",IFERROR(VLOOKUP($B760,calc_data,D$14+1,0),0),0)</f>
        <v/>
      </c>
      <c r="E760" s="182">
        <f>IF(offer_sale_type="транзит",IFERROR(VLOOKUP($B760,calc_data,E$14+1,0),0),0)</f>
        <v/>
      </c>
      <c r="F760" s="182">
        <f>IF(offer_sale_type="транзит",IFERROR(VLOOKUP($B760,calc_data,F$14+1,0),0),0)</f>
        <v/>
      </c>
      <c r="G760" s="141">
        <f>IF(offer_sale_type="транзит",IFERROR(VLOOKUP($B760,calc_data,G$14+1,0),0),0)</f>
        <v/>
      </c>
      <c r="H760" s="141">
        <f>E760*G760</f>
        <v/>
      </c>
      <c r="I760" s="141">
        <f>IF(offer_sale_type="транзит",IFERROR(ROUND(VLOOKUP($B760,calc_data,I$14+1,0),2),0),0)</f>
        <v/>
      </c>
      <c r="J760" s="141">
        <f>ROUND(IF(offer_sale_type="транзит",IFERROR(VLOOKUP($B760,calc_data,J$14+1,0),0),0),2)</f>
        <v/>
      </c>
      <c r="K760" s="142">
        <f>IF(offer_sale_type="транзит",IFERROR(ROUNDUP(VLOOKUP($B760,calc_data,K$14+1,0),2),0),0)</f>
        <v/>
      </c>
      <c r="L760" s="184">
        <f>IF(offer_sale_type="транзит",IFERROR(ROUNDUP(VLOOKUP($B760,calc_data,L$14+1,0),2),0),0)</f>
        <v/>
      </c>
      <c r="M760" s="141">
        <f>IF(offer_sale_type="транзит",IFERROR(ROUNDUP(VLOOKUP($B760,calc_data,M$14+1,0),2),0),0)</f>
        <v/>
      </c>
      <c r="N760" s="141">
        <f>IF(offer_sale_type="транзит",IFERROR(ROUNDUP(VLOOKUP($B760,calc_data,N$14+1,0),2),0),0)</f>
        <v/>
      </c>
      <c r="O760" s="147">
        <f>IF(offer_sale_type="транзит",IFERROR(ROUND(VLOOKUP($B760,calc_data,O$14+1,1),2),0),0)</f>
        <v/>
      </c>
      <c r="P760" s="141">
        <f>IF(offer_sale_type="транзит",IFERROR(ROUND(SUM(I760:J760,M760:O760)/E760,2),0),0)</f>
        <v/>
      </c>
      <c r="Q760" s="141">
        <f>E760*P760</f>
        <v/>
      </c>
      <c r="R760" s="141">
        <f>ROUND(Q760*IF(AND(offer_incoterms="DDP",seller_region="RU"),IF((TODAY()+offer_turnaround_time)&gt;=helpsheet!$L$17,rate_vatRU_from_26,rate_vatRu_till_25),0),2)</f>
        <v/>
      </c>
      <c r="S760" s="177">
        <f>Q760+IF(AND(offer_incoterms="DDP",seller_region="RU"),R760,0)</f>
        <v/>
      </c>
      <c r="T760" s="45" t="n"/>
      <c r="V760" s="57">
        <f>IF(Q760&gt;0,"показать","скрыть")</f>
        <v/>
      </c>
    </row>
    <row r="761" ht="15.75" customHeight="1">
      <c r="B761" s="809" t="n">
        <v>745</v>
      </c>
      <c r="C761" s="182">
        <f>IF(offer_sale_type="транзит",IFERROR(VLOOKUP($B761,calc_data,C$14+1,0),0),0)</f>
        <v/>
      </c>
      <c r="D761" s="280">
        <f>IF(offer_sale_type="транзит",IFERROR(VLOOKUP($B761,calc_data,D$14+1,0),0),0)</f>
        <v/>
      </c>
      <c r="E761" s="182">
        <f>IF(offer_sale_type="транзит",IFERROR(VLOOKUP($B761,calc_data,E$14+1,0),0),0)</f>
        <v/>
      </c>
      <c r="F761" s="182">
        <f>IF(offer_sale_type="транзит",IFERROR(VLOOKUP($B761,calc_data,F$14+1,0),0),0)</f>
        <v/>
      </c>
      <c r="G761" s="141">
        <f>IF(offer_sale_type="транзит",IFERROR(VLOOKUP($B761,calc_data,G$14+1,0),0),0)</f>
        <v/>
      </c>
      <c r="H761" s="141">
        <f>E761*G761</f>
        <v/>
      </c>
      <c r="I761" s="141">
        <f>IF(offer_sale_type="транзит",IFERROR(ROUND(VLOOKUP($B761,calc_data,I$14+1,0),2),0),0)</f>
        <v/>
      </c>
      <c r="J761" s="141">
        <f>ROUND(IF(offer_sale_type="транзит",IFERROR(VLOOKUP($B761,calc_data,J$14+1,0),0),0),2)</f>
        <v/>
      </c>
      <c r="K761" s="142">
        <f>IF(offer_sale_type="транзит",IFERROR(ROUNDUP(VLOOKUP($B761,calc_data,K$14+1,0),2),0),0)</f>
        <v/>
      </c>
      <c r="L761" s="184">
        <f>IF(offer_sale_type="транзит",IFERROR(ROUNDUP(VLOOKUP($B761,calc_data,L$14+1,0),2),0),0)</f>
        <v/>
      </c>
      <c r="M761" s="141">
        <f>IF(offer_sale_type="транзит",IFERROR(ROUNDUP(VLOOKUP($B761,calc_data,M$14+1,0),2),0),0)</f>
        <v/>
      </c>
      <c r="N761" s="141">
        <f>IF(offer_sale_type="транзит",IFERROR(ROUNDUP(VLOOKUP($B761,calc_data,N$14+1,0),2),0),0)</f>
        <v/>
      </c>
      <c r="O761" s="147">
        <f>IF(offer_sale_type="транзит",IFERROR(ROUND(VLOOKUP($B761,calc_data,O$14+1,1),2),0),0)</f>
        <v/>
      </c>
      <c r="P761" s="141">
        <f>IF(offer_sale_type="транзит",IFERROR(ROUND(SUM(I761:J761,M761:O761)/E761,2),0),0)</f>
        <v/>
      </c>
      <c r="Q761" s="141">
        <f>E761*P761</f>
        <v/>
      </c>
      <c r="R761" s="141">
        <f>ROUND(Q761*IF(AND(offer_incoterms="DDP",seller_region="RU"),IF((TODAY()+offer_turnaround_time)&gt;=helpsheet!$L$17,rate_vatRU_from_26,rate_vatRu_till_25),0),2)</f>
        <v/>
      </c>
      <c r="S761" s="177">
        <f>Q761+IF(AND(offer_incoterms="DDP",seller_region="RU"),R761,0)</f>
        <v/>
      </c>
      <c r="T761" s="45" t="n"/>
      <c r="V761" s="57">
        <f>IF(Q761&gt;0,"показать","скрыть")</f>
        <v/>
      </c>
    </row>
    <row r="762" ht="15.75" customHeight="1">
      <c r="B762" s="809" t="n">
        <v>746</v>
      </c>
      <c r="C762" s="182">
        <f>IF(offer_sale_type="транзит",IFERROR(VLOOKUP($B762,calc_data,C$14+1,0),0),0)</f>
        <v/>
      </c>
      <c r="D762" s="280">
        <f>IF(offer_sale_type="транзит",IFERROR(VLOOKUP($B762,calc_data,D$14+1,0),0),0)</f>
        <v/>
      </c>
      <c r="E762" s="182">
        <f>IF(offer_sale_type="транзит",IFERROR(VLOOKUP($B762,calc_data,E$14+1,0),0),0)</f>
        <v/>
      </c>
      <c r="F762" s="182">
        <f>IF(offer_sale_type="транзит",IFERROR(VLOOKUP($B762,calc_data,F$14+1,0),0),0)</f>
        <v/>
      </c>
      <c r="G762" s="141">
        <f>IF(offer_sale_type="транзит",IFERROR(VLOOKUP($B762,calc_data,G$14+1,0),0),0)</f>
        <v/>
      </c>
      <c r="H762" s="141">
        <f>E762*G762</f>
        <v/>
      </c>
      <c r="I762" s="141">
        <f>IF(offer_sale_type="транзит",IFERROR(ROUND(VLOOKUP($B762,calc_data,I$14+1,0),2),0),0)</f>
        <v/>
      </c>
      <c r="J762" s="141">
        <f>ROUND(IF(offer_sale_type="транзит",IFERROR(VLOOKUP($B762,calc_data,J$14+1,0),0),0),2)</f>
        <v/>
      </c>
      <c r="K762" s="142">
        <f>IF(offer_sale_type="транзит",IFERROR(ROUNDUP(VLOOKUP($B762,calc_data,K$14+1,0),2),0),0)</f>
        <v/>
      </c>
      <c r="L762" s="184">
        <f>IF(offer_sale_type="транзит",IFERROR(ROUNDUP(VLOOKUP($B762,calc_data,L$14+1,0),2),0),0)</f>
        <v/>
      </c>
      <c r="M762" s="141">
        <f>IF(offer_sale_type="транзит",IFERROR(ROUNDUP(VLOOKUP($B762,calc_data,M$14+1,0),2),0),0)</f>
        <v/>
      </c>
      <c r="N762" s="141">
        <f>IF(offer_sale_type="транзит",IFERROR(ROUNDUP(VLOOKUP($B762,calc_data,N$14+1,0),2),0),0)</f>
        <v/>
      </c>
      <c r="O762" s="147">
        <f>IF(offer_sale_type="транзит",IFERROR(ROUND(VLOOKUP($B762,calc_data,O$14+1,1),2),0),0)</f>
        <v/>
      </c>
      <c r="P762" s="141">
        <f>IF(offer_sale_type="транзит",IFERROR(ROUND(SUM(I762:J762,M762:O762)/E762,2),0),0)</f>
        <v/>
      </c>
      <c r="Q762" s="141">
        <f>E762*P762</f>
        <v/>
      </c>
      <c r="R762" s="141">
        <f>ROUND(Q762*IF(AND(offer_incoterms="DDP",seller_region="RU"),IF((TODAY()+offer_turnaround_time)&gt;=helpsheet!$L$17,rate_vatRU_from_26,rate_vatRu_till_25),0),2)</f>
        <v/>
      </c>
      <c r="S762" s="177">
        <f>Q762+IF(AND(offer_incoterms="DDP",seller_region="RU"),R762,0)</f>
        <v/>
      </c>
      <c r="T762" s="45" t="n"/>
      <c r="V762" s="57">
        <f>IF(Q762&gt;0,"показать","скрыть")</f>
        <v/>
      </c>
    </row>
    <row r="763" ht="15.75" customHeight="1">
      <c r="B763" s="809" t="n">
        <v>747</v>
      </c>
      <c r="C763" s="182">
        <f>IF(offer_sale_type="транзит",IFERROR(VLOOKUP($B763,calc_data,C$14+1,0),0),0)</f>
        <v/>
      </c>
      <c r="D763" s="280">
        <f>IF(offer_sale_type="транзит",IFERROR(VLOOKUP($B763,calc_data,D$14+1,0),0),0)</f>
        <v/>
      </c>
      <c r="E763" s="182">
        <f>IF(offer_sale_type="транзит",IFERROR(VLOOKUP($B763,calc_data,E$14+1,0),0),0)</f>
        <v/>
      </c>
      <c r="F763" s="182">
        <f>IF(offer_sale_type="транзит",IFERROR(VLOOKUP($B763,calc_data,F$14+1,0),0),0)</f>
        <v/>
      </c>
      <c r="G763" s="141">
        <f>IF(offer_sale_type="транзит",IFERROR(VLOOKUP($B763,calc_data,G$14+1,0),0),0)</f>
        <v/>
      </c>
      <c r="H763" s="141">
        <f>E763*G763</f>
        <v/>
      </c>
      <c r="I763" s="141">
        <f>IF(offer_sale_type="транзит",IFERROR(ROUND(VLOOKUP($B763,calc_data,I$14+1,0),2),0),0)</f>
        <v/>
      </c>
      <c r="J763" s="141">
        <f>ROUND(IF(offer_sale_type="транзит",IFERROR(VLOOKUP($B763,calc_data,J$14+1,0),0),0),2)</f>
        <v/>
      </c>
      <c r="K763" s="142">
        <f>IF(offer_sale_type="транзит",IFERROR(ROUNDUP(VLOOKUP($B763,calc_data,K$14+1,0),2),0),0)</f>
        <v/>
      </c>
      <c r="L763" s="184">
        <f>IF(offer_sale_type="транзит",IFERROR(ROUNDUP(VLOOKUP($B763,calc_data,L$14+1,0),2),0),0)</f>
        <v/>
      </c>
      <c r="M763" s="141">
        <f>IF(offer_sale_type="транзит",IFERROR(ROUNDUP(VLOOKUP($B763,calc_data,M$14+1,0),2),0),0)</f>
        <v/>
      </c>
      <c r="N763" s="141">
        <f>IF(offer_sale_type="транзит",IFERROR(ROUNDUP(VLOOKUP($B763,calc_data,N$14+1,0),2),0),0)</f>
        <v/>
      </c>
      <c r="O763" s="147">
        <f>IF(offer_sale_type="транзит",IFERROR(ROUND(VLOOKUP($B763,calc_data,O$14+1,1),2),0),0)</f>
        <v/>
      </c>
      <c r="P763" s="141">
        <f>IF(offer_sale_type="транзит",IFERROR(ROUND(SUM(I763:J763,M763:O763)/E763,2),0),0)</f>
        <v/>
      </c>
      <c r="Q763" s="141">
        <f>E763*P763</f>
        <v/>
      </c>
      <c r="R763" s="141">
        <f>ROUND(Q763*IF(AND(offer_incoterms="DDP",seller_region="RU"),IF((TODAY()+offer_turnaround_time)&gt;=helpsheet!$L$17,rate_vatRU_from_26,rate_vatRu_till_25),0),2)</f>
        <v/>
      </c>
      <c r="S763" s="177">
        <f>Q763+IF(AND(offer_incoterms="DDP",seller_region="RU"),R763,0)</f>
        <v/>
      </c>
      <c r="T763" s="45" t="n"/>
      <c r="V763" s="57">
        <f>IF(Q763&gt;0,"показать","скрыть")</f>
        <v/>
      </c>
    </row>
    <row r="764" ht="15.75" customHeight="1">
      <c r="B764" s="809" t="n">
        <v>748</v>
      </c>
      <c r="C764" s="182">
        <f>IF(offer_sale_type="транзит",IFERROR(VLOOKUP($B764,calc_data,C$14+1,0),0),0)</f>
        <v/>
      </c>
      <c r="D764" s="280">
        <f>IF(offer_sale_type="транзит",IFERROR(VLOOKUP($B764,calc_data,D$14+1,0),0),0)</f>
        <v/>
      </c>
      <c r="E764" s="182">
        <f>IF(offer_sale_type="транзит",IFERROR(VLOOKUP($B764,calc_data,E$14+1,0),0),0)</f>
        <v/>
      </c>
      <c r="F764" s="182">
        <f>IF(offer_sale_type="транзит",IFERROR(VLOOKUP($B764,calc_data,F$14+1,0),0),0)</f>
        <v/>
      </c>
      <c r="G764" s="141">
        <f>IF(offer_sale_type="транзит",IFERROR(VLOOKUP($B764,calc_data,G$14+1,0),0),0)</f>
        <v/>
      </c>
      <c r="H764" s="141">
        <f>E764*G764</f>
        <v/>
      </c>
      <c r="I764" s="141">
        <f>IF(offer_sale_type="транзит",IFERROR(ROUND(VLOOKUP($B764,calc_data,I$14+1,0),2),0),0)</f>
        <v/>
      </c>
      <c r="J764" s="141">
        <f>ROUND(IF(offer_sale_type="транзит",IFERROR(VLOOKUP($B764,calc_data,J$14+1,0),0),0),2)</f>
        <v/>
      </c>
      <c r="K764" s="142">
        <f>IF(offer_sale_type="транзит",IFERROR(ROUNDUP(VLOOKUP($B764,calc_data,K$14+1,0),2),0),0)</f>
        <v/>
      </c>
      <c r="L764" s="184">
        <f>IF(offer_sale_type="транзит",IFERROR(ROUNDUP(VLOOKUP($B764,calc_data,L$14+1,0),2),0),0)</f>
        <v/>
      </c>
      <c r="M764" s="141">
        <f>IF(offer_sale_type="транзит",IFERROR(ROUNDUP(VLOOKUP($B764,calc_data,M$14+1,0),2),0),0)</f>
        <v/>
      </c>
      <c r="N764" s="141">
        <f>IF(offer_sale_type="транзит",IFERROR(ROUNDUP(VLOOKUP($B764,calc_data,N$14+1,0),2),0),0)</f>
        <v/>
      </c>
      <c r="O764" s="147">
        <f>IF(offer_sale_type="транзит",IFERROR(ROUND(VLOOKUP($B764,calc_data,O$14+1,1),2),0),0)</f>
        <v/>
      </c>
      <c r="P764" s="141">
        <f>IF(offer_sale_type="транзит",IFERROR(ROUND(SUM(I764:J764,M764:O764)/E764,2),0),0)</f>
        <v/>
      </c>
      <c r="Q764" s="141">
        <f>E764*P764</f>
        <v/>
      </c>
      <c r="R764" s="141">
        <f>ROUND(Q764*IF(AND(offer_incoterms="DDP",seller_region="RU"),IF((TODAY()+offer_turnaround_time)&gt;=helpsheet!$L$17,rate_vatRU_from_26,rate_vatRu_till_25),0),2)</f>
        <v/>
      </c>
      <c r="S764" s="177">
        <f>Q764+IF(AND(offer_incoterms="DDP",seller_region="RU"),R764,0)</f>
        <v/>
      </c>
      <c r="T764" s="45" t="n"/>
      <c r="V764" s="57">
        <f>IF(Q764&gt;0,"показать","скрыть")</f>
        <v/>
      </c>
    </row>
    <row r="765" ht="15.75" customHeight="1">
      <c r="B765" s="809" t="n">
        <v>749</v>
      </c>
      <c r="C765" s="182">
        <f>IF(offer_sale_type="транзит",IFERROR(VLOOKUP($B765,calc_data,C$14+1,0),0),0)</f>
        <v/>
      </c>
      <c r="D765" s="280">
        <f>IF(offer_sale_type="транзит",IFERROR(VLOOKUP($B765,calc_data,D$14+1,0),0),0)</f>
        <v/>
      </c>
      <c r="E765" s="182">
        <f>IF(offer_sale_type="транзит",IFERROR(VLOOKUP($B765,calc_data,E$14+1,0),0),0)</f>
        <v/>
      </c>
      <c r="F765" s="182">
        <f>IF(offer_sale_type="транзит",IFERROR(VLOOKUP($B765,calc_data,F$14+1,0),0),0)</f>
        <v/>
      </c>
      <c r="G765" s="141">
        <f>IF(offer_sale_type="транзит",IFERROR(VLOOKUP($B765,calc_data,G$14+1,0),0),0)</f>
        <v/>
      </c>
      <c r="H765" s="141">
        <f>E765*G765</f>
        <v/>
      </c>
      <c r="I765" s="141">
        <f>IF(offer_sale_type="транзит",IFERROR(ROUND(VLOOKUP($B765,calc_data,I$14+1,0),2),0),0)</f>
        <v/>
      </c>
      <c r="J765" s="141">
        <f>ROUND(IF(offer_sale_type="транзит",IFERROR(VLOOKUP($B765,calc_data,J$14+1,0),0),0),2)</f>
        <v/>
      </c>
      <c r="K765" s="142">
        <f>IF(offer_sale_type="транзит",IFERROR(ROUNDUP(VLOOKUP($B765,calc_data,K$14+1,0),2),0),0)</f>
        <v/>
      </c>
      <c r="L765" s="184">
        <f>IF(offer_sale_type="транзит",IFERROR(ROUNDUP(VLOOKUP($B765,calc_data,L$14+1,0),2),0),0)</f>
        <v/>
      </c>
      <c r="M765" s="141">
        <f>IF(offer_sale_type="транзит",IFERROR(ROUNDUP(VLOOKUP($B765,calc_data,M$14+1,0),2),0),0)</f>
        <v/>
      </c>
      <c r="N765" s="141">
        <f>IF(offer_sale_type="транзит",IFERROR(ROUNDUP(VLOOKUP($B765,calc_data,N$14+1,0),2),0),0)</f>
        <v/>
      </c>
      <c r="O765" s="147">
        <f>IF(offer_sale_type="транзит",IFERROR(ROUND(VLOOKUP($B765,calc_data,O$14+1,1),2),0),0)</f>
        <v/>
      </c>
      <c r="P765" s="141">
        <f>IF(offer_sale_type="транзит",IFERROR(ROUND(SUM(I765:J765,M765:O765)/E765,2),0),0)</f>
        <v/>
      </c>
      <c r="Q765" s="141">
        <f>E765*P765</f>
        <v/>
      </c>
      <c r="R765" s="141">
        <f>ROUND(Q765*IF(AND(offer_incoterms="DDP",seller_region="RU"),IF((TODAY()+offer_turnaround_time)&gt;=helpsheet!$L$17,rate_vatRU_from_26,rate_vatRu_till_25),0),2)</f>
        <v/>
      </c>
      <c r="S765" s="177">
        <f>Q765+IF(AND(offer_incoterms="DDP",seller_region="RU"),R765,0)</f>
        <v/>
      </c>
      <c r="T765" s="45" t="n"/>
      <c r="V765" s="57">
        <f>IF(Q765&gt;0,"показать","скрыть")</f>
        <v/>
      </c>
    </row>
    <row r="766" ht="15.75" customHeight="1">
      <c r="B766" s="809" t="n">
        <v>750</v>
      </c>
      <c r="C766" s="182">
        <f>IF(offer_sale_type="транзит",IFERROR(VLOOKUP($B766,calc_data,C$14+1,0),0),0)</f>
        <v/>
      </c>
      <c r="D766" s="280">
        <f>IF(offer_sale_type="транзит",IFERROR(VLOOKUP($B766,calc_data,D$14+1,0),0),0)</f>
        <v/>
      </c>
      <c r="E766" s="182">
        <f>IF(offer_sale_type="транзит",IFERROR(VLOOKUP($B766,calc_data,E$14+1,0),0),0)</f>
        <v/>
      </c>
      <c r="F766" s="182">
        <f>IF(offer_sale_type="транзит",IFERROR(VLOOKUP($B766,calc_data,F$14+1,0),0),0)</f>
        <v/>
      </c>
      <c r="G766" s="141">
        <f>IF(offer_sale_type="транзит",IFERROR(VLOOKUP($B766,calc_data,G$14+1,0),0),0)</f>
        <v/>
      </c>
      <c r="H766" s="141">
        <f>E766*G766</f>
        <v/>
      </c>
      <c r="I766" s="141">
        <f>IF(offer_sale_type="транзит",IFERROR(ROUND(VLOOKUP($B766,calc_data,I$14+1,0),2),0),0)</f>
        <v/>
      </c>
      <c r="J766" s="141">
        <f>ROUND(IF(offer_sale_type="транзит",IFERROR(VLOOKUP($B766,calc_data,J$14+1,0),0),0),2)</f>
        <v/>
      </c>
      <c r="K766" s="142">
        <f>IF(offer_sale_type="транзит",IFERROR(ROUNDUP(VLOOKUP($B766,calc_data,K$14+1,0),2),0),0)</f>
        <v/>
      </c>
      <c r="L766" s="184">
        <f>IF(offer_sale_type="транзит",IFERROR(ROUNDUP(VLOOKUP($B766,calc_data,L$14+1,0),2),0),0)</f>
        <v/>
      </c>
      <c r="M766" s="141">
        <f>IF(offer_sale_type="транзит",IFERROR(ROUNDUP(VLOOKUP($B766,calc_data,M$14+1,0),2),0),0)</f>
        <v/>
      </c>
      <c r="N766" s="141">
        <f>IF(offer_sale_type="транзит",IFERROR(ROUNDUP(VLOOKUP($B766,calc_data,N$14+1,0),2),0),0)</f>
        <v/>
      </c>
      <c r="O766" s="147">
        <f>IF(offer_sale_type="транзит",IFERROR(ROUND(VLOOKUP($B766,calc_data,O$14+1,1),2),0),0)</f>
        <v/>
      </c>
      <c r="P766" s="141">
        <f>IF(offer_sale_type="транзит",IFERROR(ROUND(SUM(I766:J766,M766:O766)/E766,2),0),0)</f>
        <v/>
      </c>
      <c r="Q766" s="141">
        <f>E766*P766</f>
        <v/>
      </c>
      <c r="R766" s="141">
        <f>ROUND(Q766*IF(AND(offer_incoterms="DDP",seller_region="RU"),IF((TODAY()+offer_turnaround_time)&gt;=helpsheet!$L$17,rate_vatRU_from_26,rate_vatRu_till_25),0),2)</f>
        <v/>
      </c>
      <c r="S766" s="177">
        <f>Q766+IF(AND(offer_incoterms="DDP",seller_region="RU"),R766,0)</f>
        <v/>
      </c>
      <c r="T766" s="45" t="n"/>
      <c r="V766" s="57">
        <f>IF(Q766&gt;0,"показать","скрыть")</f>
        <v/>
      </c>
    </row>
    <row r="767" ht="15.75" customHeight="1">
      <c r="B767" s="809" t="n">
        <v>751</v>
      </c>
      <c r="C767" s="182">
        <f>IF(offer_sale_type="транзит",IFERROR(VLOOKUP($B767,calc_data,C$14+1,0),0),0)</f>
        <v/>
      </c>
      <c r="D767" s="280">
        <f>IF(offer_sale_type="транзит",IFERROR(VLOOKUP($B767,calc_data,D$14+1,0),0),0)</f>
        <v/>
      </c>
      <c r="E767" s="182">
        <f>IF(offer_sale_type="транзит",IFERROR(VLOOKUP($B767,calc_data,E$14+1,0),0),0)</f>
        <v/>
      </c>
      <c r="F767" s="182">
        <f>IF(offer_sale_type="транзит",IFERROR(VLOOKUP($B767,calc_data,F$14+1,0),0),0)</f>
        <v/>
      </c>
      <c r="G767" s="141">
        <f>IF(offer_sale_type="транзит",IFERROR(VLOOKUP($B767,calc_data,G$14+1,0),0),0)</f>
        <v/>
      </c>
      <c r="H767" s="141">
        <f>E767*G767</f>
        <v/>
      </c>
      <c r="I767" s="141">
        <f>IF(offer_sale_type="транзит",IFERROR(ROUND(VLOOKUP($B767,calc_data,I$14+1,0),2),0),0)</f>
        <v/>
      </c>
      <c r="J767" s="141">
        <f>ROUND(IF(offer_sale_type="транзит",IFERROR(VLOOKUP($B767,calc_data,J$14+1,0),0),0),2)</f>
        <v/>
      </c>
      <c r="K767" s="142">
        <f>IF(offer_sale_type="транзит",IFERROR(ROUNDUP(VLOOKUP($B767,calc_data,K$14+1,0),2),0),0)</f>
        <v/>
      </c>
      <c r="L767" s="184">
        <f>IF(offer_sale_type="транзит",IFERROR(ROUNDUP(VLOOKUP($B767,calc_data,L$14+1,0),2),0),0)</f>
        <v/>
      </c>
      <c r="M767" s="141">
        <f>IF(offer_sale_type="транзит",IFERROR(ROUNDUP(VLOOKUP($B767,calc_data,M$14+1,0),2),0),0)</f>
        <v/>
      </c>
      <c r="N767" s="141">
        <f>IF(offer_sale_type="транзит",IFERROR(ROUNDUP(VLOOKUP($B767,calc_data,N$14+1,0),2),0),0)</f>
        <v/>
      </c>
      <c r="O767" s="147">
        <f>IF(offer_sale_type="транзит",IFERROR(ROUND(VLOOKUP($B767,calc_data,O$14+1,1),2),0),0)</f>
        <v/>
      </c>
      <c r="P767" s="141">
        <f>IF(offer_sale_type="транзит",IFERROR(ROUND(SUM(I767:J767,M767:O767)/E767,2),0),0)</f>
        <v/>
      </c>
      <c r="Q767" s="141">
        <f>E767*P767</f>
        <v/>
      </c>
      <c r="R767" s="141">
        <f>ROUND(Q767*IF(AND(offer_incoterms="DDP",seller_region="RU"),IF((TODAY()+offer_turnaround_time)&gt;=helpsheet!$L$17,rate_vatRU_from_26,rate_vatRu_till_25),0),2)</f>
        <v/>
      </c>
      <c r="S767" s="177">
        <f>Q767+IF(AND(offer_incoterms="DDP",seller_region="RU"),R767,0)</f>
        <v/>
      </c>
      <c r="T767" s="45" t="n"/>
      <c r="V767" s="57">
        <f>IF(Q767&gt;0,"показать","скрыть")</f>
        <v/>
      </c>
    </row>
    <row r="768" ht="15.75" customHeight="1">
      <c r="B768" s="809" t="n">
        <v>752</v>
      </c>
      <c r="C768" s="182">
        <f>IF(offer_sale_type="транзит",IFERROR(VLOOKUP($B768,calc_data,C$14+1,0),0),0)</f>
        <v/>
      </c>
      <c r="D768" s="280">
        <f>IF(offer_sale_type="транзит",IFERROR(VLOOKUP($B768,calc_data,D$14+1,0),0),0)</f>
        <v/>
      </c>
      <c r="E768" s="182">
        <f>IF(offer_sale_type="транзит",IFERROR(VLOOKUP($B768,calc_data,E$14+1,0),0),0)</f>
        <v/>
      </c>
      <c r="F768" s="182">
        <f>IF(offer_sale_type="транзит",IFERROR(VLOOKUP($B768,calc_data,F$14+1,0),0),0)</f>
        <v/>
      </c>
      <c r="G768" s="141">
        <f>IF(offer_sale_type="транзит",IFERROR(VLOOKUP($B768,calc_data,G$14+1,0),0),0)</f>
        <v/>
      </c>
      <c r="H768" s="141">
        <f>E768*G768</f>
        <v/>
      </c>
      <c r="I768" s="141">
        <f>IF(offer_sale_type="транзит",IFERROR(ROUND(VLOOKUP($B768,calc_data,I$14+1,0),2),0),0)</f>
        <v/>
      </c>
      <c r="J768" s="141">
        <f>ROUND(IF(offer_sale_type="транзит",IFERROR(VLOOKUP($B768,calc_data,J$14+1,0),0),0),2)</f>
        <v/>
      </c>
      <c r="K768" s="142">
        <f>IF(offer_sale_type="транзит",IFERROR(ROUNDUP(VLOOKUP($B768,calc_data,K$14+1,0),2),0),0)</f>
        <v/>
      </c>
      <c r="L768" s="184">
        <f>IF(offer_sale_type="транзит",IFERROR(ROUNDUP(VLOOKUP($B768,calc_data,L$14+1,0),2),0),0)</f>
        <v/>
      </c>
      <c r="M768" s="141">
        <f>IF(offer_sale_type="транзит",IFERROR(ROUNDUP(VLOOKUP($B768,calc_data,M$14+1,0),2),0),0)</f>
        <v/>
      </c>
      <c r="N768" s="141">
        <f>IF(offer_sale_type="транзит",IFERROR(ROUNDUP(VLOOKUP($B768,calc_data,N$14+1,0),2),0),0)</f>
        <v/>
      </c>
      <c r="O768" s="147">
        <f>IF(offer_sale_type="транзит",IFERROR(ROUND(VLOOKUP($B768,calc_data,O$14+1,1),2),0),0)</f>
        <v/>
      </c>
      <c r="P768" s="141">
        <f>IF(offer_sale_type="транзит",IFERROR(ROUND(SUM(I768:J768,M768:O768)/E768,2),0),0)</f>
        <v/>
      </c>
      <c r="Q768" s="141">
        <f>E768*P768</f>
        <v/>
      </c>
      <c r="R768" s="141">
        <f>ROUND(Q768*IF(AND(offer_incoterms="DDP",seller_region="RU"),IF((TODAY()+offer_turnaround_time)&gt;=helpsheet!$L$17,rate_vatRU_from_26,rate_vatRu_till_25),0),2)</f>
        <v/>
      </c>
      <c r="S768" s="177">
        <f>Q768+IF(AND(offer_incoterms="DDP",seller_region="RU"),R768,0)</f>
        <v/>
      </c>
      <c r="T768" s="45" t="n"/>
      <c r="V768" s="57">
        <f>IF(Q768&gt;0,"показать","скрыть")</f>
        <v/>
      </c>
    </row>
    <row r="769" ht="15.75" customHeight="1">
      <c r="B769" s="809" t="n">
        <v>753</v>
      </c>
      <c r="C769" s="182">
        <f>IF(offer_sale_type="транзит",IFERROR(VLOOKUP($B769,calc_data,C$14+1,0),0),0)</f>
        <v/>
      </c>
      <c r="D769" s="280">
        <f>IF(offer_sale_type="транзит",IFERROR(VLOOKUP($B769,calc_data,D$14+1,0),0),0)</f>
        <v/>
      </c>
      <c r="E769" s="182">
        <f>IF(offer_sale_type="транзит",IFERROR(VLOOKUP($B769,calc_data,E$14+1,0),0),0)</f>
        <v/>
      </c>
      <c r="F769" s="182">
        <f>IF(offer_sale_type="транзит",IFERROR(VLOOKUP($B769,calc_data,F$14+1,0),0),0)</f>
        <v/>
      </c>
      <c r="G769" s="141">
        <f>IF(offer_sale_type="транзит",IFERROR(VLOOKUP($B769,calc_data,G$14+1,0),0),0)</f>
        <v/>
      </c>
      <c r="H769" s="141">
        <f>E769*G769</f>
        <v/>
      </c>
      <c r="I769" s="141">
        <f>IF(offer_sale_type="транзит",IFERROR(ROUND(VLOOKUP($B769,calc_data,I$14+1,0),2),0),0)</f>
        <v/>
      </c>
      <c r="J769" s="141">
        <f>ROUND(IF(offer_sale_type="транзит",IFERROR(VLOOKUP($B769,calc_data,J$14+1,0),0),0),2)</f>
        <v/>
      </c>
      <c r="K769" s="142">
        <f>IF(offer_sale_type="транзит",IFERROR(ROUNDUP(VLOOKUP($B769,calc_data,K$14+1,0),2),0),0)</f>
        <v/>
      </c>
      <c r="L769" s="184">
        <f>IF(offer_sale_type="транзит",IFERROR(ROUNDUP(VLOOKUP($B769,calc_data,L$14+1,0),2),0),0)</f>
        <v/>
      </c>
      <c r="M769" s="141">
        <f>IF(offer_sale_type="транзит",IFERROR(ROUNDUP(VLOOKUP($B769,calc_data,M$14+1,0),2),0),0)</f>
        <v/>
      </c>
      <c r="N769" s="141">
        <f>IF(offer_sale_type="транзит",IFERROR(ROUNDUP(VLOOKUP($B769,calc_data,N$14+1,0),2),0),0)</f>
        <v/>
      </c>
      <c r="O769" s="147">
        <f>IF(offer_sale_type="транзит",IFERROR(ROUND(VLOOKUP($B769,calc_data,O$14+1,1),2),0),0)</f>
        <v/>
      </c>
      <c r="P769" s="141">
        <f>IF(offer_sale_type="транзит",IFERROR(ROUND(SUM(I769:J769,M769:O769)/E769,2),0),0)</f>
        <v/>
      </c>
      <c r="Q769" s="141">
        <f>E769*P769</f>
        <v/>
      </c>
      <c r="R769" s="141">
        <f>ROUND(Q769*IF(AND(offer_incoterms="DDP",seller_region="RU"),IF((TODAY()+offer_turnaround_time)&gt;=helpsheet!$L$17,rate_vatRU_from_26,rate_vatRu_till_25),0),2)</f>
        <v/>
      </c>
      <c r="S769" s="177">
        <f>Q769+IF(AND(offer_incoterms="DDP",seller_region="RU"),R769,0)</f>
        <v/>
      </c>
      <c r="T769" s="45" t="n"/>
      <c r="V769" s="57">
        <f>IF(Q769&gt;0,"показать","скрыть")</f>
        <v/>
      </c>
    </row>
    <row r="770" ht="15.75" customHeight="1">
      <c r="B770" s="809" t="n">
        <v>754</v>
      </c>
      <c r="C770" s="182">
        <f>IF(offer_sale_type="транзит",IFERROR(VLOOKUP($B770,calc_data,C$14+1,0),0),0)</f>
        <v/>
      </c>
      <c r="D770" s="280">
        <f>IF(offer_sale_type="транзит",IFERROR(VLOOKUP($B770,calc_data,D$14+1,0),0),0)</f>
        <v/>
      </c>
      <c r="E770" s="182">
        <f>IF(offer_sale_type="транзит",IFERROR(VLOOKUP($B770,calc_data,E$14+1,0),0),0)</f>
        <v/>
      </c>
      <c r="F770" s="182">
        <f>IF(offer_sale_type="транзит",IFERROR(VLOOKUP($B770,calc_data,F$14+1,0),0),0)</f>
        <v/>
      </c>
      <c r="G770" s="141">
        <f>IF(offer_sale_type="транзит",IFERROR(VLOOKUP($B770,calc_data,G$14+1,0),0),0)</f>
        <v/>
      </c>
      <c r="H770" s="141">
        <f>E770*G770</f>
        <v/>
      </c>
      <c r="I770" s="141">
        <f>IF(offer_sale_type="транзит",IFERROR(ROUND(VLOOKUP($B770,calc_data,I$14+1,0),2),0),0)</f>
        <v/>
      </c>
      <c r="J770" s="141">
        <f>ROUND(IF(offer_sale_type="транзит",IFERROR(VLOOKUP($B770,calc_data,J$14+1,0),0),0),2)</f>
        <v/>
      </c>
      <c r="K770" s="142">
        <f>IF(offer_sale_type="транзит",IFERROR(ROUNDUP(VLOOKUP($B770,calc_data,K$14+1,0),2),0),0)</f>
        <v/>
      </c>
      <c r="L770" s="184">
        <f>IF(offer_sale_type="транзит",IFERROR(ROUNDUP(VLOOKUP($B770,calc_data,L$14+1,0),2),0),0)</f>
        <v/>
      </c>
      <c r="M770" s="141">
        <f>IF(offer_sale_type="транзит",IFERROR(ROUNDUP(VLOOKUP($B770,calc_data,M$14+1,0),2),0),0)</f>
        <v/>
      </c>
      <c r="N770" s="141">
        <f>IF(offer_sale_type="транзит",IFERROR(ROUNDUP(VLOOKUP($B770,calc_data,N$14+1,0),2),0),0)</f>
        <v/>
      </c>
      <c r="O770" s="147">
        <f>IF(offer_sale_type="транзит",IFERROR(ROUND(VLOOKUP($B770,calc_data,O$14+1,1),2),0),0)</f>
        <v/>
      </c>
      <c r="P770" s="141">
        <f>IF(offer_sale_type="транзит",IFERROR(ROUND(SUM(I770:J770,M770:O770)/E770,2),0),0)</f>
        <v/>
      </c>
      <c r="Q770" s="141">
        <f>E770*P770</f>
        <v/>
      </c>
      <c r="R770" s="141">
        <f>ROUND(Q770*IF(AND(offer_incoterms="DDP",seller_region="RU"),IF((TODAY()+offer_turnaround_time)&gt;=helpsheet!$L$17,rate_vatRU_from_26,rate_vatRu_till_25),0),2)</f>
        <v/>
      </c>
      <c r="S770" s="177">
        <f>Q770+IF(AND(offer_incoterms="DDP",seller_region="RU"),R770,0)</f>
        <v/>
      </c>
      <c r="T770" s="45" t="n"/>
      <c r="V770" s="57">
        <f>IF(Q770&gt;0,"показать","скрыть")</f>
        <v/>
      </c>
    </row>
    <row r="771" ht="15.75" customHeight="1">
      <c r="B771" s="809" t="n">
        <v>755</v>
      </c>
      <c r="C771" s="182">
        <f>IF(offer_sale_type="транзит",IFERROR(VLOOKUP($B771,calc_data,C$14+1,0),0),0)</f>
        <v/>
      </c>
      <c r="D771" s="280">
        <f>IF(offer_sale_type="транзит",IFERROR(VLOOKUP($B771,calc_data,D$14+1,0),0),0)</f>
        <v/>
      </c>
      <c r="E771" s="182">
        <f>IF(offer_sale_type="транзит",IFERROR(VLOOKUP($B771,calc_data,E$14+1,0),0),0)</f>
        <v/>
      </c>
      <c r="F771" s="182">
        <f>IF(offer_sale_type="транзит",IFERROR(VLOOKUP($B771,calc_data,F$14+1,0),0),0)</f>
        <v/>
      </c>
      <c r="G771" s="141">
        <f>IF(offer_sale_type="транзит",IFERROR(VLOOKUP($B771,calc_data,G$14+1,0),0),0)</f>
        <v/>
      </c>
      <c r="H771" s="141">
        <f>E771*G771</f>
        <v/>
      </c>
      <c r="I771" s="141">
        <f>IF(offer_sale_type="транзит",IFERROR(ROUND(VLOOKUP($B771,calc_data,I$14+1,0),2),0),0)</f>
        <v/>
      </c>
      <c r="J771" s="141">
        <f>ROUND(IF(offer_sale_type="транзит",IFERROR(VLOOKUP($B771,calc_data,J$14+1,0),0),0),2)</f>
        <v/>
      </c>
      <c r="K771" s="142">
        <f>IF(offer_sale_type="транзит",IFERROR(ROUNDUP(VLOOKUP($B771,calc_data,K$14+1,0),2),0),0)</f>
        <v/>
      </c>
      <c r="L771" s="184">
        <f>IF(offer_sale_type="транзит",IFERROR(ROUNDUP(VLOOKUP($B771,calc_data,L$14+1,0),2),0),0)</f>
        <v/>
      </c>
      <c r="M771" s="141">
        <f>IF(offer_sale_type="транзит",IFERROR(ROUNDUP(VLOOKUP($B771,calc_data,M$14+1,0),2),0),0)</f>
        <v/>
      </c>
      <c r="N771" s="141">
        <f>IF(offer_sale_type="транзит",IFERROR(ROUNDUP(VLOOKUP($B771,calc_data,N$14+1,0),2),0),0)</f>
        <v/>
      </c>
      <c r="O771" s="147">
        <f>IF(offer_sale_type="транзит",IFERROR(ROUND(VLOOKUP($B771,calc_data,O$14+1,1),2),0),0)</f>
        <v/>
      </c>
      <c r="P771" s="141">
        <f>IF(offer_sale_type="транзит",IFERROR(ROUND(SUM(I771:J771,M771:O771)/E771,2),0),0)</f>
        <v/>
      </c>
      <c r="Q771" s="141">
        <f>E771*P771</f>
        <v/>
      </c>
      <c r="R771" s="141">
        <f>ROUND(Q771*IF(AND(offer_incoterms="DDP",seller_region="RU"),IF((TODAY()+offer_turnaround_time)&gt;=helpsheet!$L$17,rate_vatRU_from_26,rate_vatRu_till_25),0),2)</f>
        <v/>
      </c>
      <c r="S771" s="177">
        <f>Q771+IF(AND(offer_incoterms="DDP",seller_region="RU"),R771,0)</f>
        <v/>
      </c>
      <c r="T771" s="45" t="n"/>
      <c r="V771" s="57">
        <f>IF(Q771&gt;0,"показать","скрыть")</f>
        <v/>
      </c>
    </row>
    <row r="772" ht="15.75" customHeight="1">
      <c r="B772" s="809" t="n">
        <v>756</v>
      </c>
      <c r="C772" s="182">
        <f>IF(offer_sale_type="транзит",IFERROR(VLOOKUP($B772,calc_data,C$14+1,0),0),0)</f>
        <v/>
      </c>
      <c r="D772" s="280">
        <f>IF(offer_sale_type="транзит",IFERROR(VLOOKUP($B772,calc_data,D$14+1,0),0),0)</f>
        <v/>
      </c>
      <c r="E772" s="182">
        <f>IF(offer_sale_type="транзит",IFERROR(VLOOKUP($B772,calc_data,E$14+1,0),0),0)</f>
        <v/>
      </c>
      <c r="F772" s="182">
        <f>IF(offer_sale_type="транзит",IFERROR(VLOOKUP($B772,calc_data,F$14+1,0),0),0)</f>
        <v/>
      </c>
      <c r="G772" s="141">
        <f>IF(offer_sale_type="транзит",IFERROR(VLOOKUP($B772,calc_data,G$14+1,0),0),0)</f>
        <v/>
      </c>
      <c r="H772" s="141">
        <f>E772*G772</f>
        <v/>
      </c>
      <c r="I772" s="141">
        <f>IF(offer_sale_type="транзит",IFERROR(ROUND(VLOOKUP($B772,calc_data,I$14+1,0),2),0),0)</f>
        <v/>
      </c>
      <c r="J772" s="141">
        <f>ROUND(IF(offer_sale_type="транзит",IFERROR(VLOOKUP($B772,calc_data,J$14+1,0),0),0),2)</f>
        <v/>
      </c>
      <c r="K772" s="142">
        <f>IF(offer_sale_type="транзит",IFERROR(ROUNDUP(VLOOKUP($B772,calc_data,K$14+1,0),2),0),0)</f>
        <v/>
      </c>
      <c r="L772" s="184">
        <f>IF(offer_sale_type="транзит",IFERROR(ROUNDUP(VLOOKUP($B772,calc_data,L$14+1,0),2),0),0)</f>
        <v/>
      </c>
      <c r="M772" s="141">
        <f>IF(offer_sale_type="транзит",IFERROR(ROUNDUP(VLOOKUP($B772,calc_data,M$14+1,0),2),0),0)</f>
        <v/>
      </c>
      <c r="N772" s="141">
        <f>IF(offer_sale_type="транзит",IFERROR(ROUNDUP(VLOOKUP($B772,calc_data,N$14+1,0),2),0),0)</f>
        <v/>
      </c>
      <c r="O772" s="147">
        <f>IF(offer_sale_type="транзит",IFERROR(ROUND(VLOOKUP($B772,calc_data,O$14+1,1),2),0),0)</f>
        <v/>
      </c>
      <c r="P772" s="141">
        <f>IF(offer_sale_type="транзит",IFERROR(ROUND(SUM(I772:J772,M772:O772)/E772,2),0),0)</f>
        <v/>
      </c>
      <c r="Q772" s="141">
        <f>E772*P772</f>
        <v/>
      </c>
      <c r="R772" s="141">
        <f>ROUND(Q772*IF(AND(offer_incoterms="DDP",seller_region="RU"),IF((TODAY()+offer_turnaround_time)&gt;=helpsheet!$L$17,rate_vatRU_from_26,rate_vatRu_till_25),0),2)</f>
        <v/>
      </c>
      <c r="S772" s="177">
        <f>Q772+IF(AND(offer_incoterms="DDP",seller_region="RU"),R772,0)</f>
        <v/>
      </c>
      <c r="T772" s="45" t="n"/>
      <c r="V772" s="57">
        <f>IF(Q772&gt;0,"показать","скрыть")</f>
        <v/>
      </c>
    </row>
    <row r="773" ht="15.75" customHeight="1">
      <c r="B773" s="809" t="n">
        <v>757</v>
      </c>
      <c r="C773" s="182">
        <f>IF(offer_sale_type="транзит",IFERROR(VLOOKUP($B773,calc_data,C$14+1,0),0),0)</f>
        <v/>
      </c>
      <c r="D773" s="280">
        <f>IF(offer_sale_type="транзит",IFERROR(VLOOKUP($B773,calc_data,D$14+1,0),0),0)</f>
        <v/>
      </c>
      <c r="E773" s="182">
        <f>IF(offer_sale_type="транзит",IFERROR(VLOOKUP($B773,calc_data,E$14+1,0),0),0)</f>
        <v/>
      </c>
      <c r="F773" s="182">
        <f>IF(offer_sale_type="транзит",IFERROR(VLOOKUP($B773,calc_data,F$14+1,0),0),0)</f>
        <v/>
      </c>
      <c r="G773" s="141">
        <f>IF(offer_sale_type="транзит",IFERROR(VLOOKUP($B773,calc_data,G$14+1,0),0),0)</f>
        <v/>
      </c>
      <c r="H773" s="141">
        <f>E773*G773</f>
        <v/>
      </c>
      <c r="I773" s="141">
        <f>IF(offer_sale_type="транзит",IFERROR(ROUND(VLOOKUP($B773,calc_data,I$14+1,0),2),0),0)</f>
        <v/>
      </c>
      <c r="J773" s="141">
        <f>ROUND(IF(offer_sale_type="транзит",IFERROR(VLOOKUP($B773,calc_data,J$14+1,0),0),0),2)</f>
        <v/>
      </c>
      <c r="K773" s="142">
        <f>IF(offer_sale_type="транзит",IFERROR(ROUNDUP(VLOOKUP($B773,calc_data,K$14+1,0),2),0),0)</f>
        <v/>
      </c>
      <c r="L773" s="184">
        <f>IF(offer_sale_type="транзит",IFERROR(ROUNDUP(VLOOKUP($B773,calc_data,L$14+1,0),2),0),0)</f>
        <v/>
      </c>
      <c r="M773" s="141">
        <f>IF(offer_sale_type="транзит",IFERROR(ROUNDUP(VLOOKUP($B773,calc_data,M$14+1,0),2),0),0)</f>
        <v/>
      </c>
      <c r="N773" s="141">
        <f>IF(offer_sale_type="транзит",IFERROR(ROUNDUP(VLOOKUP($B773,calc_data,N$14+1,0),2),0),0)</f>
        <v/>
      </c>
      <c r="O773" s="147">
        <f>IF(offer_sale_type="транзит",IFERROR(ROUND(VLOOKUP($B773,calc_data,O$14+1,1),2),0),0)</f>
        <v/>
      </c>
      <c r="P773" s="141">
        <f>IF(offer_sale_type="транзит",IFERROR(ROUND(SUM(I773:J773,M773:O773)/E773,2),0),0)</f>
        <v/>
      </c>
      <c r="Q773" s="141">
        <f>E773*P773</f>
        <v/>
      </c>
      <c r="R773" s="141">
        <f>ROUND(Q773*IF(AND(offer_incoterms="DDP",seller_region="RU"),IF((TODAY()+offer_turnaround_time)&gt;=helpsheet!$L$17,rate_vatRU_from_26,rate_vatRu_till_25),0),2)</f>
        <v/>
      </c>
      <c r="S773" s="177">
        <f>Q773+IF(AND(offer_incoterms="DDP",seller_region="RU"),R773,0)</f>
        <v/>
      </c>
      <c r="T773" s="45" t="n"/>
      <c r="V773" s="57">
        <f>IF(Q773&gt;0,"показать","скрыть")</f>
        <v/>
      </c>
    </row>
    <row r="774" ht="15.75" customHeight="1">
      <c r="B774" s="809" t="n">
        <v>758</v>
      </c>
      <c r="C774" s="182">
        <f>IF(offer_sale_type="транзит",IFERROR(VLOOKUP($B774,calc_data,C$14+1,0),0),0)</f>
        <v/>
      </c>
      <c r="D774" s="280">
        <f>IF(offer_sale_type="транзит",IFERROR(VLOOKUP($B774,calc_data,D$14+1,0),0),0)</f>
        <v/>
      </c>
      <c r="E774" s="182">
        <f>IF(offer_sale_type="транзит",IFERROR(VLOOKUP($B774,calc_data,E$14+1,0),0),0)</f>
        <v/>
      </c>
      <c r="F774" s="182">
        <f>IF(offer_sale_type="транзит",IFERROR(VLOOKUP($B774,calc_data,F$14+1,0),0),0)</f>
        <v/>
      </c>
      <c r="G774" s="141">
        <f>IF(offer_sale_type="транзит",IFERROR(VLOOKUP($B774,calc_data,G$14+1,0),0),0)</f>
        <v/>
      </c>
      <c r="H774" s="141">
        <f>E774*G774</f>
        <v/>
      </c>
      <c r="I774" s="141">
        <f>IF(offer_sale_type="транзит",IFERROR(ROUND(VLOOKUP($B774,calc_data,I$14+1,0),2),0),0)</f>
        <v/>
      </c>
      <c r="J774" s="141">
        <f>ROUND(IF(offer_sale_type="транзит",IFERROR(VLOOKUP($B774,calc_data,J$14+1,0),0),0),2)</f>
        <v/>
      </c>
      <c r="K774" s="142">
        <f>IF(offer_sale_type="транзит",IFERROR(ROUNDUP(VLOOKUP($B774,calc_data,K$14+1,0),2),0),0)</f>
        <v/>
      </c>
      <c r="L774" s="184">
        <f>IF(offer_sale_type="транзит",IFERROR(ROUNDUP(VLOOKUP($B774,calc_data,L$14+1,0),2),0),0)</f>
        <v/>
      </c>
      <c r="M774" s="141">
        <f>IF(offer_sale_type="транзит",IFERROR(ROUNDUP(VLOOKUP($B774,calc_data,M$14+1,0),2),0),0)</f>
        <v/>
      </c>
      <c r="N774" s="141">
        <f>IF(offer_sale_type="транзит",IFERROR(ROUNDUP(VLOOKUP($B774,calc_data,N$14+1,0),2),0),0)</f>
        <v/>
      </c>
      <c r="O774" s="147">
        <f>IF(offer_sale_type="транзит",IFERROR(ROUND(VLOOKUP($B774,calc_data,O$14+1,1),2),0),0)</f>
        <v/>
      </c>
      <c r="P774" s="141">
        <f>IF(offer_sale_type="транзит",IFERROR(ROUND(SUM(I774:J774,M774:O774)/E774,2),0),0)</f>
        <v/>
      </c>
      <c r="Q774" s="141">
        <f>E774*P774</f>
        <v/>
      </c>
      <c r="R774" s="141">
        <f>ROUND(Q774*IF(AND(offer_incoterms="DDP",seller_region="RU"),IF((TODAY()+offer_turnaround_time)&gt;=helpsheet!$L$17,rate_vatRU_from_26,rate_vatRu_till_25),0),2)</f>
        <v/>
      </c>
      <c r="S774" s="177">
        <f>Q774+IF(AND(offer_incoterms="DDP",seller_region="RU"),R774,0)</f>
        <v/>
      </c>
      <c r="T774" s="45" t="n"/>
      <c r="V774" s="57">
        <f>IF(Q774&gt;0,"показать","скрыть")</f>
        <v/>
      </c>
    </row>
    <row r="775" ht="15.75" customHeight="1">
      <c r="B775" s="809" t="n">
        <v>759</v>
      </c>
      <c r="C775" s="182">
        <f>IF(offer_sale_type="транзит",IFERROR(VLOOKUP($B775,calc_data,C$14+1,0),0),0)</f>
        <v/>
      </c>
      <c r="D775" s="280">
        <f>IF(offer_sale_type="транзит",IFERROR(VLOOKUP($B775,calc_data,D$14+1,0),0),0)</f>
        <v/>
      </c>
      <c r="E775" s="182">
        <f>IF(offer_sale_type="транзит",IFERROR(VLOOKUP($B775,calc_data,E$14+1,0),0),0)</f>
        <v/>
      </c>
      <c r="F775" s="182">
        <f>IF(offer_sale_type="транзит",IFERROR(VLOOKUP($B775,calc_data,F$14+1,0),0),0)</f>
        <v/>
      </c>
      <c r="G775" s="141">
        <f>IF(offer_sale_type="транзит",IFERROR(VLOOKUP($B775,calc_data,G$14+1,0),0),0)</f>
        <v/>
      </c>
      <c r="H775" s="141">
        <f>E775*G775</f>
        <v/>
      </c>
      <c r="I775" s="141">
        <f>IF(offer_sale_type="транзит",IFERROR(ROUND(VLOOKUP($B775,calc_data,I$14+1,0),2),0),0)</f>
        <v/>
      </c>
      <c r="J775" s="141">
        <f>ROUND(IF(offer_sale_type="транзит",IFERROR(VLOOKUP($B775,calc_data,J$14+1,0),0),0),2)</f>
        <v/>
      </c>
      <c r="K775" s="142">
        <f>IF(offer_sale_type="транзит",IFERROR(ROUNDUP(VLOOKUP($B775,calc_data,K$14+1,0),2),0),0)</f>
        <v/>
      </c>
      <c r="L775" s="184">
        <f>IF(offer_sale_type="транзит",IFERROR(ROUNDUP(VLOOKUP($B775,calc_data,L$14+1,0),2),0),0)</f>
        <v/>
      </c>
      <c r="M775" s="141">
        <f>IF(offer_sale_type="транзит",IFERROR(ROUNDUP(VLOOKUP($B775,calc_data,M$14+1,0),2),0),0)</f>
        <v/>
      </c>
      <c r="N775" s="141">
        <f>IF(offer_sale_type="транзит",IFERROR(ROUNDUP(VLOOKUP($B775,calc_data,N$14+1,0),2),0),0)</f>
        <v/>
      </c>
      <c r="O775" s="147">
        <f>IF(offer_sale_type="транзит",IFERROR(ROUND(VLOOKUP($B775,calc_data,O$14+1,1),2),0),0)</f>
        <v/>
      </c>
      <c r="P775" s="141">
        <f>IF(offer_sale_type="транзит",IFERROR(ROUND(SUM(I775:J775,M775:O775)/E775,2),0),0)</f>
        <v/>
      </c>
      <c r="Q775" s="141">
        <f>E775*P775</f>
        <v/>
      </c>
      <c r="R775" s="141">
        <f>ROUND(Q775*IF(AND(offer_incoterms="DDP",seller_region="RU"),IF((TODAY()+offer_turnaround_time)&gt;=helpsheet!$L$17,rate_vatRU_from_26,rate_vatRu_till_25),0),2)</f>
        <v/>
      </c>
      <c r="S775" s="177">
        <f>Q775+IF(AND(offer_incoterms="DDP",seller_region="RU"),R775,0)</f>
        <v/>
      </c>
      <c r="T775" s="45" t="n"/>
      <c r="V775" s="57">
        <f>IF(Q775&gt;0,"показать","скрыть")</f>
        <v/>
      </c>
    </row>
    <row r="776" ht="15.75" customHeight="1">
      <c r="B776" s="809" t="n">
        <v>760</v>
      </c>
      <c r="C776" s="182">
        <f>IF(offer_sale_type="транзит",IFERROR(VLOOKUP($B776,calc_data,C$14+1,0),0),0)</f>
        <v/>
      </c>
      <c r="D776" s="280">
        <f>IF(offer_sale_type="транзит",IFERROR(VLOOKUP($B776,calc_data,D$14+1,0),0),0)</f>
        <v/>
      </c>
      <c r="E776" s="182">
        <f>IF(offer_sale_type="транзит",IFERROR(VLOOKUP($B776,calc_data,E$14+1,0),0),0)</f>
        <v/>
      </c>
      <c r="F776" s="182">
        <f>IF(offer_sale_type="транзит",IFERROR(VLOOKUP($B776,calc_data,F$14+1,0),0),0)</f>
        <v/>
      </c>
      <c r="G776" s="141">
        <f>IF(offer_sale_type="транзит",IFERROR(VLOOKUP($B776,calc_data,G$14+1,0),0),0)</f>
        <v/>
      </c>
      <c r="H776" s="141">
        <f>E776*G776</f>
        <v/>
      </c>
      <c r="I776" s="141">
        <f>IF(offer_sale_type="транзит",IFERROR(ROUND(VLOOKUP($B776,calc_data,I$14+1,0),2),0),0)</f>
        <v/>
      </c>
      <c r="J776" s="141">
        <f>ROUND(IF(offer_sale_type="транзит",IFERROR(VLOOKUP($B776,calc_data,J$14+1,0),0),0),2)</f>
        <v/>
      </c>
      <c r="K776" s="142">
        <f>IF(offer_sale_type="транзит",IFERROR(ROUNDUP(VLOOKUP($B776,calc_data,K$14+1,0),2),0),0)</f>
        <v/>
      </c>
      <c r="L776" s="184">
        <f>IF(offer_sale_type="транзит",IFERROR(ROUNDUP(VLOOKUP($B776,calc_data,L$14+1,0),2),0),0)</f>
        <v/>
      </c>
      <c r="M776" s="141">
        <f>IF(offer_sale_type="транзит",IFERROR(ROUNDUP(VLOOKUP($B776,calc_data,M$14+1,0),2),0),0)</f>
        <v/>
      </c>
      <c r="N776" s="141">
        <f>IF(offer_sale_type="транзит",IFERROR(ROUNDUP(VLOOKUP($B776,calc_data,N$14+1,0),2),0),0)</f>
        <v/>
      </c>
      <c r="O776" s="147">
        <f>IF(offer_sale_type="транзит",IFERROR(ROUND(VLOOKUP($B776,calc_data,O$14+1,1),2),0),0)</f>
        <v/>
      </c>
      <c r="P776" s="141">
        <f>IF(offer_sale_type="транзит",IFERROR(ROUND(SUM(I776:J776,M776:O776)/E776,2),0),0)</f>
        <v/>
      </c>
      <c r="Q776" s="141">
        <f>E776*P776</f>
        <v/>
      </c>
      <c r="R776" s="141">
        <f>ROUND(Q776*IF(AND(offer_incoterms="DDP",seller_region="RU"),IF((TODAY()+offer_turnaround_time)&gt;=helpsheet!$L$17,rate_vatRU_from_26,rate_vatRu_till_25),0),2)</f>
        <v/>
      </c>
      <c r="S776" s="177">
        <f>Q776+IF(AND(offer_incoterms="DDP",seller_region="RU"),R776,0)</f>
        <v/>
      </c>
      <c r="T776" s="45" t="n"/>
      <c r="V776" s="57">
        <f>IF(Q776&gt;0,"показать","скрыть")</f>
        <v/>
      </c>
    </row>
    <row r="777" ht="15.75" customHeight="1">
      <c r="B777" s="809" t="n">
        <v>761</v>
      </c>
      <c r="C777" s="182">
        <f>IF(offer_sale_type="транзит",IFERROR(VLOOKUP($B777,calc_data,C$14+1,0),0),0)</f>
        <v/>
      </c>
      <c r="D777" s="280">
        <f>IF(offer_sale_type="транзит",IFERROR(VLOOKUP($B777,calc_data,D$14+1,0),0),0)</f>
        <v/>
      </c>
      <c r="E777" s="182">
        <f>IF(offer_sale_type="транзит",IFERROR(VLOOKUP($B777,calc_data,E$14+1,0),0),0)</f>
        <v/>
      </c>
      <c r="F777" s="182">
        <f>IF(offer_sale_type="транзит",IFERROR(VLOOKUP($B777,calc_data,F$14+1,0),0),0)</f>
        <v/>
      </c>
      <c r="G777" s="141">
        <f>IF(offer_sale_type="транзит",IFERROR(VLOOKUP($B777,calc_data,G$14+1,0),0),0)</f>
        <v/>
      </c>
      <c r="H777" s="141">
        <f>E777*G777</f>
        <v/>
      </c>
      <c r="I777" s="141">
        <f>IF(offer_sale_type="транзит",IFERROR(ROUND(VLOOKUP($B777,calc_data,I$14+1,0),2),0),0)</f>
        <v/>
      </c>
      <c r="J777" s="141">
        <f>ROUND(IF(offer_sale_type="транзит",IFERROR(VLOOKUP($B777,calc_data,J$14+1,0),0),0),2)</f>
        <v/>
      </c>
      <c r="K777" s="142">
        <f>IF(offer_sale_type="транзит",IFERROR(ROUNDUP(VLOOKUP($B777,calc_data,K$14+1,0),2),0),0)</f>
        <v/>
      </c>
      <c r="L777" s="184">
        <f>IF(offer_sale_type="транзит",IFERROR(ROUNDUP(VLOOKUP($B777,calc_data,L$14+1,0),2),0),0)</f>
        <v/>
      </c>
      <c r="M777" s="141">
        <f>IF(offer_sale_type="транзит",IFERROR(ROUNDUP(VLOOKUP($B777,calc_data,M$14+1,0),2),0),0)</f>
        <v/>
      </c>
      <c r="N777" s="141">
        <f>IF(offer_sale_type="транзит",IFERROR(ROUNDUP(VLOOKUP($B777,calc_data,N$14+1,0),2),0),0)</f>
        <v/>
      </c>
      <c r="O777" s="147">
        <f>IF(offer_sale_type="транзит",IFERROR(ROUND(VLOOKUP($B777,calc_data,O$14+1,1),2),0),0)</f>
        <v/>
      </c>
      <c r="P777" s="141">
        <f>IF(offer_sale_type="транзит",IFERROR(ROUND(SUM(I777:J777,M777:O777)/E777,2),0),0)</f>
        <v/>
      </c>
      <c r="Q777" s="141">
        <f>E777*P777</f>
        <v/>
      </c>
      <c r="R777" s="141">
        <f>ROUND(Q777*IF(AND(offer_incoterms="DDP",seller_region="RU"),IF((TODAY()+offer_turnaround_time)&gt;=helpsheet!$L$17,rate_vatRU_from_26,rate_vatRu_till_25),0),2)</f>
        <v/>
      </c>
      <c r="S777" s="177">
        <f>Q777+IF(AND(offer_incoterms="DDP",seller_region="RU"),R777,0)</f>
        <v/>
      </c>
      <c r="T777" s="45" t="n"/>
      <c r="V777" s="57">
        <f>IF(Q777&gt;0,"показать","скрыть")</f>
        <v/>
      </c>
    </row>
    <row r="778" ht="15.75" customHeight="1">
      <c r="B778" s="809" t="n">
        <v>762</v>
      </c>
      <c r="C778" s="182">
        <f>IF(offer_sale_type="транзит",IFERROR(VLOOKUP($B778,calc_data,C$14+1,0),0),0)</f>
        <v/>
      </c>
      <c r="D778" s="280">
        <f>IF(offer_sale_type="транзит",IFERROR(VLOOKUP($B778,calc_data,D$14+1,0),0),0)</f>
        <v/>
      </c>
      <c r="E778" s="182">
        <f>IF(offer_sale_type="транзит",IFERROR(VLOOKUP($B778,calc_data,E$14+1,0),0),0)</f>
        <v/>
      </c>
      <c r="F778" s="182">
        <f>IF(offer_sale_type="транзит",IFERROR(VLOOKUP($B778,calc_data,F$14+1,0),0),0)</f>
        <v/>
      </c>
      <c r="G778" s="141">
        <f>IF(offer_sale_type="транзит",IFERROR(VLOOKUP($B778,calc_data,G$14+1,0),0),0)</f>
        <v/>
      </c>
      <c r="H778" s="141">
        <f>E778*G778</f>
        <v/>
      </c>
      <c r="I778" s="141">
        <f>IF(offer_sale_type="транзит",IFERROR(ROUND(VLOOKUP($B778,calc_data,I$14+1,0),2),0),0)</f>
        <v/>
      </c>
      <c r="J778" s="141">
        <f>ROUND(IF(offer_sale_type="транзит",IFERROR(VLOOKUP($B778,calc_data,J$14+1,0),0),0),2)</f>
        <v/>
      </c>
      <c r="K778" s="142">
        <f>IF(offer_sale_type="транзит",IFERROR(ROUNDUP(VLOOKUP($B778,calc_data,K$14+1,0),2),0),0)</f>
        <v/>
      </c>
      <c r="L778" s="184">
        <f>IF(offer_sale_type="транзит",IFERROR(ROUNDUP(VLOOKUP($B778,calc_data,L$14+1,0),2),0),0)</f>
        <v/>
      </c>
      <c r="M778" s="141">
        <f>IF(offer_sale_type="транзит",IFERROR(ROUNDUP(VLOOKUP($B778,calc_data,M$14+1,0),2),0),0)</f>
        <v/>
      </c>
      <c r="N778" s="141">
        <f>IF(offer_sale_type="транзит",IFERROR(ROUNDUP(VLOOKUP($B778,calc_data,N$14+1,0),2),0),0)</f>
        <v/>
      </c>
      <c r="O778" s="147">
        <f>IF(offer_sale_type="транзит",IFERROR(ROUND(VLOOKUP($B778,calc_data,O$14+1,1),2),0),0)</f>
        <v/>
      </c>
      <c r="P778" s="141">
        <f>IF(offer_sale_type="транзит",IFERROR(ROUND(SUM(I778:J778,M778:O778)/E778,2),0),0)</f>
        <v/>
      </c>
      <c r="Q778" s="141">
        <f>E778*P778</f>
        <v/>
      </c>
      <c r="R778" s="141">
        <f>ROUND(Q778*IF(AND(offer_incoterms="DDP",seller_region="RU"),IF((TODAY()+offer_turnaround_time)&gt;=helpsheet!$L$17,rate_vatRU_from_26,rate_vatRu_till_25),0),2)</f>
        <v/>
      </c>
      <c r="S778" s="177">
        <f>Q778+IF(AND(offer_incoterms="DDP",seller_region="RU"),R778,0)</f>
        <v/>
      </c>
      <c r="T778" s="45" t="n"/>
      <c r="V778" s="57">
        <f>IF(Q778&gt;0,"показать","скрыть")</f>
        <v/>
      </c>
    </row>
    <row r="779" ht="15.75" customHeight="1">
      <c r="B779" s="809" t="n">
        <v>763</v>
      </c>
      <c r="C779" s="182">
        <f>IF(offer_sale_type="транзит",IFERROR(VLOOKUP($B779,calc_data,C$14+1,0),0),0)</f>
        <v/>
      </c>
      <c r="D779" s="280">
        <f>IF(offer_sale_type="транзит",IFERROR(VLOOKUP($B779,calc_data,D$14+1,0),0),0)</f>
        <v/>
      </c>
      <c r="E779" s="182">
        <f>IF(offer_sale_type="транзит",IFERROR(VLOOKUP($B779,calc_data,E$14+1,0),0),0)</f>
        <v/>
      </c>
      <c r="F779" s="182">
        <f>IF(offer_sale_type="транзит",IFERROR(VLOOKUP($B779,calc_data,F$14+1,0),0),0)</f>
        <v/>
      </c>
      <c r="G779" s="141">
        <f>IF(offer_sale_type="транзит",IFERROR(VLOOKUP($B779,calc_data,G$14+1,0),0),0)</f>
        <v/>
      </c>
      <c r="H779" s="141">
        <f>E779*G779</f>
        <v/>
      </c>
      <c r="I779" s="141">
        <f>IF(offer_sale_type="транзит",IFERROR(ROUND(VLOOKUP($B779,calc_data,I$14+1,0),2),0),0)</f>
        <v/>
      </c>
      <c r="J779" s="141">
        <f>ROUND(IF(offer_sale_type="транзит",IFERROR(VLOOKUP($B779,calc_data,J$14+1,0),0),0),2)</f>
        <v/>
      </c>
      <c r="K779" s="142">
        <f>IF(offer_sale_type="транзит",IFERROR(ROUNDUP(VLOOKUP($B779,calc_data,K$14+1,0),2),0),0)</f>
        <v/>
      </c>
      <c r="L779" s="184">
        <f>IF(offer_sale_type="транзит",IFERROR(ROUNDUP(VLOOKUP($B779,calc_data,L$14+1,0),2),0),0)</f>
        <v/>
      </c>
      <c r="M779" s="141">
        <f>IF(offer_sale_type="транзит",IFERROR(ROUNDUP(VLOOKUP($B779,calc_data,M$14+1,0),2),0),0)</f>
        <v/>
      </c>
      <c r="N779" s="141">
        <f>IF(offer_sale_type="транзит",IFERROR(ROUNDUP(VLOOKUP($B779,calc_data,N$14+1,0),2),0),0)</f>
        <v/>
      </c>
      <c r="O779" s="147">
        <f>IF(offer_sale_type="транзит",IFERROR(ROUND(VLOOKUP($B779,calc_data,O$14+1,1),2),0),0)</f>
        <v/>
      </c>
      <c r="P779" s="141">
        <f>IF(offer_sale_type="транзит",IFERROR(ROUND(SUM(I779:J779,M779:O779)/E779,2),0),0)</f>
        <v/>
      </c>
      <c r="Q779" s="141">
        <f>E779*P779</f>
        <v/>
      </c>
      <c r="R779" s="141">
        <f>ROUND(Q779*IF(AND(offer_incoterms="DDP",seller_region="RU"),IF((TODAY()+offer_turnaround_time)&gt;=helpsheet!$L$17,rate_vatRU_from_26,rate_vatRu_till_25),0),2)</f>
        <v/>
      </c>
      <c r="S779" s="177">
        <f>Q779+IF(AND(offer_incoterms="DDP",seller_region="RU"),R779,0)</f>
        <v/>
      </c>
      <c r="T779" s="45" t="n"/>
      <c r="V779" s="57">
        <f>IF(Q779&gt;0,"показать","скрыть")</f>
        <v/>
      </c>
    </row>
    <row r="780" ht="15.75" customHeight="1">
      <c r="B780" s="809" t="n">
        <v>764</v>
      </c>
      <c r="C780" s="182">
        <f>IF(offer_sale_type="транзит",IFERROR(VLOOKUP($B780,calc_data,C$14+1,0),0),0)</f>
        <v/>
      </c>
      <c r="D780" s="280">
        <f>IF(offer_sale_type="транзит",IFERROR(VLOOKUP($B780,calc_data,D$14+1,0),0),0)</f>
        <v/>
      </c>
      <c r="E780" s="182">
        <f>IF(offer_sale_type="транзит",IFERROR(VLOOKUP($B780,calc_data,E$14+1,0),0),0)</f>
        <v/>
      </c>
      <c r="F780" s="182">
        <f>IF(offer_sale_type="транзит",IFERROR(VLOOKUP($B780,calc_data,F$14+1,0),0),0)</f>
        <v/>
      </c>
      <c r="G780" s="141">
        <f>IF(offer_sale_type="транзит",IFERROR(VLOOKUP($B780,calc_data,G$14+1,0),0),0)</f>
        <v/>
      </c>
      <c r="H780" s="141">
        <f>E780*G780</f>
        <v/>
      </c>
      <c r="I780" s="141">
        <f>IF(offer_sale_type="транзит",IFERROR(ROUND(VLOOKUP($B780,calc_data,I$14+1,0),2),0),0)</f>
        <v/>
      </c>
      <c r="J780" s="141">
        <f>ROUND(IF(offer_sale_type="транзит",IFERROR(VLOOKUP($B780,calc_data,J$14+1,0),0),0),2)</f>
        <v/>
      </c>
      <c r="K780" s="142">
        <f>IF(offer_sale_type="транзит",IFERROR(ROUNDUP(VLOOKUP($B780,calc_data,K$14+1,0),2),0),0)</f>
        <v/>
      </c>
      <c r="L780" s="184">
        <f>IF(offer_sale_type="транзит",IFERROR(ROUNDUP(VLOOKUP($B780,calc_data,L$14+1,0),2),0),0)</f>
        <v/>
      </c>
      <c r="M780" s="141">
        <f>IF(offer_sale_type="транзит",IFERROR(ROUNDUP(VLOOKUP($B780,calc_data,M$14+1,0),2),0),0)</f>
        <v/>
      </c>
      <c r="N780" s="141">
        <f>IF(offer_sale_type="транзит",IFERROR(ROUNDUP(VLOOKUP($B780,calc_data,N$14+1,0),2),0),0)</f>
        <v/>
      </c>
      <c r="O780" s="147">
        <f>IF(offer_sale_type="транзит",IFERROR(ROUND(VLOOKUP($B780,calc_data,O$14+1,1),2),0),0)</f>
        <v/>
      </c>
      <c r="P780" s="141">
        <f>IF(offer_sale_type="транзит",IFERROR(ROUND(SUM(I780:J780,M780:O780)/E780,2),0),0)</f>
        <v/>
      </c>
      <c r="Q780" s="141">
        <f>E780*P780</f>
        <v/>
      </c>
      <c r="R780" s="141">
        <f>ROUND(Q780*IF(AND(offer_incoterms="DDP",seller_region="RU"),IF((TODAY()+offer_turnaround_time)&gt;=helpsheet!$L$17,rate_vatRU_from_26,rate_vatRu_till_25),0),2)</f>
        <v/>
      </c>
      <c r="S780" s="177">
        <f>Q780+IF(AND(offer_incoterms="DDP",seller_region="RU"),R780,0)</f>
        <v/>
      </c>
      <c r="T780" s="45" t="n"/>
      <c r="V780" s="57">
        <f>IF(Q780&gt;0,"показать","скрыть")</f>
        <v/>
      </c>
    </row>
    <row r="781" ht="15.75" customHeight="1">
      <c r="B781" s="809" t="n">
        <v>765</v>
      </c>
      <c r="C781" s="182">
        <f>IF(offer_sale_type="транзит",IFERROR(VLOOKUP($B781,calc_data,C$14+1,0),0),0)</f>
        <v/>
      </c>
      <c r="D781" s="280">
        <f>IF(offer_sale_type="транзит",IFERROR(VLOOKUP($B781,calc_data,D$14+1,0),0),0)</f>
        <v/>
      </c>
      <c r="E781" s="182">
        <f>IF(offer_sale_type="транзит",IFERROR(VLOOKUP($B781,calc_data,E$14+1,0),0),0)</f>
        <v/>
      </c>
      <c r="F781" s="182">
        <f>IF(offer_sale_type="транзит",IFERROR(VLOOKUP($B781,calc_data,F$14+1,0),0),0)</f>
        <v/>
      </c>
      <c r="G781" s="141">
        <f>IF(offer_sale_type="транзит",IFERROR(VLOOKUP($B781,calc_data,G$14+1,0),0),0)</f>
        <v/>
      </c>
      <c r="H781" s="141">
        <f>E781*G781</f>
        <v/>
      </c>
      <c r="I781" s="141">
        <f>IF(offer_sale_type="транзит",IFERROR(ROUND(VLOOKUP($B781,calc_data,I$14+1,0),2),0),0)</f>
        <v/>
      </c>
      <c r="J781" s="141">
        <f>ROUND(IF(offer_sale_type="транзит",IFERROR(VLOOKUP($B781,calc_data,J$14+1,0),0),0),2)</f>
        <v/>
      </c>
      <c r="K781" s="142">
        <f>IF(offer_sale_type="транзит",IFERROR(ROUNDUP(VLOOKUP($B781,calc_data,K$14+1,0),2),0),0)</f>
        <v/>
      </c>
      <c r="L781" s="184">
        <f>IF(offer_sale_type="транзит",IFERROR(ROUNDUP(VLOOKUP($B781,calc_data,L$14+1,0),2),0),0)</f>
        <v/>
      </c>
      <c r="M781" s="141">
        <f>IF(offer_sale_type="транзит",IFERROR(ROUNDUP(VLOOKUP($B781,calc_data,M$14+1,0),2),0),0)</f>
        <v/>
      </c>
      <c r="N781" s="141">
        <f>IF(offer_sale_type="транзит",IFERROR(ROUNDUP(VLOOKUP($B781,calc_data,N$14+1,0),2),0),0)</f>
        <v/>
      </c>
      <c r="O781" s="147">
        <f>IF(offer_sale_type="транзит",IFERROR(ROUND(VLOOKUP($B781,calc_data,O$14+1,1),2),0),0)</f>
        <v/>
      </c>
      <c r="P781" s="141">
        <f>IF(offer_sale_type="транзит",IFERROR(ROUND(SUM(I781:J781,M781:O781)/E781,2),0),0)</f>
        <v/>
      </c>
      <c r="Q781" s="141">
        <f>E781*P781</f>
        <v/>
      </c>
      <c r="R781" s="141">
        <f>ROUND(Q781*IF(AND(offer_incoterms="DDP",seller_region="RU"),IF((TODAY()+offer_turnaround_time)&gt;=helpsheet!$L$17,rate_vatRU_from_26,rate_vatRu_till_25),0),2)</f>
        <v/>
      </c>
      <c r="S781" s="177">
        <f>Q781+IF(AND(offer_incoterms="DDP",seller_region="RU"),R781,0)</f>
        <v/>
      </c>
      <c r="T781" s="45" t="n"/>
      <c r="V781" s="57">
        <f>IF(Q781&gt;0,"показать","скрыть")</f>
        <v/>
      </c>
    </row>
    <row r="782" ht="15.75" customHeight="1">
      <c r="B782" s="809" t="n">
        <v>766</v>
      </c>
      <c r="C782" s="182">
        <f>IF(offer_sale_type="транзит",IFERROR(VLOOKUP($B782,calc_data,C$14+1,0),0),0)</f>
        <v/>
      </c>
      <c r="D782" s="280">
        <f>IF(offer_sale_type="транзит",IFERROR(VLOOKUP($B782,calc_data,D$14+1,0),0),0)</f>
        <v/>
      </c>
      <c r="E782" s="182">
        <f>IF(offer_sale_type="транзит",IFERROR(VLOOKUP($B782,calc_data,E$14+1,0),0),0)</f>
        <v/>
      </c>
      <c r="F782" s="182">
        <f>IF(offer_sale_type="транзит",IFERROR(VLOOKUP($B782,calc_data,F$14+1,0),0),0)</f>
        <v/>
      </c>
      <c r="G782" s="141">
        <f>IF(offer_sale_type="транзит",IFERROR(VLOOKUP($B782,calc_data,G$14+1,0),0),0)</f>
        <v/>
      </c>
      <c r="H782" s="141">
        <f>E782*G782</f>
        <v/>
      </c>
      <c r="I782" s="141">
        <f>IF(offer_sale_type="транзит",IFERROR(ROUND(VLOOKUP($B782,calc_data,I$14+1,0),2),0),0)</f>
        <v/>
      </c>
      <c r="J782" s="141">
        <f>ROUND(IF(offer_sale_type="транзит",IFERROR(VLOOKUP($B782,calc_data,J$14+1,0),0),0),2)</f>
        <v/>
      </c>
      <c r="K782" s="142">
        <f>IF(offer_sale_type="транзит",IFERROR(ROUNDUP(VLOOKUP($B782,calc_data,K$14+1,0),2),0),0)</f>
        <v/>
      </c>
      <c r="L782" s="184">
        <f>IF(offer_sale_type="транзит",IFERROR(ROUNDUP(VLOOKUP($B782,calc_data,L$14+1,0),2),0),0)</f>
        <v/>
      </c>
      <c r="M782" s="141">
        <f>IF(offer_sale_type="транзит",IFERROR(ROUNDUP(VLOOKUP($B782,calc_data,M$14+1,0),2),0),0)</f>
        <v/>
      </c>
      <c r="N782" s="141">
        <f>IF(offer_sale_type="транзит",IFERROR(ROUNDUP(VLOOKUP($B782,calc_data,N$14+1,0),2),0),0)</f>
        <v/>
      </c>
      <c r="O782" s="147">
        <f>IF(offer_sale_type="транзит",IFERROR(ROUND(VLOOKUP($B782,calc_data,O$14+1,1),2),0),0)</f>
        <v/>
      </c>
      <c r="P782" s="141">
        <f>IF(offer_sale_type="транзит",IFERROR(ROUND(SUM(I782:J782,M782:O782)/E782,2),0),0)</f>
        <v/>
      </c>
      <c r="Q782" s="141">
        <f>E782*P782</f>
        <v/>
      </c>
      <c r="R782" s="141">
        <f>ROUND(Q782*IF(AND(offer_incoterms="DDP",seller_region="RU"),IF((TODAY()+offer_turnaround_time)&gt;=helpsheet!$L$17,rate_vatRU_from_26,rate_vatRu_till_25),0),2)</f>
        <v/>
      </c>
      <c r="S782" s="177">
        <f>Q782+IF(AND(offer_incoterms="DDP",seller_region="RU"),R782,0)</f>
        <v/>
      </c>
      <c r="T782" s="45" t="n"/>
      <c r="V782" s="57">
        <f>IF(Q782&gt;0,"показать","скрыть")</f>
        <v/>
      </c>
    </row>
    <row r="783" ht="15.75" customHeight="1">
      <c r="B783" s="809" t="n">
        <v>767</v>
      </c>
      <c r="C783" s="182">
        <f>IF(offer_sale_type="транзит",IFERROR(VLOOKUP($B783,calc_data,C$14+1,0),0),0)</f>
        <v/>
      </c>
      <c r="D783" s="280">
        <f>IF(offer_sale_type="транзит",IFERROR(VLOOKUP($B783,calc_data,D$14+1,0),0),0)</f>
        <v/>
      </c>
      <c r="E783" s="182">
        <f>IF(offer_sale_type="транзит",IFERROR(VLOOKUP($B783,calc_data,E$14+1,0),0),0)</f>
        <v/>
      </c>
      <c r="F783" s="182">
        <f>IF(offer_sale_type="транзит",IFERROR(VLOOKUP($B783,calc_data,F$14+1,0),0),0)</f>
        <v/>
      </c>
      <c r="G783" s="141">
        <f>IF(offer_sale_type="транзит",IFERROR(VLOOKUP($B783,calc_data,G$14+1,0),0),0)</f>
        <v/>
      </c>
      <c r="H783" s="141">
        <f>E783*G783</f>
        <v/>
      </c>
      <c r="I783" s="141">
        <f>IF(offer_sale_type="транзит",IFERROR(ROUND(VLOOKUP($B783,calc_data,I$14+1,0),2),0),0)</f>
        <v/>
      </c>
      <c r="J783" s="141">
        <f>ROUND(IF(offer_sale_type="транзит",IFERROR(VLOOKUP($B783,calc_data,J$14+1,0),0),0),2)</f>
        <v/>
      </c>
      <c r="K783" s="142">
        <f>IF(offer_sale_type="транзит",IFERROR(ROUNDUP(VLOOKUP($B783,calc_data,K$14+1,0),2),0),0)</f>
        <v/>
      </c>
      <c r="L783" s="184">
        <f>IF(offer_sale_type="транзит",IFERROR(ROUNDUP(VLOOKUP($B783,calc_data,L$14+1,0),2),0),0)</f>
        <v/>
      </c>
      <c r="M783" s="141">
        <f>IF(offer_sale_type="транзит",IFERROR(ROUNDUP(VLOOKUP($B783,calc_data,M$14+1,0),2),0),0)</f>
        <v/>
      </c>
      <c r="N783" s="141">
        <f>IF(offer_sale_type="транзит",IFERROR(ROUNDUP(VLOOKUP($B783,calc_data,N$14+1,0),2),0),0)</f>
        <v/>
      </c>
      <c r="O783" s="147">
        <f>IF(offer_sale_type="транзит",IFERROR(ROUND(VLOOKUP($B783,calc_data,O$14+1,1),2),0),0)</f>
        <v/>
      </c>
      <c r="P783" s="141">
        <f>IF(offer_sale_type="транзит",IFERROR(ROUND(SUM(I783:J783,M783:O783)/E783,2),0),0)</f>
        <v/>
      </c>
      <c r="Q783" s="141">
        <f>E783*P783</f>
        <v/>
      </c>
      <c r="R783" s="141">
        <f>ROUND(Q783*IF(AND(offer_incoterms="DDP",seller_region="RU"),IF((TODAY()+offer_turnaround_time)&gt;=helpsheet!$L$17,rate_vatRU_from_26,rate_vatRu_till_25),0),2)</f>
        <v/>
      </c>
      <c r="S783" s="177">
        <f>Q783+IF(AND(offer_incoterms="DDP",seller_region="RU"),R783,0)</f>
        <v/>
      </c>
      <c r="T783" s="45" t="n"/>
      <c r="V783" s="57">
        <f>IF(Q783&gt;0,"показать","скрыть")</f>
        <v/>
      </c>
    </row>
    <row r="784" ht="15.75" customHeight="1">
      <c r="B784" s="809" t="n">
        <v>768</v>
      </c>
      <c r="C784" s="182">
        <f>IF(offer_sale_type="транзит",IFERROR(VLOOKUP($B784,calc_data,C$14+1,0),0),0)</f>
        <v/>
      </c>
      <c r="D784" s="280">
        <f>IF(offer_sale_type="транзит",IFERROR(VLOOKUP($B784,calc_data,D$14+1,0),0),0)</f>
        <v/>
      </c>
      <c r="E784" s="182">
        <f>IF(offer_sale_type="транзит",IFERROR(VLOOKUP($B784,calc_data,E$14+1,0),0),0)</f>
        <v/>
      </c>
      <c r="F784" s="182">
        <f>IF(offer_sale_type="транзит",IFERROR(VLOOKUP($B784,calc_data,F$14+1,0),0),0)</f>
        <v/>
      </c>
      <c r="G784" s="141">
        <f>IF(offer_sale_type="транзит",IFERROR(VLOOKUP($B784,calc_data,G$14+1,0),0),0)</f>
        <v/>
      </c>
      <c r="H784" s="141">
        <f>E784*G784</f>
        <v/>
      </c>
      <c r="I784" s="141">
        <f>IF(offer_sale_type="транзит",IFERROR(ROUND(VLOOKUP($B784,calc_data,I$14+1,0),2),0),0)</f>
        <v/>
      </c>
      <c r="J784" s="141">
        <f>ROUND(IF(offer_sale_type="транзит",IFERROR(VLOOKUP($B784,calc_data,J$14+1,0),0),0),2)</f>
        <v/>
      </c>
      <c r="K784" s="142">
        <f>IF(offer_sale_type="транзит",IFERROR(ROUNDUP(VLOOKUP($B784,calc_data,K$14+1,0),2),0),0)</f>
        <v/>
      </c>
      <c r="L784" s="184">
        <f>IF(offer_sale_type="транзит",IFERROR(ROUNDUP(VLOOKUP($B784,calc_data,L$14+1,0),2),0),0)</f>
        <v/>
      </c>
      <c r="M784" s="141">
        <f>IF(offer_sale_type="транзит",IFERROR(ROUNDUP(VLOOKUP($B784,calc_data,M$14+1,0),2),0),0)</f>
        <v/>
      </c>
      <c r="N784" s="141">
        <f>IF(offer_sale_type="транзит",IFERROR(ROUNDUP(VLOOKUP($B784,calc_data,N$14+1,0),2),0),0)</f>
        <v/>
      </c>
      <c r="O784" s="147">
        <f>IF(offer_sale_type="транзит",IFERROR(ROUND(VLOOKUP($B784,calc_data,O$14+1,1),2),0),0)</f>
        <v/>
      </c>
      <c r="P784" s="141">
        <f>IF(offer_sale_type="транзит",IFERROR(ROUND(SUM(I784:J784,M784:O784)/E784,2),0),0)</f>
        <v/>
      </c>
      <c r="Q784" s="141">
        <f>E784*P784</f>
        <v/>
      </c>
      <c r="R784" s="141">
        <f>ROUND(Q784*IF(AND(offer_incoterms="DDP",seller_region="RU"),IF((TODAY()+offer_turnaround_time)&gt;=helpsheet!$L$17,rate_vatRU_from_26,rate_vatRu_till_25),0),2)</f>
        <v/>
      </c>
      <c r="S784" s="177">
        <f>Q784+IF(AND(offer_incoterms="DDP",seller_region="RU"),R784,0)</f>
        <v/>
      </c>
      <c r="T784" s="45" t="n"/>
      <c r="V784" s="57">
        <f>IF(Q784&gt;0,"показать","скрыть")</f>
        <v/>
      </c>
    </row>
    <row r="785" ht="15.75" customHeight="1">
      <c r="B785" s="809" t="n">
        <v>769</v>
      </c>
      <c r="C785" s="182">
        <f>IF(offer_sale_type="транзит",IFERROR(VLOOKUP($B785,calc_data,C$14+1,0),0),0)</f>
        <v/>
      </c>
      <c r="D785" s="280">
        <f>IF(offer_sale_type="транзит",IFERROR(VLOOKUP($B785,calc_data,D$14+1,0),0),0)</f>
        <v/>
      </c>
      <c r="E785" s="182">
        <f>IF(offer_sale_type="транзит",IFERROR(VLOOKUP($B785,calc_data,E$14+1,0),0),0)</f>
        <v/>
      </c>
      <c r="F785" s="182">
        <f>IF(offer_sale_type="транзит",IFERROR(VLOOKUP($B785,calc_data,F$14+1,0),0),0)</f>
        <v/>
      </c>
      <c r="G785" s="141">
        <f>IF(offer_sale_type="транзит",IFERROR(VLOOKUP($B785,calc_data,G$14+1,0),0),0)</f>
        <v/>
      </c>
      <c r="H785" s="141">
        <f>E785*G785</f>
        <v/>
      </c>
      <c r="I785" s="141">
        <f>IF(offer_sale_type="транзит",IFERROR(ROUND(VLOOKUP($B785,calc_data,I$14+1,0),2),0),0)</f>
        <v/>
      </c>
      <c r="J785" s="141">
        <f>ROUND(IF(offer_sale_type="транзит",IFERROR(VLOOKUP($B785,calc_data,J$14+1,0),0),0),2)</f>
        <v/>
      </c>
      <c r="K785" s="142">
        <f>IF(offer_sale_type="транзит",IFERROR(ROUNDUP(VLOOKUP($B785,calc_data,K$14+1,0),2),0),0)</f>
        <v/>
      </c>
      <c r="L785" s="184">
        <f>IF(offer_sale_type="транзит",IFERROR(ROUNDUP(VLOOKUP($B785,calc_data,L$14+1,0),2),0),0)</f>
        <v/>
      </c>
      <c r="M785" s="141">
        <f>IF(offer_sale_type="транзит",IFERROR(ROUNDUP(VLOOKUP($B785,calc_data,M$14+1,0),2),0),0)</f>
        <v/>
      </c>
      <c r="N785" s="141">
        <f>IF(offer_sale_type="транзит",IFERROR(ROUNDUP(VLOOKUP($B785,calc_data,N$14+1,0),2),0),0)</f>
        <v/>
      </c>
      <c r="O785" s="147">
        <f>IF(offer_sale_type="транзит",IFERROR(ROUND(VLOOKUP($B785,calc_data,O$14+1,1),2),0),0)</f>
        <v/>
      </c>
      <c r="P785" s="141">
        <f>IF(offer_sale_type="транзит",IFERROR(ROUND(SUM(I785:J785,M785:O785)/E785,2),0),0)</f>
        <v/>
      </c>
      <c r="Q785" s="141">
        <f>E785*P785</f>
        <v/>
      </c>
      <c r="R785" s="141">
        <f>ROUND(Q785*IF(AND(offer_incoterms="DDP",seller_region="RU"),IF((TODAY()+offer_turnaround_time)&gt;=helpsheet!$L$17,rate_vatRU_from_26,rate_vatRu_till_25),0),2)</f>
        <v/>
      </c>
      <c r="S785" s="177">
        <f>Q785+IF(AND(offer_incoterms="DDP",seller_region="RU"),R785,0)</f>
        <v/>
      </c>
      <c r="T785" s="45" t="n"/>
      <c r="V785" s="57">
        <f>IF(Q785&gt;0,"показать","скрыть")</f>
        <v/>
      </c>
    </row>
    <row r="786" ht="15.75" customHeight="1">
      <c r="B786" s="809" t="n">
        <v>770</v>
      </c>
      <c r="C786" s="182">
        <f>IF(offer_sale_type="транзит",IFERROR(VLOOKUP($B786,calc_data,C$14+1,0),0),0)</f>
        <v/>
      </c>
      <c r="D786" s="280">
        <f>IF(offer_sale_type="транзит",IFERROR(VLOOKUP($B786,calc_data,D$14+1,0),0),0)</f>
        <v/>
      </c>
      <c r="E786" s="182">
        <f>IF(offer_sale_type="транзит",IFERROR(VLOOKUP($B786,calc_data,E$14+1,0),0),0)</f>
        <v/>
      </c>
      <c r="F786" s="182">
        <f>IF(offer_sale_type="транзит",IFERROR(VLOOKUP($B786,calc_data,F$14+1,0),0),0)</f>
        <v/>
      </c>
      <c r="G786" s="141">
        <f>IF(offer_sale_type="транзит",IFERROR(VLOOKUP($B786,calc_data,G$14+1,0),0),0)</f>
        <v/>
      </c>
      <c r="H786" s="141">
        <f>E786*G786</f>
        <v/>
      </c>
      <c r="I786" s="141">
        <f>IF(offer_sale_type="транзит",IFERROR(ROUND(VLOOKUP($B786,calc_data,I$14+1,0),2),0),0)</f>
        <v/>
      </c>
      <c r="J786" s="141">
        <f>ROUND(IF(offer_sale_type="транзит",IFERROR(VLOOKUP($B786,calc_data,J$14+1,0),0),0),2)</f>
        <v/>
      </c>
      <c r="K786" s="142">
        <f>IF(offer_sale_type="транзит",IFERROR(ROUNDUP(VLOOKUP($B786,calc_data,K$14+1,0),2),0),0)</f>
        <v/>
      </c>
      <c r="L786" s="184">
        <f>IF(offer_sale_type="транзит",IFERROR(ROUNDUP(VLOOKUP($B786,calc_data,L$14+1,0),2),0),0)</f>
        <v/>
      </c>
      <c r="M786" s="141">
        <f>IF(offer_sale_type="транзит",IFERROR(ROUNDUP(VLOOKUP($B786,calc_data,M$14+1,0),2),0),0)</f>
        <v/>
      </c>
      <c r="N786" s="141">
        <f>IF(offer_sale_type="транзит",IFERROR(ROUNDUP(VLOOKUP($B786,calc_data,N$14+1,0),2),0),0)</f>
        <v/>
      </c>
      <c r="O786" s="147">
        <f>IF(offer_sale_type="транзит",IFERROR(ROUND(VLOOKUP($B786,calc_data,O$14+1,1),2),0),0)</f>
        <v/>
      </c>
      <c r="P786" s="141">
        <f>IF(offer_sale_type="транзит",IFERROR(ROUND(SUM(I786:J786,M786:O786)/E786,2),0),0)</f>
        <v/>
      </c>
      <c r="Q786" s="141">
        <f>E786*P786</f>
        <v/>
      </c>
      <c r="R786" s="141">
        <f>ROUND(Q786*IF(AND(offer_incoterms="DDP",seller_region="RU"),IF((TODAY()+offer_turnaround_time)&gt;=helpsheet!$L$17,rate_vatRU_from_26,rate_vatRu_till_25),0),2)</f>
        <v/>
      </c>
      <c r="S786" s="177">
        <f>Q786+IF(AND(offer_incoterms="DDP",seller_region="RU"),R786,0)</f>
        <v/>
      </c>
      <c r="T786" s="45" t="n"/>
      <c r="V786" s="57">
        <f>IF(Q786&gt;0,"показать","скрыть")</f>
        <v/>
      </c>
    </row>
    <row r="787" ht="15.75" customHeight="1">
      <c r="B787" s="809" t="n">
        <v>771</v>
      </c>
      <c r="C787" s="182">
        <f>IF(offer_sale_type="транзит",IFERROR(VLOOKUP($B787,calc_data,C$14+1,0),0),0)</f>
        <v/>
      </c>
      <c r="D787" s="280">
        <f>IF(offer_sale_type="транзит",IFERROR(VLOOKUP($B787,calc_data,D$14+1,0),0),0)</f>
        <v/>
      </c>
      <c r="E787" s="182">
        <f>IF(offer_sale_type="транзит",IFERROR(VLOOKUP($B787,calc_data,E$14+1,0),0),0)</f>
        <v/>
      </c>
      <c r="F787" s="182">
        <f>IF(offer_sale_type="транзит",IFERROR(VLOOKUP($B787,calc_data,F$14+1,0),0),0)</f>
        <v/>
      </c>
      <c r="G787" s="141">
        <f>IF(offer_sale_type="транзит",IFERROR(VLOOKUP($B787,calc_data,G$14+1,0),0),0)</f>
        <v/>
      </c>
      <c r="H787" s="141">
        <f>E787*G787</f>
        <v/>
      </c>
      <c r="I787" s="141">
        <f>IF(offer_sale_type="транзит",IFERROR(ROUND(VLOOKUP($B787,calc_data,I$14+1,0),2),0),0)</f>
        <v/>
      </c>
      <c r="J787" s="141">
        <f>ROUND(IF(offer_sale_type="транзит",IFERROR(VLOOKUP($B787,calc_data,J$14+1,0),0),0),2)</f>
        <v/>
      </c>
      <c r="K787" s="142">
        <f>IF(offer_sale_type="транзит",IFERROR(ROUNDUP(VLOOKUP($B787,calc_data,K$14+1,0),2),0),0)</f>
        <v/>
      </c>
      <c r="L787" s="184">
        <f>IF(offer_sale_type="транзит",IFERROR(ROUNDUP(VLOOKUP($B787,calc_data,L$14+1,0),2),0),0)</f>
        <v/>
      </c>
      <c r="M787" s="141">
        <f>IF(offer_sale_type="транзит",IFERROR(ROUNDUP(VLOOKUP($B787,calc_data,M$14+1,0),2),0),0)</f>
        <v/>
      </c>
      <c r="N787" s="141">
        <f>IF(offer_sale_type="транзит",IFERROR(ROUNDUP(VLOOKUP($B787,calc_data,N$14+1,0),2),0),0)</f>
        <v/>
      </c>
      <c r="O787" s="147">
        <f>IF(offer_sale_type="транзит",IFERROR(ROUND(VLOOKUP($B787,calc_data,O$14+1,1),2),0),0)</f>
        <v/>
      </c>
      <c r="P787" s="141">
        <f>IF(offer_sale_type="транзит",IFERROR(ROUND(SUM(I787:J787,M787:O787)/E787,2),0),0)</f>
        <v/>
      </c>
      <c r="Q787" s="141">
        <f>E787*P787</f>
        <v/>
      </c>
      <c r="R787" s="141">
        <f>ROUND(Q787*IF(AND(offer_incoterms="DDP",seller_region="RU"),IF((TODAY()+offer_turnaround_time)&gt;=helpsheet!$L$17,rate_vatRU_from_26,rate_vatRu_till_25),0),2)</f>
        <v/>
      </c>
      <c r="S787" s="177">
        <f>Q787+IF(AND(offer_incoterms="DDP",seller_region="RU"),R787,0)</f>
        <v/>
      </c>
      <c r="T787" s="45" t="n"/>
      <c r="V787" s="57">
        <f>IF(Q787&gt;0,"показать","скрыть")</f>
        <v/>
      </c>
    </row>
    <row r="788" ht="15.75" customHeight="1">
      <c r="B788" s="809" t="n">
        <v>772</v>
      </c>
      <c r="C788" s="182">
        <f>IF(offer_sale_type="транзит",IFERROR(VLOOKUP($B788,calc_data,C$14+1,0),0),0)</f>
        <v/>
      </c>
      <c r="D788" s="280">
        <f>IF(offer_sale_type="транзит",IFERROR(VLOOKUP($B788,calc_data,D$14+1,0),0),0)</f>
        <v/>
      </c>
      <c r="E788" s="182">
        <f>IF(offer_sale_type="транзит",IFERROR(VLOOKUP($B788,calc_data,E$14+1,0),0),0)</f>
        <v/>
      </c>
      <c r="F788" s="182">
        <f>IF(offer_sale_type="транзит",IFERROR(VLOOKUP($B788,calc_data,F$14+1,0),0),0)</f>
        <v/>
      </c>
      <c r="G788" s="141">
        <f>IF(offer_sale_type="транзит",IFERROR(VLOOKUP($B788,calc_data,G$14+1,0),0),0)</f>
        <v/>
      </c>
      <c r="H788" s="141">
        <f>E788*G788</f>
        <v/>
      </c>
      <c r="I788" s="141">
        <f>IF(offer_sale_type="транзит",IFERROR(ROUND(VLOOKUP($B788,calc_data,I$14+1,0),2),0),0)</f>
        <v/>
      </c>
      <c r="J788" s="141">
        <f>ROUND(IF(offer_sale_type="транзит",IFERROR(VLOOKUP($B788,calc_data,J$14+1,0),0),0),2)</f>
        <v/>
      </c>
      <c r="K788" s="142">
        <f>IF(offer_sale_type="транзит",IFERROR(ROUNDUP(VLOOKUP($B788,calc_data,K$14+1,0),2),0),0)</f>
        <v/>
      </c>
      <c r="L788" s="184">
        <f>IF(offer_sale_type="транзит",IFERROR(ROUNDUP(VLOOKUP($B788,calc_data,L$14+1,0),2),0),0)</f>
        <v/>
      </c>
      <c r="M788" s="141">
        <f>IF(offer_sale_type="транзит",IFERROR(ROUNDUP(VLOOKUP($B788,calc_data,M$14+1,0),2),0),0)</f>
        <v/>
      </c>
      <c r="N788" s="141">
        <f>IF(offer_sale_type="транзит",IFERROR(ROUNDUP(VLOOKUP($B788,calc_data,N$14+1,0),2),0),0)</f>
        <v/>
      </c>
      <c r="O788" s="147">
        <f>IF(offer_sale_type="транзит",IFERROR(ROUND(VLOOKUP($B788,calc_data,O$14+1,1),2),0),0)</f>
        <v/>
      </c>
      <c r="P788" s="141">
        <f>IF(offer_sale_type="транзит",IFERROR(ROUND(SUM(I788:J788,M788:O788)/E788,2),0),0)</f>
        <v/>
      </c>
      <c r="Q788" s="141">
        <f>E788*P788</f>
        <v/>
      </c>
      <c r="R788" s="141">
        <f>ROUND(Q788*IF(AND(offer_incoterms="DDP",seller_region="RU"),IF((TODAY()+offer_turnaround_time)&gt;=helpsheet!$L$17,rate_vatRU_from_26,rate_vatRu_till_25),0),2)</f>
        <v/>
      </c>
      <c r="S788" s="177">
        <f>Q788+IF(AND(offer_incoterms="DDP",seller_region="RU"),R788,0)</f>
        <v/>
      </c>
      <c r="T788" s="45" t="n"/>
      <c r="V788" s="57">
        <f>IF(Q788&gt;0,"показать","скрыть")</f>
        <v/>
      </c>
    </row>
    <row r="789" ht="15.75" customHeight="1">
      <c r="B789" s="809" t="n">
        <v>773</v>
      </c>
      <c r="C789" s="182">
        <f>IF(offer_sale_type="транзит",IFERROR(VLOOKUP($B789,calc_data,C$14+1,0),0),0)</f>
        <v/>
      </c>
      <c r="D789" s="280">
        <f>IF(offer_sale_type="транзит",IFERROR(VLOOKUP($B789,calc_data,D$14+1,0),0),0)</f>
        <v/>
      </c>
      <c r="E789" s="182">
        <f>IF(offer_sale_type="транзит",IFERROR(VLOOKUP($B789,calc_data,E$14+1,0),0),0)</f>
        <v/>
      </c>
      <c r="F789" s="182">
        <f>IF(offer_sale_type="транзит",IFERROR(VLOOKUP($B789,calc_data,F$14+1,0),0),0)</f>
        <v/>
      </c>
      <c r="G789" s="141">
        <f>IF(offer_sale_type="транзит",IFERROR(VLOOKUP($B789,calc_data,G$14+1,0),0),0)</f>
        <v/>
      </c>
      <c r="H789" s="141">
        <f>E789*G789</f>
        <v/>
      </c>
      <c r="I789" s="141">
        <f>IF(offer_sale_type="транзит",IFERROR(ROUND(VLOOKUP($B789,calc_data,I$14+1,0),2),0),0)</f>
        <v/>
      </c>
      <c r="J789" s="141">
        <f>ROUND(IF(offer_sale_type="транзит",IFERROR(VLOOKUP($B789,calc_data,J$14+1,0),0),0),2)</f>
        <v/>
      </c>
      <c r="K789" s="142">
        <f>IF(offer_sale_type="транзит",IFERROR(ROUNDUP(VLOOKUP($B789,calc_data,K$14+1,0),2),0),0)</f>
        <v/>
      </c>
      <c r="L789" s="184">
        <f>IF(offer_sale_type="транзит",IFERROR(ROUNDUP(VLOOKUP($B789,calc_data,L$14+1,0),2),0),0)</f>
        <v/>
      </c>
      <c r="M789" s="141">
        <f>IF(offer_sale_type="транзит",IFERROR(ROUNDUP(VLOOKUP($B789,calc_data,M$14+1,0),2),0),0)</f>
        <v/>
      </c>
      <c r="N789" s="141">
        <f>IF(offer_sale_type="транзит",IFERROR(ROUNDUP(VLOOKUP($B789,calc_data,N$14+1,0),2),0),0)</f>
        <v/>
      </c>
      <c r="O789" s="147">
        <f>IF(offer_sale_type="транзит",IFERROR(ROUND(VLOOKUP($B789,calc_data,O$14+1,1),2),0),0)</f>
        <v/>
      </c>
      <c r="P789" s="141">
        <f>IF(offer_sale_type="транзит",IFERROR(ROUND(SUM(I789:J789,M789:O789)/E789,2),0),0)</f>
        <v/>
      </c>
      <c r="Q789" s="141">
        <f>E789*P789</f>
        <v/>
      </c>
      <c r="R789" s="141">
        <f>ROUND(Q789*IF(AND(offer_incoterms="DDP",seller_region="RU"),IF((TODAY()+offer_turnaround_time)&gt;=helpsheet!$L$17,rate_vatRU_from_26,rate_vatRu_till_25),0),2)</f>
        <v/>
      </c>
      <c r="S789" s="177">
        <f>Q789+IF(AND(offer_incoterms="DDP",seller_region="RU"),R789,0)</f>
        <v/>
      </c>
      <c r="T789" s="45" t="n"/>
      <c r="V789" s="57">
        <f>IF(Q789&gt;0,"показать","скрыть")</f>
        <v/>
      </c>
    </row>
    <row r="790" ht="15.75" customHeight="1">
      <c r="B790" s="809" t="n">
        <v>774</v>
      </c>
      <c r="C790" s="182">
        <f>IF(offer_sale_type="транзит",IFERROR(VLOOKUP($B790,calc_data,C$14+1,0),0),0)</f>
        <v/>
      </c>
      <c r="D790" s="280">
        <f>IF(offer_sale_type="транзит",IFERROR(VLOOKUP($B790,calc_data,D$14+1,0),0),0)</f>
        <v/>
      </c>
      <c r="E790" s="182">
        <f>IF(offer_sale_type="транзит",IFERROR(VLOOKUP($B790,calc_data,E$14+1,0),0),0)</f>
        <v/>
      </c>
      <c r="F790" s="182">
        <f>IF(offer_sale_type="транзит",IFERROR(VLOOKUP($B790,calc_data,F$14+1,0),0),0)</f>
        <v/>
      </c>
      <c r="G790" s="141">
        <f>IF(offer_sale_type="транзит",IFERROR(VLOOKUP($B790,calc_data,G$14+1,0),0),0)</f>
        <v/>
      </c>
      <c r="H790" s="141">
        <f>E790*G790</f>
        <v/>
      </c>
      <c r="I790" s="141">
        <f>IF(offer_sale_type="транзит",IFERROR(ROUND(VLOOKUP($B790,calc_data,I$14+1,0),2),0),0)</f>
        <v/>
      </c>
      <c r="J790" s="141">
        <f>ROUND(IF(offer_sale_type="транзит",IFERROR(VLOOKUP($B790,calc_data,J$14+1,0),0),0),2)</f>
        <v/>
      </c>
      <c r="K790" s="142">
        <f>IF(offer_sale_type="транзит",IFERROR(ROUNDUP(VLOOKUP($B790,calc_data,K$14+1,0),2),0),0)</f>
        <v/>
      </c>
      <c r="L790" s="184">
        <f>IF(offer_sale_type="транзит",IFERROR(ROUNDUP(VLOOKUP($B790,calc_data,L$14+1,0),2),0),0)</f>
        <v/>
      </c>
      <c r="M790" s="141">
        <f>IF(offer_sale_type="транзит",IFERROR(ROUNDUP(VLOOKUP($B790,calc_data,M$14+1,0),2),0),0)</f>
        <v/>
      </c>
      <c r="N790" s="141">
        <f>IF(offer_sale_type="транзит",IFERROR(ROUNDUP(VLOOKUP($B790,calc_data,N$14+1,0),2),0),0)</f>
        <v/>
      </c>
      <c r="O790" s="147">
        <f>IF(offer_sale_type="транзит",IFERROR(ROUND(VLOOKUP($B790,calc_data,O$14+1,1),2),0),0)</f>
        <v/>
      </c>
      <c r="P790" s="141">
        <f>IF(offer_sale_type="транзит",IFERROR(ROUND(SUM(I790:J790,M790:O790)/E790,2),0),0)</f>
        <v/>
      </c>
      <c r="Q790" s="141">
        <f>E790*P790</f>
        <v/>
      </c>
      <c r="R790" s="141">
        <f>ROUND(Q790*IF(AND(offer_incoterms="DDP",seller_region="RU"),IF((TODAY()+offer_turnaround_time)&gt;=helpsheet!$L$17,rate_vatRU_from_26,rate_vatRu_till_25),0),2)</f>
        <v/>
      </c>
      <c r="S790" s="177">
        <f>Q790+IF(AND(offer_incoterms="DDP",seller_region="RU"),R790,0)</f>
        <v/>
      </c>
      <c r="T790" s="45" t="n"/>
      <c r="V790" s="57">
        <f>IF(Q790&gt;0,"показать","скрыть")</f>
        <v/>
      </c>
    </row>
    <row r="791" ht="15.75" customHeight="1">
      <c r="B791" s="809" t="n">
        <v>775</v>
      </c>
      <c r="C791" s="182">
        <f>IF(offer_sale_type="транзит",IFERROR(VLOOKUP($B791,calc_data,C$14+1,0),0),0)</f>
        <v/>
      </c>
      <c r="D791" s="280">
        <f>IF(offer_sale_type="транзит",IFERROR(VLOOKUP($B791,calc_data,D$14+1,0),0),0)</f>
        <v/>
      </c>
      <c r="E791" s="182">
        <f>IF(offer_sale_type="транзит",IFERROR(VLOOKUP($B791,calc_data,E$14+1,0),0),0)</f>
        <v/>
      </c>
      <c r="F791" s="182">
        <f>IF(offer_sale_type="транзит",IFERROR(VLOOKUP($B791,calc_data,F$14+1,0),0),0)</f>
        <v/>
      </c>
      <c r="G791" s="141">
        <f>IF(offer_sale_type="транзит",IFERROR(VLOOKUP($B791,calc_data,G$14+1,0),0),0)</f>
        <v/>
      </c>
      <c r="H791" s="141">
        <f>E791*G791</f>
        <v/>
      </c>
      <c r="I791" s="141">
        <f>IF(offer_sale_type="транзит",IFERROR(ROUND(VLOOKUP($B791,calc_data,I$14+1,0),2),0),0)</f>
        <v/>
      </c>
      <c r="J791" s="141">
        <f>ROUND(IF(offer_sale_type="транзит",IFERROR(VLOOKUP($B791,calc_data,J$14+1,0),0),0),2)</f>
        <v/>
      </c>
      <c r="K791" s="142">
        <f>IF(offer_sale_type="транзит",IFERROR(ROUNDUP(VLOOKUP($B791,calc_data,K$14+1,0),2),0),0)</f>
        <v/>
      </c>
      <c r="L791" s="184">
        <f>IF(offer_sale_type="транзит",IFERROR(ROUNDUP(VLOOKUP($B791,calc_data,L$14+1,0),2),0),0)</f>
        <v/>
      </c>
      <c r="M791" s="141">
        <f>IF(offer_sale_type="транзит",IFERROR(ROUNDUP(VLOOKUP($B791,calc_data,M$14+1,0),2),0),0)</f>
        <v/>
      </c>
      <c r="N791" s="141">
        <f>IF(offer_sale_type="транзит",IFERROR(ROUNDUP(VLOOKUP($B791,calc_data,N$14+1,0),2),0),0)</f>
        <v/>
      </c>
      <c r="O791" s="147">
        <f>IF(offer_sale_type="транзит",IFERROR(ROUND(VLOOKUP($B791,calc_data,O$14+1,1),2),0),0)</f>
        <v/>
      </c>
      <c r="P791" s="141">
        <f>IF(offer_sale_type="транзит",IFERROR(ROUND(SUM(I791:J791,M791:O791)/E791,2),0),0)</f>
        <v/>
      </c>
      <c r="Q791" s="141">
        <f>E791*P791</f>
        <v/>
      </c>
      <c r="R791" s="141">
        <f>ROUND(Q791*IF(AND(offer_incoterms="DDP",seller_region="RU"),IF((TODAY()+offer_turnaround_time)&gt;=helpsheet!$L$17,rate_vatRU_from_26,rate_vatRu_till_25),0),2)</f>
        <v/>
      </c>
      <c r="S791" s="177">
        <f>Q791+IF(AND(offer_incoterms="DDP",seller_region="RU"),R791,0)</f>
        <v/>
      </c>
      <c r="T791" s="45" t="n"/>
      <c r="V791" s="57">
        <f>IF(Q791&gt;0,"показать","скрыть")</f>
        <v/>
      </c>
    </row>
    <row r="792" ht="15.75" customHeight="1">
      <c r="B792" s="809" t="n">
        <v>776</v>
      </c>
      <c r="C792" s="182">
        <f>IF(offer_sale_type="транзит",IFERROR(VLOOKUP($B792,calc_data,C$14+1,0),0),0)</f>
        <v/>
      </c>
      <c r="D792" s="280">
        <f>IF(offer_sale_type="транзит",IFERROR(VLOOKUP($B792,calc_data,D$14+1,0),0),0)</f>
        <v/>
      </c>
      <c r="E792" s="182">
        <f>IF(offer_sale_type="транзит",IFERROR(VLOOKUP($B792,calc_data,E$14+1,0),0),0)</f>
        <v/>
      </c>
      <c r="F792" s="182">
        <f>IF(offer_sale_type="транзит",IFERROR(VLOOKUP($B792,calc_data,F$14+1,0),0),0)</f>
        <v/>
      </c>
      <c r="G792" s="141">
        <f>IF(offer_sale_type="транзит",IFERROR(VLOOKUP($B792,calc_data,G$14+1,0),0),0)</f>
        <v/>
      </c>
      <c r="H792" s="141">
        <f>E792*G792</f>
        <v/>
      </c>
      <c r="I792" s="141">
        <f>IF(offer_sale_type="транзит",IFERROR(ROUND(VLOOKUP($B792,calc_data,I$14+1,0),2),0),0)</f>
        <v/>
      </c>
      <c r="J792" s="141">
        <f>ROUND(IF(offer_sale_type="транзит",IFERROR(VLOOKUP($B792,calc_data,J$14+1,0),0),0),2)</f>
        <v/>
      </c>
      <c r="K792" s="142">
        <f>IF(offer_sale_type="транзит",IFERROR(ROUNDUP(VLOOKUP($B792,calc_data,K$14+1,0),2),0),0)</f>
        <v/>
      </c>
      <c r="L792" s="184">
        <f>IF(offer_sale_type="транзит",IFERROR(ROUNDUP(VLOOKUP($B792,calc_data,L$14+1,0),2),0),0)</f>
        <v/>
      </c>
      <c r="M792" s="141">
        <f>IF(offer_sale_type="транзит",IFERROR(ROUNDUP(VLOOKUP($B792,calc_data,M$14+1,0),2),0),0)</f>
        <v/>
      </c>
      <c r="N792" s="141">
        <f>IF(offer_sale_type="транзит",IFERROR(ROUNDUP(VLOOKUP($B792,calc_data,N$14+1,0),2),0),0)</f>
        <v/>
      </c>
      <c r="O792" s="147">
        <f>IF(offer_sale_type="транзит",IFERROR(ROUND(VLOOKUP($B792,calc_data,O$14+1,1),2),0),0)</f>
        <v/>
      </c>
      <c r="P792" s="141">
        <f>IF(offer_sale_type="транзит",IFERROR(ROUND(SUM(I792:J792,M792:O792)/E792,2),0),0)</f>
        <v/>
      </c>
      <c r="Q792" s="141">
        <f>E792*P792</f>
        <v/>
      </c>
      <c r="R792" s="141">
        <f>ROUND(Q792*IF(AND(offer_incoterms="DDP",seller_region="RU"),IF((TODAY()+offer_turnaround_time)&gt;=helpsheet!$L$17,rate_vatRU_from_26,rate_vatRu_till_25),0),2)</f>
        <v/>
      </c>
      <c r="S792" s="177">
        <f>Q792+IF(AND(offer_incoterms="DDP",seller_region="RU"),R792,0)</f>
        <v/>
      </c>
      <c r="T792" s="45" t="n"/>
      <c r="V792" s="57">
        <f>IF(Q792&gt;0,"показать","скрыть")</f>
        <v/>
      </c>
    </row>
    <row r="793" ht="15.75" customHeight="1">
      <c r="B793" s="809" t="n">
        <v>777</v>
      </c>
      <c r="C793" s="182">
        <f>IF(offer_sale_type="транзит",IFERROR(VLOOKUP($B793,calc_data,C$14+1,0),0),0)</f>
        <v/>
      </c>
      <c r="D793" s="280">
        <f>IF(offer_sale_type="транзит",IFERROR(VLOOKUP($B793,calc_data,D$14+1,0),0),0)</f>
        <v/>
      </c>
      <c r="E793" s="182">
        <f>IF(offer_sale_type="транзит",IFERROR(VLOOKUP($B793,calc_data,E$14+1,0),0),0)</f>
        <v/>
      </c>
      <c r="F793" s="182">
        <f>IF(offer_sale_type="транзит",IFERROR(VLOOKUP($B793,calc_data,F$14+1,0),0),0)</f>
        <v/>
      </c>
      <c r="G793" s="141">
        <f>IF(offer_sale_type="транзит",IFERROR(VLOOKUP($B793,calc_data,G$14+1,0),0),0)</f>
        <v/>
      </c>
      <c r="H793" s="141">
        <f>E793*G793</f>
        <v/>
      </c>
      <c r="I793" s="141">
        <f>IF(offer_sale_type="транзит",IFERROR(ROUND(VLOOKUP($B793,calc_data,I$14+1,0),2),0),0)</f>
        <v/>
      </c>
      <c r="J793" s="141">
        <f>ROUND(IF(offer_sale_type="транзит",IFERROR(VLOOKUP($B793,calc_data,J$14+1,0),0),0),2)</f>
        <v/>
      </c>
      <c r="K793" s="142">
        <f>IF(offer_sale_type="транзит",IFERROR(ROUNDUP(VLOOKUP($B793,calc_data,K$14+1,0),2),0),0)</f>
        <v/>
      </c>
      <c r="L793" s="184">
        <f>IF(offer_sale_type="транзит",IFERROR(ROUNDUP(VLOOKUP($B793,calc_data,L$14+1,0),2),0),0)</f>
        <v/>
      </c>
      <c r="M793" s="141">
        <f>IF(offer_sale_type="транзит",IFERROR(ROUNDUP(VLOOKUP($B793,calc_data,M$14+1,0),2),0),0)</f>
        <v/>
      </c>
      <c r="N793" s="141">
        <f>IF(offer_sale_type="транзит",IFERROR(ROUNDUP(VLOOKUP($B793,calc_data,N$14+1,0),2),0),0)</f>
        <v/>
      </c>
      <c r="O793" s="147">
        <f>IF(offer_sale_type="транзит",IFERROR(ROUND(VLOOKUP($B793,calc_data,O$14+1,1),2),0),0)</f>
        <v/>
      </c>
      <c r="P793" s="141">
        <f>IF(offer_sale_type="транзит",IFERROR(ROUND(SUM(I793:J793,M793:O793)/E793,2),0),0)</f>
        <v/>
      </c>
      <c r="Q793" s="141">
        <f>E793*P793</f>
        <v/>
      </c>
      <c r="R793" s="141">
        <f>ROUND(Q793*IF(AND(offer_incoterms="DDP",seller_region="RU"),IF((TODAY()+offer_turnaround_time)&gt;=helpsheet!$L$17,rate_vatRU_from_26,rate_vatRu_till_25),0),2)</f>
        <v/>
      </c>
      <c r="S793" s="177">
        <f>Q793+IF(AND(offer_incoterms="DDP",seller_region="RU"),R793,0)</f>
        <v/>
      </c>
      <c r="T793" s="45" t="n"/>
      <c r="V793" s="57">
        <f>IF(Q793&gt;0,"показать","скрыть")</f>
        <v/>
      </c>
    </row>
    <row r="794" ht="15.75" customHeight="1">
      <c r="B794" s="809" t="n">
        <v>778</v>
      </c>
      <c r="C794" s="182">
        <f>IF(offer_sale_type="транзит",IFERROR(VLOOKUP($B794,calc_data,C$14+1,0),0),0)</f>
        <v/>
      </c>
      <c r="D794" s="280">
        <f>IF(offer_sale_type="транзит",IFERROR(VLOOKUP($B794,calc_data,D$14+1,0),0),0)</f>
        <v/>
      </c>
      <c r="E794" s="182">
        <f>IF(offer_sale_type="транзит",IFERROR(VLOOKUP($B794,calc_data,E$14+1,0),0),0)</f>
        <v/>
      </c>
      <c r="F794" s="182">
        <f>IF(offer_sale_type="транзит",IFERROR(VLOOKUP($B794,calc_data,F$14+1,0),0),0)</f>
        <v/>
      </c>
      <c r="G794" s="141">
        <f>IF(offer_sale_type="транзит",IFERROR(VLOOKUP($B794,calc_data,G$14+1,0),0),0)</f>
        <v/>
      </c>
      <c r="H794" s="141">
        <f>E794*G794</f>
        <v/>
      </c>
      <c r="I794" s="141">
        <f>IF(offer_sale_type="транзит",IFERROR(ROUND(VLOOKUP($B794,calc_data,I$14+1,0),2),0),0)</f>
        <v/>
      </c>
      <c r="J794" s="141">
        <f>ROUND(IF(offer_sale_type="транзит",IFERROR(VLOOKUP($B794,calc_data,J$14+1,0),0),0),2)</f>
        <v/>
      </c>
      <c r="K794" s="142">
        <f>IF(offer_sale_type="транзит",IFERROR(ROUNDUP(VLOOKUP($B794,calc_data,K$14+1,0),2),0),0)</f>
        <v/>
      </c>
      <c r="L794" s="184">
        <f>IF(offer_sale_type="транзит",IFERROR(ROUNDUP(VLOOKUP($B794,calc_data,L$14+1,0),2),0),0)</f>
        <v/>
      </c>
      <c r="M794" s="141">
        <f>IF(offer_sale_type="транзит",IFERROR(ROUNDUP(VLOOKUP($B794,calc_data,M$14+1,0),2),0),0)</f>
        <v/>
      </c>
      <c r="N794" s="141">
        <f>IF(offer_sale_type="транзит",IFERROR(ROUNDUP(VLOOKUP($B794,calc_data,N$14+1,0),2),0),0)</f>
        <v/>
      </c>
      <c r="O794" s="147">
        <f>IF(offer_sale_type="транзит",IFERROR(ROUND(VLOOKUP($B794,calc_data,O$14+1,1),2),0),0)</f>
        <v/>
      </c>
      <c r="P794" s="141">
        <f>IF(offer_sale_type="транзит",IFERROR(ROUND(SUM(I794:J794,M794:O794)/E794,2),0),0)</f>
        <v/>
      </c>
      <c r="Q794" s="141">
        <f>E794*P794</f>
        <v/>
      </c>
      <c r="R794" s="141">
        <f>ROUND(Q794*IF(AND(offer_incoterms="DDP",seller_region="RU"),IF((TODAY()+offer_turnaround_time)&gt;=helpsheet!$L$17,rate_vatRU_from_26,rate_vatRu_till_25),0),2)</f>
        <v/>
      </c>
      <c r="S794" s="177">
        <f>Q794+IF(AND(offer_incoterms="DDP",seller_region="RU"),R794,0)</f>
        <v/>
      </c>
      <c r="T794" s="45" t="n"/>
      <c r="V794" s="57">
        <f>IF(Q794&gt;0,"показать","скрыть")</f>
        <v/>
      </c>
    </row>
    <row r="795" ht="15.75" customHeight="1">
      <c r="B795" s="809" t="n">
        <v>779</v>
      </c>
      <c r="C795" s="182">
        <f>IF(offer_sale_type="транзит",IFERROR(VLOOKUP($B795,calc_data,C$14+1,0),0),0)</f>
        <v/>
      </c>
      <c r="D795" s="280">
        <f>IF(offer_sale_type="транзит",IFERROR(VLOOKUP($B795,calc_data,D$14+1,0),0),0)</f>
        <v/>
      </c>
      <c r="E795" s="182">
        <f>IF(offer_sale_type="транзит",IFERROR(VLOOKUP($B795,calc_data,E$14+1,0),0),0)</f>
        <v/>
      </c>
      <c r="F795" s="182">
        <f>IF(offer_sale_type="транзит",IFERROR(VLOOKUP($B795,calc_data,F$14+1,0),0),0)</f>
        <v/>
      </c>
      <c r="G795" s="141">
        <f>IF(offer_sale_type="транзит",IFERROR(VLOOKUP($B795,calc_data,G$14+1,0),0),0)</f>
        <v/>
      </c>
      <c r="H795" s="141">
        <f>E795*G795</f>
        <v/>
      </c>
      <c r="I795" s="141">
        <f>IF(offer_sale_type="транзит",IFERROR(ROUND(VLOOKUP($B795,calc_data,I$14+1,0),2),0),0)</f>
        <v/>
      </c>
      <c r="J795" s="141">
        <f>ROUND(IF(offer_sale_type="транзит",IFERROR(VLOOKUP($B795,calc_data,J$14+1,0),0),0),2)</f>
        <v/>
      </c>
      <c r="K795" s="142">
        <f>IF(offer_sale_type="транзит",IFERROR(ROUNDUP(VLOOKUP($B795,calc_data,K$14+1,0),2),0),0)</f>
        <v/>
      </c>
      <c r="L795" s="184">
        <f>IF(offer_sale_type="транзит",IFERROR(ROUNDUP(VLOOKUP($B795,calc_data,L$14+1,0),2),0),0)</f>
        <v/>
      </c>
      <c r="M795" s="141">
        <f>IF(offer_sale_type="транзит",IFERROR(ROUNDUP(VLOOKUP($B795,calc_data,M$14+1,0),2),0),0)</f>
        <v/>
      </c>
      <c r="N795" s="141">
        <f>IF(offer_sale_type="транзит",IFERROR(ROUNDUP(VLOOKUP($B795,calc_data,N$14+1,0),2),0),0)</f>
        <v/>
      </c>
      <c r="O795" s="147">
        <f>IF(offer_sale_type="транзит",IFERROR(ROUND(VLOOKUP($B795,calc_data,O$14+1,1),2),0),0)</f>
        <v/>
      </c>
      <c r="P795" s="141">
        <f>IF(offer_sale_type="транзит",IFERROR(ROUND(SUM(I795:J795,M795:O795)/E795,2),0),0)</f>
        <v/>
      </c>
      <c r="Q795" s="141">
        <f>E795*P795</f>
        <v/>
      </c>
      <c r="R795" s="141">
        <f>ROUND(Q795*IF(AND(offer_incoterms="DDP",seller_region="RU"),IF((TODAY()+offer_turnaround_time)&gt;=helpsheet!$L$17,rate_vatRU_from_26,rate_vatRu_till_25),0),2)</f>
        <v/>
      </c>
      <c r="S795" s="177">
        <f>Q795+IF(AND(offer_incoterms="DDP",seller_region="RU"),R795,0)</f>
        <v/>
      </c>
      <c r="T795" s="45" t="n"/>
      <c r="V795" s="57">
        <f>IF(Q795&gt;0,"показать","скрыть")</f>
        <v/>
      </c>
    </row>
    <row r="796" ht="15.75" customHeight="1">
      <c r="B796" s="809" t="n">
        <v>780</v>
      </c>
      <c r="C796" s="182">
        <f>IF(offer_sale_type="транзит",IFERROR(VLOOKUP($B796,calc_data,C$14+1,0),0),0)</f>
        <v/>
      </c>
      <c r="D796" s="280">
        <f>IF(offer_sale_type="транзит",IFERROR(VLOOKUP($B796,calc_data,D$14+1,0),0),0)</f>
        <v/>
      </c>
      <c r="E796" s="182">
        <f>IF(offer_sale_type="транзит",IFERROR(VLOOKUP($B796,calc_data,E$14+1,0),0),0)</f>
        <v/>
      </c>
      <c r="F796" s="182">
        <f>IF(offer_sale_type="транзит",IFERROR(VLOOKUP($B796,calc_data,F$14+1,0),0),0)</f>
        <v/>
      </c>
      <c r="G796" s="141">
        <f>IF(offer_sale_type="транзит",IFERROR(VLOOKUP($B796,calc_data,G$14+1,0),0),0)</f>
        <v/>
      </c>
      <c r="H796" s="141">
        <f>E796*G796</f>
        <v/>
      </c>
      <c r="I796" s="141">
        <f>IF(offer_sale_type="транзит",IFERROR(ROUND(VLOOKUP($B796,calc_data,I$14+1,0),2),0),0)</f>
        <v/>
      </c>
      <c r="J796" s="141">
        <f>ROUND(IF(offer_sale_type="транзит",IFERROR(VLOOKUP($B796,calc_data,J$14+1,0),0),0),2)</f>
        <v/>
      </c>
      <c r="K796" s="142">
        <f>IF(offer_sale_type="транзит",IFERROR(ROUNDUP(VLOOKUP($B796,calc_data,K$14+1,0),2),0),0)</f>
        <v/>
      </c>
      <c r="L796" s="184">
        <f>IF(offer_sale_type="транзит",IFERROR(ROUNDUP(VLOOKUP($B796,calc_data,L$14+1,0),2),0),0)</f>
        <v/>
      </c>
      <c r="M796" s="141">
        <f>IF(offer_sale_type="транзит",IFERROR(ROUNDUP(VLOOKUP($B796,calc_data,M$14+1,0),2),0),0)</f>
        <v/>
      </c>
      <c r="N796" s="141">
        <f>IF(offer_sale_type="транзит",IFERROR(ROUNDUP(VLOOKUP($B796,calc_data,N$14+1,0),2),0),0)</f>
        <v/>
      </c>
      <c r="O796" s="147">
        <f>IF(offer_sale_type="транзит",IFERROR(ROUND(VLOOKUP($B796,calc_data,O$14+1,1),2),0),0)</f>
        <v/>
      </c>
      <c r="P796" s="141">
        <f>IF(offer_sale_type="транзит",IFERROR(ROUND(SUM(I796:J796,M796:O796)/E796,2),0),0)</f>
        <v/>
      </c>
      <c r="Q796" s="141">
        <f>E796*P796</f>
        <v/>
      </c>
      <c r="R796" s="141">
        <f>ROUND(Q796*IF(AND(offer_incoterms="DDP",seller_region="RU"),IF((TODAY()+offer_turnaround_time)&gt;=helpsheet!$L$17,rate_vatRU_from_26,rate_vatRu_till_25),0),2)</f>
        <v/>
      </c>
      <c r="S796" s="177">
        <f>Q796+IF(AND(offer_incoterms="DDP",seller_region="RU"),R796,0)</f>
        <v/>
      </c>
      <c r="T796" s="45" t="n"/>
      <c r="V796" s="57">
        <f>IF(Q796&gt;0,"показать","скрыть")</f>
        <v/>
      </c>
    </row>
    <row r="797" ht="15.75" customHeight="1">
      <c r="B797" s="809" t="n">
        <v>781</v>
      </c>
      <c r="C797" s="182">
        <f>IF(offer_sale_type="транзит",IFERROR(VLOOKUP($B797,calc_data,C$14+1,0),0),0)</f>
        <v/>
      </c>
      <c r="D797" s="280">
        <f>IF(offer_sale_type="транзит",IFERROR(VLOOKUP($B797,calc_data,D$14+1,0),0),0)</f>
        <v/>
      </c>
      <c r="E797" s="182">
        <f>IF(offer_sale_type="транзит",IFERROR(VLOOKUP($B797,calc_data,E$14+1,0),0),0)</f>
        <v/>
      </c>
      <c r="F797" s="182">
        <f>IF(offer_sale_type="транзит",IFERROR(VLOOKUP($B797,calc_data,F$14+1,0),0),0)</f>
        <v/>
      </c>
      <c r="G797" s="141">
        <f>IF(offer_sale_type="транзит",IFERROR(VLOOKUP($B797,calc_data,G$14+1,0),0),0)</f>
        <v/>
      </c>
      <c r="H797" s="141">
        <f>E797*G797</f>
        <v/>
      </c>
      <c r="I797" s="141">
        <f>IF(offer_sale_type="транзит",IFERROR(ROUND(VLOOKUP($B797,calc_data,I$14+1,0),2),0),0)</f>
        <v/>
      </c>
      <c r="J797" s="141">
        <f>ROUND(IF(offer_sale_type="транзит",IFERROR(VLOOKUP($B797,calc_data,J$14+1,0),0),0),2)</f>
        <v/>
      </c>
      <c r="K797" s="142">
        <f>IF(offer_sale_type="транзит",IFERROR(ROUNDUP(VLOOKUP($B797,calc_data,K$14+1,0),2),0),0)</f>
        <v/>
      </c>
      <c r="L797" s="184">
        <f>IF(offer_sale_type="транзит",IFERROR(ROUNDUP(VLOOKUP($B797,calc_data,L$14+1,0),2),0),0)</f>
        <v/>
      </c>
      <c r="M797" s="141">
        <f>IF(offer_sale_type="транзит",IFERROR(ROUNDUP(VLOOKUP($B797,calc_data,M$14+1,0),2),0),0)</f>
        <v/>
      </c>
      <c r="N797" s="141">
        <f>IF(offer_sale_type="транзит",IFERROR(ROUNDUP(VLOOKUP($B797,calc_data,N$14+1,0),2),0),0)</f>
        <v/>
      </c>
      <c r="O797" s="147">
        <f>IF(offer_sale_type="транзит",IFERROR(ROUND(VLOOKUP($B797,calc_data,O$14+1,1),2),0),0)</f>
        <v/>
      </c>
      <c r="P797" s="141">
        <f>IF(offer_sale_type="транзит",IFERROR(ROUND(SUM(I797:J797,M797:O797)/E797,2),0),0)</f>
        <v/>
      </c>
      <c r="Q797" s="141">
        <f>E797*P797</f>
        <v/>
      </c>
      <c r="R797" s="141">
        <f>ROUND(Q797*IF(AND(offer_incoterms="DDP",seller_region="RU"),IF((TODAY()+offer_turnaround_time)&gt;=helpsheet!$L$17,rate_vatRU_from_26,rate_vatRu_till_25),0),2)</f>
        <v/>
      </c>
      <c r="S797" s="177">
        <f>Q797+IF(AND(offer_incoterms="DDP",seller_region="RU"),R797,0)</f>
        <v/>
      </c>
      <c r="T797" s="45" t="n"/>
      <c r="V797" s="57">
        <f>IF(Q797&gt;0,"показать","скрыть")</f>
        <v/>
      </c>
    </row>
    <row r="798" ht="15.75" customHeight="1">
      <c r="B798" s="809" t="n">
        <v>782</v>
      </c>
      <c r="C798" s="182">
        <f>IF(offer_sale_type="транзит",IFERROR(VLOOKUP($B798,calc_data,C$14+1,0),0),0)</f>
        <v/>
      </c>
      <c r="D798" s="280">
        <f>IF(offer_sale_type="транзит",IFERROR(VLOOKUP($B798,calc_data,D$14+1,0),0),0)</f>
        <v/>
      </c>
      <c r="E798" s="182">
        <f>IF(offer_sale_type="транзит",IFERROR(VLOOKUP($B798,calc_data,E$14+1,0),0),0)</f>
        <v/>
      </c>
      <c r="F798" s="182">
        <f>IF(offer_sale_type="транзит",IFERROR(VLOOKUP($B798,calc_data,F$14+1,0),0),0)</f>
        <v/>
      </c>
      <c r="G798" s="141">
        <f>IF(offer_sale_type="транзит",IFERROR(VLOOKUP($B798,calc_data,G$14+1,0),0),0)</f>
        <v/>
      </c>
      <c r="H798" s="141">
        <f>E798*G798</f>
        <v/>
      </c>
      <c r="I798" s="141">
        <f>IF(offer_sale_type="транзит",IFERROR(ROUND(VLOOKUP($B798,calc_data,I$14+1,0),2),0),0)</f>
        <v/>
      </c>
      <c r="J798" s="141">
        <f>ROUND(IF(offer_sale_type="транзит",IFERROR(VLOOKUP($B798,calc_data,J$14+1,0),0),0),2)</f>
        <v/>
      </c>
      <c r="K798" s="142">
        <f>IF(offer_sale_type="транзит",IFERROR(ROUNDUP(VLOOKUP($B798,calc_data,K$14+1,0),2),0),0)</f>
        <v/>
      </c>
      <c r="L798" s="184">
        <f>IF(offer_sale_type="транзит",IFERROR(ROUNDUP(VLOOKUP($B798,calc_data,L$14+1,0),2),0),0)</f>
        <v/>
      </c>
      <c r="M798" s="141">
        <f>IF(offer_sale_type="транзит",IFERROR(ROUNDUP(VLOOKUP($B798,calc_data,M$14+1,0),2),0),0)</f>
        <v/>
      </c>
      <c r="N798" s="141">
        <f>IF(offer_sale_type="транзит",IFERROR(ROUNDUP(VLOOKUP($B798,calc_data,N$14+1,0),2),0),0)</f>
        <v/>
      </c>
      <c r="O798" s="147">
        <f>IF(offer_sale_type="транзит",IFERROR(ROUND(VLOOKUP($B798,calc_data,O$14+1,1),2),0),0)</f>
        <v/>
      </c>
      <c r="P798" s="141">
        <f>IF(offer_sale_type="транзит",IFERROR(ROUND(SUM(I798:J798,M798:O798)/E798,2),0),0)</f>
        <v/>
      </c>
      <c r="Q798" s="141">
        <f>E798*P798</f>
        <v/>
      </c>
      <c r="R798" s="141">
        <f>ROUND(Q798*IF(AND(offer_incoterms="DDP",seller_region="RU"),IF((TODAY()+offer_turnaround_time)&gt;=helpsheet!$L$17,rate_vatRU_from_26,rate_vatRu_till_25),0),2)</f>
        <v/>
      </c>
      <c r="S798" s="177">
        <f>Q798+IF(AND(offer_incoterms="DDP",seller_region="RU"),R798,0)</f>
        <v/>
      </c>
      <c r="T798" s="45" t="n"/>
      <c r="V798" s="57">
        <f>IF(Q798&gt;0,"показать","скрыть")</f>
        <v/>
      </c>
    </row>
    <row r="799" ht="15.75" customHeight="1">
      <c r="B799" s="809" t="n">
        <v>783</v>
      </c>
      <c r="C799" s="182">
        <f>IF(offer_sale_type="транзит",IFERROR(VLOOKUP($B799,calc_data,C$14+1,0),0),0)</f>
        <v/>
      </c>
      <c r="D799" s="280">
        <f>IF(offer_sale_type="транзит",IFERROR(VLOOKUP($B799,calc_data,D$14+1,0),0),0)</f>
        <v/>
      </c>
      <c r="E799" s="182">
        <f>IF(offer_sale_type="транзит",IFERROR(VLOOKUP($B799,calc_data,E$14+1,0),0),0)</f>
        <v/>
      </c>
      <c r="F799" s="182">
        <f>IF(offer_sale_type="транзит",IFERROR(VLOOKUP($B799,calc_data,F$14+1,0),0),0)</f>
        <v/>
      </c>
      <c r="G799" s="141">
        <f>IF(offer_sale_type="транзит",IFERROR(VLOOKUP($B799,calc_data,G$14+1,0),0),0)</f>
        <v/>
      </c>
      <c r="H799" s="141">
        <f>E799*G799</f>
        <v/>
      </c>
      <c r="I799" s="141">
        <f>IF(offer_sale_type="транзит",IFERROR(ROUND(VLOOKUP($B799,calc_data,I$14+1,0),2),0),0)</f>
        <v/>
      </c>
      <c r="J799" s="141">
        <f>ROUND(IF(offer_sale_type="транзит",IFERROR(VLOOKUP($B799,calc_data,J$14+1,0),0),0),2)</f>
        <v/>
      </c>
      <c r="K799" s="142">
        <f>IF(offer_sale_type="транзит",IFERROR(ROUNDUP(VLOOKUP($B799,calc_data,K$14+1,0),2),0),0)</f>
        <v/>
      </c>
      <c r="L799" s="184">
        <f>IF(offer_sale_type="транзит",IFERROR(ROUNDUP(VLOOKUP($B799,calc_data,L$14+1,0),2),0),0)</f>
        <v/>
      </c>
      <c r="M799" s="141">
        <f>IF(offer_sale_type="транзит",IFERROR(ROUNDUP(VLOOKUP($B799,calc_data,M$14+1,0),2),0),0)</f>
        <v/>
      </c>
      <c r="N799" s="141">
        <f>IF(offer_sale_type="транзит",IFERROR(ROUNDUP(VLOOKUP($B799,calc_data,N$14+1,0),2),0),0)</f>
        <v/>
      </c>
      <c r="O799" s="147">
        <f>IF(offer_sale_type="транзит",IFERROR(ROUND(VLOOKUP($B799,calc_data,O$14+1,1),2),0),0)</f>
        <v/>
      </c>
      <c r="P799" s="141">
        <f>IF(offer_sale_type="транзит",IFERROR(ROUND(SUM(I799:J799,M799:O799)/E799,2),0),0)</f>
        <v/>
      </c>
      <c r="Q799" s="141">
        <f>E799*P799</f>
        <v/>
      </c>
      <c r="R799" s="141">
        <f>ROUND(Q799*IF(AND(offer_incoterms="DDP",seller_region="RU"),IF((TODAY()+offer_turnaround_time)&gt;=helpsheet!$L$17,rate_vatRU_from_26,rate_vatRu_till_25),0),2)</f>
        <v/>
      </c>
      <c r="S799" s="177">
        <f>Q799+IF(AND(offer_incoterms="DDP",seller_region="RU"),R799,0)</f>
        <v/>
      </c>
      <c r="T799" s="45" t="n"/>
      <c r="V799" s="57">
        <f>IF(Q799&gt;0,"показать","скрыть")</f>
        <v/>
      </c>
    </row>
    <row r="800" ht="15.75" customHeight="1">
      <c r="B800" s="809" t="n">
        <v>784</v>
      </c>
      <c r="C800" s="182">
        <f>IF(offer_sale_type="транзит",IFERROR(VLOOKUP($B800,calc_data,C$14+1,0),0),0)</f>
        <v/>
      </c>
      <c r="D800" s="280">
        <f>IF(offer_sale_type="транзит",IFERROR(VLOOKUP($B800,calc_data,D$14+1,0),0),0)</f>
        <v/>
      </c>
      <c r="E800" s="182">
        <f>IF(offer_sale_type="транзит",IFERROR(VLOOKUP($B800,calc_data,E$14+1,0),0),0)</f>
        <v/>
      </c>
      <c r="F800" s="182">
        <f>IF(offer_sale_type="транзит",IFERROR(VLOOKUP($B800,calc_data,F$14+1,0),0),0)</f>
        <v/>
      </c>
      <c r="G800" s="141">
        <f>IF(offer_sale_type="транзит",IFERROR(VLOOKUP($B800,calc_data,G$14+1,0),0),0)</f>
        <v/>
      </c>
      <c r="H800" s="141">
        <f>E800*G800</f>
        <v/>
      </c>
      <c r="I800" s="141">
        <f>IF(offer_sale_type="транзит",IFERROR(ROUND(VLOOKUP($B800,calc_data,I$14+1,0),2),0),0)</f>
        <v/>
      </c>
      <c r="J800" s="141">
        <f>ROUND(IF(offer_sale_type="транзит",IFERROR(VLOOKUP($B800,calc_data,J$14+1,0),0),0),2)</f>
        <v/>
      </c>
      <c r="K800" s="142">
        <f>IF(offer_sale_type="транзит",IFERROR(ROUNDUP(VLOOKUP($B800,calc_data,K$14+1,0),2),0),0)</f>
        <v/>
      </c>
      <c r="L800" s="184">
        <f>IF(offer_sale_type="транзит",IFERROR(ROUNDUP(VLOOKUP($B800,calc_data,L$14+1,0),2),0),0)</f>
        <v/>
      </c>
      <c r="M800" s="141">
        <f>IF(offer_sale_type="транзит",IFERROR(ROUNDUP(VLOOKUP($B800,calc_data,M$14+1,0),2),0),0)</f>
        <v/>
      </c>
      <c r="N800" s="141">
        <f>IF(offer_sale_type="транзит",IFERROR(ROUNDUP(VLOOKUP($B800,calc_data,N$14+1,0),2),0),0)</f>
        <v/>
      </c>
      <c r="O800" s="147">
        <f>IF(offer_sale_type="транзит",IFERROR(ROUND(VLOOKUP($B800,calc_data,O$14+1,1),2),0),0)</f>
        <v/>
      </c>
      <c r="P800" s="141">
        <f>IF(offer_sale_type="транзит",IFERROR(ROUND(SUM(I800:J800,M800:O800)/E800,2),0),0)</f>
        <v/>
      </c>
      <c r="Q800" s="141">
        <f>E800*P800</f>
        <v/>
      </c>
      <c r="R800" s="141">
        <f>ROUND(Q800*IF(AND(offer_incoterms="DDP",seller_region="RU"),IF((TODAY()+offer_turnaround_time)&gt;=helpsheet!$L$17,rate_vatRU_from_26,rate_vatRu_till_25),0),2)</f>
        <v/>
      </c>
      <c r="S800" s="177">
        <f>Q800+IF(AND(offer_incoterms="DDP",seller_region="RU"),R800,0)</f>
        <v/>
      </c>
      <c r="T800" s="45" t="n"/>
      <c r="V800" s="57">
        <f>IF(Q800&gt;0,"показать","скрыть")</f>
        <v/>
      </c>
    </row>
    <row r="801" ht="15.75" customHeight="1">
      <c r="B801" s="809" t="n">
        <v>785</v>
      </c>
      <c r="C801" s="182">
        <f>IF(offer_sale_type="транзит",IFERROR(VLOOKUP($B801,calc_data,C$14+1,0),0),0)</f>
        <v/>
      </c>
      <c r="D801" s="280">
        <f>IF(offer_sale_type="транзит",IFERROR(VLOOKUP($B801,calc_data,D$14+1,0),0),0)</f>
        <v/>
      </c>
      <c r="E801" s="182">
        <f>IF(offer_sale_type="транзит",IFERROR(VLOOKUP($B801,calc_data,E$14+1,0),0),0)</f>
        <v/>
      </c>
      <c r="F801" s="182">
        <f>IF(offer_sale_type="транзит",IFERROR(VLOOKUP($B801,calc_data,F$14+1,0),0),0)</f>
        <v/>
      </c>
      <c r="G801" s="141">
        <f>IF(offer_sale_type="транзит",IFERROR(VLOOKUP($B801,calc_data,G$14+1,0),0),0)</f>
        <v/>
      </c>
      <c r="H801" s="141">
        <f>E801*G801</f>
        <v/>
      </c>
      <c r="I801" s="141">
        <f>IF(offer_sale_type="транзит",IFERROR(ROUND(VLOOKUP($B801,calc_data,I$14+1,0),2),0),0)</f>
        <v/>
      </c>
      <c r="J801" s="141">
        <f>ROUND(IF(offer_sale_type="транзит",IFERROR(VLOOKUP($B801,calc_data,J$14+1,0),0),0),2)</f>
        <v/>
      </c>
      <c r="K801" s="142">
        <f>IF(offer_sale_type="транзит",IFERROR(ROUNDUP(VLOOKUP($B801,calc_data,K$14+1,0),2),0),0)</f>
        <v/>
      </c>
      <c r="L801" s="184">
        <f>IF(offer_sale_type="транзит",IFERROR(ROUNDUP(VLOOKUP($B801,calc_data,L$14+1,0),2),0),0)</f>
        <v/>
      </c>
      <c r="M801" s="141">
        <f>IF(offer_sale_type="транзит",IFERROR(ROUNDUP(VLOOKUP($B801,calc_data,M$14+1,0),2),0),0)</f>
        <v/>
      </c>
      <c r="N801" s="141">
        <f>IF(offer_sale_type="транзит",IFERROR(ROUNDUP(VLOOKUP($B801,calc_data,N$14+1,0),2),0),0)</f>
        <v/>
      </c>
      <c r="O801" s="147">
        <f>IF(offer_sale_type="транзит",IFERROR(ROUND(VLOOKUP($B801,calc_data,O$14+1,1),2),0),0)</f>
        <v/>
      </c>
      <c r="P801" s="141">
        <f>IF(offer_sale_type="транзит",IFERROR(ROUND(SUM(I801:J801,M801:O801)/E801,2),0),0)</f>
        <v/>
      </c>
      <c r="Q801" s="141">
        <f>E801*P801</f>
        <v/>
      </c>
      <c r="R801" s="141">
        <f>ROUND(Q801*IF(AND(offer_incoterms="DDP",seller_region="RU"),IF((TODAY()+offer_turnaround_time)&gt;=helpsheet!$L$17,rate_vatRU_from_26,rate_vatRu_till_25),0),2)</f>
        <v/>
      </c>
      <c r="S801" s="177">
        <f>Q801+IF(AND(offer_incoterms="DDP",seller_region="RU"),R801,0)</f>
        <v/>
      </c>
      <c r="T801" s="45" t="n"/>
      <c r="V801" s="57">
        <f>IF(Q801&gt;0,"показать","скрыть")</f>
        <v/>
      </c>
    </row>
    <row r="802" ht="15.75" customHeight="1">
      <c r="B802" s="809" t="n">
        <v>786</v>
      </c>
      <c r="C802" s="182">
        <f>IF(offer_sale_type="транзит",IFERROR(VLOOKUP($B802,calc_data,C$14+1,0),0),0)</f>
        <v/>
      </c>
      <c r="D802" s="280">
        <f>IF(offer_sale_type="транзит",IFERROR(VLOOKUP($B802,calc_data,D$14+1,0),0),0)</f>
        <v/>
      </c>
      <c r="E802" s="182">
        <f>IF(offer_sale_type="транзит",IFERROR(VLOOKUP($B802,calc_data,E$14+1,0),0),0)</f>
        <v/>
      </c>
      <c r="F802" s="182">
        <f>IF(offer_sale_type="транзит",IFERROR(VLOOKUP($B802,calc_data,F$14+1,0),0),0)</f>
        <v/>
      </c>
      <c r="G802" s="141">
        <f>IF(offer_sale_type="транзит",IFERROR(VLOOKUP($B802,calc_data,G$14+1,0),0),0)</f>
        <v/>
      </c>
      <c r="H802" s="141">
        <f>E802*G802</f>
        <v/>
      </c>
      <c r="I802" s="141">
        <f>IF(offer_sale_type="транзит",IFERROR(ROUND(VLOOKUP($B802,calc_data,I$14+1,0),2),0),0)</f>
        <v/>
      </c>
      <c r="J802" s="141">
        <f>ROUND(IF(offer_sale_type="транзит",IFERROR(VLOOKUP($B802,calc_data,J$14+1,0),0),0),2)</f>
        <v/>
      </c>
      <c r="K802" s="142">
        <f>IF(offer_sale_type="транзит",IFERROR(ROUNDUP(VLOOKUP($B802,calc_data,K$14+1,0),2),0),0)</f>
        <v/>
      </c>
      <c r="L802" s="184">
        <f>IF(offer_sale_type="транзит",IFERROR(ROUNDUP(VLOOKUP($B802,calc_data,L$14+1,0),2),0),0)</f>
        <v/>
      </c>
      <c r="M802" s="141">
        <f>IF(offer_sale_type="транзит",IFERROR(ROUNDUP(VLOOKUP($B802,calc_data,M$14+1,0),2),0),0)</f>
        <v/>
      </c>
      <c r="N802" s="141">
        <f>IF(offer_sale_type="транзит",IFERROR(ROUNDUP(VLOOKUP($B802,calc_data,N$14+1,0),2),0),0)</f>
        <v/>
      </c>
      <c r="O802" s="147">
        <f>IF(offer_sale_type="транзит",IFERROR(ROUND(VLOOKUP($B802,calc_data,O$14+1,1),2),0),0)</f>
        <v/>
      </c>
      <c r="P802" s="141">
        <f>IF(offer_sale_type="транзит",IFERROR(ROUND(SUM(I802:J802,M802:O802)/E802,2),0),0)</f>
        <v/>
      </c>
      <c r="Q802" s="141">
        <f>E802*P802</f>
        <v/>
      </c>
      <c r="R802" s="141">
        <f>ROUND(Q802*IF(AND(offer_incoterms="DDP",seller_region="RU"),IF((TODAY()+offer_turnaround_time)&gt;=helpsheet!$L$17,rate_vatRU_from_26,rate_vatRu_till_25),0),2)</f>
        <v/>
      </c>
      <c r="S802" s="177">
        <f>Q802+IF(AND(offer_incoterms="DDP",seller_region="RU"),R802,0)</f>
        <v/>
      </c>
      <c r="T802" s="45" t="n"/>
      <c r="V802" s="57">
        <f>IF(Q802&gt;0,"показать","скрыть")</f>
        <v/>
      </c>
    </row>
    <row r="803" ht="15.75" customHeight="1">
      <c r="B803" s="809" t="n">
        <v>787</v>
      </c>
      <c r="C803" s="182">
        <f>IF(offer_sale_type="транзит",IFERROR(VLOOKUP($B803,calc_data,C$14+1,0),0),0)</f>
        <v/>
      </c>
      <c r="D803" s="280">
        <f>IF(offer_sale_type="транзит",IFERROR(VLOOKUP($B803,calc_data,D$14+1,0),0),0)</f>
        <v/>
      </c>
      <c r="E803" s="182">
        <f>IF(offer_sale_type="транзит",IFERROR(VLOOKUP($B803,calc_data,E$14+1,0),0),0)</f>
        <v/>
      </c>
      <c r="F803" s="182">
        <f>IF(offer_sale_type="транзит",IFERROR(VLOOKUP($B803,calc_data,F$14+1,0),0),0)</f>
        <v/>
      </c>
      <c r="G803" s="141">
        <f>IF(offer_sale_type="транзит",IFERROR(VLOOKUP($B803,calc_data,G$14+1,0),0),0)</f>
        <v/>
      </c>
      <c r="H803" s="141">
        <f>E803*G803</f>
        <v/>
      </c>
      <c r="I803" s="141">
        <f>IF(offer_sale_type="транзит",IFERROR(ROUND(VLOOKUP($B803,calc_data,I$14+1,0),2),0),0)</f>
        <v/>
      </c>
      <c r="J803" s="141">
        <f>ROUND(IF(offer_sale_type="транзит",IFERROR(VLOOKUP($B803,calc_data,J$14+1,0),0),0),2)</f>
        <v/>
      </c>
      <c r="K803" s="142">
        <f>IF(offer_sale_type="транзит",IFERROR(ROUNDUP(VLOOKUP($B803,calc_data,K$14+1,0),2),0),0)</f>
        <v/>
      </c>
      <c r="L803" s="184">
        <f>IF(offer_sale_type="транзит",IFERROR(ROUNDUP(VLOOKUP($B803,calc_data,L$14+1,0),2),0),0)</f>
        <v/>
      </c>
      <c r="M803" s="141">
        <f>IF(offer_sale_type="транзит",IFERROR(ROUNDUP(VLOOKUP($B803,calc_data,M$14+1,0),2),0),0)</f>
        <v/>
      </c>
      <c r="N803" s="141">
        <f>IF(offer_sale_type="транзит",IFERROR(ROUNDUP(VLOOKUP($B803,calc_data,N$14+1,0),2),0),0)</f>
        <v/>
      </c>
      <c r="O803" s="147">
        <f>IF(offer_sale_type="транзит",IFERROR(ROUND(VLOOKUP($B803,calc_data,O$14+1,1),2),0),0)</f>
        <v/>
      </c>
      <c r="P803" s="141">
        <f>IF(offer_sale_type="транзит",IFERROR(ROUND(SUM(I803:J803,M803:O803)/E803,2),0),0)</f>
        <v/>
      </c>
      <c r="Q803" s="141">
        <f>E803*P803</f>
        <v/>
      </c>
      <c r="R803" s="141">
        <f>ROUND(Q803*IF(AND(offer_incoterms="DDP",seller_region="RU"),IF((TODAY()+offer_turnaround_time)&gt;=helpsheet!$L$17,rate_vatRU_from_26,rate_vatRu_till_25),0),2)</f>
        <v/>
      </c>
      <c r="S803" s="177">
        <f>Q803+IF(AND(offer_incoterms="DDP",seller_region="RU"),R803,0)</f>
        <v/>
      </c>
      <c r="T803" s="45" t="n"/>
      <c r="V803" s="57">
        <f>IF(Q803&gt;0,"показать","скрыть")</f>
        <v/>
      </c>
    </row>
    <row r="804" ht="15.75" customHeight="1">
      <c r="B804" s="809" t="n">
        <v>788</v>
      </c>
      <c r="C804" s="182">
        <f>IF(offer_sale_type="транзит",IFERROR(VLOOKUP($B804,calc_data,C$14+1,0),0),0)</f>
        <v/>
      </c>
      <c r="D804" s="280">
        <f>IF(offer_sale_type="транзит",IFERROR(VLOOKUP($B804,calc_data,D$14+1,0),0),0)</f>
        <v/>
      </c>
      <c r="E804" s="182">
        <f>IF(offer_sale_type="транзит",IFERROR(VLOOKUP($B804,calc_data,E$14+1,0),0),0)</f>
        <v/>
      </c>
      <c r="F804" s="182">
        <f>IF(offer_sale_type="транзит",IFERROR(VLOOKUP($B804,calc_data,F$14+1,0),0),0)</f>
        <v/>
      </c>
      <c r="G804" s="141">
        <f>IF(offer_sale_type="транзит",IFERROR(VLOOKUP($B804,calc_data,G$14+1,0),0),0)</f>
        <v/>
      </c>
      <c r="H804" s="141">
        <f>E804*G804</f>
        <v/>
      </c>
      <c r="I804" s="141">
        <f>IF(offer_sale_type="транзит",IFERROR(ROUND(VLOOKUP($B804,calc_data,I$14+1,0),2),0),0)</f>
        <v/>
      </c>
      <c r="J804" s="141">
        <f>ROUND(IF(offer_sale_type="транзит",IFERROR(VLOOKUP($B804,calc_data,J$14+1,0),0),0),2)</f>
        <v/>
      </c>
      <c r="K804" s="142">
        <f>IF(offer_sale_type="транзит",IFERROR(ROUNDUP(VLOOKUP($B804,calc_data,K$14+1,0),2),0),0)</f>
        <v/>
      </c>
      <c r="L804" s="184">
        <f>IF(offer_sale_type="транзит",IFERROR(ROUNDUP(VLOOKUP($B804,calc_data,L$14+1,0),2),0),0)</f>
        <v/>
      </c>
      <c r="M804" s="141">
        <f>IF(offer_sale_type="транзит",IFERROR(ROUNDUP(VLOOKUP($B804,calc_data,M$14+1,0),2),0),0)</f>
        <v/>
      </c>
      <c r="N804" s="141">
        <f>IF(offer_sale_type="транзит",IFERROR(ROUNDUP(VLOOKUP($B804,calc_data,N$14+1,0),2),0),0)</f>
        <v/>
      </c>
      <c r="O804" s="147">
        <f>IF(offer_sale_type="транзит",IFERROR(ROUND(VLOOKUP($B804,calc_data,O$14+1,1),2),0),0)</f>
        <v/>
      </c>
      <c r="P804" s="141">
        <f>IF(offer_sale_type="транзит",IFERROR(ROUND(SUM(I804:J804,M804:O804)/E804,2),0),0)</f>
        <v/>
      </c>
      <c r="Q804" s="141">
        <f>E804*P804</f>
        <v/>
      </c>
      <c r="R804" s="141">
        <f>ROUND(Q804*IF(AND(offer_incoterms="DDP",seller_region="RU"),IF((TODAY()+offer_turnaround_time)&gt;=helpsheet!$L$17,rate_vatRU_from_26,rate_vatRu_till_25),0),2)</f>
        <v/>
      </c>
      <c r="S804" s="177">
        <f>Q804+IF(AND(offer_incoterms="DDP",seller_region="RU"),R804,0)</f>
        <v/>
      </c>
      <c r="T804" s="45" t="n"/>
      <c r="V804" s="57">
        <f>IF(Q804&gt;0,"показать","скрыть")</f>
        <v/>
      </c>
    </row>
    <row r="805" ht="15.75" customHeight="1">
      <c r="B805" s="809" t="n">
        <v>789</v>
      </c>
      <c r="C805" s="182">
        <f>IF(offer_sale_type="транзит",IFERROR(VLOOKUP($B805,calc_data,C$14+1,0),0),0)</f>
        <v/>
      </c>
      <c r="D805" s="280">
        <f>IF(offer_sale_type="транзит",IFERROR(VLOOKUP($B805,calc_data,D$14+1,0),0),0)</f>
        <v/>
      </c>
      <c r="E805" s="182">
        <f>IF(offer_sale_type="транзит",IFERROR(VLOOKUP($B805,calc_data,E$14+1,0),0),0)</f>
        <v/>
      </c>
      <c r="F805" s="182">
        <f>IF(offer_sale_type="транзит",IFERROR(VLOOKUP($B805,calc_data,F$14+1,0),0),0)</f>
        <v/>
      </c>
      <c r="G805" s="141">
        <f>IF(offer_sale_type="транзит",IFERROR(VLOOKUP($B805,calc_data,G$14+1,0),0),0)</f>
        <v/>
      </c>
      <c r="H805" s="141">
        <f>E805*G805</f>
        <v/>
      </c>
      <c r="I805" s="141">
        <f>IF(offer_sale_type="транзит",IFERROR(ROUND(VLOOKUP($B805,calc_data,I$14+1,0),2),0),0)</f>
        <v/>
      </c>
      <c r="J805" s="141">
        <f>ROUND(IF(offer_sale_type="транзит",IFERROR(VLOOKUP($B805,calc_data,J$14+1,0),0),0),2)</f>
        <v/>
      </c>
      <c r="K805" s="142">
        <f>IF(offer_sale_type="транзит",IFERROR(ROUNDUP(VLOOKUP($B805,calc_data,K$14+1,0),2),0),0)</f>
        <v/>
      </c>
      <c r="L805" s="184">
        <f>IF(offer_sale_type="транзит",IFERROR(ROUNDUP(VLOOKUP($B805,calc_data,L$14+1,0),2),0),0)</f>
        <v/>
      </c>
      <c r="M805" s="141">
        <f>IF(offer_sale_type="транзит",IFERROR(ROUNDUP(VLOOKUP($B805,calc_data,M$14+1,0),2),0),0)</f>
        <v/>
      </c>
      <c r="N805" s="141">
        <f>IF(offer_sale_type="транзит",IFERROR(ROUNDUP(VLOOKUP($B805,calc_data,N$14+1,0),2),0),0)</f>
        <v/>
      </c>
      <c r="O805" s="147">
        <f>IF(offer_sale_type="транзит",IFERROR(ROUND(VLOOKUP($B805,calc_data,O$14+1,1),2),0),0)</f>
        <v/>
      </c>
      <c r="P805" s="141">
        <f>IF(offer_sale_type="транзит",IFERROR(ROUND(SUM(I805:J805,M805:O805)/E805,2),0),0)</f>
        <v/>
      </c>
      <c r="Q805" s="141">
        <f>E805*P805</f>
        <v/>
      </c>
      <c r="R805" s="141">
        <f>ROUND(Q805*IF(AND(offer_incoterms="DDP",seller_region="RU"),IF((TODAY()+offer_turnaround_time)&gt;=helpsheet!$L$17,rate_vatRU_from_26,rate_vatRu_till_25),0),2)</f>
        <v/>
      </c>
      <c r="S805" s="177">
        <f>Q805+IF(AND(offer_incoterms="DDP",seller_region="RU"),R805,0)</f>
        <v/>
      </c>
      <c r="T805" s="45" t="n"/>
      <c r="V805" s="57">
        <f>IF(Q805&gt;0,"показать","скрыть")</f>
        <v/>
      </c>
    </row>
    <row r="806" ht="15.75" customHeight="1">
      <c r="B806" s="809" t="n">
        <v>790</v>
      </c>
      <c r="C806" s="182">
        <f>IF(offer_sale_type="транзит",IFERROR(VLOOKUP($B806,calc_data,C$14+1,0),0),0)</f>
        <v/>
      </c>
      <c r="D806" s="280">
        <f>IF(offer_sale_type="транзит",IFERROR(VLOOKUP($B806,calc_data,D$14+1,0),0),0)</f>
        <v/>
      </c>
      <c r="E806" s="182">
        <f>IF(offer_sale_type="транзит",IFERROR(VLOOKUP($B806,calc_data,E$14+1,0),0),0)</f>
        <v/>
      </c>
      <c r="F806" s="182">
        <f>IF(offer_sale_type="транзит",IFERROR(VLOOKUP($B806,calc_data,F$14+1,0),0),0)</f>
        <v/>
      </c>
      <c r="G806" s="141">
        <f>IF(offer_sale_type="транзит",IFERROR(VLOOKUP($B806,calc_data,G$14+1,0),0),0)</f>
        <v/>
      </c>
      <c r="H806" s="141">
        <f>E806*G806</f>
        <v/>
      </c>
      <c r="I806" s="141">
        <f>IF(offer_sale_type="транзит",IFERROR(ROUND(VLOOKUP($B806,calc_data,I$14+1,0),2),0),0)</f>
        <v/>
      </c>
      <c r="J806" s="141">
        <f>ROUND(IF(offer_sale_type="транзит",IFERROR(VLOOKUP($B806,calc_data,J$14+1,0),0),0),2)</f>
        <v/>
      </c>
      <c r="K806" s="142">
        <f>IF(offer_sale_type="транзит",IFERROR(ROUNDUP(VLOOKUP($B806,calc_data,K$14+1,0),2),0),0)</f>
        <v/>
      </c>
      <c r="L806" s="184">
        <f>IF(offer_sale_type="транзит",IFERROR(ROUNDUP(VLOOKUP($B806,calc_data,L$14+1,0),2),0),0)</f>
        <v/>
      </c>
      <c r="M806" s="141">
        <f>IF(offer_sale_type="транзит",IFERROR(ROUNDUP(VLOOKUP($B806,calc_data,M$14+1,0),2),0),0)</f>
        <v/>
      </c>
      <c r="N806" s="141">
        <f>IF(offer_sale_type="транзит",IFERROR(ROUNDUP(VLOOKUP($B806,calc_data,N$14+1,0),2),0),0)</f>
        <v/>
      </c>
      <c r="O806" s="147">
        <f>IF(offer_sale_type="транзит",IFERROR(ROUND(VLOOKUP($B806,calc_data,O$14+1,1),2),0),0)</f>
        <v/>
      </c>
      <c r="P806" s="141">
        <f>IF(offer_sale_type="транзит",IFERROR(ROUND(SUM(I806:J806,M806:O806)/E806,2),0),0)</f>
        <v/>
      </c>
      <c r="Q806" s="141">
        <f>E806*P806</f>
        <v/>
      </c>
      <c r="R806" s="141">
        <f>ROUND(Q806*IF(AND(offer_incoterms="DDP",seller_region="RU"),IF((TODAY()+offer_turnaround_time)&gt;=helpsheet!$L$17,rate_vatRU_from_26,rate_vatRu_till_25),0),2)</f>
        <v/>
      </c>
      <c r="S806" s="177">
        <f>Q806+IF(AND(offer_incoterms="DDP",seller_region="RU"),R806,0)</f>
        <v/>
      </c>
      <c r="T806" s="45" t="n"/>
      <c r="V806" s="57">
        <f>IF(Q806&gt;0,"показать","скрыть")</f>
        <v/>
      </c>
    </row>
    <row r="807" ht="15.75" customHeight="1">
      <c r="B807" s="809" t="n">
        <v>791</v>
      </c>
      <c r="C807" s="182">
        <f>IF(offer_sale_type="транзит",IFERROR(VLOOKUP($B807,calc_data,C$14+1,0),0),0)</f>
        <v/>
      </c>
      <c r="D807" s="280">
        <f>IF(offer_sale_type="транзит",IFERROR(VLOOKUP($B807,calc_data,D$14+1,0),0),0)</f>
        <v/>
      </c>
      <c r="E807" s="182">
        <f>IF(offer_sale_type="транзит",IFERROR(VLOOKUP($B807,calc_data,E$14+1,0),0),0)</f>
        <v/>
      </c>
      <c r="F807" s="182">
        <f>IF(offer_sale_type="транзит",IFERROR(VLOOKUP($B807,calc_data,F$14+1,0),0),0)</f>
        <v/>
      </c>
      <c r="G807" s="141">
        <f>IF(offer_sale_type="транзит",IFERROR(VLOOKUP($B807,calc_data,G$14+1,0),0),0)</f>
        <v/>
      </c>
      <c r="H807" s="141">
        <f>E807*G807</f>
        <v/>
      </c>
      <c r="I807" s="141">
        <f>IF(offer_sale_type="транзит",IFERROR(ROUND(VLOOKUP($B807,calc_data,I$14+1,0),2),0),0)</f>
        <v/>
      </c>
      <c r="J807" s="141">
        <f>ROUND(IF(offer_sale_type="транзит",IFERROR(VLOOKUP($B807,calc_data,J$14+1,0),0),0),2)</f>
        <v/>
      </c>
      <c r="K807" s="142">
        <f>IF(offer_sale_type="транзит",IFERROR(ROUNDUP(VLOOKUP($B807,calc_data,K$14+1,0),2),0),0)</f>
        <v/>
      </c>
      <c r="L807" s="184">
        <f>IF(offer_sale_type="транзит",IFERROR(ROUNDUP(VLOOKUP($B807,calc_data,L$14+1,0),2),0),0)</f>
        <v/>
      </c>
      <c r="M807" s="141">
        <f>IF(offer_sale_type="транзит",IFERROR(ROUNDUP(VLOOKUP($B807,calc_data,M$14+1,0),2),0),0)</f>
        <v/>
      </c>
      <c r="N807" s="141">
        <f>IF(offer_sale_type="транзит",IFERROR(ROUNDUP(VLOOKUP($B807,calc_data,N$14+1,0),2),0),0)</f>
        <v/>
      </c>
      <c r="O807" s="147">
        <f>IF(offer_sale_type="транзит",IFERROR(ROUND(VLOOKUP($B807,calc_data,O$14+1,1),2),0),0)</f>
        <v/>
      </c>
      <c r="P807" s="141">
        <f>IF(offer_sale_type="транзит",IFERROR(ROUND(SUM(I807:J807,M807:O807)/E807,2),0),0)</f>
        <v/>
      </c>
      <c r="Q807" s="141">
        <f>E807*P807</f>
        <v/>
      </c>
      <c r="R807" s="141">
        <f>ROUND(Q807*IF(AND(offer_incoterms="DDP",seller_region="RU"),IF((TODAY()+offer_turnaround_time)&gt;=helpsheet!$L$17,rate_vatRU_from_26,rate_vatRu_till_25),0),2)</f>
        <v/>
      </c>
      <c r="S807" s="177">
        <f>Q807+IF(AND(offer_incoterms="DDP",seller_region="RU"),R807,0)</f>
        <v/>
      </c>
      <c r="T807" s="45" t="n"/>
      <c r="V807" s="57">
        <f>IF(Q807&gt;0,"показать","скрыть")</f>
        <v/>
      </c>
    </row>
    <row r="808" ht="15.75" customHeight="1">
      <c r="B808" s="809" t="n">
        <v>792</v>
      </c>
      <c r="C808" s="182">
        <f>IF(offer_sale_type="транзит",IFERROR(VLOOKUP($B808,calc_data,C$14+1,0),0),0)</f>
        <v/>
      </c>
      <c r="D808" s="280">
        <f>IF(offer_sale_type="транзит",IFERROR(VLOOKUP($B808,calc_data,D$14+1,0),0),0)</f>
        <v/>
      </c>
      <c r="E808" s="182">
        <f>IF(offer_sale_type="транзит",IFERROR(VLOOKUP($B808,calc_data,E$14+1,0),0),0)</f>
        <v/>
      </c>
      <c r="F808" s="182">
        <f>IF(offer_sale_type="транзит",IFERROR(VLOOKUP($B808,calc_data,F$14+1,0),0),0)</f>
        <v/>
      </c>
      <c r="G808" s="141">
        <f>IF(offer_sale_type="транзит",IFERROR(VLOOKUP($B808,calc_data,G$14+1,0),0),0)</f>
        <v/>
      </c>
      <c r="H808" s="141">
        <f>E808*G808</f>
        <v/>
      </c>
      <c r="I808" s="141">
        <f>IF(offer_sale_type="транзит",IFERROR(ROUND(VLOOKUP($B808,calc_data,I$14+1,0),2),0),0)</f>
        <v/>
      </c>
      <c r="J808" s="141">
        <f>ROUND(IF(offer_sale_type="транзит",IFERROR(VLOOKUP($B808,calc_data,J$14+1,0),0),0),2)</f>
        <v/>
      </c>
      <c r="K808" s="142">
        <f>IF(offer_sale_type="транзит",IFERROR(ROUNDUP(VLOOKUP($B808,calc_data,K$14+1,0),2),0),0)</f>
        <v/>
      </c>
      <c r="L808" s="184">
        <f>IF(offer_sale_type="транзит",IFERROR(ROUNDUP(VLOOKUP($B808,calc_data,L$14+1,0),2),0),0)</f>
        <v/>
      </c>
      <c r="M808" s="141">
        <f>IF(offer_sale_type="транзит",IFERROR(ROUNDUP(VLOOKUP($B808,calc_data,M$14+1,0),2),0),0)</f>
        <v/>
      </c>
      <c r="N808" s="141">
        <f>IF(offer_sale_type="транзит",IFERROR(ROUNDUP(VLOOKUP($B808,calc_data,N$14+1,0),2),0),0)</f>
        <v/>
      </c>
      <c r="O808" s="147">
        <f>IF(offer_sale_type="транзит",IFERROR(ROUND(VLOOKUP($B808,calc_data,O$14+1,1),2),0),0)</f>
        <v/>
      </c>
      <c r="P808" s="141">
        <f>IF(offer_sale_type="транзит",IFERROR(ROUND(SUM(I808:J808,M808:O808)/E808,2),0),0)</f>
        <v/>
      </c>
      <c r="Q808" s="141">
        <f>E808*P808</f>
        <v/>
      </c>
      <c r="R808" s="141">
        <f>ROUND(Q808*IF(AND(offer_incoterms="DDP",seller_region="RU"),IF((TODAY()+offer_turnaround_time)&gt;=helpsheet!$L$17,rate_vatRU_from_26,rate_vatRu_till_25),0),2)</f>
        <v/>
      </c>
      <c r="S808" s="177">
        <f>Q808+IF(AND(offer_incoterms="DDP",seller_region="RU"),R808,0)</f>
        <v/>
      </c>
      <c r="T808" s="45" t="n"/>
      <c r="V808" s="57">
        <f>IF(Q808&gt;0,"показать","скрыть")</f>
        <v/>
      </c>
    </row>
    <row r="809" ht="15.75" customHeight="1">
      <c r="B809" s="809" t="n">
        <v>793</v>
      </c>
      <c r="C809" s="182">
        <f>IF(offer_sale_type="транзит",IFERROR(VLOOKUP($B809,calc_data,C$14+1,0),0),0)</f>
        <v/>
      </c>
      <c r="D809" s="280">
        <f>IF(offer_sale_type="транзит",IFERROR(VLOOKUP($B809,calc_data,D$14+1,0),0),0)</f>
        <v/>
      </c>
      <c r="E809" s="182">
        <f>IF(offer_sale_type="транзит",IFERROR(VLOOKUP($B809,calc_data,E$14+1,0),0),0)</f>
        <v/>
      </c>
      <c r="F809" s="182">
        <f>IF(offer_sale_type="транзит",IFERROR(VLOOKUP($B809,calc_data,F$14+1,0),0),0)</f>
        <v/>
      </c>
      <c r="G809" s="141">
        <f>IF(offer_sale_type="транзит",IFERROR(VLOOKUP($B809,calc_data,G$14+1,0),0),0)</f>
        <v/>
      </c>
      <c r="H809" s="141">
        <f>E809*G809</f>
        <v/>
      </c>
      <c r="I809" s="141">
        <f>IF(offer_sale_type="транзит",IFERROR(ROUND(VLOOKUP($B809,calc_data,I$14+1,0),2),0),0)</f>
        <v/>
      </c>
      <c r="J809" s="141">
        <f>ROUND(IF(offer_sale_type="транзит",IFERROR(VLOOKUP($B809,calc_data,J$14+1,0),0),0),2)</f>
        <v/>
      </c>
      <c r="K809" s="142">
        <f>IF(offer_sale_type="транзит",IFERROR(ROUNDUP(VLOOKUP($B809,calc_data,K$14+1,0),2),0),0)</f>
        <v/>
      </c>
      <c r="L809" s="184">
        <f>IF(offer_sale_type="транзит",IFERROR(ROUNDUP(VLOOKUP($B809,calc_data,L$14+1,0),2),0),0)</f>
        <v/>
      </c>
      <c r="M809" s="141">
        <f>IF(offer_sale_type="транзит",IFERROR(ROUNDUP(VLOOKUP($B809,calc_data,M$14+1,0),2),0),0)</f>
        <v/>
      </c>
      <c r="N809" s="141">
        <f>IF(offer_sale_type="транзит",IFERROR(ROUNDUP(VLOOKUP($B809,calc_data,N$14+1,0),2),0),0)</f>
        <v/>
      </c>
      <c r="O809" s="147">
        <f>IF(offer_sale_type="транзит",IFERROR(ROUND(VLOOKUP($B809,calc_data,O$14+1,1),2),0),0)</f>
        <v/>
      </c>
      <c r="P809" s="141">
        <f>IF(offer_sale_type="транзит",IFERROR(ROUND(SUM(I809:J809,M809:O809)/E809,2),0),0)</f>
        <v/>
      </c>
      <c r="Q809" s="141">
        <f>E809*P809</f>
        <v/>
      </c>
      <c r="R809" s="141">
        <f>ROUND(Q809*IF(AND(offer_incoterms="DDP",seller_region="RU"),IF((TODAY()+offer_turnaround_time)&gt;=helpsheet!$L$17,rate_vatRU_from_26,rate_vatRu_till_25),0),2)</f>
        <v/>
      </c>
      <c r="S809" s="177">
        <f>Q809+IF(AND(offer_incoterms="DDP",seller_region="RU"),R809,0)</f>
        <v/>
      </c>
      <c r="T809" s="45" t="n"/>
      <c r="V809" s="57">
        <f>IF(Q809&gt;0,"показать","скрыть")</f>
        <v/>
      </c>
    </row>
    <row r="810" ht="15.75" customHeight="1">
      <c r="B810" s="809" t="n">
        <v>794</v>
      </c>
      <c r="C810" s="182">
        <f>IF(offer_sale_type="транзит",IFERROR(VLOOKUP($B810,calc_data,C$14+1,0),0),0)</f>
        <v/>
      </c>
      <c r="D810" s="280">
        <f>IF(offer_sale_type="транзит",IFERROR(VLOOKUP($B810,calc_data,D$14+1,0),0),0)</f>
        <v/>
      </c>
      <c r="E810" s="182">
        <f>IF(offer_sale_type="транзит",IFERROR(VLOOKUP($B810,calc_data,E$14+1,0),0),0)</f>
        <v/>
      </c>
      <c r="F810" s="182">
        <f>IF(offer_sale_type="транзит",IFERROR(VLOOKUP($B810,calc_data,F$14+1,0),0),0)</f>
        <v/>
      </c>
      <c r="G810" s="141">
        <f>IF(offer_sale_type="транзит",IFERROR(VLOOKUP($B810,calc_data,G$14+1,0),0),0)</f>
        <v/>
      </c>
      <c r="H810" s="141">
        <f>E810*G810</f>
        <v/>
      </c>
      <c r="I810" s="141">
        <f>IF(offer_sale_type="транзит",IFERROR(ROUND(VLOOKUP($B810,calc_data,I$14+1,0),2),0),0)</f>
        <v/>
      </c>
      <c r="J810" s="141">
        <f>ROUND(IF(offer_sale_type="транзит",IFERROR(VLOOKUP($B810,calc_data,J$14+1,0),0),0),2)</f>
        <v/>
      </c>
      <c r="K810" s="142">
        <f>IF(offer_sale_type="транзит",IFERROR(ROUNDUP(VLOOKUP($B810,calc_data,K$14+1,0),2),0),0)</f>
        <v/>
      </c>
      <c r="L810" s="184">
        <f>IF(offer_sale_type="транзит",IFERROR(ROUNDUP(VLOOKUP($B810,calc_data,L$14+1,0),2),0),0)</f>
        <v/>
      </c>
      <c r="M810" s="141">
        <f>IF(offer_sale_type="транзит",IFERROR(ROUNDUP(VLOOKUP($B810,calc_data,M$14+1,0),2),0),0)</f>
        <v/>
      </c>
      <c r="N810" s="141">
        <f>IF(offer_sale_type="транзит",IFERROR(ROUNDUP(VLOOKUP($B810,calc_data,N$14+1,0),2),0),0)</f>
        <v/>
      </c>
      <c r="O810" s="147">
        <f>IF(offer_sale_type="транзит",IFERROR(ROUND(VLOOKUP($B810,calc_data,O$14+1,1),2),0),0)</f>
        <v/>
      </c>
      <c r="P810" s="141">
        <f>IF(offer_sale_type="транзит",IFERROR(ROUND(SUM(I810:J810,M810:O810)/E810,2),0),0)</f>
        <v/>
      </c>
      <c r="Q810" s="141">
        <f>E810*P810</f>
        <v/>
      </c>
      <c r="R810" s="141">
        <f>ROUND(Q810*IF(AND(offer_incoterms="DDP",seller_region="RU"),IF((TODAY()+offer_turnaround_time)&gt;=helpsheet!$L$17,rate_vatRU_from_26,rate_vatRu_till_25),0),2)</f>
        <v/>
      </c>
      <c r="S810" s="177">
        <f>Q810+IF(AND(offer_incoterms="DDP",seller_region="RU"),R810,0)</f>
        <v/>
      </c>
      <c r="T810" s="45" t="n"/>
      <c r="V810" s="57">
        <f>IF(Q810&gt;0,"показать","скрыть")</f>
        <v/>
      </c>
    </row>
    <row r="811" ht="15.75" customHeight="1">
      <c r="B811" s="809" t="n">
        <v>795</v>
      </c>
      <c r="C811" s="182">
        <f>IF(offer_sale_type="транзит",IFERROR(VLOOKUP($B811,calc_data,C$14+1,0),0),0)</f>
        <v/>
      </c>
      <c r="D811" s="280">
        <f>IF(offer_sale_type="транзит",IFERROR(VLOOKUP($B811,calc_data,D$14+1,0),0),0)</f>
        <v/>
      </c>
      <c r="E811" s="182">
        <f>IF(offer_sale_type="транзит",IFERROR(VLOOKUP($B811,calc_data,E$14+1,0),0),0)</f>
        <v/>
      </c>
      <c r="F811" s="182">
        <f>IF(offer_sale_type="транзит",IFERROR(VLOOKUP($B811,calc_data,F$14+1,0),0),0)</f>
        <v/>
      </c>
      <c r="G811" s="141">
        <f>IF(offer_sale_type="транзит",IFERROR(VLOOKUP($B811,calc_data,G$14+1,0),0),0)</f>
        <v/>
      </c>
      <c r="H811" s="141">
        <f>E811*G811</f>
        <v/>
      </c>
      <c r="I811" s="141">
        <f>IF(offer_sale_type="транзит",IFERROR(ROUND(VLOOKUP($B811,calc_data,I$14+1,0),2),0),0)</f>
        <v/>
      </c>
      <c r="J811" s="141">
        <f>ROUND(IF(offer_sale_type="транзит",IFERROR(VLOOKUP($B811,calc_data,J$14+1,0),0),0),2)</f>
        <v/>
      </c>
      <c r="K811" s="142">
        <f>IF(offer_sale_type="транзит",IFERROR(ROUNDUP(VLOOKUP($B811,calc_data,K$14+1,0),2),0),0)</f>
        <v/>
      </c>
      <c r="L811" s="184">
        <f>IF(offer_sale_type="транзит",IFERROR(ROUNDUP(VLOOKUP($B811,calc_data,L$14+1,0),2),0),0)</f>
        <v/>
      </c>
      <c r="M811" s="141">
        <f>IF(offer_sale_type="транзит",IFERROR(ROUNDUP(VLOOKUP($B811,calc_data,M$14+1,0),2),0),0)</f>
        <v/>
      </c>
      <c r="N811" s="141">
        <f>IF(offer_sale_type="транзит",IFERROR(ROUNDUP(VLOOKUP($B811,calc_data,N$14+1,0),2),0),0)</f>
        <v/>
      </c>
      <c r="O811" s="147">
        <f>IF(offer_sale_type="транзит",IFERROR(ROUND(VLOOKUP($B811,calc_data,O$14+1,1),2),0),0)</f>
        <v/>
      </c>
      <c r="P811" s="141">
        <f>IF(offer_sale_type="транзит",IFERROR(ROUND(SUM(I811:J811,M811:O811)/E811,2),0),0)</f>
        <v/>
      </c>
      <c r="Q811" s="141">
        <f>E811*P811</f>
        <v/>
      </c>
      <c r="R811" s="141">
        <f>ROUND(Q811*IF(AND(offer_incoterms="DDP",seller_region="RU"),IF((TODAY()+offer_turnaround_time)&gt;=helpsheet!$L$17,rate_vatRU_from_26,rate_vatRu_till_25),0),2)</f>
        <v/>
      </c>
      <c r="S811" s="177">
        <f>Q811+IF(AND(offer_incoterms="DDP",seller_region="RU"),R811,0)</f>
        <v/>
      </c>
      <c r="T811" s="45" t="n"/>
      <c r="V811" s="57">
        <f>IF(Q811&gt;0,"показать","скрыть")</f>
        <v/>
      </c>
    </row>
    <row r="812" ht="15.75" customHeight="1">
      <c r="B812" s="809" t="n">
        <v>796</v>
      </c>
      <c r="C812" s="182">
        <f>IF(offer_sale_type="транзит",IFERROR(VLOOKUP($B812,calc_data,C$14+1,0),0),0)</f>
        <v/>
      </c>
      <c r="D812" s="280">
        <f>IF(offer_sale_type="транзит",IFERROR(VLOOKUP($B812,calc_data,D$14+1,0),0),0)</f>
        <v/>
      </c>
      <c r="E812" s="182">
        <f>IF(offer_sale_type="транзит",IFERROR(VLOOKUP($B812,calc_data,E$14+1,0),0),0)</f>
        <v/>
      </c>
      <c r="F812" s="182">
        <f>IF(offer_sale_type="транзит",IFERROR(VLOOKUP($B812,calc_data,F$14+1,0),0),0)</f>
        <v/>
      </c>
      <c r="G812" s="141">
        <f>IF(offer_sale_type="транзит",IFERROR(VLOOKUP($B812,calc_data,G$14+1,0),0),0)</f>
        <v/>
      </c>
      <c r="H812" s="141">
        <f>E812*G812</f>
        <v/>
      </c>
      <c r="I812" s="141">
        <f>IF(offer_sale_type="транзит",IFERROR(ROUND(VLOOKUP($B812,calc_data,I$14+1,0),2),0),0)</f>
        <v/>
      </c>
      <c r="J812" s="141">
        <f>ROUND(IF(offer_sale_type="транзит",IFERROR(VLOOKUP($B812,calc_data,J$14+1,0),0),0),2)</f>
        <v/>
      </c>
      <c r="K812" s="142">
        <f>IF(offer_sale_type="транзит",IFERROR(ROUNDUP(VLOOKUP($B812,calc_data,K$14+1,0),2),0),0)</f>
        <v/>
      </c>
      <c r="L812" s="184">
        <f>IF(offer_sale_type="транзит",IFERROR(ROUNDUP(VLOOKUP($B812,calc_data,L$14+1,0),2),0),0)</f>
        <v/>
      </c>
      <c r="M812" s="141">
        <f>IF(offer_sale_type="транзит",IFERROR(ROUNDUP(VLOOKUP($B812,calc_data,M$14+1,0),2),0),0)</f>
        <v/>
      </c>
      <c r="N812" s="141">
        <f>IF(offer_sale_type="транзит",IFERROR(ROUNDUP(VLOOKUP($B812,calc_data,N$14+1,0),2),0),0)</f>
        <v/>
      </c>
      <c r="O812" s="147">
        <f>IF(offer_sale_type="транзит",IFERROR(ROUND(VLOOKUP($B812,calc_data,O$14+1,1),2),0),0)</f>
        <v/>
      </c>
      <c r="P812" s="141">
        <f>IF(offer_sale_type="транзит",IFERROR(ROUND(SUM(I812:J812,M812:O812)/E812,2),0),0)</f>
        <v/>
      </c>
      <c r="Q812" s="141">
        <f>E812*P812</f>
        <v/>
      </c>
      <c r="R812" s="141">
        <f>ROUND(Q812*IF(AND(offer_incoterms="DDP",seller_region="RU"),IF((TODAY()+offer_turnaround_time)&gt;=helpsheet!$L$17,rate_vatRU_from_26,rate_vatRu_till_25),0),2)</f>
        <v/>
      </c>
      <c r="S812" s="177">
        <f>Q812+IF(AND(offer_incoterms="DDP",seller_region="RU"),R812,0)</f>
        <v/>
      </c>
      <c r="T812" s="45" t="n"/>
      <c r="V812" s="57">
        <f>IF(Q812&gt;0,"показать","скрыть")</f>
        <v/>
      </c>
    </row>
    <row r="813" ht="15.75" customHeight="1">
      <c r="B813" s="809" t="n">
        <v>797</v>
      </c>
      <c r="C813" s="182">
        <f>IF(offer_sale_type="транзит",IFERROR(VLOOKUP($B813,calc_data,C$14+1,0),0),0)</f>
        <v/>
      </c>
      <c r="D813" s="280">
        <f>IF(offer_sale_type="транзит",IFERROR(VLOOKUP($B813,calc_data,D$14+1,0),0),0)</f>
        <v/>
      </c>
      <c r="E813" s="182">
        <f>IF(offer_sale_type="транзит",IFERROR(VLOOKUP($B813,calc_data,E$14+1,0),0),0)</f>
        <v/>
      </c>
      <c r="F813" s="182">
        <f>IF(offer_sale_type="транзит",IFERROR(VLOOKUP($B813,calc_data,F$14+1,0),0),0)</f>
        <v/>
      </c>
      <c r="G813" s="141">
        <f>IF(offer_sale_type="транзит",IFERROR(VLOOKUP($B813,calc_data,G$14+1,0),0),0)</f>
        <v/>
      </c>
      <c r="H813" s="141">
        <f>E813*G813</f>
        <v/>
      </c>
      <c r="I813" s="141">
        <f>IF(offer_sale_type="транзит",IFERROR(ROUND(VLOOKUP($B813,calc_data,I$14+1,0),2),0),0)</f>
        <v/>
      </c>
      <c r="J813" s="141">
        <f>ROUND(IF(offer_sale_type="транзит",IFERROR(VLOOKUP($B813,calc_data,J$14+1,0),0),0),2)</f>
        <v/>
      </c>
      <c r="K813" s="142">
        <f>IF(offer_sale_type="транзит",IFERROR(ROUNDUP(VLOOKUP($B813,calc_data,K$14+1,0),2),0),0)</f>
        <v/>
      </c>
      <c r="L813" s="184">
        <f>IF(offer_sale_type="транзит",IFERROR(ROUNDUP(VLOOKUP($B813,calc_data,L$14+1,0),2),0),0)</f>
        <v/>
      </c>
      <c r="M813" s="141">
        <f>IF(offer_sale_type="транзит",IFERROR(ROUNDUP(VLOOKUP($B813,calc_data,M$14+1,0),2),0),0)</f>
        <v/>
      </c>
      <c r="N813" s="141">
        <f>IF(offer_sale_type="транзит",IFERROR(ROUNDUP(VLOOKUP($B813,calc_data,N$14+1,0),2),0),0)</f>
        <v/>
      </c>
      <c r="O813" s="147">
        <f>IF(offer_sale_type="транзит",IFERROR(ROUND(VLOOKUP($B813,calc_data,O$14+1,1),2),0),0)</f>
        <v/>
      </c>
      <c r="P813" s="141">
        <f>IF(offer_sale_type="транзит",IFERROR(ROUND(SUM(I813:J813,M813:O813)/E813,2),0),0)</f>
        <v/>
      </c>
      <c r="Q813" s="141">
        <f>E813*P813</f>
        <v/>
      </c>
      <c r="R813" s="141">
        <f>ROUND(Q813*IF(AND(offer_incoterms="DDP",seller_region="RU"),IF((TODAY()+offer_turnaround_time)&gt;=helpsheet!$L$17,rate_vatRU_from_26,rate_vatRu_till_25),0),2)</f>
        <v/>
      </c>
      <c r="S813" s="177">
        <f>Q813+IF(AND(offer_incoterms="DDP",seller_region="RU"),R813,0)</f>
        <v/>
      </c>
      <c r="T813" s="45" t="n"/>
      <c r="V813" s="57">
        <f>IF(Q813&gt;0,"показать","скрыть")</f>
        <v/>
      </c>
    </row>
    <row r="814" ht="15.75" customHeight="1">
      <c r="B814" s="809" t="n">
        <v>798</v>
      </c>
      <c r="C814" s="182">
        <f>IF(offer_sale_type="транзит",IFERROR(VLOOKUP($B814,calc_data,C$14+1,0),0),0)</f>
        <v/>
      </c>
      <c r="D814" s="280">
        <f>IF(offer_sale_type="транзит",IFERROR(VLOOKUP($B814,calc_data,D$14+1,0),0),0)</f>
        <v/>
      </c>
      <c r="E814" s="182">
        <f>IF(offer_sale_type="транзит",IFERROR(VLOOKUP($B814,calc_data,E$14+1,0),0),0)</f>
        <v/>
      </c>
      <c r="F814" s="182">
        <f>IF(offer_sale_type="транзит",IFERROR(VLOOKUP($B814,calc_data,F$14+1,0),0),0)</f>
        <v/>
      </c>
      <c r="G814" s="141">
        <f>IF(offer_sale_type="транзит",IFERROR(VLOOKUP($B814,calc_data,G$14+1,0),0),0)</f>
        <v/>
      </c>
      <c r="H814" s="141">
        <f>E814*G814</f>
        <v/>
      </c>
      <c r="I814" s="141">
        <f>IF(offer_sale_type="транзит",IFERROR(ROUND(VLOOKUP($B814,calc_data,I$14+1,0),2),0),0)</f>
        <v/>
      </c>
      <c r="J814" s="141">
        <f>ROUND(IF(offer_sale_type="транзит",IFERROR(VLOOKUP($B814,calc_data,J$14+1,0),0),0),2)</f>
        <v/>
      </c>
      <c r="K814" s="142">
        <f>IF(offer_sale_type="транзит",IFERROR(ROUNDUP(VLOOKUP($B814,calc_data,K$14+1,0),2),0),0)</f>
        <v/>
      </c>
      <c r="L814" s="184">
        <f>IF(offer_sale_type="транзит",IFERROR(ROUNDUP(VLOOKUP($B814,calc_data,L$14+1,0),2),0),0)</f>
        <v/>
      </c>
      <c r="M814" s="141">
        <f>IF(offer_sale_type="транзит",IFERROR(ROUNDUP(VLOOKUP($B814,calc_data,M$14+1,0),2),0),0)</f>
        <v/>
      </c>
      <c r="N814" s="141">
        <f>IF(offer_sale_type="транзит",IFERROR(ROUNDUP(VLOOKUP($B814,calc_data,N$14+1,0),2),0),0)</f>
        <v/>
      </c>
      <c r="O814" s="147">
        <f>IF(offer_sale_type="транзит",IFERROR(ROUND(VLOOKUP($B814,calc_data,O$14+1,1),2),0),0)</f>
        <v/>
      </c>
      <c r="P814" s="141">
        <f>IF(offer_sale_type="транзит",IFERROR(ROUND(SUM(I814:J814,M814:O814)/E814,2),0),0)</f>
        <v/>
      </c>
      <c r="Q814" s="141">
        <f>E814*P814</f>
        <v/>
      </c>
      <c r="R814" s="141">
        <f>ROUND(Q814*IF(AND(offer_incoterms="DDP",seller_region="RU"),IF((TODAY()+offer_turnaround_time)&gt;=helpsheet!$L$17,rate_vatRU_from_26,rate_vatRu_till_25),0),2)</f>
        <v/>
      </c>
      <c r="S814" s="177">
        <f>Q814+IF(AND(offer_incoterms="DDP",seller_region="RU"),R814,0)</f>
        <v/>
      </c>
      <c r="T814" s="45" t="n"/>
      <c r="V814" s="57">
        <f>IF(Q814&gt;0,"показать","скрыть")</f>
        <v/>
      </c>
    </row>
    <row r="815" ht="15.75" customHeight="1">
      <c r="B815" s="809" t="n">
        <v>799</v>
      </c>
      <c r="C815" s="182">
        <f>IF(offer_sale_type="транзит",IFERROR(VLOOKUP($B815,calc_data,C$14+1,0),0),0)</f>
        <v/>
      </c>
      <c r="D815" s="280">
        <f>IF(offer_sale_type="транзит",IFERROR(VLOOKUP($B815,calc_data,D$14+1,0),0),0)</f>
        <v/>
      </c>
      <c r="E815" s="182">
        <f>IF(offer_sale_type="транзит",IFERROR(VLOOKUP($B815,calc_data,E$14+1,0),0),0)</f>
        <v/>
      </c>
      <c r="F815" s="182">
        <f>IF(offer_sale_type="транзит",IFERROR(VLOOKUP($B815,calc_data,F$14+1,0),0),0)</f>
        <v/>
      </c>
      <c r="G815" s="141">
        <f>IF(offer_sale_type="транзит",IFERROR(VLOOKUP($B815,calc_data,G$14+1,0),0),0)</f>
        <v/>
      </c>
      <c r="H815" s="141">
        <f>E815*G815</f>
        <v/>
      </c>
      <c r="I815" s="141">
        <f>IF(offer_sale_type="транзит",IFERROR(ROUND(VLOOKUP($B815,calc_data,I$14+1,0),2),0),0)</f>
        <v/>
      </c>
      <c r="J815" s="141">
        <f>ROUND(IF(offer_sale_type="транзит",IFERROR(VLOOKUP($B815,calc_data,J$14+1,0),0),0),2)</f>
        <v/>
      </c>
      <c r="K815" s="142">
        <f>IF(offer_sale_type="транзит",IFERROR(ROUNDUP(VLOOKUP($B815,calc_data,K$14+1,0),2),0),0)</f>
        <v/>
      </c>
      <c r="L815" s="184">
        <f>IF(offer_sale_type="транзит",IFERROR(ROUNDUP(VLOOKUP($B815,calc_data,L$14+1,0),2),0),0)</f>
        <v/>
      </c>
      <c r="M815" s="141">
        <f>IF(offer_sale_type="транзит",IFERROR(ROUNDUP(VLOOKUP($B815,calc_data,M$14+1,0),2),0),0)</f>
        <v/>
      </c>
      <c r="N815" s="141">
        <f>IF(offer_sale_type="транзит",IFERROR(ROUNDUP(VLOOKUP($B815,calc_data,N$14+1,0),2),0),0)</f>
        <v/>
      </c>
      <c r="O815" s="147">
        <f>IF(offer_sale_type="транзит",IFERROR(ROUND(VLOOKUP($B815,calc_data,O$14+1,1),2),0),0)</f>
        <v/>
      </c>
      <c r="P815" s="141">
        <f>IF(offer_sale_type="транзит",IFERROR(ROUND(SUM(I815:J815,M815:O815)/E815,2),0),0)</f>
        <v/>
      </c>
      <c r="Q815" s="141">
        <f>E815*P815</f>
        <v/>
      </c>
      <c r="R815" s="141">
        <f>ROUND(Q815*IF(AND(offer_incoterms="DDP",seller_region="RU"),IF((TODAY()+offer_turnaround_time)&gt;=helpsheet!$L$17,rate_vatRU_from_26,rate_vatRu_till_25),0),2)</f>
        <v/>
      </c>
      <c r="S815" s="177">
        <f>Q815+IF(AND(offer_incoterms="DDP",seller_region="RU"),R815,0)</f>
        <v/>
      </c>
      <c r="T815" s="45" t="n"/>
      <c r="V815" s="57">
        <f>IF(Q815&gt;0,"показать","скрыть")</f>
        <v/>
      </c>
    </row>
    <row r="816" ht="15.75" customHeight="1">
      <c r="B816" s="809" t="n">
        <v>800</v>
      </c>
      <c r="C816" s="182">
        <f>IF(offer_sale_type="транзит",IFERROR(VLOOKUP($B816,calc_data,C$14+1,0),0),0)</f>
        <v/>
      </c>
      <c r="D816" s="280">
        <f>IF(offer_sale_type="транзит",IFERROR(VLOOKUP($B816,calc_data,D$14+1,0),0),0)</f>
        <v/>
      </c>
      <c r="E816" s="182">
        <f>IF(offer_sale_type="транзит",IFERROR(VLOOKUP($B816,calc_data,E$14+1,0),0),0)</f>
        <v/>
      </c>
      <c r="F816" s="182">
        <f>IF(offer_sale_type="транзит",IFERROR(VLOOKUP($B816,calc_data,F$14+1,0),0),0)</f>
        <v/>
      </c>
      <c r="G816" s="141">
        <f>IF(offer_sale_type="транзит",IFERROR(VLOOKUP($B816,calc_data,G$14+1,0),0),0)</f>
        <v/>
      </c>
      <c r="H816" s="141">
        <f>E816*G816</f>
        <v/>
      </c>
      <c r="I816" s="141">
        <f>IF(offer_sale_type="транзит",IFERROR(ROUND(VLOOKUP($B816,calc_data,I$14+1,0),2),0),0)</f>
        <v/>
      </c>
      <c r="J816" s="141">
        <f>ROUND(IF(offer_sale_type="транзит",IFERROR(VLOOKUP($B816,calc_data,J$14+1,0),0),0),2)</f>
        <v/>
      </c>
      <c r="K816" s="142">
        <f>IF(offer_sale_type="транзит",IFERROR(ROUNDUP(VLOOKUP($B816,calc_data,K$14+1,0),2),0),0)</f>
        <v/>
      </c>
      <c r="L816" s="184">
        <f>IF(offer_sale_type="транзит",IFERROR(ROUNDUP(VLOOKUP($B816,calc_data,L$14+1,0),2),0),0)</f>
        <v/>
      </c>
      <c r="M816" s="141">
        <f>IF(offer_sale_type="транзит",IFERROR(ROUNDUP(VLOOKUP($B816,calc_data,M$14+1,0),2),0),0)</f>
        <v/>
      </c>
      <c r="N816" s="141">
        <f>IF(offer_sale_type="транзит",IFERROR(ROUNDUP(VLOOKUP($B816,calc_data,N$14+1,0),2),0),0)</f>
        <v/>
      </c>
      <c r="O816" s="147">
        <f>IF(offer_sale_type="транзит",IFERROR(ROUND(VLOOKUP($B816,calc_data,O$14+1,1),2),0),0)</f>
        <v/>
      </c>
      <c r="P816" s="141">
        <f>IF(offer_sale_type="транзит",IFERROR(ROUND(SUM(I816:J816,M816:O816)/E816,2),0),0)</f>
        <v/>
      </c>
      <c r="Q816" s="141">
        <f>E816*P816</f>
        <v/>
      </c>
      <c r="R816" s="141">
        <f>ROUND(Q816*IF(AND(offer_incoterms="DDP",seller_region="RU"),IF((TODAY()+offer_turnaround_time)&gt;=helpsheet!$L$17,rate_vatRU_from_26,rate_vatRu_till_25),0),2)</f>
        <v/>
      </c>
      <c r="S816" s="177">
        <f>Q816+IF(AND(offer_incoterms="DDP",seller_region="RU"),R816,0)</f>
        <v/>
      </c>
      <c r="T816" s="45" t="n"/>
      <c r="V816" s="57">
        <f>IF(Q816&gt;0,"показать","скрыть")</f>
        <v/>
      </c>
    </row>
    <row r="817" ht="15.75" customHeight="1">
      <c r="B817" s="809" t="n">
        <v>801</v>
      </c>
      <c r="C817" s="182">
        <f>IF(offer_sale_type="транзит",IFERROR(VLOOKUP($B817,calc_data,C$14+1,0),0),0)</f>
        <v/>
      </c>
      <c r="D817" s="280">
        <f>IF(offer_sale_type="транзит",IFERROR(VLOOKUP($B817,calc_data,D$14+1,0),0),0)</f>
        <v/>
      </c>
      <c r="E817" s="182">
        <f>IF(offer_sale_type="транзит",IFERROR(VLOOKUP($B817,calc_data,E$14+1,0),0),0)</f>
        <v/>
      </c>
      <c r="F817" s="182">
        <f>IF(offer_sale_type="транзит",IFERROR(VLOOKUP($B817,calc_data,F$14+1,0),0),0)</f>
        <v/>
      </c>
      <c r="G817" s="141">
        <f>IF(offer_sale_type="транзит",IFERROR(VLOOKUP($B817,calc_data,G$14+1,0),0),0)</f>
        <v/>
      </c>
      <c r="H817" s="141">
        <f>E817*G817</f>
        <v/>
      </c>
      <c r="I817" s="141">
        <f>IF(offer_sale_type="транзит",IFERROR(ROUND(VLOOKUP($B817,calc_data,I$14+1,0),2),0),0)</f>
        <v/>
      </c>
      <c r="J817" s="141">
        <f>ROUND(IF(offer_sale_type="транзит",IFERROR(VLOOKUP($B817,calc_data,J$14+1,0),0),0),2)</f>
        <v/>
      </c>
      <c r="K817" s="142">
        <f>IF(offer_sale_type="транзит",IFERROR(ROUNDUP(VLOOKUP($B817,calc_data,K$14+1,0),2),0),0)</f>
        <v/>
      </c>
      <c r="L817" s="184">
        <f>IF(offer_sale_type="транзит",IFERROR(ROUNDUP(VLOOKUP($B817,calc_data,L$14+1,0),2),0),0)</f>
        <v/>
      </c>
      <c r="M817" s="141">
        <f>IF(offer_sale_type="транзит",IFERROR(ROUNDUP(VLOOKUP($B817,calc_data,M$14+1,0),2),0),0)</f>
        <v/>
      </c>
      <c r="N817" s="141">
        <f>IF(offer_sale_type="транзит",IFERROR(ROUNDUP(VLOOKUP($B817,calc_data,N$14+1,0),2),0),0)</f>
        <v/>
      </c>
      <c r="O817" s="147">
        <f>IF(offer_sale_type="транзит",IFERROR(ROUND(VLOOKUP($B817,calc_data,O$14+1,1),2),0),0)</f>
        <v/>
      </c>
      <c r="P817" s="141">
        <f>IF(offer_sale_type="транзит",IFERROR(ROUND(SUM(I817:J817,M817:O817)/E817,2),0),0)</f>
        <v/>
      </c>
      <c r="Q817" s="141">
        <f>E817*P817</f>
        <v/>
      </c>
      <c r="R817" s="141">
        <f>ROUND(Q817*IF(AND(offer_incoterms="DDP",seller_region="RU"),IF((TODAY()+offer_turnaround_time)&gt;=helpsheet!$L$17,rate_vatRU_from_26,rate_vatRu_till_25),0),2)</f>
        <v/>
      </c>
      <c r="S817" s="177">
        <f>Q817+IF(AND(offer_incoterms="DDP",seller_region="RU"),R817,0)</f>
        <v/>
      </c>
      <c r="T817" s="45" t="n"/>
      <c r="V817" s="57">
        <f>IF(Q817&gt;0,"показать","скрыть")</f>
        <v/>
      </c>
    </row>
    <row r="818" ht="15.75" customHeight="1">
      <c r="B818" s="809" t="n">
        <v>802</v>
      </c>
      <c r="C818" s="182">
        <f>IF(offer_sale_type="транзит",IFERROR(VLOOKUP($B818,calc_data,C$14+1,0),0),0)</f>
        <v/>
      </c>
      <c r="D818" s="280">
        <f>IF(offer_sale_type="транзит",IFERROR(VLOOKUP($B818,calc_data,D$14+1,0),0),0)</f>
        <v/>
      </c>
      <c r="E818" s="182">
        <f>IF(offer_sale_type="транзит",IFERROR(VLOOKUP($B818,calc_data,E$14+1,0),0),0)</f>
        <v/>
      </c>
      <c r="F818" s="182">
        <f>IF(offer_sale_type="транзит",IFERROR(VLOOKUP($B818,calc_data,F$14+1,0),0),0)</f>
        <v/>
      </c>
      <c r="G818" s="141">
        <f>IF(offer_sale_type="транзит",IFERROR(VLOOKUP($B818,calc_data,G$14+1,0),0),0)</f>
        <v/>
      </c>
      <c r="H818" s="141">
        <f>E818*G818</f>
        <v/>
      </c>
      <c r="I818" s="141">
        <f>IF(offer_sale_type="транзит",IFERROR(ROUND(VLOOKUP($B818,calc_data,I$14+1,0),2),0),0)</f>
        <v/>
      </c>
      <c r="J818" s="141">
        <f>ROUND(IF(offer_sale_type="транзит",IFERROR(VLOOKUP($B818,calc_data,J$14+1,0),0),0),2)</f>
        <v/>
      </c>
      <c r="K818" s="142">
        <f>IF(offer_sale_type="транзит",IFERROR(ROUNDUP(VLOOKUP($B818,calc_data,K$14+1,0),2),0),0)</f>
        <v/>
      </c>
      <c r="L818" s="184">
        <f>IF(offer_sale_type="транзит",IFERROR(ROUNDUP(VLOOKUP($B818,calc_data,L$14+1,0),2),0),0)</f>
        <v/>
      </c>
      <c r="M818" s="141">
        <f>IF(offer_sale_type="транзит",IFERROR(ROUNDUP(VLOOKUP($B818,calc_data,M$14+1,0),2),0),0)</f>
        <v/>
      </c>
      <c r="N818" s="141">
        <f>IF(offer_sale_type="транзит",IFERROR(ROUNDUP(VLOOKUP($B818,calc_data,N$14+1,0),2),0),0)</f>
        <v/>
      </c>
      <c r="O818" s="147">
        <f>IF(offer_sale_type="транзит",IFERROR(ROUND(VLOOKUP($B818,calc_data,O$14+1,1),2),0),0)</f>
        <v/>
      </c>
      <c r="P818" s="141">
        <f>IF(offer_sale_type="транзит",IFERROR(ROUND(SUM(I818:J818,M818:O818)/E818,2),0),0)</f>
        <v/>
      </c>
      <c r="Q818" s="141">
        <f>E818*P818</f>
        <v/>
      </c>
      <c r="R818" s="141">
        <f>ROUND(Q818*IF(AND(offer_incoterms="DDP",seller_region="RU"),IF((TODAY()+offer_turnaround_time)&gt;=helpsheet!$L$17,rate_vatRU_from_26,rate_vatRu_till_25),0),2)</f>
        <v/>
      </c>
      <c r="S818" s="177">
        <f>Q818+IF(AND(offer_incoterms="DDP",seller_region="RU"),R818,0)</f>
        <v/>
      </c>
      <c r="T818" s="45" t="n"/>
      <c r="V818" s="57">
        <f>IF(Q818&gt;0,"показать","скрыть")</f>
        <v/>
      </c>
    </row>
    <row r="819" ht="15.75" customHeight="1">
      <c r="B819" s="809" t="n">
        <v>803</v>
      </c>
      <c r="C819" s="182">
        <f>IF(offer_sale_type="транзит",IFERROR(VLOOKUP($B819,calc_data,C$14+1,0),0),0)</f>
        <v/>
      </c>
      <c r="D819" s="280">
        <f>IF(offer_sale_type="транзит",IFERROR(VLOOKUP($B819,calc_data,D$14+1,0),0),0)</f>
        <v/>
      </c>
      <c r="E819" s="182">
        <f>IF(offer_sale_type="транзит",IFERROR(VLOOKUP($B819,calc_data,E$14+1,0),0),0)</f>
        <v/>
      </c>
      <c r="F819" s="182">
        <f>IF(offer_sale_type="транзит",IFERROR(VLOOKUP($B819,calc_data,F$14+1,0),0),0)</f>
        <v/>
      </c>
      <c r="G819" s="141">
        <f>IF(offer_sale_type="транзит",IFERROR(VLOOKUP($B819,calc_data,G$14+1,0),0),0)</f>
        <v/>
      </c>
      <c r="H819" s="141">
        <f>E819*G819</f>
        <v/>
      </c>
      <c r="I819" s="141">
        <f>IF(offer_sale_type="транзит",IFERROR(ROUND(VLOOKUP($B819,calc_data,I$14+1,0),2),0),0)</f>
        <v/>
      </c>
      <c r="J819" s="141">
        <f>ROUND(IF(offer_sale_type="транзит",IFERROR(VLOOKUP($B819,calc_data,J$14+1,0),0),0),2)</f>
        <v/>
      </c>
      <c r="K819" s="142">
        <f>IF(offer_sale_type="транзит",IFERROR(ROUNDUP(VLOOKUP($B819,calc_data,K$14+1,0),2),0),0)</f>
        <v/>
      </c>
      <c r="L819" s="184">
        <f>IF(offer_sale_type="транзит",IFERROR(ROUNDUP(VLOOKUP($B819,calc_data,L$14+1,0),2),0),0)</f>
        <v/>
      </c>
      <c r="M819" s="141">
        <f>IF(offer_sale_type="транзит",IFERROR(ROUNDUP(VLOOKUP($B819,calc_data,M$14+1,0),2),0),0)</f>
        <v/>
      </c>
      <c r="N819" s="141">
        <f>IF(offer_sale_type="транзит",IFERROR(ROUNDUP(VLOOKUP($B819,calc_data,N$14+1,0),2),0),0)</f>
        <v/>
      </c>
      <c r="O819" s="147">
        <f>IF(offer_sale_type="транзит",IFERROR(ROUND(VLOOKUP($B819,calc_data,O$14+1,1),2),0),0)</f>
        <v/>
      </c>
      <c r="P819" s="141">
        <f>IF(offer_sale_type="транзит",IFERROR(ROUND(SUM(I819:J819,M819:O819)/E819,2),0),0)</f>
        <v/>
      </c>
      <c r="Q819" s="141">
        <f>E819*P819</f>
        <v/>
      </c>
      <c r="R819" s="141">
        <f>ROUND(Q819*IF(AND(offer_incoterms="DDP",seller_region="RU"),IF((TODAY()+offer_turnaround_time)&gt;=helpsheet!$L$17,rate_vatRU_from_26,rate_vatRu_till_25),0),2)</f>
        <v/>
      </c>
      <c r="S819" s="177">
        <f>Q819+IF(AND(offer_incoterms="DDP",seller_region="RU"),R819,0)</f>
        <v/>
      </c>
      <c r="T819" s="45" t="n"/>
      <c r="V819" s="57">
        <f>IF(Q819&gt;0,"показать","скрыть")</f>
        <v/>
      </c>
    </row>
    <row r="820" ht="15.75" customHeight="1">
      <c r="B820" s="809" t="n">
        <v>804</v>
      </c>
      <c r="C820" s="182">
        <f>IF(offer_sale_type="транзит",IFERROR(VLOOKUP($B820,calc_data,C$14+1,0),0),0)</f>
        <v/>
      </c>
      <c r="D820" s="280">
        <f>IF(offer_sale_type="транзит",IFERROR(VLOOKUP($B820,calc_data,D$14+1,0),0),0)</f>
        <v/>
      </c>
      <c r="E820" s="182">
        <f>IF(offer_sale_type="транзит",IFERROR(VLOOKUP($B820,calc_data,E$14+1,0),0),0)</f>
        <v/>
      </c>
      <c r="F820" s="182">
        <f>IF(offer_sale_type="транзит",IFERROR(VLOOKUP($B820,calc_data,F$14+1,0),0),0)</f>
        <v/>
      </c>
      <c r="G820" s="141">
        <f>IF(offer_sale_type="транзит",IFERROR(VLOOKUP($B820,calc_data,G$14+1,0),0),0)</f>
        <v/>
      </c>
      <c r="H820" s="141">
        <f>E820*G820</f>
        <v/>
      </c>
      <c r="I820" s="141">
        <f>IF(offer_sale_type="транзит",IFERROR(ROUND(VLOOKUP($B820,calc_data,I$14+1,0),2),0),0)</f>
        <v/>
      </c>
      <c r="J820" s="141">
        <f>ROUND(IF(offer_sale_type="транзит",IFERROR(VLOOKUP($B820,calc_data,J$14+1,0),0),0),2)</f>
        <v/>
      </c>
      <c r="K820" s="142">
        <f>IF(offer_sale_type="транзит",IFERROR(ROUNDUP(VLOOKUP($B820,calc_data,K$14+1,0),2),0),0)</f>
        <v/>
      </c>
      <c r="L820" s="184">
        <f>IF(offer_sale_type="транзит",IFERROR(ROUNDUP(VLOOKUP($B820,calc_data,L$14+1,0),2),0),0)</f>
        <v/>
      </c>
      <c r="M820" s="141">
        <f>IF(offer_sale_type="транзит",IFERROR(ROUNDUP(VLOOKUP($B820,calc_data,M$14+1,0),2),0),0)</f>
        <v/>
      </c>
      <c r="N820" s="141">
        <f>IF(offer_sale_type="транзит",IFERROR(ROUNDUP(VLOOKUP($B820,calc_data,N$14+1,0),2),0),0)</f>
        <v/>
      </c>
      <c r="O820" s="147">
        <f>IF(offer_sale_type="транзит",IFERROR(ROUND(VLOOKUP($B820,calc_data,O$14+1,1),2),0),0)</f>
        <v/>
      </c>
      <c r="P820" s="141">
        <f>IF(offer_sale_type="транзит",IFERROR(ROUND(SUM(I820:J820,M820:O820)/E820,2),0),0)</f>
        <v/>
      </c>
      <c r="Q820" s="141">
        <f>E820*P820</f>
        <v/>
      </c>
      <c r="R820" s="141">
        <f>ROUND(Q820*IF(AND(offer_incoterms="DDP",seller_region="RU"),IF((TODAY()+offer_turnaround_time)&gt;=helpsheet!$L$17,rate_vatRU_from_26,rate_vatRu_till_25),0),2)</f>
        <v/>
      </c>
      <c r="S820" s="177">
        <f>Q820+IF(AND(offer_incoterms="DDP",seller_region="RU"),R820,0)</f>
        <v/>
      </c>
      <c r="T820" s="45" t="n"/>
      <c r="V820" s="57">
        <f>IF(Q820&gt;0,"показать","скрыть")</f>
        <v/>
      </c>
    </row>
    <row r="821" ht="15.75" customHeight="1">
      <c r="B821" s="809" t="n">
        <v>805</v>
      </c>
      <c r="C821" s="182">
        <f>IF(offer_sale_type="транзит",IFERROR(VLOOKUP($B821,calc_data,C$14+1,0),0),0)</f>
        <v/>
      </c>
      <c r="D821" s="280">
        <f>IF(offer_sale_type="транзит",IFERROR(VLOOKUP($B821,calc_data,D$14+1,0),0),0)</f>
        <v/>
      </c>
      <c r="E821" s="182">
        <f>IF(offer_sale_type="транзит",IFERROR(VLOOKUP($B821,calc_data,E$14+1,0),0),0)</f>
        <v/>
      </c>
      <c r="F821" s="182">
        <f>IF(offer_sale_type="транзит",IFERROR(VLOOKUP($B821,calc_data,F$14+1,0),0),0)</f>
        <v/>
      </c>
      <c r="G821" s="141">
        <f>IF(offer_sale_type="транзит",IFERROR(VLOOKUP($B821,calc_data,G$14+1,0),0),0)</f>
        <v/>
      </c>
      <c r="H821" s="141">
        <f>E821*G821</f>
        <v/>
      </c>
      <c r="I821" s="141">
        <f>IF(offer_sale_type="транзит",IFERROR(ROUND(VLOOKUP($B821,calc_data,I$14+1,0),2),0),0)</f>
        <v/>
      </c>
      <c r="J821" s="141">
        <f>ROUND(IF(offer_sale_type="транзит",IFERROR(VLOOKUP($B821,calc_data,J$14+1,0),0),0),2)</f>
        <v/>
      </c>
      <c r="K821" s="142">
        <f>IF(offer_sale_type="транзит",IFERROR(ROUNDUP(VLOOKUP($B821,calc_data,K$14+1,0),2),0),0)</f>
        <v/>
      </c>
      <c r="L821" s="184">
        <f>IF(offer_sale_type="транзит",IFERROR(ROUNDUP(VLOOKUP($B821,calc_data,L$14+1,0),2),0),0)</f>
        <v/>
      </c>
      <c r="M821" s="141">
        <f>IF(offer_sale_type="транзит",IFERROR(ROUNDUP(VLOOKUP($B821,calc_data,M$14+1,0),2),0),0)</f>
        <v/>
      </c>
      <c r="N821" s="141">
        <f>IF(offer_sale_type="транзит",IFERROR(ROUNDUP(VLOOKUP($B821,calc_data,N$14+1,0),2),0),0)</f>
        <v/>
      </c>
      <c r="O821" s="147">
        <f>IF(offer_sale_type="транзит",IFERROR(ROUND(VLOOKUP($B821,calc_data,O$14+1,1),2),0),0)</f>
        <v/>
      </c>
      <c r="P821" s="141">
        <f>IF(offer_sale_type="транзит",IFERROR(ROUND(SUM(I821:J821,M821:O821)/E821,2),0),0)</f>
        <v/>
      </c>
      <c r="Q821" s="141">
        <f>E821*P821</f>
        <v/>
      </c>
      <c r="R821" s="141">
        <f>ROUND(Q821*IF(AND(offer_incoterms="DDP",seller_region="RU"),IF((TODAY()+offer_turnaround_time)&gt;=helpsheet!$L$17,rate_vatRU_from_26,rate_vatRu_till_25),0),2)</f>
        <v/>
      </c>
      <c r="S821" s="177">
        <f>Q821+IF(AND(offer_incoterms="DDP",seller_region="RU"),R821,0)</f>
        <v/>
      </c>
      <c r="T821" s="45" t="n"/>
      <c r="V821" s="57">
        <f>IF(Q821&gt;0,"показать","скрыть")</f>
        <v/>
      </c>
    </row>
    <row r="822" ht="15.75" customHeight="1">
      <c r="B822" s="809" t="n">
        <v>806</v>
      </c>
      <c r="C822" s="182">
        <f>IF(offer_sale_type="транзит",IFERROR(VLOOKUP($B822,calc_data,C$14+1,0),0),0)</f>
        <v/>
      </c>
      <c r="D822" s="280">
        <f>IF(offer_sale_type="транзит",IFERROR(VLOOKUP($B822,calc_data,D$14+1,0),0),0)</f>
        <v/>
      </c>
      <c r="E822" s="182">
        <f>IF(offer_sale_type="транзит",IFERROR(VLOOKUP($B822,calc_data,E$14+1,0),0),0)</f>
        <v/>
      </c>
      <c r="F822" s="182">
        <f>IF(offer_sale_type="транзит",IFERROR(VLOOKUP($B822,calc_data,F$14+1,0),0),0)</f>
        <v/>
      </c>
      <c r="G822" s="141">
        <f>IF(offer_sale_type="транзит",IFERROR(VLOOKUP($B822,calc_data,G$14+1,0),0),0)</f>
        <v/>
      </c>
      <c r="H822" s="141">
        <f>E822*G822</f>
        <v/>
      </c>
      <c r="I822" s="141">
        <f>IF(offer_sale_type="транзит",IFERROR(ROUND(VLOOKUP($B822,calc_data,I$14+1,0),2),0),0)</f>
        <v/>
      </c>
      <c r="J822" s="141">
        <f>ROUND(IF(offer_sale_type="транзит",IFERROR(VLOOKUP($B822,calc_data,J$14+1,0),0),0),2)</f>
        <v/>
      </c>
      <c r="K822" s="142">
        <f>IF(offer_sale_type="транзит",IFERROR(ROUNDUP(VLOOKUP($B822,calc_data,K$14+1,0),2),0),0)</f>
        <v/>
      </c>
      <c r="L822" s="184">
        <f>IF(offer_sale_type="транзит",IFERROR(ROUNDUP(VLOOKUP($B822,calc_data,L$14+1,0),2),0),0)</f>
        <v/>
      </c>
      <c r="M822" s="141">
        <f>IF(offer_sale_type="транзит",IFERROR(ROUNDUP(VLOOKUP($B822,calc_data,M$14+1,0),2),0),0)</f>
        <v/>
      </c>
      <c r="N822" s="141">
        <f>IF(offer_sale_type="транзит",IFERROR(ROUNDUP(VLOOKUP($B822,calc_data,N$14+1,0),2),0),0)</f>
        <v/>
      </c>
      <c r="O822" s="147">
        <f>IF(offer_sale_type="транзит",IFERROR(ROUND(VLOOKUP($B822,calc_data,O$14+1,1),2),0),0)</f>
        <v/>
      </c>
      <c r="P822" s="141">
        <f>IF(offer_sale_type="транзит",IFERROR(ROUND(SUM(I822:J822,M822:O822)/E822,2),0),0)</f>
        <v/>
      </c>
      <c r="Q822" s="141">
        <f>E822*P822</f>
        <v/>
      </c>
      <c r="R822" s="141">
        <f>ROUND(Q822*IF(AND(offer_incoterms="DDP",seller_region="RU"),IF((TODAY()+offer_turnaround_time)&gt;=helpsheet!$L$17,rate_vatRU_from_26,rate_vatRu_till_25),0),2)</f>
        <v/>
      </c>
      <c r="S822" s="177">
        <f>Q822+IF(AND(offer_incoterms="DDP",seller_region="RU"),R822,0)</f>
        <v/>
      </c>
      <c r="T822" s="45" t="n"/>
      <c r="V822" s="57">
        <f>IF(Q822&gt;0,"показать","скрыть")</f>
        <v/>
      </c>
    </row>
    <row r="823" ht="15.75" customHeight="1">
      <c r="B823" s="809" t="n">
        <v>807</v>
      </c>
      <c r="C823" s="182">
        <f>IF(offer_sale_type="транзит",IFERROR(VLOOKUP($B823,calc_data,C$14+1,0),0),0)</f>
        <v/>
      </c>
      <c r="D823" s="280">
        <f>IF(offer_sale_type="транзит",IFERROR(VLOOKUP($B823,calc_data,D$14+1,0),0),0)</f>
        <v/>
      </c>
      <c r="E823" s="182">
        <f>IF(offer_sale_type="транзит",IFERROR(VLOOKUP($B823,calc_data,E$14+1,0),0),0)</f>
        <v/>
      </c>
      <c r="F823" s="182">
        <f>IF(offer_sale_type="транзит",IFERROR(VLOOKUP($B823,calc_data,F$14+1,0),0),0)</f>
        <v/>
      </c>
      <c r="G823" s="141">
        <f>IF(offer_sale_type="транзит",IFERROR(VLOOKUP($B823,calc_data,G$14+1,0),0),0)</f>
        <v/>
      </c>
      <c r="H823" s="141">
        <f>E823*G823</f>
        <v/>
      </c>
      <c r="I823" s="141">
        <f>IF(offer_sale_type="транзит",IFERROR(ROUND(VLOOKUP($B823,calc_data,I$14+1,0),2),0),0)</f>
        <v/>
      </c>
      <c r="J823" s="141">
        <f>ROUND(IF(offer_sale_type="транзит",IFERROR(VLOOKUP($B823,calc_data,J$14+1,0),0),0),2)</f>
        <v/>
      </c>
      <c r="K823" s="142">
        <f>IF(offer_sale_type="транзит",IFERROR(ROUNDUP(VLOOKUP($B823,calc_data,K$14+1,0),2),0),0)</f>
        <v/>
      </c>
      <c r="L823" s="184">
        <f>IF(offer_sale_type="транзит",IFERROR(ROUNDUP(VLOOKUP($B823,calc_data,L$14+1,0),2),0),0)</f>
        <v/>
      </c>
      <c r="M823" s="141">
        <f>IF(offer_sale_type="транзит",IFERROR(ROUNDUP(VLOOKUP($B823,calc_data,M$14+1,0),2),0),0)</f>
        <v/>
      </c>
      <c r="N823" s="141">
        <f>IF(offer_sale_type="транзит",IFERROR(ROUNDUP(VLOOKUP($B823,calc_data,N$14+1,0),2),0),0)</f>
        <v/>
      </c>
      <c r="O823" s="147">
        <f>IF(offer_sale_type="транзит",IFERROR(ROUND(VLOOKUP($B823,calc_data,O$14+1,1),2),0),0)</f>
        <v/>
      </c>
      <c r="P823" s="141">
        <f>IF(offer_sale_type="транзит",IFERROR(ROUND(SUM(I823:J823,M823:O823)/E823,2),0),0)</f>
        <v/>
      </c>
      <c r="Q823" s="141">
        <f>E823*P823</f>
        <v/>
      </c>
      <c r="R823" s="141">
        <f>ROUND(Q823*IF(AND(offer_incoterms="DDP",seller_region="RU"),IF((TODAY()+offer_turnaround_time)&gt;=helpsheet!$L$17,rate_vatRU_from_26,rate_vatRu_till_25),0),2)</f>
        <v/>
      </c>
      <c r="S823" s="177">
        <f>Q823+IF(AND(offer_incoterms="DDP",seller_region="RU"),R823,0)</f>
        <v/>
      </c>
      <c r="T823" s="45" t="n"/>
      <c r="V823" s="57">
        <f>IF(Q823&gt;0,"показать","скрыть")</f>
        <v/>
      </c>
    </row>
    <row r="824" ht="15.75" customHeight="1">
      <c r="B824" s="809" t="n">
        <v>808</v>
      </c>
      <c r="C824" s="182">
        <f>IF(offer_sale_type="транзит",IFERROR(VLOOKUP($B824,calc_data,C$14+1,0),0),0)</f>
        <v/>
      </c>
      <c r="D824" s="280">
        <f>IF(offer_sale_type="транзит",IFERROR(VLOOKUP($B824,calc_data,D$14+1,0),0),0)</f>
        <v/>
      </c>
      <c r="E824" s="182">
        <f>IF(offer_sale_type="транзит",IFERROR(VLOOKUP($B824,calc_data,E$14+1,0),0),0)</f>
        <v/>
      </c>
      <c r="F824" s="182">
        <f>IF(offer_sale_type="транзит",IFERROR(VLOOKUP($B824,calc_data,F$14+1,0),0),0)</f>
        <v/>
      </c>
      <c r="G824" s="141">
        <f>IF(offer_sale_type="транзит",IFERROR(VLOOKUP($B824,calc_data,G$14+1,0),0),0)</f>
        <v/>
      </c>
      <c r="H824" s="141">
        <f>E824*G824</f>
        <v/>
      </c>
      <c r="I824" s="141">
        <f>IF(offer_sale_type="транзит",IFERROR(ROUND(VLOOKUP($B824,calc_data,I$14+1,0),2),0),0)</f>
        <v/>
      </c>
      <c r="J824" s="141">
        <f>ROUND(IF(offer_sale_type="транзит",IFERROR(VLOOKUP($B824,calc_data,J$14+1,0),0),0),2)</f>
        <v/>
      </c>
      <c r="K824" s="142">
        <f>IF(offer_sale_type="транзит",IFERROR(ROUNDUP(VLOOKUP($B824,calc_data,K$14+1,0),2),0),0)</f>
        <v/>
      </c>
      <c r="L824" s="184">
        <f>IF(offer_sale_type="транзит",IFERROR(ROUNDUP(VLOOKUP($B824,calc_data,L$14+1,0),2),0),0)</f>
        <v/>
      </c>
      <c r="M824" s="141">
        <f>IF(offer_sale_type="транзит",IFERROR(ROUNDUP(VLOOKUP($B824,calc_data,M$14+1,0),2),0),0)</f>
        <v/>
      </c>
      <c r="N824" s="141">
        <f>IF(offer_sale_type="транзит",IFERROR(ROUNDUP(VLOOKUP($B824,calc_data,N$14+1,0),2),0),0)</f>
        <v/>
      </c>
      <c r="O824" s="147">
        <f>IF(offer_sale_type="транзит",IFERROR(ROUND(VLOOKUP($B824,calc_data,O$14+1,1),2),0),0)</f>
        <v/>
      </c>
      <c r="P824" s="141">
        <f>IF(offer_sale_type="транзит",IFERROR(ROUND(SUM(I824:J824,M824:O824)/E824,2),0),0)</f>
        <v/>
      </c>
      <c r="Q824" s="141">
        <f>E824*P824</f>
        <v/>
      </c>
      <c r="R824" s="141">
        <f>ROUND(Q824*IF(AND(offer_incoterms="DDP",seller_region="RU"),IF((TODAY()+offer_turnaround_time)&gt;=helpsheet!$L$17,rate_vatRU_from_26,rate_vatRu_till_25),0),2)</f>
        <v/>
      </c>
      <c r="S824" s="177">
        <f>Q824+IF(AND(offer_incoterms="DDP",seller_region="RU"),R824,0)</f>
        <v/>
      </c>
      <c r="T824" s="45" t="n"/>
      <c r="V824" s="57">
        <f>IF(Q824&gt;0,"показать","скрыть")</f>
        <v/>
      </c>
    </row>
    <row r="825" ht="15.75" customHeight="1">
      <c r="B825" s="809" t="n">
        <v>809</v>
      </c>
      <c r="C825" s="182">
        <f>IF(offer_sale_type="транзит",IFERROR(VLOOKUP($B825,calc_data,C$14+1,0),0),0)</f>
        <v/>
      </c>
      <c r="D825" s="280">
        <f>IF(offer_sale_type="транзит",IFERROR(VLOOKUP($B825,calc_data,D$14+1,0),0),0)</f>
        <v/>
      </c>
      <c r="E825" s="182">
        <f>IF(offer_sale_type="транзит",IFERROR(VLOOKUP($B825,calc_data,E$14+1,0),0),0)</f>
        <v/>
      </c>
      <c r="F825" s="182">
        <f>IF(offer_sale_type="транзит",IFERROR(VLOOKUP($B825,calc_data,F$14+1,0),0),0)</f>
        <v/>
      </c>
      <c r="G825" s="141">
        <f>IF(offer_sale_type="транзит",IFERROR(VLOOKUP($B825,calc_data,G$14+1,0),0),0)</f>
        <v/>
      </c>
      <c r="H825" s="141">
        <f>E825*G825</f>
        <v/>
      </c>
      <c r="I825" s="141">
        <f>IF(offer_sale_type="транзит",IFERROR(ROUND(VLOOKUP($B825,calc_data,I$14+1,0),2),0),0)</f>
        <v/>
      </c>
      <c r="J825" s="141">
        <f>ROUND(IF(offer_sale_type="транзит",IFERROR(VLOOKUP($B825,calc_data,J$14+1,0),0),0),2)</f>
        <v/>
      </c>
      <c r="K825" s="142">
        <f>IF(offer_sale_type="транзит",IFERROR(ROUNDUP(VLOOKUP($B825,calc_data,K$14+1,0),2),0),0)</f>
        <v/>
      </c>
      <c r="L825" s="184">
        <f>IF(offer_sale_type="транзит",IFERROR(ROUNDUP(VLOOKUP($B825,calc_data,L$14+1,0),2),0),0)</f>
        <v/>
      </c>
      <c r="M825" s="141">
        <f>IF(offer_sale_type="транзит",IFERROR(ROUNDUP(VLOOKUP($B825,calc_data,M$14+1,0),2),0),0)</f>
        <v/>
      </c>
      <c r="N825" s="141">
        <f>IF(offer_sale_type="транзит",IFERROR(ROUNDUP(VLOOKUP($B825,calc_data,N$14+1,0),2),0),0)</f>
        <v/>
      </c>
      <c r="O825" s="147">
        <f>IF(offer_sale_type="транзит",IFERROR(ROUND(VLOOKUP($B825,calc_data,O$14+1,1),2),0),0)</f>
        <v/>
      </c>
      <c r="P825" s="141">
        <f>IF(offer_sale_type="транзит",IFERROR(ROUND(SUM(I825:J825,M825:O825)/E825,2),0),0)</f>
        <v/>
      </c>
      <c r="Q825" s="141">
        <f>E825*P825</f>
        <v/>
      </c>
      <c r="R825" s="141">
        <f>ROUND(Q825*IF(AND(offer_incoterms="DDP",seller_region="RU"),IF((TODAY()+offer_turnaround_time)&gt;=helpsheet!$L$17,rate_vatRU_from_26,rate_vatRu_till_25),0),2)</f>
        <v/>
      </c>
      <c r="S825" s="177">
        <f>Q825+IF(AND(offer_incoterms="DDP",seller_region="RU"),R825,0)</f>
        <v/>
      </c>
      <c r="T825" s="45" t="n"/>
      <c r="V825" s="57">
        <f>IF(Q825&gt;0,"показать","скрыть")</f>
        <v/>
      </c>
    </row>
    <row r="826" ht="15.75" customHeight="1">
      <c r="B826" s="809" t="n">
        <v>810</v>
      </c>
      <c r="C826" s="182">
        <f>IF(offer_sale_type="транзит",IFERROR(VLOOKUP($B826,calc_data,C$14+1,0),0),0)</f>
        <v/>
      </c>
      <c r="D826" s="280">
        <f>IF(offer_sale_type="транзит",IFERROR(VLOOKUP($B826,calc_data,D$14+1,0),0),0)</f>
        <v/>
      </c>
      <c r="E826" s="182">
        <f>IF(offer_sale_type="транзит",IFERROR(VLOOKUP($B826,calc_data,E$14+1,0),0),0)</f>
        <v/>
      </c>
      <c r="F826" s="182">
        <f>IF(offer_sale_type="транзит",IFERROR(VLOOKUP($B826,calc_data,F$14+1,0),0),0)</f>
        <v/>
      </c>
      <c r="G826" s="141">
        <f>IF(offer_sale_type="транзит",IFERROR(VLOOKUP($B826,calc_data,G$14+1,0),0),0)</f>
        <v/>
      </c>
      <c r="H826" s="141">
        <f>E826*G826</f>
        <v/>
      </c>
      <c r="I826" s="141">
        <f>IF(offer_sale_type="транзит",IFERROR(ROUND(VLOOKUP($B826,calc_data,I$14+1,0),2),0),0)</f>
        <v/>
      </c>
      <c r="J826" s="141">
        <f>ROUND(IF(offer_sale_type="транзит",IFERROR(VLOOKUP($B826,calc_data,J$14+1,0),0),0),2)</f>
        <v/>
      </c>
      <c r="K826" s="142">
        <f>IF(offer_sale_type="транзит",IFERROR(ROUNDUP(VLOOKUP($B826,calc_data,K$14+1,0),2),0),0)</f>
        <v/>
      </c>
      <c r="L826" s="184">
        <f>IF(offer_sale_type="транзит",IFERROR(ROUNDUP(VLOOKUP($B826,calc_data,L$14+1,0),2),0),0)</f>
        <v/>
      </c>
      <c r="M826" s="141">
        <f>IF(offer_sale_type="транзит",IFERROR(ROUNDUP(VLOOKUP($B826,calc_data,M$14+1,0),2),0),0)</f>
        <v/>
      </c>
      <c r="N826" s="141">
        <f>IF(offer_sale_type="транзит",IFERROR(ROUNDUP(VLOOKUP($B826,calc_data,N$14+1,0),2),0),0)</f>
        <v/>
      </c>
      <c r="O826" s="147">
        <f>IF(offer_sale_type="транзит",IFERROR(ROUND(VLOOKUP($B826,calc_data,O$14+1,1),2),0),0)</f>
        <v/>
      </c>
      <c r="P826" s="141">
        <f>IF(offer_sale_type="транзит",IFERROR(ROUND(SUM(I826:J826,M826:O826)/E826,2),0),0)</f>
        <v/>
      </c>
      <c r="Q826" s="141">
        <f>E826*P826</f>
        <v/>
      </c>
      <c r="R826" s="141">
        <f>ROUND(Q826*IF(AND(offer_incoterms="DDP",seller_region="RU"),IF((TODAY()+offer_turnaround_time)&gt;=helpsheet!$L$17,rate_vatRU_from_26,rate_vatRu_till_25),0),2)</f>
        <v/>
      </c>
      <c r="S826" s="177">
        <f>Q826+IF(AND(offer_incoterms="DDP",seller_region="RU"),R826,0)</f>
        <v/>
      </c>
      <c r="T826" s="45" t="n"/>
      <c r="V826" s="57">
        <f>IF(Q826&gt;0,"показать","скрыть")</f>
        <v/>
      </c>
    </row>
    <row r="827" ht="15.75" customHeight="1">
      <c r="B827" s="809" t="n">
        <v>811</v>
      </c>
      <c r="C827" s="182">
        <f>IF(offer_sale_type="транзит",IFERROR(VLOOKUP($B827,calc_data,C$14+1,0),0),0)</f>
        <v/>
      </c>
      <c r="D827" s="280">
        <f>IF(offer_sale_type="транзит",IFERROR(VLOOKUP($B827,calc_data,D$14+1,0),0),0)</f>
        <v/>
      </c>
      <c r="E827" s="182">
        <f>IF(offer_sale_type="транзит",IFERROR(VLOOKUP($B827,calc_data,E$14+1,0),0),0)</f>
        <v/>
      </c>
      <c r="F827" s="182">
        <f>IF(offer_sale_type="транзит",IFERROR(VLOOKUP($B827,calc_data,F$14+1,0),0),0)</f>
        <v/>
      </c>
      <c r="G827" s="141">
        <f>IF(offer_sale_type="транзит",IFERROR(VLOOKUP($B827,calc_data,G$14+1,0),0),0)</f>
        <v/>
      </c>
      <c r="H827" s="141">
        <f>E827*G827</f>
        <v/>
      </c>
      <c r="I827" s="141">
        <f>IF(offer_sale_type="транзит",IFERROR(ROUND(VLOOKUP($B827,calc_data,I$14+1,0),2),0),0)</f>
        <v/>
      </c>
      <c r="J827" s="141">
        <f>ROUND(IF(offer_sale_type="транзит",IFERROR(VLOOKUP($B827,calc_data,J$14+1,0),0),0),2)</f>
        <v/>
      </c>
      <c r="K827" s="142">
        <f>IF(offer_sale_type="транзит",IFERROR(ROUNDUP(VLOOKUP($B827,calc_data,K$14+1,0),2),0),0)</f>
        <v/>
      </c>
      <c r="L827" s="184">
        <f>IF(offer_sale_type="транзит",IFERROR(ROUNDUP(VLOOKUP($B827,calc_data,L$14+1,0),2),0),0)</f>
        <v/>
      </c>
      <c r="M827" s="141">
        <f>IF(offer_sale_type="транзит",IFERROR(ROUNDUP(VLOOKUP($B827,calc_data,M$14+1,0),2),0),0)</f>
        <v/>
      </c>
      <c r="N827" s="141">
        <f>IF(offer_sale_type="транзит",IFERROR(ROUNDUP(VLOOKUP($B827,calc_data,N$14+1,0),2),0),0)</f>
        <v/>
      </c>
      <c r="O827" s="147">
        <f>IF(offer_sale_type="транзит",IFERROR(ROUND(VLOOKUP($B827,calc_data,O$14+1,1),2),0),0)</f>
        <v/>
      </c>
      <c r="P827" s="141">
        <f>IF(offer_sale_type="транзит",IFERROR(ROUND(SUM(I827:J827,M827:O827)/E827,2),0),0)</f>
        <v/>
      </c>
      <c r="Q827" s="141">
        <f>E827*P827</f>
        <v/>
      </c>
      <c r="R827" s="141">
        <f>ROUND(Q827*IF(AND(offer_incoterms="DDP",seller_region="RU"),IF((TODAY()+offer_turnaround_time)&gt;=helpsheet!$L$17,rate_vatRU_from_26,rate_vatRu_till_25),0),2)</f>
        <v/>
      </c>
      <c r="S827" s="177">
        <f>Q827+IF(AND(offer_incoterms="DDP",seller_region="RU"),R827,0)</f>
        <v/>
      </c>
      <c r="T827" s="45" t="n"/>
      <c r="V827" s="57">
        <f>IF(Q827&gt;0,"показать","скрыть")</f>
        <v/>
      </c>
    </row>
    <row r="828" ht="15.75" customHeight="1">
      <c r="B828" s="809" t="n">
        <v>812</v>
      </c>
      <c r="C828" s="182">
        <f>IF(offer_sale_type="транзит",IFERROR(VLOOKUP($B828,calc_data,C$14+1,0),0),0)</f>
        <v/>
      </c>
      <c r="D828" s="280">
        <f>IF(offer_sale_type="транзит",IFERROR(VLOOKUP($B828,calc_data,D$14+1,0),0),0)</f>
        <v/>
      </c>
      <c r="E828" s="182">
        <f>IF(offer_sale_type="транзит",IFERROR(VLOOKUP($B828,calc_data,E$14+1,0),0),0)</f>
        <v/>
      </c>
      <c r="F828" s="182">
        <f>IF(offer_sale_type="транзит",IFERROR(VLOOKUP($B828,calc_data,F$14+1,0),0),0)</f>
        <v/>
      </c>
      <c r="G828" s="141">
        <f>IF(offer_sale_type="транзит",IFERROR(VLOOKUP($B828,calc_data,G$14+1,0),0),0)</f>
        <v/>
      </c>
      <c r="H828" s="141">
        <f>E828*G828</f>
        <v/>
      </c>
      <c r="I828" s="141">
        <f>IF(offer_sale_type="транзит",IFERROR(ROUND(VLOOKUP($B828,calc_data,I$14+1,0),2),0),0)</f>
        <v/>
      </c>
      <c r="J828" s="141">
        <f>ROUND(IF(offer_sale_type="транзит",IFERROR(VLOOKUP($B828,calc_data,J$14+1,0),0),0),2)</f>
        <v/>
      </c>
      <c r="K828" s="142">
        <f>IF(offer_sale_type="транзит",IFERROR(ROUNDUP(VLOOKUP($B828,calc_data,K$14+1,0),2),0),0)</f>
        <v/>
      </c>
      <c r="L828" s="184">
        <f>IF(offer_sale_type="транзит",IFERROR(ROUNDUP(VLOOKUP($B828,calc_data,L$14+1,0),2),0),0)</f>
        <v/>
      </c>
      <c r="M828" s="141">
        <f>IF(offer_sale_type="транзит",IFERROR(ROUNDUP(VLOOKUP($B828,calc_data,M$14+1,0),2),0),0)</f>
        <v/>
      </c>
      <c r="N828" s="141">
        <f>IF(offer_sale_type="транзит",IFERROR(ROUNDUP(VLOOKUP($B828,calc_data,N$14+1,0),2),0),0)</f>
        <v/>
      </c>
      <c r="O828" s="147">
        <f>IF(offer_sale_type="транзит",IFERROR(ROUND(VLOOKUP($B828,calc_data,O$14+1,1),2),0),0)</f>
        <v/>
      </c>
      <c r="P828" s="141">
        <f>IF(offer_sale_type="транзит",IFERROR(ROUND(SUM(I828:J828,M828:O828)/E828,2),0),0)</f>
        <v/>
      </c>
      <c r="Q828" s="141">
        <f>E828*P828</f>
        <v/>
      </c>
      <c r="R828" s="141">
        <f>ROUND(Q828*IF(AND(offer_incoterms="DDP",seller_region="RU"),IF((TODAY()+offer_turnaround_time)&gt;=helpsheet!$L$17,rate_vatRU_from_26,rate_vatRu_till_25),0),2)</f>
        <v/>
      </c>
      <c r="S828" s="177">
        <f>Q828+IF(AND(offer_incoterms="DDP",seller_region="RU"),R828,0)</f>
        <v/>
      </c>
      <c r="T828" s="45" t="n"/>
      <c r="V828" s="57">
        <f>IF(Q828&gt;0,"показать","скрыть")</f>
        <v/>
      </c>
    </row>
    <row r="829" ht="15.75" customHeight="1">
      <c r="B829" s="809" t="n">
        <v>813</v>
      </c>
      <c r="C829" s="182">
        <f>IF(offer_sale_type="транзит",IFERROR(VLOOKUP($B829,calc_data,C$14+1,0),0),0)</f>
        <v/>
      </c>
      <c r="D829" s="280">
        <f>IF(offer_sale_type="транзит",IFERROR(VLOOKUP($B829,calc_data,D$14+1,0),0),0)</f>
        <v/>
      </c>
      <c r="E829" s="182">
        <f>IF(offer_sale_type="транзит",IFERROR(VLOOKUP($B829,calc_data,E$14+1,0),0),0)</f>
        <v/>
      </c>
      <c r="F829" s="182">
        <f>IF(offer_sale_type="транзит",IFERROR(VLOOKUP($B829,calc_data,F$14+1,0),0),0)</f>
        <v/>
      </c>
      <c r="G829" s="141">
        <f>IF(offer_sale_type="транзит",IFERROR(VLOOKUP($B829,calc_data,G$14+1,0),0),0)</f>
        <v/>
      </c>
      <c r="H829" s="141">
        <f>E829*G829</f>
        <v/>
      </c>
      <c r="I829" s="141">
        <f>IF(offer_sale_type="транзит",IFERROR(ROUND(VLOOKUP($B829,calc_data,I$14+1,0),2),0),0)</f>
        <v/>
      </c>
      <c r="J829" s="141">
        <f>ROUND(IF(offer_sale_type="транзит",IFERROR(VLOOKUP($B829,calc_data,J$14+1,0),0),0),2)</f>
        <v/>
      </c>
      <c r="K829" s="142">
        <f>IF(offer_sale_type="транзит",IFERROR(ROUNDUP(VLOOKUP($B829,calc_data,K$14+1,0),2),0),0)</f>
        <v/>
      </c>
      <c r="L829" s="184">
        <f>IF(offer_sale_type="транзит",IFERROR(ROUNDUP(VLOOKUP($B829,calc_data,L$14+1,0),2),0),0)</f>
        <v/>
      </c>
      <c r="M829" s="141">
        <f>IF(offer_sale_type="транзит",IFERROR(ROUNDUP(VLOOKUP($B829,calc_data,M$14+1,0),2),0),0)</f>
        <v/>
      </c>
      <c r="N829" s="141">
        <f>IF(offer_sale_type="транзит",IFERROR(ROUNDUP(VLOOKUP($B829,calc_data,N$14+1,0),2),0),0)</f>
        <v/>
      </c>
      <c r="O829" s="147">
        <f>IF(offer_sale_type="транзит",IFERROR(ROUND(VLOOKUP($B829,calc_data,O$14+1,1),2),0),0)</f>
        <v/>
      </c>
      <c r="P829" s="141">
        <f>IF(offer_sale_type="транзит",IFERROR(ROUND(SUM(I829:J829,M829:O829)/E829,2),0),0)</f>
        <v/>
      </c>
      <c r="Q829" s="141">
        <f>E829*P829</f>
        <v/>
      </c>
      <c r="R829" s="141">
        <f>ROUND(Q829*IF(AND(offer_incoterms="DDP",seller_region="RU"),IF((TODAY()+offer_turnaround_time)&gt;=helpsheet!$L$17,rate_vatRU_from_26,rate_vatRu_till_25),0),2)</f>
        <v/>
      </c>
      <c r="S829" s="177">
        <f>Q829+IF(AND(offer_incoterms="DDP",seller_region="RU"),R829,0)</f>
        <v/>
      </c>
      <c r="T829" s="45" t="n"/>
      <c r="V829" s="57">
        <f>IF(Q829&gt;0,"показать","скрыть")</f>
        <v/>
      </c>
    </row>
    <row r="830" ht="15.75" customHeight="1">
      <c r="B830" s="809" t="n">
        <v>814</v>
      </c>
      <c r="C830" s="182">
        <f>IF(offer_sale_type="транзит",IFERROR(VLOOKUP($B830,calc_data,C$14+1,0),0),0)</f>
        <v/>
      </c>
      <c r="D830" s="280">
        <f>IF(offer_sale_type="транзит",IFERROR(VLOOKUP($B830,calc_data,D$14+1,0),0),0)</f>
        <v/>
      </c>
      <c r="E830" s="182">
        <f>IF(offer_sale_type="транзит",IFERROR(VLOOKUP($B830,calc_data,E$14+1,0),0),0)</f>
        <v/>
      </c>
      <c r="F830" s="182">
        <f>IF(offer_sale_type="транзит",IFERROR(VLOOKUP($B830,calc_data,F$14+1,0),0),0)</f>
        <v/>
      </c>
      <c r="G830" s="141">
        <f>IF(offer_sale_type="транзит",IFERROR(VLOOKUP($B830,calc_data,G$14+1,0),0),0)</f>
        <v/>
      </c>
      <c r="H830" s="141">
        <f>E830*G830</f>
        <v/>
      </c>
      <c r="I830" s="141">
        <f>IF(offer_sale_type="транзит",IFERROR(ROUND(VLOOKUP($B830,calc_data,I$14+1,0),2),0),0)</f>
        <v/>
      </c>
      <c r="J830" s="141">
        <f>ROUND(IF(offer_sale_type="транзит",IFERROR(VLOOKUP($B830,calc_data,J$14+1,0),0),0),2)</f>
        <v/>
      </c>
      <c r="K830" s="142">
        <f>IF(offer_sale_type="транзит",IFERROR(ROUNDUP(VLOOKUP($B830,calc_data,K$14+1,0),2),0),0)</f>
        <v/>
      </c>
      <c r="L830" s="184">
        <f>IF(offer_sale_type="транзит",IFERROR(ROUNDUP(VLOOKUP($B830,calc_data,L$14+1,0),2),0),0)</f>
        <v/>
      </c>
      <c r="M830" s="141">
        <f>IF(offer_sale_type="транзит",IFERROR(ROUNDUP(VLOOKUP($B830,calc_data,M$14+1,0),2),0),0)</f>
        <v/>
      </c>
      <c r="N830" s="141">
        <f>IF(offer_sale_type="транзит",IFERROR(ROUNDUP(VLOOKUP($B830,calc_data,N$14+1,0),2),0),0)</f>
        <v/>
      </c>
      <c r="O830" s="147">
        <f>IF(offer_sale_type="транзит",IFERROR(ROUND(VLOOKUP($B830,calc_data,O$14+1,1),2),0),0)</f>
        <v/>
      </c>
      <c r="P830" s="141">
        <f>IF(offer_sale_type="транзит",IFERROR(ROUND(SUM(I830:J830,M830:O830)/E830,2),0),0)</f>
        <v/>
      </c>
      <c r="Q830" s="141">
        <f>E830*P830</f>
        <v/>
      </c>
      <c r="R830" s="141">
        <f>ROUND(Q830*IF(AND(offer_incoterms="DDP",seller_region="RU"),IF((TODAY()+offer_turnaround_time)&gt;=helpsheet!$L$17,rate_vatRU_from_26,rate_vatRu_till_25),0),2)</f>
        <v/>
      </c>
      <c r="S830" s="177">
        <f>Q830+IF(AND(offer_incoterms="DDP",seller_region="RU"),R830,0)</f>
        <v/>
      </c>
      <c r="T830" s="45" t="n"/>
      <c r="V830" s="57">
        <f>IF(Q830&gt;0,"показать","скрыть")</f>
        <v/>
      </c>
    </row>
    <row r="831" ht="15.75" customHeight="1">
      <c r="B831" s="809" t="n">
        <v>815</v>
      </c>
      <c r="C831" s="182">
        <f>IF(offer_sale_type="транзит",IFERROR(VLOOKUP($B831,calc_data,C$14+1,0),0),0)</f>
        <v/>
      </c>
      <c r="D831" s="280">
        <f>IF(offer_sale_type="транзит",IFERROR(VLOOKUP($B831,calc_data,D$14+1,0),0),0)</f>
        <v/>
      </c>
      <c r="E831" s="182">
        <f>IF(offer_sale_type="транзит",IFERROR(VLOOKUP($B831,calc_data,E$14+1,0),0),0)</f>
        <v/>
      </c>
      <c r="F831" s="182">
        <f>IF(offer_sale_type="транзит",IFERROR(VLOOKUP($B831,calc_data,F$14+1,0),0),0)</f>
        <v/>
      </c>
      <c r="G831" s="141">
        <f>IF(offer_sale_type="транзит",IFERROR(VLOOKUP($B831,calc_data,G$14+1,0),0),0)</f>
        <v/>
      </c>
      <c r="H831" s="141">
        <f>E831*G831</f>
        <v/>
      </c>
      <c r="I831" s="141">
        <f>IF(offer_sale_type="транзит",IFERROR(ROUND(VLOOKUP($B831,calc_data,I$14+1,0),2),0),0)</f>
        <v/>
      </c>
      <c r="J831" s="141">
        <f>ROUND(IF(offer_sale_type="транзит",IFERROR(VLOOKUP($B831,calc_data,J$14+1,0),0),0),2)</f>
        <v/>
      </c>
      <c r="K831" s="142">
        <f>IF(offer_sale_type="транзит",IFERROR(ROUNDUP(VLOOKUP($B831,calc_data,K$14+1,0),2),0),0)</f>
        <v/>
      </c>
      <c r="L831" s="184">
        <f>IF(offer_sale_type="транзит",IFERROR(ROUNDUP(VLOOKUP($B831,calc_data,L$14+1,0),2),0),0)</f>
        <v/>
      </c>
      <c r="M831" s="141">
        <f>IF(offer_sale_type="транзит",IFERROR(ROUNDUP(VLOOKUP($B831,calc_data,M$14+1,0),2),0),0)</f>
        <v/>
      </c>
      <c r="N831" s="141">
        <f>IF(offer_sale_type="транзит",IFERROR(ROUNDUP(VLOOKUP($B831,calc_data,N$14+1,0),2),0),0)</f>
        <v/>
      </c>
      <c r="O831" s="147">
        <f>IF(offer_sale_type="транзит",IFERROR(ROUND(VLOOKUP($B831,calc_data,O$14+1,1),2),0),0)</f>
        <v/>
      </c>
      <c r="P831" s="141">
        <f>IF(offer_sale_type="транзит",IFERROR(ROUND(SUM(I831:J831,M831:O831)/E831,2),0),0)</f>
        <v/>
      </c>
      <c r="Q831" s="141">
        <f>E831*P831</f>
        <v/>
      </c>
      <c r="R831" s="141">
        <f>ROUND(Q831*IF(AND(offer_incoterms="DDP",seller_region="RU"),IF((TODAY()+offer_turnaround_time)&gt;=helpsheet!$L$17,rate_vatRU_from_26,rate_vatRu_till_25),0),2)</f>
        <v/>
      </c>
      <c r="S831" s="177">
        <f>Q831+IF(AND(offer_incoterms="DDP",seller_region="RU"),R831,0)</f>
        <v/>
      </c>
      <c r="T831" s="45" t="n"/>
      <c r="V831" s="57">
        <f>IF(Q831&gt;0,"показать","скрыть")</f>
        <v/>
      </c>
    </row>
    <row r="832" ht="15.75" customHeight="1">
      <c r="B832" s="809" t="n">
        <v>816</v>
      </c>
      <c r="C832" s="182">
        <f>IF(offer_sale_type="транзит",IFERROR(VLOOKUP($B832,calc_data,C$14+1,0),0),0)</f>
        <v/>
      </c>
      <c r="D832" s="280">
        <f>IF(offer_sale_type="транзит",IFERROR(VLOOKUP($B832,calc_data,D$14+1,0),0),0)</f>
        <v/>
      </c>
      <c r="E832" s="182">
        <f>IF(offer_sale_type="транзит",IFERROR(VLOOKUP($B832,calc_data,E$14+1,0),0),0)</f>
        <v/>
      </c>
      <c r="F832" s="182">
        <f>IF(offer_sale_type="транзит",IFERROR(VLOOKUP($B832,calc_data,F$14+1,0),0),0)</f>
        <v/>
      </c>
      <c r="G832" s="141">
        <f>IF(offer_sale_type="транзит",IFERROR(VLOOKUP($B832,calc_data,G$14+1,0),0),0)</f>
        <v/>
      </c>
      <c r="H832" s="141">
        <f>E832*G832</f>
        <v/>
      </c>
      <c r="I832" s="141">
        <f>IF(offer_sale_type="транзит",IFERROR(ROUND(VLOOKUP($B832,calc_data,I$14+1,0),2),0),0)</f>
        <v/>
      </c>
      <c r="J832" s="141">
        <f>ROUND(IF(offer_sale_type="транзит",IFERROR(VLOOKUP($B832,calc_data,J$14+1,0),0),0),2)</f>
        <v/>
      </c>
      <c r="K832" s="142">
        <f>IF(offer_sale_type="транзит",IFERROR(ROUNDUP(VLOOKUP($B832,calc_data,K$14+1,0),2),0),0)</f>
        <v/>
      </c>
      <c r="L832" s="184">
        <f>IF(offer_sale_type="транзит",IFERROR(ROUNDUP(VLOOKUP($B832,calc_data,L$14+1,0),2),0),0)</f>
        <v/>
      </c>
      <c r="M832" s="141">
        <f>IF(offer_sale_type="транзит",IFERROR(ROUNDUP(VLOOKUP($B832,calc_data,M$14+1,0),2),0),0)</f>
        <v/>
      </c>
      <c r="N832" s="141">
        <f>IF(offer_sale_type="транзит",IFERROR(ROUNDUP(VLOOKUP($B832,calc_data,N$14+1,0),2),0),0)</f>
        <v/>
      </c>
      <c r="O832" s="147">
        <f>IF(offer_sale_type="транзит",IFERROR(ROUND(VLOOKUP($B832,calc_data,O$14+1,1),2),0),0)</f>
        <v/>
      </c>
      <c r="P832" s="141">
        <f>IF(offer_sale_type="транзит",IFERROR(ROUND(SUM(I832:J832,M832:O832)/E832,2),0),0)</f>
        <v/>
      </c>
      <c r="Q832" s="141">
        <f>E832*P832</f>
        <v/>
      </c>
      <c r="R832" s="141">
        <f>ROUND(Q832*IF(AND(offer_incoterms="DDP",seller_region="RU"),IF((TODAY()+offer_turnaround_time)&gt;=helpsheet!$L$17,rate_vatRU_from_26,rate_vatRu_till_25),0),2)</f>
        <v/>
      </c>
      <c r="S832" s="177">
        <f>Q832+IF(AND(offer_incoterms="DDP",seller_region="RU"),R832,0)</f>
        <v/>
      </c>
      <c r="T832" s="45" t="n"/>
      <c r="V832" s="57">
        <f>IF(Q832&gt;0,"показать","скрыть")</f>
        <v/>
      </c>
    </row>
    <row r="833" ht="15.75" customHeight="1">
      <c r="B833" s="809" t="n">
        <v>817</v>
      </c>
      <c r="C833" s="182">
        <f>IF(offer_sale_type="транзит",IFERROR(VLOOKUP($B833,calc_data,C$14+1,0),0),0)</f>
        <v/>
      </c>
      <c r="D833" s="280">
        <f>IF(offer_sale_type="транзит",IFERROR(VLOOKUP($B833,calc_data,D$14+1,0),0),0)</f>
        <v/>
      </c>
      <c r="E833" s="182">
        <f>IF(offer_sale_type="транзит",IFERROR(VLOOKUP($B833,calc_data,E$14+1,0),0),0)</f>
        <v/>
      </c>
      <c r="F833" s="182">
        <f>IF(offer_sale_type="транзит",IFERROR(VLOOKUP($B833,calc_data,F$14+1,0),0),0)</f>
        <v/>
      </c>
      <c r="G833" s="141">
        <f>IF(offer_sale_type="транзит",IFERROR(VLOOKUP($B833,calc_data,G$14+1,0),0),0)</f>
        <v/>
      </c>
      <c r="H833" s="141">
        <f>E833*G833</f>
        <v/>
      </c>
      <c r="I833" s="141">
        <f>IF(offer_sale_type="транзит",IFERROR(ROUND(VLOOKUP($B833,calc_data,I$14+1,0),2),0),0)</f>
        <v/>
      </c>
      <c r="J833" s="141">
        <f>ROUND(IF(offer_sale_type="транзит",IFERROR(VLOOKUP($B833,calc_data,J$14+1,0),0),0),2)</f>
        <v/>
      </c>
      <c r="K833" s="142">
        <f>IF(offer_sale_type="транзит",IFERROR(ROUNDUP(VLOOKUP($B833,calc_data,K$14+1,0),2),0),0)</f>
        <v/>
      </c>
      <c r="L833" s="184">
        <f>IF(offer_sale_type="транзит",IFERROR(ROUNDUP(VLOOKUP($B833,calc_data,L$14+1,0),2),0),0)</f>
        <v/>
      </c>
      <c r="M833" s="141">
        <f>IF(offer_sale_type="транзит",IFERROR(ROUNDUP(VLOOKUP($B833,calc_data,M$14+1,0),2),0),0)</f>
        <v/>
      </c>
      <c r="N833" s="141">
        <f>IF(offer_sale_type="транзит",IFERROR(ROUNDUP(VLOOKUP($B833,calc_data,N$14+1,0),2),0),0)</f>
        <v/>
      </c>
      <c r="O833" s="147">
        <f>IF(offer_sale_type="транзит",IFERROR(ROUND(VLOOKUP($B833,calc_data,O$14+1,1),2),0),0)</f>
        <v/>
      </c>
      <c r="P833" s="141">
        <f>IF(offer_sale_type="транзит",IFERROR(ROUND(SUM(I833:J833,M833:O833)/E833,2),0),0)</f>
        <v/>
      </c>
      <c r="Q833" s="141">
        <f>E833*P833</f>
        <v/>
      </c>
      <c r="R833" s="141">
        <f>ROUND(Q833*IF(AND(offer_incoterms="DDP",seller_region="RU"),IF((TODAY()+offer_turnaround_time)&gt;=helpsheet!$L$17,rate_vatRU_from_26,rate_vatRu_till_25),0),2)</f>
        <v/>
      </c>
      <c r="S833" s="177">
        <f>Q833+IF(AND(offer_incoterms="DDP",seller_region="RU"),R833,0)</f>
        <v/>
      </c>
      <c r="T833" s="45" t="n"/>
      <c r="V833" s="57">
        <f>IF(Q833&gt;0,"показать","скрыть")</f>
        <v/>
      </c>
    </row>
    <row r="834" ht="15.75" customHeight="1">
      <c r="B834" s="809" t="n">
        <v>818</v>
      </c>
      <c r="C834" s="182">
        <f>IF(offer_sale_type="транзит",IFERROR(VLOOKUP($B834,calc_data,C$14+1,0),0),0)</f>
        <v/>
      </c>
      <c r="D834" s="280">
        <f>IF(offer_sale_type="транзит",IFERROR(VLOOKUP($B834,calc_data,D$14+1,0),0),0)</f>
        <v/>
      </c>
      <c r="E834" s="182">
        <f>IF(offer_sale_type="транзит",IFERROR(VLOOKUP($B834,calc_data,E$14+1,0),0),0)</f>
        <v/>
      </c>
      <c r="F834" s="182">
        <f>IF(offer_sale_type="транзит",IFERROR(VLOOKUP($B834,calc_data,F$14+1,0),0),0)</f>
        <v/>
      </c>
      <c r="G834" s="141">
        <f>IF(offer_sale_type="транзит",IFERROR(VLOOKUP($B834,calc_data,G$14+1,0),0),0)</f>
        <v/>
      </c>
      <c r="H834" s="141">
        <f>E834*G834</f>
        <v/>
      </c>
      <c r="I834" s="141">
        <f>IF(offer_sale_type="транзит",IFERROR(ROUND(VLOOKUP($B834,calc_data,I$14+1,0),2),0),0)</f>
        <v/>
      </c>
      <c r="J834" s="141">
        <f>ROUND(IF(offer_sale_type="транзит",IFERROR(VLOOKUP($B834,calc_data,J$14+1,0),0),0),2)</f>
        <v/>
      </c>
      <c r="K834" s="142">
        <f>IF(offer_sale_type="транзит",IFERROR(ROUNDUP(VLOOKUP($B834,calc_data,K$14+1,0),2),0),0)</f>
        <v/>
      </c>
      <c r="L834" s="184">
        <f>IF(offer_sale_type="транзит",IFERROR(ROUNDUP(VLOOKUP($B834,calc_data,L$14+1,0),2),0),0)</f>
        <v/>
      </c>
      <c r="M834" s="141">
        <f>IF(offer_sale_type="транзит",IFERROR(ROUNDUP(VLOOKUP($B834,calc_data,M$14+1,0),2),0),0)</f>
        <v/>
      </c>
      <c r="N834" s="141">
        <f>IF(offer_sale_type="транзит",IFERROR(ROUNDUP(VLOOKUP($B834,calc_data,N$14+1,0),2),0),0)</f>
        <v/>
      </c>
      <c r="O834" s="147">
        <f>IF(offer_sale_type="транзит",IFERROR(ROUND(VLOOKUP($B834,calc_data,O$14+1,1),2),0),0)</f>
        <v/>
      </c>
      <c r="P834" s="141">
        <f>IF(offer_sale_type="транзит",IFERROR(ROUND(SUM(I834:J834,M834:O834)/E834,2),0),0)</f>
        <v/>
      </c>
      <c r="Q834" s="141">
        <f>E834*P834</f>
        <v/>
      </c>
      <c r="R834" s="141">
        <f>ROUND(Q834*IF(AND(offer_incoterms="DDP",seller_region="RU"),IF((TODAY()+offer_turnaround_time)&gt;=helpsheet!$L$17,rate_vatRU_from_26,rate_vatRu_till_25),0),2)</f>
        <v/>
      </c>
      <c r="S834" s="177">
        <f>Q834+IF(AND(offer_incoterms="DDP",seller_region="RU"),R834,0)</f>
        <v/>
      </c>
      <c r="T834" s="45" t="n"/>
      <c r="V834" s="57">
        <f>IF(Q834&gt;0,"показать","скрыть")</f>
        <v/>
      </c>
    </row>
    <row r="835" ht="15.75" customHeight="1">
      <c r="B835" s="809" t="n">
        <v>819</v>
      </c>
      <c r="C835" s="182">
        <f>IF(offer_sale_type="транзит",IFERROR(VLOOKUP($B835,calc_data,C$14+1,0),0),0)</f>
        <v/>
      </c>
      <c r="D835" s="280">
        <f>IF(offer_sale_type="транзит",IFERROR(VLOOKUP($B835,calc_data,D$14+1,0),0),0)</f>
        <v/>
      </c>
      <c r="E835" s="182">
        <f>IF(offer_sale_type="транзит",IFERROR(VLOOKUP($B835,calc_data,E$14+1,0),0),0)</f>
        <v/>
      </c>
      <c r="F835" s="182">
        <f>IF(offer_sale_type="транзит",IFERROR(VLOOKUP($B835,calc_data,F$14+1,0),0),0)</f>
        <v/>
      </c>
      <c r="G835" s="141">
        <f>IF(offer_sale_type="транзит",IFERROR(VLOOKUP($B835,calc_data,G$14+1,0),0),0)</f>
        <v/>
      </c>
      <c r="H835" s="141">
        <f>E835*G835</f>
        <v/>
      </c>
      <c r="I835" s="141">
        <f>IF(offer_sale_type="транзит",IFERROR(ROUND(VLOOKUP($B835,calc_data,I$14+1,0),2),0),0)</f>
        <v/>
      </c>
      <c r="J835" s="141">
        <f>ROUND(IF(offer_sale_type="транзит",IFERROR(VLOOKUP($B835,calc_data,J$14+1,0),0),0),2)</f>
        <v/>
      </c>
      <c r="K835" s="142">
        <f>IF(offer_sale_type="транзит",IFERROR(ROUNDUP(VLOOKUP($B835,calc_data,K$14+1,0),2),0),0)</f>
        <v/>
      </c>
      <c r="L835" s="184">
        <f>IF(offer_sale_type="транзит",IFERROR(ROUNDUP(VLOOKUP($B835,calc_data,L$14+1,0),2),0),0)</f>
        <v/>
      </c>
      <c r="M835" s="141">
        <f>IF(offer_sale_type="транзит",IFERROR(ROUNDUP(VLOOKUP($B835,calc_data,M$14+1,0),2),0),0)</f>
        <v/>
      </c>
      <c r="N835" s="141">
        <f>IF(offer_sale_type="транзит",IFERROR(ROUNDUP(VLOOKUP($B835,calc_data,N$14+1,0),2),0),0)</f>
        <v/>
      </c>
      <c r="O835" s="147">
        <f>IF(offer_sale_type="транзит",IFERROR(ROUND(VLOOKUP($B835,calc_data,O$14+1,1),2),0),0)</f>
        <v/>
      </c>
      <c r="P835" s="141">
        <f>IF(offer_sale_type="транзит",IFERROR(ROUND(SUM(I835:J835,M835:O835)/E835,2),0),0)</f>
        <v/>
      </c>
      <c r="Q835" s="141">
        <f>E835*P835</f>
        <v/>
      </c>
      <c r="R835" s="141">
        <f>ROUND(Q835*IF(AND(offer_incoterms="DDP",seller_region="RU"),IF((TODAY()+offer_turnaround_time)&gt;=helpsheet!$L$17,rate_vatRU_from_26,rate_vatRu_till_25),0),2)</f>
        <v/>
      </c>
      <c r="S835" s="177">
        <f>Q835+IF(AND(offer_incoterms="DDP",seller_region="RU"),R835,0)</f>
        <v/>
      </c>
      <c r="T835" s="45" t="n"/>
      <c r="V835" s="57">
        <f>IF(Q835&gt;0,"показать","скрыть")</f>
        <v/>
      </c>
    </row>
    <row r="836" ht="15.75" customHeight="1">
      <c r="B836" s="809" t="n">
        <v>820</v>
      </c>
      <c r="C836" s="182">
        <f>IF(offer_sale_type="транзит",IFERROR(VLOOKUP($B836,calc_data,C$14+1,0),0),0)</f>
        <v/>
      </c>
      <c r="D836" s="280">
        <f>IF(offer_sale_type="транзит",IFERROR(VLOOKUP($B836,calc_data,D$14+1,0),0),0)</f>
        <v/>
      </c>
      <c r="E836" s="182">
        <f>IF(offer_sale_type="транзит",IFERROR(VLOOKUP($B836,calc_data,E$14+1,0),0),0)</f>
        <v/>
      </c>
      <c r="F836" s="182">
        <f>IF(offer_sale_type="транзит",IFERROR(VLOOKUP($B836,calc_data,F$14+1,0),0),0)</f>
        <v/>
      </c>
      <c r="G836" s="141">
        <f>IF(offer_sale_type="транзит",IFERROR(VLOOKUP($B836,calc_data,G$14+1,0),0),0)</f>
        <v/>
      </c>
      <c r="H836" s="141">
        <f>E836*G836</f>
        <v/>
      </c>
      <c r="I836" s="141">
        <f>IF(offer_sale_type="транзит",IFERROR(ROUND(VLOOKUP($B836,calc_data,I$14+1,0),2),0),0)</f>
        <v/>
      </c>
      <c r="J836" s="141">
        <f>ROUND(IF(offer_sale_type="транзит",IFERROR(VLOOKUP($B836,calc_data,J$14+1,0),0),0),2)</f>
        <v/>
      </c>
      <c r="K836" s="142">
        <f>IF(offer_sale_type="транзит",IFERROR(ROUNDUP(VLOOKUP($B836,calc_data,K$14+1,0),2),0),0)</f>
        <v/>
      </c>
      <c r="L836" s="184">
        <f>IF(offer_sale_type="транзит",IFERROR(ROUNDUP(VLOOKUP($B836,calc_data,L$14+1,0),2),0),0)</f>
        <v/>
      </c>
      <c r="M836" s="141">
        <f>IF(offer_sale_type="транзит",IFERROR(ROUNDUP(VLOOKUP($B836,calc_data,M$14+1,0),2),0),0)</f>
        <v/>
      </c>
      <c r="N836" s="141">
        <f>IF(offer_sale_type="транзит",IFERROR(ROUNDUP(VLOOKUP($B836,calc_data,N$14+1,0),2),0),0)</f>
        <v/>
      </c>
      <c r="O836" s="147">
        <f>IF(offer_sale_type="транзит",IFERROR(ROUND(VLOOKUP($B836,calc_data,O$14+1,1),2),0),0)</f>
        <v/>
      </c>
      <c r="P836" s="141">
        <f>IF(offer_sale_type="транзит",IFERROR(ROUND(SUM(I836:J836,M836:O836)/E836,2),0),0)</f>
        <v/>
      </c>
      <c r="Q836" s="141">
        <f>E836*P836</f>
        <v/>
      </c>
      <c r="R836" s="141">
        <f>ROUND(Q836*IF(AND(offer_incoterms="DDP",seller_region="RU"),IF((TODAY()+offer_turnaround_time)&gt;=helpsheet!$L$17,rate_vatRU_from_26,rate_vatRu_till_25),0),2)</f>
        <v/>
      </c>
      <c r="S836" s="177">
        <f>Q836+IF(AND(offer_incoterms="DDP",seller_region="RU"),R836,0)</f>
        <v/>
      </c>
      <c r="T836" s="45" t="n"/>
      <c r="V836" s="57">
        <f>IF(Q836&gt;0,"показать","скрыть")</f>
        <v/>
      </c>
    </row>
    <row r="837" ht="15.75" customHeight="1">
      <c r="B837" s="809" t="n">
        <v>821</v>
      </c>
      <c r="C837" s="182">
        <f>IF(offer_sale_type="транзит",IFERROR(VLOOKUP($B837,calc_data,C$14+1,0),0),0)</f>
        <v/>
      </c>
      <c r="D837" s="280">
        <f>IF(offer_sale_type="транзит",IFERROR(VLOOKUP($B837,calc_data,D$14+1,0),0),0)</f>
        <v/>
      </c>
      <c r="E837" s="182">
        <f>IF(offer_sale_type="транзит",IFERROR(VLOOKUP($B837,calc_data,E$14+1,0),0),0)</f>
        <v/>
      </c>
      <c r="F837" s="182">
        <f>IF(offer_sale_type="транзит",IFERROR(VLOOKUP($B837,calc_data,F$14+1,0),0),0)</f>
        <v/>
      </c>
      <c r="G837" s="141">
        <f>IF(offer_sale_type="транзит",IFERROR(VLOOKUP($B837,calc_data,G$14+1,0),0),0)</f>
        <v/>
      </c>
      <c r="H837" s="141">
        <f>E837*G837</f>
        <v/>
      </c>
      <c r="I837" s="141">
        <f>IF(offer_sale_type="транзит",IFERROR(ROUND(VLOOKUP($B837,calc_data,I$14+1,0),2),0),0)</f>
        <v/>
      </c>
      <c r="J837" s="141">
        <f>ROUND(IF(offer_sale_type="транзит",IFERROR(VLOOKUP($B837,calc_data,J$14+1,0),0),0),2)</f>
        <v/>
      </c>
      <c r="K837" s="142">
        <f>IF(offer_sale_type="транзит",IFERROR(ROUNDUP(VLOOKUP($B837,calc_data,K$14+1,0),2),0),0)</f>
        <v/>
      </c>
      <c r="L837" s="184">
        <f>IF(offer_sale_type="транзит",IFERROR(ROUNDUP(VLOOKUP($B837,calc_data,L$14+1,0),2),0),0)</f>
        <v/>
      </c>
      <c r="M837" s="141">
        <f>IF(offer_sale_type="транзит",IFERROR(ROUNDUP(VLOOKUP($B837,calc_data,M$14+1,0),2),0),0)</f>
        <v/>
      </c>
      <c r="N837" s="141">
        <f>IF(offer_sale_type="транзит",IFERROR(ROUNDUP(VLOOKUP($B837,calc_data,N$14+1,0),2),0),0)</f>
        <v/>
      </c>
      <c r="O837" s="147">
        <f>IF(offer_sale_type="транзит",IFERROR(ROUND(VLOOKUP($B837,calc_data,O$14+1,1),2),0),0)</f>
        <v/>
      </c>
      <c r="P837" s="141">
        <f>IF(offer_sale_type="транзит",IFERROR(ROUND(SUM(I837:J837,M837:O837)/E837,2),0),0)</f>
        <v/>
      </c>
      <c r="Q837" s="141">
        <f>E837*P837</f>
        <v/>
      </c>
      <c r="R837" s="141">
        <f>ROUND(Q837*IF(AND(offer_incoterms="DDP",seller_region="RU"),IF((TODAY()+offer_turnaround_time)&gt;=helpsheet!$L$17,rate_vatRU_from_26,rate_vatRu_till_25),0),2)</f>
        <v/>
      </c>
      <c r="S837" s="177">
        <f>Q837+IF(AND(offer_incoterms="DDP",seller_region="RU"),R837,0)</f>
        <v/>
      </c>
      <c r="T837" s="45" t="n"/>
      <c r="V837" s="57">
        <f>IF(Q837&gt;0,"показать","скрыть")</f>
        <v/>
      </c>
    </row>
    <row r="838" ht="15.75" customHeight="1">
      <c r="B838" s="809" t="n">
        <v>822</v>
      </c>
      <c r="C838" s="182">
        <f>IF(offer_sale_type="транзит",IFERROR(VLOOKUP($B838,calc_data,C$14+1,0),0),0)</f>
        <v/>
      </c>
      <c r="D838" s="280">
        <f>IF(offer_sale_type="транзит",IFERROR(VLOOKUP($B838,calc_data,D$14+1,0),0),0)</f>
        <v/>
      </c>
      <c r="E838" s="182">
        <f>IF(offer_sale_type="транзит",IFERROR(VLOOKUP($B838,calc_data,E$14+1,0),0),0)</f>
        <v/>
      </c>
      <c r="F838" s="182">
        <f>IF(offer_sale_type="транзит",IFERROR(VLOOKUP($B838,calc_data,F$14+1,0),0),0)</f>
        <v/>
      </c>
      <c r="G838" s="141">
        <f>IF(offer_sale_type="транзит",IFERROR(VLOOKUP($B838,calc_data,G$14+1,0),0),0)</f>
        <v/>
      </c>
      <c r="H838" s="141">
        <f>E838*G838</f>
        <v/>
      </c>
      <c r="I838" s="141">
        <f>IF(offer_sale_type="транзит",IFERROR(ROUND(VLOOKUP($B838,calc_data,I$14+1,0),2),0),0)</f>
        <v/>
      </c>
      <c r="J838" s="141">
        <f>ROUND(IF(offer_sale_type="транзит",IFERROR(VLOOKUP($B838,calc_data,J$14+1,0),0),0),2)</f>
        <v/>
      </c>
      <c r="K838" s="142">
        <f>IF(offer_sale_type="транзит",IFERROR(ROUNDUP(VLOOKUP($B838,calc_data,K$14+1,0),2),0),0)</f>
        <v/>
      </c>
      <c r="L838" s="184">
        <f>IF(offer_sale_type="транзит",IFERROR(ROUNDUP(VLOOKUP($B838,calc_data,L$14+1,0),2),0),0)</f>
        <v/>
      </c>
      <c r="M838" s="141">
        <f>IF(offer_sale_type="транзит",IFERROR(ROUNDUP(VLOOKUP($B838,calc_data,M$14+1,0),2),0),0)</f>
        <v/>
      </c>
      <c r="N838" s="141">
        <f>IF(offer_sale_type="транзит",IFERROR(ROUNDUP(VLOOKUP($B838,calc_data,N$14+1,0),2),0),0)</f>
        <v/>
      </c>
      <c r="O838" s="147">
        <f>IF(offer_sale_type="транзит",IFERROR(ROUND(VLOOKUP($B838,calc_data,O$14+1,1),2),0),0)</f>
        <v/>
      </c>
      <c r="P838" s="141">
        <f>IF(offer_sale_type="транзит",IFERROR(ROUND(SUM(I838:J838,M838:O838)/E838,2),0),0)</f>
        <v/>
      </c>
      <c r="Q838" s="141">
        <f>E838*P838</f>
        <v/>
      </c>
      <c r="R838" s="141">
        <f>ROUND(Q838*IF(AND(offer_incoterms="DDP",seller_region="RU"),IF((TODAY()+offer_turnaround_time)&gt;=helpsheet!$L$17,rate_vatRU_from_26,rate_vatRu_till_25),0),2)</f>
        <v/>
      </c>
      <c r="S838" s="177">
        <f>Q838+IF(AND(offer_incoterms="DDP",seller_region="RU"),R838,0)</f>
        <v/>
      </c>
      <c r="T838" s="45" t="n"/>
      <c r="V838" s="57">
        <f>IF(Q838&gt;0,"показать","скрыть")</f>
        <v/>
      </c>
    </row>
    <row r="839" ht="15.75" customHeight="1">
      <c r="B839" s="809" t="n">
        <v>823</v>
      </c>
      <c r="C839" s="182">
        <f>IF(offer_sale_type="транзит",IFERROR(VLOOKUP($B839,calc_data,C$14+1,0),0),0)</f>
        <v/>
      </c>
      <c r="D839" s="280">
        <f>IF(offer_sale_type="транзит",IFERROR(VLOOKUP($B839,calc_data,D$14+1,0),0),0)</f>
        <v/>
      </c>
      <c r="E839" s="182">
        <f>IF(offer_sale_type="транзит",IFERROR(VLOOKUP($B839,calc_data,E$14+1,0),0),0)</f>
        <v/>
      </c>
      <c r="F839" s="182">
        <f>IF(offer_sale_type="транзит",IFERROR(VLOOKUP($B839,calc_data,F$14+1,0),0),0)</f>
        <v/>
      </c>
      <c r="G839" s="141">
        <f>IF(offer_sale_type="транзит",IFERROR(VLOOKUP($B839,calc_data,G$14+1,0),0),0)</f>
        <v/>
      </c>
      <c r="H839" s="141">
        <f>E839*G839</f>
        <v/>
      </c>
      <c r="I839" s="141">
        <f>IF(offer_sale_type="транзит",IFERROR(ROUND(VLOOKUP($B839,calc_data,I$14+1,0),2),0),0)</f>
        <v/>
      </c>
      <c r="J839" s="141">
        <f>ROUND(IF(offer_sale_type="транзит",IFERROR(VLOOKUP($B839,calc_data,J$14+1,0),0),0),2)</f>
        <v/>
      </c>
      <c r="K839" s="142">
        <f>IF(offer_sale_type="транзит",IFERROR(ROUNDUP(VLOOKUP($B839,calc_data,K$14+1,0),2),0),0)</f>
        <v/>
      </c>
      <c r="L839" s="184">
        <f>IF(offer_sale_type="транзит",IFERROR(ROUNDUP(VLOOKUP($B839,calc_data,L$14+1,0),2),0),0)</f>
        <v/>
      </c>
      <c r="M839" s="141">
        <f>IF(offer_sale_type="транзит",IFERROR(ROUNDUP(VLOOKUP($B839,calc_data,M$14+1,0),2),0),0)</f>
        <v/>
      </c>
      <c r="N839" s="141">
        <f>IF(offer_sale_type="транзит",IFERROR(ROUNDUP(VLOOKUP($B839,calc_data,N$14+1,0),2),0),0)</f>
        <v/>
      </c>
      <c r="O839" s="147">
        <f>IF(offer_sale_type="транзит",IFERROR(ROUND(VLOOKUP($B839,calc_data,O$14+1,1),2),0),0)</f>
        <v/>
      </c>
      <c r="P839" s="141">
        <f>IF(offer_sale_type="транзит",IFERROR(ROUND(SUM(I839:J839,M839:O839)/E839,2),0),0)</f>
        <v/>
      </c>
      <c r="Q839" s="141">
        <f>E839*P839</f>
        <v/>
      </c>
      <c r="R839" s="141">
        <f>ROUND(Q839*IF(AND(offer_incoterms="DDP",seller_region="RU"),IF((TODAY()+offer_turnaround_time)&gt;=helpsheet!$L$17,rate_vatRU_from_26,rate_vatRu_till_25),0),2)</f>
        <v/>
      </c>
      <c r="S839" s="177">
        <f>Q839+IF(AND(offer_incoterms="DDP",seller_region="RU"),R839,0)</f>
        <v/>
      </c>
      <c r="T839" s="45" t="n"/>
      <c r="V839" s="57">
        <f>IF(Q839&gt;0,"показать","скрыть")</f>
        <v/>
      </c>
    </row>
    <row r="840" ht="15.75" customHeight="1">
      <c r="B840" s="809" t="n">
        <v>824</v>
      </c>
      <c r="C840" s="182">
        <f>IF(offer_sale_type="транзит",IFERROR(VLOOKUP($B840,calc_data,C$14+1,0),0),0)</f>
        <v/>
      </c>
      <c r="D840" s="280">
        <f>IF(offer_sale_type="транзит",IFERROR(VLOOKUP($B840,calc_data,D$14+1,0),0),0)</f>
        <v/>
      </c>
      <c r="E840" s="182">
        <f>IF(offer_sale_type="транзит",IFERROR(VLOOKUP($B840,calc_data,E$14+1,0),0),0)</f>
        <v/>
      </c>
      <c r="F840" s="182">
        <f>IF(offer_sale_type="транзит",IFERROR(VLOOKUP($B840,calc_data,F$14+1,0),0),0)</f>
        <v/>
      </c>
      <c r="G840" s="141">
        <f>IF(offer_sale_type="транзит",IFERROR(VLOOKUP($B840,calc_data,G$14+1,0),0),0)</f>
        <v/>
      </c>
      <c r="H840" s="141">
        <f>E840*G840</f>
        <v/>
      </c>
      <c r="I840" s="141">
        <f>IF(offer_sale_type="транзит",IFERROR(ROUND(VLOOKUP($B840,calc_data,I$14+1,0),2),0),0)</f>
        <v/>
      </c>
      <c r="J840" s="141">
        <f>ROUND(IF(offer_sale_type="транзит",IFERROR(VLOOKUP($B840,calc_data,J$14+1,0),0),0),2)</f>
        <v/>
      </c>
      <c r="K840" s="142">
        <f>IF(offer_sale_type="транзит",IFERROR(ROUNDUP(VLOOKUP($B840,calc_data,K$14+1,0),2),0),0)</f>
        <v/>
      </c>
      <c r="L840" s="184">
        <f>IF(offer_sale_type="транзит",IFERROR(ROUNDUP(VLOOKUP($B840,calc_data,L$14+1,0),2),0),0)</f>
        <v/>
      </c>
      <c r="M840" s="141">
        <f>IF(offer_sale_type="транзит",IFERROR(ROUNDUP(VLOOKUP($B840,calc_data,M$14+1,0),2),0),0)</f>
        <v/>
      </c>
      <c r="N840" s="141">
        <f>IF(offer_sale_type="транзит",IFERROR(ROUNDUP(VLOOKUP($B840,calc_data,N$14+1,0),2),0),0)</f>
        <v/>
      </c>
      <c r="O840" s="147">
        <f>IF(offer_sale_type="транзит",IFERROR(ROUND(VLOOKUP($B840,calc_data,O$14+1,1),2),0),0)</f>
        <v/>
      </c>
      <c r="P840" s="141">
        <f>IF(offer_sale_type="транзит",IFERROR(ROUND(SUM(I840:J840,M840:O840)/E840,2),0),0)</f>
        <v/>
      </c>
      <c r="Q840" s="141">
        <f>E840*P840</f>
        <v/>
      </c>
      <c r="R840" s="141">
        <f>ROUND(Q840*IF(AND(offer_incoterms="DDP",seller_region="RU"),IF((TODAY()+offer_turnaround_time)&gt;=helpsheet!$L$17,rate_vatRU_from_26,rate_vatRu_till_25),0),2)</f>
        <v/>
      </c>
      <c r="S840" s="177">
        <f>Q840+IF(AND(offer_incoterms="DDP",seller_region="RU"),R840,0)</f>
        <v/>
      </c>
      <c r="T840" s="45" t="n"/>
      <c r="V840" s="57">
        <f>IF(Q840&gt;0,"показать","скрыть")</f>
        <v/>
      </c>
    </row>
    <row r="841" ht="15.75" customHeight="1">
      <c r="B841" s="809" t="n">
        <v>825</v>
      </c>
      <c r="C841" s="182">
        <f>IF(offer_sale_type="транзит",IFERROR(VLOOKUP($B841,calc_data,C$14+1,0),0),0)</f>
        <v/>
      </c>
      <c r="D841" s="280">
        <f>IF(offer_sale_type="транзит",IFERROR(VLOOKUP($B841,calc_data,D$14+1,0),0),0)</f>
        <v/>
      </c>
      <c r="E841" s="182">
        <f>IF(offer_sale_type="транзит",IFERROR(VLOOKUP($B841,calc_data,E$14+1,0),0),0)</f>
        <v/>
      </c>
      <c r="F841" s="182">
        <f>IF(offer_sale_type="транзит",IFERROR(VLOOKUP($B841,calc_data,F$14+1,0),0),0)</f>
        <v/>
      </c>
      <c r="G841" s="141">
        <f>IF(offer_sale_type="транзит",IFERROR(VLOOKUP($B841,calc_data,G$14+1,0),0),0)</f>
        <v/>
      </c>
      <c r="H841" s="141">
        <f>E841*G841</f>
        <v/>
      </c>
      <c r="I841" s="141">
        <f>IF(offer_sale_type="транзит",IFERROR(ROUND(VLOOKUP($B841,calc_data,I$14+1,0),2),0),0)</f>
        <v/>
      </c>
      <c r="J841" s="141">
        <f>ROUND(IF(offer_sale_type="транзит",IFERROR(VLOOKUP($B841,calc_data,J$14+1,0),0),0),2)</f>
        <v/>
      </c>
      <c r="K841" s="142">
        <f>IF(offer_sale_type="транзит",IFERROR(ROUNDUP(VLOOKUP($B841,calc_data,K$14+1,0),2),0),0)</f>
        <v/>
      </c>
      <c r="L841" s="184">
        <f>IF(offer_sale_type="транзит",IFERROR(ROUNDUP(VLOOKUP($B841,calc_data,L$14+1,0),2),0),0)</f>
        <v/>
      </c>
      <c r="M841" s="141">
        <f>IF(offer_sale_type="транзит",IFERROR(ROUNDUP(VLOOKUP($B841,calc_data,M$14+1,0),2),0),0)</f>
        <v/>
      </c>
      <c r="N841" s="141">
        <f>IF(offer_sale_type="транзит",IFERROR(ROUNDUP(VLOOKUP($B841,calc_data,N$14+1,0),2),0),0)</f>
        <v/>
      </c>
      <c r="O841" s="147">
        <f>IF(offer_sale_type="транзит",IFERROR(ROUND(VLOOKUP($B841,calc_data,O$14+1,1),2),0),0)</f>
        <v/>
      </c>
      <c r="P841" s="141">
        <f>IF(offer_sale_type="транзит",IFERROR(ROUND(SUM(I841:J841,M841:O841)/E841,2),0),0)</f>
        <v/>
      </c>
      <c r="Q841" s="141">
        <f>E841*P841</f>
        <v/>
      </c>
      <c r="R841" s="141">
        <f>ROUND(Q841*IF(AND(offer_incoterms="DDP",seller_region="RU"),IF((TODAY()+offer_turnaround_time)&gt;=helpsheet!$L$17,rate_vatRU_from_26,rate_vatRu_till_25),0),2)</f>
        <v/>
      </c>
      <c r="S841" s="177">
        <f>Q841+IF(AND(offer_incoterms="DDP",seller_region="RU"),R841,0)</f>
        <v/>
      </c>
      <c r="T841" s="45" t="n"/>
      <c r="V841" s="57">
        <f>IF(Q841&gt;0,"показать","скрыть")</f>
        <v/>
      </c>
    </row>
    <row r="842" ht="15.75" customHeight="1">
      <c r="B842" s="809" t="n">
        <v>826</v>
      </c>
      <c r="C842" s="182">
        <f>IF(offer_sale_type="транзит",IFERROR(VLOOKUP($B842,calc_data,C$14+1,0),0),0)</f>
        <v/>
      </c>
      <c r="D842" s="280">
        <f>IF(offer_sale_type="транзит",IFERROR(VLOOKUP($B842,calc_data,D$14+1,0),0),0)</f>
        <v/>
      </c>
      <c r="E842" s="182">
        <f>IF(offer_sale_type="транзит",IFERROR(VLOOKUP($B842,calc_data,E$14+1,0),0),0)</f>
        <v/>
      </c>
      <c r="F842" s="182">
        <f>IF(offer_sale_type="транзит",IFERROR(VLOOKUP($B842,calc_data,F$14+1,0),0),0)</f>
        <v/>
      </c>
      <c r="G842" s="141">
        <f>IF(offer_sale_type="транзит",IFERROR(VLOOKUP($B842,calc_data,G$14+1,0),0),0)</f>
        <v/>
      </c>
      <c r="H842" s="141">
        <f>E842*G842</f>
        <v/>
      </c>
      <c r="I842" s="141">
        <f>IF(offer_sale_type="транзит",IFERROR(ROUND(VLOOKUP($B842,calc_data,I$14+1,0),2),0),0)</f>
        <v/>
      </c>
      <c r="J842" s="141">
        <f>ROUND(IF(offer_sale_type="транзит",IFERROR(VLOOKUP($B842,calc_data,J$14+1,0),0),0),2)</f>
        <v/>
      </c>
      <c r="K842" s="142">
        <f>IF(offer_sale_type="транзит",IFERROR(ROUNDUP(VLOOKUP($B842,calc_data,K$14+1,0),2),0),0)</f>
        <v/>
      </c>
      <c r="L842" s="184">
        <f>IF(offer_sale_type="транзит",IFERROR(ROUNDUP(VLOOKUP($B842,calc_data,L$14+1,0),2),0),0)</f>
        <v/>
      </c>
      <c r="M842" s="141">
        <f>IF(offer_sale_type="транзит",IFERROR(ROUNDUP(VLOOKUP($B842,calc_data,M$14+1,0),2),0),0)</f>
        <v/>
      </c>
      <c r="N842" s="141">
        <f>IF(offer_sale_type="транзит",IFERROR(ROUNDUP(VLOOKUP($B842,calc_data,N$14+1,0),2),0),0)</f>
        <v/>
      </c>
      <c r="O842" s="147">
        <f>IF(offer_sale_type="транзит",IFERROR(ROUND(VLOOKUP($B842,calc_data,O$14+1,1),2),0),0)</f>
        <v/>
      </c>
      <c r="P842" s="141">
        <f>IF(offer_sale_type="транзит",IFERROR(ROUND(SUM(I842:J842,M842:O842)/E842,2),0),0)</f>
        <v/>
      </c>
      <c r="Q842" s="141">
        <f>E842*P842</f>
        <v/>
      </c>
      <c r="R842" s="141">
        <f>ROUND(Q842*IF(AND(offer_incoterms="DDP",seller_region="RU"),IF((TODAY()+offer_turnaround_time)&gt;=helpsheet!$L$17,rate_vatRU_from_26,rate_vatRu_till_25),0),2)</f>
        <v/>
      </c>
      <c r="S842" s="177">
        <f>Q842+IF(AND(offer_incoterms="DDP",seller_region="RU"),R842,0)</f>
        <v/>
      </c>
      <c r="T842" s="45" t="n"/>
      <c r="V842" s="57">
        <f>IF(Q842&gt;0,"показать","скрыть")</f>
        <v/>
      </c>
    </row>
    <row r="843" ht="15.75" customHeight="1">
      <c r="B843" s="809" t="n">
        <v>827</v>
      </c>
      <c r="C843" s="182">
        <f>IF(offer_sale_type="транзит",IFERROR(VLOOKUP($B843,calc_data,C$14+1,0),0),0)</f>
        <v/>
      </c>
      <c r="D843" s="280">
        <f>IF(offer_sale_type="транзит",IFERROR(VLOOKUP($B843,calc_data,D$14+1,0),0),0)</f>
        <v/>
      </c>
      <c r="E843" s="182">
        <f>IF(offer_sale_type="транзит",IFERROR(VLOOKUP($B843,calc_data,E$14+1,0),0),0)</f>
        <v/>
      </c>
      <c r="F843" s="182">
        <f>IF(offer_sale_type="транзит",IFERROR(VLOOKUP($B843,calc_data,F$14+1,0),0),0)</f>
        <v/>
      </c>
      <c r="G843" s="141">
        <f>IF(offer_sale_type="транзит",IFERROR(VLOOKUP($B843,calc_data,G$14+1,0),0),0)</f>
        <v/>
      </c>
      <c r="H843" s="141">
        <f>E843*G843</f>
        <v/>
      </c>
      <c r="I843" s="141">
        <f>IF(offer_sale_type="транзит",IFERROR(ROUND(VLOOKUP($B843,calc_data,I$14+1,0),2),0),0)</f>
        <v/>
      </c>
      <c r="J843" s="141">
        <f>ROUND(IF(offer_sale_type="транзит",IFERROR(VLOOKUP($B843,calc_data,J$14+1,0),0),0),2)</f>
        <v/>
      </c>
      <c r="K843" s="142">
        <f>IF(offer_sale_type="транзит",IFERROR(ROUNDUP(VLOOKUP($B843,calc_data,K$14+1,0),2),0),0)</f>
        <v/>
      </c>
      <c r="L843" s="184">
        <f>IF(offer_sale_type="транзит",IFERROR(ROUNDUP(VLOOKUP($B843,calc_data,L$14+1,0),2),0),0)</f>
        <v/>
      </c>
      <c r="M843" s="141">
        <f>IF(offer_sale_type="транзит",IFERROR(ROUNDUP(VLOOKUP($B843,calc_data,M$14+1,0),2),0),0)</f>
        <v/>
      </c>
      <c r="N843" s="141">
        <f>IF(offer_sale_type="транзит",IFERROR(ROUNDUP(VLOOKUP($B843,calc_data,N$14+1,0),2),0),0)</f>
        <v/>
      </c>
      <c r="O843" s="147">
        <f>IF(offer_sale_type="транзит",IFERROR(ROUND(VLOOKUP($B843,calc_data,O$14+1,1),2),0),0)</f>
        <v/>
      </c>
      <c r="P843" s="141">
        <f>IF(offer_sale_type="транзит",IFERROR(ROUND(SUM(I843:J843,M843:O843)/E843,2),0),0)</f>
        <v/>
      </c>
      <c r="Q843" s="141">
        <f>E843*P843</f>
        <v/>
      </c>
      <c r="R843" s="141">
        <f>ROUND(Q843*IF(AND(offer_incoterms="DDP",seller_region="RU"),IF((TODAY()+offer_turnaround_time)&gt;=helpsheet!$L$17,rate_vatRU_from_26,rate_vatRu_till_25),0),2)</f>
        <v/>
      </c>
      <c r="S843" s="177">
        <f>Q843+IF(AND(offer_incoterms="DDP",seller_region="RU"),R843,0)</f>
        <v/>
      </c>
      <c r="T843" s="45" t="n"/>
      <c r="V843" s="57">
        <f>IF(Q843&gt;0,"показать","скрыть")</f>
        <v/>
      </c>
    </row>
    <row r="844" ht="15.75" customHeight="1">
      <c r="B844" s="809" t="n">
        <v>828</v>
      </c>
      <c r="C844" s="182">
        <f>IF(offer_sale_type="транзит",IFERROR(VLOOKUP($B844,calc_data,C$14+1,0),0),0)</f>
        <v/>
      </c>
      <c r="D844" s="280">
        <f>IF(offer_sale_type="транзит",IFERROR(VLOOKUP($B844,calc_data,D$14+1,0),0),0)</f>
        <v/>
      </c>
      <c r="E844" s="182">
        <f>IF(offer_sale_type="транзит",IFERROR(VLOOKUP($B844,calc_data,E$14+1,0),0),0)</f>
        <v/>
      </c>
      <c r="F844" s="182">
        <f>IF(offer_sale_type="транзит",IFERROR(VLOOKUP($B844,calc_data,F$14+1,0),0),0)</f>
        <v/>
      </c>
      <c r="G844" s="141">
        <f>IF(offer_sale_type="транзит",IFERROR(VLOOKUP($B844,calc_data,G$14+1,0),0),0)</f>
        <v/>
      </c>
      <c r="H844" s="141">
        <f>E844*G844</f>
        <v/>
      </c>
      <c r="I844" s="141">
        <f>IF(offer_sale_type="транзит",IFERROR(ROUND(VLOOKUP($B844,calc_data,I$14+1,0),2),0),0)</f>
        <v/>
      </c>
      <c r="J844" s="141">
        <f>ROUND(IF(offer_sale_type="транзит",IFERROR(VLOOKUP($B844,calc_data,J$14+1,0),0),0),2)</f>
        <v/>
      </c>
      <c r="K844" s="142">
        <f>IF(offer_sale_type="транзит",IFERROR(ROUNDUP(VLOOKUP($B844,calc_data,K$14+1,0),2),0),0)</f>
        <v/>
      </c>
      <c r="L844" s="184">
        <f>IF(offer_sale_type="транзит",IFERROR(ROUNDUP(VLOOKUP($B844,calc_data,L$14+1,0),2),0),0)</f>
        <v/>
      </c>
      <c r="M844" s="141">
        <f>IF(offer_sale_type="транзит",IFERROR(ROUNDUP(VLOOKUP($B844,calc_data,M$14+1,0),2),0),0)</f>
        <v/>
      </c>
      <c r="N844" s="141">
        <f>IF(offer_sale_type="транзит",IFERROR(ROUNDUP(VLOOKUP($B844,calc_data,N$14+1,0),2),0),0)</f>
        <v/>
      </c>
      <c r="O844" s="147">
        <f>IF(offer_sale_type="транзит",IFERROR(ROUND(VLOOKUP($B844,calc_data,O$14+1,1),2),0),0)</f>
        <v/>
      </c>
      <c r="P844" s="141">
        <f>IF(offer_sale_type="транзит",IFERROR(ROUND(SUM(I844:J844,M844:O844)/E844,2),0),0)</f>
        <v/>
      </c>
      <c r="Q844" s="141">
        <f>E844*P844</f>
        <v/>
      </c>
      <c r="R844" s="141">
        <f>ROUND(Q844*IF(AND(offer_incoterms="DDP",seller_region="RU"),IF((TODAY()+offer_turnaround_time)&gt;=helpsheet!$L$17,rate_vatRU_from_26,rate_vatRu_till_25),0),2)</f>
        <v/>
      </c>
      <c r="S844" s="177">
        <f>Q844+IF(AND(offer_incoterms="DDP",seller_region="RU"),R844,0)</f>
        <v/>
      </c>
      <c r="T844" s="45" t="n"/>
      <c r="V844" s="57">
        <f>IF(Q844&gt;0,"показать","скрыть")</f>
        <v/>
      </c>
    </row>
    <row r="845" ht="15.75" customHeight="1">
      <c r="B845" s="809" t="n">
        <v>829</v>
      </c>
      <c r="C845" s="182">
        <f>IF(offer_sale_type="транзит",IFERROR(VLOOKUP($B845,calc_data,C$14+1,0),0),0)</f>
        <v/>
      </c>
      <c r="D845" s="280">
        <f>IF(offer_sale_type="транзит",IFERROR(VLOOKUP($B845,calc_data,D$14+1,0),0),0)</f>
        <v/>
      </c>
      <c r="E845" s="182">
        <f>IF(offer_sale_type="транзит",IFERROR(VLOOKUP($B845,calc_data,E$14+1,0),0),0)</f>
        <v/>
      </c>
      <c r="F845" s="182">
        <f>IF(offer_sale_type="транзит",IFERROR(VLOOKUP($B845,calc_data,F$14+1,0),0),0)</f>
        <v/>
      </c>
      <c r="G845" s="141">
        <f>IF(offer_sale_type="транзит",IFERROR(VLOOKUP($B845,calc_data,G$14+1,0),0),0)</f>
        <v/>
      </c>
      <c r="H845" s="141">
        <f>E845*G845</f>
        <v/>
      </c>
      <c r="I845" s="141">
        <f>IF(offer_sale_type="транзит",IFERROR(ROUND(VLOOKUP($B845,calc_data,I$14+1,0),2),0),0)</f>
        <v/>
      </c>
      <c r="J845" s="141">
        <f>ROUND(IF(offer_sale_type="транзит",IFERROR(VLOOKUP($B845,calc_data,J$14+1,0),0),0),2)</f>
        <v/>
      </c>
      <c r="K845" s="142">
        <f>IF(offer_sale_type="транзит",IFERROR(ROUNDUP(VLOOKUP($B845,calc_data,K$14+1,0),2),0),0)</f>
        <v/>
      </c>
      <c r="L845" s="184">
        <f>IF(offer_sale_type="транзит",IFERROR(ROUNDUP(VLOOKUP($B845,calc_data,L$14+1,0),2),0),0)</f>
        <v/>
      </c>
      <c r="M845" s="141">
        <f>IF(offer_sale_type="транзит",IFERROR(ROUNDUP(VLOOKUP($B845,calc_data,M$14+1,0),2),0),0)</f>
        <v/>
      </c>
      <c r="N845" s="141">
        <f>IF(offer_sale_type="транзит",IFERROR(ROUNDUP(VLOOKUP($B845,calc_data,N$14+1,0),2),0),0)</f>
        <v/>
      </c>
      <c r="O845" s="147">
        <f>IF(offer_sale_type="транзит",IFERROR(ROUND(VLOOKUP($B845,calc_data,O$14+1,1),2),0),0)</f>
        <v/>
      </c>
      <c r="P845" s="141">
        <f>IF(offer_sale_type="транзит",IFERROR(ROUND(SUM(I845:J845,M845:O845)/E845,2),0),0)</f>
        <v/>
      </c>
      <c r="Q845" s="141">
        <f>E845*P845</f>
        <v/>
      </c>
      <c r="R845" s="141">
        <f>ROUND(Q845*IF(AND(offer_incoterms="DDP",seller_region="RU"),IF((TODAY()+offer_turnaround_time)&gt;=helpsheet!$L$17,rate_vatRU_from_26,rate_vatRu_till_25),0),2)</f>
        <v/>
      </c>
      <c r="S845" s="177">
        <f>Q845+IF(AND(offer_incoterms="DDP",seller_region="RU"),R845,0)</f>
        <v/>
      </c>
      <c r="T845" s="45" t="n"/>
      <c r="V845" s="57">
        <f>IF(Q845&gt;0,"показать","скрыть")</f>
        <v/>
      </c>
    </row>
    <row r="846" ht="15.75" customHeight="1">
      <c r="B846" s="809" t="n">
        <v>830</v>
      </c>
      <c r="C846" s="182">
        <f>IF(offer_sale_type="транзит",IFERROR(VLOOKUP($B846,calc_data,C$14+1,0),0),0)</f>
        <v/>
      </c>
      <c r="D846" s="280">
        <f>IF(offer_sale_type="транзит",IFERROR(VLOOKUP($B846,calc_data,D$14+1,0),0),0)</f>
        <v/>
      </c>
      <c r="E846" s="182">
        <f>IF(offer_sale_type="транзит",IFERROR(VLOOKUP($B846,calc_data,E$14+1,0),0),0)</f>
        <v/>
      </c>
      <c r="F846" s="182">
        <f>IF(offer_sale_type="транзит",IFERROR(VLOOKUP($B846,calc_data,F$14+1,0),0),0)</f>
        <v/>
      </c>
      <c r="G846" s="141">
        <f>IF(offer_sale_type="транзит",IFERROR(VLOOKUP($B846,calc_data,G$14+1,0),0),0)</f>
        <v/>
      </c>
      <c r="H846" s="141">
        <f>E846*G846</f>
        <v/>
      </c>
      <c r="I846" s="141">
        <f>IF(offer_sale_type="транзит",IFERROR(ROUND(VLOOKUP($B846,calc_data,I$14+1,0),2),0),0)</f>
        <v/>
      </c>
      <c r="J846" s="141">
        <f>ROUND(IF(offer_sale_type="транзит",IFERROR(VLOOKUP($B846,calc_data,J$14+1,0),0),0),2)</f>
        <v/>
      </c>
      <c r="K846" s="142">
        <f>IF(offer_sale_type="транзит",IFERROR(ROUNDUP(VLOOKUP($B846,calc_data,K$14+1,0),2),0),0)</f>
        <v/>
      </c>
      <c r="L846" s="184">
        <f>IF(offer_sale_type="транзит",IFERROR(ROUNDUP(VLOOKUP($B846,calc_data,L$14+1,0),2),0),0)</f>
        <v/>
      </c>
      <c r="M846" s="141">
        <f>IF(offer_sale_type="транзит",IFERROR(ROUNDUP(VLOOKUP($B846,calc_data,M$14+1,0),2),0),0)</f>
        <v/>
      </c>
      <c r="N846" s="141">
        <f>IF(offer_sale_type="транзит",IFERROR(ROUNDUP(VLOOKUP($B846,calc_data,N$14+1,0),2),0),0)</f>
        <v/>
      </c>
      <c r="O846" s="147">
        <f>IF(offer_sale_type="транзит",IFERROR(ROUND(VLOOKUP($B846,calc_data,O$14+1,1),2),0),0)</f>
        <v/>
      </c>
      <c r="P846" s="141">
        <f>IF(offer_sale_type="транзит",IFERROR(ROUND(SUM(I846:J846,M846:O846)/E846,2),0),0)</f>
        <v/>
      </c>
      <c r="Q846" s="141">
        <f>E846*P846</f>
        <v/>
      </c>
      <c r="R846" s="141">
        <f>ROUND(Q846*IF(AND(offer_incoterms="DDP",seller_region="RU"),IF((TODAY()+offer_turnaround_time)&gt;=helpsheet!$L$17,rate_vatRU_from_26,rate_vatRu_till_25),0),2)</f>
        <v/>
      </c>
      <c r="S846" s="177">
        <f>Q846+IF(AND(offer_incoterms="DDP",seller_region="RU"),R846,0)</f>
        <v/>
      </c>
      <c r="T846" s="45" t="n"/>
      <c r="V846" s="57">
        <f>IF(Q846&gt;0,"показать","скрыть")</f>
        <v/>
      </c>
    </row>
    <row r="847" ht="15.75" customHeight="1">
      <c r="B847" s="809" t="n">
        <v>831</v>
      </c>
      <c r="C847" s="182">
        <f>IF(offer_sale_type="транзит",IFERROR(VLOOKUP($B847,calc_data,C$14+1,0),0),0)</f>
        <v/>
      </c>
      <c r="D847" s="280">
        <f>IF(offer_sale_type="транзит",IFERROR(VLOOKUP($B847,calc_data,D$14+1,0),0),0)</f>
        <v/>
      </c>
      <c r="E847" s="182">
        <f>IF(offer_sale_type="транзит",IFERROR(VLOOKUP($B847,calc_data,E$14+1,0),0),0)</f>
        <v/>
      </c>
      <c r="F847" s="182">
        <f>IF(offer_sale_type="транзит",IFERROR(VLOOKUP($B847,calc_data,F$14+1,0),0),0)</f>
        <v/>
      </c>
      <c r="G847" s="141">
        <f>IF(offer_sale_type="транзит",IFERROR(VLOOKUP($B847,calc_data,G$14+1,0),0),0)</f>
        <v/>
      </c>
      <c r="H847" s="141">
        <f>E847*G847</f>
        <v/>
      </c>
      <c r="I847" s="141">
        <f>IF(offer_sale_type="транзит",IFERROR(ROUND(VLOOKUP($B847,calc_data,I$14+1,0),2),0),0)</f>
        <v/>
      </c>
      <c r="J847" s="141">
        <f>ROUND(IF(offer_sale_type="транзит",IFERROR(VLOOKUP($B847,calc_data,J$14+1,0),0),0),2)</f>
        <v/>
      </c>
      <c r="K847" s="142">
        <f>IF(offer_sale_type="транзит",IFERROR(ROUNDUP(VLOOKUP($B847,calc_data,K$14+1,0),2),0),0)</f>
        <v/>
      </c>
      <c r="L847" s="184">
        <f>IF(offer_sale_type="транзит",IFERROR(ROUNDUP(VLOOKUP($B847,calc_data,L$14+1,0),2),0),0)</f>
        <v/>
      </c>
      <c r="M847" s="141">
        <f>IF(offer_sale_type="транзит",IFERROR(ROUNDUP(VLOOKUP($B847,calc_data,M$14+1,0),2),0),0)</f>
        <v/>
      </c>
      <c r="N847" s="141">
        <f>IF(offer_sale_type="транзит",IFERROR(ROUNDUP(VLOOKUP($B847,calc_data,N$14+1,0),2),0),0)</f>
        <v/>
      </c>
      <c r="O847" s="147">
        <f>IF(offer_sale_type="транзит",IFERROR(ROUND(VLOOKUP($B847,calc_data,O$14+1,1),2),0),0)</f>
        <v/>
      </c>
      <c r="P847" s="141">
        <f>IF(offer_sale_type="транзит",IFERROR(ROUND(SUM(I847:J847,M847:O847)/E847,2),0),0)</f>
        <v/>
      </c>
      <c r="Q847" s="141">
        <f>E847*P847</f>
        <v/>
      </c>
      <c r="R847" s="141">
        <f>ROUND(Q847*IF(AND(offer_incoterms="DDP",seller_region="RU"),IF((TODAY()+offer_turnaround_time)&gt;=helpsheet!$L$17,rate_vatRU_from_26,rate_vatRu_till_25),0),2)</f>
        <v/>
      </c>
      <c r="S847" s="177">
        <f>Q847+IF(AND(offer_incoterms="DDP",seller_region="RU"),R847,0)</f>
        <v/>
      </c>
      <c r="T847" s="45" t="n"/>
      <c r="V847" s="57">
        <f>IF(Q847&gt;0,"показать","скрыть")</f>
        <v/>
      </c>
    </row>
    <row r="848" ht="15.75" customHeight="1">
      <c r="B848" s="809" t="n">
        <v>832</v>
      </c>
      <c r="C848" s="182">
        <f>IF(offer_sale_type="транзит",IFERROR(VLOOKUP($B848,calc_data,C$14+1,0),0),0)</f>
        <v/>
      </c>
      <c r="D848" s="280">
        <f>IF(offer_sale_type="транзит",IFERROR(VLOOKUP($B848,calc_data,D$14+1,0),0),0)</f>
        <v/>
      </c>
      <c r="E848" s="182">
        <f>IF(offer_sale_type="транзит",IFERROR(VLOOKUP($B848,calc_data,E$14+1,0),0),0)</f>
        <v/>
      </c>
      <c r="F848" s="182">
        <f>IF(offer_sale_type="транзит",IFERROR(VLOOKUP($B848,calc_data,F$14+1,0),0),0)</f>
        <v/>
      </c>
      <c r="G848" s="141">
        <f>IF(offer_sale_type="транзит",IFERROR(VLOOKUP($B848,calc_data,G$14+1,0),0),0)</f>
        <v/>
      </c>
      <c r="H848" s="141">
        <f>E848*G848</f>
        <v/>
      </c>
      <c r="I848" s="141">
        <f>IF(offer_sale_type="транзит",IFERROR(ROUND(VLOOKUP($B848,calc_data,I$14+1,0),2),0),0)</f>
        <v/>
      </c>
      <c r="J848" s="141">
        <f>ROUND(IF(offer_sale_type="транзит",IFERROR(VLOOKUP($B848,calc_data,J$14+1,0),0),0),2)</f>
        <v/>
      </c>
      <c r="K848" s="142">
        <f>IF(offer_sale_type="транзит",IFERROR(ROUNDUP(VLOOKUP($B848,calc_data,K$14+1,0),2),0),0)</f>
        <v/>
      </c>
      <c r="L848" s="184">
        <f>IF(offer_sale_type="транзит",IFERROR(ROUNDUP(VLOOKUP($B848,calc_data,L$14+1,0),2),0),0)</f>
        <v/>
      </c>
      <c r="M848" s="141">
        <f>IF(offer_sale_type="транзит",IFERROR(ROUNDUP(VLOOKUP($B848,calc_data,M$14+1,0),2),0),0)</f>
        <v/>
      </c>
      <c r="N848" s="141">
        <f>IF(offer_sale_type="транзит",IFERROR(ROUNDUP(VLOOKUP($B848,calc_data,N$14+1,0),2),0),0)</f>
        <v/>
      </c>
      <c r="O848" s="147">
        <f>IF(offer_sale_type="транзит",IFERROR(ROUND(VLOOKUP($B848,calc_data,O$14+1,1),2),0),0)</f>
        <v/>
      </c>
      <c r="P848" s="141">
        <f>IF(offer_sale_type="транзит",IFERROR(ROUND(SUM(I848:J848,M848:O848)/E848,2),0),0)</f>
        <v/>
      </c>
      <c r="Q848" s="141">
        <f>E848*P848</f>
        <v/>
      </c>
      <c r="R848" s="141">
        <f>ROUND(Q848*IF(AND(offer_incoterms="DDP",seller_region="RU"),IF((TODAY()+offer_turnaround_time)&gt;=helpsheet!$L$17,rate_vatRU_from_26,rate_vatRu_till_25),0),2)</f>
        <v/>
      </c>
      <c r="S848" s="177">
        <f>Q848+IF(AND(offer_incoterms="DDP",seller_region="RU"),R848,0)</f>
        <v/>
      </c>
      <c r="T848" s="45" t="n"/>
      <c r="V848" s="57">
        <f>IF(Q848&gt;0,"показать","скрыть")</f>
        <v/>
      </c>
    </row>
    <row r="849" ht="15.75" customHeight="1">
      <c r="B849" s="809" t="n">
        <v>833</v>
      </c>
      <c r="C849" s="182">
        <f>IF(offer_sale_type="транзит",IFERROR(VLOOKUP($B849,calc_data,C$14+1,0),0),0)</f>
        <v/>
      </c>
      <c r="D849" s="280">
        <f>IF(offer_sale_type="транзит",IFERROR(VLOOKUP($B849,calc_data,D$14+1,0),0),0)</f>
        <v/>
      </c>
      <c r="E849" s="182">
        <f>IF(offer_sale_type="транзит",IFERROR(VLOOKUP($B849,calc_data,E$14+1,0),0),0)</f>
        <v/>
      </c>
      <c r="F849" s="182">
        <f>IF(offer_sale_type="транзит",IFERROR(VLOOKUP($B849,calc_data,F$14+1,0),0),0)</f>
        <v/>
      </c>
      <c r="G849" s="141">
        <f>IF(offer_sale_type="транзит",IFERROR(VLOOKUP($B849,calc_data,G$14+1,0),0),0)</f>
        <v/>
      </c>
      <c r="H849" s="141">
        <f>E849*G849</f>
        <v/>
      </c>
      <c r="I849" s="141">
        <f>IF(offer_sale_type="транзит",IFERROR(ROUND(VLOOKUP($B849,calc_data,I$14+1,0),2),0),0)</f>
        <v/>
      </c>
      <c r="J849" s="141">
        <f>ROUND(IF(offer_sale_type="транзит",IFERROR(VLOOKUP($B849,calc_data,J$14+1,0),0),0),2)</f>
        <v/>
      </c>
      <c r="K849" s="142">
        <f>IF(offer_sale_type="транзит",IFERROR(ROUNDUP(VLOOKUP($B849,calc_data,K$14+1,0),2),0),0)</f>
        <v/>
      </c>
      <c r="L849" s="184">
        <f>IF(offer_sale_type="транзит",IFERROR(ROUNDUP(VLOOKUP($B849,calc_data,L$14+1,0),2),0),0)</f>
        <v/>
      </c>
      <c r="M849" s="141">
        <f>IF(offer_sale_type="транзит",IFERROR(ROUNDUP(VLOOKUP($B849,calc_data,M$14+1,0),2),0),0)</f>
        <v/>
      </c>
      <c r="N849" s="141">
        <f>IF(offer_sale_type="транзит",IFERROR(ROUNDUP(VLOOKUP($B849,calc_data,N$14+1,0),2),0),0)</f>
        <v/>
      </c>
      <c r="O849" s="147">
        <f>IF(offer_sale_type="транзит",IFERROR(ROUND(VLOOKUP($B849,calc_data,O$14+1,1),2),0),0)</f>
        <v/>
      </c>
      <c r="P849" s="141">
        <f>IF(offer_sale_type="транзит",IFERROR(ROUND(SUM(I849:J849,M849:O849)/E849,2),0),0)</f>
        <v/>
      </c>
      <c r="Q849" s="141">
        <f>E849*P849</f>
        <v/>
      </c>
      <c r="R849" s="141">
        <f>ROUND(Q849*IF(AND(offer_incoterms="DDP",seller_region="RU"),IF((TODAY()+offer_turnaround_time)&gt;=helpsheet!$L$17,rate_vatRU_from_26,rate_vatRu_till_25),0),2)</f>
        <v/>
      </c>
      <c r="S849" s="177">
        <f>Q849+IF(AND(offer_incoterms="DDP",seller_region="RU"),R849,0)</f>
        <v/>
      </c>
      <c r="T849" s="45" t="n"/>
      <c r="V849" s="57">
        <f>IF(Q849&gt;0,"показать","скрыть")</f>
        <v/>
      </c>
    </row>
    <row r="850" ht="15.75" customHeight="1">
      <c r="B850" s="809" t="n">
        <v>834</v>
      </c>
      <c r="C850" s="182">
        <f>IF(offer_sale_type="транзит",IFERROR(VLOOKUP($B850,calc_data,C$14+1,0),0),0)</f>
        <v/>
      </c>
      <c r="D850" s="280">
        <f>IF(offer_sale_type="транзит",IFERROR(VLOOKUP($B850,calc_data,D$14+1,0),0),0)</f>
        <v/>
      </c>
      <c r="E850" s="182">
        <f>IF(offer_sale_type="транзит",IFERROR(VLOOKUP($B850,calc_data,E$14+1,0),0),0)</f>
        <v/>
      </c>
      <c r="F850" s="182">
        <f>IF(offer_sale_type="транзит",IFERROR(VLOOKUP($B850,calc_data,F$14+1,0),0),0)</f>
        <v/>
      </c>
      <c r="G850" s="141">
        <f>IF(offer_sale_type="транзит",IFERROR(VLOOKUP($B850,calc_data,G$14+1,0),0),0)</f>
        <v/>
      </c>
      <c r="H850" s="141">
        <f>E850*G850</f>
        <v/>
      </c>
      <c r="I850" s="141">
        <f>IF(offer_sale_type="транзит",IFERROR(ROUND(VLOOKUP($B850,calc_data,I$14+1,0),2),0),0)</f>
        <v/>
      </c>
      <c r="J850" s="141">
        <f>ROUND(IF(offer_sale_type="транзит",IFERROR(VLOOKUP($B850,calc_data,J$14+1,0),0),0),2)</f>
        <v/>
      </c>
      <c r="K850" s="142">
        <f>IF(offer_sale_type="транзит",IFERROR(ROUNDUP(VLOOKUP($B850,calc_data,K$14+1,0),2),0),0)</f>
        <v/>
      </c>
      <c r="L850" s="184">
        <f>IF(offer_sale_type="транзит",IFERROR(ROUNDUP(VLOOKUP($B850,calc_data,L$14+1,0),2),0),0)</f>
        <v/>
      </c>
      <c r="M850" s="141">
        <f>IF(offer_sale_type="транзит",IFERROR(ROUNDUP(VLOOKUP($B850,calc_data,M$14+1,0),2),0),0)</f>
        <v/>
      </c>
      <c r="N850" s="141">
        <f>IF(offer_sale_type="транзит",IFERROR(ROUNDUP(VLOOKUP($B850,calc_data,N$14+1,0),2),0),0)</f>
        <v/>
      </c>
      <c r="O850" s="147">
        <f>IF(offer_sale_type="транзит",IFERROR(ROUND(VLOOKUP($B850,calc_data,O$14+1,1),2),0),0)</f>
        <v/>
      </c>
      <c r="P850" s="141">
        <f>IF(offer_sale_type="транзит",IFERROR(ROUND(SUM(I850:J850,M850:O850)/E850,2),0),0)</f>
        <v/>
      </c>
      <c r="Q850" s="141">
        <f>E850*P850</f>
        <v/>
      </c>
      <c r="R850" s="141">
        <f>ROUND(Q850*IF(AND(offer_incoterms="DDP",seller_region="RU"),IF((TODAY()+offer_turnaround_time)&gt;=helpsheet!$L$17,rate_vatRU_from_26,rate_vatRu_till_25),0),2)</f>
        <v/>
      </c>
      <c r="S850" s="177">
        <f>Q850+IF(AND(offer_incoterms="DDP",seller_region="RU"),R850,0)</f>
        <v/>
      </c>
      <c r="T850" s="45" t="n"/>
      <c r="V850" s="57">
        <f>IF(Q850&gt;0,"показать","скрыть")</f>
        <v/>
      </c>
    </row>
    <row r="851" ht="15.75" customHeight="1">
      <c r="B851" s="809" t="n">
        <v>835</v>
      </c>
      <c r="C851" s="182">
        <f>IF(offer_sale_type="транзит",IFERROR(VLOOKUP($B851,calc_data,C$14+1,0),0),0)</f>
        <v/>
      </c>
      <c r="D851" s="280">
        <f>IF(offer_sale_type="транзит",IFERROR(VLOOKUP($B851,calc_data,D$14+1,0),0),0)</f>
        <v/>
      </c>
      <c r="E851" s="182">
        <f>IF(offer_sale_type="транзит",IFERROR(VLOOKUP($B851,calc_data,E$14+1,0),0),0)</f>
        <v/>
      </c>
      <c r="F851" s="182">
        <f>IF(offer_sale_type="транзит",IFERROR(VLOOKUP($B851,calc_data,F$14+1,0),0),0)</f>
        <v/>
      </c>
      <c r="G851" s="141">
        <f>IF(offer_sale_type="транзит",IFERROR(VLOOKUP($B851,calc_data,G$14+1,0),0),0)</f>
        <v/>
      </c>
      <c r="H851" s="141">
        <f>E851*G851</f>
        <v/>
      </c>
      <c r="I851" s="141">
        <f>IF(offer_sale_type="транзит",IFERROR(ROUND(VLOOKUP($B851,calc_data,I$14+1,0),2),0),0)</f>
        <v/>
      </c>
      <c r="J851" s="141">
        <f>ROUND(IF(offer_sale_type="транзит",IFERROR(VLOOKUP($B851,calc_data,J$14+1,0),0),0),2)</f>
        <v/>
      </c>
      <c r="K851" s="142">
        <f>IF(offer_sale_type="транзит",IFERROR(ROUNDUP(VLOOKUP($B851,calc_data,K$14+1,0),2),0),0)</f>
        <v/>
      </c>
      <c r="L851" s="184">
        <f>IF(offer_sale_type="транзит",IFERROR(ROUNDUP(VLOOKUP($B851,calc_data,L$14+1,0),2),0),0)</f>
        <v/>
      </c>
      <c r="M851" s="141">
        <f>IF(offer_sale_type="транзит",IFERROR(ROUNDUP(VLOOKUP($B851,calc_data,M$14+1,0),2),0),0)</f>
        <v/>
      </c>
      <c r="N851" s="141">
        <f>IF(offer_sale_type="транзит",IFERROR(ROUNDUP(VLOOKUP($B851,calc_data,N$14+1,0),2),0),0)</f>
        <v/>
      </c>
      <c r="O851" s="147">
        <f>IF(offer_sale_type="транзит",IFERROR(ROUND(VLOOKUP($B851,calc_data,O$14+1,1),2),0),0)</f>
        <v/>
      </c>
      <c r="P851" s="141">
        <f>IF(offer_sale_type="транзит",IFERROR(ROUND(SUM(I851:J851,M851:O851)/E851,2),0),0)</f>
        <v/>
      </c>
      <c r="Q851" s="141">
        <f>E851*P851</f>
        <v/>
      </c>
      <c r="R851" s="141">
        <f>ROUND(Q851*IF(AND(offer_incoterms="DDP",seller_region="RU"),IF((TODAY()+offer_turnaround_time)&gt;=helpsheet!$L$17,rate_vatRU_from_26,rate_vatRu_till_25),0),2)</f>
        <v/>
      </c>
      <c r="S851" s="177">
        <f>Q851+IF(AND(offer_incoterms="DDP",seller_region="RU"),R851,0)</f>
        <v/>
      </c>
      <c r="T851" s="45" t="n"/>
      <c r="V851" s="57">
        <f>IF(Q851&gt;0,"показать","скрыть")</f>
        <v/>
      </c>
    </row>
    <row r="852" ht="15.75" customHeight="1">
      <c r="B852" s="809" t="n">
        <v>836</v>
      </c>
      <c r="C852" s="182">
        <f>IF(offer_sale_type="транзит",IFERROR(VLOOKUP($B852,calc_data,C$14+1,0),0),0)</f>
        <v/>
      </c>
      <c r="D852" s="280">
        <f>IF(offer_sale_type="транзит",IFERROR(VLOOKUP($B852,calc_data,D$14+1,0),0),0)</f>
        <v/>
      </c>
      <c r="E852" s="182">
        <f>IF(offer_sale_type="транзит",IFERROR(VLOOKUP($B852,calc_data,E$14+1,0),0),0)</f>
        <v/>
      </c>
      <c r="F852" s="182">
        <f>IF(offer_sale_type="транзит",IFERROR(VLOOKUP($B852,calc_data,F$14+1,0),0),0)</f>
        <v/>
      </c>
      <c r="G852" s="141">
        <f>IF(offer_sale_type="транзит",IFERROR(VLOOKUP($B852,calc_data,G$14+1,0),0),0)</f>
        <v/>
      </c>
      <c r="H852" s="141">
        <f>E852*G852</f>
        <v/>
      </c>
      <c r="I852" s="141">
        <f>IF(offer_sale_type="транзит",IFERROR(ROUND(VLOOKUP($B852,calc_data,I$14+1,0),2),0),0)</f>
        <v/>
      </c>
      <c r="J852" s="141">
        <f>ROUND(IF(offer_sale_type="транзит",IFERROR(VLOOKUP($B852,calc_data,J$14+1,0),0),0),2)</f>
        <v/>
      </c>
      <c r="K852" s="142">
        <f>IF(offer_sale_type="транзит",IFERROR(ROUNDUP(VLOOKUP($B852,calc_data,K$14+1,0),2),0),0)</f>
        <v/>
      </c>
      <c r="L852" s="184">
        <f>IF(offer_sale_type="транзит",IFERROR(ROUNDUP(VLOOKUP($B852,calc_data,L$14+1,0),2),0),0)</f>
        <v/>
      </c>
      <c r="M852" s="141">
        <f>IF(offer_sale_type="транзит",IFERROR(ROUNDUP(VLOOKUP($B852,calc_data,M$14+1,0),2),0),0)</f>
        <v/>
      </c>
      <c r="N852" s="141">
        <f>IF(offer_sale_type="транзит",IFERROR(ROUNDUP(VLOOKUP($B852,calc_data,N$14+1,0),2),0),0)</f>
        <v/>
      </c>
      <c r="O852" s="147">
        <f>IF(offer_sale_type="транзит",IFERROR(ROUND(VLOOKUP($B852,calc_data,O$14+1,1),2),0),0)</f>
        <v/>
      </c>
      <c r="P852" s="141">
        <f>IF(offer_sale_type="транзит",IFERROR(ROUND(SUM(I852:J852,M852:O852)/E852,2),0),0)</f>
        <v/>
      </c>
      <c r="Q852" s="141">
        <f>E852*P852</f>
        <v/>
      </c>
      <c r="R852" s="141">
        <f>ROUND(Q852*IF(AND(offer_incoterms="DDP",seller_region="RU"),IF((TODAY()+offer_turnaround_time)&gt;=helpsheet!$L$17,rate_vatRU_from_26,rate_vatRu_till_25),0),2)</f>
        <v/>
      </c>
      <c r="S852" s="177">
        <f>Q852+IF(AND(offer_incoterms="DDP",seller_region="RU"),R852,0)</f>
        <v/>
      </c>
      <c r="T852" s="45" t="n"/>
      <c r="V852" s="57">
        <f>IF(Q852&gt;0,"показать","скрыть")</f>
        <v/>
      </c>
    </row>
    <row r="853" ht="15.75" customHeight="1">
      <c r="B853" s="809" t="n">
        <v>837</v>
      </c>
      <c r="C853" s="182">
        <f>IF(offer_sale_type="транзит",IFERROR(VLOOKUP($B853,calc_data,C$14+1,0),0),0)</f>
        <v/>
      </c>
      <c r="D853" s="280">
        <f>IF(offer_sale_type="транзит",IFERROR(VLOOKUP($B853,calc_data,D$14+1,0),0),0)</f>
        <v/>
      </c>
      <c r="E853" s="182">
        <f>IF(offer_sale_type="транзит",IFERROR(VLOOKUP($B853,calc_data,E$14+1,0),0),0)</f>
        <v/>
      </c>
      <c r="F853" s="182">
        <f>IF(offer_sale_type="транзит",IFERROR(VLOOKUP($B853,calc_data,F$14+1,0),0),0)</f>
        <v/>
      </c>
      <c r="G853" s="141">
        <f>IF(offer_sale_type="транзит",IFERROR(VLOOKUP($B853,calc_data,G$14+1,0),0),0)</f>
        <v/>
      </c>
      <c r="H853" s="141">
        <f>E853*G853</f>
        <v/>
      </c>
      <c r="I853" s="141">
        <f>IF(offer_sale_type="транзит",IFERROR(ROUND(VLOOKUP($B853,calc_data,I$14+1,0),2),0),0)</f>
        <v/>
      </c>
      <c r="J853" s="141">
        <f>ROUND(IF(offer_sale_type="транзит",IFERROR(VLOOKUP($B853,calc_data,J$14+1,0),0),0),2)</f>
        <v/>
      </c>
      <c r="K853" s="142">
        <f>IF(offer_sale_type="транзит",IFERROR(ROUNDUP(VLOOKUP($B853,calc_data,K$14+1,0),2),0),0)</f>
        <v/>
      </c>
      <c r="L853" s="184">
        <f>IF(offer_sale_type="транзит",IFERROR(ROUNDUP(VLOOKUP($B853,calc_data,L$14+1,0),2),0),0)</f>
        <v/>
      </c>
      <c r="M853" s="141">
        <f>IF(offer_sale_type="транзит",IFERROR(ROUNDUP(VLOOKUP($B853,calc_data,M$14+1,0),2),0),0)</f>
        <v/>
      </c>
      <c r="N853" s="141">
        <f>IF(offer_sale_type="транзит",IFERROR(ROUNDUP(VLOOKUP($B853,calc_data,N$14+1,0),2),0),0)</f>
        <v/>
      </c>
      <c r="O853" s="147">
        <f>IF(offer_sale_type="транзит",IFERROR(ROUND(VLOOKUP($B853,calc_data,O$14+1,1),2),0),0)</f>
        <v/>
      </c>
      <c r="P853" s="141">
        <f>IF(offer_sale_type="транзит",IFERROR(ROUND(SUM(I853:J853,M853:O853)/E853,2),0),0)</f>
        <v/>
      </c>
      <c r="Q853" s="141">
        <f>E853*P853</f>
        <v/>
      </c>
      <c r="R853" s="141">
        <f>ROUND(Q853*IF(AND(offer_incoterms="DDP",seller_region="RU"),IF((TODAY()+offer_turnaround_time)&gt;=helpsheet!$L$17,rate_vatRU_from_26,rate_vatRu_till_25),0),2)</f>
        <v/>
      </c>
      <c r="S853" s="177">
        <f>Q853+IF(AND(offer_incoterms="DDP",seller_region="RU"),R853,0)</f>
        <v/>
      </c>
      <c r="T853" s="45" t="n"/>
      <c r="V853" s="57">
        <f>IF(Q853&gt;0,"показать","скрыть")</f>
        <v/>
      </c>
    </row>
    <row r="854" ht="15.75" customHeight="1">
      <c r="B854" s="809" t="n">
        <v>838</v>
      </c>
      <c r="C854" s="182">
        <f>IF(offer_sale_type="транзит",IFERROR(VLOOKUP($B854,calc_data,C$14+1,0),0),0)</f>
        <v/>
      </c>
      <c r="D854" s="280">
        <f>IF(offer_sale_type="транзит",IFERROR(VLOOKUP($B854,calc_data,D$14+1,0),0),0)</f>
        <v/>
      </c>
      <c r="E854" s="182">
        <f>IF(offer_sale_type="транзит",IFERROR(VLOOKUP($B854,calc_data,E$14+1,0),0),0)</f>
        <v/>
      </c>
      <c r="F854" s="182">
        <f>IF(offer_sale_type="транзит",IFERROR(VLOOKUP($B854,calc_data,F$14+1,0),0),0)</f>
        <v/>
      </c>
      <c r="G854" s="141">
        <f>IF(offer_sale_type="транзит",IFERROR(VLOOKUP($B854,calc_data,G$14+1,0),0),0)</f>
        <v/>
      </c>
      <c r="H854" s="141">
        <f>E854*G854</f>
        <v/>
      </c>
      <c r="I854" s="141">
        <f>IF(offer_sale_type="транзит",IFERROR(ROUND(VLOOKUP($B854,calc_data,I$14+1,0),2),0),0)</f>
        <v/>
      </c>
      <c r="J854" s="141">
        <f>ROUND(IF(offer_sale_type="транзит",IFERROR(VLOOKUP($B854,calc_data,J$14+1,0),0),0),2)</f>
        <v/>
      </c>
      <c r="K854" s="142">
        <f>IF(offer_sale_type="транзит",IFERROR(ROUNDUP(VLOOKUP($B854,calc_data,K$14+1,0),2),0),0)</f>
        <v/>
      </c>
      <c r="L854" s="184">
        <f>IF(offer_sale_type="транзит",IFERROR(ROUNDUP(VLOOKUP($B854,calc_data,L$14+1,0),2),0),0)</f>
        <v/>
      </c>
      <c r="M854" s="141">
        <f>IF(offer_sale_type="транзит",IFERROR(ROUNDUP(VLOOKUP($B854,calc_data,M$14+1,0),2),0),0)</f>
        <v/>
      </c>
      <c r="N854" s="141">
        <f>IF(offer_sale_type="транзит",IFERROR(ROUNDUP(VLOOKUP($B854,calc_data,N$14+1,0),2),0),0)</f>
        <v/>
      </c>
      <c r="O854" s="147">
        <f>IF(offer_sale_type="транзит",IFERROR(ROUND(VLOOKUP($B854,calc_data,O$14+1,1),2),0),0)</f>
        <v/>
      </c>
      <c r="P854" s="141">
        <f>IF(offer_sale_type="транзит",IFERROR(ROUND(SUM(I854:J854,M854:O854)/E854,2),0),0)</f>
        <v/>
      </c>
      <c r="Q854" s="141">
        <f>E854*P854</f>
        <v/>
      </c>
      <c r="R854" s="141">
        <f>ROUND(Q854*IF(AND(offer_incoterms="DDP",seller_region="RU"),IF((TODAY()+offer_turnaround_time)&gt;=helpsheet!$L$17,rate_vatRU_from_26,rate_vatRu_till_25),0),2)</f>
        <v/>
      </c>
      <c r="S854" s="177">
        <f>Q854+IF(AND(offer_incoterms="DDP",seller_region="RU"),R854,0)</f>
        <v/>
      </c>
      <c r="T854" s="45" t="n"/>
      <c r="V854" s="57">
        <f>IF(Q854&gt;0,"показать","скрыть")</f>
        <v/>
      </c>
    </row>
    <row r="855" ht="15.75" customHeight="1">
      <c r="B855" s="809" t="n">
        <v>839</v>
      </c>
      <c r="C855" s="182">
        <f>IF(offer_sale_type="транзит",IFERROR(VLOOKUP($B855,calc_data,C$14+1,0),0),0)</f>
        <v/>
      </c>
      <c r="D855" s="280">
        <f>IF(offer_sale_type="транзит",IFERROR(VLOOKUP($B855,calc_data,D$14+1,0),0),0)</f>
        <v/>
      </c>
      <c r="E855" s="182">
        <f>IF(offer_sale_type="транзит",IFERROR(VLOOKUP($B855,calc_data,E$14+1,0),0),0)</f>
        <v/>
      </c>
      <c r="F855" s="182">
        <f>IF(offer_sale_type="транзит",IFERROR(VLOOKUP($B855,calc_data,F$14+1,0),0),0)</f>
        <v/>
      </c>
      <c r="G855" s="141">
        <f>IF(offer_sale_type="транзит",IFERROR(VLOOKUP($B855,calc_data,G$14+1,0),0),0)</f>
        <v/>
      </c>
      <c r="H855" s="141">
        <f>E855*G855</f>
        <v/>
      </c>
      <c r="I855" s="141">
        <f>IF(offer_sale_type="транзит",IFERROR(ROUND(VLOOKUP($B855,calc_data,I$14+1,0),2),0),0)</f>
        <v/>
      </c>
      <c r="J855" s="141">
        <f>ROUND(IF(offer_sale_type="транзит",IFERROR(VLOOKUP($B855,calc_data,J$14+1,0),0),0),2)</f>
        <v/>
      </c>
      <c r="K855" s="142">
        <f>IF(offer_sale_type="транзит",IFERROR(ROUNDUP(VLOOKUP($B855,calc_data,K$14+1,0),2),0),0)</f>
        <v/>
      </c>
      <c r="L855" s="184">
        <f>IF(offer_sale_type="транзит",IFERROR(ROUNDUP(VLOOKUP($B855,calc_data,L$14+1,0),2),0),0)</f>
        <v/>
      </c>
      <c r="M855" s="141">
        <f>IF(offer_sale_type="транзит",IFERROR(ROUNDUP(VLOOKUP($B855,calc_data,M$14+1,0),2),0),0)</f>
        <v/>
      </c>
      <c r="N855" s="141">
        <f>IF(offer_sale_type="транзит",IFERROR(ROUNDUP(VLOOKUP($B855,calc_data,N$14+1,0),2),0),0)</f>
        <v/>
      </c>
      <c r="O855" s="147">
        <f>IF(offer_sale_type="транзит",IFERROR(ROUND(VLOOKUP($B855,calc_data,O$14+1,1),2),0),0)</f>
        <v/>
      </c>
      <c r="P855" s="141">
        <f>IF(offer_sale_type="транзит",IFERROR(ROUND(SUM(I855:J855,M855:O855)/E855,2),0),0)</f>
        <v/>
      </c>
      <c r="Q855" s="141">
        <f>E855*P855</f>
        <v/>
      </c>
      <c r="R855" s="141">
        <f>ROUND(Q855*IF(AND(offer_incoterms="DDP",seller_region="RU"),IF((TODAY()+offer_turnaround_time)&gt;=helpsheet!$L$17,rate_vatRU_from_26,rate_vatRu_till_25),0),2)</f>
        <v/>
      </c>
      <c r="S855" s="177">
        <f>Q855+IF(AND(offer_incoterms="DDP",seller_region="RU"),R855,0)</f>
        <v/>
      </c>
      <c r="T855" s="45" t="n"/>
      <c r="V855" s="57">
        <f>IF(Q855&gt;0,"показать","скрыть")</f>
        <v/>
      </c>
    </row>
    <row r="856" ht="15.75" customHeight="1">
      <c r="B856" s="809" t="n">
        <v>840</v>
      </c>
      <c r="C856" s="182">
        <f>IF(offer_sale_type="транзит",IFERROR(VLOOKUP($B856,calc_data,C$14+1,0),0),0)</f>
        <v/>
      </c>
      <c r="D856" s="280">
        <f>IF(offer_sale_type="транзит",IFERROR(VLOOKUP($B856,calc_data,D$14+1,0),0),0)</f>
        <v/>
      </c>
      <c r="E856" s="182">
        <f>IF(offer_sale_type="транзит",IFERROR(VLOOKUP($B856,calc_data,E$14+1,0),0),0)</f>
        <v/>
      </c>
      <c r="F856" s="182">
        <f>IF(offer_sale_type="транзит",IFERROR(VLOOKUP($B856,calc_data,F$14+1,0),0),0)</f>
        <v/>
      </c>
      <c r="G856" s="141">
        <f>IF(offer_sale_type="транзит",IFERROR(VLOOKUP($B856,calc_data,G$14+1,0),0),0)</f>
        <v/>
      </c>
      <c r="H856" s="141">
        <f>E856*G856</f>
        <v/>
      </c>
      <c r="I856" s="141">
        <f>IF(offer_sale_type="транзит",IFERROR(ROUND(VLOOKUP($B856,calc_data,I$14+1,0),2),0),0)</f>
        <v/>
      </c>
      <c r="J856" s="141">
        <f>ROUND(IF(offer_sale_type="транзит",IFERROR(VLOOKUP($B856,calc_data,J$14+1,0),0),0),2)</f>
        <v/>
      </c>
      <c r="K856" s="142">
        <f>IF(offer_sale_type="транзит",IFERROR(ROUNDUP(VLOOKUP($B856,calc_data,K$14+1,0),2),0),0)</f>
        <v/>
      </c>
      <c r="L856" s="184">
        <f>IF(offer_sale_type="транзит",IFERROR(ROUNDUP(VLOOKUP($B856,calc_data,L$14+1,0),2),0),0)</f>
        <v/>
      </c>
      <c r="M856" s="141">
        <f>IF(offer_sale_type="транзит",IFERROR(ROUNDUP(VLOOKUP($B856,calc_data,M$14+1,0),2),0),0)</f>
        <v/>
      </c>
      <c r="N856" s="141">
        <f>IF(offer_sale_type="транзит",IFERROR(ROUNDUP(VLOOKUP($B856,calc_data,N$14+1,0),2),0),0)</f>
        <v/>
      </c>
      <c r="O856" s="147">
        <f>IF(offer_sale_type="транзит",IFERROR(ROUND(VLOOKUP($B856,calc_data,O$14+1,1),2),0),0)</f>
        <v/>
      </c>
      <c r="P856" s="141">
        <f>IF(offer_sale_type="транзит",IFERROR(ROUND(SUM(I856:J856,M856:O856)/E856,2),0),0)</f>
        <v/>
      </c>
      <c r="Q856" s="141">
        <f>E856*P856</f>
        <v/>
      </c>
      <c r="R856" s="141">
        <f>ROUND(Q856*IF(AND(offer_incoterms="DDP",seller_region="RU"),IF((TODAY()+offer_turnaround_time)&gt;=helpsheet!$L$17,rate_vatRU_from_26,rate_vatRu_till_25),0),2)</f>
        <v/>
      </c>
      <c r="S856" s="177">
        <f>Q856+IF(AND(offer_incoterms="DDP",seller_region="RU"),R856,0)</f>
        <v/>
      </c>
      <c r="T856" s="45" t="n"/>
      <c r="V856" s="57">
        <f>IF(Q856&gt;0,"показать","скрыть")</f>
        <v/>
      </c>
    </row>
    <row r="857" ht="15.75" customHeight="1">
      <c r="B857" s="809" t="n">
        <v>841</v>
      </c>
      <c r="C857" s="182">
        <f>IF(offer_sale_type="транзит",IFERROR(VLOOKUP($B857,calc_data,C$14+1,0),0),0)</f>
        <v/>
      </c>
      <c r="D857" s="280">
        <f>IF(offer_sale_type="транзит",IFERROR(VLOOKUP($B857,calc_data,D$14+1,0),0),0)</f>
        <v/>
      </c>
      <c r="E857" s="182">
        <f>IF(offer_sale_type="транзит",IFERROR(VLOOKUP($B857,calc_data,E$14+1,0),0),0)</f>
        <v/>
      </c>
      <c r="F857" s="182">
        <f>IF(offer_sale_type="транзит",IFERROR(VLOOKUP($B857,calc_data,F$14+1,0),0),0)</f>
        <v/>
      </c>
      <c r="G857" s="141">
        <f>IF(offer_sale_type="транзит",IFERROR(VLOOKUP($B857,calc_data,G$14+1,0),0),0)</f>
        <v/>
      </c>
      <c r="H857" s="141">
        <f>E857*G857</f>
        <v/>
      </c>
      <c r="I857" s="141">
        <f>IF(offer_sale_type="транзит",IFERROR(ROUND(VLOOKUP($B857,calc_data,I$14+1,0),2),0),0)</f>
        <v/>
      </c>
      <c r="J857" s="141">
        <f>ROUND(IF(offer_sale_type="транзит",IFERROR(VLOOKUP($B857,calc_data,J$14+1,0),0),0),2)</f>
        <v/>
      </c>
      <c r="K857" s="142">
        <f>IF(offer_sale_type="транзит",IFERROR(ROUNDUP(VLOOKUP($B857,calc_data,K$14+1,0),2),0),0)</f>
        <v/>
      </c>
      <c r="L857" s="184">
        <f>IF(offer_sale_type="транзит",IFERROR(ROUNDUP(VLOOKUP($B857,calc_data,L$14+1,0),2),0),0)</f>
        <v/>
      </c>
      <c r="M857" s="141">
        <f>IF(offer_sale_type="транзит",IFERROR(ROUNDUP(VLOOKUP($B857,calc_data,M$14+1,0),2),0),0)</f>
        <v/>
      </c>
      <c r="N857" s="141">
        <f>IF(offer_sale_type="транзит",IFERROR(ROUNDUP(VLOOKUP($B857,calc_data,N$14+1,0),2),0),0)</f>
        <v/>
      </c>
      <c r="O857" s="147">
        <f>IF(offer_sale_type="транзит",IFERROR(ROUND(VLOOKUP($B857,calc_data,O$14+1,1),2),0),0)</f>
        <v/>
      </c>
      <c r="P857" s="141">
        <f>IF(offer_sale_type="транзит",IFERROR(ROUND(SUM(I857:J857,M857:O857)/E857,2),0),0)</f>
        <v/>
      </c>
      <c r="Q857" s="141">
        <f>E857*P857</f>
        <v/>
      </c>
      <c r="R857" s="141">
        <f>ROUND(Q857*IF(AND(offer_incoterms="DDP",seller_region="RU"),IF((TODAY()+offer_turnaround_time)&gt;=helpsheet!$L$17,rate_vatRU_from_26,rate_vatRu_till_25),0),2)</f>
        <v/>
      </c>
      <c r="S857" s="177">
        <f>Q857+IF(AND(offer_incoterms="DDP",seller_region="RU"),R857,0)</f>
        <v/>
      </c>
      <c r="T857" s="45" t="n"/>
      <c r="V857" s="57">
        <f>IF(Q857&gt;0,"показать","скрыть")</f>
        <v/>
      </c>
    </row>
    <row r="858" ht="15.75" customHeight="1">
      <c r="B858" s="809" t="n">
        <v>842</v>
      </c>
      <c r="C858" s="182">
        <f>IF(offer_sale_type="транзит",IFERROR(VLOOKUP($B858,calc_data,C$14+1,0),0),0)</f>
        <v/>
      </c>
      <c r="D858" s="280">
        <f>IF(offer_sale_type="транзит",IFERROR(VLOOKUP($B858,calc_data,D$14+1,0),0),0)</f>
        <v/>
      </c>
      <c r="E858" s="182">
        <f>IF(offer_sale_type="транзит",IFERROR(VLOOKUP($B858,calc_data,E$14+1,0),0),0)</f>
        <v/>
      </c>
      <c r="F858" s="182">
        <f>IF(offer_sale_type="транзит",IFERROR(VLOOKUP($B858,calc_data,F$14+1,0),0),0)</f>
        <v/>
      </c>
      <c r="G858" s="141">
        <f>IF(offer_sale_type="транзит",IFERROR(VLOOKUP($B858,calc_data,G$14+1,0),0),0)</f>
        <v/>
      </c>
      <c r="H858" s="141">
        <f>E858*G858</f>
        <v/>
      </c>
      <c r="I858" s="141">
        <f>IF(offer_sale_type="транзит",IFERROR(ROUND(VLOOKUP($B858,calc_data,I$14+1,0),2),0),0)</f>
        <v/>
      </c>
      <c r="J858" s="141">
        <f>ROUND(IF(offer_sale_type="транзит",IFERROR(VLOOKUP($B858,calc_data,J$14+1,0),0),0),2)</f>
        <v/>
      </c>
      <c r="K858" s="142">
        <f>IF(offer_sale_type="транзит",IFERROR(ROUNDUP(VLOOKUP($B858,calc_data,K$14+1,0),2),0),0)</f>
        <v/>
      </c>
      <c r="L858" s="184">
        <f>IF(offer_sale_type="транзит",IFERROR(ROUNDUP(VLOOKUP($B858,calc_data,L$14+1,0),2),0),0)</f>
        <v/>
      </c>
      <c r="M858" s="141">
        <f>IF(offer_sale_type="транзит",IFERROR(ROUNDUP(VLOOKUP($B858,calc_data,M$14+1,0),2),0),0)</f>
        <v/>
      </c>
      <c r="N858" s="141">
        <f>IF(offer_sale_type="транзит",IFERROR(ROUNDUP(VLOOKUP($B858,calc_data,N$14+1,0),2),0),0)</f>
        <v/>
      </c>
      <c r="O858" s="147">
        <f>IF(offer_sale_type="транзит",IFERROR(ROUND(VLOOKUP($B858,calc_data,O$14+1,1),2),0),0)</f>
        <v/>
      </c>
      <c r="P858" s="141">
        <f>IF(offer_sale_type="транзит",IFERROR(ROUND(SUM(I858:J858,M858:O858)/E858,2),0),0)</f>
        <v/>
      </c>
      <c r="Q858" s="141">
        <f>E858*P858</f>
        <v/>
      </c>
      <c r="R858" s="141">
        <f>ROUND(Q858*IF(AND(offer_incoterms="DDP",seller_region="RU"),IF((TODAY()+offer_turnaround_time)&gt;=helpsheet!$L$17,rate_vatRU_from_26,rate_vatRu_till_25),0),2)</f>
        <v/>
      </c>
      <c r="S858" s="177">
        <f>Q858+IF(AND(offer_incoterms="DDP",seller_region="RU"),R858,0)</f>
        <v/>
      </c>
      <c r="T858" s="45" t="n"/>
      <c r="V858" s="57">
        <f>IF(Q858&gt;0,"показать","скрыть")</f>
        <v/>
      </c>
    </row>
    <row r="859" ht="15.75" customHeight="1">
      <c r="B859" s="809" t="n">
        <v>843</v>
      </c>
      <c r="C859" s="182">
        <f>IF(offer_sale_type="транзит",IFERROR(VLOOKUP($B859,calc_data,C$14+1,0),0),0)</f>
        <v/>
      </c>
      <c r="D859" s="280">
        <f>IF(offer_sale_type="транзит",IFERROR(VLOOKUP($B859,calc_data,D$14+1,0),0),0)</f>
        <v/>
      </c>
      <c r="E859" s="182">
        <f>IF(offer_sale_type="транзит",IFERROR(VLOOKUP($B859,calc_data,E$14+1,0),0),0)</f>
        <v/>
      </c>
      <c r="F859" s="182">
        <f>IF(offer_sale_type="транзит",IFERROR(VLOOKUP($B859,calc_data,F$14+1,0),0),0)</f>
        <v/>
      </c>
      <c r="G859" s="141">
        <f>IF(offer_sale_type="транзит",IFERROR(VLOOKUP($B859,calc_data,G$14+1,0),0),0)</f>
        <v/>
      </c>
      <c r="H859" s="141">
        <f>E859*G859</f>
        <v/>
      </c>
      <c r="I859" s="141">
        <f>IF(offer_sale_type="транзит",IFERROR(ROUND(VLOOKUP($B859,calc_data,I$14+1,0),2),0),0)</f>
        <v/>
      </c>
      <c r="J859" s="141">
        <f>ROUND(IF(offer_sale_type="транзит",IFERROR(VLOOKUP($B859,calc_data,J$14+1,0),0),0),2)</f>
        <v/>
      </c>
      <c r="K859" s="142">
        <f>IF(offer_sale_type="транзит",IFERROR(ROUNDUP(VLOOKUP($B859,calc_data,K$14+1,0),2),0),0)</f>
        <v/>
      </c>
      <c r="L859" s="184">
        <f>IF(offer_sale_type="транзит",IFERROR(ROUNDUP(VLOOKUP($B859,calc_data,L$14+1,0),2),0),0)</f>
        <v/>
      </c>
      <c r="M859" s="141">
        <f>IF(offer_sale_type="транзит",IFERROR(ROUNDUP(VLOOKUP($B859,calc_data,M$14+1,0),2),0),0)</f>
        <v/>
      </c>
      <c r="N859" s="141">
        <f>IF(offer_sale_type="транзит",IFERROR(ROUNDUP(VLOOKUP($B859,calc_data,N$14+1,0),2),0),0)</f>
        <v/>
      </c>
      <c r="O859" s="147">
        <f>IF(offer_sale_type="транзит",IFERROR(ROUND(VLOOKUP($B859,calc_data,O$14+1,1),2),0),0)</f>
        <v/>
      </c>
      <c r="P859" s="141">
        <f>IF(offer_sale_type="транзит",IFERROR(ROUND(SUM(I859:J859,M859:O859)/E859,2),0),0)</f>
        <v/>
      </c>
      <c r="Q859" s="141">
        <f>E859*P859</f>
        <v/>
      </c>
      <c r="R859" s="141">
        <f>ROUND(Q859*IF(AND(offer_incoterms="DDP",seller_region="RU"),IF((TODAY()+offer_turnaround_time)&gt;=helpsheet!$L$17,rate_vatRU_from_26,rate_vatRu_till_25),0),2)</f>
        <v/>
      </c>
      <c r="S859" s="177">
        <f>Q859+IF(AND(offer_incoterms="DDP",seller_region="RU"),R859,0)</f>
        <v/>
      </c>
      <c r="T859" s="45" t="n"/>
      <c r="V859" s="57">
        <f>IF(Q859&gt;0,"показать","скрыть")</f>
        <v/>
      </c>
    </row>
    <row r="860" ht="15.75" customHeight="1">
      <c r="B860" s="809" t="n">
        <v>844</v>
      </c>
      <c r="C860" s="182">
        <f>IF(offer_sale_type="транзит",IFERROR(VLOOKUP($B860,calc_data,C$14+1,0),0),0)</f>
        <v/>
      </c>
      <c r="D860" s="280">
        <f>IF(offer_sale_type="транзит",IFERROR(VLOOKUP($B860,calc_data,D$14+1,0),0),0)</f>
        <v/>
      </c>
      <c r="E860" s="182">
        <f>IF(offer_sale_type="транзит",IFERROR(VLOOKUP($B860,calc_data,E$14+1,0),0),0)</f>
        <v/>
      </c>
      <c r="F860" s="182">
        <f>IF(offer_sale_type="транзит",IFERROR(VLOOKUP($B860,calc_data,F$14+1,0),0),0)</f>
        <v/>
      </c>
      <c r="G860" s="141">
        <f>IF(offer_sale_type="транзит",IFERROR(VLOOKUP($B860,calc_data,G$14+1,0),0),0)</f>
        <v/>
      </c>
      <c r="H860" s="141">
        <f>E860*G860</f>
        <v/>
      </c>
      <c r="I860" s="141">
        <f>IF(offer_sale_type="транзит",IFERROR(ROUND(VLOOKUP($B860,calc_data,I$14+1,0),2),0),0)</f>
        <v/>
      </c>
      <c r="J860" s="141">
        <f>ROUND(IF(offer_sale_type="транзит",IFERROR(VLOOKUP($B860,calc_data,J$14+1,0),0),0),2)</f>
        <v/>
      </c>
      <c r="K860" s="142">
        <f>IF(offer_sale_type="транзит",IFERROR(ROUNDUP(VLOOKUP($B860,calc_data,K$14+1,0),2),0),0)</f>
        <v/>
      </c>
      <c r="L860" s="184">
        <f>IF(offer_sale_type="транзит",IFERROR(ROUNDUP(VLOOKUP($B860,calc_data,L$14+1,0),2),0),0)</f>
        <v/>
      </c>
      <c r="M860" s="141">
        <f>IF(offer_sale_type="транзит",IFERROR(ROUNDUP(VLOOKUP($B860,calc_data,M$14+1,0),2),0),0)</f>
        <v/>
      </c>
      <c r="N860" s="141">
        <f>IF(offer_sale_type="транзит",IFERROR(ROUNDUP(VLOOKUP($B860,calc_data,N$14+1,0),2),0),0)</f>
        <v/>
      </c>
      <c r="O860" s="147">
        <f>IF(offer_sale_type="транзит",IFERROR(ROUND(VLOOKUP($B860,calc_data,O$14+1,1),2),0),0)</f>
        <v/>
      </c>
      <c r="P860" s="141">
        <f>IF(offer_sale_type="транзит",IFERROR(ROUND(SUM(I860:J860,M860:O860)/E860,2),0),0)</f>
        <v/>
      </c>
      <c r="Q860" s="141">
        <f>E860*P860</f>
        <v/>
      </c>
      <c r="R860" s="141">
        <f>ROUND(Q860*IF(AND(offer_incoterms="DDP",seller_region="RU"),IF((TODAY()+offer_turnaround_time)&gt;=helpsheet!$L$17,rate_vatRU_from_26,rate_vatRu_till_25),0),2)</f>
        <v/>
      </c>
      <c r="S860" s="177">
        <f>Q860+IF(AND(offer_incoterms="DDP",seller_region="RU"),R860,0)</f>
        <v/>
      </c>
      <c r="T860" s="45" t="n"/>
      <c r="V860" s="57">
        <f>IF(Q860&gt;0,"показать","скрыть")</f>
        <v/>
      </c>
    </row>
    <row r="861" ht="15.75" customHeight="1">
      <c r="B861" s="809" t="n">
        <v>845</v>
      </c>
      <c r="C861" s="182">
        <f>IF(offer_sale_type="транзит",IFERROR(VLOOKUP($B861,calc_data,C$14+1,0),0),0)</f>
        <v/>
      </c>
      <c r="D861" s="280">
        <f>IF(offer_sale_type="транзит",IFERROR(VLOOKUP($B861,calc_data,D$14+1,0),0),0)</f>
        <v/>
      </c>
      <c r="E861" s="182">
        <f>IF(offer_sale_type="транзит",IFERROR(VLOOKUP($B861,calc_data,E$14+1,0),0),0)</f>
        <v/>
      </c>
      <c r="F861" s="182">
        <f>IF(offer_sale_type="транзит",IFERROR(VLOOKUP($B861,calc_data,F$14+1,0),0),0)</f>
        <v/>
      </c>
      <c r="G861" s="141">
        <f>IF(offer_sale_type="транзит",IFERROR(VLOOKUP($B861,calc_data,G$14+1,0),0),0)</f>
        <v/>
      </c>
      <c r="H861" s="141">
        <f>E861*G861</f>
        <v/>
      </c>
      <c r="I861" s="141">
        <f>IF(offer_sale_type="транзит",IFERROR(ROUND(VLOOKUP($B861,calc_data,I$14+1,0),2),0),0)</f>
        <v/>
      </c>
      <c r="J861" s="141">
        <f>ROUND(IF(offer_sale_type="транзит",IFERROR(VLOOKUP($B861,calc_data,J$14+1,0),0),0),2)</f>
        <v/>
      </c>
      <c r="K861" s="142">
        <f>IF(offer_sale_type="транзит",IFERROR(ROUNDUP(VLOOKUP($B861,calc_data,K$14+1,0),2),0),0)</f>
        <v/>
      </c>
      <c r="L861" s="184">
        <f>IF(offer_sale_type="транзит",IFERROR(ROUNDUP(VLOOKUP($B861,calc_data,L$14+1,0),2),0),0)</f>
        <v/>
      </c>
      <c r="M861" s="141">
        <f>IF(offer_sale_type="транзит",IFERROR(ROUNDUP(VLOOKUP($B861,calc_data,M$14+1,0),2),0),0)</f>
        <v/>
      </c>
      <c r="N861" s="141">
        <f>IF(offer_sale_type="транзит",IFERROR(ROUNDUP(VLOOKUP($B861,calc_data,N$14+1,0),2),0),0)</f>
        <v/>
      </c>
      <c r="O861" s="147">
        <f>IF(offer_sale_type="транзит",IFERROR(ROUND(VLOOKUP($B861,calc_data,O$14+1,1),2),0),0)</f>
        <v/>
      </c>
      <c r="P861" s="141">
        <f>IF(offer_sale_type="транзит",IFERROR(ROUND(SUM(I861:J861,M861:O861)/E861,2),0),0)</f>
        <v/>
      </c>
      <c r="Q861" s="141">
        <f>E861*P861</f>
        <v/>
      </c>
      <c r="R861" s="141">
        <f>ROUND(Q861*IF(AND(offer_incoterms="DDP",seller_region="RU"),IF((TODAY()+offer_turnaround_time)&gt;=helpsheet!$L$17,rate_vatRU_from_26,rate_vatRu_till_25),0),2)</f>
        <v/>
      </c>
      <c r="S861" s="177">
        <f>Q861+IF(AND(offer_incoterms="DDP",seller_region="RU"),R861,0)</f>
        <v/>
      </c>
      <c r="T861" s="45" t="n"/>
      <c r="V861" s="57">
        <f>IF(Q861&gt;0,"показать","скрыть")</f>
        <v/>
      </c>
    </row>
    <row r="862" ht="15.75" customHeight="1">
      <c r="B862" s="809" t="n">
        <v>846</v>
      </c>
      <c r="C862" s="182">
        <f>IF(offer_sale_type="транзит",IFERROR(VLOOKUP($B862,calc_data,C$14+1,0),0),0)</f>
        <v/>
      </c>
      <c r="D862" s="280">
        <f>IF(offer_sale_type="транзит",IFERROR(VLOOKUP($B862,calc_data,D$14+1,0),0),0)</f>
        <v/>
      </c>
      <c r="E862" s="182">
        <f>IF(offer_sale_type="транзит",IFERROR(VLOOKUP($B862,calc_data,E$14+1,0),0),0)</f>
        <v/>
      </c>
      <c r="F862" s="182">
        <f>IF(offer_sale_type="транзит",IFERROR(VLOOKUP($B862,calc_data,F$14+1,0),0),0)</f>
        <v/>
      </c>
      <c r="G862" s="141">
        <f>IF(offer_sale_type="транзит",IFERROR(VLOOKUP($B862,calc_data,G$14+1,0),0),0)</f>
        <v/>
      </c>
      <c r="H862" s="141">
        <f>E862*G862</f>
        <v/>
      </c>
      <c r="I862" s="141">
        <f>IF(offer_sale_type="транзит",IFERROR(ROUND(VLOOKUP($B862,calc_data,I$14+1,0),2),0),0)</f>
        <v/>
      </c>
      <c r="J862" s="141">
        <f>ROUND(IF(offer_sale_type="транзит",IFERROR(VLOOKUP($B862,calc_data,J$14+1,0),0),0),2)</f>
        <v/>
      </c>
      <c r="K862" s="142">
        <f>IF(offer_sale_type="транзит",IFERROR(ROUNDUP(VLOOKUP($B862,calc_data,K$14+1,0),2),0),0)</f>
        <v/>
      </c>
      <c r="L862" s="184">
        <f>IF(offer_sale_type="транзит",IFERROR(ROUNDUP(VLOOKUP($B862,calc_data,L$14+1,0),2),0),0)</f>
        <v/>
      </c>
      <c r="M862" s="141">
        <f>IF(offer_sale_type="транзит",IFERROR(ROUNDUP(VLOOKUP($B862,calc_data,M$14+1,0),2),0),0)</f>
        <v/>
      </c>
      <c r="N862" s="141">
        <f>IF(offer_sale_type="транзит",IFERROR(ROUNDUP(VLOOKUP($B862,calc_data,N$14+1,0),2),0),0)</f>
        <v/>
      </c>
      <c r="O862" s="147">
        <f>IF(offer_sale_type="транзит",IFERROR(ROUND(VLOOKUP($B862,calc_data,O$14+1,1),2),0),0)</f>
        <v/>
      </c>
      <c r="P862" s="141">
        <f>IF(offer_sale_type="транзит",IFERROR(ROUND(SUM(I862:J862,M862:O862)/E862,2),0),0)</f>
        <v/>
      </c>
      <c r="Q862" s="141">
        <f>E862*P862</f>
        <v/>
      </c>
      <c r="R862" s="141">
        <f>ROUND(Q862*IF(AND(offer_incoterms="DDP",seller_region="RU"),IF((TODAY()+offer_turnaround_time)&gt;=helpsheet!$L$17,rate_vatRU_from_26,rate_vatRu_till_25),0),2)</f>
        <v/>
      </c>
      <c r="S862" s="177">
        <f>Q862+IF(AND(offer_incoterms="DDP",seller_region="RU"),R862,0)</f>
        <v/>
      </c>
      <c r="T862" s="45" t="n"/>
      <c r="V862" s="57">
        <f>IF(Q862&gt;0,"показать","скрыть")</f>
        <v/>
      </c>
    </row>
    <row r="863" ht="15.75" customHeight="1">
      <c r="B863" s="809" t="n">
        <v>847</v>
      </c>
      <c r="C863" s="182">
        <f>IF(offer_sale_type="транзит",IFERROR(VLOOKUP($B863,calc_data,C$14+1,0),0),0)</f>
        <v/>
      </c>
      <c r="D863" s="280">
        <f>IF(offer_sale_type="транзит",IFERROR(VLOOKUP($B863,calc_data,D$14+1,0),0),0)</f>
        <v/>
      </c>
      <c r="E863" s="182">
        <f>IF(offer_sale_type="транзит",IFERROR(VLOOKUP($B863,calc_data,E$14+1,0),0),0)</f>
        <v/>
      </c>
      <c r="F863" s="182">
        <f>IF(offer_sale_type="транзит",IFERROR(VLOOKUP($B863,calc_data,F$14+1,0),0),0)</f>
        <v/>
      </c>
      <c r="G863" s="141">
        <f>IF(offer_sale_type="транзит",IFERROR(VLOOKUP($B863,calc_data,G$14+1,0),0),0)</f>
        <v/>
      </c>
      <c r="H863" s="141">
        <f>E863*G863</f>
        <v/>
      </c>
      <c r="I863" s="141">
        <f>IF(offer_sale_type="транзит",IFERROR(ROUND(VLOOKUP($B863,calc_data,I$14+1,0),2),0),0)</f>
        <v/>
      </c>
      <c r="J863" s="141">
        <f>ROUND(IF(offer_sale_type="транзит",IFERROR(VLOOKUP($B863,calc_data,J$14+1,0),0),0),2)</f>
        <v/>
      </c>
      <c r="K863" s="142">
        <f>IF(offer_sale_type="транзит",IFERROR(ROUNDUP(VLOOKUP($B863,calc_data,K$14+1,0),2),0),0)</f>
        <v/>
      </c>
      <c r="L863" s="184">
        <f>IF(offer_sale_type="транзит",IFERROR(ROUNDUP(VLOOKUP($B863,calc_data,L$14+1,0),2),0),0)</f>
        <v/>
      </c>
      <c r="M863" s="141">
        <f>IF(offer_sale_type="транзит",IFERROR(ROUNDUP(VLOOKUP($B863,calc_data,M$14+1,0),2),0),0)</f>
        <v/>
      </c>
      <c r="N863" s="141">
        <f>IF(offer_sale_type="транзит",IFERROR(ROUNDUP(VLOOKUP($B863,calc_data,N$14+1,0),2),0),0)</f>
        <v/>
      </c>
      <c r="O863" s="147">
        <f>IF(offer_sale_type="транзит",IFERROR(ROUND(VLOOKUP($B863,calc_data,O$14+1,1),2),0),0)</f>
        <v/>
      </c>
      <c r="P863" s="141">
        <f>IF(offer_sale_type="транзит",IFERROR(ROUND(SUM(I863:J863,M863:O863)/E863,2),0),0)</f>
        <v/>
      </c>
      <c r="Q863" s="141">
        <f>E863*P863</f>
        <v/>
      </c>
      <c r="R863" s="141">
        <f>ROUND(Q863*IF(AND(offer_incoterms="DDP",seller_region="RU"),IF((TODAY()+offer_turnaround_time)&gt;=helpsheet!$L$17,rate_vatRU_from_26,rate_vatRu_till_25),0),2)</f>
        <v/>
      </c>
      <c r="S863" s="177">
        <f>Q863+IF(AND(offer_incoterms="DDP",seller_region="RU"),R863,0)</f>
        <v/>
      </c>
      <c r="T863" s="45" t="n"/>
      <c r="V863" s="57">
        <f>IF(Q863&gt;0,"показать","скрыть")</f>
        <v/>
      </c>
    </row>
    <row r="864" ht="15.75" customHeight="1">
      <c r="B864" s="809" t="n">
        <v>848</v>
      </c>
      <c r="C864" s="182">
        <f>IF(offer_sale_type="транзит",IFERROR(VLOOKUP($B864,calc_data,C$14+1,0),0),0)</f>
        <v/>
      </c>
      <c r="D864" s="280">
        <f>IF(offer_sale_type="транзит",IFERROR(VLOOKUP($B864,calc_data,D$14+1,0),0),0)</f>
        <v/>
      </c>
      <c r="E864" s="182">
        <f>IF(offer_sale_type="транзит",IFERROR(VLOOKUP($B864,calc_data,E$14+1,0),0),0)</f>
        <v/>
      </c>
      <c r="F864" s="182">
        <f>IF(offer_sale_type="транзит",IFERROR(VLOOKUP($B864,calc_data,F$14+1,0),0),0)</f>
        <v/>
      </c>
      <c r="G864" s="141">
        <f>IF(offer_sale_type="транзит",IFERROR(VLOOKUP($B864,calc_data,G$14+1,0),0),0)</f>
        <v/>
      </c>
      <c r="H864" s="141">
        <f>E864*G864</f>
        <v/>
      </c>
      <c r="I864" s="141">
        <f>IF(offer_sale_type="транзит",IFERROR(ROUND(VLOOKUP($B864,calc_data,I$14+1,0),2),0),0)</f>
        <v/>
      </c>
      <c r="J864" s="141">
        <f>ROUND(IF(offer_sale_type="транзит",IFERROR(VLOOKUP($B864,calc_data,J$14+1,0),0),0),2)</f>
        <v/>
      </c>
      <c r="K864" s="142">
        <f>IF(offer_sale_type="транзит",IFERROR(ROUNDUP(VLOOKUP($B864,calc_data,K$14+1,0),2),0),0)</f>
        <v/>
      </c>
      <c r="L864" s="184">
        <f>IF(offer_sale_type="транзит",IFERROR(ROUNDUP(VLOOKUP($B864,calc_data,L$14+1,0),2),0),0)</f>
        <v/>
      </c>
      <c r="M864" s="141">
        <f>IF(offer_sale_type="транзит",IFERROR(ROUNDUP(VLOOKUP($B864,calc_data,M$14+1,0),2),0),0)</f>
        <v/>
      </c>
      <c r="N864" s="141">
        <f>IF(offer_sale_type="транзит",IFERROR(ROUNDUP(VLOOKUP($B864,calc_data,N$14+1,0),2),0),0)</f>
        <v/>
      </c>
      <c r="O864" s="147">
        <f>IF(offer_sale_type="транзит",IFERROR(ROUND(VLOOKUP($B864,calc_data,O$14+1,1),2),0),0)</f>
        <v/>
      </c>
      <c r="P864" s="141">
        <f>IF(offer_sale_type="транзит",IFERROR(ROUND(SUM(I864:J864,M864:O864)/E864,2),0),0)</f>
        <v/>
      </c>
      <c r="Q864" s="141">
        <f>E864*P864</f>
        <v/>
      </c>
      <c r="R864" s="141">
        <f>ROUND(Q864*IF(AND(offer_incoterms="DDP",seller_region="RU"),IF((TODAY()+offer_turnaround_time)&gt;=helpsheet!$L$17,rate_vatRU_from_26,rate_vatRu_till_25),0),2)</f>
        <v/>
      </c>
      <c r="S864" s="177">
        <f>Q864+IF(AND(offer_incoterms="DDP",seller_region="RU"),R864,0)</f>
        <v/>
      </c>
      <c r="T864" s="45" t="n"/>
      <c r="V864" s="57">
        <f>IF(Q864&gt;0,"показать","скрыть")</f>
        <v/>
      </c>
    </row>
    <row r="865" ht="15.75" customHeight="1">
      <c r="B865" s="809" t="n">
        <v>849</v>
      </c>
      <c r="C865" s="182">
        <f>IF(offer_sale_type="транзит",IFERROR(VLOOKUP($B865,calc_data,C$14+1,0),0),0)</f>
        <v/>
      </c>
      <c r="D865" s="280">
        <f>IF(offer_sale_type="транзит",IFERROR(VLOOKUP($B865,calc_data,D$14+1,0),0),0)</f>
        <v/>
      </c>
      <c r="E865" s="182">
        <f>IF(offer_sale_type="транзит",IFERROR(VLOOKUP($B865,calc_data,E$14+1,0),0),0)</f>
        <v/>
      </c>
      <c r="F865" s="182">
        <f>IF(offer_sale_type="транзит",IFERROR(VLOOKUP($B865,calc_data,F$14+1,0),0),0)</f>
        <v/>
      </c>
      <c r="G865" s="141">
        <f>IF(offer_sale_type="транзит",IFERROR(VLOOKUP($B865,calc_data,G$14+1,0),0),0)</f>
        <v/>
      </c>
      <c r="H865" s="141">
        <f>E865*G865</f>
        <v/>
      </c>
      <c r="I865" s="141">
        <f>IF(offer_sale_type="транзит",IFERROR(ROUND(VLOOKUP($B865,calc_data,I$14+1,0),2),0),0)</f>
        <v/>
      </c>
      <c r="J865" s="141">
        <f>ROUND(IF(offer_sale_type="транзит",IFERROR(VLOOKUP($B865,calc_data,J$14+1,0),0),0),2)</f>
        <v/>
      </c>
      <c r="K865" s="142">
        <f>IF(offer_sale_type="транзит",IFERROR(ROUNDUP(VLOOKUP($B865,calc_data,K$14+1,0),2),0),0)</f>
        <v/>
      </c>
      <c r="L865" s="184">
        <f>IF(offer_sale_type="транзит",IFERROR(ROUNDUP(VLOOKUP($B865,calc_data,L$14+1,0),2),0),0)</f>
        <v/>
      </c>
      <c r="M865" s="141">
        <f>IF(offer_sale_type="транзит",IFERROR(ROUNDUP(VLOOKUP($B865,calc_data,M$14+1,0),2),0),0)</f>
        <v/>
      </c>
      <c r="N865" s="141">
        <f>IF(offer_sale_type="транзит",IFERROR(ROUNDUP(VLOOKUP($B865,calc_data,N$14+1,0),2),0),0)</f>
        <v/>
      </c>
      <c r="O865" s="147">
        <f>IF(offer_sale_type="транзит",IFERROR(ROUND(VLOOKUP($B865,calc_data,O$14+1,1),2),0),0)</f>
        <v/>
      </c>
      <c r="P865" s="141">
        <f>IF(offer_sale_type="транзит",IFERROR(ROUND(SUM(I865:J865,M865:O865)/E865,2),0),0)</f>
        <v/>
      </c>
      <c r="Q865" s="141">
        <f>E865*P865</f>
        <v/>
      </c>
      <c r="R865" s="141">
        <f>ROUND(Q865*IF(AND(offer_incoterms="DDP",seller_region="RU"),IF((TODAY()+offer_turnaround_time)&gt;=helpsheet!$L$17,rate_vatRU_from_26,rate_vatRu_till_25),0),2)</f>
        <v/>
      </c>
      <c r="S865" s="177">
        <f>Q865+IF(AND(offer_incoterms="DDP",seller_region="RU"),R865,0)</f>
        <v/>
      </c>
      <c r="T865" s="45" t="n"/>
      <c r="V865" s="57">
        <f>IF(Q865&gt;0,"показать","скрыть")</f>
        <v/>
      </c>
    </row>
    <row r="866" ht="15.75" customHeight="1">
      <c r="B866" s="809" t="n">
        <v>850</v>
      </c>
      <c r="C866" s="182">
        <f>IF(offer_sale_type="транзит",IFERROR(VLOOKUP($B866,calc_data,C$14+1,0),0),0)</f>
        <v/>
      </c>
      <c r="D866" s="280">
        <f>IF(offer_sale_type="транзит",IFERROR(VLOOKUP($B866,calc_data,D$14+1,0),0),0)</f>
        <v/>
      </c>
      <c r="E866" s="182">
        <f>IF(offer_sale_type="транзит",IFERROR(VLOOKUP($B866,calc_data,E$14+1,0),0),0)</f>
        <v/>
      </c>
      <c r="F866" s="182">
        <f>IF(offer_sale_type="транзит",IFERROR(VLOOKUP($B866,calc_data,F$14+1,0),0),0)</f>
        <v/>
      </c>
      <c r="G866" s="141">
        <f>IF(offer_sale_type="транзит",IFERROR(VLOOKUP($B866,calc_data,G$14+1,0),0),0)</f>
        <v/>
      </c>
      <c r="H866" s="141">
        <f>E866*G866</f>
        <v/>
      </c>
      <c r="I866" s="141">
        <f>IF(offer_sale_type="транзит",IFERROR(ROUND(VLOOKUP($B866,calc_data,I$14+1,0),2),0),0)</f>
        <v/>
      </c>
      <c r="J866" s="141">
        <f>ROUND(IF(offer_sale_type="транзит",IFERROR(VLOOKUP($B866,calc_data,J$14+1,0),0),0),2)</f>
        <v/>
      </c>
      <c r="K866" s="142">
        <f>IF(offer_sale_type="транзит",IFERROR(ROUNDUP(VLOOKUP($B866,calc_data,K$14+1,0),2),0),0)</f>
        <v/>
      </c>
      <c r="L866" s="184">
        <f>IF(offer_sale_type="транзит",IFERROR(ROUNDUP(VLOOKUP($B866,calc_data,L$14+1,0),2),0),0)</f>
        <v/>
      </c>
      <c r="M866" s="141">
        <f>IF(offer_sale_type="транзит",IFERROR(ROUNDUP(VLOOKUP($B866,calc_data,M$14+1,0),2),0),0)</f>
        <v/>
      </c>
      <c r="N866" s="141">
        <f>IF(offer_sale_type="транзит",IFERROR(ROUNDUP(VLOOKUP($B866,calc_data,N$14+1,0),2),0),0)</f>
        <v/>
      </c>
      <c r="O866" s="147">
        <f>IF(offer_sale_type="транзит",IFERROR(ROUND(VLOOKUP($B866,calc_data,O$14+1,1),2),0),0)</f>
        <v/>
      </c>
      <c r="P866" s="141">
        <f>IF(offer_sale_type="транзит",IFERROR(ROUND(SUM(I866:J866,M866:O866)/E866,2),0),0)</f>
        <v/>
      </c>
      <c r="Q866" s="141">
        <f>E866*P866</f>
        <v/>
      </c>
      <c r="R866" s="141">
        <f>ROUND(Q866*IF(AND(offer_incoterms="DDP",seller_region="RU"),IF((TODAY()+offer_turnaround_time)&gt;=helpsheet!$L$17,rate_vatRU_from_26,rate_vatRu_till_25),0),2)</f>
        <v/>
      </c>
      <c r="S866" s="177">
        <f>Q866+IF(AND(offer_incoterms="DDP",seller_region="RU"),R866,0)</f>
        <v/>
      </c>
      <c r="T866" s="45" t="n"/>
      <c r="V866" s="57">
        <f>IF(Q866&gt;0,"показать","скрыть")</f>
        <v/>
      </c>
    </row>
    <row r="867" ht="15.75" customHeight="1">
      <c r="B867" s="809" t="n">
        <v>851</v>
      </c>
      <c r="C867" s="182">
        <f>IF(offer_sale_type="транзит",IFERROR(VLOOKUP($B867,calc_data,C$14+1,0),0),0)</f>
        <v/>
      </c>
      <c r="D867" s="280">
        <f>IF(offer_sale_type="транзит",IFERROR(VLOOKUP($B867,calc_data,D$14+1,0),0),0)</f>
        <v/>
      </c>
      <c r="E867" s="182">
        <f>IF(offer_sale_type="транзит",IFERROR(VLOOKUP($B867,calc_data,E$14+1,0),0),0)</f>
        <v/>
      </c>
      <c r="F867" s="182">
        <f>IF(offer_sale_type="транзит",IFERROR(VLOOKUP($B867,calc_data,F$14+1,0),0),0)</f>
        <v/>
      </c>
      <c r="G867" s="141">
        <f>IF(offer_sale_type="транзит",IFERROR(VLOOKUP($B867,calc_data,G$14+1,0),0),0)</f>
        <v/>
      </c>
      <c r="H867" s="141">
        <f>E867*G867</f>
        <v/>
      </c>
      <c r="I867" s="141">
        <f>IF(offer_sale_type="транзит",IFERROR(ROUND(VLOOKUP($B867,calc_data,I$14+1,0),2),0),0)</f>
        <v/>
      </c>
      <c r="J867" s="141">
        <f>ROUND(IF(offer_sale_type="транзит",IFERROR(VLOOKUP($B867,calc_data,J$14+1,0),0),0),2)</f>
        <v/>
      </c>
      <c r="K867" s="142">
        <f>IF(offer_sale_type="транзит",IFERROR(ROUNDUP(VLOOKUP($B867,calc_data,K$14+1,0),2),0),0)</f>
        <v/>
      </c>
      <c r="L867" s="184">
        <f>IF(offer_sale_type="транзит",IFERROR(ROUNDUP(VLOOKUP($B867,calc_data,L$14+1,0),2),0),0)</f>
        <v/>
      </c>
      <c r="M867" s="141">
        <f>IF(offer_sale_type="транзит",IFERROR(ROUNDUP(VLOOKUP($B867,calc_data,M$14+1,0),2),0),0)</f>
        <v/>
      </c>
      <c r="N867" s="141">
        <f>IF(offer_sale_type="транзит",IFERROR(ROUNDUP(VLOOKUP($B867,calc_data,N$14+1,0),2),0),0)</f>
        <v/>
      </c>
      <c r="O867" s="147">
        <f>IF(offer_sale_type="транзит",IFERROR(ROUND(VLOOKUP($B867,calc_data,O$14+1,1),2),0),0)</f>
        <v/>
      </c>
      <c r="P867" s="141">
        <f>IF(offer_sale_type="транзит",IFERROR(ROUND(SUM(I867:J867,M867:O867)/E867,2),0),0)</f>
        <v/>
      </c>
      <c r="Q867" s="141">
        <f>E867*P867</f>
        <v/>
      </c>
      <c r="R867" s="141">
        <f>ROUND(Q867*IF(AND(offer_incoterms="DDP",seller_region="RU"),IF((TODAY()+offer_turnaround_time)&gt;=helpsheet!$L$17,rate_vatRU_from_26,rate_vatRu_till_25),0),2)</f>
        <v/>
      </c>
      <c r="S867" s="177">
        <f>Q867+IF(AND(offer_incoterms="DDP",seller_region="RU"),R867,0)</f>
        <v/>
      </c>
      <c r="T867" s="45" t="n"/>
      <c r="V867" s="57">
        <f>IF(Q867&gt;0,"показать","скрыть")</f>
        <v/>
      </c>
    </row>
    <row r="868" ht="15.75" customHeight="1">
      <c r="B868" s="809" t="n">
        <v>852</v>
      </c>
      <c r="C868" s="182">
        <f>IF(offer_sale_type="транзит",IFERROR(VLOOKUP($B868,calc_data,C$14+1,0),0),0)</f>
        <v/>
      </c>
      <c r="D868" s="280">
        <f>IF(offer_sale_type="транзит",IFERROR(VLOOKUP($B868,calc_data,D$14+1,0),0),0)</f>
        <v/>
      </c>
      <c r="E868" s="182">
        <f>IF(offer_sale_type="транзит",IFERROR(VLOOKUP($B868,calc_data,E$14+1,0),0),0)</f>
        <v/>
      </c>
      <c r="F868" s="182">
        <f>IF(offer_sale_type="транзит",IFERROR(VLOOKUP($B868,calc_data,F$14+1,0),0),0)</f>
        <v/>
      </c>
      <c r="G868" s="141">
        <f>IF(offer_sale_type="транзит",IFERROR(VLOOKUP($B868,calc_data,G$14+1,0),0),0)</f>
        <v/>
      </c>
      <c r="H868" s="141">
        <f>E868*G868</f>
        <v/>
      </c>
      <c r="I868" s="141">
        <f>IF(offer_sale_type="транзит",IFERROR(ROUND(VLOOKUP($B868,calc_data,I$14+1,0),2),0),0)</f>
        <v/>
      </c>
      <c r="J868" s="141">
        <f>ROUND(IF(offer_sale_type="транзит",IFERROR(VLOOKUP($B868,calc_data,J$14+1,0),0),0),2)</f>
        <v/>
      </c>
      <c r="K868" s="142">
        <f>IF(offer_sale_type="транзит",IFERROR(ROUNDUP(VLOOKUP($B868,calc_data,K$14+1,0),2),0),0)</f>
        <v/>
      </c>
      <c r="L868" s="184">
        <f>IF(offer_sale_type="транзит",IFERROR(ROUNDUP(VLOOKUP($B868,calc_data,L$14+1,0),2),0),0)</f>
        <v/>
      </c>
      <c r="M868" s="141">
        <f>IF(offer_sale_type="транзит",IFERROR(ROUNDUP(VLOOKUP($B868,calc_data,M$14+1,0),2),0),0)</f>
        <v/>
      </c>
      <c r="N868" s="141">
        <f>IF(offer_sale_type="транзит",IFERROR(ROUNDUP(VLOOKUP($B868,calc_data,N$14+1,0),2),0),0)</f>
        <v/>
      </c>
      <c r="O868" s="147">
        <f>IF(offer_sale_type="транзит",IFERROR(ROUND(VLOOKUP($B868,calc_data,O$14+1,1),2),0),0)</f>
        <v/>
      </c>
      <c r="P868" s="141">
        <f>IF(offer_sale_type="транзит",IFERROR(ROUND(SUM(I868:J868,M868:O868)/E868,2),0),0)</f>
        <v/>
      </c>
      <c r="Q868" s="141">
        <f>E868*P868</f>
        <v/>
      </c>
      <c r="R868" s="141">
        <f>ROUND(Q868*IF(AND(offer_incoterms="DDP",seller_region="RU"),IF((TODAY()+offer_turnaround_time)&gt;=helpsheet!$L$17,rate_vatRU_from_26,rate_vatRu_till_25),0),2)</f>
        <v/>
      </c>
      <c r="S868" s="177">
        <f>Q868+IF(AND(offer_incoterms="DDP",seller_region="RU"),R868,0)</f>
        <v/>
      </c>
      <c r="T868" s="45" t="n"/>
      <c r="V868" s="57">
        <f>IF(Q868&gt;0,"показать","скрыть")</f>
        <v/>
      </c>
    </row>
    <row r="869" ht="15.75" customHeight="1">
      <c r="B869" s="809" t="n">
        <v>853</v>
      </c>
      <c r="C869" s="182">
        <f>IF(offer_sale_type="транзит",IFERROR(VLOOKUP($B869,calc_data,C$14+1,0),0),0)</f>
        <v/>
      </c>
      <c r="D869" s="280">
        <f>IF(offer_sale_type="транзит",IFERROR(VLOOKUP($B869,calc_data,D$14+1,0),0),0)</f>
        <v/>
      </c>
      <c r="E869" s="182">
        <f>IF(offer_sale_type="транзит",IFERROR(VLOOKUP($B869,calc_data,E$14+1,0),0),0)</f>
        <v/>
      </c>
      <c r="F869" s="182">
        <f>IF(offer_sale_type="транзит",IFERROR(VLOOKUP($B869,calc_data,F$14+1,0),0),0)</f>
        <v/>
      </c>
      <c r="G869" s="141">
        <f>IF(offer_sale_type="транзит",IFERROR(VLOOKUP($B869,calc_data,G$14+1,0),0),0)</f>
        <v/>
      </c>
      <c r="H869" s="141">
        <f>E869*G869</f>
        <v/>
      </c>
      <c r="I869" s="141">
        <f>IF(offer_sale_type="транзит",IFERROR(ROUND(VLOOKUP($B869,calc_data,I$14+1,0),2),0),0)</f>
        <v/>
      </c>
      <c r="J869" s="141">
        <f>ROUND(IF(offer_sale_type="транзит",IFERROR(VLOOKUP($B869,calc_data,J$14+1,0),0),0),2)</f>
        <v/>
      </c>
      <c r="K869" s="142">
        <f>IF(offer_sale_type="транзит",IFERROR(ROUNDUP(VLOOKUP($B869,calc_data,K$14+1,0),2),0),0)</f>
        <v/>
      </c>
      <c r="L869" s="184">
        <f>IF(offer_sale_type="транзит",IFERROR(ROUNDUP(VLOOKUP($B869,calc_data,L$14+1,0),2),0),0)</f>
        <v/>
      </c>
      <c r="M869" s="141">
        <f>IF(offer_sale_type="транзит",IFERROR(ROUNDUP(VLOOKUP($B869,calc_data,M$14+1,0),2),0),0)</f>
        <v/>
      </c>
      <c r="N869" s="141">
        <f>IF(offer_sale_type="транзит",IFERROR(ROUNDUP(VLOOKUP($B869,calc_data,N$14+1,0),2),0),0)</f>
        <v/>
      </c>
      <c r="O869" s="147">
        <f>IF(offer_sale_type="транзит",IFERROR(ROUND(VLOOKUP($B869,calc_data,O$14+1,1),2),0),0)</f>
        <v/>
      </c>
      <c r="P869" s="141">
        <f>IF(offer_sale_type="транзит",IFERROR(ROUND(SUM(I869:J869,M869:O869)/E869,2),0),0)</f>
        <v/>
      </c>
      <c r="Q869" s="141">
        <f>E869*P869</f>
        <v/>
      </c>
      <c r="R869" s="141">
        <f>ROUND(Q869*IF(AND(offer_incoterms="DDP",seller_region="RU"),IF((TODAY()+offer_turnaround_time)&gt;=helpsheet!$L$17,rate_vatRU_from_26,rate_vatRu_till_25),0),2)</f>
        <v/>
      </c>
      <c r="S869" s="177">
        <f>Q869+IF(AND(offer_incoterms="DDP",seller_region="RU"),R869,0)</f>
        <v/>
      </c>
      <c r="T869" s="45" t="n"/>
      <c r="V869" s="57">
        <f>IF(Q869&gt;0,"показать","скрыть")</f>
        <v/>
      </c>
    </row>
    <row r="870" ht="15.75" customHeight="1">
      <c r="B870" s="809" t="n">
        <v>854</v>
      </c>
      <c r="C870" s="182">
        <f>IF(offer_sale_type="транзит",IFERROR(VLOOKUP($B870,calc_data,C$14+1,0),0),0)</f>
        <v/>
      </c>
      <c r="D870" s="280">
        <f>IF(offer_sale_type="транзит",IFERROR(VLOOKUP($B870,calc_data,D$14+1,0),0),0)</f>
        <v/>
      </c>
      <c r="E870" s="182">
        <f>IF(offer_sale_type="транзит",IFERROR(VLOOKUP($B870,calc_data,E$14+1,0),0),0)</f>
        <v/>
      </c>
      <c r="F870" s="182">
        <f>IF(offer_sale_type="транзит",IFERROR(VLOOKUP($B870,calc_data,F$14+1,0),0),0)</f>
        <v/>
      </c>
      <c r="G870" s="141">
        <f>IF(offer_sale_type="транзит",IFERROR(VLOOKUP($B870,calc_data,G$14+1,0),0),0)</f>
        <v/>
      </c>
      <c r="H870" s="141">
        <f>E870*G870</f>
        <v/>
      </c>
      <c r="I870" s="141">
        <f>IF(offer_sale_type="транзит",IFERROR(ROUND(VLOOKUP($B870,calc_data,I$14+1,0),2),0),0)</f>
        <v/>
      </c>
      <c r="J870" s="141">
        <f>ROUND(IF(offer_sale_type="транзит",IFERROR(VLOOKUP($B870,calc_data,J$14+1,0),0),0),2)</f>
        <v/>
      </c>
      <c r="K870" s="142">
        <f>IF(offer_sale_type="транзит",IFERROR(ROUNDUP(VLOOKUP($B870,calc_data,K$14+1,0),2),0),0)</f>
        <v/>
      </c>
      <c r="L870" s="184">
        <f>IF(offer_sale_type="транзит",IFERROR(ROUNDUP(VLOOKUP($B870,calc_data,L$14+1,0),2),0),0)</f>
        <v/>
      </c>
      <c r="M870" s="141">
        <f>IF(offer_sale_type="транзит",IFERROR(ROUNDUP(VLOOKUP($B870,calc_data,M$14+1,0),2),0),0)</f>
        <v/>
      </c>
      <c r="N870" s="141">
        <f>IF(offer_sale_type="транзит",IFERROR(ROUNDUP(VLOOKUP($B870,calc_data,N$14+1,0),2),0),0)</f>
        <v/>
      </c>
      <c r="O870" s="147">
        <f>IF(offer_sale_type="транзит",IFERROR(ROUND(VLOOKUP($B870,calc_data,O$14+1,1),2),0),0)</f>
        <v/>
      </c>
      <c r="P870" s="141">
        <f>IF(offer_sale_type="транзит",IFERROR(ROUND(SUM(I870:J870,M870:O870)/E870,2),0),0)</f>
        <v/>
      </c>
      <c r="Q870" s="141">
        <f>E870*P870</f>
        <v/>
      </c>
      <c r="R870" s="141">
        <f>ROUND(Q870*IF(AND(offer_incoterms="DDP",seller_region="RU"),IF((TODAY()+offer_turnaround_time)&gt;=helpsheet!$L$17,rate_vatRU_from_26,rate_vatRu_till_25),0),2)</f>
        <v/>
      </c>
      <c r="S870" s="177">
        <f>Q870+IF(AND(offer_incoterms="DDP",seller_region="RU"),R870,0)</f>
        <v/>
      </c>
      <c r="T870" s="45" t="n"/>
      <c r="V870" s="57">
        <f>IF(Q870&gt;0,"показать","скрыть")</f>
        <v/>
      </c>
    </row>
    <row r="871" ht="15.75" customHeight="1">
      <c r="B871" s="809" t="n">
        <v>855</v>
      </c>
      <c r="C871" s="182">
        <f>IF(offer_sale_type="транзит",IFERROR(VLOOKUP($B871,calc_data,C$14+1,0),0),0)</f>
        <v/>
      </c>
      <c r="D871" s="280">
        <f>IF(offer_sale_type="транзит",IFERROR(VLOOKUP($B871,calc_data,D$14+1,0),0),0)</f>
        <v/>
      </c>
      <c r="E871" s="182">
        <f>IF(offer_sale_type="транзит",IFERROR(VLOOKUP($B871,calc_data,E$14+1,0),0),0)</f>
        <v/>
      </c>
      <c r="F871" s="182">
        <f>IF(offer_sale_type="транзит",IFERROR(VLOOKUP($B871,calc_data,F$14+1,0),0),0)</f>
        <v/>
      </c>
      <c r="G871" s="141">
        <f>IF(offer_sale_type="транзит",IFERROR(VLOOKUP($B871,calc_data,G$14+1,0),0),0)</f>
        <v/>
      </c>
      <c r="H871" s="141">
        <f>E871*G871</f>
        <v/>
      </c>
      <c r="I871" s="141">
        <f>IF(offer_sale_type="транзит",IFERROR(ROUND(VLOOKUP($B871,calc_data,I$14+1,0),2),0),0)</f>
        <v/>
      </c>
      <c r="J871" s="141">
        <f>ROUND(IF(offer_sale_type="транзит",IFERROR(VLOOKUP($B871,calc_data,J$14+1,0),0),0),2)</f>
        <v/>
      </c>
      <c r="K871" s="142">
        <f>IF(offer_sale_type="транзит",IFERROR(ROUNDUP(VLOOKUP($B871,calc_data,K$14+1,0),2),0),0)</f>
        <v/>
      </c>
      <c r="L871" s="184">
        <f>IF(offer_sale_type="транзит",IFERROR(ROUNDUP(VLOOKUP($B871,calc_data,L$14+1,0),2),0),0)</f>
        <v/>
      </c>
      <c r="M871" s="141">
        <f>IF(offer_sale_type="транзит",IFERROR(ROUNDUP(VLOOKUP($B871,calc_data,M$14+1,0),2),0),0)</f>
        <v/>
      </c>
      <c r="N871" s="141">
        <f>IF(offer_sale_type="транзит",IFERROR(ROUNDUP(VLOOKUP($B871,calc_data,N$14+1,0),2),0),0)</f>
        <v/>
      </c>
      <c r="O871" s="147">
        <f>IF(offer_sale_type="транзит",IFERROR(ROUND(VLOOKUP($B871,calc_data,O$14+1,1),2),0),0)</f>
        <v/>
      </c>
      <c r="P871" s="141">
        <f>IF(offer_sale_type="транзит",IFERROR(ROUND(SUM(I871:J871,M871:O871)/E871,2),0),0)</f>
        <v/>
      </c>
      <c r="Q871" s="141">
        <f>E871*P871</f>
        <v/>
      </c>
      <c r="R871" s="141">
        <f>ROUND(Q871*IF(AND(offer_incoterms="DDP",seller_region="RU"),IF((TODAY()+offer_turnaround_time)&gt;=helpsheet!$L$17,rate_vatRU_from_26,rate_vatRu_till_25),0),2)</f>
        <v/>
      </c>
      <c r="S871" s="177">
        <f>Q871+IF(AND(offer_incoterms="DDP",seller_region="RU"),R871,0)</f>
        <v/>
      </c>
      <c r="T871" s="45" t="n"/>
      <c r="V871" s="57">
        <f>IF(Q871&gt;0,"показать","скрыть")</f>
        <v/>
      </c>
    </row>
    <row r="872" ht="15.75" customHeight="1">
      <c r="B872" s="809" t="n">
        <v>856</v>
      </c>
      <c r="C872" s="182">
        <f>IF(offer_sale_type="транзит",IFERROR(VLOOKUP($B872,calc_data,C$14+1,0),0),0)</f>
        <v/>
      </c>
      <c r="D872" s="280">
        <f>IF(offer_sale_type="транзит",IFERROR(VLOOKUP($B872,calc_data,D$14+1,0),0),0)</f>
        <v/>
      </c>
      <c r="E872" s="182">
        <f>IF(offer_sale_type="транзит",IFERROR(VLOOKUP($B872,calc_data,E$14+1,0),0),0)</f>
        <v/>
      </c>
      <c r="F872" s="182">
        <f>IF(offer_sale_type="транзит",IFERROR(VLOOKUP($B872,calc_data,F$14+1,0),0),0)</f>
        <v/>
      </c>
      <c r="G872" s="141">
        <f>IF(offer_sale_type="транзит",IFERROR(VLOOKUP($B872,calc_data,G$14+1,0),0),0)</f>
        <v/>
      </c>
      <c r="H872" s="141">
        <f>E872*G872</f>
        <v/>
      </c>
      <c r="I872" s="141">
        <f>IF(offer_sale_type="транзит",IFERROR(ROUND(VLOOKUP($B872,calc_data,I$14+1,0),2),0),0)</f>
        <v/>
      </c>
      <c r="J872" s="141">
        <f>ROUND(IF(offer_sale_type="транзит",IFERROR(VLOOKUP($B872,calc_data,J$14+1,0),0),0),2)</f>
        <v/>
      </c>
      <c r="K872" s="142">
        <f>IF(offer_sale_type="транзит",IFERROR(ROUNDUP(VLOOKUP($B872,calc_data,K$14+1,0),2),0),0)</f>
        <v/>
      </c>
      <c r="L872" s="184">
        <f>IF(offer_sale_type="транзит",IFERROR(ROUNDUP(VLOOKUP($B872,calc_data,L$14+1,0),2),0),0)</f>
        <v/>
      </c>
      <c r="M872" s="141">
        <f>IF(offer_sale_type="транзит",IFERROR(ROUNDUP(VLOOKUP($B872,calc_data,M$14+1,0),2),0),0)</f>
        <v/>
      </c>
      <c r="N872" s="141">
        <f>IF(offer_sale_type="транзит",IFERROR(ROUNDUP(VLOOKUP($B872,calc_data,N$14+1,0),2),0),0)</f>
        <v/>
      </c>
      <c r="O872" s="147">
        <f>IF(offer_sale_type="транзит",IFERROR(ROUND(VLOOKUP($B872,calc_data,O$14+1,1),2),0),0)</f>
        <v/>
      </c>
      <c r="P872" s="141">
        <f>IF(offer_sale_type="транзит",IFERROR(ROUND(SUM(I872:J872,M872:O872)/E872,2),0),0)</f>
        <v/>
      </c>
      <c r="Q872" s="141">
        <f>E872*P872</f>
        <v/>
      </c>
      <c r="R872" s="141">
        <f>ROUND(Q872*IF(AND(offer_incoterms="DDP",seller_region="RU"),IF((TODAY()+offer_turnaround_time)&gt;=helpsheet!$L$17,rate_vatRU_from_26,rate_vatRu_till_25),0),2)</f>
        <v/>
      </c>
      <c r="S872" s="177">
        <f>Q872+IF(AND(offer_incoterms="DDP",seller_region="RU"),R872,0)</f>
        <v/>
      </c>
      <c r="T872" s="45" t="n"/>
      <c r="V872" s="57">
        <f>IF(Q872&gt;0,"показать","скрыть")</f>
        <v/>
      </c>
    </row>
    <row r="873" ht="15.75" customHeight="1">
      <c r="B873" s="809" t="n">
        <v>857</v>
      </c>
      <c r="C873" s="182">
        <f>IF(offer_sale_type="транзит",IFERROR(VLOOKUP($B873,calc_data,C$14+1,0),0),0)</f>
        <v/>
      </c>
      <c r="D873" s="280">
        <f>IF(offer_sale_type="транзит",IFERROR(VLOOKUP($B873,calc_data,D$14+1,0),0),0)</f>
        <v/>
      </c>
      <c r="E873" s="182">
        <f>IF(offer_sale_type="транзит",IFERROR(VLOOKUP($B873,calc_data,E$14+1,0),0),0)</f>
        <v/>
      </c>
      <c r="F873" s="182">
        <f>IF(offer_sale_type="транзит",IFERROR(VLOOKUP($B873,calc_data,F$14+1,0),0),0)</f>
        <v/>
      </c>
      <c r="G873" s="141">
        <f>IF(offer_sale_type="транзит",IFERROR(VLOOKUP($B873,calc_data,G$14+1,0),0),0)</f>
        <v/>
      </c>
      <c r="H873" s="141">
        <f>E873*G873</f>
        <v/>
      </c>
      <c r="I873" s="141">
        <f>IF(offer_sale_type="транзит",IFERROR(ROUND(VLOOKUP($B873,calc_data,I$14+1,0),2),0),0)</f>
        <v/>
      </c>
      <c r="J873" s="141">
        <f>ROUND(IF(offer_sale_type="транзит",IFERROR(VLOOKUP($B873,calc_data,J$14+1,0),0),0),2)</f>
        <v/>
      </c>
      <c r="K873" s="142">
        <f>IF(offer_sale_type="транзит",IFERROR(ROUNDUP(VLOOKUP($B873,calc_data,K$14+1,0),2),0),0)</f>
        <v/>
      </c>
      <c r="L873" s="184">
        <f>IF(offer_sale_type="транзит",IFERROR(ROUNDUP(VLOOKUP($B873,calc_data,L$14+1,0),2),0),0)</f>
        <v/>
      </c>
      <c r="M873" s="141">
        <f>IF(offer_sale_type="транзит",IFERROR(ROUNDUP(VLOOKUP($B873,calc_data,M$14+1,0),2),0),0)</f>
        <v/>
      </c>
      <c r="N873" s="141">
        <f>IF(offer_sale_type="транзит",IFERROR(ROUNDUP(VLOOKUP($B873,calc_data,N$14+1,0),2),0),0)</f>
        <v/>
      </c>
      <c r="O873" s="147">
        <f>IF(offer_sale_type="транзит",IFERROR(ROUND(VLOOKUP($B873,calc_data,O$14+1,1),2),0),0)</f>
        <v/>
      </c>
      <c r="P873" s="141">
        <f>IF(offer_sale_type="транзит",IFERROR(ROUND(SUM(I873:J873,M873:O873)/E873,2),0),0)</f>
        <v/>
      </c>
      <c r="Q873" s="141">
        <f>E873*P873</f>
        <v/>
      </c>
      <c r="R873" s="141">
        <f>ROUND(Q873*IF(AND(offer_incoterms="DDP",seller_region="RU"),IF((TODAY()+offer_turnaround_time)&gt;=helpsheet!$L$17,rate_vatRU_from_26,rate_vatRu_till_25),0),2)</f>
        <v/>
      </c>
      <c r="S873" s="177">
        <f>Q873+IF(AND(offer_incoterms="DDP",seller_region="RU"),R873,0)</f>
        <v/>
      </c>
      <c r="T873" s="45" t="n"/>
      <c r="V873" s="57">
        <f>IF(Q873&gt;0,"показать","скрыть")</f>
        <v/>
      </c>
    </row>
    <row r="874" ht="15.75" customHeight="1">
      <c r="B874" s="809" t="n">
        <v>858</v>
      </c>
      <c r="C874" s="182">
        <f>IF(offer_sale_type="транзит",IFERROR(VLOOKUP($B874,calc_data,C$14+1,0),0),0)</f>
        <v/>
      </c>
      <c r="D874" s="280">
        <f>IF(offer_sale_type="транзит",IFERROR(VLOOKUP($B874,calc_data,D$14+1,0),0),0)</f>
        <v/>
      </c>
      <c r="E874" s="182">
        <f>IF(offer_sale_type="транзит",IFERROR(VLOOKUP($B874,calc_data,E$14+1,0),0),0)</f>
        <v/>
      </c>
      <c r="F874" s="182">
        <f>IF(offer_sale_type="транзит",IFERROR(VLOOKUP($B874,calc_data,F$14+1,0),0),0)</f>
        <v/>
      </c>
      <c r="G874" s="141">
        <f>IF(offer_sale_type="транзит",IFERROR(VLOOKUP($B874,calc_data,G$14+1,0),0),0)</f>
        <v/>
      </c>
      <c r="H874" s="141">
        <f>E874*G874</f>
        <v/>
      </c>
      <c r="I874" s="141">
        <f>IF(offer_sale_type="транзит",IFERROR(ROUND(VLOOKUP($B874,calc_data,I$14+1,0),2),0),0)</f>
        <v/>
      </c>
      <c r="J874" s="141">
        <f>ROUND(IF(offer_sale_type="транзит",IFERROR(VLOOKUP($B874,calc_data,J$14+1,0),0),0),2)</f>
        <v/>
      </c>
      <c r="K874" s="142">
        <f>IF(offer_sale_type="транзит",IFERROR(ROUNDUP(VLOOKUP($B874,calc_data,K$14+1,0),2),0),0)</f>
        <v/>
      </c>
      <c r="L874" s="184">
        <f>IF(offer_sale_type="транзит",IFERROR(ROUNDUP(VLOOKUP($B874,calc_data,L$14+1,0),2),0),0)</f>
        <v/>
      </c>
      <c r="M874" s="141">
        <f>IF(offer_sale_type="транзит",IFERROR(ROUNDUP(VLOOKUP($B874,calc_data,M$14+1,0),2),0),0)</f>
        <v/>
      </c>
      <c r="N874" s="141">
        <f>IF(offer_sale_type="транзит",IFERROR(ROUNDUP(VLOOKUP($B874,calc_data,N$14+1,0),2),0),0)</f>
        <v/>
      </c>
      <c r="O874" s="147">
        <f>IF(offer_sale_type="транзит",IFERROR(ROUND(VLOOKUP($B874,calc_data,O$14+1,1),2),0),0)</f>
        <v/>
      </c>
      <c r="P874" s="141">
        <f>IF(offer_sale_type="транзит",IFERROR(ROUND(SUM(I874:J874,M874:O874)/E874,2),0),0)</f>
        <v/>
      </c>
      <c r="Q874" s="141">
        <f>E874*P874</f>
        <v/>
      </c>
      <c r="R874" s="141">
        <f>ROUND(Q874*IF(AND(offer_incoterms="DDP",seller_region="RU"),IF((TODAY()+offer_turnaround_time)&gt;=helpsheet!$L$17,rate_vatRU_from_26,rate_vatRu_till_25),0),2)</f>
        <v/>
      </c>
      <c r="S874" s="177">
        <f>Q874+IF(AND(offer_incoterms="DDP",seller_region="RU"),R874,0)</f>
        <v/>
      </c>
      <c r="T874" s="45" t="n"/>
      <c r="V874" s="57">
        <f>IF(Q874&gt;0,"показать","скрыть")</f>
        <v/>
      </c>
    </row>
    <row r="875" ht="15.75" customHeight="1">
      <c r="B875" s="809" t="n">
        <v>859</v>
      </c>
      <c r="C875" s="182">
        <f>IF(offer_sale_type="транзит",IFERROR(VLOOKUP($B875,calc_data,C$14+1,0),0),0)</f>
        <v/>
      </c>
      <c r="D875" s="280">
        <f>IF(offer_sale_type="транзит",IFERROR(VLOOKUP($B875,calc_data,D$14+1,0),0),0)</f>
        <v/>
      </c>
      <c r="E875" s="182">
        <f>IF(offer_sale_type="транзит",IFERROR(VLOOKUP($B875,calc_data,E$14+1,0),0),0)</f>
        <v/>
      </c>
      <c r="F875" s="182">
        <f>IF(offer_sale_type="транзит",IFERROR(VLOOKUP($B875,calc_data,F$14+1,0),0),0)</f>
        <v/>
      </c>
      <c r="G875" s="141">
        <f>IF(offer_sale_type="транзит",IFERROR(VLOOKUP($B875,calc_data,G$14+1,0),0),0)</f>
        <v/>
      </c>
      <c r="H875" s="141">
        <f>E875*G875</f>
        <v/>
      </c>
      <c r="I875" s="141">
        <f>IF(offer_sale_type="транзит",IFERROR(ROUND(VLOOKUP($B875,calc_data,I$14+1,0),2),0),0)</f>
        <v/>
      </c>
      <c r="J875" s="141">
        <f>ROUND(IF(offer_sale_type="транзит",IFERROR(VLOOKUP($B875,calc_data,J$14+1,0),0),0),2)</f>
        <v/>
      </c>
      <c r="K875" s="142">
        <f>IF(offer_sale_type="транзит",IFERROR(ROUNDUP(VLOOKUP($B875,calc_data,K$14+1,0),2),0),0)</f>
        <v/>
      </c>
      <c r="L875" s="184">
        <f>IF(offer_sale_type="транзит",IFERROR(ROUNDUP(VLOOKUP($B875,calc_data,L$14+1,0),2),0),0)</f>
        <v/>
      </c>
      <c r="M875" s="141">
        <f>IF(offer_sale_type="транзит",IFERROR(ROUNDUP(VLOOKUP($B875,calc_data,M$14+1,0),2),0),0)</f>
        <v/>
      </c>
      <c r="N875" s="141">
        <f>IF(offer_sale_type="транзит",IFERROR(ROUNDUP(VLOOKUP($B875,calc_data,N$14+1,0),2),0),0)</f>
        <v/>
      </c>
      <c r="O875" s="147">
        <f>IF(offer_sale_type="транзит",IFERROR(ROUND(VLOOKUP($B875,calc_data,O$14+1,1),2),0),0)</f>
        <v/>
      </c>
      <c r="P875" s="141">
        <f>IF(offer_sale_type="транзит",IFERROR(ROUND(SUM(I875:J875,M875:O875)/E875,2),0),0)</f>
        <v/>
      </c>
      <c r="Q875" s="141">
        <f>E875*P875</f>
        <v/>
      </c>
      <c r="R875" s="141">
        <f>ROUND(Q875*IF(AND(offer_incoterms="DDP",seller_region="RU"),IF((TODAY()+offer_turnaround_time)&gt;=helpsheet!$L$17,rate_vatRU_from_26,rate_vatRu_till_25),0),2)</f>
        <v/>
      </c>
      <c r="S875" s="177">
        <f>Q875+IF(AND(offer_incoterms="DDP",seller_region="RU"),R875,0)</f>
        <v/>
      </c>
      <c r="T875" s="45" t="n"/>
      <c r="V875" s="57">
        <f>IF(Q875&gt;0,"показать","скрыть")</f>
        <v/>
      </c>
    </row>
    <row r="876" ht="15.75" customHeight="1">
      <c r="B876" s="809" t="n">
        <v>860</v>
      </c>
      <c r="C876" s="182">
        <f>IF(offer_sale_type="транзит",IFERROR(VLOOKUP($B876,calc_data,C$14+1,0),0),0)</f>
        <v/>
      </c>
      <c r="D876" s="280">
        <f>IF(offer_sale_type="транзит",IFERROR(VLOOKUP($B876,calc_data,D$14+1,0),0),0)</f>
        <v/>
      </c>
      <c r="E876" s="182">
        <f>IF(offer_sale_type="транзит",IFERROR(VLOOKUP($B876,calc_data,E$14+1,0),0),0)</f>
        <v/>
      </c>
      <c r="F876" s="182">
        <f>IF(offer_sale_type="транзит",IFERROR(VLOOKUP($B876,calc_data,F$14+1,0),0),0)</f>
        <v/>
      </c>
      <c r="G876" s="141">
        <f>IF(offer_sale_type="транзит",IFERROR(VLOOKUP($B876,calc_data,G$14+1,0),0),0)</f>
        <v/>
      </c>
      <c r="H876" s="141">
        <f>E876*G876</f>
        <v/>
      </c>
      <c r="I876" s="141">
        <f>IF(offer_sale_type="транзит",IFERROR(ROUND(VLOOKUP($B876,calc_data,I$14+1,0),2),0),0)</f>
        <v/>
      </c>
      <c r="J876" s="141">
        <f>ROUND(IF(offer_sale_type="транзит",IFERROR(VLOOKUP($B876,calc_data,J$14+1,0),0),0),2)</f>
        <v/>
      </c>
      <c r="K876" s="142">
        <f>IF(offer_sale_type="транзит",IFERROR(ROUNDUP(VLOOKUP($B876,calc_data,K$14+1,0),2),0),0)</f>
        <v/>
      </c>
      <c r="L876" s="184">
        <f>IF(offer_sale_type="транзит",IFERROR(ROUNDUP(VLOOKUP($B876,calc_data,L$14+1,0),2),0),0)</f>
        <v/>
      </c>
      <c r="M876" s="141">
        <f>IF(offer_sale_type="транзит",IFERROR(ROUNDUP(VLOOKUP($B876,calc_data,M$14+1,0),2),0),0)</f>
        <v/>
      </c>
      <c r="N876" s="141">
        <f>IF(offer_sale_type="транзит",IFERROR(ROUNDUP(VLOOKUP($B876,calc_data,N$14+1,0),2),0),0)</f>
        <v/>
      </c>
      <c r="O876" s="147">
        <f>IF(offer_sale_type="транзит",IFERROR(ROUND(VLOOKUP($B876,calc_data,O$14+1,1),2),0),0)</f>
        <v/>
      </c>
      <c r="P876" s="141">
        <f>IF(offer_sale_type="транзит",IFERROR(ROUND(SUM(I876:J876,M876:O876)/E876,2),0),0)</f>
        <v/>
      </c>
      <c r="Q876" s="141">
        <f>E876*P876</f>
        <v/>
      </c>
      <c r="R876" s="141">
        <f>ROUND(Q876*IF(AND(offer_incoterms="DDP",seller_region="RU"),IF((TODAY()+offer_turnaround_time)&gt;=helpsheet!$L$17,rate_vatRU_from_26,rate_vatRu_till_25),0),2)</f>
        <v/>
      </c>
      <c r="S876" s="177">
        <f>Q876+IF(AND(offer_incoterms="DDP",seller_region="RU"),R876,0)</f>
        <v/>
      </c>
      <c r="T876" s="45" t="n"/>
      <c r="V876" s="57">
        <f>IF(Q876&gt;0,"показать","скрыть")</f>
        <v/>
      </c>
    </row>
    <row r="877" ht="15.75" customHeight="1">
      <c r="B877" s="809" t="n">
        <v>861</v>
      </c>
      <c r="C877" s="182">
        <f>IF(offer_sale_type="транзит",IFERROR(VLOOKUP($B877,calc_data,C$14+1,0),0),0)</f>
        <v/>
      </c>
      <c r="D877" s="280">
        <f>IF(offer_sale_type="транзит",IFERROR(VLOOKUP($B877,calc_data,D$14+1,0),0),0)</f>
        <v/>
      </c>
      <c r="E877" s="182">
        <f>IF(offer_sale_type="транзит",IFERROR(VLOOKUP($B877,calc_data,E$14+1,0),0),0)</f>
        <v/>
      </c>
      <c r="F877" s="182">
        <f>IF(offer_sale_type="транзит",IFERROR(VLOOKUP($B877,calc_data,F$14+1,0),0),0)</f>
        <v/>
      </c>
      <c r="G877" s="141">
        <f>IF(offer_sale_type="транзит",IFERROR(VLOOKUP($B877,calc_data,G$14+1,0),0),0)</f>
        <v/>
      </c>
      <c r="H877" s="141">
        <f>E877*G877</f>
        <v/>
      </c>
      <c r="I877" s="141">
        <f>IF(offer_sale_type="транзит",IFERROR(ROUND(VLOOKUP($B877,calc_data,I$14+1,0),2),0),0)</f>
        <v/>
      </c>
      <c r="J877" s="141">
        <f>ROUND(IF(offer_sale_type="транзит",IFERROR(VLOOKUP($B877,calc_data,J$14+1,0),0),0),2)</f>
        <v/>
      </c>
      <c r="K877" s="142">
        <f>IF(offer_sale_type="транзит",IFERROR(ROUNDUP(VLOOKUP($B877,calc_data,K$14+1,0),2),0),0)</f>
        <v/>
      </c>
      <c r="L877" s="184">
        <f>IF(offer_sale_type="транзит",IFERROR(ROUNDUP(VLOOKUP($B877,calc_data,L$14+1,0),2),0),0)</f>
        <v/>
      </c>
      <c r="M877" s="141">
        <f>IF(offer_sale_type="транзит",IFERROR(ROUNDUP(VLOOKUP($B877,calc_data,M$14+1,0),2),0),0)</f>
        <v/>
      </c>
      <c r="N877" s="141">
        <f>IF(offer_sale_type="транзит",IFERROR(ROUNDUP(VLOOKUP($B877,calc_data,N$14+1,0),2),0),0)</f>
        <v/>
      </c>
      <c r="O877" s="147">
        <f>IF(offer_sale_type="транзит",IFERROR(ROUND(VLOOKUP($B877,calc_data,O$14+1,1),2),0),0)</f>
        <v/>
      </c>
      <c r="P877" s="141">
        <f>IF(offer_sale_type="транзит",IFERROR(ROUND(SUM(I877:J877,M877:O877)/E877,2),0),0)</f>
        <v/>
      </c>
      <c r="Q877" s="141">
        <f>E877*P877</f>
        <v/>
      </c>
      <c r="R877" s="141">
        <f>ROUND(Q877*IF(AND(offer_incoterms="DDP",seller_region="RU"),IF((TODAY()+offer_turnaround_time)&gt;=helpsheet!$L$17,rate_vatRU_from_26,rate_vatRu_till_25),0),2)</f>
        <v/>
      </c>
      <c r="S877" s="177">
        <f>Q877+IF(AND(offer_incoterms="DDP",seller_region="RU"),R877,0)</f>
        <v/>
      </c>
      <c r="T877" s="45" t="n"/>
      <c r="V877" s="57">
        <f>IF(Q877&gt;0,"показать","скрыть")</f>
        <v/>
      </c>
    </row>
    <row r="878" ht="15.75" customHeight="1">
      <c r="B878" s="809" t="n">
        <v>862</v>
      </c>
      <c r="C878" s="182">
        <f>IF(offer_sale_type="транзит",IFERROR(VLOOKUP($B878,calc_data,C$14+1,0),0),0)</f>
        <v/>
      </c>
      <c r="D878" s="280">
        <f>IF(offer_sale_type="транзит",IFERROR(VLOOKUP($B878,calc_data,D$14+1,0),0),0)</f>
        <v/>
      </c>
      <c r="E878" s="182">
        <f>IF(offer_sale_type="транзит",IFERROR(VLOOKUP($B878,calc_data,E$14+1,0),0),0)</f>
        <v/>
      </c>
      <c r="F878" s="182">
        <f>IF(offer_sale_type="транзит",IFERROR(VLOOKUP($B878,calc_data,F$14+1,0),0),0)</f>
        <v/>
      </c>
      <c r="G878" s="141">
        <f>IF(offer_sale_type="транзит",IFERROR(VLOOKUP($B878,calc_data,G$14+1,0),0),0)</f>
        <v/>
      </c>
      <c r="H878" s="141">
        <f>E878*G878</f>
        <v/>
      </c>
      <c r="I878" s="141">
        <f>IF(offer_sale_type="транзит",IFERROR(ROUND(VLOOKUP($B878,calc_data,I$14+1,0),2),0),0)</f>
        <v/>
      </c>
      <c r="J878" s="141">
        <f>ROUND(IF(offer_sale_type="транзит",IFERROR(VLOOKUP($B878,calc_data,J$14+1,0),0),0),2)</f>
        <v/>
      </c>
      <c r="K878" s="142">
        <f>IF(offer_sale_type="транзит",IFERROR(ROUNDUP(VLOOKUP($B878,calc_data,K$14+1,0),2),0),0)</f>
        <v/>
      </c>
      <c r="L878" s="184">
        <f>IF(offer_sale_type="транзит",IFERROR(ROUNDUP(VLOOKUP($B878,calc_data,L$14+1,0),2),0),0)</f>
        <v/>
      </c>
      <c r="M878" s="141">
        <f>IF(offer_sale_type="транзит",IFERROR(ROUNDUP(VLOOKUP($B878,calc_data,M$14+1,0),2),0),0)</f>
        <v/>
      </c>
      <c r="N878" s="141">
        <f>IF(offer_sale_type="транзит",IFERROR(ROUNDUP(VLOOKUP($B878,calc_data,N$14+1,0),2),0),0)</f>
        <v/>
      </c>
      <c r="O878" s="147">
        <f>IF(offer_sale_type="транзит",IFERROR(ROUND(VLOOKUP($B878,calc_data,O$14+1,1),2),0),0)</f>
        <v/>
      </c>
      <c r="P878" s="141">
        <f>IF(offer_sale_type="транзит",IFERROR(ROUND(SUM(I878:J878,M878:O878)/E878,2),0),0)</f>
        <v/>
      </c>
      <c r="Q878" s="141">
        <f>E878*P878</f>
        <v/>
      </c>
      <c r="R878" s="141">
        <f>ROUND(Q878*IF(AND(offer_incoterms="DDP",seller_region="RU"),IF((TODAY()+offer_turnaround_time)&gt;=helpsheet!$L$17,rate_vatRU_from_26,rate_vatRu_till_25),0),2)</f>
        <v/>
      </c>
      <c r="S878" s="177">
        <f>Q878+IF(AND(offer_incoterms="DDP",seller_region="RU"),R878,0)</f>
        <v/>
      </c>
      <c r="T878" s="45" t="n"/>
      <c r="V878" s="57">
        <f>IF(Q878&gt;0,"показать","скрыть")</f>
        <v/>
      </c>
    </row>
    <row r="879" ht="15.75" customHeight="1">
      <c r="B879" s="809" t="n">
        <v>863</v>
      </c>
      <c r="C879" s="182">
        <f>IF(offer_sale_type="транзит",IFERROR(VLOOKUP($B879,calc_data,C$14+1,0),0),0)</f>
        <v/>
      </c>
      <c r="D879" s="280">
        <f>IF(offer_sale_type="транзит",IFERROR(VLOOKUP($B879,calc_data,D$14+1,0),0),0)</f>
        <v/>
      </c>
      <c r="E879" s="182">
        <f>IF(offer_sale_type="транзит",IFERROR(VLOOKUP($B879,calc_data,E$14+1,0),0),0)</f>
        <v/>
      </c>
      <c r="F879" s="182">
        <f>IF(offer_sale_type="транзит",IFERROR(VLOOKUP($B879,calc_data,F$14+1,0),0),0)</f>
        <v/>
      </c>
      <c r="G879" s="141">
        <f>IF(offer_sale_type="транзит",IFERROR(VLOOKUP($B879,calc_data,G$14+1,0),0),0)</f>
        <v/>
      </c>
      <c r="H879" s="141">
        <f>E879*G879</f>
        <v/>
      </c>
      <c r="I879" s="141">
        <f>IF(offer_sale_type="транзит",IFERROR(ROUND(VLOOKUP($B879,calc_data,I$14+1,0),2),0),0)</f>
        <v/>
      </c>
      <c r="J879" s="141">
        <f>ROUND(IF(offer_sale_type="транзит",IFERROR(VLOOKUP($B879,calc_data,J$14+1,0),0),0),2)</f>
        <v/>
      </c>
      <c r="K879" s="142">
        <f>IF(offer_sale_type="транзит",IFERROR(ROUNDUP(VLOOKUP($B879,calc_data,K$14+1,0),2),0),0)</f>
        <v/>
      </c>
      <c r="L879" s="184">
        <f>IF(offer_sale_type="транзит",IFERROR(ROUNDUP(VLOOKUP($B879,calc_data,L$14+1,0),2),0),0)</f>
        <v/>
      </c>
      <c r="M879" s="141">
        <f>IF(offer_sale_type="транзит",IFERROR(ROUNDUP(VLOOKUP($B879,calc_data,M$14+1,0),2),0),0)</f>
        <v/>
      </c>
      <c r="N879" s="141">
        <f>IF(offer_sale_type="транзит",IFERROR(ROUNDUP(VLOOKUP($B879,calc_data,N$14+1,0),2),0),0)</f>
        <v/>
      </c>
      <c r="O879" s="147">
        <f>IF(offer_sale_type="транзит",IFERROR(ROUND(VLOOKUP($B879,calc_data,O$14+1,1),2),0),0)</f>
        <v/>
      </c>
      <c r="P879" s="141">
        <f>IF(offer_sale_type="транзит",IFERROR(ROUND(SUM(I879:J879,M879:O879)/E879,2),0),0)</f>
        <v/>
      </c>
      <c r="Q879" s="141">
        <f>E879*P879</f>
        <v/>
      </c>
      <c r="R879" s="141">
        <f>ROUND(Q879*IF(AND(offer_incoterms="DDP",seller_region="RU"),IF((TODAY()+offer_turnaround_time)&gt;=helpsheet!$L$17,rate_vatRU_from_26,rate_vatRu_till_25),0),2)</f>
        <v/>
      </c>
      <c r="S879" s="177">
        <f>Q879+IF(AND(offer_incoterms="DDP",seller_region="RU"),R879,0)</f>
        <v/>
      </c>
      <c r="T879" s="45" t="n"/>
      <c r="V879" s="57">
        <f>IF(Q879&gt;0,"показать","скрыть")</f>
        <v/>
      </c>
    </row>
    <row r="880" ht="15.75" customHeight="1">
      <c r="B880" s="809" t="n">
        <v>864</v>
      </c>
      <c r="C880" s="182">
        <f>IF(offer_sale_type="транзит",IFERROR(VLOOKUP($B880,calc_data,C$14+1,0),0),0)</f>
        <v/>
      </c>
      <c r="D880" s="280">
        <f>IF(offer_sale_type="транзит",IFERROR(VLOOKUP($B880,calc_data,D$14+1,0),0),0)</f>
        <v/>
      </c>
      <c r="E880" s="182">
        <f>IF(offer_sale_type="транзит",IFERROR(VLOOKUP($B880,calc_data,E$14+1,0),0),0)</f>
        <v/>
      </c>
      <c r="F880" s="182">
        <f>IF(offer_sale_type="транзит",IFERROR(VLOOKUP($B880,calc_data,F$14+1,0),0),0)</f>
        <v/>
      </c>
      <c r="G880" s="141">
        <f>IF(offer_sale_type="транзит",IFERROR(VLOOKUP($B880,calc_data,G$14+1,0),0),0)</f>
        <v/>
      </c>
      <c r="H880" s="141">
        <f>E880*G880</f>
        <v/>
      </c>
      <c r="I880" s="141">
        <f>IF(offer_sale_type="транзит",IFERROR(ROUND(VLOOKUP($B880,calc_data,I$14+1,0),2),0),0)</f>
        <v/>
      </c>
      <c r="J880" s="141">
        <f>ROUND(IF(offer_sale_type="транзит",IFERROR(VLOOKUP($B880,calc_data,J$14+1,0),0),0),2)</f>
        <v/>
      </c>
      <c r="K880" s="142">
        <f>IF(offer_sale_type="транзит",IFERROR(ROUNDUP(VLOOKUP($B880,calc_data,K$14+1,0),2),0),0)</f>
        <v/>
      </c>
      <c r="L880" s="184">
        <f>IF(offer_sale_type="транзит",IFERROR(ROUNDUP(VLOOKUP($B880,calc_data,L$14+1,0),2),0),0)</f>
        <v/>
      </c>
      <c r="M880" s="141">
        <f>IF(offer_sale_type="транзит",IFERROR(ROUNDUP(VLOOKUP($B880,calc_data,M$14+1,0),2),0),0)</f>
        <v/>
      </c>
      <c r="N880" s="141">
        <f>IF(offer_sale_type="транзит",IFERROR(ROUNDUP(VLOOKUP($B880,calc_data,N$14+1,0),2),0),0)</f>
        <v/>
      </c>
      <c r="O880" s="147">
        <f>IF(offer_sale_type="транзит",IFERROR(ROUND(VLOOKUP($B880,calc_data,O$14+1,1),2),0),0)</f>
        <v/>
      </c>
      <c r="P880" s="141">
        <f>IF(offer_sale_type="транзит",IFERROR(ROUND(SUM(I880:J880,M880:O880)/E880,2),0),0)</f>
        <v/>
      </c>
      <c r="Q880" s="141">
        <f>E880*P880</f>
        <v/>
      </c>
      <c r="R880" s="141">
        <f>ROUND(Q880*IF(AND(offer_incoterms="DDP",seller_region="RU"),IF((TODAY()+offer_turnaround_time)&gt;=helpsheet!$L$17,rate_vatRU_from_26,rate_vatRu_till_25),0),2)</f>
        <v/>
      </c>
      <c r="S880" s="177">
        <f>Q880+IF(AND(offer_incoterms="DDP",seller_region="RU"),R880,0)</f>
        <v/>
      </c>
      <c r="T880" s="45" t="n"/>
      <c r="V880" s="57">
        <f>IF(Q880&gt;0,"показать","скрыть")</f>
        <v/>
      </c>
    </row>
    <row r="881" ht="15.75" customHeight="1">
      <c r="B881" s="809" t="n">
        <v>865</v>
      </c>
      <c r="C881" s="182">
        <f>IF(offer_sale_type="транзит",IFERROR(VLOOKUP($B881,calc_data,C$14+1,0),0),0)</f>
        <v/>
      </c>
      <c r="D881" s="280">
        <f>IF(offer_sale_type="транзит",IFERROR(VLOOKUP($B881,calc_data,D$14+1,0),0),0)</f>
        <v/>
      </c>
      <c r="E881" s="182">
        <f>IF(offer_sale_type="транзит",IFERROR(VLOOKUP($B881,calc_data,E$14+1,0),0),0)</f>
        <v/>
      </c>
      <c r="F881" s="182">
        <f>IF(offer_sale_type="транзит",IFERROR(VLOOKUP($B881,calc_data,F$14+1,0),0),0)</f>
        <v/>
      </c>
      <c r="G881" s="141">
        <f>IF(offer_sale_type="транзит",IFERROR(VLOOKUP($B881,calc_data,G$14+1,0),0),0)</f>
        <v/>
      </c>
      <c r="H881" s="141">
        <f>E881*G881</f>
        <v/>
      </c>
      <c r="I881" s="141">
        <f>IF(offer_sale_type="транзит",IFERROR(ROUND(VLOOKUP($B881,calc_data,I$14+1,0),2),0),0)</f>
        <v/>
      </c>
      <c r="J881" s="141">
        <f>ROUND(IF(offer_sale_type="транзит",IFERROR(VLOOKUP($B881,calc_data,J$14+1,0),0),0),2)</f>
        <v/>
      </c>
      <c r="K881" s="142">
        <f>IF(offer_sale_type="транзит",IFERROR(ROUNDUP(VLOOKUP($B881,calc_data,K$14+1,0),2),0),0)</f>
        <v/>
      </c>
      <c r="L881" s="184">
        <f>IF(offer_sale_type="транзит",IFERROR(ROUNDUP(VLOOKUP($B881,calc_data,L$14+1,0),2),0),0)</f>
        <v/>
      </c>
      <c r="M881" s="141">
        <f>IF(offer_sale_type="транзит",IFERROR(ROUNDUP(VLOOKUP($B881,calc_data,M$14+1,0),2),0),0)</f>
        <v/>
      </c>
      <c r="N881" s="141">
        <f>IF(offer_sale_type="транзит",IFERROR(ROUNDUP(VLOOKUP($B881,calc_data,N$14+1,0),2),0),0)</f>
        <v/>
      </c>
      <c r="O881" s="147">
        <f>IF(offer_sale_type="транзит",IFERROR(ROUND(VLOOKUP($B881,calc_data,O$14+1,1),2),0),0)</f>
        <v/>
      </c>
      <c r="P881" s="141">
        <f>IF(offer_sale_type="транзит",IFERROR(ROUND(SUM(I881:J881,M881:O881)/E881,2),0),0)</f>
        <v/>
      </c>
      <c r="Q881" s="141">
        <f>E881*P881</f>
        <v/>
      </c>
      <c r="R881" s="141">
        <f>ROUND(Q881*IF(AND(offer_incoterms="DDP",seller_region="RU"),IF((TODAY()+offer_turnaround_time)&gt;=helpsheet!$L$17,rate_vatRU_from_26,rate_vatRu_till_25),0),2)</f>
        <v/>
      </c>
      <c r="S881" s="177">
        <f>Q881+IF(AND(offer_incoterms="DDP",seller_region="RU"),R881,0)</f>
        <v/>
      </c>
      <c r="T881" s="45" t="n"/>
      <c r="V881" s="57">
        <f>IF(Q881&gt;0,"показать","скрыть")</f>
        <v/>
      </c>
    </row>
    <row r="882" ht="15.75" customHeight="1">
      <c r="B882" s="809" t="n">
        <v>866</v>
      </c>
      <c r="C882" s="182">
        <f>IF(offer_sale_type="транзит",IFERROR(VLOOKUP($B882,calc_data,C$14+1,0),0),0)</f>
        <v/>
      </c>
      <c r="D882" s="280">
        <f>IF(offer_sale_type="транзит",IFERROR(VLOOKUP($B882,calc_data,D$14+1,0),0),0)</f>
        <v/>
      </c>
      <c r="E882" s="182">
        <f>IF(offer_sale_type="транзит",IFERROR(VLOOKUP($B882,calc_data,E$14+1,0),0),0)</f>
        <v/>
      </c>
      <c r="F882" s="182">
        <f>IF(offer_sale_type="транзит",IFERROR(VLOOKUP($B882,calc_data,F$14+1,0),0),0)</f>
        <v/>
      </c>
      <c r="G882" s="141">
        <f>IF(offer_sale_type="транзит",IFERROR(VLOOKUP($B882,calc_data,G$14+1,0),0),0)</f>
        <v/>
      </c>
      <c r="H882" s="141">
        <f>E882*G882</f>
        <v/>
      </c>
      <c r="I882" s="141">
        <f>IF(offer_sale_type="транзит",IFERROR(ROUND(VLOOKUP($B882,calc_data,I$14+1,0),2),0),0)</f>
        <v/>
      </c>
      <c r="J882" s="141">
        <f>ROUND(IF(offer_sale_type="транзит",IFERROR(VLOOKUP($B882,calc_data,J$14+1,0),0),0),2)</f>
        <v/>
      </c>
      <c r="K882" s="142">
        <f>IF(offer_sale_type="транзит",IFERROR(ROUNDUP(VLOOKUP($B882,calc_data,K$14+1,0),2),0),0)</f>
        <v/>
      </c>
      <c r="L882" s="184">
        <f>IF(offer_sale_type="транзит",IFERROR(ROUNDUP(VLOOKUP($B882,calc_data,L$14+1,0),2),0),0)</f>
        <v/>
      </c>
      <c r="M882" s="141">
        <f>IF(offer_sale_type="транзит",IFERROR(ROUNDUP(VLOOKUP($B882,calc_data,M$14+1,0),2),0),0)</f>
        <v/>
      </c>
      <c r="N882" s="141">
        <f>IF(offer_sale_type="транзит",IFERROR(ROUNDUP(VLOOKUP($B882,calc_data,N$14+1,0),2),0),0)</f>
        <v/>
      </c>
      <c r="O882" s="147">
        <f>IF(offer_sale_type="транзит",IFERROR(ROUND(VLOOKUP($B882,calc_data,O$14+1,1),2),0),0)</f>
        <v/>
      </c>
      <c r="P882" s="141">
        <f>IF(offer_sale_type="транзит",IFERROR(ROUND(SUM(I882:J882,M882:O882)/E882,2),0),0)</f>
        <v/>
      </c>
      <c r="Q882" s="141">
        <f>E882*P882</f>
        <v/>
      </c>
      <c r="R882" s="141">
        <f>ROUND(Q882*IF(AND(offer_incoterms="DDP",seller_region="RU"),IF((TODAY()+offer_turnaround_time)&gt;=helpsheet!$L$17,rate_vatRU_from_26,rate_vatRu_till_25),0),2)</f>
        <v/>
      </c>
      <c r="S882" s="177">
        <f>Q882+IF(AND(offer_incoterms="DDP",seller_region="RU"),R882,0)</f>
        <v/>
      </c>
      <c r="T882" s="45" t="n"/>
      <c r="V882" s="57">
        <f>IF(Q882&gt;0,"показать","скрыть")</f>
        <v/>
      </c>
    </row>
    <row r="883" ht="15.75" customHeight="1">
      <c r="B883" s="809" t="n">
        <v>867</v>
      </c>
      <c r="C883" s="182">
        <f>IF(offer_sale_type="транзит",IFERROR(VLOOKUP($B883,calc_data,C$14+1,0),0),0)</f>
        <v/>
      </c>
      <c r="D883" s="280">
        <f>IF(offer_sale_type="транзит",IFERROR(VLOOKUP($B883,calc_data,D$14+1,0),0),0)</f>
        <v/>
      </c>
      <c r="E883" s="182">
        <f>IF(offer_sale_type="транзит",IFERROR(VLOOKUP($B883,calc_data,E$14+1,0),0),0)</f>
        <v/>
      </c>
      <c r="F883" s="182">
        <f>IF(offer_sale_type="транзит",IFERROR(VLOOKUP($B883,calc_data,F$14+1,0),0),0)</f>
        <v/>
      </c>
      <c r="G883" s="141">
        <f>IF(offer_sale_type="транзит",IFERROR(VLOOKUP($B883,calc_data,G$14+1,0),0),0)</f>
        <v/>
      </c>
      <c r="H883" s="141">
        <f>E883*G883</f>
        <v/>
      </c>
      <c r="I883" s="141">
        <f>IF(offer_sale_type="транзит",IFERROR(ROUND(VLOOKUP($B883,calc_data,I$14+1,0),2),0),0)</f>
        <v/>
      </c>
      <c r="J883" s="141">
        <f>ROUND(IF(offer_sale_type="транзит",IFERROR(VLOOKUP($B883,calc_data,J$14+1,0),0),0),2)</f>
        <v/>
      </c>
      <c r="K883" s="142">
        <f>IF(offer_sale_type="транзит",IFERROR(ROUNDUP(VLOOKUP($B883,calc_data,K$14+1,0),2),0),0)</f>
        <v/>
      </c>
      <c r="L883" s="184">
        <f>IF(offer_sale_type="транзит",IFERROR(ROUNDUP(VLOOKUP($B883,calc_data,L$14+1,0),2),0),0)</f>
        <v/>
      </c>
      <c r="M883" s="141">
        <f>IF(offer_sale_type="транзит",IFERROR(ROUNDUP(VLOOKUP($B883,calc_data,M$14+1,0),2),0),0)</f>
        <v/>
      </c>
      <c r="N883" s="141">
        <f>IF(offer_sale_type="транзит",IFERROR(ROUNDUP(VLOOKUP($B883,calc_data,N$14+1,0),2),0),0)</f>
        <v/>
      </c>
      <c r="O883" s="147">
        <f>IF(offer_sale_type="транзит",IFERROR(ROUND(VLOOKUP($B883,calc_data,O$14+1,1),2),0),0)</f>
        <v/>
      </c>
      <c r="P883" s="141">
        <f>IF(offer_sale_type="транзит",IFERROR(ROUND(SUM(I883:J883,M883:O883)/E883,2),0),0)</f>
        <v/>
      </c>
      <c r="Q883" s="141">
        <f>E883*P883</f>
        <v/>
      </c>
      <c r="R883" s="141">
        <f>ROUND(Q883*IF(AND(offer_incoterms="DDP",seller_region="RU"),IF((TODAY()+offer_turnaround_time)&gt;=helpsheet!$L$17,rate_vatRU_from_26,rate_vatRu_till_25),0),2)</f>
        <v/>
      </c>
      <c r="S883" s="177">
        <f>Q883+IF(AND(offer_incoterms="DDP",seller_region="RU"),R883,0)</f>
        <v/>
      </c>
      <c r="T883" s="45" t="n"/>
      <c r="V883" s="57">
        <f>IF(Q883&gt;0,"показать","скрыть")</f>
        <v/>
      </c>
    </row>
    <row r="884" ht="15.75" customHeight="1">
      <c r="B884" s="809" t="n">
        <v>868</v>
      </c>
      <c r="C884" s="182">
        <f>IF(offer_sale_type="транзит",IFERROR(VLOOKUP($B884,calc_data,C$14+1,0),0),0)</f>
        <v/>
      </c>
      <c r="D884" s="280">
        <f>IF(offer_sale_type="транзит",IFERROR(VLOOKUP($B884,calc_data,D$14+1,0),0),0)</f>
        <v/>
      </c>
      <c r="E884" s="182">
        <f>IF(offer_sale_type="транзит",IFERROR(VLOOKUP($B884,calc_data,E$14+1,0),0),0)</f>
        <v/>
      </c>
      <c r="F884" s="182">
        <f>IF(offer_sale_type="транзит",IFERROR(VLOOKUP($B884,calc_data,F$14+1,0),0),0)</f>
        <v/>
      </c>
      <c r="G884" s="141">
        <f>IF(offer_sale_type="транзит",IFERROR(VLOOKUP($B884,calc_data,G$14+1,0),0),0)</f>
        <v/>
      </c>
      <c r="H884" s="141">
        <f>E884*G884</f>
        <v/>
      </c>
      <c r="I884" s="141">
        <f>IF(offer_sale_type="транзит",IFERROR(ROUND(VLOOKUP($B884,calc_data,I$14+1,0),2),0),0)</f>
        <v/>
      </c>
      <c r="J884" s="141">
        <f>ROUND(IF(offer_sale_type="транзит",IFERROR(VLOOKUP($B884,calc_data,J$14+1,0),0),0),2)</f>
        <v/>
      </c>
      <c r="K884" s="142">
        <f>IF(offer_sale_type="транзит",IFERROR(ROUNDUP(VLOOKUP($B884,calc_data,K$14+1,0),2),0),0)</f>
        <v/>
      </c>
      <c r="L884" s="184">
        <f>IF(offer_sale_type="транзит",IFERROR(ROUNDUP(VLOOKUP($B884,calc_data,L$14+1,0),2),0),0)</f>
        <v/>
      </c>
      <c r="M884" s="141">
        <f>IF(offer_sale_type="транзит",IFERROR(ROUNDUP(VLOOKUP($B884,calc_data,M$14+1,0),2),0),0)</f>
        <v/>
      </c>
      <c r="N884" s="141">
        <f>IF(offer_sale_type="транзит",IFERROR(ROUNDUP(VLOOKUP($B884,calc_data,N$14+1,0),2),0),0)</f>
        <v/>
      </c>
      <c r="O884" s="147">
        <f>IF(offer_sale_type="транзит",IFERROR(ROUND(VLOOKUP($B884,calc_data,O$14+1,1),2),0),0)</f>
        <v/>
      </c>
      <c r="P884" s="141">
        <f>IF(offer_sale_type="транзит",IFERROR(ROUND(SUM(I884:J884,M884:O884)/E884,2),0),0)</f>
        <v/>
      </c>
      <c r="Q884" s="141">
        <f>E884*P884</f>
        <v/>
      </c>
      <c r="R884" s="141">
        <f>ROUND(Q884*IF(AND(offer_incoterms="DDP",seller_region="RU"),IF((TODAY()+offer_turnaround_time)&gt;=helpsheet!$L$17,rate_vatRU_from_26,rate_vatRu_till_25),0),2)</f>
        <v/>
      </c>
      <c r="S884" s="177">
        <f>Q884+IF(AND(offer_incoterms="DDP",seller_region="RU"),R884,0)</f>
        <v/>
      </c>
      <c r="T884" s="45" t="n"/>
      <c r="V884" s="57">
        <f>IF(Q884&gt;0,"показать","скрыть")</f>
        <v/>
      </c>
    </row>
    <row r="885" ht="15.75" customHeight="1">
      <c r="B885" s="809" t="n">
        <v>869</v>
      </c>
      <c r="C885" s="182">
        <f>IF(offer_sale_type="транзит",IFERROR(VLOOKUP($B885,calc_data,C$14+1,0),0),0)</f>
        <v/>
      </c>
      <c r="D885" s="280">
        <f>IF(offer_sale_type="транзит",IFERROR(VLOOKUP($B885,calc_data,D$14+1,0),0),0)</f>
        <v/>
      </c>
      <c r="E885" s="182">
        <f>IF(offer_sale_type="транзит",IFERROR(VLOOKUP($B885,calc_data,E$14+1,0),0),0)</f>
        <v/>
      </c>
      <c r="F885" s="182">
        <f>IF(offer_sale_type="транзит",IFERROR(VLOOKUP($B885,calc_data,F$14+1,0),0),0)</f>
        <v/>
      </c>
      <c r="G885" s="141">
        <f>IF(offer_sale_type="транзит",IFERROR(VLOOKUP($B885,calc_data,G$14+1,0),0),0)</f>
        <v/>
      </c>
      <c r="H885" s="141">
        <f>E885*G885</f>
        <v/>
      </c>
      <c r="I885" s="141">
        <f>IF(offer_sale_type="транзит",IFERROR(ROUND(VLOOKUP($B885,calc_data,I$14+1,0),2),0),0)</f>
        <v/>
      </c>
      <c r="J885" s="141">
        <f>ROUND(IF(offer_sale_type="транзит",IFERROR(VLOOKUP($B885,calc_data,J$14+1,0),0),0),2)</f>
        <v/>
      </c>
      <c r="K885" s="142">
        <f>IF(offer_sale_type="транзит",IFERROR(ROUNDUP(VLOOKUP($B885,calc_data,K$14+1,0),2),0),0)</f>
        <v/>
      </c>
      <c r="L885" s="184">
        <f>IF(offer_sale_type="транзит",IFERROR(ROUNDUP(VLOOKUP($B885,calc_data,L$14+1,0),2),0),0)</f>
        <v/>
      </c>
      <c r="M885" s="141">
        <f>IF(offer_sale_type="транзит",IFERROR(ROUNDUP(VLOOKUP($B885,calc_data,M$14+1,0),2),0),0)</f>
        <v/>
      </c>
      <c r="N885" s="141">
        <f>IF(offer_sale_type="транзит",IFERROR(ROUNDUP(VLOOKUP($B885,calc_data,N$14+1,0),2),0),0)</f>
        <v/>
      </c>
      <c r="O885" s="147">
        <f>IF(offer_sale_type="транзит",IFERROR(ROUND(VLOOKUP($B885,calc_data,O$14+1,1),2),0),0)</f>
        <v/>
      </c>
      <c r="P885" s="141">
        <f>IF(offer_sale_type="транзит",IFERROR(ROUND(SUM(I885:J885,M885:O885)/E885,2),0),0)</f>
        <v/>
      </c>
      <c r="Q885" s="141">
        <f>E885*P885</f>
        <v/>
      </c>
      <c r="R885" s="141">
        <f>ROUND(Q885*IF(AND(offer_incoterms="DDP",seller_region="RU"),IF((TODAY()+offer_turnaround_time)&gt;=helpsheet!$L$17,rate_vatRU_from_26,rate_vatRu_till_25),0),2)</f>
        <v/>
      </c>
      <c r="S885" s="177">
        <f>Q885+IF(AND(offer_incoterms="DDP",seller_region="RU"),R885,0)</f>
        <v/>
      </c>
      <c r="T885" s="45" t="n"/>
      <c r="V885" s="57">
        <f>IF(Q885&gt;0,"показать","скрыть")</f>
        <v/>
      </c>
    </row>
    <row r="886" ht="15.75" customHeight="1">
      <c r="B886" s="809" t="n">
        <v>870</v>
      </c>
      <c r="C886" s="182">
        <f>IF(offer_sale_type="транзит",IFERROR(VLOOKUP($B886,calc_data,C$14+1,0),0),0)</f>
        <v/>
      </c>
      <c r="D886" s="280">
        <f>IF(offer_sale_type="транзит",IFERROR(VLOOKUP($B886,calc_data,D$14+1,0),0),0)</f>
        <v/>
      </c>
      <c r="E886" s="182">
        <f>IF(offer_sale_type="транзит",IFERROR(VLOOKUP($B886,calc_data,E$14+1,0),0),0)</f>
        <v/>
      </c>
      <c r="F886" s="182">
        <f>IF(offer_sale_type="транзит",IFERROR(VLOOKUP($B886,calc_data,F$14+1,0),0),0)</f>
        <v/>
      </c>
      <c r="G886" s="141">
        <f>IF(offer_sale_type="транзит",IFERROR(VLOOKUP($B886,calc_data,G$14+1,0),0),0)</f>
        <v/>
      </c>
      <c r="H886" s="141">
        <f>E886*G886</f>
        <v/>
      </c>
      <c r="I886" s="141">
        <f>IF(offer_sale_type="транзит",IFERROR(ROUND(VLOOKUP($B886,calc_data,I$14+1,0),2),0),0)</f>
        <v/>
      </c>
      <c r="J886" s="141">
        <f>ROUND(IF(offer_sale_type="транзит",IFERROR(VLOOKUP($B886,calc_data,J$14+1,0),0),0),2)</f>
        <v/>
      </c>
      <c r="K886" s="142">
        <f>IF(offer_sale_type="транзит",IFERROR(ROUNDUP(VLOOKUP($B886,calc_data,K$14+1,0),2),0),0)</f>
        <v/>
      </c>
      <c r="L886" s="184">
        <f>IF(offer_sale_type="транзит",IFERROR(ROUNDUP(VLOOKUP($B886,calc_data,L$14+1,0),2),0),0)</f>
        <v/>
      </c>
      <c r="M886" s="141">
        <f>IF(offer_sale_type="транзит",IFERROR(ROUNDUP(VLOOKUP($B886,calc_data,M$14+1,0),2),0),0)</f>
        <v/>
      </c>
      <c r="N886" s="141">
        <f>IF(offer_sale_type="транзит",IFERROR(ROUNDUP(VLOOKUP($B886,calc_data,N$14+1,0),2),0),0)</f>
        <v/>
      </c>
      <c r="O886" s="147">
        <f>IF(offer_sale_type="транзит",IFERROR(ROUND(VLOOKUP($B886,calc_data,O$14+1,1),2),0),0)</f>
        <v/>
      </c>
      <c r="P886" s="141">
        <f>IF(offer_sale_type="транзит",IFERROR(ROUND(SUM(I886:J886,M886:O886)/E886,2),0),0)</f>
        <v/>
      </c>
      <c r="Q886" s="141">
        <f>E886*P886</f>
        <v/>
      </c>
      <c r="R886" s="141">
        <f>ROUND(Q886*IF(AND(offer_incoterms="DDP",seller_region="RU"),IF((TODAY()+offer_turnaround_time)&gt;=helpsheet!$L$17,rate_vatRU_from_26,rate_vatRu_till_25),0),2)</f>
        <v/>
      </c>
      <c r="S886" s="177">
        <f>Q886+IF(AND(offer_incoterms="DDP",seller_region="RU"),R886,0)</f>
        <v/>
      </c>
      <c r="T886" s="45" t="n"/>
      <c r="V886" s="57">
        <f>IF(Q886&gt;0,"показать","скрыть")</f>
        <v/>
      </c>
    </row>
    <row r="887" ht="15.75" customHeight="1">
      <c r="B887" s="809" t="n">
        <v>871</v>
      </c>
      <c r="C887" s="182">
        <f>IF(offer_sale_type="транзит",IFERROR(VLOOKUP($B887,calc_data,C$14+1,0),0),0)</f>
        <v/>
      </c>
      <c r="D887" s="280">
        <f>IF(offer_sale_type="транзит",IFERROR(VLOOKUP($B887,calc_data,D$14+1,0),0),0)</f>
        <v/>
      </c>
      <c r="E887" s="182">
        <f>IF(offer_sale_type="транзит",IFERROR(VLOOKUP($B887,calc_data,E$14+1,0),0),0)</f>
        <v/>
      </c>
      <c r="F887" s="182">
        <f>IF(offer_sale_type="транзит",IFERROR(VLOOKUP($B887,calc_data,F$14+1,0),0),0)</f>
        <v/>
      </c>
      <c r="G887" s="141">
        <f>IF(offer_sale_type="транзит",IFERROR(VLOOKUP($B887,calc_data,G$14+1,0),0),0)</f>
        <v/>
      </c>
      <c r="H887" s="141">
        <f>E887*G887</f>
        <v/>
      </c>
      <c r="I887" s="141">
        <f>IF(offer_sale_type="транзит",IFERROR(ROUND(VLOOKUP($B887,calc_data,I$14+1,0),2),0),0)</f>
        <v/>
      </c>
      <c r="J887" s="141">
        <f>ROUND(IF(offer_sale_type="транзит",IFERROR(VLOOKUP($B887,calc_data,J$14+1,0),0),0),2)</f>
        <v/>
      </c>
      <c r="K887" s="142">
        <f>IF(offer_sale_type="транзит",IFERROR(ROUNDUP(VLOOKUP($B887,calc_data,K$14+1,0),2),0),0)</f>
        <v/>
      </c>
      <c r="L887" s="184">
        <f>IF(offer_sale_type="транзит",IFERROR(ROUNDUP(VLOOKUP($B887,calc_data,L$14+1,0),2),0),0)</f>
        <v/>
      </c>
      <c r="M887" s="141">
        <f>IF(offer_sale_type="транзит",IFERROR(ROUNDUP(VLOOKUP($B887,calc_data,M$14+1,0),2),0),0)</f>
        <v/>
      </c>
      <c r="N887" s="141">
        <f>IF(offer_sale_type="транзит",IFERROR(ROUNDUP(VLOOKUP($B887,calc_data,N$14+1,0),2),0),0)</f>
        <v/>
      </c>
      <c r="O887" s="147">
        <f>IF(offer_sale_type="транзит",IFERROR(ROUND(VLOOKUP($B887,calc_data,O$14+1,1),2),0),0)</f>
        <v/>
      </c>
      <c r="P887" s="141">
        <f>IF(offer_sale_type="транзит",IFERROR(ROUND(SUM(I887:J887,M887:O887)/E887,2),0),0)</f>
        <v/>
      </c>
      <c r="Q887" s="141">
        <f>E887*P887</f>
        <v/>
      </c>
      <c r="R887" s="141">
        <f>ROUND(Q887*IF(AND(offer_incoterms="DDP",seller_region="RU"),IF((TODAY()+offer_turnaround_time)&gt;=helpsheet!$L$17,rate_vatRU_from_26,rate_vatRu_till_25),0),2)</f>
        <v/>
      </c>
      <c r="S887" s="177">
        <f>Q887+IF(AND(offer_incoterms="DDP",seller_region="RU"),R887,0)</f>
        <v/>
      </c>
      <c r="T887" s="45" t="n"/>
      <c r="V887" s="57">
        <f>IF(Q887&gt;0,"показать","скрыть")</f>
        <v/>
      </c>
    </row>
    <row r="888" ht="15.75" customHeight="1">
      <c r="B888" s="809" t="n">
        <v>872</v>
      </c>
      <c r="C888" s="182">
        <f>IF(offer_sale_type="транзит",IFERROR(VLOOKUP($B888,calc_data,C$14+1,0),0),0)</f>
        <v/>
      </c>
      <c r="D888" s="280">
        <f>IF(offer_sale_type="транзит",IFERROR(VLOOKUP($B888,calc_data,D$14+1,0),0),0)</f>
        <v/>
      </c>
      <c r="E888" s="182">
        <f>IF(offer_sale_type="транзит",IFERROR(VLOOKUP($B888,calc_data,E$14+1,0),0),0)</f>
        <v/>
      </c>
      <c r="F888" s="182">
        <f>IF(offer_sale_type="транзит",IFERROR(VLOOKUP($B888,calc_data,F$14+1,0),0),0)</f>
        <v/>
      </c>
      <c r="G888" s="141">
        <f>IF(offer_sale_type="транзит",IFERROR(VLOOKUP($B888,calc_data,G$14+1,0),0),0)</f>
        <v/>
      </c>
      <c r="H888" s="141">
        <f>E888*G888</f>
        <v/>
      </c>
      <c r="I888" s="141">
        <f>IF(offer_sale_type="транзит",IFERROR(ROUND(VLOOKUP($B888,calc_data,I$14+1,0),2),0),0)</f>
        <v/>
      </c>
      <c r="J888" s="141">
        <f>ROUND(IF(offer_sale_type="транзит",IFERROR(VLOOKUP($B888,calc_data,J$14+1,0),0),0),2)</f>
        <v/>
      </c>
      <c r="K888" s="142">
        <f>IF(offer_sale_type="транзит",IFERROR(ROUNDUP(VLOOKUP($B888,calc_data,K$14+1,0),2),0),0)</f>
        <v/>
      </c>
      <c r="L888" s="184">
        <f>IF(offer_sale_type="транзит",IFERROR(ROUNDUP(VLOOKUP($B888,calc_data,L$14+1,0),2),0),0)</f>
        <v/>
      </c>
      <c r="M888" s="141">
        <f>IF(offer_sale_type="транзит",IFERROR(ROUNDUP(VLOOKUP($B888,calc_data,M$14+1,0),2),0),0)</f>
        <v/>
      </c>
      <c r="N888" s="141">
        <f>IF(offer_sale_type="транзит",IFERROR(ROUNDUP(VLOOKUP($B888,calc_data,N$14+1,0),2),0),0)</f>
        <v/>
      </c>
      <c r="O888" s="147">
        <f>IF(offer_sale_type="транзит",IFERROR(ROUND(VLOOKUP($B888,calc_data,O$14+1,1),2),0),0)</f>
        <v/>
      </c>
      <c r="P888" s="141">
        <f>IF(offer_sale_type="транзит",IFERROR(ROUND(SUM(I888:J888,M888:O888)/E888,2),0),0)</f>
        <v/>
      </c>
      <c r="Q888" s="141">
        <f>E888*P888</f>
        <v/>
      </c>
      <c r="R888" s="141">
        <f>ROUND(Q888*IF(AND(offer_incoterms="DDP",seller_region="RU"),IF((TODAY()+offer_turnaround_time)&gt;=helpsheet!$L$17,rate_vatRU_from_26,rate_vatRu_till_25),0),2)</f>
        <v/>
      </c>
      <c r="S888" s="177">
        <f>Q888+IF(AND(offer_incoterms="DDP",seller_region="RU"),R888,0)</f>
        <v/>
      </c>
      <c r="T888" s="45" t="n"/>
      <c r="V888" s="57">
        <f>IF(Q888&gt;0,"показать","скрыть")</f>
        <v/>
      </c>
    </row>
    <row r="889" ht="15.75" customHeight="1">
      <c r="B889" s="809" t="n">
        <v>873</v>
      </c>
      <c r="C889" s="182">
        <f>IF(offer_sale_type="транзит",IFERROR(VLOOKUP($B889,calc_data,C$14+1,0),0),0)</f>
        <v/>
      </c>
      <c r="D889" s="280">
        <f>IF(offer_sale_type="транзит",IFERROR(VLOOKUP($B889,calc_data,D$14+1,0),0),0)</f>
        <v/>
      </c>
      <c r="E889" s="182">
        <f>IF(offer_sale_type="транзит",IFERROR(VLOOKUP($B889,calc_data,E$14+1,0),0),0)</f>
        <v/>
      </c>
      <c r="F889" s="182">
        <f>IF(offer_sale_type="транзит",IFERROR(VLOOKUP($B889,calc_data,F$14+1,0),0),0)</f>
        <v/>
      </c>
      <c r="G889" s="141">
        <f>IF(offer_sale_type="транзит",IFERROR(VLOOKUP($B889,calc_data,G$14+1,0),0),0)</f>
        <v/>
      </c>
      <c r="H889" s="141">
        <f>E889*G889</f>
        <v/>
      </c>
      <c r="I889" s="141">
        <f>IF(offer_sale_type="транзит",IFERROR(ROUND(VLOOKUP($B889,calc_data,I$14+1,0),2),0),0)</f>
        <v/>
      </c>
      <c r="J889" s="141">
        <f>ROUND(IF(offer_sale_type="транзит",IFERROR(VLOOKUP($B889,calc_data,J$14+1,0),0),0),2)</f>
        <v/>
      </c>
      <c r="K889" s="142">
        <f>IF(offer_sale_type="транзит",IFERROR(ROUNDUP(VLOOKUP($B889,calc_data,K$14+1,0),2),0),0)</f>
        <v/>
      </c>
      <c r="L889" s="184">
        <f>IF(offer_sale_type="транзит",IFERROR(ROUNDUP(VLOOKUP($B889,calc_data,L$14+1,0),2),0),0)</f>
        <v/>
      </c>
      <c r="M889" s="141">
        <f>IF(offer_sale_type="транзит",IFERROR(ROUNDUP(VLOOKUP($B889,calc_data,M$14+1,0),2),0),0)</f>
        <v/>
      </c>
      <c r="N889" s="141">
        <f>IF(offer_sale_type="транзит",IFERROR(ROUNDUP(VLOOKUP($B889,calc_data,N$14+1,0),2),0),0)</f>
        <v/>
      </c>
      <c r="O889" s="147">
        <f>IF(offer_sale_type="транзит",IFERROR(ROUND(VLOOKUP($B889,calc_data,O$14+1,1),2),0),0)</f>
        <v/>
      </c>
      <c r="P889" s="141">
        <f>IF(offer_sale_type="транзит",IFERROR(ROUND(SUM(I889:J889,M889:O889)/E889,2),0),0)</f>
        <v/>
      </c>
      <c r="Q889" s="141">
        <f>E889*P889</f>
        <v/>
      </c>
      <c r="R889" s="141">
        <f>ROUND(Q889*IF(AND(offer_incoterms="DDP",seller_region="RU"),IF((TODAY()+offer_turnaround_time)&gt;=helpsheet!$L$17,rate_vatRU_from_26,rate_vatRu_till_25),0),2)</f>
        <v/>
      </c>
      <c r="S889" s="177">
        <f>Q889+IF(AND(offer_incoterms="DDP",seller_region="RU"),R889,0)</f>
        <v/>
      </c>
      <c r="T889" s="45" t="n"/>
      <c r="V889" s="57">
        <f>IF(Q889&gt;0,"показать","скрыть")</f>
        <v/>
      </c>
    </row>
    <row r="890" ht="15.75" customHeight="1">
      <c r="B890" s="809" t="n">
        <v>874</v>
      </c>
      <c r="C890" s="182">
        <f>IF(offer_sale_type="транзит",IFERROR(VLOOKUP($B890,calc_data,C$14+1,0),0),0)</f>
        <v/>
      </c>
      <c r="D890" s="280">
        <f>IF(offer_sale_type="транзит",IFERROR(VLOOKUP($B890,calc_data,D$14+1,0),0),0)</f>
        <v/>
      </c>
      <c r="E890" s="182">
        <f>IF(offer_sale_type="транзит",IFERROR(VLOOKUP($B890,calc_data,E$14+1,0),0),0)</f>
        <v/>
      </c>
      <c r="F890" s="182">
        <f>IF(offer_sale_type="транзит",IFERROR(VLOOKUP($B890,calc_data,F$14+1,0),0),0)</f>
        <v/>
      </c>
      <c r="G890" s="141">
        <f>IF(offer_sale_type="транзит",IFERROR(VLOOKUP($B890,calc_data,G$14+1,0),0),0)</f>
        <v/>
      </c>
      <c r="H890" s="141">
        <f>E890*G890</f>
        <v/>
      </c>
      <c r="I890" s="141">
        <f>IF(offer_sale_type="транзит",IFERROR(ROUND(VLOOKUP($B890,calc_data,I$14+1,0),2),0),0)</f>
        <v/>
      </c>
      <c r="J890" s="141">
        <f>ROUND(IF(offer_sale_type="транзит",IFERROR(VLOOKUP($B890,calc_data,J$14+1,0),0),0),2)</f>
        <v/>
      </c>
      <c r="K890" s="142">
        <f>IF(offer_sale_type="транзит",IFERROR(ROUNDUP(VLOOKUP($B890,calc_data,K$14+1,0),2),0),0)</f>
        <v/>
      </c>
      <c r="L890" s="184">
        <f>IF(offer_sale_type="транзит",IFERROR(ROUNDUP(VLOOKUP($B890,calc_data,L$14+1,0),2),0),0)</f>
        <v/>
      </c>
      <c r="M890" s="141">
        <f>IF(offer_sale_type="транзит",IFERROR(ROUNDUP(VLOOKUP($B890,calc_data,M$14+1,0),2),0),0)</f>
        <v/>
      </c>
      <c r="N890" s="141">
        <f>IF(offer_sale_type="транзит",IFERROR(ROUNDUP(VLOOKUP($B890,calc_data,N$14+1,0),2),0),0)</f>
        <v/>
      </c>
      <c r="O890" s="147">
        <f>IF(offer_sale_type="транзит",IFERROR(ROUND(VLOOKUP($B890,calc_data,O$14+1,1),2),0),0)</f>
        <v/>
      </c>
      <c r="P890" s="141">
        <f>IF(offer_sale_type="транзит",IFERROR(ROUND(SUM(I890:J890,M890:O890)/E890,2),0),0)</f>
        <v/>
      </c>
      <c r="Q890" s="141">
        <f>E890*P890</f>
        <v/>
      </c>
      <c r="R890" s="141">
        <f>ROUND(Q890*IF(AND(offer_incoterms="DDP",seller_region="RU"),IF((TODAY()+offer_turnaround_time)&gt;=helpsheet!$L$17,rate_vatRU_from_26,rate_vatRu_till_25),0),2)</f>
        <v/>
      </c>
      <c r="S890" s="177">
        <f>Q890+IF(AND(offer_incoterms="DDP",seller_region="RU"),R890,0)</f>
        <v/>
      </c>
      <c r="T890" s="45" t="n"/>
      <c r="V890" s="57">
        <f>IF(Q890&gt;0,"показать","скрыть")</f>
        <v/>
      </c>
    </row>
    <row r="891" ht="15.75" customHeight="1">
      <c r="B891" s="809" t="n">
        <v>875</v>
      </c>
      <c r="C891" s="182">
        <f>IF(offer_sale_type="транзит",IFERROR(VLOOKUP($B891,calc_data,C$14+1,0),0),0)</f>
        <v/>
      </c>
      <c r="D891" s="280">
        <f>IF(offer_sale_type="транзит",IFERROR(VLOOKUP($B891,calc_data,D$14+1,0),0),0)</f>
        <v/>
      </c>
      <c r="E891" s="182">
        <f>IF(offer_sale_type="транзит",IFERROR(VLOOKUP($B891,calc_data,E$14+1,0),0),0)</f>
        <v/>
      </c>
      <c r="F891" s="182">
        <f>IF(offer_sale_type="транзит",IFERROR(VLOOKUP($B891,calc_data,F$14+1,0),0),0)</f>
        <v/>
      </c>
      <c r="G891" s="141">
        <f>IF(offer_sale_type="транзит",IFERROR(VLOOKUP($B891,calc_data,G$14+1,0),0),0)</f>
        <v/>
      </c>
      <c r="H891" s="141">
        <f>E891*G891</f>
        <v/>
      </c>
      <c r="I891" s="141">
        <f>IF(offer_sale_type="транзит",IFERROR(ROUND(VLOOKUP($B891,calc_data,I$14+1,0),2),0),0)</f>
        <v/>
      </c>
      <c r="J891" s="141">
        <f>ROUND(IF(offer_sale_type="транзит",IFERROR(VLOOKUP($B891,calc_data,J$14+1,0),0),0),2)</f>
        <v/>
      </c>
      <c r="K891" s="142">
        <f>IF(offer_sale_type="транзит",IFERROR(ROUNDUP(VLOOKUP($B891,calc_data,K$14+1,0),2),0),0)</f>
        <v/>
      </c>
      <c r="L891" s="184">
        <f>IF(offer_sale_type="транзит",IFERROR(ROUNDUP(VLOOKUP($B891,calc_data,L$14+1,0),2),0),0)</f>
        <v/>
      </c>
      <c r="M891" s="141">
        <f>IF(offer_sale_type="транзит",IFERROR(ROUNDUP(VLOOKUP($B891,calc_data,M$14+1,0),2),0),0)</f>
        <v/>
      </c>
      <c r="N891" s="141">
        <f>IF(offer_sale_type="транзит",IFERROR(ROUNDUP(VLOOKUP($B891,calc_data,N$14+1,0),2),0),0)</f>
        <v/>
      </c>
      <c r="O891" s="147">
        <f>IF(offer_sale_type="транзит",IFERROR(ROUND(VLOOKUP($B891,calc_data,O$14+1,1),2),0),0)</f>
        <v/>
      </c>
      <c r="P891" s="141">
        <f>IF(offer_sale_type="транзит",IFERROR(ROUND(SUM(I891:J891,M891:O891)/E891,2),0),0)</f>
        <v/>
      </c>
      <c r="Q891" s="141">
        <f>E891*P891</f>
        <v/>
      </c>
      <c r="R891" s="141">
        <f>ROUND(Q891*IF(AND(offer_incoterms="DDP",seller_region="RU"),IF((TODAY()+offer_turnaround_time)&gt;=helpsheet!$L$17,rate_vatRU_from_26,rate_vatRu_till_25),0),2)</f>
        <v/>
      </c>
      <c r="S891" s="177">
        <f>Q891+IF(AND(offer_incoterms="DDP",seller_region="RU"),R891,0)</f>
        <v/>
      </c>
      <c r="T891" s="45" t="n"/>
      <c r="V891" s="57">
        <f>IF(Q891&gt;0,"показать","скрыть")</f>
        <v/>
      </c>
    </row>
    <row r="892" ht="15.75" customHeight="1">
      <c r="B892" s="809" t="n">
        <v>876</v>
      </c>
      <c r="C892" s="182">
        <f>IF(offer_sale_type="транзит",IFERROR(VLOOKUP($B892,calc_data,C$14+1,0),0),0)</f>
        <v/>
      </c>
      <c r="D892" s="280">
        <f>IF(offer_sale_type="транзит",IFERROR(VLOOKUP($B892,calc_data,D$14+1,0),0),0)</f>
        <v/>
      </c>
      <c r="E892" s="182">
        <f>IF(offer_sale_type="транзит",IFERROR(VLOOKUP($B892,calc_data,E$14+1,0),0),0)</f>
        <v/>
      </c>
      <c r="F892" s="182">
        <f>IF(offer_sale_type="транзит",IFERROR(VLOOKUP($B892,calc_data,F$14+1,0),0),0)</f>
        <v/>
      </c>
      <c r="G892" s="141">
        <f>IF(offer_sale_type="транзит",IFERROR(VLOOKUP($B892,calc_data,G$14+1,0),0),0)</f>
        <v/>
      </c>
      <c r="H892" s="141">
        <f>E892*G892</f>
        <v/>
      </c>
      <c r="I892" s="141">
        <f>IF(offer_sale_type="транзит",IFERROR(ROUND(VLOOKUP($B892,calc_data,I$14+1,0),2),0),0)</f>
        <v/>
      </c>
      <c r="J892" s="141">
        <f>ROUND(IF(offer_sale_type="транзит",IFERROR(VLOOKUP($B892,calc_data,J$14+1,0),0),0),2)</f>
        <v/>
      </c>
      <c r="K892" s="142">
        <f>IF(offer_sale_type="транзит",IFERROR(ROUNDUP(VLOOKUP($B892,calc_data,K$14+1,0),2),0),0)</f>
        <v/>
      </c>
      <c r="L892" s="184">
        <f>IF(offer_sale_type="транзит",IFERROR(ROUNDUP(VLOOKUP($B892,calc_data,L$14+1,0),2),0),0)</f>
        <v/>
      </c>
      <c r="M892" s="141">
        <f>IF(offer_sale_type="транзит",IFERROR(ROUNDUP(VLOOKUP($B892,calc_data,M$14+1,0),2),0),0)</f>
        <v/>
      </c>
      <c r="N892" s="141">
        <f>IF(offer_sale_type="транзит",IFERROR(ROUNDUP(VLOOKUP($B892,calc_data,N$14+1,0),2),0),0)</f>
        <v/>
      </c>
      <c r="O892" s="147">
        <f>IF(offer_sale_type="транзит",IFERROR(ROUND(VLOOKUP($B892,calc_data,O$14+1,1),2),0),0)</f>
        <v/>
      </c>
      <c r="P892" s="141">
        <f>IF(offer_sale_type="транзит",IFERROR(ROUND(SUM(I892:J892,M892:O892)/E892,2),0),0)</f>
        <v/>
      </c>
      <c r="Q892" s="141">
        <f>E892*P892</f>
        <v/>
      </c>
      <c r="R892" s="141">
        <f>ROUND(Q892*IF(AND(offer_incoterms="DDP",seller_region="RU"),IF((TODAY()+offer_turnaround_time)&gt;=helpsheet!$L$17,rate_vatRU_from_26,rate_vatRu_till_25),0),2)</f>
        <v/>
      </c>
      <c r="S892" s="177">
        <f>Q892+IF(AND(offer_incoterms="DDP",seller_region="RU"),R892,0)</f>
        <v/>
      </c>
      <c r="T892" s="45" t="n"/>
      <c r="V892" s="57">
        <f>IF(Q892&gt;0,"показать","скрыть")</f>
        <v/>
      </c>
    </row>
    <row r="893" ht="15.75" customHeight="1">
      <c r="B893" s="809" t="n">
        <v>877</v>
      </c>
      <c r="C893" s="182">
        <f>IF(offer_sale_type="транзит",IFERROR(VLOOKUP($B893,calc_data,C$14+1,0),0),0)</f>
        <v/>
      </c>
      <c r="D893" s="280">
        <f>IF(offer_sale_type="транзит",IFERROR(VLOOKUP($B893,calc_data,D$14+1,0),0),0)</f>
        <v/>
      </c>
      <c r="E893" s="182">
        <f>IF(offer_sale_type="транзит",IFERROR(VLOOKUP($B893,calc_data,E$14+1,0),0),0)</f>
        <v/>
      </c>
      <c r="F893" s="182">
        <f>IF(offer_sale_type="транзит",IFERROR(VLOOKUP($B893,calc_data,F$14+1,0),0),0)</f>
        <v/>
      </c>
      <c r="G893" s="141">
        <f>IF(offer_sale_type="транзит",IFERROR(VLOOKUP($B893,calc_data,G$14+1,0),0),0)</f>
        <v/>
      </c>
      <c r="H893" s="141">
        <f>E893*G893</f>
        <v/>
      </c>
      <c r="I893" s="141">
        <f>IF(offer_sale_type="транзит",IFERROR(ROUND(VLOOKUP($B893,calc_data,I$14+1,0),2),0),0)</f>
        <v/>
      </c>
      <c r="J893" s="141">
        <f>ROUND(IF(offer_sale_type="транзит",IFERROR(VLOOKUP($B893,calc_data,J$14+1,0),0),0),2)</f>
        <v/>
      </c>
      <c r="K893" s="142">
        <f>IF(offer_sale_type="транзит",IFERROR(ROUNDUP(VLOOKUP($B893,calc_data,K$14+1,0),2),0),0)</f>
        <v/>
      </c>
      <c r="L893" s="184">
        <f>IF(offer_sale_type="транзит",IFERROR(ROUNDUP(VLOOKUP($B893,calc_data,L$14+1,0),2),0),0)</f>
        <v/>
      </c>
      <c r="M893" s="141">
        <f>IF(offer_sale_type="транзит",IFERROR(ROUNDUP(VLOOKUP($B893,calc_data,M$14+1,0),2),0),0)</f>
        <v/>
      </c>
      <c r="N893" s="141">
        <f>IF(offer_sale_type="транзит",IFERROR(ROUNDUP(VLOOKUP($B893,calc_data,N$14+1,0),2),0),0)</f>
        <v/>
      </c>
      <c r="O893" s="147">
        <f>IF(offer_sale_type="транзит",IFERROR(ROUND(VLOOKUP($B893,calc_data,O$14+1,1),2),0),0)</f>
        <v/>
      </c>
      <c r="P893" s="141">
        <f>IF(offer_sale_type="транзит",IFERROR(ROUND(SUM(I893:J893,M893:O893)/E893,2),0),0)</f>
        <v/>
      </c>
      <c r="Q893" s="141">
        <f>E893*P893</f>
        <v/>
      </c>
      <c r="R893" s="141">
        <f>ROUND(Q893*IF(AND(offer_incoterms="DDP",seller_region="RU"),IF((TODAY()+offer_turnaround_time)&gt;=helpsheet!$L$17,rate_vatRU_from_26,rate_vatRu_till_25),0),2)</f>
        <v/>
      </c>
      <c r="S893" s="177">
        <f>Q893+IF(AND(offer_incoterms="DDP",seller_region="RU"),R893,0)</f>
        <v/>
      </c>
      <c r="T893" s="45" t="n"/>
      <c r="V893" s="57">
        <f>IF(Q893&gt;0,"показать","скрыть")</f>
        <v/>
      </c>
    </row>
    <row r="894" ht="15.75" customHeight="1">
      <c r="B894" s="809" t="n">
        <v>878</v>
      </c>
      <c r="C894" s="182">
        <f>IF(offer_sale_type="транзит",IFERROR(VLOOKUP($B894,calc_data,C$14+1,0),0),0)</f>
        <v/>
      </c>
      <c r="D894" s="280">
        <f>IF(offer_sale_type="транзит",IFERROR(VLOOKUP($B894,calc_data,D$14+1,0),0),0)</f>
        <v/>
      </c>
      <c r="E894" s="182">
        <f>IF(offer_sale_type="транзит",IFERROR(VLOOKUP($B894,calc_data,E$14+1,0),0),0)</f>
        <v/>
      </c>
      <c r="F894" s="182">
        <f>IF(offer_sale_type="транзит",IFERROR(VLOOKUP($B894,calc_data,F$14+1,0),0),0)</f>
        <v/>
      </c>
      <c r="G894" s="141">
        <f>IF(offer_sale_type="транзит",IFERROR(VLOOKUP($B894,calc_data,G$14+1,0),0),0)</f>
        <v/>
      </c>
      <c r="H894" s="141">
        <f>E894*G894</f>
        <v/>
      </c>
      <c r="I894" s="141">
        <f>IF(offer_sale_type="транзит",IFERROR(ROUND(VLOOKUP($B894,calc_data,I$14+1,0),2),0),0)</f>
        <v/>
      </c>
      <c r="J894" s="141">
        <f>ROUND(IF(offer_sale_type="транзит",IFERROR(VLOOKUP($B894,calc_data,J$14+1,0),0),0),2)</f>
        <v/>
      </c>
      <c r="K894" s="142">
        <f>IF(offer_sale_type="транзит",IFERROR(ROUNDUP(VLOOKUP($B894,calc_data,K$14+1,0),2),0),0)</f>
        <v/>
      </c>
      <c r="L894" s="184">
        <f>IF(offer_sale_type="транзит",IFERROR(ROUNDUP(VLOOKUP($B894,calc_data,L$14+1,0),2),0),0)</f>
        <v/>
      </c>
      <c r="M894" s="141">
        <f>IF(offer_sale_type="транзит",IFERROR(ROUNDUP(VLOOKUP($B894,calc_data,M$14+1,0),2),0),0)</f>
        <v/>
      </c>
      <c r="N894" s="141">
        <f>IF(offer_sale_type="транзит",IFERROR(ROUNDUP(VLOOKUP($B894,calc_data,N$14+1,0),2),0),0)</f>
        <v/>
      </c>
      <c r="O894" s="147">
        <f>IF(offer_sale_type="транзит",IFERROR(ROUND(VLOOKUP($B894,calc_data,O$14+1,1),2),0),0)</f>
        <v/>
      </c>
      <c r="P894" s="141">
        <f>IF(offer_sale_type="транзит",IFERROR(ROUND(SUM(I894:J894,M894:O894)/E894,2),0),0)</f>
        <v/>
      </c>
      <c r="Q894" s="141">
        <f>E894*P894</f>
        <v/>
      </c>
      <c r="R894" s="141">
        <f>ROUND(Q894*IF(AND(offer_incoterms="DDP",seller_region="RU"),IF((TODAY()+offer_turnaround_time)&gt;=helpsheet!$L$17,rate_vatRU_from_26,rate_vatRu_till_25),0),2)</f>
        <v/>
      </c>
      <c r="S894" s="177">
        <f>Q894+IF(AND(offer_incoterms="DDP",seller_region="RU"),R894,0)</f>
        <v/>
      </c>
      <c r="T894" s="45" t="n"/>
      <c r="V894" s="57">
        <f>IF(Q894&gt;0,"показать","скрыть")</f>
        <v/>
      </c>
    </row>
    <row r="895" ht="15.75" customHeight="1">
      <c r="B895" s="809" t="n">
        <v>879</v>
      </c>
      <c r="C895" s="182">
        <f>IF(offer_sale_type="транзит",IFERROR(VLOOKUP($B895,calc_data,C$14+1,0),0),0)</f>
        <v/>
      </c>
      <c r="D895" s="280">
        <f>IF(offer_sale_type="транзит",IFERROR(VLOOKUP($B895,calc_data,D$14+1,0),0),0)</f>
        <v/>
      </c>
      <c r="E895" s="182">
        <f>IF(offer_sale_type="транзит",IFERROR(VLOOKUP($B895,calc_data,E$14+1,0),0),0)</f>
        <v/>
      </c>
      <c r="F895" s="182">
        <f>IF(offer_sale_type="транзит",IFERROR(VLOOKUP($B895,calc_data,F$14+1,0),0),0)</f>
        <v/>
      </c>
      <c r="G895" s="141">
        <f>IF(offer_sale_type="транзит",IFERROR(VLOOKUP($B895,calc_data,G$14+1,0),0),0)</f>
        <v/>
      </c>
      <c r="H895" s="141">
        <f>E895*G895</f>
        <v/>
      </c>
      <c r="I895" s="141">
        <f>IF(offer_sale_type="транзит",IFERROR(ROUND(VLOOKUP($B895,calc_data,I$14+1,0),2),0),0)</f>
        <v/>
      </c>
      <c r="J895" s="141">
        <f>ROUND(IF(offer_sale_type="транзит",IFERROR(VLOOKUP($B895,calc_data,J$14+1,0),0),0),2)</f>
        <v/>
      </c>
      <c r="K895" s="142">
        <f>IF(offer_sale_type="транзит",IFERROR(ROUNDUP(VLOOKUP($B895,calc_data,K$14+1,0),2),0),0)</f>
        <v/>
      </c>
      <c r="L895" s="184">
        <f>IF(offer_sale_type="транзит",IFERROR(ROUNDUP(VLOOKUP($B895,calc_data,L$14+1,0),2),0),0)</f>
        <v/>
      </c>
      <c r="M895" s="141">
        <f>IF(offer_sale_type="транзит",IFERROR(ROUNDUP(VLOOKUP($B895,calc_data,M$14+1,0),2),0),0)</f>
        <v/>
      </c>
      <c r="N895" s="141">
        <f>IF(offer_sale_type="транзит",IFERROR(ROUNDUP(VLOOKUP($B895,calc_data,N$14+1,0),2),0),0)</f>
        <v/>
      </c>
      <c r="O895" s="147">
        <f>IF(offer_sale_type="транзит",IFERROR(ROUND(VLOOKUP($B895,calc_data,O$14+1,1),2),0),0)</f>
        <v/>
      </c>
      <c r="P895" s="141">
        <f>IF(offer_sale_type="транзит",IFERROR(ROUND(SUM(I895:J895,M895:O895)/E895,2),0),0)</f>
        <v/>
      </c>
      <c r="Q895" s="141">
        <f>E895*P895</f>
        <v/>
      </c>
      <c r="R895" s="141">
        <f>ROUND(Q895*IF(AND(offer_incoterms="DDP",seller_region="RU"),IF((TODAY()+offer_turnaround_time)&gt;=helpsheet!$L$17,rate_vatRU_from_26,rate_vatRu_till_25),0),2)</f>
        <v/>
      </c>
      <c r="S895" s="177">
        <f>Q895+IF(AND(offer_incoterms="DDP",seller_region="RU"),R895,0)</f>
        <v/>
      </c>
      <c r="T895" s="45" t="n"/>
      <c r="V895" s="57">
        <f>IF(Q895&gt;0,"показать","скрыть")</f>
        <v/>
      </c>
    </row>
    <row r="896" ht="15.75" customHeight="1">
      <c r="B896" s="809" t="n">
        <v>880</v>
      </c>
      <c r="C896" s="182">
        <f>IF(offer_sale_type="транзит",IFERROR(VLOOKUP($B896,calc_data,C$14+1,0),0),0)</f>
        <v/>
      </c>
      <c r="D896" s="280">
        <f>IF(offer_sale_type="транзит",IFERROR(VLOOKUP($B896,calc_data,D$14+1,0),0),0)</f>
        <v/>
      </c>
      <c r="E896" s="182">
        <f>IF(offer_sale_type="транзит",IFERROR(VLOOKUP($B896,calc_data,E$14+1,0),0),0)</f>
        <v/>
      </c>
      <c r="F896" s="182">
        <f>IF(offer_sale_type="транзит",IFERROR(VLOOKUP($B896,calc_data,F$14+1,0),0),0)</f>
        <v/>
      </c>
      <c r="G896" s="141">
        <f>IF(offer_sale_type="транзит",IFERROR(VLOOKUP($B896,calc_data,G$14+1,0),0),0)</f>
        <v/>
      </c>
      <c r="H896" s="141">
        <f>E896*G896</f>
        <v/>
      </c>
      <c r="I896" s="141">
        <f>IF(offer_sale_type="транзит",IFERROR(ROUND(VLOOKUP($B896,calc_data,I$14+1,0),2),0),0)</f>
        <v/>
      </c>
      <c r="J896" s="141">
        <f>ROUND(IF(offer_sale_type="транзит",IFERROR(VLOOKUP($B896,calc_data,J$14+1,0),0),0),2)</f>
        <v/>
      </c>
      <c r="K896" s="142">
        <f>IF(offer_sale_type="транзит",IFERROR(ROUNDUP(VLOOKUP($B896,calc_data,K$14+1,0),2),0),0)</f>
        <v/>
      </c>
      <c r="L896" s="184">
        <f>IF(offer_sale_type="транзит",IFERROR(ROUNDUP(VLOOKUP($B896,calc_data,L$14+1,0),2),0),0)</f>
        <v/>
      </c>
      <c r="M896" s="141">
        <f>IF(offer_sale_type="транзит",IFERROR(ROUNDUP(VLOOKUP($B896,calc_data,M$14+1,0),2),0),0)</f>
        <v/>
      </c>
      <c r="N896" s="141">
        <f>IF(offer_sale_type="транзит",IFERROR(ROUNDUP(VLOOKUP($B896,calc_data,N$14+1,0),2),0),0)</f>
        <v/>
      </c>
      <c r="O896" s="147">
        <f>IF(offer_sale_type="транзит",IFERROR(ROUND(VLOOKUP($B896,calc_data,O$14+1,1),2),0),0)</f>
        <v/>
      </c>
      <c r="P896" s="141">
        <f>IF(offer_sale_type="транзит",IFERROR(ROUND(SUM(I896:J896,M896:O896)/E896,2),0),0)</f>
        <v/>
      </c>
      <c r="Q896" s="141">
        <f>E896*P896</f>
        <v/>
      </c>
      <c r="R896" s="141">
        <f>ROUND(Q896*IF(AND(offer_incoterms="DDP",seller_region="RU"),IF((TODAY()+offer_turnaround_time)&gt;=helpsheet!$L$17,rate_vatRU_from_26,rate_vatRu_till_25),0),2)</f>
        <v/>
      </c>
      <c r="S896" s="177">
        <f>Q896+IF(AND(offer_incoterms="DDP",seller_region="RU"),R896,0)</f>
        <v/>
      </c>
      <c r="T896" s="45" t="n"/>
      <c r="V896" s="57">
        <f>IF(Q896&gt;0,"показать","скрыть")</f>
        <v/>
      </c>
    </row>
    <row r="897" ht="15.75" customHeight="1">
      <c r="B897" s="809" t="n">
        <v>881</v>
      </c>
      <c r="C897" s="182">
        <f>IF(offer_sale_type="транзит",IFERROR(VLOOKUP($B897,calc_data,C$14+1,0),0),0)</f>
        <v/>
      </c>
      <c r="D897" s="280">
        <f>IF(offer_sale_type="транзит",IFERROR(VLOOKUP($B897,calc_data,D$14+1,0),0),0)</f>
        <v/>
      </c>
      <c r="E897" s="182">
        <f>IF(offer_sale_type="транзит",IFERROR(VLOOKUP($B897,calc_data,E$14+1,0),0),0)</f>
        <v/>
      </c>
      <c r="F897" s="182">
        <f>IF(offer_sale_type="транзит",IFERROR(VLOOKUP($B897,calc_data,F$14+1,0),0),0)</f>
        <v/>
      </c>
      <c r="G897" s="141">
        <f>IF(offer_sale_type="транзит",IFERROR(VLOOKUP($B897,calc_data,G$14+1,0),0),0)</f>
        <v/>
      </c>
      <c r="H897" s="141">
        <f>E897*G897</f>
        <v/>
      </c>
      <c r="I897" s="141">
        <f>IF(offer_sale_type="транзит",IFERROR(ROUND(VLOOKUP($B897,calc_data,I$14+1,0),2),0),0)</f>
        <v/>
      </c>
      <c r="J897" s="141">
        <f>ROUND(IF(offer_sale_type="транзит",IFERROR(VLOOKUP($B897,calc_data,J$14+1,0),0),0),2)</f>
        <v/>
      </c>
      <c r="K897" s="142">
        <f>IF(offer_sale_type="транзит",IFERROR(ROUNDUP(VLOOKUP($B897,calc_data,K$14+1,0),2),0),0)</f>
        <v/>
      </c>
      <c r="L897" s="184">
        <f>IF(offer_sale_type="транзит",IFERROR(ROUNDUP(VLOOKUP($B897,calc_data,L$14+1,0),2),0),0)</f>
        <v/>
      </c>
      <c r="M897" s="141">
        <f>IF(offer_sale_type="транзит",IFERROR(ROUNDUP(VLOOKUP($B897,calc_data,M$14+1,0),2),0),0)</f>
        <v/>
      </c>
      <c r="N897" s="141">
        <f>IF(offer_sale_type="транзит",IFERROR(ROUNDUP(VLOOKUP($B897,calc_data,N$14+1,0),2),0),0)</f>
        <v/>
      </c>
      <c r="O897" s="147">
        <f>IF(offer_sale_type="транзит",IFERROR(ROUND(VLOOKUP($B897,calc_data,O$14+1,1),2),0),0)</f>
        <v/>
      </c>
      <c r="P897" s="141">
        <f>IF(offer_sale_type="транзит",IFERROR(ROUND(SUM(I897:J897,M897:O897)/E897,2),0),0)</f>
        <v/>
      </c>
      <c r="Q897" s="141">
        <f>E897*P897</f>
        <v/>
      </c>
      <c r="R897" s="141">
        <f>ROUND(Q897*IF(AND(offer_incoterms="DDP",seller_region="RU"),IF((TODAY()+offer_turnaround_time)&gt;=helpsheet!$L$17,rate_vatRU_from_26,rate_vatRu_till_25),0),2)</f>
        <v/>
      </c>
      <c r="S897" s="177">
        <f>Q897+IF(AND(offer_incoterms="DDP",seller_region="RU"),R897,0)</f>
        <v/>
      </c>
      <c r="T897" s="45" t="n"/>
      <c r="V897" s="57">
        <f>IF(Q897&gt;0,"показать","скрыть")</f>
        <v/>
      </c>
    </row>
    <row r="898" ht="15.75" customHeight="1">
      <c r="B898" s="809" t="n">
        <v>882</v>
      </c>
      <c r="C898" s="182">
        <f>IF(offer_sale_type="транзит",IFERROR(VLOOKUP($B898,calc_data,C$14+1,0),0),0)</f>
        <v/>
      </c>
      <c r="D898" s="280">
        <f>IF(offer_sale_type="транзит",IFERROR(VLOOKUP($B898,calc_data,D$14+1,0),0),0)</f>
        <v/>
      </c>
      <c r="E898" s="182">
        <f>IF(offer_sale_type="транзит",IFERROR(VLOOKUP($B898,calc_data,E$14+1,0),0),0)</f>
        <v/>
      </c>
      <c r="F898" s="182">
        <f>IF(offer_sale_type="транзит",IFERROR(VLOOKUP($B898,calc_data,F$14+1,0),0),0)</f>
        <v/>
      </c>
      <c r="G898" s="141">
        <f>IF(offer_sale_type="транзит",IFERROR(VLOOKUP($B898,calc_data,G$14+1,0),0),0)</f>
        <v/>
      </c>
      <c r="H898" s="141">
        <f>E898*G898</f>
        <v/>
      </c>
      <c r="I898" s="141">
        <f>IF(offer_sale_type="транзит",IFERROR(ROUND(VLOOKUP($B898,calc_data,I$14+1,0),2),0),0)</f>
        <v/>
      </c>
      <c r="J898" s="141">
        <f>ROUND(IF(offer_sale_type="транзит",IFERROR(VLOOKUP($B898,calc_data,J$14+1,0),0),0),2)</f>
        <v/>
      </c>
      <c r="K898" s="142">
        <f>IF(offer_sale_type="транзит",IFERROR(ROUNDUP(VLOOKUP($B898,calc_data,K$14+1,0),2),0),0)</f>
        <v/>
      </c>
      <c r="L898" s="184">
        <f>IF(offer_sale_type="транзит",IFERROR(ROUNDUP(VLOOKUP($B898,calc_data,L$14+1,0),2),0),0)</f>
        <v/>
      </c>
      <c r="M898" s="141">
        <f>IF(offer_sale_type="транзит",IFERROR(ROUNDUP(VLOOKUP($B898,calc_data,M$14+1,0),2),0),0)</f>
        <v/>
      </c>
      <c r="N898" s="141">
        <f>IF(offer_sale_type="транзит",IFERROR(ROUNDUP(VLOOKUP($B898,calc_data,N$14+1,0),2),0),0)</f>
        <v/>
      </c>
      <c r="O898" s="147">
        <f>IF(offer_sale_type="транзит",IFERROR(ROUND(VLOOKUP($B898,calc_data,O$14+1,1),2),0),0)</f>
        <v/>
      </c>
      <c r="P898" s="141">
        <f>IF(offer_sale_type="транзит",IFERROR(ROUND(SUM(I898:J898,M898:O898)/E898,2),0),0)</f>
        <v/>
      </c>
      <c r="Q898" s="141">
        <f>E898*P898</f>
        <v/>
      </c>
      <c r="R898" s="141">
        <f>ROUND(Q898*IF(AND(offer_incoterms="DDP",seller_region="RU"),IF((TODAY()+offer_turnaround_time)&gt;=helpsheet!$L$17,rate_vatRU_from_26,rate_vatRu_till_25),0),2)</f>
        <v/>
      </c>
      <c r="S898" s="177">
        <f>Q898+IF(AND(offer_incoterms="DDP",seller_region="RU"),R898,0)</f>
        <v/>
      </c>
      <c r="T898" s="45" t="n"/>
      <c r="V898" s="57">
        <f>IF(Q898&gt;0,"показать","скрыть")</f>
        <v/>
      </c>
    </row>
    <row r="899" ht="15.75" customHeight="1">
      <c r="B899" s="809" t="n">
        <v>883</v>
      </c>
      <c r="C899" s="182">
        <f>IF(offer_sale_type="транзит",IFERROR(VLOOKUP($B899,calc_data,C$14+1,0),0),0)</f>
        <v/>
      </c>
      <c r="D899" s="280">
        <f>IF(offer_sale_type="транзит",IFERROR(VLOOKUP($B899,calc_data,D$14+1,0),0),0)</f>
        <v/>
      </c>
      <c r="E899" s="182">
        <f>IF(offer_sale_type="транзит",IFERROR(VLOOKUP($B899,calc_data,E$14+1,0),0),0)</f>
        <v/>
      </c>
      <c r="F899" s="182">
        <f>IF(offer_sale_type="транзит",IFERROR(VLOOKUP($B899,calc_data,F$14+1,0),0),0)</f>
        <v/>
      </c>
      <c r="G899" s="141">
        <f>IF(offer_sale_type="транзит",IFERROR(VLOOKUP($B899,calc_data,G$14+1,0),0),0)</f>
        <v/>
      </c>
      <c r="H899" s="141">
        <f>E899*G899</f>
        <v/>
      </c>
      <c r="I899" s="141">
        <f>IF(offer_sale_type="транзит",IFERROR(ROUND(VLOOKUP($B899,calc_data,I$14+1,0),2),0),0)</f>
        <v/>
      </c>
      <c r="J899" s="141">
        <f>ROUND(IF(offer_sale_type="транзит",IFERROR(VLOOKUP($B899,calc_data,J$14+1,0),0),0),2)</f>
        <v/>
      </c>
      <c r="K899" s="142">
        <f>IF(offer_sale_type="транзит",IFERROR(ROUNDUP(VLOOKUP($B899,calc_data,K$14+1,0),2),0),0)</f>
        <v/>
      </c>
      <c r="L899" s="184">
        <f>IF(offer_sale_type="транзит",IFERROR(ROUNDUP(VLOOKUP($B899,calc_data,L$14+1,0),2),0),0)</f>
        <v/>
      </c>
      <c r="M899" s="141">
        <f>IF(offer_sale_type="транзит",IFERROR(ROUNDUP(VLOOKUP($B899,calc_data,M$14+1,0),2),0),0)</f>
        <v/>
      </c>
      <c r="N899" s="141">
        <f>IF(offer_sale_type="транзит",IFERROR(ROUNDUP(VLOOKUP($B899,calc_data,N$14+1,0),2),0),0)</f>
        <v/>
      </c>
      <c r="O899" s="147">
        <f>IF(offer_sale_type="транзит",IFERROR(ROUND(VLOOKUP($B899,calc_data,O$14+1,1),2),0),0)</f>
        <v/>
      </c>
      <c r="P899" s="141">
        <f>IF(offer_sale_type="транзит",IFERROR(ROUND(SUM(I899:J899,M899:O899)/E899,2),0),0)</f>
        <v/>
      </c>
      <c r="Q899" s="141">
        <f>E899*P899</f>
        <v/>
      </c>
      <c r="R899" s="141">
        <f>ROUND(Q899*IF(AND(offer_incoterms="DDP",seller_region="RU"),IF((TODAY()+offer_turnaround_time)&gt;=helpsheet!$L$17,rate_vatRU_from_26,rate_vatRu_till_25),0),2)</f>
        <v/>
      </c>
      <c r="S899" s="177">
        <f>Q899+IF(AND(offer_incoterms="DDP",seller_region="RU"),R899,0)</f>
        <v/>
      </c>
      <c r="T899" s="45" t="n"/>
      <c r="V899" s="57">
        <f>IF(Q899&gt;0,"показать","скрыть")</f>
        <v/>
      </c>
    </row>
    <row r="900" ht="15.75" customHeight="1">
      <c r="B900" s="809" t="n">
        <v>884</v>
      </c>
      <c r="C900" s="182">
        <f>IF(offer_sale_type="транзит",IFERROR(VLOOKUP($B900,calc_data,C$14+1,0),0),0)</f>
        <v/>
      </c>
      <c r="D900" s="280">
        <f>IF(offer_sale_type="транзит",IFERROR(VLOOKUP($B900,calc_data,D$14+1,0),0),0)</f>
        <v/>
      </c>
      <c r="E900" s="182">
        <f>IF(offer_sale_type="транзит",IFERROR(VLOOKUP($B900,calc_data,E$14+1,0),0),0)</f>
        <v/>
      </c>
      <c r="F900" s="182">
        <f>IF(offer_sale_type="транзит",IFERROR(VLOOKUP($B900,calc_data,F$14+1,0),0),0)</f>
        <v/>
      </c>
      <c r="G900" s="141">
        <f>IF(offer_sale_type="транзит",IFERROR(VLOOKUP($B900,calc_data,G$14+1,0),0),0)</f>
        <v/>
      </c>
      <c r="H900" s="141">
        <f>E900*G900</f>
        <v/>
      </c>
      <c r="I900" s="141">
        <f>IF(offer_sale_type="транзит",IFERROR(ROUND(VLOOKUP($B900,calc_data,I$14+1,0),2),0),0)</f>
        <v/>
      </c>
      <c r="J900" s="141">
        <f>ROUND(IF(offer_sale_type="транзит",IFERROR(VLOOKUP($B900,calc_data,J$14+1,0),0),0),2)</f>
        <v/>
      </c>
      <c r="K900" s="142">
        <f>IF(offer_sale_type="транзит",IFERROR(ROUNDUP(VLOOKUP($B900,calc_data,K$14+1,0),2),0),0)</f>
        <v/>
      </c>
      <c r="L900" s="184">
        <f>IF(offer_sale_type="транзит",IFERROR(ROUNDUP(VLOOKUP($B900,calc_data,L$14+1,0),2),0),0)</f>
        <v/>
      </c>
      <c r="M900" s="141">
        <f>IF(offer_sale_type="транзит",IFERROR(ROUNDUP(VLOOKUP($B900,calc_data,M$14+1,0),2),0),0)</f>
        <v/>
      </c>
      <c r="N900" s="141">
        <f>IF(offer_sale_type="транзит",IFERROR(ROUNDUP(VLOOKUP($B900,calc_data,N$14+1,0),2),0),0)</f>
        <v/>
      </c>
      <c r="O900" s="147">
        <f>IF(offer_sale_type="транзит",IFERROR(ROUND(VLOOKUP($B900,calc_data,O$14+1,1),2),0),0)</f>
        <v/>
      </c>
      <c r="P900" s="141">
        <f>IF(offer_sale_type="транзит",IFERROR(ROUND(SUM(I900:J900,M900:O900)/E900,2),0),0)</f>
        <v/>
      </c>
      <c r="Q900" s="141">
        <f>E900*P900</f>
        <v/>
      </c>
      <c r="R900" s="141">
        <f>ROUND(Q900*IF(AND(offer_incoterms="DDP",seller_region="RU"),IF((TODAY()+offer_turnaround_time)&gt;=helpsheet!$L$17,rate_vatRU_from_26,rate_vatRu_till_25),0),2)</f>
        <v/>
      </c>
      <c r="S900" s="177">
        <f>Q900+IF(AND(offer_incoterms="DDP",seller_region="RU"),R900,0)</f>
        <v/>
      </c>
      <c r="T900" s="45" t="n"/>
      <c r="V900" s="57">
        <f>IF(Q900&gt;0,"показать","скрыть")</f>
        <v/>
      </c>
    </row>
    <row r="901" ht="15.75" customHeight="1">
      <c r="B901" s="809" t="n">
        <v>885</v>
      </c>
      <c r="C901" s="182">
        <f>IF(offer_sale_type="транзит",IFERROR(VLOOKUP($B901,calc_data,C$14+1,0),0),0)</f>
        <v/>
      </c>
      <c r="D901" s="280">
        <f>IF(offer_sale_type="транзит",IFERROR(VLOOKUP($B901,calc_data,D$14+1,0),0),0)</f>
        <v/>
      </c>
      <c r="E901" s="182">
        <f>IF(offer_sale_type="транзит",IFERROR(VLOOKUP($B901,calc_data,E$14+1,0),0),0)</f>
        <v/>
      </c>
      <c r="F901" s="182">
        <f>IF(offer_sale_type="транзит",IFERROR(VLOOKUP($B901,calc_data,F$14+1,0),0),0)</f>
        <v/>
      </c>
      <c r="G901" s="141">
        <f>IF(offer_sale_type="транзит",IFERROR(VLOOKUP($B901,calc_data,G$14+1,0),0),0)</f>
        <v/>
      </c>
      <c r="H901" s="141">
        <f>E901*G901</f>
        <v/>
      </c>
      <c r="I901" s="141">
        <f>IF(offer_sale_type="транзит",IFERROR(ROUND(VLOOKUP($B901,calc_data,I$14+1,0),2),0),0)</f>
        <v/>
      </c>
      <c r="J901" s="141">
        <f>ROUND(IF(offer_sale_type="транзит",IFERROR(VLOOKUP($B901,calc_data,J$14+1,0),0),0),2)</f>
        <v/>
      </c>
      <c r="K901" s="142">
        <f>IF(offer_sale_type="транзит",IFERROR(ROUNDUP(VLOOKUP($B901,calc_data,K$14+1,0),2),0),0)</f>
        <v/>
      </c>
      <c r="L901" s="184">
        <f>IF(offer_sale_type="транзит",IFERROR(ROUNDUP(VLOOKUP($B901,calc_data,L$14+1,0),2),0),0)</f>
        <v/>
      </c>
      <c r="M901" s="141">
        <f>IF(offer_sale_type="транзит",IFERROR(ROUNDUP(VLOOKUP($B901,calc_data,M$14+1,0),2),0),0)</f>
        <v/>
      </c>
      <c r="N901" s="141">
        <f>IF(offer_sale_type="транзит",IFERROR(ROUNDUP(VLOOKUP($B901,calc_data,N$14+1,0),2),0),0)</f>
        <v/>
      </c>
      <c r="O901" s="147">
        <f>IF(offer_sale_type="транзит",IFERROR(ROUND(VLOOKUP($B901,calc_data,O$14+1,1),2),0),0)</f>
        <v/>
      </c>
      <c r="P901" s="141">
        <f>IF(offer_sale_type="транзит",IFERROR(ROUND(SUM(I901:J901,M901:O901)/E901,2),0),0)</f>
        <v/>
      </c>
      <c r="Q901" s="141">
        <f>E901*P901</f>
        <v/>
      </c>
      <c r="R901" s="141">
        <f>ROUND(Q901*IF(AND(offer_incoterms="DDP",seller_region="RU"),IF((TODAY()+offer_turnaround_time)&gt;=helpsheet!$L$17,rate_vatRU_from_26,rate_vatRu_till_25),0),2)</f>
        <v/>
      </c>
      <c r="S901" s="177">
        <f>Q901+IF(AND(offer_incoterms="DDP",seller_region="RU"),R901,0)</f>
        <v/>
      </c>
      <c r="T901" s="45" t="n"/>
      <c r="V901" s="57">
        <f>IF(Q901&gt;0,"показать","скрыть")</f>
        <v/>
      </c>
    </row>
    <row r="902" ht="15.75" customHeight="1">
      <c r="B902" s="809" t="n">
        <v>886</v>
      </c>
      <c r="C902" s="182">
        <f>IF(offer_sale_type="транзит",IFERROR(VLOOKUP($B902,calc_data,C$14+1,0),0),0)</f>
        <v/>
      </c>
      <c r="D902" s="280">
        <f>IF(offer_sale_type="транзит",IFERROR(VLOOKUP($B902,calc_data,D$14+1,0),0),0)</f>
        <v/>
      </c>
      <c r="E902" s="182">
        <f>IF(offer_sale_type="транзит",IFERROR(VLOOKUP($B902,calc_data,E$14+1,0),0),0)</f>
        <v/>
      </c>
      <c r="F902" s="182">
        <f>IF(offer_sale_type="транзит",IFERROR(VLOOKUP($B902,calc_data,F$14+1,0),0),0)</f>
        <v/>
      </c>
      <c r="G902" s="141">
        <f>IF(offer_sale_type="транзит",IFERROR(VLOOKUP($B902,calc_data,G$14+1,0),0),0)</f>
        <v/>
      </c>
      <c r="H902" s="141">
        <f>E902*G902</f>
        <v/>
      </c>
      <c r="I902" s="141">
        <f>IF(offer_sale_type="транзит",IFERROR(ROUND(VLOOKUP($B902,calc_data,I$14+1,0),2),0),0)</f>
        <v/>
      </c>
      <c r="J902" s="141">
        <f>ROUND(IF(offer_sale_type="транзит",IFERROR(VLOOKUP($B902,calc_data,J$14+1,0),0),0),2)</f>
        <v/>
      </c>
      <c r="K902" s="142">
        <f>IF(offer_sale_type="транзит",IFERROR(ROUNDUP(VLOOKUP($B902,calc_data,K$14+1,0),2),0),0)</f>
        <v/>
      </c>
      <c r="L902" s="184">
        <f>IF(offer_sale_type="транзит",IFERROR(ROUNDUP(VLOOKUP($B902,calc_data,L$14+1,0),2),0),0)</f>
        <v/>
      </c>
      <c r="M902" s="141">
        <f>IF(offer_sale_type="транзит",IFERROR(ROUNDUP(VLOOKUP($B902,calc_data,M$14+1,0),2),0),0)</f>
        <v/>
      </c>
      <c r="N902" s="141">
        <f>IF(offer_sale_type="транзит",IFERROR(ROUNDUP(VLOOKUP($B902,calc_data,N$14+1,0),2),0),0)</f>
        <v/>
      </c>
      <c r="O902" s="147">
        <f>IF(offer_sale_type="транзит",IFERROR(ROUND(VLOOKUP($B902,calc_data,O$14+1,1),2),0),0)</f>
        <v/>
      </c>
      <c r="P902" s="141">
        <f>IF(offer_sale_type="транзит",IFERROR(ROUND(SUM(I902:J902,M902:O902)/E902,2),0),0)</f>
        <v/>
      </c>
      <c r="Q902" s="141">
        <f>E902*P902</f>
        <v/>
      </c>
      <c r="R902" s="141">
        <f>ROUND(Q902*IF(AND(offer_incoterms="DDP",seller_region="RU"),IF((TODAY()+offer_turnaround_time)&gt;=helpsheet!$L$17,rate_vatRU_from_26,rate_vatRu_till_25),0),2)</f>
        <v/>
      </c>
      <c r="S902" s="177">
        <f>Q902+IF(AND(offer_incoterms="DDP",seller_region="RU"),R902,0)</f>
        <v/>
      </c>
      <c r="T902" s="45" t="n"/>
      <c r="V902" s="57">
        <f>IF(Q902&gt;0,"показать","скрыть")</f>
        <v/>
      </c>
    </row>
    <row r="903" ht="15.75" customHeight="1">
      <c r="B903" s="809" t="n">
        <v>887</v>
      </c>
      <c r="C903" s="182">
        <f>IF(offer_sale_type="транзит",IFERROR(VLOOKUP($B903,calc_data,C$14+1,0),0),0)</f>
        <v/>
      </c>
      <c r="D903" s="280">
        <f>IF(offer_sale_type="транзит",IFERROR(VLOOKUP($B903,calc_data,D$14+1,0),0),0)</f>
        <v/>
      </c>
      <c r="E903" s="182">
        <f>IF(offer_sale_type="транзит",IFERROR(VLOOKUP($B903,calc_data,E$14+1,0),0),0)</f>
        <v/>
      </c>
      <c r="F903" s="182">
        <f>IF(offer_sale_type="транзит",IFERROR(VLOOKUP($B903,calc_data,F$14+1,0),0),0)</f>
        <v/>
      </c>
      <c r="G903" s="141">
        <f>IF(offer_sale_type="транзит",IFERROR(VLOOKUP($B903,calc_data,G$14+1,0),0),0)</f>
        <v/>
      </c>
      <c r="H903" s="141">
        <f>E903*G903</f>
        <v/>
      </c>
      <c r="I903" s="141">
        <f>IF(offer_sale_type="транзит",IFERROR(ROUND(VLOOKUP($B903,calc_data,I$14+1,0),2),0),0)</f>
        <v/>
      </c>
      <c r="J903" s="141">
        <f>ROUND(IF(offer_sale_type="транзит",IFERROR(VLOOKUP($B903,calc_data,J$14+1,0),0),0),2)</f>
        <v/>
      </c>
      <c r="K903" s="142">
        <f>IF(offer_sale_type="транзит",IFERROR(ROUNDUP(VLOOKUP($B903,calc_data,K$14+1,0),2),0),0)</f>
        <v/>
      </c>
      <c r="L903" s="184">
        <f>IF(offer_sale_type="транзит",IFERROR(ROUNDUP(VLOOKUP($B903,calc_data,L$14+1,0),2),0),0)</f>
        <v/>
      </c>
      <c r="M903" s="141">
        <f>IF(offer_sale_type="транзит",IFERROR(ROUNDUP(VLOOKUP($B903,calc_data,M$14+1,0),2),0),0)</f>
        <v/>
      </c>
      <c r="N903" s="141">
        <f>IF(offer_sale_type="транзит",IFERROR(ROUNDUP(VLOOKUP($B903,calc_data,N$14+1,0),2),0),0)</f>
        <v/>
      </c>
      <c r="O903" s="147">
        <f>IF(offer_sale_type="транзит",IFERROR(ROUND(VLOOKUP($B903,calc_data,O$14+1,1),2),0),0)</f>
        <v/>
      </c>
      <c r="P903" s="141">
        <f>IF(offer_sale_type="транзит",IFERROR(ROUND(SUM(I903:J903,M903:O903)/E903,2),0),0)</f>
        <v/>
      </c>
      <c r="Q903" s="141">
        <f>E903*P903</f>
        <v/>
      </c>
      <c r="R903" s="141">
        <f>ROUND(Q903*IF(AND(offer_incoterms="DDP",seller_region="RU"),IF((TODAY()+offer_turnaround_time)&gt;=helpsheet!$L$17,rate_vatRU_from_26,rate_vatRu_till_25),0),2)</f>
        <v/>
      </c>
      <c r="S903" s="177">
        <f>Q903+IF(AND(offer_incoterms="DDP",seller_region="RU"),R903,0)</f>
        <v/>
      </c>
      <c r="T903" s="45" t="n"/>
      <c r="V903" s="57">
        <f>IF(Q903&gt;0,"показать","скрыть")</f>
        <v/>
      </c>
    </row>
    <row r="904" ht="15.75" customHeight="1">
      <c r="B904" s="809" t="n">
        <v>888</v>
      </c>
      <c r="C904" s="182">
        <f>IF(offer_sale_type="транзит",IFERROR(VLOOKUP($B904,calc_data,C$14+1,0),0),0)</f>
        <v/>
      </c>
      <c r="D904" s="280">
        <f>IF(offer_sale_type="транзит",IFERROR(VLOOKUP($B904,calc_data,D$14+1,0),0),0)</f>
        <v/>
      </c>
      <c r="E904" s="182">
        <f>IF(offer_sale_type="транзит",IFERROR(VLOOKUP($B904,calc_data,E$14+1,0),0),0)</f>
        <v/>
      </c>
      <c r="F904" s="182">
        <f>IF(offer_sale_type="транзит",IFERROR(VLOOKUP($B904,calc_data,F$14+1,0),0),0)</f>
        <v/>
      </c>
      <c r="G904" s="141">
        <f>IF(offer_sale_type="транзит",IFERROR(VLOOKUP($B904,calc_data,G$14+1,0),0),0)</f>
        <v/>
      </c>
      <c r="H904" s="141">
        <f>E904*G904</f>
        <v/>
      </c>
      <c r="I904" s="141">
        <f>IF(offer_sale_type="транзит",IFERROR(ROUND(VLOOKUP($B904,calc_data,I$14+1,0),2),0),0)</f>
        <v/>
      </c>
      <c r="J904" s="141">
        <f>ROUND(IF(offer_sale_type="транзит",IFERROR(VLOOKUP($B904,calc_data,J$14+1,0),0),0),2)</f>
        <v/>
      </c>
      <c r="K904" s="142">
        <f>IF(offer_sale_type="транзит",IFERROR(ROUNDUP(VLOOKUP($B904,calc_data,K$14+1,0),2),0),0)</f>
        <v/>
      </c>
      <c r="L904" s="184">
        <f>IF(offer_sale_type="транзит",IFERROR(ROUNDUP(VLOOKUP($B904,calc_data,L$14+1,0),2),0),0)</f>
        <v/>
      </c>
      <c r="M904" s="141">
        <f>IF(offer_sale_type="транзит",IFERROR(ROUNDUP(VLOOKUP($B904,calc_data,M$14+1,0),2),0),0)</f>
        <v/>
      </c>
      <c r="N904" s="141">
        <f>IF(offer_sale_type="транзит",IFERROR(ROUNDUP(VLOOKUP($B904,calc_data,N$14+1,0),2),0),0)</f>
        <v/>
      </c>
      <c r="O904" s="147">
        <f>IF(offer_sale_type="транзит",IFERROR(ROUND(VLOOKUP($B904,calc_data,O$14+1,1),2),0),0)</f>
        <v/>
      </c>
      <c r="P904" s="141">
        <f>IF(offer_sale_type="транзит",IFERROR(ROUND(SUM(I904:J904,M904:O904)/E904,2),0),0)</f>
        <v/>
      </c>
      <c r="Q904" s="141">
        <f>E904*P904</f>
        <v/>
      </c>
      <c r="R904" s="141">
        <f>ROUND(Q904*IF(AND(offer_incoterms="DDP",seller_region="RU"),IF((TODAY()+offer_turnaround_time)&gt;=helpsheet!$L$17,rate_vatRU_from_26,rate_vatRu_till_25),0),2)</f>
        <v/>
      </c>
      <c r="S904" s="177">
        <f>Q904+IF(AND(offer_incoterms="DDP",seller_region="RU"),R904,0)</f>
        <v/>
      </c>
      <c r="T904" s="45" t="n"/>
      <c r="V904" s="57">
        <f>IF(Q904&gt;0,"показать","скрыть")</f>
        <v/>
      </c>
    </row>
    <row r="905" ht="15.75" customHeight="1">
      <c r="B905" s="809" t="n">
        <v>889</v>
      </c>
      <c r="C905" s="182">
        <f>IF(offer_sale_type="транзит",IFERROR(VLOOKUP($B905,calc_data,C$14+1,0),0),0)</f>
        <v/>
      </c>
      <c r="D905" s="280">
        <f>IF(offer_sale_type="транзит",IFERROR(VLOOKUP($B905,calc_data,D$14+1,0),0),0)</f>
        <v/>
      </c>
      <c r="E905" s="182">
        <f>IF(offer_sale_type="транзит",IFERROR(VLOOKUP($B905,calc_data,E$14+1,0),0),0)</f>
        <v/>
      </c>
      <c r="F905" s="182">
        <f>IF(offer_sale_type="транзит",IFERROR(VLOOKUP($B905,calc_data,F$14+1,0),0),0)</f>
        <v/>
      </c>
      <c r="G905" s="141">
        <f>IF(offer_sale_type="транзит",IFERROR(VLOOKUP($B905,calc_data,G$14+1,0),0),0)</f>
        <v/>
      </c>
      <c r="H905" s="141">
        <f>E905*G905</f>
        <v/>
      </c>
      <c r="I905" s="141">
        <f>IF(offer_sale_type="транзит",IFERROR(ROUND(VLOOKUP($B905,calc_data,I$14+1,0),2),0),0)</f>
        <v/>
      </c>
      <c r="J905" s="141">
        <f>ROUND(IF(offer_sale_type="транзит",IFERROR(VLOOKUP($B905,calc_data,J$14+1,0),0),0),2)</f>
        <v/>
      </c>
      <c r="K905" s="142">
        <f>IF(offer_sale_type="транзит",IFERROR(ROUNDUP(VLOOKUP($B905,calc_data,K$14+1,0),2),0),0)</f>
        <v/>
      </c>
      <c r="L905" s="184">
        <f>IF(offer_sale_type="транзит",IFERROR(ROUNDUP(VLOOKUP($B905,calc_data,L$14+1,0),2),0),0)</f>
        <v/>
      </c>
      <c r="M905" s="141">
        <f>IF(offer_sale_type="транзит",IFERROR(ROUNDUP(VLOOKUP($B905,calc_data,M$14+1,0),2),0),0)</f>
        <v/>
      </c>
      <c r="N905" s="141">
        <f>IF(offer_sale_type="транзит",IFERROR(ROUNDUP(VLOOKUP($B905,calc_data,N$14+1,0),2),0),0)</f>
        <v/>
      </c>
      <c r="O905" s="147">
        <f>IF(offer_sale_type="транзит",IFERROR(ROUND(VLOOKUP($B905,calc_data,O$14+1,1),2),0),0)</f>
        <v/>
      </c>
      <c r="P905" s="141">
        <f>IF(offer_sale_type="транзит",IFERROR(ROUND(SUM(I905:J905,M905:O905)/E905,2),0),0)</f>
        <v/>
      </c>
      <c r="Q905" s="141">
        <f>E905*P905</f>
        <v/>
      </c>
      <c r="R905" s="141">
        <f>ROUND(Q905*IF(AND(offer_incoterms="DDP",seller_region="RU"),IF((TODAY()+offer_turnaround_time)&gt;=helpsheet!$L$17,rate_vatRU_from_26,rate_vatRu_till_25),0),2)</f>
        <v/>
      </c>
      <c r="S905" s="177">
        <f>Q905+IF(AND(offer_incoterms="DDP",seller_region="RU"),R905,0)</f>
        <v/>
      </c>
      <c r="T905" s="45" t="n"/>
      <c r="V905" s="57">
        <f>IF(Q905&gt;0,"показать","скрыть")</f>
        <v/>
      </c>
    </row>
    <row r="906" ht="15.75" customHeight="1">
      <c r="B906" s="809" t="n">
        <v>890</v>
      </c>
      <c r="C906" s="182">
        <f>IF(offer_sale_type="транзит",IFERROR(VLOOKUP($B906,calc_data,C$14+1,0),0),0)</f>
        <v/>
      </c>
      <c r="D906" s="280">
        <f>IF(offer_sale_type="транзит",IFERROR(VLOOKUP($B906,calc_data,D$14+1,0),0),0)</f>
        <v/>
      </c>
      <c r="E906" s="182">
        <f>IF(offer_sale_type="транзит",IFERROR(VLOOKUP($B906,calc_data,E$14+1,0),0),0)</f>
        <v/>
      </c>
      <c r="F906" s="182">
        <f>IF(offer_sale_type="транзит",IFERROR(VLOOKUP($B906,calc_data,F$14+1,0),0),0)</f>
        <v/>
      </c>
      <c r="G906" s="141">
        <f>IF(offer_sale_type="транзит",IFERROR(VLOOKUP($B906,calc_data,G$14+1,0),0),0)</f>
        <v/>
      </c>
      <c r="H906" s="141">
        <f>E906*G906</f>
        <v/>
      </c>
      <c r="I906" s="141">
        <f>IF(offer_sale_type="транзит",IFERROR(ROUND(VLOOKUP($B906,calc_data,I$14+1,0),2),0),0)</f>
        <v/>
      </c>
      <c r="J906" s="141">
        <f>ROUND(IF(offer_sale_type="транзит",IFERROR(VLOOKUP($B906,calc_data,J$14+1,0),0),0),2)</f>
        <v/>
      </c>
      <c r="K906" s="142">
        <f>IF(offer_sale_type="транзит",IFERROR(ROUNDUP(VLOOKUP($B906,calc_data,K$14+1,0),2),0),0)</f>
        <v/>
      </c>
      <c r="L906" s="184">
        <f>IF(offer_sale_type="транзит",IFERROR(ROUNDUP(VLOOKUP($B906,calc_data,L$14+1,0),2),0),0)</f>
        <v/>
      </c>
      <c r="M906" s="141">
        <f>IF(offer_sale_type="транзит",IFERROR(ROUNDUP(VLOOKUP($B906,calc_data,M$14+1,0),2),0),0)</f>
        <v/>
      </c>
      <c r="N906" s="141">
        <f>IF(offer_sale_type="транзит",IFERROR(ROUNDUP(VLOOKUP($B906,calc_data,N$14+1,0),2),0),0)</f>
        <v/>
      </c>
      <c r="O906" s="147">
        <f>IF(offer_sale_type="транзит",IFERROR(ROUND(VLOOKUP($B906,calc_data,O$14+1,1),2),0),0)</f>
        <v/>
      </c>
      <c r="P906" s="141">
        <f>IF(offer_sale_type="транзит",IFERROR(ROUND(SUM(I906:J906,M906:O906)/E906,2),0),0)</f>
        <v/>
      </c>
      <c r="Q906" s="141">
        <f>E906*P906</f>
        <v/>
      </c>
      <c r="R906" s="141">
        <f>ROUND(Q906*IF(AND(offer_incoterms="DDP",seller_region="RU"),IF((TODAY()+offer_turnaround_time)&gt;=helpsheet!$L$17,rate_vatRU_from_26,rate_vatRu_till_25),0),2)</f>
        <v/>
      </c>
      <c r="S906" s="177">
        <f>Q906+IF(AND(offer_incoterms="DDP",seller_region="RU"),R906,0)</f>
        <v/>
      </c>
      <c r="T906" s="45" t="n"/>
      <c r="V906" s="57">
        <f>IF(Q906&gt;0,"показать","скрыть")</f>
        <v/>
      </c>
    </row>
    <row r="907" ht="15.75" customHeight="1">
      <c r="B907" s="809" t="n">
        <v>891</v>
      </c>
      <c r="C907" s="182">
        <f>IF(offer_sale_type="транзит",IFERROR(VLOOKUP($B907,calc_data,C$14+1,0),0),0)</f>
        <v/>
      </c>
      <c r="D907" s="280">
        <f>IF(offer_sale_type="транзит",IFERROR(VLOOKUP($B907,calc_data,D$14+1,0),0),0)</f>
        <v/>
      </c>
      <c r="E907" s="182">
        <f>IF(offer_sale_type="транзит",IFERROR(VLOOKUP($B907,calc_data,E$14+1,0),0),0)</f>
        <v/>
      </c>
      <c r="F907" s="182">
        <f>IF(offer_sale_type="транзит",IFERROR(VLOOKUP($B907,calc_data,F$14+1,0),0),0)</f>
        <v/>
      </c>
      <c r="G907" s="141">
        <f>IF(offer_sale_type="транзит",IFERROR(VLOOKUP($B907,calc_data,G$14+1,0),0),0)</f>
        <v/>
      </c>
      <c r="H907" s="141">
        <f>E907*G907</f>
        <v/>
      </c>
      <c r="I907" s="141">
        <f>IF(offer_sale_type="транзит",IFERROR(ROUND(VLOOKUP($B907,calc_data,I$14+1,0),2),0),0)</f>
        <v/>
      </c>
      <c r="J907" s="141">
        <f>ROUND(IF(offer_sale_type="транзит",IFERROR(VLOOKUP($B907,calc_data,J$14+1,0),0),0),2)</f>
        <v/>
      </c>
      <c r="K907" s="142">
        <f>IF(offer_sale_type="транзит",IFERROR(ROUNDUP(VLOOKUP($B907,calc_data,K$14+1,0),2),0),0)</f>
        <v/>
      </c>
      <c r="L907" s="184">
        <f>IF(offer_sale_type="транзит",IFERROR(ROUNDUP(VLOOKUP($B907,calc_data,L$14+1,0),2),0),0)</f>
        <v/>
      </c>
      <c r="M907" s="141">
        <f>IF(offer_sale_type="транзит",IFERROR(ROUNDUP(VLOOKUP($B907,calc_data,M$14+1,0),2),0),0)</f>
        <v/>
      </c>
      <c r="N907" s="141">
        <f>IF(offer_sale_type="транзит",IFERROR(ROUNDUP(VLOOKUP($B907,calc_data,N$14+1,0),2),0),0)</f>
        <v/>
      </c>
      <c r="O907" s="147">
        <f>IF(offer_sale_type="транзит",IFERROR(ROUND(VLOOKUP($B907,calc_data,O$14+1,1),2),0),0)</f>
        <v/>
      </c>
      <c r="P907" s="141">
        <f>IF(offer_sale_type="транзит",IFERROR(ROUND(SUM(I907:J907,M907:O907)/E907,2),0),0)</f>
        <v/>
      </c>
      <c r="Q907" s="141">
        <f>E907*P907</f>
        <v/>
      </c>
      <c r="R907" s="141">
        <f>ROUND(Q907*IF(AND(offer_incoterms="DDP",seller_region="RU"),IF((TODAY()+offer_turnaround_time)&gt;=helpsheet!$L$17,rate_vatRU_from_26,rate_vatRu_till_25),0),2)</f>
        <v/>
      </c>
      <c r="S907" s="177">
        <f>Q907+IF(AND(offer_incoterms="DDP",seller_region="RU"),R907,0)</f>
        <v/>
      </c>
      <c r="T907" s="45" t="n"/>
      <c r="V907" s="57">
        <f>IF(Q907&gt;0,"показать","скрыть")</f>
        <v/>
      </c>
    </row>
    <row r="908" ht="15.75" customHeight="1">
      <c r="B908" s="809" t="n">
        <v>892</v>
      </c>
      <c r="C908" s="182">
        <f>IF(offer_sale_type="транзит",IFERROR(VLOOKUP($B908,calc_data,C$14+1,0),0),0)</f>
        <v/>
      </c>
      <c r="D908" s="280">
        <f>IF(offer_sale_type="транзит",IFERROR(VLOOKUP($B908,calc_data,D$14+1,0),0),0)</f>
        <v/>
      </c>
      <c r="E908" s="182">
        <f>IF(offer_sale_type="транзит",IFERROR(VLOOKUP($B908,calc_data,E$14+1,0),0),0)</f>
        <v/>
      </c>
      <c r="F908" s="182">
        <f>IF(offer_sale_type="транзит",IFERROR(VLOOKUP($B908,calc_data,F$14+1,0),0),0)</f>
        <v/>
      </c>
      <c r="G908" s="141">
        <f>IF(offer_sale_type="транзит",IFERROR(VLOOKUP($B908,calc_data,G$14+1,0),0),0)</f>
        <v/>
      </c>
      <c r="H908" s="141">
        <f>E908*G908</f>
        <v/>
      </c>
      <c r="I908" s="141">
        <f>IF(offer_sale_type="транзит",IFERROR(ROUND(VLOOKUP($B908,calc_data,I$14+1,0),2),0),0)</f>
        <v/>
      </c>
      <c r="J908" s="141">
        <f>ROUND(IF(offer_sale_type="транзит",IFERROR(VLOOKUP($B908,calc_data,J$14+1,0),0),0),2)</f>
        <v/>
      </c>
      <c r="K908" s="142">
        <f>IF(offer_sale_type="транзит",IFERROR(ROUNDUP(VLOOKUP($B908,calc_data,K$14+1,0),2),0),0)</f>
        <v/>
      </c>
      <c r="L908" s="184">
        <f>IF(offer_sale_type="транзит",IFERROR(ROUNDUP(VLOOKUP($B908,calc_data,L$14+1,0),2),0),0)</f>
        <v/>
      </c>
      <c r="M908" s="141">
        <f>IF(offer_sale_type="транзит",IFERROR(ROUNDUP(VLOOKUP($B908,calc_data,M$14+1,0),2),0),0)</f>
        <v/>
      </c>
      <c r="N908" s="141">
        <f>IF(offer_sale_type="транзит",IFERROR(ROUNDUP(VLOOKUP($B908,calc_data,N$14+1,0),2),0),0)</f>
        <v/>
      </c>
      <c r="O908" s="147">
        <f>IF(offer_sale_type="транзит",IFERROR(ROUND(VLOOKUP($B908,calc_data,O$14+1,1),2),0),0)</f>
        <v/>
      </c>
      <c r="P908" s="141">
        <f>IF(offer_sale_type="транзит",IFERROR(ROUND(SUM(I908:J908,M908:O908)/E908,2),0),0)</f>
        <v/>
      </c>
      <c r="Q908" s="141">
        <f>E908*P908</f>
        <v/>
      </c>
      <c r="R908" s="141">
        <f>ROUND(Q908*IF(AND(offer_incoterms="DDP",seller_region="RU"),IF((TODAY()+offer_turnaround_time)&gt;=helpsheet!$L$17,rate_vatRU_from_26,rate_vatRu_till_25),0),2)</f>
        <v/>
      </c>
      <c r="S908" s="177">
        <f>Q908+IF(AND(offer_incoterms="DDP",seller_region="RU"),R908,0)</f>
        <v/>
      </c>
      <c r="T908" s="45" t="n"/>
      <c r="V908" s="57">
        <f>IF(Q908&gt;0,"показать","скрыть")</f>
        <v/>
      </c>
    </row>
    <row r="909" ht="15.75" customHeight="1">
      <c r="B909" s="809" t="n">
        <v>893</v>
      </c>
      <c r="C909" s="182">
        <f>IF(offer_sale_type="транзит",IFERROR(VLOOKUP($B909,calc_data,C$14+1,0),0),0)</f>
        <v/>
      </c>
      <c r="D909" s="280">
        <f>IF(offer_sale_type="транзит",IFERROR(VLOOKUP($B909,calc_data,D$14+1,0),0),0)</f>
        <v/>
      </c>
      <c r="E909" s="182">
        <f>IF(offer_sale_type="транзит",IFERROR(VLOOKUP($B909,calc_data,E$14+1,0),0),0)</f>
        <v/>
      </c>
      <c r="F909" s="182">
        <f>IF(offer_sale_type="транзит",IFERROR(VLOOKUP($B909,calc_data,F$14+1,0),0),0)</f>
        <v/>
      </c>
      <c r="G909" s="141">
        <f>IF(offer_sale_type="транзит",IFERROR(VLOOKUP($B909,calc_data,G$14+1,0),0),0)</f>
        <v/>
      </c>
      <c r="H909" s="141">
        <f>E909*G909</f>
        <v/>
      </c>
      <c r="I909" s="141">
        <f>IF(offer_sale_type="транзит",IFERROR(ROUND(VLOOKUP($B909,calc_data,I$14+1,0),2),0),0)</f>
        <v/>
      </c>
      <c r="J909" s="141">
        <f>ROUND(IF(offer_sale_type="транзит",IFERROR(VLOOKUP($B909,calc_data,J$14+1,0),0),0),2)</f>
        <v/>
      </c>
      <c r="K909" s="142">
        <f>IF(offer_sale_type="транзит",IFERROR(ROUNDUP(VLOOKUP($B909,calc_data,K$14+1,0),2),0),0)</f>
        <v/>
      </c>
      <c r="L909" s="184">
        <f>IF(offer_sale_type="транзит",IFERROR(ROUNDUP(VLOOKUP($B909,calc_data,L$14+1,0),2),0),0)</f>
        <v/>
      </c>
      <c r="M909" s="141">
        <f>IF(offer_sale_type="транзит",IFERROR(ROUNDUP(VLOOKUP($B909,calc_data,M$14+1,0),2),0),0)</f>
        <v/>
      </c>
      <c r="N909" s="141">
        <f>IF(offer_sale_type="транзит",IFERROR(ROUNDUP(VLOOKUP($B909,calc_data,N$14+1,0),2),0),0)</f>
        <v/>
      </c>
      <c r="O909" s="147">
        <f>IF(offer_sale_type="транзит",IFERROR(ROUND(VLOOKUP($B909,calc_data,O$14+1,1),2),0),0)</f>
        <v/>
      </c>
      <c r="P909" s="141">
        <f>IF(offer_sale_type="транзит",IFERROR(ROUND(SUM(I909:J909,M909:O909)/E909,2),0),0)</f>
        <v/>
      </c>
      <c r="Q909" s="141">
        <f>E909*P909</f>
        <v/>
      </c>
      <c r="R909" s="141">
        <f>ROUND(Q909*IF(AND(offer_incoterms="DDP",seller_region="RU"),IF((TODAY()+offer_turnaround_time)&gt;=helpsheet!$L$17,rate_vatRU_from_26,rate_vatRu_till_25),0),2)</f>
        <v/>
      </c>
      <c r="S909" s="177">
        <f>Q909+IF(AND(offer_incoterms="DDP",seller_region="RU"),R909,0)</f>
        <v/>
      </c>
      <c r="T909" s="45" t="n"/>
      <c r="V909" s="57">
        <f>IF(Q909&gt;0,"показать","скрыть")</f>
        <v/>
      </c>
    </row>
    <row r="910" ht="15.75" customHeight="1">
      <c r="B910" s="809" t="n">
        <v>894</v>
      </c>
      <c r="C910" s="182">
        <f>IF(offer_sale_type="транзит",IFERROR(VLOOKUP($B910,calc_data,C$14+1,0),0),0)</f>
        <v/>
      </c>
      <c r="D910" s="280">
        <f>IF(offer_sale_type="транзит",IFERROR(VLOOKUP($B910,calc_data,D$14+1,0),0),0)</f>
        <v/>
      </c>
      <c r="E910" s="182">
        <f>IF(offer_sale_type="транзит",IFERROR(VLOOKUP($B910,calc_data,E$14+1,0),0),0)</f>
        <v/>
      </c>
      <c r="F910" s="182">
        <f>IF(offer_sale_type="транзит",IFERROR(VLOOKUP($B910,calc_data,F$14+1,0),0),0)</f>
        <v/>
      </c>
      <c r="G910" s="141">
        <f>IF(offer_sale_type="транзит",IFERROR(VLOOKUP($B910,calc_data,G$14+1,0),0),0)</f>
        <v/>
      </c>
      <c r="H910" s="141">
        <f>E910*G910</f>
        <v/>
      </c>
      <c r="I910" s="141">
        <f>IF(offer_sale_type="транзит",IFERROR(ROUND(VLOOKUP($B910,calc_data,I$14+1,0),2),0),0)</f>
        <v/>
      </c>
      <c r="J910" s="141">
        <f>ROUND(IF(offer_sale_type="транзит",IFERROR(VLOOKUP($B910,calc_data,J$14+1,0),0),0),2)</f>
        <v/>
      </c>
      <c r="K910" s="142">
        <f>IF(offer_sale_type="транзит",IFERROR(ROUNDUP(VLOOKUP($B910,calc_data,K$14+1,0),2),0),0)</f>
        <v/>
      </c>
      <c r="L910" s="184">
        <f>IF(offer_sale_type="транзит",IFERROR(ROUNDUP(VLOOKUP($B910,calc_data,L$14+1,0),2),0),0)</f>
        <v/>
      </c>
      <c r="M910" s="141">
        <f>IF(offer_sale_type="транзит",IFERROR(ROUNDUP(VLOOKUP($B910,calc_data,M$14+1,0),2),0),0)</f>
        <v/>
      </c>
      <c r="N910" s="141">
        <f>IF(offer_sale_type="транзит",IFERROR(ROUNDUP(VLOOKUP($B910,calc_data,N$14+1,0),2),0),0)</f>
        <v/>
      </c>
      <c r="O910" s="147">
        <f>IF(offer_sale_type="транзит",IFERROR(ROUND(VLOOKUP($B910,calc_data,O$14+1,1),2),0),0)</f>
        <v/>
      </c>
      <c r="P910" s="141">
        <f>IF(offer_sale_type="транзит",IFERROR(ROUND(SUM(I910:J910,M910:O910)/E910,2),0),0)</f>
        <v/>
      </c>
      <c r="Q910" s="141">
        <f>E910*P910</f>
        <v/>
      </c>
      <c r="R910" s="141">
        <f>ROUND(Q910*IF(AND(offer_incoterms="DDP",seller_region="RU"),IF((TODAY()+offer_turnaround_time)&gt;=helpsheet!$L$17,rate_vatRU_from_26,rate_vatRu_till_25),0),2)</f>
        <v/>
      </c>
      <c r="S910" s="177">
        <f>Q910+IF(AND(offer_incoterms="DDP",seller_region="RU"),R910,0)</f>
        <v/>
      </c>
      <c r="T910" s="45" t="n"/>
      <c r="V910" s="57">
        <f>IF(Q910&gt;0,"показать","скрыть")</f>
        <v/>
      </c>
    </row>
    <row r="911" ht="15.75" customHeight="1">
      <c r="B911" s="809" t="n">
        <v>895</v>
      </c>
      <c r="C911" s="182">
        <f>IF(offer_sale_type="транзит",IFERROR(VLOOKUP($B911,calc_data,C$14+1,0),0),0)</f>
        <v/>
      </c>
      <c r="D911" s="280">
        <f>IF(offer_sale_type="транзит",IFERROR(VLOOKUP($B911,calc_data,D$14+1,0),0),0)</f>
        <v/>
      </c>
      <c r="E911" s="182">
        <f>IF(offer_sale_type="транзит",IFERROR(VLOOKUP($B911,calc_data,E$14+1,0),0),0)</f>
        <v/>
      </c>
      <c r="F911" s="182">
        <f>IF(offer_sale_type="транзит",IFERROR(VLOOKUP($B911,calc_data,F$14+1,0),0),0)</f>
        <v/>
      </c>
      <c r="G911" s="141">
        <f>IF(offer_sale_type="транзит",IFERROR(VLOOKUP($B911,calc_data,G$14+1,0),0),0)</f>
        <v/>
      </c>
      <c r="H911" s="141">
        <f>E911*G911</f>
        <v/>
      </c>
      <c r="I911" s="141">
        <f>IF(offer_sale_type="транзит",IFERROR(ROUND(VLOOKUP($B911,calc_data,I$14+1,0),2),0),0)</f>
        <v/>
      </c>
      <c r="J911" s="141">
        <f>ROUND(IF(offer_sale_type="транзит",IFERROR(VLOOKUP($B911,calc_data,J$14+1,0),0),0),2)</f>
        <v/>
      </c>
      <c r="K911" s="142">
        <f>IF(offer_sale_type="транзит",IFERROR(ROUNDUP(VLOOKUP($B911,calc_data,K$14+1,0),2),0),0)</f>
        <v/>
      </c>
      <c r="L911" s="184">
        <f>IF(offer_sale_type="транзит",IFERROR(ROUNDUP(VLOOKUP($B911,calc_data,L$14+1,0),2),0),0)</f>
        <v/>
      </c>
      <c r="M911" s="141">
        <f>IF(offer_sale_type="транзит",IFERROR(ROUNDUP(VLOOKUP($B911,calc_data,M$14+1,0),2),0),0)</f>
        <v/>
      </c>
      <c r="N911" s="141">
        <f>IF(offer_sale_type="транзит",IFERROR(ROUNDUP(VLOOKUP($B911,calc_data,N$14+1,0),2),0),0)</f>
        <v/>
      </c>
      <c r="O911" s="147">
        <f>IF(offer_sale_type="транзит",IFERROR(ROUND(VLOOKUP($B911,calc_data,O$14+1,1),2),0),0)</f>
        <v/>
      </c>
      <c r="P911" s="141">
        <f>IF(offer_sale_type="транзит",IFERROR(ROUND(SUM(I911:J911,M911:O911)/E911,2),0),0)</f>
        <v/>
      </c>
      <c r="Q911" s="141">
        <f>E911*P911</f>
        <v/>
      </c>
      <c r="R911" s="141">
        <f>ROUND(Q911*IF(AND(offer_incoterms="DDP",seller_region="RU"),IF((TODAY()+offer_turnaround_time)&gt;=helpsheet!$L$17,rate_vatRU_from_26,rate_vatRu_till_25),0),2)</f>
        <v/>
      </c>
      <c r="S911" s="177">
        <f>Q911+IF(AND(offer_incoterms="DDP",seller_region="RU"),R911,0)</f>
        <v/>
      </c>
      <c r="T911" s="45" t="n"/>
      <c r="V911" s="57">
        <f>IF(Q911&gt;0,"показать","скрыть")</f>
        <v/>
      </c>
    </row>
    <row r="912" ht="15.75" customHeight="1">
      <c r="B912" s="809" t="n">
        <v>896</v>
      </c>
      <c r="C912" s="182">
        <f>IF(offer_sale_type="транзит",IFERROR(VLOOKUP($B912,calc_data,C$14+1,0),0),0)</f>
        <v/>
      </c>
      <c r="D912" s="280">
        <f>IF(offer_sale_type="транзит",IFERROR(VLOOKUP($B912,calc_data,D$14+1,0),0),0)</f>
        <v/>
      </c>
      <c r="E912" s="182">
        <f>IF(offer_sale_type="транзит",IFERROR(VLOOKUP($B912,calc_data,E$14+1,0),0),0)</f>
        <v/>
      </c>
      <c r="F912" s="182">
        <f>IF(offer_sale_type="транзит",IFERROR(VLOOKUP($B912,calc_data,F$14+1,0),0),0)</f>
        <v/>
      </c>
      <c r="G912" s="141">
        <f>IF(offer_sale_type="транзит",IFERROR(VLOOKUP($B912,calc_data,G$14+1,0),0),0)</f>
        <v/>
      </c>
      <c r="H912" s="141">
        <f>E912*G912</f>
        <v/>
      </c>
      <c r="I912" s="141">
        <f>IF(offer_sale_type="транзит",IFERROR(ROUND(VLOOKUP($B912,calc_data,I$14+1,0),2),0),0)</f>
        <v/>
      </c>
      <c r="J912" s="141">
        <f>ROUND(IF(offer_sale_type="транзит",IFERROR(VLOOKUP($B912,calc_data,J$14+1,0),0),0),2)</f>
        <v/>
      </c>
      <c r="K912" s="142">
        <f>IF(offer_sale_type="транзит",IFERROR(ROUNDUP(VLOOKUP($B912,calc_data,K$14+1,0),2),0),0)</f>
        <v/>
      </c>
      <c r="L912" s="184">
        <f>IF(offer_sale_type="транзит",IFERROR(ROUNDUP(VLOOKUP($B912,calc_data,L$14+1,0),2),0),0)</f>
        <v/>
      </c>
      <c r="M912" s="141">
        <f>IF(offer_sale_type="транзит",IFERROR(ROUNDUP(VLOOKUP($B912,calc_data,M$14+1,0),2),0),0)</f>
        <v/>
      </c>
      <c r="N912" s="141">
        <f>IF(offer_sale_type="транзит",IFERROR(ROUNDUP(VLOOKUP($B912,calc_data,N$14+1,0),2),0),0)</f>
        <v/>
      </c>
      <c r="O912" s="147">
        <f>IF(offer_sale_type="транзит",IFERROR(ROUND(VLOOKUP($B912,calc_data,O$14+1,1),2),0),0)</f>
        <v/>
      </c>
      <c r="P912" s="141">
        <f>IF(offer_sale_type="транзит",IFERROR(ROUND(SUM(I912:J912,M912:O912)/E912,2),0),0)</f>
        <v/>
      </c>
      <c r="Q912" s="141">
        <f>E912*P912</f>
        <v/>
      </c>
      <c r="R912" s="141">
        <f>ROUND(Q912*IF(AND(offer_incoterms="DDP",seller_region="RU"),IF((TODAY()+offer_turnaround_time)&gt;=helpsheet!$L$17,rate_vatRU_from_26,rate_vatRu_till_25),0),2)</f>
        <v/>
      </c>
      <c r="S912" s="177">
        <f>Q912+IF(AND(offer_incoterms="DDP",seller_region="RU"),R912,0)</f>
        <v/>
      </c>
      <c r="T912" s="45" t="n"/>
      <c r="V912" s="57">
        <f>IF(Q912&gt;0,"показать","скрыть")</f>
        <v/>
      </c>
    </row>
    <row r="913" ht="15.75" customHeight="1">
      <c r="B913" s="809" t="n">
        <v>897</v>
      </c>
      <c r="C913" s="182">
        <f>IF(offer_sale_type="транзит",IFERROR(VLOOKUP($B913,calc_data,C$14+1,0),0),0)</f>
        <v/>
      </c>
      <c r="D913" s="280">
        <f>IF(offer_sale_type="транзит",IFERROR(VLOOKUP($B913,calc_data,D$14+1,0),0),0)</f>
        <v/>
      </c>
      <c r="E913" s="182">
        <f>IF(offer_sale_type="транзит",IFERROR(VLOOKUP($B913,calc_data,E$14+1,0),0),0)</f>
        <v/>
      </c>
      <c r="F913" s="182">
        <f>IF(offer_sale_type="транзит",IFERROR(VLOOKUP($B913,calc_data,F$14+1,0),0),0)</f>
        <v/>
      </c>
      <c r="G913" s="141">
        <f>IF(offer_sale_type="транзит",IFERROR(VLOOKUP($B913,calc_data,G$14+1,0),0),0)</f>
        <v/>
      </c>
      <c r="H913" s="141">
        <f>E913*G913</f>
        <v/>
      </c>
      <c r="I913" s="141">
        <f>IF(offer_sale_type="транзит",IFERROR(ROUND(VLOOKUP($B913,calc_data,I$14+1,0),2),0),0)</f>
        <v/>
      </c>
      <c r="J913" s="141">
        <f>ROUND(IF(offer_sale_type="транзит",IFERROR(VLOOKUP($B913,calc_data,J$14+1,0),0),0),2)</f>
        <v/>
      </c>
      <c r="K913" s="142">
        <f>IF(offer_sale_type="транзит",IFERROR(ROUNDUP(VLOOKUP($B913,calc_data,K$14+1,0),2),0),0)</f>
        <v/>
      </c>
      <c r="L913" s="184">
        <f>IF(offer_sale_type="транзит",IFERROR(ROUNDUP(VLOOKUP($B913,calc_data,L$14+1,0),2),0),0)</f>
        <v/>
      </c>
      <c r="M913" s="141">
        <f>IF(offer_sale_type="транзит",IFERROR(ROUNDUP(VLOOKUP($B913,calc_data,M$14+1,0),2),0),0)</f>
        <v/>
      </c>
      <c r="N913" s="141">
        <f>IF(offer_sale_type="транзит",IFERROR(ROUNDUP(VLOOKUP($B913,calc_data,N$14+1,0),2),0),0)</f>
        <v/>
      </c>
      <c r="O913" s="147">
        <f>IF(offer_sale_type="транзит",IFERROR(ROUND(VLOOKUP($B913,calc_data,O$14+1,1),2),0),0)</f>
        <v/>
      </c>
      <c r="P913" s="141">
        <f>IF(offer_sale_type="транзит",IFERROR(ROUND(SUM(I913:J913,M913:O913)/E913,2),0),0)</f>
        <v/>
      </c>
      <c r="Q913" s="141">
        <f>E913*P913</f>
        <v/>
      </c>
      <c r="R913" s="141">
        <f>ROUND(Q913*IF(AND(offer_incoterms="DDP",seller_region="RU"),IF((TODAY()+offer_turnaround_time)&gt;=helpsheet!$L$17,rate_vatRU_from_26,rate_vatRu_till_25),0),2)</f>
        <v/>
      </c>
      <c r="S913" s="177">
        <f>Q913+IF(AND(offer_incoterms="DDP",seller_region="RU"),R913,0)</f>
        <v/>
      </c>
      <c r="T913" s="45" t="n"/>
      <c r="V913" s="57">
        <f>IF(Q913&gt;0,"показать","скрыть")</f>
        <v/>
      </c>
    </row>
    <row r="914" ht="15.75" customHeight="1">
      <c r="B914" s="809" t="n">
        <v>898</v>
      </c>
      <c r="C914" s="182">
        <f>IF(offer_sale_type="транзит",IFERROR(VLOOKUP($B914,calc_data,C$14+1,0),0),0)</f>
        <v/>
      </c>
      <c r="D914" s="280">
        <f>IF(offer_sale_type="транзит",IFERROR(VLOOKUP($B914,calc_data,D$14+1,0),0),0)</f>
        <v/>
      </c>
      <c r="E914" s="182">
        <f>IF(offer_sale_type="транзит",IFERROR(VLOOKUP($B914,calc_data,E$14+1,0),0),0)</f>
        <v/>
      </c>
      <c r="F914" s="182">
        <f>IF(offer_sale_type="транзит",IFERROR(VLOOKUP($B914,calc_data,F$14+1,0),0),0)</f>
        <v/>
      </c>
      <c r="G914" s="141">
        <f>IF(offer_sale_type="транзит",IFERROR(VLOOKUP($B914,calc_data,G$14+1,0),0),0)</f>
        <v/>
      </c>
      <c r="H914" s="141">
        <f>E914*G914</f>
        <v/>
      </c>
      <c r="I914" s="141">
        <f>IF(offer_sale_type="транзит",IFERROR(ROUND(VLOOKUP($B914,calc_data,I$14+1,0),2),0),0)</f>
        <v/>
      </c>
      <c r="J914" s="141">
        <f>ROUND(IF(offer_sale_type="транзит",IFERROR(VLOOKUP($B914,calc_data,J$14+1,0),0),0),2)</f>
        <v/>
      </c>
      <c r="K914" s="142">
        <f>IF(offer_sale_type="транзит",IFERROR(ROUNDUP(VLOOKUP($B914,calc_data,K$14+1,0),2),0),0)</f>
        <v/>
      </c>
      <c r="L914" s="184">
        <f>IF(offer_sale_type="транзит",IFERROR(ROUNDUP(VLOOKUP($B914,calc_data,L$14+1,0),2),0),0)</f>
        <v/>
      </c>
      <c r="M914" s="141">
        <f>IF(offer_sale_type="транзит",IFERROR(ROUNDUP(VLOOKUP($B914,calc_data,M$14+1,0),2),0),0)</f>
        <v/>
      </c>
      <c r="N914" s="141">
        <f>IF(offer_sale_type="транзит",IFERROR(ROUNDUP(VLOOKUP($B914,calc_data,N$14+1,0),2),0),0)</f>
        <v/>
      </c>
      <c r="O914" s="147">
        <f>IF(offer_sale_type="транзит",IFERROR(ROUND(VLOOKUP($B914,calc_data,O$14+1,1),2),0),0)</f>
        <v/>
      </c>
      <c r="P914" s="141">
        <f>IF(offer_sale_type="транзит",IFERROR(ROUND(SUM(I914:J914,M914:O914)/E914,2),0),0)</f>
        <v/>
      </c>
      <c r="Q914" s="141">
        <f>E914*P914</f>
        <v/>
      </c>
      <c r="R914" s="141">
        <f>ROUND(Q914*IF(AND(offer_incoterms="DDP",seller_region="RU"),IF((TODAY()+offer_turnaround_time)&gt;=helpsheet!$L$17,rate_vatRU_from_26,rate_vatRu_till_25),0),2)</f>
        <v/>
      </c>
      <c r="S914" s="177">
        <f>Q914+IF(AND(offer_incoterms="DDP",seller_region="RU"),R914,0)</f>
        <v/>
      </c>
      <c r="T914" s="45" t="n"/>
      <c r="V914" s="57">
        <f>IF(Q914&gt;0,"показать","скрыть")</f>
        <v/>
      </c>
    </row>
    <row r="915" ht="15.75" customHeight="1">
      <c r="B915" s="809" t="n">
        <v>899</v>
      </c>
      <c r="C915" s="182">
        <f>IF(offer_sale_type="транзит",IFERROR(VLOOKUP($B915,calc_data,C$14+1,0),0),0)</f>
        <v/>
      </c>
      <c r="D915" s="280">
        <f>IF(offer_sale_type="транзит",IFERROR(VLOOKUP($B915,calc_data,D$14+1,0),0),0)</f>
        <v/>
      </c>
      <c r="E915" s="182">
        <f>IF(offer_sale_type="транзит",IFERROR(VLOOKUP($B915,calc_data,E$14+1,0),0),0)</f>
        <v/>
      </c>
      <c r="F915" s="182">
        <f>IF(offer_sale_type="транзит",IFERROR(VLOOKUP($B915,calc_data,F$14+1,0),0),0)</f>
        <v/>
      </c>
      <c r="G915" s="141">
        <f>IF(offer_sale_type="транзит",IFERROR(VLOOKUP($B915,calc_data,G$14+1,0),0),0)</f>
        <v/>
      </c>
      <c r="H915" s="141">
        <f>E915*G915</f>
        <v/>
      </c>
      <c r="I915" s="141">
        <f>IF(offer_sale_type="транзит",IFERROR(ROUND(VLOOKUP($B915,calc_data,I$14+1,0),2),0),0)</f>
        <v/>
      </c>
      <c r="J915" s="141">
        <f>ROUND(IF(offer_sale_type="транзит",IFERROR(VLOOKUP($B915,calc_data,J$14+1,0),0),0),2)</f>
        <v/>
      </c>
      <c r="K915" s="142">
        <f>IF(offer_sale_type="транзит",IFERROR(ROUNDUP(VLOOKUP($B915,calc_data,K$14+1,0),2),0),0)</f>
        <v/>
      </c>
      <c r="L915" s="184">
        <f>IF(offer_sale_type="транзит",IFERROR(ROUNDUP(VLOOKUP($B915,calc_data,L$14+1,0),2),0),0)</f>
        <v/>
      </c>
      <c r="M915" s="141">
        <f>IF(offer_sale_type="транзит",IFERROR(ROUNDUP(VLOOKUP($B915,calc_data,M$14+1,0),2),0),0)</f>
        <v/>
      </c>
      <c r="N915" s="141">
        <f>IF(offer_sale_type="транзит",IFERROR(ROUNDUP(VLOOKUP($B915,calc_data,N$14+1,0),2),0),0)</f>
        <v/>
      </c>
      <c r="O915" s="147">
        <f>IF(offer_sale_type="транзит",IFERROR(ROUND(VLOOKUP($B915,calc_data,O$14+1,1),2),0),0)</f>
        <v/>
      </c>
      <c r="P915" s="141">
        <f>IF(offer_sale_type="транзит",IFERROR(ROUND(SUM(I915:J915,M915:O915)/E915,2),0),0)</f>
        <v/>
      </c>
      <c r="Q915" s="141">
        <f>E915*P915</f>
        <v/>
      </c>
      <c r="R915" s="141">
        <f>ROUND(Q915*IF(AND(offer_incoterms="DDP",seller_region="RU"),IF((TODAY()+offer_turnaround_time)&gt;=helpsheet!$L$17,rate_vatRU_from_26,rate_vatRu_till_25),0),2)</f>
        <v/>
      </c>
      <c r="S915" s="177">
        <f>Q915+IF(AND(offer_incoterms="DDP",seller_region="RU"),R915,0)</f>
        <v/>
      </c>
      <c r="T915" s="45" t="n"/>
      <c r="V915" s="57">
        <f>IF(Q915&gt;0,"показать","скрыть")</f>
        <v/>
      </c>
    </row>
    <row r="916" ht="15.75" customHeight="1">
      <c r="B916" s="809" t="n">
        <v>900</v>
      </c>
      <c r="C916" s="182">
        <f>IF(offer_sale_type="транзит",IFERROR(VLOOKUP($B916,calc_data,C$14+1,0),0),0)</f>
        <v/>
      </c>
      <c r="D916" s="280">
        <f>IF(offer_sale_type="транзит",IFERROR(VLOOKUP($B916,calc_data,D$14+1,0),0),0)</f>
        <v/>
      </c>
      <c r="E916" s="182">
        <f>IF(offer_sale_type="транзит",IFERROR(VLOOKUP($B916,calc_data,E$14+1,0),0),0)</f>
        <v/>
      </c>
      <c r="F916" s="182">
        <f>IF(offer_sale_type="транзит",IFERROR(VLOOKUP($B916,calc_data,F$14+1,0),0),0)</f>
        <v/>
      </c>
      <c r="G916" s="141">
        <f>IF(offer_sale_type="транзит",IFERROR(VLOOKUP($B916,calc_data,G$14+1,0),0),0)</f>
        <v/>
      </c>
      <c r="H916" s="141">
        <f>E916*G916</f>
        <v/>
      </c>
      <c r="I916" s="141">
        <f>IF(offer_sale_type="транзит",IFERROR(ROUND(VLOOKUP($B916,calc_data,I$14+1,0),2),0),0)</f>
        <v/>
      </c>
      <c r="J916" s="141">
        <f>ROUND(IF(offer_sale_type="транзит",IFERROR(VLOOKUP($B916,calc_data,J$14+1,0),0),0),2)</f>
        <v/>
      </c>
      <c r="K916" s="142">
        <f>IF(offer_sale_type="транзит",IFERROR(ROUNDUP(VLOOKUP($B916,calc_data,K$14+1,0),2),0),0)</f>
        <v/>
      </c>
      <c r="L916" s="184">
        <f>IF(offer_sale_type="транзит",IFERROR(ROUNDUP(VLOOKUP($B916,calc_data,L$14+1,0),2),0),0)</f>
        <v/>
      </c>
      <c r="M916" s="141">
        <f>IF(offer_sale_type="транзит",IFERROR(ROUNDUP(VLOOKUP($B916,calc_data,M$14+1,0),2),0),0)</f>
        <v/>
      </c>
      <c r="N916" s="141">
        <f>IF(offer_sale_type="транзит",IFERROR(ROUNDUP(VLOOKUP($B916,calc_data,N$14+1,0),2),0),0)</f>
        <v/>
      </c>
      <c r="O916" s="147">
        <f>IF(offer_sale_type="транзит",IFERROR(ROUND(VLOOKUP($B916,calc_data,O$14+1,1),2),0),0)</f>
        <v/>
      </c>
      <c r="P916" s="141">
        <f>IF(offer_sale_type="транзит",IFERROR(ROUND(SUM(I916:J916,M916:O916)/E916,2),0),0)</f>
        <v/>
      </c>
      <c r="Q916" s="141">
        <f>E916*P916</f>
        <v/>
      </c>
      <c r="R916" s="141">
        <f>ROUND(Q916*IF(AND(offer_incoterms="DDP",seller_region="RU"),IF((TODAY()+offer_turnaround_time)&gt;=helpsheet!$L$17,rate_vatRU_from_26,rate_vatRu_till_25),0),2)</f>
        <v/>
      </c>
      <c r="S916" s="177">
        <f>Q916+IF(AND(offer_incoterms="DDP",seller_region="RU"),R916,0)</f>
        <v/>
      </c>
      <c r="T916" s="45" t="n"/>
      <c r="V916" s="57">
        <f>IF(Q916&gt;0,"показать","скрыть")</f>
        <v/>
      </c>
    </row>
    <row r="917" ht="15.75" customHeight="1">
      <c r="B917" s="809" t="n">
        <v>901</v>
      </c>
      <c r="C917" s="182">
        <f>IF(offer_sale_type="транзит",IFERROR(VLOOKUP($B917,calc_data,C$14+1,0),0),0)</f>
        <v/>
      </c>
      <c r="D917" s="280">
        <f>IF(offer_sale_type="транзит",IFERROR(VLOOKUP($B917,calc_data,D$14+1,0),0),0)</f>
        <v/>
      </c>
      <c r="E917" s="182">
        <f>IF(offer_sale_type="транзит",IFERROR(VLOOKUP($B917,calc_data,E$14+1,0),0),0)</f>
        <v/>
      </c>
      <c r="F917" s="182">
        <f>IF(offer_sale_type="транзит",IFERROR(VLOOKUP($B917,calc_data,F$14+1,0),0),0)</f>
        <v/>
      </c>
      <c r="G917" s="141">
        <f>IF(offer_sale_type="транзит",IFERROR(VLOOKUP($B917,calc_data,G$14+1,0),0),0)</f>
        <v/>
      </c>
      <c r="H917" s="141">
        <f>E917*G917</f>
        <v/>
      </c>
      <c r="I917" s="141">
        <f>IF(offer_sale_type="транзит",IFERROR(ROUND(VLOOKUP($B917,calc_data,I$14+1,0),2),0),0)</f>
        <v/>
      </c>
      <c r="J917" s="141">
        <f>ROUND(IF(offer_sale_type="транзит",IFERROR(VLOOKUP($B917,calc_data,J$14+1,0),0),0),2)</f>
        <v/>
      </c>
      <c r="K917" s="142">
        <f>IF(offer_sale_type="транзит",IFERROR(ROUNDUP(VLOOKUP($B917,calc_data,K$14+1,0),2),0),0)</f>
        <v/>
      </c>
      <c r="L917" s="184">
        <f>IF(offer_sale_type="транзит",IFERROR(ROUNDUP(VLOOKUP($B917,calc_data,L$14+1,0),2),0),0)</f>
        <v/>
      </c>
      <c r="M917" s="141">
        <f>IF(offer_sale_type="транзит",IFERROR(ROUNDUP(VLOOKUP($B917,calc_data,M$14+1,0),2),0),0)</f>
        <v/>
      </c>
      <c r="N917" s="141">
        <f>IF(offer_sale_type="транзит",IFERROR(ROUNDUP(VLOOKUP($B917,calc_data,N$14+1,0),2),0),0)</f>
        <v/>
      </c>
      <c r="O917" s="147">
        <f>IF(offer_sale_type="транзит",IFERROR(ROUND(VLOOKUP($B917,calc_data,O$14+1,1),2),0),0)</f>
        <v/>
      </c>
      <c r="P917" s="141">
        <f>IF(offer_sale_type="транзит",IFERROR(ROUND(SUM(I917:J917,M917:O917)/E917,2),0),0)</f>
        <v/>
      </c>
      <c r="Q917" s="141">
        <f>E917*P917</f>
        <v/>
      </c>
      <c r="R917" s="141">
        <f>ROUND(Q917*IF(AND(offer_incoterms="DDP",seller_region="RU"),IF((TODAY()+offer_turnaround_time)&gt;=helpsheet!$L$17,rate_vatRU_from_26,rate_vatRu_till_25),0),2)</f>
        <v/>
      </c>
      <c r="S917" s="177">
        <f>Q917+IF(AND(offer_incoterms="DDP",seller_region="RU"),R917,0)</f>
        <v/>
      </c>
      <c r="T917" s="45" t="n"/>
      <c r="V917" s="57">
        <f>IF(Q917&gt;0,"показать","скрыть")</f>
        <v/>
      </c>
    </row>
    <row r="918" ht="15.75" customHeight="1">
      <c r="B918" s="809" t="n">
        <v>902</v>
      </c>
      <c r="C918" s="182">
        <f>IF(offer_sale_type="транзит",IFERROR(VLOOKUP($B918,calc_data,C$14+1,0),0),0)</f>
        <v/>
      </c>
      <c r="D918" s="280">
        <f>IF(offer_sale_type="транзит",IFERROR(VLOOKUP($B918,calc_data,D$14+1,0),0),0)</f>
        <v/>
      </c>
      <c r="E918" s="182">
        <f>IF(offer_sale_type="транзит",IFERROR(VLOOKUP($B918,calc_data,E$14+1,0),0),0)</f>
        <v/>
      </c>
      <c r="F918" s="182">
        <f>IF(offer_sale_type="транзит",IFERROR(VLOOKUP($B918,calc_data,F$14+1,0),0),0)</f>
        <v/>
      </c>
      <c r="G918" s="141">
        <f>IF(offer_sale_type="транзит",IFERROR(VLOOKUP($B918,calc_data,G$14+1,0),0),0)</f>
        <v/>
      </c>
      <c r="H918" s="141">
        <f>E918*G918</f>
        <v/>
      </c>
      <c r="I918" s="141">
        <f>IF(offer_sale_type="транзит",IFERROR(ROUND(VLOOKUP($B918,calc_data,I$14+1,0),2),0),0)</f>
        <v/>
      </c>
      <c r="J918" s="141">
        <f>ROUND(IF(offer_sale_type="транзит",IFERROR(VLOOKUP($B918,calc_data,J$14+1,0),0),0),2)</f>
        <v/>
      </c>
      <c r="K918" s="142">
        <f>IF(offer_sale_type="транзит",IFERROR(ROUNDUP(VLOOKUP($B918,calc_data,K$14+1,0),2),0),0)</f>
        <v/>
      </c>
      <c r="L918" s="184">
        <f>IF(offer_sale_type="транзит",IFERROR(ROUNDUP(VLOOKUP($B918,calc_data,L$14+1,0),2),0),0)</f>
        <v/>
      </c>
      <c r="M918" s="141">
        <f>IF(offer_sale_type="транзит",IFERROR(ROUNDUP(VLOOKUP($B918,calc_data,M$14+1,0),2),0),0)</f>
        <v/>
      </c>
      <c r="N918" s="141">
        <f>IF(offer_sale_type="транзит",IFERROR(ROUNDUP(VLOOKUP($B918,calc_data,N$14+1,0),2),0),0)</f>
        <v/>
      </c>
      <c r="O918" s="147">
        <f>IF(offer_sale_type="транзит",IFERROR(ROUND(VLOOKUP($B918,calc_data,O$14+1,1),2),0),0)</f>
        <v/>
      </c>
      <c r="P918" s="141">
        <f>IF(offer_sale_type="транзит",IFERROR(ROUND(SUM(I918:J918,M918:O918)/E918,2),0),0)</f>
        <v/>
      </c>
      <c r="Q918" s="141">
        <f>E918*P918</f>
        <v/>
      </c>
      <c r="R918" s="141">
        <f>ROUND(Q918*IF(AND(offer_incoterms="DDP",seller_region="RU"),IF((TODAY()+offer_turnaround_time)&gt;=helpsheet!$L$17,rate_vatRU_from_26,rate_vatRu_till_25),0),2)</f>
        <v/>
      </c>
      <c r="S918" s="177">
        <f>Q918+IF(AND(offer_incoterms="DDP",seller_region="RU"),R918,0)</f>
        <v/>
      </c>
      <c r="T918" s="45" t="n"/>
      <c r="V918" s="57">
        <f>IF(Q918&gt;0,"показать","скрыть")</f>
        <v/>
      </c>
    </row>
    <row r="919" ht="15.75" customHeight="1">
      <c r="B919" s="809" t="n">
        <v>903</v>
      </c>
      <c r="C919" s="182">
        <f>IF(offer_sale_type="транзит",IFERROR(VLOOKUP($B919,calc_data,C$14+1,0),0),0)</f>
        <v/>
      </c>
      <c r="D919" s="280">
        <f>IF(offer_sale_type="транзит",IFERROR(VLOOKUP($B919,calc_data,D$14+1,0),0),0)</f>
        <v/>
      </c>
      <c r="E919" s="182">
        <f>IF(offer_sale_type="транзит",IFERROR(VLOOKUP($B919,calc_data,E$14+1,0),0),0)</f>
        <v/>
      </c>
      <c r="F919" s="182">
        <f>IF(offer_sale_type="транзит",IFERROR(VLOOKUP($B919,calc_data,F$14+1,0),0),0)</f>
        <v/>
      </c>
      <c r="G919" s="141">
        <f>IF(offer_sale_type="транзит",IFERROR(VLOOKUP($B919,calc_data,G$14+1,0),0),0)</f>
        <v/>
      </c>
      <c r="H919" s="141">
        <f>E919*G919</f>
        <v/>
      </c>
      <c r="I919" s="141">
        <f>IF(offer_sale_type="транзит",IFERROR(ROUND(VLOOKUP($B919,calc_data,I$14+1,0),2),0),0)</f>
        <v/>
      </c>
      <c r="J919" s="141">
        <f>ROUND(IF(offer_sale_type="транзит",IFERROR(VLOOKUP($B919,calc_data,J$14+1,0),0),0),2)</f>
        <v/>
      </c>
      <c r="K919" s="142">
        <f>IF(offer_sale_type="транзит",IFERROR(ROUNDUP(VLOOKUP($B919,calc_data,K$14+1,0),2),0),0)</f>
        <v/>
      </c>
      <c r="L919" s="184">
        <f>IF(offer_sale_type="транзит",IFERROR(ROUNDUP(VLOOKUP($B919,calc_data,L$14+1,0),2),0),0)</f>
        <v/>
      </c>
      <c r="M919" s="141">
        <f>IF(offer_sale_type="транзит",IFERROR(ROUNDUP(VLOOKUP($B919,calc_data,M$14+1,0),2),0),0)</f>
        <v/>
      </c>
      <c r="N919" s="141">
        <f>IF(offer_sale_type="транзит",IFERROR(ROUNDUP(VLOOKUP($B919,calc_data,N$14+1,0),2),0),0)</f>
        <v/>
      </c>
      <c r="O919" s="147">
        <f>IF(offer_sale_type="транзит",IFERROR(ROUND(VLOOKUP($B919,calc_data,O$14+1,1),2),0),0)</f>
        <v/>
      </c>
      <c r="P919" s="141">
        <f>IF(offer_sale_type="транзит",IFERROR(ROUND(SUM(I919:J919,M919:O919)/E919,2),0),0)</f>
        <v/>
      </c>
      <c r="Q919" s="141">
        <f>E919*P919</f>
        <v/>
      </c>
      <c r="R919" s="141">
        <f>ROUND(Q919*IF(AND(offer_incoterms="DDP",seller_region="RU"),IF((TODAY()+offer_turnaround_time)&gt;=helpsheet!$L$17,rate_vatRU_from_26,rate_vatRu_till_25),0),2)</f>
        <v/>
      </c>
      <c r="S919" s="177">
        <f>Q919+IF(AND(offer_incoterms="DDP",seller_region="RU"),R919,0)</f>
        <v/>
      </c>
      <c r="T919" s="45" t="n"/>
      <c r="V919" s="57">
        <f>IF(Q919&gt;0,"показать","скрыть")</f>
        <v/>
      </c>
    </row>
    <row r="920" ht="15.75" customHeight="1">
      <c r="B920" s="809" t="n">
        <v>904</v>
      </c>
      <c r="C920" s="182">
        <f>IF(offer_sale_type="транзит",IFERROR(VLOOKUP($B920,calc_data,C$14+1,0),0),0)</f>
        <v/>
      </c>
      <c r="D920" s="280">
        <f>IF(offer_sale_type="транзит",IFERROR(VLOOKUP($B920,calc_data,D$14+1,0),0),0)</f>
        <v/>
      </c>
      <c r="E920" s="182">
        <f>IF(offer_sale_type="транзит",IFERROR(VLOOKUP($B920,calc_data,E$14+1,0),0),0)</f>
        <v/>
      </c>
      <c r="F920" s="182">
        <f>IF(offer_sale_type="транзит",IFERROR(VLOOKUP($B920,calc_data,F$14+1,0),0),0)</f>
        <v/>
      </c>
      <c r="G920" s="141">
        <f>IF(offer_sale_type="транзит",IFERROR(VLOOKUP($B920,calc_data,G$14+1,0),0),0)</f>
        <v/>
      </c>
      <c r="H920" s="141">
        <f>E920*G920</f>
        <v/>
      </c>
      <c r="I920" s="141">
        <f>IF(offer_sale_type="транзит",IFERROR(ROUND(VLOOKUP($B920,calc_data,I$14+1,0),2),0),0)</f>
        <v/>
      </c>
      <c r="J920" s="141">
        <f>ROUND(IF(offer_sale_type="транзит",IFERROR(VLOOKUP($B920,calc_data,J$14+1,0),0),0),2)</f>
        <v/>
      </c>
      <c r="K920" s="142">
        <f>IF(offer_sale_type="транзит",IFERROR(ROUNDUP(VLOOKUP($B920,calc_data,K$14+1,0),2),0),0)</f>
        <v/>
      </c>
      <c r="L920" s="184">
        <f>IF(offer_sale_type="транзит",IFERROR(ROUNDUP(VLOOKUP($B920,calc_data,L$14+1,0),2),0),0)</f>
        <v/>
      </c>
      <c r="M920" s="141">
        <f>IF(offer_sale_type="транзит",IFERROR(ROUNDUP(VLOOKUP($B920,calc_data,M$14+1,0),2),0),0)</f>
        <v/>
      </c>
      <c r="N920" s="141">
        <f>IF(offer_sale_type="транзит",IFERROR(ROUNDUP(VLOOKUP($B920,calc_data,N$14+1,0),2),0),0)</f>
        <v/>
      </c>
      <c r="O920" s="147">
        <f>IF(offer_sale_type="транзит",IFERROR(ROUND(VLOOKUP($B920,calc_data,O$14+1,1),2),0),0)</f>
        <v/>
      </c>
      <c r="P920" s="141">
        <f>IF(offer_sale_type="транзит",IFERROR(ROUND(SUM(I920:J920,M920:O920)/E920,2),0),0)</f>
        <v/>
      </c>
      <c r="Q920" s="141">
        <f>E920*P920</f>
        <v/>
      </c>
      <c r="R920" s="141">
        <f>ROUND(Q920*IF(AND(offer_incoterms="DDP",seller_region="RU"),IF((TODAY()+offer_turnaround_time)&gt;=helpsheet!$L$17,rate_vatRU_from_26,rate_vatRu_till_25),0),2)</f>
        <v/>
      </c>
      <c r="S920" s="177">
        <f>Q920+IF(AND(offer_incoterms="DDP",seller_region="RU"),R920,0)</f>
        <v/>
      </c>
      <c r="T920" s="45" t="n"/>
      <c r="V920" s="57">
        <f>IF(Q920&gt;0,"показать","скрыть")</f>
        <v/>
      </c>
    </row>
    <row r="921" ht="15.75" customHeight="1">
      <c r="B921" s="809" t="n">
        <v>905</v>
      </c>
      <c r="C921" s="182">
        <f>IF(offer_sale_type="транзит",IFERROR(VLOOKUP($B921,calc_data,C$14+1,0),0),0)</f>
        <v/>
      </c>
      <c r="D921" s="280">
        <f>IF(offer_sale_type="транзит",IFERROR(VLOOKUP($B921,calc_data,D$14+1,0),0),0)</f>
        <v/>
      </c>
      <c r="E921" s="182">
        <f>IF(offer_sale_type="транзит",IFERROR(VLOOKUP($B921,calc_data,E$14+1,0),0),0)</f>
        <v/>
      </c>
      <c r="F921" s="182">
        <f>IF(offer_sale_type="транзит",IFERROR(VLOOKUP($B921,calc_data,F$14+1,0),0),0)</f>
        <v/>
      </c>
      <c r="G921" s="141">
        <f>IF(offer_sale_type="транзит",IFERROR(VLOOKUP($B921,calc_data,G$14+1,0),0),0)</f>
        <v/>
      </c>
      <c r="H921" s="141">
        <f>E921*G921</f>
        <v/>
      </c>
      <c r="I921" s="141">
        <f>IF(offer_sale_type="транзит",IFERROR(ROUND(VLOOKUP($B921,calc_data,I$14+1,0),2),0),0)</f>
        <v/>
      </c>
      <c r="J921" s="141">
        <f>ROUND(IF(offer_sale_type="транзит",IFERROR(VLOOKUP($B921,calc_data,J$14+1,0),0),0),2)</f>
        <v/>
      </c>
      <c r="K921" s="142">
        <f>IF(offer_sale_type="транзит",IFERROR(ROUNDUP(VLOOKUP($B921,calc_data,K$14+1,0),2),0),0)</f>
        <v/>
      </c>
      <c r="L921" s="184">
        <f>IF(offer_sale_type="транзит",IFERROR(ROUNDUP(VLOOKUP($B921,calc_data,L$14+1,0),2),0),0)</f>
        <v/>
      </c>
      <c r="M921" s="141">
        <f>IF(offer_sale_type="транзит",IFERROR(ROUNDUP(VLOOKUP($B921,calc_data,M$14+1,0),2),0),0)</f>
        <v/>
      </c>
      <c r="N921" s="141">
        <f>IF(offer_sale_type="транзит",IFERROR(ROUNDUP(VLOOKUP($B921,calc_data,N$14+1,0),2),0),0)</f>
        <v/>
      </c>
      <c r="O921" s="147">
        <f>IF(offer_sale_type="транзит",IFERROR(ROUND(VLOOKUP($B921,calc_data,O$14+1,1),2),0),0)</f>
        <v/>
      </c>
      <c r="P921" s="141">
        <f>IF(offer_sale_type="транзит",IFERROR(ROUND(SUM(I921:J921,M921:O921)/E921,2),0),0)</f>
        <v/>
      </c>
      <c r="Q921" s="141">
        <f>E921*P921</f>
        <v/>
      </c>
      <c r="R921" s="141">
        <f>ROUND(Q921*IF(AND(offer_incoterms="DDP",seller_region="RU"),IF((TODAY()+offer_turnaround_time)&gt;=helpsheet!$L$17,rate_vatRU_from_26,rate_vatRu_till_25),0),2)</f>
        <v/>
      </c>
      <c r="S921" s="177">
        <f>Q921+IF(AND(offer_incoterms="DDP",seller_region="RU"),R921,0)</f>
        <v/>
      </c>
      <c r="T921" s="45" t="n"/>
      <c r="V921" s="57">
        <f>IF(Q921&gt;0,"показать","скрыть")</f>
        <v/>
      </c>
    </row>
    <row r="922" ht="15.75" customHeight="1">
      <c r="B922" s="809" t="n">
        <v>906</v>
      </c>
      <c r="C922" s="182">
        <f>IF(offer_sale_type="транзит",IFERROR(VLOOKUP($B922,calc_data,C$14+1,0),0),0)</f>
        <v/>
      </c>
      <c r="D922" s="280">
        <f>IF(offer_sale_type="транзит",IFERROR(VLOOKUP($B922,calc_data,D$14+1,0),0),0)</f>
        <v/>
      </c>
      <c r="E922" s="182">
        <f>IF(offer_sale_type="транзит",IFERROR(VLOOKUP($B922,calc_data,E$14+1,0),0),0)</f>
        <v/>
      </c>
      <c r="F922" s="182">
        <f>IF(offer_sale_type="транзит",IFERROR(VLOOKUP($B922,calc_data,F$14+1,0),0),0)</f>
        <v/>
      </c>
      <c r="G922" s="141">
        <f>IF(offer_sale_type="транзит",IFERROR(VLOOKUP($B922,calc_data,G$14+1,0),0),0)</f>
        <v/>
      </c>
      <c r="H922" s="141">
        <f>E922*G922</f>
        <v/>
      </c>
      <c r="I922" s="141">
        <f>IF(offer_sale_type="транзит",IFERROR(ROUND(VLOOKUP($B922,calc_data,I$14+1,0),2),0),0)</f>
        <v/>
      </c>
      <c r="J922" s="141">
        <f>ROUND(IF(offer_sale_type="транзит",IFERROR(VLOOKUP($B922,calc_data,J$14+1,0),0),0),2)</f>
        <v/>
      </c>
      <c r="K922" s="142">
        <f>IF(offer_sale_type="транзит",IFERROR(ROUNDUP(VLOOKUP($B922,calc_data,K$14+1,0),2),0),0)</f>
        <v/>
      </c>
      <c r="L922" s="184">
        <f>IF(offer_sale_type="транзит",IFERROR(ROUNDUP(VLOOKUP($B922,calc_data,L$14+1,0),2),0),0)</f>
        <v/>
      </c>
      <c r="M922" s="141">
        <f>IF(offer_sale_type="транзит",IFERROR(ROUNDUP(VLOOKUP($B922,calc_data,M$14+1,0),2),0),0)</f>
        <v/>
      </c>
      <c r="N922" s="141">
        <f>IF(offer_sale_type="транзит",IFERROR(ROUNDUP(VLOOKUP($B922,calc_data,N$14+1,0),2),0),0)</f>
        <v/>
      </c>
      <c r="O922" s="147">
        <f>IF(offer_sale_type="транзит",IFERROR(ROUND(VLOOKUP($B922,calc_data,O$14+1,1),2),0),0)</f>
        <v/>
      </c>
      <c r="P922" s="141">
        <f>IF(offer_sale_type="транзит",IFERROR(ROUND(SUM(I922:J922,M922:O922)/E922,2),0),0)</f>
        <v/>
      </c>
      <c r="Q922" s="141">
        <f>E922*P922</f>
        <v/>
      </c>
      <c r="R922" s="141">
        <f>ROUND(Q922*IF(AND(offer_incoterms="DDP",seller_region="RU"),IF((TODAY()+offer_turnaround_time)&gt;=helpsheet!$L$17,rate_vatRU_from_26,rate_vatRu_till_25),0),2)</f>
        <v/>
      </c>
      <c r="S922" s="177">
        <f>Q922+IF(AND(offer_incoterms="DDP",seller_region="RU"),R922,0)</f>
        <v/>
      </c>
      <c r="T922" s="45" t="n"/>
      <c r="V922" s="57">
        <f>IF(Q922&gt;0,"показать","скрыть")</f>
        <v/>
      </c>
    </row>
    <row r="923" ht="15.75" customHeight="1">
      <c r="B923" s="809" t="n">
        <v>907</v>
      </c>
      <c r="C923" s="182">
        <f>IF(offer_sale_type="транзит",IFERROR(VLOOKUP($B923,calc_data,C$14+1,0),0),0)</f>
        <v/>
      </c>
      <c r="D923" s="280">
        <f>IF(offer_sale_type="транзит",IFERROR(VLOOKUP($B923,calc_data,D$14+1,0),0),0)</f>
        <v/>
      </c>
      <c r="E923" s="182">
        <f>IF(offer_sale_type="транзит",IFERROR(VLOOKUP($B923,calc_data,E$14+1,0),0),0)</f>
        <v/>
      </c>
      <c r="F923" s="182">
        <f>IF(offer_sale_type="транзит",IFERROR(VLOOKUP($B923,calc_data,F$14+1,0),0),0)</f>
        <v/>
      </c>
      <c r="G923" s="141">
        <f>IF(offer_sale_type="транзит",IFERROR(VLOOKUP($B923,calc_data,G$14+1,0),0),0)</f>
        <v/>
      </c>
      <c r="H923" s="141">
        <f>E923*G923</f>
        <v/>
      </c>
      <c r="I923" s="141">
        <f>IF(offer_sale_type="транзит",IFERROR(ROUND(VLOOKUP($B923,calc_data,I$14+1,0),2),0),0)</f>
        <v/>
      </c>
      <c r="J923" s="141">
        <f>ROUND(IF(offer_sale_type="транзит",IFERROR(VLOOKUP($B923,calc_data,J$14+1,0),0),0),2)</f>
        <v/>
      </c>
      <c r="K923" s="142">
        <f>IF(offer_sale_type="транзит",IFERROR(ROUNDUP(VLOOKUP($B923,calc_data,K$14+1,0),2),0),0)</f>
        <v/>
      </c>
      <c r="L923" s="184">
        <f>IF(offer_sale_type="транзит",IFERROR(ROUNDUP(VLOOKUP($B923,calc_data,L$14+1,0),2),0),0)</f>
        <v/>
      </c>
      <c r="M923" s="141">
        <f>IF(offer_sale_type="транзит",IFERROR(ROUNDUP(VLOOKUP($B923,calc_data,M$14+1,0),2),0),0)</f>
        <v/>
      </c>
      <c r="N923" s="141">
        <f>IF(offer_sale_type="транзит",IFERROR(ROUNDUP(VLOOKUP($B923,calc_data,N$14+1,0),2),0),0)</f>
        <v/>
      </c>
      <c r="O923" s="147">
        <f>IF(offer_sale_type="транзит",IFERROR(ROUND(VLOOKUP($B923,calc_data,O$14+1,1),2),0),0)</f>
        <v/>
      </c>
      <c r="P923" s="141">
        <f>IF(offer_sale_type="транзит",IFERROR(ROUND(SUM(I923:J923,M923:O923)/E923,2),0),0)</f>
        <v/>
      </c>
      <c r="Q923" s="141">
        <f>E923*P923</f>
        <v/>
      </c>
      <c r="R923" s="141">
        <f>ROUND(Q923*IF(AND(offer_incoterms="DDP",seller_region="RU"),IF((TODAY()+offer_turnaround_time)&gt;=helpsheet!$L$17,rate_vatRU_from_26,rate_vatRu_till_25),0),2)</f>
        <v/>
      </c>
      <c r="S923" s="177">
        <f>Q923+IF(AND(offer_incoterms="DDP",seller_region="RU"),R923,0)</f>
        <v/>
      </c>
      <c r="T923" s="45" t="n"/>
      <c r="V923" s="57">
        <f>IF(Q923&gt;0,"показать","скрыть")</f>
        <v/>
      </c>
    </row>
    <row r="924" ht="15.75" customHeight="1">
      <c r="B924" s="809" t="n">
        <v>908</v>
      </c>
      <c r="C924" s="182">
        <f>IF(offer_sale_type="транзит",IFERROR(VLOOKUP($B924,calc_data,C$14+1,0),0),0)</f>
        <v/>
      </c>
      <c r="D924" s="280">
        <f>IF(offer_sale_type="транзит",IFERROR(VLOOKUP($B924,calc_data,D$14+1,0),0),0)</f>
        <v/>
      </c>
      <c r="E924" s="182">
        <f>IF(offer_sale_type="транзит",IFERROR(VLOOKUP($B924,calc_data,E$14+1,0),0),0)</f>
        <v/>
      </c>
      <c r="F924" s="182">
        <f>IF(offer_sale_type="транзит",IFERROR(VLOOKUP($B924,calc_data,F$14+1,0),0),0)</f>
        <v/>
      </c>
      <c r="G924" s="141">
        <f>IF(offer_sale_type="транзит",IFERROR(VLOOKUP($B924,calc_data,G$14+1,0),0),0)</f>
        <v/>
      </c>
      <c r="H924" s="141">
        <f>E924*G924</f>
        <v/>
      </c>
      <c r="I924" s="141">
        <f>IF(offer_sale_type="транзит",IFERROR(ROUND(VLOOKUP($B924,calc_data,I$14+1,0),2),0),0)</f>
        <v/>
      </c>
      <c r="J924" s="141">
        <f>ROUND(IF(offer_sale_type="транзит",IFERROR(VLOOKUP($B924,calc_data,J$14+1,0),0),0),2)</f>
        <v/>
      </c>
      <c r="K924" s="142">
        <f>IF(offer_sale_type="транзит",IFERROR(ROUNDUP(VLOOKUP($B924,calc_data,K$14+1,0),2),0),0)</f>
        <v/>
      </c>
      <c r="L924" s="184">
        <f>IF(offer_sale_type="транзит",IFERROR(ROUNDUP(VLOOKUP($B924,calc_data,L$14+1,0),2),0),0)</f>
        <v/>
      </c>
      <c r="M924" s="141">
        <f>IF(offer_sale_type="транзит",IFERROR(ROUNDUP(VLOOKUP($B924,calc_data,M$14+1,0),2),0),0)</f>
        <v/>
      </c>
      <c r="N924" s="141">
        <f>IF(offer_sale_type="транзит",IFERROR(ROUNDUP(VLOOKUP($B924,calc_data,N$14+1,0),2),0),0)</f>
        <v/>
      </c>
      <c r="O924" s="147">
        <f>IF(offer_sale_type="транзит",IFERROR(ROUND(VLOOKUP($B924,calc_data,O$14+1,1),2),0),0)</f>
        <v/>
      </c>
      <c r="P924" s="141">
        <f>IF(offer_sale_type="транзит",IFERROR(ROUND(SUM(I924:J924,M924:O924)/E924,2),0),0)</f>
        <v/>
      </c>
      <c r="Q924" s="141">
        <f>E924*P924</f>
        <v/>
      </c>
      <c r="R924" s="141">
        <f>ROUND(Q924*IF(AND(offer_incoterms="DDP",seller_region="RU"),IF((TODAY()+offer_turnaround_time)&gt;=helpsheet!$L$17,rate_vatRU_from_26,rate_vatRu_till_25),0),2)</f>
        <v/>
      </c>
      <c r="S924" s="177">
        <f>Q924+IF(AND(offer_incoterms="DDP",seller_region="RU"),R924,0)</f>
        <v/>
      </c>
      <c r="T924" s="45" t="n"/>
      <c r="V924" s="57">
        <f>IF(Q924&gt;0,"показать","скрыть")</f>
        <v/>
      </c>
    </row>
    <row r="925" ht="15.75" customHeight="1">
      <c r="B925" s="809" t="n">
        <v>909</v>
      </c>
      <c r="C925" s="182">
        <f>IF(offer_sale_type="транзит",IFERROR(VLOOKUP($B925,calc_data,C$14+1,0),0),0)</f>
        <v/>
      </c>
      <c r="D925" s="280">
        <f>IF(offer_sale_type="транзит",IFERROR(VLOOKUP($B925,calc_data,D$14+1,0),0),0)</f>
        <v/>
      </c>
      <c r="E925" s="182">
        <f>IF(offer_sale_type="транзит",IFERROR(VLOOKUP($B925,calc_data,E$14+1,0),0),0)</f>
        <v/>
      </c>
      <c r="F925" s="182">
        <f>IF(offer_sale_type="транзит",IFERROR(VLOOKUP($B925,calc_data,F$14+1,0),0),0)</f>
        <v/>
      </c>
      <c r="G925" s="141">
        <f>IF(offer_sale_type="транзит",IFERROR(VLOOKUP($B925,calc_data,G$14+1,0),0),0)</f>
        <v/>
      </c>
      <c r="H925" s="141">
        <f>E925*G925</f>
        <v/>
      </c>
      <c r="I925" s="141">
        <f>IF(offer_sale_type="транзит",IFERROR(ROUND(VLOOKUP($B925,calc_data,I$14+1,0),2),0),0)</f>
        <v/>
      </c>
      <c r="J925" s="141">
        <f>ROUND(IF(offer_sale_type="транзит",IFERROR(VLOOKUP($B925,calc_data,J$14+1,0),0),0),2)</f>
        <v/>
      </c>
      <c r="K925" s="142">
        <f>IF(offer_sale_type="транзит",IFERROR(ROUNDUP(VLOOKUP($B925,calc_data,K$14+1,0),2),0),0)</f>
        <v/>
      </c>
      <c r="L925" s="184">
        <f>IF(offer_sale_type="транзит",IFERROR(ROUNDUP(VLOOKUP($B925,calc_data,L$14+1,0),2),0),0)</f>
        <v/>
      </c>
      <c r="M925" s="141">
        <f>IF(offer_sale_type="транзит",IFERROR(ROUNDUP(VLOOKUP($B925,calc_data,M$14+1,0),2),0),0)</f>
        <v/>
      </c>
      <c r="N925" s="141">
        <f>IF(offer_sale_type="транзит",IFERROR(ROUNDUP(VLOOKUP($B925,calc_data,N$14+1,0),2),0),0)</f>
        <v/>
      </c>
      <c r="O925" s="147">
        <f>IF(offer_sale_type="транзит",IFERROR(ROUND(VLOOKUP($B925,calc_data,O$14+1,1),2),0),0)</f>
        <v/>
      </c>
      <c r="P925" s="141">
        <f>IF(offer_sale_type="транзит",IFERROR(ROUND(SUM(I925:J925,M925:O925)/E925,2),0),0)</f>
        <v/>
      </c>
      <c r="Q925" s="141">
        <f>E925*P925</f>
        <v/>
      </c>
      <c r="R925" s="141">
        <f>ROUND(Q925*IF(AND(offer_incoterms="DDP",seller_region="RU"),IF((TODAY()+offer_turnaround_time)&gt;=helpsheet!$L$17,rate_vatRU_from_26,rate_vatRu_till_25),0),2)</f>
        <v/>
      </c>
      <c r="S925" s="177">
        <f>Q925+IF(AND(offer_incoterms="DDP",seller_region="RU"),R925,0)</f>
        <v/>
      </c>
      <c r="T925" s="45" t="n"/>
      <c r="V925" s="57">
        <f>IF(Q925&gt;0,"показать","скрыть")</f>
        <v/>
      </c>
    </row>
    <row r="926" ht="15.75" customHeight="1">
      <c r="B926" s="809" t="n">
        <v>910</v>
      </c>
      <c r="C926" s="182">
        <f>IF(offer_sale_type="транзит",IFERROR(VLOOKUP($B926,calc_data,C$14+1,0),0),0)</f>
        <v/>
      </c>
      <c r="D926" s="280">
        <f>IF(offer_sale_type="транзит",IFERROR(VLOOKUP($B926,calc_data,D$14+1,0),0),0)</f>
        <v/>
      </c>
      <c r="E926" s="182">
        <f>IF(offer_sale_type="транзит",IFERROR(VLOOKUP($B926,calc_data,E$14+1,0),0),0)</f>
        <v/>
      </c>
      <c r="F926" s="182">
        <f>IF(offer_sale_type="транзит",IFERROR(VLOOKUP($B926,calc_data,F$14+1,0),0),0)</f>
        <v/>
      </c>
      <c r="G926" s="141">
        <f>IF(offer_sale_type="транзит",IFERROR(VLOOKUP($B926,calc_data,G$14+1,0),0),0)</f>
        <v/>
      </c>
      <c r="H926" s="141">
        <f>E926*G926</f>
        <v/>
      </c>
      <c r="I926" s="141">
        <f>IF(offer_sale_type="транзит",IFERROR(ROUND(VLOOKUP($B926,calc_data,I$14+1,0),2),0),0)</f>
        <v/>
      </c>
      <c r="J926" s="141">
        <f>ROUND(IF(offer_sale_type="транзит",IFERROR(VLOOKUP($B926,calc_data,J$14+1,0),0),0),2)</f>
        <v/>
      </c>
      <c r="K926" s="142">
        <f>IF(offer_sale_type="транзит",IFERROR(ROUNDUP(VLOOKUP($B926,calc_data,K$14+1,0),2),0),0)</f>
        <v/>
      </c>
      <c r="L926" s="184">
        <f>IF(offer_sale_type="транзит",IFERROR(ROUNDUP(VLOOKUP($B926,calc_data,L$14+1,0),2),0),0)</f>
        <v/>
      </c>
      <c r="M926" s="141">
        <f>IF(offer_sale_type="транзит",IFERROR(ROUNDUP(VLOOKUP($B926,calc_data,M$14+1,0),2),0),0)</f>
        <v/>
      </c>
      <c r="N926" s="141">
        <f>IF(offer_sale_type="транзит",IFERROR(ROUNDUP(VLOOKUP($B926,calc_data,N$14+1,0),2),0),0)</f>
        <v/>
      </c>
      <c r="O926" s="147">
        <f>IF(offer_sale_type="транзит",IFERROR(ROUND(VLOOKUP($B926,calc_data,O$14+1,1),2),0),0)</f>
        <v/>
      </c>
      <c r="P926" s="141">
        <f>IF(offer_sale_type="транзит",IFERROR(ROUND(SUM(I926:J926,M926:O926)/E926,2),0),0)</f>
        <v/>
      </c>
      <c r="Q926" s="141">
        <f>E926*P926</f>
        <v/>
      </c>
      <c r="R926" s="141">
        <f>ROUND(Q926*IF(AND(offer_incoterms="DDP",seller_region="RU"),IF((TODAY()+offer_turnaround_time)&gt;=helpsheet!$L$17,rate_vatRU_from_26,rate_vatRu_till_25),0),2)</f>
        <v/>
      </c>
      <c r="S926" s="177">
        <f>Q926+IF(AND(offer_incoterms="DDP",seller_region="RU"),R926,0)</f>
        <v/>
      </c>
      <c r="T926" s="45" t="n"/>
      <c r="V926" s="57">
        <f>IF(Q926&gt;0,"показать","скрыть")</f>
        <v/>
      </c>
    </row>
    <row r="927" ht="15.75" customHeight="1">
      <c r="B927" s="809" t="n">
        <v>911</v>
      </c>
      <c r="C927" s="182">
        <f>IF(offer_sale_type="транзит",IFERROR(VLOOKUP($B927,calc_data,C$14+1,0),0),0)</f>
        <v/>
      </c>
      <c r="D927" s="280">
        <f>IF(offer_sale_type="транзит",IFERROR(VLOOKUP($B927,calc_data,D$14+1,0),0),0)</f>
        <v/>
      </c>
      <c r="E927" s="182">
        <f>IF(offer_sale_type="транзит",IFERROR(VLOOKUP($B927,calc_data,E$14+1,0),0),0)</f>
        <v/>
      </c>
      <c r="F927" s="182">
        <f>IF(offer_sale_type="транзит",IFERROR(VLOOKUP($B927,calc_data,F$14+1,0),0),0)</f>
        <v/>
      </c>
      <c r="G927" s="141">
        <f>IF(offer_sale_type="транзит",IFERROR(VLOOKUP($B927,calc_data,G$14+1,0),0),0)</f>
        <v/>
      </c>
      <c r="H927" s="141">
        <f>E927*G927</f>
        <v/>
      </c>
      <c r="I927" s="141">
        <f>IF(offer_sale_type="транзит",IFERROR(ROUND(VLOOKUP($B927,calc_data,I$14+1,0),2),0),0)</f>
        <v/>
      </c>
      <c r="J927" s="141">
        <f>ROUND(IF(offer_sale_type="транзит",IFERROR(VLOOKUP($B927,calc_data,J$14+1,0),0),0),2)</f>
        <v/>
      </c>
      <c r="K927" s="142">
        <f>IF(offer_sale_type="транзит",IFERROR(ROUNDUP(VLOOKUP($B927,calc_data,K$14+1,0),2),0),0)</f>
        <v/>
      </c>
      <c r="L927" s="184">
        <f>IF(offer_sale_type="транзит",IFERROR(ROUNDUP(VLOOKUP($B927,calc_data,L$14+1,0),2),0),0)</f>
        <v/>
      </c>
      <c r="M927" s="141">
        <f>IF(offer_sale_type="транзит",IFERROR(ROUNDUP(VLOOKUP($B927,calc_data,M$14+1,0),2),0),0)</f>
        <v/>
      </c>
      <c r="N927" s="141">
        <f>IF(offer_sale_type="транзит",IFERROR(ROUNDUP(VLOOKUP($B927,calc_data,N$14+1,0),2),0),0)</f>
        <v/>
      </c>
      <c r="O927" s="147">
        <f>IF(offer_sale_type="транзит",IFERROR(ROUND(VLOOKUP($B927,calc_data,O$14+1,1),2),0),0)</f>
        <v/>
      </c>
      <c r="P927" s="141">
        <f>IF(offer_sale_type="транзит",IFERROR(ROUND(SUM(I927:J927,M927:O927)/E927,2),0),0)</f>
        <v/>
      </c>
      <c r="Q927" s="141">
        <f>E927*P927</f>
        <v/>
      </c>
      <c r="R927" s="141">
        <f>ROUND(Q927*IF(AND(offer_incoterms="DDP",seller_region="RU"),IF((TODAY()+offer_turnaround_time)&gt;=helpsheet!$L$17,rate_vatRU_from_26,rate_vatRu_till_25),0),2)</f>
        <v/>
      </c>
      <c r="S927" s="177">
        <f>Q927+IF(AND(offer_incoterms="DDP",seller_region="RU"),R927,0)</f>
        <v/>
      </c>
      <c r="T927" s="45" t="n"/>
      <c r="V927" s="57">
        <f>IF(Q927&gt;0,"показать","скрыть")</f>
        <v/>
      </c>
    </row>
    <row r="928" ht="15.75" customHeight="1">
      <c r="B928" s="809" t="n">
        <v>912</v>
      </c>
      <c r="C928" s="182">
        <f>IF(offer_sale_type="транзит",IFERROR(VLOOKUP($B928,calc_data,C$14+1,0),0),0)</f>
        <v/>
      </c>
      <c r="D928" s="280">
        <f>IF(offer_sale_type="транзит",IFERROR(VLOOKUP($B928,calc_data,D$14+1,0),0),0)</f>
        <v/>
      </c>
      <c r="E928" s="182">
        <f>IF(offer_sale_type="транзит",IFERROR(VLOOKUP($B928,calc_data,E$14+1,0),0),0)</f>
        <v/>
      </c>
      <c r="F928" s="182">
        <f>IF(offer_sale_type="транзит",IFERROR(VLOOKUP($B928,calc_data,F$14+1,0),0),0)</f>
        <v/>
      </c>
      <c r="G928" s="141">
        <f>IF(offer_sale_type="транзит",IFERROR(VLOOKUP($B928,calc_data,G$14+1,0),0),0)</f>
        <v/>
      </c>
      <c r="H928" s="141">
        <f>E928*G928</f>
        <v/>
      </c>
      <c r="I928" s="141">
        <f>IF(offer_sale_type="транзит",IFERROR(ROUND(VLOOKUP($B928,calc_data,I$14+1,0),2),0),0)</f>
        <v/>
      </c>
      <c r="J928" s="141">
        <f>ROUND(IF(offer_sale_type="транзит",IFERROR(VLOOKUP($B928,calc_data,J$14+1,0),0),0),2)</f>
        <v/>
      </c>
      <c r="K928" s="142">
        <f>IF(offer_sale_type="транзит",IFERROR(ROUNDUP(VLOOKUP($B928,calc_data,K$14+1,0),2),0),0)</f>
        <v/>
      </c>
      <c r="L928" s="184">
        <f>IF(offer_sale_type="транзит",IFERROR(ROUNDUP(VLOOKUP($B928,calc_data,L$14+1,0),2),0),0)</f>
        <v/>
      </c>
      <c r="M928" s="141">
        <f>IF(offer_sale_type="транзит",IFERROR(ROUNDUP(VLOOKUP($B928,calc_data,M$14+1,0),2),0),0)</f>
        <v/>
      </c>
      <c r="N928" s="141">
        <f>IF(offer_sale_type="транзит",IFERROR(ROUNDUP(VLOOKUP($B928,calc_data,N$14+1,0),2),0),0)</f>
        <v/>
      </c>
      <c r="O928" s="147">
        <f>IF(offer_sale_type="транзит",IFERROR(ROUND(VLOOKUP($B928,calc_data,O$14+1,1),2),0),0)</f>
        <v/>
      </c>
      <c r="P928" s="141">
        <f>IF(offer_sale_type="транзит",IFERROR(ROUND(SUM(I928:J928,M928:O928)/E928,2),0),0)</f>
        <v/>
      </c>
      <c r="Q928" s="141">
        <f>E928*P928</f>
        <v/>
      </c>
      <c r="R928" s="141">
        <f>ROUND(Q928*IF(AND(offer_incoterms="DDP",seller_region="RU"),IF((TODAY()+offer_turnaround_time)&gt;=helpsheet!$L$17,rate_vatRU_from_26,rate_vatRu_till_25),0),2)</f>
        <v/>
      </c>
      <c r="S928" s="177">
        <f>Q928+IF(AND(offer_incoterms="DDP",seller_region="RU"),R928,0)</f>
        <v/>
      </c>
      <c r="T928" s="45" t="n"/>
      <c r="V928" s="57">
        <f>IF(Q928&gt;0,"показать","скрыть")</f>
        <v/>
      </c>
    </row>
    <row r="929" ht="15.75" customHeight="1">
      <c r="B929" s="809" t="n">
        <v>913</v>
      </c>
      <c r="C929" s="182">
        <f>IF(offer_sale_type="транзит",IFERROR(VLOOKUP($B929,calc_data,C$14+1,0),0),0)</f>
        <v/>
      </c>
      <c r="D929" s="280">
        <f>IF(offer_sale_type="транзит",IFERROR(VLOOKUP($B929,calc_data,D$14+1,0),0),0)</f>
        <v/>
      </c>
      <c r="E929" s="182">
        <f>IF(offer_sale_type="транзит",IFERROR(VLOOKUP($B929,calc_data,E$14+1,0),0),0)</f>
        <v/>
      </c>
      <c r="F929" s="182">
        <f>IF(offer_sale_type="транзит",IFERROR(VLOOKUP($B929,calc_data,F$14+1,0),0),0)</f>
        <v/>
      </c>
      <c r="G929" s="141">
        <f>IF(offer_sale_type="транзит",IFERROR(VLOOKUP($B929,calc_data,G$14+1,0),0),0)</f>
        <v/>
      </c>
      <c r="H929" s="141">
        <f>E929*G929</f>
        <v/>
      </c>
      <c r="I929" s="141">
        <f>IF(offer_sale_type="транзит",IFERROR(ROUND(VLOOKUP($B929,calc_data,I$14+1,0),2),0),0)</f>
        <v/>
      </c>
      <c r="J929" s="141">
        <f>ROUND(IF(offer_sale_type="транзит",IFERROR(VLOOKUP($B929,calc_data,J$14+1,0),0),0),2)</f>
        <v/>
      </c>
      <c r="K929" s="142">
        <f>IF(offer_sale_type="транзит",IFERROR(ROUNDUP(VLOOKUP($B929,calc_data,K$14+1,0),2),0),0)</f>
        <v/>
      </c>
      <c r="L929" s="184">
        <f>IF(offer_sale_type="транзит",IFERROR(ROUNDUP(VLOOKUP($B929,calc_data,L$14+1,0),2),0),0)</f>
        <v/>
      </c>
      <c r="M929" s="141">
        <f>IF(offer_sale_type="транзит",IFERROR(ROUNDUP(VLOOKUP($B929,calc_data,M$14+1,0),2),0),0)</f>
        <v/>
      </c>
      <c r="N929" s="141">
        <f>IF(offer_sale_type="транзит",IFERROR(ROUNDUP(VLOOKUP($B929,calc_data,N$14+1,0),2),0),0)</f>
        <v/>
      </c>
      <c r="O929" s="147">
        <f>IF(offer_sale_type="транзит",IFERROR(ROUND(VLOOKUP($B929,calc_data,O$14+1,1),2),0),0)</f>
        <v/>
      </c>
      <c r="P929" s="141">
        <f>IF(offer_sale_type="транзит",IFERROR(ROUND(SUM(I929:J929,M929:O929)/E929,2),0),0)</f>
        <v/>
      </c>
      <c r="Q929" s="141">
        <f>E929*P929</f>
        <v/>
      </c>
      <c r="R929" s="141">
        <f>ROUND(Q929*IF(AND(offer_incoterms="DDP",seller_region="RU"),IF((TODAY()+offer_turnaround_time)&gt;=helpsheet!$L$17,rate_vatRU_from_26,rate_vatRu_till_25),0),2)</f>
        <v/>
      </c>
      <c r="S929" s="177">
        <f>Q929+IF(AND(offer_incoterms="DDP",seller_region="RU"),R929,0)</f>
        <v/>
      </c>
      <c r="T929" s="45" t="n"/>
      <c r="V929" s="57">
        <f>IF(Q929&gt;0,"показать","скрыть")</f>
        <v/>
      </c>
    </row>
    <row r="930" ht="15.75" customHeight="1">
      <c r="B930" s="809" t="n">
        <v>914</v>
      </c>
      <c r="C930" s="182">
        <f>IF(offer_sale_type="транзит",IFERROR(VLOOKUP($B930,calc_data,C$14+1,0),0),0)</f>
        <v/>
      </c>
      <c r="D930" s="280">
        <f>IF(offer_sale_type="транзит",IFERROR(VLOOKUP($B930,calc_data,D$14+1,0),0),0)</f>
        <v/>
      </c>
      <c r="E930" s="182">
        <f>IF(offer_sale_type="транзит",IFERROR(VLOOKUP($B930,calc_data,E$14+1,0),0),0)</f>
        <v/>
      </c>
      <c r="F930" s="182">
        <f>IF(offer_sale_type="транзит",IFERROR(VLOOKUP($B930,calc_data,F$14+1,0),0),0)</f>
        <v/>
      </c>
      <c r="G930" s="141">
        <f>IF(offer_sale_type="транзит",IFERROR(VLOOKUP($B930,calc_data,G$14+1,0),0),0)</f>
        <v/>
      </c>
      <c r="H930" s="141">
        <f>E930*G930</f>
        <v/>
      </c>
      <c r="I930" s="141">
        <f>IF(offer_sale_type="транзит",IFERROR(ROUND(VLOOKUP($B930,calc_data,I$14+1,0),2),0),0)</f>
        <v/>
      </c>
      <c r="J930" s="141">
        <f>ROUND(IF(offer_sale_type="транзит",IFERROR(VLOOKUP($B930,calc_data,J$14+1,0),0),0),2)</f>
        <v/>
      </c>
      <c r="K930" s="142">
        <f>IF(offer_sale_type="транзит",IFERROR(ROUNDUP(VLOOKUP($B930,calc_data,K$14+1,0),2),0),0)</f>
        <v/>
      </c>
      <c r="L930" s="184">
        <f>IF(offer_sale_type="транзит",IFERROR(ROUNDUP(VLOOKUP($B930,calc_data,L$14+1,0),2),0),0)</f>
        <v/>
      </c>
      <c r="M930" s="141">
        <f>IF(offer_sale_type="транзит",IFERROR(ROUNDUP(VLOOKUP($B930,calc_data,M$14+1,0),2),0),0)</f>
        <v/>
      </c>
      <c r="N930" s="141">
        <f>IF(offer_sale_type="транзит",IFERROR(ROUNDUP(VLOOKUP($B930,calc_data,N$14+1,0),2),0),0)</f>
        <v/>
      </c>
      <c r="O930" s="147">
        <f>IF(offer_sale_type="транзит",IFERROR(ROUND(VLOOKUP($B930,calc_data,O$14+1,1),2),0),0)</f>
        <v/>
      </c>
      <c r="P930" s="141">
        <f>IF(offer_sale_type="транзит",IFERROR(ROUND(SUM(I930:J930,M930:O930)/E930,2),0),0)</f>
        <v/>
      </c>
      <c r="Q930" s="141">
        <f>E930*P930</f>
        <v/>
      </c>
      <c r="R930" s="141">
        <f>ROUND(Q930*IF(AND(offer_incoterms="DDP",seller_region="RU"),IF((TODAY()+offer_turnaround_time)&gt;=helpsheet!$L$17,rate_vatRU_from_26,rate_vatRu_till_25),0),2)</f>
        <v/>
      </c>
      <c r="S930" s="177">
        <f>Q930+IF(AND(offer_incoterms="DDP",seller_region="RU"),R930,0)</f>
        <v/>
      </c>
      <c r="T930" s="45" t="n"/>
      <c r="V930" s="57">
        <f>IF(Q930&gt;0,"показать","скрыть")</f>
        <v/>
      </c>
    </row>
    <row r="931" ht="15.75" customHeight="1">
      <c r="B931" s="809" t="n">
        <v>915</v>
      </c>
      <c r="C931" s="182">
        <f>IF(offer_sale_type="транзит",IFERROR(VLOOKUP($B931,calc_data,C$14+1,0),0),0)</f>
        <v/>
      </c>
      <c r="D931" s="280">
        <f>IF(offer_sale_type="транзит",IFERROR(VLOOKUP($B931,calc_data,D$14+1,0),0),0)</f>
        <v/>
      </c>
      <c r="E931" s="182">
        <f>IF(offer_sale_type="транзит",IFERROR(VLOOKUP($B931,calc_data,E$14+1,0),0),0)</f>
        <v/>
      </c>
      <c r="F931" s="182">
        <f>IF(offer_sale_type="транзит",IFERROR(VLOOKUP($B931,calc_data,F$14+1,0),0),0)</f>
        <v/>
      </c>
      <c r="G931" s="141">
        <f>IF(offer_sale_type="транзит",IFERROR(VLOOKUP($B931,calc_data,G$14+1,0),0),0)</f>
        <v/>
      </c>
      <c r="H931" s="141">
        <f>E931*G931</f>
        <v/>
      </c>
      <c r="I931" s="141">
        <f>IF(offer_sale_type="транзит",IFERROR(ROUND(VLOOKUP($B931,calc_data,I$14+1,0),2),0),0)</f>
        <v/>
      </c>
      <c r="J931" s="141">
        <f>ROUND(IF(offer_sale_type="транзит",IFERROR(VLOOKUP($B931,calc_data,J$14+1,0),0),0),2)</f>
        <v/>
      </c>
      <c r="K931" s="142">
        <f>IF(offer_sale_type="транзит",IFERROR(ROUNDUP(VLOOKUP($B931,calc_data,K$14+1,0),2),0),0)</f>
        <v/>
      </c>
      <c r="L931" s="184">
        <f>IF(offer_sale_type="транзит",IFERROR(ROUNDUP(VLOOKUP($B931,calc_data,L$14+1,0),2),0),0)</f>
        <v/>
      </c>
      <c r="M931" s="141">
        <f>IF(offer_sale_type="транзит",IFERROR(ROUNDUP(VLOOKUP($B931,calc_data,M$14+1,0),2),0),0)</f>
        <v/>
      </c>
      <c r="N931" s="141">
        <f>IF(offer_sale_type="транзит",IFERROR(ROUNDUP(VLOOKUP($B931,calc_data,N$14+1,0),2),0),0)</f>
        <v/>
      </c>
      <c r="O931" s="147">
        <f>IF(offer_sale_type="транзит",IFERROR(ROUND(VLOOKUP($B931,calc_data,O$14+1,1),2),0),0)</f>
        <v/>
      </c>
      <c r="P931" s="141">
        <f>IF(offer_sale_type="транзит",IFERROR(ROUND(SUM(I931:J931,M931:O931)/E931,2),0),0)</f>
        <v/>
      </c>
      <c r="Q931" s="141">
        <f>E931*P931</f>
        <v/>
      </c>
      <c r="R931" s="141">
        <f>ROUND(Q931*IF(AND(offer_incoterms="DDP",seller_region="RU"),IF((TODAY()+offer_turnaround_time)&gt;=helpsheet!$L$17,rate_vatRU_from_26,rate_vatRu_till_25),0),2)</f>
        <v/>
      </c>
      <c r="S931" s="177">
        <f>Q931+IF(AND(offer_incoterms="DDP",seller_region="RU"),R931,0)</f>
        <v/>
      </c>
      <c r="T931" s="45" t="n"/>
      <c r="V931" s="57">
        <f>IF(Q931&gt;0,"показать","скрыть")</f>
        <v/>
      </c>
    </row>
    <row r="932" ht="15.75" customHeight="1">
      <c r="B932" s="809" t="n">
        <v>916</v>
      </c>
      <c r="C932" s="182">
        <f>IF(offer_sale_type="транзит",IFERROR(VLOOKUP($B932,calc_data,C$14+1,0),0),0)</f>
        <v/>
      </c>
      <c r="D932" s="280">
        <f>IF(offer_sale_type="транзит",IFERROR(VLOOKUP($B932,calc_data,D$14+1,0),0),0)</f>
        <v/>
      </c>
      <c r="E932" s="182">
        <f>IF(offer_sale_type="транзит",IFERROR(VLOOKUP($B932,calc_data,E$14+1,0),0),0)</f>
        <v/>
      </c>
      <c r="F932" s="182">
        <f>IF(offer_sale_type="транзит",IFERROR(VLOOKUP($B932,calc_data,F$14+1,0),0),0)</f>
        <v/>
      </c>
      <c r="G932" s="141">
        <f>IF(offer_sale_type="транзит",IFERROR(VLOOKUP($B932,calc_data,G$14+1,0),0),0)</f>
        <v/>
      </c>
      <c r="H932" s="141">
        <f>E932*G932</f>
        <v/>
      </c>
      <c r="I932" s="141">
        <f>IF(offer_sale_type="транзит",IFERROR(ROUND(VLOOKUP($B932,calc_data,I$14+1,0),2),0),0)</f>
        <v/>
      </c>
      <c r="J932" s="141">
        <f>ROUND(IF(offer_sale_type="транзит",IFERROR(VLOOKUP($B932,calc_data,J$14+1,0),0),0),2)</f>
        <v/>
      </c>
      <c r="K932" s="142">
        <f>IF(offer_sale_type="транзит",IFERROR(ROUNDUP(VLOOKUP($B932,calc_data,K$14+1,0),2),0),0)</f>
        <v/>
      </c>
      <c r="L932" s="184">
        <f>IF(offer_sale_type="транзит",IFERROR(ROUNDUP(VLOOKUP($B932,calc_data,L$14+1,0),2),0),0)</f>
        <v/>
      </c>
      <c r="M932" s="141">
        <f>IF(offer_sale_type="транзит",IFERROR(ROUNDUP(VLOOKUP($B932,calc_data,M$14+1,0),2),0),0)</f>
        <v/>
      </c>
      <c r="N932" s="141">
        <f>IF(offer_sale_type="транзит",IFERROR(ROUNDUP(VLOOKUP($B932,calc_data,N$14+1,0),2),0),0)</f>
        <v/>
      </c>
      <c r="O932" s="147">
        <f>IF(offer_sale_type="транзит",IFERROR(ROUND(VLOOKUP($B932,calc_data,O$14+1,1),2),0),0)</f>
        <v/>
      </c>
      <c r="P932" s="141">
        <f>IF(offer_sale_type="транзит",IFERROR(ROUND(SUM(I932:J932,M932:O932)/E932,2),0),0)</f>
        <v/>
      </c>
      <c r="Q932" s="141">
        <f>E932*P932</f>
        <v/>
      </c>
      <c r="R932" s="141">
        <f>ROUND(Q932*IF(AND(offer_incoterms="DDP",seller_region="RU"),IF((TODAY()+offer_turnaround_time)&gt;=helpsheet!$L$17,rate_vatRU_from_26,rate_vatRu_till_25),0),2)</f>
        <v/>
      </c>
      <c r="S932" s="177">
        <f>Q932+IF(AND(offer_incoterms="DDP",seller_region="RU"),R932,0)</f>
        <v/>
      </c>
      <c r="T932" s="45" t="n"/>
      <c r="V932" s="57">
        <f>IF(Q932&gt;0,"показать","скрыть")</f>
        <v/>
      </c>
    </row>
    <row r="933" ht="15.75" customHeight="1">
      <c r="B933" s="809" t="n">
        <v>917</v>
      </c>
      <c r="C933" s="182">
        <f>IF(offer_sale_type="транзит",IFERROR(VLOOKUP($B933,calc_data,C$14+1,0),0),0)</f>
        <v/>
      </c>
      <c r="D933" s="280">
        <f>IF(offer_sale_type="транзит",IFERROR(VLOOKUP($B933,calc_data,D$14+1,0),0),0)</f>
        <v/>
      </c>
      <c r="E933" s="182">
        <f>IF(offer_sale_type="транзит",IFERROR(VLOOKUP($B933,calc_data,E$14+1,0),0),0)</f>
        <v/>
      </c>
      <c r="F933" s="182">
        <f>IF(offer_sale_type="транзит",IFERROR(VLOOKUP($B933,calc_data,F$14+1,0),0),0)</f>
        <v/>
      </c>
      <c r="G933" s="141">
        <f>IF(offer_sale_type="транзит",IFERROR(VLOOKUP($B933,calc_data,G$14+1,0),0),0)</f>
        <v/>
      </c>
      <c r="H933" s="141">
        <f>E933*G933</f>
        <v/>
      </c>
      <c r="I933" s="141">
        <f>IF(offer_sale_type="транзит",IFERROR(ROUND(VLOOKUP($B933,calc_data,I$14+1,0),2),0),0)</f>
        <v/>
      </c>
      <c r="J933" s="141">
        <f>ROUND(IF(offer_sale_type="транзит",IFERROR(VLOOKUP($B933,calc_data,J$14+1,0),0),0),2)</f>
        <v/>
      </c>
      <c r="K933" s="142">
        <f>IF(offer_sale_type="транзит",IFERROR(ROUNDUP(VLOOKUP($B933,calc_data,K$14+1,0),2),0),0)</f>
        <v/>
      </c>
      <c r="L933" s="184">
        <f>IF(offer_sale_type="транзит",IFERROR(ROUNDUP(VLOOKUP($B933,calc_data,L$14+1,0),2),0),0)</f>
        <v/>
      </c>
      <c r="M933" s="141">
        <f>IF(offer_sale_type="транзит",IFERROR(ROUNDUP(VLOOKUP($B933,calc_data,M$14+1,0),2),0),0)</f>
        <v/>
      </c>
      <c r="N933" s="141">
        <f>IF(offer_sale_type="транзит",IFERROR(ROUNDUP(VLOOKUP($B933,calc_data,N$14+1,0),2),0),0)</f>
        <v/>
      </c>
      <c r="O933" s="147">
        <f>IF(offer_sale_type="транзит",IFERROR(ROUND(VLOOKUP($B933,calc_data,O$14+1,1),2),0),0)</f>
        <v/>
      </c>
      <c r="P933" s="141">
        <f>IF(offer_sale_type="транзит",IFERROR(ROUND(SUM(I933:J933,M933:O933)/E933,2),0),0)</f>
        <v/>
      </c>
      <c r="Q933" s="141">
        <f>E933*P933</f>
        <v/>
      </c>
      <c r="R933" s="141">
        <f>ROUND(Q933*IF(AND(offer_incoterms="DDP",seller_region="RU"),IF((TODAY()+offer_turnaround_time)&gt;=helpsheet!$L$17,rate_vatRU_from_26,rate_vatRu_till_25),0),2)</f>
        <v/>
      </c>
      <c r="S933" s="177">
        <f>Q933+IF(AND(offer_incoterms="DDP",seller_region="RU"),R933,0)</f>
        <v/>
      </c>
      <c r="T933" s="45" t="n"/>
      <c r="V933" s="57">
        <f>IF(Q933&gt;0,"показать","скрыть")</f>
        <v/>
      </c>
    </row>
    <row r="934" ht="15.75" customHeight="1">
      <c r="B934" s="809" t="n">
        <v>918</v>
      </c>
      <c r="C934" s="182">
        <f>IF(offer_sale_type="транзит",IFERROR(VLOOKUP($B934,calc_data,C$14+1,0),0),0)</f>
        <v/>
      </c>
      <c r="D934" s="280">
        <f>IF(offer_sale_type="транзит",IFERROR(VLOOKUP($B934,calc_data,D$14+1,0),0),0)</f>
        <v/>
      </c>
      <c r="E934" s="182">
        <f>IF(offer_sale_type="транзит",IFERROR(VLOOKUP($B934,calc_data,E$14+1,0),0),0)</f>
        <v/>
      </c>
      <c r="F934" s="182">
        <f>IF(offer_sale_type="транзит",IFERROR(VLOOKUP($B934,calc_data,F$14+1,0),0),0)</f>
        <v/>
      </c>
      <c r="G934" s="141">
        <f>IF(offer_sale_type="транзит",IFERROR(VLOOKUP($B934,calc_data,G$14+1,0),0),0)</f>
        <v/>
      </c>
      <c r="H934" s="141">
        <f>E934*G934</f>
        <v/>
      </c>
      <c r="I934" s="141">
        <f>IF(offer_sale_type="транзит",IFERROR(ROUND(VLOOKUP($B934,calc_data,I$14+1,0),2),0),0)</f>
        <v/>
      </c>
      <c r="J934" s="141">
        <f>ROUND(IF(offer_sale_type="транзит",IFERROR(VLOOKUP($B934,calc_data,J$14+1,0),0),0),2)</f>
        <v/>
      </c>
      <c r="K934" s="142">
        <f>IF(offer_sale_type="транзит",IFERROR(ROUNDUP(VLOOKUP($B934,calc_data,K$14+1,0),2),0),0)</f>
        <v/>
      </c>
      <c r="L934" s="184">
        <f>IF(offer_sale_type="транзит",IFERROR(ROUNDUP(VLOOKUP($B934,calc_data,L$14+1,0),2),0),0)</f>
        <v/>
      </c>
      <c r="M934" s="141">
        <f>IF(offer_sale_type="транзит",IFERROR(ROUNDUP(VLOOKUP($B934,calc_data,M$14+1,0),2),0),0)</f>
        <v/>
      </c>
      <c r="N934" s="141">
        <f>IF(offer_sale_type="транзит",IFERROR(ROUNDUP(VLOOKUP($B934,calc_data,N$14+1,0),2),0),0)</f>
        <v/>
      </c>
      <c r="O934" s="147">
        <f>IF(offer_sale_type="транзит",IFERROR(ROUND(VLOOKUP($B934,calc_data,O$14+1,1),2),0),0)</f>
        <v/>
      </c>
      <c r="P934" s="141">
        <f>IF(offer_sale_type="транзит",IFERROR(ROUND(SUM(I934:J934,M934:O934)/E934,2),0),0)</f>
        <v/>
      </c>
      <c r="Q934" s="141">
        <f>E934*P934</f>
        <v/>
      </c>
      <c r="R934" s="141">
        <f>ROUND(Q934*IF(AND(offer_incoterms="DDP",seller_region="RU"),IF((TODAY()+offer_turnaround_time)&gt;=helpsheet!$L$17,rate_vatRU_from_26,rate_vatRu_till_25),0),2)</f>
        <v/>
      </c>
      <c r="S934" s="177">
        <f>Q934+IF(AND(offer_incoterms="DDP",seller_region="RU"),R934,0)</f>
        <v/>
      </c>
      <c r="T934" s="45" t="n"/>
      <c r="V934" s="57">
        <f>IF(Q934&gt;0,"показать","скрыть")</f>
        <v/>
      </c>
    </row>
    <row r="935" ht="15.75" customHeight="1">
      <c r="B935" s="809" t="n">
        <v>919</v>
      </c>
      <c r="C935" s="182">
        <f>IF(offer_sale_type="транзит",IFERROR(VLOOKUP($B935,calc_data,C$14+1,0),0),0)</f>
        <v/>
      </c>
      <c r="D935" s="280">
        <f>IF(offer_sale_type="транзит",IFERROR(VLOOKUP($B935,calc_data,D$14+1,0),0),0)</f>
        <v/>
      </c>
      <c r="E935" s="182">
        <f>IF(offer_sale_type="транзит",IFERROR(VLOOKUP($B935,calc_data,E$14+1,0),0),0)</f>
        <v/>
      </c>
      <c r="F935" s="182">
        <f>IF(offer_sale_type="транзит",IFERROR(VLOOKUP($B935,calc_data,F$14+1,0),0),0)</f>
        <v/>
      </c>
      <c r="G935" s="141">
        <f>IF(offer_sale_type="транзит",IFERROR(VLOOKUP($B935,calc_data,G$14+1,0),0),0)</f>
        <v/>
      </c>
      <c r="H935" s="141">
        <f>E935*G935</f>
        <v/>
      </c>
      <c r="I935" s="141">
        <f>IF(offer_sale_type="транзит",IFERROR(ROUND(VLOOKUP($B935,calc_data,I$14+1,0),2),0),0)</f>
        <v/>
      </c>
      <c r="J935" s="141">
        <f>ROUND(IF(offer_sale_type="транзит",IFERROR(VLOOKUP($B935,calc_data,J$14+1,0),0),0),2)</f>
        <v/>
      </c>
      <c r="K935" s="142">
        <f>IF(offer_sale_type="транзит",IFERROR(ROUNDUP(VLOOKUP($B935,calc_data,K$14+1,0),2),0),0)</f>
        <v/>
      </c>
      <c r="L935" s="184">
        <f>IF(offer_sale_type="транзит",IFERROR(ROUNDUP(VLOOKUP($B935,calc_data,L$14+1,0),2),0),0)</f>
        <v/>
      </c>
      <c r="M935" s="141">
        <f>IF(offer_sale_type="транзит",IFERROR(ROUNDUP(VLOOKUP($B935,calc_data,M$14+1,0),2),0),0)</f>
        <v/>
      </c>
      <c r="N935" s="141">
        <f>IF(offer_sale_type="транзит",IFERROR(ROUNDUP(VLOOKUP($B935,calc_data,N$14+1,0),2),0),0)</f>
        <v/>
      </c>
      <c r="O935" s="147">
        <f>IF(offer_sale_type="транзит",IFERROR(ROUND(VLOOKUP($B935,calc_data,O$14+1,1),2),0),0)</f>
        <v/>
      </c>
      <c r="P935" s="141">
        <f>IF(offer_sale_type="транзит",IFERROR(ROUND(SUM(I935:J935,M935:O935)/E935,2),0),0)</f>
        <v/>
      </c>
      <c r="Q935" s="141">
        <f>E935*P935</f>
        <v/>
      </c>
      <c r="R935" s="141">
        <f>ROUND(Q935*IF(AND(offer_incoterms="DDP",seller_region="RU"),IF((TODAY()+offer_turnaround_time)&gt;=helpsheet!$L$17,rate_vatRU_from_26,rate_vatRu_till_25),0),2)</f>
        <v/>
      </c>
      <c r="S935" s="177">
        <f>Q935+IF(AND(offer_incoterms="DDP",seller_region="RU"),R935,0)</f>
        <v/>
      </c>
      <c r="T935" s="45" t="n"/>
      <c r="V935" s="57">
        <f>IF(Q935&gt;0,"показать","скрыть")</f>
        <v/>
      </c>
    </row>
    <row r="936" ht="15.75" customHeight="1">
      <c r="B936" s="809" t="n">
        <v>920</v>
      </c>
      <c r="C936" s="182">
        <f>IF(offer_sale_type="транзит",IFERROR(VLOOKUP($B936,calc_data,C$14+1,0),0),0)</f>
        <v/>
      </c>
      <c r="D936" s="280">
        <f>IF(offer_sale_type="транзит",IFERROR(VLOOKUP($B936,calc_data,D$14+1,0),0),0)</f>
        <v/>
      </c>
      <c r="E936" s="182">
        <f>IF(offer_sale_type="транзит",IFERROR(VLOOKUP($B936,calc_data,E$14+1,0),0),0)</f>
        <v/>
      </c>
      <c r="F936" s="182">
        <f>IF(offer_sale_type="транзит",IFERROR(VLOOKUP($B936,calc_data,F$14+1,0),0),0)</f>
        <v/>
      </c>
      <c r="G936" s="141">
        <f>IF(offer_sale_type="транзит",IFERROR(VLOOKUP($B936,calc_data,G$14+1,0),0),0)</f>
        <v/>
      </c>
      <c r="H936" s="141">
        <f>E936*G936</f>
        <v/>
      </c>
      <c r="I936" s="141">
        <f>IF(offer_sale_type="транзит",IFERROR(ROUND(VLOOKUP($B936,calc_data,I$14+1,0),2),0),0)</f>
        <v/>
      </c>
      <c r="J936" s="141">
        <f>ROUND(IF(offer_sale_type="транзит",IFERROR(VLOOKUP($B936,calc_data,J$14+1,0),0),0),2)</f>
        <v/>
      </c>
      <c r="K936" s="142">
        <f>IF(offer_sale_type="транзит",IFERROR(ROUNDUP(VLOOKUP($B936,calc_data,K$14+1,0),2),0),0)</f>
        <v/>
      </c>
      <c r="L936" s="184">
        <f>IF(offer_sale_type="транзит",IFERROR(ROUNDUP(VLOOKUP($B936,calc_data,L$14+1,0),2),0),0)</f>
        <v/>
      </c>
      <c r="M936" s="141">
        <f>IF(offer_sale_type="транзит",IFERROR(ROUNDUP(VLOOKUP($B936,calc_data,M$14+1,0),2),0),0)</f>
        <v/>
      </c>
      <c r="N936" s="141">
        <f>IF(offer_sale_type="транзит",IFERROR(ROUNDUP(VLOOKUP($B936,calc_data,N$14+1,0),2),0),0)</f>
        <v/>
      </c>
      <c r="O936" s="147">
        <f>IF(offer_sale_type="транзит",IFERROR(ROUND(VLOOKUP($B936,calc_data,O$14+1,1),2),0),0)</f>
        <v/>
      </c>
      <c r="P936" s="141">
        <f>IF(offer_sale_type="транзит",IFERROR(ROUND(SUM(I936:J936,M936:O936)/E936,2),0),0)</f>
        <v/>
      </c>
      <c r="Q936" s="141">
        <f>E936*P936</f>
        <v/>
      </c>
      <c r="R936" s="141">
        <f>ROUND(Q936*IF(AND(offer_incoterms="DDP",seller_region="RU"),IF((TODAY()+offer_turnaround_time)&gt;=helpsheet!$L$17,rate_vatRU_from_26,rate_vatRu_till_25),0),2)</f>
        <v/>
      </c>
      <c r="S936" s="177">
        <f>Q936+IF(AND(offer_incoterms="DDP",seller_region="RU"),R936,0)</f>
        <v/>
      </c>
      <c r="T936" s="45" t="n"/>
      <c r="V936" s="57">
        <f>IF(Q936&gt;0,"показать","скрыть")</f>
        <v/>
      </c>
    </row>
    <row r="937" ht="15.75" customHeight="1">
      <c r="B937" s="809" t="n">
        <v>921</v>
      </c>
      <c r="C937" s="182">
        <f>IF(offer_sale_type="транзит",IFERROR(VLOOKUP($B937,calc_data,C$14+1,0),0),0)</f>
        <v/>
      </c>
      <c r="D937" s="280">
        <f>IF(offer_sale_type="транзит",IFERROR(VLOOKUP($B937,calc_data,D$14+1,0),0),0)</f>
        <v/>
      </c>
      <c r="E937" s="182">
        <f>IF(offer_sale_type="транзит",IFERROR(VLOOKUP($B937,calc_data,E$14+1,0),0),0)</f>
        <v/>
      </c>
      <c r="F937" s="182">
        <f>IF(offer_sale_type="транзит",IFERROR(VLOOKUP($B937,calc_data,F$14+1,0),0),0)</f>
        <v/>
      </c>
      <c r="G937" s="141">
        <f>IF(offer_sale_type="транзит",IFERROR(VLOOKUP($B937,calc_data,G$14+1,0),0),0)</f>
        <v/>
      </c>
      <c r="H937" s="141">
        <f>E937*G937</f>
        <v/>
      </c>
      <c r="I937" s="141">
        <f>IF(offer_sale_type="транзит",IFERROR(ROUND(VLOOKUP($B937,calc_data,I$14+1,0),2),0),0)</f>
        <v/>
      </c>
      <c r="J937" s="141">
        <f>ROUND(IF(offer_sale_type="транзит",IFERROR(VLOOKUP($B937,calc_data,J$14+1,0),0),0),2)</f>
        <v/>
      </c>
      <c r="K937" s="142">
        <f>IF(offer_sale_type="транзит",IFERROR(ROUNDUP(VLOOKUP($B937,calc_data,K$14+1,0),2),0),0)</f>
        <v/>
      </c>
      <c r="L937" s="184">
        <f>IF(offer_sale_type="транзит",IFERROR(ROUNDUP(VLOOKUP($B937,calc_data,L$14+1,0),2),0),0)</f>
        <v/>
      </c>
      <c r="M937" s="141">
        <f>IF(offer_sale_type="транзит",IFERROR(ROUNDUP(VLOOKUP($B937,calc_data,M$14+1,0),2),0),0)</f>
        <v/>
      </c>
      <c r="N937" s="141">
        <f>IF(offer_sale_type="транзит",IFERROR(ROUNDUP(VLOOKUP($B937,calc_data,N$14+1,0),2),0),0)</f>
        <v/>
      </c>
      <c r="O937" s="147">
        <f>IF(offer_sale_type="транзит",IFERROR(ROUND(VLOOKUP($B937,calc_data,O$14+1,1),2),0),0)</f>
        <v/>
      </c>
      <c r="P937" s="141">
        <f>IF(offer_sale_type="транзит",IFERROR(ROUND(SUM(I937:J937,M937:O937)/E937,2),0),0)</f>
        <v/>
      </c>
      <c r="Q937" s="141">
        <f>E937*P937</f>
        <v/>
      </c>
      <c r="R937" s="141">
        <f>ROUND(Q937*IF(AND(offer_incoterms="DDP",seller_region="RU"),IF((TODAY()+offer_turnaround_time)&gt;=helpsheet!$L$17,rate_vatRU_from_26,rate_vatRu_till_25),0),2)</f>
        <v/>
      </c>
      <c r="S937" s="177">
        <f>Q937+IF(AND(offer_incoterms="DDP",seller_region="RU"),R937,0)</f>
        <v/>
      </c>
      <c r="T937" s="45" t="n"/>
      <c r="V937" s="57">
        <f>IF(Q937&gt;0,"показать","скрыть")</f>
        <v/>
      </c>
    </row>
    <row r="938" ht="15.75" customHeight="1">
      <c r="B938" s="809" t="n">
        <v>922</v>
      </c>
      <c r="C938" s="182">
        <f>IF(offer_sale_type="транзит",IFERROR(VLOOKUP($B938,calc_data,C$14+1,0),0),0)</f>
        <v/>
      </c>
      <c r="D938" s="280">
        <f>IF(offer_sale_type="транзит",IFERROR(VLOOKUP($B938,calc_data,D$14+1,0),0),0)</f>
        <v/>
      </c>
      <c r="E938" s="182">
        <f>IF(offer_sale_type="транзит",IFERROR(VLOOKUP($B938,calc_data,E$14+1,0),0),0)</f>
        <v/>
      </c>
      <c r="F938" s="182">
        <f>IF(offer_sale_type="транзит",IFERROR(VLOOKUP($B938,calc_data,F$14+1,0),0),0)</f>
        <v/>
      </c>
      <c r="G938" s="141">
        <f>IF(offer_sale_type="транзит",IFERROR(VLOOKUP($B938,calc_data,G$14+1,0),0),0)</f>
        <v/>
      </c>
      <c r="H938" s="141">
        <f>E938*G938</f>
        <v/>
      </c>
      <c r="I938" s="141">
        <f>IF(offer_sale_type="транзит",IFERROR(ROUND(VLOOKUP($B938,calc_data,I$14+1,0),2),0),0)</f>
        <v/>
      </c>
      <c r="J938" s="141">
        <f>ROUND(IF(offer_sale_type="транзит",IFERROR(VLOOKUP($B938,calc_data,J$14+1,0),0),0),2)</f>
        <v/>
      </c>
      <c r="K938" s="142">
        <f>IF(offer_sale_type="транзит",IFERROR(ROUNDUP(VLOOKUP($B938,calc_data,K$14+1,0),2),0),0)</f>
        <v/>
      </c>
      <c r="L938" s="184">
        <f>IF(offer_sale_type="транзит",IFERROR(ROUNDUP(VLOOKUP($B938,calc_data,L$14+1,0),2),0),0)</f>
        <v/>
      </c>
      <c r="M938" s="141">
        <f>IF(offer_sale_type="транзит",IFERROR(ROUNDUP(VLOOKUP($B938,calc_data,M$14+1,0),2),0),0)</f>
        <v/>
      </c>
      <c r="N938" s="141">
        <f>IF(offer_sale_type="транзит",IFERROR(ROUNDUP(VLOOKUP($B938,calc_data,N$14+1,0),2),0),0)</f>
        <v/>
      </c>
      <c r="O938" s="147">
        <f>IF(offer_sale_type="транзит",IFERROR(ROUND(VLOOKUP($B938,calc_data,O$14+1,1),2),0),0)</f>
        <v/>
      </c>
      <c r="P938" s="141">
        <f>IF(offer_sale_type="транзит",IFERROR(ROUND(SUM(I938:J938,M938:O938)/E938,2),0),0)</f>
        <v/>
      </c>
      <c r="Q938" s="141">
        <f>E938*P938</f>
        <v/>
      </c>
      <c r="R938" s="141">
        <f>ROUND(Q938*IF(AND(offer_incoterms="DDP",seller_region="RU"),IF((TODAY()+offer_turnaround_time)&gt;=helpsheet!$L$17,rate_vatRU_from_26,rate_vatRu_till_25),0),2)</f>
        <v/>
      </c>
      <c r="S938" s="177">
        <f>Q938+IF(AND(offer_incoterms="DDP",seller_region="RU"),R938,0)</f>
        <v/>
      </c>
      <c r="T938" s="45" t="n"/>
      <c r="V938" s="57">
        <f>IF(Q938&gt;0,"показать","скрыть")</f>
        <v/>
      </c>
    </row>
    <row r="939" ht="15.75" customHeight="1">
      <c r="B939" s="809" t="n">
        <v>923</v>
      </c>
      <c r="C939" s="182">
        <f>IF(offer_sale_type="транзит",IFERROR(VLOOKUP($B939,calc_data,C$14+1,0),0),0)</f>
        <v/>
      </c>
      <c r="D939" s="280">
        <f>IF(offer_sale_type="транзит",IFERROR(VLOOKUP($B939,calc_data,D$14+1,0),0),0)</f>
        <v/>
      </c>
      <c r="E939" s="182">
        <f>IF(offer_sale_type="транзит",IFERROR(VLOOKUP($B939,calc_data,E$14+1,0),0),0)</f>
        <v/>
      </c>
      <c r="F939" s="182">
        <f>IF(offer_sale_type="транзит",IFERROR(VLOOKUP($B939,calc_data,F$14+1,0),0),0)</f>
        <v/>
      </c>
      <c r="G939" s="141">
        <f>IF(offer_sale_type="транзит",IFERROR(VLOOKUP($B939,calc_data,G$14+1,0),0),0)</f>
        <v/>
      </c>
      <c r="H939" s="141">
        <f>E939*G939</f>
        <v/>
      </c>
      <c r="I939" s="141">
        <f>IF(offer_sale_type="транзит",IFERROR(ROUND(VLOOKUP($B939,calc_data,I$14+1,0),2),0),0)</f>
        <v/>
      </c>
      <c r="J939" s="141">
        <f>ROUND(IF(offer_sale_type="транзит",IFERROR(VLOOKUP($B939,calc_data,J$14+1,0),0),0),2)</f>
        <v/>
      </c>
      <c r="K939" s="142">
        <f>IF(offer_sale_type="транзит",IFERROR(ROUNDUP(VLOOKUP($B939,calc_data,K$14+1,0),2),0),0)</f>
        <v/>
      </c>
      <c r="L939" s="184">
        <f>IF(offer_sale_type="транзит",IFERROR(ROUNDUP(VLOOKUP($B939,calc_data,L$14+1,0),2),0),0)</f>
        <v/>
      </c>
      <c r="M939" s="141">
        <f>IF(offer_sale_type="транзит",IFERROR(ROUNDUP(VLOOKUP($B939,calc_data,M$14+1,0),2),0),0)</f>
        <v/>
      </c>
      <c r="N939" s="141">
        <f>IF(offer_sale_type="транзит",IFERROR(ROUNDUP(VLOOKUP($B939,calc_data,N$14+1,0),2),0),0)</f>
        <v/>
      </c>
      <c r="O939" s="147">
        <f>IF(offer_sale_type="транзит",IFERROR(ROUND(VLOOKUP($B939,calc_data,O$14+1,1),2),0),0)</f>
        <v/>
      </c>
      <c r="P939" s="141">
        <f>IF(offer_sale_type="транзит",IFERROR(ROUND(SUM(I939:J939,M939:O939)/E939,2),0),0)</f>
        <v/>
      </c>
      <c r="Q939" s="141">
        <f>E939*P939</f>
        <v/>
      </c>
      <c r="R939" s="141">
        <f>ROUND(Q939*IF(AND(offer_incoterms="DDP",seller_region="RU"),IF((TODAY()+offer_turnaround_time)&gt;=helpsheet!$L$17,rate_vatRU_from_26,rate_vatRu_till_25),0),2)</f>
        <v/>
      </c>
      <c r="S939" s="177">
        <f>Q939+IF(AND(offer_incoterms="DDP",seller_region="RU"),R939,0)</f>
        <v/>
      </c>
      <c r="T939" s="45" t="n"/>
      <c r="V939" s="57">
        <f>IF(Q939&gt;0,"показать","скрыть")</f>
        <v/>
      </c>
    </row>
    <row r="940" ht="15.75" customHeight="1">
      <c r="B940" s="809" t="n">
        <v>924</v>
      </c>
      <c r="C940" s="182">
        <f>IF(offer_sale_type="транзит",IFERROR(VLOOKUP($B940,calc_data,C$14+1,0),0),0)</f>
        <v/>
      </c>
      <c r="D940" s="280">
        <f>IF(offer_sale_type="транзит",IFERROR(VLOOKUP($B940,calc_data,D$14+1,0),0),0)</f>
        <v/>
      </c>
      <c r="E940" s="182">
        <f>IF(offer_sale_type="транзит",IFERROR(VLOOKUP($B940,calc_data,E$14+1,0),0),0)</f>
        <v/>
      </c>
      <c r="F940" s="182">
        <f>IF(offer_sale_type="транзит",IFERROR(VLOOKUP($B940,calc_data,F$14+1,0),0),0)</f>
        <v/>
      </c>
      <c r="G940" s="141">
        <f>IF(offer_sale_type="транзит",IFERROR(VLOOKUP($B940,calc_data,G$14+1,0),0),0)</f>
        <v/>
      </c>
      <c r="H940" s="141">
        <f>E940*G940</f>
        <v/>
      </c>
      <c r="I940" s="141">
        <f>IF(offer_sale_type="транзит",IFERROR(ROUND(VLOOKUP($B940,calc_data,I$14+1,0),2),0),0)</f>
        <v/>
      </c>
      <c r="J940" s="141">
        <f>ROUND(IF(offer_sale_type="транзит",IFERROR(VLOOKUP($B940,calc_data,J$14+1,0),0),0),2)</f>
        <v/>
      </c>
      <c r="K940" s="142">
        <f>IF(offer_sale_type="транзит",IFERROR(ROUNDUP(VLOOKUP($B940,calc_data,K$14+1,0),2),0),0)</f>
        <v/>
      </c>
      <c r="L940" s="184">
        <f>IF(offer_sale_type="транзит",IFERROR(ROUNDUP(VLOOKUP($B940,calc_data,L$14+1,0),2),0),0)</f>
        <v/>
      </c>
      <c r="M940" s="141">
        <f>IF(offer_sale_type="транзит",IFERROR(ROUNDUP(VLOOKUP($B940,calc_data,M$14+1,0),2),0),0)</f>
        <v/>
      </c>
      <c r="N940" s="141">
        <f>IF(offer_sale_type="транзит",IFERROR(ROUNDUP(VLOOKUP($B940,calc_data,N$14+1,0),2),0),0)</f>
        <v/>
      </c>
      <c r="O940" s="147">
        <f>IF(offer_sale_type="транзит",IFERROR(ROUND(VLOOKUP($B940,calc_data,O$14+1,1),2),0),0)</f>
        <v/>
      </c>
      <c r="P940" s="141">
        <f>IF(offer_sale_type="транзит",IFERROR(ROUND(SUM(I940:J940,M940:O940)/E940,2),0),0)</f>
        <v/>
      </c>
      <c r="Q940" s="141">
        <f>E940*P940</f>
        <v/>
      </c>
      <c r="R940" s="141">
        <f>ROUND(Q940*IF(AND(offer_incoterms="DDP",seller_region="RU"),IF((TODAY()+offer_turnaround_time)&gt;=helpsheet!$L$17,rate_vatRU_from_26,rate_vatRu_till_25),0),2)</f>
        <v/>
      </c>
      <c r="S940" s="177">
        <f>Q940+IF(AND(offer_incoterms="DDP",seller_region="RU"),R940,0)</f>
        <v/>
      </c>
      <c r="T940" s="45" t="n"/>
      <c r="V940" s="57">
        <f>IF(Q940&gt;0,"показать","скрыть")</f>
        <v/>
      </c>
    </row>
    <row r="941" ht="15.75" customHeight="1">
      <c r="B941" s="809" t="n">
        <v>925</v>
      </c>
      <c r="C941" s="182">
        <f>IF(offer_sale_type="транзит",IFERROR(VLOOKUP($B941,calc_data,C$14+1,0),0),0)</f>
        <v/>
      </c>
      <c r="D941" s="280">
        <f>IF(offer_sale_type="транзит",IFERROR(VLOOKUP($B941,calc_data,D$14+1,0),0),0)</f>
        <v/>
      </c>
      <c r="E941" s="182">
        <f>IF(offer_sale_type="транзит",IFERROR(VLOOKUP($B941,calc_data,E$14+1,0),0),0)</f>
        <v/>
      </c>
      <c r="F941" s="182">
        <f>IF(offer_sale_type="транзит",IFERROR(VLOOKUP($B941,calc_data,F$14+1,0),0),0)</f>
        <v/>
      </c>
      <c r="G941" s="141">
        <f>IF(offer_sale_type="транзит",IFERROR(VLOOKUP($B941,calc_data,G$14+1,0),0),0)</f>
        <v/>
      </c>
      <c r="H941" s="141">
        <f>E941*G941</f>
        <v/>
      </c>
      <c r="I941" s="141">
        <f>IF(offer_sale_type="транзит",IFERROR(ROUND(VLOOKUP($B941,calc_data,I$14+1,0),2),0),0)</f>
        <v/>
      </c>
      <c r="J941" s="141">
        <f>ROUND(IF(offer_sale_type="транзит",IFERROR(VLOOKUP($B941,calc_data,J$14+1,0),0),0),2)</f>
        <v/>
      </c>
      <c r="K941" s="142">
        <f>IF(offer_sale_type="транзит",IFERROR(ROUNDUP(VLOOKUP($B941,calc_data,K$14+1,0),2),0),0)</f>
        <v/>
      </c>
      <c r="L941" s="184">
        <f>IF(offer_sale_type="транзит",IFERROR(ROUNDUP(VLOOKUP($B941,calc_data,L$14+1,0),2),0),0)</f>
        <v/>
      </c>
      <c r="M941" s="141">
        <f>IF(offer_sale_type="транзит",IFERROR(ROUNDUP(VLOOKUP($B941,calc_data,M$14+1,0),2),0),0)</f>
        <v/>
      </c>
      <c r="N941" s="141">
        <f>IF(offer_sale_type="транзит",IFERROR(ROUNDUP(VLOOKUP($B941,calc_data,N$14+1,0),2),0),0)</f>
        <v/>
      </c>
      <c r="O941" s="147">
        <f>IF(offer_sale_type="транзит",IFERROR(ROUND(VLOOKUP($B941,calc_data,O$14+1,1),2),0),0)</f>
        <v/>
      </c>
      <c r="P941" s="141">
        <f>IF(offer_sale_type="транзит",IFERROR(ROUND(SUM(I941:J941,M941:O941)/E941,2),0),0)</f>
        <v/>
      </c>
      <c r="Q941" s="141">
        <f>E941*P941</f>
        <v/>
      </c>
      <c r="R941" s="141">
        <f>ROUND(Q941*IF(AND(offer_incoterms="DDP",seller_region="RU"),IF((TODAY()+offer_turnaround_time)&gt;=helpsheet!$L$17,rate_vatRU_from_26,rate_vatRu_till_25),0),2)</f>
        <v/>
      </c>
      <c r="S941" s="177">
        <f>Q941+IF(AND(offer_incoterms="DDP",seller_region="RU"),R941,0)</f>
        <v/>
      </c>
      <c r="T941" s="45" t="n"/>
      <c r="V941" s="57">
        <f>IF(Q941&gt;0,"показать","скрыть")</f>
        <v/>
      </c>
    </row>
    <row r="942" ht="15.75" customHeight="1">
      <c r="B942" s="809" t="n">
        <v>926</v>
      </c>
      <c r="C942" s="182">
        <f>IF(offer_sale_type="транзит",IFERROR(VLOOKUP($B942,calc_data,C$14+1,0),0),0)</f>
        <v/>
      </c>
      <c r="D942" s="280">
        <f>IF(offer_sale_type="транзит",IFERROR(VLOOKUP($B942,calc_data,D$14+1,0),0),0)</f>
        <v/>
      </c>
      <c r="E942" s="182">
        <f>IF(offer_sale_type="транзит",IFERROR(VLOOKUP($B942,calc_data,E$14+1,0),0),0)</f>
        <v/>
      </c>
      <c r="F942" s="182">
        <f>IF(offer_sale_type="транзит",IFERROR(VLOOKUP($B942,calc_data,F$14+1,0),0),0)</f>
        <v/>
      </c>
      <c r="G942" s="141">
        <f>IF(offer_sale_type="транзит",IFERROR(VLOOKUP($B942,calc_data,G$14+1,0),0),0)</f>
        <v/>
      </c>
      <c r="H942" s="141">
        <f>E942*G942</f>
        <v/>
      </c>
      <c r="I942" s="141">
        <f>IF(offer_sale_type="транзит",IFERROR(ROUND(VLOOKUP($B942,calc_data,I$14+1,0),2),0),0)</f>
        <v/>
      </c>
      <c r="J942" s="141">
        <f>ROUND(IF(offer_sale_type="транзит",IFERROR(VLOOKUP($B942,calc_data,J$14+1,0),0),0),2)</f>
        <v/>
      </c>
      <c r="K942" s="142">
        <f>IF(offer_sale_type="транзит",IFERROR(ROUNDUP(VLOOKUP($B942,calc_data,K$14+1,0),2),0),0)</f>
        <v/>
      </c>
      <c r="L942" s="184">
        <f>IF(offer_sale_type="транзит",IFERROR(ROUNDUP(VLOOKUP($B942,calc_data,L$14+1,0),2),0),0)</f>
        <v/>
      </c>
      <c r="M942" s="141">
        <f>IF(offer_sale_type="транзит",IFERROR(ROUNDUP(VLOOKUP($B942,calc_data,M$14+1,0),2),0),0)</f>
        <v/>
      </c>
      <c r="N942" s="141">
        <f>IF(offer_sale_type="транзит",IFERROR(ROUNDUP(VLOOKUP($B942,calc_data,N$14+1,0),2),0),0)</f>
        <v/>
      </c>
      <c r="O942" s="147">
        <f>IF(offer_sale_type="транзит",IFERROR(ROUND(VLOOKUP($B942,calc_data,O$14+1,1),2),0),0)</f>
        <v/>
      </c>
      <c r="P942" s="141">
        <f>IF(offer_sale_type="транзит",IFERROR(ROUND(SUM(I942:J942,M942:O942)/E942,2),0),0)</f>
        <v/>
      </c>
      <c r="Q942" s="141">
        <f>E942*P942</f>
        <v/>
      </c>
      <c r="R942" s="141">
        <f>ROUND(Q942*IF(AND(offer_incoterms="DDP",seller_region="RU"),IF((TODAY()+offer_turnaround_time)&gt;=helpsheet!$L$17,rate_vatRU_from_26,rate_vatRu_till_25),0),2)</f>
        <v/>
      </c>
      <c r="S942" s="177">
        <f>Q942+IF(AND(offer_incoterms="DDP",seller_region="RU"),R942,0)</f>
        <v/>
      </c>
      <c r="T942" s="45" t="n"/>
      <c r="V942" s="57">
        <f>IF(Q942&gt;0,"показать","скрыть")</f>
        <v/>
      </c>
    </row>
    <row r="943" ht="15.75" customHeight="1">
      <c r="B943" s="809" t="n">
        <v>927</v>
      </c>
      <c r="C943" s="182">
        <f>IF(offer_sale_type="транзит",IFERROR(VLOOKUP($B943,calc_data,C$14+1,0),0),0)</f>
        <v/>
      </c>
      <c r="D943" s="280">
        <f>IF(offer_sale_type="транзит",IFERROR(VLOOKUP($B943,calc_data,D$14+1,0),0),0)</f>
        <v/>
      </c>
      <c r="E943" s="182">
        <f>IF(offer_sale_type="транзит",IFERROR(VLOOKUP($B943,calc_data,E$14+1,0),0),0)</f>
        <v/>
      </c>
      <c r="F943" s="182">
        <f>IF(offer_sale_type="транзит",IFERROR(VLOOKUP($B943,calc_data,F$14+1,0),0),0)</f>
        <v/>
      </c>
      <c r="G943" s="141">
        <f>IF(offer_sale_type="транзит",IFERROR(VLOOKUP($B943,calc_data,G$14+1,0),0),0)</f>
        <v/>
      </c>
      <c r="H943" s="141">
        <f>E943*G943</f>
        <v/>
      </c>
      <c r="I943" s="141">
        <f>IF(offer_sale_type="транзит",IFERROR(ROUND(VLOOKUP($B943,calc_data,I$14+1,0),2),0),0)</f>
        <v/>
      </c>
      <c r="J943" s="141">
        <f>ROUND(IF(offer_sale_type="транзит",IFERROR(VLOOKUP($B943,calc_data,J$14+1,0),0),0),2)</f>
        <v/>
      </c>
      <c r="K943" s="142">
        <f>IF(offer_sale_type="транзит",IFERROR(ROUNDUP(VLOOKUP($B943,calc_data,K$14+1,0),2),0),0)</f>
        <v/>
      </c>
      <c r="L943" s="184">
        <f>IF(offer_sale_type="транзит",IFERROR(ROUNDUP(VLOOKUP($B943,calc_data,L$14+1,0),2),0),0)</f>
        <v/>
      </c>
      <c r="M943" s="141">
        <f>IF(offer_sale_type="транзит",IFERROR(ROUNDUP(VLOOKUP($B943,calc_data,M$14+1,0),2),0),0)</f>
        <v/>
      </c>
      <c r="N943" s="141">
        <f>IF(offer_sale_type="транзит",IFERROR(ROUNDUP(VLOOKUP($B943,calc_data,N$14+1,0),2),0),0)</f>
        <v/>
      </c>
      <c r="O943" s="147">
        <f>IF(offer_sale_type="транзит",IFERROR(ROUND(VLOOKUP($B943,calc_data,O$14+1,1),2),0),0)</f>
        <v/>
      </c>
      <c r="P943" s="141">
        <f>IF(offer_sale_type="транзит",IFERROR(ROUND(SUM(I943:J943,M943:O943)/E943,2),0),0)</f>
        <v/>
      </c>
      <c r="Q943" s="141">
        <f>E943*P943</f>
        <v/>
      </c>
      <c r="R943" s="141">
        <f>ROUND(Q943*IF(AND(offer_incoterms="DDP",seller_region="RU"),IF((TODAY()+offer_turnaround_time)&gt;=helpsheet!$L$17,rate_vatRU_from_26,rate_vatRu_till_25),0),2)</f>
        <v/>
      </c>
      <c r="S943" s="177">
        <f>Q943+IF(AND(offer_incoterms="DDP",seller_region="RU"),R943,0)</f>
        <v/>
      </c>
      <c r="T943" s="45" t="n"/>
      <c r="V943" s="57">
        <f>IF(Q943&gt;0,"показать","скрыть")</f>
        <v/>
      </c>
    </row>
    <row r="944" ht="15.75" customHeight="1">
      <c r="B944" s="809" t="n">
        <v>928</v>
      </c>
      <c r="C944" s="182">
        <f>IF(offer_sale_type="транзит",IFERROR(VLOOKUP($B944,calc_data,C$14+1,0),0),0)</f>
        <v/>
      </c>
      <c r="D944" s="280">
        <f>IF(offer_sale_type="транзит",IFERROR(VLOOKUP($B944,calc_data,D$14+1,0),0),0)</f>
        <v/>
      </c>
      <c r="E944" s="182">
        <f>IF(offer_sale_type="транзит",IFERROR(VLOOKUP($B944,calc_data,E$14+1,0),0),0)</f>
        <v/>
      </c>
      <c r="F944" s="182">
        <f>IF(offer_sale_type="транзит",IFERROR(VLOOKUP($B944,calc_data,F$14+1,0),0),0)</f>
        <v/>
      </c>
      <c r="G944" s="141">
        <f>IF(offer_sale_type="транзит",IFERROR(VLOOKUP($B944,calc_data,G$14+1,0),0),0)</f>
        <v/>
      </c>
      <c r="H944" s="141">
        <f>E944*G944</f>
        <v/>
      </c>
      <c r="I944" s="141">
        <f>IF(offer_sale_type="транзит",IFERROR(ROUND(VLOOKUP($B944,calc_data,I$14+1,0),2),0),0)</f>
        <v/>
      </c>
      <c r="J944" s="141">
        <f>ROUND(IF(offer_sale_type="транзит",IFERROR(VLOOKUP($B944,calc_data,J$14+1,0),0),0),2)</f>
        <v/>
      </c>
      <c r="K944" s="142">
        <f>IF(offer_sale_type="транзит",IFERROR(ROUNDUP(VLOOKUP($B944,calc_data,K$14+1,0),2),0),0)</f>
        <v/>
      </c>
      <c r="L944" s="184">
        <f>IF(offer_sale_type="транзит",IFERROR(ROUNDUP(VLOOKUP($B944,calc_data,L$14+1,0),2),0),0)</f>
        <v/>
      </c>
      <c r="M944" s="141">
        <f>IF(offer_sale_type="транзит",IFERROR(ROUNDUP(VLOOKUP($B944,calc_data,M$14+1,0),2),0),0)</f>
        <v/>
      </c>
      <c r="N944" s="141">
        <f>IF(offer_sale_type="транзит",IFERROR(ROUNDUP(VLOOKUP($B944,calc_data,N$14+1,0),2),0),0)</f>
        <v/>
      </c>
      <c r="O944" s="147">
        <f>IF(offer_sale_type="транзит",IFERROR(ROUND(VLOOKUP($B944,calc_data,O$14+1,1),2),0),0)</f>
        <v/>
      </c>
      <c r="P944" s="141">
        <f>IF(offer_sale_type="транзит",IFERROR(ROUND(SUM(I944:J944,M944:O944)/E944,2),0),0)</f>
        <v/>
      </c>
      <c r="Q944" s="141">
        <f>E944*P944</f>
        <v/>
      </c>
      <c r="R944" s="141">
        <f>ROUND(Q944*IF(AND(offer_incoterms="DDP",seller_region="RU"),IF((TODAY()+offer_turnaround_time)&gt;=helpsheet!$L$17,rate_vatRU_from_26,rate_vatRu_till_25),0),2)</f>
        <v/>
      </c>
      <c r="S944" s="177">
        <f>Q944+IF(AND(offer_incoterms="DDP",seller_region="RU"),R944,0)</f>
        <v/>
      </c>
      <c r="T944" s="45" t="n"/>
      <c r="V944" s="57">
        <f>IF(Q944&gt;0,"показать","скрыть")</f>
        <v/>
      </c>
    </row>
    <row r="945" ht="15.75" customHeight="1">
      <c r="B945" s="809" t="n">
        <v>929</v>
      </c>
      <c r="C945" s="182">
        <f>IF(offer_sale_type="транзит",IFERROR(VLOOKUP($B945,calc_data,C$14+1,0),0),0)</f>
        <v/>
      </c>
      <c r="D945" s="280">
        <f>IF(offer_sale_type="транзит",IFERROR(VLOOKUP($B945,calc_data,D$14+1,0),0),0)</f>
        <v/>
      </c>
      <c r="E945" s="182">
        <f>IF(offer_sale_type="транзит",IFERROR(VLOOKUP($B945,calc_data,E$14+1,0),0),0)</f>
        <v/>
      </c>
      <c r="F945" s="182">
        <f>IF(offer_sale_type="транзит",IFERROR(VLOOKUP($B945,calc_data,F$14+1,0),0),0)</f>
        <v/>
      </c>
      <c r="G945" s="141">
        <f>IF(offer_sale_type="транзит",IFERROR(VLOOKUP($B945,calc_data,G$14+1,0),0),0)</f>
        <v/>
      </c>
      <c r="H945" s="141">
        <f>E945*G945</f>
        <v/>
      </c>
      <c r="I945" s="141">
        <f>IF(offer_sale_type="транзит",IFERROR(ROUND(VLOOKUP($B945,calc_data,I$14+1,0),2),0),0)</f>
        <v/>
      </c>
      <c r="J945" s="141">
        <f>ROUND(IF(offer_sale_type="транзит",IFERROR(VLOOKUP($B945,calc_data,J$14+1,0),0),0),2)</f>
        <v/>
      </c>
      <c r="K945" s="142">
        <f>IF(offer_sale_type="транзит",IFERROR(ROUNDUP(VLOOKUP($B945,calc_data,K$14+1,0),2),0),0)</f>
        <v/>
      </c>
      <c r="L945" s="184">
        <f>IF(offer_sale_type="транзит",IFERROR(ROUNDUP(VLOOKUP($B945,calc_data,L$14+1,0),2),0),0)</f>
        <v/>
      </c>
      <c r="M945" s="141">
        <f>IF(offer_sale_type="транзит",IFERROR(ROUNDUP(VLOOKUP($B945,calc_data,M$14+1,0),2),0),0)</f>
        <v/>
      </c>
      <c r="N945" s="141">
        <f>IF(offer_sale_type="транзит",IFERROR(ROUNDUP(VLOOKUP($B945,calc_data,N$14+1,0),2),0),0)</f>
        <v/>
      </c>
      <c r="O945" s="147">
        <f>IF(offer_sale_type="транзит",IFERROR(ROUND(VLOOKUP($B945,calc_data,O$14+1,1),2),0),0)</f>
        <v/>
      </c>
      <c r="P945" s="141">
        <f>IF(offer_sale_type="транзит",IFERROR(ROUND(SUM(I945:J945,M945:O945)/E945,2),0),0)</f>
        <v/>
      </c>
      <c r="Q945" s="141">
        <f>E945*P945</f>
        <v/>
      </c>
      <c r="R945" s="141">
        <f>ROUND(Q945*IF(AND(offer_incoterms="DDP",seller_region="RU"),IF((TODAY()+offer_turnaround_time)&gt;=helpsheet!$L$17,rate_vatRU_from_26,rate_vatRu_till_25),0),2)</f>
        <v/>
      </c>
      <c r="S945" s="177">
        <f>Q945+IF(AND(offer_incoterms="DDP",seller_region="RU"),R945,0)</f>
        <v/>
      </c>
      <c r="T945" s="45" t="n"/>
      <c r="V945" s="57">
        <f>IF(Q945&gt;0,"показать","скрыть")</f>
        <v/>
      </c>
    </row>
    <row r="946" ht="15.75" customHeight="1">
      <c r="B946" s="809" t="n">
        <v>930</v>
      </c>
      <c r="C946" s="182">
        <f>IF(offer_sale_type="транзит",IFERROR(VLOOKUP($B946,calc_data,C$14+1,0),0),0)</f>
        <v/>
      </c>
      <c r="D946" s="280">
        <f>IF(offer_sale_type="транзит",IFERROR(VLOOKUP($B946,calc_data,D$14+1,0),0),0)</f>
        <v/>
      </c>
      <c r="E946" s="182">
        <f>IF(offer_sale_type="транзит",IFERROR(VLOOKUP($B946,calc_data,E$14+1,0),0),0)</f>
        <v/>
      </c>
      <c r="F946" s="182">
        <f>IF(offer_sale_type="транзит",IFERROR(VLOOKUP($B946,calc_data,F$14+1,0),0),0)</f>
        <v/>
      </c>
      <c r="G946" s="141">
        <f>IF(offer_sale_type="транзит",IFERROR(VLOOKUP($B946,calc_data,G$14+1,0),0),0)</f>
        <v/>
      </c>
      <c r="H946" s="141">
        <f>E946*G946</f>
        <v/>
      </c>
      <c r="I946" s="141">
        <f>IF(offer_sale_type="транзит",IFERROR(ROUND(VLOOKUP($B946,calc_data,I$14+1,0),2),0),0)</f>
        <v/>
      </c>
      <c r="J946" s="141">
        <f>ROUND(IF(offer_sale_type="транзит",IFERROR(VLOOKUP($B946,calc_data,J$14+1,0),0),0),2)</f>
        <v/>
      </c>
      <c r="K946" s="142">
        <f>IF(offer_sale_type="транзит",IFERROR(ROUNDUP(VLOOKUP($B946,calc_data,K$14+1,0),2),0),0)</f>
        <v/>
      </c>
      <c r="L946" s="184">
        <f>IF(offer_sale_type="транзит",IFERROR(ROUNDUP(VLOOKUP($B946,calc_data,L$14+1,0),2),0),0)</f>
        <v/>
      </c>
      <c r="M946" s="141">
        <f>IF(offer_sale_type="транзит",IFERROR(ROUNDUP(VLOOKUP($B946,calc_data,M$14+1,0),2),0),0)</f>
        <v/>
      </c>
      <c r="N946" s="141">
        <f>IF(offer_sale_type="транзит",IFERROR(ROUNDUP(VLOOKUP($B946,calc_data,N$14+1,0),2),0),0)</f>
        <v/>
      </c>
      <c r="O946" s="147">
        <f>IF(offer_sale_type="транзит",IFERROR(ROUND(VLOOKUP($B946,calc_data,O$14+1,1),2),0),0)</f>
        <v/>
      </c>
      <c r="P946" s="141">
        <f>IF(offer_sale_type="транзит",IFERROR(ROUND(SUM(I946:J946,M946:O946)/E946,2),0),0)</f>
        <v/>
      </c>
      <c r="Q946" s="141">
        <f>E946*P946</f>
        <v/>
      </c>
      <c r="R946" s="141">
        <f>ROUND(Q946*IF(AND(offer_incoterms="DDP",seller_region="RU"),IF((TODAY()+offer_turnaround_time)&gt;=helpsheet!$L$17,rate_vatRU_from_26,rate_vatRu_till_25),0),2)</f>
        <v/>
      </c>
      <c r="S946" s="177">
        <f>Q946+IF(AND(offer_incoterms="DDP",seller_region="RU"),R946,0)</f>
        <v/>
      </c>
      <c r="T946" s="45" t="n"/>
      <c r="V946" s="57">
        <f>IF(Q946&gt;0,"показать","скрыть")</f>
        <v/>
      </c>
    </row>
    <row r="947" ht="15.75" customHeight="1">
      <c r="B947" s="809" t="n">
        <v>931</v>
      </c>
      <c r="C947" s="182">
        <f>IF(offer_sale_type="транзит",IFERROR(VLOOKUP($B947,calc_data,C$14+1,0),0),0)</f>
        <v/>
      </c>
      <c r="D947" s="280">
        <f>IF(offer_sale_type="транзит",IFERROR(VLOOKUP($B947,calc_data,D$14+1,0),0),0)</f>
        <v/>
      </c>
      <c r="E947" s="182">
        <f>IF(offer_sale_type="транзит",IFERROR(VLOOKUP($B947,calc_data,E$14+1,0),0),0)</f>
        <v/>
      </c>
      <c r="F947" s="182">
        <f>IF(offer_sale_type="транзит",IFERROR(VLOOKUP($B947,calc_data,F$14+1,0),0),0)</f>
        <v/>
      </c>
      <c r="G947" s="141">
        <f>IF(offer_sale_type="транзит",IFERROR(VLOOKUP($B947,calc_data,G$14+1,0),0),0)</f>
        <v/>
      </c>
      <c r="H947" s="141">
        <f>E947*G947</f>
        <v/>
      </c>
      <c r="I947" s="141">
        <f>IF(offer_sale_type="транзит",IFERROR(ROUND(VLOOKUP($B947,calc_data,I$14+1,0),2),0),0)</f>
        <v/>
      </c>
      <c r="J947" s="141">
        <f>ROUND(IF(offer_sale_type="транзит",IFERROR(VLOOKUP($B947,calc_data,J$14+1,0),0),0),2)</f>
        <v/>
      </c>
      <c r="K947" s="142">
        <f>IF(offer_sale_type="транзит",IFERROR(ROUNDUP(VLOOKUP($B947,calc_data,K$14+1,0),2),0),0)</f>
        <v/>
      </c>
      <c r="L947" s="184">
        <f>IF(offer_sale_type="транзит",IFERROR(ROUNDUP(VLOOKUP($B947,calc_data,L$14+1,0),2),0),0)</f>
        <v/>
      </c>
      <c r="M947" s="141">
        <f>IF(offer_sale_type="транзит",IFERROR(ROUNDUP(VLOOKUP($B947,calc_data,M$14+1,0),2),0),0)</f>
        <v/>
      </c>
      <c r="N947" s="141">
        <f>IF(offer_sale_type="транзит",IFERROR(ROUNDUP(VLOOKUP($B947,calc_data,N$14+1,0),2),0),0)</f>
        <v/>
      </c>
      <c r="O947" s="147">
        <f>IF(offer_sale_type="транзит",IFERROR(ROUND(VLOOKUP($B947,calc_data,O$14+1,1),2),0),0)</f>
        <v/>
      </c>
      <c r="P947" s="141">
        <f>IF(offer_sale_type="транзит",IFERROR(ROUND(SUM(I947:J947,M947:O947)/E947,2),0),0)</f>
        <v/>
      </c>
      <c r="Q947" s="141">
        <f>E947*P947</f>
        <v/>
      </c>
      <c r="R947" s="141">
        <f>ROUND(Q947*IF(AND(offer_incoterms="DDP",seller_region="RU"),IF((TODAY()+offer_turnaround_time)&gt;=helpsheet!$L$17,rate_vatRU_from_26,rate_vatRu_till_25),0),2)</f>
        <v/>
      </c>
      <c r="S947" s="177">
        <f>Q947+IF(AND(offer_incoterms="DDP",seller_region="RU"),R947,0)</f>
        <v/>
      </c>
      <c r="T947" s="45" t="n"/>
      <c r="V947" s="57">
        <f>IF(Q947&gt;0,"показать","скрыть")</f>
        <v/>
      </c>
    </row>
    <row r="948" ht="15.75" customHeight="1">
      <c r="B948" s="809" t="n">
        <v>932</v>
      </c>
      <c r="C948" s="182">
        <f>IF(offer_sale_type="транзит",IFERROR(VLOOKUP($B948,calc_data,C$14+1,0),0),0)</f>
        <v/>
      </c>
      <c r="D948" s="280">
        <f>IF(offer_sale_type="транзит",IFERROR(VLOOKUP($B948,calc_data,D$14+1,0),0),0)</f>
        <v/>
      </c>
      <c r="E948" s="182">
        <f>IF(offer_sale_type="транзит",IFERROR(VLOOKUP($B948,calc_data,E$14+1,0),0),0)</f>
        <v/>
      </c>
      <c r="F948" s="182">
        <f>IF(offer_sale_type="транзит",IFERROR(VLOOKUP($B948,calc_data,F$14+1,0),0),0)</f>
        <v/>
      </c>
      <c r="G948" s="141">
        <f>IF(offer_sale_type="транзит",IFERROR(VLOOKUP($B948,calc_data,G$14+1,0),0),0)</f>
        <v/>
      </c>
      <c r="H948" s="141">
        <f>E948*G948</f>
        <v/>
      </c>
      <c r="I948" s="141">
        <f>IF(offer_sale_type="транзит",IFERROR(ROUND(VLOOKUP($B948,calc_data,I$14+1,0),2),0),0)</f>
        <v/>
      </c>
      <c r="J948" s="141">
        <f>ROUND(IF(offer_sale_type="транзит",IFERROR(VLOOKUP($B948,calc_data,J$14+1,0),0),0),2)</f>
        <v/>
      </c>
      <c r="K948" s="142">
        <f>IF(offer_sale_type="транзит",IFERROR(ROUNDUP(VLOOKUP($B948,calc_data,K$14+1,0),2),0),0)</f>
        <v/>
      </c>
      <c r="L948" s="184">
        <f>IF(offer_sale_type="транзит",IFERROR(ROUNDUP(VLOOKUP($B948,calc_data,L$14+1,0),2),0),0)</f>
        <v/>
      </c>
      <c r="M948" s="141">
        <f>IF(offer_sale_type="транзит",IFERROR(ROUNDUP(VLOOKUP($B948,calc_data,M$14+1,0),2),0),0)</f>
        <v/>
      </c>
      <c r="N948" s="141">
        <f>IF(offer_sale_type="транзит",IFERROR(ROUNDUP(VLOOKUP($B948,calc_data,N$14+1,0),2),0),0)</f>
        <v/>
      </c>
      <c r="O948" s="147">
        <f>IF(offer_sale_type="транзит",IFERROR(ROUND(VLOOKUP($B948,calc_data,O$14+1,1),2),0),0)</f>
        <v/>
      </c>
      <c r="P948" s="141">
        <f>IF(offer_sale_type="транзит",IFERROR(ROUND(SUM(I948:J948,M948:O948)/E948,2),0),0)</f>
        <v/>
      </c>
      <c r="Q948" s="141">
        <f>E948*P948</f>
        <v/>
      </c>
      <c r="R948" s="141">
        <f>ROUND(Q948*IF(AND(offer_incoterms="DDP",seller_region="RU"),IF((TODAY()+offer_turnaround_time)&gt;=helpsheet!$L$17,rate_vatRU_from_26,rate_vatRu_till_25),0),2)</f>
        <v/>
      </c>
      <c r="S948" s="177">
        <f>Q948+IF(AND(offer_incoterms="DDP",seller_region="RU"),R948,0)</f>
        <v/>
      </c>
      <c r="T948" s="45" t="n"/>
      <c r="V948" s="57">
        <f>IF(Q948&gt;0,"показать","скрыть")</f>
        <v/>
      </c>
    </row>
    <row r="949" ht="15.75" customHeight="1">
      <c r="B949" s="809" t="n">
        <v>933</v>
      </c>
      <c r="C949" s="182">
        <f>IF(offer_sale_type="транзит",IFERROR(VLOOKUP($B949,calc_data,C$14+1,0),0),0)</f>
        <v/>
      </c>
      <c r="D949" s="280">
        <f>IF(offer_sale_type="транзит",IFERROR(VLOOKUP($B949,calc_data,D$14+1,0),0),0)</f>
        <v/>
      </c>
      <c r="E949" s="182">
        <f>IF(offer_sale_type="транзит",IFERROR(VLOOKUP($B949,calc_data,E$14+1,0),0),0)</f>
        <v/>
      </c>
      <c r="F949" s="182">
        <f>IF(offer_sale_type="транзит",IFERROR(VLOOKUP($B949,calc_data,F$14+1,0),0),0)</f>
        <v/>
      </c>
      <c r="G949" s="141">
        <f>IF(offer_sale_type="транзит",IFERROR(VLOOKUP($B949,calc_data,G$14+1,0),0),0)</f>
        <v/>
      </c>
      <c r="H949" s="141">
        <f>E949*G949</f>
        <v/>
      </c>
      <c r="I949" s="141">
        <f>IF(offer_sale_type="транзит",IFERROR(ROUND(VLOOKUP($B949,calc_data,I$14+1,0),2),0),0)</f>
        <v/>
      </c>
      <c r="J949" s="141">
        <f>ROUND(IF(offer_sale_type="транзит",IFERROR(VLOOKUP($B949,calc_data,J$14+1,0),0),0),2)</f>
        <v/>
      </c>
      <c r="K949" s="142">
        <f>IF(offer_sale_type="транзит",IFERROR(ROUNDUP(VLOOKUP($B949,calc_data,K$14+1,0),2),0),0)</f>
        <v/>
      </c>
      <c r="L949" s="184">
        <f>IF(offer_sale_type="транзит",IFERROR(ROUNDUP(VLOOKUP($B949,calc_data,L$14+1,0),2),0),0)</f>
        <v/>
      </c>
      <c r="M949" s="141">
        <f>IF(offer_sale_type="транзит",IFERROR(ROUNDUP(VLOOKUP($B949,calc_data,M$14+1,0),2),0),0)</f>
        <v/>
      </c>
      <c r="N949" s="141">
        <f>IF(offer_sale_type="транзит",IFERROR(ROUNDUP(VLOOKUP($B949,calc_data,N$14+1,0),2),0),0)</f>
        <v/>
      </c>
      <c r="O949" s="147">
        <f>IF(offer_sale_type="транзит",IFERROR(ROUND(VLOOKUP($B949,calc_data,O$14+1,1),2),0),0)</f>
        <v/>
      </c>
      <c r="P949" s="141">
        <f>IF(offer_sale_type="транзит",IFERROR(ROUND(SUM(I949:J949,M949:O949)/E949,2),0),0)</f>
        <v/>
      </c>
      <c r="Q949" s="141">
        <f>E949*P949</f>
        <v/>
      </c>
      <c r="R949" s="141">
        <f>ROUND(Q949*IF(AND(offer_incoterms="DDP",seller_region="RU"),IF((TODAY()+offer_turnaround_time)&gt;=helpsheet!$L$17,rate_vatRU_from_26,rate_vatRu_till_25),0),2)</f>
        <v/>
      </c>
      <c r="S949" s="177">
        <f>Q949+IF(AND(offer_incoterms="DDP",seller_region="RU"),R949,0)</f>
        <v/>
      </c>
      <c r="T949" s="45" t="n"/>
      <c r="V949" s="57">
        <f>IF(Q949&gt;0,"показать","скрыть")</f>
        <v/>
      </c>
    </row>
    <row r="950" ht="15.75" customHeight="1">
      <c r="B950" s="809" t="n">
        <v>934</v>
      </c>
      <c r="C950" s="182">
        <f>IF(offer_sale_type="транзит",IFERROR(VLOOKUP($B950,calc_data,C$14+1,0),0),0)</f>
        <v/>
      </c>
      <c r="D950" s="280">
        <f>IF(offer_sale_type="транзит",IFERROR(VLOOKUP($B950,calc_data,D$14+1,0),0),0)</f>
        <v/>
      </c>
      <c r="E950" s="182">
        <f>IF(offer_sale_type="транзит",IFERROR(VLOOKUP($B950,calc_data,E$14+1,0),0),0)</f>
        <v/>
      </c>
      <c r="F950" s="182">
        <f>IF(offer_sale_type="транзит",IFERROR(VLOOKUP($B950,calc_data,F$14+1,0),0),0)</f>
        <v/>
      </c>
      <c r="G950" s="141">
        <f>IF(offer_sale_type="транзит",IFERROR(VLOOKUP($B950,calc_data,G$14+1,0),0),0)</f>
        <v/>
      </c>
      <c r="H950" s="141">
        <f>E950*G950</f>
        <v/>
      </c>
      <c r="I950" s="141">
        <f>IF(offer_sale_type="транзит",IFERROR(ROUND(VLOOKUP($B950,calc_data,I$14+1,0),2),0),0)</f>
        <v/>
      </c>
      <c r="J950" s="141">
        <f>ROUND(IF(offer_sale_type="транзит",IFERROR(VLOOKUP($B950,calc_data,J$14+1,0),0),0),2)</f>
        <v/>
      </c>
      <c r="K950" s="142">
        <f>IF(offer_sale_type="транзит",IFERROR(ROUNDUP(VLOOKUP($B950,calc_data,K$14+1,0),2),0),0)</f>
        <v/>
      </c>
      <c r="L950" s="184">
        <f>IF(offer_sale_type="транзит",IFERROR(ROUNDUP(VLOOKUP($B950,calc_data,L$14+1,0),2),0),0)</f>
        <v/>
      </c>
      <c r="M950" s="141">
        <f>IF(offer_sale_type="транзит",IFERROR(ROUNDUP(VLOOKUP($B950,calc_data,M$14+1,0),2),0),0)</f>
        <v/>
      </c>
      <c r="N950" s="141">
        <f>IF(offer_sale_type="транзит",IFERROR(ROUNDUP(VLOOKUP($B950,calc_data,N$14+1,0),2),0),0)</f>
        <v/>
      </c>
      <c r="O950" s="147">
        <f>IF(offer_sale_type="транзит",IFERROR(ROUND(VLOOKUP($B950,calc_data,O$14+1,1),2),0),0)</f>
        <v/>
      </c>
      <c r="P950" s="141">
        <f>IF(offer_sale_type="транзит",IFERROR(ROUND(SUM(I950:J950,M950:O950)/E950,2),0),0)</f>
        <v/>
      </c>
      <c r="Q950" s="141">
        <f>E950*P950</f>
        <v/>
      </c>
      <c r="R950" s="141">
        <f>ROUND(Q950*IF(AND(offer_incoterms="DDP",seller_region="RU"),IF((TODAY()+offer_turnaround_time)&gt;=helpsheet!$L$17,rate_vatRU_from_26,rate_vatRu_till_25),0),2)</f>
        <v/>
      </c>
      <c r="S950" s="177">
        <f>Q950+IF(AND(offer_incoterms="DDP",seller_region="RU"),R950,0)</f>
        <v/>
      </c>
      <c r="T950" s="45" t="n"/>
      <c r="V950" s="57">
        <f>IF(Q950&gt;0,"показать","скрыть")</f>
        <v/>
      </c>
    </row>
    <row r="951" ht="15.75" customHeight="1">
      <c r="B951" s="809" t="n">
        <v>935</v>
      </c>
      <c r="C951" s="182">
        <f>IF(offer_sale_type="транзит",IFERROR(VLOOKUP($B951,calc_data,C$14+1,0),0),0)</f>
        <v/>
      </c>
      <c r="D951" s="280">
        <f>IF(offer_sale_type="транзит",IFERROR(VLOOKUP($B951,calc_data,D$14+1,0),0),0)</f>
        <v/>
      </c>
      <c r="E951" s="182">
        <f>IF(offer_sale_type="транзит",IFERROR(VLOOKUP($B951,calc_data,E$14+1,0),0),0)</f>
        <v/>
      </c>
      <c r="F951" s="182">
        <f>IF(offer_sale_type="транзит",IFERROR(VLOOKUP($B951,calc_data,F$14+1,0),0),0)</f>
        <v/>
      </c>
      <c r="G951" s="141">
        <f>IF(offer_sale_type="транзит",IFERROR(VLOOKUP($B951,calc_data,G$14+1,0),0),0)</f>
        <v/>
      </c>
      <c r="H951" s="141">
        <f>E951*G951</f>
        <v/>
      </c>
      <c r="I951" s="141">
        <f>IF(offer_sale_type="транзит",IFERROR(ROUND(VLOOKUP($B951,calc_data,I$14+1,0),2),0),0)</f>
        <v/>
      </c>
      <c r="J951" s="141">
        <f>ROUND(IF(offer_sale_type="транзит",IFERROR(VLOOKUP($B951,calc_data,J$14+1,0),0),0),2)</f>
        <v/>
      </c>
      <c r="K951" s="142">
        <f>IF(offer_sale_type="транзит",IFERROR(ROUNDUP(VLOOKUP($B951,calc_data,K$14+1,0),2),0),0)</f>
        <v/>
      </c>
      <c r="L951" s="184">
        <f>IF(offer_sale_type="транзит",IFERROR(ROUNDUP(VLOOKUP($B951,calc_data,L$14+1,0),2),0),0)</f>
        <v/>
      </c>
      <c r="M951" s="141">
        <f>IF(offer_sale_type="транзит",IFERROR(ROUNDUP(VLOOKUP($B951,calc_data,M$14+1,0),2),0),0)</f>
        <v/>
      </c>
      <c r="N951" s="141">
        <f>IF(offer_sale_type="транзит",IFERROR(ROUNDUP(VLOOKUP($B951,calc_data,N$14+1,0),2),0),0)</f>
        <v/>
      </c>
      <c r="O951" s="147">
        <f>IF(offer_sale_type="транзит",IFERROR(ROUND(VLOOKUP($B951,calc_data,O$14+1,1),2),0),0)</f>
        <v/>
      </c>
      <c r="P951" s="141">
        <f>IF(offer_sale_type="транзит",IFERROR(ROUND(SUM(I951:J951,M951:O951)/E951,2),0),0)</f>
        <v/>
      </c>
      <c r="Q951" s="141">
        <f>E951*P951</f>
        <v/>
      </c>
      <c r="R951" s="141">
        <f>ROUND(Q951*IF(AND(offer_incoterms="DDP",seller_region="RU"),IF((TODAY()+offer_turnaround_time)&gt;=helpsheet!$L$17,rate_vatRU_from_26,rate_vatRu_till_25),0),2)</f>
        <v/>
      </c>
      <c r="S951" s="177">
        <f>Q951+IF(AND(offer_incoterms="DDP",seller_region="RU"),R951,0)</f>
        <v/>
      </c>
      <c r="T951" s="45" t="n"/>
      <c r="V951" s="57">
        <f>IF(Q951&gt;0,"показать","скрыть")</f>
        <v/>
      </c>
    </row>
    <row r="952" ht="15.75" customHeight="1">
      <c r="B952" s="809" t="n">
        <v>936</v>
      </c>
      <c r="C952" s="182">
        <f>IF(offer_sale_type="транзит",IFERROR(VLOOKUP($B952,calc_data,C$14+1,0),0),0)</f>
        <v/>
      </c>
      <c r="D952" s="280">
        <f>IF(offer_sale_type="транзит",IFERROR(VLOOKUP($B952,calc_data,D$14+1,0),0),0)</f>
        <v/>
      </c>
      <c r="E952" s="182">
        <f>IF(offer_sale_type="транзит",IFERROR(VLOOKUP($B952,calc_data,E$14+1,0),0),0)</f>
        <v/>
      </c>
      <c r="F952" s="182">
        <f>IF(offer_sale_type="транзит",IFERROR(VLOOKUP($B952,calc_data,F$14+1,0),0),0)</f>
        <v/>
      </c>
      <c r="G952" s="141">
        <f>IF(offer_sale_type="транзит",IFERROR(VLOOKUP($B952,calc_data,G$14+1,0),0),0)</f>
        <v/>
      </c>
      <c r="H952" s="141">
        <f>E952*G952</f>
        <v/>
      </c>
      <c r="I952" s="141">
        <f>IF(offer_sale_type="транзит",IFERROR(ROUND(VLOOKUP($B952,calc_data,I$14+1,0),2),0),0)</f>
        <v/>
      </c>
      <c r="J952" s="141">
        <f>ROUND(IF(offer_sale_type="транзит",IFERROR(VLOOKUP($B952,calc_data,J$14+1,0),0),0),2)</f>
        <v/>
      </c>
      <c r="K952" s="142">
        <f>IF(offer_sale_type="транзит",IFERROR(ROUNDUP(VLOOKUP($B952,calc_data,K$14+1,0),2),0),0)</f>
        <v/>
      </c>
      <c r="L952" s="184">
        <f>IF(offer_sale_type="транзит",IFERROR(ROUNDUP(VLOOKUP($B952,calc_data,L$14+1,0),2),0),0)</f>
        <v/>
      </c>
      <c r="M952" s="141">
        <f>IF(offer_sale_type="транзит",IFERROR(ROUNDUP(VLOOKUP($B952,calc_data,M$14+1,0),2),0),0)</f>
        <v/>
      </c>
      <c r="N952" s="141">
        <f>IF(offer_sale_type="транзит",IFERROR(ROUNDUP(VLOOKUP($B952,calc_data,N$14+1,0),2),0),0)</f>
        <v/>
      </c>
      <c r="O952" s="147">
        <f>IF(offer_sale_type="транзит",IFERROR(ROUND(VLOOKUP($B952,calc_data,O$14+1,1),2),0),0)</f>
        <v/>
      </c>
      <c r="P952" s="141">
        <f>IF(offer_sale_type="транзит",IFERROR(ROUND(SUM(I952:J952,M952:O952)/E952,2),0),0)</f>
        <v/>
      </c>
      <c r="Q952" s="141">
        <f>E952*P952</f>
        <v/>
      </c>
      <c r="R952" s="141">
        <f>ROUND(Q952*IF(AND(offer_incoterms="DDP",seller_region="RU"),IF((TODAY()+offer_turnaround_time)&gt;=helpsheet!$L$17,rate_vatRU_from_26,rate_vatRu_till_25),0),2)</f>
        <v/>
      </c>
      <c r="S952" s="177">
        <f>Q952+IF(AND(offer_incoterms="DDP",seller_region="RU"),R952,0)</f>
        <v/>
      </c>
      <c r="T952" s="45" t="n"/>
      <c r="V952" s="57">
        <f>IF(Q952&gt;0,"показать","скрыть")</f>
        <v/>
      </c>
    </row>
    <row r="953" ht="15.75" customHeight="1">
      <c r="B953" s="809" t="n">
        <v>937</v>
      </c>
      <c r="C953" s="182">
        <f>IF(offer_sale_type="транзит",IFERROR(VLOOKUP($B953,calc_data,C$14+1,0),0),0)</f>
        <v/>
      </c>
      <c r="D953" s="280">
        <f>IF(offer_sale_type="транзит",IFERROR(VLOOKUP($B953,calc_data,D$14+1,0),0),0)</f>
        <v/>
      </c>
      <c r="E953" s="182">
        <f>IF(offer_sale_type="транзит",IFERROR(VLOOKUP($B953,calc_data,E$14+1,0),0),0)</f>
        <v/>
      </c>
      <c r="F953" s="182">
        <f>IF(offer_sale_type="транзит",IFERROR(VLOOKUP($B953,calc_data,F$14+1,0),0),0)</f>
        <v/>
      </c>
      <c r="G953" s="141">
        <f>IF(offer_sale_type="транзит",IFERROR(VLOOKUP($B953,calc_data,G$14+1,0),0),0)</f>
        <v/>
      </c>
      <c r="H953" s="141">
        <f>E953*G953</f>
        <v/>
      </c>
      <c r="I953" s="141">
        <f>IF(offer_sale_type="транзит",IFERROR(ROUND(VLOOKUP($B953,calc_data,I$14+1,0),2),0),0)</f>
        <v/>
      </c>
      <c r="J953" s="141">
        <f>ROUND(IF(offer_sale_type="транзит",IFERROR(VLOOKUP($B953,calc_data,J$14+1,0),0),0),2)</f>
        <v/>
      </c>
      <c r="K953" s="142">
        <f>IF(offer_sale_type="транзит",IFERROR(ROUNDUP(VLOOKUP($B953,calc_data,K$14+1,0),2),0),0)</f>
        <v/>
      </c>
      <c r="L953" s="184">
        <f>IF(offer_sale_type="транзит",IFERROR(ROUNDUP(VLOOKUP($B953,calc_data,L$14+1,0),2),0),0)</f>
        <v/>
      </c>
      <c r="M953" s="141">
        <f>IF(offer_sale_type="транзит",IFERROR(ROUNDUP(VLOOKUP($B953,calc_data,M$14+1,0),2),0),0)</f>
        <v/>
      </c>
      <c r="N953" s="141">
        <f>IF(offer_sale_type="транзит",IFERROR(ROUNDUP(VLOOKUP($B953,calc_data,N$14+1,0),2),0),0)</f>
        <v/>
      </c>
      <c r="O953" s="147">
        <f>IF(offer_sale_type="транзит",IFERROR(ROUND(VLOOKUP($B953,calc_data,O$14+1,1),2),0),0)</f>
        <v/>
      </c>
      <c r="P953" s="141">
        <f>IF(offer_sale_type="транзит",IFERROR(ROUND(SUM(I953:J953,M953:O953)/E953,2),0),0)</f>
        <v/>
      </c>
      <c r="Q953" s="141">
        <f>E953*P953</f>
        <v/>
      </c>
      <c r="R953" s="141">
        <f>ROUND(Q953*IF(AND(offer_incoterms="DDP",seller_region="RU"),IF((TODAY()+offer_turnaround_time)&gt;=helpsheet!$L$17,rate_vatRU_from_26,rate_vatRu_till_25),0),2)</f>
        <v/>
      </c>
      <c r="S953" s="177">
        <f>Q953+IF(AND(offer_incoterms="DDP",seller_region="RU"),R953,0)</f>
        <v/>
      </c>
      <c r="T953" s="45" t="n"/>
      <c r="V953" s="57">
        <f>IF(Q953&gt;0,"показать","скрыть")</f>
        <v/>
      </c>
    </row>
    <row r="954" ht="15.75" customHeight="1">
      <c r="B954" s="809" t="n">
        <v>938</v>
      </c>
      <c r="C954" s="182">
        <f>IF(offer_sale_type="транзит",IFERROR(VLOOKUP($B954,calc_data,C$14+1,0),0),0)</f>
        <v/>
      </c>
      <c r="D954" s="280">
        <f>IF(offer_sale_type="транзит",IFERROR(VLOOKUP($B954,calc_data,D$14+1,0),0),0)</f>
        <v/>
      </c>
      <c r="E954" s="182">
        <f>IF(offer_sale_type="транзит",IFERROR(VLOOKUP($B954,calc_data,E$14+1,0),0),0)</f>
        <v/>
      </c>
      <c r="F954" s="182">
        <f>IF(offer_sale_type="транзит",IFERROR(VLOOKUP($B954,calc_data,F$14+1,0),0),0)</f>
        <v/>
      </c>
      <c r="G954" s="141">
        <f>IF(offer_sale_type="транзит",IFERROR(VLOOKUP($B954,calc_data,G$14+1,0),0),0)</f>
        <v/>
      </c>
      <c r="H954" s="141">
        <f>E954*G954</f>
        <v/>
      </c>
      <c r="I954" s="141">
        <f>IF(offer_sale_type="транзит",IFERROR(ROUND(VLOOKUP($B954,calc_data,I$14+1,0),2),0),0)</f>
        <v/>
      </c>
      <c r="J954" s="141">
        <f>ROUND(IF(offer_sale_type="транзит",IFERROR(VLOOKUP($B954,calc_data,J$14+1,0),0),0),2)</f>
        <v/>
      </c>
      <c r="K954" s="142">
        <f>IF(offer_sale_type="транзит",IFERROR(ROUNDUP(VLOOKUP($B954,calc_data,K$14+1,0),2),0),0)</f>
        <v/>
      </c>
      <c r="L954" s="184">
        <f>IF(offer_sale_type="транзит",IFERROR(ROUNDUP(VLOOKUP($B954,calc_data,L$14+1,0),2),0),0)</f>
        <v/>
      </c>
      <c r="M954" s="141">
        <f>IF(offer_sale_type="транзит",IFERROR(ROUNDUP(VLOOKUP($B954,calc_data,M$14+1,0),2),0),0)</f>
        <v/>
      </c>
      <c r="N954" s="141">
        <f>IF(offer_sale_type="транзит",IFERROR(ROUNDUP(VLOOKUP($B954,calc_data,N$14+1,0),2),0),0)</f>
        <v/>
      </c>
      <c r="O954" s="147">
        <f>IF(offer_sale_type="транзит",IFERROR(ROUND(VLOOKUP($B954,calc_data,O$14+1,1),2),0),0)</f>
        <v/>
      </c>
      <c r="P954" s="141">
        <f>IF(offer_sale_type="транзит",IFERROR(ROUND(SUM(I954:J954,M954:O954)/E954,2),0),0)</f>
        <v/>
      </c>
      <c r="Q954" s="141">
        <f>E954*P954</f>
        <v/>
      </c>
      <c r="R954" s="141">
        <f>ROUND(Q954*IF(AND(offer_incoterms="DDP",seller_region="RU"),IF((TODAY()+offer_turnaround_time)&gt;=helpsheet!$L$17,rate_vatRU_from_26,rate_vatRu_till_25),0),2)</f>
        <v/>
      </c>
      <c r="S954" s="177">
        <f>Q954+IF(AND(offer_incoterms="DDP",seller_region="RU"),R954,0)</f>
        <v/>
      </c>
      <c r="T954" s="45" t="n"/>
      <c r="V954" s="57">
        <f>IF(Q954&gt;0,"показать","скрыть")</f>
        <v/>
      </c>
    </row>
    <row r="955" ht="15.75" customHeight="1">
      <c r="B955" s="809" t="n">
        <v>939</v>
      </c>
      <c r="C955" s="182">
        <f>IF(offer_sale_type="транзит",IFERROR(VLOOKUP($B955,calc_data,C$14+1,0),0),0)</f>
        <v/>
      </c>
      <c r="D955" s="280">
        <f>IF(offer_sale_type="транзит",IFERROR(VLOOKUP($B955,calc_data,D$14+1,0),0),0)</f>
        <v/>
      </c>
      <c r="E955" s="182">
        <f>IF(offer_sale_type="транзит",IFERROR(VLOOKUP($B955,calc_data,E$14+1,0),0),0)</f>
        <v/>
      </c>
      <c r="F955" s="182">
        <f>IF(offer_sale_type="транзит",IFERROR(VLOOKUP($B955,calc_data,F$14+1,0),0),0)</f>
        <v/>
      </c>
      <c r="G955" s="141">
        <f>IF(offer_sale_type="транзит",IFERROR(VLOOKUP($B955,calc_data,G$14+1,0),0),0)</f>
        <v/>
      </c>
      <c r="H955" s="141">
        <f>E955*G955</f>
        <v/>
      </c>
      <c r="I955" s="141">
        <f>IF(offer_sale_type="транзит",IFERROR(ROUND(VLOOKUP($B955,calc_data,I$14+1,0),2),0),0)</f>
        <v/>
      </c>
      <c r="J955" s="141">
        <f>ROUND(IF(offer_sale_type="транзит",IFERROR(VLOOKUP($B955,calc_data,J$14+1,0),0),0),2)</f>
        <v/>
      </c>
      <c r="K955" s="142">
        <f>IF(offer_sale_type="транзит",IFERROR(ROUNDUP(VLOOKUP($B955,calc_data,K$14+1,0),2),0),0)</f>
        <v/>
      </c>
      <c r="L955" s="184">
        <f>IF(offer_sale_type="транзит",IFERROR(ROUNDUP(VLOOKUP($B955,calc_data,L$14+1,0),2),0),0)</f>
        <v/>
      </c>
      <c r="M955" s="141">
        <f>IF(offer_sale_type="транзит",IFERROR(ROUNDUP(VLOOKUP($B955,calc_data,M$14+1,0),2),0),0)</f>
        <v/>
      </c>
      <c r="N955" s="141">
        <f>IF(offer_sale_type="транзит",IFERROR(ROUNDUP(VLOOKUP($B955,calc_data,N$14+1,0),2),0),0)</f>
        <v/>
      </c>
      <c r="O955" s="147">
        <f>IF(offer_sale_type="транзит",IFERROR(ROUND(VLOOKUP($B955,calc_data,O$14+1,1),2),0),0)</f>
        <v/>
      </c>
      <c r="P955" s="141">
        <f>IF(offer_sale_type="транзит",IFERROR(ROUND(SUM(I955:J955,M955:O955)/E955,2),0),0)</f>
        <v/>
      </c>
      <c r="Q955" s="141">
        <f>E955*P955</f>
        <v/>
      </c>
      <c r="R955" s="141">
        <f>ROUND(Q955*IF(AND(offer_incoterms="DDP",seller_region="RU"),IF((TODAY()+offer_turnaround_time)&gt;=helpsheet!$L$17,rate_vatRU_from_26,rate_vatRu_till_25),0),2)</f>
        <v/>
      </c>
      <c r="S955" s="177">
        <f>Q955+IF(AND(offer_incoterms="DDP",seller_region="RU"),R955,0)</f>
        <v/>
      </c>
      <c r="T955" s="45" t="n"/>
      <c r="V955" s="57">
        <f>IF(Q955&gt;0,"показать","скрыть")</f>
        <v/>
      </c>
    </row>
    <row r="956" ht="15.75" customHeight="1">
      <c r="B956" s="809" t="n">
        <v>940</v>
      </c>
      <c r="C956" s="182">
        <f>IF(offer_sale_type="транзит",IFERROR(VLOOKUP($B956,calc_data,C$14+1,0),0),0)</f>
        <v/>
      </c>
      <c r="D956" s="280">
        <f>IF(offer_sale_type="транзит",IFERROR(VLOOKUP($B956,calc_data,D$14+1,0),0),0)</f>
        <v/>
      </c>
      <c r="E956" s="182">
        <f>IF(offer_sale_type="транзит",IFERROR(VLOOKUP($B956,calc_data,E$14+1,0),0),0)</f>
        <v/>
      </c>
      <c r="F956" s="182">
        <f>IF(offer_sale_type="транзит",IFERROR(VLOOKUP($B956,calc_data,F$14+1,0),0),0)</f>
        <v/>
      </c>
      <c r="G956" s="141">
        <f>IF(offer_sale_type="транзит",IFERROR(VLOOKUP($B956,calc_data,G$14+1,0),0),0)</f>
        <v/>
      </c>
      <c r="H956" s="141">
        <f>E956*G956</f>
        <v/>
      </c>
      <c r="I956" s="141">
        <f>IF(offer_sale_type="транзит",IFERROR(ROUND(VLOOKUP($B956,calc_data,I$14+1,0),2),0),0)</f>
        <v/>
      </c>
      <c r="J956" s="141">
        <f>ROUND(IF(offer_sale_type="транзит",IFERROR(VLOOKUP($B956,calc_data,J$14+1,0),0),0),2)</f>
        <v/>
      </c>
      <c r="K956" s="142">
        <f>IF(offer_sale_type="транзит",IFERROR(ROUNDUP(VLOOKUP($B956,calc_data,K$14+1,0),2),0),0)</f>
        <v/>
      </c>
      <c r="L956" s="184">
        <f>IF(offer_sale_type="транзит",IFERROR(ROUNDUP(VLOOKUP($B956,calc_data,L$14+1,0),2),0),0)</f>
        <v/>
      </c>
      <c r="M956" s="141">
        <f>IF(offer_sale_type="транзит",IFERROR(ROUNDUP(VLOOKUP($B956,calc_data,M$14+1,0),2),0),0)</f>
        <v/>
      </c>
      <c r="N956" s="141">
        <f>IF(offer_sale_type="транзит",IFERROR(ROUNDUP(VLOOKUP($B956,calc_data,N$14+1,0),2),0),0)</f>
        <v/>
      </c>
      <c r="O956" s="147">
        <f>IF(offer_sale_type="транзит",IFERROR(ROUND(VLOOKUP($B956,calc_data,O$14+1,1),2),0),0)</f>
        <v/>
      </c>
      <c r="P956" s="141">
        <f>IF(offer_sale_type="транзит",IFERROR(ROUND(SUM(I956:J956,M956:O956)/E956,2),0),0)</f>
        <v/>
      </c>
      <c r="Q956" s="141">
        <f>E956*P956</f>
        <v/>
      </c>
      <c r="R956" s="141">
        <f>ROUND(Q956*IF(AND(offer_incoterms="DDP",seller_region="RU"),IF((TODAY()+offer_turnaround_time)&gt;=helpsheet!$L$17,rate_vatRU_from_26,rate_vatRu_till_25),0),2)</f>
        <v/>
      </c>
      <c r="S956" s="177">
        <f>Q956+IF(AND(offer_incoterms="DDP",seller_region="RU"),R956,0)</f>
        <v/>
      </c>
      <c r="T956" s="45" t="n"/>
      <c r="V956" s="57">
        <f>IF(Q956&gt;0,"показать","скрыть")</f>
        <v/>
      </c>
    </row>
    <row r="957" ht="15.75" customHeight="1">
      <c r="B957" s="809" t="n">
        <v>941</v>
      </c>
      <c r="C957" s="182">
        <f>IF(offer_sale_type="транзит",IFERROR(VLOOKUP($B957,calc_data,C$14+1,0),0),0)</f>
        <v/>
      </c>
      <c r="D957" s="280">
        <f>IF(offer_sale_type="транзит",IFERROR(VLOOKUP($B957,calc_data,D$14+1,0),0),0)</f>
        <v/>
      </c>
      <c r="E957" s="182">
        <f>IF(offer_sale_type="транзит",IFERROR(VLOOKUP($B957,calc_data,E$14+1,0),0),0)</f>
        <v/>
      </c>
      <c r="F957" s="182">
        <f>IF(offer_sale_type="транзит",IFERROR(VLOOKUP($B957,calc_data,F$14+1,0),0),0)</f>
        <v/>
      </c>
      <c r="G957" s="141">
        <f>IF(offer_sale_type="транзит",IFERROR(VLOOKUP($B957,calc_data,G$14+1,0),0),0)</f>
        <v/>
      </c>
      <c r="H957" s="141">
        <f>E957*G957</f>
        <v/>
      </c>
      <c r="I957" s="141">
        <f>IF(offer_sale_type="транзит",IFERROR(ROUND(VLOOKUP($B957,calc_data,I$14+1,0),2),0),0)</f>
        <v/>
      </c>
      <c r="J957" s="141">
        <f>ROUND(IF(offer_sale_type="транзит",IFERROR(VLOOKUP($B957,calc_data,J$14+1,0),0),0),2)</f>
        <v/>
      </c>
      <c r="K957" s="142">
        <f>IF(offer_sale_type="транзит",IFERROR(ROUNDUP(VLOOKUP($B957,calc_data,K$14+1,0),2),0),0)</f>
        <v/>
      </c>
      <c r="L957" s="184">
        <f>IF(offer_sale_type="транзит",IFERROR(ROUNDUP(VLOOKUP($B957,calc_data,L$14+1,0),2),0),0)</f>
        <v/>
      </c>
      <c r="M957" s="141">
        <f>IF(offer_sale_type="транзит",IFERROR(ROUNDUP(VLOOKUP($B957,calc_data,M$14+1,0),2),0),0)</f>
        <v/>
      </c>
      <c r="N957" s="141">
        <f>IF(offer_sale_type="транзит",IFERROR(ROUNDUP(VLOOKUP($B957,calc_data,N$14+1,0),2),0),0)</f>
        <v/>
      </c>
      <c r="O957" s="147">
        <f>IF(offer_sale_type="транзит",IFERROR(ROUND(VLOOKUP($B957,calc_data,O$14+1,1),2),0),0)</f>
        <v/>
      </c>
      <c r="P957" s="141">
        <f>IF(offer_sale_type="транзит",IFERROR(ROUND(SUM(I957:J957,M957:O957)/E957,2),0),0)</f>
        <v/>
      </c>
      <c r="Q957" s="141">
        <f>E957*P957</f>
        <v/>
      </c>
      <c r="R957" s="141">
        <f>ROUND(Q957*IF(AND(offer_incoterms="DDP",seller_region="RU"),IF((TODAY()+offer_turnaround_time)&gt;=helpsheet!$L$17,rate_vatRU_from_26,rate_vatRu_till_25),0),2)</f>
        <v/>
      </c>
      <c r="S957" s="177">
        <f>Q957+IF(AND(offer_incoterms="DDP",seller_region="RU"),R957,0)</f>
        <v/>
      </c>
      <c r="T957" s="45" t="n"/>
      <c r="V957" s="57">
        <f>IF(Q957&gt;0,"показать","скрыть")</f>
        <v/>
      </c>
    </row>
    <row r="958" ht="15.75" customHeight="1">
      <c r="B958" s="809" t="n">
        <v>942</v>
      </c>
      <c r="C958" s="182">
        <f>IF(offer_sale_type="транзит",IFERROR(VLOOKUP($B958,calc_data,C$14+1,0),0),0)</f>
        <v/>
      </c>
      <c r="D958" s="280">
        <f>IF(offer_sale_type="транзит",IFERROR(VLOOKUP($B958,calc_data,D$14+1,0),0),0)</f>
        <v/>
      </c>
      <c r="E958" s="182">
        <f>IF(offer_sale_type="транзит",IFERROR(VLOOKUP($B958,calc_data,E$14+1,0),0),0)</f>
        <v/>
      </c>
      <c r="F958" s="182">
        <f>IF(offer_sale_type="транзит",IFERROR(VLOOKUP($B958,calc_data,F$14+1,0),0),0)</f>
        <v/>
      </c>
      <c r="G958" s="141">
        <f>IF(offer_sale_type="транзит",IFERROR(VLOOKUP($B958,calc_data,G$14+1,0),0),0)</f>
        <v/>
      </c>
      <c r="H958" s="141">
        <f>E958*G958</f>
        <v/>
      </c>
      <c r="I958" s="141">
        <f>IF(offer_sale_type="транзит",IFERROR(ROUND(VLOOKUP($B958,calc_data,I$14+1,0),2),0),0)</f>
        <v/>
      </c>
      <c r="J958" s="141">
        <f>ROUND(IF(offer_sale_type="транзит",IFERROR(VLOOKUP($B958,calc_data,J$14+1,0),0),0),2)</f>
        <v/>
      </c>
      <c r="K958" s="142">
        <f>IF(offer_sale_type="транзит",IFERROR(ROUNDUP(VLOOKUP($B958,calc_data,K$14+1,0),2),0),0)</f>
        <v/>
      </c>
      <c r="L958" s="184">
        <f>IF(offer_sale_type="транзит",IFERROR(ROUNDUP(VLOOKUP($B958,calc_data,L$14+1,0),2),0),0)</f>
        <v/>
      </c>
      <c r="M958" s="141">
        <f>IF(offer_sale_type="транзит",IFERROR(ROUNDUP(VLOOKUP($B958,calc_data,M$14+1,0),2),0),0)</f>
        <v/>
      </c>
      <c r="N958" s="141">
        <f>IF(offer_sale_type="транзит",IFERROR(ROUNDUP(VLOOKUP($B958,calc_data,N$14+1,0),2),0),0)</f>
        <v/>
      </c>
      <c r="O958" s="147">
        <f>IF(offer_sale_type="транзит",IFERROR(ROUND(VLOOKUP($B958,calc_data,O$14+1,1),2),0),0)</f>
        <v/>
      </c>
      <c r="P958" s="141">
        <f>IF(offer_sale_type="транзит",IFERROR(ROUND(SUM(I958:J958,M958:O958)/E958,2),0),0)</f>
        <v/>
      </c>
      <c r="Q958" s="141">
        <f>E958*P958</f>
        <v/>
      </c>
      <c r="R958" s="141">
        <f>ROUND(Q958*IF(AND(offer_incoterms="DDP",seller_region="RU"),IF((TODAY()+offer_turnaround_time)&gt;=helpsheet!$L$17,rate_vatRU_from_26,rate_vatRu_till_25),0),2)</f>
        <v/>
      </c>
      <c r="S958" s="177">
        <f>Q958+IF(AND(offer_incoterms="DDP",seller_region="RU"),R958,0)</f>
        <v/>
      </c>
      <c r="T958" s="45" t="n"/>
      <c r="V958" s="57">
        <f>IF(Q958&gt;0,"показать","скрыть")</f>
        <v/>
      </c>
    </row>
    <row r="959" ht="15.75" customHeight="1">
      <c r="B959" s="809" t="n">
        <v>943</v>
      </c>
      <c r="C959" s="182">
        <f>IF(offer_sale_type="транзит",IFERROR(VLOOKUP($B959,calc_data,C$14+1,0),0),0)</f>
        <v/>
      </c>
      <c r="D959" s="280">
        <f>IF(offer_sale_type="транзит",IFERROR(VLOOKUP($B959,calc_data,D$14+1,0),0),0)</f>
        <v/>
      </c>
      <c r="E959" s="182">
        <f>IF(offer_sale_type="транзит",IFERROR(VLOOKUP($B959,calc_data,E$14+1,0),0),0)</f>
        <v/>
      </c>
      <c r="F959" s="182">
        <f>IF(offer_sale_type="транзит",IFERROR(VLOOKUP($B959,calc_data,F$14+1,0),0),0)</f>
        <v/>
      </c>
      <c r="G959" s="141">
        <f>IF(offer_sale_type="транзит",IFERROR(VLOOKUP($B959,calc_data,G$14+1,0),0),0)</f>
        <v/>
      </c>
      <c r="H959" s="141">
        <f>E959*G959</f>
        <v/>
      </c>
      <c r="I959" s="141">
        <f>IF(offer_sale_type="транзит",IFERROR(ROUND(VLOOKUP($B959,calc_data,I$14+1,0),2),0),0)</f>
        <v/>
      </c>
      <c r="J959" s="141">
        <f>ROUND(IF(offer_sale_type="транзит",IFERROR(VLOOKUP($B959,calc_data,J$14+1,0),0),0),2)</f>
        <v/>
      </c>
      <c r="K959" s="142">
        <f>IF(offer_sale_type="транзит",IFERROR(ROUNDUP(VLOOKUP($B959,calc_data,K$14+1,0),2),0),0)</f>
        <v/>
      </c>
      <c r="L959" s="184">
        <f>IF(offer_sale_type="транзит",IFERROR(ROUNDUP(VLOOKUP($B959,calc_data,L$14+1,0),2),0),0)</f>
        <v/>
      </c>
      <c r="M959" s="141">
        <f>IF(offer_sale_type="транзит",IFERROR(ROUNDUP(VLOOKUP($B959,calc_data,M$14+1,0),2),0),0)</f>
        <v/>
      </c>
      <c r="N959" s="141">
        <f>IF(offer_sale_type="транзит",IFERROR(ROUNDUP(VLOOKUP($B959,calc_data,N$14+1,0),2),0),0)</f>
        <v/>
      </c>
      <c r="O959" s="147">
        <f>IF(offer_sale_type="транзит",IFERROR(ROUND(VLOOKUP($B959,calc_data,O$14+1,1),2),0),0)</f>
        <v/>
      </c>
      <c r="P959" s="141">
        <f>IF(offer_sale_type="транзит",IFERROR(ROUND(SUM(I959:J959,M959:O959)/E959,2),0),0)</f>
        <v/>
      </c>
      <c r="Q959" s="141">
        <f>E959*P959</f>
        <v/>
      </c>
      <c r="R959" s="141">
        <f>ROUND(Q959*IF(AND(offer_incoterms="DDP",seller_region="RU"),IF((TODAY()+offer_turnaround_time)&gt;=helpsheet!$L$17,rate_vatRU_from_26,rate_vatRu_till_25),0),2)</f>
        <v/>
      </c>
      <c r="S959" s="177">
        <f>Q959+IF(AND(offer_incoterms="DDP",seller_region="RU"),R959,0)</f>
        <v/>
      </c>
      <c r="T959" s="45" t="n"/>
      <c r="V959" s="57">
        <f>IF(Q959&gt;0,"показать","скрыть")</f>
        <v/>
      </c>
    </row>
    <row r="960" ht="15.75" customHeight="1">
      <c r="B960" s="809" t="n">
        <v>944</v>
      </c>
      <c r="C960" s="182">
        <f>IF(offer_sale_type="транзит",IFERROR(VLOOKUP($B960,calc_data,C$14+1,0),0),0)</f>
        <v/>
      </c>
      <c r="D960" s="280">
        <f>IF(offer_sale_type="транзит",IFERROR(VLOOKUP($B960,calc_data,D$14+1,0),0),0)</f>
        <v/>
      </c>
      <c r="E960" s="182">
        <f>IF(offer_sale_type="транзит",IFERROR(VLOOKUP($B960,calc_data,E$14+1,0),0),0)</f>
        <v/>
      </c>
      <c r="F960" s="182">
        <f>IF(offer_sale_type="транзит",IFERROR(VLOOKUP($B960,calc_data,F$14+1,0),0),0)</f>
        <v/>
      </c>
      <c r="G960" s="141">
        <f>IF(offer_sale_type="транзит",IFERROR(VLOOKUP($B960,calc_data,G$14+1,0),0),0)</f>
        <v/>
      </c>
      <c r="H960" s="141">
        <f>E960*G960</f>
        <v/>
      </c>
      <c r="I960" s="141">
        <f>IF(offer_sale_type="транзит",IFERROR(ROUND(VLOOKUP($B960,calc_data,I$14+1,0),2),0),0)</f>
        <v/>
      </c>
      <c r="J960" s="141">
        <f>ROUND(IF(offer_sale_type="транзит",IFERROR(VLOOKUP($B960,calc_data,J$14+1,0),0),0),2)</f>
        <v/>
      </c>
      <c r="K960" s="142">
        <f>IF(offer_sale_type="транзит",IFERROR(ROUNDUP(VLOOKUP($B960,calc_data,K$14+1,0),2),0),0)</f>
        <v/>
      </c>
      <c r="L960" s="184">
        <f>IF(offer_sale_type="транзит",IFERROR(ROUNDUP(VLOOKUP($B960,calc_data,L$14+1,0),2),0),0)</f>
        <v/>
      </c>
      <c r="M960" s="141">
        <f>IF(offer_sale_type="транзит",IFERROR(ROUNDUP(VLOOKUP($B960,calc_data,M$14+1,0),2),0),0)</f>
        <v/>
      </c>
      <c r="N960" s="141">
        <f>IF(offer_sale_type="транзит",IFERROR(ROUNDUP(VLOOKUP($B960,calc_data,N$14+1,0),2),0),0)</f>
        <v/>
      </c>
      <c r="O960" s="147">
        <f>IF(offer_sale_type="транзит",IFERROR(ROUND(VLOOKUP($B960,calc_data,O$14+1,1),2),0),0)</f>
        <v/>
      </c>
      <c r="P960" s="141">
        <f>IF(offer_sale_type="транзит",IFERROR(ROUND(SUM(I960:J960,M960:O960)/E960,2),0),0)</f>
        <v/>
      </c>
      <c r="Q960" s="141">
        <f>E960*P960</f>
        <v/>
      </c>
      <c r="R960" s="141">
        <f>ROUND(Q960*IF(AND(offer_incoterms="DDP",seller_region="RU"),IF((TODAY()+offer_turnaround_time)&gt;=helpsheet!$L$17,rate_vatRU_from_26,rate_vatRu_till_25),0),2)</f>
        <v/>
      </c>
      <c r="S960" s="177">
        <f>Q960+IF(AND(offer_incoterms="DDP",seller_region="RU"),R960,0)</f>
        <v/>
      </c>
      <c r="T960" s="45" t="n"/>
      <c r="V960" s="57">
        <f>IF(Q960&gt;0,"показать","скрыть")</f>
        <v/>
      </c>
    </row>
    <row r="961" ht="15.75" customHeight="1">
      <c r="B961" s="809" t="n">
        <v>945</v>
      </c>
      <c r="C961" s="182">
        <f>IF(offer_sale_type="транзит",IFERROR(VLOOKUP($B961,calc_data,C$14+1,0),0),0)</f>
        <v/>
      </c>
      <c r="D961" s="280">
        <f>IF(offer_sale_type="транзит",IFERROR(VLOOKUP($B961,calc_data,D$14+1,0),0),0)</f>
        <v/>
      </c>
      <c r="E961" s="182">
        <f>IF(offer_sale_type="транзит",IFERROR(VLOOKUP($B961,calc_data,E$14+1,0),0),0)</f>
        <v/>
      </c>
      <c r="F961" s="182">
        <f>IF(offer_sale_type="транзит",IFERROR(VLOOKUP($B961,calc_data,F$14+1,0),0),0)</f>
        <v/>
      </c>
      <c r="G961" s="141">
        <f>IF(offer_sale_type="транзит",IFERROR(VLOOKUP($B961,calc_data,G$14+1,0),0),0)</f>
        <v/>
      </c>
      <c r="H961" s="141">
        <f>E961*G961</f>
        <v/>
      </c>
      <c r="I961" s="141">
        <f>IF(offer_sale_type="транзит",IFERROR(ROUND(VLOOKUP($B961,calc_data,I$14+1,0),2),0),0)</f>
        <v/>
      </c>
      <c r="J961" s="141">
        <f>ROUND(IF(offer_sale_type="транзит",IFERROR(VLOOKUP($B961,calc_data,J$14+1,0),0),0),2)</f>
        <v/>
      </c>
      <c r="K961" s="142">
        <f>IF(offer_sale_type="транзит",IFERROR(ROUNDUP(VLOOKUP($B961,calc_data,K$14+1,0),2),0),0)</f>
        <v/>
      </c>
      <c r="L961" s="184">
        <f>IF(offer_sale_type="транзит",IFERROR(ROUNDUP(VLOOKUP($B961,calc_data,L$14+1,0),2),0),0)</f>
        <v/>
      </c>
      <c r="M961" s="141">
        <f>IF(offer_sale_type="транзит",IFERROR(ROUNDUP(VLOOKUP($B961,calc_data,M$14+1,0),2),0),0)</f>
        <v/>
      </c>
      <c r="N961" s="141">
        <f>IF(offer_sale_type="транзит",IFERROR(ROUNDUP(VLOOKUP($B961,calc_data,N$14+1,0),2),0),0)</f>
        <v/>
      </c>
      <c r="O961" s="147">
        <f>IF(offer_sale_type="транзит",IFERROR(ROUND(VLOOKUP($B961,calc_data,O$14+1,1),2),0),0)</f>
        <v/>
      </c>
      <c r="P961" s="141">
        <f>IF(offer_sale_type="транзит",IFERROR(ROUND(SUM(I961:J961,M961:O961)/E961,2),0),0)</f>
        <v/>
      </c>
      <c r="Q961" s="141">
        <f>E961*P961</f>
        <v/>
      </c>
      <c r="R961" s="141">
        <f>ROUND(Q961*IF(AND(offer_incoterms="DDP",seller_region="RU"),IF((TODAY()+offer_turnaround_time)&gt;=helpsheet!$L$17,rate_vatRU_from_26,rate_vatRu_till_25),0),2)</f>
        <v/>
      </c>
      <c r="S961" s="177">
        <f>Q961+IF(AND(offer_incoterms="DDP",seller_region="RU"),R961,0)</f>
        <v/>
      </c>
      <c r="T961" s="45" t="n"/>
      <c r="V961" s="57">
        <f>IF(Q961&gt;0,"показать","скрыть")</f>
        <v/>
      </c>
    </row>
    <row r="962" ht="15.75" customHeight="1">
      <c r="B962" s="809" t="n">
        <v>946</v>
      </c>
      <c r="C962" s="182">
        <f>IF(offer_sale_type="транзит",IFERROR(VLOOKUP($B962,calc_data,C$14+1,0),0),0)</f>
        <v/>
      </c>
      <c r="D962" s="280">
        <f>IF(offer_sale_type="транзит",IFERROR(VLOOKUP($B962,calc_data,D$14+1,0),0),0)</f>
        <v/>
      </c>
      <c r="E962" s="182">
        <f>IF(offer_sale_type="транзит",IFERROR(VLOOKUP($B962,calc_data,E$14+1,0),0),0)</f>
        <v/>
      </c>
      <c r="F962" s="182">
        <f>IF(offer_sale_type="транзит",IFERROR(VLOOKUP($B962,calc_data,F$14+1,0),0),0)</f>
        <v/>
      </c>
      <c r="G962" s="141">
        <f>IF(offer_sale_type="транзит",IFERROR(VLOOKUP($B962,calc_data,G$14+1,0),0),0)</f>
        <v/>
      </c>
      <c r="H962" s="141">
        <f>E962*G962</f>
        <v/>
      </c>
      <c r="I962" s="141">
        <f>IF(offer_sale_type="транзит",IFERROR(ROUND(VLOOKUP($B962,calc_data,I$14+1,0),2),0),0)</f>
        <v/>
      </c>
      <c r="J962" s="141">
        <f>ROUND(IF(offer_sale_type="транзит",IFERROR(VLOOKUP($B962,calc_data,J$14+1,0),0),0),2)</f>
        <v/>
      </c>
      <c r="K962" s="142">
        <f>IF(offer_sale_type="транзит",IFERROR(ROUNDUP(VLOOKUP($B962,calc_data,K$14+1,0),2),0),0)</f>
        <v/>
      </c>
      <c r="L962" s="184">
        <f>IF(offer_sale_type="транзит",IFERROR(ROUNDUP(VLOOKUP($B962,calc_data,L$14+1,0),2),0),0)</f>
        <v/>
      </c>
      <c r="M962" s="141">
        <f>IF(offer_sale_type="транзит",IFERROR(ROUNDUP(VLOOKUP($B962,calc_data,M$14+1,0),2),0),0)</f>
        <v/>
      </c>
      <c r="N962" s="141">
        <f>IF(offer_sale_type="транзит",IFERROR(ROUNDUP(VLOOKUP($B962,calc_data,N$14+1,0),2),0),0)</f>
        <v/>
      </c>
      <c r="O962" s="147">
        <f>IF(offer_sale_type="транзит",IFERROR(ROUND(VLOOKUP($B962,calc_data,O$14+1,1),2),0),0)</f>
        <v/>
      </c>
      <c r="P962" s="141">
        <f>IF(offer_sale_type="транзит",IFERROR(ROUND(SUM(I962:J962,M962:O962)/E962,2),0),0)</f>
        <v/>
      </c>
      <c r="Q962" s="141">
        <f>E962*P962</f>
        <v/>
      </c>
      <c r="R962" s="141">
        <f>ROUND(Q962*IF(AND(offer_incoterms="DDP",seller_region="RU"),IF((TODAY()+offer_turnaround_time)&gt;=helpsheet!$L$17,rate_vatRU_from_26,rate_vatRu_till_25),0),2)</f>
        <v/>
      </c>
      <c r="S962" s="177">
        <f>Q962+IF(AND(offer_incoterms="DDP",seller_region="RU"),R962,0)</f>
        <v/>
      </c>
      <c r="T962" s="45" t="n"/>
      <c r="V962" s="57">
        <f>IF(Q962&gt;0,"показать","скрыть")</f>
        <v/>
      </c>
    </row>
    <row r="963" ht="15.75" customHeight="1">
      <c r="B963" s="809" t="n">
        <v>947</v>
      </c>
      <c r="C963" s="182">
        <f>IF(offer_sale_type="транзит",IFERROR(VLOOKUP($B963,calc_data,C$14+1,0),0),0)</f>
        <v/>
      </c>
      <c r="D963" s="280">
        <f>IF(offer_sale_type="транзит",IFERROR(VLOOKUP($B963,calc_data,D$14+1,0),0),0)</f>
        <v/>
      </c>
      <c r="E963" s="182">
        <f>IF(offer_sale_type="транзит",IFERROR(VLOOKUP($B963,calc_data,E$14+1,0),0),0)</f>
        <v/>
      </c>
      <c r="F963" s="182">
        <f>IF(offer_sale_type="транзит",IFERROR(VLOOKUP($B963,calc_data,F$14+1,0),0),0)</f>
        <v/>
      </c>
      <c r="G963" s="141">
        <f>IF(offer_sale_type="транзит",IFERROR(VLOOKUP($B963,calc_data,G$14+1,0),0),0)</f>
        <v/>
      </c>
      <c r="H963" s="141">
        <f>E963*G963</f>
        <v/>
      </c>
      <c r="I963" s="141">
        <f>IF(offer_sale_type="транзит",IFERROR(ROUND(VLOOKUP($B963,calc_data,I$14+1,0),2),0),0)</f>
        <v/>
      </c>
      <c r="J963" s="141">
        <f>ROUND(IF(offer_sale_type="транзит",IFERROR(VLOOKUP($B963,calc_data,J$14+1,0),0),0),2)</f>
        <v/>
      </c>
      <c r="K963" s="142">
        <f>IF(offer_sale_type="транзит",IFERROR(ROUNDUP(VLOOKUP($B963,calc_data,K$14+1,0),2),0),0)</f>
        <v/>
      </c>
      <c r="L963" s="184">
        <f>IF(offer_sale_type="транзит",IFERROR(ROUNDUP(VLOOKUP($B963,calc_data,L$14+1,0),2),0),0)</f>
        <v/>
      </c>
      <c r="M963" s="141">
        <f>IF(offer_sale_type="транзит",IFERROR(ROUNDUP(VLOOKUP($B963,calc_data,M$14+1,0),2),0),0)</f>
        <v/>
      </c>
      <c r="N963" s="141">
        <f>IF(offer_sale_type="транзит",IFERROR(ROUNDUP(VLOOKUP($B963,calc_data,N$14+1,0),2),0),0)</f>
        <v/>
      </c>
      <c r="O963" s="147">
        <f>IF(offer_sale_type="транзит",IFERROR(ROUND(VLOOKUP($B963,calc_data,O$14+1,1),2),0),0)</f>
        <v/>
      </c>
      <c r="P963" s="141">
        <f>IF(offer_sale_type="транзит",IFERROR(ROUND(SUM(I963:J963,M963:O963)/E963,2),0),0)</f>
        <v/>
      </c>
      <c r="Q963" s="141">
        <f>E963*P963</f>
        <v/>
      </c>
      <c r="R963" s="141">
        <f>ROUND(Q963*IF(AND(offer_incoterms="DDP",seller_region="RU"),IF((TODAY()+offer_turnaround_time)&gt;=helpsheet!$L$17,rate_vatRU_from_26,rate_vatRu_till_25),0),2)</f>
        <v/>
      </c>
      <c r="S963" s="177">
        <f>Q963+IF(AND(offer_incoterms="DDP",seller_region="RU"),R963,0)</f>
        <v/>
      </c>
      <c r="T963" s="45" t="n"/>
      <c r="V963" s="57">
        <f>IF(Q963&gt;0,"показать","скрыть")</f>
        <v/>
      </c>
    </row>
    <row r="964" ht="15.75" customHeight="1">
      <c r="B964" s="809" t="n">
        <v>948</v>
      </c>
      <c r="C964" s="182">
        <f>IF(offer_sale_type="транзит",IFERROR(VLOOKUP($B964,calc_data,C$14+1,0),0),0)</f>
        <v/>
      </c>
      <c r="D964" s="280">
        <f>IF(offer_sale_type="транзит",IFERROR(VLOOKUP($B964,calc_data,D$14+1,0),0),0)</f>
        <v/>
      </c>
      <c r="E964" s="182">
        <f>IF(offer_sale_type="транзит",IFERROR(VLOOKUP($B964,calc_data,E$14+1,0),0),0)</f>
        <v/>
      </c>
      <c r="F964" s="182">
        <f>IF(offer_sale_type="транзит",IFERROR(VLOOKUP($B964,calc_data,F$14+1,0),0),0)</f>
        <v/>
      </c>
      <c r="G964" s="141">
        <f>IF(offer_sale_type="транзит",IFERROR(VLOOKUP($B964,calc_data,G$14+1,0),0),0)</f>
        <v/>
      </c>
      <c r="H964" s="141">
        <f>E964*G964</f>
        <v/>
      </c>
      <c r="I964" s="141">
        <f>IF(offer_sale_type="транзит",IFERROR(ROUND(VLOOKUP($B964,calc_data,I$14+1,0),2),0),0)</f>
        <v/>
      </c>
      <c r="J964" s="141">
        <f>ROUND(IF(offer_sale_type="транзит",IFERROR(VLOOKUP($B964,calc_data,J$14+1,0),0),0),2)</f>
        <v/>
      </c>
      <c r="K964" s="142">
        <f>IF(offer_sale_type="транзит",IFERROR(ROUNDUP(VLOOKUP($B964,calc_data,K$14+1,0),2),0),0)</f>
        <v/>
      </c>
      <c r="L964" s="184">
        <f>IF(offer_sale_type="транзит",IFERROR(ROUNDUP(VLOOKUP($B964,calc_data,L$14+1,0),2),0),0)</f>
        <v/>
      </c>
      <c r="M964" s="141">
        <f>IF(offer_sale_type="транзит",IFERROR(ROUNDUP(VLOOKUP($B964,calc_data,M$14+1,0),2),0),0)</f>
        <v/>
      </c>
      <c r="N964" s="141">
        <f>IF(offer_sale_type="транзит",IFERROR(ROUNDUP(VLOOKUP($B964,calc_data,N$14+1,0),2),0),0)</f>
        <v/>
      </c>
      <c r="O964" s="147">
        <f>IF(offer_sale_type="транзит",IFERROR(ROUND(VLOOKUP($B964,calc_data,O$14+1,1),2),0),0)</f>
        <v/>
      </c>
      <c r="P964" s="141">
        <f>IF(offer_sale_type="транзит",IFERROR(ROUND(SUM(I964:J964,M964:O964)/E964,2),0),0)</f>
        <v/>
      </c>
      <c r="Q964" s="141">
        <f>E964*P964</f>
        <v/>
      </c>
      <c r="R964" s="141">
        <f>ROUND(Q964*IF(AND(offer_incoterms="DDP",seller_region="RU"),IF((TODAY()+offer_turnaround_time)&gt;=helpsheet!$L$17,rate_vatRU_from_26,rate_vatRu_till_25),0),2)</f>
        <v/>
      </c>
      <c r="S964" s="177">
        <f>Q964+IF(AND(offer_incoterms="DDP",seller_region="RU"),R964,0)</f>
        <v/>
      </c>
      <c r="T964" s="45" t="n"/>
      <c r="V964" s="57">
        <f>IF(Q964&gt;0,"показать","скрыть")</f>
        <v/>
      </c>
    </row>
    <row r="965" ht="15.75" customHeight="1">
      <c r="B965" s="809" t="n">
        <v>949</v>
      </c>
      <c r="C965" s="182">
        <f>IF(offer_sale_type="транзит",IFERROR(VLOOKUP($B965,calc_data,C$14+1,0),0),0)</f>
        <v/>
      </c>
      <c r="D965" s="280">
        <f>IF(offer_sale_type="транзит",IFERROR(VLOOKUP($B965,calc_data,D$14+1,0),0),0)</f>
        <v/>
      </c>
      <c r="E965" s="182">
        <f>IF(offer_sale_type="транзит",IFERROR(VLOOKUP($B965,calc_data,E$14+1,0),0),0)</f>
        <v/>
      </c>
      <c r="F965" s="182">
        <f>IF(offer_sale_type="транзит",IFERROR(VLOOKUP($B965,calc_data,F$14+1,0),0),0)</f>
        <v/>
      </c>
      <c r="G965" s="141">
        <f>IF(offer_sale_type="транзит",IFERROR(VLOOKUP($B965,calc_data,G$14+1,0),0),0)</f>
        <v/>
      </c>
      <c r="H965" s="141">
        <f>E965*G965</f>
        <v/>
      </c>
      <c r="I965" s="141">
        <f>IF(offer_sale_type="транзит",IFERROR(ROUND(VLOOKUP($B965,calc_data,I$14+1,0),2),0),0)</f>
        <v/>
      </c>
      <c r="J965" s="141">
        <f>ROUND(IF(offer_sale_type="транзит",IFERROR(VLOOKUP($B965,calc_data,J$14+1,0),0),0),2)</f>
        <v/>
      </c>
      <c r="K965" s="142">
        <f>IF(offer_sale_type="транзит",IFERROR(ROUNDUP(VLOOKUP($B965,calc_data,K$14+1,0),2),0),0)</f>
        <v/>
      </c>
      <c r="L965" s="184">
        <f>IF(offer_sale_type="транзит",IFERROR(ROUNDUP(VLOOKUP($B965,calc_data,L$14+1,0),2),0),0)</f>
        <v/>
      </c>
      <c r="M965" s="141">
        <f>IF(offer_sale_type="транзит",IFERROR(ROUNDUP(VLOOKUP($B965,calc_data,M$14+1,0),2),0),0)</f>
        <v/>
      </c>
      <c r="N965" s="141">
        <f>IF(offer_sale_type="транзит",IFERROR(ROUNDUP(VLOOKUP($B965,calc_data,N$14+1,0),2),0),0)</f>
        <v/>
      </c>
      <c r="O965" s="147">
        <f>IF(offer_sale_type="транзит",IFERROR(ROUND(VLOOKUP($B965,calc_data,O$14+1,1),2),0),0)</f>
        <v/>
      </c>
      <c r="P965" s="141">
        <f>IF(offer_sale_type="транзит",IFERROR(ROUND(SUM(I965:J965,M965:O965)/E965,2),0),0)</f>
        <v/>
      </c>
      <c r="Q965" s="141">
        <f>E965*P965</f>
        <v/>
      </c>
      <c r="R965" s="141">
        <f>ROUND(Q965*IF(AND(offer_incoterms="DDP",seller_region="RU"),IF((TODAY()+offer_turnaround_time)&gt;=helpsheet!$L$17,rate_vatRU_from_26,rate_vatRu_till_25),0),2)</f>
        <v/>
      </c>
      <c r="S965" s="177">
        <f>Q965+IF(AND(offer_incoterms="DDP",seller_region="RU"),R965,0)</f>
        <v/>
      </c>
      <c r="T965" s="45" t="n"/>
      <c r="V965" s="57">
        <f>IF(Q965&gt;0,"показать","скрыть")</f>
        <v/>
      </c>
    </row>
    <row r="966" ht="15.75" customHeight="1">
      <c r="B966" s="809" t="n">
        <v>950</v>
      </c>
      <c r="C966" s="182">
        <f>IF(offer_sale_type="транзит",IFERROR(VLOOKUP($B966,calc_data,C$14+1,0),0),0)</f>
        <v/>
      </c>
      <c r="D966" s="280">
        <f>IF(offer_sale_type="транзит",IFERROR(VLOOKUP($B966,calc_data,D$14+1,0),0),0)</f>
        <v/>
      </c>
      <c r="E966" s="182">
        <f>IF(offer_sale_type="транзит",IFERROR(VLOOKUP($B966,calc_data,E$14+1,0),0),0)</f>
        <v/>
      </c>
      <c r="F966" s="182">
        <f>IF(offer_sale_type="транзит",IFERROR(VLOOKUP($B966,calc_data,F$14+1,0),0),0)</f>
        <v/>
      </c>
      <c r="G966" s="141">
        <f>IF(offer_sale_type="транзит",IFERROR(VLOOKUP($B966,calc_data,G$14+1,0),0),0)</f>
        <v/>
      </c>
      <c r="H966" s="141">
        <f>E966*G966</f>
        <v/>
      </c>
      <c r="I966" s="141">
        <f>IF(offer_sale_type="транзит",IFERROR(ROUND(VLOOKUP($B966,calc_data,I$14+1,0),2),0),0)</f>
        <v/>
      </c>
      <c r="J966" s="141">
        <f>ROUND(IF(offer_sale_type="транзит",IFERROR(VLOOKUP($B966,calc_data,J$14+1,0),0),0),2)</f>
        <v/>
      </c>
      <c r="K966" s="142">
        <f>IF(offer_sale_type="транзит",IFERROR(ROUNDUP(VLOOKUP($B966,calc_data,K$14+1,0),2),0),0)</f>
        <v/>
      </c>
      <c r="L966" s="184">
        <f>IF(offer_sale_type="транзит",IFERROR(ROUNDUP(VLOOKUP($B966,calc_data,L$14+1,0),2),0),0)</f>
        <v/>
      </c>
      <c r="M966" s="141">
        <f>IF(offer_sale_type="транзит",IFERROR(ROUNDUP(VLOOKUP($B966,calc_data,M$14+1,0),2),0),0)</f>
        <v/>
      </c>
      <c r="N966" s="141">
        <f>IF(offer_sale_type="транзит",IFERROR(ROUNDUP(VLOOKUP($B966,calc_data,N$14+1,0),2),0),0)</f>
        <v/>
      </c>
      <c r="O966" s="147">
        <f>IF(offer_sale_type="транзит",IFERROR(ROUND(VLOOKUP($B966,calc_data,O$14+1,1),2),0),0)</f>
        <v/>
      </c>
      <c r="P966" s="141">
        <f>IF(offer_sale_type="транзит",IFERROR(ROUND(SUM(I966:J966,M966:O966)/E966,2),0),0)</f>
        <v/>
      </c>
      <c r="Q966" s="141">
        <f>E966*P966</f>
        <v/>
      </c>
      <c r="R966" s="141">
        <f>ROUND(Q966*IF(AND(offer_incoterms="DDP",seller_region="RU"),IF((TODAY()+offer_turnaround_time)&gt;=helpsheet!$L$17,rate_vatRU_from_26,rate_vatRu_till_25),0),2)</f>
        <v/>
      </c>
      <c r="S966" s="177">
        <f>Q966+IF(AND(offer_incoterms="DDP",seller_region="RU"),R966,0)</f>
        <v/>
      </c>
      <c r="T966" s="45" t="n"/>
      <c r="V966" s="57">
        <f>IF(Q966&gt;0,"показать","скрыть")</f>
        <v/>
      </c>
    </row>
    <row r="967" ht="15.75" customHeight="1">
      <c r="B967" s="809" t="n">
        <v>951</v>
      </c>
      <c r="C967" s="182">
        <f>IF(offer_sale_type="транзит",IFERROR(VLOOKUP($B967,calc_data,C$14+1,0),0),0)</f>
        <v/>
      </c>
      <c r="D967" s="280">
        <f>IF(offer_sale_type="транзит",IFERROR(VLOOKUP($B967,calc_data,D$14+1,0),0),0)</f>
        <v/>
      </c>
      <c r="E967" s="182">
        <f>IF(offer_sale_type="транзит",IFERROR(VLOOKUP($B967,calc_data,E$14+1,0),0),0)</f>
        <v/>
      </c>
      <c r="F967" s="182">
        <f>IF(offer_sale_type="транзит",IFERROR(VLOOKUP($B967,calc_data,F$14+1,0),0),0)</f>
        <v/>
      </c>
      <c r="G967" s="141">
        <f>IF(offer_sale_type="транзит",IFERROR(VLOOKUP($B967,calc_data,G$14+1,0),0),0)</f>
        <v/>
      </c>
      <c r="H967" s="141">
        <f>E967*G967</f>
        <v/>
      </c>
      <c r="I967" s="141">
        <f>IF(offer_sale_type="транзит",IFERROR(ROUND(VLOOKUP($B967,calc_data,I$14+1,0),2),0),0)</f>
        <v/>
      </c>
      <c r="J967" s="141">
        <f>ROUND(IF(offer_sale_type="транзит",IFERROR(VLOOKUP($B967,calc_data,J$14+1,0),0),0),2)</f>
        <v/>
      </c>
      <c r="K967" s="142">
        <f>IF(offer_sale_type="транзит",IFERROR(ROUNDUP(VLOOKUP($B967,calc_data,K$14+1,0),2),0),0)</f>
        <v/>
      </c>
      <c r="L967" s="184">
        <f>IF(offer_sale_type="транзит",IFERROR(ROUNDUP(VLOOKUP($B967,calc_data,L$14+1,0),2),0),0)</f>
        <v/>
      </c>
      <c r="M967" s="141">
        <f>IF(offer_sale_type="транзит",IFERROR(ROUNDUP(VLOOKUP($B967,calc_data,M$14+1,0),2),0),0)</f>
        <v/>
      </c>
      <c r="N967" s="141">
        <f>IF(offer_sale_type="транзит",IFERROR(ROUNDUP(VLOOKUP($B967,calc_data,N$14+1,0),2),0),0)</f>
        <v/>
      </c>
      <c r="O967" s="147">
        <f>IF(offer_sale_type="транзит",IFERROR(ROUND(VLOOKUP($B967,calc_data,O$14+1,1),2),0),0)</f>
        <v/>
      </c>
      <c r="P967" s="141">
        <f>IF(offer_sale_type="транзит",IFERROR(ROUND(SUM(I967:J967,M967:O967)/E967,2),0),0)</f>
        <v/>
      </c>
      <c r="Q967" s="141">
        <f>E967*P967</f>
        <v/>
      </c>
      <c r="R967" s="141">
        <f>ROUND(Q967*IF(AND(offer_incoterms="DDP",seller_region="RU"),IF((TODAY()+offer_turnaround_time)&gt;=helpsheet!$L$17,rate_vatRU_from_26,rate_vatRu_till_25),0),2)</f>
        <v/>
      </c>
      <c r="S967" s="177">
        <f>Q967+IF(AND(offer_incoterms="DDP",seller_region="RU"),R967,0)</f>
        <v/>
      </c>
      <c r="T967" s="45" t="n"/>
      <c r="V967" s="57">
        <f>IF(Q967&gt;0,"показать","скрыть")</f>
        <v/>
      </c>
    </row>
    <row r="968" ht="15.75" customHeight="1">
      <c r="B968" s="809" t="n">
        <v>952</v>
      </c>
      <c r="C968" s="182">
        <f>IF(offer_sale_type="транзит",IFERROR(VLOOKUP($B968,calc_data,C$14+1,0),0),0)</f>
        <v/>
      </c>
      <c r="D968" s="280">
        <f>IF(offer_sale_type="транзит",IFERROR(VLOOKUP($B968,calc_data,D$14+1,0),0),0)</f>
        <v/>
      </c>
      <c r="E968" s="182">
        <f>IF(offer_sale_type="транзит",IFERROR(VLOOKUP($B968,calc_data,E$14+1,0),0),0)</f>
        <v/>
      </c>
      <c r="F968" s="182">
        <f>IF(offer_sale_type="транзит",IFERROR(VLOOKUP($B968,calc_data,F$14+1,0),0),0)</f>
        <v/>
      </c>
      <c r="G968" s="141">
        <f>IF(offer_sale_type="транзит",IFERROR(VLOOKUP($B968,calc_data,G$14+1,0),0),0)</f>
        <v/>
      </c>
      <c r="H968" s="141">
        <f>E968*G968</f>
        <v/>
      </c>
      <c r="I968" s="141">
        <f>IF(offer_sale_type="транзит",IFERROR(ROUND(VLOOKUP($B968,calc_data,I$14+1,0),2),0),0)</f>
        <v/>
      </c>
      <c r="J968" s="141">
        <f>ROUND(IF(offer_sale_type="транзит",IFERROR(VLOOKUP($B968,calc_data,J$14+1,0),0),0),2)</f>
        <v/>
      </c>
      <c r="K968" s="142">
        <f>IF(offer_sale_type="транзит",IFERROR(ROUNDUP(VLOOKUP($B968,calc_data,K$14+1,0),2),0),0)</f>
        <v/>
      </c>
      <c r="L968" s="184">
        <f>IF(offer_sale_type="транзит",IFERROR(ROUNDUP(VLOOKUP($B968,calc_data,L$14+1,0),2),0),0)</f>
        <v/>
      </c>
      <c r="M968" s="141">
        <f>IF(offer_sale_type="транзит",IFERROR(ROUNDUP(VLOOKUP($B968,calc_data,M$14+1,0),2),0),0)</f>
        <v/>
      </c>
      <c r="N968" s="141">
        <f>IF(offer_sale_type="транзит",IFERROR(ROUNDUP(VLOOKUP($B968,calc_data,N$14+1,0),2),0),0)</f>
        <v/>
      </c>
      <c r="O968" s="147">
        <f>IF(offer_sale_type="транзит",IFERROR(ROUND(VLOOKUP($B968,calc_data,O$14+1,1),2),0),0)</f>
        <v/>
      </c>
      <c r="P968" s="141">
        <f>IF(offer_sale_type="транзит",IFERROR(ROUND(SUM(I968:J968,M968:O968)/E968,2),0),0)</f>
        <v/>
      </c>
      <c r="Q968" s="141">
        <f>E968*P968</f>
        <v/>
      </c>
      <c r="R968" s="141">
        <f>ROUND(Q968*IF(AND(offer_incoterms="DDP",seller_region="RU"),IF((TODAY()+offer_turnaround_time)&gt;=helpsheet!$L$17,rate_vatRU_from_26,rate_vatRu_till_25),0),2)</f>
        <v/>
      </c>
      <c r="S968" s="177">
        <f>Q968+IF(AND(offer_incoterms="DDP",seller_region="RU"),R968,0)</f>
        <v/>
      </c>
      <c r="T968" s="45" t="n"/>
      <c r="V968" s="57">
        <f>IF(Q968&gt;0,"показать","скрыть")</f>
        <v/>
      </c>
    </row>
    <row r="969" ht="15.75" customHeight="1">
      <c r="B969" s="809" t="n">
        <v>953</v>
      </c>
      <c r="C969" s="182">
        <f>IF(offer_sale_type="транзит",IFERROR(VLOOKUP($B969,calc_data,C$14+1,0),0),0)</f>
        <v/>
      </c>
      <c r="D969" s="280">
        <f>IF(offer_sale_type="транзит",IFERROR(VLOOKUP($B969,calc_data,D$14+1,0),0),0)</f>
        <v/>
      </c>
      <c r="E969" s="182">
        <f>IF(offer_sale_type="транзит",IFERROR(VLOOKUP($B969,calc_data,E$14+1,0),0),0)</f>
        <v/>
      </c>
      <c r="F969" s="182">
        <f>IF(offer_sale_type="транзит",IFERROR(VLOOKUP($B969,calc_data,F$14+1,0),0),0)</f>
        <v/>
      </c>
      <c r="G969" s="141">
        <f>IF(offer_sale_type="транзит",IFERROR(VLOOKUP($B969,calc_data,G$14+1,0),0),0)</f>
        <v/>
      </c>
      <c r="H969" s="141">
        <f>E969*G969</f>
        <v/>
      </c>
      <c r="I969" s="141">
        <f>IF(offer_sale_type="транзит",IFERROR(ROUND(VLOOKUP($B969,calc_data,I$14+1,0),2),0),0)</f>
        <v/>
      </c>
      <c r="J969" s="141">
        <f>ROUND(IF(offer_sale_type="транзит",IFERROR(VLOOKUP($B969,calc_data,J$14+1,0),0),0),2)</f>
        <v/>
      </c>
      <c r="K969" s="142">
        <f>IF(offer_sale_type="транзит",IFERROR(ROUNDUP(VLOOKUP($B969,calc_data,K$14+1,0),2),0),0)</f>
        <v/>
      </c>
      <c r="L969" s="184">
        <f>IF(offer_sale_type="транзит",IFERROR(ROUNDUP(VLOOKUP($B969,calc_data,L$14+1,0),2),0),0)</f>
        <v/>
      </c>
      <c r="M969" s="141">
        <f>IF(offer_sale_type="транзит",IFERROR(ROUNDUP(VLOOKUP($B969,calc_data,M$14+1,0),2),0),0)</f>
        <v/>
      </c>
      <c r="N969" s="141">
        <f>IF(offer_sale_type="транзит",IFERROR(ROUNDUP(VLOOKUP($B969,calc_data,N$14+1,0),2),0),0)</f>
        <v/>
      </c>
      <c r="O969" s="147">
        <f>IF(offer_sale_type="транзит",IFERROR(ROUND(VLOOKUP($B969,calc_data,O$14+1,1),2),0),0)</f>
        <v/>
      </c>
      <c r="P969" s="141">
        <f>IF(offer_sale_type="транзит",IFERROR(ROUND(SUM(I969:J969,M969:O969)/E969,2),0),0)</f>
        <v/>
      </c>
      <c r="Q969" s="141">
        <f>E969*P969</f>
        <v/>
      </c>
      <c r="R969" s="141">
        <f>ROUND(Q969*IF(AND(offer_incoterms="DDP",seller_region="RU"),IF((TODAY()+offer_turnaround_time)&gt;=helpsheet!$L$17,rate_vatRU_from_26,rate_vatRu_till_25),0),2)</f>
        <v/>
      </c>
      <c r="S969" s="177">
        <f>Q969+IF(AND(offer_incoterms="DDP",seller_region="RU"),R969,0)</f>
        <v/>
      </c>
      <c r="T969" s="45" t="n"/>
      <c r="V969" s="57">
        <f>IF(Q969&gt;0,"показать","скрыть")</f>
        <v/>
      </c>
    </row>
    <row r="970" ht="15.75" customHeight="1">
      <c r="B970" s="809" t="n">
        <v>954</v>
      </c>
      <c r="C970" s="182">
        <f>IF(offer_sale_type="транзит",IFERROR(VLOOKUP($B970,calc_data,C$14+1,0),0),0)</f>
        <v/>
      </c>
      <c r="D970" s="280">
        <f>IF(offer_sale_type="транзит",IFERROR(VLOOKUP($B970,calc_data,D$14+1,0),0),0)</f>
        <v/>
      </c>
      <c r="E970" s="182">
        <f>IF(offer_sale_type="транзит",IFERROR(VLOOKUP($B970,calc_data,E$14+1,0),0),0)</f>
        <v/>
      </c>
      <c r="F970" s="182">
        <f>IF(offer_sale_type="транзит",IFERROR(VLOOKUP($B970,calc_data,F$14+1,0),0),0)</f>
        <v/>
      </c>
      <c r="G970" s="141">
        <f>IF(offer_sale_type="транзит",IFERROR(VLOOKUP($B970,calc_data,G$14+1,0),0),0)</f>
        <v/>
      </c>
      <c r="H970" s="141">
        <f>E970*G970</f>
        <v/>
      </c>
      <c r="I970" s="141">
        <f>IF(offer_sale_type="транзит",IFERROR(ROUND(VLOOKUP($B970,calc_data,I$14+1,0),2),0),0)</f>
        <v/>
      </c>
      <c r="J970" s="141">
        <f>ROUND(IF(offer_sale_type="транзит",IFERROR(VLOOKUP($B970,calc_data,J$14+1,0),0),0),2)</f>
        <v/>
      </c>
      <c r="K970" s="142">
        <f>IF(offer_sale_type="транзит",IFERROR(ROUNDUP(VLOOKUP($B970,calc_data,K$14+1,0),2),0),0)</f>
        <v/>
      </c>
      <c r="L970" s="184">
        <f>IF(offer_sale_type="транзит",IFERROR(ROUNDUP(VLOOKUP($B970,calc_data,L$14+1,0),2),0),0)</f>
        <v/>
      </c>
      <c r="M970" s="141">
        <f>IF(offer_sale_type="транзит",IFERROR(ROUNDUP(VLOOKUP($B970,calc_data,M$14+1,0),2),0),0)</f>
        <v/>
      </c>
      <c r="N970" s="141">
        <f>IF(offer_sale_type="транзит",IFERROR(ROUNDUP(VLOOKUP($B970,calc_data,N$14+1,0),2),0),0)</f>
        <v/>
      </c>
      <c r="O970" s="147">
        <f>IF(offer_sale_type="транзит",IFERROR(ROUND(VLOOKUP($B970,calc_data,O$14+1,1),2),0),0)</f>
        <v/>
      </c>
      <c r="P970" s="141">
        <f>IF(offer_sale_type="транзит",IFERROR(ROUND(SUM(I970:J970,M970:O970)/E970,2),0),0)</f>
        <v/>
      </c>
      <c r="Q970" s="141">
        <f>E970*P970</f>
        <v/>
      </c>
      <c r="R970" s="141">
        <f>ROUND(Q970*IF(AND(offer_incoterms="DDP",seller_region="RU"),IF((TODAY()+offer_turnaround_time)&gt;=helpsheet!$L$17,rate_vatRU_from_26,rate_vatRu_till_25),0),2)</f>
        <v/>
      </c>
      <c r="S970" s="177">
        <f>Q970+IF(AND(offer_incoterms="DDP",seller_region="RU"),R970,0)</f>
        <v/>
      </c>
      <c r="T970" s="45" t="n"/>
      <c r="V970" s="57">
        <f>IF(Q970&gt;0,"показать","скрыть")</f>
        <v/>
      </c>
    </row>
    <row r="971" ht="15.75" customHeight="1">
      <c r="B971" s="809" t="n">
        <v>955</v>
      </c>
      <c r="C971" s="182">
        <f>IF(offer_sale_type="транзит",IFERROR(VLOOKUP($B971,calc_data,C$14+1,0),0),0)</f>
        <v/>
      </c>
      <c r="D971" s="280">
        <f>IF(offer_sale_type="транзит",IFERROR(VLOOKUP($B971,calc_data,D$14+1,0),0),0)</f>
        <v/>
      </c>
      <c r="E971" s="182">
        <f>IF(offer_sale_type="транзит",IFERROR(VLOOKUP($B971,calc_data,E$14+1,0),0),0)</f>
        <v/>
      </c>
      <c r="F971" s="182">
        <f>IF(offer_sale_type="транзит",IFERROR(VLOOKUP($B971,calc_data,F$14+1,0),0),0)</f>
        <v/>
      </c>
      <c r="G971" s="141">
        <f>IF(offer_sale_type="транзит",IFERROR(VLOOKUP($B971,calc_data,G$14+1,0),0),0)</f>
        <v/>
      </c>
      <c r="H971" s="141">
        <f>E971*G971</f>
        <v/>
      </c>
      <c r="I971" s="141">
        <f>IF(offer_sale_type="транзит",IFERROR(ROUND(VLOOKUP($B971,calc_data,I$14+1,0),2),0),0)</f>
        <v/>
      </c>
      <c r="J971" s="141">
        <f>ROUND(IF(offer_sale_type="транзит",IFERROR(VLOOKUP($B971,calc_data,J$14+1,0),0),0),2)</f>
        <v/>
      </c>
      <c r="K971" s="142">
        <f>IF(offer_sale_type="транзит",IFERROR(ROUNDUP(VLOOKUP($B971,calc_data,K$14+1,0),2),0),0)</f>
        <v/>
      </c>
      <c r="L971" s="184">
        <f>IF(offer_sale_type="транзит",IFERROR(ROUNDUP(VLOOKUP($B971,calc_data,L$14+1,0),2),0),0)</f>
        <v/>
      </c>
      <c r="M971" s="141">
        <f>IF(offer_sale_type="транзит",IFERROR(ROUNDUP(VLOOKUP($B971,calc_data,M$14+1,0),2),0),0)</f>
        <v/>
      </c>
      <c r="N971" s="141">
        <f>IF(offer_sale_type="транзит",IFERROR(ROUNDUP(VLOOKUP($B971,calc_data,N$14+1,0),2),0),0)</f>
        <v/>
      </c>
      <c r="O971" s="147">
        <f>IF(offer_sale_type="транзит",IFERROR(ROUND(VLOOKUP($B971,calc_data,O$14+1,1),2),0),0)</f>
        <v/>
      </c>
      <c r="P971" s="141">
        <f>IF(offer_sale_type="транзит",IFERROR(ROUND(SUM(I971:J971,M971:O971)/E971,2),0),0)</f>
        <v/>
      </c>
      <c r="Q971" s="141">
        <f>E971*P971</f>
        <v/>
      </c>
      <c r="R971" s="141">
        <f>ROUND(Q971*IF(AND(offer_incoterms="DDP",seller_region="RU"),IF((TODAY()+offer_turnaround_time)&gt;=helpsheet!$L$17,rate_vatRU_from_26,rate_vatRu_till_25),0),2)</f>
        <v/>
      </c>
      <c r="S971" s="177">
        <f>Q971+IF(AND(offer_incoterms="DDP",seller_region="RU"),R971,0)</f>
        <v/>
      </c>
      <c r="T971" s="45" t="n"/>
      <c r="V971" s="57">
        <f>IF(Q971&gt;0,"показать","скрыть")</f>
        <v/>
      </c>
    </row>
    <row r="972" ht="15.75" customHeight="1">
      <c r="B972" s="809" t="n">
        <v>956</v>
      </c>
      <c r="C972" s="182">
        <f>IF(offer_sale_type="транзит",IFERROR(VLOOKUP($B972,calc_data,C$14+1,0),0),0)</f>
        <v/>
      </c>
      <c r="D972" s="280">
        <f>IF(offer_sale_type="транзит",IFERROR(VLOOKUP($B972,calc_data,D$14+1,0),0),0)</f>
        <v/>
      </c>
      <c r="E972" s="182">
        <f>IF(offer_sale_type="транзит",IFERROR(VLOOKUP($B972,calc_data,E$14+1,0),0),0)</f>
        <v/>
      </c>
      <c r="F972" s="182">
        <f>IF(offer_sale_type="транзит",IFERROR(VLOOKUP($B972,calc_data,F$14+1,0),0),0)</f>
        <v/>
      </c>
      <c r="G972" s="141">
        <f>IF(offer_sale_type="транзит",IFERROR(VLOOKUP($B972,calc_data,G$14+1,0),0),0)</f>
        <v/>
      </c>
      <c r="H972" s="141">
        <f>E972*G972</f>
        <v/>
      </c>
      <c r="I972" s="141">
        <f>IF(offer_sale_type="транзит",IFERROR(ROUND(VLOOKUP($B972,calc_data,I$14+1,0),2),0),0)</f>
        <v/>
      </c>
      <c r="J972" s="141">
        <f>ROUND(IF(offer_sale_type="транзит",IFERROR(VLOOKUP($B972,calc_data,J$14+1,0),0),0),2)</f>
        <v/>
      </c>
      <c r="K972" s="142">
        <f>IF(offer_sale_type="транзит",IFERROR(ROUNDUP(VLOOKUP($B972,calc_data,K$14+1,0),2),0),0)</f>
        <v/>
      </c>
      <c r="L972" s="184">
        <f>IF(offer_sale_type="транзит",IFERROR(ROUNDUP(VLOOKUP($B972,calc_data,L$14+1,0),2),0),0)</f>
        <v/>
      </c>
      <c r="M972" s="141">
        <f>IF(offer_sale_type="транзит",IFERROR(ROUNDUP(VLOOKUP($B972,calc_data,M$14+1,0),2),0),0)</f>
        <v/>
      </c>
      <c r="N972" s="141">
        <f>IF(offer_sale_type="транзит",IFERROR(ROUNDUP(VLOOKUP($B972,calc_data,N$14+1,0),2),0),0)</f>
        <v/>
      </c>
      <c r="O972" s="147">
        <f>IF(offer_sale_type="транзит",IFERROR(ROUND(VLOOKUP($B972,calc_data,O$14+1,1),2),0),0)</f>
        <v/>
      </c>
      <c r="P972" s="141">
        <f>IF(offer_sale_type="транзит",IFERROR(ROUND(SUM(I972:J972,M972:O972)/E972,2),0),0)</f>
        <v/>
      </c>
      <c r="Q972" s="141">
        <f>E972*P972</f>
        <v/>
      </c>
      <c r="R972" s="141">
        <f>ROUND(Q972*IF(AND(offer_incoterms="DDP",seller_region="RU"),IF((TODAY()+offer_turnaround_time)&gt;=helpsheet!$L$17,rate_vatRU_from_26,rate_vatRu_till_25),0),2)</f>
        <v/>
      </c>
      <c r="S972" s="177">
        <f>Q972+IF(AND(offer_incoterms="DDP",seller_region="RU"),R972,0)</f>
        <v/>
      </c>
      <c r="T972" s="45" t="n"/>
      <c r="V972" s="57">
        <f>IF(Q972&gt;0,"показать","скрыть")</f>
        <v/>
      </c>
    </row>
    <row r="973" ht="15.75" customHeight="1">
      <c r="B973" s="809" t="n">
        <v>957</v>
      </c>
      <c r="C973" s="182">
        <f>IF(offer_sale_type="транзит",IFERROR(VLOOKUP($B973,calc_data,C$14+1,0),0),0)</f>
        <v/>
      </c>
      <c r="D973" s="280">
        <f>IF(offer_sale_type="транзит",IFERROR(VLOOKUP($B973,calc_data,D$14+1,0),0),0)</f>
        <v/>
      </c>
      <c r="E973" s="182">
        <f>IF(offer_sale_type="транзит",IFERROR(VLOOKUP($B973,calc_data,E$14+1,0),0),0)</f>
        <v/>
      </c>
      <c r="F973" s="182">
        <f>IF(offer_sale_type="транзит",IFERROR(VLOOKUP($B973,calc_data,F$14+1,0),0),0)</f>
        <v/>
      </c>
      <c r="G973" s="141">
        <f>IF(offer_sale_type="транзит",IFERROR(VLOOKUP($B973,calc_data,G$14+1,0),0),0)</f>
        <v/>
      </c>
      <c r="H973" s="141">
        <f>E973*G973</f>
        <v/>
      </c>
      <c r="I973" s="141">
        <f>IF(offer_sale_type="транзит",IFERROR(ROUND(VLOOKUP($B973,calc_data,I$14+1,0),2),0),0)</f>
        <v/>
      </c>
      <c r="J973" s="141">
        <f>ROUND(IF(offer_sale_type="транзит",IFERROR(VLOOKUP($B973,calc_data,J$14+1,0),0),0),2)</f>
        <v/>
      </c>
      <c r="K973" s="142">
        <f>IF(offer_sale_type="транзит",IFERROR(ROUNDUP(VLOOKUP($B973,calc_data,K$14+1,0),2),0),0)</f>
        <v/>
      </c>
      <c r="L973" s="184">
        <f>IF(offer_sale_type="транзит",IFERROR(ROUNDUP(VLOOKUP($B973,calc_data,L$14+1,0),2),0),0)</f>
        <v/>
      </c>
      <c r="M973" s="141">
        <f>IF(offer_sale_type="транзит",IFERROR(ROUNDUP(VLOOKUP($B973,calc_data,M$14+1,0),2),0),0)</f>
        <v/>
      </c>
      <c r="N973" s="141">
        <f>IF(offer_sale_type="транзит",IFERROR(ROUNDUP(VLOOKUP($B973,calc_data,N$14+1,0),2),0),0)</f>
        <v/>
      </c>
      <c r="O973" s="147">
        <f>IF(offer_sale_type="транзит",IFERROR(ROUND(VLOOKUP($B973,calc_data,O$14+1,1),2),0),0)</f>
        <v/>
      </c>
      <c r="P973" s="141">
        <f>IF(offer_sale_type="транзит",IFERROR(ROUND(SUM(I973:J973,M973:O973)/E973,2),0),0)</f>
        <v/>
      </c>
      <c r="Q973" s="141">
        <f>E973*P973</f>
        <v/>
      </c>
      <c r="R973" s="141">
        <f>ROUND(Q973*IF(AND(offer_incoterms="DDP",seller_region="RU"),IF((TODAY()+offer_turnaround_time)&gt;=helpsheet!$L$17,rate_vatRU_from_26,rate_vatRu_till_25),0),2)</f>
        <v/>
      </c>
      <c r="S973" s="177">
        <f>Q973+IF(AND(offer_incoterms="DDP",seller_region="RU"),R973,0)</f>
        <v/>
      </c>
      <c r="T973" s="45" t="n"/>
      <c r="V973" s="57">
        <f>IF(Q973&gt;0,"показать","скрыть")</f>
        <v/>
      </c>
    </row>
    <row r="974" ht="15.75" customHeight="1">
      <c r="B974" s="809" t="n">
        <v>958</v>
      </c>
      <c r="C974" s="182">
        <f>IF(offer_sale_type="транзит",IFERROR(VLOOKUP($B974,calc_data,C$14+1,0),0),0)</f>
        <v/>
      </c>
      <c r="D974" s="280">
        <f>IF(offer_sale_type="транзит",IFERROR(VLOOKUP($B974,calc_data,D$14+1,0),0),0)</f>
        <v/>
      </c>
      <c r="E974" s="182">
        <f>IF(offer_sale_type="транзит",IFERROR(VLOOKUP($B974,calc_data,E$14+1,0),0),0)</f>
        <v/>
      </c>
      <c r="F974" s="182">
        <f>IF(offer_sale_type="транзит",IFERROR(VLOOKUP($B974,calc_data,F$14+1,0),0),0)</f>
        <v/>
      </c>
      <c r="G974" s="141">
        <f>IF(offer_sale_type="транзит",IFERROR(VLOOKUP($B974,calc_data,G$14+1,0),0),0)</f>
        <v/>
      </c>
      <c r="H974" s="141">
        <f>E974*G974</f>
        <v/>
      </c>
      <c r="I974" s="141">
        <f>IF(offer_sale_type="транзит",IFERROR(ROUND(VLOOKUP($B974,calc_data,I$14+1,0),2),0),0)</f>
        <v/>
      </c>
      <c r="J974" s="141">
        <f>ROUND(IF(offer_sale_type="транзит",IFERROR(VLOOKUP($B974,calc_data,J$14+1,0),0),0),2)</f>
        <v/>
      </c>
      <c r="K974" s="142">
        <f>IF(offer_sale_type="транзит",IFERROR(ROUNDUP(VLOOKUP($B974,calc_data,K$14+1,0),2),0),0)</f>
        <v/>
      </c>
      <c r="L974" s="184">
        <f>IF(offer_sale_type="транзит",IFERROR(ROUNDUP(VLOOKUP($B974,calc_data,L$14+1,0),2),0),0)</f>
        <v/>
      </c>
      <c r="M974" s="141">
        <f>IF(offer_sale_type="транзит",IFERROR(ROUNDUP(VLOOKUP($B974,calc_data,M$14+1,0),2),0),0)</f>
        <v/>
      </c>
      <c r="N974" s="141">
        <f>IF(offer_sale_type="транзит",IFERROR(ROUNDUP(VLOOKUP($B974,calc_data,N$14+1,0),2),0),0)</f>
        <v/>
      </c>
      <c r="O974" s="147">
        <f>IF(offer_sale_type="транзит",IFERROR(ROUND(VLOOKUP($B974,calc_data,O$14+1,1),2),0),0)</f>
        <v/>
      </c>
      <c r="P974" s="141">
        <f>IF(offer_sale_type="транзит",IFERROR(ROUND(SUM(I974:J974,M974:O974)/E974,2),0),0)</f>
        <v/>
      </c>
      <c r="Q974" s="141">
        <f>E974*P974</f>
        <v/>
      </c>
      <c r="R974" s="141">
        <f>ROUND(Q974*IF(AND(offer_incoterms="DDP",seller_region="RU"),IF((TODAY()+offer_turnaround_time)&gt;=helpsheet!$L$17,rate_vatRU_from_26,rate_vatRu_till_25),0),2)</f>
        <v/>
      </c>
      <c r="S974" s="177">
        <f>Q974+IF(AND(offer_incoterms="DDP",seller_region="RU"),R974,0)</f>
        <v/>
      </c>
      <c r="T974" s="45" t="n"/>
      <c r="V974" s="57">
        <f>IF(Q974&gt;0,"показать","скрыть")</f>
        <v/>
      </c>
    </row>
    <row r="975" ht="15.75" customHeight="1">
      <c r="B975" s="809" t="n">
        <v>959</v>
      </c>
      <c r="C975" s="182">
        <f>IF(offer_sale_type="транзит",IFERROR(VLOOKUP($B975,calc_data,C$14+1,0),0),0)</f>
        <v/>
      </c>
      <c r="D975" s="280">
        <f>IF(offer_sale_type="транзит",IFERROR(VLOOKUP($B975,calc_data,D$14+1,0),0),0)</f>
        <v/>
      </c>
      <c r="E975" s="182">
        <f>IF(offer_sale_type="транзит",IFERROR(VLOOKUP($B975,calc_data,E$14+1,0),0),0)</f>
        <v/>
      </c>
      <c r="F975" s="182">
        <f>IF(offer_sale_type="транзит",IFERROR(VLOOKUP($B975,calc_data,F$14+1,0),0),0)</f>
        <v/>
      </c>
      <c r="G975" s="141">
        <f>IF(offer_sale_type="транзит",IFERROR(VLOOKUP($B975,calc_data,G$14+1,0),0),0)</f>
        <v/>
      </c>
      <c r="H975" s="141">
        <f>E975*G975</f>
        <v/>
      </c>
      <c r="I975" s="141">
        <f>IF(offer_sale_type="транзит",IFERROR(ROUND(VLOOKUP($B975,calc_data,I$14+1,0),2),0),0)</f>
        <v/>
      </c>
      <c r="J975" s="141">
        <f>ROUND(IF(offer_sale_type="транзит",IFERROR(VLOOKUP($B975,calc_data,J$14+1,0),0),0),2)</f>
        <v/>
      </c>
      <c r="K975" s="142">
        <f>IF(offer_sale_type="транзит",IFERROR(ROUNDUP(VLOOKUP($B975,calc_data,K$14+1,0),2),0),0)</f>
        <v/>
      </c>
      <c r="L975" s="184">
        <f>IF(offer_sale_type="транзит",IFERROR(ROUNDUP(VLOOKUP($B975,calc_data,L$14+1,0),2),0),0)</f>
        <v/>
      </c>
      <c r="M975" s="141">
        <f>IF(offer_sale_type="транзит",IFERROR(ROUNDUP(VLOOKUP($B975,calc_data,M$14+1,0),2),0),0)</f>
        <v/>
      </c>
      <c r="N975" s="141">
        <f>IF(offer_sale_type="транзит",IFERROR(ROUNDUP(VLOOKUP($B975,calc_data,N$14+1,0),2),0),0)</f>
        <v/>
      </c>
      <c r="O975" s="147">
        <f>IF(offer_sale_type="транзит",IFERROR(ROUND(VLOOKUP($B975,calc_data,O$14+1,1),2),0),0)</f>
        <v/>
      </c>
      <c r="P975" s="141">
        <f>IF(offer_sale_type="транзит",IFERROR(ROUND(SUM(I975:J975,M975:O975)/E975,2),0),0)</f>
        <v/>
      </c>
      <c r="Q975" s="141">
        <f>E975*P975</f>
        <v/>
      </c>
      <c r="R975" s="141">
        <f>ROUND(Q975*IF(AND(offer_incoterms="DDP",seller_region="RU"),IF((TODAY()+offer_turnaround_time)&gt;=helpsheet!$L$17,rate_vatRU_from_26,rate_vatRu_till_25),0),2)</f>
        <v/>
      </c>
      <c r="S975" s="177">
        <f>Q975+IF(AND(offer_incoterms="DDP",seller_region="RU"),R975,0)</f>
        <v/>
      </c>
      <c r="T975" s="45" t="n"/>
      <c r="V975" s="57">
        <f>IF(Q975&gt;0,"показать","скрыть")</f>
        <v/>
      </c>
    </row>
    <row r="976" ht="15.75" customHeight="1">
      <c r="B976" s="809" t="n">
        <v>960</v>
      </c>
      <c r="C976" s="182">
        <f>IF(offer_sale_type="транзит",IFERROR(VLOOKUP($B976,calc_data,C$14+1,0),0),0)</f>
        <v/>
      </c>
      <c r="D976" s="280">
        <f>IF(offer_sale_type="транзит",IFERROR(VLOOKUP($B976,calc_data,D$14+1,0),0),0)</f>
        <v/>
      </c>
      <c r="E976" s="182">
        <f>IF(offer_sale_type="транзит",IFERROR(VLOOKUP($B976,calc_data,E$14+1,0),0),0)</f>
        <v/>
      </c>
      <c r="F976" s="182">
        <f>IF(offer_sale_type="транзит",IFERROR(VLOOKUP($B976,calc_data,F$14+1,0),0),0)</f>
        <v/>
      </c>
      <c r="G976" s="141">
        <f>IF(offer_sale_type="транзит",IFERROR(VLOOKUP($B976,calc_data,G$14+1,0),0),0)</f>
        <v/>
      </c>
      <c r="H976" s="141">
        <f>E976*G976</f>
        <v/>
      </c>
      <c r="I976" s="141">
        <f>IF(offer_sale_type="транзит",IFERROR(ROUND(VLOOKUP($B976,calc_data,I$14+1,0),2),0),0)</f>
        <v/>
      </c>
      <c r="J976" s="141">
        <f>ROUND(IF(offer_sale_type="транзит",IFERROR(VLOOKUP($B976,calc_data,J$14+1,0),0),0),2)</f>
        <v/>
      </c>
      <c r="K976" s="142">
        <f>IF(offer_sale_type="транзит",IFERROR(ROUNDUP(VLOOKUP($B976,calc_data,K$14+1,0),2),0),0)</f>
        <v/>
      </c>
      <c r="L976" s="184">
        <f>IF(offer_sale_type="транзит",IFERROR(ROUNDUP(VLOOKUP($B976,calc_data,L$14+1,0),2),0),0)</f>
        <v/>
      </c>
      <c r="M976" s="141">
        <f>IF(offer_sale_type="транзит",IFERROR(ROUNDUP(VLOOKUP($B976,calc_data,M$14+1,0),2),0),0)</f>
        <v/>
      </c>
      <c r="N976" s="141">
        <f>IF(offer_sale_type="транзит",IFERROR(ROUNDUP(VLOOKUP($B976,calc_data,N$14+1,0),2),0),0)</f>
        <v/>
      </c>
      <c r="O976" s="147">
        <f>IF(offer_sale_type="транзит",IFERROR(ROUND(VLOOKUP($B976,calc_data,O$14+1,1),2),0),0)</f>
        <v/>
      </c>
      <c r="P976" s="141">
        <f>IF(offer_sale_type="транзит",IFERROR(ROUND(SUM(I976:J976,M976:O976)/E976,2),0),0)</f>
        <v/>
      </c>
      <c r="Q976" s="141">
        <f>E976*P976</f>
        <v/>
      </c>
      <c r="R976" s="141">
        <f>ROUND(Q976*IF(AND(offer_incoterms="DDP",seller_region="RU"),IF((TODAY()+offer_turnaround_time)&gt;=helpsheet!$L$17,rate_vatRU_from_26,rate_vatRu_till_25),0),2)</f>
        <v/>
      </c>
      <c r="S976" s="177">
        <f>Q976+IF(AND(offer_incoterms="DDP",seller_region="RU"),R976,0)</f>
        <v/>
      </c>
      <c r="T976" s="45" t="n"/>
      <c r="V976" s="57">
        <f>IF(Q976&gt;0,"показать","скрыть")</f>
        <v/>
      </c>
    </row>
    <row r="977" ht="15.75" customHeight="1">
      <c r="B977" s="809" t="n">
        <v>961</v>
      </c>
      <c r="C977" s="182">
        <f>IF(offer_sale_type="транзит",IFERROR(VLOOKUP($B977,calc_data,C$14+1,0),0),0)</f>
        <v/>
      </c>
      <c r="D977" s="280">
        <f>IF(offer_sale_type="транзит",IFERROR(VLOOKUP($B977,calc_data,D$14+1,0),0),0)</f>
        <v/>
      </c>
      <c r="E977" s="182">
        <f>IF(offer_sale_type="транзит",IFERROR(VLOOKUP($B977,calc_data,E$14+1,0),0),0)</f>
        <v/>
      </c>
      <c r="F977" s="182">
        <f>IF(offer_sale_type="транзит",IFERROR(VLOOKUP($B977,calc_data,F$14+1,0),0),0)</f>
        <v/>
      </c>
      <c r="G977" s="141">
        <f>IF(offer_sale_type="транзит",IFERROR(VLOOKUP($B977,calc_data,G$14+1,0),0),0)</f>
        <v/>
      </c>
      <c r="H977" s="141">
        <f>E977*G977</f>
        <v/>
      </c>
      <c r="I977" s="141">
        <f>IF(offer_sale_type="транзит",IFERROR(ROUND(VLOOKUP($B977,calc_data,I$14+1,0),2),0),0)</f>
        <v/>
      </c>
      <c r="J977" s="141">
        <f>ROUND(IF(offer_sale_type="транзит",IFERROR(VLOOKUP($B977,calc_data,J$14+1,0),0),0),2)</f>
        <v/>
      </c>
      <c r="K977" s="142">
        <f>IF(offer_sale_type="транзит",IFERROR(ROUNDUP(VLOOKUP($B977,calc_data,K$14+1,0),2),0),0)</f>
        <v/>
      </c>
      <c r="L977" s="184">
        <f>IF(offer_sale_type="транзит",IFERROR(ROUNDUP(VLOOKUP($B977,calc_data,L$14+1,0),2),0),0)</f>
        <v/>
      </c>
      <c r="M977" s="141">
        <f>IF(offer_sale_type="транзит",IFERROR(ROUNDUP(VLOOKUP($B977,calc_data,M$14+1,0),2),0),0)</f>
        <v/>
      </c>
      <c r="N977" s="141">
        <f>IF(offer_sale_type="транзит",IFERROR(ROUNDUP(VLOOKUP($B977,calc_data,N$14+1,0),2),0),0)</f>
        <v/>
      </c>
      <c r="O977" s="147">
        <f>IF(offer_sale_type="транзит",IFERROR(ROUND(VLOOKUP($B977,calc_data,O$14+1,1),2),0),0)</f>
        <v/>
      </c>
      <c r="P977" s="141">
        <f>IF(offer_sale_type="транзит",IFERROR(ROUND(SUM(I977:J977,M977:O977)/E977,2),0),0)</f>
        <v/>
      </c>
      <c r="Q977" s="141">
        <f>E977*P977</f>
        <v/>
      </c>
      <c r="R977" s="141">
        <f>ROUND(Q977*IF(AND(offer_incoterms="DDP",seller_region="RU"),IF((TODAY()+offer_turnaround_time)&gt;=helpsheet!$L$17,rate_vatRU_from_26,rate_vatRu_till_25),0),2)</f>
        <v/>
      </c>
      <c r="S977" s="177">
        <f>Q977+IF(AND(offer_incoterms="DDP",seller_region="RU"),R977,0)</f>
        <v/>
      </c>
      <c r="T977" s="45" t="n"/>
      <c r="V977" s="57">
        <f>IF(Q977&gt;0,"показать","скрыть")</f>
        <v/>
      </c>
    </row>
    <row r="978" ht="15.75" customHeight="1">
      <c r="B978" s="809" t="n">
        <v>962</v>
      </c>
      <c r="C978" s="182">
        <f>IF(offer_sale_type="транзит",IFERROR(VLOOKUP($B978,calc_data,C$14+1,0),0),0)</f>
        <v/>
      </c>
      <c r="D978" s="280">
        <f>IF(offer_sale_type="транзит",IFERROR(VLOOKUP($B978,calc_data,D$14+1,0),0),0)</f>
        <v/>
      </c>
      <c r="E978" s="182">
        <f>IF(offer_sale_type="транзит",IFERROR(VLOOKUP($B978,calc_data,E$14+1,0),0),0)</f>
        <v/>
      </c>
      <c r="F978" s="182">
        <f>IF(offer_sale_type="транзит",IFERROR(VLOOKUP($B978,calc_data,F$14+1,0),0),0)</f>
        <v/>
      </c>
      <c r="G978" s="141">
        <f>IF(offer_sale_type="транзит",IFERROR(VLOOKUP($B978,calc_data,G$14+1,0),0),0)</f>
        <v/>
      </c>
      <c r="H978" s="141">
        <f>E978*G978</f>
        <v/>
      </c>
      <c r="I978" s="141">
        <f>IF(offer_sale_type="транзит",IFERROR(ROUND(VLOOKUP($B978,calc_data,I$14+1,0),2),0),0)</f>
        <v/>
      </c>
      <c r="J978" s="141">
        <f>ROUND(IF(offer_sale_type="транзит",IFERROR(VLOOKUP($B978,calc_data,J$14+1,0),0),0),2)</f>
        <v/>
      </c>
      <c r="K978" s="142">
        <f>IF(offer_sale_type="транзит",IFERROR(ROUNDUP(VLOOKUP($B978,calc_data,K$14+1,0),2),0),0)</f>
        <v/>
      </c>
      <c r="L978" s="184">
        <f>IF(offer_sale_type="транзит",IFERROR(ROUNDUP(VLOOKUP($B978,calc_data,L$14+1,0),2),0),0)</f>
        <v/>
      </c>
      <c r="M978" s="141">
        <f>IF(offer_sale_type="транзит",IFERROR(ROUNDUP(VLOOKUP($B978,calc_data,M$14+1,0),2),0),0)</f>
        <v/>
      </c>
      <c r="N978" s="141">
        <f>IF(offer_sale_type="транзит",IFERROR(ROUNDUP(VLOOKUP($B978,calc_data,N$14+1,0),2),0),0)</f>
        <v/>
      </c>
      <c r="O978" s="147">
        <f>IF(offer_sale_type="транзит",IFERROR(ROUND(VLOOKUP($B978,calc_data,O$14+1,1),2),0),0)</f>
        <v/>
      </c>
      <c r="P978" s="141">
        <f>IF(offer_sale_type="транзит",IFERROR(ROUND(SUM(I978:J978,M978:O978)/E978,2),0),0)</f>
        <v/>
      </c>
      <c r="Q978" s="141">
        <f>E978*P978</f>
        <v/>
      </c>
      <c r="R978" s="141">
        <f>ROUND(Q978*IF(AND(offer_incoterms="DDP",seller_region="RU"),IF((TODAY()+offer_turnaround_time)&gt;=helpsheet!$L$17,rate_vatRU_from_26,rate_vatRu_till_25),0),2)</f>
        <v/>
      </c>
      <c r="S978" s="177">
        <f>Q978+IF(AND(offer_incoterms="DDP",seller_region="RU"),R978,0)</f>
        <v/>
      </c>
      <c r="T978" s="45" t="n"/>
      <c r="V978" s="57">
        <f>IF(Q978&gt;0,"показать","скрыть")</f>
        <v/>
      </c>
    </row>
    <row r="979" ht="15.75" customHeight="1">
      <c r="B979" s="809" t="n">
        <v>963</v>
      </c>
      <c r="C979" s="182">
        <f>IF(offer_sale_type="транзит",IFERROR(VLOOKUP($B979,calc_data,C$14+1,0),0),0)</f>
        <v/>
      </c>
      <c r="D979" s="280">
        <f>IF(offer_sale_type="транзит",IFERROR(VLOOKUP($B979,calc_data,D$14+1,0),0),0)</f>
        <v/>
      </c>
      <c r="E979" s="182">
        <f>IF(offer_sale_type="транзит",IFERROR(VLOOKUP($B979,calc_data,E$14+1,0),0),0)</f>
        <v/>
      </c>
      <c r="F979" s="182">
        <f>IF(offer_sale_type="транзит",IFERROR(VLOOKUP($B979,calc_data,F$14+1,0),0),0)</f>
        <v/>
      </c>
      <c r="G979" s="141">
        <f>IF(offer_sale_type="транзит",IFERROR(VLOOKUP($B979,calc_data,G$14+1,0),0),0)</f>
        <v/>
      </c>
      <c r="H979" s="141">
        <f>E979*G979</f>
        <v/>
      </c>
      <c r="I979" s="141">
        <f>IF(offer_sale_type="транзит",IFERROR(ROUND(VLOOKUP($B979,calc_data,I$14+1,0),2),0),0)</f>
        <v/>
      </c>
      <c r="J979" s="141">
        <f>ROUND(IF(offer_sale_type="транзит",IFERROR(VLOOKUP($B979,calc_data,J$14+1,0),0),0),2)</f>
        <v/>
      </c>
      <c r="K979" s="142">
        <f>IF(offer_sale_type="транзит",IFERROR(ROUNDUP(VLOOKUP($B979,calc_data,K$14+1,0),2),0),0)</f>
        <v/>
      </c>
      <c r="L979" s="184">
        <f>IF(offer_sale_type="транзит",IFERROR(ROUNDUP(VLOOKUP($B979,calc_data,L$14+1,0),2),0),0)</f>
        <v/>
      </c>
      <c r="M979" s="141">
        <f>IF(offer_sale_type="транзит",IFERROR(ROUNDUP(VLOOKUP($B979,calc_data,M$14+1,0),2),0),0)</f>
        <v/>
      </c>
      <c r="N979" s="141">
        <f>IF(offer_sale_type="транзит",IFERROR(ROUNDUP(VLOOKUP($B979,calc_data,N$14+1,0),2),0),0)</f>
        <v/>
      </c>
      <c r="O979" s="147">
        <f>IF(offer_sale_type="транзит",IFERROR(ROUND(VLOOKUP($B979,calc_data,O$14+1,1),2),0),0)</f>
        <v/>
      </c>
      <c r="P979" s="141">
        <f>IF(offer_sale_type="транзит",IFERROR(ROUND(SUM(I979:J979,M979:O979)/E979,2),0),0)</f>
        <v/>
      </c>
      <c r="Q979" s="141">
        <f>E979*P979</f>
        <v/>
      </c>
      <c r="R979" s="141">
        <f>ROUND(Q979*IF(AND(offer_incoterms="DDP",seller_region="RU"),IF((TODAY()+offer_turnaround_time)&gt;=helpsheet!$L$17,rate_vatRU_from_26,rate_vatRu_till_25),0),2)</f>
        <v/>
      </c>
      <c r="S979" s="177">
        <f>Q979+IF(AND(offer_incoterms="DDP",seller_region="RU"),R979,0)</f>
        <v/>
      </c>
      <c r="T979" s="45" t="n"/>
      <c r="V979" s="57">
        <f>IF(Q979&gt;0,"показать","скрыть")</f>
        <v/>
      </c>
    </row>
    <row r="980" ht="15.75" customHeight="1">
      <c r="B980" s="809" t="n">
        <v>964</v>
      </c>
      <c r="C980" s="182">
        <f>IF(offer_sale_type="транзит",IFERROR(VLOOKUP($B980,calc_data,C$14+1,0),0),0)</f>
        <v/>
      </c>
      <c r="D980" s="280">
        <f>IF(offer_sale_type="транзит",IFERROR(VLOOKUP($B980,calc_data,D$14+1,0),0),0)</f>
        <v/>
      </c>
      <c r="E980" s="182">
        <f>IF(offer_sale_type="транзит",IFERROR(VLOOKUP($B980,calc_data,E$14+1,0),0),0)</f>
        <v/>
      </c>
      <c r="F980" s="182">
        <f>IF(offer_sale_type="транзит",IFERROR(VLOOKUP($B980,calc_data,F$14+1,0),0),0)</f>
        <v/>
      </c>
      <c r="G980" s="141">
        <f>IF(offer_sale_type="транзит",IFERROR(VLOOKUP($B980,calc_data,G$14+1,0),0),0)</f>
        <v/>
      </c>
      <c r="H980" s="141">
        <f>E980*G980</f>
        <v/>
      </c>
      <c r="I980" s="141">
        <f>IF(offer_sale_type="транзит",IFERROR(ROUND(VLOOKUP($B980,calc_data,I$14+1,0),2),0),0)</f>
        <v/>
      </c>
      <c r="J980" s="141">
        <f>ROUND(IF(offer_sale_type="транзит",IFERROR(VLOOKUP($B980,calc_data,J$14+1,0),0),0),2)</f>
        <v/>
      </c>
      <c r="K980" s="142">
        <f>IF(offer_sale_type="транзит",IFERROR(ROUNDUP(VLOOKUP($B980,calc_data,K$14+1,0),2),0),0)</f>
        <v/>
      </c>
      <c r="L980" s="184">
        <f>IF(offer_sale_type="транзит",IFERROR(ROUNDUP(VLOOKUP($B980,calc_data,L$14+1,0),2),0),0)</f>
        <v/>
      </c>
      <c r="M980" s="141">
        <f>IF(offer_sale_type="транзит",IFERROR(ROUNDUP(VLOOKUP($B980,calc_data,M$14+1,0),2),0),0)</f>
        <v/>
      </c>
      <c r="N980" s="141">
        <f>IF(offer_sale_type="транзит",IFERROR(ROUNDUP(VLOOKUP($B980,calc_data,N$14+1,0),2),0),0)</f>
        <v/>
      </c>
      <c r="O980" s="147">
        <f>IF(offer_sale_type="транзит",IFERROR(ROUND(VLOOKUP($B980,calc_data,O$14+1,1),2),0),0)</f>
        <v/>
      </c>
      <c r="P980" s="141">
        <f>IF(offer_sale_type="транзит",IFERROR(ROUND(SUM(I980:J980,M980:O980)/E980,2),0),0)</f>
        <v/>
      </c>
      <c r="Q980" s="141">
        <f>E980*P980</f>
        <v/>
      </c>
      <c r="R980" s="141">
        <f>ROUND(Q980*IF(AND(offer_incoterms="DDP",seller_region="RU"),IF((TODAY()+offer_turnaround_time)&gt;=helpsheet!$L$17,rate_vatRU_from_26,rate_vatRu_till_25),0),2)</f>
        <v/>
      </c>
      <c r="S980" s="177">
        <f>Q980+IF(AND(offer_incoterms="DDP",seller_region="RU"),R980,0)</f>
        <v/>
      </c>
      <c r="T980" s="45" t="n"/>
      <c r="V980" s="57">
        <f>IF(Q980&gt;0,"показать","скрыть")</f>
        <v/>
      </c>
    </row>
    <row r="981" ht="15.75" customHeight="1">
      <c r="B981" s="809" t="n">
        <v>965</v>
      </c>
      <c r="C981" s="182">
        <f>IF(offer_sale_type="транзит",IFERROR(VLOOKUP($B981,calc_data,C$14+1,0),0),0)</f>
        <v/>
      </c>
      <c r="D981" s="280">
        <f>IF(offer_sale_type="транзит",IFERROR(VLOOKUP($B981,calc_data,D$14+1,0),0),0)</f>
        <v/>
      </c>
      <c r="E981" s="182">
        <f>IF(offer_sale_type="транзит",IFERROR(VLOOKUP($B981,calc_data,E$14+1,0),0),0)</f>
        <v/>
      </c>
      <c r="F981" s="182">
        <f>IF(offer_sale_type="транзит",IFERROR(VLOOKUP($B981,calc_data,F$14+1,0),0),0)</f>
        <v/>
      </c>
      <c r="G981" s="141">
        <f>IF(offer_sale_type="транзит",IFERROR(VLOOKUP($B981,calc_data,G$14+1,0),0),0)</f>
        <v/>
      </c>
      <c r="H981" s="141">
        <f>E981*G981</f>
        <v/>
      </c>
      <c r="I981" s="141">
        <f>IF(offer_sale_type="транзит",IFERROR(ROUND(VLOOKUP($B981,calc_data,I$14+1,0),2),0),0)</f>
        <v/>
      </c>
      <c r="J981" s="141">
        <f>ROUND(IF(offer_sale_type="транзит",IFERROR(VLOOKUP($B981,calc_data,J$14+1,0),0),0),2)</f>
        <v/>
      </c>
      <c r="K981" s="142">
        <f>IF(offer_sale_type="транзит",IFERROR(ROUNDUP(VLOOKUP($B981,calc_data,K$14+1,0),2),0),0)</f>
        <v/>
      </c>
      <c r="L981" s="184">
        <f>IF(offer_sale_type="транзит",IFERROR(ROUNDUP(VLOOKUP($B981,calc_data,L$14+1,0),2),0),0)</f>
        <v/>
      </c>
      <c r="M981" s="141">
        <f>IF(offer_sale_type="транзит",IFERROR(ROUNDUP(VLOOKUP($B981,calc_data,M$14+1,0),2),0),0)</f>
        <v/>
      </c>
      <c r="N981" s="141">
        <f>IF(offer_sale_type="транзит",IFERROR(ROUNDUP(VLOOKUP($B981,calc_data,N$14+1,0),2),0),0)</f>
        <v/>
      </c>
      <c r="O981" s="147">
        <f>IF(offer_sale_type="транзит",IFERROR(ROUND(VLOOKUP($B981,calc_data,O$14+1,1),2),0),0)</f>
        <v/>
      </c>
      <c r="P981" s="141">
        <f>IF(offer_sale_type="транзит",IFERROR(ROUND(SUM(I981:J981,M981:O981)/E981,2),0),0)</f>
        <v/>
      </c>
      <c r="Q981" s="141">
        <f>E981*P981</f>
        <v/>
      </c>
      <c r="R981" s="141">
        <f>ROUND(Q981*IF(AND(offer_incoterms="DDP",seller_region="RU"),IF((TODAY()+offer_turnaround_time)&gt;=helpsheet!$L$17,rate_vatRU_from_26,rate_vatRu_till_25),0),2)</f>
        <v/>
      </c>
      <c r="S981" s="177">
        <f>Q981+IF(AND(offer_incoterms="DDP",seller_region="RU"),R981,0)</f>
        <v/>
      </c>
      <c r="T981" s="45" t="n"/>
      <c r="V981" s="57">
        <f>IF(Q981&gt;0,"показать","скрыть")</f>
        <v/>
      </c>
    </row>
    <row r="982" ht="15.75" customHeight="1">
      <c r="B982" s="809" t="n">
        <v>966</v>
      </c>
      <c r="C982" s="182">
        <f>IF(offer_sale_type="транзит",IFERROR(VLOOKUP($B982,calc_data,C$14+1,0),0),0)</f>
        <v/>
      </c>
      <c r="D982" s="280">
        <f>IF(offer_sale_type="транзит",IFERROR(VLOOKUP($B982,calc_data,D$14+1,0),0),0)</f>
        <v/>
      </c>
      <c r="E982" s="182">
        <f>IF(offer_sale_type="транзит",IFERROR(VLOOKUP($B982,calc_data,E$14+1,0),0),0)</f>
        <v/>
      </c>
      <c r="F982" s="182">
        <f>IF(offer_sale_type="транзит",IFERROR(VLOOKUP($B982,calc_data,F$14+1,0),0),0)</f>
        <v/>
      </c>
      <c r="G982" s="141">
        <f>IF(offer_sale_type="транзит",IFERROR(VLOOKUP($B982,calc_data,G$14+1,0),0),0)</f>
        <v/>
      </c>
      <c r="H982" s="141">
        <f>E982*G982</f>
        <v/>
      </c>
      <c r="I982" s="141">
        <f>IF(offer_sale_type="транзит",IFERROR(ROUND(VLOOKUP($B982,calc_data,I$14+1,0),2),0),0)</f>
        <v/>
      </c>
      <c r="J982" s="141">
        <f>ROUND(IF(offer_sale_type="транзит",IFERROR(VLOOKUP($B982,calc_data,J$14+1,0),0),0),2)</f>
        <v/>
      </c>
      <c r="K982" s="142">
        <f>IF(offer_sale_type="транзит",IFERROR(ROUNDUP(VLOOKUP($B982,calc_data,K$14+1,0),2),0),0)</f>
        <v/>
      </c>
      <c r="L982" s="184">
        <f>IF(offer_sale_type="транзит",IFERROR(ROUNDUP(VLOOKUP($B982,calc_data,L$14+1,0),2),0),0)</f>
        <v/>
      </c>
      <c r="M982" s="141">
        <f>IF(offer_sale_type="транзит",IFERROR(ROUNDUP(VLOOKUP($B982,calc_data,M$14+1,0),2),0),0)</f>
        <v/>
      </c>
      <c r="N982" s="141">
        <f>IF(offer_sale_type="транзит",IFERROR(ROUNDUP(VLOOKUP($B982,calc_data,N$14+1,0),2),0),0)</f>
        <v/>
      </c>
      <c r="O982" s="147">
        <f>IF(offer_sale_type="транзит",IFERROR(ROUND(VLOOKUP($B982,calc_data,O$14+1,1),2),0),0)</f>
        <v/>
      </c>
      <c r="P982" s="141">
        <f>IF(offer_sale_type="транзит",IFERROR(ROUND(SUM(I982:J982,M982:O982)/E982,2),0),0)</f>
        <v/>
      </c>
      <c r="Q982" s="141">
        <f>E982*P982</f>
        <v/>
      </c>
      <c r="R982" s="141">
        <f>ROUND(Q982*IF(AND(offer_incoterms="DDP",seller_region="RU"),IF((TODAY()+offer_turnaround_time)&gt;=helpsheet!$L$17,rate_vatRU_from_26,rate_vatRu_till_25),0),2)</f>
        <v/>
      </c>
      <c r="S982" s="177">
        <f>Q982+IF(AND(offer_incoterms="DDP",seller_region="RU"),R982,0)</f>
        <v/>
      </c>
      <c r="T982" s="45" t="n"/>
      <c r="V982" s="57">
        <f>IF(Q982&gt;0,"показать","скрыть")</f>
        <v/>
      </c>
    </row>
    <row r="983" ht="15.75" customHeight="1">
      <c r="B983" s="809" t="n">
        <v>967</v>
      </c>
      <c r="C983" s="182">
        <f>IF(offer_sale_type="транзит",IFERROR(VLOOKUP($B983,calc_data,C$14+1,0),0),0)</f>
        <v/>
      </c>
      <c r="D983" s="280">
        <f>IF(offer_sale_type="транзит",IFERROR(VLOOKUP($B983,calc_data,D$14+1,0),0),0)</f>
        <v/>
      </c>
      <c r="E983" s="182">
        <f>IF(offer_sale_type="транзит",IFERROR(VLOOKUP($B983,calc_data,E$14+1,0),0),0)</f>
        <v/>
      </c>
      <c r="F983" s="182">
        <f>IF(offer_sale_type="транзит",IFERROR(VLOOKUP($B983,calc_data,F$14+1,0),0),0)</f>
        <v/>
      </c>
      <c r="G983" s="141">
        <f>IF(offer_sale_type="транзит",IFERROR(VLOOKUP($B983,calc_data,G$14+1,0),0),0)</f>
        <v/>
      </c>
      <c r="H983" s="141">
        <f>E983*G983</f>
        <v/>
      </c>
      <c r="I983" s="141">
        <f>IF(offer_sale_type="транзит",IFERROR(ROUND(VLOOKUP($B983,calc_data,I$14+1,0),2),0),0)</f>
        <v/>
      </c>
      <c r="J983" s="141">
        <f>ROUND(IF(offer_sale_type="транзит",IFERROR(VLOOKUP($B983,calc_data,J$14+1,0),0),0),2)</f>
        <v/>
      </c>
      <c r="K983" s="142">
        <f>IF(offer_sale_type="транзит",IFERROR(ROUNDUP(VLOOKUP($B983,calc_data,K$14+1,0),2),0),0)</f>
        <v/>
      </c>
      <c r="L983" s="184">
        <f>IF(offer_sale_type="транзит",IFERROR(ROUNDUP(VLOOKUP($B983,calc_data,L$14+1,0),2),0),0)</f>
        <v/>
      </c>
      <c r="M983" s="141">
        <f>IF(offer_sale_type="транзит",IFERROR(ROUNDUP(VLOOKUP($B983,calc_data,M$14+1,0),2),0),0)</f>
        <v/>
      </c>
      <c r="N983" s="141">
        <f>IF(offer_sale_type="транзит",IFERROR(ROUNDUP(VLOOKUP($B983,calc_data,N$14+1,0),2),0),0)</f>
        <v/>
      </c>
      <c r="O983" s="147">
        <f>IF(offer_sale_type="транзит",IFERROR(ROUND(VLOOKUP($B983,calc_data,O$14+1,1),2),0),0)</f>
        <v/>
      </c>
      <c r="P983" s="141">
        <f>IF(offer_sale_type="транзит",IFERROR(ROUND(SUM(I983:J983,M983:O983)/E983,2),0),0)</f>
        <v/>
      </c>
      <c r="Q983" s="141">
        <f>E983*P983</f>
        <v/>
      </c>
      <c r="R983" s="141">
        <f>ROUND(Q983*IF(AND(offer_incoterms="DDP",seller_region="RU"),IF((TODAY()+offer_turnaround_time)&gt;=helpsheet!$L$17,rate_vatRU_from_26,rate_vatRu_till_25),0),2)</f>
        <v/>
      </c>
      <c r="S983" s="177">
        <f>Q983+IF(AND(offer_incoterms="DDP",seller_region="RU"),R983,0)</f>
        <v/>
      </c>
      <c r="T983" s="45" t="n"/>
      <c r="V983" s="57">
        <f>IF(Q983&gt;0,"показать","скрыть")</f>
        <v/>
      </c>
    </row>
    <row r="984" ht="15.75" customHeight="1">
      <c r="B984" s="809" t="n">
        <v>968</v>
      </c>
      <c r="C984" s="182">
        <f>IF(offer_sale_type="транзит",IFERROR(VLOOKUP($B984,calc_data,C$14+1,0),0),0)</f>
        <v/>
      </c>
      <c r="D984" s="280">
        <f>IF(offer_sale_type="транзит",IFERROR(VLOOKUP($B984,calc_data,D$14+1,0),0),0)</f>
        <v/>
      </c>
      <c r="E984" s="182">
        <f>IF(offer_sale_type="транзит",IFERROR(VLOOKUP($B984,calc_data,E$14+1,0),0),0)</f>
        <v/>
      </c>
      <c r="F984" s="182">
        <f>IF(offer_sale_type="транзит",IFERROR(VLOOKUP($B984,calc_data,F$14+1,0),0),0)</f>
        <v/>
      </c>
      <c r="G984" s="141">
        <f>IF(offer_sale_type="транзит",IFERROR(VLOOKUP($B984,calc_data,G$14+1,0),0),0)</f>
        <v/>
      </c>
      <c r="H984" s="141">
        <f>E984*G984</f>
        <v/>
      </c>
      <c r="I984" s="141">
        <f>IF(offer_sale_type="транзит",IFERROR(ROUND(VLOOKUP($B984,calc_data,I$14+1,0),2),0),0)</f>
        <v/>
      </c>
      <c r="J984" s="141">
        <f>ROUND(IF(offer_sale_type="транзит",IFERROR(VLOOKUP($B984,calc_data,J$14+1,0),0),0),2)</f>
        <v/>
      </c>
      <c r="K984" s="142">
        <f>IF(offer_sale_type="транзит",IFERROR(ROUNDUP(VLOOKUP($B984,calc_data,K$14+1,0),2),0),0)</f>
        <v/>
      </c>
      <c r="L984" s="184">
        <f>IF(offer_sale_type="транзит",IFERROR(ROUNDUP(VLOOKUP($B984,calc_data,L$14+1,0),2),0),0)</f>
        <v/>
      </c>
      <c r="M984" s="141">
        <f>IF(offer_sale_type="транзит",IFERROR(ROUNDUP(VLOOKUP($B984,calc_data,M$14+1,0),2),0),0)</f>
        <v/>
      </c>
      <c r="N984" s="141">
        <f>IF(offer_sale_type="транзит",IFERROR(ROUNDUP(VLOOKUP($B984,calc_data,N$14+1,0),2),0),0)</f>
        <v/>
      </c>
      <c r="O984" s="147">
        <f>IF(offer_sale_type="транзит",IFERROR(ROUND(VLOOKUP($B984,calc_data,O$14+1,1),2),0),0)</f>
        <v/>
      </c>
      <c r="P984" s="141">
        <f>IF(offer_sale_type="транзит",IFERROR(ROUND(SUM(I984:J984,M984:O984)/E984,2),0),0)</f>
        <v/>
      </c>
      <c r="Q984" s="141">
        <f>E984*P984</f>
        <v/>
      </c>
      <c r="R984" s="141">
        <f>ROUND(Q984*IF(AND(offer_incoterms="DDP",seller_region="RU"),IF((TODAY()+offer_turnaround_time)&gt;=helpsheet!$L$17,rate_vatRU_from_26,rate_vatRu_till_25),0),2)</f>
        <v/>
      </c>
      <c r="S984" s="177">
        <f>Q984+IF(AND(offer_incoterms="DDP",seller_region="RU"),R984,0)</f>
        <v/>
      </c>
      <c r="T984" s="45" t="n"/>
      <c r="V984" s="57">
        <f>IF(Q984&gt;0,"показать","скрыть")</f>
        <v/>
      </c>
    </row>
    <row r="985" ht="15.75" customHeight="1">
      <c r="B985" s="809" t="n">
        <v>969</v>
      </c>
      <c r="C985" s="182">
        <f>IF(offer_sale_type="транзит",IFERROR(VLOOKUP($B985,calc_data,C$14+1,0),0),0)</f>
        <v/>
      </c>
      <c r="D985" s="280">
        <f>IF(offer_sale_type="транзит",IFERROR(VLOOKUP($B985,calc_data,D$14+1,0),0),0)</f>
        <v/>
      </c>
      <c r="E985" s="182">
        <f>IF(offer_sale_type="транзит",IFERROR(VLOOKUP($B985,calc_data,E$14+1,0),0),0)</f>
        <v/>
      </c>
      <c r="F985" s="182">
        <f>IF(offer_sale_type="транзит",IFERROR(VLOOKUP($B985,calc_data,F$14+1,0),0),0)</f>
        <v/>
      </c>
      <c r="G985" s="141">
        <f>IF(offer_sale_type="транзит",IFERROR(VLOOKUP($B985,calc_data,G$14+1,0),0),0)</f>
        <v/>
      </c>
      <c r="H985" s="141">
        <f>E985*G985</f>
        <v/>
      </c>
      <c r="I985" s="141">
        <f>IF(offer_sale_type="транзит",IFERROR(ROUND(VLOOKUP($B985,calc_data,I$14+1,0),2),0),0)</f>
        <v/>
      </c>
      <c r="J985" s="141">
        <f>ROUND(IF(offer_sale_type="транзит",IFERROR(VLOOKUP($B985,calc_data,J$14+1,0),0),0),2)</f>
        <v/>
      </c>
      <c r="K985" s="142">
        <f>IF(offer_sale_type="транзит",IFERROR(ROUNDUP(VLOOKUP($B985,calc_data,K$14+1,0),2),0),0)</f>
        <v/>
      </c>
      <c r="L985" s="184">
        <f>IF(offer_sale_type="транзит",IFERROR(ROUNDUP(VLOOKUP($B985,calc_data,L$14+1,0),2),0),0)</f>
        <v/>
      </c>
      <c r="M985" s="141">
        <f>IF(offer_sale_type="транзит",IFERROR(ROUNDUP(VLOOKUP($B985,calc_data,M$14+1,0),2),0),0)</f>
        <v/>
      </c>
      <c r="N985" s="141">
        <f>IF(offer_sale_type="транзит",IFERROR(ROUNDUP(VLOOKUP($B985,calc_data,N$14+1,0),2),0),0)</f>
        <v/>
      </c>
      <c r="O985" s="147">
        <f>IF(offer_sale_type="транзит",IFERROR(ROUND(VLOOKUP($B985,calc_data,O$14+1,1),2),0),0)</f>
        <v/>
      </c>
      <c r="P985" s="141">
        <f>IF(offer_sale_type="транзит",IFERROR(ROUND(SUM(I985:J985,M985:O985)/E985,2),0),0)</f>
        <v/>
      </c>
      <c r="Q985" s="141">
        <f>E985*P985</f>
        <v/>
      </c>
      <c r="R985" s="141">
        <f>ROUND(Q985*IF(AND(offer_incoterms="DDP",seller_region="RU"),IF((TODAY()+offer_turnaround_time)&gt;=helpsheet!$L$17,rate_vatRU_from_26,rate_vatRu_till_25),0),2)</f>
        <v/>
      </c>
      <c r="S985" s="177">
        <f>Q985+IF(AND(offer_incoterms="DDP",seller_region="RU"),R985,0)</f>
        <v/>
      </c>
      <c r="T985" s="45" t="n"/>
      <c r="V985" s="57">
        <f>IF(Q985&gt;0,"показать","скрыть")</f>
        <v/>
      </c>
    </row>
    <row r="986" ht="15.75" customHeight="1">
      <c r="B986" s="809" t="n">
        <v>970</v>
      </c>
      <c r="C986" s="182">
        <f>IF(offer_sale_type="транзит",IFERROR(VLOOKUP($B986,calc_data,C$14+1,0),0),0)</f>
        <v/>
      </c>
      <c r="D986" s="280">
        <f>IF(offer_sale_type="транзит",IFERROR(VLOOKUP($B986,calc_data,D$14+1,0),0),0)</f>
        <v/>
      </c>
      <c r="E986" s="182">
        <f>IF(offer_sale_type="транзит",IFERROR(VLOOKUP($B986,calc_data,E$14+1,0),0),0)</f>
        <v/>
      </c>
      <c r="F986" s="182">
        <f>IF(offer_sale_type="транзит",IFERROR(VLOOKUP($B986,calc_data,F$14+1,0),0),0)</f>
        <v/>
      </c>
      <c r="G986" s="141">
        <f>IF(offer_sale_type="транзит",IFERROR(VLOOKUP($B986,calc_data,G$14+1,0),0),0)</f>
        <v/>
      </c>
      <c r="H986" s="141">
        <f>E986*G986</f>
        <v/>
      </c>
      <c r="I986" s="141">
        <f>IF(offer_sale_type="транзит",IFERROR(ROUND(VLOOKUP($B986,calc_data,I$14+1,0),2),0),0)</f>
        <v/>
      </c>
      <c r="J986" s="141">
        <f>ROUND(IF(offer_sale_type="транзит",IFERROR(VLOOKUP($B986,calc_data,J$14+1,0),0),0),2)</f>
        <v/>
      </c>
      <c r="K986" s="142">
        <f>IF(offer_sale_type="транзит",IFERROR(ROUNDUP(VLOOKUP($B986,calc_data,K$14+1,0),2),0),0)</f>
        <v/>
      </c>
      <c r="L986" s="184">
        <f>IF(offer_sale_type="транзит",IFERROR(ROUNDUP(VLOOKUP($B986,calc_data,L$14+1,0),2),0),0)</f>
        <v/>
      </c>
      <c r="M986" s="141">
        <f>IF(offer_sale_type="транзит",IFERROR(ROUNDUP(VLOOKUP($B986,calc_data,M$14+1,0),2),0),0)</f>
        <v/>
      </c>
      <c r="N986" s="141">
        <f>IF(offer_sale_type="транзит",IFERROR(ROUNDUP(VLOOKUP($B986,calc_data,N$14+1,0),2),0),0)</f>
        <v/>
      </c>
      <c r="O986" s="147">
        <f>IF(offer_sale_type="транзит",IFERROR(ROUND(VLOOKUP($B986,calc_data,O$14+1,1),2),0),0)</f>
        <v/>
      </c>
      <c r="P986" s="141">
        <f>IF(offer_sale_type="транзит",IFERROR(ROUND(SUM(I986:J986,M986:O986)/E986,2),0),0)</f>
        <v/>
      </c>
      <c r="Q986" s="141">
        <f>E986*P986</f>
        <v/>
      </c>
      <c r="R986" s="141">
        <f>ROUND(Q986*IF(AND(offer_incoterms="DDP",seller_region="RU"),IF((TODAY()+offer_turnaround_time)&gt;=helpsheet!$L$17,rate_vatRU_from_26,rate_vatRu_till_25),0),2)</f>
        <v/>
      </c>
      <c r="S986" s="177">
        <f>Q986+IF(AND(offer_incoterms="DDP",seller_region="RU"),R986,0)</f>
        <v/>
      </c>
      <c r="T986" s="45" t="n"/>
      <c r="V986" s="57">
        <f>IF(Q986&gt;0,"показать","скрыть")</f>
        <v/>
      </c>
    </row>
    <row r="987" ht="15.75" customHeight="1">
      <c r="B987" s="809" t="n">
        <v>971</v>
      </c>
      <c r="C987" s="182">
        <f>IF(offer_sale_type="транзит",IFERROR(VLOOKUP($B987,calc_data,C$14+1,0),0),0)</f>
        <v/>
      </c>
      <c r="D987" s="280">
        <f>IF(offer_sale_type="транзит",IFERROR(VLOOKUP($B987,calc_data,D$14+1,0),0),0)</f>
        <v/>
      </c>
      <c r="E987" s="182">
        <f>IF(offer_sale_type="транзит",IFERROR(VLOOKUP($B987,calc_data,E$14+1,0),0),0)</f>
        <v/>
      </c>
      <c r="F987" s="182">
        <f>IF(offer_sale_type="транзит",IFERROR(VLOOKUP($B987,calc_data,F$14+1,0),0),0)</f>
        <v/>
      </c>
      <c r="G987" s="141">
        <f>IF(offer_sale_type="транзит",IFERROR(VLOOKUP($B987,calc_data,G$14+1,0),0),0)</f>
        <v/>
      </c>
      <c r="H987" s="141">
        <f>E987*G987</f>
        <v/>
      </c>
      <c r="I987" s="141">
        <f>IF(offer_sale_type="транзит",IFERROR(ROUND(VLOOKUP($B987,calc_data,I$14+1,0),2),0),0)</f>
        <v/>
      </c>
      <c r="J987" s="141">
        <f>ROUND(IF(offer_sale_type="транзит",IFERROR(VLOOKUP($B987,calc_data,J$14+1,0),0),0),2)</f>
        <v/>
      </c>
      <c r="K987" s="142">
        <f>IF(offer_sale_type="транзит",IFERROR(ROUNDUP(VLOOKUP($B987,calc_data,K$14+1,0),2),0),0)</f>
        <v/>
      </c>
      <c r="L987" s="184">
        <f>IF(offer_sale_type="транзит",IFERROR(ROUNDUP(VLOOKUP($B987,calc_data,L$14+1,0),2),0),0)</f>
        <v/>
      </c>
      <c r="M987" s="141">
        <f>IF(offer_sale_type="транзит",IFERROR(ROUNDUP(VLOOKUP($B987,calc_data,M$14+1,0),2),0),0)</f>
        <v/>
      </c>
      <c r="N987" s="141">
        <f>IF(offer_sale_type="транзит",IFERROR(ROUNDUP(VLOOKUP($B987,calc_data,N$14+1,0),2),0),0)</f>
        <v/>
      </c>
      <c r="O987" s="147">
        <f>IF(offer_sale_type="транзит",IFERROR(ROUND(VLOOKUP($B987,calc_data,O$14+1,1),2),0),0)</f>
        <v/>
      </c>
      <c r="P987" s="141">
        <f>IF(offer_sale_type="транзит",IFERROR(ROUND(SUM(I987:J987,M987:O987)/E987,2),0),0)</f>
        <v/>
      </c>
      <c r="Q987" s="141">
        <f>E987*P987</f>
        <v/>
      </c>
      <c r="R987" s="141">
        <f>ROUND(Q987*IF(AND(offer_incoterms="DDP",seller_region="RU"),IF((TODAY()+offer_turnaround_time)&gt;=helpsheet!$L$17,rate_vatRU_from_26,rate_vatRu_till_25),0),2)</f>
        <v/>
      </c>
      <c r="S987" s="177">
        <f>Q987+IF(AND(offer_incoterms="DDP",seller_region="RU"),R987,0)</f>
        <v/>
      </c>
      <c r="T987" s="45" t="n"/>
      <c r="V987" s="57">
        <f>IF(Q987&gt;0,"показать","скрыть")</f>
        <v/>
      </c>
    </row>
    <row r="988" ht="15.75" customHeight="1">
      <c r="B988" s="809" t="n">
        <v>972</v>
      </c>
      <c r="C988" s="182">
        <f>IF(offer_sale_type="транзит",IFERROR(VLOOKUP($B988,calc_data,C$14+1,0),0),0)</f>
        <v/>
      </c>
      <c r="D988" s="280">
        <f>IF(offer_sale_type="транзит",IFERROR(VLOOKUP($B988,calc_data,D$14+1,0),0),0)</f>
        <v/>
      </c>
      <c r="E988" s="182">
        <f>IF(offer_sale_type="транзит",IFERROR(VLOOKUP($B988,calc_data,E$14+1,0),0),0)</f>
        <v/>
      </c>
      <c r="F988" s="182">
        <f>IF(offer_sale_type="транзит",IFERROR(VLOOKUP($B988,calc_data,F$14+1,0),0),0)</f>
        <v/>
      </c>
      <c r="G988" s="141">
        <f>IF(offer_sale_type="транзит",IFERROR(VLOOKUP($B988,calc_data,G$14+1,0),0),0)</f>
        <v/>
      </c>
      <c r="H988" s="141">
        <f>E988*G988</f>
        <v/>
      </c>
      <c r="I988" s="141">
        <f>IF(offer_sale_type="транзит",IFERROR(ROUND(VLOOKUP($B988,calc_data,I$14+1,0),2),0),0)</f>
        <v/>
      </c>
      <c r="J988" s="141">
        <f>ROUND(IF(offer_sale_type="транзит",IFERROR(VLOOKUP($B988,calc_data,J$14+1,0),0),0),2)</f>
        <v/>
      </c>
      <c r="K988" s="142">
        <f>IF(offer_sale_type="транзит",IFERROR(ROUNDUP(VLOOKUP($B988,calc_data,K$14+1,0),2),0),0)</f>
        <v/>
      </c>
      <c r="L988" s="184">
        <f>IF(offer_sale_type="транзит",IFERROR(ROUNDUP(VLOOKUP($B988,calc_data,L$14+1,0),2),0),0)</f>
        <v/>
      </c>
      <c r="M988" s="141">
        <f>IF(offer_sale_type="транзит",IFERROR(ROUNDUP(VLOOKUP($B988,calc_data,M$14+1,0),2),0),0)</f>
        <v/>
      </c>
      <c r="N988" s="141">
        <f>IF(offer_sale_type="транзит",IFERROR(ROUNDUP(VLOOKUP($B988,calc_data,N$14+1,0),2),0),0)</f>
        <v/>
      </c>
      <c r="O988" s="147">
        <f>IF(offer_sale_type="транзит",IFERROR(ROUND(VLOOKUP($B988,calc_data,O$14+1,1),2),0),0)</f>
        <v/>
      </c>
      <c r="P988" s="141">
        <f>IF(offer_sale_type="транзит",IFERROR(ROUND(SUM(I988:J988,M988:O988)/E988,2),0),0)</f>
        <v/>
      </c>
      <c r="Q988" s="141">
        <f>E988*P988</f>
        <v/>
      </c>
      <c r="R988" s="141">
        <f>ROUND(Q988*IF(AND(offer_incoterms="DDP",seller_region="RU"),IF((TODAY()+offer_turnaround_time)&gt;=helpsheet!$L$17,rate_vatRU_from_26,rate_vatRu_till_25),0),2)</f>
        <v/>
      </c>
      <c r="S988" s="177">
        <f>Q988+IF(AND(offer_incoterms="DDP",seller_region="RU"),R988,0)</f>
        <v/>
      </c>
      <c r="T988" s="45" t="n"/>
      <c r="V988" s="57">
        <f>IF(Q988&gt;0,"показать","скрыть")</f>
        <v/>
      </c>
    </row>
    <row r="989" ht="15.75" customHeight="1">
      <c r="B989" s="809" t="n">
        <v>973</v>
      </c>
      <c r="C989" s="182">
        <f>IF(offer_sale_type="транзит",IFERROR(VLOOKUP($B989,calc_data,C$14+1,0),0),0)</f>
        <v/>
      </c>
      <c r="D989" s="280">
        <f>IF(offer_sale_type="транзит",IFERROR(VLOOKUP($B989,calc_data,D$14+1,0),0),0)</f>
        <v/>
      </c>
      <c r="E989" s="182">
        <f>IF(offer_sale_type="транзит",IFERROR(VLOOKUP($B989,calc_data,E$14+1,0),0),0)</f>
        <v/>
      </c>
      <c r="F989" s="182">
        <f>IF(offer_sale_type="транзит",IFERROR(VLOOKUP($B989,calc_data,F$14+1,0),0),0)</f>
        <v/>
      </c>
      <c r="G989" s="141">
        <f>IF(offer_sale_type="транзит",IFERROR(VLOOKUP($B989,calc_data,G$14+1,0),0),0)</f>
        <v/>
      </c>
      <c r="H989" s="141">
        <f>E989*G989</f>
        <v/>
      </c>
      <c r="I989" s="141">
        <f>IF(offer_sale_type="транзит",IFERROR(ROUND(VLOOKUP($B989,calc_data,I$14+1,0),2),0),0)</f>
        <v/>
      </c>
      <c r="J989" s="141">
        <f>ROUND(IF(offer_sale_type="транзит",IFERROR(VLOOKUP($B989,calc_data,J$14+1,0),0),0),2)</f>
        <v/>
      </c>
      <c r="K989" s="142">
        <f>IF(offer_sale_type="транзит",IFERROR(ROUNDUP(VLOOKUP($B989,calc_data,K$14+1,0),2),0),0)</f>
        <v/>
      </c>
      <c r="L989" s="184">
        <f>IF(offer_sale_type="транзит",IFERROR(ROUNDUP(VLOOKUP($B989,calc_data,L$14+1,0),2),0),0)</f>
        <v/>
      </c>
      <c r="M989" s="141">
        <f>IF(offer_sale_type="транзит",IFERROR(ROUNDUP(VLOOKUP($B989,calc_data,M$14+1,0),2),0),0)</f>
        <v/>
      </c>
      <c r="N989" s="141">
        <f>IF(offer_sale_type="транзит",IFERROR(ROUNDUP(VLOOKUP($B989,calc_data,N$14+1,0),2),0),0)</f>
        <v/>
      </c>
      <c r="O989" s="147">
        <f>IF(offer_sale_type="транзит",IFERROR(ROUND(VLOOKUP($B989,calc_data,O$14+1,1),2),0),0)</f>
        <v/>
      </c>
      <c r="P989" s="141">
        <f>IF(offer_sale_type="транзит",IFERROR(ROUND(SUM(I989:J989,M989:O989)/E989,2),0),0)</f>
        <v/>
      </c>
      <c r="Q989" s="141">
        <f>E989*P989</f>
        <v/>
      </c>
      <c r="R989" s="141">
        <f>ROUND(Q989*IF(AND(offer_incoterms="DDP",seller_region="RU"),IF((TODAY()+offer_turnaround_time)&gt;=helpsheet!$L$17,rate_vatRU_from_26,rate_vatRu_till_25),0),2)</f>
        <v/>
      </c>
      <c r="S989" s="177">
        <f>Q989+IF(AND(offer_incoterms="DDP",seller_region="RU"),R989,0)</f>
        <v/>
      </c>
      <c r="T989" s="45" t="n"/>
      <c r="V989" s="57">
        <f>IF(Q989&gt;0,"показать","скрыть")</f>
        <v/>
      </c>
    </row>
    <row r="990" ht="15.75" customHeight="1">
      <c r="B990" s="809" t="n">
        <v>974</v>
      </c>
      <c r="C990" s="182">
        <f>IF(offer_sale_type="транзит",IFERROR(VLOOKUP($B990,calc_data,C$14+1,0),0),0)</f>
        <v/>
      </c>
      <c r="D990" s="280">
        <f>IF(offer_sale_type="транзит",IFERROR(VLOOKUP($B990,calc_data,D$14+1,0),0),0)</f>
        <v/>
      </c>
      <c r="E990" s="182">
        <f>IF(offer_sale_type="транзит",IFERROR(VLOOKUP($B990,calc_data,E$14+1,0),0),0)</f>
        <v/>
      </c>
      <c r="F990" s="182">
        <f>IF(offer_sale_type="транзит",IFERROR(VLOOKUP($B990,calc_data,F$14+1,0),0),0)</f>
        <v/>
      </c>
      <c r="G990" s="141">
        <f>IF(offer_sale_type="транзит",IFERROR(VLOOKUP($B990,calc_data,G$14+1,0),0),0)</f>
        <v/>
      </c>
      <c r="H990" s="141">
        <f>E990*G990</f>
        <v/>
      </c>
      <c r="I990" s="141">
        <f>IF(offer_sale_type="транзит",IFERROR(ROUND(VLOOKUP($B990,calc_data,I$14+1,0),2),0),0)</f>
        <v/>
      </c>
      <c r="J990" s="141">
        <f>ROUND(IF(offer_sale_type="транзит",IFERROR(VLOOKUP($B990,calc_data,J$14+1,0),0),0),2)</f>
        <v/>
      </c>
      <c r="K990" s="142">
        <f>IF(offer_sale_type="транзит",IFERROR(ROUNDUP(VLOOKUP($B990,calc_data,K$14+1,0),2),0),0)</f>
        <v/>
      </c>
      <c r="L990" s="184">
        <f>IF(offer_sale_type="транзит",IFERROR(ROUNDUP(VLOOKUP($B990,calc_data,L$14+1,0),2),0),0)</f>
        <v/>
      </c>
      <c r="M990" s="141">
        <f>IF(offer_sale_type="транзит",IFERROR(ROUNDUP(VLOOKUP($B990,calc_data,M$14+1,0),2),0),0)</f>
        <v/>
      </c>
      <c r="N990" s="141">
        <f>IF(offer_sale_type="транзит",IFERROR(ROUNDUP(VLOOKUP($B990,calc_data,N$14+1,0),2),0),0)</f>
        <v/>
      </c>
      <c r="O990" s="147">
        <f>IF(offer_sale_type="транзит",IFERROR(ROUND(VLOOKUP($B990,calc_data,O$14+1,1),2),0),0)</f>
        <v/>
      </c>
      <c r="P990" s="141">
        <f>IF(offer_sale_type="транзит",IFERROR(ROUND(SUM(I990:J990,M990:O990)/E990,2),0),0)</f>
        <v/>
      </c>
      <c r="Q990" s="141">
        <f>E990*P990</f>
        <v/>
      </c>
      <c r="R990" s="141">
        <f>ROUND(Q990*IF(AND(offer_incoterms="DDP",seller_region="RU"),IF((TODAY()+offer_turnaround_time)&gt;=helpsheet!$L$17,rate_vatRU_from_26,rate_vatRu_till_25),0),2)</f>
        <v/>
      </c>
      <c r="S990" s="177">
        <f>Q990+IF(AND(offer_incoterms="DDP",seller_region="RU"),R990,0)</f>
        <v/>
      </c>
      <c r="T990" s="45" t="n"/>
      <c r="V990" s="57">
        <f>IF(Q990&gt;0,"показать","скрыть")</f>
        <v/>
      </c>
    </row>
    <row r="991" ht="15.75" customHeight="1">
      <c r="B991" s="809" t="n">
        <v>975</v>
      </c>
      <c r="C991" s="182">
        <f>IF(offer_sale_type="транзит",IFERROR(VLOOKUP($B991,calc_data,C$14+1,0),0),0)</f>
        <v/>
      </c>
      <c r="D991" s="280">
        <f>IF(offer_sale_type="транзит",IFERROR(VLOOKUP($B991,calc_data,D$14+1,0),0),0)</f>
        <v/>
      </c>
      <c r="E991" s="182">
        <f>IF(offer_sale_type="транзит",IFERROR(VLOOKUP($B991,calc_data,E$14+1,0),0),0)</f>
        <v/>
      </c>
      <c r="F991" s="182">
        <f>IF(offer_sale_type="транзит",IFERROR(VLOOKUP($B991,calc_data,F$14+1,0),0),0)</f>
        <v/>
      </c>
      <c r="G991" s="141">
        <f>IF(offer_sale_type="транзит",IFERROR(VLOOKUP($B991,calc_data,G$14+1,0),0),0)</f>
        <v/>
      </c>
      <c r="H991" s="141">
        <f>E991*G991</f>
        <v/>
      </c>
      <c r="I991" s="141">
        <f>IF(offer_sale_type="транзит",IFERROR(ROUND(VLOOKUP($B991,calc_data,I$14+1,0),2),0),0)</f>
        <v/>
      </c>
      <c r="J991" s="141">
        <f>ROUND(IF(offer_sale_type="транзит",IFERROR(VLOOKUP($B991,calc_data,J$14+1,0),0),0),2)</f>
        <v/>
      </c>
      <c r="K991" s="142">
        <f>IF(offer_sale_type="транзит",IFERROR(ROUNDUP(VLOOKUP($B991,calc_data,K$14+1,0),2),0),0)</f>
        <v/>
      </c>
      <c r="L991" s="184">
        <f>IF(offer_sale_type="транзит",IFERROR(ROUNDUP(VLOOKUP($B991,calc_data,L$14+1,0),2),0),0)</f>
        <v/>
      </c>
      <c r="M991" s="141">
        <f>IF(offer_sale_type="транзит",IFERROR(ROUNDUP(VLOOKUP($B991,calc_data,M$14+1,0),2),0),0)</f>
        <v/>
      </c>
      <c r="N991" s="141">
        <f>IF(offer_sale_type="транзит",IFERROR(ROUNDUP(VLOOKUP($B991,calc_data,N$14+1,0),2),0),0)</f>
        <v/>
      </c>
      <c r="O991" s="147">
        <f>IF(offer_sale_type="транзит",IFERROR(ROUND(VLOOKUP($B991,calc_data,O$14+1,1),2),0),0)</f>
        <v/>
      </c>
      <c r="P991" s="141">
        <f>IF(offer_sale_type="транзит",IFERROR(ROUND(SUM(I991:J991,M991:O991)/E991,2),0),0)</f>
        <v/>
      </c>
      <c r="Q991" s="141">
        <f>E991*P991</f>
        <v/>
      </c>
      <c r="R991" s="141">
        <f>ROUND(Q991*IF(AND(offer_incoterms="DDP",seller_region="RU"),IF((TODAY()+offer_turnaround_time)&gt;=helpsheet!$L$17,rate_vatRU_from_26,rate_vatRu_till_25),0),2)</f>
        <v/>
      </c>
      <c r="S991" s="177">
        <f>Q991+IF(AND(offer_incoterms="DDP",seller_region="RU"),R991,0)</f>
        <v/>
      </c>
      <c r="T991" s="45" t="n"/>
      <c r="V991" s="57">
        <f>IF(Q991&gt;0,"показать","скрыть")</f>
        <v/>
      </c>
    </row>
    <row r="992" ht="15.75" customHeight="1">
      <c r="B992" s="809" t="n">
        <v>976</v>
      </c>
      <c r="C992" s="182">
        <f>IF(offer_sale_type="транзит",IFERROR(VLOOKUP($B992,calc_data,C$14+1,0),0),0)</f>
        <v/>
      </c>
      <c r="D992" s="280">
        <f>IF(offer_sale_type="транзит",IFERROR(VLOOKUP($B992,calc_data,D$14+1,0),0),0)</f>
        <v/>
      </c>
      <c r="E992" s="182">
        <f>IF(offer_sale_type="транзит",IFERROR(VLOOKUP($B992,calc_data,E$14+1,0),0),0)</f>
        <v/>
      </c>
      <c r="F992" s="182">
        <f>IF(offer_sale_type="транзит",IFERROR(VLOOKUP($B992,calc_data,F$14+1,0),0),0)</f>
        <v/>
      </c>
      <c r="G992" s="141">
        <f>IF(offer_sale_type="транзит",IFERROR(VLOOKUP($B992,calc_data,G$14+1,0),0),0)</f>
        <v/>
      </c>
      <c r="H992" s="141">
        <f>E992*G992</f>
        <v/>
      </c>
      <c r="I992" s="141">
        <f>IF(offer_sale_type="транзит",IFERROR(ROUND(VLOOKUP($B992,calc_data,I$14+1,0),2),0),0)</f>
        <v/>
      </c>
      <c r="J992" s="141">
        <f>ROUND(IF(offer_sale_type="транзит",IFERROR(VLOOKUP($B992,calc_data,J$14+1,0),0),0),2)</f>
        <v/>
      </c>
      <c r="K992" s="142">
        <f>IF(offer_sale_type="транзит",IFERROR(ROUNDUP(VLOOKUP($B992,calc_data,K$14+1,0),2),0),0)</f>
        <v/>
      </c>
      <c r="L992" s="184">
        <f>IF(offer_sale_type="транзит",IFERROR(ROUNDUP(VLOOKUP($B992,calc_data,L$14+1,0),2),0),0)</f>
        <v/>
      </c>
      <c r="M992" s="141">
        <f>IF(offer_sale_type="транзит",IFERROR(ROUNDUP(VLOOKUP($B992,calc_data,M$14+1,0),2),0),0)</f>
        <v/>
      </c>
      <c r="N992" s="141">
        <f>IF(offer_sale_type="транзит",IFERROR(ROUNDUP(VLOOKUP($B992,calc_data,N$14+1,0),2),0),0)</f>
        <v/>
      </c>
      <c r="O992" s="147">
        <f>IF(offer_sale_type="транзит",IFERROR(ROUND(VLOOKUP($B992,calc_data,O$14+1,1),2),0),0)</f>
        <v/>
      </c>
      <c r="P992" s="141">
        <f>IF(offer_sale_type="транзит",IFERROR(ROUND(SUM(I992:J992,M992:O992)/E992,2),0),0)</f>
        <v/>
      </c>
      <c r="Q992" s="141">
        <f>E992*P992</f>
        <v/>
      </c>
      <c r="R992" s="141">
        <f>ROUND(Q992*IF(AND(offer_incoterms="DDP",seller_region="RU"),IF((TODAY()+offer_turnaround_time)&gt;=helpsheet!$L$17,rate_vatRU_from_26,rate_vatRu_till_25),0),2)</f>
        <v/>
      </c>
      <c r="S992" s="177">
        <f>Q992+IF(AND(offer_incoterms="DDP",seller_region="RU"),R992,0)</f>
        <v/>
      </c>
      <c r="T992" s="45" t="n"/>
      <c r="V992" s="57">
        <f>IF(Q992&gt;0,"показать","скрыть")</f>
        <v/>
      </c>
    </row>
    <row r="993" ht="15.75" customHeight="1">
      <c r="B993" s="809" t="n">
        <v>977</v>
      </c>
      <c r="C993" s="182">
        <f>IF(offer_sale_type="транзит",IFERROR(VLOOKUP($B993,calc_data,C$14+1,0),0),0)</f>
        <v/>
      </c>
      <c r="D993" s="280">
        <f>IF(offer_sale_type="транзит",IFERROR(VLOOKUP($B993,calc_data,D$14+1,0),0),0)</f>
        <v/>
      </c>
      <c r="E993" s="182">
        <f>IF(offer_sale_type="транзит",IFERROR(VLOOKUP($B993,calc_data,E$14+1,0),0),0)</f>
        <v/>
      </c>
      <c r="F993" s="182">
        <f>IF(offer_sale_type="транзит",IFERROR(VLOOKUP($B993,calc_data,F$14+1,0),0),0)</f>
        <v/>
      </c>
      <c r="G993" s="141">
        <f>IF(offer_sale_type="транзит",IFERROR(VLOOKUP($B993,calc_data,G$14+1,0),0),0)</f>
        <v/>
      </c>
      <c r="H993" s="141">
        <f>E993*G993</f>
        <v/>
      </c>
      <c r="I993" s="141">
        <f>IF(offer_sale_type="транзит",IFERROR(ROUND(VLOOKUP($B993,calc_data,I$14+1,0),2),0),0)</f>
        <v/>
      </c>
      <c r="J993" s="141">
        <f>ROUND(IF(offer_sale_type="транзит",IFERROR(VLOOKUP($B993,calc_data,J$14+1,0),0),0),2)</f>
        <v/>
      </c>
      <c r="K993" s="142">
        <f>IF(offer_sale_type="транзит",IFERROR(ROUNDUP(VLOOKUP($B993,calc_data,K$14+1,0),2),0),0)</f>
        <v/>
      </c>
      <c r="L993" s="184">
        <f>IF(offer_sale_type="транзит",IFERROR(ROUNDUP(VLOOKUP($B993,calc_data,L$14+1,0),2),0),0)</f>
        <v/>
      </c>
      <c r="M993" s="141">
        <f>IF(offer_sale_type="транзит",IFERROR(ROUNDUP(VLOOKUP($B993,calc_data,M$14+1,0),2),0),0)</f>
        <v/>
      </c>
      <c r="N993" s="141">
        <f>IF(offer_sale_type="транзит",IFERROR(ROUNDUP(VLOOKUP($B993,calc_data,N$14+1,0),2),0),0)</f>
        <v/>
      </c>
      <c r="O993" s="147">
        <f>IF(offer_sale_type="транзит",IFERROR(ROUND(VLOOKUP($B993,calc_data,O$14+1,1),2),0),0)</f>
        <v/>
      </c>
      <c r="P993" s="141">
        <f>IF(offer_sale_type="транзит",IFERROR(ROUND(SUM(I993:J993,M993:O993)/E993,2),0),0)</f>
        <v/>
      </c>
      <c r="Q993" s="141">
        <f>E993*P993</f>
        <v/>
      </c>
      <c r="R993" s="141">
        <f>ROUND(Q993*IF(AND(offer_incoterms="DDP",seller_region="RU"),IF((TODAY()+offer_turnaround_time)&gt;=helpsheet!$L$17,rate_vatRU_from_26,rate_vatRu_till_25),0),2)</f>
        <v/>
      </c>
      <c r="S993" s="177">
        <f>Q993+IF(AND(offer_incoterms="DDP",seller_region="RU"),R993,0)</f>
        <v/>
      </c>
      <c r="T993" s="45" t="n"/>
      <c r="V993" s="57">
        <f>IF(Q993&gt;0,"показать","скрыть")</f>
        <v/>
      </c>
    </row>
    <row r="994" ht="15.75" customHeight="1">
      <c r="B994" s="809" t="n">
        <v>978</v>
      </c>
      <c r="C994" s="182">
        <f>IF(offer_sale_type="транзит",IFERROR(VLOOKUP($B994,calc_data,C$14+1,0),0),0)</f>
        <v/>
      </c>
      <c r="D994" s="280">
        <f>IF(offer_sale_type="транзит",IFERROR(VLOOKUP($B994,calc_data,D$14+1,0),0),0)</f>
        <v/>
      </c>
      <c r="E994" s="182">
        <f>IF(offer_sale_type="транзит",IFERROR(VLOOKUP($B994,calc_data,E$14+1,0),0),0)</f>
        <v/>
      </c>
      <c r="F994" s="182">
        <f>IF(offer_sale_type="транзит",IFERROR(VLOOKUP($B994,calc_data,F$14+1,0),0),0)</f>
        <v/>
      </c>
      <c r="G994" s="141">
        <f>IF(offer_sale_type="транзит",IFERROR(VLOOKUP($B994,calc_data,G$14+1,0),0),0)</f>
        <v/>
      </c>
      <c r="H994" s="141">
        <f>E994*G994</f>
        <v/>
      </c>
      <c r="I994" s="141">
        <f>IF(offer_sale_type="транзит",IFERROR(ROUND(VLOOKUP($B994,calc_data,I$14+1,0),2),0),0)</f>
        <v/>
      </c>
      <c r="J994" s="141">
        <f>ROUND(IF(offer_sale_type="транзит",IFERROR(VLOOKUP($B994,calc_data,J$14+1,0),0),0),2)</f>
        <v/>
      </c>
      <c r="K994" s="142">
        <f>IF(offer_sale_type="транзит",IFERROR(ROUNDUP(VLOOKUP($B994,calc_data,K$14+1,0),2),0),0)</f>
        <v/>
      </c>
      <c r="L994" s="184">
        <f>IF(offer_sale_type="транзит",IFERROR(ROUNDUP(VLOOKUP($B994,calc_data,L$14+1,0),2),0),0)</f>
        <v/>
      </c>
      <c r="M994" s="141">
        <f>IF(offer_sale_type="транзит",IFERROR(ROUNDUP(VLOOKUP($B994,calc_data,M$14+1,0),2),0),0)</f>
        <v/>
      </c>
      <c r="N994" s="141">
        <f>IF(offer_sale_type="транзит",IFERROR(ROUNDUP(VLOOKUP($B994,calc_data,N$14+1,0),2),0),0)</f>
        <v/>
      </c>
      <c r="O994" s="147">
        <f>IF(offer_sale_type="транзит",IFERROR(ROUND(VLOOKUP($B994,calc_data,O$14+1,1),2),0),0)</f>
        <v/>
      </c>
      <c r="P994" s="141">
        <f>IF(offer_sale_type="транзит",IFERROR(ROUND(SUM(I994:J994,M994:O994)/E994,2),0),0)</f>
        <v/>
      </c>
      <c r="Q994" s="141">
        <f>E994*P994</f>
        <v/>
      </c>
      <c r="R994" s="141">
        <f>ROUND(Q994*IF(AND(offer_incoterms="DDP",seller_region="RU"),IF((TODAY()+offer_turnaround_time)&gt;=helpsheet!$L$17,rate_vatRU_from_26,rate_vatRu_till_25),0),2)</f>
        <v/>
      </c>
      <c r="S994" s="177">
        <f>Q994+IF(AND(offer_incoterms="DDP",seller_region="RU"),R994,0)</f>
        <v/>
      </c>
      <c r="T994" s="45" t="n"/>
      <c r="V994" s="57">
        <f>IF(Q994&gt;0,"показать","скрыть")</f>
        <v/>
      </c>
    </row>
    <row r="995" ht="15.75" customHeight="1">
      <c r="B995" s="809" t="n">
        <v>979</v>
      </c>
      <c r="C995" s="182">
        <f>IF(offer_sale_type="транзит",IFERROR(VLOOKUP($B995,calc_data,C$14+1,0),0),0)</f>
        <v/>
      </c>
      <c r="D995" s="280">
        <f>IF(offer_sale_type="транзит",IFERROR(VLOOKUP($B995,calc_data,D$14+1,0),0),0)</f>
        <v/>
      </c>
      <c r="E995" s="182">
        <f>IF(offer_sale_type="транзит",IFERROR(VLOOKUP($B995,calc_data,E$14+1,0),0),0)</f>
        <v/>
      </c>
      <c r="F995" s="182">
        <f>IF(offer_sale_type="транзит",IFERROR(VLOOKUP($B995,calc_data,F$14+1,0),0),0)</f>
        <v/>
      </c>
      <c r="G995" s="141">
        <f>IF(offer_sale_type="транзит",IFERROR(VLOOKUP($B995,calc_data,G$14+1,0),0),0)</f>
        <v/>
      </c>
      <c r="H995" s="141">
        <f>E995*G995</f>
        <v/>
      </c>
      <c r="I995" s="141">
        <f>IF(offer_sale_type="транзит",IFERROR(ROUND(VLOOKUP($B995,calc_data,I$14+1,0),2),0),0)</f>
        <v/>
      </c>
      <c r="J995" s="141">
        <f>ROUND(IF(offer_sale_type="транзит",IFERROR(VLOOKUP($B995,calc_data,J$14+1,0),0),0),2)</f>
        <v/>
      </c>
      <c r="K995" s="142">
        <f>IF(offer_sale_type="транзит",IFERROR(ROUNDUP(VLOOKUP($B995,calc_data,K$14+1,0),2),0),0)</f>
        <v/>
      </c>
      <c r="L995" s="184">
        <f>IF(offer_sale_type="транзит",IFERROR(ROUNDUP(VLOOKUP($B995,calc_data,L$14+1,0),2),0),0)</f>
        <v/>
      </c>
      <c r="M995" s="141">
        <f>IF(offer_sale_type="транзит",IFERROR(ROUNDUP(VLOOKUP($B995,calc_data,M$14+1,0),2),0),0)</f>
        <v/>
      </c>
      <c r="N995" s="141">
        <f>IF(offer_sale_type="транзит",IFERROR(ROUNDUP(VLOOKUP($B995,calc_data,N$14+1,0),2),0),0)</f>
        <v/>
      </c>
      <c r="O995" s="147">
        <f>IF(offer_sale_type="транзит",IFERROR(ROUND(VLOOKUP($B995,calc_data,O$14+1,1),2),0),0)</f>
        <v/>
      </c>
      <c r="P995" s="141">
        <f>IF(offer_sale_type="транзит",IFERROR(ROUND(SUM(I995:J995,M995:O995)/E995,2),0),0)</f>
        <v/>
      </c>
      <c r="Q995" s="141">
        <f>E995*P995</f>
        <v/>
      </c>
      <c r="R995" s="141">
        <f>ROUND(Q995*IF(AND(offer_incoterms="DDP",seller_region="RU"),IF((TODAY()+offer_turnaround_time)&gt;=helpsheet!$L$17,rate_vatRU_from_26,rate_vatRu_till_25),0),2)</f>
        <v/>
      </c>
      <c r="S995" s="177">
        <f>Q995+IF(AND(offer_incoterms="DDP",seller_region="RU"),R995,0)</f>
        <v/>
      </c>
      <c r="T995" s="45" t="n"/>
      <c r="V995" s="57">
        <f>IF(Q995&gt;0,"показать","скрыть")</f>
        <v/>
      </c>
    </row>
    <row r="996" ht="15.75" customHeight="1">
      <c r="B996" s="809" t="n">
        <v>980</v>
      </c>
      <c r="C996" s="182">
        <f>IF(offer_sale_type="транзит",IFERROR(VLOOKUP($B996,calc_data,C$14+1,0),0),0)</f>
        <v/>
      </c>
      <c r="D996" s="280">
        <f>IF(offer_sale_type="транзит",IFERROR(VLOOKUP($B996,calc_data,D$14+1,0),0),0)</f>
        <v/>
      </c>
      <c r="E996" s="182">
        <f>IF(offer_sale_type="транзит",IFERROR(VLOOKUP($B996,calc_data,E$14+1,0),0),0)</f>
        <v/>
      </c>
      <c r="F996" s="182">
        <f>IF(offer_sale_type="транзит",IFERROR(VLOOKUP($B996,calc_data,F$14+1,0),0),0)</f>
        <v/>
      </c>
      <c r="G996" s="141">
        <f>IF(offer_sale_type="транзит",IFERROR(VLOOKUP($B996,calc_data,G$14+1,0),0),0)</f>
        <v/>
      </c>
      <c r="H996" s="141">
        <f>E996*G996</f>
        <v/>
      </c>
      <c r="I996" s="141">
        <f>IF(offer_sale_type="транзит",IFERROR(ROUND(VLOOKUP($B996,calc_data,I$14+1,0),2),0),0)</f>
        <v/>
      </c>
      <c r="J996" s="141">
        <f>ROUND(IF(offer_sale_type="транзит",IFERROR(VLOOKUP($B996,calc_data,J$14+1,0),0),0),2)</f>
        <v/>
      </c>
      <c r="K996" s="142">
        <f>IF(offer_sale_type="транзит",IFERROR(ROUNDUP(VLOOKUP($B996,calc_data,K$14+1,0),2),0),0)</f>
        <v/>
      </c>
      <c r="L996" s="184">
        <f>IF(offer_sale_type="транзит",IFERROR(ROUNDUP(VLOOKUP($B996,calc_data,L$14+1,0),2),0),0)</f>
        <v/>
      </c>
      <c r="M996" s="141">
        <f>IF(offer_sale_type="транзит",IFERROR(ROUNDUP(VLOOKUP($B996,calc_data,M$14+1,0),2),0),0)</f>
        <v/>
      </c>
      <c r="N996" s="141">
        <f>IF(offer_sale_type="транзит",IFERROR(ROUNDUP(VLOOKUP($B996,calc_data,N$14+1,0),2),0),0)</f>
        <v/>
      </c>
      <c r="O996" s="147">
        <f>IF(offer_sale_type="транзит",IFERROR(ROUND(VLOOKUP($B996,calc_data,O$14+1,1),2),0),0)</f>
        <v/>
      </c>
      <c r="P996" s="141">
        <f>IF(offer_sale_type="транзит",IFERROR(ROUND(SUM(I996:J996,M996:O996)/E996,2),0),0)</f>
        <v/>
      </c>
      <c r="Q996" s="141">
        <f>E996*P996</f>
        <v/>
      </c>
      <c r="R996" s="141">
        <f>ROUND(Q996*IF(AND(offer_incoterms="DDP",seller_region="RU"),IF((TODAY()+offer_turnaround_time)&gt;=helpsheet!$L$17,rate_vatRU_from_26,rate_vatRu_till_25),0),2)</f>
        <v/>
      </c>
      <c r="S996" s="177">
        <f>Q996+IF(AND(offer_incoterms="DDP",seller_region="RU"),R996,0)</f>
        <v/>
      </c>
      <c r="T996" s="45" t="n"/>
      <c r="V996" s="57">
        <f>IF(Q996&gt;0,"показать","скрыть")</f>
        <v/>
      </c>
    </row>
    <row r="997" ht="15.75" customHeight="1">
      <c r="B997" s="809" t="n">
        <v>981</v>
      </c>
      <c r="C997" s="182">
        <f>IF(offer_sale_type="транзит",IFERROR(VLOOKUP($B997,calc_data,C$14+1,0),0),0)</f>
        <v/>
      </c>
      <c r="D997" s="280">
        <f>IF(offer_sale_type="транзит",IFERROR(VLOOKUP($B997,calc_data,D$14+1,0),0),0)</f>
        <v/>
      </c>
      <c r="E997" s="182">
        <f>IF(offer_sale_type="транзит",IFERROR(VLOOKUP($B997,calc_data,E$14+1,0),0),0)</f>
        <v/>
      </c>
      <c r="F997" s="182">
        <f>IF(offer_sale_type="транзит",IFERROR(VLOOKUP($B997,calc_data,F$14+1,0),0),0)</f>
        <v/>
      </c>
      <c r="G997" s="141">
        <f>IF(offer_sale_type="транзит",IFERROR(VLOOKUP($B997,calc_data,G$14+1,0),0),0)</f>
        <v/>
      </c>
      <c r="H997" s="141">
        <f>E997*G997</f>
        <v/>
      </c>
      <c r="I997" s="141">
        <f>IF(offer_sale_type="транзит",IFERROR(ROUND(VLOOKUP($B997,calc_data,I$14+1,0),2),0),0)</f>
        <v/>
      </c>
      <c r="J997" s="141">
        <f>ROUND(IF(offer_sale_type="транзит",IFERROR(VLOOKUP($B997,calc_data,J$14+1,0),0),0),2)</f>
        <v/>
      </c>
      <c r="K997" s="142">
        <f>IF(offer_sale_type="транзит",IFERROR(ROUNDUP(VLOOKUP($B997,calc_data,K$14+1,0),2),0),0)</f>
        <v/>
      </c>
      <c r="L997" s="184">
        <f>IF(offer_sale_type="транзит",IFERROR(ROUNDUP(VLOOKUP($B997,calc_data,L$14+1,0),2),0),0)</f>
        <v/>
      </c>
      <c r="M997" s="141">
        <f>IF(offer_sale_type="транзит",IFERROR(ROUNDUP(VLOOKUP($B997,calc_data,M$14+1,0),2),0),0)</f>
        <v/>
      </c>
      <c r="N997" s="141">
        <f>IF(offer_sale_type="транзит",IFERROR(ROUNDUP(VLOOKUP($B997,calc_data,N$14+1,0),2),0),0)</f>
        <v/>
      </c>
      <c r="O997" s="147">
        <f>IF(offer_sale_type="транзит",IFERROR(ROUND(VLOOKUP($B997,calc_data,O$14+1,1),2),0),0)</f>
        <v/>
      </c>
      <c r="P997" s="141">
        <f>IF(offer_sale_type="транзит",IFERROR(ROUND(SUM(I997:J997,M997:O997)/E997,2),0),0)</f>
        <v/>
      </c>
      <c r="Q997" s="141">
        <f>E997*P997</f>
        <v/>
      </c>
      <c r="R997" s="141">
        <f>ROUND(Q997*IF(AND(offer_incoterms="DDP",seller_region="RU"),IF((TODAY()+offer_turnaround_time)&gt;=helpsheet!$L$17,rate_vatRU_from_26,rate_vatRu_till_25),0),2)</f>
        <v/>
      </c>
      <c r="S997" s="177">
        <f>Q997+IF(AND(offer_incoterms="DDP",seller_region="RU"),R997,0)</f>
        <v/>
      </c>
      <c r="T997" s="45" t="n"/>
      <c r="V997" s="57">
        <f>IF(Q997&gt;0,"показать","скрыть")</f>
        <v/>
      </c>
    </row>
    <row r="998" ht="15.75" customHeight="1">
      <c r="B998" s="809" t="n">
        <v>982</v>
      </c>
      <c r="C998" s="182">
        <f>IF(offer_sale_type="транзит",IFERROR(VLOOKUP($B998,calc_data,C$14+1,0),0),0)</f>
        <v/>
      </c>
      <c r="D998" s="280">
        <f>IF(offer_sale_type="транзит",IFERROR(VLOOKUP($B998,calc_data,D$14+1,0),0),0)</f>
        <v/>
      </c>
      <c r="E998" s="182">
        <f>IF(offer_sale_type="транзит",IFERROR(VLOOKUP($B998,calc_data,E$14+1,0),0),0)</f>
        <v/>
      </c>
      <c r="F998" s="182">
        <f>IF(offer_sale_type="транзит",IFERROR(VLOOKUP($B998,calc_data,F$14+1,0),0),0)</f>
        <v/>
      </c>
      <c r="G998" s="141">
        <f>IF(offer_sale_type="транзит",IFERROR(VLOOKUP($B998,calc_data,G$14+1,0),0),0)</f>
        <v/>
      </c>
      <c r="H998" s="141">
        <f>E998*G998</f>
        <v/>
      </c>
      <c r="I998" s="141">
        <f>IF(offer_sale_type="транзит",IFERROR(ROUND(VLOOKUP($B998,calc_data,I$14+1,0),2),0),0)</f>
        <v/>
      </c>
      <c r="J998" s="141">
        <f>ROUND(IF(offer_sale_type="транзит",IFERROR(VLOOKUP($B998,calc_data,J$14+1,0),0),0),2)</f>
        <v/>
      </c>
      <c r="K998" s="142">
        <f>IF(offer_sale_type="транзит",IFERROR(ROUNDUP(VLOOKUP($B998,calc_data,K$14+1,0),2),0),0)</f>
        <v/>
      </c>
      <c r="L998" s="184">
        <f>IF(offer_sale_type="транзит",IFERROR(ROUNDUP(VLOOKUP($B998,calc_data,L$14+1,0),2),0),0)</f>
        <v/>
      </c>
      <c r="M998" s="141">
        <f>IF(offer_sale_type="транзит",IFERROR(ROUNDUP(VLOOKUP($B998,calc_data,M$14+1,0),2),0),0)</f>
        <v/>
      </c>
      <c r="N998" s="141">
        <f>IF(offer_sale_type="транзит",IFERROR(ROUNDUP(VLOOKUP($B998,calc_data,N$14+1,0),2),0),0)</f>
        <v/>
      </c>
      <c r="O998" s="147">
        <f>IF(offer_sale_type="транзит",IFERROR(ROUND(VLOOKUP($B998,calc_data,O$14+1,1),2),0),0)</f>
        <v/>
      </c>
      <c r="P998" s="141">
        <f>IF(offer_sale_type="транзит",IFERROR(ROUND(SUM(I998:J998,M998:O998)/E998,2),0),0)</f>
        <v/>
      </c>
      <c r="Q998" s="141">
        <f>E998*P998</f>
        <v/>
      </c>
      <c r="R998" s="141">
        <f>ROUND(Q998*IF(AND(offer_incoterms="DDP",seller_region="RU"),IF((TODAY()+offer_turnaround_time)&gt;=helpsheet!$L$17,rate_vatRU_from_26,rate_vatRu_till_25),0),2)</f>
        <v/>
      </c>
      <c r="S998" s="177">
        <f>Q998+IF(AND(offer_incoterms="DDP",seller_region="RU"),R998,0)</f>
        <v/>
      </c>
      <c r="T998" s="45" t="n"/>
      <c r="V998" s="57">
        <f>IF(Q998&gt;0,"показать","скрыть")</f>
        <v/>
      </c>
    </row>
    <row r="999" ht="15.75" customHeight="1">
      <c r="B999" s="809" t="n">
        <v>983</v>
      </c>
      <c r="C999" s="182">
        <f>IF(offer_sale_type="транзит",IFERROR(VLOOKUP($B999,calc_data,C$14+1,0),0),0)</f>
        <v/>
      </c>
      <c r="D999" s="280">
        <f>IF(offer_sale_type="транзит",IFERROR(VLOOKUP($B999,calc_data,D$14+1,0),0),0)</f>
        <v/>
      </c>
      <c r="E999" s="182">
        <f>IF(offer_sale_type="транзит",IFERROR(VLOOKUP($B999,calc_data,E$14+1,0),0),0)</f>
        <v/>
      </c>
      <c r="F999" s="182">
        <f>IF(offer_sale_type="транзит",IFERROR(VLOOKUP($B999,calc_data,F$14+1,0),0),0)</f>
        <v/>
      </c>
      <c r="G999" s="141">
        <f>IF(offer_sale_type="транзит",IFERROR(VLOOKUP($B999,calc_data,G$14+1,0),0),0)</f>
        <v/>
      </c>
      <c r="H999" s="141">
        <f>E999*G999</f>
        <v/>
      </c>
      <c r="I999" s="141">
        <f>IF(offer_sale_type="транзит",IFERROR(ROUND(VLOOKUP($B999,calc_data,I$14+1,0),2),0),0)</f>
        <v/>
      </c>
      <c r="J999" s="141">
        <f>ROUND(IF(offer_sale_type="транзит",IFERROR(VLOOKUP($B999,calc_data,J$14+1,0),0),0),2)</f>
        <v/>
      </c>
      <c r="K999" s="142">
        <f>IF(offer_sale_type="транзит",IFERROR(ROUNDUP(VLOOKUP($B999,calc_data,K$14+1,0),2),0),0)</f>
        <v/>
      </c>
      <c r="L999" s="184">
        <f>IF(offer_sale_type="транзит",IFERROR(ROUNDUP(VLOOKUP($B999,calc_data,L$14+1,0),2),0),0)</f>
        <v/>
      </c>
      <c r="M999" s="141">
        <f>IF(offer_sale_type="транзит",IFERROR(ROUNDUP(VLOOKUP($B999,calc_data,M$14+1,0),2),0),0)</f>
        <v/>
      </c>
      <c r="N999" s="141">
        <f>IF(offer_sale_type="транзит",IFERROR(ROUNDUP(VLOOKUP($B999,calc_data,N$14+1,0),2),0),0)</f>
        <v/>
      </c>
      <c r="O999" s="147">
        <f>IF(offer_sale_type="транзит",IFERROR(ROUND(VLOOKUP($B999,calc_data,O$14+1,1),2),0),0)</f>
        <v/>
      </c>
      <c r="P999" s="141">
        <f>IF(offer_sale_type="транзит",IFERROR(ROUND(SUM(I999:J999,M999:O999)/E999,2),0),0)</f>
        <v/>
      </c>
      <c r="Q999" s="141">
        <f>E999*P999</f>
        <v/>
      </c>
      <c r="R999" s="141">
        <f>ROUND(Q999*IF(AND(offer_incoterms="DDP",seller_region="RU"),IF((TODAY()+offer_turnaround_time)&gt;=helpsheet!$L$17,rate_vatRU_from_26,rate_vatRu_till_25),0),2)</f>
        <v/>
      </c>
      <c r="S999" s="177">
        <f>Q999+IF(AND(offer_incoterms="DDP",seller_region="RU"),R999,0)</f>
        <v/>
      </c>
      <c r="T999" s="45" t="n"/>
      <c r="V999" s="57">
        <f>IF(Q999&gt;0,"показать","скрыть")</f>
        <v/>
      </c>
    </row>
    <row r="1000" ht="15.75" customHeight="1">
      <c r="B1000" s="809" t="n">
        <v>984</v>
      </c>
      <c r="C1000" s="182">
        <f>IF(offer_sale_type="транзит",IFERROR(VLOOKUP($B1000,calc_data,C$14+1,0),0),0)</f>
        <v/>
      </c>
      <c r="D1000" s="280">
        <f>IF(offer_sale_type="транзит",IFERROR(VLOOKUP($B1000,calc_data,D$14+1,0),0),0)</f>
        <v/>
      </c>
      <c r="E1000" s="182">
        <f>IF(offer_sale_type="транзит",IFERROR(VLOOKUP($B1000,calc_data,E$14+1,0),0),0)</f>
        <v/>
      </c>
      <c r="F1000" s="182">
        <f>IF(offer_sale_type="транзит",IFERROR(VLOOKUP($B1000,calc_data,F$14+1,0),0),0)</f>
        <v/>
      </c>
      <c r="G1000" s="141">
        <f>IF(offer_sale_type="транзит",IFERROR(VLOOKUP($B1000,calc_data,G$14+1,0),0),0)</f>
        <v/>
      </c>
      <c r="H1000" s="141">
        <f>E1000*G1000</f>
        <v/>
      </c>
      <c r="I1000" s="141">
        <f>IF(offer_sale_type="транзит",IFERROR(ROUND(VLOOKUP($B1000,calc_data,I$14+1,0),2),0),0)</f>
        <v/>
      </c>
      <c r="J1000" s="141">
        <f>ROUND(IF(offer_sale_type="транзит",IFERROR(VLOOKUP($B1000,calc_data,J$14+1,0),0),0),2)</f>
        <v/>
      </c>
      <c r="K1000" s="142">
        <f>IF(offer_sale_type="транзит",IFERROR(ROUNDUP(VLOOKUP($B1000,calc_data,K$14+1,0),2),0),0)</f>
        <v/>
      </c>
      <c r="L1000" s="184">
        <f>IF(offer_sale_type="транзит",IFERROR(ROUNDUP(VLOOKUP($B1000,calc_data,L$14+1,0),2),0),0)</f>
        <v/>
      </c>
      <c r="M1000" s="141">
        <f>IF(offer_sale_type="транзит",IFERROR(ROUNDUP(VLOOKUP($B1000,calc_data,M$14+1,0),2),0),0)</f>
        <v/>
      </c>
      <c r="N1000" s="141">
        <f>IF(offer_sale_type="транзит",IFERROR(ROUNDUP(VLOOKUP($B1000,calc_data,N$14+1,0),2),0),0)</f>
        <v/>
      </c>
      <c r="O1000" s="147">
        <f>IF(offer_sale_type="транзит",IFERROR(ROUND(VLOOKUP($B1000,calc_data,O$14+1,1),2),0),0)</f>
        <v/>
      </c>
      <c r="P1000" s="141">
        <f>IF(offer_sale_type="транзит",IFERROR(ROUND(SUM(I1000:J1000,M1000:O1000)/E1000,2),0),0)</f>
        <v/>
      </c>
      <c r="Q1000" s="141">
        <f>E1000*P1000</f>
        <v/>
      </c>
      <c r="R1000" s="141">
        <f>ROUND(Q1000*IF(AND(offer_incoterms="DDP",seller_region="RU"),IF((TODAY()+offer_turnaround_time)&gt;=helpsheet!$L$17,rate_vatRU_from_26,rate_vatRu_till_25),0),2)</f>
        <v/>
      </c>
      <c r="S1000" s="177">
        <f>Q1000+IF(AND(offer_incoterms="DDP",seller_region="RU"),R1000,0)</f>
        <v/>
      </c>
      <c r="T1000" s="45" t="n"/>
      <c r="V1000" s="57">
        <f>IF(Q1000&gt;0,"показать","скрыть")</f>
        <v/>
      </c>
    </row>
    <row r="1001" ht="15.75" customHeight="1">
      <c r="B1001" s="809" t="n">
        <v>985</v>
      </c>
      <c r="C1001" s="182">
        <f>IF(offer_sale_type="транзит",IFERROR(VLOOKUP($B1001,calc_data,C$14+1,0),0),0)</f>
        <v/>
      </c>
      <c r="D1001" s="280">
        <f>IF(offer_sale_type="транзит",IFERROR(VLOOKUP($B1001,calc_data,D$14+1,0),0),0)</f>
        <v/>
      </c>
      <c r="E1001" s="182">
        <f>IF(offer_sale_type="транзит",IFERROR(VLOOKUP($B1001,calc_data,E$14+1,0),0),0)</f>
        <v/>
      </c>
      <c r="F1001" s="182">
        <f>IF(offer_sale_type="транзит",IFERROR(VLOOKUP($B1001,calc_data,F$14+1,0),0),0)</f>
        <v/>
      </c>
      <c r="G1001" s="141">
        <f>IF(offer_sale_type="транзит",IFERROR(VLOOKUP($B1001,calc_data,G$14+1,0),0),0)</f>
        <v/>
      </c>
      <c r="H1001" s="141">
        <f>E1001*G1001</f>
        <v/>
      </c>
      <c r="I1001" s="141">
        <f>IF(offer_sale_type="транзит",IFERROR(ROUND(VLOOKUP($B1001,calc_data,I$14+1,0),2),0),0)</f>
        <v/>
      </c>
      <c r="J1001" s="141">
        <f>ROUND(IF(offer_sale_type="транзит",IFERROR(VLOOKUP($B1001,calc_data,J$14+1,0),0),0),2)</f>
        <v/>
      </c>
      <c r="K1001" s="142">
        <f>IF(offer_sale_type="транзит",IFERROR(ROUNDUP(VLOOKUP($B1001,calc_data,K$14+1,0),2),0),0)</f>
        <v/>
      </c>
      <c r="L1001" s="184">
        <f>IF(offer_sale_type="транзит",IFERROR(ROUNDUP(VLOOKUP($B1001,calc_data,L$14+1,0),2),0),0)</f>
        <v/>
      </c>
      <c r="M1001" s="141">
        <f>IF(offer_sale_type="транзит",IFERROR(ROUNDUP(VLOOKUP($B1001,calc_data,M$14+1,0),2),0),0)</f>
        <v/>
      </c>
      <c r="N1001" s="141">
        <f>IF(offer_sale_type="транзит",IFERROR(ROUNDUP(VLOOKUP($B1001,calc_data,N$14+1,0),2),0),0)</f>
        <v/>
      </c>
      <c r="O1001" s="147">
        <f>IF(offer_sale_type="транзит",IFERROR(ROUND(VLOOKUP($B1001,calc_data,O$14+1,1),2),0),0)</f>
        <v/>
      </c>
      <c r="P1001" s="141">
        <f>IF(offer_sale_type="транзит",IFERROR(ROUND(SUM(I1001:J1001,M1001:O1001)/E1001,2),0),0)</f>
        <v/>
      </c>
      <c r="Q1001" s="141">
        <f>E1001*P1001</f>
        <v/>
      </c>
      <c r="R1001" s="141">
        <f>ROUND(Q1001*IF(AND(offer_incoterms="DDP",seller_region="RU"),IF((TODAY()+offer_turnaround_time)&gt;=helpsheet!$L$17,rate_vatRU_from_26,rate_vatRu_till_25),0),2)</f>
        <v/>
      </c>
      <c r="S1001" s="177">
        <f>Q1001+IF(AND(offer_incoterms="DDP",seller_region="RU"),R1001,0)</f>
        <v/>
      </c>
      <c r="T1001" s="45" t="n"/>
      <c r="V1001" s="57">
        <f>IF(Q1001&gt;0,"показать","скрыть")</f>
        <v/>
      </c>
    </row>
    <row r="1002" ht="15.75" customHeight="1">
      <c r="B1002" s="809" t="n">
        <v>986</v>
      </c>
      <c r="C1002" s="182">
        <f>IF(offer_sale_type="транзит",IFERROR(VLOOKUP($B1002,calc_data,C$14+1,0),0),0)</f>
        <v/>
      </c>
      <c r="D1002" s="280">
        <f>IF(offer_sale_type="транзит",IFERROR(VLOOKUP($B1002,calc_data,D$14+1,0),0),0)</f>
        <v/>
      </c>
      <c r="E1002" s="182">
        <f>IF(offer_sale_type="транзит",IFERROR(VLOOKUP($B1002,calc_data,E$14+1,0),0),0)</f>
        <v/>
      </c>
      <c r="F1002" s="182">
        <f>IF(offer_sale_type="транзит",IFERROR(VLOOKUP($B1002,calc_data,F$14+1,0),0),0)</f>
        <v/>
      </c>
      <c r="G1002" s="141">
        <f>IF(offer_sale_type="транзит",IFERROR(VLOOKUP($B1002,calc_data,G$14+1,0),0),0)</f>
        <v/>
      </c>
      <c r="H1002" s="141">
        <f>E1002*G1002</f>
        <v/>
      </c>
      <c r="I1002" s="141">
        <f>IF(offer_sale_type="транзит",IFERROR(ROUND(VLOOKUP($B1002,calc_data,I$14+1,0),2),0),0)</f>
        <v/>
      </c>
      <c r="J1002" s="141">
        <f>ROUND(IF(offer_sale_type="транзит",IFERROR(VLOOKUP($B1002,calc_data,J$14+1,0),0),0),2)</f>
        <v/>
      </c>
      <c r="K1002" s="142">
        <f>IF(offer_sale_type="транзит",IFERROR(ROUNDUP(VLOOKUP($B1002,calc_data,K$14+1,0),2),0),0)</f>
        <v/>
      </c>
      <c r="L1002" s="184">
        <f>IF(offer_sale_type="транзит",IFERROR(ROUNDUP(VLOOKUP($B1002,calc_data,L$14+1,0),2),0),0)</f>
        <v/>
      </c>
      <c r="M1002" s="141">
        <f>IF(offer_sale_type="транзит",IFERROR(ROUNDUP(VLOOKUP($B1002,calc_data,M$14+1,0),2),0),0)</f>
        <v/>
      </c>
      <c r="N1002" s="141">
        <f>IF(offer_sale_type="транзит",IFERROR(ROUNDUP(VLOOKUP($B1002,calc_data,N$14+1,0),2),0),0)</f>
        <v/>
      </c>
      <c r="O1002" s="147">
        <f>IF(offer_sale_type="транзит",IFERROR(ROUND(VLOOKUP($B1002,calc_data,O$14+1,1),2),0),0)</f>
        <v/>
      </c>
      <c r="P1002" s="141">
        <f>IF(offer_sale_type="транзит",IFERROR(ROUND(SUM(I1002:J1002,M1002:O1002)/E1002,2),0),0)</f>
        <v/>
      </c>
      <c r="Q1002" s="141">
        <f>E1002*P1002</f>
        <v/>
      </c>
      <c r="R1002" s="141">
        <f>ROUND(Q1002*IF(AND(offer_incoterms="DDP",seller_region="RU"),IF((TODAY()+offer_turnaround_time)&gt;=helpsheet!$L$17,rate_vatRU_from_26,rate_vatRu_till_25),0),2)</f>
        <v/>
      </c>
      <c r="S1002" s="177">
        <f>Q1002+IF(AND(offer_incoterms="DDP",seller_region="RU"),R1002,0)</f>
        <v/>
      </c>
      <c r="T1002" s="45" t="n"/>
      <c r="V1002" s="57">
        <f>IF(Q1002&gt;0,"показать","скрыть")</f>
        <v/>
      </c>
    </row>
    <row r="1003" ht="15.75" customHeight="1">
      <c r="B1003" s="809" t="n">
        <v>987</v>
      </c>
      <c r="C1003" s="182">
        <f>IF(offer_sale_type="транзит",IFERROR(VLOOKUP($B1003,calc_data,C$14+1,0),0),0)</f>
        <v/>
      </c>
      <c r="D1003" s="280">
        <f>IF(offer_sale_type="транзит",IFERROR(VLOOKUP($B1003,calc_data,D$14+1,0),0),0)</f>
        <v/>
      </c>
      <c r="E1003" s="182">
        <f>IF(offer_sale_type="транзит",IFERROR(VLOOKUP($B1003,calc_data,E$14+1,0),0),0)</f>
        <v/>
      </c>
      <c r="F1003" s="182">
        <f>IF(offer_sale_type="транзит",IFERROR(VLOOKUP($B1003,calc_data,F$14+1,0),0),0)</f>
        <v/>
      </c>
      <c r="G1003" s="141">
        <f>IF(offer_sale_type="транзит",IFERROR(VLOOKUP($B1003,calc_data,G$14+1,0),0),0)</f>
        <v/>
      </c>
      <c r="H1003" s="141">
        <f>E1003*G1003</f>
        <v/>
      </c>
      <c r="I1003" s="141">
        <f>IF(offer_sale_type="транзит",IFERROR(ROUND(VLOOKUP($B1003,calc_data,I$14+1,0),2),0),0)</f>
        <v/>
      </c>
      <c r="J1003" s="141">
        <f>ROUND(IF(offer_sale_type="транзит",IFERROR(VLOOKUP($B1003,calc_data,J$14+1,0),0),0),2)</f>
        <v/>
      </c>
      <c r="K1003" s="142">
        <f>IF(offer_sale_type="транзит",IFERROR(ROUNDUP(VLOOKUP($B1003,calc_data,K$14+1,0),2),0),0)</f>
        <v/>
      </c>
      <c r="L1003" s="184">
        <f>IF(offer_sale_type="транзит",IFERROR(ROUNDUP(VLOOKUP($B1003,calc_data,L$14+1,0),2),0),0)</f>
        <v/>
      </c>
      <c r="M1003" s="141">
        <f>IF(offer_sale_type="транзит",IFERROR(ROUNDUP(VLOOKUP($B1003,calc_data,M$14+1,0),2),0),0)</f>
        <v/>
      </c>
      <c r="N1003" s="141">
        <f>IF(offer_sale_type="транзит",IFERROR(ROUNDUP(VLOOKUP($B1003,calc_data,N$14+1,0),2),0),0)</f>
        <v/>
      </c>
      <c r="O1003" s="147">
        <f>IF(offer_sale_type="транзит",IFERROR(ROUND(VLOOKUP($B1003,calc_data,O$14+1,1),2),0),0)</f>
        <v/>
      </c>
      <c r="P1003" s="141">
        <f>IF(offer_sale_type="транзит",IFERROR(ROUND(SUM(I1003:J1003,M1003:O1003)/E1003,2),0),0)</f>
        <v/>
      </c>
      <c r="Q1003" s="141">
        <f>E1003*P1003</f>
        <v/>
      </c>
      <c r="R1003" s="141">
        <f>ROUND(Q1003*IF(AND(offer_incoterms="DDP",seller_region="RU"),IF((TODAY()+offer_turnaround_time)&gt;=helpsheet!$L$17,rate_vatRU_from_26,rate_vatRu_till_25),0),2)</f>
        <v/>
      </c>
      <c r="S1003" s="177">
        <f>Q1003+IF(AND(offer_incoterms="DDP",seller_region="RU"),R1003,0)</f>
        <v/>
      </c>
      <c r="T1003" s="45" t="n"/>
      <c r="V1003" s="57">
        <f>IF(Q1003&gt;0,"показать","скрыть")</f>
        <v/>
      </c>
    </row>
    <row r="1004" ht="15.75" customHeight="1">
      <c r="B1004" s="809" t="n">
        <v>988</v>
      </c>
      <c r="C1004" s="182">
        <f>IF(offer_sale_type="транзит",IFERROR(VLOOKUP($B1004,calc_data,C$14+1,0),0),0)</f>
        <v/>
      </c>
      <c r="D1004" s="280">
        <f>IF(offer_sale_type="транзит",IFERROR(VLOOKUP($B1004,calc_data,D$14+1,0),0),0)</f>
        <v/>
      </c>
      <c r="E1004" s="182">
        <f>IF(offer_sale_type="транзит",IFERROR(VLOOKUP($B1004,calc_data,E$14+1,0),0),0)</f>
        <v/>
      </c>
      <c r="F1004" s="182">
        <f>IF(offer_sale_type="транзит",IFERROR(VLOOKUP($B1004,calc_data,F$14+1,0),0),0)</f>
        <v/>
      </c>
      <c r="G1004" s="141">
        <f>IF(offer_sale_type="транзит",IFERROR(VLOOKUP($B1004,calc_data,G$14+1,0),0),0)</f>
        <v/>
      </c>
      <c r="H1004" s="141">
        <f>E1004*G1004</f>
        <v/>
      </c>
      <c r="I1004" s="141">
        <f>IF(offer_sale_type="транзит",IFERROR(ROUND(VLOOKUP($B1004,calc_data,I$14+1,0),2),0),0)</f>
        <v/>
      </c>
      <c r="J1004" s="141">
        <f>ROUND(IF(offer_sale_type="транзит",IFERROR(VLOOKUP($B1004,calc_data,J$14+1,0),0),0),2)</f>
        <v/>
      </c>
      <c r="K1004" s="142">
        <f>IF(offer_sale_type="транзит",IFERROR(ROUNDUP(VLOOKUP($B1004,calc_data,K$14+1,0),2),0),0)</f>
        <v/>
      </c>
      <c r="L1004" s="184">
        <f>IF(offer_sale_type="транзит",IFERROR(ROUNDUP(VLOOKUP($B1004,calc_data,L$14+1,0),2),0),0)</f>
        <v/>
      </c>
      <c r="M1004" s="141">
        <f>IF(offer_sale_type="транзит",IFERROR(ROUNDUP(VLOOKUP($B1004,calc_data,M$14+1,0),2),0),0)</f>
        <v/>
      </c>
      <c r="N1004" s="141">
        <f>IF(offer_sale_type="транзит",IFERROR(ROUNDUP(VLOOKUP($B1004,calc_data,N$14+1,0),2),0),0)</f>
        <v/>
      </c>
      <c r="O1004" s="147">
        <f>IF(offer_sale_type="транзит",IFERROR(ROUND(VLOOKUP($B1004,calc_data,O$14+1,1),2),0),0)</f>
        <v/>
      </c>
      <c r="P1004" s="141">
        <f>IF(offer_sale_type="транзит",IFERROR(ROUND(SUM(I1004:J1004,M1004:O1004)/E1004,2),0),0)</f>
        <v/>
      </c>
      <c r="Q1004" s="141">
        <f>E1004*P1004</f>
        <v/>
      </c>
      <c r="R1004" s="141">
        <f>ROUND(Q1004*IF(AND(offer_incoterms="DDP",seller_region="RU"),IF((TODAY()+offer_turnaround_time)&gt;=helpsheet!$L$17,rate_vatRU_from_26,rate_vatRu_till_25),0),2)</f>
        <v/>
      </c>
      <c r="S1004" s="177">
        <f>Q1004+IF(AND(offer_incoterms="DDP",seller_region="RU"),R1004,0)</f>
        <v/>
      </c>
      <c r="T1004" s="45" t="n"/>
      <c r="V1004" s="57">
        <f>IF(Q1004&gt;0,"показать","скрыть")</f>
        <v/>
      </c>
    </row>
    <row r="1005" ht="15.75" customHeight="1">
      <c r="B1005" s="809" t="n">
        <v>989</v>
      </c>
      <c r="C1005" s="182">
        <f>IF(offer_sale_type="транзит",IFERROR(VLOOKUP($B1005,calc_data,C$14+1,0),0),0)</f>
        <v/>
      </c>
      <c r="D1005" s="280">
        <f>IF(offer_sale_type="транзит",IFERROR(VLOOKUP($B1005,calc_data,D$14+1,0),0),0)</f>
        <v/>
      </c>
      <c r="E1005" s="182">
        <f>IF(offer_sale_type="транзит",IFERROR(VLOOKUP($B1005,calc_data,E$14+1,0),0),0)</f>
        <v/>
      </c>
      <c r="F1005" s="182">
        <f>IF(offer_sale_type="транзит",IFERROR(VLOOKUP($B1005,calc_data,F$14+1,0),0),0)</f>
        <v/>
      </c>
      <c r="G1005" s="141">
        <f>IF(offer_sale_type="транзит",IFERROR(VLOOKUP($B1005,calc_data,G$14+1,0),0),0)</f>
        <v/>
      </c>
      <c r="H1005" s="141">
        <f>E1005*G1005</f>
        <v/>
      </c>
      <c r="I1005" s="141">
        <f>IF(offer_sale_type="транзит",IFERROR(ROUND(VLOOKUP($B1005,calc_data,I$14+1,0),2),0),0)</f>
        <v/>
      </c>
      <c r="J1005" s="141">
        <f>ROUND(IF(offer_sale_type="транзит",IFERROR(VLOOKUP($B1005,calc_data,J$14+1,0),0),0),2)</f>
        <v/>
      </c>
      <c r="K1005" s="142">
        <f>IF(offer_sale_type="транзит",IFERROR(ROUNDUP(VLOOKUP($B1005,calc_data,K$14+1,0),2),0),0)</f>
        <v/>
      </c>
      <c r="L1005" s="184">
        <f>IF(offer_sale_type="транзит",IFERROR(ROUNDUP(VLOOKUP($B1005,calc_data,L$14+1,0),2),0),0)</f>
        <v/>
      </c>
      <c r="M1005" s="141">
        <f>IF(offer_sale_type="транзит",IFERROR(ROUNDUP(VLOOKUP($B1005,calc_data,M$14+1,0),2),0),0)</f>
        <v/>
      </c>
      <c r="N1005" s="141">
        <f>IF(offer_sale_type="транзит",IFERROR(ROUNDUP(VLOOKUP($B1005,calc_data,N$14+1,0),2),0),0)</f>
        <v/>
      </c>
      <c r="O1005" s="147">
        <f>IF(offer_sale_type="транзит",IFERROR(ROUND(VLOOKUP($B1005,calc_data,O$14+1,1),2),0),0)</f>
        <v/>
      </c>
      <c r="P1005" s="141">
        <f>IF(offer_sale_type="транзит",IFERROR(ROUND(SUM(I1005:J1005,M1005:O1005)/E1005,2),0),0)</f>
        <v/>
      </c>
      <c r="Q1005" s="141">
        <f>E1005*P1005</f>
        <v/>
      </c>
      <c r="R1005" s="141">
        <f>ROUND(Q1005*IF(AND(offer_incoterms="DDP",seller_region="RU"),IF((TODAY()+offer_turnaround_time)&gt;=helpsheet!$L$17,rate_vatRU_from_26,rate_vatRu_till_25),0),2)</f>
        <v/>
      </c>
      <c r="S1005" s="177">
        <f>Q1005+IF(AND(offer_incoterms="DDP",seller_region="RU"),R1005,0)</f>
        <v/>
      </c>
      <c r="T1005" s="45" t="n"/>
      <c r="V1005" s="57">
        <f>IF(Q1005&gt;0,"показать","скрыть")</f>
        <v/>
      </c>
    </row>
    <row r="1006" ht="15.75" customHeight="1">
      <c r="B1006" s="809" t="n">
        <v>990</v>
      </c>
      <c r="C1006" s="182">
        <f>IF(offer_sale_type="транзит",IFERROR(VLOOKUP($B1006,calc_data,C$14+1,0),0),0)</f>
        <v/>
      </c>
      <c r="D1006" s="280">
        <f>IF(offer_sale_type="транзит",IFERROR(VLOOKUP($B1006,calc_data,D$14+1,0),0),0)</f>
        <v/>
      </c>
      <c r="E1006" s="182">
        <f>IF(offer_sale_type="транзит",IFERROR(VLOOKUP($B1006,calc_data,E$14+1,0),0),0)</f>
        <v/>
      </c>
      <c r="F1006" s="182">
        <f>IF(offer_sale_type="транзит",IFERROR(VLOOKUP($B1006,calc_data,F$14+1,0),0),0)</f>
        <v/>
      </c>
      <c r="G1006" s="141">
        <f>IF(offer_sale_type="транзит",IFERROR(VLOOKUP($B1006,calc_data,G$14+1,0),0),0)</f>
        <v/>
      </c>
      <c r="H1006" s="141">
        <f>E1006*G1006</f>
        <v/>
      </c>
      <c r="I1006" s="141">
        <f>IF(offer_sale_type="транзит",IFERROR(ROUND(VLOOKUP($B1006,calc_data,I$14+1,0),2),0),0)</f>
        <v/>
      </c>
      <c r="J1006" s="141">
        <f>ROUND(IF(offer_sale_type="транзит",IFERROR(VLOOKUP($B1006,calc_data,J$14+1,0),0),0),2)</f>
        <v/>
      </c>
      <c r="K1006" s="142">
        <f>IF(offer_sale_type="транзит",IFERROR(ROUNDUP(VLOOKUP($B1006,calc_data,K$14+1,0),2),0),0)</f>
        <v/>
      </c>
      <c r="L1006" s="184">
        <f>IF(offer_sale_type="транзит",IFERROR(ROUNDUP(VLOOKUP($B1006,calc_data,L$14+1,0),2),0),0)</f>
        <v/>
      </c>
      <c r="M1006" s="141">
        <f>IF(offer_sale_type="транзит",IFERROR(ROUNDUP(VLOOKUP($B1006,calc_data,M$14+1,0),2),0),0)</f>
        <v/>
      </c>
      <c r="N1006" s="141">
        <f>IF(offer_sale_type="транзит",IFERROR(ROUNDUP(VLOOKUP($B1006,calc_data,N$14+1,0),2),0),0)</f>
        <v/>
      </c>
      <c r="O1006" s="147">
        <f>IF(offer_sale_type="транзит",IFERROR(ROUND(VLOOKUP($B1006,calc_data,O$14+1,1),2),0),0)</f>
        <v/>
      </c>
      <c r="P1006" s="141">
        <f>IF(offer_sale_type="транзит",IFERROR(ROUND(SUM(I1006:J1006,M1006:O1006)/E1006,2),0),0)</f>
        <v/>
      </c>
      <c r="Q1006" s="141">
        <f>E1006*P1006</f>
        <v/>
      </c>
      <c r="R1006" s="141">
        <f>ROUND(Q1006*IF(AND(offer_incoterms="DDP",seller_region="RU"),IF((TODAY()+offer_turnaround_time)&gt;=helpsheet!$L$17,rate_vatRU_from_26,rate_vatRu_till_25),0),2)</f>
        <v/>
      </c>
      <c r="S1006" s="177">
        <f>Q1006+IF(AND(offer_incoterms="DDP",seller_region="RU"),R1006,0)</f>
        <v/>
      </c>
      <c r="T1006" s="45" t="n"/>
      <c r="V1006" s="57">
        <f>IF(Q1006&gt;0,"показать","скрыть")</f>
        <v/>
      </c>
    </row>
    <row r="1007" ht="15.75" customHeight="1">
      <c r="B1007" s="809" t="n">
        <v>991</v>
      </c>
      <c r="C1007" s="182">
        <f>IF(offer_sale_type="транзит",IFERROR(VLOOKUP($B1007,calc_data,C$14+1,0),0),0)</f>
        <v/>
      </c>
      <c r="D1007" s="280">
        <f>IF(offer_sale_type="транзит",IFERROR(VLOOKUP($B1007,calc_data,D$14+1,0),0),0)</f>
        <v/>
      </c>
      <c r="E1007" s="182">
        <f>IF(offer_sale_type="транзит",IFERROR(VLOOKUP($B1007,calc_data,E$14+1,0),0),0)</f>
        <v/>
      </c>
      <c r="F1007" s="182">
        <f>IF(offer_sale_type="транзит",IFERROR(VLOOKUP($B1007,calc_data,F$14+1,0),0),0)</f>
        <v/>
      </c>
      <c r="G1007" s="141">
        <f>IF(offer_sale_type="транзит",IFERROR(VLOOKUP($B1007,calc_data,G$14+1,0),0),0)</f>
        <v/>
      </c>
      <c r="H1007" s="141">
        <f>E1007*G1007</f>
        <v/>
      </c>
      <c r="I1007" s="141">
        <f>IF(offer_sale_type="транзит",IFERROR(ROUND(VLOOKUP($B1007,calc_data,I$14+1,0),2),0),0)</f>
        <v/>
      </c>
      <c r="J1007" s="141">
        <f>ROUND(IF(offer_sale_type="транзит",IFERROR(VLOOKUP($B1007,calc_data,J$14+1,0),0),0),2)</f>
        <v/>
      </c>
      <c r="K1007" s="142">
        <f>IF(offer_sale_type="транзит",IFERROR(ROUNDUP(VLOOKUP($B1007,calc_data,K$14+1,0),2),0),0)</f>
        <v/>
      </c>
      <c r="L1007" s="184">
        <f>IF(offer_sale_type="транзит",IFERROR(ROUNDUP(VLOOKUP($B1007,calc_data,L$14+1,0),2),0),0)</f>
        <v/>
      </c>
      <c r="M1007" s="141">
        <f>IF(offer_sale_type="транзит",IFERROR(ROUNDUP(VLOOKUP($B1007,calc_data,M$14+1,0),2),0),0)</f>
        <v/>
      </c>
      <c r="N1007" s="141">
        <f>IF(offer_sale_type="транзит",IFERROR(ROUNDUP(VLOOKUP($B1007,calc_data,N$14+1,0),2),0),0)</f>
        <v/>
      </c>
      <c r="O1007" s="147">
        <f>IF(offer_sale_type="транзит",IFERROR(ROUND(VLOOKUP($B1007,calc_data,O$14+1,1),2),0),0)</f>
        <v/>
      </c>
      <c r="P1007" s="141">
        <f>IF(offer_sale_type="транзит",IFERROR(ROUND(SUM(I1007:J1007,M1007:O1007)/E1007,2),0),0)</f>
        <v/>
      </c>
      <c r="Q1007" s="141">
        <f>E1007*P1007</f>
        <v/>
      </c>
      <c r="R1007" s="141">
        <f>ROUND(Q1007*IF(AND(offer_incoterms="DDP",seller_region="RU"),IF((TODAY()+offer_turnaround_time)&gt;=helpsheet!$L$17,rate_vatRU_from_26,rate_vatRu_till_25),0),2)</f>
        <v/>
      </c>
      <c r="S1007" s="177">
        <f>Q1007+IF(AND(offer_incoterms="DDP",seller_region="RU"),R1007,0)</f>
        <v/>
      </c>
      <c r="T1007" s="45" t="n"/>
      <c r="V1007" s="57">
        <f>IF(Q1007&gt;0,"показать","скрыть")</f>
        <v/>
      </c>
    </row>
    <row r="1008" ht="15.75" customHeight="1">
      <c r="B1008" s="809" t="n">
        <v>992</v>
      </c>
      <c r="C1008" s="182">
        <f>IF(offer_sale_type="транзит",IFERROR(VLOOKUP($B1008,calc_data,C$14+1,0),0),0)</f>
        <v/>
      </c>
      <c r="D1008" s="280">
        <f>IF(offer_sale_type="транзит",IFERROR(VLOOKUP($B1008,calc_data,D$14+1,0),0),0)</f>
        <v/>
      </c>
      <c r="E1008" s="182">
        <f>IF(offer_sale_type="транзит",IFERROR(VLOOKUP($B1008,calc_data,E$14+1,0),0),0)</f>
        <v/>
      </c>
      <c r="F1008" s="182">
        <f>IF(offer_sale_type="транзит",IFERROR(VLOOKUP($B1008,calc_data,F$14+1,0),0),0)</f>
        <v/>
      </c>
      <c r="G1008" s="141">
        <f>IF(offer_sale_type="транзит",IFERROR(VLOOKUP($B1008,calc_data,G$14+1,0),0),0)</f>
        <v/>
      </c>
      <c r="H1008" s="141">
        <f>E1008*G1008</f>
        <v/>
      </c>
      <c r="I1008" s="141">
        <f>IF(offer_sale_type="транзит",IFERROR(ROUND(VLOOKUP($B1008,calc_data,I$14+1,0),2),0),0)</f>
        <v/>
      </c>
      <c r="J1008" s="141">
        <f>ROUND(IF(offer_sale_type="транзит",IFERROR(VLOOKUP($B1008,calc_data,J$14+1,0),0),0),2)</f>
        <v/>
      </c>
      <c r="K1008" s="142">
        <f>IF(offer_sale_type="транзит",IFERROR(ROUNDUP(VLOOKUP($B1008,calc_data,K$14+1,0),2),0),0)</f>
        <v/>
      </c>
      <c r="L1008" s="184">
        <f>IF(offer_sale_type="транзит",IFERROR(ROUNDUP(VLOOKUP($B1008,calc_data,L$14+1,0),2),0),0)</f>
        <v/>
      </c>
      <c r="M1008" s="141">
        <f>IF(offer_sale_type="транзит",IFERROR(ROUNDUP(VLOOKUP($B1008,calc_data,M$14+1,0),2),0),0)</f>
        <v/>
      </c>
      <c r="N1008" s="141">
        <f>IF(offer_sale_type="транзит",IFERROR(ROUNDUP(VLOOKUP($B1008,calc_data,N$14+1,0),2),0),0)</f>
        <v/>
      </c>
      <c r="O1008" s="147">
        <f>IF(offer_sale_type="транзит",IFERROR(ROUND(VLOOKUP($B1008,calc_data,O$14+1,1),2),0),0)</f>
        <v/>
      </c>
      <c r="P1008" s="141">
        <f>IF(offer_sale_type="транзит",IFERROR(ROUND(SUM(I1008:J1008,M1008:O1008)/E1008,2),0),0)</f>
        <v/>
      </c>
      <c r="Q1008" s="141">
        <f>E1008*P1008</f>
        <v/>
      </c>
      <c r="R1008" s="141">
        <f>ROUND(Q1008*IF(AND(offer_incoterms="DDP",seller_region="RU"),IF((TODAY()+offer_turnaround_time)&gt;=helpsheet!$L$17,rate_vatRU_from_26,rate_vatRu_till_25),0),2)</f>
        <v/>
      </c>
      <c r="S1008" s="177">
        <f>Q1008+IF(AND(offer_incoterms="DDP",seller_region="RU"),R1008,0)</f>
        <v/>
      </c>
      <c r="T1008" s="45" t="n"/>
      <c r="V1008" s="57">
        <f>IF(Q1008&gt;0,"показать","скрыть")</f>
        <v/>
      </c>
    </row>
    <row r="1009" ht="15.75" customHeight="1">
      <c r="B1009" s="809" t="n">
        <v>993</v>
      </c>
      <c r="C1009" s="182">
        <f>IF(offer_sale_type="транзит",IFERROR(VLOOKUP($B1009,calc_data,C$14+1,0),0),0)</f>
        <v/>
      </c>
      <c r="D1009" s="280">
        <f>IF(offer_sale_type="транзит",IFERROR(VLOOKUP($B1009,calc_data,D$14+1,0),0),0)</f>
        <v/>
      </c>
      <c r="E1009" s="182">
        <f>IF(offer_sale_type="транзит",IFERROR(VLOOKUP($B1009,calc_data,E$14+1,0),0),0)</f>
        <v/>
      </c>
      <c r="F1009" s="182">
        <f>IF(offer_sale_type="транзит",IFERROR(VLOOKUP($B1009,calc_data,F$14+1,0),0),0)</f>
        <v/>
      </c>
      <c r="G1009" s="141">
        <f>IF(offer_sale_type="транзит",IFERROR(VLOOKUP($B1009,calc_data,G$14+1,0),0),0)</f>
        <v/>
      </c>
      <c r="H1009" s="141">
        <f>E1009*G1009</f>
        <v/>
      </c>
      <c r="I1009" s="141">
        <f>IF(offer_sale_type="транзит",IFERROR(ROUND(VLOOKUP($B1009,calc_data,I$14+1,0),2),0),0)</f>
        <v/>
      </c>
      <c r="J1009" s="141">
        <f>ROUND(IF(offer_sale_type="транзит",IFERROR(VLOOKUP($B1009,calc_data,J$14+1,0),0),0),2)</f>
        <v/>
      </c>
      <c r="K1009" s="142">
        <f>IF(offer_sale_type="транзит",IFERROR(ROUNDUP(VLOOKUP($B1009,calc_data,K$14+1,0),2),0),0)</f>
        <v/>
      </c>
      <c r="L1009" s="184">
        <f>IF(offer_sale_type="транзит",IFERROR(ROUNDUP(VLOOKUP($B1009,calc_data,L$14+1,0),2),0),0)</f>
        <v/>
      </c>
      <c r="M1009" s="141">
        <f>IF(offer_sale_type="транзит",IFERROR(ROUNDUP(VLOOKUP($B1009,calc_data,M$14+1,0),2),0),0)</f>
        <v/>
      </c>
      <c r="N1009" s="141">
        <f>IF(offer_sale_type="транзит",IFERROR(ROUNDUP(VLOOKUP($B1009,calc_data,N$14+1,0),2),0),0)</f>
        <v/>
      </c>
      <c r="O1009" s="147">
        <f>IF(offer_sale_type="транзит",IFERROR(ROUND(VLOOKUP($B1009,calc_data,O$14+1,1),2),0),0)</f>
        <v/>
      </c>
      <c r="P1009" s="141">
        <f>IF(offer_sale_type="транзит",IFERROR(ROUND(SUM(I1009:J1009,M1009:O1009)/E1009,2),0),0)</f>
        <v/>
      </c>
      <c r="Q1009" s="141">
        <f>E1009*P1009</f>
        <v/>
      </c>
      <c r="R1009" s="141">
        <f>ROUND(Q1009*IF(AND(offer_incoterms="DDP",seller_region="RU"),IF((TODAY()+offer_turnaround_time)&gt;=helpsheet!$L$17,rate_vatRU_from_26,rate_vatRu_till_25),0),2)</f>
        <v/>
      </c>
      <c r="S1009" s="177">
        <f>Q1009+IF(AND(offer_incoterms="DDP",seller_region="RU"),R1009,0)</f>
        <v/>
      </c>
      <c r="T1009" s="45" t="n"/>
      <c r="V1009" s="57">
        <f>IF(Q1009&gt;0,"показать","скрыть")</f>
        <v/>
      </c>
    </row>
    <row r="1010" ht="15.75" customHeight="1">
      <c r="B1010" s="809" t="n">
        <v>994</v>
      </c>
      <c r="C1010" s="182">
        <f>IF(offer_sale_type="транзит",IFERROR(VLOOKUP($B1010,calc_data,C$14+1,0),0),0)</f>
        <v/>
      </c>
      <c r="D1010" s="280">
        <f>IF(offer_sale_type="транзит",IFERROR(VLOOKUP($B1010,calc_data,D$14+1,0),0),0)</f>
        <v/>
      </c>
      <c r="E1010" s="182">
        <f>IF(offer_sale_type="транзит",IFERROR(VLOOKUP($B1010,calc_data,E$14+1,0),0),0)</f>
        <v/>
      </c>
      <c r="F1010" s="182">
        <f>IF(offer_sale_type="транзит",IFERROR(VLOOKUP($B1010,calc_data,F$14+1,0),0),0)</f>
        <v/>
      </c>
      <c r="G1010" s="141">
        <f>IF(offer_sale_type="транзит",IFERROR(VLOOKUP($B1010,calc_data,G$14+1,0),0),0)</f>
        <v/>
      </c>
      <c r="H1010" s="141">
        <f>E1010*G1010</f>
        <v/>
      </c>
      <c r="I1010" s="141">
        <f>IF(offer_sale_type="транзит",IFERROR(ROUND(VLOOKUP($B1010,calc_data,I$14+1,0),2),0),0)</f>
        <v/>
      </c>
      <c r="J1010" s="141">
        <f>ROUND(IF(offer_sale_type="транзит",IFERROR(VLOOKUP($B1010,calc_data,J$14+1,0),0),0),2)</f>
        <v/>
      </c>
      <c r="K1010" s="142">
        <f>IF(offer_sale_type="транзит",IFERROR(ROUNDUP(VLOOKUP($B1010,calc_data,K$14+1,0),2),0),0)</f>
        <v/>
      </c>
      <c r="L1010" s="184">
        <f>IF(offer_sale_type="транзит",IFERROR(ROUNDUP(VLOOKUP($B1010,calc_data,L$14+1,0),2),0),0)</f>
        <v/>
      </c>
      <c r="M1010" s="141">
        <f>IF(offer_sale_type="транзит",IFERROR(ROUNDUP(VLOOKUP($B1010,calc_data,M$14+1,0),2),0),0)</f>
        <v/>
      </c>
      <c r="N1010" s="141">
        <f>IF(offer_sale_type="транзит",IFERROR(ROUNDUP(VLOOKUP($B1010,calc_data,N$14+1,0),2),0),0)</f>
        <v/>
      </c>
      <c r="O1010" s="147">
        <f>IF(offer_sale_type="транзит",IFERROR(ROUND(VLOOKUP($B1010,calc_data,O$14+1,1),2),0),0)</f>
        <v/>
      </c>
      <c r="P1010" s="141">
        <f>IF(offer_sale_type="транзит",IFERROR(ROUND(SUM(I1010:J1010,M1010:O1010)/E1010,2),0),0)</f>
        <v/>
      </c>
      <c r="Q1010" s="141">
        <f>E1010*P1010</f>
        <v/>
      </c>
      <c r="R1010" s="141">
        <f>ROUND(Q1010*IF(AND(offer_incoterms="DDP",seller_region="RU"),IF((TODAY()+offer_turnaround_time)&gt;=helpsheet!$L$17,rate_vatRU_from_26,rate_vatRu_till_25),0),2)</f>
        <v/>
      </c>
      <c r="S1010" s="177">
        <f>Q1010+IF(AND(offer_incoterms="DDP",seller_region="RU"),R1010,0)</f>
        <v/>
      </c>
      <c r="T1010" s="45" t="n"/>
      <c r="V1010" s="57">
        <f>IF(Q1010&gt;0,"показать","скрыть")</f>
        <v/>
      </c>
    </row>
    <row r="1011" ht="15.75" customHeight="1">
      <c r="B1011" s="809" t="n">
        <v>995</v>
      </c>
      <c r="C1011" s="182">
        <f>IF(offer_sale_type="транзит",IFERROR(VLOOKUP($B1011,calc_data,C$14+1,0),0),0)</f>
        <v/>
      </c>
      <c r="D1011" s="280">
        <f>IF(offer_sale_type="транзит",IFERROR(VLOOKUP($B1011,calc_data,D$14+1,0),0),0)</f>
        <v/>
      </c>
      <c r="E1011" s="182">
        <f>IF(offer_sale_type="транзит",IFERROR(VLOOKUP($B1011,calc_data,E$14+1,0),0),0)</f>
        <v/>
      </c>
      <c r="F1011" s="182">
        <f>IF(offer_sale_type="транзит",IFERROR(VLOOKUP($B1011,calc_data,F$14+1,0),0),0)</f>
        <v/>
      </c>
      <c r="G1011" s="141">
        <f>IF(offer_sale_type="транзит",IFERROR(VLOOKUP($B1011,calc_data,G$14+1,0),0),0)</f>
        <v/>
      </c>
      <c r="H1011" s="141">
        <f>E1011*G1011</f>
        <v/>
      </c>
      <c r="I1011" s="141">
        <f>IF(offer_sale_type="транзит",IFERROR(ROUND(VLOOKUP($B1011,calc_data,I$14+1,0),2),0),0)</f>
        <v/>
      </c>
      <c r="J1011" s="141">
        <f>ROUND(IF(offer_sale_type="транзит",IFERROR(VLOOKUP($B1011,calc_data,J$14+1,0),0),0),2)</f>
        <v/>
      </c>
      <c r="K1011" s="142">
        <f>IF(offer_sale_type="транзит",IFERROR(ROUNDUP(VLOOKUP($B1011,calc_data,K$14+1,0),2),0),0)</f>
        <v/>
      </c>
      <c r="L1011" s="184">
        <f>IF(offer_sale_type="транзит",IFERROR(ROUNDUP(VLOOKUP($B1011,calc_data,L$14+1,0),2),0),0)</f>
        <v/>
      </c>
      <c r="M1011" s="141">
        <f>IF(offer_sale_type="транзит",IFERROR(ROUNDUP(VLOOKUP($B1011,calc_data,M$14+1,0),2),0),0)</f>
        <v/>
      </c>
      <c r="N1011" s="141">
        <f>IF(offer_sale_type="транзит",IFERROR(ROUNDUP(VLOOKUP($B1011,calc_data,N$14+1,0),2),0),0)</f>
        <v/>
      </c>
      <c r="O1011" s="147">
        <f>IF(offer_sale_type="транзит",IFERROR(ROUND(VLOOKUP($B1011,calc_data,O$14+1,1),2),0),0)</f>
        <v/>
      </c>
      <c r="P1011" s="141">
        <f>IF(offer_sale_type="транзит",IFERROR(ROUND(SUM(I1011:J1011,M1011:O1011)/E1011,2),0),0)</f>
        <v/>
      </c>
      <c r="Q1011" s="141">
        <f>E1011*P1011</f>
        <v/>
      </c>
      <c r="R1011" s="141">
        <f>ROUND(Q1011*IF(AND(offer_incoterms="DDP",seller_region="RU"),IF((TODAY()+offer_turnaround_time)&gt;=helpsheet!$L$17,rate_vatRU_from_26,rate_vatRu_till_25),0),2)</f>
        <v/>
      </c>
      <c r="S1011" s="177">
        <f>Q1011+IF(AND(offer_incoterms="DDP",seller_region="RU"),R1011,0)</f>
        <v/>
      </c>
      <c r="T1011" s="45" t="n"/>
      <c r="V1011" s="57">
        <f>IF(Q1011&gt;0,"показать","скрыть")</f>
        <v/>
      </c>
    </row>
    <row r="1012" ht="15.75" customHeight="1">
      <c r="B1012" s="809" t="n">
        <v>996</v>
      </c>
      <c r="C1012" s="182">
        <f>IF(offer_sale_type="транзит",IFERROR(VLOOKUP($B1012,calc_data,C$14+1,0),0),0)</f>
        <v/>
      </c>
      <c r="D1012" s="280">
        <f>IF(offer_sale_type="транзит",IFERROR(VLOOKUP($B1012,calc_data,D$14+1,0),0),0)</f>
        <v/>
      </c>
      <c r="E1012" s="182">
        <f>IF(offer_sale_type="транзит",IFERROR(VLOOKUP($B1012,calc_data,E$14+1,0),0),0)</f>
        <v/>
      </c>
      <c r="F1012" s="182">
        <f>IF(offer_sale_type="транзит",IFERROR(VLOOKUP($B1012,calc_data,F$14+1,0),0),0)</f>
        <v/>
      </c>
      <c r="G1012" s="141">
        <f>IF(offer_sale_type="транзит",IFERROR(VLOOKUP($B1012,calc_data,G$14+1,0),0),0)</f>
        <v/>
      </c>
      <c r="H1012" s="141">
        <f>E1012*G1012</f>
        <v/>
      </c>
      <c r="I1012" s="141">
        <f>IF(offer_sale_type="транзит",IFERROR(ROUND(VLOOKUP($B1012,calc_data,I$14+1,0),2),0),0)</f>
        <v/>
      </c>
      <c r="J1012" s="141">
        <f>ROUND(IF(offer_sale_type="транзит",IFERROR(VLOOKUP($B1012,calc_data,J$14+1,0),0),0),2)</f>
        <v/>
      </c>
      <c r="K1012" s="142">
        <f>IF(offer_sale_type="транзит",IFERROR(ROUNDUP(VLOOKUP($B1012,calc_data,K$14+1,0),2),0),0)</f>
        <v/>
      </c>
      <c r="L1012" s="184">
        <f>IF(offer_sale_type="транзит",IFERROR(ROUNDUP(VLOOKUP($B1012,calc_data,L$14+1,0),2),0),0)</f>
        <v/>
      </c>
      <c r="M1012" s="141">
        <f>IF(offer_sale_type="транзит",IFERROR(ROUNDUP(VLOOKUP($B1012,calc_data,M$14+1,0),2),0),0)</f>
        <v/>
      </c>
      <c r="N1012" s="141">
        <f>IF(offer_sale_type="транзит",IFERROR(ROUNDUP(VLOOKUP($B1012,calc_data,N$14+1,0),2),0),0)</f>
        <v/>
      </c>
      <c r="O1012" s="147">
        <f>IF(offer_sale_type="транзит",IFERROR(ROUND(VLOOKUP($B1012,calc_data,O$14+1,1),2),0),0)</f>
        <v/>
      </c>
      <c r="P1012" s="141">
        <f>IF(offer_sale_type="транзит",IFERROR(ROUND(SUM(I1012:J1012,M1012:O1012)/E1012,2),0),0)</f>
        <v/>
      </c>
      <c r="Q1012" s="141">
        <f>E1012*P1012</f>
        <v/>
      </c>
      <c r="R1012" s="141">
        <f>ROUND(Q1012*IF(AND(offer_incoterms="DDP",seller_region="RU"),IF((TODAY()+offer_turnaround_time)&gt;=helpsheet!$L$17,rate_vatRU_from_26,rate_vatRu_till_25),0),2)</f>
        <v/>
      </c>
      <c r="S1012" s="177">
        <f>Q1012+IF(AND(offer_incoterms="DDP",seller_region="RU"),R1012,0)</f>
        <v/>
      </c>
      <c r="T1012" s="45" t="n"/>
      <c r="V1012" s="57">
        <f>IF(Q1012&gt;0,"показать","скрыть")</f>
        <v/>
      </c>
    </row>
    <row r="1013" ht="15.75" customHeight="1">
      <c r="B1013" s="809" t="n">
        <v>997</v>
      </c>
      <c r="C1013" s="182">
        <f>IF(offer_sale_type="транзит",IFERROR(VLOOKUP($B1013,calc_data,C$14+1,0),0),0)</f>
        <v/>
      </c>
      <c r="D1013" s="280">
        <f>IF(offer_sale_type="транзит",IFERROR(VLOOKUP($B1013,calc_data,D$14+1,0),0),0)</f>
        <v/>
      </c>
      <c r="E1013" s="182">
        <f>IF(offer_sale_type="транзит",IFERROR(VLOOKUP($B1013,calc_data,E$14+1,0),0),0)</f>
        <v/>
      </c>
      <c r="F1013" s="182">
        <f>IF(offer_sale_type="транзит",IFERROR(VLOOKUP($B1013,calc_data,F$14+1,0),0),0)</f>
        <v/>
      </c>
      <c r="G1013" s="141">
        <f>IF(offer_sale_type="транзит",IFERROR(VLOOKUP($B1013,calc_data,G$14+1,0),0),0)</f>
        <v/>
      </c>
      <c r="H1013" s="141">
        <f>E1013*G1013</f>
        <v/>
      </c>
      <c r="I1013" s="141">
        <f>IF(offer_sale_type="транзит",IFERROR(ROUND(VLOOKUP($B1013,calc_data,I$14+1,0),2),0),0)</f>
        <v/>
      </c>
      <c r="J1013" s="141">
        <f>ROUND(IF(offer_sale_type="транзит",IFERROR(VLOOKUP($B1013,calc_data,J$14+1,0),0),0),2)</f>
        <v/>
      </c>
      <c r="K1013" s="142">
        <f>IF(offer_sale_type="транзит",IFERROR(ROUNDUP(VLOOKUP($B1013,calc_data,K$14+1,0),2),0),0)</f>
        <v/>
      </c>
      <c r="L1013" s="184">
        <f>IF(offer_sale_type="транзит",IFERROR(ROUNDUP(VLOOKUP($B1013,calc_data,L$14+1,0),2),0),0)</f>
        <v/>
      </c>
      <c r="M1013" s="141">
        <f>IF(offer_sale_type="транзит",IFERROR(ROUNDUP(VLOOKUP($B1013,calc_data,M$14+1,0),2),0),0)</f>
        <v/>
      </c>
      <c r="N1013" s="141">
        <f>IF(offer_sale_type="транзит",IFERROR(ROUNDUP(VLOOKUP($B1013,calc_data,N$14+1,0),2),0),0)</f>
        <v/>
      </c>
      <c r="O1013" s="147">
        <f>IF(offer_sale_type="транзит",IFERROR(ROUND(VLOOKUP($B1013,calc_data,O$14+1,1),2),0),0)</f>
        <v/>
      </c>
      <c r="P1013" s="141">
        <f>IF(offer_sale_type="транзит",IFERROR(ROUND(SUM(I1013:J1013,M1013:O1013)/E1013,2),0),0)</f>
        <v/>
      </c>
      <c r="Q1013" s="141">
        <f>E1013*P1013</f>
        <v/>
      </c>
      <c r="R1013" s="141">
        <f>ROUND(Q1013*IF(AND(offer_incoterms="DDP",seller_region="RU"),IF((TODAY()+offer_turnaround_time)&gt;=helpsheet!$L$17,rate_vatRU_from_26,rate_vatRu_till_25),0),2)</f>
        <v/>
      </c>
      <c r="S1013" s="177">
        <f>Q1013+IF(AND(offer_incoterms="DDP",seller_region="RU"),R1013,0)</f>
        <v/>
      </c>
      <c r="T1013" s="45" t="n"/>
      <c r="V1013" s="57">
        <f>IF(Q1013&gt;0,"показать","скрыть")</f>
        <v/>
      </c>
    </row>
    <row r="1014" ht="15.75" customHeight="1">
      <c r="B1014" s="809" t="n">
        <v>998</v>
      </c>
      <c r="C1014" s="182">
        <f>IF(offer_sale_type="транзит",IFERROR(VLOOKUP($B1014,calc_data,C$14+1,0),0),0)</f>
        <v/>
      </c>
      <c r="D1014" s="280">
        <f>IF(offer_sale_type="транзит",IFERROR(VLOOKUP($B1014,calc_data,D$14+1,0),0),0)</f>
        <v/>
      </c>
      <c r="E1014" s="182">
        <f>IF(offer_sale_type="транзит",IFERROR(VLOOKUP($B1014,calc_data,E$14+1,0),0),0)</f>
        <v/>
      </c>
      <c r="F1014" s="182">
        <f>IF(offer_sale_type="транзит",IFERROR(VLOOKUP($B1014,calc_data,F$14+1,0),0),0)</f>
        <v/>
      </c>
      <c r="G1014" s="141">
        <f>IF(offer_sale_type="транзит",IFERROR(VLOOKUP($B1014,calc_data,G$14+1,0),0),0)</f>
        <v/>
      </c>
      <c r="H1014" s="141">
        <f>E1014*G1014</f>
        <v/>
      </c>
      <c r="I1014" s="141">
        <f>IF(offer_sale_type="транзит",IFERROR(ROUND(VLOOKUP($B1014,calc_data,I$14+1,0),2),0),0)</f>
        <v/>
      </c>
      <c r="J1014" s="141">
        <f>ROUND(IF(offer_sale_type="транзит",IFERROR(VLOOKUP($B1014,calc_data,J$14+1,0),0),0),2)</f>
        <v/>
      </c>
      <c r="K1014" s="142">
        <f>IF(offer_sale_type="транзит",IFERROR(ROUNDUP(VLOOKUP($B1014,calc_data,K$14+1,0),2),0),0)</f>
        <v/>
      </c>
      <c r="L1014" s="184">
        <f>IF(offer_sale_type="транзит",IFERROR(ROUNDUP(VLOOKUP($B1014,calc_data,L$14+1,0),2),0),0)</f>
        <v/>
      </c>
      <c r="M1014" s="141">
        <f>IF(offer_sale_type="транзит",IFERROR(ROUNDUP(VLOOKUP($B1014,calc_data,M$14+1,0),2),0),0)</f>
        <v/>
      </c>
      <c r="N1014" s="141">
        <f>IF(offer_sale_type="транзит",IFERROR(ROUNDUP(VLOOKUP($B1014,calc_data,N$14+1,0),2),0),0)</f>
        <v/>
      </c>
      <c r="O1014" s="147">
        <f>IF(offer_sale_type="транзит",IFERROR(ROUND(VLOOKUP($B1014,calc_data,O$14+1,1),2),0),0)</f>
        <v/>
      </c>
      <c r="P1014" s="141">
        <f>IF(offer_sale_type="транзит",IFERROR(ROUND(SUM(I1014:J1014,M1014:O1014)/E1014,2),0),0)</f>
        <v/>
      </c>
      <c r="Q1014" s="141">
        <f>E1014*P1014</f>
        <v/>
      </c>
      <c r="R1014" s="141">
        <f>ROUND(Q1014*IF(AND(offer_incoterms="DDP",seller_region="RU"),IF((TODAY()+offer_turnaround_time)&gt;=helpsheet!$L$17,rate_vatRU_from_26,rate_vatRu_till_25),0),2)</f>
        <v/>
      </c>
      <c r="S1014" s="177">
        <f>Q1014+IF(AND(offer_incoterms="DDP",seller_region="RU"),R1014,0)</f>
        <v/>
      </c>
      <c r="T1014" s="45" t="n"/>
      <c r="V1014" s="57">
        <f>IF(Q1014&gt;0,"показать","скрыть")</f>
        <v/>
      </c>
    </row>
    <row r="1015" ht="15.75" customHeight="1">
      <c r="B1015" s="809" t="n">
        <v>999</v>
      </c>
      <c r="C1015" s="182">
        <f>IF(offer_sale_type="транзит",IFERROR(VLOOKUP($B1015,calc_data,C$14+1,0),0),0)</f>
        <v/>
      </c>
      <c r="D1015" s="280">
        <f>IF(offer_sale_type="транзит",IFERROR(VLOOKUP($B1015,calc_data,D$14+1,0),0),0)</f>
        <v/>
      </c>
      <c r="E1015" s="182">
        <f>IF(offer_sale_type="транзит",IFERROR(VLOOKUP($B1015,calc_data,E$14+1,0),0),0)</f>
        <v/>
      </c>
      <c r="F1015" s="182">
        <f>IF(offer_sale_type="транзит",IFERROR(VLOOKUP($B1015,calc_data,F$14+1,0),0),0)</f>
        <v/>
      </c>
      <c r="G1015" s="141">
        <f>IF(offer_sale_type="транзит",IFERROR(VLOOKUP($B1015,calc_data,G$14+1,0),0),0)</f>
        <v/>
      </c>
      <c r="H1015" s="141">
        <f>E1015*G1015</f>
        <v/>
      </c>
      <c r="I1015" s="141">
        <f>IF(offer_sale_type="транзит",IFERROR(ROUND(VLOOKUP($B1015,calc_data,I$14+1,0),2),0),0)</f>
        <v/>
      </c>
      <c r="J1015" s="141">
        <f>ROUND(IF(offer_sale_type="транзит",IFERROR(VLOOKUP($B1015,calc_data,J$14+1,0),0),0),2)</f>
        <v/>
      </c>
      <c r="K1015" s="142">
        <f>IF(offer_sale_type="транзит",IFERROR(ROUNDUP(VLOOKUP($B1015,calc_data,K$14+1,0),2),0),0)</f>
        <v/>
      </c>
      <c r="L1015" s="184">
        <f>IF(offer_sale_type="транзит",IFERROR(ROUNDUP(VLOOKUP($B1015,calc_data,L$14+1,0),2),0),0)</f>
        <v/>
      </c>
      <c r="M1015" s="141">
        <f>IF(offer_sale_type="транзит",IFERROR(ROUNDUP(VLOOKUP($B1015,calc_data,M$14+1,0),2),0),0)</f>
        <v/>
      </c>
      <c r="N1015" s="141">
        <f>IF(offer_sale_type="транзит",IFERROR(ROUNDUP(VLOOKUP($B1015,calc_data,N$14+1,0),2),0),0)</f>
        <v/>
      </c>
      <c r="O1015" s="147">
        <f>IF(offer_sale_type="транзит",IFERROR(ROUND(VLOOKUP($B1015,calc_data,O$14+1,1),2),0),0)</f>
        <v/>
      </c>
      <c r="P1015" s="141">
        <f>IF(offer_sale_type="транзит",IFERROR(ROUND(SUM(I1015:J1015,M1015:O1015)/E1015,2),0),0)</f>
        <v/>
      </c>
      <c r="Q1015" s="141">
        <f>E1015*P1015</f>
        <v/>
      </c>
      <c r="R1015" s="141">
        <f>ROUND(Q1015*IF(AND(offer_incoterms="DDP",seller_region="RU"),IF((TODAY()+offer_turnaround_time)&gt;=helpsheet!$L$17,rate_vatRU_from_26,rate_vatRu_till_25),0),2)</f>
        <v/>
      </c>
      <c r="S1015" s="177">
        <f>Q1015+IF(AND(offer_incoterms="DDP",seller_region="RU"),R1015,0)</f>
        <v/>
      </c>
      <c r="T1015" s="45" t="n"/>
      <c r="V1015" s="57">
        <f>IF(Q1015&gt;0,"показать","скрыть")</f>
        <v/>
      </c>
    </row>
    <row r="1016" ht="15.75" customHeight="1">
      <c r="B1016" s="809" t="n">
        <v>1000</v>
      </c>
      <c r="C1016" s="182">
        <f>IF(offer_sale_type="транзит",IFERROR(VLOOKUP($B1016,calc_data,C$14+1,0),0),0)</f>
        <v/>
      </c>
      <c r="D1016" s="280">
        <f>IF(offer_sale_type="транзит",IFERROR(VLOOKUP($B1016,calc_data,D$14+1,0),0),0)</f>
        <v/>
      </c>
      <c r="E1016" s="182">
        <f>IF(offer_sale_type="транзит",IFERROR(VLOOKUP($B1016,calc_data,E$14+1,0),0),0)</f>
        <v/>
      </c>
      <c r="F1016" s="182">
        <f>IF(offer_sale_type="транзит",IFERROR(VLOOKUP($B1016,calc_data,F$14+1,0),0),0)</f>
        <v/>
      </c>
      <c r="G1016" s="141">
        <f>IF(offer_sale_type="транзит",IFERROR(VLOOKUP($B1016,calc_data,G$14+1,0),0),0)</f>
        <v/>
      </c>
      <c r="H1016" s="141">
        <f>E1016*G1016</f>
        <v/>
      </c>
      <c r="I1016" s="141">
        <f>IF(offer_sale_type="транзит",IFERROR(ROUND(VLOOKUP($B1016,calc_data,I$14+1,0),2),0),0)</f>
        <v/>
      </c>
      <c r="J1016" s="141">
        <f>ROUND(IF(offer_sale_type="транзит",IFERROR(VLOOKUP($B1016,calc_data,J$14+1,0),0),0),2)</f>
        <v/>
      </c>
      <c r="K1016" s="142">
        <f>IF(offer_sale_type="транзит",IFERROR(ROUNDUP(VLOOKUP($B1016,calc_data,K$14+1,0),2),0),0)</f>
        <v/>
      </c>
      <c r="L1016" s="184">
        <f>IF(offer_sale_type="транзит",IFERROR(ROUNDUP(VLOOKUP($B1016,calc_data,L$14+1,0),2),0),0)</f>
        <v/>
      </c>
      <c r="M1016" s="141">
        <f>IF(offer_sale_type="транзит",IFERROR(ROUNDUP(VLOOKUP($B1016,calc_data,M$14+1,0),2),0),0)</f>
        <v/>
      </c>
      <c r="N1016" s="141">
        <f>IF(offer_sale_type="транзит",IFERROR(ROUNDUP(VLOOKUP($B1016,calc_data,N$14+1,0),2),0),0)</f>
        <v/>
      </c>
      <c r="O1016" s="147">
        <f>IF(offer_sale_type="транзит",IFERROR(ROUND(VLOOKUP($B1016,calc_data,O$14+1,1),2),0),0)</f>
        <v/>
      </c>
      <c r="P1016" s="141">
        <f>IF(offer_sale_type="транзит",IFERROR(ROUND(SUM(I1016:J1016,M1016:O1016)/E1016,2),0),0)</f>
        <v/>
      </c>
      <c r="Q1016" s="141">
        <f>E1016*P1016</f>
        <v/>
      </c>
      <c r="R1016" s="141">
        <f>ROUND(Q1016*IF(AND(offer_incoterms="DDP",seller_region="RU"),IF((TODAY()+offer_turnaround_time)&gt;=helpsheet!$L$17,rate_vatRU_from_26,rate_vatRu_till_25),0),2)</f>
        <v/>
      </c>
      <c r="S1016" s="177">
        <f>Q1016+IF(AND(offer_incoterms="DDP",seller_region="RU"),R1016,0)</f>
        <v/>
      </c>
      <c r="T1016" s="45" t="n"/>
      <c r="V1016" s="57">
        <f>IF(Q1016&gt;0,"показать","скрыть")</f>
        <v/>
      </c>
    </row>
    <row r="1017" ht="15.75" customHeight="1">
      <c r="B1017" s="809" t="n">
        <v>1001</v>
      </c>
      <c r="C1017" s="182">
        <f>IF(offer_sale_type="транзит",IFERROR(VLOOKUP($B1017,calc_data,C$14+1,0),0),0)</f>
        <v/>
      </c>
      <c r="D1017" s="280">
        <f>IF(offer_sale_type="транзит",IFERROR(VLOOKUP($B1017,calc_data,D$14+1,0),0),0)</f>
        <v/>
      </c>
      <c r="E1017" s="182">
        <f>IF(offer_sale_type="транзит",IFERROR(VLOOKUP($B1017,calc_data,E$14+1,0),0),0)</f>
        <v/>
      </c>
      <c r="F1017" s="182">
        <f>IF(offer_sale_type="транзит",IFERROR(VLOOKUP($B1017,calc_data,F$14+1,0),0),0)</f>
        <v/>
      </c>
      <c r="G1017" s="141">
        <f>IF(offer_sale_type="транзит",IFERROR(VLOOKUP($B1017,calc_data,G$14+1,0),0),0)</f>
        <v/>
      </c>
      <c r="H1017" s="141">
        <f>E1017*G1017</f>
        <v/>
      </c>
      <c r="I1017" s="141">
        <f>IF(offer_sale_type="транзит",IFERROR(ROUND(VLOOKUP($B1017,calc_data,I$14+1,0),2),0),0)</f>
        <v/>
      </c>
      <c r="J1017" s="141">
        <f>ROUND(IF(offer_sale_type="транзит",IFERROR(VLOOKUP($B1017,calc_data,J$14+1,0),0),0),2)</f>
        <v/>
      </c>
      <c r="K1017" s="142">
        <f>IF(offer_sale_type="транзит",IFERROR(ROUNDUP(VLOOKUP($B1017,calc_data,K$14+1,0),2),0),0)</f>
        <v/>
      </c>
      <c r="L1017" s="184">
        <f>IF(offer_sale_type="транзит",IFERROR(ROUNDUP(VLOOKUP($B1017,calc_data,L$14+1,0),2),0),0)</f>
        <v/>
      </c>
      <c r="M1017" s="141">
        <f>IF(offer_sale_type="транзит",IFERROR(ROUNDUP(VLOOKUP($B1017,calc_data,M$14+1,0),2),0),0)</f>
        <v/>
      </c>
      <c r="N1017" s="141">
        <f>IF(offer_sale_type="транзит",IFERROR(ROUNDUP(VLOOKUP($B1017,calc_data,N$14+1,0),2),0),0)</f>
        <v/>
      </c>
      <c r="O1017" s="147">
        <f>IF(offer_sale_type="транзит",IFERROR(ROUND(VLOOKUP($B1017,calc_data,O$14+1,1),2),0),0)</f>
        <v/>
      </c>
      <c r="P1017" s="141">
        <f>IF(offer_sale_type="транзит",IFERROR(ROUND(SUM(I1017:J1017,M1017:O1017)/E1017,2),0),0)</f>
        <v/>
      </c>
      <c r="Q1017" s="141">
        <f>E1017*P1017</f>
        <v/>
      </c>
      <c r="R1017" s="141">
        <f>ROUND(Q1017*IF(AND(offer_incoterms="DDP",seller_region="RU"),IF((TODAY()+offer_turnaround_time)&gt;=helpsheet!$L$17,rate_vatRU_from_26,rate_vatRu_till_25),0),2)</f>
        <v/>
      </c>
      <c r="S1017" s="177">
        <f>Q1017+IF(AND(offer_incoterms="DDP",seller_region="RU"),R1017,0)</f>
        <v/>
      </c>
      <c r="T1017" s="45" t="n"/>
      <c r="V1017" s="57">
        <f>IF(Q1017&gt;0,"показать","скрыть")</f>
        <v/>
      </c>
    </row>
    <row r="1018" ht="15.75" customHeight="1">
      <c r="B1018" s="809" t="n">
        <v>1002</v>
      </c>
      <c r="C1018" s="182">
        <f>IF(offer_sale_type="транзит",IFERROR(VLOOKUP($B1018,calc_data,C$14+1,0),0),0)</f>
        <v/>
      </c>
      <c r="D1018" s="280">
        <f>IF(offer_sale_type="транзит",IFERROR(VLOOKUP($B1018,calc_data,D$14+1,0),0),0)</f>
        <v/>
      </c>
      <c r="E1018" s="182">
        <f>IF(offer_sale_type="транзит",IFERROR(VLOOKUP($B1018,calc_data,E$14+1,0),0),0)</f>
        <v/>
      </c>
      <c r="F1018" s="182">
        <f>IF(offer_sale_type="транзит",IFERROR(VLOOKUP($B1018,calc_data,F$14+1,0),0),0)</f>
        <v/>
      </c>
      <c r="G1018" s="141">
        <f>IF(offer_sale_type="транзит",IFERROR(VLOOKUP($B1018,calc_data,G$14+1,0),0),0)</f>
        <v/>
      </c>
      <c r="H1018" s="141">
        <f>E1018*G1018</f>
        <v/>
      </c>
      <c r="I1018" s="141">
        <f>IF(offer_sale_type="транзит",IFERROR(ROUND(VLOOKUP($B1018,calc_data,I$14+1,0),2),0),0)</f>
        <v/>
      </c>
      <c r="J1018" s="141">
        <f>ROUND(IF(offer_sale_type="транзит",IFERROR(VLOOKUP($B1018,calc_data,J$14+1,0),0),0),2)</f>
        <v/>
      </c>
      <c r="K1018" s="142">
        <f>IF(offer_sale_type="транзит",IFERROR(ROUNDUP(VLOOKUP($B1018,calc_data,K$14+1,0),2),0),0)</f>
        <v/>
      </c>
      <c r="L1018" s="184">
        <f>IF(offer_sale_type="транзит",IFERROR(ROUNDUP(VLOOKUP($B1018,calc_data,L$14+1,0),2),0),0)</f>
        <v/>
      </c>
      <c r="M1018" s="141">
        <f>IF(offer_sale_type="транзит",IFERROR(ROUNDUP(VLOOKUP($B1018,calc_data,M$14+1,0),2),0),0)</f>
        <v/>
      </c>
      <c r="N1018" s="141">
        <f>IF(offer_sale_type="транзит",IFERROR(ROUNDUP(VLOOKUP($B1018,calc_data,N$14+1,0),2),0),0)</f>
        <v/>
      </c>
      <c r="O1018" s="147">
        <f>IF(offer_sale_type="транзит",IFERROR(ROUND(VLOOKUP($B1018,calc_data,O$14+1,1),2),0),0)</f>
        <v/>
      </c>
      <c r="P1018" s="141">
        <f>IF(offer_sale_type="транзит",IFERROR(ROUND(SUM(I1018:J1018,M1018:O1018)/E1018,2),0),0)</f>
        <v/>
      </c>
      <c r="Q1018" s="141">
        <f>E1018*P1018</f>
        <v/>
      </c>
      <c r="R1018" s="141">
        <f>ROUND(Q1018*IF(AND(offer_incoterms="DDP",seller_region="RU"),IF((TODAY()+offer_turnaround_time)&gt;=helpsheet!$L$17,rate_vatRU_from_26,rate_vatRu_till_25),0),2)</f>
        <v/>
      </c>
      <c r="S1018" s="177">
        <f>Q1018+IF(AND(offer_incoterms="DDP",seller_region="RU"),R1018,0)</f>
        <v/>
      </c>
      <c r="T1018" s="45" t="n"/>
      <c r="V1018" s="57">
        <f>IF(Q1018&gt;0,"показать","скрыть")</f>
        <v/>
      </c>
    </row>
    <row r="1019" ht="15.75" customHeight="1">
      <c r="B1019" s="809" t="n">
        <v>1003</v>
      </c>
      <c r="C1019" s="182">
        <f>IF(offer_sale_type="транзит",IFERROR(VLOOKUP($B1019,calc_data,C$14+1,0),0),0)</f>
        <v/>
      </c>
      <c r="D1019" s="280">
        <f>IF(offer_sale_type="транзит",IFERROR(VLOOKUP($B1019,calc_data,D$14+1,0),0),0)</f>
        <v/>
      </c>
      <c r="E1019" s="182">
        <f>IF(offer_sale_type="транзит",IFERROR(VLOOKUP($B1019,calc_data,E$14+1,0),0),0)</f>
        <v/>
      </c>
      <c r="F1019" s="182">
        <f>IF(offer_sale_type="транзит",IFERROR(VLOOKUP($B1019,calc_data,F$14+1,0),0),0)</f>
        <v/>
      </c>
      <c r="G1019" s="141">
        <f>IF(offer_sale_type="транзит",IFERROR(VLOOKUP($B1019,calc_data,G$14+1,0),0),0)</f>
        <v/>
      </c>
      <c r="H1019" s="141">
        <f>E1019*G1019</f>
        <v/>
      </c>
      <c r="I1019" s="141">
        <f>IF(offer_sale_type="транзит",IFERROR(ROUND(VLOOKUP($B1019,calc_data,I$14+1,0),2),0),0)</f>
        <v/>
      </c>
      <c r="J1019" s="141">
        <f>ROUND(IF(offer_sale_type="транзит",IFERROR(VLOOKUP($B1019,calc_data,J$14+1,0),0),0),2)</f>
        <v/>
      </c>
      <c r="K1019" s="142">
        <f>IF(offer_sale_type="транзит",IFERROR(ROUNDUP(VLOOKUP($B1019,calc_data,K$14+1,0),2),0),0)</f>
        <v/>
      </c>
      <c r="L1019" s="184">
        <f>IF(offer_sale_type="транзит",IFERROR(ROUNDUP(VLOOKUP($B1019,calc_data,L$14+1,0),2),0),0)</f>
        <v/>
      </c>
      <c r="M1019" s="141">
        <f>IF(offer_sale_type="транзит",IFERROR(ROUNDUP(VLOOKUP($B1019,calc_data,M$14+1,0),2),0),0)</f>
        <v/>
      </c>
      <c r="N1019" s="141">
        <f>IF(offer_sale_type="транзит",IFERROR(ROUNDUP(VLOOKUP($B1019,calc_data,N$14+1,0),2),0),0)</f>
        <v/>
      </c>
      <c r="O1019" s="147">
        <f>IF(offer_sale_type="транзит",IFERROR(ROUND(VLOOKUP($B1019,calc_data,O$14+1,1),2),0),0)</f>
        <v/>
      </c>
      <c r="P1019" s="141">
        <f>IF(offer_sale_type="транзит",IFERROR(ROUND(SUM(I1019:J1019,M1019:O1019)/E1019,2),0),0)</f>
        <v/>
      </c>
      <c r="Q1019" s="141">
        <f>E1019*P1019</f>
        <v/>
      </c>
      <c r="R1019" s="141">
        <f>ROUND(Q1019*IF(AND(offer_incoterms="DDP",seller_region="RU"),IF((TODAY()+offer_turnaround_time)&gt;=helpsheet!$L$17,rate_vatRU_from_26,rate_vatRu_till_25),0),2)</f>
        <v/>
      </c>
      <c r="S1019" s="177">
        <f>Q1019+IF(AND(offer_incoterms="DDP",seller_region="RU"),R1019,0)</f>
        <v/>
      </c>
      <c r="T1019" s="45" t="n"/>
      <c r="V1019" s="57">
        <f>IF(Q1019&gt;0,"показать","скрыть")</f>
        <v/>
      </c>
    </row>
    <row r="1020" ht="15.75" customHeight="1">
      <c r="B1020" s="809" t="n">
        <v>1004</v>
      </c>
      <c r="C1020" s="182">
        <f>IF(offer_sale_type="транзит",IFERROR(VLOOKUP($B1020,calc_data,C$14+1,0),0),0)</f>
        <v/>
      </c>
      <c r="D1020" s="280">
        <f>IF(offer_sale_type="транзит",IFERROR(VLOOKUP($B1020,calc_data,D$14+1,0),0),0)</f>
        <v/>
      </c>
      <c r="E1020" s="182">
        <f>IF(offer_sale_type="транзит",IFERROR(VLOOKUP($B1020,calc_data,E$14+1,0),0),0)</f>
        <v/>
      </c>
      <c r="F1020" s="182">
        <f>IF(offer_sale_type="транзит",IFERROR(VLOOKUP($B1020,calc_data,F$14+1,0),0),0)</f>
        <v/>
      </c>
      <c r="G1020" s="141">
        <f>IF(offer_sale_type="транзит",IFERROR(VLOOKUP($B1020,calc_data,G$14+1,0),0),0)</f>
        <v/>
      </c>
      <c r="H1020" s="141">
        <f>E1020*G1020</f>
        <v/>
      </c>
      <c r="I1020" s="141">
        <f>IF(offer_sale_type="транзит",IFERROR(ROUND(VLOOKUP($B1020,calc_data,I$14+1,0),2),0),0)</f>
        <v/>
      </c>
      <c r="J1020" s="141">
        <f>ROUND(IF(offer_sale_type="транзит",IFERROR(VLOOKUP($B1020,calc_data,J$14+1,0),0),0),2)</f>
        <v/>
      </c>
      <c r="K1020" s="142">
        <f>IF(offer_sale_type="транзит",IFERROR(ROUNDUP(VLOOKUP($B1020,calc_data,K$14+1,0),2),0),0)</f>
        <v/>
      </c>
      <c r="L1020" s="184">
        <f>IF(offer_sale_type="транзит",IFERROR(ROUNDUP(VLOOKUP($B1020,calc_data,L$14+1,0),2),0),0)</f>
        <v/>
      </c>
      <c r="M1020" s="141">
        <f>IF(offer_sale_type="транзит",IFERROR(ROUNDUP(VLOOKUP($B1020,calc_data,M$14+1,0),2),0),0)</f>
        <v/>
      </c>
      <c r="N1020" s="141">
        <f>IF(offer_sale_type="транзит",IFERROR(ROUNDUP(VLOOKUP($B1020,calc_data,N$14+1,0),2),0),0)</f>
        <v/>
      </c>
      <c r="O1020" s="147">
        <f>IF(offer_sale_type="транзит",IFERROR(ROUND(VLOOKUP($B1020,calc_data,O$14+1,1),2),0),0)</f>
        <v/>
      </c>
      <c r="P1020" s="141">
        <f>IF(offer_sale_type="транзит",IFERROR(ROUND(SUM(I1020:J1020,M1020:O1020)/E1020,2),0),0)</f>
        <v/>
      </c>
      <c r="Q1020" s="141">
        <f>E1020*P1020</f>
        <v/>
      </c>
      <c r="R1020" s="141">
        <f>ROUND(Q1020*IF(AND(offer_incoterms="DDP",seller_region="RU"),IF((TODAY()+offer_turnaround_time)&gt;=helpsheet!$L$17,rate_vatRU_from_26,rate_vatRu_till_25),0),2)</f>
        <v/>
      </c>
      <c r="S1020" s="177">
        <f>Q1020+IF(AND(offer_incoterms="DDP",seller_region="RU"),R1020,0)</f>
        <v/>
      </c>
      <c r="T1020" s="45" t="n"/>
      <c r="V1020" s="57">
        <f>IF(Q1020&gt;0,"показать","скрыть")</f>
        <v/>
      </c>
    </row>
    <row r="1021" ht="15.75" customHeight="1">
      <c r="B1021" s="809" t="n">
        <v>1005</v>
      </c>
      <c r="C1021" s="182">
        <f>IF(offer_sale_type="транзит",IFERROR(VLOOKUP($B1021,calc_data,C$14+1,0),0),0)</f>
        <v/>
      </c>
      <c r="D1021" s="280">
        <f>IF(offer_sale_type="транзит",IFERROR(VLOOKUP($B1021,calc_data,D$14+1,0),0),0)</f>
        <v/>
      </c>
      <c r="E1021" s="182">
        <f>IF(offer_sale_type="транзит",IFERROR(VLOOKUP($B1021,calc_data,E$14+1,0),0),0)</f>
        <v/>
      </c>
      <c r="F1021" s="182">
        <f>IF(offer_sale_type="транзит",IFERROR(VLOOKUP($B1021,calc_data,F$14+1,0),0),0)</f>
        <v/>
      </c>
      <c r="G1021" s="141">
        <f>IF(offer_sale_type="транзит",IFERROR(VLOOKUP($B1021,calc_data,G$14+1,0),0),0)</f>
        <v/>
      </c>
      <c r="H1021" s="141">
        <f>E1021*G1021</f>
        <v/>
      </c>
      <c r="I1021" s="141">
        <f>IF(offer_sale_type="транзит",IFERROR(ROUND(VLOOKUP($B1021,calc_data,I$14+1,0),2),0),0)</f>
        <v/>
      </c>
      <c r="J1021" s="141">
        <f>ROUND(IF(offer_sale_type="транзит",IFERROR(VLOOKUP($B1021,calc_data,J$14+1,0),0),0),2)</f>
        <v/>
      </c>
      <c r="K1021" s="142">
        <f>IF(offer_sale_type="транзит",IFERROR(ROUNDUP(VLOOKUP($B1021,calc_data,K$14+1,0),2),0),0)</f>
        <v/>
      </c>
      <c r="L1021" s="184">
        <f>IF(offer_sale_type="транзит",IFERROR(ROUNDUP(VLOOKUP($B1021,calc_data,L$14+1,0),2),0),0)</f>
        <v/>
      </c>
      <c r="M1021" s="141">
        <f>IF(offer_sale_type="транзит",IFERROR(ROUNDUP(VLOOKUP($B1021,calc_data,M$14+1,0),2),0),0)</f>
        <v/>
      </c>
      <c r="N1021" s="141">
        <f>IF(offer_sale_type="транзит",IFERROR(ROUNDUP(VLOOKUP($B1021,calc_data,N$14+1,0),2),0),0)</f>
        <v/>
      </c>
      <c r="O1021" s="147">
        <f>IF(offer_sale_type="транзит",IFERROR(ROUND(VLOOKUP($B1021,calc_data,O$14+1,1),2),0),0)</f>
        <v/>
      </c>
      <c r="P1021" s="141">
        <f>IF(offer_sale_type="транзит",IFERROR(ROUND(SUM(I1021:J1021,M1021:O1021)/E1021,2),0),0)</f>
        <v/>
      </c>
      <c r="Q1021" s="141">
        <f>E1021*P1021</f>
        <v/>
      </c>
      <c r="R1021" s="141">
        <f>ROUND(Q1021*IF(AND(offer_incoterms="DDP",seller_region="RU"),IF((TODAY()+offer_turnaround_time)&gt;=helpsheet!$L$17,rate_vatRU_from_26,rate_vatRu_till_25),0),2)</f>
        <v/>
      </c>
      <c r="S1021" s="177">
        <f>Q1021+IF(AND(offer_incoterms="DDP",seller_region="RU"),R1021,0)</f>
        <v/>
      </c>
      <c r="T1021" s="45" t="n"/>
      <c r="V1021" s="57">
        <f>IF(Q1021&gt;0,"показать","скрыть")</f>
        <v/>
      </c>
    </row>
    <row r="1022" ht="15.75" customHeight="1">
      <c r="B1022" s="809" t="n">
        <v>1006</v>
      </c>
      <c r="C1022" s="182">
        <f>IF(offer_sale_type="транзит",IFERROR(VLOOKUP($B1022,calc_data,C$14+1,0),0),0)</f>
        <v/>
      </c>
      <c r="D1022" s="280">
        <f>IF(offer_sale_type="транзит",IFERROR(VLOOKUP($B1022,calc_data,D$14+1,0),0),0)</f>
        <v/>
      </c>
      <c r="E1022" s="182">
        <f>IF(offer_sale_type="транзит",IFERROR(VLOOKUP($B1022,calc_data,E$14+1,0),0),0)</f>
        <v/>
      </c>
      <c r="F1022" s="182">
        <f>IF(offer_sale_type="транзит",IFERROR(VLOOKUP($B1022,calc_data,F$14+1,0),0),0)</f>
        <v/>
      </c>
      <c r="G1022" s="141">
        <f>IF(offer_sale_type="транзит",IFERROR(VLOOKUP($B1022,calc_data,G$14+1,0),0),0)</f>
        <v/>
      </c>
      <c r="H1022" s="141">
        <f>E1022*G1022</f>
        <v/>
      </c>
      <c r="I1022" s="141">
        <f>IF(offer_sale_type="транзит",IFERROR(ROUND(VLOOKUP($B1022,calc_data,I$14+1,0),2),0),0)</f>
        <v/>
      </c>
      <c r="J1022" s="141">
        <f>ROUND(IF(offer_sale_type="транзит",IFERROR(VLOOKUP($B1022,calc_data,J$14+1,0),0),0),2)</f>
        <v/>
      </c>
      <c r="K1022" s="142">
        <f>IF(offer_sale_type="транзит",IFERROR(ROUNDUP(VLOOKUP($B1022,calc_data,K$14+1,0),2),0),0)</f>
        <v/>
      </c>
      <c r="L1022" s="184">
        <f>IF(offer_sale_type="транзит",IFERROR(ROUNDUP(VLOOKUP($B1022,calc_data,L$14+1,0),2),0),0)</f>
        <v/>
      </c>
      <c r="M1022" s="141">
        <f>IF(offer_sale_type="транзит",IFERROR(ROUNDUP(VLOOKUP($B1022,calc_data,M$14+1,0),2),0),0)</f>
        <v/>
      </c>
      <c r="N1022" s="141">
        <f>IF(offer_sale_type="транзит",IFERROR(ROUNDUP(VLOOKUP($B1022,calc_data,N$14+1,0),2),0),0)</f>
        <v/>
      </c>
      <c r="O1022" s="147">
        <f>IF(offer_sale_type="транзит",IFERROR(ROUND(VLOOKUP($B1022,calc_data,O$14+1,1),2),0),0)</f>
        <v/>
      </c>
      <c r="P1022" s="141">
        <f>IF(offer_sale_type="транзит",IFERROR(ROUND(SUM(I1022:J1022,M1022:O1022)/E1022,2),0),0)</f>
        <v/>
      </c>
      <c r="Q1022" s="141">
        <f>E1022*P1022</f>
        <v/>
      </c>
      <c r="R1022" s="141">
        <f>ROUND(Q1022*IF(AND(offer_incoterms="DDP",seller_region="RU"),IF((TODAY()+offer_turnaround_time)&gt;=helpsheet!$L$17,rate_vatRU_from_26,rate_vatRu_till_25),0),2)</f>
        <v/>
      </c>
      <c r="S1022" s="177">
        <f>Q1022+IF(AND(offer_incoterms="DDP",seller_region="RU"),R1022,0)</f>
        <v/>
      </c>
      <c r="T1022" s="45" t="n"/>
      <c r="V1022" s="57">
        <f>IF(Q1022&gt;0,"показать","скрыть")</f>
        <v/>
      </c>
    </row>
    <row r="1023" ht="15.75" customHeight="1">
      <c r="B1023" s="809" t="n">
        <v>1007</v>
      </c>
      <c r="C1023" s="182">
        <f>IF(offer_sale_type="транзит",IFERROR(VLOOKUP($B1023,calc_data,C$14+1,0),0),0)</f>
        <v/>
      </c>
      <c r="D1023" s="280">
        <f>IF(offer_sale_type="транзит",IFERROR(VLOOKUP($B1023,calc_data,D$14+1,0),0),0)</f>
        <v/>
      </c>
      <c r="E1023" s="182">
        <f>IF(offer_sale_type="транзит",IFERROR(VLOOKUP($B1023,calc_data,E$14+1,0),0),0)</f>
        <v/>
      </c>
      <c r="F1023" s="182">
        <f>IF(offer_sale_type="транзит",IFERROR(VLOOKUP($B1023,calc_data,F$14+1,0),0),0)</f>
        <v/>
      </c>
      <c r="G1023" s="141">
        <f>IF(offer_sale_type="транзит",IFERROR(VLOOKUP($B1023,calc_data,G$14+1,0),0),0)</f>
        <v/>
      </c>
      <c r="H1023" s="141">
        <f>E1023*G1023</f>
        <v/>
      </c>
      <c r="I1023" s="141">
        <f>IF(offer_sale_type="транзит",IFERROR(ROUND(VLOOKUP($B1023,calc_data,I$14+1,0),2),0),0)</f>
        <v/>
      </c>
      <c r="J1023" s="141">
        <f>ROUND(IF(offer_sale_type="транзит",IFERROR(VLOOKUP($B1023,calc_data,J$14+1,0),0),0),2)</f>
        <v/>
      </c>
      <c r="K1023" s="142">
        <f>IF(offer_sale_type="транзит",IFERROR(ROUNDUP(VLOOKUP($B1023,calc_data,K$14+1,0),2),0),0)</f>
        <v/>
      </c>
      <c r="L1023" s="184">
        <f>IF(offer_sale_type="транзит",IFERROR(ROUNDUP(VLOOKUP($B1023,calc_data,L$14+1,0),2),0),0)</f>
        <v/>
      </c>
      <c r="M1023" s="141">
        <f>IF(offer_sale_type="транзит",IFERROR(ROUNDUP(VLOOKUP($B1023,calc_data,M$14+1,0),2),0),0)</f>
        <v/>
      </c>
      <c r="N1023" s="141">
        <f>IF(offer_sale_type="транзит",IFERROR(ROUNDUP(VLOOKUP($B1023,calc_data,N$14+1,0),2),0),0)</f>
        <v/>
      </c>
      <c r="O1023" s="147">
        <f>IF(offer_sale_type="транзит",IFERROR(ROUND(VLOOKUP($B1023,calc_data,O$14+1,1),2),0),0)</f>
        <v/>
      </c>
      <c r="P1023" s="141">
        <f>IF(offer_sale_type="транзит",IFERROR(ROUND(SUM(I1023:J1023,M1023:O1023)/E1023,2),0),0)</f>
        <v/>
      </c>
      <c r="Q1023" s="141">
        <f>E1023*P1023</f>
        <v/>
      </c>
      <c r="R1023" s="141">
        <f>ROUND(Q1023*IF(AND(offer_incoterms="DDP",seller_region="RU"),IF((TODAY()+offer_turnaround_time)&gt;=helpsheet!$L$17,rate_vatRU_from_26,rate_vatRu_till_25),0),2)</f>
        <v/>
      </c>
      <c r="S1023" s="177">
        <f>Q1023+IF(AND(offer_incoterms="DDP",seller_region="RU"),R1023,0)</f>
        <v/>
      </c>
      <c r="T1023" s="45" t="n"/>
      <c r="V1023" s="57">
        <f>IF(Q1023&gt;0,"показать","скрыть")</f>
        <v/>
      </c>
    </row>
    <row r="1024" ht="15.75" customHeight="1">
      <c r="B1024" s="809" t="n">
        <v>1008</v>
      </c>
      <c r="C1024" s="182">
        <f>IF(offer_sale_type="транзит",IFERROR(VLOOKUP($B1024,calc_data,C$14+1,0),0),0)</f>
        <v/>
      </c>
      <c r="D1024" s="280">
        <f>IF(offer_sale_type="транзит",IFERROR(VLOOKUP($B1024,calc_data,D$14+1,0),0),0)</f>
        <v/>
      </c>
      <c r="E1024" s="182">
        <f>IF(offer_sale_type="транзит",IFERROR(VLOOKUP($B1024,calc_data,E$14+1,0),0),0)</f>
        <v/>
      </c>
      <c r="F1024" s="182">
        <f>IF(offer_sale_type="транзит",IFERROR(VLOOKUP($B1024,calc_data,F$14+1,0),0),0)</f>
        <v/>
      </c>
      <c r="G1024" s="141">
        <f>IF(offer_sale_type="транзит",IFERROR(VLOOKUP($B1024,calc_data,G$14+1,0),0),0)</f>
        <v/>
      </c>
      <c r="H1024" s="141">
        <f>E1024*G1024</f>
        <v/>
      </c>
      <c r="I1024" s="141">
        <f>IF(offer_sale_type="транзит",IFERROR(ROUND(VLOOKUP($B1024,calc_data,I$14+1,0),2),0),0)</f>
        <v/>
      </c>
      <c r="J1024" s="141">
        <f>ROUND(IF(offer_sale_type="транзит",IFERROR(VLOOKUP($B1024,calc_data,J$14+1,0),0),0),2)</f>
        <v/>
      </c>
      <c r="K1024" s="142">
        <f>IF(offer_sale_type="транзит",IFERROR(ROUNDUP(VLOOKUP($B1024,calc_data,K$14+1,0),2),0),0)</f>
        <v/>
      </c>
      <c r="L1024" s="184">
        <f>IF(offer_sale_type="транзит",IFERROR(ROUNDUP(VLOOKUP($B1024,calc_data,L$14+1,0),2),0),0)</f>
        <v/>
      </c>
      <c r="M1024" s="141">
        <f>IF(offer_sale_type="транзит",IFERROR(ROUNDUP(VLOOKUP($B1024,calc_data,M$14+1,0),2),0),0)</f>
        <v/>
      </c>
      <c r="N1024" s="141">
        <f>IF(offer_sale_type="транзит",IFERROR(ROUNDUP(VLOOKUP($B1024,calc_data,N$14+1,0),2),0),0)</f>
        <v/>
      </c>
      <c r="O1024" s="147">
        <f>IF(offer_sale_type="транзит",IFERROR(ROUND(VLOOKUP($B1024,calc_data,O$14+1,1),2),0),0)</f>
        <v/>
      </c>
      <c r="P1024" s="141">
        <f>IF(offer_sale_type="транзит",IFERROR(ROUND(SUM(I1024:J1024,M1024:O1024)/E1024,2),0),0)</f>
        <v/>
      </c>
      <c r="Q1024" s="141">
        <f>E1024*P1024</f>
        <v/>
      </c>
      <c r="R1024" s="141">
        <f>ROUND(Q1024*IF(AND(offer_incoterms="DDP",seller_region="RU"),IF((TODAY()+offer_turnaround_time)&gt;=helpsheet!$L$17,rate_vatRU_from_26,rate_vatRu_till_25),0),2)</f>
        <v/>
      </c>
      <c r="S1024" s="177">
        <f>Q1024+IF(AND(offer_incoterms="DDP",seller_region="RU"),R1024,0)</f>
        <v/>
      </c>
      <c r="T1024" s="45" t="n"/>
      <c r="V1024" s="57">
        <f>IF(Q1024&gt;0,"показать","скрыть")</f>
        <v/>
      </c>
    </row>
    <row r="1025" ht="15.75" customHeight="1">
      <c r="B1025" s="809" t="n">
        <v>1009</v>
      </c>
      <c r="C1025" s="182">
        <f>IF(offer_sale_type="транзит",IFERROR(VLOOKUP($B1025,calc_data,C$14+1,0),0),0)</f>
        <v/>
      </c>
      <c r="D1025" s="280">
        <f>IF(offer_sale_type="транзит",IFERROR(VLOOKUP($B1025,calc_data,D$14+1,0),0),0)</f>
        <v/>
      </c>
      <c r="E1025" s="182">
        <f>IF(offer_sale_type="транзит",IFERROR(VLOOKUP($B1025,calc_data,E$14+1,0),0),0)</f>
        <v/>
      </c>
      <c r="F1025" s="182">
        <f>IF(offer_sale_type="транзит",IFERROR(VLOOKUP($B1025,calc_data,F$14+1,0),0),0)</f>
        <v/>
      </c>
      <c r="G1025" s="141">
        <f>IF(offer_sale_type="транзит",IFERROR(VLOOKUP($B1025,calc_data,G$14+1,0),0),0)</f>
        <v/>
      </c>
      <c r="H1025" s="141">
        <f>E1025*G1025</f>
        <v/>
      </c>
      <c r="I1025" s="141">
        <f>IF(offer_sale_type="транзит",IFERROR(ROUND(VLOOKUP($B1025,calc_data,I$14+1,0),2),0),0)</f>
        <v/>
      </c>
      <c r="J1025" s="141">
        <f>ROUND(IF(offer_sale_type="транзит",IFERROR(VLOOKUP($B1025,calc_data,J$14+1,0),0),0),2)</f>
        <v/>
      </c>
      <c r="K1025" s="142">
        <f>IF(offer_sale_type="транзит",IFERROR(ROUNDUP(VLOOKUP($B1025,calc_data,K$14+1,0),2),0),0)</f>
        <v/>
      </c>
      <c r="L1025" s="184">
        <f>IF(offer_sale_type="транзит",IFERROR(ROUNDUP(VLOOKUP($B1025,calc_data,L$14+1,0),2),0),0)</f>
        <v/>
      </c>
      <c r="M1025" s="141">
        <f>IF(offer_sale_type="транзит",IFERROR(ROUNDUP(VLOOKUP($B1025,calc_data,M$14+1,0),2),0),0)</f>
        <v/>
      </c>
      <c r="N1025" s="141">
        <f>IF(offer_sale_type="транзит",IFERROR(ROUNDUP(VLOOKUP($B1025,calc_data,N$14+1,0),2),0),0)</f>
        <v/>
      </c>
      <c r="O1025" s="147">
        <f>IF(offer_sale_type="транзит",IFERROR(ROUND(VLOOKUP($B1025,calc_data,O$14+1,1),2),0),0)</f>
        <v/>
      </c>
      <c r="P1025" s="141">
        <f>IF(offer_sale_type="транзит",IFERROR(ROUND(SUM(I1025:J1025,M1025:O1025)/E1025,2),0),0)</f>
        <v/>
      </c>
      <c r="Q1025" s="141">
        <f>E1025*P1025</f>
        <v/>
      </c>
      <c r="R1025" s="141">
        <f>ROUND(Q1025*IF(AND(offer_incoterms="DDP",seller_region="RU"),IF((TODAY()+offer_turnaround_time)&gt;=helpsheet!$L$17,rate_vatRU_from_26,rate_vatRu_till_25),0),2)</f>
        <v/>
      </c>
      <c r="S1025" s="177">
        <f>Q1025+IF(AND(offer_incoterms="DDP",seller_region="RU"),R1025,0)</f>
        <v/>
      </c>
      <c r="T1025" s="45" t="n"/>
      <c r="V1025" s="57">
        <f>IF(Q1025&gt;0,"показать","скрыть")</f>
        <v/>
      </c>
    </row>
    <row r="1026" ht="15.75" customHeight="1">
      <c r="B1026" s="809" t="n">
        <v>1010</v>
      </c>
      <c r="C1026" s="182">
        <f>IF(offer_sale_type="транзит",IFERROR(VLOOKUP($B1026,calc_data,C$14+1,0),0),0)</f>
        <v/>
      </c>
      <c r="D1026" s="280">
        <f>IF(offer_sale_type="транзит",IFERROR(VLOOKUP($B1026,calc_data,D$14+1,0),0),0)</f>
        <v/>
      </c>
      <c r="E1026" s="182">
        <f>IF(offer_sale_type="транзит",IFERROR(VLOOKUP($B1026,calc_data,E$14+1,0),0),0)</f>
        <v/>
      </c>
      <c r="F1026" s="182">
        <f>IF(offer_sale_type="транзит",IFERROR(VLOOKUP($B1026,calc_data,F$14+1,0),0),0)</f>
        <v/>
      </c>
      <c r="G1026" s="141">
        <f>IF(offer_sale_type="транзит",IFERROR(VLOOKUP($B1026,calc_data,G$14+1,0),0),0)</f>
        <v/>
      </c>
      <c r="H1026" s="141">
        <f>E1026*G1026</f>
        <v/>
      </c>
      <c r="I1026" s="141">
        <f>IF(offer_sale_type="транзит",IFERROR(ROUND(VLOOKUP($B1026,calc_data,I$14+1,0),2),0),0)</f>
        <v/>
      </c>
      <c r="J1026" s="141">
        <f>ROUND(IF(offer_sale_type="транзит",IFERROR(VLOOKUP($B1026,calc_data,J$14+1,0),0),0),2)</f>
        <v/>
      </c>
      <c r="K1026" s="142">
        <f>IF(offer_sale_type="транзит",IFERROR(ROUNDUP(VLOOKUP($B1026,calc_data,K$14+1,0),2),0),0)</f>
        <v/>
      </c>
      <c r="L1026" s="184">
        <f>IF(offer_sale_type="транзит",IFERROR(ROUNDUP(VLOOKUP($B1026,calc_data,L$14+1,0),2),0),0)</f>
        <v/>
      </c>
      <c r="M1026" s="141">
        <f>IF(offer_sale_type="транзит",IFERROR(ROUNDUP(VLOOKUP($B1026,calc_data,M$14+1,0),2),0),0)</f>
        <v/>
      </c>
      <c r="N1026" s="141">
        <f>IF(offer_sale_type="транзит",IFERROR(ROUNDUP(VLOOKUP($B1026,calc_data,N$14+1,0),2),0),0)</f>
        <v/>
      </c>
      <c r="O1026" s="147">
        <f>IF(offer_sale_type="транзит",IFERROR(ROUND(VLOOKUP($B1026,calc_data,O$14+1,1),2),0),0)</f>
        <v/>
      </c>
      <c r="P1026" s="141">
        <f>IF(offer_sale_type="транзит",IFERROR(ROUND(SUM(I1026:J1026,M1026:O1026)/E1026,2),0),0)</f>
        <v/>
      </c>
      <c r="Q1026" s="141">
        <f>E1026*P1026</f>
        <v/>
      </c>
      <c r="R1026" s="141">
        <f>ROUND(Q1026*IF(AND(offer_incoterms="DDP",seller_region="RU"),IF((TODAY()+offer_turnaround_time)&gt;=helpsheet!$L$17,rate_vatRU_from_26,rate_vatRu_till_25),0),2)</f>
        <v/>
      </c>
      <c r="S1026" s="177">
        <f>Q1026+IF(AND(offer_incoterms="DDP",seller_region="RU"),R1026,0)</f>
        <v/>
      </c>
      <c r="T1026" s="45" t="n"/>
      <c r="V1026" s="57">
        <f>IF(Q1026&gt;0,"показать","скрыть")</f>
        <v/>
      </c>
    </row>
    <row r="1027" ht="15.75" customHeight="1">
      <c r="B1027" s="809" t="n">
        <v>1011</v>
      </c>
      <c r="C1027" s="182">
        <f>IF(offer_sale_type="транзит",IFERROR(VLOOKUP($B1027,calc_data,C$14+1,0),0),0)</f>
        <v/>
      </c>
      <c r="D1027" s="280">
        <f>IF(offer_sale_type="транзит",IFERROR(VLOOKUP($B1027,calc_data,D$14+1,0),0),0)</f>
        <v/>
      </c>
      <c r="E1027" s="182">
        <f>IF(offer_sale_type="транзит",IFERROR(VLOOKUP($B1027,calc_data,E$14+1,0),0),0)</f>
        <v/>
      </c>
      <c r="F1027" s="182">
        <f>IF(offer_sale_type="транзит",IFERROR(VLOOKUP($B1027,calc_data,F$14+1,0),0),0)</f>
        <v/>
      </c>
      <c r="G1027" s="141">
        <f>IF(offer_sale_type="транзит",IFERROR(VLOOKUP($B1027,calc_data,G$14+1,0),0),0)</f>
        <v/>
      </c>
      <c r="H1027" s="141">
        <f>E1027*G1027</f>
        <v/>
      </c>
      <c r="I1027" s="141">
        <f>IF(offer_sale_type="транзит",IFERROR(ROUND(VLOOKUP($B1027,calc_data,I$14+1,0),2),0),0)</f>
        <v/>
      </c>
      <c r="J1027" s="141">
        <f>ROUND(IF(offer_sale_type="транзит",IFERROR(VLOOKUP($B1027,calc_data,J$14+1,0),0),0),2)</f>
        <v/>
      </c>
      <c r="K1027" s="142">
        <f>IF(offer_sale_type="транзит",IFERROR(ROUNDUP(VLOOKUP($B1027,calc_data,K$14+1,0),2),0),0)</f>
        <v/>
      </c>
      <c r="L1027" s="184">
        <f>IF(offer_sale_type="транзит",IFERROR(ROUNDUP(VLOOKUP($B1027,calc_data,L$14+1,0),2),0),0)</f>
        <v/>
      </c>
      <c r="M1027" s="141">
        <f>IF(offer_sale_type="транзит",IFERROR(ROUNDUP(VLOOKUP($B1027,calc_data,M$14+1,0),2),0),0)</f>
        <v/>
      </c>
      <c r="N1027" s="141">
        <f>IF(offer_sale_type="транзит",IFERROR(ROUNDUP(VLOOKUP($B1027,calc_data,N$14+1,0),2),0),0)</f>
        <v/>
      </c>
      <c r="O1027" s="147">
        <f>IF(offer_sale_type="транзит",IFERROR(ROUND(VLOOKUP($B1027,calc_data,O$14+1,1),2),0),0)</f>
        <v/>
      </c>
      <c r="P1027" s="141">
        <f>IF(offer_sale_type="транзит",IFERROR(ROUND(SUM(I1027:J1027,M1027:O1027)/E1027,2),0),0)</f>
        <v/>
      </c>
      <c r="Q1027" s="141">
        <f>E1027*P1027</f>
        <v/>
      </c>
      <c r="R1027" s="141">
        <f>ROUND(Q1027*IF(AND(offer_incoterms="DDP",seller_region="RU"),IF((TODAY()+offer_turnaround_time)&gt;=helpsheet!$L$17,rate_vatRU_from_26,rate_vatRu_till_25),0),2)</f>
        <v/>
      </c>
      <c r="S1027" s="177">
        <f>Q1027+IF(AND(offer_incoterms="DDP",seller_region="RU"),R1027,0)</f>
        <v/>
      </c>
      <c r="T1027" s="45" t="n"/>
      <c r="V1027" s="57">
        <f>IF(Q1027&gt;0,"показать","скрыть")</f>
        <v/>
      </c>
    </row>
    <row r="1028" ht="15.75" customHeight="1">
      <c r="B1028" s="809" t="n">
        <v>1012</v>
      </c>
      <c r="C1028" s="182">
        <f>IF(offer_sale_type="транзит",IFERROR(VLOOKUP($B1028,calc_data,C$14+1,0),0),0)</f>
        <v/>
      </c>
      <c r="D1028" s="280">
        <f>IF(offer_sale_type="транзит",IFERROR(VLOOKUP($B1028,calc_data,D$14+1,0),0),0)</f>
        <v/>
      </c>
      <c r="E1028" s="182">
        <f>IF(offer_sale_type="транзит",IFERROR(VLOOKUP($B1028,calc_data,E$14+1,0),0),0)</f>
        <v/>
      </c>
      <c r="F1028" s="182">
        <f>IF(offer_sale_type="транзит",IFERROR(VLOOKUP($B1028,calc_data,F$14+1,0),0),0)</f>
        <v/>
      </c>
      <c r="G1028" s="141">
        <f>IF(offer_sale_type="транзит",IFERROR(VLOOKUP($B1028,calc_data,G$14+1,0),0),0)</f>
        <v/>
      </c>
      <c r="H1028" s="141">
        <f>E1028*G1028</f>
        <v/>
      </c>
      <c r="I1028" s="141">
        <f>IF(offer_sale_type="транзит",IFERROR(ROUND(VLOOKUP($B1028,calc_data,I$14+1,0),2),0),0)</f>
        <v/>
      </c>
      <c r="J1028" s="141">
        <f>ROUND(IF(offer_sale_type="транзит",IFERROR(VLOOKUP($B1028,calc_data,J$14+1,0),0),0),2)</f>
        <v/>
      </c>
      <c r="K1028" s="142">
        <f>IF(offer_sale_type="транзит",IFERROR(ROUNDUP(VLOOKUP($B1028,calc_data,K$14+1,0),2),0),0)</f>
        <v/>
      </c>
      <c r="L1028" s="184">
        <f>IF(offer_sale_type="транзит",IFERROR(ROUNDUP(VLOOKUP($B1028,calc_data,L$14+1,0),2),0),0)</f>
        <v/>
      </c>
      <c r="M1028" s="141">
        <f>IF(offer_sale_type="транзит",IFERROR(ROUNDUP(VLOOKUP($B1028,calc_data,M$14+1,0),2),0),0)</f>
        <v/>
      </c>
      <c r="N1028" s="141">
        <f>IF(offer_sale_type="транзит",IFERROR(ROUNDUP(VLOOKUP($B1028,calc_data,N$14+1,0),2),0),0)</f>
        <v/>
      </c>
      <c r="O1028" s="147">
        <f>IF(offer_sale_type="транзит",IFERROR(ROUND(VLOOKUP($B1028,calc_data,O$14+1,1),2),0),0)</f>
        <v/>
      </c>
      <c r="P1028" s="141">
        <f>IF(offer_sale_type="транзит",IFERROR(ROUND(SUM(I1028:J1028,M1028:O1028)/E1028,2),0),0)</f>
        <v/>
      </c>
      <c r="Q1028" s="141">
        <f>E1028*P1028</f>
        <v/>
      </c>
      <c r="R1028" s="141">
        <f>ROUND(Q1028*IF(AND(offer_incoterms="DDP",seller_region="RU"),IF((TODAY()+offer_turnaround_time)&gt;=helpsheet!$L$17,rate_vatRU_from_26,rate_vatRu_till_25),0),2)</f>
        <v/>
      </c>
      <c r="S1028" s="177">
        <f>Q1028+IF(AND(offer_incoterms="DDP",seller_region="RU"),R1028,0)</f>
        <v/>
      </c>
      <c r="T1028" s="45" t="n"/>
      <c r="V1028" s="57">
        <f>IF(Q1028&gt;0,"показать","скрыть")</f>
        <v/>
      </c>
    </row>
    <row r="1029" ht="15.75" customHeight="1">
      <c r="B1029" s="809" t="n">
        <v>1013</v>
      </c>
      <c r="C1029" s="182">
        <f>IF(offer_sale_type="транзит",IFERROR(VLOOKUP($B1029,calc_data,C$14+1,0),0),0)</f>
        <v/>
      </c>
      <c r="D1029" s="280">
        <f>IF(offer_sale_type="транзит",IFERROR(VLOOKUP($B1029,calc_data,D$14+1,0),0),0)</f>
        <v/>
      </c>
      <c r="E1029" s="182">
        <f>IF(offer_sale_type="транзит",IFERROR(VLOOKUP($B1029,calc_data,E$14+1,0),0),0)</f>
        <v/>
      </c>
      <c r="F1029" s="182">
        <f>IF(offer_sale_type="транзит",IFERROR(VLOOKUP($B1029,calc_data,F$14+1,0),0),0)</f>
        <v/>
      </c>
      <c r="G1029" s="141">
        <f>IF(offer_sale_type="транзит",IFERROR(VLOOKUP($B1029,calc_data,G$14+1,0),0),0)</f>
        <v/>
      </c>
      <c r="H1029" s="141">
        <f>E1029*G1029</f>
        <v/>
      </c>
      <c r="I1029" s="141">
        <f>IF(offer_sale_type="транзит",IFERROR(ROUND(VLOOKUP($B1029,calc_data,I$14+1,0),2),0),0)</f>
        <v/>
      </c>
      <c r="J1029" s="141">
        <f>ROUND(IF(offer_sale_type="транзит",IFERROR(VLOOKUP($B1029,calc_data,J$14+1,0),0),0),2)</f>
        <v/>
      </c>
      <c r="K1029" s="142">
        <f>IF(offer_sale_type="транзит",IFERROR(ROUNDUP(VLOOKUP($B1029,calc_data,K$14+1,0),2),0),0)</f>
        <v/>
      </c>
      <c r="L1029" s="184">
        <f>IF(offer_sale_type="транзит",IFERROR(ROUNDUP(VLOOKUP($B1029,calc_data,L$14+1,0),2),0),0)</f>
        <v/>
      </c>
      <c r="M1029" s="141">
        <f>IF(offer_sale_type="транзит",IFERROR(ROUNDUP(VLOOKUP($B1029,calc_data,M$14+1,0),2),0),0)</f>
        <v/>
      </c>
      <c r="N1029" s="141">
        <f>IF(offer_sale_type="транзит",IFERROR(ROUNDUP(VLOOKUP($B1029,calc_data,N$14+1,0),2),0),0)</f>
        <v/>
      </c>
      <c r="O1029" s="147">
        <f>IF(offer_sale_type="транзит",IFERROR(ROUND(VLOOKUP($B1029,calc_data,O$14+1,1),2),0),0)</f>
        <v/>
      </c>
      <c r="P1029" s="141">
        <f>IF(offer_sale_type="транзит",IFERROR(ROUND(SUM(I1029:J1029,M1029:O1029)/E1029,2),0),0)</f>
        <v/>
      </c>
      <c r="Q1029" s="141">
        <f>E1029*P1029</f>
        <v/>
      </c>
      <c r="R1029" s="141">
        <f>ROUND(Q1029*IF(AND(offer_incoterms="DDP",seller_region="RU"),IF((TODAY()+offer_turnaround_time)&gt;=helpsheet!$L$17,rate_vatRU_from_26,rate_vatRu_till_25),0),2)</f>
        <v/>
      </c>
      <c r="S1029" s="177">
        <f>Q1029+IF(AND(offer_incoterms="DDP",seller_region="RU"),R1029,0)</f>
        <v/>
      </c>
      <c r="T1029" s="45" t="n"/>
      <c r="V1029" s="57">
        <f>IF(Q1029&gt;0,"показать","скрыть")</f>
        <v/>
      </c>
    </row>
    <row r="1030" ht="15.75" customHeight="1">
      <c r="B1030" s="809" t="n">
        <v>1014</v>
      </c>
      <c r="C1030" s="182">
        <f>IF(offer_sale_type="транзит",IFERROR(VLOOKUP($B1030,calc_data,C$14+1,0),0),0)</f>
        <v/>
      </c>
      <c r="D1030" s="280">
        <f>IF(offer_sale_type="транзит",IFERROR(VLOOKUP($B1030,calc_data,D$14+1,0),0),0)</f>
        <v/>
      </c>
      <c r="E1030" s="182">
        <f>IF(offer_sale_type="транзит",IFERROR(VLOOKUP($B1030,calc_data,E$14+1,0),0),0)</f>
        <v/>
      </c>
      <c r="F1030" s="182">
        <f>IF(offer_sale_type="транзит",IFERROR(VLOOKUP($B1030,calc_data,F$14+1,0),0),0)</f>
        <v/>
      </c>
      <c r="G1030" s="141">
        <f>IF(offer_sale_type="транзит",IFERROR(VLOOKUP($B1030,calc_data,G$14+1,0),0),0)</f>
        <v/>
      </c>
      <c r="H1030" s="141">
        <f>E1030*G1030</f>
        <v/>
      </c>
      <c r="I1030" s="141">
        <f>IF(offer_sale_type="транзит",IFERROR(ROUND(VLOOKUP($B1030,calc_data,I$14+1,0),2),0),0)</f>
        <v/>
      </c>
      <c r="J1030" s="141">
        <f>ROUND(IF(offer_sale_type="транзит",IFERROR(VLOOKUP($B1030,calc_data,J$14+1,0),0),0),2)</f>
        <v/>
      </c>
      <c r="K1030" s="142">
        <f>IF(offer_sale_type="транзит",IFERROR(ROUNDUP(VLOOKUP($B1030,calc_data,K$14+1,0),2),0),0)</f>
        <v/>
      </c>
      <c r="L1030" s="184">
        <f>IF(offer_sale_type="транзит",IFERROR(ROUNDUP(VLOOKUP($B1030,calc_data,L$14+1,0),2),0),0)</f>
        <v/>
      </c>
      <c r="M1030" s="141">
        <f>IF(offer_sale_type="транзит",IFERROR(ROUNDUP(VLOOKUP($B1030,calc_data,M$14+1,0),2),0),0)</f>
        <v/>
      </c>
      <c r="N1030" s="141">
        <f>IF(offer_sale_type="транзит",IFERROR(ROUNDUP(VLOOKUP($B1030,calc_data,N$14+1,0),2),0),0)</f>
        <v/>
      </c>
      <c r="O1030" s="147">
        <f>IF(offer_sale_type="транзит",IFERROR(ROUND(VLOOKUP($B1030,calc_data,O$14+1,1),2),0),0)</f>
        <v/>
      </c>
      <c r="P1030" s="141">
        <f>IF(offer_sale_type="транзит",IFERROR(ROUND(SUM(I1030:J1030,M1030:O1030)/E1030,2),0),0)</f>
        <v/>
      </c>
      <c r="Q1030" s="141">
        <f>E1030*P1030</f>
        <v/>
      </c>
      <c r="R1030" s="141">
        <f>ROUND(Q1030*IF(AND(offer_incoterms="DDP",seller_region="RU"),IF((TODAY()+offer_turnaround_time)&gt;=helpsheet!$L$17,rate_vatRU_from_26,rate_vatRu_till_25),0),2)</f>
        <v/>
      </c>
      <c r="S1030" s="177">
        <f>Q1030+IF(AND(offer_incoterms="DDP",seller_region="RU"),R1030,0)</f>
        <v/>
      </c>
      <c r="T1030" s="45" t="n"/>
      <c r="V1030" s="57">
        <f>IF(Q1030&gt;0,"показать","скрыть")</f>
        <v/>
      </c>
    </row>
    <row r="1031" ht="15.75" customHeight="1">
      <c r="B1031" s="809" t="n">
        <v>1015</v>
      </c>
      <c r="C1031" s="182">
        <f>IF(offer_sale_type="транзит",IFERROR(VLOOKUP($B1031,calc_data,C$14+1,0),0),0)</f>
        <v/>
      </c>
      <c r="D1031" s="280">
        <f>IF(offer_sale_type="транзит",IFERROR(VLOOKUP($B1031,calc_data,D$14+1,0),0),0)</f>
        <v/>
      </c>
      <c r="E1031" s="182">
        <f>IF(offer_sale_type="транзит",IFERROR(VLOOKUP($B1031,calc_data,E$14+1,0),0),0)</f>
        <v/>
      </c>
      <c r="F1031" s="182">
        <f>IF(offer_sale_type="транзит",IFERROR(VLOOKUP($B1031,calc_data,F$14+1,0),0),0)</f>
        <v/>
      </c>
      <c r="G1031" s="141">
        <f>IF(offer_sale_type="транзит",IFERROR(VLOOKUP($B1031,calc_data,G$14+1,0),0),0)</f>
        <v/>
      </c>
      <c r="H1031" s="141">
        <f>E1031*G1031</f>
        <v/>
      </c>
      <c r="I1031" s="141">
        <f>IF(offer_sale_type="транзит",IFERROR(ROUND(VLOOKUP($B1031,calc_data,I$14+1,0),2),0),0)</f>
        <v/>
      </c>
      <c r="J1031" s="141">
        <f>ROUND(IF(offer_sale_type="транзит",IFERROR(VLOOKUP($B1031,calc_data,J$14+1,0),0),0),2)</f>
        <v/>
      </c>
      <c r="K1031" s="142">
        <f>IF(offer_sale_type="транзит",IFERROR(ROUNDUP(VLOOKUP($B1031,calc_data,K$14+1,0),2),0),0)</f>
        <v/>
      </c>
      <c r="L1031" s="184">
        <f>IF(offer_sale_type="транзит",IFERROR(ROUNDUP(VLOOKUP($B1031,calc_data,L$14+1,0),2),0),0)</f>
        <v/>
      </c>
      <c r="M1031" s="141">
        <f>IF(offer_sale_type="транзит",IFERROR(ROUNDUP(VLOOKUP($B1031,calc_data,M$14+1,0),2),0),0)</f>
        <v/>
      </c>
      <c r="N1031" s="141">
        <f>IF(offer_sale_type="транзит",IFERROR(ROUNDUP(VLOOKUP($B1031,calc_data,N$14+1,0),2),0),0)</f>
        <v/>
      </c>
      <c r="O1031" s="147">
        <f>IF(offer_sale_type="транзит",IFERROR(ROUND(VLOOKUP($B1031,calc_data,O$14+1,1),2),0),0)</f>
        <v/>
      </c>
      <c r="P1031" s="141">
        <f>IF(offer_sale_type="транзит",IFERROR(ROUND(SUM(I1031:J1031,M1031:O1031)/E1031,2),0),0)</f>
        <v/>
      </c>
      <c r="Q1031" s="141">
        <f>E1031*P1031</f>
        <v/>
      </c>
      <c r="R1031" s="141">
        <f>ROUND(Q1031*IF(AND(offer_incoterms="DDP",seller_region="RU"),IF((TODAY()+offer_turnaround_time)&gt;=helpsheet!$L$17,rate_vatRU_from_26,rate_vatRu_till_25),0),2)</f>
        <v/>
      </c>
      <c r="S1031" s="177">
        <f>Q1031+IF(AND(offer_incoterms="DDP",seller_region="RU"),R1031,0)</f>
        <v/>
      </c>
      <c r="T1031" s="45" t="n"/>
      <c r="V1031" s="57">
        <f>IF(Q1031&gt;0,"показать","скрыть")</f>
        <v/>
      </c>
    </row>
    <row r="1032" ht="15.75" customHeight="1">
      <c r="B1032" s="809" t="n">
        <v>1016</v>
      </c>
      <c r="C1032" s="182">
        <f>IF(offer_sale_type="транзит",IFERROR(VLOOKUP($B1032,calc_data,C$14+1,0),0),0)</f>
        <v/>
      </c>
      <c r="D1032" s="280">
        <f>IF(offer_sale_type="транзит",IFERROR(VLOOKUP($B1032,calc_data,D$14+1,0),0),0)</f>
        <v/>
      </c>
      <c r="E1032" s="182">
        <f>IF(offer_sale_type="транзит",IFERROR(VLOOKUP($B1032,calc_data,E$14+1,0),0),0)</f>
        <v/>
      </c>
      <c r="F1032" s="182">
        <f>IF(offer_sale_type="транзит",IFERROR(VLOOKUP($B1032,calc_data,F$14+1,0),0),0)</f>
        <v/>
      </c>
      <c r="G1032" s="141">
        <f>IF(offer_sale_type="транзит",IFERROR(VLOOKUP($B1032,calc_data,G$14+1,0),0),0)</f>
        <v/>
      </c>
      <c r="H1032" s="141">
        <f>E1032*G1032</f>
        <v/>
      </c>
      <c r="I1032" s="141">
        <f>IF(offer_sale_type="транзит",IFERROR(ROUND(VLOOKUP($B1032,calc_data,I$14+1,0),2),0),0)</f>
        <v/>
      </c>
      <c r="J1032" s="141">
        <f>ROUND(IF(offer_sale_type="транзит",IFERROR(VLOOKUP($B1032,calc_data,J$14+1,0),0),0),2)</f>
        <v/>
      </c>
      <c r="K1032" s="142">
        <f>IF(offer_sale_type="транзит",IFERROR(ROUNDUP(VLOOKUP($B1032,calc_data,K$14+1,0),2),0),0)</f>
        <v/>
      </c>
      <c r="L1032" s="184">
        <f>IF(offer_sale_type="транзит",IFERROR(ROUNDUP(VLOOKUP($B1032,calc_data,L$14+1,0),2),0),0)</f>
        <v/>
      </c>
      <c r="M1032" s="141">
        <f>IF(offer_sale_type="транзит",IFERROR(ROUNDUP(VLOOKUP($B1032,calc_data,M$14+1,0),2),0),0)</f>
        <v/>
      </c>
      <c r="N1032" s="141">
        <f>IF(offer_sale_type="транзит",IFERROR(ROUNDUP(VLOOKUP($B1032,calc_data,N$14+1,0),2),0),0)</f>
        <v/>
      </c>
      <c r="O1032" s="147">
        <f>IF(offer_sale_type="транзит",IFERROR(ROUND(VLOOKUP($B1032,calc_data,O$14+1,1),2),0),0)</f>
        <v/>
      </c>
      <c r="P1032" s="141">
        <f>IF(offer_sale_type="транзит",IFERROR(ROUND(SUM(I1032:J1032,M1032:O1032)/E1032,2),0),0)</f>
        <v/>
      </c>
      <c r="Q1032" s="141">
        <f>E1032*P1032</f>
        <v/>
      </c>
      <c r="R1032" s="141">
        <f>ROUND(Q1032*IF(AND(offer_incoterms="DDP",seller_region="RU"),IF((TODAY()+offer_turnaround_time)&gt;=helpsheet!$L$17,rate_vatRU_from_26,rate_vatRu_till_25),0),2)</f>
        <v/>
      </c>
      <c r="S1032" s="177">
        <f>Q1032+IF(AND(offer_incoterms="DDP",seller_region="RU"),R1032,0)</f>
        <v/>
      </c>
      <c r="T1032" s="45" t="n"/>
      <c r="V1032" s="57">
        <f>IF(Q1032&gt;0,"показать","скрыть")</f>
        <v/>
      </c>
    </row>
    <row r="1033" ht="15.75" customHeight="1">
      <c r="B1033" s="809" t="n">
        <v>1017</v>
      </c>
      <c r="C1033" s="182">
        <f>IF(offer_sale_type="транзит",IFERROR(VLOOKUP($B1033,calc_data,C$14+1,0),0),0)</f>
        <v/>
      </c>
      <c r="D1033" s="280">
        <f>IF(offer_sale_type="транзит",IFERROR(VLOOKUP($B1033,calc_data,D$14+1,0),0),0)</f>
        <v/>
      </c>
      <c r="E1033" s="182">
        <f>IF(offer_sale_type="транзит",IFERROR(VLOOKUP($B1033,calc_data,E$14+1,0),0),0)</f>
        <v/>
      </c>
      <c r="F1033" s="182">
        <f>IF(offer_sale_type="транзит",IFERROR(VLOOKUP($B1033,calc_data,F$14+1,0),0),0)</f>
        <v/>
      </c>
      <c r="G1033" s="141">
        <f>IF(offer_sale_type="транзит",IFERROR(VLOOKUP($B1033,calc_data,G$14+1,0),0),0)</f>
        <v/>
      </c>
      <c r="H1033" s="141">
        <f>E1033*G1033</f>
        <v/>
      </c>
      <c r="I1033" s="141">
        <f>IF(offer_sale_type="транзит",IFERROR(ROUND(VLOOKUP($B1033,calc_data,I$14+1,0),2),0),0)</f>
        <v/>
      </c>
      <c r="J1033" s="141">
        <f>ROUND(IF(offer_sale_type="транзит",IFERROR(VLOOKUP($B1033,calc_data,J$14+1,0),0),0),2)</f>
        <v/>
      </c>
      <c r="K1033" s="142">
        <f>IF(offer_sale_type="транзит",IFERROR(ROUNDUP(VLOOKUP($B1033,calc_data,K$14+1,0),2),0),0)</f>
        <v/>
      </c>
      <c r="L1033" s="184">
        <f>IF(offer_sale_type="транзит",IFERROR(ROUNDUP(VLOOKUP($B1033,calc_data,L$14+1,0),2),0),0)</f>
        <v/>
      </c>
      <c r="M1033" s="141">
        <f>IF(offer_sale_type="транзит",IFERROR(ROUNDUP(VLOOKUP($B1033,calc_data,M$14+1,0),2),0),0)</f>
        <v/>
      </c>
      <c r="N1033" s="141">
        <f>IF(offer_sale_type="транзит",IFERROR(ROUNDUP(VLOOKUP($B1033,calc_data,N$14+1,0),2),0),0)</f>
        <v/>
      </c>
      <c r="O1033" s="147">
        <f>IF(offer_sale_type="транзит",IFERROR(ROUND(VLOOKUP($B1033,calc_data,O$14+1,1),2),0),0)</f>
        <v/>
      </c>
      <c r="P1033" s="141">
        <f>IF(offer_sale_type="транзит",IFERROR(ROUND(SUM(I1033:J1033,M1033:O1033)/E1033,2),0),0)</f>
        <v/>
      </c>
      <c r="Q1033" s="141">
        <f>E1033*P1033</f>
        <v/>
      </c>
      <c r="R1033" s="141">
        <f>ROUND(Q1033*IF(AND(offer_incoterms="DDP",seller_region="RU"),IF((TODAY()+offer_turnaround_time)&gt;=helpsheet!$L$17,rate_vatRU_from_26,rate_vatRu_till_25),0),2)</f>
        <v/>
      </c>
      <c r="S1033" s="177">
        <f>Q1033+IF(AND(offer_incoterms="DDP",seller_region="RU"),R1033,0)</f>
        <v/>
      </c>
      <c r="T1033" s="45" t="n"/>
      <c r="V1033" s="57">
        <f>IF(Q1033&gt;0,"показать","скрыть")</f>
        <v/>
      </c>
    </row>
    <row r="1034" ht="15.75" customHeight="1">
      <c r="B1034" s="809" t="n">
        <v>1018</v>
      </c>
      <c r="C1034" s="182">
        <f>IF(offer_sale_type="транзит",IFERROR(VLOOKUP($B1034,calc_data,C$14+1,0),0),0)</f>
        <v/>
      </c>
      <c r="D1034" s="280">
        <f>IF(offer_sale_type="транзит",IFERROR(VLOOKUP($B1034,calc_data,D$14+1,0),0),0)</f>
        <v/>
      </c>
      <c r="E1034" s="182">
        <f>IF(offer_sale_type="транзит",IFERROR(VLOOKUP($B1034,calc_data,E$14+1,0),0),0)</f>
        <v/>
      </c>
      <c r="F1034" s="182">
        <f>IF(offer_sale_type="транзит",IFERROR(VLOOKUP($B1034,calc_data,F$14+1,0),0),0)</f>
        <v/>
      </c>
      <c r="G1034" s="141">
        <f>IF(offer_sale_type="транзит",IFERROR(VLOOKUP($B1034,calc_data,G$14+1,0),0),0)</f>
        <v/>
      </c>
      <c r="H1034" s="141">
        <f>E1034*G1034</f>
        <v/>
      </c>
      <c r="I1034" s="141">
        <f>IF(offer_sale_type="транзит",IFERROR(ROUND(VLOOKUP($B1034,calc_data,I$14+1,0),2),0),0)</f>
        <v/>
      </c>
      <c r="J1034" s="141">
        <f>ROUND(IF(offer_sale_type="транзит",IFERROR(VLOOKUP($B1034,calc_data,J$14+1,0),0),0),2)</f>
        <v/>
      </c>
      <c r="K1034" s="142">
        <f>IF(offer_sale_type="транзит",IFERROR(ROUNDUP(VLOOKUP($B1034,calc_data,K$14+1,0),2),0),0)</f>
        <v/>
      </c>
      <c r="L1034" s="184">
        <f>IF(offer_sale_type="транзит",IFERROR(ROUNDUP(VLOOKUP($B1034,calc_data,L$14+1,0),2),0),0)</f>
        <v/>
      </c>
      <c r="M1034" s="141">
        <f>IF(offer_sale_type="транзит",IFERROR(ROUNDUP(VLOOKUP($B1034,calc_data,M$14+1,0),2),0),0)</f>
        <v/>
      </c>
      <c r="N1034" s="141">
        <f>IF(offer_sale_type="транзит",IFERROR(ROUNDUP(VLOOKUP($B1034,calc_data,N$14+1,0),2),0),0)</f>
        <v/>
      </c>
      <c r="O1034" s="147">
        <f>IF(offer_sale_type="транзит",IFERROR(ROUND(VLOOKUP($B1034,calc_data,O$14+1,1),2),0),0)</f>
        <v/>
      </c>
      <c r="P1034" s="141">
        <f>IF(offer_sale_type="транзит",IFERROR(ROUND(SUM(I1034:J1034,M1034:O1034)/E1034,2),0),0)</f>
        <v/>
      </c>
      <c r="Q1034" s="141">
        <f>E1034*P1034</f>
        <v/>
      </c>
      <c r="R1034" s="141">
        <f>ROUND(Q1034*IF(AND(offer_incoterms="DDP",seller_region="RU"),IF((TODAY()+offer_turnaround_time)&gt;=helpsheet!$L$17,rate_vatRU_from_26,rate_vatRu_till_25),0),2)</f>
        <v/>
      </c>
      <c r="S1034" s="177">
        <f>Q1034+IF(AND(offer_incoterms="DDP",seller_region="RU"),R1034,0)</f>
        <v/>
      </c>
      <c r="T1034" s="45" t="n"/>
      <c r="V1034" s="57">
        <f>IF(Q1034&gt;0,"показать","скрыть")</f>
        <v/>
      </c>
    </row>
    <row r="1035" ht="15.75" customHeight="1">
      <c r="B1035" s="809" t="n">
        <v>1019</v>
      </c>
      <c r="C1035" s="182">
        <f>IF(offer_sale_type="транзит",IFERROR(VLOOKUP($B1035,calc_data,C$14+1,0),0),0)</f>
        <v/>
      </c>
      <c r="D1035" s="280">
        <f>IF(offer_sale_type="транзит",IFERROR(VLOOKUP($B1035,calc_data,D$14+1,0),0),0)</f>
        <v/>
      </c>
      <c r="E1035" s="182">
        <f>IF(offer_sale_type="транзит",IFERROR(VLOOKUP($B1035,calc_data,E$14+1,0),0),0)</f>
        <v/>
      </c>
      <c r="F1035" s="182">
        <f>IF(offer_sale_type="транзит",IFERROR(VLOOKUP($B1035,calc_data,F$14+1,0),0),0)</f>
        <v/>
      </c>
      <c r="G1035" s="141">
        <f>IF(offer_sale_type="транзит",IFERROR(VLOOKUP($B1035,calc_data,G$14+1,0),0),0)</f>
        <v/>
      </c>
      <c r="H1035" s="141">
        <f>E1035*G1035</f>
        <v/>
      </c>
      <c r="I1035" s="141">
        <f>IF(offer_sale_type="транзит",IFERROR(ROUND(VLOOKUP($B1035,calc_data,I$14+1,0),2),0),0)</f>
        <v/>
      </c>
      <c r="J1035" s="141">
        <f>ROUND(IF(offer_sale_type="транзит",IFERROR(VLOOKUP($B1035,calc_data,J$14+1,0),0),0),2)</f>
        <v/>
      </c>
      <c r="K1035" s="142">
        <f>IF(offer_sale_type="транзит",IFERROR(ROUNDUP(VLOOKUP($B1035,calc_data,K$14+1,0),2),0),0)</f>
        <v/>
      </c>
      <c r="L1035" s="184">
        <f>IF(offer_sale_type="транзит",IFERROR(ROUNDUP(VLOOKUP($B1035,calc_data,L$14+1,0),2),0),0)</f>
        <v/>
      </c>
      <c r="M1035" s="141">
        <f>IF(offer_sale_type="транзит",IFERROR(ROUNDUP(VLOOKUP($B1035,calc_data,M$14+1,0),2),0),0)</f>
        <v/>
      </c>
      <c r="N1035" s="141">
        <f>IF(offer_sale_type="транзит",IFERROR(ROUNDUP(VLOOKUP($B1035,calc_data,N$14+1,0),2),0),0)</f>
        <v/>
      </c>
      <c r="O1035" s="147">
        <f>IF(offer_sale_type="транзит",IFERROR(ROUND(VLOOKUP($B1035,calc_data,O$14+1,1),2),0),0)</f>
        <v/>
      </c>
      <c r="P1035" s="141">
        <f>IF(offer_sale_type="транзит",IFERROR(ROUND(SUM(I1035:J1035,M1035:O1035)/E1035,2),0),0)</f>
        <v/>
      </c>
      <c r="Q1035" s="141">
        <f>E1035*P1035</f>
        <v/>
      </c>
      <c r="R1035" s="141">
        <f>ROUND(Q1035*IF(AND(offer_incoterms="DDP",seller_region="RU"),IF((TODAY()+offer_turnaround_time)&gt;=helpsheet!$L$17,rate_vatRU_from_26,rate_vatRu_till_25),0),2)</f>
        <v/>
      </c>
      <c r="S1035" s="177">
        <f>Q1035+IF(AND(offer_incoterms="DDP",seller_region="RU"),R1035,0)</f>
        <v/>
      </c>
      <c r="T1035" s="45" t="n"/>
      <c r="V1035" s="57">
        <f>IF(Q1035&gt;0,"показать","скрыть")</f>
        <v/>
      </c>
    </row>
    <row r="1036" ht="15.75" customHeight="1">
      <c r="B1036" s="809" t="n">
        <v>1020</v>
      </c>
      <c r="C1036" s="182">
        <f>IF(offer_sale_type="транзит",IFERROR(VLOOKUP($B1036,calc_data,C$14+1,0),0),0)</f>
        <v/>
      </c>
      <c r="D1036" s="280">
        <f>IF(offer_sale_type="транзит",IFERROR(VLOOKUP($B1036,calc_data,D$14+1,0),0),0)</f>
        <v/>
      </c>
      <c r="E1036" s="182">
        <f>IF(offer_sale_type="транзит",IFERROR(VLOOKUP($B1036,calc_data,E$14+1,0),0),0)</f>
        <v/>
      </c>
      <c r="F1036" s="182">
        <f>IF(offer_sale_type="транзит",IFERROR(VLOOKUP($B1036,calc_data,F$14+1,0),0),0)</f>
        <v/>
      </c>
      <c r="G1036" s="141">
        <f>IF(offer_sale_type="транзит",IFERROR(VLOOKUP($B1036,calc_data,G$14+1,0),0),0)</f>
        <v/>
      </c>
      <c r="H1036" s="141">
        <f>E1036*G1036</f>
        <v/>
      </c>
      <c r="I1036" s="141">
        <f>IF(offer_sale_type="транзит",IFERROR(ROUND(VLOOKUP($B1036,calc_data,I$14+1,0),2),0),0)</f>
        <v/>
      </c>
      <c r="J1036" s="141">
        <f>ROUND(IF(offer_sale_type="транзит",IFERROR(VLOOKUP($B1036,calc_data,J$14+1,0),0),0),2)</f>
        <v/>
      </c>
      <c r="K1036" s="142">
        <f>IF(offer_sale_type="транзит",IFERROR(ROUNDUP(VLOOKUP($B1036,calc_data,K$14+1,0),2),0),0)</f>
        <v/>
      </c>
      <c r="L1036" s="184">
        <f>IF(offer_sale_type="транзит",IFERROR(ROUNDUP(VLOOKUP($B1036,calc_data,L$14+1,0),2),0),0)</f>
        <v/>
      </c>
      <c r="M1036" s="141">
        <f>IF(offer_sale_type="транзит",IFERROR(ROUNDUP(VLOOKUP($B1036,calc_data,M$14+1,0),2),0),0)</f>
        <v/>
      </c>
      <c r="N1036" s="141">
        <f>IF(offer_sale_type="транзит",IFERROR(ROUNDUP(VLOOKUP($B1036,calc_data,N$14+1,0),2),0),0)</f>
        <v/>
      </c>
      <c r="O1036" s="147">
        <f>IF(offer_sale_type="транзит",IFERROR(ROUND(VLOOKUP($B1036,calc_data,O$14+1,1),2),0),0)</f>
        <v/>
      </c>
      <c r="P1036" s="141">
        <f>IF(offer_sale_type="транзит",IFERROR(ROUND(SUM(I1036:J1036,M1036:O1036)/E1036,2),0),0)</f>
        <v/>
      </c>
      <c r="Q1036" s="141">
        <f>E1036*P1036</f>
        <v/>
      </c>
      <c r="R1036" s="141">
        <f>ROUND(Q1036*IF(AND(offer_incoterms="DDP",seller_region="RU"),IF((TODAY()+offer_turnaround_time)&gt;=helpsheet!$L$17,rate_vatRU_from_26,rate_vatRu_till_25),0),2)</f>
        <v/>
      </c>
      <c r="S1036" s="177">
        <f>Q1036+IF(AND(offer_incoterms="DDP",seller_region="RU"),R1036,0)</f>
        <v/>
      </c>
      <c r="T1036" s="45" t="n"/>
      <c r="V1036" s="57">
        <f>IF(Q1036&gt;0,"показать","скрыть")</f>
        <v/>
      </c>
    </row>
    <row r="1037" ht="15.75" customHeight="1">
      <c r="B1037" s="809" t="n">
        <v>1021</v>
      </c>
      <c r="C1037" s="182">
        <f>IF(offer_sale_type="транзит",IFERROR(VLOOKUP($B1037,calc_data,C$14+1,0),0),0)</f>
        <v/>
      </c>
      <c r="D1037" s="280">
        <f>IF(offer_sale_type="транзит",IFERROR(VLOOKUP($B1037,calc_data,D$14+1,0),0),0)</f>
        <v/>
      </c>
      <c r="E1037" s="182">
        <f>IF(offer_sale_type="транзит",IFERROR(VLOOKUP($B1037,calc_data,E$14+1,0),0),0)</f>
        <v/>
      </c>
      <c r="F1037" s="182">
        <f>IF(offer_sale_type="транзит",IFERROR(VLOOKUP($B1037,calc_data,F$14+1,0),0),0)</f>
        <v/>
      </c>
      <c r="G1037" s="141">
        <f>IF(offer_sale_type="транзит",IFERROR(VLOOKUP($B1037,calc_data,G$14+1,0),0),0)</f>
        <v/>
      </c>
      <c r="H1037" s="141">
        <f>E1037*G1037</f>
        <v/>
      </c>
      <c r="I1037" s="141">
        <f>IF(offer_sale_type="транзит",IFERROR(ROUND(VLOOKUP($B1037,calc_data,I$14+1,0),2),0),0)</f>
        <v/>
      </c>
      <c r="J1037" s="141">
        <f>ROUND(IF(offer_sale_type="транзит",IFERROR(VLOOKUP($B1037,calc_data,J$14+1,0),0),0),2)</f>
        <v/>
      </c>
      <c r="K1037" s="142">
        <f>IF(offer_sale_type="транзит",IFERROR(ROUNDUP(VLOOKUP($B1037,calc_data,K$14+1,0),2),0),0)</f>
        <v/>
      </c>
      <c r="L1037" s="184">
        <f>IF(offer_sale_type="транзит",IFERROR(ROUNDUP(VLOOKUP($B1037,calc_data,L$14+1,0),2),0),0)</f>
        <v/>
      </c>
      <c r="M1037" s="141">
        <f>IF(offer_sale_type="транзит",IFERROR(ROUNDUP(VLOOKUP($B1037,calc_data,M$14+1,0),2),0),0)</f>
        <v/>
      </c>
      <c r="N1037" s="141">
        <f>IF(offer_sale_type="транзит",IFERROR(ROUNDUP(VLOOKUP($B1037,calc_data,N$14+1,0),2),0),0)</f>
        <v/>
      </c>
      <c r="O1037" s="147">
        <f>IF(offer_sale_type="транзит",IFERROR(ROUND(VLOOKUP($B1037,calc_data,O$14+1,1),2),0),0)</f>
        <v/>
      </c>
      <c r="P1037" s="141">
        <f>IF(offer_sale_type="транзит",IFERROR(ROUND(SUM(I1037:J1037,M1037:O1037)/E1037,2),0),0)</f>
        <v/>
      </c>
      <c r="Q1037" s="141">
        <f>E1037*P1037</f>
        <v/>
      </c>
      <c r="R1037" s="141">
        <f>ROUND(Q1037*IF(AND(offer_incoterms="DDP",seller_region="RU"),IF((TODAY()+offer_turnaround_time)&gt;=helpsheet!$L$17,rate_vatRU_from_26,rate_vatRu_till_25),0),2)</f>
        <v/>
      </c>
      <c r="S1037" s="177">
        <f>Q1037+IF(AND(offer_incoterms="DDP",seller_region="RU"),R1037,0)</f>
        <v/>
      </c>
      <c r="T1037" s="45" t="n"/>
      <c r="V1037" s="57">
        <f>IF(Q1037&gt;0,"показать","скрыть")</f>
        <v/>
      </c>
    </row>
    <row r="1038" ht="15.75" customHeight="1">
      <c r="B1038" s="809" t="n">
        <v>1022</v>
      </c>
      <c r="C1038" s="182">
        <f>IF(offer_sale_type="транзит",IFERROR(VLOOKUP($B1038,calc_data,C$14+1,0),0),0)</f>
        <v/>
      </c>
      <c r="D1038" s="280">
        <f>IF(offer_sale_type="транзит",IFERROR(VLOOKUP($B1038,calc_data,D$14+1,0),0),0)</f>
        <v/>
      </c>
      <c r="E1038" s="182">
        <f>IF(offer_sale_type="транзит",IFERROR(VLOOKUP($B1038,calc_data,E$14+1,0),0),0)</f>
        <v/>
      </c>
      <c r="F1038" s="182">
        <f>IF(offer_sale_type="транзит",IFERROR(VLOOKUP($B1038,calc_data,F$14+1,0),0),0)</f>
        <v/>
      </c>
      <c r="G1038" s="141">
        <f>IF(offer_sale_type="транзит",IFERROR(VLOOKUP($B1038,calc_data,G$14+1,0),0),0)</f>
        <v/>
      </c>
      <c r="H1038" s="141">
        <f>E1038*G1038</f>
        <v/>
      </c>
      <c r="I1038" s="141">
        <f>IF(offer_sale_type="транзит",IFERROR(ROUND(VLOOKUP($B1038,calc_data,I$14+1,0),2),0),0)</f>
        <v/>
      </c>
      <c r="J1038" s="141">
        <f>ROUND(IF(offer_sale_type="транзит",IFERROR(VLOOKUP($B1038,calc_data,J$14+1,0),0),0),2)</f>
        <v/>
      </c>
      <c r="K1038" s="142">
        <f>IF(offer_sale_type="транзит",IFERROR(ROUNDUP(VLOOKUP($B1038,calc_data,K$14+1,0),2),0),0)</f>
        <v/>
      </c>
      <c r="L1038" s="184">
        <f>IF(offer_sale_type="транзит",IFERROR(ROUNDUP(VLOOKUP($B1038,calc_data,L$14+1,0),2),0),0)</f>
        <v/>
      </c>
      <c r="M1038" s="141">
        <f>IF(offer_sale_type="транзит",IFERROR(ROUNDUP(VLOOKUP($B1038,calc_data,M$14+1,0),2),0),0)</f>
        <v/>
      </c>
      <c r="N1038" s="141">
        <f>IF(offer_sale_type="транзит",IFERROR(ROUNDUP(VLOOKUP($B1038,calc_data,N$14+1,0),2),0),0)</f>
        <v/>
      </c>
      <c r="O1038" s="147">
        <f>IF(offer_sale_type="транзит",IFERROR(ROUND(VLOOKUP($B1038,calc_data,O$14+1,1),2),0),0)</f>
        <v/>
      </c>
      <c r="P1038" s="141">
        <f>IF(offer_sale_type="транзит",IFERROR(ROUND(SUM(I1038:J1038,M1038:O1038)/E1038,2),0),0)</f>
        <v/>
      </c>
      <c r="Q1038" s="141">
        <f>E1038*P1038</f>
        <v/>
      </c>
      <c r="R1038" s="141">
        <f>ROUND(Q1038*IF(AND(offer_incoterms="DDP",seller_region="RU"),IF((TODAY()+offer_turnaround_time)&gt;=helpsheet!$L$17,rate_vatRU_from_26,rate_vatRu_till_25),0),2)</f>
        <v/>
      </c>
      <c r="S1038" s="177">
        <f>Q1038+IF(AND(offer_incoterms="DDP",seller_region="RU"),R1038,0)</f>
        <v/>
      </c>
      <c r="T1038" s="45" t="n"/>
      <c r="V1038" s="57">
        <f>IF(Q1038&gt;0,"показать","скрыть")</f>
        <v/>
      </c>
    </row>
    <row r="1039" ht="15.75" customHeight="1">
      <c r="B1039" s="809" t="n">
        <v>1023</v>
      </c>
      <c r="C1039" s="182">
        <f>IF(offer_sale_type="транзит",IFERROR(VLOOKUP($B1039,calc_data,C$14+1,0),0),0)</f>
        <v/>
      </c>
      <c r="D1039" s="280">
        <f>IF(offer_sale_type="транзит",IFERROR(VLOOKUP($B1039,calc_data,D$14+1,0),0),0)</f>
        <v/>
      </c>
      <c r="E1039" s="182">
        <f>IF(offer_sale_type="транзит",IFERROR(VLOOKUP($B1039,calc_data,E$14+1,0),0),0)</f>
        <v/>
      </c>
      <c r="F1039" s="182">
        <f>IF(offer_sale_type="транзит",IFERROR(VLOOKUP($B1039,calc_data,F$14+1,0),0),0)</f>
        <v/>
      </c>
      <c r="G1039" s="141">
        <f>IF(offer_sale_type="транзит",IFERROR(VLOOKUP($B1039,calc_data,G$14+1,0),0),0)</f>
        <v/>
      </c>
      <c r="H1039" s="141">
        <f>E1039*G1039</f>
        <v/>
      </c>
      <c r="I1039" s="141">
        <f>IF(offer_sale_type="транзит",IFERROR(ROUND(VLOOKUP($B1039,calc_data,I$14+1,0),2),0),0)</f>
        <v/>
      </c>
      <c r="J1039" s="141">
        <f>ROUND(IF(offer_sale_type="транзит",IFERROR(VLOOKUP($B1039,calc_data,J$14+1,0),0),0),2)</f>
        <v/>
      </c>
      <c r="K1039" s="142">
        <f>IF(offer_sale_type="транзит",IFERROR(ROUNDUP(VLOOKUP($B1039,calc_data,K$14+1,0),2),0),0)</f>
        <v/>
      </c>
      <c r="L1039" s="184">
        <f>IF(offer_sale_type="транзит",IFERROR(ROUNDUP(VLOOKUP($B1039,calc_data,L$14+1,0),2),0),0)</f>
        <v/>
      </c>
      <c r="M1039" s="141">
        <f>IF(offer_sale_type="транзит",IFERROR(ROUNDUP(VLOOKUP($B1039,calc_data,M$14+1,0),2),0),0)</f>
        <v/>
      </c>
      <c r="N1039" s="141">
        <f>IF(offer_sale_type="транзит",IFERROR(ROUNDUP(VLOOKUP($B1039,calc_data,N$14+1,0),2),0),0)</f>
        <v/>
      </c>
      <c r="O1039" s="147">
        <f>IF(offer_sale_type="транзит",IFERROR(ROUND(VLOOKUP($B1039,calc_data,O$14+1,1),2),0),0)</f>
        <v/>
      </c>
      <c r="P1039" s="141">
        <f>IF(offer_sale_type="транзит",IFERROR(ROUND(SUM(I1039:J1039,M1039:O1039)/E1039,2),0),0)</f>
        <v/>
      </c>
      <c r="Q1039" s="141">
        <f>E1039*P1039</f>
        <v/>
      </c>
      <c r="R1039" s="141">
        <f>ROUND(Q1039*IF(AND(offer_incoterms="DDP",seller_region="RU"),IF((TODAY()+offer_turnaround_time)&gt;=helpsheet!$L$17,rate_vatRU_from_26,rate_vatRu_till_25),0),2)</f>
        <v/>
      </c>
      <c r="S1039" s="177">
        <f>Q1039+IF(AND(offer_incoterms="DDP",seller_region="RU"),R1039,0)</f>
        <v/>
      </c>
      <c r="T1039" s="45" t="n"/>
      <c r="V1039" s="57">
        <f>IF(Q1039&gt;0,"показать","скрыть")</f>
        <v/>
      </c>
    </row>
    <row r="1040" ht="15.75" customHeight="1">
      <c r="B1040" s="809" t="n">
        <v>1024</v>
      </c>
      <c r="C1040" s="182">
        <f>IF(offer_sale_type="транзит",IFERROR(VLOOKUP($B1040,calc_data,C$14+1,0),0),0)</f>
        <v/>
      </c>
      <c r="D1040" s="280">
        <f>IF(offer_sale_type="транзит",IFERROR(VLOOKUP($B1040,calc_data,D$14+1,0),0),0)</f>
        <v/>
      </c>
      <c r="E1040" s="182">
        <f>IF(offer_sale_type="транзит",IFERROR(VLOOKUP($B1040,calc_data,E$14+1,0),0),0)</f>
        <v/>
      </c>
      <c r="F1040" s="182">
        <f>IF(offer_sale_type="транзит",IFERROR(VLOOKUP($B1040,calc_data,F$14+1,0),0),0)</f>
        <v/>
      </c>
      <c r="G1040" s="141">
        <f>IF(offer_sale_type="транзит",IFERROR(VLOOKUP($B1040,calc_data,G$14+1,0),0),0)</f>
        <v/>
      </c>
      <c r="H1040" s="141">
        <f>E1040*G1040</f>
        <v/>
      </c>
      <c r="I1040" s="141">
        <f>IF(offer_sale_type="транзит",IFERROR(ROUND(VLOOKUP($B1040,calc_data,I$14+1,0),2),0),0)</f>
        <v/>
      </c>
      <c r="J1040" s="141">
        <f>ROUND(IF(offer_sale_type="транзит",IFERROR(VLOOKUP($B1040,calc_data,J$14+1,0),0),0),2)</f>
        <v/>
      </c>
      <c r="K1040" s="142">
        <f>IF(offer_sale_type="транзит",IFERROR(ROUNDUP(VLOOKUP($B1040,calc_data,K$14+1,0),2),0),0)</f>
        <v/>
      </c>
      <c r="L1040" s="184">
        <f>IF(offer_sale_type="транзит",IFERROR(ROUNDUP(VLOOKUP($B1040,calc_data,L$14+1,0),2),0),0)</f>
        <v/>
      </c>
      <c r="M1040" s="141">
        <f>IF(offer_sale_type="транзит",IFERROR(ROUNDUP(VLOOKUP($B1040,calc_data,M$14+1,0),2),0),0)</f>
        <v/>
      </c>
      <c r="N1040" s="141">
        <f>IF(offer_sale_type="транзит",IFERROR(ROUNDUP(VLOOKUP($B1040,calc_data,N$14+1,0),2),0),0)</f>
        <v/>
      </c>
      <c r="O1040" s="147">
        <f>IF(offer_sale_type="транзит",IFERROR(ROUND(VLOOKUP($B1040,calc_data,O$14+1,1),2),0),0)</f>
        <v/>
      </c>
      <c r="P1040" s="141">
        <f>IF(offer_sale_type="транзит",IFERROR(ROUND(SUM(I1040:J1040,M1040:O1040)/E1040,2),0),0)</f>
        <v/>
      </c>
      <c r="Q1040" s="141">
        <f>E1040*P1040</f>
        <v/>
      </c>
      <c r="R1040" s="141">
        <f>ROUND(Q1040*IF(AND(offer_incoterms="DDP",seller_region="RU"),IF((TODAY()+offer_turnaround_time)&gt;=helpsheet!$L$17,rate_vatRU_from_26,rate_vatRu_till_25),0),2)</f>
        <v/>
      </c>
      <c r="S1040" s="177">
        <f>Q1040+IF(AND(offer_incoterms="DDP",seller_region="RU"),R1040,0)</f>
        <v/>
      </c>
      <c r="T1040" s="45" t="n"/>
      <c r="V1040" s="57">
        <f>IF(Q1040&gt;0,"показать","скрыть")</f>
        <v/>
      </c>
    </row>
    <row r="1041" ht="15.75" customHeight="1">
      <c r="B1041" s="809" t="n">
        <v>1025</v>
      </c>
      <c r="C1041" s="182">
        <f>IF(offer_sale_type="транзит",IFERROR(VLOOKUP($B1041,calc_data,C$14+1,0),0),0)</f>
        <v/>
      </c>
      <c r="D1041" s="280">
        <f>IF(offer_sale_type="транзит",IFERROR(VLOOKUP($B1041,calc_data,D$14+1,0),0),0)</f>
        <v/>
      </c>
      <c r="E1041" s="182">
        <f>IF(offer_sale_type="транзит",IFERROR(VLOOKUP($B1041,calc_data,E$14+1,0),0),0)</f>
        <v/>
      </c>
      <c r="F1041" s="182">
        <f>IF(offer_sale_type="транзит",IFERROR(VLOOKUP($B1041,calc_data,F$14+1,0),0),0)</f>
        <v/>
      </c>
      <c r="G1041" s="141">
        <f>IF(offer_sale_type="транзит",IFERROR(VLOOKUP($B1041,calc_data,G$14+1,0),0),0)</f>
        <v/>
      </c>
      <c r="H1041" s="141">
        <f>E1041*G1041</f>
        <v/>
      </c>
      <c r="I1041" s="141">
        <f>IF(offer_sale_type="транзит",IFERROR(ROUND(VLOOKUP($B1041,calc_data,I$14+1,0),2),0),0)</f>
        <v/>
      </c>
      <c r="J1041" s="141">
        <f>ROUND(IF(offer_sale_type="транзит",IFERROR(VLOOKUP($B1041,calc_data,J$14+1,0),0),0),2)</f>
        <v/>
      </c>
      <c r="K1041" s="142">
        <f>IF(offer_sale_type="транзит",IFERROR(ROUNDUP(VLOOKUP($B1041,calc_data,K$14+1,0),2),0),0)</f>
        <v/>
      </c>
      <c r="L1041" s="184">
        <f>IF(offer_sale_type="транзит",IFERROR(ROUNDUP(VLOOKUP($B1041,calc_data,L$14+1,0),2),0),0)</f>
        <v/>
      </c>
      <c r="M1041" s="141">
        <f>IF(offer_sale_type="транзит",IFERROR(ROUNDUP(VLOOKUP($B1041,calc_data,M$14+1,0),2),0),0)</f>
        <v/>
      </c>
      <c r="N1041" s="141">
        <f>IF(offer_sale_type="транзит",IFERROR(ROUNDUP(VLOOKUP($B1041,calc_data,N$14+1,0),2),0),0)</f>
        <v/>
      </c>
      <c r="O1041" s="147">
        <f>IF(offer_sale_type="транзит",IFERROR(ROUND(VLOOKUP($B1041,calc_data,O$14+1,1),2),0),0)</f>
        <v/>
      </c>
      <c r="P1041" s="141">
        <f>IF(offer_sale_type="транзит",IFERROR(ROUND(SUM(I1041:J1041,M1041:O1041)/E1041,2),0),0)</f>
        <v/>
      </c>
      <c r="Q1041" s="141">
        <f>E1041*P1041</f>
        <v/>
      </c>
      <c r="R1041" s="141">
        <f>ROUND(Q1041*IF(AND(offer_incoterms="DDP",seller_region="RU"),IF((TODAY()+offer_turnaround_time)&gt;=helpsheet!$L$17,rate_vatRU_from_26,rate_vatRu_till_25),0),2)</f>
        <v/>
      </c>
      <c r="S1041" s="177">
        <f>Q1041+IF(AND(offer_incoterms="DDP",seller_region="RU"),R1041,0)</f>
        <v/>
      </c>
      <c r="T1041" s="45" t="n"/>
      <c r="V1041" s="57">
        <f>IF(Q1041&gt;0,"показать","скрыть")</f>
        <v/>
      </c>
    </row>
    <row r="1042" ht="15.75" customHeight="1">
      <c r="B1042" s="809" t="n">
        <v>1026</v>
      </c>
      <c r="C1042" s="182">
        <f>IF(offer_sale_type="транзит",IFERROR(VLOOKUP($B1042,calc_data,C$14+1,0),0),0)</f>
        <v/>
      </c>
      <c r="D1042" s="280">
        <f>IF(offer_sale_type="транзит",IFERROR(VLOOKUP($B1042,calc_data,D$14+1,0),0),0)</f>
        <v/>
      </c>
      <c r="E1042" s="182">
        <f>IF(offer_sale_type="транзит",IFERROR(VLOOKUP($B1042,calc_data,E$14+1,0),0),0)</f>
        <v/>
      </c>
      <c r="F1042" s="182">
        <f>IF(offer_sale_type="транзит",IFERROR(VLOOKUP($B1042,calc_data,F$14+1,0),0),0)</f>
        <v/>
      </c>
      <c r="G1042" s="141">
        <f>IF(offer_sale_type="транзит",IFERROR(VLOOKUP($B1042,calc_data,G$14+1,0),0),0)</f>
        <v/>
      </c>
      <c r="H1042" s="141">
        <f>E1042*G1042</f>
        <v/>
      </c>
      <c r="I1042" s="141">
        <f>IF(offer_sale_type="транзит",IFERROR(ROUND(VLOOKUP($B1042,calc_data,I$14+1,0),2),0),0)</f>
        <v/>
      </c>
      <c r="J1042" s="141">
        <f>ROUND(IF(offer_sale_type="транзит",IFERROR(VLOOKUP($B1042,calc_data,J$14+1,0),0),0),2)</f>
        <v/>
      </c>
      <c r="K1042" s="142">
        <f>IF(offer_sale_type="транзит",IFERROR(ROUNDUP(VLOOKUP($B1042,calc_data,K$14+1,0),2),0),0)</f>
        <v/>
      </c>
      <c r="L1042" s="184">
        <f>IF(offer_sale_type="транзит",IFERROR(ROUNDUP(VLOOKUP($B1042,calc_data,L$14+1,0),2),0),0)</f>
        <v/>
      </c>
      <c r="M1042" s="141">
        <f>IF(offer_sale_type="транзит",IFERROR(ROUNDUP(VLOOKUP($B1042,calc_data,M$14+1,0),2),0),0)</f>
        <v/>
      </c>
      <c r="N1042" s="141">
        <f>IF(offer_sale_type="транзит",IFERROR(ROUNDUP(VLOOKUP($B1042,calc_data,N$14+1,0),2),0),0)</f>
        <v/>
      </c>
      <c r="O1042" s="147">
        <f>IF(offer_sale_type="транзит",IFERROR(ROUND(VLOOKUP($B1042,calc_data,O$14+1,1),2),0),0)</f>
        <v/>
      </c>
      <c r="P1042" s="141">
        <f>IF(offer_sale_type="транзит",IFERROR(ROUND(SUM(I1042:J1042,M1042:O1042)/E1042,2),0),0)</f>
        <v/>
      </c>
      <c r="Q1042" s="141">
        <f>E1042*P1042</f>
        <v/>
      </c>
      <c r="R1042" s="141">
        <f>ROUND(Q1042*IF(AND(offer_incoterms="DDP",seller_region="RU"),IF((TODAY()+offer_turnaround_time)&gt;=helpsheet!$L$17,rate_vatRU_from_26,rate_vatRu_till_25),0),2)</f>
        <v/>
      </c>
      <c r="S1042" s="177">
        <f>Q1042+IF(AND(offer_incoterms="DDP",seller_region="RU"),R1042,0)</f>
        <v/>
      </c>
      <c r="T1042" s="45" t="n"/>
      <c r="V1042" s="57">
        <f>IF(Q1042&gt;0,"показать","скрыть")</f>
        <v/>
      </c>
    </row>
    <row r="1043" ht="15.75" customHeight="1">
      <c r="B1043" s="809" t="n">
        <v>1027</v>
      </c>
      <c r="C1043" s="182">
        <f>IF(offer_sale_type="транзит",IFERROR(VLOOKUP($B1043,calc_data,C$14+1,0),0),0)</f>
        <v/>
      </c>
      <c r="D1043" s="280">
        <f>IF(offer_sale_type="транзит",IFERROR(VLOOKUP($B1043,calc_data,D$14+1,0),0),0)</f>
        <v/>
      </c>
      <c r="E1043" s="182">
        <f>IF(offer_sale_type="транзит",IFERROR(VLOOKUP($B1043,calc_data,E$14+1,0),0),0)</f>
        <v/>
      </c>
      <c r="F1043" s="182">
        <f>IF(offer_sale_type="транзит",IFERROR(VLOOKUP($B1043,calc_data,F$14+1,0),0),0)</f>
        <v/>
      </c>
      <c r="G1043" s="141">
        <f>IF(offer_sale_type="транзит",IFERROR(VLOOKUP($B1043,calc_data,G$14+1,0),0),0)</f>
        <v/>
      </c>
      <c r="H1043" s="141">
        <f>E1043*G1043</f>
        <v/>
      </c>
      <c r="I1043" s="141">
        <f>IF(offer_sale_type="транзит",IFERROR(ROUND(VLOOKUP($B1043,calc_data,I$14+1,0),2),0),0)</f>
        <v/>
      </c>
      <c r="J1043" s="141">
        <f>ROUND(IF(offer_sale_type="транзит",IFERROR(VLOOKUP($B1043,calc_data,J$14+1,0),0),0),2)</f>
        <v/>
      </c>
      <c r="K1043" s="142">
        <f>IF(offer_sale_type="транзит",IFERROR(ROUNDUP(VLOOKUP($B1043,calc_data,K$14+1,0),2),0),0)</f>
        <v/>
      </c>
      <c r="L1043" s="184">
        <f>IF(offer_sale_type="транзит",IFERROR(ROUNDUP(VLOOKUP($B1043,calc_data,L$14+1,0),2),0),0)</f>
        <v/>
      </c>
      <c r="M1043" s="141">
        <f>IF(offer_sale_type="транзит",IFERROR(ROUNDUP(VLOOKUP($B1043,calc_data,M$14+1,0),2),0),0)</f>
        <v/>
      </c>
      <c r="N1043" s="141">
        <f>IF(offer_sale_type="транзит",IFERROR(ROUNDUP(VLOOKUP($B1043,calc_data,N$14+1,0),2),0),0)</f>
        <v/>
      </c>
      <c r="O1043" s="147">
        <f>IF(offer_sale_type="транзит",IFERROR(ROUND(VLOOKUP($B1043,calc_data,O$14+1,1),2),0),0)</f>
        <v/>
      </c>
      <c r="P1043" s="141">
        <f>IF(offer_sale_type="транзит",IFERROR(ROUND(SUM(I1043:J1043,M1043:O1043)/E1043,2),0),0)</f>
        <v/>
      </c>
      <c r="Q1043" s="141">
        <f>E1043*P1043</f>
        <v/>
      </c>
      <c r="R1043" s="141">
        <f>ROUND(Q1043*IF(AND(offer_incoterms="DDP",seller_region="RU"),IF((TODAY()+offer_turnaround_time)&gt;=helpsheet!$L$17,rate_vatRU_from_26,rate_vatRu_till_25),0),2)</f>
        <v/>
      </c>
      <c r="S1043" s="177">
        <f>Q1043+IF(AND(offer_incoterms="DDP",seller_region="RU"),R1043,0)</f>
        <v/>
      </c>
      <c r="T1043" s="45" t="n"/>
      <c r="V1043" s="57">
        <f>IF(Q1043&gt;0,"показать","скрыть")</f>
        <v/>
      </c>
    </row>
    <row r="1044" ht="15.75" customHeight="1">
      <c r="B1044" s="809" t="n">
        <v>1028</v>
      </c>
      <c r="C1044" s="182">
        <f>IF(offer_sale_type="транзит",IFERROR(VLOOKUP($B1044,calc_data,C$14+1,0),0),0)</f>
        <v/>
      </c>
      <c r="D1044" s="280">
        <f>IF(offer_sale_type="транзит",IFERROR(VLOOKUP($B1044,calc_data,D$14+1,0),0),0)</f>
        <v/>
      </c>
      <c r="E1044" s="182">
        <f>IF(offer_sale_type="транзит",IFERROR(VLOOKUP($B1044,calc_data,E$14+1,0),0),0)</f>
        <v/>
      </c>
      <c r="F1044" s="182">
        <f>IF(offer_sale_type="транзит",IFERROR(VLOOKUP($B1044,calc_data,F$14+1,0),0),0)</f>
        <v/>
      </c>
      <c r="G1044" s="141">
        <f>IF(offer_sale_type="транзит",IFERROR(VLOOKUP($B1044,calc_data,G$14+1,0),0),0)</f>
        <v/>
      </c>
      <c r="H1044" s="141">
        <f>E1044*G1044</f>
        <v/>
      </c>
      <c r="I1044" s="141">
        <f>IF(offer_sale_type="транзит",IFERROR(ROUND(VLOOKUP($B1044,calc_data,I$14+1,0),2),0),0)</f>
        <v/>
      </c>
      <c r="J1044" s="141">
        <f>ROUND(IF(offer_sale_type="транзит",IFERROR(VLOOKUP($B1044,calc_data,J$14+1,0),0),0),2)</f>
        <v/>
      </c>
      <c r="K1044" s="142">
        <f>IF(offer_sale_type="транзит",IFERROR(ROUNDUP(VLOOKUP($B1044,calc_data,K$14+1,0),2),0),0)</f>
        <v/>
      </c>
      <c r="L1044" s="184">
        <f>IF(offer_sale_type="транзит",IFERROR(ROUNDUP(VLOOKUP($B1044,calc_data,L$14+1,0),2),0),0)</f>
        <v/>
      </c>
      <c r="M1044" s="141">
        <f>IF(offer_sale_type="транзит",IFERROR(ROUNDUP(VLOOKUP($B1044,calc_data,M$14+1,0),2),0),0)</f>
        <v/>
      </c>
      <c r="N1044" s="141">
        <f>IF(offer_sale_type="транзит",IFERROR(ROUNDUP(VLOOKUP($B1044,calc_data,N$14+1,0),2),0),0)</f>
        <v/>
      </c>
      <c r="O1044" s="147">
        <f>IF(offer_sale_type="транзит",IFERROR(ROUND(VLOOKUP($B1044,calc_data,O$14+1,1),2),0),0)</f>
        <v/>
      </c>
      <c r="P1044" s="141">
        <f>IF(offer_sale_type="транзит",IFERROR(ROUND(SUM(I1044:J1044,M1044:O1044)/E1044,2),0),0)</f>
        <v/>
      </c>
      <c r="Q1044" s="141">
        <f>E1044*P1044</f>
        <v/>
      </c>
      <c r="R1044" s="141">
        <f>ROUND(Q1044*IF(AND(offer_incoterms="DDP",seller_region="RU"),IF((TODAY()+offer_turnaround_time)&gt;=helpsheet!$L$17,rate_vatRU_from_26,rate_vatRu_till_25),0),2)</f>
        <v/>
      </c>
      <c r="S1044" s="177">
        <f>Q1044+IF(AND(offer_incoterms="DDP",seller_region="RU"),R1044,0)</f>
        <v/>
      </c>
      <c r="T1044" s="45" t="n"/>
      <c r="V1044" s="57">
        <f>IF(Q1044&gt;0,"показать","скрыть")</f>
        <v/>
      </c>
    </row>
    <row r="1045" ht="15.75" customHeight="1">
      <c r="B1045" s="809" t="n">
        <v>1029</v>
      </c>
      <c r="C1045" s="182">
        <f>IF(offer_sale_type="транзит",IFERROR(VLOOKUP($B1045,calc_data,C$14+1,0),0),0)</f>
        <v/>
      </c>
      <c r="D1045" s="280">
        <f>IF(offer_sale_type="транзит",IFERROR(VLOOKUP($B1045,calc_data,D$14+1,0),0),0)</f>
        <v/>
      </c>
      <c r="E1045" s="182">
        <f>IF(offer_sale_type="транзит",IFERROR(VLOOKUP($B1045,calc_data,E$14+1,0),0),0)</f>
        <v/>
      </c>
      <c r="F1045" s="182">
        <f>IF(offer_sale_type="транзит",IFERROR(VLOOKUP($B1045,calc_data,F$14+1,0),0),0)</f>
        <v/>
      </c>
      <c r="G1045" s="141">
        <f>IF(offer_sale_type="транзит",IFERROR(VLOOKUP($B1045,calc_data,G$14+1,0),0),0)</f>
        <v/>
      </c>
      <c r="H1045" s="141">
        <f>E1045*G1045</f>
        <v/>
      </c>
      <c r="I1045" s="141">
        <f>IF(offer_sale_type="транзит",IFERROR(ROUND(VLOOKUP($B1045,calc_data,I$14+1,0),2),0),0)</f>
        <v/>
      </c>
      <c r="J1045" s="141">
        <f>ROUND(IF(offer_sale_type="транзит",IFERROR(VLOOKUP($B1045,calc_data,J$14+1,0),0),0),2)</f>
        <v/>
      </c>
      <c r="K1045" s="142">
        <f>IF(offer_sale_type="транзит",IFERROR(ROUNDUP(VLOOKUP($B1045,calc_data,K$14+1,0),2),0),0)</f>
        <v/>
      </c>
      <c r="L1045" s="184">
        <f>IF(offer_sale_type="транзит",IFERROR(ROUNDUP(VLOOKUP($B1045,calc_data,L$14+1,0),2),0),0)</f>
        <v/>
      </c>
      <c r="M1045" s="141">
        <f>IF(offer_sale_type="транзит",IFERROR(ROUNDUP(VLOOKUP($B1045,calc_data,M$14+1,0),2),0),0)</f>
        <v/>
      </c>
      <c r="N1045" s="141">
        <f>IF(offer_sale_type="транзит",IFERROR(ROUNDUP(VLOOKUP($B1045,calc_data,N$14+1,0),2),0),0)</f>
        <v/>
      </c>
      <c r="O1045" s="147">
        <f>IF(offer_sale_type="транзит",IFERROR(ROUND(VLOOKUP($B1045,calc_data,O$14+1,1),2),0),0)</f>
        <v/>
      </c>
      <c r="P1045" s="141">
        <f>IF(offer_sale_type="транзит",IFERROR(ROUND(SUM(I1045:J1045,M1045:O1045)/E1045,2),0),0)</f>
        <v/>
      </c>
      <c r="Q1045" s="141">
        <f>E1045*P1045</f>
        <v/>
      </c>
      <c r="R1045" s="141">
        <f>ROUND(Q1045*IF(AND(offer_incoterms="DDP",seller_region="RU"),IF((TODAY()+offer_turnaround_time)&gt;=helpsheet!$L$17,rate_vatRU_from_26,rate_vatRu_till_25),0),2)</f>
        <v/>
      </c>
      <c r="S1045" s="177">
        <f>Q1045+IF(AND(offer_incoterms="DDP",seller_region="RU"),R1045,0)</f>
        <v/>
      </c>
      <c r="T1045" s="45" t="n"/>
      <c r="V1045" s="57">
        <f>IF(Q1045&gt;0,"показать","скрыть")</f>
        <v/>
      </c>
    </row>
    <row r="1046" ht="15.75" customHeight="1">
      <c r="B1046" s="809" t="n">
        <v>1030</v>
      </c>
      <c r="C1046" s="182">
        <f>IF(offer_sale_type="транзит",IFERROR(VLOOKUP($B1046,calc_data,C$14+1,0),0),0)</f>
        <v/>
      </c>
      <c r="D1046" s="280">
        <f>IF(offer_sale_type="транзит",IFERROR(VLOOKUP($B1046,calc_data,D$14+1,0),0),0)</f>
        <v/>
      </c>
      <c r="E1046" s="182">
        <f>IF(offer_sale_type="транзит",IFERROR(VLOOKUP($B1046,calc_data,E$14+1,0),0),0)</f>
        <v/>
      </c>
      <c r="F1046" s="182">
        <f>IF(offer_sale_type="транзит",IFERROR(VLOOKUP($B1046,calc_data,F$14+1,0),0),0)</f>
        <v/>
      </c>
      <c r="G1046" s="141">
        <f>IF(offer_sale_type="транзит",IFERROR(VLOOKUP($B1046,calc_data,G$14+1,0),0),0)</f>
        <v/>
      </c>
      <c r="H1046" s="141">
        <f>E1046*G1046</f>
        <v/>
      </c>
      <c r="I1046" s="141">
        <f>IF(offer_sale_type="транзит",IFERROR(ROUND(VLOOKUP($B1046,calc_data,I$14+1,0),2),0),0)</f>
        <v/>
      </c>
      <c r="J1046" s="141">
        <f>ROUND(IF(offer_sale_type="транзит",IFERROR(VLOOKUP($B1046,calc_data,J$14+1,0),0),0),2)</f>
        <v/>
      </c>
      <c r="K1046" s="142">
        <f>IF(offer_sale_type="транзит",IFERROR(ROUNDUP(VLOOKUP($B1046,calc_data,K$14+1,0),2),0),0)</f>
        <v/>
      </c>
      <c r="L1046" s="184">
        <f>IF(offer_sale_type="транзит",IFERROR(ROUNDUP(VLOOKUP($B1046,calc_data,L$14+1,0),2),0),0)</f>
        <v/>
      </c>
      <c r="M1046" s="141">
        <f>IF(offer_sale_type="транзит",IFERROR(ROUNDUP(VLOOKUP($B1046,calc_data,M$14+1,0),2),0),0)</f>
        <v/>
      </c>
      <c r="N1046" s="141">
        <f>IF(offer_sale_type="транзит",IFERROR(ROUNDUP(VLOOKUP($B1046,calc_data,N$14+1,0),2),0),0)</f>
        <v/>
      </c>
      <c r="O1046" s="147">
        <f>IF(offer_sale_type="транзит",IFERROR(ROUND(VLOOKUP($B1046,calc_data,O$14+1,1),2),0),0)</f>
        <v/>
      </c>
      <c r="P1046" s="141">
        <f>IF(offer_sale_type="транзит",IFERROR(ROUND(SUM(I1046:J1046,M1046:O1046)/E1046,2),0),0)</f>
        <v/>
      </c>
      <c r="Q1046" s="141">
        <f>E1046*P1046</f>
        <v/>
      </c>
      <c r="R1046" s="141">
        <f>ROUND(Q1046*IF(AND(offer_incoterms="DDP",seller_region="RU"),IF((TODAY()+offer_turnaround_time)&gt;=helpsheet!$L$17,rate_vatRU_from_26,rate_vatRu_till_25),0),2)</f>
        <v/>
      </c>
      <c r="S1046" s="177">
        <f>Q1046+IF(AND(offer_incoterms="DDP",seller_region="RU"),R1046,0)</f>
        <v/>
      </c>
      <c r="T1046" s="45" t="n"/>
      <c r="V1046" s="57">
        <f>IF(Q1046&gt;0,"показать","скрыть")</f>
        <v/>
      </c>
    </row>
    <row r="1047" ht="15.75" customHeight="1">
      <c r="B1047" s="809" t="n">
        <v>1031</v>
      </c>
      <c r="C1047" s="182">
        <f>IF(offer_sale_type="транзит",IFERROR(VLOOKUP($B1047,calc_data,C$14+1,0),0),0)</f>
        <v/>
      </c>
      <c r="D1047" s="280">
        <f>IF(offer_sale_type="транзит",IFERROR(VLOOKUP($B1047,calc_data,D$14+1,0),0),0)</f>
        <v/>
      </c>
      <c r="E1047" s="182">
        <f>IF(offer_sale_type="транзит",IFERROR(VLOOKUP($B1047,calc_data,E$14+1,0),0),0)</f>
        <v/>
      </c>
      <c r="F1047" s="182">
        <f>IF(offer_sale_type="транзит",IFERROR(VLOOKUP($B1047,calc_data,F$14+1,0),0),0)</f>
        <v/>
      </c>
      <c r="G1047" s="141">
        <f>IF(offer_sale_type="транзит",IFERROR(VLOOKUP($B1047,calc_data,G$14+1,0),0),0)</f>
        <v/>
      </c>
      <c r="H1047" s="141">
        <f>E1047*G1047</f>
        <v/>
      </c>
      <c r="I1047" s="141">
        <f>IF(offer_sale_type="транзит",IFERROR(ROUND(VLOOKUP($B1047,calc_data,I$14+1,0),2),0),0)</f>
        <v/>
      </c>
      <c r="J1047" s="141">
        <f>ROUND(IF(offer_sale_type="транзит",IFERROR(VLOOKUP($B1047,calc_data,J$14+1,0),0),0),2)</f>
        <v/>
      </c>
      <c r="K1047" s="142">
        <f>IF(offer_sale_type="транзит",IFERROR(ROUNDUP(VLOOKUP($B1047,calc_data,K$14+1,0),2),0),0)</f>
        <v/>
      </c>
      <c r="L1047" s="184">
        <f>IF(offer_sale_type="транзит",IFERROR(ROUNDUP(VLOOKUP($B1047,calc_data,L$14+1,0),2),0),0)</f>
        <v/>
      </c>
      <c r="M1047" s="141">
        <f>IF(offer_sale_type="транзит",IFERROR(ROUNDUP(VLOOKUP($B1047,calc_data,M$14+1,0),2),0),0)</f>
        <v/>
      </c>
      <c r="N1047" s="141">
        <f>IF(offer_sale_type="транзит",IFERROR(ROUNDUP(VLOOKUP($B1047,calc_data,N$14+1,0),2),0),0)</f>
        <v/>
      </c>
      <c r="O1047" s="147">
        <f>IF(offer_sale_type="транзит",IFERROR(ROUND(VLOOKUP($B1047,calc_data,O$14+1,1),2),0),0)</f>
        <v/>
      </c>
      <c r="P1047" s="141">
        <f>IF(offer_sale_type="транзит",IFERROR(ROUND(SUM(I1047:J1047,M1047:O1047)/E1047,2),0),0)</f>
        <v/>
      </c>
      <c r="Q1047" s="141">
        <f>E1047*P1047</f>
        <v/>
      </c>
      <c r="R1047" s="141">
        <f>ROUND(Q1047*IF(AND(offer_incoterms="DDP",seller_region="RU"),IF((TODAY()+offer_turnaround_time)&gt;=helpsheet!$L$17,rate_vatRU_from_26,rate_vatRu_till_25),0),2)</f>
        <v/>
      </c>
      <c r="S1047" s="177">
        <f>Q1047+IF(AND(offer_incoterms="DDP",seller_region="RU"),R1047,0)</f>
        <v/>
      </c>
      <c r="T1047" s="45" t="n"/>
      <c r="V1047" s="57">
        <f>IF(Q1047&gt;0,"показать","скрыть")</f>
        <v/>
      </c>
    </row>
    <row r="1048" ht="15.75" customHeight="1">
      <c r="B1048" s="809" t="n">
        <v>1032</v>
      </c>
      <c r="C1048" s="182">
        <f>IF(offer_sale_type="транзит",IFERROR(VLOOKUP($B1048,calc_data,C$14+1,0),0),0)</f>
        <v/>
      </c>
      <c r="D1048" s="280">
        <f>IF(offer_sale_type="транзит",IFERROR(VLOOKUP($B1048,calc_data,D$14+1,0),0),0)</f>
        <v/>
      </c>
      <c r="E1048" s="182">
        <f>IF(offer_sale_type="транзит",IFERROR(VLOOKUP($B1048,calc_data,E$14+1,0),0),0)</f>
        <v/>
      </c>
      <c r="F1048" s="182">
        <f>IF(offer_sale_type="транзит",IFERROR(VLOOKUP($B1048,calc_data,F$14+1,0),0),0)</f>
        <v/>
      </c>
      <c r="G1048" s="141">
        <f>IF(offer_sale_type="транзит",IFERROR(VLOOKUP($B1048,calc_data,G$14+1,0),0),0)</f>
        <v/>
      </c>
      <c r="H1048" s="141">
        <f>E1048*G1048</f>
        <v/>
      </c>
      <c r="I1048" s="141">
        <f>IF(offer_sale_type="транзит",IFERROR(ROUND(VLOOKUP($B1048,calc_data,I$14+1,0),2),0),0)</f>
        <v/>
      </c>
      <c r="J1048" s="141">
        <f>ROUND(IF(offer_sale_type="транзит",IFERROR(VLOOKUP($B1048,calc_data,J$14+1,0),0),0),2)</f>
        <v/>
      </c>
      <c r="K1048" s="142">
        <f>IF(offer_sale_type="транзит",IFERROR(ROUNDUP(VLOOKUP($B1048,calc_data,K$14+1,0),2),0),0)</f>
        <v/>
      </c>
      <c r="L1048" s="184">
        <f>IF(offer_sale_type="транзит",IFERROR(ROUNDUP(VLOOKUP($B1048,calc_data,L$14+1,0),2),0),0)</f>
        <v/>
      </c>
      <c r="M1048" s="141">
        <f>IF(offer_sale_type="транзит",IFERROR(ROUNDUP(VLOOKUP($B1048,calc_data,M$14+1,0),2),0),0)</f>
        <v/>
      </c>
      <c r="N1048" s="141">
        <f>IF(offer_sale_type="транзит",IFERROR(ROUNDUP(VLOOKUP($B1048,calc_data,N$14+1,0),2),0),0)</f>
        <v/>
      </c>
      <c r="O1048" s="147">
        <f>IF(offer_sale_type="транзит",IFERROR(ROUND(VLOOKUP($B1048,calc_data,O$14+1,1),2),0),0)</f>
        <v/>
      </c>
      <c r="P1048" s="141">
        <f>IF(offer_sale_type="транзит",IFERROR(ROUND(SUM(I1048:J1048,M1048:O1048)/E1048,2),0),0)</f>
        <v/>
      </c>
      <c r="Q1048" s="141">
        <f>E1048*P1048</f>
        <v/>
      </c>
      <c r="R1048" s="141">
        <f>ROUND(Q1048*IF(AND(offer_incoterms="DDP",seller_region="RU"),IF((TODAY()+offer_turnaround_time)&gt;=helpsheet!$L$17,rate_vatRU_from_26,rate_vatRu_till_25),0),2)</f>
        <v/>
      </c>
      <c r="S1048" s="177">
        <f>Q1048+IF(AND(offer_incoterms="DDP",seller_region="RU"),R1048,0)</f>
        <v/>
      </c>
      <c r="T1048" s="45" t="n"/>
      <c r="V1048" s="57">
        <f>IF(Q1048&gt;0,"показать","скрыть")</f>
        <v/>
      </c>
    </row>
    <row r="1049" ht="15.75" customHeight="1">
      <c r="B1049" s="809" t="n">
        <v>1033</v>
      </c>
      <c r="C1049" s="182">
        <f>IF(offer_sale_type="транзит",IFERROR(VLOOKUP($B1049,calc_data,C$14+1,0),0),0)</f>
        <v/>
      </c>
      <c r="D1049" s="280">
        <f>IF(offer_sale_type="транзит",IFERROR(VLOOKUP($B1049,calc_data,D$14+1,0),0),0)</f>
        <v/>
      </c>
      <c r="E1049" s="182">
        <f>IF(offer_sale_type="транзит",IFERROR(VLOOKUP($B1049,calc_data,E$14+1,0),0),0)</f>
        <v/>
      </c>
      <c r="F1049" s="182">
        <f>IF(offer_sale_type="транзит",IFERROR(VLOOKUP($B1049,calc_data,F$14+1,0),0),0)</f>
        <v/>
      </c>
      <c r="G1049" s="141">
        <f>IF(offer_sale_type="транзит",IFERROR(VLOOKUP($B1049,calc_data,G$14+1,0),0),0)</f>
        <v/>
      </c>
      <c r="H1049" s="141">
        <f>E1049*G1049</f>
        <v/>
      </c>
      <c r="I1049" s="141">
        <f>IF(offer_sale_type="транзит",IFERROR(ROUND(VLOOKUP($B1049,calc_data,I$14+1,0),2),0),0)</f>
        <v/>
      </c>
      <c r="J1049" s="141">
        <f>ROUND(IF(offer_sale_type="транзит",IFERROR(VLOOKUP($B1049,calc_data,J$14+1,0),0),0),2)</f>
        <v/>
      </c>
      <c r="K1049" s="142">
        <f>IF(offer_sale_type="транзит",IFERROR(ROUNDUP(VLOOKUP($B1049,calc_data,K$14+1,0),2),0),0)</f>
        <v/>
      </c>
      <c r="L1049" s="184">
        <f>IF(offer_sale_type="транзит",IFERROR(ROUNDUP(VLOOKUP($B1049,calc_data,L$14+1,0),2),0),0)</f>
        <v/>
      </c>
      <c r="M1049" s="141">
        <f>IF(offer_sale_type="транзит",IFERROR(ROUNDUP(VLOOKUP($B1049,calc_data,M$14+1,0),2),0),0)</f>
        <v/>
      </c>
      <c r="N1049" s="141">
        <f>IF(offer_sale_type="транзит",IFERROR(ROUNDUP(VLOOKUP($B1049,calc_data,N$14+1,0),2),0),0)</f>
        <v/>
      </c>
      <c r="O1049" s="147">
        <f>IF(offer_sale_type="транзит",IFERROR(ROUND(VLOOKUP($B1049,calc_data,O$14+1,1),2),0),0)</f>
        <v/>
      </c>
      <c r="P1049" s="141">
        <f>IF(offer_sale_type="транзит",IFERROR(ROUND(SUM(I1049:J1049,M1049:O1049)/E1049,2),0),0)</f>
        <v/>
      </c>
      <c r="Q1049" s="141">
        <f>E1049*P1049</f>
        <v/>
      </c>
      <c r="R1049" s="141">
        <f>ROUND(Q1049*IF(AND(offer_incoterms="DDP",seller_region="RU"),IF((TODAY()+offer_turnaround_time)&gt;=helpsheet!$L$17,rate_vatRU_from_26,rate_vatRu_till_25),0),2)</f>
        <v/>
      </c>
      <c r="S1049" s="177">
        <f>Q1049+IF(AND(offer_incoterms="DDP",seller_region="RU"),R1049,0)</f>
        <v/>
      </c>
      <c r="T1049" s="45" t="n"/>
      <c r="V1049" s="57">
        <f>IF(Q1049&gt;0,"показать","скрыть")</f>
        <v/>
      </c>
    </row>
    <row r="1050" ht="15.75" customHeight="1">
      <c r="B1050" s="809" t="n">
        <v>1034</v>
      </c>
      <c r="C1050" s="182">
        <f>IF(offer_sale_type="транзит",IFERROR(VLOOKUP($B1050,calc_data,C$14+1,0),0),0)</f>
        <v/>
      </c>
      <c r="D1050" s="280">
        <f>IF(offer_sale_type="транзит",IFERROR(VLOOKUP($B1050,calc_data,D$14+1,0),0),0)</f>
        <v/>
      </c>
      <c r="E1050" s="182">
        <f>IF(offer_sale_type="транзит",IFERROR(VLOOKUP($B1050,calc_data,E$14+1,0),0),0)</f>
        <v/>
      </c>
      <c r="F1050" s="182">
        <f>IF(offer_sale_type="транзит",IFERROR(VLOOKUP($B1050,calc_data,F$14+1,0),0),0)</f>
        <v/>
      </c>
      <c r="G1050" s="141">
        <f>IF(offer_sale_type="транзит",IFERROR(VLOOKUP($B1050,calc_data,G$14+1,0),0),0)</f>
        <v/>
      </c>
      <c r="H1050" s="141">
        <f>E1050*G1050</f>
        <v/>
      </c>
      <c r="I1050" s="141">
        <f>IF(offer_sale_type="транзит",IFERROR(ROUND(VLOOKUP($B1050,calc_data,I$14+1,0),2),0),0)</f>
        <v/>
      </c>
      <c r="J1050" s="141">
        <f>ROUND(IF(offer_sale_type="транзит",IFERROR(VLOOKUP($B1050,calc_data,J$14+1,0),0),0),2)</f>
        <v/>
      </c>
      <c r="K1050" s="142">
        <f>IF(offer_sale_type="транзит",IFERROR(ROUNDUP(VLOOKUP($B1050,calc_data,K$14+1,0),2),0),0)</f>
        <v/>
      </c>
      <c r="L1050" s="184">
        <f>IF(offer_sale_type="транзит",IFERROR(ROUNDUP(VLOOKUP($B1050,calc_data,L$14+1,0),2),0),0)</f>
        <v/>
      </c>
      <c r="M1050" s="141">
        <f>IF(offer_sale_type="транзит",IFERROR(ROUNDUP(VLOOKUP($B1050,calc_data,M$14+1,0),2),0),0)</f>
        <v/>
      </c>
      <c r="N1050" s="141">
        <f>IF(offer_sale_type="транзит",IFERROR(ROUNDUP(VLOOKUP($B1050,calc_data,N$14+1,0),2),0),0)</f>
        <v/>
      </c>
      <c r="O1050" s="147">
        <f>IF(offer_sale_type="транзит",IFERROR(ROUND(VLOOKUP($B1050,calc_data,O$14+1,1),2),0),0)</f>
        <v/>
      </c>
      <c r="P1050" s="141">
        <f>IF(offer_sale_type="транзит",IFERROR(ROUND(SUM(I1050:J1050,M1050:O1050)/E1050,2),0),0)</f>
        <v/>
      </c>
      <c r="Q1050" s="141">
        <f>E1050*P1050</f>
        <v/>
      </c>
      <c r="R1050" s="141">
        <f>ROUND(Q1050*IF(AND(offer_incoterms="DDP",seller_region="RU"),IF((TODAY()+offer_turnaround_time)&gt;=helpsheet!$L$17,rate_vatRU_from_26,rate_vatRu_till_25),0),2)</f>
        <v/>
      </c>
      <c r="S1050" s="177">
        <f>Q1050+IF(AND(offer_incoterms="DDP",seller_region="RU"),R1050,0)</f>
        <v/>
      </c>
      <c r="T1050" s="45" t="n"/>
      <c r="V1050" s="57">
        <f>IF(Q1050&gt;0,"показать","скрыть")</f>
        <v/>
      </c>
    </row>
    <row r="1051" ht="15.75" customHeight="1">
      <c r="B1051" s="809" t="n">
        <v>1035</v>
      </c>
      <c r="C1051" s="182">
        <f>IF(offer_sale_type="транзит",IFERROR(VLOOKUP($B1051,calc_data,C$14+1,0),0),0)</f>
        <v/>
      </c>
      <c r="D1051" s="280">
        <f>IF(offer_sale_type="транзит",IFERROR(VLOOKUP($B1051,calc_data,D$14+1,0),0),0)</f>
        <v/>
      </c>
      <c r="E1051" s="182">
        <f>IF(offer_sale_type="транзит",IFERROR(VLOOKUP($B1051,calc_data,E$14+1,0),0),0)</f>
        <v/>
      </c>
      <c r="F1051" s="182">
        <f>IF(offer_sale_type="транзит",IFERROR(VLOOKUP($B1051,calc_data,F$14+1,0),0),0)</f>
        <v/>
      </c>
      <c r="G1051" s="141">
        <f>IF(offer_sale_type="транзит",IFERROR(VLOOKUP($B1051,calc_data,G$14+1,0),0),0)</f>
        <v/>
      </c>
      <c r="H1051" s="141">
        <f>E1051*G1051</f>
        <v/>
      </c>
      <c r="I1051" s="141">
        <f>IF(offer_sale_type="транзит",IFERROR(ROUND(VLOOKUP($B1051,calc_data,I$14+1,0),2),0),0)</f>
        <v/>
      </c>
      <c r="J1051" s="141">
        <f>ROUND(IF(offer_sale_type="транзит",IFERROR(VLOOKUP($B1051,calc_data,J$14+1,0),0),0),2)</f>
        <v/>
      </c>
      <c r="K1051" s="142">
        <f>IF(offer_sale_type="транзит",IFERROR(ROUNDUP(VLOOKUP($B1051,calc_data,K$14+1,0),2),0),0)</f>
        <v/>
      </c>
      <c r="L1051" s="184">
        <f>IF(offer_sale_type="транзит",IFERROR(ROUNDUP(VLOOKUP($B1051,calc_data,L$14+1,0),2),0),0)</f>
        <v/>
      </c>
      <c r="M1051" s="141">
        <f>IF(offer_sale_type="транзит",IFERROR(ROUNDUP(VLOOKUP($B1051,calc_data,M$14+1,0),2),0),0)</f>
        <v/>
      </c>
      <c r="N1051" s="141">
        <f>IF(offer_sale_type="транзит",IFERROR(ROUNDUP(VLOOKUP($B1051,calc_data,N$14+1,0),2),0),0)</f>
        <v/>
      </c>
      <c r="O1051" s="147">
        <f>IF(offer_sale_type="транзит",IFERROR(ROUND(VLOOKUP($B1051,calc_data,O$14+1,1),2),0),0)</f>
        <v/>
      </c>
      <c r="P1051" s="141">
        <f>IF(offer_sale_type="транзит",IFERROR(ROUND(SUM(I1051:J1051,M1051:O1051)/E1051,2),0),0)</f>
        <v/>
      </c>
      <c r="Q1051" s="141">
        <f>E1051*P1051</f>
        <v/>
      </c>
      <c r="R1051" s="141">
        <f>ROUND(Q1051*IF(AND(offer_incoterms="DDP",seller_region="RU"),IF((TODAY()+offer_turnaround_time)&gt;=helpsheet!$L$17,rate_vatRU_from_26,rate_vatRu_till_25),0),2)</f>
        <v/>
      </c>
      <c r="S1051" s="177">
        <f>Q1051+IF(AND(offer_incoterms="DDP",seller_region="RU"),R1051,0)</f>
        <v/>
      </c>
      <c r="T1051" s="45" t="n"/>
      <c r="V1051" s="57">
        <f>IF(Q1051&gt;0,"показать","скрыть")</f>
        <v/>
      </c>
    </row>
    <row r="1052" ht="15.75" customHeight="1">
      <c r="B1052" s="809" t="n">
        <v>1036</v>
      </c>
      <c r="C1052" s="182">
        <f>IF(offer_sale_type="транзит",IFERROR(VLOOKUP($B1052,calc_data,C$14+1,0),0),0)</f>
        <v/>
      </c>
      <c r="D1052" s="280">
        <f>IF(offer_sale_type="транзит",IFERROR(VLOOKUP($B1052,calc_data,D$14+1,0),0),0)</f>
        <v/>
      </c>
      <c r="E1052" s="182">
        <f>IF(offer_sale_type="транзит",IFERROR(VLOOKUP($B1052,calc_data,E$14+1,0),0),0)</f>
        <v/>
      </c>
      <c r="F1052" s="182">
        <f>IF(offer_sale_type="транзит",IFERROR(VLOOKUP($B1052,calc_data,F$14+1,0),0),0)</f>
        <v/>
      </c>
      <c r="G1052" s="141">
        <f>IF(offer_sale_type="транзит",IFERROR(VLOOKUP($B1052,calc_data,G$14+1,0),0),0)</f>
        <v/>
      </c>
      <c r="H1052" s="141">
        <f>E1052*G1052</f>
        <v/>
      </c>
      <c r="I1052" s="141">
        <f>IF(offer_sale_type="транзит",IFERROR(ROUND(VLOOKUP($B1052,calc_data,I$14+1,0),2),0),0)</f>
        <v/>
      </c>
      <c r="J1052" s="141">
        <f>ROUND(IF(offer_sale_type="транзит",IFERROR(VLOOKUP($B1052,calc_data,J$14+1,0),0),0),2)</f>
        <v/>
      </c>
      <c r="K1052" s="142">
        <f>IF(offer_sale_type="транзит",IFERROR(ROUNDUP(VLOOKUP($B1052,calc_data,K$14+1,0),2),0),0)</f>
        <v/>
      </c>
      <c r="L1052" s="184">
        <f>IF(offer_sale_type="транзит",IFERROR(ROUNDUP(VLOOKUP($B1052,calc_data,L$14+1,0),2),0),0)</f>
        <v/>
      </c>
      <c r="M1052" s="141">
        <f>IF(offer_sale_type="транзит",IFERROR(ROUNDUP(VLOOKUP($B1052,calc_data,M$14+1,0),2),0),0)</f>
        <v/>
      </c>
      <c r="N1052" s="141">
        <f>IF(offer_sale_type="транзит",IFERROR(ROUNDUP(VLOOKUP($B1052,calc_data,N$14+1,0),2),0),0)</f>
        <v/>
      </c>
      <c r="O1052" s="147">
        <f>IF(offer_sale_type="транзит",IFERROR(ROUND(VLOOKUP($B1052,calc_data,O$14+1,1),2),0),0)</f>
        <v/>
      </c>
      <c r="P1052" s="141">
        <f>IF(offer_sale_type="транзит",IFERROR(ROUND(SUM(I1052:J1052,M1052:O1052)/E1052,2),0),0)</f>
        <v/>
      </c>
      <c r="Q1052" s="141">
        <f>E1052*P1052</f>
        <v/>
      </c>
      <c r="R1052" s="141">
        <f>ROUND(Q1052*IF(AND(offer_incoterms="DDP",seller_region="RU"),IF((TODAY()+offer_turnaround_time)&gt;=helpsheet!$L$17,rate_vatRU_from_26,rate_vatRu_till_25),0),2)</f>
        <v/>
      </c>
      <c r="S1052" s="177">
        <f>Q1052+IF(AND(offer_incoterms="DDP",seller_region="RU"),R1052,0)</f>
        <v/>
      </c>
      <c r="T1052" s="45" t="n"/>
      <c r="V1052" s="57">
        <f>IF(Q1052&gt;0,"показать","скрыть")</f>
        <v/>
      </c>
    </row>
    <row r="1053" ht="15.75" customHeight="1">
      <c r="B1053" s="809" t="n">
        <v>1037</v>
      </c>
      <c r="C1053" s="182">
        <f>IF(offer_sale_type="транзит",IFERROR(VLOOKUP($B1053,calc_data,C$14+1,0),0),0)</f>
        <v/>
      </c>
      <c r="D1053" s="280">
        <f>IF(offer_sale_type="транзит",IFERROR(VLOOKUP($B1053,calc_data,D$14+1,0),0),0)</f>
        <v/>
      </c>
      <c r="E1053" s="182">
        <f>IF(offer_sale_type="транзит",IFERROR(VLOOKUP($B1053,calc_data,E$14+1,0),0),0)</f>
        <v/>
      </c>
      <c r="F1053" s="182">
        <f>IF(offer_sale_type="транзит",IFERROR(VLOOKUP($B1053,calc_data,F$14+1,0),0),0)</f>
        <v/>
      </c>
      <c r="G1053" s="141">
        <f>IF(offer_sale_type="транзит",IFERROR(VLOOKUP($B1053,calc_data,G$14+1,0),0),0)</f>
        <v/>
      </c>
      <c r="H1053" s="141">
        <f>E1053*G1053</f>
        <v/>
      </c>
      <c r="I1053" s="141">
        <f>IF(offer_sale_type="транзит",IFERROR(ROUND(VLOOKUP($B1053,calc_data,I$14+1,0),2),0),0)</f>
        <v/>
      </c>
      <c r="J1053" s="141">
        <f>ROUND(IF(offer_sale_type="транзит",IFERROR(VLOOKUP($B1053,calc_data,J$14+1,0),0),0),2)</f>
        <v/>
      </c>
      <c r="K1053" s="142">
        <f>IF(offer_sale_type="транзит",IFERROR(ROUNDUP(VLOOKUP($B1053,calc_data,K$14+1,0),2),0),0)</f>
        <v/>
      </c>
      <c r="L1053" s="184">
        <f>IF(offer_sale_type="транзит",IFERROR(ROUNDUP(VLOOKUP($B1053,calc_data,L$14+1,0),2),0),0)</f>
        <v/>
      </c>
      <c r="M1053" s="141">
        <f>IF(offer_sale_type="транзит",IFERROR(ROUNDUP(VLOOKUP($B1053,calc_data,M$14+1,0),2),0),0)</f>
        <v/>
      </c>
      <c r="N1053" s="141">
        <f>IF(offer_sale_type="транзит",IFERROR(ROUNDUP(VLOOKUP($B1053,calc_data,N$14+1,0),2),0),0)</f>
        <v/>
      </c>
      <c r="O1053" s="147">
        <f>IF(offer_sale_type="транзит",IFERROR(ROUND(VLOOKUP($B1053,calc_data,O$14+1,1),2),0),0)</f>
        <v/>
      </c>
      <c r="P1053" s="141">
        <f>IF(offer_sale_type="транзит",IFERROR(ROUND(SUM(I1053:J1053,M1053:O1053)/E1053,2),0),0)</f>
        <v/>
      </c>
      <c r="Q1053" s="141">
        <f>E1053*P1053</f>
        <v/>
      </c>
      <c r="R1053" s="141">
        <f>ROUND(Q1053*IF(AND(offer_incoterms="DDP",seller_region="RU"),IF((TODAY()+offer_turnaround_time)&gt;=helpsheet!$L$17,rate_vatRU_from_26,rate_vatRu_till_25),0),2)</f>
        <v/>
      </c>
      <c r="S1053" s="177">
        <f>Q1053+IF(AND(offer_incoterms="DDP",seller_region="RU"),R1053,0)</f>
        <v/>
      </c>
      <c r="T1053" s="45" t="n"/>
      <c r="V1053" s="57">
        <f>IF(Q1053&gt;0,"показать","скрыть")</f>
        <v/>
      </c>
    </row>
    <row r="1054" ht="15.75" customHeight="1">
      <c r="B1054" s="809" t="n">
        <v>1038</v>
      </c>
      <c r="C1054" s="182">
        <f>IF(offer_sale_type="транзит",IFERROR(VLOOKUP($B1054,calc_data,C$14+1,0),0),0)</f>
        <v/>
      </c>
      <c r="D1054" s="280">
        <f>IF(offer_sale_type="транзит",IFERROR(VLOOKUP($B1054,calc_data,D$14+1,0),0),0)</f>
        <v/>
      </c>
      <c r="E1054" s="182">
        <f>IF(offer_sale_type="транзит",IFERROR(VLOOKUP($B1054,calc_data,E$14+1,0),0),0)</f>
        <v/>
      </c>
      <c r="F1054" s="182">
        <f>IF(offer_sale_type="транзит",IFERROR(VLOOKUP($B1054,calc_data,F$14+1,0),0),0)</f>
        <v/>
      </c>
      <c r="G1054" s="141">
        <f>IF(offer_sale_type="транзит",IFERROR(VLOOKUP($B1054,calc_data,G$14+1,0),0),0)</f>
        <v/>
      </c>
      <c r="H1054" s="141">
        <f>E1054*G1054</f>
        <v/>
      </c>
      <c r="I1054" s="141">
        <f>IF(offer_sale_type="транзит",IFERROR(ROUND(VLOOKUP($B1054,calc_data,I$14+1,0),2),0),0)</f>
        <v/>
      </c>
      <c r="J1054" s="141">
        <f>ROUND(IF(offer_sale_type="транзит",IFERROR(VLOOKUP($B1054,calc_data,J$14+1,0),0),0),2)</f>
        <v/>
      </c>
      <c r="K1054" s="142">
        <f>IF(offer_sale_type="транзит",IFERROR(ROUNDUP(VLOOKUP($B1054,calc_data,K$14+1,0),2),0),0)</f>
        <v/>
      </c>
      <c r="L1054" s="184">
        <f>IF(offer_sale_type="транзит",IFERROR(ROUNDUP(VLOOKUP($B1054,calc_data,L$14+1,0),2),0),0)</f>
        <v/>
      </c>
      <c r="M1054" s="141">
        <f>IF(offer_sale_type="транзит",IFERROR(ROUNDUP(VLOOKUP($B1054,calc_data,M$14+1,0),2),0),0)</f>
        <v/>
      </c>
      <c r="N1054" s="141">
        <f>IF(offer_sale_type="транзит",IFERROR(ROUNDUP(VLOOKUP($B1054,calc_data,N$14+1,0),2),0),0)</f>
        <v/>
      </c>
      <c r="O1054" s="147">
        <f>IF(offer_sale_type="транзит",IFERROR(ROUND(VLOOKUP($B1054,calc_data,O$14+1,1),2),0),0)</f>
        <v/>
      </c>
      <c r="P1054" s="141">
        <f>IF(offer_sale_type="транзит",IFERROR(ROUND(SUM(I1054:J1054,M1054:O1054)/E1054,2),0),0)</f>
        <v/>
      </c>
      <c r="Q1054" s="141">
        <f>E1054*P1054</f>
        <v/>
      </c>
      <c r="R1054" s="141">
        <f>ROUND(Q1054*IF(AND(offer_incoterms="DDP",seller_region="RU"),IF((TODAY()+offer_turnaround_time)&gt;=helpsheet!$L$17,rate_vatRU_from_26,rate_vatRu_till_25),0),2)</f>
        <v/>
      </c>
      <c r="S1054" s="177">
        <f>Q1054+IF(AND(offer_incoterms="DDP",seller_region="RU"),R1054,0)</f>
        <v/>
      </c>
      <c r="T1054" s="45" t="n"/>
      <c r="V1054" s="57">
        <f>IF(Q1054&gt;0,"показать","скрыть")</f>
        <v/>
      </c>
    </row>
    <row r="1055" ht="15.75" customHeight="1">
      <c r="B1055" s="809" t="n">
        <v>1039</v>
      </c>
      <c r="C1055" s="182">
        <f>IF(offer_sale_type="транзит",IFERROR(VLOOKUP($B1055,calc_data,C$14+1,0),0),0)</f>
        <v/>
      </c>
      <c r="D1055" s="280">
        <f>IF(offer_sale_type="транзит",IFERROR(VLOOKUP($B1055,calc_data,D$14+1,0),0),0)</f>
        <v/>
      </c>
      <c r="E1055" s="182">
        <f>IF(offer_sale_type="транзит",IFERROR(VLOOKUP($B1055,calc_data,E$14+1,0),0),0)</f>
        <v/>
      </c>
      <c r="F1055" s="182">
        <f>IF(offer_sale_type="транзит",IFERROR(VLOOKUP($B1055,calc_data,F$14+1,0),0),0)</f>
        <v/>
      </c>
      <c r="G1055" s="141">
        <f>IF(offer_sale_type="транзит",IFERROR(VLOOKUP($B1055,calc_data,G$14+1,0),0),0)</f>
        <v/>
      </c>
      <c r="H1055" s="141">
        <f>E1055*G1055</f>
        <v/>
      </c>
      <c r="I1055" s="141">
        <f>IF(offer_sale_type="транзит",IFERROR(ROUND(VLOOKUP($B1055,calc_data,I$14+1,0),2),0),0)</f>
        <v/>
      </c>
      <c r="J1055" s="141">
        <f>ROUND(IF(offer_sale_type="транзит",IFERROR(VLOOKUP($B1055,calc_data,J$14+1,0),0),0),2)</f>
        <v/>
      </c>
      <c r="K1055" s="142">
        <f>IF(offer_sale_type="транзит",IFERROR(ROUNDUP(VLOOKUP($B1055,calc_data,K$14+1,0),2),0),0)</f>
        <v/>
      </c>
      <c r="L1055" s="184">
        <f>IF(offer_sale_type="транзит",IFERROR(ROUNDUP(VLOOKUP($B1055,calc_data,L$14+1,0),2),0),0)</f>
        <v/>
      </c>
      <c r="M1055" s="141">
        <f>IF(offer_sale_type="транзит",IFERROR(ROUNDUP(VLOOKUP($B1055,calc_data,M$14+1,0),2),0),0)</f>
        <v/>
      </c>
      <c r="N1055" s="141">
        <f>IF(offer_sale_type="транзит",IFERROR(ROUNDUP(VLOOKUP($B1055,calc_data,N$14+1,0),2),0),0)</f>
        <v/>
      </c>
      <c r="O1055" s="147">
        <f>IF(offer_sale_type="транзит",IFERROR(ROUND(VLOOKUP($B1055,calc_data,O$14+1,1),2),0),0)</f>
        <v/>
      </c>
      <c r="P1055" s="141">
        <f>IF(offer_sale_type="транзит",IFERROR(ROUND(SUM(I1055:J1055,M1055:O1055)/E1055,2),0),0)</f>
        <v/>
      </c>
      <c r="Q1055" s="141">
        <f>E1055*P1055</f>
        <v/>
      </c>
      <c r="R1055" s="141">
        <f>ROUND(Q1055*IF(AND(offer_incoterms="DDP",seller_region="RU"),IF((TODAY()+offer_turnaround_time)&gt;=helpsheet!$L$17,rate_vatRU_from_26,rate_vatRu_till_25),0),2)</f>
        <v/>
      </c>
      <c r="S1055" s="177">
        <f>Q1055+IF(AND(offer_incoterms="DDP",seller_region="RU"),R1055,0)</f>
        <v/>
      </c>
      <c r="T1055" s="45" t="n"/>
      <c r="V1055" s="57">
        <f>IF(Q1055&gt;0,"показать","скрыть")</f>
        <v/>
      </c>
    </row>
    <row r="1056" ht="15.75" customHeight="1">
      <c r="B1056" s="809" t="n">
        <v>1040</v>
      </c>
      <c r="C1056" s="182">
        <f>IF(offer_sale_type="транзит",IFERROR(VLOOKUP($B1056,calc_data,C$14+1,0),0),0)</f>
        <v/>
      </c>
      <c r="D1056" s="280">
        <f>IF(offer_sale_type="транзит",IFERROR(VLOOKUP($B1056,calc_data,D$14+1,0),0),0)</f>
        <v/>
      </c>
      <c r="E1056" s="182">
        <f>IF(offer_sale_type="транзит",IFERROR(VLOOKUP($B1056,calc_data,E$14+1,0),0),0)</f>
        <v/>
      </c>
      <c r="F1056" s="182">
        <f>IF(offer_sale_type="транзит",IFERROR(VLOOKUP($B1056,calc_data,F$14+1,0),0),0)</f>
        <v/>
      </c>
      <c r="G1056" s="141">
        <f>IF(offer_sale_type="транзит",IFERROR(VLOOKUP($B1056,calc_data,G$14+1,0),0),0)</f>
        <v/>
      </c>
      <c r="H1056" s="141">
        <f>E1056*G1056</f>
        <v/>
      </c>
      <c r="I1056" s="141">
        <f>IF(offer_sale_type="транзит",IFERROR(ROUND(VLOOKUP($B1056,calc_data,I$14+1,0),2),0),0)</f>
        <v/>
      </c>
      <c r="J1056" s="141">
        <f>ROUND(IF(offer_sale_type="транзит",IFERROR(VLOOKUP($B1056,calc_data,J$14+1,0),0),0),2)</f>
        <v/>
      </c>
      <c r="K1056" s="142">
        <f>IF(offer_sale_type="транзит",IFERROR(ROUNDUP(VLOOKUP($B1056,calc_data,K$14+1,0),2),0),0)</f>
        <v/>
      </c>
      <c r="L1056" s="184">
        <f>IF(offer_sale_type="транзит",IFERROR(ROUNDUP(VLOOKUP($B1056,calc_data,L$14+1,0),2),0),0)</f>
        <v/>
      </c>
      <c r="M1056" s="141">
        <f>IF(offer_sale_type="транзит",IFERROR(ROUNDUP(VLOOKUP($B1056,calc_data,M$14+1,0),2),0),0)</f>
        <v/>
      </c>
      <c r="N1056" s="141">
        <f>IF(offer_sale_type="транзит",IFERROR(ROUNDUP(VLOOKUP($B1056,calc_data,N$14+1,0),2),0),0)</f>
        <v/>
      </c>
      <c r="O1056" s="147">
        <f>IF(offer_sale_type="транзит",IFERROR(ROUND(VLOOKUP($B1056,calc_data,O$14+1,1),2),0),0)</f>
        <v/>
      </c>
      <c r="P1056" s="141">
        <f>IF(offer_sale_type="транзит",IFERROR(ROUND(SUM(I1056:J1056,M1056:O1056)/E1056,2),0),0)</f>
        <v/>
      </c>
      <c r="Q1056" s="141">
        <f>E1056*P1056</f>
        <v/>
      </c>
      <c r="R1056" s="141">
        <f>ROUND(Q1056*IF(AND(offer_incoterms="DDP",seller_region="RU"),IF((TODAY()+offer_turnaround_time)&gt;=helpsheet!$L$17,rate_vatRU_from_26,rate_vatRu_till_25),0),2)</f>
        <v/>
      </c>
      <c r="S1056" s="177">
        <f>Q1056+IF(AND(offer_incoterms="DDP",seller_region="RU"),R1056,0)</f>
        <v/>
      </c>
      <c r="T1056" s="45" t="n"/>
      <c r="V1056" s="57">
        <f>IF(Q1056&gt;0,"показать","скрыть")</f>
        <v/>
      </c>
    </row>
    <row r="1057" ht="15.75" customHeight="1">
      <c r="B1057" s="809" t="n">
        <v>1041</v>
      </c>
      <c r="C1057" s="182">
        <f>IF(offer_sale_type="транзит",IFERROR(VLOOKUP($B1057,calc_data,C$14+1,0),0),0)</f>
        <v/>
      </c>
      <c r="D1057" s="280">
        <f>IF(offer_sale_type="транзит",IFERROR(VLOOKUP($B1057,calc_data,D$14+1,0),0),0)</f>
        <v/>
      </c>
      <c r="E1057" s="182">
        <f>IF(offer_sale_type="транзит",IFERROR(VLOOKUP($B1057,calc_data,E$14+1,0),0),0)</f>
        <v/>
      </c>
      <c r="F1057" s="182">
        <f>IF(offer_sale_type="транзит",IFERROR(VLOOKUP($B1057,calc_data,F$14+1,0),0),0)</f>
        <v/>
      </c>
      <c r="G1057" s="141">
        <f>IF(offer_sale_type="транзит",IFERROR(VLOOKUP($B1057,calc_data,G$14+1,0),0),0)</f>
        <v/>
      </c>
      <c r="H1057" s="141">
        <f>E1057*G1057</f>
        <v/>
      </c>
      <c r="I1057" s="141">
        <f>IF(offer_sale_type="транзит",IFERROR(ROUND(VLOOKUP($B1057,calc_data,I$14+1,0),2),0),0)</f>
        <v/>
      </c>
      <c r="J1057" s="141">
        <f>ROUND(IF(offer_sale_type="транзит",IFERROR(VLOOKUP($B1057,calc_data,J$14+1,0),0),0),2)</f>
        <v/>
      </c>
      <c r="K1057" s="142">
        <f>IF(offer_sale_type="транзит",IFERROR(ROUNDUP(VLOOKUP($B1057,calc_data,K$14+1,0),2),0),0)</f>
        <v/>
      </c>
      <c r="L1057" s="184">
        <f>IF(offer_sale_type="транзит",IFERROR(ROUNDUP(VLOOKUP($B1057,calc_data,L$14+1,0),2),0),0)</f>
        <v/>
      </c>
      <c r="M1057" s="141">
        <f>IF(offer_sale_type="транзит",IFERROR(ROUNDUP(VLOOKUP($B1057,calc_data,M$14+1,0),2),0),0)</f>
        <v/>
      </c>
      <c r="N1057" s="141">
        <f>IF(offer_sale_type="транзит",IFERROR(ROUNDUP(VLOOKUP($B1057,calc_data,N$14+1,0),2),0),0)</f>
        <v/>
      </c>
      <c r="O1057" s="147">
        <f>IF(offer_sale_type="транзит",IFERROR(ROUND(VLOOKUP($B1057,calc_data,O$14+1,1),2),0),0)</f>
        <v/>
      </c>
      <c r="P1057" s="141">
        <f>IF(offer_sale_type="транзит",IFERROR(ROUND(SUM(I1057:J1057,M1057:O1057)/E1057,2),0),0)</f>
        <v/>
      </c>
      <c r="Q1057" s="141">
        <f>E1057*P1057</f>
        <v/>
      </c>
      <c r="R1057" s="141">
        <f>ROUND(Q1057*IF(AND(offer_incoterms="DDP",seller_region="RU"),IF((TODAY()+offer_turnaround_time)&gt;=helpsheet!$L$17,rate_vatRU_from_26,rate_vatRu_till_25),0),2)</f>
        <v/>
      </c>
      <c r="S1057" s="177">
        <f>Q1057+IF(AND(offer_incoterms="DDP",seller_region="RU"),R1057,0)</f>
        <v/>
      </c>
      <c r="T1057" s="45" t="n"/>
      <c r="V1057" s="57">
        <f>IF(Q1057&gt;0,"показать","скрыть")</f>
        <v/>
      </c>
    </row>
    <row r="1058" ht="15.75" customHeight="1">
      <c r="B1058" s="809" t="n">
        <v>1042</v>
      </c>
      <c r="C1058" s="182">
        <f>IF(offer_sale_type="транзит",IFERROR(VLOOKUP($B1058,calc_data,C$14+1,0),0),0)</f>
        <v/>
      </c>
      <c r="D1058" s="280">
        <f>IF(offer_sale_type="транзит",IFERROR(VLOOKUP($B1058,calc_data,D$14+1,0),0),0)</f>
        <v/>
      </c>
      <c r="E1058" s="182">
        <f>IF(offer_sale_type="транзит",IFERROR(VLOOKUP($B1058,calc_data,E$14+1,0),0),0)</f>
        <v/>
      </c>
      <c r="F1058" s="182">
        <f>IF(offer_sale_type="транзит",IFERROR(VLOOKUP($B1058,calc_data,F$14+1,0),0),0)</f>
        <v/>
      </c>
      <c r="G1058" s="141">
        <f>IF(offer_sale_type="транзит",IFERROR(VLOOKUP($B1058,calc_data,G$14+1,0),0),0)</f>
        <v/>
      </c>
      <c r="H1058" s="141">
        <f>E1058*G1058</f>
        <v/>
      </c>
      <c r="I1058" s="141">
        <f>IF(offer_sale_type="транзит",IFERROR(ROUND(VLOOKUP($B1058,calc_data,I$14+1,0),2),0),0)</f>
        <v/>
      </c>
      <c r="J1058" s="141">
        <f>ROUND(IF(offer_sale_type="транзит",IFERROR(VLOOKUP($B1058,calc_data,J$14+1,0),0),0),2)</f>
        <v/>
      </c>
      <c r="K1058" s="142">
        <f>IF(offer_sale_type="транзит",IFERROR(ROUNDUP(VLOOKUP($B1058,calc_data,K$14+1,0),2),0),0)</f>
        <v/>
      </c>
      <c r="L1058" s="184">
        <f>IF(offer_sale_type="транзит",IFERROR(ROUNDUP(VLOOKUP($B1058,calc_data,L$14+1,0),2),0),0)</f>
        <v/>
      </c>
      <c r="M1058" s="141">
        <f>IF(offer_sale_type="транзит",IFERROR(ROUNDUP(VLOOKUP($B1058,calc_data,M$14+1,0),2),0),0)</f>
        <v/>
      </c>
      <c r="N1058" s="141">
        <f>IF(offer_sale_type="транзит",IFERROR(ROUNDUP(VLOOKUP($B1058,calc_data,N$14+1,0),2),0),0)</f>
        <v/>
      </c>
      <c r="O1058" s="147">
        <f>IF(offer_sale_type="транзит",IFERROR(ROUND(VLOOKUP($B1058,calc_data,O$14+1,1),2),0),0)</f>
        <v/>
      </c>
      <c r="P1058" s="141">
        <f>IF(offer_sale_type="транзит",IFERROR(ROUND(SUM(I1058:J1058,M1058:O1058)/E1058,2),0),0)</f>
        <v/>
      </c>
      <c r="Q1058" s="141">
        <f>E1058*P1058</f>
        <v/>
      </c>
      <c r="R1058" s="141">
        <f>ROUND(Q1058*IF(AND(offer_incoterms="DDP",seller_region="RU"),IF((TODAY()+offer_turnaround_time)&gt;=helpsheet!$L$17,rate_vatRU_from_26,rate_vatRu_till_25),0),2)</f>
        <v/>
      </c>
      <c r="S1058" s="177">
        <f>Q1058+IF(AND(offer_incoterms="DDP",seller_region="RU"),R1058,0)</f>
        <v/>
      </c>
      <c r="T1058" s="45" t="n"/>
      <c r="V1058" s="57">
        <f>IF(Q1058&gt;0,"показать","скрыть")</f>
        <v/>
      </c>
    </row>
    <row r="1059" ht="15.75" customHeight="1">
      <c r="B1059" s="809" t="n">
        <v>1043</v>
      </c>
      <c r="C1059" s="182">
        <f>IF(offer_sale_type="транзит",IFERROR(VLOOKUP($B1059,calc_data,C$14+1,0),0),0)</f>
        <v/>
      </c>
      <c r="D1059" s="280">
        <f>IF(offer_sale_type="транзит",IFERROR(VLOOKUP($B1059,calc_data,D$14+1,0),0),0)</f>
        <v/>
      </c>
      <c r="E1059" s="182">
        <f>IF(offer_sale_type="транзит",IFERROR(VLOOKUP($B1059,calc_data,E$14+1,0),0),0)</f>
        <v/>
      </c>
      <c r="F1059" s="182">
        <f>IF(offer_sale_type="транзит",IFERROR(VLOOKUP($B1059,calc_data,F$14+1,0),0),0)</f>
        <v/>
      </c>
      <c r="G1059" s="141">
        <f>IF(offer_sale_type="транзит",IFERROR(VLOOKUP($B1059,calc_data,G$14+1,0),0),0)</f>
        <v/>
      </c>
      <c r="H1059" s="141">
        <f>E1059*G1059</f>
        <v/>
      </c>
      <c r="I1059" s="141">
        <f>IF(offer_sale_type="транзит",IFERROR(ROUND(VLOOKUP($B1059,calc_data,I$14+1,0),2),0),0)</f>
        <v/>
      </c>
      <c r="J1059" s="141">
        <f>ROUND(IF(offer_sale_type="транзит",IFERROR(VLOOKUP($B1059,calc_data,J$14+1,0),0),0),2)</f>
        <v/>
      </c>
      <c r="K1059" s="142">
        <f>IF(offer_sale_type="транзит",IFERROR(ROUNDUP(VLOOKUP($B1059,calc_data,K$14+1,0),2),0),0)</f>
        <v/>
      </c>
      <c r="L1059" s="184">
        <f>IF(offer_sale_type="транзит",IFERROR(ROUNDUP(VLOOKUP($B1059,calc_data,L$14+1,0),2),0),0)</f>
        <v/>
      </c>
      <c r="M1059" s="141">
        <f>IF(offer_sale_type="транзит",IFERROR(ROUNDUP(VLOOKUP($B1059,calc_data,M$14+1,0),2),0),0)</f>
        <v/>
      </c>
      <c r="N1059" s="141">
        <f>IF(offer_sale_type="транзит",IFERROR(ROUNDUP(VLOOKUP($B1059,calc_data,N$14+1,0),2),0),0)</f>
        <v/>
      </c>
      <c r="O1059" s="147">
        <f>IF(offer_sale_type="транзит",IFERROR(ROUND(VLOOKUP($B1059,calc_data,O$14+1,1),2),0),0)</f>
        <v/>
      </c>
      <c r="P1059" s="141">
        <f>IF(offer_sale_type="транзит",IFERROR(ROUND(SUM(I1059:J1059,M1059:O1059)/E1059,2),0),0)</f>
        <v/>
      </c>
      <c r="Q1059" s="141">
        <f>E1059*P1059</f>
        <v/>
      </c>
      <c r="R1059" s="141">
        <f>ROUND(Q1059*IF(AND(offer_incoterms="DDP",seller_region="RU"),IF((TODAY()+offer_turnaround_time)&gt;=helpsheet!$L$17,rate_vatRU_from_26,rate_vatRu_till_25),0),2)</f>
        <v/>
      </c>
      <c r="S1059" s="177">
        <f>Q1059+IF(AND(offer_incoterms="DDP",seller_region="RU"),R1059,0)</f>
        <v/>
      </c>
      <c r="T1059" s="45" t="n"/>
      <c r="V1059" s="57">
        <f>IF(Q1059&gt;0,"показать","скрыть")</f>
        <v/>
      </c>
    </row>
    <row r="1060" ht="15.75" customHeight="1">
      <c r="B1060" s="809" t="n">
        <v>1044</v>
      </c>
      <c r="C1060" s="182">
        <f>IF(offer_sale_type="транзит",IFERROR(VLOOKUP($B1060,calc_data,C$14+1,0),0),0)</f>
        <v/>
      </c>
      <c r="D1060" s="280">
        <f>IF(offer_sale_type="транзит",IFERROR(VLOOKUP($B1060,calc_data,D$14+1,0),0),0)</f>
        <v/>
      </c>
      <c r="E1060" s="182">
        <f>IF(offer_sale_type="транзит",IFERROR(VLOOKUP($B1060,calc_data,E$14+1,0),0),0)</f>
        <v/>
      </c>
      <c r="F1060" s="182">
        <f>IF(offer_sale_type="транзит",IFERROR(VLOOKUP($B1060,calc_data,F$14+1,0),0),0)</f>
        <v/>
      </c>
      <c r="G1060" s="141">
        <f>IF(offer_sale_type="транзит",IFERROR(VLOOKUP($B1060,calc_data,G$14+1,0),0),0)</f>
        <v/>
      </c>
      <c r="H1060" s="141">
        <f>E1060*G1060</f>
        <v/>
      </c>
      <c r="I1060" s="141">
        <f>IF(offer_sale_type="транзит",IFERROR(ROUND(VLOOKUP($B1060,calc_data,I$14+1,0),2),0),0)</f>
        <v/>
      </c>
      <c r="J1060" s="141">
        <f>ROUND(IF(offer_sale_type="транзит",IFERROR(VLOOKUP($B1060,calc_data,J$14+1,0),0),0),2)</f>
        <v/>
      </c>
      <c r="K1060" s="142">
        <f>IF(offer_sale_type="транзит",IFERROR(ROUNDUP(VLOOKUP($B1060,calc_data,K$14+1,0),2),0),0)</f>
        <v/>
      </c>
      <c r="L1060" s="184">
        <f>IF(offer_sale_type="транзит",IFERROR(ROUNDUP(VLOOKUP($B1060,calc_data,L$14+1,0),2),0),0)</f>
        <v/>
      </c>
      <c r="M1060" s="141">
        <f>IF(offer_sale_type="транзит",IFERROR(ROUNDUP(VLOOKUP($B1060,calc_data,M$14+1,0),2),0),0)</f>
        <v/>
      </c>
      <c r="N1060" s="141">
        <f>IF(offer_sale_type="транзит",IFERROR(ROUNDUP(VLOOKUP($B1060,calc_data,N$14+1,0),2),0),0)</f>
        <v/>
      </c>
      <c r="O1060" s="147">
        <f>IF(offer_sale_type="транзит",IFERROR(ROUND(VLOOKUP($B1060,calc_data,O$14+1,1),2),0),0)</f>
        <v/>
      </c>
      <c r="P1060" s="141">
        <f>IF(offer_sale_type="транзит",IFERROR(ROUND(SUM(I1060:J1060,M1060:O1060)/E1060,2),0),0)</f>
        <v/>
      </c>
      <c r="Q1060" s="141">
        <f>E1060*P1060</f>
        <v/>
      </c>
      <c r="R1060" s="141">
        <f>ROUND(Q1060*IF(AND(offer_incoterms="DDP",seller_region="RU"),IF((TODAY()+offer_turnaround_time)&gt;=helpsheet!$L$17,rate_vatRU_from_26,rate_vatRu_till_25),0),2)</f>
        <v/>
      </c>
      <c r="S1060" s="177">
        <f>Q1060+IF(AND(offer_incoterms="DDP",seller_region="RU"),R1060,0)</f>
        <v/>
      </c>
      <c r="T1060" s="45" t="n"/>
      <c r="V1060" s="57">
        <f>IF(Q1060&gt;0,"показать","скрыть")</f>
        <v/>
      </c>
    </row>
    <row r="1061" ht="15.75" customHeight="1">
      <c r="B1061" s="809" t="n">
        <v>1045</v>
      </c>
      <c r="C1061" s="182">
        <f>IF(offer_sale_type="транзит",IFERROR(VLOOKUP($B1061,calc_data,C$14+1,0),0),0)</f>
        <v/>
      </c>
      <c r="D1061" s="280">
        <f>IF(offer_sale_type="транзит",IFERROR(VLOOKUP($B1061,calc_data,D$14+1,0),0),0)</f>
        <v/>
      </c>
      <c r="E1061" s="182">
        <f>IF(offer_sale_type="транзит",IFERROR(VLOOKUP($B1061,calc_data,E$14+1,0),0),0)</f>
        <v/>
      </c>
      <c r="F1061" s="182">
        <f>IF(offer_sale_type="транзит",IFERROR(VLOOKUP($B1061,calc_data,F$14+1,0),0),0)</f>
        <v/>
      </c>
      <c r="G1061" s="141">
        <f>IF(offer_sale_type="транзит",IFERROR(VLOOKUP($B1061,calc_data,G$14+1,0),0),0)</f>
        <v/>
      </c>
      <c r="H1061" s="141">
        <f>E1061*G1061</f>
        <v/>
      </c>
      <c r="I1061" s="141">
        <f>IF(offer_sale_type="транзит",IFERROR(ROUND(VLOOKUP($B1061,calc_data,I$14+1,0),2),0),0)</f>
        <v/>
      </c>
      <c r="J1061" s="141">
        <f>ROUND(IF(offer_sale_type="транзит",IFERROR(VLOOKUP($B1061,calc_data,J$14+1,0),0),0),2)</f>
        <v/>
      </c>
      <c r="K1061" s="142">
        <f>IF(offer_sale_type="транзит",IFERROR(ROUNDUP(VLOOKUP($B1061,calc_data,K$14+1,0),2),0),0)</f>
        <v/>
      </c>
      <c r="L1061" s="184">
        <f>IF(offer_sale_type="транзит",IFERROR(ROUNDUP(VLOOKUP($B1061,calc_data,L$14+1,0),2),0),0)</f>
        <v/>
      </c>
      <c r="M1061" s="141">
        <f>IF(offer_sale_type="транзит",IFERROR(ROUNDUP(VLOOKUP($B1061,calc_data,M$14+1,0),2),0),0)</f>
        <v/>
      </c>
      <c r="N1061" s="141">
        <f>IF(offer_sale_type="транзит",IFERROR(ROUNDUP(VLOOKUP($B1061,calc_data,N$14+1,0),2),0),0)</f>
        <v/>
      </c>
      <c r="O1061" s="147">
        <f>IF(offer_sale_type="транзит",IFERROR(ROUND(VLOOKUP($B1061,calc_data,O$14+1,1),2),0),0)</f>
        <v/>
      </c>
      <c r="P1061" s="141">
        <f>IF(offer_sale_type="транзит",IFERROR(ROUND(SUM(I1061:J1061,M1061:O1061)/E1061,2),0),0)</f>
        <v/>
      </c>
      <c r="Q1061" s="141">
        <f>E1061*P1061</f>
        <v/>
      </c>
      <c r="R1061" s="141">
        <f>ROUND(Q1061*IF(AND(offer_incoterms="DDP",seller_region="RU"),IF((TODAY()+offer_turnaround_time)&gt;=helpsheet!$L$17,rate_vatRU_from_26,rate_vatRu_till_25),0),2)</f>
        <v/>
      </c>
      <c r="S1061" s="177">
        <f>Q1061+IF(AND(offer_incoterms="DDP",seller_region="RU"),R1061,0)</f>
        <v/>
      </c>
      <c r="T1061" s="45" t="n"/>
      <c r="V1061" s="57">
        <f>IF(Q1061&gt;0,"показать","скрыть")</f>
        <v/>
      </c>
    </row>
    <row r="1062" ht="15.75" customHeight="1">
      <c r="B1062" s="809" t="n">
        <v>1046</v>
      </c>
      <c r="C1062" s="182">
        <f>IF(offer_sale_type="транзит",IFERROR(VLOOKUP($B1062,calc_data,C$14+1,0),0),0)</f>
        <v/>
      </c>
      <c r="D1062" s="280">
        <f>IF(offer_sale_type="транзит",IFERROR(VLOOKUP($B1062,calc_data,D$14+1,0),0),0)</f>
        <v/>
      </c>
      <c r="E1062" s="182">
        <f>IF(offer_sale_type="транзит",IFERROR(VLOOKUP($B1062,calc_data,E$14+1,0),0),0)</f>
        <v/>
      </c>
      <c r="F1062" s="182">
        <f>IF(offer_sale_type="транзит",IFERROR(VLOOKUP($B1062,calc_data,F$14+1,0),0),0)</f>
        <v/>
      </c>
      <c r="G1062" s="141">
        <f>IF(offer_sale_type="транзит",IFERROR(VLOOKUP($B1062,calc_data,G$14+1,0),0),0)</f>
        <v/>
      </c>
      <c r="H1062" s="141">
        <f>E1062*G1062</f>
        <v/>
      </c>
      <c r="I1062" s="141">
        <f>IF(offer_sale_type="транзит",IFERROR(ROUND(VLOOKUP($B1062,calc_data,I$14+1,0),2),0),0)</f>
        <v/>
      </c>
      <c r="J1062" s="141">
        <f>ROUND(IF(offer_sale_type="транзит",IFERROR(VLOOKUP($B1062,calc_data,J$14+1,0),0),0),2)</f>
        <v/>
      </c>
      <c r="K1062" s="142">
        <f>IF(offer_sale_type="транзит",IFERROR(ROUNDUP(VLOOKUP($B1062,calc_data,K$14+1,0),2),0),0)</f>
        <v/>
      </c>
      <c r="L1062" s="184">
        <f>IF(offer_sale_type="транзит",IFERROR(ROUNDUP(VLOOKUP($B1062,calc_data,L$14+1,0),2),0),0)</f>
        <v/>
      </c>
      <c r="M1062" s="141">
        <f>IF(offer_sale_type="транзит",IFERROR(ROUNDUP(VLOOKUP($B1062,calc_data,M$14+1,0),2),0),0)</f>
        <v/>
      </c>
      <c r="N1062" s="141">
        <f>IF(offer_sale_type="транзит",IFERROR(ROUNDUP(VLOOKUP($B1062,calc_data,N$14+1,0),2),0),0)</f>
        <v/>
      </c>
      <c r="O1062" s="147">
        <f>IF(offer_sale_type="транзит",IFERROR(ROUND(VLOOKUP($B1062,calc_data,O$14+1,1),2),0),0)</f>
        <v/>
      </c>
      <c r="P1062" s="141">
        <f>IF(offer_sale_type="транзит",IFERROR(ROUND(SUM(I1062:J1062,M1062:O1062)/E1062,2),0),0)</f>
        <v/>
      </c>
      <c r="Q1062" s="141">
        <f>E1062*P1062</f>
        <v/>
      </c>
      <c r="R1062" s="141">
        <f>ROUND(Q1062*IF(AND(offer_incoterms="DDP",seller_region="RU"),IF((TODAY()+offer_turnaround_time)&gt;=helpsheet!$L$17,rate_vatRU_from_26,rate_vatRu_till_25),0),2)</f>
        <v/>
      </c>
      <c r="S1062" s="177">
        <f>Q1062+IF(AND(offer_incoterms="DDP",seller_region="RU"),R1062,0)</f>
        <v/>
      </c>
      <c r="T1062" s="45" t="n"/>
      <c r="V1062" s="57">
        <f>IF(Q1062&gt;0,"показать","скрыть")</f>
        <v/>
      </c>
    </row>
    <row r="1063" ht="15.75" customHeight="1">
      <c r="B1063" s="809" t="n">
        <v>1047</v>
      </c>
      <c r="C1063" s="182">
        <f>IF(offer_sale_type="транзит",IFERROR(VLOOKUP($B1063,calc_data,C$14+1,0),0),0)</f>
        <v/>
      </c>
      <c r="D1063" s="280">
        <f>IF(offer_sale_type="транзит",IFERROR(VLOOKUP($B1063,calc_data,D$14+1,0),0),0)</f>
        <v/>
      </c>
      <c r="E1063" s="182">
        <f>IF(offer_sale_type="транзит",IFERROR(VLOOKUP($B1063,calc_data,E$14+1,0),0),0)</f>
        <v/>
      </c>
      <c r="F1063" s="182">
        <f>IF(offer_sale_type="транзит",IFERROR(VLOOKUP($B1063,calc_data,F$14+1,0),0),0)</f>
        <v/>
      </c>
      <c r="G1063" s="141">
        <f>IF(offer_sale_type="транзит",IFERROR(VLOOKUP($B1063,calc_data,G$14+1,0),0),0)</f>
        <v/>
      </c>
      <c r="H1063" s="141">
        <f>E1063*G1063</f>
        <v/>
      </c>
      <c r="I1063" s="141">
        <f>IF(offer_sale_type="транзит",IFERROR(ROUND(VLOOKUP($B1063,calc_data,I$14+1,0),2),0),0)</f>
        <v/>
      </c>
      <c r="J1063" s="141">
        <f>ROUND(IF(offer_sale_type="транзит",IFERROR(VLOOKUP($B1063,calc_data,J$14+1,0),0),0),2)</f>
        <v/>
      </c>
      <c r="K1063" s="142">
        <f>IF(offer_sale_type="транзит",IFERROR(ROUNDUP(VLOOKUP($B1063,calc_data,K$14+1,0),2),0),0)</f>
        <v/>
      </c>
      <c r="L1063" s="184">
        <f>IF(offer_sale_type="транзит",IFERROR(ROUNDUP(VLOOKUP($B1063,calc_data,L$14+1,0),2),0),0)</f>
        <v/>
      </c>
      <c r="M1063" s="141">
        <f>IF(offer_sale_type="транзит",IFERROR(ROUNDUP(VLOOKUP($B1063,calc_data,M$14+1,0),2),0),0)</f>
        <v/>
      </c>
      <c r="N1063" s="141">
        <f>IF(offer_sale_type="транзит",IFERROR(ROUNDUP(VLOOKUP($B1063,calc_data,N$14+1,0),2),0),0)</f>
        <v/>
      </c>
      <c r="O1063" s="147">
        <f>IF(offer_sale_type="транзит",IFERROR(ROUND(VLOOKUP($B1063,calc_data,O$14+1,1),2),0),0)</f>
        <v/>
      </c>
      <c r="P1063" s="141">
        <f>IF(offer_sale_type="транзит",IFERROR(ROUND(SUM(I1063:J1063,M1063:O1063)/E1063,2),0),0)</f>
        <v/>
      </c>
      <c r="Q1063" s="141">
        <f>E1063*P1063</f>
        <v/>
      </c>
      <c r="R1063" s="141">
        <f>ROUND(Q1063*IF(AND(offer_incoterms="DDP",seller_region="RU"),IF((TODAY()+offer_turnaround_time)&gt;=helpsheet!$L$17,rate_vatRU_from_26,rate_vatRu_till_25),0),2)</f>
        <v/>
      </c>
      <c r="S1063" s="177">
        <f>Q1063+IF(AND(offer_incoterms="DDP",seller_region="RU"),R1063,0)</f>
        <v/>
      </c>
      <c r="T1063" s="45" t="n"/>
      <c r="V1063" s="57">
        <f>IF(Q1063&gt;0,"показать","скрыть")</f>
        <v/>
      </c>
    </row>
    <row r="1064" ht="15.75" customHeight="1">
      <c r="B1064" s="809" t="n">
        <v>1048</v>
      </c>
      <c r="C1064" s="182">
        <f>IF(offer_sale_type="транзит",IFERROR(VLOOKUP($B1064,calc_data,C$14+1,0),0),0)</f>
        <v/>
      </c>
      <c r="D1064" s="280">
        <f>IF(offer_sale_type="транзит",IFERROR(VLOOKUP($B1064,calc_data,D$14+1,0),0),0)</f>
        <v/>
      </c>
      <c r="E1064" s="182">
        <f>IF(offer_sale_type="транзит",IFERROR(VLOOKUP($B1064,calc_data,E$14+1,0),0),0)</f>
        <v/>
      </c>
      <c r="F1064" s="182">
        <f>IF(offer_sale_type="транзит",IFERROR(VLOOKUP($B1064,calc_data,F$14+1,0),0),0)</f>
        <v/>
      </c>
      <c r="G1064" s="141">
        <f>IF(offer_sale_type="транзит",IFERROR(VLOOKUP($B1064,calc_data,G$14+1,0),0),0)</f>
        <v/>
      </c>
      <c r="H1064" s="141">
        <f>E1064*G1064</f>
        <v/>
      </c>
      <c r="I1064" s="141">
        <f>IF(offer_sale_type="транзит",IFERROR(ROUND(VLOOKUP($B1064,calc_data,I$14+1,0),2),0),0)</f>
        <v/>
      </c>
      <c r="J1064" s="141">
        <f>ROUND(IF(offer_sale_type="транзит",IFERROR(VLOOKUP($B1064,calc_data,J$14+1,0),0),0),2)</f>
        <v/>
      </c>
      <c r="K1064" s="142">
        <f>IF(offer_sale_type="транзит",IFERROR(ROUNDUP(VLOOKUP($B1064,calc_data,K$14+1,0),2),0),0)</f>
        <v/>
      </c>
      <c r="L1064" s="184">
        <f>IF(offer_sale_type="транзит",IFERROR(ROUNDUP(VLOOKUP($B1064,calc_data,L$14+1,0),2),0),0)</f>
        <v/>
      </c>
      <c r="M1064" s="141">
        <f>IF(offer_sale_type="транзит",IFERROR(ROUNDUP(VLOOKUP($B1064,calc_data,M$14+1,0),2),0),0)</f>
        <v/>
      </c>
      <c r="N1064" s="141">
        <f>IF(offer_sale_type="транзит",IFERROR(ROUNDUP(VLOOKUP($B1064,calc_data,N$14+1,0),2),0),0)</f>
        <v/>
      </c>
      <c r="O1064" s="147">
        <f>IF(offer_sale_type="транзит",IFERROR(ROUND(VLOOKUP($B1064,calc_data,O$14+1,1),2),0),0)</f>
        <v/>
      </c>
      <c r="P1064" s="141">
        <f>IF(offer_sale_type="транзит",IFERROR(ROUND(SUM(I1064:J1064,M1064:O1064)/E1064,2),0),0)</f>
        <v/>
      </c>
      <c r="Q1064" s="141">
        <f>E1064*P1064</f>
        <v/>
      </c>
      <c r="R1064" s="141">
        <f>ROUND(Q1064*IF(AND(offer_incoterms="DDP",seller_region="RU"),IF((TODAY()+offer_turnaround_time)&gt;=helpsheet!$L$17,rate_vatRU_from_26,rate_vatRu_till_25),0),2)</f>
        <v/>
      </c>
      <c r="S1064" s="177">
        <f>Q1064+IF(AND(offer_incoterms="DDP",seller_region="RU"),R1064,0)</f>
        <v/>
      </c>
      <c r="T1064" s="45" t="n"/>
      <c r="V1064" s="57">
        <f>IF(Q1064&gt;0,"показать","скрыть")</f>
        <v/>
      </c>
    </row>
    <row r="1065" ht="15.75" customHeight="1">
      <c r="B1065" s="809" t="n">
        <v>1049</v>
      </c>
      <c r="C1065" s="182">
        <f>IF(offer_sale_type="транзит",IFERROR(VLOOKUP($B1065,calc_data,C$14+1,0),0),0)</f>
        <v/>
      </c>
      <c r="D1065" s="280">
        <f>IF(offer_sale_type="транзит",IFERROR(VLOOKUP($B1065,calc_data,D$14+1,0),0),0)</f>
        <v/>
      </c>
      <c r="E1065" s="182">
        <f>IF(offer_sale_type="транзит",IFERROR(VLOOKUP($B1065,calc_data,E$14+1,0),0),0)</f>
        <v/>
      </c>
      <c r="F1065" s="182">
        <f>IF(offer_sale_type="транзит",IFERROR(VLOOKUP($B1065,calc_data,F$14+1,0),0),0)</f>
        <v/>
      </c>
      <c r="G1065" s="141">
        <f>IF(offer_sale_type="транзит",IFERROR(VLOOKUP($B1065,calc_data,G$14+1,0),0),0)</f>
        <v/>
      </c>
      <c r="H1065" s="141">
        <f>E1065*G1065</f>
        <v/>
      </c>
      <c r="I1065" s="141">
        <f>IF(offer_sale_type="транзит",IFERROR(ROUND(VLOOKUP($B1065,calc_data,I$14+1,0),2),0),0)</f>
        <v/>
      </c>
      <c r="J1065" s="141">
        <f>ROUND(IF(offer_sale_type="транзит",IFERROR(VLOOKUP($B1065,calc_data,J$14+1,0),0),0),2)</f>
        <v/>
      </c>
      <c r="K1065" s="142">
        <f>IF(offer_sale_type="транзит",IFERROR(ROUNDUP(VLOOKUP($B1065,calc_data,K$14+1,0),2),0),0)</f>
        <v/>
      </c>
      <c r="L1065" s="184">
        <f>IF(offer_sale_type="транзит",IFERROR(ROUNDUP(VLOOKUP($B1065,calc_data,L$14+1,0),2),0),0)</f>
        <v/>
      </c>
      <c r="M1065" s="141">
        <f>IF(offer_sale_type="транзит",IFERROR(ROUNDUP(VLOOKUP($B1065,calc_data,M$14+1,0),2),0),0)</f>
        <v/>
      </c>
      <c r="N1065" s="141">
        <f>IF(offer_sale_type="транзит",IFERROR(ROUNDUP(VLOOKUP($B1065,calc_data,N$14+1,0),2),0),0)</f>
        <v/>
      </c>
      <c r="O1065" s="147">
        <f>IF(offer_sale_type="транзит",IFERROR(ROUND(VLOOKUP($B1065,calc_data,O$14+1,1),2),0),0)</f>
        <v/>
      </c>
      <c r="P1065" s="141">
        <f>IF(offer_sale_type="транзит",IFERROR(ROUND(SUM(I1065:J1065,M1065:O1065)/E1065,2),0),0)</f>
        <v/>
      </c>
      <c r="Q1065" s="141">
        <f>E1065*P1065</f>
        <v/>
      </c>
      <c r="R1065" s="141">
        <f>ROUND(Q1065*IF(AND(offer_incoterms="DDP",seller_region="RU"),IF((TODAY()+offer_turnaround_time)&gt;=helpsheet!$L$17,rate_vatRU_from_26,rate_vatRu_till_25),0),2)</f>
        <v/>
      </c>
      <c r="S1065" s="177">
        <f>Q1065+IF(AND(offer_incoterms="DDP",seller_region="RU"),R1065,0)</f>
        <v/>
      </c>
      <c r="T1065" s="45" t="n"/>
      <c r="V1065" s="57">
        <f>IF(Q1065&gt;0,"показать","скрыть")</f>
        <v/>
      </c>
    </row>
    <row r="1066" ht="15.75" customHeight="1">
      <c r="B1066" s="809" t="n">
        <v>1050</v>
      </c>
      <c r="C1066" s="182">
        <f>IF(offer_sale_type="транзит",IFERROR(VLOOKUP($B1066,calc_data,C$14+1,0),0),0)</f>
        <v/>
      </c>
      <c r="D1066" s="280">
        <f>IF(offer_sale_type="транзит",IFERROR(VLOOKUP($B1066,calc_data,D$14+1,0),0),0)</f>
        <v/>
      </c>
      <c r="E1066" s="182">
        <f>IF(offer_sale_type="транзит",IFERROR(VLOOKUP($B1066,calc_data,E$14+1,0),0),0)</f>
        <v/>
      </c>
      <c r="F1066" s="182">
        <f>IF(offer_sale_type="транзит",IFERROR(VLOOKUP($B1066,calc_data,F$14+1,0),0),0)</f>
        <v/>
      </c>
      <c r="G1066" s="141">
        <f>IF(offer_sale_type="транзит",IFERROR(VLOOKUP($B1066,calc_data,G$14+1,0),0),0)</f>
        <v/>
      </c>
      <c r="H1066" s="141">
        <f>E1066*G1066</f>
        <v/>
      </c>
      <c r="I1066" s="141">
        <f>IF(offer_sale_type="транзит",IFERROR(ROUND(VLOOKUP($B1066,calc_data,I$14+1,0),2),0),0)</f>
        <v/>
      </c>
      <c r="J1066" s="141">
        <f>ROUND(IF(offer_sale_type="транзит",IFERROR(VLOOKUP($B1066,calc_data,J$14+1,0),0),0),2)</f>
        <v/>
      </c>
      <c r="K1066" s="142">
        <f>IF(offer_sale_type="транзит",IFERROR(ROUNDUP(VLOOKUP($B1066,calc_data,K$14+1,0),2),0),0)</f>
        <v/>
      </c>
      <c r="L1066" s="184">
        <f>IF(offer_sale_type="транзит",IFERROR(ROUNDUP(VLOOKUP($B1066,calc_data,L$14+1,0),2),0),0)</f>
        <v/>
      </c>
      <c r="M1066" s="141">
        <f>IF(offer_sale_type="транзит",IFERROR(ROUNDUP(VLOOKUP($B1066,calc_data,M$14+1,0),2),0),0)</f>
        <v/>
      </c>
      <c r="N1066" s="141">
        <f>IF(offer_sale_type="транзит",IFERROR(ROUNDUP(VLOOKUP($B1066,calc_data,N$14+1,0),2),0),0)</f>
        <v/>
      </c>
      <c r="O1066" s="147">
        <f>IF(offer_sale_type="транзит",IFERROR(ROUND(VLOOKUP($B1066,calc_data,O$14+1,1),2),0),0)</f>
        <v/>
      </c>
      <c r="P1066" s="141">
        <f>IF(offer_sale_type="транзит",IFERROR(ROUND(SUM(I1066:J1066,M1066:O1066)/E1066,2),0),0)</f>
        <v/>
      </c>
      <c r="Q1066" s="141">
        <f>E1066*P1066</f>
        <v/>
      </c>
      <c r="R1066" s="141">
        <f>ROUND(Q1066*IF(AND(offer_incoterms="DDP",seller_region="RU"),IF((TODAY()+offer_turnaround_time)&gt;=helpsheet!$L$17,rate_vatRU_from_26,rate_vatRu_till_25),0),2)</f>
        <v/>
      </c>
      <c r="S1066" s="177">
        <f>Q1066+IF(AND(offer_incoterms="DDP",seller_region="RU"),R1066,0)</f>
        <v/>
      </c>
      <c r="T1066" s="45" t="n"/>
      <c r="V1066" s="57">
        <f>IF(Q1066&gt;0,"показать","скрыть")</f>
        <v/>
      </c>
    </row>
    <row r="1067" ht="15.75" customHeight="1">
      <c r="B1067" s="809" t="n">
        <v>1051</v>
      </c>
      <c r="C1067" s="182">
        <f>IF(offer_sale_type="транзит",IFERROR(VLOOKUP($B1067,calc_data,C$14+1,0),0),0)</f>
        <v/>
      </c>
      <c r="D1067" s="280">
        <f>IF(offer_sale_type="транзит",IFERROR(VLOOKUP($B1067,calc_data,D$14+1,0),0),0)</f>
        <v/>
      </c>
      <c r="E1067" s="182">
        <f>IF(offer_sale_type="транзит",IFERROR(VLOOKUP($B1067,calc_data,E$14+1,0),0),0)</f>
        <v/>
      </c>
      <c r="F1067" s="182">
        <f>IF(offer_sale_type="транзит",IFERROR(VLOOKUP($B1067,calc_data,F$14+1,0),0),0)</f>
        <v/>
      </c>
      <c r="G1067" s="141">
        <f>IF(offer_sale_type="транзит",IFERROR(VLOOKUP($B1067,calc_data,G$14+1,0),0),0)</f>
        <v/>
      </c>
      <c r="H1067" s="141">
        <f>E1067*G1067</f>
        <v/>
      </c>
      <c r="I1067" s="141">
        <f>IF(offer_sale_type="транзит",IFERROR(ROUND(VLOOKUP($B1067,calc_data,I$14+1,0),2),0),0)</f>
        <v/>
      </c>
      <c r="J1067" s="141">
        <f>ROUND(IF(offer_sale_type="транзит",IFERROR(VLOOKUP($B1067,calc_data,J$14+1,0),0),0),2)</f>
        <v/>
      </c>
      <c r="K1067" s="142">
        <f>IF(offer_sale_type="транзит",IFERROR(ROUNDUP(VLOOKUP($B1067,calc_data,K$14+1,0),2),0),0)</f>
        <v/>
      </c>
      <c r="L1067" s="184">
        <f>IF(offer_sale_type="транзит",IFERROR(ROUNDUP(VLOOKUP($B1067,calc_data,L$14+1,0),2),0),0)</f>
        <v/>
      </c>
      <c r="M1067" s="141">
        <f>IF(offer_sale_type="транзит",IFERROR(ROUNDUP(VLOOKUP($B1067,calc_data,M$14+1,0),2),0),0)</f>
        <v/>
      </c>
      <c r="N1067" s="141">
        <f>IF(offer_sale_type="транзит",IFERROR(ROUNDUP(VLOOKUP($B1067,calc_data,N$14+1,0),2),0),0)</f>
        <v/>
      </c>
      <c r="O1067" s="147">
        <f>IF(offer_sale_type="транзит",IFERROR(ROUND(VLOOKUP($B1067,calc_data,O$14+1,1),2),0),0)</f>
        <v/>
      </c>
      <c r="P1067" s="141">
        <f>IF(offer_sale_type="транзит",IFERROR(ROUND(SUM(I1067:J1067,M1067:O1067)/E1067,2),0),0)</f>
        <v/>
      </c>
      <c r="Q1067" s="141">
        <f>E1067*P1067</f>
        <v/>
      </c>
      <c r="R1067" s="141">
        <f>ROUND(Q1067*IF(AND(offer_incoterms="DDP",seller_region="RU"),IF((TODAY()+offer_turnaround_time)&gt;=helpsheet!$L$17,rate_vatRU_from_26,rate_vatRu_till_25),0),2)</f>
        <v/>
      </c>
      <c r="S1067" s="177">
        <f>Q1067+IF(AND(offer_incoterms="DDP",seller_region="RU"),R1067,0)</f>
        <v/>
      </c>
      <c r="T1067" s="45" t="n"/>
      <c r="V1067" s="57">
        <f>IF(Q1067&gt;0,"показать","скрыть")</f>
        <v/>
      </c>
    </row>
    <row r="1068" ht="15.75" customHeight="1">
      <c r="B1068" s="809" t="n">
        <v>1052</v>
      </c>
      <c r="C1068" s="182">
        <f>IF(offer_sale_type="транзит",IFERROR(VLOOKUP($B1068,calc_data,C$14+1,0),0),0)</f>
        <v/>
      </c>
      <c r="D1068" s="280">
        <f>IF(offer_sale_type="транзит",IFERROR(VLOOKUP($B1068,calc_data,D$14+1,0),0),0)</f>
        <v/>
      </c>
      <c r="E1068" s="182">
        <f>IF(offer_sale_type="транзит",IFERROR(VLOOKUP($B1068,calc_data,E$14+1,0),0),0)</f>
        <v/>
      </c>
      <c r="F1068" s="182">
        <f>IF(offer_sale_type="транзит",IFERROR(VLOOKUP($B1068,calc_data,F$14+1,0),0),0)</f>
        <v/>
      </c>
      <c r="G1068" s="141">
        <f>IF(offer_sale_type="транзит",IFERROR(VLOOKUP($B1068,calc_data,G$14+1,0),0),0)</f>
        <v/>
      </c>
      <c r="H1068" s="141">
        <f>E1068*G1068</f>
        <v/>
      </c>
      <c r="I1068" s="141">
        <f>IF(offer_sale_type="транзит",IFERROR(ROUND(VLOOKUP($B1068,calc_data,I$14+1,0),2),0),0)</f>
        <v/>
      </c>
      <c r="J1068" s="141">
        <f>ROUND(IF(offer_sale_type="транзит",IFERROR(VLOOKUP($B1068,calc_data,J$14+1,0),0),0),2)</f>
        <v/>
      </c>
      <c r="K1068" s="142">
        <f>IF(offer_sale_type="транзит",IFERROR(ROUNDUP(VLOOKUP($B1068,calc_data,K$14+1,0),2),0),0)</f>
        <v/>
      </c>
      <c r="L1068" s="184">
        <f>IF(offer_sale_type="транзит",IFERROR(ROUNDUP(VLOOKUP($B1068,calc_data,L$14+1,0),2),0),0)</f>
        <v/>
      </c>
      <c r="M1068" s="141">
        <f>IF(offer_sale_type="транзит",IFERROR(ROUNDUP(VLOOKUP($B1068,calc_data,M$14+1,0),2),0),0)</f>
        <v/>
      </c>
      <c r="N1068" s="141">
        <f>IF(offer_sale_type="транзит",IFERROR(ROUNDUP(VLOOKUP($B1068,calc_data,N$14+1,0),2),0),0)</f>
        <v/>
      </c>
      <c r="O1068" s="147">
        <f>IF(offer_sale_type="транзит",IFERROR(ROUND(VLOOKUP($B1068,calc_data,O$14+1,1),2),0),0)</f>
        <v/>
      </c>
      <c r="P1068" s="141">
        <f>IF(offer_sale_type="транзит",IFERROR(ROUND(SUM(I1068:J1068,M1068:O1068)/E1068,2),0),0)</f>
        <v/>
      </c>
      <c r="Q1068" s="141">
        <f>E1068*P1068</f>
        <v/>
      </c>
      <c r="R1068" s="141">
        <f>ROUND(Q1068*IF(AND(offer_incoterms="DDP",seller_region="RU"),IF((TODAY()+offer_turnaround_time)&gt;=helpsheet!$L$17,rate_vatRU_from_26,rate_vatRu_till_25),0),2)</f>
        <v/>
      </c>
      <c r="S1068" s="177">
        <f>Q1068+IF(AND(offer_incoterms="DDP",seller_region="RU"),R1068,0)</f>
        <v/>
      </c>
      <c r="T1068" s="45" t="n"/>
      <c r="V1068" s="57">
        <f>IF(Q1068&gt;0,"показать","скрыть")</f>
        <v/>
      </c>
    </row>
    <row r="1069" ht="15.75" customHeight="1">
      <c r="B1069" s="809" t="n">
        <v>1053</v>
      </c>
      <c r="C1069" s="182">
        <f>IF(offer_sale_type="транзит",IFERROR(VLOOKUP($B1069,calc_data,C$14+1,0),0),0)</f>
        <v/>
      </c>
      <c r="D1069" s="280">
        <f>IF(offer_sale_type="транзит",IFERROR(VLOOKUP($B1069,calc_data,D$14+1,0),0),0)</f>
        <v/>
      </c>
      <c r="E1069" s="182">
        <f>IF(offer_sale_type="транзит",IFERROR(VLOOKUP($B1069,calc_data,E$14+1,0),0),0)</f>
        <v/>
      </c>
      <c r="F1069" s="182">
        <f>IF(offer_sale_type="транзит",IFERROR(VLOOKUP($B1069,calc_data,F$14+1,0),0),0)</f>
        <v/>
      </c>
      <c r="G1069" s="141">
        <f>IF(offer_sale_type="транзит",IFERROR(VLOOKUP($B1069,calc_data,G$14+1,0),0),0)</f>
        <v/>
      </c>
      <c r="H1069" s="141">
        <f>E1069*G1069</f>
        <v/>
      </c>
      <c r="I1069" s="141">
        <f>IF(offer_sale_type="транзит",IFERROR(ROUND(VLOOKUP($B1069,calc_data,I$14+1,0),2),0),0)</f>
        <v/>
      </c>
      <c r="J1069" s="141">
        <f>ROUND(IF(offer_sale_type="транзит",IFERROR(VLOOKUP($B1069,calc_data,J$14+1,0),0),0),2)</f>
        <v/>
      </c>
      <c r="K1069" s="142">
        <f>IF(offer_sale_type="транзит",IFERROR(ROUNDUP(VLOOKUP($B1069,calc_data,K$14+1,0),2),0),0)</f>
        <v/>
      </c>
      <c r="L1069" s="184">
        <f>IF(offer_sale_type="транзит",IFERROR(ROUNDUP(VLOOKUP($B1069,calc_data,L$14+1,0),2),0),0)</f>
        <v/>
      </c>
      <c r="M1069" s="141">
        <f>IF(offer_sale_type="транзит",IFERROR(ROUNDUP(VLOOKUP($B1069,calc_data,M$14+1,0),2),0),0)</f>
        <v/>
      </c>
      <c r="N1069" s="141">
        <f>IF(offer_sale_type="транзит",IFERROR(ROUNDUP(VLOOKUP($B1069,calc_data,N$14+1,0),2),0),0)</f>
        <v/>
      </c>
      <c r="O1069" s="147">
        <f>IF(offer_sale_type="транзит",IFERROR(ROUND(VLOOKUP($B1069,calc_data,O$14+1,1),2),0),0)</f>
        <v/>
      </c>
      <c r="P1069" s="141">
        <f>IF(offer_sale_type="транзит",IFERROR(ROUND(SUM(I1069:J1069,M1069:O1069)/E1069,2),0),0)</f>
        <v/>
      </c>
      <c r="Q1069" s="141">
        <f>E1069*P1069</f>
        <v/>
      </c>
      <c r="R1069" s="141">
        <f>ROUND(Q1069*IF(AND(offer_incoterms="DDP",seller_region="RU"),IF((TODAY()+offer_turnaround_time)&gt;=helpsheet!$L$17,rate_vatRU_from_26,rate_vatRu_till_25),0),2)</f>
        <v/>
      </c>
      <c r="S1069" s="177">
        <f>Q1069+IF(AND(offer_incoterms="DDP",seller_region="RU"),R1069,0)</f>
        <v/>
      </c>
      <c r="T1069" s="45" t="n"/>
      <c r="V1069" s="57">
        <f>IF(Q1069&gt;0,"показать","скрыть")</f>
        <v/>
      </c>
    </row>
    <row r="1070" ht="15.75" customHeight="1">
      <c r="B1070" s="809" t="n">
        <v>1054</v>
      </c>
      <c r="C1070" s="182">
        <f>IF(offer_sale_type="транзит",IFERROR(VLOOKUP($B1070,calc_data,C$14+1,0),0),0)</f>
        <v/>
      </c>
      <c r="D1070" s="280">
        <f>IF(offer_sale_type="транзит",IFERROR(VLOOKUP($B1070,calc_data,D$14+1,0),0),0)</f>
        <v/>
      </c>
      <c r="E1070" s="182">
        <f>IF(offer_sale_type="транзит",IFERROR(VLOOKUP($B1070,calc_data,E$14+1,0),0),0)</f>
        <v/>
      </c>
      <c r="F1070" s="182">
        <f>IF(offer_sale_type="транзит",IFERROR(VLOOKUP($B1070,calc_data,F$14+1,0),0),0)</f>
        <v/>
      </c>
      <c r="G1070" s="141">
        <f>IF(offer_sale_type="транзит",IFERROR(VLOOKUP($B1070,calc_data,G$14+1,0),0),0)</f>
        <v/>
      </c>
      <c r="H1070" s="141">
        <f>E1070*G1070</f>
        <v/>
      </c>
      <c r="I1070" s="141">
        <f>IF(offer_sale_type="транзит",IFERROR(ROUND(VLOOKUP($B1070,calc_data,I$14+1,0),2),0),0)</f>
        <v/>
      </c>
      <c r="J1070" s="141">
        <f>ROUND(IF(offer_sale_type="транзит",IFERROR(VLOOKUP($B1070,calc_data,J$14+1,0),0),0),2)</f>
        <v/>
      </c>
      <c r="K1070" s="142">
        <f>IF(offer_sale_type="транзит",IFERROR(ROUNDUP(VLOOKUP($B1070,calc_data,K$14+1,0),2),0),0)</f>
        <v/>
      </c>
      <c r="L1070" s="184">
        <f>IF(offer_sale_type="транзит",IFERROR(ROUNDUP(VLOOKUP($B1070,calc_data,L$14+1,0),2),0),0)</f>
        <v/>
      </c>
      <c r="M1070" s="141">
        <f>IF(offer_sale_type="транзит",IFERROR(ROUNDUP(VLOOKUP($B1070,calc_data,M$14+1,0),2),0),0)</f>
        <v/>
      </c>
      <c r="N1070" s="141">
        <f>IF(offer_sale_type="транзит",IFERROR(ROUNDUP(VLOOKUP($B1070,calc_data,N$14+1,0),2),0),0)</f>
        <v/>
      </c>
      <c r="O1070" s="147">
        <f>IF(offer_sale_type="транзит",IFERROR(ROUND(VLOOKUP($B1070,calc_data,O$14+1,1),2),0),0)</f>
        <v/>
      </c>
      <c r="P1070" s="141">
        <f>IF(offer_sale_type="транзит",IFERROR(ROUND(SUM(I1070:J1070,M1070:O1070)/E1070,2),0),0)</f>
        <v/>
      </c>
      <c r="Q1070" s="141">
        <f>E1070*P1070</f>
        <v/>
      </c>
      <c r="R1070" s="141">
        <f>ROUND(Q1070*IF(AND(offer_incoterms="DDP",seller_region="RU"),IF((TODAY()+offer_turnaround_time)&gt;=helpsheet!$L$17,rate_vatRU_from_26,rate_vatRu_till_25),0),2)</f>
        <v/>
      </c>
      <c r="S1070" s="177">
        <f>Q1070+IF(AND(offer_incoterms="DDP",seller_region="RU"),R1070,0)</f>
        <v/>
      </c>
      <c r="T1070" s="45" t="n"/>
      <c r="V1070" s="57">
        <f>IF(Q1070&gt;0,"показать","скрыть")</f>
        <v/>
      </c>
    </row>
    <row r="1071" ht="15.75" customHeight="1">
      <c r="B1071" s="809" t="n">
        <v>1055</v>
      </c>
      <c r="C1071" s="182">
        <f>IF(offer_sale_type="транзит",IFERROR(VLOOKUP($B1071,calc_data,C$14+1,0),0),0)</f>
        <v/>
      </c>
      <c r="D1071" s="280">
        <f>IF(offer_sale_type="транзит",IFERROR(VLOOKUP($B1071,calc_data,D$14+1,0),0),0)</f>
        <v/>
      </c>
      <c r="E1071" s="182">
        <f>IF(offer_sale_type="транзит",IFERROR(VLOOKUP($B1071,calc_data,E$14+1,0),0),0)</f>
        <v/>
      </c>
      <c r="F1071" s="182">
        <f>IF(offer_sale_type="транзит",IFERROR(VLOOKUP($B1071,calc_data,F$14+1,0),0),0)</f>
        <v/>
      </c>
      <c r="G1071" s="141">
        <f>IF(offer_sale_type="транзит",IFERROR(VLOOKUP($B1071,calc_data,G$14+1,0),0),0)</f>
        <v/>
      </c>
      <c r="H1071" s="141">
        <f>E1071*G1071</f>
        <v/>
      </c>
      <c r="I1071" s="141">
        <f>IF(offer_sale_type="транзит",IFERROR(ROUND(VLOOKUP($B1071,calc_data,I$14+1,0),2),0),0)</f>
        <v/>
      </c>
      <c r="J1071" s="141">
        <f>ROUND(IF(offer_sale_type="транзит",IFERROR(VLOOKUP($B1071,calc_data,J$14+1,0),0),0),2)</f>
        <v/>
      </c>
      <c r="K1071" s="142">
        <f>IF(offer_sale_type="транзит",IFERROR(ROUNDUP(VLOOKUP($B1071,calc_data,K$14+1,0),2),0),0)</f>
        <v/>
      </c>
      <c r="L1071" s="184">
        <f>IF(offer_sale_type="транзит",IFERROR(ROUNDUP(VLOOKUP($B1071,calc_data,L$14+1,0),2),0),0)</f>
        <v/>
      </c>
      <c r="M1071" s="141">
        <f>IF(offer_sale_type="транзит",IFERROR(ROUNDUP(VLOOKUP($B1071,calc_data,M$14+1,0),2),0),0)</f>
        <v/>
      </c>
      <c r="N1071" s="141">
        <f>IF(offer_sale_type="транзит",IFERROR(ROUNDUP(VLOOKUP($B1071,calc_data,N$14+1,0),2),0),0)</f>
        <v/>
      </c>
      <c r="O1071" s="147">
        <f>IF(offer_sale_type="транзит",IFERROR(ROUND(VLOOKUP($B1071,calc_data,O$14+1,1),2),0),0)</f>
        <v/>
      </c>
      <c r="P1071" s="141">
        <f>IF(offer_sale_type="транзит",IFERROR(ROUND(SUM(I1071:J1071,M1071:O1071)/E1071,2),0),0)</f>
        <v/>
      </c>
      <c r="Q1071" s="141">
        <f>E1071*P1071</f>
        <v/>
      </c>
      <c r="R1071" s="141">
        <f>ROUND(Q1071*IF(AND(offer_incoterms="DDP",seller_region="RU"),IF((TODAY()+offer_turnaround_time)&gt;=helpsheet!$L$17,rate_vatRU_from_26,rate_vatRu_till_25),0),2)</f>
        <v/>
      </c>
      <c r="S1071" s="177">
        <f>Q1071+IF(AND(offer_incoterms="DDP",seller_region="RU"),R1071,0)</f>
        <v/>
      </c>
      <c r="T1071" s="45" t="n"/>
      <c r="V1071" s="57">
        <f>IF(Q1071&gt;0,"показать","скрыть")</f>
        <v/>
      </c>
    </row>
    <row r="1072" ht="15.75" customHeight="1">
      <c r="B1072" s="809" t="n">
        <v>1056</v>
      </c>
      <c r="C1072" s="182">
        <f>IF(offer_sale_type="транзит",IFERROR(VLOOKUP($B1072,calc_data,C$14+1,0),0),0)</f>
        <v/>
      </c>
      <c r="D1072" s="280">
        <f>IF(offer_sale_type="транзит",IFERROR(VLOOKUP($B1072,calc_data,D$14+1,0),0),0)</f>
        <v/>
      </c>
      <c r="E1072" s="182">
        <f>IF(offer_sale_type="транзит",IFERROR(VLOOKUP($B1072,calc_data,E$14+1,0),0),0)</f>
        <v/>
      </c>
      <c r="F1072" s="182">
        <f>IF(offer_sale_type="транзит",IFERROR(VLOOKUP($B1072,calc_data,F$14+1,0),0),0)</f>
        <v/>
      </c>
      <c r="G1072" s="141">
        <f>IF(offer_sale_type="транзит",IFERROR(VLOOKUP($B1072,calc_data,G$14+1,0),0),0)</f>
        <v/>
      </c>
      <c r="H1072" s="141">
        <f>E1072*G1072</f>
        <v/>
      </c>
      <c r="I1072" s="141">
        <f>IF(offer_sale_type="транзит",IFERROR(ROUND(VLOOKUP($B1072,calc_data,I$14+1,0),2),0),0)</f>
        <v/>
      </c>
      <c r="J1072" s="141">
        <f>ROUND(IF(offer_sale_type="транзит",IFERROR(VLOOKUP($B1072,calc_data,J$14+1,0),0),0),2)</f>
        <v/>
      </c>
      <c r="K1072" s="142">
        <f>IF(offer_sale_type="транзит",IFERROR(ROUNDUP(VLOOKUP($B1072,calc_data,K$14+1,0),2),0),0)</f>
        <v/>
      </c>
      <c r="L1072" s="184">
        <f>IF(offer_sale_type="транзит",IFERROR(ROUNDUP(VLOOKUP($B1072,calc_data,L$14+1,0),2),0),0)</f>
        <v/>
      </c>
      <c r="M1072" s="141">
        <f>IF(offer_sale_type="транзит",IFERROR(ROUNDUP(VLOOKUP($B1072,calc_data,M$14+1,0),2),0),0)</f>
        <v/>
      </c>
      <c r="N1072" s="141">
        <f>IF(offer_sale_type="транзит",IFERROR(ROUNDUP(VLOOKUP($B1072,calc_data,N$14+1,0),2),0),0)</f>
        <v/>
      </c>
      <c r="O1072" s="147">
        <f>IF(offer_sale_type="транзит",IFERROR(ROUND(VLOOKUP($B1072,calc_data,O$14+1,1),2),0),0)</f>
        <v/>
      </c>
      <c r="P1072" s="141">
        <f>IF(offer_sale_type="транзит",IFERROR(ROUND(SUM(I1072:J1072,M1072:O1072)/E1072,2),0),0)</f>
        <v/>
      </c>
      <c r="Q1072" s="141">
        <f>E1072*P1072</f>
        <v/>
      </c>
      <c r="R1072" s="141">
        <f>ROUND(Q1072*IF(AND(offer_incoterms="DDP",seller_region="RU"),IF((TODAY()+offer_turnaround_time)&gt;=helpsheet!$L$17,rate_vatRU_from_26,rate_vatRu_till_25),0),2)</f>
        <v/>
      </c>
      <c r="S1072" s="177">
        <f>Q1072+IF(AND(offer_incoterms="DDP",seller_region="RU"),R1072,0)</f>
        <v/>
      </c>
      <c r="T1072" s="45" t="n"/>
      <c r="V1072" s="57">
        <f>IF(Q1072&gt;0,"показать","скрыть")</f>
        <v/>
      </c>
    </row>
    <row r="1073" ht="15.75" customHeight="1">
      <c r="B1073" s="809" t="n">
        <v>1057</v>
      </c>
      <c r="C1073" s="182">
        <f>IF(offer_sale_type="транзит",IFERROR(VLOOKUP($B1073,calc_data,C$14+1,0),0),0)</f>
        <v/>
      </c>
      <c r="D1073" s="280">
        <f>IF(offer_sale_type="транзит",IFERROR(VLOOKUP($B1073,calc_data,D$14+1,0),0),0)</f>
        <v/>
      </c>
      <c r="E1073" s="182">
        <f>IF(offer_sale_type="транзит",IFERROR(VLOOKUP($B1073,calc_data,E$14+1,0),0),0)</f>
        <v/>
      </c>
      <c r="F1073" s="182">
        <f>IF(offer_sale_type="транзит",IFERROR(VLOOKUP($B1073,calc_data,F$14+1,0),0),0)</f>
        <v/>
      </c>
      <c r="G1073" s="141">
        <f>IF(offer_sale_type="транзит",IFERROR(VLOOKUP($B1073,calc_data,G$14+1,0),0),0)</f>
        <v/>
      </c>
      <c r="H1073" s="141">
        <f>E1073*G1073</f>
        <v/>
      </c>
      <c r="I1073" s="141">
        <f>IF(offer_sale_type="транзит",IFERROR(ROUND(VLOOKUP($B1073,calc_data,I$14+1,0),2),0),0)</f>
        <v/>
      </c>
      <c r="J1073" s="141">
        <f>ROUND(IF(offer_sale_type="транзит",IFERROR(VLOOKUP($B1073,calc_data,J$14+1,0),0),0),2)</f>
        <v/>
      </c>
      <c r="K1073" s="142">
        <f>IF(offer_sale_type="транзит",IFERROR(ROUNDUP(VLOOKUP($B1073,calc_data,K$14+1,0),2),0),0)</f>
        <v/>
      </c>
      <c r="L1073" s="184">
        <f>IF(offer_sale_type="транзит",IFERROR(ROUNDUP(VLOOKUP($B1073,calc_data,L$14+1,0),2),0),0)</f>
        <v/>
      </c>
      <c r="M1073" s="141">
        <f>IF(offer_sale_type="транзит",IFERROR(ROUNDUP(VLOOKUP($B1073,calc_data,M$14+1,0),2),0),0)</f>
        <v/>
      </c>
      <c r="N1073" s="141">
        <f>IF(offer_sale_type="транзит",IFERROR(ROUNDUP(VLOOKUP($B1073,calc_data,N$14+1,0),2),0),0)</f>
        <v/>
      </c>
      <c r="O1073" s="147">
        <f>IF(offer_sale_type="транзит",IFERROR(ROUND(VLOOKUP($B1073,calc_data,O$14+1,1),2),0),0)</f>
        <v/>
      </c>
      <c r="P1073" s="141">
        <f>IF(offer_sale_type="транзит",IFERROR(ROUND(SUM(I1073:J1073,M1073:O1073)/E1073,2),0),0)</f>
        <v/>
      </c>
      <c r="Q1073" s="141">
        <f>E1073*P1073</f>
        <v/>
      </c>
      <c r="R1073" s="141">
        <f>ROUND(Q1073*IF(AND(offer_incoterms="DDP",seller_region="RU"),IF((TODAY()+offer_turnaround_time)&gt;=helpsheet!$L$17,rate_vatRU_from_26,rate_vatRu_till_25),0),2)</f>
        <v/>
      </c>
      <c r="S1073" s="177">
        <f>Q1073+IF(AND(offer_incoterms="DDP",seller_region="RU"),R1073,0)</f>
        <v/>
      </c>
      <c r="T1073" s="45" t="n"/>
      <c r="V1073" s="57">
        <f>IF(Q1073&gt;0,"показать","скрыть")</f>
        <v/>
      </c>
    </row>
    <row r="1074" ht="15.75" customHeight="1">
      <c r="B1074" s="809" t="n">
        <v>1058</v>
      </c>
      <c r="C1074" s="182">
        <f>IF(offer_sale_type="транзит",IFERROR(VLOOKUP($B1074,calc_data,C$14+1,0),0),0)</f>
        <v/>
      </c>
      <c r="D1074" s="280">
        <f>IF(offer_sale_type="транзит",IFERROR(VLOOKUP($B1074,calc_data,D$14+1,0),0),0)</f>
        <v/>
      </c>
      <c r="E1074" s="182">
        <f>IF(offer_sale_type="транзит",IFERROR(VLOOKUP($B1074,calc_data,E$14+1,0),0),0)</f>
        <v/>
      </c>
      <c r="F1074" s="182">
        <f>IF(offer_sale_type="транзит",IFERROR(VLOOKUP($B1074,calc_data,F$14+1,0),0),0)</f>
        <v/>
      </c>
      <c r="G1074" s="141">
        <f>IF(offer_sale_type="транзит",IFERROR(VLOOKUP($B1074,calc_data,G$14+1,0),0),0)</f>
        <v/>
      </c>
      <c r="H1074" s="141">
        <f>E1074*G1074</f>
        <v/>
      </c>
      <c r="I1074" s="141">
        <f>IF(offer_sale_type="транзит",IFERROR(ROUND(VLOOKUP($B1074,calc_data,I$14+1,0),2),0),0)</f>
        <v/>
      </c>
      <c r="J1074" s="141">
        <f>ROUND(IF(offer_sale_type="транзит",IFERROR(VLOOKUP($B1074,calc_data,J$14+1,0),0),0),2)</f>
        <v/>
      </c>
      <c r="K1074" s="142">
        <f>IF(offer_sale_type="транзит",IFERROR(ROUNDUP(VLOOKUP($B1074,calc_data,K$14+1,0),2),0),0)</f>
        <v/>
      </c>
      <c r="L1074" s="184">
        <f>IF(offer_sale_type="транзит",IFERROR(ROUNDUP(VLOOKUP($B1074,calc_data,L$14+1,0),2),0),0)</f>
        <v/>
      </c>
      <c r="M1074" s="141">
        <f>IF(offer_sale_type="транзит",IFERROR(ROUNDUP(VLOOKUP($B1074,calc_data,M$14+1,0),2),0),0)</f>
        <v/>
      </c>
      <c r="N1074" s="141">
        <f>IF(offer_sale_type="транзит",IFERROR(ROUNDUP(VLOOKUP($B1074,calc_data,N$14+1,0),2),0),0)</f>
        <v/>
      </c>
      <c r="O1074" s="147">
        <f>IF(offer_sale_type="транзит",IFERROR(ROUND(VLOOKUP($B1074,calc_data,O$14+1,1),2),0),0)</f>
        <v/>
      </c>
      <c r="P1074" s="141">
        <f>IF(offer_sale_type="транзит",IFERROR(ROUND(SUM(I1074:J1074,M1074:O1074)/E1074,2),0),0)</f>
        <v/>
      </c>
      <c r="Q1074" s="141">
        <f>E1074*P1074</f>
        <v/>
      </c>
      <c r="R1074" s="141">
        <f>ROUND(Q1074*IF(AND(offer_incoterms="DDP",seller_region="RU"),IF((TODAY()+offer_turnaround_time)&gt;=helpsheet!$L$17,rate_vatRU_from_26,rate_vatRu_till_25),0),2)</f>
        <v/>
      </c>
      <c r="S1074" s="177">
        <f>Q1074+IF(AND(offer_incoterms="DDP",seller_region="RU"),R1074,0)</f>
        <v/>
      </c>
      <c r="T1074" s="45" t="n"/>
      <c r="V1074" s="57">
        <f>IF(Q1074&gt;0,"показать","скрыть")</f>
        <v/>
      </c>
    </row>
    <row r="1075" ht="15.75" customHeight="1">
      <c r="B1075" s="809" t="n">
        <v>1059</v>
      </c>
      <c r="C1075" s="182">
        <f>IF(offer_sale_type="транзит",IFERROR(VLOOKUP($B1075,calc_data,C$14+1,0),0),0)</f>
        <v/>
      </c>
      <c r="D1075" s="280">
        <f>IF(offer_sale_type="транзит",IFERROR(VLOOKUP($B1075,calc_data,D$14+1,0),0),0)</f>
        <v/>
      </c>
      <c r="E1075" s="182">
        <f>IF(offer_sale_type="транзит",IFERROR(VLOOKUP($B1075,calc_data,E$14+1,0),0),0)</f>
        <v/>
      </c>
      <c r="F1075" s="182">
        <f>IF(offer_sale_type="транзит",IFERROR(VLOOKUP($B1075,calc_data,F$14+1,0),0),0)</f>
        <v/>
      </c>
      <c r="G1075" s="141">
        <f>IF(offer_sale_type="транзит",IFERROR(VLOOKUP($B1075,calc_data,G$14+1,0),0),0)</f>
        <v/>
      </c>
      <c r="H1075" s="141">
        <f>E1075*G1075</f>
        <v/>
      </c>
      <c r="I1075" s="141">
        <f>IF(offer_sale_type="транзит",IFERROR(ROUND(VLOOKUP($B1075,calc_data,I$14+1,0),2),0),0)</f>
        <v/>
      </c>
      <c r="J1075" s="141">
        <f>ROUND(IF(offer_sale_type="транзит",IFERROR(VLOOKUP($B1075,calc_data,J$14+1,0),0),0),2)</f>
        <v/>
      </c>
      <c r="K1075" s="142">
        <f>IF(offer_sale_type="транзит",IFERROR(ROUNDUP(VLOOKUP($B1075,calc_data,K$14+1,0),2),0),0)</f>
        <v/>
      </c>
      <c r="L1075" s="184">
        <f>IF(offer_sale_type="транзит",IFERROR(ROUNDUP(VLOOKUP($B1075,calc_data,L$14+1,0),2),0),0)</f>
        <v/>
      </c>
      <c r="M1075" s="141">
        <f>IF(offer_sale_type="транзит",IFERROR(ROUNDUP(VLOOKUP($B1075,calc_data,M$14+1,0),2),0),0)</f>
        <v/>
      </c>
      <c r="N1075" s="141">
        <f>IF(offer_sale_type="транзит",IFERROR(ROUNDUP(VLOOKUP($B1075,calc_data,N$14+1,0),2),0),0)</f>
        <v/>
      </c>
      <c r="O1075" s="147">
        <f>IF(offer_sale_type="транзит",IFERROR(ROUND(VLOOKUP($B1075,calc_data,O$14+1,1),2),0),0)</f>
        <v/>
      </c>
      <c r="P1075" s="141">
        <f>IF(offer_sale_type="транзит",IFERROR(ROUND(SUM(I1075:J1075,M1075:O1075)/E1075,2),0),0)</f>
        <v/>
      </c>
      <c r="Q1075" s="141">
        <f>E1075*P1075</f>
        <v/>
      </c>
      <c r="R1075" s="141">
        <f>ROUND(Q1075*IF(AND(offer_incoterms="DDP",seller_region="RU"),IF((TODAY()+offer_turnaround_time)&gt;=helpsheet!$L$17,rate_vatRU_from_26,rate_vatRu_till_25),0),2)</f>
        <v/>
      </c>
      <c r="S1075" s="177">
        <f>Q1075+IF(AND(offer_incoterms="DDP",seller_region="RU"),R1075,0)</f>
        <v/>
      </c>
      <c r="T1075" s="45" t="n"/>
      <c r="V1075" s="57">
        <f>IF(Q1075&gt;0,"показать","скрыть")</f>
        <v/>
      </c>
    </row>
    <row r="1076" ht="15.75" customHeight="1">
      <c r="B1076" s="809" t="n">
        <v>1060</v>
      </c>
      <c r="C1076" s="182">
        <f>IF(offer_sale_type="транзит",IFERROR(VLOOKUP($B1076,calc_data,C$14+1,0),0),0)</f>
        <v/>
      </c>
      <c r="D1076" s="280">
        <f>IF(offer_sale_type="транзит",IFERROR(VLOOKUP($B1076,calc_data,D$14+1,0),0),0)</f>
        <v/>
      </c>
      <c r="E1076" s="182">
        <f>IF(offer_sale_type="транзит",IFERROR(VLOOKUP($B1076,calc_data,E$14+1,0),0),0)</f>
        <v/>
      </c>
      <c r="F1076" s="182">
        <f>IF(offer_sale_type="транзит",IFERROR(VLOOKUP($B1076,calc_data,F$14+1,0),0),0)</f>
        <v/>
      </c>
      <c r="G1076" s="141">
        <f>IF(offer_sale_type="транзит",IFERROR(VLOOKUP($B1076,calc_data,G$14+1,0),0),0)</f>
        <v/>
      </c>
      <c r="H1076" s="141">
        <f>E1076*G1076</f>
        <v/>
      </c>
      <c r="I1076" s="141">
        <f>IF(offer_sale_type="транзит",IFERROR(ROUND(VLOOKUP($B1076,calc_data,I$14+1,0),2),0),0)</f>
        <v/>
      </c>
      <c r="J1076" s="141">
        <f>ROUND(IF(offer_sale_type="транзит",IFERROR(VLOOKUP($B1076,calc_data,J$14+1,0),0),0),2)</f>
        <v/>
      </c>
      <c r="K1076" s="142">
        <f>IF(offer_sale_type="транзит",IFERROR(ROUNDUP(VLOOKUP($B1076,calc_data,K$14+1,0),2),0),0)</f>
        <v/>
      </c>
      <c r="L1076" s="184">
        <f>IF(offer_sale_type="транзит",IFERROR(ROUNDUP(VLOOKUP($B1076,calc_data,L$14+1,0),2),0),0)</f>
        <v/>
      </c>
      <c r="M1076" s="141">
        <f>IF(offer_sale_type="транзит",IFERROR(ROUNDUP(VLOOKUP($B1076,calc_data,M$14+1,0),2),0),0)</f>
        <v/>
      </c>
      <c r="N1076" s="141">
        <f>IF(offer_sale_type="транзит",IFERROR(ROUNDUP(VLOOKUP($B1076,calc_data,N$14+1,0),2),0),0)</f>
        <v/>
      </c>
      <c r="O1076" s="147">
        <f>IF(offer_sale_type="транзит",IFERROR(ROUND(VLOOKUP($B1076,calc_data,O$14+1,1),2),0),0)</f>
        <v/>
      </c>
      <c r="P1076" s="141">
        <f>IF(offer_sale_type="транзит",IFERROR(ROUND(SUM(I1076:J1076,M1076:O1076)/E1076,2),0),0)</f>
        <v/>
      </c>
      <c r="Q1076" s="141">
        <f>E1076*P1076</f>
        <v/>
      </c>
      <c r="R1076" s="141">
        <f>ROUND(Q1076*IF(AND(offer_incoterms="DDP",seller_region="RU"),IF((TODAY()+offer_turnaround_time)&gt;=helpsheet!$L$17,rate_vatRU_from_26,rate_vatRu_till_25),0),2)</f>
        <v/>
      </c>
      <c r="S1076" s="177">
        <f>Q1076+IF(AND(offer_incoterms="DDP",seller_region="RU"),R1076,0)</f>
        <v/>
      </c>
      <c r="T1076" s="45" t="n"/>
      <c r="V1076" s="57">
        <f>IF(Q1076&gt;0,"показать","скрыть")</f>
        <v/>
      </c>
    </row>
    <row r="1077" ht="15.75" customHeight="1">
      <c r="B1077" s="809" t="n">
        <v>1061</v>
      </c>
      <c r="C1077" s="182">
        <f>IF(offer_sale_type="транзит",IFERROR(VLOOKUP($B1077,calc_data,C$14+1,0),0),0)</f>
        <v/>
      </c>
      <c r="D1077" s="280">
        <f>IF(offer_sale_type="транзит",IFERROR(VLOOKUP($B1077,calc_data,D$14+1,0),0),0)</f>
        <v/>
      </c>
      <c r="E1077" s="182">
        <f>IF(offer_sale_type="транзит",IFERROR(VLOOKUP($B1077,calc_data,E$14+1,0),0),0)</f>
        <v/>
      </c>
      <c r="F1077" s="182">
        <f>IF(offer_sale_type="транзит",IFERROR(VLOOKUP($B1077,calc_data,F$14+1,0),0),0)</f>
        <v/>
      </c>
      <c r="G1077" s="141">
        <f>IF(offer_sale_type="транзит",IFERROR(VLOOKUP($B1077,calc_data,G$14+1,0),0),0)</f>
        <v/>
      </c>
      <c r="H1077" s="141">
        <f>E1077*G1077</f>
        <v/>
      </c>
      <c r="I1077" s="141">
        <f>IF(offer_sale_type="транзит",IFERROR(ROUND(VLOOKUP($B1077,calc_data,I$14+1,0),2),0),0)</f>
        <v/>
      </c>
      <c r="J1077" s="141">
        <f>ROUND(IF(offer_sale_type="транзит",IFERROR(VLOOKUP($B1077,calc_data,J$14+1,0),0),0),2)</f>
        <v/>
      </c>
      <c r="K1077" s="142">
        <f>IF(offer_sale_type="транзит",IFERROR(ROUNDUP(VLOOKUP($B1077,calc_data,K$14+1,0),2),0),0)</f>
        <v/>
      </c>
      <c r="L1077" s="184">
        <f>IF(offer_sale_type="транзит",IFERROR(ROUNDUP(VLOOKUP($B1077,calc_data,L$14+1,0),2),0),0)</f>
        <v/>
      </c>
      <c r="M1077" s="141">
        <f>IF(offer_sale_type="транзит",IFERROR(ROUNDUP(VLOOKUP($B1077,calc_data,M$14+1,0),2),0),0)</f>
        <v/>
      </c>
      <c r="N1077" s="141">
        <f>IF(offer_sale_type="транзит",IFERROR(ROUNDUP(VLOOKUP($B1077,calc_data,N$14+1,0),2),0),0)</f>
        <v/>
      </c>
      <c r="O1077" s="147">
        <f>IF(offer_sale_type="транзит",IFERROR(ROUND(VLOOKUP($B1077,calc_data,O$14+1,1),2),0),0)</f>
        <v/>
      </c>
      <c r="P1077" s="141">
        <f>IF(offer_sale_type="транзит",IFERROR(ROUND(SUM(I1077:J1077,M1077:O1077)/E1077,2),0),0)</f>
        <v/>
      </c>
      <c r="Q1077" s="141">
        <f>E1077*P1077</f>
        <v/>
      </c>
      <c r="R1077" s="141">
        <f>ROUND(Q1077*IF(AND(offer_incoterms="DDP",seller_region="RU"),IF((TODAY()+offer_turnaround_time)&gt;=helpsheet!$L$17,rate_vatRU_from_26,rate_vatRu_till_25),0),2)</f>
        <v/>
      </c>
      <c r="S1077" s="177">
        <f>Q1077+IF(AND(offer_incoterms="DDP",seller_region="RU"),R1077,0)</f>
        <v/>
      </c>
      <c r="T1077" s="45" t="n"/>
      <c r="V1077" s="57">
        <f>IF(Q1077&gt;0,"показать","скрыть")</f>
        <v/>
      </c>
    </row>
    <row r="1078" ht="15.75" customHeight="1">
      <c r="B1078" s="809" t="n">
        <v>1062</v>
      </c>
      <c r="C1078" s="182">
        <f>IF(offer_sale_type="транзит",IFERROR(VLOOKUP($B1078,calc_data,C$14+1,0),0),0)</f>
        <v/>
      </c>
      <c r="D1078" s="280">
        <f>IF(offer_sale_type="транзит",IFERROR(VLOOKUP($B1078,calc_data,D$14+1,0),0),0)</f>
        <v/>
      </c>
      <c r="E1078" s="182">
        <f>IF(offer_sale_type="транзит",IFERROR(VLOOKUP($B1078,calc_data,E$14+1,0),0),0)</f>
        <v/>
      </c>
      <c r="F1078" s="182">
        <f>IF(offer_sale_type="транзит",IFERROR(VLOOKUP($B1078,calc_data,F$14+1,0),0),0)</f>
        <v/>
      </c>
      <c r="G1078" s="141">
        <f>IF(offer_sale_type="транзит",IFERROR(VLOOKUP($B1078,calc_data,G$14+1,0),0),0)</f>
        <v/>
      </c>
      <c r="H1078" s="141">
        <f>E1078*G1078</f>
        <v/>
      </c>
      <c r="I1078" s="141">
        <f>IF(offer_sale_type="транзит",IFERROR(ROUND(VLOOKUP($B1078,calc_data,I$14+1,0),2),0),0)</f>
        <v/>
      </c>
      <c r="J1078" s="141">
        <f>ROUND(IF(offer_sale_type="транзит",IFERROR(VLOOKUP($B1078,calc_data,J$14+1,0),0),0),2)</f>
        <v/>
      </c>
      <c r="K1078" s="142">
        <f>IF(offer_sale_type="транзит",IFERROR(ROUNDUP(VLOOKUP($B1078,calc_data,K$14+1,0),2),0),0)</f>
        <v/>
      </c>
      <c r="L1078" s="184">
        <f>IF(offer_sale_type="транзит",IFERROR(ROUNDUP(VLOOKUP($B1078,calc_data,L$14+1,0),2),0),0)</f>
        <v/>
      </c>
      <c r="M1078" s="141">
        <f>IF(offer_sale_type="транзит",IFERROR(ROUNDUP(VLOOKUP($B1078,calc_data,M$14+1,0),2),0),0)</f>
        <v/>
      </c>
      <c r="N1078" s="141">
        <f>IF(offer_sale_type="транзит",IFERROR(ROUNDUP(VLOOKUP($B1078,calc_data,N$14+1,0),2),0),0)</f>
        <v/>
      </c>
      <c r="O1078" s="147">
        <f>IF(offer_sale_type="транзит",IFERROR(ROUND(VLOOKUP($B1078,calc_data,O$14+1,1),2),0),0)</f>
        <v/>
      </c>
      <c r="P1078" s="141">
        <f>IF(offer_sale_type="транзит",IFERROR(ROUND(SUM(I1078:J1078,M1078:O1078)/E1078,2),0),0)</f>
        <v/>
      </c>
      <c r="Q1078" s="141">
        <f>E1078*P1078</f>
        <v/>
      </c>
      <c r="R1078" s="141">
        <f>ROUND(Q1078*IF(AND(offer_incoterms="DDP",seller_region="RU"),IF((TODAY()+offer_turnaround_time)&gt;=helpsheet!$L$17,rate_vatRU_from_26,rate_vatRu_till_25),0),2)</f>
        <v/>
      </c>
      <c r="S1078" s="177">
        <f>Q1078+IF(AND(offer_incoterms="DDP",seller_region="RU"),R1078,0)</f>
        <v/>
      </c>
      <c r="T1078" s="45" t="n"/>
      <c r="V1078" s="57">
        <f>IF(Q1078&gt;0,"показать","скрыть")</f>
        <v/>
      </c>
    </row>
    <row r="1079" ht="15.75" customHeight="1">
      <c r="B1079" s="809" t="n">
        <v>1063</v>
      </c>
      <c r="C1079" s="182">
        <f>IF(offer_sale_type="транзит",IFERROR(VLOOKUP($B1079,calc_data,C$14+1,0),0),0)</f>
        <v/>
      </c>
      <c r="D1079" s="280">
        <f>IF(offer_sale_type="транзит",IFERROR(VLOOKUP($B1079,calc_data,D$14+1,0),0),0)</f>
        <v/>
      </c>
      <c r="E1079" s="182">
        <f>IF(offer_sale_type="транзит",IFERROR(VLOOKUP($B1079,calc_data,E$14+1,0),0),0)</f>
        <v/>
      </c>
      <c r="F1079" s="182">
        <f>IF(offer_sale_type="транзит",IFERROR(VLOOKUP($B1079,calc_data,F$14+1,0),0),0)</f>
        <v/>
      </c>
      <c r="G1079" s="141">
        <f>IF(offer_sale_type="транзит",IFERROR(VLOOKUP($B1079,calc_data,G$14+1,0),0),0)</f>
        <v/>
      </c>
      <c r="H1079" s="141">
        <f>E1079*G1079</f>
        <v/>
      </c>
      <c r="I1079" s="141">
        <f>IF(offer_sale_type="транзит",IFERROR(ROUND(VLOOKUP($B1079,calc_data,I$14+1,0),2),0),0)</f>
        <v/>
      </c>
      <c r="J1079" s="141">
        <f>ROUND(IF(offer_sale_type="транзит",IFERROR(VLOOKUP($B1079,calc_data,J$14+1,0),0),0),2)</f>
        <v/>
      </c>
      <c r="K1079" s="142">
        <f>IF(offer_sale_type="транзит",IFERROR(ROUNDUP(VLOOKUP($B1079,calc_data,K$14+1,0),2),0),0)</f>
        <v/>
      </c>
      <c r="L1079" s="184">
        <f>IF(offer_sale_type="транзит",IFERROR(ROUNDUP(VLOOKUP($B1079,calc_data,L$14+1,0),2),0),0)</f>
        <v/>
      </c>
      <c r="M1079" s="141">
        <f>IF(offer_sale_type="транзит",IFERROR(ROUNDUP(VLOOKUP($B1079,calc_data,M$14+1,0),2),0),0)</f>
        <v/>
      </c>
      <c r="N1079" s="141">
        <f>IF(offer_sale_type="транзит",IFERROR(ROUNDUP(VLOOKUP($B1079,calc_data,N$14+1,0),2),0),0)</f>
        <v/>
      </c>
      <c r="O1079" s="147">
        <f>IF(offer_sale_type="транзит",IFERROR(ROUND(VLOOKUP($B1079,calc_data,O$14+1,1),2),0),0)</f>
        <v/>
      </c>
      <c r="P1079" s="141">
        <f>IF(offer_sale_type="транзит",IFERROR(ROUND(SUM(I1079:J1079,M1079:O1079)/E1079,2),0),0)</f>
        <v/>
      </c>
      <c r="Q1079" s="141">
        <f>E1079*P1079</f>
        <v/>
      </c>
      <c r="R1079" s="141">
        <f>ROUND(Q1079*IF(AND(offer_incoterms="DDP",seller_region="RU"),IF((TODAY()+offer_turnaround_time)&gt;=helpsheet!$L$17,rate_vatRU_from_26,rate_vatRu_till_25),0),2)</f>
        <v/>
      </c>
      <c r="S1079" s="177">
        <f>Q1079+IF(AND(offer_incoterms="DDP",seller_region="RU"),R1079,0)</f>
        <v/>
      </c>
      <c r="T1079" s="45" t="n"/>
      <c r="V1079" s="57">
        <f>IF(Q1079&gt;0,"показать","скрыть")</f>
        <v/>
      </c>
    </row>
    <row r="1080" ht="15.75" customHeight="1">
      <c r="B1080" s="809" t="n">
        <v>1064</v>
      </c>
      <c r="C1080" s="182">
        <f>IF(offer_sale_type="транзит",IFERROR(VLOOKUP($B1080,calc_data,C$14+1,0),0),0)</f>
        <v/>
      </c>
      <c r="D1080" s="280">
        <f>IF(offer_sale_type="транзит",IFERROR(VLOOKUP($B1080,calc_data,D$14+1,0),0),0)</f>
        <v/>
      </c>
      <c r="E1080" s="182">
        <f>IF(offer_sale_type="транзит",IFERROR(VLOOKUP($B1080,calc_data,E$14+1,0),0),0)</f>
        <v/>
      </c>
      <c r="F1080" s="182">
        <f>IF(offer_sale_type="транзит",IFERROR(VLOOKUP($B1080,calc_data,F$14+1,0),0),0)</f>
        <v/>
      </c>
      <c r="G1080" s="141">
        <f>IF(offer_sale_type="транзит",IFERROR(VLOOKUP($B1080,calc_data,G$14+1,0),0),0)</f>
        <v/>
      </c>
      <c r="H1080" s="141">
        <f>E1080*G1080</f>
        <v/>
      </c>
      <c r="I1080" s="141">
        <f>IF(offer_sale_type="транзит",IFERROR(ROUND(VLOOKUP($B1080,calc_data,I$14+1,0),2),0),0)</f>
        <v/>
      </c>
      <c r="J1080" s="141">
        <f>ROUND(IF(offer_sale_type="транзит",IFERROR(VLOOKUP($B1080,calc_data,J$14+1,0),0),0),2)</f>
        <v/>
      </c>
      <c r="K1080" s="142">
        <f>IF(offer_sale_type="транзит",IFERROR(ROUNDUP(VLOOKUP($B1080,calc_data,K$14+1,0),2),0),0)</f>
        <v/>
      </c>
      <c r="L1080" s="184">
        <f>IF(offer_sale_type="транзит",IFERROR(ROUNDUP(VLOOKUP($B1080,calc_data,L$14+1,0),2),0),0)</f>
        <v/>
      </c>
      <c r="M1080" s="141">
        <f>IF(offer_sale_type="транзит",IFERROR(ROUNDUP(VLOOKUP($B1080,calc_data,M$14+1,0),2),0),0)</f>
        <v/>
      </c>
      <c r="N1080" s="141">
        <f>IF(offer_sale_type="транзит",IFERROR(ROUNDUP(VLOOKUP($B1080,calc_data,N$14+1,0),2),0),0)</f>
        <v/>
      </c>
      <c r="O1080" s="147">
        <f>IF(offer_sale_type="транзит",IFERROR(ROUND(VLOOKUP($B1080,calc_data,O$14+1,1),2),0),0)</f>
        <v/>
      </c>
      <c r="P1080" s="141">
        <f>IF(offer_sale_type="транзит",IFERROR(ROUND(SUM(I1080:J1080,M1080:O1080)/E1080,2),0),0)</f>
        <v/>
      </c>
      <c r="Q1080" s="141">
        <f>E1080*P1080</f>
        <v/>
      </c>
      <c r="R1080" s="141">
        <f>ROUND(Q1080*IF(AND(offer_incoterms="DDP",seller_region="RU"),IF((TODAY()+offer_turnaround_time)&gt;=helpsheet!$L$17,rate_vatRU_from_26,rate_vatRu_till_25),0),2)</f>
        <v/>
      </c>
      <c r="S1080" s="177">
        <f>Q1080+IF(AND(offer_incoterms="DDP",seller_region="RU"),R1080,0)</f>
        <v/>
      </c>
      <c r="T1080" s="45" t="n"/>
      <c r="V1080" s="57">
        <f>IF(Q1080&gt;0,"показать","скрыть")</f>
        <v/>
      </c>
    </row>
    <row r="1081" ht="15.75" customHeight="1">
      <c r="B1081" s="809" t="n">
        <v>1065</v>
      </c>
      <c r="C1081" s="182">
        <f>IF(offer_sale_type="транзит",IFERROR(VLOOKUP($B1081,calc_data,C$14+1,0),0),0)</f>
        <v/>
      </c>
      <c r="D1081" s="280">
        <f>IF(offer_sale_type="транзит",IFERROR(VLOOKUP($B1081,calc_data,D$14+1,0),0),0)</f>
        <v/>
      </c>
      <c r="E1081" s="182">
        <f>IF(offer_sale_type="транзит",IFERROR(VLOOKUP($B1081,calc_data,E$14+1,0),0),0)</f>
        <v/>
      </c>
      <c r="F1081" s="182">
        <f>IF(offer_sale_type="транзит",IFERROR(VLOOKUP($B1081,calc_data,F$14+1,0),0),0)</f>
        <v/>
      </c>
      <c r="G1081" s="141">
        <f>IF(offer_sale_type="транзит",IFERROR(VLOOKUP($B1081,calc_data,G$14+1,0),0),0)</f>
        <v/>
      </c>
      <c r="H1081" s="141">
        <f>E1081*G1081</f>
        <v/>
      </c>
      <c r="I1081" s="141">
        <f>IF(offer_sale_type="транзит",IFERROR(ROUND(VLOOKUP($B1081,calc_data,I$14+1,0),2),0),0)</f>
        <v/>
      </c>
      <c r="J1081" s="141">
        <f>ROUND(IF(offer_sale_type="транзит",IFERROR(VLOOKUP($B1081,calc_data,J$14+1,0),0),0),2)</f>
        <v/>
      </c>
      <c r="K1081" s="142">
        <f>IF(offer_sale_type="транзит",IFERROR(ROUNDUP(VLOOKUP($B1081,calc_data,K$14+1,0),2),0),0)</f>
        <v/>
      </c>
      <c r="L1081" s="184">
        <f>IF(offer_sale_type="транзит",IFERROR(ROUNDUP(VLOOKUP($B1081,calc_data,L$14+1,0),2),0),0)</f>
        <v/>
      </c>
      <c r="M1081" s="141">
        <f>IF(offer_sale_type="транзит",IFERROR(ROUNDUP(VLOOKUP($B1081,calc_data,M$14+1,0),2),0),0)</f>
        <v/>
      </c>
      <c r="N1081" s="141">
        <f>IF(offer_sale_type="транзит",IFERROR(ROUNDUP(VLOOKUP($B1081,calc_data,N$14+1,0),2),0),0)</f>
        <v/>
      </c>
      <c r="O1081" s="147">
        <f>IF(offer_sale_type="транзит",IFERROR(ROUND(VLOOKUP($B1081,calc_data,O$14+1,1),2),0),0)</f>
        <v/>
      </c>
      <c r="P1081" s="141">
        <f>IF(offer_sale_type="транзит",IFERROR(ROUND(SUM(I1081:J1081,M1081:O1081)/E1081,2),0),0)</f>
        <v/>
      </c>
      <c r="Q1081" s="141">
        <f>E1081*P1081</f>
        <v/>
      </c>
      <c r="R1081" s="141">
        <f>ROUND(Q1081*IF(AND(offer_incoterms="DDP",seller_region="RU"),IF((TODAY()+offer_turnaround_time)&gt;=helpsheet!$L$17,rate_vatRU_from_26,rate_vatRu_till_25),0),2)</f>
        <v/>
      </c>
      <c r="S1081" s="177">
        <f>Q1081+IF(AND(offer_incoterms="DDP",seller_region="RU"),R1081,0)</f>
        <v/>
      </c>
      <c r="T1081" s="45" t="n"/>
      <c r="V1081" s="57">
        <f>IF(Q1081&gt;0,"показать","скрыть")</f>
        <v/>
      </c>
    </row>
    <row r="1082" ht="15.75" customHeight="1">
      <c r="B1082" s="809" t="n">
        <v>1066</v>
      </c>
      <c r="C1082" s="182">
        <f>IF(offer_sale_type="транзит",IFERROR(VLOOKUP($B1082,calc_data,C$14+1,0),0),0)</f>
        <v/>
      </c>
      <c r="D1082" s="280">
        <f>IF(offer_sale_type="транзит",IFERROR(VLOOKUP($B1082,calc_data,D$14+1,0),0),0)</f>
        <v/>
      </c>
      <c r="E1082" s="182">
        <f>IF(offer_sale_type="транзит",IFERROR(VLOOKUP($B1082,calc_data,E$14+1,0),0),0)</f>
        <v/>
      </c>
      <c r="F1082" s="182">
        <f>IF(offer_sale_type="транзит",IFERROR(VLOOKUP($B1082,calc_data,F$14+1,0),0),0)</f>
        <v/>
      </c>
      <c r="G1082" s="141">
        <f>IF(offer_sale_type="транзит",IFERROR(VLOOKUP($B1082,calc_data,G$14+1,0),0),0)</f>
        <v/>
      </c>
      <c r="H1082" s="141">
        <f>E1082*G1082</f>
        <v/>
      </c>
      <c r="I1082" s="141">
        <f>IF(offer_sale_type="транзит",IFERROR(ROUND(VLOOKUP($B1082,calc_data,I$14+1,0),2),0),0)</f>
        <v/>
      </c>
      <c r="J1082" s="141">
        <f>ROUND(IF(offer_sale_type="транзит",IFERROR(VLOOKUP($B1082,calc_data,J$14+1,0),0),0),2)</f>
        <v/>
      </c>
      <c r="K1082" s="142">
        <f>IF(offer_sale_type="транзит",IFERROR(ROUNDUP(VLOOKUP($B1082,calc_data,K$14+1,0),2),0),0)</f>
        <v/>
      </c>
      <c r="L1082" s="184">
        <f>IF(offer_sale_type="транзит",IFERROR(ROUNDUP(VLOOKUP($B1082,calc_data,L$14+1,0),2),0),0)</f>
        <v/>
      </c>
      <c r="M1082" s="141">
        <f>IF(offer_sale_type="транзит",IFERROR(ROUNDUP(VLOOKUP($B1082,calc_data,M$14+1,0),2),0),0)</f>
        <v/>
      </c>
      <c r="N1082" s="141">
        <f>IF(offer_sale_type="транзит",IFERROR(ROUNDUP(VLOOKUP($B1082,calc_data,N$14+1,0),2),0),0)</f>
        <v/>
      </c>
      <c r="O1082" s="147">
        <f>IF(offer_sale_type="транзит",IFERROR(ROUND(VLOOKUP($B1082,calc_data,O$14+1,1),2),0),0)</f>
        <v/>
      </c>
      <c r="P1082" s="141">
        <f>IF(offer_sale_type="транзит",IFERROR(ROUND(SUM(I1082:J1082,M1082:O1082)/E1082,2),0),0)</f>
        <v/>
      </c>
      <c r="Q1082" s="141">
        <f>E1082*P1082</f>
        <v/>
      </c>
      <c r="R1082" s="141">
        <f>ROUND(Q1082*IF(AND(offer_incoterms="DDP",seller_region="RU"),IF((TODAY()+offer_turnaround_time)&gt;=helpsheet!$L$17,rate_vatRU_from_26,rate_vatRu_till_25),0),2)</f>
        <v/>
      </c>
      <c r="S1082" s="177">
        <f>Q1082+IF(AND(offer_incoterms="DDP",seller_region="RU"),R1082,0)</f>
        <v/>
      </c>
      <c r="T1082" s="45" t="n"/>
      <c r="V1082" s="57">
        <f>IF(Q1082&gt;0,"показать","скрыть")</f>
        <v/>
      </c>
    </row>
    <row r="1083" ht="15.75" customHeight="1">
      <c r="B1083" s="809" t="n">
        <v>1067</v>
      </c>
      <c r="C1083" s="182">
        <f>IF(offer_sale_type="транзит",IFERROR(VLOOKUP($B1083,calc_data,C$14+1,0),0),0)</f>
        <v/>
      </c>
      <c r="D1083" s="280">
        <f>IF(offer_sale_type="транзит",IFERROR(VLOOKUP($B1083,calc_data,D$14+1,0),0),0)</f>
        <v/>
      </c>
      <c r="E1083" s="182">
        <f>IF(offer_sale_type="транзит",IFERROR(VLOOKUP($B1083,calc_data,E$14+1,0),0),0)</f>
        <v/>
      </c>
      <c r="F1083" s="182">
        <f>IF(offer_sale_type="транзит",IFERROR(VLOOKUP($B1083,calc_data,F$14+1,0),0),0)</f>
        <v/>
      </c>
      <c r="G1083" s="141">
        <f>IF(offer_sale_type="транзит",IFERROR(VLOOKUP($B1083,calc_data,G$14+1,0),0),0)</f>
        <v/>
      </c>
      <c r="H1083" s="141">
        <f>E1083*G1083</f>
        <v/>
      </c>
      <c r="I1083" s="141">
        <f>IF(offer_sale_type="транзит",IFERROR(ROUND(VLOOKUP($B1083,calc_data,I$14+1,0),2),0),0)</f>
        <v/>
      </c>
      <c r="J1083" s="141">
        <f>ROUND(IF(offer_sale_type="транзит",IFERROR(VLOOKUP($B1083,calc_data,J$14+1,0),0),0),2)</f>
        <v/>
      </c>
      <c r="K1083" s="142">
        <f>IF(offer_sale_type="транзит",IFERROR(ROUNDUP(VLOOKUP($B1083,calc_data,K$14+1,0),2),0),0)</f>
        <v/>
      </c>
      <c r="L1083" s="184">
        <f>IF(offer_sale_type="транзит",IFERROR(ROUNDUP(VLOOKUP($B1083,calc_data,L$14+1,0),2),0),0)</f>
        <v/>
      </c>
      <c r="M1083" s="141">
        <f>IF(offer_sale_type="транзит",IFERROR(ROUNDUP(VLOOKUP($B1083,calc_data,M$14+1,0),2),0),0)</f>
        <v/>
      </c>
      <c r="N1083" s="141">
        <f>IF(offer_sale_type="транзит",IFERROR(ROUNDUP(VLOOKUP($B1083,calc_data,N$14+1,0),2),0),0)</f>
        <v/>
      </c>
      <c r="O1083" s="147">
        <f>IF(offer_sale_type="транзит",IFERROR(ROUND(VLOOKUP($B1083,calc_data,O$14+1,1),2),0),0)</f>
        <v/>
      </c>
      <c r="P1083" s="141">
        <f>IF(offer_sale_type="транзит",IFERROR(ROUND(SUM(I1083:J1083,M1083:O1083)/E1083,2),0),0)</f>
        <v/>
      </c>
      <c r="Q1083" s="141">
        <f>E1083*P1083</f>
        <v/>
      </c>
      <c r="R1083" s="141">
        <f>ROUND(Q1083*IF(AND(offer_incoterms="DDP",seller_region="RU"),IF((TODAY()+offer_turnaround_time)&gt;=helpsheet!$L$17,rate_vatRU_from_26,rate_vatRu_till_25),0),2)</f>
        <v/>
      </c>
      <c r="S1083" s="177">
        <f>Q1083+IF(AND(offer_incoterms="DDP",seller_region="RU"),R1083,0)</f>
        <v/>
      </c>
      <c r="T1083" s="45" t="n"/>
      <c r="V1083" s="57">
        <f>IF(Q1083&gt;0,"показать","скрыть")</f>
        <v/>
      </c>
    </row>
    <row r="1084" ht="15.75" customHeight="1">
      <c r="B1084" s="809" t="n">
        <v>1068</v>
      </c>
      <c r="C1084" s="182">
        <f>IF(offer_sale_type="транзит",IFERROR(VLOOKUP($B1084,calc_data,C$14+1,0),0),0)</f>
        <v/>
      </c>
      <c r="D1084" s="280">
        <f>IF(offer_sale_type="транзит",IFERROR(VLOOKUP($B1084,calc_data,D$14+1,0),0),0)</f>
        <v/>
      </c>
      <c r="E1084" s="182">
        <f>IF(offer_sale_type="транзит",IFERROR(VLOOKUP($B1084,calc_data,E$14+1,0),0),0)</f>
        <v/>
      </c>
      <c r="F1084" s="182">
        <f>IF(offer_sale_type="транзит",IFERROR(VLOOKUP($B1084,calc_data,F$14+1,0),0),0)</f>
        <v/>
      </c>
      <c r="G1084" s="141">
        <f>IF(offer_sale_type="транзит",IFERROR(VLOOKUP($B1084,calc_data,G$14+1,0),0),0)</f>
        <v/>
      </c>
      <c r="H1084" s="141">
        <f>E1084*G1084</f>
        <v/>
      </c>
      <c r="I1084" s="141">
        <f>IF(offer_sale_type="транзит",IFERROR(ROUND(VLOOKUP($B1084,calc_data,I$14+1,0),2),0),0)</f>
        <v/>
      </c>
      <c r="J1084" s="141">
        <f>ROUND(IF(offer_sale_type="транзит",IFERROR(VLOOKUP($B1084,calc_data,J$14+1,0),0),0),2)</f>
        <v/>
      </c>
      <c r="K1084" s="142">
        <f>IF(offer_sale_type="транзит",IFERROR(ROUNDUP(VLOOKUP($B1084,calc_data,K$14+1,0),2),0),0)</f>
        <v/>
      </c>
      <c r="L1084" s="184">
        <f>IF(offer_sale_type="транзит",IFERROR(ROUNDUP(VLOOKUP($B1084,calc_data,L$14+1,0),2),0),0)</f>
        <v/>
      </c>
      <c r="M1084" s="141">
        <f>IF(offer_sale_type="транзит",IFERROR(ROUNDUP(VLOOKUP($B1084,calc_data,M$14+1,0),2),0),0)</f>
        <v/>
      </c>
      <c r="N1084" s="141">
        <f>IF(offer_sale_type="транзит",IFERROR(ROUNDUP(VLOOKUP($B1084,calc_data,N$14+1,0),2),0),0)</f>
        <v/>
      </c>
      <c r="O1084" s="147">
        <f>IF(offer_sale_type="транзит",IFERROR(ROUND(VLOOKUP($B1084,calc_data,O$14+1,1),2),0),0)</f>
        <v/>
      </c>
      <c r="P1084" s="141">
        <f>IF(offer_sale_type="транзит",IFERROR(ROUND(SUM(I1084:J1084,M1084:O1084)/E1084,2),0),0)</f>
        <v/>
      </c>
      <c r="Q1084" s="141">
        <f>E1084*P1084</f>
        <v/>
      </c>
      <c r="R1084" s="141">
        <f>ROUND(Q1084*IF(AND(offer_incoterms="DDP",seller_region="RU"),IF((TODAY()+offer_turnaround_time)&gt;=helpsheet!$L$17,rate_vatRU_from_26,rate_vatRu_till_25),0),2)</f>
        <v/>
      </c>
      <c r="S1084" s="177">
        <f>Q1084+IF(AND(offer_incoterms="DDP",seller_region="RU"),R1084,0)</f>
        <v/>
      </c>
      <c r="T1084" s="45" t="n"/>
      <c r="V1084" s="57">
        <f>IF(Q1084&gt;0,"показать","скрыть")</f>
        <v/>
      </c>
    </row>
    <row r="1085" ht="15.75" customHeight="1">
      <c r="B1085" s="809" t="n">
        <v>1069</v>
      </c>
      <c r="C1085" s="182">
        <f>IF(offer_sale_type="транзит",IFERROR(VLOOKUP($B1085,calc_data,C$14+1,0),0),0)</f>
        <v/>
      </c>
      <c r="D1085" s="280">
        <f>IF(offer_sale_type="транзит",IFERROR(VLOOKUP($B1085,calc_data,D$14+1,0),0),0)</f>
        <v/>
      </c>
      <c r="E1085" s="182">
        <f>IF(offer_sale_type="транзит",IFERROR(VLOOKUP($B1085,calc_data,E$14+1,0),0),0)</f>
        <v/>
      </c>
      <c r="F1085" s="182">
        <f>IF(offer_sale_type="транзит",IFERROR(VLOOKUP($B1085,calc_data,F$14+1,0),0),0)</f>
        <v/>
      </c>
      <c r="G1085" s="141">
        <f>IF(offer_sale_type="транзит",IFERROR(VLOOKUP($B1085,calc_data,G$14+1,0),0),0)</f>
        <v/>
      </c>
      <c r="H1085" s="141">
        <f>E1085*G1085</f>
        <v/>
      </c>
      <c r="I1085" s="141">
        <f>IF(offer_sale_type="транзит",IFERROR(ROUND(VLOOKUP($B1085,calc_data,I$14+1,0),2),0),0)</f>
        <v/>
      </c>
      <c r="J1085" s="141">
        <f>ROUND(IF(offer_sale_type="транзит",IFERROR(VLOOKUP($B1085,calc_data,J$14+1,0),0),0),2)</f>
        <v/>
      </c>
      <c r="K1085" s="142">
        <f>IF(offer_sale_type="транзит",IFERROR(ROUNDUP(VLOOKUP($B1085,calc_data,K$14+1,0),2),0),0)</f>
        <v/>
      </c>
      <c r="L1085" s="184">
        <f>IF(offer_sale_type="транзит",IFERROR(ROUNDUP(VLOOKUP($B1085,calc_data,L$14+1,0),2),0),0)</f>
        <v/>
      </c>
      <c r="M1085" s="141">
        <f>IF(offer_sale_type="транзит",IFERROR(ROUNDUP(VLOOKUP($B1085,calc_data,M$14+1,0),2),0),0)</f>
        <v/>
      </c>
      <c r="N1085" s="141">
        <f>IF(offer_sale_type="транзит",IFERROR(ROUNDUP(VLOOKUP($B1085,calc_data,N$14+1,0),2),0),0)</f>
        <v/>
      </c>
      <c r="O1085" s="147">
        <f>IF(offer_sale_type="транзит",IFERROR(ROUND(VLOOKUP($B1085,calc_data,O$14+1,1),2),0),0)</f>
        <v/>
      </c>
      <c r="P1085" s="141">
        <f>IF(offer_sale_type="транзит",IFERROR(ROUND(SUM(I1085:J1085,M1085:O1085)/E1085,2),0),0)</f>
        <v/>
      </c>
      <c r="Q1085" s="141">
        <f>E1085*P1085</f>
        <v/>
      </c>
      <c r="R1085" s="141">
        <f>ROUND(Q1085*IF(AND(offer_incoterms="DDP",seller_region="RU"),IF((TODAY()+offer_turnaround_time)&gt;=helpsheet!$L$17,rate_vatRU_from_26,rate_vatRu_till_25),0),2)</f>
        <v/>
      </c>
      <c r="S1085" s="177">
        <f>Q1085+IF(AND(offer_incoterms="DDP",seller_region="RU"),R1085,0)</f>
        <v/>
      </c>
      <c r="T1085" s="45" t="n"/>
      <c r="V1085" s="57">
        <f>IF(Q1085&gt;0,"показать","скрыть")</f>
        <v/>
      </c>
    </row>
    <row r="1086" ht="15.75" customHeight="1">
      <c r="B1086" s="809" t="n">
        <v>1070</v>
      </c>
      <c r="C1086" s="182">
        <f>IF(offer_sale_type="транзит",IFERROR(VLOOKUP($B1086,calc_data,C$14+1,0),0),0)</f>
        <v/>
      </c>
      <c r="D1086" s="280">
        <f>IF(offer_sale_type="транзит",IFERROR(VLOOKUP($B1086,calc_data,D$14+1,0),0),0)</f>
        <v/>
      </c>
      <c r="E1086" s="182">
        <f>IF(offer_sale_type="транзит",IFERROR(VLOOKUP($B1086,calc_data,E$14+1,0),0),0)</f>
        <v/>
      </c>
      <c r="F1086" s="182">
        <f>IF(offer_sale_type="транзит",IFERROR(VLOOKUP($B1086,calc_data,F$14+1,0),0),0)</f>
        <v/>
      </c>
      <c r="G1086" s="141">
        <f>IF(offer_sale_type="транзит",IFERROR(VLOOKUP($B1086,calc_data,G$14+1,0),0),0)</f>
        <v/>
      </c>
      <c r="H1086" s="141">
        <f>E1086*G1086</f>
        <v/>
      </c>
      <c r="I1086" s="141">
        <f>IF(offer_sale_type="транзит",IFERROR(ROUND(VLOOKUP($B1086,calc_data,I$14+1,0),2),0),0)</f>
        <v/>
      </c>
      <c r="J1086" s="141">
        <f>ROUND(IF(offer_sale_type="транзит",IFERROR(VLOOKUP($B1086,calc_data,J$14+1,0),0),0),2)</f>
        <v/>
      </c>
      <c r="K1086" s="142">
        <f>IF(offer_sale_type="транзит",IFERROR(ROUNDUP(VLOOKUP($B1086,calc_data,K$14+1,0),2),0),0)</f>
        <v/>
      </c>
      <c r="L1086" s="184">
        <f>IF(offer_sale_type="транзит",IFERROR(ROUNDUP(VLOOKUP($B1086,calc_data,L$14+1,0),2),0),0)</f>
        <v/>
      </c>
      <c r="M1086" s="141">
        <f>IF(offer_sale_type="транзит",IFERROR(ROUNDUP(VLOOKUP($B1086,calc_data,M$14+1,0),2),0),0)</f>
        <v/>
      </c>
      <c r="N1086" s="141">
        <f>IF(offer_sale_type="транзит",IFERROR(ROUNDUP(VLOOKUP($B1086,calc_data,N$14+1,0),2),0),0)</f>
        <v/>
      </c>
      <c r="O1086" s="147">
        <f>IF(offer_sale_type="транзит",IFERROR(ROUND(VLOOKUP($B1086,calc_data,O$14+1,1),2),0),0)</f>
        <v/>
      </c>
      <c r="P1086" s="141">
        <f>IF(offer_sale_type="транзит",IFERROR(ROUND(SUM(I1086:J1086,M1086:O1086)/E1086,2),0),0)</f>
        <v/>
      </c>
      <c r="Q1086" s="141">
        <f>E1086*P1086</f>
        <v/>
      </c>
      <c r="R1086" s="141">
        <f>ROUND(Q1086*IF(AND(offer_incoterms="DDP",seller_region="RU"),IF((TODAY()+offer_turnaround_time)&gt;=helpsheet!$L$17,rate_vatRU_from_26,rate_vatRu_till_25),0),2)</f>
        <v/>
      </c>
      <c r="S1086" s="177">
        <f>Q1086+IF(AND(offer_incoterms="DDP",seller_region="RU"),R1086,0)</f>
        <v/>
      </c>
      <c r="T1086" s="45" t="n"/>
      <c r="V1086" s="57">
        <f>IF(Q1086&gt;0,"показать","скрыть")</f>
        <v/>
      </c>
    </row>
    <row r="1087" ht="15.75" customHeight="1">
      <c r="B1087" s="809" t="n">
        <v>1071</v>
      </c>
      <c r="C1087" s="182">
        <f>IF(offer_sale_type="транзит",IFERROR(VLOOKUP($B1087,calc_data,C$14+1,0),0),0)</f>
        <v/>
      </c>
      <c r="D1087" s="280">
        <f>IF(offer_sale_type="транзит",IFERROR(VLOOKUP($B1087,calc_data,D$14+1,0),0),0)</f>
        <v/>
      </c>
      <c r="E1087" s="182">
        <f>IF(offer_sale_type="транзит",IFERROR(VLOOKUP($B1087,calc_data,E$14+1,0),0),0)</f>
        <v/>
      </c>
      <c r="F1087" s="182">
        <f>IF(offer_sale_type="транзит",IFERROR(VLOOKUP($B1087,calc_data,F$14+1,0),0),0)</f>
        <v/>
      </c>
      <c r="G1087" s="141">
        <f>IF(offer_sale_type="транзит",IFERROR(VLOOKUP($B1087,calc_data,G$14+1,0),0),0)</f>
        <v/>
      </c>
      <c r="H1087" s="141">
        <f>E1087*G1087</f>
        <v/>
      </c>
      <c r="I1087" s="141">
        <f>IF(offer_sale_type="транзит",IFERROR(ROUND(VLOOKUP($B1087,calc_data,I$14+1,0),2),0),0)</f>
        <v/>
      </c>
      <c r="J1087" s="141">
        <f>ROUND(IF(offer_sale_type="транзит",IFERROR(VLOOKUP($B1087,calc_data,J$14+1,0),0),0),2)</f>
        <v/>
      </c>
      <c r="K1087" s="142">
        <f>IF(offer_sale_type="транзит",IFERROR(ROUNDUP(VLOOKUP($B1087,calc_data,K$14+1,0),2),0),0)</f>
        <v/>
      </c>
      <c r="L1087" s="184">
        <f>IF(offer_sale_type="транзит",IFERROR(ROUNDUP(VLOOKUP($B1087,calc_data,L$14+1,0),2),0),0)</f>
        <v/>
      </c>
      <c r="M1087" s="141">
        <f>IF(offer_sale_type="транзит",IFERROR(ROUNDUP(VLOOKUP($B1087,calc_data,M$14+1,0),2),0),0)</f>
        <v/>
      </c>
      <c r="N1087" s="141">
        <f>IF(offer_sale_type="транзит",IFERROR(ROUNDUP(VLOOKUP($B1087,calc_data,N$14+1,0),2),0),0)</f>
        <v/>
      </c>
      <c r="O1087" s="147">
        <f>IF(offer_sale_type="транзит",IFERROR(ROUND(VLOOKUP($B1087,calc_data,O$14+1,1),2),0),0)</f>
        <v/>
      </c>
      <c r="P1087" s="141">
        <f>IF(offer_sale_type="транзит",IFERROR(ROUND(SUM(I1087:J1087,M1087:O1087)/E1087,2),0),0)</f>
        <v/>
      </c>
      <c r="Q1087" s="141">
        <f>E1087*P1087</f>
        <v/>
      </c>
      <c r="R1087" s="141">
        <f>ROUND(Q1087*IF(AND(offer_incoterms="DDP",seller_region="RU"),IF((TODAY()+offer_turnaround_time)&gt;=helpsheet!$L$17,rate_vatRU_from_26,rate_vatRu_till_25),0),2)</f>
        <v/>
      </c>
      <c r="S1087" s="177">
        <f>Q1087+IF(AND(offer_incoterms="DDP",seller_region="RU"),R1087,0)</f>
        <v/>
      </c>
      <c r="T1087" s="45" t="n"/>
      <c r="V1087" s="57">
        <f>IF(Q1087&gt;0,"показать","скрыть")</f>
        <v/>
      </c>
    </row>
    <row r="1088" ht="15.75" customHeight="1">
      <c r="B1088" s="809" t="n">
        <v>1072</v>
      </c>
      <c r="C1088" s="182">
        <f>IF(offer_sale_type="транзит",IFERROR(VLOOKUP($B1088,calc_data,C$14+1,0),0),0)</f>
        <v/>
      </c>
      <c r="D1088" s="280">
        <f>IF(offer_sale_type="транзит",IFERROR(VLOOKUP($B1088,calc_data,D$14+1,0),0),0)</f>
        <v/>
      </c>
      <c r="E1088" s="182">
        <f>IF(offer_sale_type="транзит",IFERROR(VLOOKUP($B1088,calc_data,E$14+1,0),0),0)</f>
        <v/>
      </c>
      <c r="F1088" s="182">
        <f>IF(offer_sale_type="транзит",IFERROR(VLOOKUP($B1088,calc_data,F$14+1,0),0),0)</f>
        <v/>
      </c>
      <c r="G1088" s="141">
        <f>IF(offer_sale_type="транзит",IFERROR(VLOOKUP($B1088,calc_data,G$14+1,0),0),0)</f>
        <v/>
      </c>
      <c r="H1088" s="141">
        <f>E1088*G1088</f>
        <v/>
      </c>
      <c r="I1088" s="141">
        <f>IF(offer_sale_type="транзит",IFERROR(ROUND(VLOOKUP($B1088,calc_data,I$14+1,0),2),0),0)</f>
        <v/>
      </c>
      <c r="J1088" s="141">
        <f>ROUND(IF(offer_sale_type="транзит",IFERROR(VLOOKUP($B1088,calc_data,J$14+1,0),0),0),2)</f>
        <v/>
      </c>
      <c r="K1088" s="142">
        <f>IF(offer_sale_type="транзит",IFERROR(ROUNDUP(VLOOKUP($B1088,calc_data,K$14+1,0),2),0),0)</f>
        <v/>
      </c>
      <c r="L1088" s="184">
        <f>IF(offer_sale_type="транзит",IFERROR(ROUNDUP(VLOOKUP($B1088,calc_data,L$14+1,0),2),0),0)</f>
        <v/>
      </c>
      <c r="M1088" s="141">
        <f>IF(offer_sale_type="транзит",IFERROR(ROUNDUP(VLOOKUP($B1088,calc_data,M$14+1,0),2),0),0)</f>
        <v/>
      </c>
      <c r="N1088" s="141">
        <f>IF(offer_sale_type="транзит",IFERROR(ROUNDUP(VLOOKUP($B1088,calc_data,N$14+1,0),2),0),0)</f>
        <v/>
      </c>
      <c r="O1088" s="147">
        <f>IF(offer_sale_type="транзит",IFERROR(ROUND(VLOOKUP($B1088,calc_data,O$14+1,1),2),0),0)</f>
        <v/>
      </c>
      <c r="P1088" s="141">
        <f>IF(offer_sale_type="транзит",IFERROR(ROUND(SUM(I1088:J1088,M1088:O1088)/E1088,2),0),0)</f>
        <v/>
      </c>
      <c r="Q1088" s="141">
        <f>E1088*P1088</f>
        <v/>
      </c>
      <c r="R1088" s="141">
        <f>ROUND(Q1088*IF(AND(offer_incoterms="DDP",seller_region="RU"),IF((TODAY()+offer_turnaround_time)&gt;=helpsheet!$L$17,rate_vatRU_from_26,rate_vatRu_till_25),0),2)</f>
        <v/>
      </c>
      <c r="S1088" s="177">
        <f>Q1088+IF(AND(offer_incoterms="DDP",seller_region="RU"),R1088,0)</f>
        <v/>
      </c>
      <c r="T1088" s="45" t="n"/>
      <c r="V1088" s="57">
        <f>IF(Q1088&gt;0,"показать","скрыть")</f>
        <v/>
      </c>
    </row>
    <row r="1089" ht="15.75" customHeight="1">
      <c r="B1089" s="809" t="n">
        <v>1073</v>
      </c>
      <c r="C1089" s="182">
        <f>IF(offer_sale_type="транзит",IFERROR(VLOOKUP($B1089,calc_data,C$14+1,0),0),0)</f>
        <v/>
      </c>
      <c r="D1089" s="280">
        <f>IF(offer_sale_type="транзит",IFERROR(VLOOKUP($B1089,calc_data,D$14+1,0),0),0)</f>
        <v/>
      </c>
      <c r="E1089" s="182">
        <f>IF(offer_sale_type="транзит",IFERROR(VLOOKUP($B1089,calc_data,E$14+1,0),0),0)</f>
        <v/>
      </c>
      <c r="F1089" s="182">
        <f>IF(offer_sale_type="транзит",IFERROR(VLOOKUP($B1089,calc_data,F$14+1,0),0),0)</f>
        <v/>
      </c>
      <c r="G1089" s="141">
        <f>IF(offer_sale_type="транзит",IFERROR(VLOOKUP($B1089,calc_data,G$14+1,0),0),0)</f>
        <v/>
      </c>
      <c r="H1089" s="141">
        <f>E1089*G1089</f>
        <v/>
      </c>
      <c r="I1089" s="141">
        <f>IF(offer_sale_type="транзит",IFERROR(ROUND(VLOOKUP($B1089,calc_data,I$14+1,0),2),0),0)</f>
        <v/>
      </c>
      <c r="J1089" s="141">
        <f>ROUND(IF(offer_sale_type="транзит",IFERROR(VLOOKUP($B1089,calc_data,J$14+1,0),0),0),2)</f>
        <v/>
      </c>
      <c r="K1089" s="142">
        <f>IF(offer_sale_type="транзит",IFERROR(ROUNDUP(VLOOKUP($B1089,calc_data,K$14+1,0),2),0),0)</f>
        <v/>
      </c>
      <c r="L1089" s="184">
        <f>IF(offer_sale_type="транзит",IFERROR(ROUNDUP(VLOOKUP($B1089,calc_data,L$14+1,0),2),0),0)</f>
        <v/>
      </c>
      <c r="M1089" s="141">
        <f>IF(offer_sale_type="транзит",IFERROR(ROUNDUP(VLOOKUP($B1089,calc_data,M$14+1,0),2),0),0)</f>
        <v/>
      </c>
      <c r="N1089" s="141">
        <f>IF(offer_sale_type="транзит",IFERROR(ROUNDUP(VLOOKUP($B1089,calc_data,N$14+1,0),2),0),0)</f>
        <v/>
      </c>
      <c r="O1089" s="147">
        <f>IF(offer_sale_type="транзит",IFERROR(ROUND(VLOOKUP($B1089,calc_data,O$14+1,1),2),0),0)</f>
        <v/>
      </c>
      <c r="P1089" s="141">
        <f>IF(offer_sale_type="транзит",IFERROR(ROUND(SUM(I1089:J1089,M1089:O1089)/E1089,2),0),0)</f>
        <v/>
      </c>
      <c r="Q1089" s="141">
        <f>E1089*P1089</f>
        <v/>
      </c>
      <c r="R1089" s="141">
        <f>ROUND(Q1089*IF(AND(offer_incoterms="DDP",seller_region="RU"),IF((TODAY()+offer_turnaround_time)&gt;=helpsheet!$L$17,rate_vatRU_from_26,rate_vatRu_till_25),0),2)</f>
        <v/>
      </c>
      <c r="S1089" s="177">
        <f>Q1089+IF(AND(offer_incoterms="DDP",seller_region="RU"),R1089,0)</f>
        <v/>
      </c>
      <c r="T1089" s="45" t="n"/>
      <c r="V1089" s="57">
        <f>IF(Q1089&gt;0,"показать","скрыть")</f>
        <v/>
      </c>
    </row>
    <row r="1090" ht="15.75" customHeight="1">
      <c r="B1090" s="809" t="n">
        <v>1074</v>
      </c>
      <c r="C1090" s="182">
        <f>IF(offer_sale_type="транзит",IFERROR(VLOOKUP($B1090,calc_data,C$14+1,0),0),0)</f>
        <v/>
      </c>
      <c r="D1090" s="280">
        <f>IF(offer_sale_type="транзит",IFERROR(VLOOKUP($B1090,calc_data,D$14+1,0),0),0)</f>
        <v/>
      </c>
      <c r="E1090" s="182">
        <f>IF(offer_sale_type="транзит",IFERROR(VLOOKUP($B1090,calc_data,E$14+1,0),0),0)</f>
        <v/>
      </c>
      <c r="F1090" s="182">
        <f>IF(offer_sale_type="транзит",IFERROR(VLOOKUP($B1090,calc_data,F$14+1,0),0),0)</f>
        <v/>
      </c>
      <c r="G1090" s="141">
        <f>IF(offer_sale_type="транзит",IFERROR(VLOOKUP($B1090,calc_data,G$14+1,0),0),0)</f>
        <v/>
      </c>
      <c r="H1090" s="141">
        <f>E1090*G1090</f>
        <v/>
      </c>
      <c r="I1090" s="141">
        <f>IF(offer_sale_type="транзит",IFERROR(ROUND(VLOOKUP($B1090,calc_data,I$14+1,0),2),0),0)</f>
        <v/>
      </c>
      <c r="J1090" s="141">
        <f>ROUND(IF(offer_sale_type="транзит",IFERROR(VLOOKUP($B1090,calc_data,J$14+1,0),0),0),2)</f>
        <v/>
      </c>
      <c r="K1090" s="142">
        <f>IF(offer_sale_type="транзит",IFERROR(ROUNDUP(VLOOKUP($B1090,calc_data,K$14+1,0),2),0),0)</f>
        <v/>
      </c>
      <c r="L1090" s="184">
        <f>IF(offer_sale_type="транзит",IFERROR(ROUNDUP(VLOOKUP($B1090,calc_data,L$14+1,0),2),0),0)</f>
        <v/>
      </c>
      <c r="M1090" s="141">
        <f>IF(offer_sale_type="транзит",IFERROR(ROUNDUP(VLOOKUP($B1090,calc_data,M$14+1,0),2),0),0)</f>
        <v/>
      </c>
      <c r="N1090" s="141">
        <f>IF(offer_sale_type="транзит",IFERROR(ROUNDUP(VLOOKUP($B1090,calc_data,N$14+1,0),2),0),0)</f>
        <v/>
      </c>
      <c r="O1090" s="147">
        <f>IF(offer_sale_type="транзит",IFERROR(ROUND(VLOOKUP($B1090,calc_data,O$14+1,1),2),0),0)</f>
        <v/>
      </c>
      <c r="P1090" s="141">
        <f>IF(offer_sale_type="транзит",IFERROR(ROUND(SUM(I1090:J1090,M1090:O1090)/E1090,2),0),0)</f>
        <v/>
      </c>
      <c r="Q1090" s="141">
        <f>E1090*P1090</f>
        <v/>
      </c>
      <c r="R1090" s="141">
        <f>ROUND(Q1090*IF(AND(offer_incoterms="DDP",seller_region="RU"),IF((TODAY()+offer_turnaround_time)&gt;=helpsheet!$L$17,rate_vatRU_from_26,rate_vatRu_till_25),0),2)</f>
        <v/>
      </c>
      <c r="S1090" s="177">
        <f>Q1090+IF(AND(offer_incoterms="DDP",seller_region="RU"),R1090,0)</f>
        <v/>
      </c>
      <c r="T1090" s="45" t="n"/>
      <c r="V1090" s="57">
        <f>IF(Q1090&gt;0,"показать","скрыть")</f>
        <v/>
      </c>
    </row>
    <row r="1091" ht="15.75" customHeight="1">
      <c r="B1091" s="809" t="n">
        <v>1075</v>
      </c>
      <c r="C1091" s="182">
        <f>IF(offer_sale_type="транзит",IFERROR(VLOOKUP($B1091,calc_data,C$14+1,0),0),0)</f>
        <v/>
      </c>
      <c r="D1091" s="280">
        <f>IF(offer_sale_type="транзит",IFERROR(VLOOKUP($B1091,calc_data,D$14+1,0),0),0)</f>
        <v/>
      </c>
      <c r="E1091" s="182">
        <f>IF(offer_sale_type="транзит",IFERROR(VLOOKUP($B1091,calc_data,E$14+1,0),0),0)</f>
        <v/>
      </c>
      <c r="F1091" s="182">
        <f>IF(offer_sale_type="транзит",IFERROR(VLOOKUP($B1091,calc_data,F$14+1,0),0),0)</f>
        <v/>
      </c>
      <c r="G1091" s="141">
        <f>IF(offer_sale_type="транзит",IFERROR(VLOOKUP($B1091,calc_data,G$14+1,0),0),0)</f>
        <v/>
      </c>
      <c r="H1091" s="141">
        <f>E1091*G1091</f>
        <v/>
      </c>
      <c r="I1091" s="141">
        <f>IF(offer_sale_type="транзит",IFERROR(ROUND(VLOOKUP($B1091,calc_data,I$14+1,0),2),0),0)</f>
        <v/>
      </c>
      <c r="J1091" s="141">
        <f>ROUND(IF(offer_sale_type="транзит",IFERROR(VLOOKUP($B1091,calc_data,J$14+1,0),0),0),2)</f>
        <v/>
      </c>
      <c r="K1091" s="142">
        <f>IF(offer_sale_type="транзит",IFERROR(ROUNDUP(VLOOKUP($B1091,calc_data,K$14+1,0),2),0),0)</f>
        <v/>
      </c>
      <c r="L1091" s="184">
        <f>IF(offer_sale_type="транзит",IFERROR(ROUNDUP(VLOOKUP($B1091,calc_data,L$14+1,0),2),0),0)</f>
        <v/>
      </c>
      <c r="M1091" s="141">
        <f>IF(offer_sale_type="транзит",IFERROR(ROUNDUP(VLOOKUP($B1091,calc_data,M$14+1,0),2),0),0)</f>
        <v/>
      </c>
      <c r="N1091" s="141">
        <f>IF(offer_sale_type="транзит",IFERROR(ROUNDUP(VLOOKUP($B1091,calc_data,N$14+1,0),2),0),0)</f>
        <v/>
      </c>
      <c r="O1091" s="147">
        <f>IF(offer_sale_type="транзит",IFERROR(ROUND(VLOOKUP($B1091,calc_data,O$14+1,1),2),0),0)</f>
        <v/>
      </c>
      <c r="P1091" s="141">
        <f>IF(offer_sale_type="транзит",IFERROR(ROUND(SUM(I1091:J1091,M1091:O1091)/E1091,2),0),0)</f>
        <v/>
      </c>
      <c r="Q1091" s="141">
        <f>E1091*P1091</f>
        <v/>
      </c>
      <c r="R1091" s="141">
        <f>ROUND(Q1091*IF(AND(offer_incoterms="DDP",seller_region="RU"),IF((TODAY()+offer_turnaround_time)&gt;=helpsheet!$L$17,rate_vatRU_from_26,rate_vatRu_till_25),0),2)</f>
        <v/>
      </c>
      <c r="S1091" s="177">
        <f>Q1091+IF(AND(offer_incoterms="DDP",seller_region="RU"),R1091,0)</f>
        <v/>
      </c>
      <c r="T1091" s="45" t="n"/>
      <c r="V1091" s="57">
        <f>IF(Q1091&gt;0,"показать","скрыть")</f>
        <v/>
      </c>
    </row>
    <row r="1092" ht="15.75" customHeight="1">
      <c r="B1092" s="809" t="n">
        <v>1076</v>
      </c>
      <c r="C1092" s="182">
        <f>IF(offer_sale_type="транзит",IFERROR(VLOOKUP($B1092,calc_data,C$14+1,0),0),0)</f>
        <v/>
      </c>
      <c r="D1092" s="280">
        <f>IF(offer_sale_type="транзит",IFERROR(VLOOKUP($B1092,calc_data,D$14+1,0),0),0)</f>
        <v/>
      </c>
      <c r="E1092" s="182">
        <f>IF(offer_sale_type="транзит",IFERROR(VLOOKUP($B1092,calc_data,E$14+1,0),0),0)</f>
        <v/>
      </c>
      <c r="F1092" s="182">
        <f>IF(offer_sale_type="транзит",IFERROR(VLOOKUP($B1092,calc_data,F$14+1,0),0),0)</f>
        <v/>
      </c>
      <c r="G1092" s="141">
        <f>IF(offer_sale_type="транзит",IFERROR(VLOOKUP($B1092,calc_data,G$14+1,0),0),0)</f>
        <v/>
      </c>
      <c r="H1092" s="141">
        <f>E1092*G1092</f>
        <v/>
      </c>
      <c r="I1092" s="141">
        <f>IF(offer_sale_type="транзит",IFERROR(ROUND(VLOOKUP($B1092,calc_data,I$14+1,0),2),0),0)</f>
        <v/>
      </c>
      <c r="J1092" s="141">
        <f>ROUND(IF(offer_sale_type="транзит",IFERROR(VLOOKUP($B1092,calc_data,J$14+1,0),0),0),2)</f>
        <v/>
      </c>
      <c r="K1092" s="142">
        <f>IF(offer_sale_type="транзит",IFERROR(ROUNDUP(VLOOKUP($B1092,calc_data,K$14+1,0),2),0),0)</f>
        <v/>
      </c>
      <c r="L1092" s="184">
        <f>IF(offer_sale_type="транзит",IFERROR(ROUNDUP(VLOOKUP($B1092,calc_data,L$14+1,0),2),0),0)</f>
        <v/>
      </c>
      <c r="M1092" s="141">
        <f>IF(offer_sale_type="транзит",IFERROR(ROUNDUP(VLOOKUP($B1092,calc_data,M$14+1,0),2),0),0)</f>
        <v/>
      </c>
      <c r="N1092" s="141">
        <f>IF(offer_sale_type="транзит",IFERROR(ROUNDUP(VLOOKUP($B1092,calc_data,N$14+1,0),2),0),0)</f>
        <v/>
      </c>
      <c r="O1092" s="147">
        <f>IF(offer_sale_type="транзит",IFERROR(ROUND(VLOOKUP($B1092,calc_data,O$14+1,1),2),0),0)</f>
        <v/>
      </c>
      <c r="P1092" s="141">
        <f>IF(offer_sale_type="транзит",IFERROR(ROUND(SUM(I1092:J1092,M1092:O1092)/E1092,2),0),0)</f>
        <v/>
      </c>
      <c r="Q1092" s="141">
        <f>E1092*P1092</f>
        <v/>
      </c>
      <c r="R1092" s="141">
        <f>ROUND(Q1092*IF(AND(offer_incoterms="DDP",seller_region="RU"),IF((TODAY()+offer_turnaround_time)&gt;=helpsheet!$L$17,rate_vatRU_from_26,rate_vatRu_till_25),0),2)</f>
        <v/>
      </c>
      <c r="S1092" s="177">
        <f>Q1092+IF(AND(offer_incoterms="DDP",seller_region="RU"),R1092,0)</f>
        <v/>
      </c>
      <c r="T1092" s="45" t="n"/>
      <c r="V1092" s="57">
        <f>IF(Q1092&gt;0,"показать","скрыть")</f>
        <v/>
      </c>
    </row>
    <row r="1093" ht="15.75" customHeight="1">
      <c r="B1093" s="809" t="n">
        <v>1077</v>
      </c>
      <c r="C1093" s="182">
        <f>IF(offer_sale_type="транзит",IFERROR(VLOOKUP($B1093,calc_data,C$14+1,0),0),0)</f>
        <v/>
      </c>
      <c r="D1093" s="280">
        <f>IF(offer_sale_type="транзит",IFERROR(VLOOKUP($B1093,calc_data,D$14+1,0),0),0)</f>
        <v/>
      </c>
      <c r="E1093" s="182">
        <f>IF(offer_sale_type="транзит",IFERROR(VLOOKUP($B1093,calc_data,E$14+1,0),0),0)</f>
        <v/>
      </c>
      <c r="F1093" s="182">
        <f>IF(offer_sale_type="транзит",IFERROR(VLOOKUP($B1093,calc_data,F$14+1,0),0),0)</f>
        <v/>
      </c>
      <c r="G1093" s="141">
        <f>IF(offer_sale_type="транзит",IFERROR(VLOOKUP($B1093,calc_data,G$14+1,0),0),0)</f>
        <v/>
      </c>
      <c r="H1093" s="141">
        <f>E1093*G1093</f>
        <v/>
      </c>
      <c r="I1093" s="141">
        <f>IF(offer_sale_type="транзит",IFERROR(ROUND(VLOOKUP($B1093,calc_data,I$14+1,0),2),0),0)</f>
        <v/>
      </c>
      <c r="J1093" s="141">
        <f>ROUND(IF(offer_sale_type="транзит",IFERROR(VLOOKUP($B1093,calc_data,J$14+1,0),0),0),2)</f>
        <v/>
      </c>
      <c r="K1093" s="142">
        <f>IF(offer_sale_type="транзит",IFERROR(ROUNDUP(VLOOKUP($B1093,calc_data,K$14+1,0),2),0),0)</f>
        <v/>
      </c>
      <c r="L1093" s="184">
        <f>IF(offer_sale_type="транзит",IFERROR(ROUNDUP(VLOOKUP($B1093,calc_data,L$14+1,0),2),0),0)</f>
        <v/>
      </c>
      <c r="M1093" s="141">
        <f>IF(offer_sale_type="транзит",IFERROR(ROUNDUP(VLOOKUP($B1093,calc_data,M$14+1,0),2),0),0)</f>
        <v/>
      </c>
      <c r="N1093" s="141">
        <f>IF(offer_sale_type="транзит",IFERROR(ROUNDUP(VLOOKUP($B1093,calc_data,N$14+1,0),2),0),0)</f>
        <v/>
      </c>
      <c r="O1093" s="147">
        <f>IF(offer_sale_type="транзит",IFERROR(ROUND(VLOOKUP($B1093,calc_data,O$14+1,1),2),0),0)</f>
        <v/>
      </c>
      <c r="P1093" s="141">
        <f>IF(offer_sale_type="транзит",IFERROR(ROUND(SUM(I1093:J1093,M1093:O1093)/E1093,2),0),0)</f>
        <v/>
      </c>
      <c r="Q1093" s="141">
        <f>E1093*P1093</f>
        <v/>
      </c>
      <c r="R1093" s="141">
        <f>ROUND(Q1093*IF(AND(offer_incoterms="DDP",seller_region="RU"),IF((TODAY()+offer_turnaround_time)&gt;=helpsheet!$L$17,rate_vatRU_from_26,rate_vatRu_till_25),0),2)</f>
        <v/>
      </c>
      <c r="S1093" s="177">
        <f>Q1093+IF(AND(offer_incoterms="DDP",seller_region="RU"),R1093,0)</f>
        <v/>
      </c>
      <c r="T1093" s="45" t="n"/>
      <c r="V1093" s="57">
        <f>IF(Q1093&gt;0,"показать","скрыть")</f>
        <v/>
      </c>
    </row>
    <row r="1094" ht="15.75" customHeight="1">
      <c r="B1094" s="809" t="n">
        <v>1078</v>
      </c>
      <c r="C1094" s="182">
        <f>IF(offer_sale_type="транзит",IFERROR(VLOOKUP($B1094,calc_data,C$14+1,0),0),0)</f>
        <v/>
      </c>
      <c r="D1094" s="280">
        <f>IF(offer_sale_type="транзит",IFERROR(VLOOKUP($B1094,calc_data,D$14+1,0),0),0)</f>
        <v/>
      </c>
      <c r="E1094" s="182">
        <f>IF(offer_sale_type="транзит",IFERROR(VLOOKUP($B1094,calc_data,E$14+1,0),0),0)</f>
        <v/>
      </c>
      <c r="F1094" s="182">
        <f>IF(offer_sale_type="транзит",IFERROR(VLOOKUP($B1094,calc_data,F$14+1,0),0),0)</f>
        <v/>
      </c>
      <c r="G1094" s="141">
        <f>IF(offer_sale_type="транзит",IFERROR(VLOOKUP($B1094,calc_data,G$14+1,0),0),0)</f>
        <v/>
      </c>
      <c r="H1094" s="141">
        <f>E1094*G1094</f>
        <v/>
      </c>
      <c r="I1094" s="141">
        <f>IF(offer_sale_type="транзит",IFERROR(ROUND(VLOOKUP($B1094,calc_data,I$14+1,0),2),0),0)</f>
        <v/>
      </c>
      <c r="J1094" s="141">
        <f>ROUND(IF(offer_sale_type="транзит",IFERROR(VLOOKUP($B1094,calc_data,J$14+1,0),0),0),2)</f>
        <v/>
      </c>
      <c r="K1094" s="142">
        <f>IF(offer_sale_type="транзит",IFERROR(ROUNDUP(VLOOKUP($B1094,calc_data,K$14+1,0),2),0),0)</f>
        <v/>
      </c>
      <c r="L1094" s="184">
        <f>IF(offer_sale_type="транзит",IFERROR(ROUNDUP(VLOOKUP($B1094,calc_data,L$14+1,0),2),0),0)</f>
        <v/>
      </c>
      <c r="M1094" s="141">
        <f>IF(offer_sale_type="транзит",IFERROR(ROUNDUP(VLOOKUP($B1094,calc_data,M$14+1,0),2),0),0)</f>
        <v/>
      </c>
      <c r="N1094" s="141">
        <f>IF(offer_sale_type="транзит",IFERROR(ROUNDUP(VLOOKUP($B1094,calc_data,N$14+1,0),2),0),0)</f>
        <v/>
      </c>
      <c r="O1094" s="147">
        <f>IF(offer_sale_type="транзит",IFERROR(ROUND(VLOOKUP($B1094,calc_data,O$14+1,1),2),0),0)</f>
        <v/>
      </c>
      <c r="P1094" s="141">
        <f>IF(offer_sale_type="транзит",IFERROR(ROUND(SUM(I1094:J1094,M1094:O1094)/E1094,2),0),0)</f>
        <v/>
      </c>
      <c r="Q1094" s="141">
        <f>E1094*P1094</f>
        <v/>
      </c>
      <c r="R1094" s="141">
        <f>ROUND(Q1094*IF(AND(offer_incoterms="DDP",seller_region="RU"),IF((TODAY()+offer_turnaround_time)&gt;=helpsheet!$L$17,rate_vatRU_from_26,rate_vatRu_till_25),0),2)</f>
        <v/>
      </c>
      <c r="S1094" s="177">
        <f>Q1094+IF(AND(offer_incoterms="DDP",seller_region="RU"),R1094,0)</f>
        <v/>
      </c>
      <c r="T1094" s="45" t="n"/>
      <c r="V1094" s="57">
        <f>IF(Q1094&gt;0,"показать","скрыть")</f>
        <v/>
      </c>
    </row>
    <row r="1095" ht="15.75" customHeight="1">
      <c r="B1095" s="809" t="n">
        <v>1079</v>
      </c>
      <c r="C1095" s="182">
        <f>IF(offer_sale_type="транзит",IFERROR(VLOOKUP($B1095,calc_data,C$14+1,0),0),0)</f>
        <v/>
      </c>
      <c r="D1095" s="280">
        <f>IF(offer_sale_type="транзит",IFERROR(VLOOKUP($B1095,calc_data,D$14+1,0),0),0)</f>
        <v/>
      </c>
      <c r="E1095" s="182">
        <f>IF(offer_sale_type="транзит",IFERROR(VLOOKUP($B1095,calc_data,E$14+1,0),0),0)</f>
        <v/>
      </c>
      <c r="F1095" s="182">
        <f>IF(offer_sale_type="транзит",IFERROR(VLOOKUP($B1095,calc_data,F$14+1,0),0),0)</f>
        <v/>
      </c>
      <c r="G1095" s="141">
        <f>IF(offer_sale_type="транзит",IFERROR(VLOOKUP($B1095,calc_data,G$14+1,0),0),0)</f>
        <v/>
      </c>
      <c r="H1095" s="141">
        <f>E1095*G1095</f>
        <v/>
      </c>
      <c r="I1095" s="141">
        <f>IF(offer_sale_type="транзит",IFERROR(ROUND(VLOOKUP($B1095,calc_data,I$14+1,0),2),0),0)</f>
        <v/>
      </c>
      <c r="J1095" s="141">
        <f>ROUND(IF(offer_sale_type="транзит",IFERROR(VLOOKUP($B1095,calc_data,J$14+1,0),0),0),2)</f>
        <v/>
      </c>
      <c r="K1095" s="142">
        <f>IF(offer_sale_type="транзит",IFERROR(ROUNDUP(VLOOKUP($B1095,calc_data,K$14+1,0),2),0),0)</f>
        <v/>
      </c>
      <c r="L1095" s="184">
        <f>IF(offer_sale_type="транзит",IFERROR(ROUNDUP(VLOOKUP($B1095,calc_data,L$14+1,0),2),0),0)</f>
        <v/>
      </c>
      <c r="M1095" s="141">
        <f>IF(offer_sale_type="транзит",IFERROR(ROUNDUP(VLOOKUP($B1095,calc_data,M$14+1,0),2),0),0)</f>
        <v/>
      </c>
      <c r="N1095" s="141">
        <f>IF(offer_sale_type="транзит",IFERROR(ROUNDUP(VLOOKUP($B1095,calc_data,N$14+1,0),2),0),0)</f>
        <v/>
      </c>
      <c r="O1095" s="147">
        <f>IF(offer_sale_type="транзит",IFERROR(ROUND(VLOOKUP($B1095,calc_data,O$14+1,1),2),0),0)</f>
        <v/>
      </c>
      <c r="P1095" s="141">
        <f>IF(offer_sale_type="транзит",IFERROR(ROUND(SUM(I1095:J1095,M1095:O1095)/E1095,2),0),0)</f>
        <v/>
      </c>
      <c r="Q1095" s="141">
        <f>E1095*P1095</f>
        <v/>
      </c>
      <c r="R1095" s="141">
        <f>ROUND(Q1095*IF(AND(offer_incoterms="DDP",seller_region="RU"),IF((TODAY()+offer_turnaround_time)&gt;=helpsheet!$L$17,rate_vatRU_from_26,rate_vatRu_till_25),0),2)</f>
        <v/>
      </c>
      <c r="S1095" s="177">
        <f>Q1095+IF(AND(offer_incoterms="DDP",seller_region="RU"),R1095,0)</f>
        <v/>
      </c>
      <c r="T1095" s="45" t="n"/>
      <c r="V1095" s="57">
        <f>IF(Q1095&gt;0,"показать","скрыть")</f>
        <v/>
      </c>
    </row>
    <row r="1096" ht="15.75" customHeight="1">
      <c r="B1096" s="809" t="n">
        <v>1080</v>
      </c>
      <c r="C1096" s="182">
        <f>IF(offer_sale_type="транзит",IFERROR(VLOOKUP($B1096,calc_data,C$14+1,0),0),0)</f>
        <v/>
      </c>
      <c r="D1096" s="280">
        <f>IF(offer_sale_type="транзит",IFERROR(VLOOKUP($B1096,calc_data,D$14+1,0),0),0)</f>
        <v/>
      </c>
      <c r="E1096" s="182">
        <f>IF(offer_sale_type="транзит",IFERROR(VLOOKUP($B1096,calc_data,E$14+1,0),0),0)</f>
        <v/>
      </c>
      <c r="F1096" s="182">
        <f>IF(offer_sale_type="транзит",IFERROR(VLOOKUP($B1096,calc_data,F$14+1,0),0),0)</f>
        <v/>
      </c>
      <c r="G1096" s="141">
        <f>IF(offer_sale_type="транзит",IFERROR(VLOOKUP($B1096,calc_data,G$14+1,0),0),0)</f>
        <v/>
      </c>
      <c r="H1096" s="141">
        <f>E1096*G1096</f>
        <v/>
      </c>
      <c r="I1096" s="141">
        <f>IF(offer_sale_type="транзит",IFERROR(ROUND(VLOOKUP($B1096,calc_data,I$14+1,0),2),0),0)</f>
        <v/>
      </c>
      <c r="J1096" s="141">
        <f>ROUND(IF(offer_sale_type="транзит",IFERROR(VLOOKUP($B1096,calc_data,J$14+1,0),0),0),2)</f>
        <v/>
      </c>
      <c r="K1096" s="142">
        <f>IF(offer_sale_type="транзит",IFERROR(ROUNDUP(VLOOKUP($B1096,calc_data,K$14+1,0),2),0),0)</f>
        <v/>
      </c>
      <c r="L1096" s="184">
        <f>IF(offer_sale_type="транзит",IFERROR(ROUNDUP(VLOOKUP($B1096,calc_data,L$14+1,0),2),0),0)</f>
        <v/>
      </c>
      <c r="M1096" s="141">
        <f>IF(offer_sale_type="транзит",IFERROR(ROUNDUP(VLOOKUP($B1096,calc_data,M$14+1,0),2),0),0)</f>
        <v/>
      </c>
      <c r="N1096" s="141">
        <f>IF(offer_sale_type="транзит",IFERROR(ROUNDUP(VLOOKUP($B1096,calc_data,N$14+1,0),2),0),0)</f>
        <v/>
      </c>
      <c r="O1096" s="147">
        <f>IF(offer_sale_type="транзит",IFERROR(ROUND(VLOOKUP($B1096,calc_data,O$14+1,1),2),0),0)</f>
        <v/>
      </c>
      <c r="P1096" s="141">
        <f>IF(offer_sale_type="транзит",IFERROR(ROUND(SUM(I1096:J1096,M1096:O1096)/E1096,2),0),0)</f>
        <v/>
      </c>
      <c r="Q1096" s="141">
        <f>E1096*P1096</f>
        <v/>
      </c>
      <c r="R1096" s="141">
        <f>ROUND(Q1096*IF(AND(offer_incoterms="DDP",seller_region="RU"),IF((TODAY()+offer_turnaround_time)&gt;=helpsheet!$L$17,rate_vatRU_from_26,rate_vatRu_till_25),0),2)</f>
        <v/>
      </c>
      <c r="S1096" s="177">
        <f>Q1096+IF(AND(offer_incoterms="DDP",seller_region="RU"),R1096,0)</f>
        <v/>
      </c>
      <c r="T1096" s="45" t="n"/>
      <c r="V1096" s="57">
        <f>IF(Q1096&gt;0,"показать","скрыть")</f>
        <v/>
      </c>
    </row>
    <row r="1097" ht="15.75" customHeight="1">
      <c r="B1097" s="809" t="n">
        <v>1081</v>
      </c>
      <c r="C1097" s="182">
        <f>IF(offer_sale_type="транзит",IFERROR(VLOOKUP($B1097,calc_data,C$14+1,0),0),0)</f>
        <v/>
      </c>
      <c r="D1097" s="280">
        <f>IF(offer_sale_type="транзит",IFERROR(VLOOKUP($B1097,calc_data,D$14+1,0),0),0)</f>
        <v/>
      </c>
      <c r="E1097" s="182">
        <f>IF(offer_sale_type="транзит",IFERROR(VLOOKUP($B1097,calc_data,E$14+1,0),0),0)</f>
        <v/>
      </c>
      <c r="F1097" s="182">
        <f>IF(offer_sale_type="транзит",IFERROR(VLOOKUP($B1097,calc_data,F$14+1,0),0),0)</f>
        <v/>
      </c>
      <c r="G1097" s="141">
        <f>IF(offer_sale_type="транзит",IFERROR(VLOOKUP($B1097,calc_data,G$14+1,0),0),0)</f>
        <v/>
      </c>
      <c r="H1097" s="141">
        <f>E1097*G1097</f>
        <v/>
      </c>
      <c r="I1097" s="141">
        <f>IF(offer_sale_type="транзит",IFERROR(ROUND(VLOOKUP($B1097,calc_data,I$14+1,0),2),0),0)</f>
        <v/>
      </c>
      <c r="J1097" s="141">
        <f>ROUND(IF(offer_sale_type="транзит",IFERROR(VLOOKUP($B1097,calc_data,J$14+1,0),0),0),2)</f>
        <v/>
      </c>
      <c r="K1097" s="142">
        <f>IF(offer_sale_type="транзит",IFERROR(ROUNDUP(VLOOKUP($B1097,calc_data,K$14+1,0),2),0),0)</f>
        <v/>
      </c>
      <c r="L1097" s="184">
        <f>IF(offer_sale_type="транзит",IFERROR(ROUNDUP(VLOOKUP($B1097,calc_data,L$14+1,0),2),0),0)</f>
        <v/>
      </c>
      <c r="M1097" s="141">
        <f>IF(offer_sale_type="транзит",IFERROR(ROUNDUP(VLOOKUP($B1097,calc_data,M$14+1,0),2),0),0)</f>
        <v/>
      </c>
      <c r="N1097" s="141">
        <f>IF(offer_sale_type="транзит",IFERROR(ROUNDUP(VLOOKUP($B1097,calc_data,N$14+1,0),2),0),0)</f>
        <v/>
      </c>
      <c r="O1097" s="147">
        <f>IF(offer_sale_type="транзит",IFERROR(ROUND(VLOOKUP($B1097,calc_data,O$14+1,1),2),0),0)</f>
        <v/>
      </c>
      <c r="P1097" s="141">
        <f>IF(offer_sale_type="транзит",IFERROR(ROUND(SUM(I1097:J1097,M1097:O1097)/E1097,2),0),0)</f>
        <v/>
      </c>
      <c r="Q1097" s="141">
        <f>E1097*P1097</f>
        <v/>
      </c>
      <c r="R1097" s="141">
        <f>ROUND(Q1097*IF(AND(offer_incoterms="DDP",seller_region="RU"),IF((TODAY()+offer_turnaround_time)&gt;=helpsheet!$L$17,rate_vatRU_from_26,rate_vatRu_till_25),0),2)</f>
        <v/>
      </c>
      <c r="S1097" s="177">
        <f>Q1097+IF(AND(offer_incoterms="DDP",seller_region="RU"),R1097,0)</f>
        <v/>
      </c>
      <c r="T1097" s="45" t="n"/>
      <c r="V1097" s="57">
        <f>IF(Q1097&gt;0,"показать","скрыть")</f>
        <v/>
      </c>
    </row>
    <row r="1098" ht="15.75" customHeight="1">
      <c r="B1098" s="809" t="n">
        <v>1082</v>
      </c>
      <c r="C1098" s="182">
        <f>IF(offer_sale_type="транзит",IFERROR(VLOOKUP($B1098,calc_data,C$14+1,0),0),0)</f>
        <v/>
      </c>
      <c r="D1098" s="280">
        <f>IF(offer_sale_type="транзит",IFERROR(VLOOKUP($B1098,calc_data,D$14+1,0),0),0)</f>
        <v/>
      </c>
      <c r="E1098" s="182">
        <f>IF(offer_sale_type="транзит",IFERROR(VLOOKUP($B1098,calc_data,E$14+1,0),0),0)</f>
        <v/>
      </c>
      <c r="F1098" s="182">
        <f>IF(offer_sale_type="транзит",IFERROR(VLOOKUP($B1098,calc_data,F$14+1,0),0),0)</f>
        <v/>
      </c>
      <c r="G1098" s="141">
        <f>IF(offer_sale_type="транзит",IFERROR(VLOOKUP($B1098,calc_data,G$14+1,0),0),0)</f>
        <v/>
      </c>
      <c r="H1098" s="141">
        <f>E1098*G1098</f>
        <v/>
      </c>
      <c r="I1098" s="141">
        <f>IF(offer_sale_type="транзит",IFERROR(ROUND(VLOOKUP($B1098,calc_data,I$14+1,0),2),0),0)</f>
        <v/>
      </c>
      <c r="J1098" s="141">
        <f>ROUND(IF(offer_sale_type="транзит",IFERROR(VLOOKUP($B1098,calc_data,J$14+1,0),0),0),2)</f>
        <v/>
      </c>
      <c r="K1098" s="142">
        <f>IF(offer_sale_type="транзит",IFERROR(ROUNDUP(VLOOKUP($B1098,calc_data,K$14+1,0),2),0),0)</f>
        <v/>
      </c>
      <c r="L1098" s="184">
        <f>IF(offer_sale_type="транзит",IFERROR(ROUNDUP(VLOOKUP($B1098,calc_data,L$14+1,0),2),0),0)</f>
        <v/>
      </c>
      <c r="M1098" s="141">
        <f>IF(offer_sale_type="транзит",IFERROR(ROUNDUP(VLOOKUP($B1098,calc_data,M$14+1,0),2),0),0)</f>
        <v/>
      </c>
      <c r="N1098" s="141">
        <f>IF(offer_sale_type="транзит",IFERROR(ROUNDUP(VLOOKUP($B1098,calc_data,N$14+1,0),2),0),0)</f>
        <v/>
      </c>
      <c r="O1098" s="147">
        <f>IF(offer_sale_type="транзит",IFERROR(ROUND(VLOOKUP($B1098,calc_data,O$14+1,1),2),0),0)</f>
        <v/>
      </c>
      <c r="P1098" s="141">
        <f>IF(offer_sale_type="транзит",IFERROR(ROUND(SUM(I1098:J1098,M1098:O1098)/E1098,2),0),0)</f>
        <v/>
      </c>
      <c r="Q1098" s="141">
        <f>E1098*P1098</f>
        <v/>
      </c>
      <c r="R1098" s="141">
        <f>ROUND(Q1098*IF(AND(offer_incoterms="DDP",seller_region="RU"),IF((TODAY()+offer_turnaround_time)&gt;=helpsheet!$L$17,rate_vatRU_from_26,rate_vatRu_till_25),0),2)</f>
        <v/>
      </c>
      <c r="S1098" s="177">
        <f>Q1098+IF(AND(offer_incoterms="DDP",seller_region="RU"),R1098,0)</f>
        <v/>
      </c>
      <c r="T1098" s="45" t="n"/>
      <c r="V1098" s="57">
        <f>IF(Q1098&gt;0,"показать","скрыть")</f>
        <v/>
      </c>
    </row>
    <row r="1099" ht="15.75" customHeight="1">
      <c r="B1099" s="809" t="n">
        <v>1083</v>
      </c>
      <c r="C1099" s="182">
        <f>IF(offer_sale_type="транзит",IFERROR(VLOOKUP($B1099,calc_data,C$14+1,0),0),0)</f>
        <v/>
      </c>
      <c r="D1099" s="280">
        <f>IF(offer_sale_type="транзит",IFERROR(VLOOKUP($B1099,calc_data,D$14+1,0),0),0)</f>
        <v/>
      </c>
      <c r="E1099" s="182">
        <f>IF(offer_sale_type="транзит",IFERROR(VLOOKUP($B1099,calc_data,E$14+1,0),0),0)</f>
        <v/>
      </c>
      <c r="F1099" s="182">
        <f>IF(offer_sale_type="транзит",IFERROR(VLOOKUP($B1099,calc_data,F$14+1,0),0),0)</f>
        <v/>
      </c>
      <c r="G1099" s="141">
        <f>IF(offer_sale_type="транзит",IFERROR(VLOOKUP($B1099,calc_data,G$14+1,0),0),0)</f>
        <v/>
      </c>
      <c r="H1099" s="141">
        <f>E1099*G1099</f>
        <v/>
      </c>
      <c r="I1099" s="141">
        <f>IF(offer_sale_type="транзит",IFERROR(ROUND(VLOOKUP($B1099,calc_data,I$14+1,0),2),0),0)</f>
        <v/>
      </c>
      <c r="J1099" s="141">
        <f>ROUND(IF(offer_sale_type="транзит",IFERROR(VLOOKUP($B1099,calc_data,J$14+1,0),0),0),2)</f>
        <v/>
      </c>
      <c r="K1099" s="142">
        <f>IF(offer_sale_type="транзит",IFERROR(ROUNDUP(VLOOKUP($B1099,calc_data,K$14+1,0),2),0),0)</f>
        <v/>
      </c>
      <c r="L1099" s="184">
        <f>IF(offer_sale_type="транзит",IFERROR(ROUNDUP(VLOOKUP($B1099,calc_data,L$14+1,0),2),0),0)</f>
        <v/>
      </c>
      <c r="M1099" s="141">
        <f>IF(offer_sale_type="транзит",IFERROR(ROUNDUP(VLOOKUP($B1099,calc_data,M$14+1,0),2),0),0)</f>
        <v/>
      </c>
      <c r="N1099" s="141">
        <f>IF(offer_sale_type="транзит",IFERROR(ROUNDUP(VLOOKUP($B1099,calc_data,N$14+1,0),2),0),0)</f>
        <v/>
      </c>
      <c r="O1099" s="147">
        <f>IF(offer_sale_type="транзит",IFERROR(ROUND(VLOOKUP($B1099,calc_data,O$14+1,1),2),0),0)</f>
        <v/>
      </c>
      <c r="P1099" s="141">
        <f>IF(offer_sale_type="транзит",IFERROR(ROUND(SUM(I1099:J1099,M1099:O1099)/E1099,2),0),0)</f>
        <v/>
      </c>
      <c r="Q1099" s="141">
        <f>E1099*P1099</f>
        <v/>
      </c>
      <c r="R1099" s="141">
        <f>ROUND(Q1099*IF(AND(offer_incoterms="DDP",seller_region="RU"),IF((TODAY()+offer_turnaround_time)&gt;=helpsheet!$L$17,rate_vatRU_from_26,rate_vatRu_till_25),0),2)</f>
        <v/>
      </c>
      <c r="S1099" s="177">
        <f>Q1099+IF(AND(offer_incoterms="DDP",seller_region="RU"),R1099,0)</f>
        <v/>
      </c>
      <c r="T1099" s="45" t="n"/>
      <c r="V1099" s="57">
        <f>IF(Q1099&gt;0,"показать","скрыть")</f>
        <v/>
      </c>
    </row>
    <row r="1100" ht="15.75" customHeight="1">
      <c r="B1100" s="809" t="n">
        <v>1084</v>
      </c>
      <c r="C1100" s="182">
        <f>IF(offer_sale_type="транзит",IFERROR(VLOOKUP($B1100,calc_data,C$14+1,0),0),0)</f>
        <v/>
      </c>
      <c r="D1100" s="280">
        <f>IF(offer_sale_type="транзит",IFERROR(VLOOKUP($B1100,calc_data,D$14+1,0),0),0)</f>
        <v/>
      </c>
      <c r="E1100" s="182">
        <f>IF(offer_sale_type="транзит",IFERROR(VLOOKUP($B1100,calc_data,E$14+1,0),0),0)</f>
        <v/>
      </c>
      <c r="F1100" s="182">
        <f>IF(offer_sale_type="транзит",IFERROR(VLOOKUP($B1100,calc_data,F$14+1,0),0),0)</f>
        <v/>
      </c>
      <c r="G1100" s="141">
        <f>IF(offer_sale_type="транзит",IFERROR(VLOOKUP($B1100,calc_data,G$14+1,0),0),0)</f>
        <v/>
      </c>
      <c r="H1100" s="141">
        <f>E1100*G1100</f>
        <v/>
      </c>
      <c r="I1100" s="141">
        <f>IF(offer_sale_type="транзит",IFERROR(ROUND(VLOOKUP($B1100,calc_data,I$14+1,0),2),0),0)</f>
        <v/>
      </c>
      <c r="J1100" s="141">
        <f>ROUND(IF(offer_sale_type="транзит",IFERROR(VLOOKUP($B1100,calc_data,J$14+1,0),0),0),2)</f>
        <v/>
      </c>
      <c r="K1100" s="142">
        <f>IF(offer_sale_type="транзит",IFERROR(ROUNDUP(VLOOKUP($B1100,calc_data,K$14+1,0),2),0),0)</f>
        <v/>
      </c>
      <c r="L1100" s="184">
        <f>IF(offer_sale_type="транзит",IFERROR(ROUNDUP(VLOOKUP($B1100,calc_data,L$14+1,0),2),0),0)</f>
        <v/>
      </c>
      <c r="M1100" s="141">
        <f>IF(offer_sale_type="транзит",IFERROR(ROUNDUP(VLOOKUP($B1100,calc_data,M$14+1,0),2),0),0)</f>
        <v/>
      </c>
      <c r="N1100" s="141">
        <f>IF(offer_sale_type="транзит",IFERROR(ROUNDUP(VLOOKUP($B1100,calc_data,N$14+1,0),2),0),0)</f>
        <v/>
      </c>
      <c r="O1100" s="147">
        <f>IF(offer_sale_type="транзит",IFERROR(ROUND(VLOOKUP($B1100,calc_data,O$14+1,1),2),0),0)</f>
        <v/>
      </c>
      <c r="P1100" s="141">
        <f>IF(offer_sale_type="транзит",IFERROR(ROUND(SUM(I1100:J1100,M1100:O1100)/E1100,2),0),0)</f>
        <v/>
      </c>
      <c r="Q1100" s="141">
        <f>E1100*P1100</f>
        <v/>
      </c>
      <c r="R1100" s="141">
        <f>ROUND(Q1100*IF(AND(offer_incoterms="DDP",seller_region="RU"),IF((TODAY()+offer_turnaround_time)&gt;=helpsheet!$L$17,rate_vatRU_from_26,rate_vatRu_till_25),0),2)</f>
        <v/>
      </c>
      <c r="S1100" s="177">
        <f>Q1100+IF(AND(offer_incoterms="DDP",seller_region="RU"),R1100,0)</f>
        <v/>
      </c>
      <c r="T1100" s="45" t="n"/>
      <c r="V1100" s="57">
        <f>IF(Q1100&gt;0,"показать","скрыть")</f>
        <v/>
      </c>
    </row>
    <row r="1101" ht="15.75" customHeight="1">
      <c r="B1101" s="809" t="n">
        <v>1085</v>
      </c>
      <c r="C1101" s="182">
        <f>IF(offer_sale_type="транзит",IFERROR(VLOOKUP($B1101,calc_data,C$14+1,0),0),0)</f>
        <v/>
      </c>
      <c r="D1101" s="280">
        <f>IF(offer_sale_type="транзит",IFERROR(VLOOKUP($B1101,calc_data,D$14+1,0),0),0)</f>
        <v/>
      </c>
      <c r="E1101" s="182">
        <f>IF(offer_sale_type="транзит",IFERROR(VLOOKUP($B1101,calc_data,E$14+1,0),0),0)</f>
        <v/>
      </c>
      <c r="F1101" s="182">
        <f>IF(offer_sale_type="транзит",IFERROR(VLOOKUP($B1101,calc_data,F$14+1,0),0),0)</f>
        <v/>
      </c>
      <c r="G1101" s="141">
        <f>IF(offer_sale_type="транзит",IFERROR(VLOOKUP($B1101,calc_data,G$14+1,0),0),0)</f>
        <v/>
      </c>
      <c r="H1101" s="141">
        <f>E1101*G1101</f>
        <v/>
      </c>
      <c r="I1101" s="141">
        <f>IF(offer_sale_type="транзит",IFERROR(ROUND(VLOOKUP($B1101,calc_data,I$14+1,0),2),0),0)</f>
        <v/>
      </c>
      <c r="J1101" s="141">
        <f>ROUND(IF(offer_sale_type="транзит",IFERROR(VLOOKUP($B1101,calc_data,J$14+1,0),0),0),2)</f>
        <v/>
      </c>
      <c r="K1101" s="142">
        <f>IF(offer_sale_type="транзит",IFERROR(ROUNDUP(VLOOKUP($B1101,calc_data,K$14+1,0),2),0),0)</f>
        <v/>
      </c>
      <c r="L1101" s="184">
        <f>IF(offer_sale_type="транзит",IFERROR(ROUNDUP(VLOOKUP($B1101,calc_data,L$14+1,0),2),0),0)</f>
        <v/>
      </c>
      <c r="M1101" s="141">
        <f>IF(offer_sale_type="транзит",IFERROR(ROUNDUP(VLOOKUP($B1101,calc_data,M$14+1,0),2),0),0)</f>
        <v/>
      </c>
      <c r="N1101" s="141">
        <f>IF(offer_sale_type="транзит",IFERROR(ROUNDUP(VLOOKUP($B1101,calc_data,N$14+1,0),2),0),0)</f>
        <v/>
      </c>
      <c r="O1101" s="147">
        <f>IF(offer_sale_type="транзит",IFERROR(ROUND(VLOOKUP($B1101,calc_data,O$14+1,1),2),0),0)</f>
        <v/>
      </c>
      <c r="P1101" s="141">
        <f>IF(offer_sale_type="транзит",IFERROR(ROUND(SUM(I1101:J1101,M1101:O1101)/E1101,2),0),0)</f>
        <v/>
      </c>
      <c r="Q1101" s="141">
        <f>E1101*P1101</f>
        <v/>
      </c>
      <c r="R1101" s="141">
        <f>ROUND(Q1101*IF(AND(offer_incoterms="DDP",seller_region="RU"),IF((TODAY()+offer_turnaround_time)&gt;=helpsheet!$L$17,rate_vatRU_from_26,rate_vatRu_till_25),0),2)</f>
        <v/>
      </c>
      <c r="S1101" s="177">
        <f>Q1101+IF(AND(offer_incoterms="DDP",seller_region="RU"),R1101,0)</f>
        <v/>
      </c>
      <c r="T1101" s="45" t="n"/>
      <c r="V1101" s="57">
        <f>IF(Q1101&gt;0,"показать","скрыть")</f>
        <v/>
      </c>
    </row>
    <row r="1102" ht="15.75" customHeight="1">
      <c r="B1102" s="809" t="n">
        <v>1086</v>
      </c>
      <c r="C1102" s="182">
        <f>IF(offer_sale_type="транзит",IFERROR(VLOOKUP($B1102,calc_data,C$14+1,0),0),0)</f>
        <v/>
      </c>
      <c r="D1102" s="280">
        <f>IF(offer_sale_type="транзит",IFERROR(VLOOKUP($B1102,calc_data,D$14+1,0),0),0)</f>
        <v/>
      </c>
      <c r="E1102" s="182">
        <f>IF(offer_sale_type="транзит",IFERROR(VLOOKUP($B1102,calc_data,E$14+1,0),0),0)</f>
        <v/>
      </c>
      <c r="F1102" s="182">
        <f>IF(offer_sale_type="транзит",IFERROR(VLOOKUP($B1102,calc_data,F$14+1,0),0),0)</f>
        <v/>
      </c>
      <c r="G1102" s="141">
        <f>IF(offer_sale_type="транзит",IFERROR(VLOOKUP($B1102,calc_data,G$14+1,0),0),0)</f>
        <v/>
      </c>
      <c r="H1102" s="141">
        <f>E1102*G1102</f>
        <v/>
      </c>
      <c r="I1102" s="141">
        <f>IF(offer_sale_type="транзит",IFERROR(ROUND(VLOOKUP($B1102,calc_data,I$14+1,0),2),0),0)</f>
        <v/>
      </c>
      <c r="J1102" s="141">
        <f>ROUND(IF(offer_sale_type="транзит",IFERROR(VLOOKUP($B1102,calc_data,J$14+1,0),0),0),2)</f>
        <v/>
      </c>
      <c r="K1102" s="142">
        <f>IF(offer_sale_type="транзит",IFERROR(ROUNDUP(VLOOKUP($B1102,calc_data,K$14+1,0),2),0),0)</f>
        <v/>
      </c>
      <c r="L1102" s="184">
        <f>IF(offer_sale_type="транзит",IFERROR(ROUNDUP(VLOOKUP($B1102,calc_data,L$14+1,0),2),0),0)</f>
        <v/>
      </c>
      <c r="M1102" s="141">
        <f>IF(offer_sale_type="транзит",IFERROR(ROUNDUP(VLOOKUP($B1102,calc_data,M$14+1,0),2),0),0)</f>
        <v/>
      </c>
      <c r="N1102" s="141">
        <f>IF(offer_sale_type="транзит",IFERROR(ROUNDUP(VLOOKUP($B1102,calc_data,N$14+1,0),2),0),0)</f>
        <v/>
      </c>
      <c r="O1102" s="147">
        <f>IF(offer_sale_type="транзит",IFERROR(ROUND(VLOOKUP($B1102,calc_data,O$14+1,1),2),0),0)</f>
        <v/>
      </c>
      <c r="P1102" s="141">
        <f>IF(offer_sale_type="транзит",IFERROR(ROUND(SUM(I1102:J1102,M1102:O1102)/E1102,2),0),0)</f>
        <v/>
      </c>
      <c r="Q1102" s="141">
        <f>E1102*P1102</f>
        <v/>
      </c>
      <c r="R1102" s="141">
        <f>ROUND(Q1102*IF(AND(offer_incoterms="DDP",seller_region="RU"),IF((TODAY()+offer_turnaround_time)&gt;=helpsheet!$L$17,rate_vatRU_from_26,rate_vatRu_till_25),0),2)</f>
        <v/>
      </c>
      <c r="S1102" s="177">
        <f>Q1102+IF(AND(offer_incoterms="DDP",seller_region="RU"),R1102,0)</f>
        <v/>
      </c>
      <c r="T1102" s="45" t="n"/>
      <c r="V1102" s="57">
        <f>IF(Q1102&gt;0,"показать","скрыть")</f>
        <v/>
      </c>
    </row>
    <row r="1103" ht="15.75" customHeight="1">
      <c r="B1103" s="809" t="n">
        <v>1087</v>
      </c>
      <c r="C1103" s="182">
        <f>IF(offer_sale_type="транзит",IFERROR(VLOOKUP($B1103,calc_data,C$14+1,0),0),0)</f>
        <v/>
      </c>
      <c r="D1103" s="280">
        <f>IF(offer_sale_type="транзит",IFERROR(VLOOKUP($B1103,calc_data,D$14+1,0),0),0)</f>
        <v/>
      </c>
      <c r="E1103" s="182">
        <f>IF(offer_sale_type="транзит",IFERROR(VLOOKUP($B1103,calc_data,E$14+1,0),0),0)</f>
        <v/>
      </c>
      <c r="F1103" s="182">
        <f>IF(offer_sale_type="транзит",IFERROR(VLOOKUP($B1103,calc_data,F$14+1,0),0),0)</f>
        <v/>
      </c>
      <c r="G1103" s="141">
        <f>IF(offer_sale_type="транзит",IFERROR(VLOOKUP($B1103,calc_data,G$14+1,0),0),0)</f>
        <v/>
      </c>
      <c r="H1103" s="141">
        <f>E1103*G1103</f>
        <v/>
      </c>
      <c r="I1103" s="141">
        <f>IF(offer_sale_type="транзит",IFERROR(ROUND(VLOOKUP($B1103,calc_data,I$14+1,0),2),0),0)</f>
        <v/>
      </c>
      <c r="J1103" s="141">
        <f>ROUND(IF(offer_sale_type="транзит",IFERROR(VLOOKUP($B1103,calc_data,J$14+1,0),0),0),2)</f>
        <v/>
      </c>
      <c r="K1103" s="142">
        <f>IF(offer_sale_type="транзит",IFERROR(ROUNDUP(VLOOKUP($B1103,calc_data,K$14+1,0),2),0),0)</f>
        <v/>
      </c>
      <c r="L1103" s="184">
        <f>IF(offer_sale_type="транзит",IFERROR(ROUNDUP(VLOOKUP($B1103,calc_data,L$14+1,0),2),0),0)</f>
        <v/>
      </c>
      <c r="M1103" s="141">
        <f>IF(offer_sale_type="транзит",IFERROR(ROUNDUP(VLOOKUP($B1103,calc_data,M$14+1,0),2),0),0)</f>
        <v/>
      </c>
      <c r="N1103" s="141">
        <f>IF(offer_sale_type="транзит",IFERROR(ROUNDUP(VLOOKUP($B1103,calc_data,N$14+1,0),2),0),0)</f>
        <v/>
      </c>
      <c r="O1103" s="147">
        <f>IF(offer_sale_type="транзит",IFERROR(ROUND(VLOOKUP($B1103,calc_data,O$14+1,1),2),0),0)</f>
        <v/>
      </c>
      <c r="P1103" s="141">
        <f>IF(offer_sale_type="транзит",IFERROR(ROUND(SUM(I1103:J1103,M1103:O1103)/E1103,2),0),0)</f>
        <v/>
      </c>
      <c r="Q1103" s="141">
        <f>E1103*P1103</f>
        <v/>
      </c>
      <c r="R1103" s="141">
        <f>ROUND(Q1103*IF(AND(offer_incoterms="DDP",seller_region="RU"),IF((TODAY()+offer_turnaround_time)&gt;=helpsheet!$L$17,rate_vatRU_from_26,rate_vatRu_till_25),0),2)</f>
        <v/>
      </c>
      <c r="S1103" s="177">
        <f>Q1103+IF(AND(offer_incoterms="DDP",seller_region="RU"),R1103,0)</f>
        <v/>
      </c>
      <c r="T1103" s="45" t="n"/>
      <c r="V1103" s="57">
        <f>IF(Q1103&gt;0,"показать","скрыть")</f>
        <v/>
      </c>
    </row>
    <row r="1104" ht="15.75" customHeight="1">
      <c r="B1104" s="809" t="n">
        <v>1088</v>
      </c>
      <c r="C1104" s="182">
        <f>IF(offer_sale_type="транзит",IFERROR(VLOOKUP($B1104,calc_data,C$14+1,0),0),0)</f>
        <v/>
      </c>
      <c r="D1104" s="280">
        <f>IF(offer_sale_type="транзит",IFERROR(VLOOKUP($B1104,calc_data,D$14+1,0),0),0)</f>
        <v/>
      </c>
      <c r="E1104" s="182">
        <f>IF(offer_sale_type="транзит",IFERROR(VLOOKUP($B1104,calc_data,E$14+1,0),0),0)</f>
        <v/>
      </c>
      <c r="F1104" s="182">
        <f>IF(offer_sale_type="транзит",IFERROR(VLOOKUP($B1104,calc_data,F$14+1,0),0),0)</f>
        <v/>
      </c>
      <c r="G1104" s="141">
        <f>IF(offer_sale_type="транзит",IFERROR(VLOOKUP($B1104,calc_data,G$14+1,0),0),0)</f>
        <v/>
      </c>
      <c r="H1104" s="141">
        <f>E1104*G1104</f>
        <v/>
      </c>
      <c r="I1104" s="141">
        <f>IF(offer_sale_type="транзит",IFERROR(ROUND(VLOOKUP($B1104,calc_data,I$14+1,0),2),0),0)</f>
        <v/>
      </c>
      <c r="J1104" s="141">
        <f>ROUND(IF(offer_sale_type="транзит",IFERROR(VLOOKUP($B1104,calc_data,J$14+1,0),0),0),2)</f>
        <v/>
      </c>
      <c r="K1104" s="142">
        <f>IF(offer_sale_type="транзит",IFERROR(ROUNDUP(VLOOKUP($B1104,calc_data,K$14+1,0),2),0),0)</f>
        <v/>
      </c>
      <c r="L1104" s="184">
        <f>IF(offer_sale_type="транзит",IFERROR(ROUNDUP(VLOOKUP($B1104,calc_data,L$14+1,0),2),0),0)</f>
        <v/>
      </c>
      <c r="M1104" s="141">
        <f>IF(offer_sale_type="транзит",IFERROR(ROUNDUP(VLOOKUP($B1104,calc_data,M$14+1,0),2),0),0)</f>
        <v/>
      </c>
      <c r="N1104" s="141">
        <f>IF(offer_sale_type="транзит",IFERROR(ROUNDUP(VLOOKUP($B1104,calc_data,N$14+1,0),2),0),0)</f>
        <v/>
      </c>
      <c r="O1104" s="147">
        <f>IF(offer_sale_type="транзит",IFERROR(ROUND(VLOOKUP($B1104,calc_data,O$14+1,1),2),0),0)</f>
        <v/>
      </c>
      <c r="P1104" s="141">
        <f>IF(offer_sale_type="транзит",IFERROR(ROUND(SUM(I1104:J1104,M1104:O1104)/E1104,2),0),0)</f>
        <v/>
      </c>
      <c r="Q1104" s="141">
        <f>E1104*P1104</f>
        <v/>
      </c>
      <c r="R1104" s="141">
        <f>ROUND(Q1104*IF(AND(offer_incoterms="DDP",seller_region="RU"),IF((TODAY()+offer_turnaround_time)&gt;=helpsheet!$L$17,rate_vatRU_from_26,rate_vatRu_till_25),0),2)</f>
        <v/>
      </c>
      <c r="S1104" s="177">
        <f>Q1104+IF(AND(offer_incoterms="DDP",seller_region="RU"),R1104,0)</f>
        <v/>
      </c>
      <c r="T1104" s="45" t="n"/>
      <c r="V1104" s="57">
        <f>IF(Q1104&gt;0,"показать","скрыть")</f>
        <v/>
      </c>
    </row>
    <row r="1105" ht="15.75" customHeight="1">
      <c r="B1105" s="809" t="n">
        <v>1089</v>
      </c>
      <c r="C1105" s="182">
        <f>IF(offer_sale_type="транзит",IFERROR(VLOOKUP($B1105,calc_data,C$14+1,0),0),0)</f>
        <v/>
      </c>
      <c r="D1105" s="280">
        <f>IF(offer_sale_type="транзит",IFERROR(VLOOKUP($B1105,calc_data,D$14+1,0),0),0)</f>
        <v/>
      </c>
      <c r="E1105" s="182">
        <f>IF(offer_sale_type="транзит",IFERROR(VLOOKUP($B1105,calc_data,E$14+1,0),0),0)</f>
        <v/>
      </c>
      <c r="F1105" s="182">
        <f>IF(offer_sale_type="транзит",IFERROR(VLOOKUP($B1105,calc_data,F$14+1,0),0),0)</f>
        <v/>
      </c>
      <c r="G1105" s="141">
        <f>IF(offer_sale_type="транзит",IFERROR(VLOOKUP($B1105,calc_data,G$14+1,0),0),0)</f>
        <v/>
      </c>
      <c r="H1105" s="141">
        <f>E1105*G1105</f>
        <v/>
      </c>
      <c r="I1105" s="141">
        <f>IF(offer_sale_type="транзит",IFERROR(ROUND(VLOOKUP($B1105,calc_data,I$14+1,0),2),0),0)</f>
        <v/>
      </c>
      <c r="J1105" s="141">
        <f>ROUND(IF(offer_sale_type="транзит",IFERROR(VLOOKUP($B1105,calc_data,J$14+1,0),0),0),2)</f>
        <v/>
      </c>
      <c r="K1105" s="142">
        <f>IF(offer_sale_type="транзит",IFERROR(ROUNDUP(VLOOKUP($B1105,calc_data,K$14+1,0),2),0),0)</f>
        <v/>
      </c>
      <c r="L1105" s="184">
        <f>IF(offer_sale_type="транзит",IFERROR(ROUNDUP(VLOOKUP($B1105,calc_data,L$14+1,0),2),0),0)</f>
        <v/>
      </c>
      <c r="M1105" s="141">
        <f>IF(offer_sale_type="транзит",IFERROR(ROUNDUP(VLOOKUP($B1105,calc_data,M$14+1,0),2),0),0)</f>
        <v/>
      </c>
      <c r="N1105" s="141">
        <f>IF(offer_sale_type="транзит",IFERROR(ROUNDUP(VLOOKUP($B1105,calc_data,N$14+1,0),2),0),0)</f>
        <v/>
      </c>
      <c r="O1105" s="147">
        <f>IF(offer_sale_type="транзит",IFERROR(ROUND(VLOOKUP($B1105,calc_data,O$14+1,1),2),0),0)</f>
        <v/>
      </c>
      <c r="P1105" s="141">
        <f>IF(offer_sale_type="транзит",IFERROR(ROUND(SUM(I1105:J1105,M1105:O1105)/E1105,2),0),0)</f>
        <v/>
      </c>
      <c r="Q1105" s="141">
        <f>E1105*P1105</f>
        <v/>
      </c>
      <c r="R1105" s="141">
        <f>ROUND(Q1105*IF(AND(offer_incoterms="DDP",seller_region="RU"),IF((TODAY()+offer_turnaround_time)&gt;=helpsheet!$L$17,rate_vatRU_from_26,rate_vatRu_till_25),0),2)</f>
        <v/>
      </c>
      <c r="S1105" s="177">
        <f>Q1105+IF(AND(offer_incoterms="DDP",seller_region="RU"),R1105,0)</f>
        <v/>
      </c>
      <c r="T1105" s="45" t="n"/>
      <c r="V1105" s="57">
        <f>IF(Q1105&gt;0,"показать","скрыть")</f>
        <v/>
      </c>
    </row>
    <row r="1106" ht="15.75" customHeight="1">
      <c r="B1106" s="809" t="n">
        <v>1090</v>
      </c>
      <c r="C1106" s="182">
        <f>IF(offer_sale_type="транзит",IFERROR(VLOOKUP($B1106,calc_data,C$14+1,0),0),0)</f>
        <v/>
      </c>
      <c r="D1106" s="280">
        <f>IF(offer_sale_type="транзит",IFERROR(VLOOKUP($B1106,calc_data,D$14+1,0),0),0)</f>
        <v/>
      </c>
      <c r="E1106" s="182">
        <f>IF(offer_sale_type="транзит",IFERROR(VLOOKUP($B1106,calc_data,E$14+1,0),0),0)</f>
        <v/>
      </c>
      <c r="F1106" s="182">
        <f>IF(offer_sale_type="транзит",IFERROR(VLOOKUP($B1106,calc_data,F$14+1,0),0),0)</f>
        <v/>
      </c>
      <c r="G1106" s="141">
        <f>IF(offer_sale_type="транзит",IFERROR(VLOOKUP($B1106,calc_data,G$14+1,0),0),0)</f>
        <v/>
      </c>
      <c r="H1106" s="141">
        <f>E1106*G1106</f>
        <v/>
      </c>
      <c r="I1106" s="141">
        <f>IF(offer_sale_type="транзит",IFERROR(ROUND(VLOOKUP($B1106,calc_data,I$14+1,0),2),0),0)</f>
        <v/>
      </c>
      <c r="J1106" s="141">
        <f>ROUND(IF(offer_sale_type="транзит",IFERROR(VLOOKUP($B1106,calc_data,J$14+1,0),0),0),2)</f>
        <v/>
      </c>
      <c r="K1106" s="142">
        <f>IF(offer_sale_type="транзит",IFERROR(ROUNDUP(VLOOKUP($B1106,calc_data,K$14+1,0),2),0),0)</f>
        <v/>
      </c>
      <c r="L1106" s="184">
        <f>IF(offer_sale_type="транзит",IFERROR(ROUNDUP(VLOOKUP($B1106,calc_data,L$14+1,0),2),0),0)</f>
        <v/>
      </c>
      <c r="M1106" s="141">
        <f>IF(offer_sale_type="транзит",IFERROR(ROUNDUP(VLOOKUP($B1106,calc_data,M$14+1,0),2),0),0)</f>
        <v/>
      </c>
      <c r="N1106" s="141">
        <f>IF(offer_sale_type="транзит",IFERROR(ROUNDUP(VLOOKUP($B1106,calc_data,N$14+1,0),2),0),0)</f>
        <v/>
      </c>
      <c r="O1106" s="147">
        <f>IF(offer_sale_type="транзит",IFERROR(ROUND(VLOOKUP($B1106,calc_data,O$14+1,1),2),0),0)</f>
        <v/>
      </c>
      <c r="P1106" s="141">
        <f>IF(offer_sale_type="транзит",IFERROR(ROUND(SUM(I1106:J1106,M1106:O1106)/E1106,2),0),0)</f>
        <v/>
      </c>
      <c r="Q1106" s="141">
        <f>E1106*P1106</f>
        <v/>
      </c>
      <c r="R1106" s="141">
        <f>ROUND(Q1106*IF(AND(offer_incoterms="DDP",seller_region="RU"),IF((TODAY()+offer_turnaround_time)&gt;=helpsheet!$L$17,rate_vatRU_from_26,rate_vatRu_till_25),0),2)</f>
        <v/>
      </c>
      <c r="S1106" s="177">
        <f>Q1106+IF(AND(offer_incoterms="DDP",seller_region="RU"),R1106,0)</f>
        <v/>
      </c>
      <c r="T1106" s="45" t="n"/>
      <c r="V1106" s="57">
        <f>IF(Q1106&gt;0,"показать","скрыть")</f>
        <v/>
      </c>
    </row>
    <row r="1107" ht="15.75" customHeight="1">
      <c r="B1107" s="809" t="n">
        <v>1091</v>
      </c>
      <c r="C1107" s="182">
        <f>IF(offer_sale_type="транзит",IFERROR(VLOOKUP($B1107,calc_data,C$14+1,0),0),0)</f>
        <v/>
      </c>
      <c r="D1107" s="280">
        <f>IF(offer_sale_type="транзит",IFERROR(VLOOKUP($B1107,calc_data,D$14+1,0),0),0)</f>
        <v/>
      </c>
      <c r="E1107" s="182">
        <f>IF(offer_sale_type="транзит",IFERROR(VLOOKUP($B1107,calc_data,E$14+1,0),0),0)</f>
        <v/>
      </c>
      <c r="F1107" s="182">
        <f>IF(offer_sale_type="транзит",IFERROR(VLOOKUP($B1107,calc_data,F$14+1,0),0),0)</f>
        <v/>
      </c>
      <c r="G1107" s="141">
        <f>IF(offer_sale_type="транзит",IFERROR(VLOOKUP($B1107,calc_data,G$14+1,0),0),0)</f>
        <v/>
      </c>
      <c r="H1107" s="141">
        <f>E1107*G1107</f>
        <v/>
      </c>
      <c r="I1107" s="141">
        <f>IF(offer_sale_type="транзит",IFERROR(ROUND(VLOOKUP($B1107,calc_data,I$14+1,0),2),0),0)</f>
        <v/>
      </c>
      <c r="J1107" s="141">
        <f>ROUND(IF(offer_sale_type="транзит",IFERROR(VLOOKUP($B1107,calc_data,J$14+1,0),0),0),2)</f>
        <v/>
      </c>
      <c r="K1107" s="142">
        <f>IF(offer_sale_type="транзит",IFERROR(ROUNDUP(VLOOKUP($B1107,calc_data,K$14+1,0),2),0),0)</f>
        <v/>
      </c>
      <c r="L1107" s="184">
        <f>IF(offer_sale_type="транзит",IFERROR(ROUNDUP(VLOOKUP($B1107,calc_data,L$14+1,0),2),0),0)</f>
        <v/>
      </c>
      <c r="M1107" s="141">
        <f>IF(offer_sale_type="транзит",IFERROR(ROUNDUP(VLOOKUP($B1107,calc_data,M$14+1,0),2),0),0)</f>
        <v/>
      </c>
      <c r="N1107" s="141">
        <f>IF(offer_sale_type="транзит",IFERROR(ROUNDUP(VLOOKUP($B1107,calc_data,N$14+1,0),2),0),0)</f>
        <v/>
      </c>
      <c r="O1107" s="147">
        <f>IF(offer_sale_type="транзит",IFERROR(ROUND(VLOOKUP($B1107,calc_data,O$14+1,1),2),0),0)</f>
        <v/>
      </c>
      <c r="P1107" s="141">
        <f>IF(offer_sale_type="транзит",IFERROR(ROUND(SUM(I1107:J1107,M1107:O1107)/E1107,2),0),0)</f>
        <v/>
      </c>
      <c r="Q1107" s="141">
        <f>E1107*P1107</f>
        <v/>
      </c>
      <c r="R1107" s="141">
        <f>ROUND(Q1107*IF(AND(offer_incoterms="DDP",seller_region="RU"),IF((TODAY()+offer_turnaround_time)&gt;=helpsheet!$L$17,rate_vatRU_from_26,rate_vatRu_till_25),0),2)</f>
        <v/>
      </c>
      <c r="S1107" s="177">
        <f>Q1107+IF(AND(offer_incoterms="DDP",seller_region="RU"),R1107,0)</f>
        <v/>
      </c>
      <c r="T1107" s="45" t="n"/>
      <c r="V1107" s="57">
        <f>IF(Q1107&gt;0,"показать","скрыть")</f>
        <v/>
      </c>
    </row>
    <row r="1108" ht="15.75" customHeight="1">
      <c r="B1108" s="809" t="n">
        <v>1092</v>
      </c>
      <c r="C1108" s="182">
        <f>IF(offer_sale_type="транзит",IFERROR(VLOOKUP($B1108,calc_data,C$14+1,0),0),0)</f>
        <v/>
      </c>
      <c r="D1108" s="280">
        <f>IF(offer_sale_type="транзит",IFERROR(VLOOKUP($B1108,calc_data,D$14+1,0),0),0)</f>
        <v/>
      </c>
      <c r="E1108" s="182">
        <f>IF(offer_sale_type="транзит",IFERROR(VLOOKUP($B1108,calc_data,E$14+1,0),0),0)</f>
        <v/>
      </c>
      <c r="F1108" s="182">
        <f>IF(offer_sale_type="транзит",IFERROR(VLOOKUP($B1108,calc_data,F$14+1,0),0),0)</f>
        <v/>
      </c>
      <c r="G1108" s="141">
        <f>IF(offer_sale_type="транзит",IFERROR(VLOOKUP($B1108,calc_data,G$14+1,0),0),0)</f>
        <v/>
      </c>
      <c r="H1108" s="141">
        <f>E1108*G1108</f>
        <v/>
      </c>
      <c r="I1108" s="141">
        <f>IF(offer_sale_type="транзит",IFERROR(ROUND(VLOOKUP($B1108,calc_data,I$14+1,0),2),0),0)</f>
        <v/>
      </c>
      <c r="J1108" s="141">
        <f>ROUND(IF(offer_sale_type="транзит",IFERROR(VLOOKUP($B1108,calc_data,J$14+1,0),0),0),2)</f>
        <v/>
      </c>
      <c r="K1108" s="142">
        <f>IF(offer_sale_type="транзит",IFERROR(ROUNDUP(VLOOKUP($B1108,calc_data,K$14+1,0),2),0),0)</f>
        <v/>
      </c>
      <c r="L1108" s="184">
        <f>IF(offer_sale_type="транзит",IFERROR(ROUNDUP(VLOOKUP($B1108,calc_data,L$14+1,0),2),0),0)</f>
        <v/>
      </c>
      <c r="M1108" s="141">
        <f>IF(offer_sale_type="транзит",IFERROR(ROUNDUP(VLOOKUP($B1108,calc_data,M$14+1,0),2),0),0)</f>
        <v/>
      </c>
      <c r="N1108" s="141">
        <f>IF(offer_sale_type="транзит",IFERROR(ROUNDUP(VLOOKUP($B1108,calc_data,N$14+1,0),2),0),0)</f>
        <v/>
      </c>
      <c r="O1108" s="147">
        <f>IF(offer_sale_type="транзит",IFERROR(ROUND(VLOOKUP($B1108,calc_data,O$14+1,1),2),0),0)</f>
        <v/>
      </c>
      <c r="P1108" s="141">
        <f>IF(offer_sale_type="транзит",IFERROR(ROUND(SUM(I1108:J1108,M1108:O1108)/E1108,2),0),0)</f>
        <v/>
      </c>
      <c r="Q1108" s="141">
        <f>E1108*P1108</f>
        <v/>
      </c>
      <c r="R1108" s="141">
        <f>ROUND(Q1108*IF(AND(offer_incoterms="DDP",seller_region="RU"),IF((TODAY()+offer_turnaround_time)&gt;=helpsheet!$L$17,rate_vatRU_from_26,rate_vatRu_till_25),0),2)</f>
        <v/>
      </c>
      <c r="S1108" s="177">
        <f>Q1108+IF(AND(offer_incoterms="DDP",seller_region="RU"),R1108,0)</f>
        <v/>
      </c>
      <c r="T1108" s="45" t="n"/>
      <c r="V1108" s="57">
        <f>IF(Q1108&gt;0,"показать","скрыть")</f>
        <v/>
      </c>
    </row>
    <row r="1109" ht="15.75" customHeight="1">
      <c r="B1109" s="809" t="n">
        <v>1093</v>
      </c>
      <c r="C1109" s="182">
        <f>IF(offer_sale_type="транзит",IFERROR(VLOOKUP($B1109,calc_data,C$14+1,0),0),0)</f>
        <v/>
      </c>
      <c r="D1109" s="280">
        <f>IF(offer_sale_type="транзит",IFERROR(VLOOKUP($B1109,calc_data,D$14+1,0),0),0)</f>
        <v/>
      </c>
      <c r="E1109" s="182">
        <f>IF(offer_sale_type="транзит",IFERROR(VLOOKUP($B1109,calc_data,E$14+1,0),0),0)</f>
        <v/>
      </c>
      <c r="F1109" s="182">
        <f>IF(offer_sale_type="транзит",IFERROR(VLOOKUP($B1109,calc_data,F$14+1,0),0),0)</f>
        <v/>
      </c>
      <c r="G1109" s="141">
        <f>IF(offer_sale_type="транзит",IFERROR(VLOOKUP($B1109,calc_data,G$14+1,0),0),0)</f>
        <v/>
      </c>
      <c r="H1109" s="141">
        <f>E1109*G1109</f>
        <v/>
      </c>
      <c r="I1109" s="141">
        <f>IF(offer_sale_type="транзит",IFERROR(ROUND(VLOOKUP($B1109,calc_data,I$14+1,0),2),0),0)</f>
        <v/>
      </c>
      <c r="J1109" s="141">
        <f>ROUND(IF(offer_sale_type="транзит",IFERROR(VLOOKUP($B1109,calc_data,J$14+1,0),0),0),2)</f>
        <v/>
      </c>
      <c r="K1109" s="142">
        <f>IF(offer_sale_type="транзит",IFERROR(ROUNDUP(VLOOKUP($B1109,calc_data,K$14+1,0),2),0),0)</f>
        <v/>
      </c>
      <c r="L1109" s="184">
        <f>IF(offer_sale_type="транзит",IFERROR(ROUNDUP(VLOOKUP($B1109,calc_data,L$14+1,0),2),0),0)</f>
        <v/>
      </c>
      <c r="M1109" s="141">
        <f>IF(offer_sale_type="транзит",IFERROR(ROUNDUP(VLOOKUP($B1109,calc_data,M$14+1,0),2),0),0)</f>
        <v/>
      </c>
      <c r="N1109" s="141">
        <f>IF(offer_sale_type="транзит",IFERROR(ROUNDUP(VLOOKUP($B1109,calc_data,N$14+1,0),2),0),0)</f>
        <v/>
      </c>
      <c r="O1109" s="147">
        <f>IF(offer_sale_type="транзит",IFERROR(ROUND(VLOOKUP($B1109,calc_data,O$14+1,1),2),0),0)</f>
        <v/>
      </c>
      <c r="P1109" s="141">
        <f>IF(offer_sale_type="транзит",IFERROR(ROUND(SUM(I1109:J1109,M1109:O1109)/E1109,2),0),0)</f>
        <v/>
      </c>
      <c r="Q1109" s="141">
        <f>E1109*P1109</f>
        <v/>
      </c>
      <c r="R1109" s="141">
        <f>ROUND(Q1109*IF(AND(offer_incoterms="DDP",seller_region="RU"),IF((TODAY()+offer_turnaround_time)&gt;=helpsheet!$L$17,rate_vatRU_from_26,rate_vatRu_till_25),0),2)</f>
        <v/>
      </c>
      <c r="S1109" s="177">
        <f>Q1109+IF(AND(offer_incoterms="DDP",seller_region="RU"),R1109,0)</f>
        <v/>
      </c>
      <c r="T1109" s="45" t="n"/>
      <c r="V1109" s="57">
        <f>IF(Q1109&gt;0,"показать","скрыть")</f>
        <v/>
      </c>
    </row>
    <row r="1110" ht="15.75" customHeight="1">
      <c r="B1110" s="809" t="n">
        <v>1094</v>
      </c>
      <c r="C1110" s="182">
        <f>IF(offer_sale_type="транзит",IFERROR(VLOOKUP($B1110,calc_data,C$14+1,0),0),0)</f>
        <v/>
      </c>
      <c r="D1110" s="280">
        <f>IF(offer_sale_type="транзит",IFERROR(VLOOKUP($B1110,calc_data,D$14+1,0),0),0)</f>
        <v/>
      </c>
      <c r="E1110" s="182">
        <f>IF(offer_sale_type="транзит",IFERROR(VLOOKUP($B1110,calc_data,E$14+1,0),0),0)</f>
        <v/>
      </c>
      <c r="F1110" s="182">
        <f>IF(offer_sale_type="транзит",IFERROR(VLOOKUP($B1110,calc_data,F$14+1,0),0),0)</f>
        <v/>
      </c>
      <c r="G1110" s="141">
        <f>IF(offer_sale_type="транзит",IFERROR(VLOOKUP($B1110,calc_data,G$14+1,0),0),0)</f>
        <v/>
      </c>
      <c r="H1110" s="141">
        <f>E1110*G1110</f>
        <v/>
      </c>
      <c r="I1110" s="141">
        <f>IF(offer_sale_type="транзит",IFERROR(ROUND(VLOOKUP($B1110,calc_data,I$14+1,0),2),0),0)</f>
        <v/>
      </c>
      <c r="J1110" s="141">
        <f>ROUND(IF(offer_sale_type="транзит",IFERROR(VLOOKUP($B1110,calc_data,J$14+1,0),0),0),2)</f>
        <v/>
      </c>
      <c r="K1110" s="142">
        <f>IF(offer_sale_type="транзит",IFERROR(ROUNDUP(VLOOKUP($B1110,calc_data,K$14+1,0),2),0),0)</f>
        <v/>
      </c>
      <c r="L1110" s="184">
        <f>IF(offer_sale_type="транзит",IFERROR(ROUNDUP(VLOOKUP($B1110,calc_data,L$14+1,0),2),0),0)</f>
        <v/>
      </c>
      <c r="M1110" s="141">
        <f>IF(offer_sale_type="транзит",IFERROR(ROUNDUP(VLOOKUP($B1110,calc_data,M$14+1,0),2),0),0)</f>
        <v/>
      </c>
      <c r="N1110" s="141">
        <f>IF(offer_sale_type="транзит",IFERROR(ROUNDUP(VLOOKUP($B1110,calc_data,N$14+1,0),2),0),0)</f>
        <v/>
      </c>
      <c r="O1110" s="147">
        <f>IF(offer_sale_type="транзит",IFERROR(ROUND(VLOOKUP($B1110,calc_data,O$14+1,1),2),0),0)</f>
        <v/>
      </c>
      <c r="P1110" s="141">
        <f>IF(offer_sale_type="транзит",IFERROR(ROUND(SUM(I1110:J1110,M1110:O1110)/E1110,2),0),0)</f>
        <v/>
      </c>
      <c r="Q1110" s="141">
        <f>E1110*P1110</f>
        <v/>
      </c>
      <c r="R1110" s="141">
        <f>ROUND(Q1110*IF(AND(offer_incoterms="DDP",seller_region="RU"),IF((TODAY()+offer_turnaround_time)&gt;=helpsheet!$L$17,rate_vatRU_from_26,rate_vatRu_till_25),0),2)</f>
        <v/>
      </c>
      <c r="S1110" s="177">
        <f>Q1110+IF(AND(offer_incoterms="DDP",seller_region="RU"),R1110,0)</f>
        <v/>
      </c>
      <c r="T1110" s="45" t="n"/>
      <c r="V1110" s="57">
        <f>IF(Q1110&gt;0,"показать","скрыть")</f>
        <v/>
      </c>
    </row>
    <row r="1111" ht="15.75" customHeight="1">
      <c r="B1111" s="809" t="n">
        <v>1095</v>
      </c>
      <c r="C1111" s="182">
        <f>IF(offer_sale_type="транзит",IFERROR(VLOOKUP($B1111,calc_data,C$14+1,0),0),0)</f>
        <v/>
      </c>
      <c r="D1111" s="280">
        <f>IF(offer_sale_type="транзит",IFERROR(VLOOKUP($B1111,calc_data,D$14+1,0),0),0)</f>
        <v/>
      </c>
      <c r="E1111" s="182">
        <f>IF(offer_sale_type="транзит",IFERROR(VLOOKUP($B1111,calc_data,E$14+1,0),0),0)</f>
        <v/>
      </c>
      <c r="F1111" s="182">
        <f>IF(offer_sale_type="транзит",IFERROR(VLOOKUP($B1111,calc_data,F$14+1,0),0),0)</f>
        <v/>
      </c>
      <c r="G1111" s="141">
        <f>IF(offer_sale_type="транзит",IFERROR(VLOOKUP($B1111,calc_data,G$14+1,0),0),0)</f>
        <v/>
      </c>
      <c r="H1111" s="141">
        <f>E1111*G1111</f>
        <v/>
      </c>
      <c r="I1111" s="141">
        <f>IF(offer_sale_type="транзит",IFERROR(ROUND(VLOOKUP($B1111,calc_data,I$14+1,0),2),0),0)</f>
        <v/>
      </c>
      <c r="J1111" s="141">
        <f>ROUND(IF(offer_sale_type="транзит",IFERROR(VLOOKUP($B1111,calc_data,J$14+1,0),0),0),2)</f>
        <v/>
      </c>
      <c r="K1111" s="142">
        <f>IF(offer_sale_type="транзит",IFERROR(ROUNDUP(VLOOKUP($B1111,calc_data,K$14+1,0),2),0),0)</f>
        <v/>
      </c>
      <c r="L1111" s="184">
        <f>IF(offer_sale_type="транзит",IFERROR(ROUNDUP(VLOOKUP($B1111,calc_data,L$14+1,0),2),0),0)</f>
        <v/>
      </c>
      <c r="M1111" s="141">
        <f>IF(offer_sale_type="транзит",IFERROR(ROUNDUP(VLOOKUP($B1111,calc_data,M$14+1,0),2),0),0)</f>
        <v/>
      </c>
      <c r="N1111" s="141">
        <f>IF(offer_sale_type="транзит",IFERROR(ROUNDUP(VLOOKUP($B1111,calc_data,N$14+1,0),2),0),0)</f>
        <v/>
      </c>
      <c r="O1111" s="147">
        <f>IF(offer_sale_type="транзит",IFERROR(ROUND(VLOOKUP($B1111,calc_data,O$14+1,1),2),0),0)</f>
        <v/>
      </c>
      <c r="P1111" s="141">
        <f>IF(offer_sale_type="транзит",IFERROR(ROUND(SUM(I1111:J1111,M1111:O1111)/E1111,2),0),0)</f>
        <v/>
      </c>
      <c r="Q1111" s="141">
        <f>E1111*P1111</f>
        <v/>
      </c>
      <c r="R1111" s="141">
        <f>ROUND(Q1111*IF(AND(offer_incoterms="DDP",seller_region="RU"),IF((TODAY()+offer_turnaround_time)&gt;=helpsheet!$L$17,rate_vatRU_from_26,rate_vatRu_till_25),0),2)</f>
        <v/>
      </c>
      <c r="S1111" s="177">
        <f>Q1111+IF(AND(offer_incoterms="DDP",seller_region="RU"),R1111,0)</f>
        <v/>
      </c>
      <c r="T1111" s="45" t="n"/>
      <c r="V1111" s="57">
        <f>IF(Q1111&gt;0,"показать","скрыть")</f>
        <v/>
      </c>
    </row>
    <row r="1112" ht="15.75" customHeight="1">
      <c r="B1112" s="809" t="n">
        <v>1096</v>
      </c>
      <c r="C1112" s="182">
        <f>IF(offer_sale_type="транзит",IFERROR(VLOOKUP($B1112,calc_data,C$14+1,0),0),0)</f>
        <v/>
      </c>
      <c r="D1112" s="280">
        <f>IF(offer_sale_type="транзит",IFERROR(VLOOKUP($B1112,calc_data,D$14+1,0),0),0)</f>
        <v/>
      </c>
      <c r="E1112" s="182">
        <f>IF(offer_sale_type="транзит",IFERROR(VLOOKUP($B1112,calc_data,E$14+1,0),0),0)</f>
        <v/>
      </c>
      <c r="F1112" s="182">
        <f>IF(offer_sale_type="транзит",IFERROR(VLOOKUP($B1112,calc_data,F$14+1,0),0),0)</f>
        <v/>
      </c>
      <c r="G1112" s="141">
        <f>IF(offer_sale_type="транзит",IFERROR(VLOOKUP($B1112,calc_data,G$14+1,0),0),0)</f>
        <v/>
      </c>
      <c r="H1112" s="141">
        <f>E1112*G1112</f>
        <v/>
      </c>
      <c r="I1112" s="141">
        <f>IF(offer_sale_type="транзит",IFERROR(ROUND(VLOOKUP($B1112,calc_data,I$14+1,0),2),0),0)</f>
        <v/>
      </c>
      <c r="J1112" s="141">
        <f>ROUND(IF(offer_sale_type="транзит",IFERROR(VLOOKUP($B1112,calc_data,J$14+1,0),0),0),2)</f>
        <v/>
      </c>
      <c r="K1112" s="142">
        <f>IF(offer_sale_type="транзит",IFERROR(ROUNDUP(VLOOKUP($B1112,calc_data,K$14+1,0),2),0),0)</f>
        <v/>
      </c>
      <c r="L1112" s="184">
        <f>IF(offer_sale_type="транзит",IFERROR(ROUNDUP(VLOOKUP($B1112,calc_data,L$14+1,0),2),0),0)</f>
        <v/>
      </c>
      <c r="M1112" s="141">
        <f>IF(offer_sale_type="транзит",IFERROR(ROUNDUP(VLOOKUP($B1112,calc_data,M$14+1,0),2),0),0)</f>
        <v/>
      </c>
      <c r="N1112" s="141">
        <f>IF(offer_sale_type="транзит",IFERROR(ROUNDUP(VLOOKUP($B1112,calc_data,N$14+1,0),2),0),0)</f>
        <v/>
      </c>
      <c r="O1112" s="147">
        <f>IF(offer_sale_type="транзит",IFERROR(ROUND(VLOOKUP($B1112,calc_data,O$14+1,1),2),0),0)</f>
        <v/>
      </c>
      <c r="P1112" s="141">
        <f>IF(offer_sale_type="транзит",IFERROR(ROUND(SUM(I1112:J1112,M1112:O1112)/E1112,2),0),0)</f>
        <v/>
      </c>
      <c r="Q1112" s="141">
        <f>E1112*P1112</f>
        <v/>
      </c>
      <c r="R1112" s="141">
        <f>ROUND(Q1112*IF(AND(offer_incoterms="DDP",seller_region="RU"),IF((TODAY()+offer_turnaround_time)&gt;=helpsheet!$L$17,rate_vatRU_from_26,rate_vatRu_till_25),0),2)</f>
        <v/>
      </c>
      <c r="S1112" s="177">
        <f>Q1112+IF(AND(offer_incoterms="DDP",seller_region="RU"),R1112,0)</f>
        <v/>
      </c>
      <c r="T1112" s="45" t="n"/>
      <c r="V1112" s="57">
        <f>IF(Q1112&gt;0,"показать","скрыть")</f>
        <v/>
      </c>
    </row>
    <row r="1113" ht="15.75" customHeight="1">
      <c r="B1113" s="809" t="n">
        <v>1097</v>
      </c>
      <c r="C1113" s="182">
        <f>IF(offer_sale_type="транзит",IFERROR(VLOOKUP($B1113,calc_data,C$14+1,0),0),0)</f>
        <v/>
      </c>
      <c r="D1113" s="280">
        <f>IF(offer_sale_type="транзит",IFERROR(VLOOKUP($B1113,calc_data,D$14+1,0),0),0)</f>
        <v/>
      </c>
      <c r="E1113" s="182">
        <f>IF(offer_sale_type="транзит",IFERROR(VLOOKUP($B1113,calc_data,E$14+1,0),0),0)</f>
        <v/>
      </c>
      <c r="F1113" s="182">
        <f>IF(offer_sale_type="транзит",IFERROR(VLOOKUP($B1113,calc_data,F$14+1,0),0),0)</f>
        <v/>
      </c>
      <c r="G1113" s="141">
        <f>IF(offer_sale_type="транзит",IFERROR(VLOOKUP($B1113,calc_data,G$14+1,0),0),0)</f>
        <v/>
      </c>
      <c r="H1113" s="141">
        <f>E1113*G1113</f>
        <v/>
      </c>
      <c r="I1113" s="141">
        <f>IF(offer_sale_type="транзит",IFERROR(ROUND(VLOOKUP($B1113,calc_data,I$14+1,0),2),0),0)</f>
        <v/>
      </c>
      <c r="J1113" s="141">
        <f>ROUND(IF(offer_sale_type="транзит",IFERROR(VLOOKUP($B1113,calc_data,J$14+1,0),0),0),2)</f>
        <v/>
      </c>
      <c r="K1113" s="142">
        <f>IF(offer_sale_type="транзит",IFERROR(ROUNDUP(VLOOKUP($B1113,calc_data,K$14+1,0),2),0),0)</f>
        <v/>
      </c>
      <c r="L1113" s="184">
        <f>IF(offer_sale_type="транзит",IFERROR(ROUNDUP(VLOOKUP($B1113,calc_data,L$14+1,0),2),0),0)</f>
        <v/>
      </c>
      <c r="M1113" s="141">
        <f>IF(offer_sale_type="транзит",IFERROR(ROUNDUP(VLOOKUP($B1113,calc_data,M$14+1,0),2),0),0)</f>
        <v/>
      </c>
      <c r="N1113" s="141">
        <f>IF(offer_sale_type="транзит",IFERROR(ROUNDUP(VLOOKUP($B1113,calc_data,N$14+1,0),2),0),0)</f>
        <v/>
      </c>
      <c r="O1113" s="147">
        <f>IF(offer_sale_type="транзит",IFERROR(ROUND(VLOOKUP($B1113,calc_data,O$14+1,1),2),0),0)</f>
        <v/>
      </c>
      <c r="P1113" s="141">
        <f>IF(offer_sale_type="транзит",IFERROR(ROUND(SUM(I1113:J1113,M1113:O1113)/E1113,2),0),0)</f>
        <v/>
      </c>
      <c r="Q1113" s="141">
        <f>E1113*P1113</f>
        <v/>
      </c>
      <c r="R1113" s="141">
        <f>ROUND(Q1113*IF(AND(offer_incoterms="DDP",seller_region="RU"),IF((TODAY()+offer_turnaround_time)&gt;=helpsheet!$L$17,rate_vatRU_from_26,rate_vatRu_till_25),0),2)</f>
        <v/>
      </c>
      <c r="S1113" s="177">
        <f>Q1113+IF(AND(offer_incoterms="DDP",seller_region="RU"),R1113,0)</f>
        <v/>
      </c>
      <c r="T1113" s="45" t="n"/>
      <c r="V1113" s="57">
        <f>IF(Q1113&gt;0,"показать","скрыть")</f>
        <v/>
      </c>
    </row>
    <row r="1114" ht="15.75" customHeight="1">
      <c r="B1114" s="809" t="n">
        <v>1098</v>
      </c>
      <c r="C1114" s="182">
        <f>IF(offer_sale_type="транзит",IFERROR(VLOOKUP($B1114,calc_data,C$14+1,0),0),0)</f>
        <v/>
      </c>
      <c r="D1114" s="280">
        <f>IF(offer_sale_type="транзит",IFERROR(VLOOKUP($B1114,calc_data,D$14+1,0),0),0)</f>
        <v/>
      </c>
      <c r="E1114" s="182">
        <f>IF(offer_sale_type="транзит",IFERROR(VLOOKUP($B1114,calc_data,E$14+1,0),0),0)</f>
        <v/>
      </c>
      <c r="F1114" s="182">
        <f>IF(offer_sale_type="транзит",IFERROR(VLOOKUP($B1114,calc_data,F$14+1,0),0),0)</f>
        <v/>
      </c>
      <c r="G1114" s="141">
        <f>IF(offer_sale_type="транзит",IFERROR(VLOOKUP($B1114,calc_data,G$14+1,0),0),0)</f>
        <v/>
      </c>
      <c r="H1114" s="141">
        <f>E1114*G1114</f>
        <v/>
      </c>
      <c r="I1114" s="141">
        <f>IF(offer_sale_type="транзит",IFERROR(ROUND(VLOOKUP($B1114,calc_data,I$14+1,0),2),0),0)</f>
        <v/>
      </c>
      <c r="J1114" s="141">
        <f>ROUND(IF(offer_sale_type="транзит",IFERROR(VLOOKUP($B1114,calc_data,J$14+1,0),0),0),2)</f>
        <v/>
      </c>
      <c r="K1114" s="142">
        <f>IF(offer_sale_type="транзит",IFERROR(ROUNDUP(VLOOKUP($B1114,calc_data,K$14+1,0),2),0),0)</f>
        <v/>
      </c>
      <c r="L1114" s="184">
        <f>IF(offer_sale_type="транзит",IFERROR(ROUNDUP(VLOOKUP($B1114,calc_data,L$14+1,0),2),0),0)</f>
        <v/>
      </c>
      <c r="M1114" s="141">
        <f>IF(offer_sale_type="транзит",IFERROR(ROUNDUP(VLOOKUP($B1114,calc_data,M$14+1,0),2),0),0)</f>
        <v/>
      </c>
      <c r="N1114" s="141">
        <f>IF(offer_sale_type="транзит",IFERROR(ROUNDUP(VLOOKUP($B1114,calc_data,N$14+1,0),2),0),0)</f>
        <v/>
      </c>
      <c r="O1114" s="147">
        <f>IF(offer_sale_type="транзит",IFERROR(ROUND(VLOOKUP($B1114,calc_data,O$14+1,1),2),0),0)</f>
        <v/>
      </c>
      <c r="P1114" s="141">
        <f>IF(offer_sale_type="транзит",IFERROR(ROUND(SUM(I1114:J1114,M1114:O1114)/E1114,2),0),0)</f>
        <v/>
      </c>
      <c r="Q1114" s="141">
        <f>E1114*P1114</f>
        <v/>
      </c>
      <c r="R1114" s="141">
        <f>ROUND(Q1114*IF(AND(offer_incoterms="DDP",seller_region="RU"),IF((TODAY()+offer_turnaround_time)&gt;=helpsheet!$L$17,rate_vatRU_from_26,rate_vatRu_till_25),0),2)</f>
        <v/>
      </c>
      <c r="S1114" s="177">
        <f>Q1114+IF(AND(offer_incoterms="DDP",seller_region="RU"),R1114,0)</f>
        <v/>
      </c>
      <c r="T1114" s="45" t="n"/>
      <c r="V1114" s="57">
        <f>IF(Q1114&gt;0,"показать","скрыть")</f>
        <v/>
      </c>
    </row>
    <row r="1115" ht="15.75" customHeight="1">
      <c r="B1115" s="809" t="n">
        <v>1099</v>
      </c>
      <c r="C1115" s="182">
        <f>IF(offer_sale_type="транзит",IFERROR(VLOOKUP($B1115,calc_data,C$14+1,0),0),0)</f>
        <v/>
      </c>
      <c r="D1115" s="280">
        <f>IF(offer_sale_type="транзит",IFERROR(VLOOKUP($B1115,calc_data,D$14+1,0),0),0)</f>
        <v/>
      </c>
      <c r="E1115" s="182">
        <f>IF(offer_sale_type="транзит",IFERROR(VLOOKUP($B1115,calc_data,E$14+1,0),0),0)</f>
        <v/>
      </c>
      <c r="F1115" s="182">
        <f>IF(offer_sale_type="транзит",IFERROR(VLOOKUP($B1115,calc_data,F$14+1,0),0),0)</f>
        <v/>
      </c>
      <c r="G1115" s="141">
        <f>IF(offer_sale_type="транзит",IFERROR(VLOOKUP($B1115,calc_data,G$14+1,0),0),0)</f>
        <v/>
      </c>
      <c r="H1115" s="141">
        <f>E1115*G1115</f>
        <v/>
      </c>
      <c r="I1115" s="141">
        <f>IF(offer_sale_type="транзит",IFERROR(ROUND(VLOOKUP($B1115,calc_data,I$14+1,0),2),0),0)</f>
        <v/>
      </c>
      <c r="J1115" s="141">
        <f>ROUND(IF(offer_sale_type="транзит",IFERROR(VLOOKUP($B1115,calc_data,J$14+1,0),0),0),2)</f>
        <v/>
      </c>
      <c r="K1115" s="142">
        <f>IF(offer_sale_type="транзит",IFERROR(ROUNDUP(VLOOKUP($B1115,calc_data,K$14+1,0),2),0),0)</f>
        <v/>
      </c>
      <c r="L1115" s="184">
        <f>IF(offer_sale_type="транзит",IFERROR(ROUNDUP(VLOOKUP($B1115,calc_data,L$14+1,0),2),0),0)</f>
        <v/>
      </c>
      <c r="M1115" s="141">
        <f>IF(offer_sale_type="транзит",IFERROR(ROUNDUP(VLOOKUP($B1115,calc_data,M$14+1,0),2),0),0)</f>
        <v/>
      </c>
      <c r="N1115" s="141">
        <f>IF(offer_sale_type="транзит",IFERROR(ROUNDUP(VLOOKUP($B1115,calc_data,N$14+1,0),2),0),0)</f>
        <v/>
      </c>
      <c r="O1115" s="147">
        <f>IF(offer_sale_type="транзит",IFERROR(ROUND(VLOOKUP($B1115,calc_data,O$14+1,1),2),0),0)</f>
        <v/>
      </c>
      <c r="P1115" s="141">
        <f>IF(offer_sale_type="транзит",IFERROR(ROUND(SUM(I1115:J1115,M1115:O1115)/E1115,2),0),0)</f>
        <v/>
      </c>
      <c r="Q1115" s="141">
        <f>E1115*P1115</f>
        <v/>
      </c>
      <c r="R1115" s="141">
        <f>ROUND(Q1115*IF(AND(offer_incoterms="DDP",seller_region="RU"),IF((TODAY()+offer_turnaround_time)&gt;=helpsheet!$L$17,rate_vatRU_from_26,rate_vatRu_till_25),0),2)</f>
        <v/>
      </c>
      <c r="S1115" s="177">
        <f>Q1115+IF(AND(offer_incoterms="DDP",seller_region="RU"),R1115,0)</f>
        <v/>
      </c>
      <c r="T1115" s="45" t="n"/>
      <c r="V1115" s="57">
        <f>IF(Q1115&gt;0,"показать","скрыть")</f>
        <v/>
      </c>
    </row>
    <row r="1116" ht="15.75" customHeight="1">
      <c r="B1116" s="809" t="n">
        <v>1100</v>
      </c>
      <c r="C1116" s="182">
        <f>IF(offer_sale_type="транзит",IFERROR(VLOOKUP($B1116,calc_data,C$14+1,0),0),0)</f>
        <v/>
      </c>
      <c r="D1116" s="280">
        <f>IF(offer_sale_type="транзит",IFERROR(VLOOKUP($B1116,calc_data,D$14+1,0),0),0)</f>
        <v/>
      </c>
      <c r="E1116" s="182">
        <f>IF(offer_sale_type="транзит",IFERROR(VLOOKUP($B1116,calc_data,E$14+1,0),0),0)</f>
        <v/>
      </c>
      <c r="F1116" s="182">
        <f>IF(offer_sale_type="транзит",IFERROR(VLOOKUP($B1116,calc_data,F$14+1,0),0),0)</f>
        <v/>
      </c>
      <c r="G1116" s="141">
        <f>IF(offer_sale_type="транзит",IFERROR(VLOOKUP($B1116,calc_data,G$14+1,0),0),0)</f>
        <v/>
      </c>
      <c r="H1116" s="141">
        <f>E1116*G1116</f>
        <v/>
      </c>
      <c r="I1116" s="141">
        <f>IF(offer_sale_type="транзит",IFERROR(ROUND(VLOOKUP($B1116,calc_data,I$14+1,0),2),0),0)</f>
        <v/>
      </c>
      <c r="J1116" s="141">
        <f>ROUND(IF(offer_sale_type="транзит",IFERROR(VLOOKUP($B1116,calc_data,J$14+1,0),0),0),2)</f>
        <v/>
      </c>
      <c r="K1116" s="142">
        <f>IF(offer_sale_type="транзит",IFERROR(ROUNDUP(VLOOKUP($B1116,calc_data,K$14+1,0),2),0),0)</f>
        <v/>
      </c>
      <c r="L1116" s="184">
        <f>IF(offer_sale_type="транзит",IFERROR(ROUNDUP(VLOOKUP($B1116,calc_data,L$14+1,0),2),0),0)</f>
        <v/>
      </c>
      <c r="M1116" s="141">
        <f>IF(offer_sale_type="транзит",IFERROR(ROUNDUP(VLOOKUP($B1116,calc_data,M$14+1,0),2),0),0)</f>
        <v/>
      </c>
      <c r="N1116" s="141">
        <f>IF(offer_sale_type="транзит",IFERROR(ROUNDUP(VLOOKUP($B1116,calc_data,N$14+1,0),2),0),0)</f>
        <v/>
      </c>
      <c r="O1116" s="147">
        <f>IF(offer_sale_type="транзит",IFERROR(ROUND(VLOOKUP($B1116,calc_data,O$14+1,1),2),0),0)</f>
        <v/>
      </c>
      <c r="P1116" s="141">
        <f>IF(offer_sale_type="транзит",IFERROR(ROUND(SUM(I1116:J1116,M1116:O1116)/E1116,2),0),0)</f>
        <v/>
      </c>
      <c r="Q1116" s="141">
        <f>E1116*P1116</f>
        <v/>
      </c>
      <c r="R1116" s="141">
        <f>ROUND(Q1116*IF(AND(offer_incoterms="DDP",seller_region="RU"),IF((TODAY()+offer_turnaround_time)&gt;=helpsheet!$L$17,rate_vatRU_from_26,rate_vatRu_till_25),0),2)</f>
        <v/>
      </c>
      <c r="S1116" s="177">
        <f>Q1116+IF(AND(offer_incoterms="DDP",seller_region="RU"),R1116,0)</f>
        <v/>
      </c>
      <c r="T1116" s="45" t="n"/>
      <c r="V1116" s="57">
        <f>IF(Q1116&gt;0,"показать","скрыть")</f>
        <v/>
      </c>
    </row>
    <row r="1117" ht="15.75" customHeight="1">
      <c r="B1117" s="809" t="n">
        <v>1101</v>
      </c>
      <c r="C1117" s="182">
        <f>IF(offer_sale_type="транзит",IFERROR(VLOOKUP($B1117,calc_data,C$14+1,0),0),0)</f>
        <v/>
      </c>
      <c r="D1117" s="280">
        <f>IF(offer_sale_type="транзит",IFERROR(VLOOKUP($B1117,calc_data,D$14+1,0),0),0)</f>
        <v/>
      </c>
      <c r="E1117" s="182">
        <f>IF(offer_sale_type="транзит",IFERROR(VLOOKUP($B1117,calc_data,E$14+1,0),0),0)</f>
        <v/>
      </c>
      <c r="F1117" s="182">
        <f>IF(offer_sale_type="транзит",IFERROR(VLOOKUP($B1117,calc_data,F$14+1,0),0),0)</f>
        <v/>
      </c>
      <c r="G1117" s="141">
        <f>IF(offer_sale_type="транзит",IFERROR(VLOOKUP($B1117,calc_data,G$14+1,0),0),0)</f>
        <v/>
      </c>
      <c r="H1117" s="141">
        <f>E1117*G1117</f>
        <v/>
      </c>
      <c r="I1117" s="141">
        <f>IF(offer_sale_type="транзит",IFERROR(ROUND(VLOOKUP($B1117,calc_data,I$14+1,0),2),0),0)</f>
        <v/>
      </c>
      <c r="J1117" s="141">
        <f>ROUND(IF(offer_sale_type="транзит",IFERROR(VLOOKUP($B1117,calc_data,J$14+1,0),0),0),2)</f>
        <v/>
      </c>
      <c r="K1117" s="142">
        <f>IF(offer_sale_type="транзит",IFERROR(ROUNDUP(VLOOKUP($B1117,calc_data,K$14+1,0),2),0),0)</f>
        <v/>
      </c>
      <c r="L1117" s="184">
        <f>IF(offer_sale_type="транзит",IFERROR(ROUNDUP(VLOOKUP($B1117,calc_data,L$14+1,0),2),0),0)</f>
        <v/>
      </c>
      <c r="M1117" s="141">
        <f>IF(offer_sale_type="транзит",IFERROR(ROUNDUP(VLOOKUP($B1117,calc_data,M$14+1,0),2),0),0)</f>
        <v/>
      </c>
      <c r="N1117" s="141">
        <f>IF(offer_sale_type="транзит",IFERROR(ROUNDUP(VLOOKUP($B1117,calc_data,N$14+1,0),2),0),0)</f>
        <v/>
      </c>
      <c r="O1117" s="147">
        <f>IF(offer_sale_type="транзит",IFERROR(ROUND(VLOOKUP($B1117,calc_data,O$14+1,1),2),0),0)</f>
        <v/>
      </c>
      <c r="P1117" s="141">
        <f>IF(offer_sale_type="транзит",IFERROR(ROUND(SUM(I1117:J1117,M1117:O1117)/E1117,2),0),0)</f>
        <v/>
      </c>
      <c r="Q1117" s="141">
        <f>E1117*P1117</f>
        <v/>
      </c>
      <c r="R1117" s="141">
        <f>ROUND(Q1117*IF(AND(offer_incoterms="DDP",seller_region="RU"),IF((TODAY()+offer_turnaround_time)&gt;=helpsheet!$L$17,rate_vatRU_from_26,rate_vatRu_till_25),0),2)</f>
        <v/>
      </c>
      <c r="S1117" s="177">
        <f>Q1117+IF(AND(offer_incoterms="DDP",seller_region="RU"),R1117,0)</f>
        <v/>
      </c>
      <c r="T1117" s="45" t="n"/>
      <c r="V1117" s="57">
        <f>IF(Q1117&gt;0,"показать","скрыть")</f>
        <v/>
      </c>
    </row>
    <row r="1118" ht="15.75" customHeight="1">
      <c r="B1118" s="809" t="n">
        <v>1102</v>
      </c>
      <c r="C1118" s="182">
        <f>IF(offer_sale_type="транзит",IFERROR(VLOOKUP($B1118,calc_data,C$14+1,0),0),0)</f>
        <v/>
      </c>
      <c r="D1118" s="280">
        <f>IF(offer_sale_type="транзит",IFERROR(VLOOKUP($B1118,calc_data,D$14+1,0),0),0)</f>
        <v/>
      </c>
      <c r="E1118" s="182">
        <f>IF(offer_sale_type="транзит",IFERROR(VLOOKUP($B1118,calc_data,E$14+1,0),0),0)</f>
        <v/>
      </c>
      <c r="F1118" s="182">
        <f>IF(offer_sale_type="транзит",IFERROR(VLOOKUP($B1118,calc_data,F$14+1,0),0),0)</f>
        <v/>
      </c>
      <c r="G1118" s="141">
        <f>IF(offer_sale_type="транзит",IFERROR(VLOOKUP($B1118,calc_data,G$14+1,0),0),0)</f>
        <v/>
      </c>
      <c r="H1118" s="141">
        <f>E1118*G1118</f>
        <v/>
      </c>
      <c r="I1118" s="141">
        <f>IF(offer_sale_type="транзит",IFERROR(ROUND(VLOOKUP($B1118,calc_data,I$14+1,0),2),0),0)</f>
        <v/>
      </c>
      <c r="J1118" s="141">
        <f>ROUND(IF(offer_sale_type="транзит",IFERROR(VLOOKUP($B1118,calc_data,J$14+1,0),0),0),2)</f>
        <v/>
      </c>
      <c r="K1118" s="142">
        <f>IF(offer_sale_type="транзит",IFERROR(ROUNDUP(VLOOKUP($B1118,calc_data,K$14+1,0),2),0),0)</f>
        <v/>
      </c>
      <c r="L1118" s="184">
        <f>IF(offer_sale_type="транзит",IFERROR(ROUNDUP(VLOOKUP($B1118,calc_data,L$14+1,0),2),0),0)</f>
        <v/>
      </c>
      <c r="M1118" s="141">
        <f>IF(offer_sale_type="транзит",IFERROR(ROUNDUP(VLOOKUP($B1118,calc_data,M$14+1,0),2),0),0)</f>
        <v/>
      </c>
      <c r="N1118" s="141">
        <f>IF(offer_sale_type="транзит",IFERROR(ROUNDUP(VLOOKUP($B1118,calc_data,N$14+1,0),2),0),0)</f>
        <v/>
      </c>
      <c r="O1118" s="147">
        <f>IF(offer_sale_type="транзит",IFERROR(ROUND(VLOOKUP($B1118,calc_data,O$14+1,1),2),0),0)</f>
        <v/>
      </c>
      <c r="P1118" s="141">
        <f>IF(offer_sale_type="транзит",IFERROR(ROUND(SUM(I1118:J1118,M1118:O1118)/E1118,2),0),0)</f>
        <v/>
      </c>
      <c r="Q1118" s="141">
        <f>E1118*P1118</f>
        <v/>
      </c>
      <c r="R1118" s="141">
        <f>ROUND(Q1118*IF(AND(offer_incoterms="DDP",seller_region="RU"),IF((TODAY()+offer_turnaround_time)&gt;=helpsheet!$L$17,rate_vatRU_from_26,rate_vatRu_till_25),0),2)</f>
        <v/>
      </c>
      <c r="S1118" s="177">
        <f>Q1118+IF(AND(offer_incoterms="DDP",seller_region="RU"),R1118,0)</f>
        <v/>
      </c>
      <c r="T1118" s="45" t="n"/>
      <c r="V1118" s="57">
        <f>IF(Q1118&gt;0,"показать","скрыть")</f>
        <v/>
      </c>
    </row>
    <row r="1119" ht="15.75" customHeight="1">
      <c r="B1119" s="809" t="n">
        <v>1103</v>
      </c>
      <c r="C1119" s="182">
        <f>IF(offer_sale_type="транзит",IFERROR(VLOOKUP($B1119,calc_data,C$14+1,0),0),0)</f>
        <v/>
      </c>
      <c r="D1119" s="280">
        <f>IF(offer_sale_type="транзит",IFERROR(VLOOKUP($B1119,calc_data,D$14+1,0),0),0)</f>
        <v/>
      </c>
      <c r="E1119" s="182">
        <f>IF(offer_sale_type="транзит",IFERROR(VLOOKUP($B1119,calc_data,E$14+1,0),0),0)</f>
        <v/>
      </c>
      <c r="F1119" s="182">
        <f>IF(offer_sale_type="транзит",IFERROR(VLOOKUP($B1119,calc_data,F$14+1,0),0),0)</f>
        <v/>
      </c>
      <c r="G1119" s="141">
        <f>IF(offer_sale_type="транзит",IFERROR(VLOOKUP($B1119,calc_data,G$14+1,0),0),0)</f>
        <v/>
      </c>
      <c r="H1119" s="141">
        <f>E1119*G1119</f>
        <v/>
      </c>
      <c r="I1119" s="141">
        <f>IF(offer_sale_type="транзит",IFERROR(ROUND(VLOOKUP($B1119,calc_data,I$14+1,0),2),0),0)</f>
        <v/>
      </c>
      <c r="J1119" s="141">
        <f>ROUND(IF(offer_sale_type="транзит",IFERROR(VLOOKUP($B1119,calc_data,J$14+1,0),0),0),2)</f>
        <v/>
      </c>
      <c r="K1119" s="142">
        <f>IF(offer_sale_type="транзит",IFERROR(ROUNDUP(VLOOKUP($B1119,calc_data,K$14+1,0),2),0),0)</f>
        <v/>
      </c>
      <c r="L1119" s="184">
        <f>IF(offer_sale_type="транзит",IFERROR(ROUNDUP(VLOOKUP($B1119,calc_data,L$14+1,0),2),0),0)</f>
        <v/>
      </c>
      <c r="M1119" s="141">
        <f>IF(offer_sale_type="транзит",IFERROR(ROUNDUP(VLOOKUP($B1119,calc_data,M$14+1,0),2),0),0)</f>
        <v/>
      </c>
      <c r="N1119" s="141">
        <f>IF(offer_sale_type="транзит",IFERROR(ROUNDUP(VLOOKUP($B1119,calc_data,N$14+1,0),2),0),0)</f>
        <v/>
      </c>
      <c r="O1119" s="147">
        <f>IF(offer_sale_type="транзит",IFERROR(ROUND(VLOOKUP($B1119,calc_data,O$14+1,1),2),0),0)</f>
        <v/>
      </c>
      <c r="P1119" s="141">
        <f>IF(offer_sale_type="транзит",IFERROR(ROUND(SUM(I1119:J1119,M1119:O1119)/E1119,2),0),0)</f>
        <v/>
      </c>
      <c r="Q1119" s="141">
        <f>E1119*P1119</f>
        <v/>
      </c>
      <c r="R1119" s="141">
        <f>ROUND(Q1119*IF(AND(offer_incoterms="DDP",seller_region="RU"),IF((TODAY()+offer_turnaround_time)&gt;=helpsheet!$L$17,rate_vatRU_from_26,rate_vatRu_till_25),0),2)</f>
        <v/>
      </c>
      <c r="S1119" s="177">
        <f>Q1119+IF(AND(offer_incoterms="DDP",seller_region="RU"),R1119,0)</f>
        <v/>
      </c>
      <c r="T1119" s="45" t="n"/>
      <c r="V1119" s="57">
        <f>IF(Q1119&gt;0,"показать","скрыть")</f>
        <v/>
      </c>
    </row>
    <row r="1120" ht="15.75" customHeight="1">
      <c r="B1120" s="809" t="n">
        <v>1104</v>
      </c>
      <c r="C1120" s="182">
        <f>IF(offer_sale_type="транзит",IFERROR(VLOOKUP($B1120,calc_data,C$14+1,0),0),0)</f>
        <v/>
      </c>
      <c r="D1120" s="280">
        <f>IF(offer_sale_type="транзит",IFERROR(VLOOKUP($B1120,calc_data,D$14+1,0),0),0)</f>
        <v/>
      </c>
      <c r="E1120" s="182">
        <f>IF(offer_sale_type="транзит",IFERROR(VLOOKUP($B1120,calc_data,E$14+1,0),0),0)</f>
        <v/>
      </c>
      <c r="F1120" s="182">
        <f>IF(offer_sale_type="транзит",IFERROR(VLOOKUP($B1120,calc_data,F$14+1,0),0),0)</f>
        <v/>
      </c>
      <c r="G1120" s="141">
        <f>IF(offer_sale_type="транзит",IFERROR(VLOOKUP($B1120,calc_data,G$14+1,0),0),0)</f>
        <v/>
      </c>
      <c r="H1120" s="141">
        <f>E1120*G1120</f>
        <v/>
      </c>
      <c r="I1120" s="141">
        <f>IF(offer_sale_type="транзит",IFERROR(ROUND(VLOOKUP($B1120,calc_data,I$14+1,0),2),0),0)</f>
        <v/>
      </c>
      <c r="J1120" s="141">
        <f>ROUND(IF(offer_sale_type="транзит",IFERROR(VLOOKUP($B1120,calc_data,J$14+1,0),0),0),2)</f>
        <v/>
      </c>
      <c r="K1120" s="142">
        <f>IF(offer_sale_type="транзит",IFERROR(ROUNDUP(VLOOKUP($B1120,calc_data,K$14+1,0),2),0),0)</f>
        <v/>
      </c>
      <c r="L1120" s="184">
        <f>IF(offer_sale_type="транзит",IFERROR(ROUNDUP(VLOOKUP($B1120,calc_data,L$14+1,0),2),0),0)</f>
        <v/>
      </c>
      <c r="M1120" s="141">
        <f>IF(offer_sale_type="транзит",IFERROR(ROUNDUP(VLOOKUP($B1120,calc_data,M$14+1,0),2),0),0)</f>
        <v/>
      </c>
      <c r="N1120" s="141">
        <f>IF(offer_sale_type="транзит",IFERROR(ROUNDUP(VLOOKUP($B1120,calc_data,N$14+1,0),2),0),0)</f>
        <v/>
      </c>
      <c r="O1120" s="147">
        <f>IF(offer_sale_type="транзит",IFERROR(ROUND(VLOOKUP($B1120,calc_data,O$14+1,1),2),0),0)</f>
        <v/>
      </c>
      <c r="P1120" s="141">
        <f>IF(offer_sale_type="транзит",IFERROR(ROUND(SUM(I1120:J1120,M1120:O1120)/E1120,2),0),0)</f>
        <v/>
      </c>
      <c r="Q1120" s="141">
        <f>E1120*P1120</f>
        <v/>
      </c>
      <c r="R1120" s="141">
        <f>ROUND(Q1120*IF(AND(offer_incoterms="DDP",seller_region="RU"),IF((TODAY()+offer_turnaround_time)&gt;=helpsheet!$L$17,rate_vatRU_from_26,rate_vatRu_till_25),0),2)</f>
        <v/>
      </c>
      <c r="S1120" s="177">
        <f>Q1120+IF(AND(offer_incoterms="DDP",seller_region="RU"),R1120,0)</f>
        <v/>
      </c>
      <c r="T1120" s="45" t="n"/>
      <c r="V1120" s="57">
        <f>IF(Q1120&gt;0,"показать","скрыть")</f>
        <v/>
      </c>
    </row>
    <row r="1121" ht="15.75" customHeight="1">
      <c r="B1121" s="809" t="n">
        <v>1105</v>
      </c>
      <c r="C1121" s="182">
        <f>IF(offer_sale_type="транзит",IFERROR(VLOOKUP($B1121,calc_data,C$14+1,0),0),0)</f>
        <v/>
      </c>
      <c r="D1121" s="280">
        <f>IF(offer_sale_type="транзит",IFERROR(VLOOKUP($B1121,calc_data,D$14+1,0),0),0)</f>
        <v/>
      </c>
      <c r="E1121" s="182">
        <f>IF(offer_sale_type="транзит",IFERROR(VLOOKUP($B1121,calc_data,E$14+1,0),0),0)</f>
        <v/>
      </c>
      <c r="F1121" s="182">
        <f>IF(offer_sale_type="транзит",IFERROR(VLOOKUP($B1121,calc_data,F$14+1,0),0),0)</f>
        <v/>
      </c>
      <c r="G1121" s="141">
        <f>IF(offer_sale_type="транзит",IFERROR(VLOOKUP($B1121,calc_data,G$14+1,0),0),0)</f>
        <v/>
      </c>
      <c r="H1121" s="141">
        <f>E1121*G1121</f>
        <v/>
      </c>
      <c r="I1121" s="141">
        <f>IF(offer_sale_type="транзит",IFERROR(ROUND(VLOOKUP($B1121,calc_data,I$14+1,0),2),0),0)</f>
        <v/>
      </c>
      <c r="J1121" s="141">
        <f>ROUND(IF(offer_sale_type="транзит",IFERROR(VLOOKUP($B1121,calc_data,J$14+1,0),0),0),2)</f>
        <v/>
      </c>
      <c r="K1121" s="142">
        <f>IF(offer_sale_type="транзит",IFERROR(ROUNDUP(VLOOKUP($B1121,calc_data,K$14+1,0),2),0),0)</f>
        <v/>
      </c>
      <c r="L1121" s="184">
        <f>IF(offer_sale_type="транзит",IFERROR(ROUNDUP(VLOOKUP($B1121,calc_data,L$14+1,0),2),0),0)</f>
        <v/>
      </c>
      <c r="M1121" s="141">
        <f>IF(offer_sale_type="транзит",IFERROR(ROUNDUP(VLOOKUP($B1121,calc_data,M$14+1,0),2),0),0)</f>
        <v/>
      </c>
      <c r="N1121" s="141">
        <f>IF(offer_sale_type="транзит",IFERROR(ROUNDUP(VLOOKUP($B1121,calc_data,N$14+1,0),2),0),0)</f>
        <v/>
      </c>
      <c r="O1121" s="147">
        <f>IF(offer_sale_type="транзит",IFERROR(ROUND(VLOOKUP($B1121,calc_data,O$14+1,1),2),0),0)</f>
        <v/>
      </c>
      <c r="P1121" s="141">
        <f>IF(offer_sale_type="транзит",IFERROR(ROUND(SUM(I1121:J1121,M1121:O1121)/E1121,2),0),0)</f>
        <v/>
      </c>
      <c r="Q1121" s="141">
        <f>E1121*P1121</f>
        <v/>
      </c>
      <c r="R1121" s="141">
        <f>ROUND(Q1121*IF(AND(offer_incoterms="DDP",seller_region="RU"),IF((TODAY()+offer_turnaround_time)&gt;=helpsheet!$L$17,rate_vatRU_from_26,rate_vatRu_till_25),0),2)</f>
        <v/>
      </c>
      <c r="S1121" s="177">
        <f>Q1121+IF(AND(offer_incoterms="DDP",seller_region="RU"),R1121,0)</f>
        <v/>
      </c>
      <c r="T1121" s="45" t="n"/>
      <c r="V1121" s="57">
        <f>IF(Q1121&gt;0,"показать","скрыть")</f>
        <v/>
      </c>
    </row>
    <row r="1122" ht="15.75" customHeight="1">
      <c r="B1122" s="809" t="n">
        <v>1106</v>
      </c>
      <c r="C1122" s="182">
        <f>IF(offer_sale_type="транзит",IFERROR(VLOOKUP($B1122,calc_data,C$14+1,0),0),0)</f>
        <v/>
      </c>
      <c r="D1122" s="280">
        <f>IF(offer_sale_type="транзит",IFERROR(VLOOKUP($B1122,calc_data,D$14+1,0),0),0)</f>
        <v/>
      </c>
      <c r="E1122" s="182">
        <f>IF(offer_sale_type="транзит",IFERROR(VLOOKUP($B1122,calc_data,E$14+1,0),0),0)</f>
        <v/>
      </c>
      <c r="F1122" s="182">
        <f>IF(offer_sale_type="транзит",IFERROR(VLOOKUP($B1122,calc_data,F$14+1,0),0),0)</f>
        <v/>
      </c>
      <c r="G1122" s="141">
        <f>IF(offer_sale_type="транзит",IFERROR(VLOOKUP($B1122,calc_data,G$14+1,0),0),0)</f>
        <v/>
      </c>
      <c r="H1122" s="141">
        <f>E1122*G1122</f>
        <v/>
      </c>
      <c r="I1122" s="141">
        <f>IF(offer_sale_type="транзит",IFERROR(ROUND(VLOOKUP($B1122,calc_data,I$14+1,0),2),0),0)</f>
        <v/>
      </c>
      <c r="J1122" s="141">
        <f>ROUND(IF(offer_sale_type="транзит",IFERROR(VLOOKUP($B1122,calc_data,J$14+1,0),0),0),2)</f>
        <v/>
      </c>
      <c r="K1122" s="142">
        <f>IF(offer_sale_type="транзит",IFERROR(ROUNDUP(VLOOKUP($B1122,calc_data,K$14+1,0),2),0),0)</f>
        <v/>
      </c>
      <c r="L1122" s="184">
        <f>IF(offer_sale_type="транзит",IFERROR(ROUNDUP(VLOOKUP($B1122,calc_data,L$14+1,0),2),0),0)</f>
        <v/>
      </c>
      <c r="M1122" s="141">
        <f>IF(offer_sale_type="транзит",IFERROR(ROUNDUP(VLOOKUP($B1122,calc_data,M$14+1,0),2),0),0)</f>
        <v/>
      </c>
      <c r="N1122" s="141">
        <f>IF(offer_sale_type="транзит",IFERROR(ROUNDUP(VLOOKUP($B1122,calc_data,N$14+1,0),2),0),0)</f>
        <v/>
      </c>
      <c r="O1122" s="147">
        <f>IF(offer_sale_type="транзит",IFERROR(ROUND(VLOOKUP($B1122,calc_data,O$14+1,1),2),0),0)</f>
        <v/>
      </c>
      <c r="P1122" s="141">
        <f>IF(offer_sale_type="транзит",IFERROR(ROUND(SUM(I1122:J1122,M1122:O1122)/E1122,2),0),0)</f>
        <v/>
      </c>
      <c r="Q1122" s="141">
        <f>E1122*P1122</f>
        <v/>
      </c>
      <c r="R1122" s="141">
        <f>ROUND(Q1122*IF(AND(offer_incoterms="DDP",seller_region="RU"),IF((TODAY()+offer_turnaround_time)&gt;=helpsheet!$L$17,rate_vatRU_from_26,rate_vatRu_till_25),0),2)</f>
        <v/>
      </c>
      <c r="S1122" s="177">
        <f>Q1122+IF(AND(offer_incoterms="DDP",seller_region="RU"),R1122,0)</f>
        <v/>
      </c>
      <c r="T1122" s="45" t="n"/>
      <c r="V1122" s="57">
        <f>IF(Q1122&gt;0,"показать","скрыть")</f>
        <v/>
      </c>
    </row>
    <row r="1123" ht="15.75" customHeight="1">
      <c r="B1123" s="809" t="n">
        <v>1107</v>
      </c>
      <c r="C1123" s="182">
        <f>IF(offer_sale_type="транзит",IFERROR(VLOOKUP($B1123,calc_data,C$14+1,0),0),0)</f>
        <v/>
      </c>
      <c r="D1123" s="280">
        <f>IF(offer_sale_type="транзит",IFERROR(VLOOKUP($B1123,calc_data,D$14+1,0),0),0)</f>
        <v/>
      </c>
      <c r="E1123" s="182">
        <f>IF(offer_sale_type="транзит",IFERROR(VLOOKUP($B1123,calc_data,E$14+1,0),0),0)</f>
        <v/>
      </c>
      <c r="F1123" s="182">
        <f>IF(offer_sale_type="транзит",IFERROR(VLOOKUP($B1123,calc_data,F$14+1,0),0),0)</f>
        <v/>
      </c>
      <c r="G1123" s="141">
        <f>IF(offer_sale_type="транзит",IFERROR(VLOOKUP($B1123,calc_data,G$14+1,0),0),0)</f>
        <v/>
      </c>
      <c r="H1123" s="141">
        <f>E1123*G1123</f>
        <v/>
      </c>
      <c r="I1123" s="141">
        <f>IF(offer_sale_type="транзит",IFERROR(ROUND(VLOOKUP($B1123,calc_data,I$14+1,0),2),0),0)</f>
        <v/>
      </c>
      <c r="J1123" s="141">
        <f>ROUND(IF(offer_sale_type="транзит",IFERROR(VLOOKUP($B1123,calc_data,J$14+1,0),0),0),2)</f>
        <v/>
      </c>
      <c r="K1123" s="142">
        <f>IF(offer_sale_type="транзит",IFERROR(ROUNDUP(VLOOKUP($B1123,calc_data,K$14+1,0),2),0),0)</f>
        <v/>
      </c>
      <c r="L1123" s="184">
        <f>IF(offer_sale_type="транзит",IFERROR(ROUNDUP(VLOOKUP($B1123,calc_data,L$14+1,0),2),0),0)</f>
        <v/>
      </c>
      <c r="M1123" s="141">
        <f>IF(offer_sale_type="транзит",IFERROR(ROUNDUP(VLOOKUP($B1123,calc_data,M$14+1,0),2),0),0)</f>
        <v/>
      </c>
      <c r="N1123" s="141">
        <f>IF(offer_sale_type="транзит",IFERROR(ROUNDUP(VLOOKUP($B1123,calc_data,N$14+1,0),2),0),0)</f>
        <v/>
      </c>
      <c r="O1123" s="147">
        <f>IF(offer_sale_type="транзит",IFERROR(ROUND(VLOOKUP($B1123,calc_data,O$14+1,1),2),0),0)</f>
        <v/>
      </c>
      <c r="P1123" s="141">
        <f>IF(offer_sale_type="транзит",IFERROR(ROUND(SUM(I1123:J1123,M1123:O1123)/E1123,2),0),0)</f>
        <v/>
      </c>
      <c r="Q1123" s="141">
        <f>E1123*P1123</f>
        <v/>
      </c>
      <c r="R1123" s="141">
        <f>ROUND(Q1123*IF(AND(offer_incoterms="DDP",seller_region="RU"),IF((TODAY()+offer_turnaround_time)&gt;=helpsheet!$L$17,rate_vatRU_from_26,rate_vatRu_till_25),0),2)</f>
        <v/>
      </c>
      <c r="S1123" s="177">
        <f>Q1123+IF(AND(offer_incoterms="DDP",seller_region="RU"),R1123,0)</f>
        <v/>
      </c>
      <c r="T1123" s="45" t="n"/>
      <c r="V1123" s="57">
        <f>IF(Q1123&gt;0,"показать","скрыть")</f>
        <v/>
      </c>
    </row>
    <row r="1124" ht="15.75" customHeight="1">
      <c r="B1124" s="809" t="n">
        <v>1108</v>
      </c>
      <c r="C1124" s="182">
        <f>IF(offer_sale_type="транзит",IFERROR(VLOOKUP($B1124,calc_data,C$14+1,0),0),0)</f>
        <v/>
      </c>
      <c r="D1124" s="280">
        <f>IF(offer_sale_type="транзит",IFERROR(VLOOKUP($B1124,calc_data,D$14+1,0),0),0)</f>
        <v/>
      </c>
      <c r="E1124" s="182">
        <f>IF(offer_sale_type="транзит",IFERROR(VLOOKUP($B1124,calc_data,E$14+1,0),0),0)</f>
        <v/>
      </c>
      <c r="F1124" s="182">
        <f>IF(offer_sale_type="транзит",IFERROR(VLOOKUP($B1124,calc_data,F$14+1,0),0),0)</f>
        <v/>
      </c>
      <c r="G1124" s="141">
        <f>IF(offer_sale_type="транзит",IFERROR(VLOOKUP($B1124,calc_data,G$14+1,0),0),0)</f>
        <v/>
      </c>
      <c r="H1124" s="141">
        <f>E1124*G1124</f>
        <v/>
      </c>
      <c r="I1124" s="141">
        <f>IF(offer_sale_type="транзит",IFERROR(ROUND(VLOOKUP($B1124,calc_data,I$14+1,0),2),0),0)</f>
        <v/>
      </c>
      <c r="J1124" s="141">
        <f>ROUND(IF(offer_sale_type="транзит",IFERROR(VLOOKUP($B1124,calc_data,J$14+1,0),0),0),2)</f>
        <v/>
      </c>
      <c r="K1124" s="142">
        <f>IF(offer_sale_type="транзит",IFERROR(ROUNDUP(VLOOKUP($B1124,calc_data,K$14+1,0),2),0),0)</f>
        <v/>
      </c>
      <c r="L1124" s="184">
        <f>IF(offer_sale_type="транзит",IFERROR(ROUNDUP(VLOOKUP($B1124,calc_data,L$14+1,0),2),0),0)</f>
        <v/>
      </c>
      <c r="M1124" s="141">
        <f>IF(offer_sale_type="транзит",IFERROR(ROUNDUP(VLOOKUP($B1124,calc_data,M$14+1,0),2),0),0)</f>
        <v/>
      </c>
      <c r="N1124" s="141">
        <f>IF(offer_sale_type="транзит",IFERROR(ROUNDUP(VLOOKUP($B1124,calc_data,N$14+1,0),2),0),0)</f>
        <v/>
      </c>
      <c r="O1124" s="147">
        <f>IF(offer_sale_type="транзит",IFERROR(ROUND(VLOOKUP($B1124,calc_data,O$14+1,1),2),0),0)</f>
        <v/>
      </c>
      <c r="P1124" s="141">
        <f>IF(offer_sale_type="транзит",IFERROR(ROUND(SUM(I1124:J1124,M1124:O1124)/E1124,2),0),0)</f>
        <v/>
      </c>
      <c r="Q1124" s="141">
        <f>E1124*P1124</f>
        <v/>
      </c>
      <c r="R1124" s="141">
        <f>ROUND(Q1124*IF(AND(offer_incoterms="DDP",seller_region="RU"),IF((TODAY()+offer_turnaround_time)&gt;=helpsheet!$L$17,rate_vatRU_from_26,rate_vatRu_till_25),0),2)</f>
        <v/>
      </c>
      <c r="S1124" s="177">
        <f>Q1124+IF(AND(offer_incoterms="DDP",seller_region="RU"),R1124,0)</f>
        <v/>
      </c>
      <c r="T1124" s="45" t="n"/>
      <c r="V1124" s="57">
        <f>IF(Q1124&gt;0,"показать","скрыть")</f>
        <v/>
      </c>
    </row>
    <row r="1125" ht="15.75" customHeight="1">
      <c r="B1125" s="809" t="n">
        <v>1109</v>
      </c>
      <c r="C1125" s="182">
        <f>IF(offer_sale_type="транзит",IFERROR(VLOOKUP($B1125,calc_data,C$14+1,0),0),0)</f>
        <v/>
      </c>
      <c r="D1125" s="280">
        <f>IF(offer_sale_type="транзит",IFERROR(VLOOKUP($B1125,calc_data,D$14+1,0),0),0)</f>
        <v/>
      </c>
      <c r="E1125" s="182">
        <f>IF(offer_sale_type="транзит",IFERROR(VLOOKUP($B1125,calc_data,E$14+1,0),0),0)</f>
        <v/>
      </c>
      <c r="F1125" s="182">
        <f>IF(offer_sale_type="транзит",IFERROR(VLOOKUP($B1125,calc_data,F$14+1,0),0),0)</f>
        <v/>
      </c>
      <c r="G1125" s="141">
        <f>IF(offer_sale_type="транзит",IFERROR(VLOOKUP($B1125,calc_data,G$14+1,0),0),0)</f>
        <v/>
      </c>
      <c r="H1125" s="141">
        <f>E1125*G1125</f>
        <v/>
      </c>
      <c r="I1125" s="141">
        <f>IF(offer_sale_type="транзит",IFERROR(ROUND(VLOOKUP($B1125,calc_data,I$14+1,0),2),0),0)</f>
        <v/>
      </c>
      <c r="J1125" s="141">
        <f>ROUND(IF(offer_sale_type="транзит",IFERROR(VLOOKUP($B1125,calc_data,J$14+1,0),0),0),2)</f>
        <v/>
      </c>
      <c r="K1125" s="142">
        <f>IF(offer_sale_type="транзит",IFERROR(ROUNDUP(VLOOKUP($B1125,calc_data,K$14+1,0),2),0),0)</f>
        <v/>
      </c>
      <c r="L1125" s="184">
        <f>IF(offer_sale_type="транзит",IFERROR(ROUNDUP(VLOOKUP($B1125,calc_data,L$14+1,0),2),0),0)</f>
        <v/>
      </c>
      <c r="M1125" s="141">
        <f>IF(offer_sale_type="транзит",IFERROR(ROUNDUP(VLOOKUP($B1125,calc_data,M$14+1,0),2),0),0)</f>
        <v/>
      </c>
      <c r="N1125" s="141">
        <f>IF(offer_sale_type="транзит",IFERROR(ROUNDUP(VLOOKUP($B1125,calc_data,N$14+1,0),2),0),0)</f>
        <v/>
      </c>
      <c r="O1125" s="147">
        <f>IF(offer_sale_type="транзит",IFERROR(ROUND(VLOOKUP($B1125,calc_data,O$14+1,1),2),0),0)</f>
        <v/>
      </c>
      <c r="P1125" s="141">
        <f>IF(offer_sale_type="транзит",IFERROR(ROUND(SUM(I1125:J1125,M1125:O1125)/E1125,2),0),0)</f>
        <v/>
      </c>
      <c r="Q1125" s="141">
        <f>E1125*P1125</f>
        <v/>
      </c>
      <c r="R1125" s="141">
        <f>ROUND(Q1125*IF(AND(offer_incoterms="DDP",seller_region="RU"),IF((TODAY()+offer_turnaround_time)&gt;=helpsheet!$L$17,rate_vatRU_from_26,rate_vatRu_till_25),0),2)</f>
        <v/>
      </c>
      <c r="S1125" s="177">
        <f>Q1125+IF(AND(offer_incoterms="DDP",seller_region="RU"),R1125,0)</f>
        <v/>
      </c>
      <c r="T1125" s="45" t="n"/>
      <c r="V1125" s="57">
        <f>IF(Q1125&gt;0,"показать","скрыть")</f>
        <v/>
      </c>
    </row>
    <row r="1126" ht="15.75" customHeight="1">
      <c r="B1126" s="809" t="n">
        <v>1110</v>
      </c>
      <c r="C1126" s="182">
        <f>IF(offer_sale_type="транзит",IFERROR(VLOOKUP($B1126,calc_data,C$14+1,0),0),0)</f>
        <v/>
      </c>
      <c r="D1126" s="280">
        <f>IF(offer_sale_type="транзит",IFERROR(VLOOKUP($B1126,calc_data,D$14+1,0),0),0)</f>
        <v/>
      </c>
      <c r="E1126" s="182">
        <f>IF(offer_sale_type="транзит",IFERROR(VLOOKUP($B1126,calc_data,E$14+1,0),0),0)</f>
        <v/>
      </c>
      <c r="F1126" s="182">
        <f>IF(offer_sale_type="транзит",IFERROR(VLOOKUP($B1126,calc_data,F$14+1,0),0),0)</f>
        <v/>
      </c>
      <c r="G1126" s="141">
        <f>IF(offer_sale_type="транзит",IFERROR(VLOOKUP($B1126,calc_data,G$14+1,0),0),0)</f>
        <v/>
      </c>
      <c r="H1126" s="141">
        <f>E1126*G1126</f>
        <v/>
      </c>
      <c r="I1126" s="141">
        <f>IF(offer_sale_type="транзит",IFERROR(ROUND(VLOOKUP($B1126,calc_data,I$14+1,0),2),0),0)</f>
        <v/>
      </c>
      <c r="J1126" s="141">
        <f>ROUND(IF(offer_sale_type="транзит",IFERROR(VLOOKUP($B1126,calc_data,J$14+1,0),0),0),2)</f>
        <v/>
      </c>
      <c r="K1126" s="142">
        <f>IF(offer_sale_type="транзит",IFERROR(ROUNDUP(VLOOKUP($B1126,calc_data,K$14+1,0),2),0),0)</f>
        <v/>
      </c>
      <c r="L1126" s="184">
        <f>IF(offer_sale_type="транзит",IFERROR(ROUNDUP(VLOOKUP($B1126,calc_data,L$14+1,0),2),0),0)</f>
        <v/>
      </c>
      <c r="M1126" s="141">
        <f>IF(offer_sale_type="транзит",IFERROR(ROUNDUP(VLOOKUP($B1126,calc_data,M$14+1,0),2),0),0)</f>
        <v/>
      </c>
      <c r="N1126" s="141">
        <f>IF(offer_sale_type="транзит",IFERROR(ROUNDUP(VLOOKUP($B1126,calc_data,N$14+1,0),2),0),0)</f>
        <v/>
      </c>
      <c r="O1126" s="147">
        <f>IF(offer_sale_type="транзит",IFERROR(ROUND(VLOOKUP($B1126,calc_data,O$14+1,1),2),0),0)</f>
        <v/>
      </c>
      <c r="P1126" s="141">
        <f>IF(offer_sale_type="транзит",IFERROR(ROUND(SUM(I1126:J1126,M1126:O1126)/E1126,2),0),0)</f>
        <v/>
      </c>
      <c r="Q1126" s="141">
        <f>E1126*P1126</f>
        <v/>
      </c>
      <c r="R1126" s="141">
        <f>ROUND(Q1126*IF(AND(offer_incoterms="DDP",seller_region="RU"),IF((TODAY()+offer_turnaround_time)&gt;=helpsheet!$L$17,rate_vatRU_from_26,rate_vatRu_till_25),0),2)</f>
        <v/>
      </c>
      <c r="S1126" s="177">
        <f>Q1126+IF(AND(offer_incoterms="DDP",seller_region="RU"),R1126,0)</f>
        <v/>
      </c>
      <c r="T1126" s="45" t="n"/>
      <c r="V1126" s="57">
        <f>IF(Q1126&gt;0,"показать","скрыть")</f>
        <v/>
      </c>
    </row>
    <row r="1127" ht="15.75" customHeight="1">
      <c r="B1127" s="809" t="n">
        <v>1111</v>
      </c>
      <c r="C1127" s="182">
        <f>IF(offer_sale_type="транзит",IFERROR(VLOOKUP($B1127,calc_data,C$14+1,0),0),0)</f>
        <v/>
      </c>
      <c r="D1127" s="280">
        <f>IF(offer_sale_type="транзит",IFERROR(VLOOKUP($B1127,calc_data,D$14+1,0),0),0)</f>
        <v/>
      </c>
      <c r="E1127" s="182">
        <f>IF(offer_sale_type="транзит",IFERROR(VLOOKUP($B1127,calc_data,E$14+1,0),0),0)</f>
        <v/>
      </c>
      <c r="F1127" s="182">
        <f>IF(offer_sale_type="транзит",IFERROR(VLOOKUP($B1127,calc_data,F$14+1,0),0),0)</f>
        <v/>
      </c>
      <c r="G1127" s="141">
        <f>IF(offer_sale_type="транзит",IFERROR(VLOOKUP($B1127,calc_data,G$14+1,0),0),0)</f>
        <v/>
      </c>
      <c r="H1127" s="141">
        <f>E1127*G1127</f>
        <v/>
      </c>
      <c r="I1127" s="141">
        <f>IF(offer_sale_type="транзит",IFERROR(ROUND(VLOOKUP($B1127,calc_data,I$14+1,0),2),0),0)</f>
        <v/>
      </c>
      <c r="J1127" s="141">
        <f>ROUND(IF(offer_sale_type="транзит",IFERROR(VLOOKUP($B1127,calc_data,J$14+1,0),0),0),2)</f>
        <v/>
      </c>
      <c r="K1127" s="142">
        <f>IF(offer_sale_type="транзит",IFERROR(ROUNDUP(VLOOKUP($B1127,calc_data,K$14+1,0),2),0),0)</f>
        <v/>
      </c>
      <c r="L1127" s="184">
        <f>IF(offer_sale_type="транзит",IFERROR(ROUNDUP(VLOOKUP($B1127,calc_data,L$14+1,0),2),0),0)</f>
        <v/>
      </c>
      <c r="M1127" s="141">
        <f>IF(offer_sale_type="транзит",IFERROR(ROUNDUP(VLOOKUP($B1127,calc_data,M$14+1,0),2),0),0)</f>
        <v/>
      </c>
      <c r="N1127" s="141">
        <f>IF(offer_sale_type="транзит",IFERROR(ROUNDUP(VLOOKUP($B1127,calc_data,N$14+1,0),2),0),0)</f>
        <v/>
      </c>
      <c r="O1127" s="147">
        <f>IF(offer_sale_type="транзит",IFERROR(ROUND(VLOOKUP($B1127,calc_data,O$14+1,1),2),0),0)</f>
        <v/>
      </c>
      <c r="P1127" s="141">
        <f>IF(offer_sale_type="транзит",IFERROR(ROUND(SUM(I1127:J1127,M1127:O1127)/E1127,2),0),0)</f>
        <v/>
      </c>
      <c r="Q1127" s="141">
        <f>E1127*P1127</f>
        <v/>
      </c>
      <c r="R1127" s="141">
        <f>ROUND(Q1127*IF(AND(offer_incoterms="DDP",seller_region="RU"),IF((TODAY()+offer_turnaround_time)&gt;=helpsheet!$L$17,rate_vatRU_from_26,rate_vatRu_till_25),0),2)</f>
        <v/>
      </c>
      <c r="S1127" s="177">
        <f>Q1127+IF(AND(offer_incoterms="DDP",seller_region="RU"),R1127,0)</f>
        <v/>
      </c>
      <c r="T1127" s="45" t="n"/>
      <c r="V1127" s="57">
        <f>IF(Q1127&gt;0,"показать","скрыть")</f>
        <v/>
      </c>
    </row>
    <row r="1128" ht="15.75" customHeight="1">
      <c r="B1128" s="809" t="n">
        <v>1112</v>
      </c>
      <c r="C1128" s="182">
        <f>IF(offer_sale_type="транзит",IFERROR(VLOOKUP($B1128,calc_data,C$14+1,0),0),0)</f>
        <v/>
      </c>
      <c r="D1128" s="280">
        <f>IF(offer_sale_type="транзит",IFERROR(VLOOKUP($B1128,calc_data,D$14+1,0),0),0)</f>
        <v/>
      </c>
      <c r="E1128" s="182">
        <f>IF(offer_sale_type="транзит",IFERROR(VLOOKUP($B1128,calc_data,E$14+1,0),0),0)</f>
        <v/>
      </c>
      <c r="F1128" s="182">
        <f>IF(offer_sale_type="транзит",IFERROR(VLOOKUP($B1128,calc_data,F$14+1,0),0),0)</f>
        <v/>
      </c>
      <c r="G1128" s="141">
        <f>IF(offer_sale_type="транзит",IFERROR(VLOOKUP($B1128,calc_data,G$14+1,0),0),0)</f>
        <v/>
      </c>
      <c r="H1128" s="141">
        <f>E1128*G1128</f>
        <v/>
      </c>
      <c r="I1128" s="141">
        <f>IF(offer_sale_type="транзит",IFERROR(ROUND(VLOOKUP($B1128,calc_data,I$14+1,0),2),0),0)</f>
        <v/>
      </c>
      <c r="J1128" s="141">
        <f>ROUND(IF(offer_sale_type="транзит",IFERROR(VLOOKUP($B1128,calc_data,J$14+1,0),0),0),2)</f>
        <v/>
      </c>
      <c r="K1128" s="142">
        <f>IF(offer_sale_type="транзит",IFERROR(ROUNDUP(VLOOKUP($B1128,calc_data,K$14+1,0),2),0),0)</f>
        <v/>
      </c>
      <c r="L1128" s="184">
        <f>IF(offer_sale_type="транзит",IFERROR(ROUNDUP(VLOOKUP($B1128,calc_data,L$14+1,0),2),0),0)</f>
        <v/>
      </c>
      <c r="M1128" s="141">
        <f>IF(offer_sale_type="транзит",IFERROR(ROUNDUP(VLOOKUP($B1128,calc_data,M$14+1,0),2),0),0)</f>
        <v/>
      </c>
      <c r="N1128" s="141">
        <f>IF(offer_sale_type="транзит",IFERROR(ROUNDUP(VLOOKUP($B1128,calc_data,N$14+1,0),2),0),0)</f>
        <v/>
      </c>
      <c r="O1128" s="147">
        <f>IF(offer_sale_type="транзит",IFERROR(ROUND(VLOOKUP($B1128,calc_data,O$14+1,1),2),0),0)</f>
        <v/>
      </c>
      <c r="P1128" s="141">
        <f>IF(offer_sale_type="транзит",IFERROR(ROUND(SUM(I1128:J1128,M1128:O1128)/E1128,2),0),0)</f>
        <v/>
      </c>
      <c r="Q1128" s="141">
        <f>E1128*P1128</f>
        <v/>
      </c>
      <c r="R1128" s="141">
        <f>ROUND(Q1128*IF(AND(offer_incoterms="DDP",seller_region="RU"),IF((TODAY()+offer_turnaround_time)&gt;=helpsheet!$L$17,rate_vatRU_from_26,rate_vatRu_till_25),0),2)</f>
        <v/>
      </c>
      <c r="S1128" s="177">
        <f>Q1128+IF(AND(offer_incoterms="DDP",seller_region="RU"),R1128,0)</f>
        <v/>
      </c>
      <c r="T1128" s="45" t="n"/>
      <c r="V1128" s="57">
        <f>IF(Q1128&gt;0,"показать","скрыть")</f>
        <v/>
      </c>
    </row>
    <row r="1129" ht="15.75" customHeight="1">
      <c r="B1129" s="809" t="n">
        <v>1113</v>
      </c>
      <c r="C1129" s="182">
        <f>IF(offer_sale_type="транзит",IFERROR(VLOOKUP($B1129,calc_data,C$14+1,0),0),0)</f>
        <v/>
      </c>
      <c r="D1129" s="280">
        <f>IF(offer_sale_type="транзит",IFERROR(VLOOKUP($B1129,calc_data,D$14+1,0),0),0)</f>
        <v/>
      </c>
      <c r="E1129" s="182">
        <f>IF(offer_sale_type="транзит",IFERROR(VLOOKUP($B1129,calc_data,E$14+1,0),0),0)</f>
        <v/>
      </c>
      <c r="F1129" s="182">
        <f>IF(offer_sale_type="транзит",IFERROR(VLOOKUP($B1129,calc_data,F$14+1,0),0),0)</f>
        <v/>
      </c>
      <c r="G1129" s="141">
        <f>IF(offer_sale_type="транзит",IFERROR(VLOOKUP($B1129,calc_data,G$14+1,0),0),0)</f>
        <v/>
      </c>
      <c r="H1129" s="141">
        <f>E1129*G1129</f>
        <v/>
      </c>
      <c r="I1129" s="141">
        <f>IF(offer_sale_type="транзит",IFERROR(ROUND(VLOOKUP($B1129,calc_data,I$14+1,0),2),0),0)</f>
        <v/>
      </c>
      <c r="J1129" s="141">
        <f>ROUND(IF(offer_sale_type="транзит",IFERROR(VLOOKUP($B1129,calc_data,J$14+1,0),0),0),2)</f>
        <v/>
      </c>
      <c r="K1129" s="142">
        <f>IF(offer_sale_type="транзит",IFERROR(ROUNDUP(VLOOKUP($B1129,calc_data,K$14+1,0),2),0),0)</f>
        <v/>
      </c>
      <c r="L1129" s="184">
        <f>IF(offer_sale_type="транзит",IFERROR(ROUNDUP(VLOOKUP($B1129,calc_data,L$14+1,0),2),0),0)</f>
        <v/>
      </c>
      <c r="M1129" s="141">
        <f>IF(offer_sale_type="транзит",IFERROR(ROUNDUP(VLOOKUP($B1129,calc_data,M$14+1,0),2),0),0)</f>
        <v/>
      </c>
      <c r="N1129" s="141">
        <f>IF(offer_sale_type="транзит",IFERROR(ROUNDUP(VLOOKUP($B1129,calc_data,N$14+1,0),2),0),0)</f>
        <v/>
      </c>
      <c r="O1129" s="147">
        <f>IF(offer_sale_type="транзит",IFERROR(ROUND(VLOOKUP($B1129,calc_data,O$14+1,1),2),0),0)</f>
        <v/>
      </c>
      <c r="P1129" s="141">
        <f>IF(offer_sale_type="транзит",IFERROR(ROUND(SUM(I1129:J1129,M1129:O1129)/E1129,2),0),0)</f>
        <v/>
      </c>
      <c r="Q1129" s="141">
        <f>E1129*P1129</f>
        <v/>
      </c>
      <c r="R1129" s="141">
        <f>ROUND(Q1129*IF(AND(offer_incoterms="DDP",seller_region="RU"),IF((TODAY()+offer_turnaround_time)&gt;=helpsheet!$L$17,rate_vatRU_from_26,rate_vatRu_till_25),0),2)</f>
        <v/>
      </c>
      <c r="S1129" s="177">
        <f>Q1129+IF(AND(offer_incoterms="DDP",seller_region="RU"),R1129,0)</f>
        <v/>
      </c>
      <c r="T1129" s="45" t="n"/>
      <c r="V1129" s="57">
        <f>IF(Q1129&gt;0,"показать","скрыть")</f>
        <v/>
      </c>
    </row>
    <row r="1130" ht="15.75" customHeight="1">
      <c r="B1130" s="809" t="n">
        <v>1114</v>
      </c>
      <c r="C1130" s="182">
        <f>IF(offer_sale_type="транзит",IFERROR(VLOOKUP($B1130,calc_data,C$14+1,0),0),0)</f>
        <v/>
      </c>
      <c r="D1130" s="280">
        <f>IF(offer_sale_type="транзит",IFERROR(VLOOKUP($B1130,calc_data,D$14+1,0),0),0)</f>
        <v/>
      </c>
      <c r="E1130" s="182">
        <f>IF(offer_sale_type="транзит",IFERROR(VLOOKUP($B1130,calc_data,E$14+1,0),0),0)</f>
        <v/>
      </c>
      <c r="F1130" s="182">
        <f>IF(offer_sale_type="транзит",IFERROR(VLOOKUP($B1130,calc_data,F$14+1,0),0),0)</f>
        <v/>
      </c>
      <c r="G1130" s="141">
        <f>IF(offer_sale_type="транзит",IFERROR(VLOOKUP($B1130,calc_data,G$14+1,0),0),0)</f>
        <v/>
      </c>
      <c r="H1130" s="141">
        <f>E1130*G1130</f>
        <v/>
      </c>
      <c r="I1130" s="141">
        <f>IF(offer_sale_type="транзит",IFERROR(ROUND(VLOOKUP($B1130,calc_data,I$14+1,0),2),0),0)</f>
        <v/>
      </c>
      <c r="J1130" s="141">
        <f>ROUND(IF(offer_sale_type="транзит",IFERROR(VLOOKUP($B1130,calc_data,J$14+1,0),0),0),2)</f>
        <v/>
      </c>
      <c r="K1130" s="142">
        <f>IF(offer_sale_type="транзит",IFERROR(ROUNDUP(VLOOKUP($B1130,calc_data,K$14+1,0),2),0),0)</f>
        <v/>
      </c>
      <c r="L1130" s="184">
        <f>IF(offer_sale_type="транзит",IFERROR(ROUNDUP(VLOOKUP($B1130,calc_data,L$14+1,0),2),0),0)</f>
        <v/>
      </c>
      <c r="M1130" s="141">
        <f>IF(offer_sale_type="транзит",IFERROR(ROUNDUP(VLOOKUP($B1130,calc_data,M$14+1,0),2),0),0)</f>
        <v/>
      </c>
      <c r="N1130" s="141">
        <f>IF(offer_sale_type="транзит",IFERROR(ROUNDUP(VLOOKUP($B1130,calc_data,N$14+1,0),2),0),0)</f>
        <v/>
      </c>
      <c r="O1130" s="147">
        <f>IF(offer_sale_type="транзит",IFERROR(ROUND(VLOOKUP($B1130,calc_data,O$14+1,1),2),0),0)</f>
        <v/>
      </c>
      <c r="P1130" s="141">
        <f>IF(offer_sale_type="транзит",IFERROR(ROUND(SUM(I1130:J1130,M1130:O1130)/E1130,2),0),0)</f>
        <v/>
      </c>
      <c r="Q1130" s="141">
        <f>E1130*P1130</f>
        <v/>
      </c>
      <c r="R1130" s="141">
        <f>ROUND(Q1130*IF(AND(offer_incoterms="DDP",seller_region="RU"),IF((TODAY()+offer_turnaround_time)&gt;=helpsheet!$L$17,rate_vatRU_from_26,rate_vatRu_till_25),0),2)</f>
        <v/>
      </c>
      <c r="S1130" s="177">
        <f>Q1130+IF(AND(offer_incoterms="DDP",seller_region="RU"),R1130,0)</f>
        <v/>
      </c>
      <c r="T1130" s="45" t="n"/>
      <c r="V1130" s="57">
        <f>IF(Q1130&gt;0,"показать","скрыть")</f>
        <v/>
      </c>
    </row>
    <row r="1131" ht="15.75" customHeight="1">
      <c r="B1131" s="809" t="n">
        <v>1115</v>
      </c>
      <c r="C1131" s="182">
        <f>IF(offer_sale_type="транзит",IFERROR(VLOOKUP($B1131,calc_data,C$14+1,0),0),0)</f>
        <v/>
      </c>
      <c r="D1131" s="280">
        <f>IF(offer_sale_type="транзит",IFERROR(VLOOKUP($B1131,calc_data,D$14+1,0),0),0)</f>
        <v/>
      </c>
      <c r="E1131" s="182">
        <f>IF(offer_sale_type="транзит",IFERROR(VLOOKUP($B1131,calc_data,E$14+1,0),0),0)</f>
        <v/>
      </c>
      <c r="F1131" s="182">
        <f>IF(offer_sale_type="транзит",IFERROR(VLOOKUP($B1131,calc_data,F$14+1,0),0),0)</f>
        <v/>
      </c>
      <c r="G1131" s="141">
        <f>IF(offer_sale_type="транзит",IFERROR(VLOOKUP($B1131,calc_data,G$14+1,0),0),0)</f>
        <v/>
      </c>
      <c r="H1131" s="141">
        <f>E1131*G1131</f>
        <v/>
      </c>
      <c r="I1131" s="141">
        <f>IF(offer_sale_type="транзит",IFERROR(ROUND(VLOOKUP($B1131,calc_data,I$14+1,0),2),0),0)</f>
        <v/>
      </c>
      <c r="J1131" s="141">
        <f>ROUND(IF(offer_sale_type="транзит",IFERROR(VLOOKUP($B1131,calc_data,J$14+1,0),0),0),2)</f>
        <v/>
      </c>
      <c r="K1131" s="142">
        <f>IF(offer_sale_type="транзит",IFERROR(ROUNDUP(VLOOKUP($B1131,calc_data,K$14+1,0),2),0),0)</f>
        <v/>
      </c>
      <c r="L1131" s="184">
        <f>IF(offer_sale_type="транзит",IFERROR(ROUNDUP(VLOOKUP($B1131,calc_data,L$14+1,0),2),0),0)</f>
        <v/>
      </c>
      <c r="M1131" s="141">
        <f>IF(offer_sale_type="транзит",IFERROR(ROUNDUP(VLOOKUP($B1131,calc_data,M$14+1,0),2),0),0)</f>
        <v/>
      </c>
      <c r="N1131" s="141">
        <f>IF(offer_sale_type="транзит",IFERROR(ROUNDUP(VLOOKUP($B1131,calc_data,N$14+1,0),2),0),0)</f>
        <v/>
      </c>
      <c r="O1131" s="147">
        <f>IF(offer_sale_type="транзит",IFERROR(ROUND(VLOOKUP($B1131,calc_data,O$14+1,1),2),0),0)</f>
        <v/>
      </c>
      <c r="P1131" s="141">
        <f>IF(offer_sale_type="транзит",IFERROR(ROUND(SUM(I1131:J1131,M1131:O1131)/E1131,2),0),0)</f>
        <v/>
      </c>
      <c r="Q1131" s="141">
        <f>E1131*P1131</f>
        <v/>
      </c>
      <c r="R1131" s="141">
        <f>ROUND(Q1131*IF(AND(offer_incoterms="DDP",seller_region="RU"),IF((TODAY()+offer_turnaround_time)&gt;=helpsheet!$L$17,rate_vatRU_from_26,rate_vatRu_till_25),0),2)</f>
        <v/>
      </c>
      <c r="S1131" s="177">
        <f>Q1131+IF(AND(offer_incoterms="DDP",seller_region="RU"),R1131,0)</f>
        <v/>
      </c>
      <c r="T1131" s="45" t="n"/>
      <c r="V1131" s="57">
        <f>IF(Q1131&gt;0,"показать","скрыть")</f>
        <v/>
      </c>
    </row>
    <row r="1132" ht="15.75" customHeight="1">
      <c r="B1132" s="809" t="n">
        <v>1116</v>
      </c>
      <c r="C1132" s="182">
        <f>IF(offer_sale_type="транзит",IFERROR(VLOOKUP($B1132,calc_data,C$14+1,0),0),0)</f>
        <v/>
      </c>
      <c r="D1132" s="280">
        <f>IF(offer_sale_type="транзит",IFERROR(VLOOKUP($B1132,calc_data,D$14+1,0),0),0)</f>
        <v/>
      </c>
      <c r="E1132" s="182">
        <f>IF(offer_sale_type="транзит",IFERROR(VLOOKUP($B1132,calc_data,E$14+1,0),0),0)</f>
        <v/>
      </c>
      <c r="F1132" s="182">
        <f>IF(offer_sale_type="транзит",IFERROR(VLOOKUP($B1132,calc_data,F$14+1,0),0),0)</f>
        <v/>
      </c>
      <c r="G1132" s="141">
        <f>IF(offer_sale_type="транзит",IFERROR(VLOOKUP($B1132,calc_data,G$14+1,0),0),0)</f>
        <v/>
      </c>
      <c r="H1132" s="141">
        <f>E1132*G1132</f>
        <v/>
      </c>
      <c r="I1132" s="141">
        <f>IF(offer_sale_type="транзит",IFERROR(ROUND(VLOOKUP($B1132,calc_data,I$14+1,0),2),0),0)</f>
        <v/>
      </c>
      <c r="J1132" s="141">
        <f>ROUND(IF(offer_sale_type="транзит",IFERROR(VLOOKUP($B1132,calc_data,J$14+1,0),0),0),2)</f>
        <v/>
      </c>
      <c r="K1132" s="142">
        <f>IF(offer_sale_type="транзит",IFERROR(ROUNDUP(VLOOKUP($B1132,calc_data,K$14+1,0),2),0),0)</f>
        <v/>
      </c>
      <c r="L1132" s="184">
        <f>IF(offer_sale_type="транзит",IFERROR(ROUNDUP(VLOOKUP($B1132,calc_data,L$14+1,0),2),0),0)</f>
        <v/>
      </c>
      <c r="M1132" s="141">
        <f>IF(offer_sale_type="транзит",IFERROR(ROUNDUP(VLOOKUP($B1132,calc_data,M$14+1,0),2),0),0)</f>
        <v/>
      </c>
      <c r="N1132" s="141">
        <f>IF(offer_sale_type="транзит",IFERROR(ROUNDUP(VLOOKUP($B1132,calc_data,N$14+1,0),2),0),0)</f>
        <v/>
      </c>
      <c r="O1132" s="147">
        <f>IF(offer_sale_type="транзит",IFERROR(ROUND(VLOOKUP($B1132,calc_data,O$14+1,1),2),0),0)</f>
        <v/>
      </c>
      <c r="P1132" s="141">
        <f>IF(offer_sale_type="транзит",IFERROR(ROUND(SUM(I1132:J1132,M1132:O1132)/E1132,2),0),0)</f>
        <v/>
      </c>
      <c r="Q1132" s="141">
        <f>E1132*P1132</f>
        <v/>
      </c>
      <c r="R1132" s="141">
        <f>ROUND(Q1132*IF(AND(offer_incoterms="DDP",seller_region="RU"),IF((TODAY()+offer_turnaround_time)&gt;=helpsheet!$L$17,rate_vatRU_from_26,rate_vatRu_till_25),0),2)</f>
        <v/>
      </c>
      <c r="S1132" s="177">
        <f>Q1132+IF(AND(offer_incoterms="DDP",seller_region="RU"),R1132,0)</f>
        <v/>
      </c>
      <c r="T1132" s="45" t="n"/>
      <c r="V1132" s="57">
        <f>IF(Q1132&gt;0,"показать","скрыть")</f>
        <v/>
      </c>
    </row>
    <row r="1133" ht="15.75" customHeight="1">
      <c r="B1133" s="809" t="n">
        <v>1117</v>
      </c>
      <c r="C1133" s="182">
        <f>IF(offer_sale_type="транзит",IFERROR(VLOOKUP($B1133,calc_data,C$14+1,0),0),0)</f>
        <v/>
      </c>
      <c r="D1133" s="280">
        <f>IF(offer_sale_type="транзит",IFERROR(VLOOKUP($B1133,calc_data,D$14+1,0),0),0)</f>
        <v/>
      </c>
      <c r="E1133" s="182">
        <f>IF(offer_sale_type="транзит",IFERROR(VLOOKUP($B1133,calc_data,E$14+1,0),0),0)</f>
        <v/>
      </c>
      <c r="F1133" s="182">
        <f>IF(offer_sale_type="транзит",IFERROR(VLOOKUP($B1133,calc_data,F$14+1,0),0),0)</f>
        <v/>
      </c>
      <c r="G1133" s="141">
        <f>IF(offer_sale_type="транзит",IFERROR(VLOOKUP($B1133,calc_data,G$14+1,0),0),0)</f>
        <v/>
      </c>
      <c r="H1133" s="141">
        <f>E1133*G1133</f>
        <v/>
      </c>
      <c r="I1133" s="141">
        <f>IF(offer_sale_type="транзит",IFERROR(ROUND(VLOOKUP($B1133,calc_data,I$14+1,0),2),0),0)</f>
        <v/>
      </c>
      <c r="J1133" s="141">
        <f>ROUND(IF(offer_sale_type="транзит",IFERROR(VLOOKUP($B1133,calc_data,J$14+1,0),0),0),2)</f>
        <v/>
      </c>
      <c r="K1133" s="142">
        <f>IF(offer_sale_type="транзит",IFERROR(ROUNDUP(VLOOKUP($B1133,calc_data,K$14+1,0),2),0),0)</f>
        <v/>
      </c>
      <c r="L1133" s="184">
        <f>IF(offer_sale_type="транзит",IFERROR(ROUNDUP(VLOOKUP($B1133,calc_data,L$14+1,0),2),0),0)</f>
        <v/>
      </c>
      <c r="M1133" s="141">
        <f>IF(offer_sale_type="транзит",IFERROR(ROUNDUP(VLOOKUP($B1133,calc_data,M$14+1,0),2),0),0)</f>
        <v/>
      </c>
      <c r="N1133" s="141">
        <f>IF(offer_sale_type="транзит",IFERROR(ROUNDUP(VLOOKUP($B1133,calc_data,N$14+1,0),2),0),0)</f>
        <v/>
      </c>
      <c r="O1133" s="147">
        <f>IF(offer_sale_type="транзит",IFERROR(ROUND(VLOOKUP($B1133,calc_data,O$14+1,1),2),0),0)</f>
        <v/>
      </c>
      <c r="P1133" s="141">
        <f>IF(offer_sale_type="транзит",IFERROR(ROUND(SUM(I1133:J1133,M1133:O1133)/E1133,2),0),0)</f>
        <v/>
      </c>
      <c r="Q1133" s="141">
        <f>E1133*P1133</f>
        <v/>
      </c>
      <c r="R1133" s="141">
        <f>ROUND(Q1133*IF(AND(offer_incoterms="DDP",seller_region="RU"),IF((TODAY()+offer_turnaround_time)&gt;=helpsheet!$L$17,rate_vatRU_from_26,rate_vatRu_till_25),0),2)</f>
        <v/>
      </c>
      <c r="S1133" s="177">
        <f>Q1133+IF(AND(offer_incoterms="DDP",seller_region="RU"),R1133,0)</f>
        <v/>
      </c>
      <c r="T1133" s="45" t="n"/>
      <c r="V1133" s="57">
        <f>IF(Q1133&gt;0,"показать","скрыть")</f>
        <v/>
      </c>
    </row>
    <row r="1134" ht="15.75" customHeight="1">
      <c r="B1134" s="809" t="n">
        <v>1118</v>
      </c>
      <c r="C1134" s="182">
        <f>IF(offer_sale_type="транзит",IFERROR(VLOOKUP($B1134,calc_data,C$14+1,0),0),0)</f>
        <v/>
      </c>
      <c r="D1134" s="280">
        <f>IF(offer_sale_type="транзит",IFERROR(VLOOKUP($B1134,calc_data,D$14+1,0),0),0)</f>
        <v/>
      </c>
      <c r="E1134" s="182">
        <f>IF(offer_sale_type="транзит",IFERROR(VLOOKUP($B1134,calc_data,E$14+1,0),0),0)</f>
        <v/>
      </c>
      <c r="F1134" s="182">
        <f>IF(offer_sale_type="транзит",IFERROR(VLOOKUP($B1134,calc_data,F$14+1,0),0),0)</f>
        <v/>
      </c>
      <c r="G1134" s="141">
        <f>IF(offer_sale_type="транзит",IFERROR(VLOOKUP($B1134,calc_data,G$14+1,0),0),0)</f>
        <v/>
      </c>
      <c r="H1134" s="141">
        <f>E1134*G1134</f>
        <v/>
      </c>
      <c r="I1134" s="141">
        <f>IF(offer_sale_type="транзит",IFERROR(ROUND(VLOOKUP($B1134,calc_data,I$14+1,0),2),0),0)</f>
        <v/>
      </c>
      <c r="J1134" s="141">
        <f>ROUND(IF(offer_sale_type="транзит",IFERROR(VLOOKUP($B1134,calc_data,J$14+1,0),0),0),2)</f>
        <v/>
      </c>
      <c r="K1134" s="142">
        <f>IF(offer_sale_type="транзит",IFERROR(ROUNDUP(VLOOKUP($B1134,calc_data,K$14+1,0),2),0),0)</f>
        <v/>
      </c>
      <c r="L1134" s="184">
        <f>IF(offer_sale_type="транзит",IFERROR(ROUNDUP(VLOOKUP($B1134,calc_data,L$14+1,0),2),0),0)</f>
        <v/>
      </c>
      <c r="M1134" s="141">
        <f>IF(offer_sale_type="транзит",IFERROR(ROUNDUP(VLOOKUP($B1134,calc_data,M$14+1,0),2),0),0)</f>
        <v/>
      </c>
      <c r="N1134" s="141">
        <f>IF(offer_sale_type="транзит",IFERROR(ROUNDUP(VLOOKUP($B1134,calc_data,N$14+1,0),2),0),0)</f>
        <v/>
      </c>
      <c r="O1134" s="147">
        <f>IF(offer_sale_type="транзит",IFERROR(ROUND(VLOOKUP($B1134,calc_data,O$14+1,1),2),0),0)</f>
        <v/>
      </c>
      <c r="P1134" s="141">
        <f>IF(offer_sale_type="транзит",IFERROR(ROUND(SUM(I1134:J1134,M1134:O1134)/E1134,2),0),0)</f>
        <v/>
      </c>
      <c r="Q1134" s="141">
        <f>E1134*P1134</f>
        <v/>
      </c>
      <c r="R1134" s="141">
        <f>ROUND(Q1134*IF(AND(offer_incoterms="DDP",seller_region="RU"),IF((TODAY()+offer_turnaround_time)&gt;=helpsheet!$L$17,rate_vatRU_from_26,rate_vatRu_till_25),0),2)</f>
        <v/>
      </c>
      <c r="S1134" s="177">
        <f>Q1134+IF(AND(offer_incoterms="DDP",seller_region="RU"),R1134,0)</f>
        <v/>
      </c>
      <c r="T1134" s="45" t="n"/>
      <c r="V1134" s="57">
        <f>IF(Q1134&gt;0,"показать","скрыть")</f>
        <v/>
      </c>
    </row>
    <row r="1135" ht="15.75" customHeight="1">
      <c r="B1135" s="809" t="n">
        <v>1119</v>
      </c>
      <c r="C1135" s="182">
        <f>IF(offer_sale_type="транзит",IFERROR(VLOOKUP($B1135,calc_data,C$14+1,0),0),0)</f>
        <v/>
      </c>
      <c r="D1135" s="280">
        <f>IF(offer_sale_type="транзит",IFERROR(VLOOKUP($B1135,calc_data,D$14+1,0),0),0)</f>
        <v/>
      </c>
      <c r="E1135" s="182">
        <f>IF(offer_sale_type="транзит",IFERROR(VLOOKUP($B1135,calc_data,E$14+1,0),0),0)</f>
        <v/>
      </c>
      <c r="F1135" s="182">
        <f>IF(offer_sale_type="транзит",IFERROR(VLOOKUP($B1135,calc_data,F$14+1,0),0),0)</f>
        <v/>
      </c>
      <c r="G1135" s="141">
        <f>IF(offer_sale_type="транзит",IFERROR(VLOOKUP($B1135,calc_data,G$14+1,0),0),0)</f>
        <v/>
      </c>
      <c r="H1135" s="141">
        <f>E1135*G1135</f>
        <v/>
      </c>
      <c r="I1135" s="141">
        <f>IF(offer_sale_type="транзит",IFERROR(ROUND(VLOOKUP($B1135,calc_data,I$14+1,0),2),0),0)</f>
        <v/>
      </c>
      <c r="J1135" s="141">
        <f>ROUND(IF(offer_sale_type="транзит",IFERROR(VLOOKUP($B1135,calc_data,J$14+1,0),0),0),2)</f>
        <v/>
      </c>
      <c r="K1135" s="142">
        <f>IF(offer_sale_type="транзит",IFERROR(ROUNDUP(VLOOKUP($B1135,calc_data,K$14+1,0),2),0),0)</f>
        <v/>
      </c>
      <c r="L1135" s="184">
        <f>IF(offer_sale_type="транзит",IFERROR(ROUNDUP(VLOOKUP($B1135,calc_data,L$14+1,0),2),0),0)</f>
        <v/>
      </c>
      <c r="M1135" s="141">
        <f>IF(offer_sale_type="транзит",IFERROR(ROUNDUP(VLOOKUP($B1135,calc_data,M$14+1,0),2),0),0)</f>
        <v/>
      </c>
      <c r="N1135" s="141">
        <f>IF(offer_sale_type="транзит",IFERROR(ROUNDUP(VLOOKUP($B1135,calc_data,N$14+1,0),2),0),0)</f>
        <v/>
      </c>
      <c r="O1135" s="147">
        <f>IF(offer_sale_type="транзит",IFERROR(ROUND(VLOOKUP($B1135,calc_data,O$14+1,1),2),0),0)</f>
        <v/>
      </c>
      <c r="P1135" s="141">
        <f>IF(offer_sale_type="транзит",IFERROR(ROUND(SUM(I1135:J1135,M1135:O1135)/E1135,2),0),0)</f>
        <v/>
      </c>
      <c r="Q1135" s="141">
        <f>E1135*P1135</f>
        <v/>
      </c>
      <c r="R1135" s="141">
        <f>ROUND(Q1135*IF(AND(offer_incoterms="DDP",seller_region="RU"),IF((TODAY()+offer_turnaround_time)&gt;=helpsheet!$L$17,rate_vatRU_from_26,rate_vatRu_till_25),0),2)</f>
        <v/>
      </c>
      <c r="S1135" s="177">
        <f>Q1135+IF(AND(offer_incoterms="DDP",seller_region="RU"),R1135,0)</f>
        <v/>
      </c>
      <c r="T1135" s="45" t="n"/>
      <c r="V1135" s="57">
        <f>IF(Q1135&gt;0,"показать","скрыть")</f>
        <v/>
      </c>
    </row>
    <row r="1136" ht="15.75" customHeight="1">
      <c r="B1136" s="809" t="n">
        <v>1120</v>
      </c>
      <c r="C1136" s="182">
        <f>IF(offer_sale_type="транзит",IFERROR(VLOOKUP($B1136,calc_data,C$14+1,0),0),0)</f>
        <v/>
      </c>
      <c r="D1136" s="280">
        <f>IF(offer_sale_type="транзит",IFERROR(VLOOKUP($B1136,calc_data,D$14+1,0),0),0)</f>
        <v/>
      </c>
      <c r="E1136" s="182">
        <f>IF(offer_sale_type="транзит",IFERROR(VLOOKUP($B1136,calc_data,E$14+1,0),0),0)</f>
        <v/>
      </c>
      <c r="F1136" s="182">
        <f>IF(offer_sale_type="транзит",IFERROR(VLOOKUP($B1136,calc_data,F$14+1,0),0),0)</f>
        <v/>
      </c>
      <c r="G1136" s="141">
        <f>IF(offer_sale_type="транзит",IFERROR(VLOOKUP($B1136,calc_data,G$14+1,0),0),0)</f>
        <v/>
      </c>
      <c r="H1136" s="141">
        <f>E1136*G1136</f>
        <v/>
      </c>
      <c r="I1136" s="141">
        <f>IF(offer_sale_type="транзит",IFERROR(ROUND(VLOOKUP($B1136,calc_data,I$14+1,0),2),0),0)</f>
        <v/>
      </c>
      <c r="J1136" s="141">
        <f>ROUND(IF(offer_sale_type="транзит",IFERROR(VLOOKUP($B1136,calc_data,J$14+1,0),0),0),2)</f>
        <v/>
      </c>
      <c r="K1136" s="142">
        <f>IF(offer_sale_type="транзит",IFERROR(ROUNDUP(VLOOKUP($B1136,calc_data,K$14+1,0),2),0),0)</f>
        <v/>
      </c>
      <c r="L1136" s="184">
        <f>IF(offer_sale_type="транзит",IFERROR(ROUNDUP(VLOOKUP($B1136,calc_data,L$14+1,0),2),0),0)</f>
        <v/>
      </c>
      <c r="M1136" s="141">
        <f>IF(offer_sale_type="транзит",IFERROR(ROUNDUP(VLOOKUP($B1136,calc_data,M$14+1,0),2),0),0)</f>
        <v/>
      </c>
      <c r="N1136" s="141">
        <f>IF(offer_sale_type="транзит",IFERROR(ROUNDUP(VLOOKUP($B1136,calc_data,N$14+1,0),2),0),0)</f>
        <v/>
      </c>
      <c r="O1136" s="147">
        <f>IF(offer_sale_type="транзит",IFERROR(ROUND(VLOOKUP($B1136,calc_data,O$14+1,1),2),0),0)</f>
        <v/>
      </c>
      <c r="P1136" s="141">
        <f>IF(offer_sale_type="транзит",IFERROR(ROUND(SUM(I1136:J1136,M1136:O1136)/E1136,2),0),0)</f>
        <v/>
      </c>
      <c r="Q1136" s="141">
        <f>E1136*P1136</f>
        <v/>
      </c>
      <c r="R1136" s="141">
        <f>ROUND(Q1136*IF(AND(offer_incoterms="DDP",seller_region="RU"),IF((TODAY()+offer_turnaround_time)&gt;=helpsheet!$L$17,rate_vatRU_from_26,rate_vatRu_till_25),0),2)</f>
        <v/>
      </c>
      <c r="S1136" s="177">
        <f>Q1136+IF(AND(offer_incoterms="DDP",seller_region="RU"),R1136,0)</f>
        <v/>
      </c>
      <c r="T1136" s="45" t="n"/>
      <c r="V1136" s="57">
        <f>IF(Q1136&gt;0,"показать","скрыть")</f>
        <v/>
      </c>
    </row>
    <row r="1137" ht="15.75" customHeight="1">
      <c r="B1137" s="809" t="n">
        <v>1121</v>
      </c>
      <c r="C1137" s="182">
        <f>IF(offer_sale_type="транзит",IFERROR(VLOOKUP($B1137,calc_data,C$14+1,0),0),0)</f>
        <v/>
      </c>
      <c r="D1137" s="280">
        <f>IF(offer_sale_type="транзит",IFERROR(VLOOKUP($B1137,calc_data,D$14+1,0),0),0)</f>
        <v/>
      </c>
      <c r="E1137" s="182">
        <f>IF(offer_sale_type="транзит",IFERROR(VLOOKUP($B1137,calc_data,E$14+1,0),0),0)</f>
        <v/>
      </c>
      <c r="F1137" s="182">
        <f>IF(offer_sale_type="транзит",IFERROR(VLOOKUP($B1137,calc_data,F$14+1,0),0),0)</f>
        <v/>
      </c>
      <c r="G1137" s="141">
        <f>IF(offer_sale_type="транзит",IFERROR(VLOOKUP($B1137,calc_data,G$14+1,0),0),0)</f>
        <v/>
      </c>
      <c r="H1137" s="141">
        <f>E1137*G1137</f>
        <v/>
      </c>
      <c r="I1137" s="141">
        <f>IF(offer_sale_type="транзит",IFERROR(ROUND(VLOOKUP($B1137,calc_data,I$14+1,0),2),0),0)</f>
        <v/>
      </c>
      <c r="J1137" s="141">
        <f>ROUND(IF(offer_sale_type="транзит",IFERROR(VLOOKUP($B1137,calc_data,J$14+1,0),0),0),2)</f>
        <v/>
      </c>
      <c r="K1137" s="142">
        <f>IF(offer_sale_type="транзит",IFERROR(ROUNDUP(VLOOKUP($B1137,calc_data,K$14+1,0),2),0),0)</f>
        <v/>
      </c>
      <c r="L1137" s="184">
        <f>IF(offer_sale_type="транзит",IFERROR(ROUNDUP(VLOOKUP($B1137,calc_data,L$14+1,0),2),0),0)</f>
        <v/>
      </c>
      <c r="M1137" s="141">
        <f>IF(offer_sale_type="транзит",IFERROR(ROUNDUP(VLOOKUP($B1137,calc_data,M$14+1,0),2),0),0)</f>
        <v/>
      </c>
      <c r="N1137" s="141">
        <f>IF(offer_sale_type="транзит",IFERROR(ROUNDUP(VLOOKUP($B1137,calc_data,N$14+1,0),2),0),0)</f>
        <v/>
      </c>
      <c r="O1137" s="147">
        <f>IF(offer_sale_type="транзит",IFERROR(ROUND(VLOOKUP($B1137,calc_data,O$14+1,1),2),0),0)</f>
        <v/>
      </c>
      <c r="P1137" s="141">
        <f>IF(offer_sale_type="транзит",IFERROR(ROUND(SUM(I1137:J1137,M1137:O1137)/E1137,2),0),0)</f>
        <v/>
      </c>
      <c r="Q1137" s="141">
        <f>E1137*P1137</f>
        <v/>
      </c>
      <c r="R1137" s="141">
        <f>ROUND(Q1137*IF(AND(offer_incoterms="DDP",seller_region="RU"),IF((TODAY()+offer_turnaround_time)&gt;=helpsheet!$L$17,rate_vatRU_from_26,rate_vatRu_till_25),0),2)</f>
        <v/>
      </c>
      <c r="S1137" s="177">
        <f>Q1137+IF(AND(offer_incoterms="DDP",seller_region="RU"),R1137,0)</f>
        <v/>
      </c>
      <c r="T1137" s="45" t="n"/>
      <c r="V1137" s="57">
        <f>IF(Q1137&gt;0,"показать","скрыть")</f>
        <v/>
      </c>
    </row>
    <row r="1138" ht="15.75" customHeight="1">
      <c r="B1138" s="809" t="n">
        <v>1122</v>
      </c>
      <c r="C1138" s="182">
        <f>IF(offer_sale_type="транзит",IFERROR(VLOOKUP($B1138,calc_data,C$14+1,0),0),0)</f>
        <v/>
      </c>
      <c r="D1138" s="280">
        <f>IF(offer_sale_type="транзит",IFERROR(VLOOKUP($B1138,calc_data,D$14+1,0),0),0)</f>
        <v/>
      </c>
      <c r="E1138" s="182">
        <f>IF(offer_sale_type="транзит",IFERROR(VLOOKUP($B1138,calc_data,E$14+1,0),0),0)</f>
        <v/>
      </c>
      <c r="F1138" s="182">
        <f>IF(offer_sale_type="транзит",IFERROR(VLOOKUP($B1138,calc_data,F$14+1,0),0),0)</f>
        <v/>
      </c>
      <c r="G1138" s="141">
        <f>IF(offer_sale_type="транзит",IFERROR(VLOOKUP($B1138,calc_data,G$14+1,0),0),0)</f>
        <v/>
      </c>
      <c r="H1138" s="141">
        <f>E1138*G1138</f>
        <v/>
      </c>
      <c r="I1138" s="141">
        <f>IF(offer_sale_type="транзит",IFERROR(ROUND(VLOOKUP($B1138,calc_data,I$14+1,0),2),0),0)</f>
        <v/>
      </c>
      <c r="J1138" s="141">
        <f>ROUND(IF(offer_sale_type="транзит",IFERROR(VLOOKUP($B1138,calc_data,J$14+1,0),0),0),2)</f>
        <v/>
      </c>
      <c r="K1138" s="142">
        <f>IF(offer_sale_type="транзит",IFERROR(ROUNDUP(VLOOKUP($B1138,calc_data,K$14+1,0),2),0),0)</f>
        <v/>
      </c>
      <c r="L1138" s="184">
        <f>IF(offer_sale_type="транзит",IFERROR(ROUNDUP(VLOOKUP($B1138,calc_data,L$14+1,0),2),0),0)</f>
        <v/>
      </c>
      <c r="M1138" s="141">
        <f>IF(offer_sale_type="транзит",IFERROR(ROUNDUP(VLOOKUP($B1138,calc_data,M$14+1,0),2),0),0)</f>
        <v/>
      </c>
      <c r="N1138" s="141">
        <f>IF(offer_sale_type="транзит",IFERROR(ROUNDUP(VLOOKUP($B1138,calc_data,N$14+1,0),2),0),0)</f>
        <v/>
      </c>
      <c r="O1138" s="147">
        <f>IF(offer_sale_type="транзит",IFERROR(ROUND(VLOOKUP($B1138,calc_data,O$14+1,1),2),0),0)</f>
        <v/>
      </c>
      <c r="P1138" s="141">
        <f>IF(offer_sale_type="транзит",IFERROR(ROUND(SUM(I1138:J1138,M1138:O1138)/E1138,2),0),0)</f>
        <v/>
      </c>
      <c r="Q1138" s="141">
        <f>E1138*P1138</f>
        <v/>
      </c>
      <c r="R1138" s="141">
        <f>ROUND(Q1138*IF(AND(offer_incoterms="DDP",seller_region="RU"),IF((TODAY()+offer_turnaround_time)&gt;=helpsheet!$L$17,rate_vatRU_from_26,rate_vatRu_till_25),0),2)</f>
        <v/>
      </c>
      <c r="S1138" s="177">
        <f>Q1138+IF(AND(offer_incoterms="DDP",seller_region="RU"),R1138,0)</f>
        <v/>
      </c>
      <c r="T1138" s="45" t="n"/>
      <c r="V1138" s="57">
        <f>IF(Q1138&gt;0,"показать","скрыть")</f>
        <v/>
      </c>
    </row>
    <row r="1139" ht="15.75" customHeight="1">
      <c r="B1139" s="809" t="n">
        <v>1123</v>
      </c>
      <c r="C1139" s="182">
        <f>IF(offer_sale_type="транзит",IFERROR(VLOOKUP($B1139,calc_data,C$14+1,0),0),0)</f>
        <v/>
      </c>
      <c r="D1139" s="280">
        <f>IF(offer_sale_type="транзит",IFERROR(VLOOKUP($B1139,calc_data,D$14+1,0),0),0)</f>
        <v/>
      </c>
      <c r="E1139" s="182">
        <f>IF(offer_sale_type="транзит",IFERROR(VLOOKUP($B1139,calc_data,E$14+1,0),0),0)</f>
        <v/>
      </c>
      <c r="F1139" s="182">
        <f>IF(offer_sale_type="транзит",IFERROR(VLOOKUP($B1139,calc_data,F$14+1,0),0),0)</f>
        <v/>
      </c>
      <c r="G1139" s="141">
        <f>IF(offer_sale_type="транзит",IFERROR(VLOOKUP($B1139,calc_data,G$14+1,0),0),0)</f>
        <v/>
      </c>
      <c r="H1139" s="141">
        <f>E1139*G1139</f>
        <v/>
      </c>
      <c r="I1139" s="141">
        <f>IF(offer_sale_type="транзит",IFERROR(ROUND(VLOOKUP($B1139,calc_data,I$14+1,0),2),0),0)</f>
        <v/>
      </c>
      <c r="J1139" s="141">
        <f>ROUND(IF(offer_sale_type="транзит",IFERROR(VLOOKUP($B1139,calc_data,J$14+1,0),0),0),2)</f>
        <v/>
      </c>
      <c r="K1139" s="142">
        <f>IF(offer_sale_type="транзит",IFERROR(ROUNDUP(VLOOKUP($B1139,calc_data,K$14+1,0),2),0),0)</f>
        <v/>
      </c>
      <c r="L1139" s="184">
        <f>IF(offer_sale_type="транзит",IFERROR(ROUNDUP(VLOOKUP($B1139,calc_data,L$14+1,0),2),0),0)</f>
        <v/>
      </c>
      <c r="M1139" s="141">
        <f>IF(offer_sale_type="транзит",IFERROR(ROUNDUP(VLOOKUP($B1139,calc_data,M$14+1,0),2),0),0)</f>
        <v/>
      </c>
      <c r="N1139" s="141">
        <f>IF(offer_sale_type="транзит",IFERROR(ROUNDUP(VLOOKUP($B1139,calc_data,N$14+1,0),2),0),0)</f>
        <v/>
      </c>
      <c r="O1139" s="147">
        <f>IF(offer_sale_type="транзит",IFERROR(ROUND(VLOOKUP($B1139,calc_data,O$14+1,1),2),0),0)</f>
        <v/>
      </c>
      <c r="P1139" s="141">
        <f>IF(offer_sale_type="транзит",IFERROR(ROUND(SUM(I1139:J1139,M1139:O1139)/E1139,2),0),0)</f>
        <v/>
      </c>
      <c r="Q1139" s="141">
        <f>E1139*P1139</f>
        <v/>
      </c>
      <c r="R1139" s="141">
        <f>ROUND(Q1139*IF(AND(offer_incoterms="DDP",seller_region="RU"),IF((TODAY()+offer_turnaround_time)&gt;=helpsheet!$L$17,rate_vatRU_from_26,rate_vatRu_till_25),0),2)</f>
        <v/>
      </c>
      <c r="S1139" s="177">
        <f>Q1139+IF(AND(offer_incoterms="DDP",seller_region="RU"),R1139,0)</f>
        <v/>
      </c>
      <c r="T1139" s="45" t="n"/>
      <c r="V1139" s="57">
        <f>IF(Q1139&gt;0,"показать","скрыть")</f>
        <v/>
      </c>
    </row>
    <row r="1140" ht="15.75" customHeight="1">
      <c r="B1140" s="809" t="n">
        <v>1124</v>
      </c>
      <c r="C1140" s="182">
        <f>IF(offer_sale_type="транзит",IFERROR(VLOOKUP($B1140,calc_data,C$14+1,0),0),0)</f>
        <v/>
      </c>
      <c r="D1140" s="280">
        <f>IF(offer_sale_type="транзит",IFERROR(VLOOKUP($B1140,calc_data,D$14+1,0),0),0)</f>
        <v/>
      </c>
      <c r="E1140" s="182">
        <f>IF(offer_sale_type="транзит",IFERROR(VLOOKUP($B1140,calc_data,E$14+1,0),0),0)</f>
        <v/>
      </c>
      <c r="F1140" s="182">
        <f>IF(offer_sale_type="транзит",IFERROR(VLOOKUP($B1140,calc_data,F$14+1,0),0),0)</f>
        <v/>
      </c>
      <c r="G1140" s="141">
        <f>IF(offer_sale_type="транзит",IFERROR(VLOOKUP($B1140,calc_data,G$14+1,0),0),0)</f>
        <v/>
      </c>
      <c r="H1140" s="141">
        <f>E1140*G1140</f>
        <v/>
      </c>
      <c r="I1140" s="141">
        <f>IF(offer_sale_type="транзит",IFERROR(ROUND(VLOOKUP($B1140,calc_data,I$14+1,0),2),0),0)</f>
        <v/>
      </c>
      <c r="J1140" s="141">
        <f>ROUND(IF(offer_sale_type="транзит",IFERROR(VLOOKUP($B1140,calc_data,J$14+1,0),0),0),2)</f>
        <v/>
      </c>
      <c r="K1140" s="142">
        <f>IF(offer_sale_type="транзит",IFERROR(ROUNDUP(VLOOKUP($B1140,calc_data,K$14+1,0),2),0),0)</f>
        <v/>
      </c>
      <c r="L1140" s="184">
        <f>IF(offer_sale_type="транзит",IFERROR(ROUNDUP(VLOOKUP($B1140,calc_data,L$14+1,0),2),0),0)</f>
        <v/>
      </c>
      <c r="M1140" s="141">
        <f>IF(offer_sale_type="транзит",IFERROR(ROUNDUP(VLOOKUP($B1140,calc_data,M$14+1,0),2),0),0)</f>
        <v/>
      </c>
      <c r="N1140" s="141">
        <f>IF(offer_sale_type="транзит",IFERROR(ROUNDUP(VLOOKUP($B1140,calc_data,N$14+1,0),2),0),0)</f>
        <v/>
      </c>
      <c r="O1140" s="147">
        <f>IF(offer_sale_type="транзит",IFERROR(ROUND(VLOOKUP($B1140,calc_data,O$14+1,1),2),0),0)</f>
        <v/>
      </c>
      <c r="P1140" s="141">
        <f>IF(offer_sale_type="транзит",IFERROR(ROUND(SUM(I1140:J1140,M1140:O1140)/E1140,2),0),0)</f>
        <v/>
      </c>
      <c r="Q1140" s="141">
        <f>E1140*P1140</f>
        <v/>
      </c>
      <c r="R1140" s="141">
        <f>ROUND(Q1140*IF(AND(offer_incoterms="DDP",seller_region="RU"),IF((TODAY()+offer_turnaround_time)&gt;=helpsheet!$L$17,rate_vatRU_from_26,rate_vatRu_till_25),0),2)</f>
        <v/>
      </c>
      <c r="S1140" s="177">
        <f>Q1140+IF(AND(offer_incoterms="DDP",seller_region="RU"),R1140,0)</f>
        <v/>
      </c>
      <c r="T1140" s="45" t="n"/>
      <c r="V1140" s="57">
        <f>IF(Q1140&gt;0,"показать","скрыть")</f>
        <v/>
      </c>
    </row>
    <row r="1141" ht="15.75" customHeight="1">
      <c r="B1141" s="809" t="n">
        <v>1125</v>
      </c>
      <c r="C1141" s="182">
        <f>IF(offer_sale_type="транзит",IFERROR(VLOOKUP($B1141,calc_data,C$14+1,0),0),0)</f>
        <v/>
      </c>
      <c r="D1141" s="280">
        <f>IF(offer_sale_type="транзит",IFERROR(VLOOKUP($B1141,calc_data,D$14+1,0),0),0)</f>
        <v/>
      </c>
      <c r="E1141" s="182">
        <f>IF(offer_sale_type="транзит",IFERROR(VLOOKUP($B1141,calc_data,E$14+1,0),0),0)</f>
        <v/>
      </c>
      <c r="F1141" s="182">
        <f>IF(offer_sale_type="транзит",IFERROR(VLOOKUP($B1141,calc_data,F$14+1,0),0),0)</f>
        <v/>
      </c>
      <c r="G1141" s="141">
        <f>IF(offer_sale_type="транзит",IFERROR(VLOOKUP($B1141,calc_data,G$14+1,0),0),0)</f>
        <v/>
      </c>
      <c r="H1141" s="141">
        <f>E1141*G1141</f>
        <v/>
      </c>
      <c r="I1141" s="141">
        <f>IF(offer_sale_type="транзит",IFERROR(ROUND(VLOOKUP($B1141,calc_data,I$14+1,0),2),0),0)</f>
        <v/>
      </c>
      <c r="J1141" s="141">
        <f>ROUND(IF(offer_sale_type="транзит",IFERROR(VLOOKUP($B1141,calc_data,J$14+1,0),0),0),2)</f>
        <v/>
      </c>
      <c r="K1141" s="142">
        <f>IF(offer_sale_type="транзит",IFERROR(ROUNDUP(VLOOKUP($B1141,calc_data,K$14+1,0),2),0),0)</f>
        <v/>
      </c>
      <c r="L1141" s="184">
        <f>IF(offer_sale_type="транзит",IFERROR(ROUNDUP(VLOOKUP($B1141,calc_data,L$14+1,0),2),0),0)</f>
        <v/>
      </c>
      <c r="M1141" s="141">
        <f>IF(offer_sale_type="транзит",IFERROR(ROUNDUP(VLOOKUP($B1141,calc_data,M$14+1,0),2),0),0)</f>
        <v/>
      </c>
      <c r="N1141" s="141">
        <f>IF(offer_sale_type="транзит",IFERROR(ROUNDUP(VLOOKUP($B1141,calc_data,N$14+1,0),2),0),0)</f>
        <v/>
      </c>
      <c r="O1141" s="147">
        <f>IF(offer_sale_type="транзит",IFERROR(ROUND(VLOOKUP($B1141,calc_data,O$14+1,1),2),0),0)</f>
        <v/>
      </c>
      <c r="P1141" s="141">
        <f>IF(offer_sale_type="транзит",IFERROR(ROUND(SUM(I1141:J1141,M1141:O1141)/E1141,2),0),0)</f>
        <v/>
      </c>
      <c r="Q1141" s="141">
        <f>E1141*P1141</f>
        <v/>
      </c>
      <c r="R1141" s="141">
        <f>ROUND(Q1141*IF(AND(offer_incoterms="DDP",seller_region="RU"),IF((TODAY()+offer_turnaround_time)&gt;=helpsheet!$L$17,rate_vatRU_from_26,rate_vatRu_till_25),0),2)</f>
        <v/>
      </c>
      <c r="S1141" s="177">
        <f>Q1141+IF(AND(offer_incoterms="DDP",seller_region="RU"),R1141,0)</f>
        <v/>
      </c>
      <c r="T1141" s="45" t="n"/>
      <c r="V1141" s="57">
        <f>IF(Q1141&gt;0,"показать","скрыть")</f>
        <v/>
      </c>
    </row>
    <row r="1142" ht="15.75" customHeight="1">
      <c r="B1142" s="809" t="n">
        <v>1126</v>
      </c>
      <c r="C1142" s="182">
        <f>IF(offer_sale_type="транзит",IFERROR(VLOOKUP($B1142,calc_data,C$14+1,0),0),0)</f>
        <v/>
      </c>
      <c r="D1142" s="280">
        <f>IF(offer_sale_type="транзит",IFERROR(VLOOKUP($B1142,calc_data,D$14+1,0),0),0)</f>
        <v/>
      </c>
      <c r="E1142" s="182">
        <f>IF(offer_sale_type="транзит",IFERROR(VLOOKUP($B1142,calc_data,E$14+1,0),0),0)</f>
        <v/>
      </c>
      <c r="F1142" s="182">
        <f>IF(offer_sale_type="транзит",IFERROR(VLOOKUP($B1142,calc_data,F$14+1,0),0),0)</f>
        <v/>
      </c>
      <c r="G1142" s="141">
        <f>IF(offer_sale_type="транзит",IFERROR(VLOOKUP($B1142,calc_data,G$14+1,0),0),0)</f>
        <v/>
      </c>
      <c r="H1142" s="141">
        <f>E1142*G1142</f>
        <v/>
      </c>
      <c r="I1142" s="141">
        <f>IF(offer_sale_type="транзит",IFERROR(ROUND(VLOOKUP($B1142,calc_data,I$14+1,0),2),0),0)</f>
        <v/>
      </c>
      <c r="J1142" s="141">
        <f>ROUND(IF(offer_sale_type="транзит",IFERROR(VLOOKUP($B1142,calc_data,J$14+1,0),0),0),2)</f>
        <v/>
      </c>
      <c r="K1142" s="142">
        <f>IF(offer_sale_type="транзит",IFERROR(ROUNDUP(VLOOKUP($B1142,calc_data,K$14+1,0),2),0),0)</f>
        <v/>
      </c>
      <c r="L1142" s="184">
        <f>IF(offer_sale_type="транзит",IFERROR(ROUNDUP(VLOOKUP($B1142,calc_data,L$14+1,0),2),0),0)</f>
        <v/>
      </c>
      <c r="M1142" s="141">
        <f>IF(offer_sale_type="транзит",IFERROR(ROUNDUP(VLOOKUP($B1142,calc_data,M$14+1,0),2),0),0)</f>
        <v/>
      </c>
      <c r="N1142" s="141">
        <f>IF(offer_sale_type="транзит",IFERROR(ROUNDUP(VLOOKUP($B1142,calc_data,N$14+1,0),2),0),0)</f>
        <v/>
      </c>
      <c r="O1142" s="147">
        <f>IF(offer_sale_type="транзит",IFERROR(ROUND(VLOOKUP($B1142,calc_data,O$14+1,1),2),0),0)</f>
        <v/>
      </c>
      <c r="P1142" s="141">
        <f>IF(offer_sale_type="транзит",IFERROR(ROUND(SUM(I1142:J1142,M1142:O1142)/E1142,2),0),0)</f>
        <v/>
      </c>
      <c r="Q1142" s="141">
        <f>E1142*P1142</f>
        <v/>
      </c>
      <c r="R1142" s="141">
        <f>ROUND(Q1142*IF(AND(offer_incoterms="DDP",seller_region="RU"),IF((TODAY()+offer_turnaround_time)&gt;=helpsheet!$L$17,rate_vatRU_from_26,rate_vatRu_till_25),0),2)</f>
        <v/>
      </c>
      <c r="S1142" s="177">
        <f>Q1142+IF(AND(offer_incoterms="DDP",seller_region="RU"),R1142,0)</f>
        <v/>
      </c>
      <c r="T1142" s="45" t="n"/>
      <c r="V1142" s="57">
        <f>IF(Q1142&gt;0,"показать","скрыть")</f>
        <v/>
      </c>
    </row>
    <row r="1143" ht="15.75" customHeight="1">
      <c r="B1143" s="809" t="n">
        <v>1127</v>
      </c>
      <c r="C1143" s="182">
        <f>IF(offer_sale_type="транзит",IFERROR(VLOOKUP($B1143,calc_data,C$14+1,0),0),0)</f>
        <v/>
      </c>
      <c r="D1143" s="280">
        <f>IF(offer_sale_type="транзит",IFERROR(VLOOKUP($B1143,calc_data,D$14+1,0),0),0)</f>
        <v/>
      </c>
      <c r="E1143" s="182">
        <f>IF(offer_sale_type="транзит",IFERROR(VLOOKUP($B1143,calc_data,E$14+1,0),0),0)</f>
        <v/>
      </c>
      <c r="F1143" s="182">
        <f>IF(offer_sale_type="транзит",IFERROR(VLOOKUP($B1143,calc_data,F$14+1,0),0),0)</f>
        <v/>
      </c>
      <c r="G1143" s="141">
        <f>IF(offer_sale_type="транзит",IFERROR(VLOOKUP($B1143,calc_data,G$14+1,0),0),0)</f>
        <v/>
      </c>
      <c r="H1143" s="141">
        <f>E1143*G1143</f>
        <v/>
      </c>
      <c r="I1143" s="141">
        <f>IF(offer_sale_type="транзит",IFERROR(ROUND(VLOOKUP($B1143,calc_data,I$14+1,0),2),0),0)</f>
        <v/>
      </c>
      <c r="J1143" s="141">
        <f>ROUND(IF(offer_sale_type="транзит",IFERROR(VLOOKUP($B1143,calc_data,J$14+1,0),0),0),2)</f>
        <v/>
      </c>
      <c r="K1143" s="142">
        <f>IF(offer_sale_type="транзит",IFERROR(ROUNDUP(VLOOKUP($B1143,calc_data,K$14+1,0),2),0),0)</f>
        <v/>
      </c>
      <c r="L1143" s="184">
        <f>IF(offer_sale_type="транзит",IFERROR(ROUNDUP(VLOOKUP($B1143,calc_data,L$14+1,0),2),0),0)</f>
        <v/>
      </c>
      <c r="M1143" s="141">
        <f>IF(offer_sale_type="транзит",IFERROR(ROUNDUP(VLOOKUP($B1143,calc_data,M$14+1,0),2),0),0)</f>
        <v/>
      </c>
      <c r="N1143" s="141">
        <f>IF(offer_sale_type="транзит",IFERROR(ROUNDUP(VLOOKUP($B1143,calc_data,N$14+1,0),2),0),0)</f>
        <v/>
      </c>
      <c r="O1143" s="147">
        <f>IF(offer_sale_type="транзит",IFERROR(ROUND(VLOOKUP($B1143,calc_data,O$14+1,1),2),0),0)</f>
        <v/>
      </c>
      <c r="P1143" s="141">
        <f>IF(offer_sale_type="транзит",IFERROR(ROUND(SUM(I1143:J1143,M1143:O1143)/E1143,2),0),0)</f>
        <v/>
      </c>
      <c r="Q1143" s="141">
        <f>E1143*P1143</f>
        <v/>
      </c>
      <c r="R1143" s="141">
        <f>ROUND(Q1143*IF(AND(offer_incoterms="DDP",seller_region="RU"),IF((TODAY()+offer_turnaround_time)&gt;=helpsheet!$L$17,rate_vatRU_from_26,rate_vatRu_till_25),0),2)</f>
        <v/>
      </c>
      <c r="S1143" s="177">
        <f>Q1143+IF(AND(offer_incoterms="DDP",seller_region="RU"),R1143,0)</f>
        <v/>
      </c>
      <c r="T1143" s="45" t="n"/>
      <c r="V1143" s="57">
        <f>IF(Q1143&gt;0,"показать","скрыть")</f>
        <v/>
      </c>
    </row>
    <row r="1144" ht="15.75" customHeight="1">
      <c r="B1144" s="809" t="n">
        <v>1128</v>
      </c>
      <c r="C1144" s="182">
        <f>IF(offer_sale_type="транзит",IFERROR(VLOOKUP($B1144,calc_data,C$14+1,0),0),0)</f>
        <v/>
      </c>
      <c r="D1144" s="280">
        <f>IF(offer_sale_type="транзит",IFERROR(VLOOKUP($B1144,calc_data,D$14+1,0),0),0)</f>
        <v/>
      </c>
      <c r="E1144" s="182">
        <f>IF(offer_sale_type="транзит",IFERROR(VLOOKUP($B1144,calc_data,E$14+1,0),0),0)</f>
        <v/>
      </c>
      <c r="F1144" s="182">
        <f>IF(offer_sale_type="транзит",IFERROR(VLOOKUP($B1144,calc_data,F$14+1,0),0),0)</f>
        <v/>
      </c>
      <c r="G1144" s="141">
        <f>IF(offer_sale_type="транзит",IFERROR(VLOOKUP($B1144,calc_data,G$14+1,0),0),0)</f>
        <v/>
      </c>
      <c r="H1144" s="141">
        <f>E1144*G1144</f>
        <v/>
      </c>
      <c r="I1144" s="141">
        <f>IF(offer_sale_type="транзит",IFERROR(ROUND(VLOOKUP($B1144,calc_data,I$14+1,0),2),0),0)</f>
        <v/>
      </c>
      <c r="J1144" s="141">
        <f>ROUND(IF(offer_sale_type="транзит",IFERROR(VLOOKUP($B1144,calc_data,J$14+1,0),0),0),2)</f>
        <v/>
      </c>
      <c r="K1144" s="142">
        <f>IF(offer_sale_type="транзит",IFERROR(ROUNDUP(VLOOKUP($B1144,calc_data,K$14+1,0),2),0),0)</f>
        <v/>
      </c>
      <c r="L1144" s="184">
        <f>IF(offer_sale_type="транзит",IFERROR(ROUNDUP(VLOOKUP($B1144,calc_data,L$14+1,0),2),0),0)</f>
        <v/>
      </c>
      <c r="M1144" s="141">
        <f>IF(offer_sale_type="транзит",IFERROR(ROUNDUP(VLOOKUP($B1144,calc_data,M$14+1,0),2),0),0)</f>
        <v/>
      </c>
      <c r="N1144" s="141">
        <f>IF(offer_sale_type="транзит",IFERROR(ROUNDUP(VLOOKUP($B1144,calc_data,N$14+1,0),2),0),0)</f>
        <v/>
      </c>
      <c r="O1144" s="147">
        <f>IF(offer_sale_type="транзит",IFERROR(ROUND(VLOOKUP($B1144,calc_data,O$14+1,1),2),0),0)</f>
        <v/>
      </c>
      <c r="P1144" s="141">
        <f>IF(offer_sale_type="транзит",IFERROR(ROUND(SUM(I1144:J1144,M1144:O1144)/E1144,2),0),0)</f>
        <v/>
      </c>
      <c r="Q1144" s="141">
        <f>E1144*P1144</f>
        <v/>
      </c>
      <c r="R1144" s="141">
        <f>ROUND(Q1144*IF(AND(offer_incoterms="DDP",seller_region="RU"),IF((TODAY()+offer_turnaround_time)&gt;=helpsheet!$L$17,rate_vatRU_from_26,rate_vatRu_till_25),0),2)</f>
        <v/>
      </c>
      <c r="S1144" s="177">
        <f>Q1144+IF(AND(offer_incoterms="DDP",seller_region="RU"),R1144,0)</f>
        <v/>
      </c>
      <c r="T1144" s="45" t="n"/>
      <c r="V1144" s="57">
        <f>IF(Q1144&gt;0,"показать","скрыть")</f>
        <v/>
      </c>
    </row>
    <row r="1145" ht="15.75" customHeight="1">
      <c r="B1145" s="809" t="n">
        <v>1129</v>
      </c>
      <c r="C1145" s="182">
        <f>IF(offer_sale_type="транзит",IFERROR(VLOOKUP($B1145,calc_data,C$14+1,0),0),0)</f>
        <v/>
      </c>
      <c r="D1145" s="280">
        <f>IF(offer_sale_type="транзит",IFERROR(VLOOKUP($B1145,calc_data,D$14+1,0),0),0)</f>
        <v/>
      </c>
      <c r="E1145" s="182">
        <f>IF(offer_sale_type="транзит",IFERROR(VLOOKUP($B1145,calc_data,E$14+1,0),0),0)</f>
        <v/>
      </c>
      <c r="F1145" s="182">
        <f>IF(offer_sale_type="транзит",IFERROR(VLOOKUP($B1145,calc_data,F$14+1,0),0),0)</f>
        <v/>
      </c>
      <c r="G1145" s="141">
        <f>IF(offer_sale_type="транзит",IFERROR(VLOOKUP($B1145,calc_data,G$14+1,0),0),0)</f>
        <v/>
      </c>
      <c r="H1145" s="141">
        <f>E1145*G1145</f>
        <v/>
      </c>
      <c r="I1145" s="141">
        <f>IF(offer_sale_type="транзит",IFERROR(ROUND(VLOOKUP($B1145,calc_data,I$14+1,0),2),0),0)</f>
        <v/>
      </c>
      <c r="J1145" s="141">
        <f>ROUND(IF(offer_sale_type="транзит",IFERROR(VLOOKUP($B1145,calc_data,J$14+1,0),0),0),2)</f>
        <v/>
      </c>
      <c r="K1145" s="142">
        <f>IF(offer_sale_type="транзит",IFERROR(ROUNDUP(VLOOKUP($B1145,calc_data,K$14+1,0),2),0),0)</f>
        <v/>
      </c>
      <c r="L1145" s="184">
        <f>IF(offer_sale_type="транзит",IFERROR(ROUNDUP(VLOOKUP($B1145,calc_data,L$14+1,0),2),0),0)</f>
        <v/>
      </c>
      <c r="M1145" s="141">
        <f>IF(offer_sale_type="транзит",IFERROR(ROUNDUP(VLOOKUP($B1145,calc_data,M$14+1,0),2),0),0)</f>
        <v/>
      </c>
      <c r="N1145" s="141">
        <f>IF(offer_sale_type="транзит",IFERROR(ROUNDUP(VLOOKUP($B1145,calc_data,N$14+1,0),2),0),0)</f>
        <v/>
      </c>
      <c r="O1145" s="147">
        <f>IF(offer_sale_type="транзит",IFERROR(ROUND(VLOOKUP($B1145,calc_data,O$14+1,1),2),0),0)</f>
        <v/>
      </c>
      <c r="P1145" s="141">
        <f>IF(offer_sale_type="транзит",IFERROR(ROUND(SUM(I1145:J1145,M1145:O1145)/E1145,2),0),0)</f>
        <v/>
      </c>
      <c r="Q1145" s="141">
        <f>E1145*P1145</f>
        <v/>
      </c>
      <c r="R1145" s="141">
        <f>ROUND(Q1145*IF(AND(offer_incoterms="DDP",seller_region="RU"),IF((TODAY()+offer_turnaround_time)&gt;=helpsheet!$L$17,rate_vatRU_from_26,rate_vatRu_till_25),0),2)</f>
        <v/>
      </c>
      <c r="S1145" s="177">
        <f>Q1145+IF(AND(offer_incoterms="DDP",seller_region="RU"),R1145,0)</f>
        <v/>
      </c>
      <c r="T1145" s="45" t="n"/>
      <c r="V1145" s="57">
        <f>IF(Q1145&gt;0,"показать","скрыть")</f>
        <v/>
      </c>
    </row>
    <row r="1146" ht="15.75" customHeight="1">
      <c r="B1146" s="809" t="n">
        <v>1130</v>
      </c>
      <c r="C1146" s="182">
        <f>IF(offer_sale_type="транзит",IFERROR(VLOOKUP($B1146,calc_data,C$14+1,0),0),0)</f>
        <v/>
      </c>
      <c r="D1146" s="280">
        <f>IF(offer_sale_type="транзит",IFERROR(VLOOKUP($B1146,calc_data,D$14+1,0),0),0)</f>
        <v/>
      </c>
      <c r="E1146" s="182">
        <f>IF(offer_sale_type="транзит",IFERROR(VLOOKUP($B1146,calc_data,E$14+1,0),0),0)</f>
        <v/>
      </c>
      <c r="F1146" s="182">
        <f>IF(offer_sale_type="транзит",IFERROR(VLOOKUP($B1146,calc_data,F$14+1,0),0),0)</f>
        <v/>
      </c>
      <c r="G1146" s="141">
        <f>IF(offer_sale_type="транзит",IFERROR(VLOOKUP($B1146,calc_data,G$14+1,0),0),0)</f>
        <v/>
      </c>
      <c r="H1146" s="141">
        <f>E1146*G1146</f>
        <v/>
      </c>
      <c r="I1146" s="141">
        <f>IF(offer_sale_type="транзит",IFERROR(ROUND(VLOOKUP($B1146,calc_data,I$14+1,0),2),0),0)</f>
        <v/>
      </c>
      <c r="J1146" s="141">
        <f>ROUND(IF(offer_sale_type="транзит",IFERROR(VLOOKUP($B1146,calc_data,J$14+1,0),0),0),2)</f>
        <v/>
      </c>
      <c r="K1146" s="142">
        <f>IF(offer_sale_type="транзит",IFERROR(ROUNDUP(VLOOKUP($B1146,calc_data,K$14+1,0),2),0),0)</f>
        <v/>
      </c>
      <c r="L1146" s="184">
        <f>IF(offer_sale_type="транзит",IFERROR(ROUNDUP(VLOOKUP($B1146,calc_data,L$14+1,0),2),0),0)</f>
        <v/>
      </c>
      <c r="M1146" s="141">
        <f>IF(offer_sale_type="транзит",IFERROR(ROUNDUP(VLOOKUP($B1146,calc_data,M$14+1,0),2),0),0)</f>
        <v/>
      </c>
      <c r="N1146" s="141">
        <f>IF(offer_sale_type="транзит",IFERROR(ROUNDUP(VLOOKUP($B1146,calc_data,N$14+1,0),2),0),0)</f>
        <v/>
      </c>
      <c r="O1146" s="147">
        <f>IF(offer_sale_type="транзит",IFERROR(ROUND(VLOOKUP($B1146,calc_data,O$14+1,1),2),0),0)</f>
        <v/>
      </c>
      <c r="P1146" s="141">
        <f>IF(offer_sale_type="транзит",IFERROR(ROUND(SUM(I1146:J1146,M1146:O1146)/E1146,2),0),0)</f>
        <v/>
      </c>
      <c r="Q1146" s="141">
        <f>E1146*P1146</f>
        <v/>
      </c>
      <c r="R1146" s="141">
        <f>ROUND(Q1146*IF(AND(offer_incoterms="DDP",seller_region="RU"),IF((TODAY()+offer_turnaround_time)&gt;=helpsheet!$L$17,rate_vatRU_from_26,rate_vatRu_till_25),0),2)</f>
        <v/>
      </c>
      <c r="S1146" s="177">
        <f>Q1146+IF(AND(offer_incoterms="DDP",seller_region="RU"),R1146,0)</f>
        <v/>
      </c>
      <c r="T1146" s="45" t="n"/>
      <c r="V1146" s="57">
        <f>IF(Q1146&gt;0,"показать","скрыть")</f>
        <v/>
      </c>
    </row>
    <row r="1147" ht="15.75" customHeight="1">
      <c r="B1147" s="809" t="n">
        <v>1131</v>
      </c>
      <c r="C1147" s="182">
        <f>IF(offer_sale_type="транзит",IFERROR(VLOOKUP($B1147,calc_data,C$14+1,0),0),0)</f>
        <v/>
      </c>
      <c r="D1147" s="280">
        <f>IF(offer_sale_type="транзит",IFERROR(VLOOKUP($B1147,calc_data,D$14+1,0),0),0)</f>
        <v/>
      </c>
      <c r="E1147" s="182">
        <f>IF(offer_sale_type="транзит",IFERROR(VLOOKUP($B1147,calc_data,E$14+1,0),0),0)</f>
        <v/>
      </c>
      <c r="F1147" s="182">
        <f>IF(offer_sale_type="транзит",IFERROR(VLOOKUP($B1147,calc_data,F$14+1,0),0),0)</f>
        <v/>
      </c>
      <c r="G1147" s="141">
        <f>IF(offer_sale_type="транзит",IFERROR(VLOOKUP($B1147,calc_data,G$14+1,0),0),0)</f>
        <v/>
      </c>
      <c r="H1147" s="141">
        <f>E1147*G1147</f>
        <v/>
      </c>
      <c r="I1147" s="141">
        <f>IF(offer_sale_type="транзит",IFERROR(ROUND(VLOOKUP($B1147,calc_data,I$14+1,0),2),0),0)</f>
        <v/>
      </c>
      <c r="J1147" s="141">
        <f>ROUND(IF(offer_sale_type="транзит",IFERROR(VLOOKUP($B1147,calc_data,J$14+1,0),0),0),2)</f>
        <v/>
      </c>
      <c r="K1147" s="142">
        <f>IF(offer_sale_type="транзит",IFERROR(ROUNDUP(VLOOKUP($B1147,calc_data,K$14+1,0),2),0),0)</f>
        <v/>
      </c>
      <c r="L1147" s="184">
        <f>IF(offer_sale_type="транзит",IFERROR(ROUNDUP(VLOOKUP($B1147,calc_data,L$14+1,0),2),0),0)</f>
        <v/>
      </c>
      <c r="M1147" s="141">
        <f>IF(offer_sale_type="транзит",IFERROR(ROUNDUP(VLOOKUP($B1147,calc_data,M$14+1,0),2),0),0)</f>
        <v/>
      </c>
      <c r="N1147" s="141">
        <f>IF(offer_sale_type="транзит",IFERROR(ROUNDUP(VLOOKUP($B1147,calc_data,N$14+1,0),2),0),0)</f>
        <v/>
      </c>
      <c r="O1147" s="147">
        <f>IF(offer_sale_type="транзит",IFERROR(ROUND(VLOOKUP($B1147,calc_data,O$14+1,1),2),0),0)</f>
        <v/>
      </c>
      <c r="P1147" s="141">
        <f>IF(offer_sale_type="транзит",IFERROR(ROUND(SUM(I1147:J1147,M1147:O1147)/E1147,2),0),0)</f>
        <v/>
      </c>
      <c r="Q1147" s="141">
        <f>E1147*P1147</f>
        <v/>
      </c>
      <c r="R1147" s="141">
        <f>ROUND(Q1147*IF(AND(offer_incoterms="DDP",seller_region="RU"),IF((TODAY()+offer_turnaround_time)&gt;=helpsheet!$L$17,rate_vatRU_from_26,rate_vatRu_till_25),0),2)</f>
        <v/>
      </c>
      <c r="S1147" s="177">
        <f>Q1147+IF(AND(offer_incoterms="DDP",seller_region="RU"),R1147,0)</f>
        <v/>
      </c>
      <c r="T1147" s="45" t="n"/>
      <c r="V1147" s="57">
        <f>IF(Q1147&gt;0,"показать","скрыть")</f>
        <v/>
      </c>
    </row>
    <row r="1148" ht="15.75" customHeight="1">
      <c r="B1148" s="809" t="n">
        <v>1132</v>
      </c>
      <c r="C1148" s="182">
        <f>IF(offer_sale_type="транзит",IFERROR(VLOOKUP($B1148,calc_data,C$14+1,0),0),0)</f>
        <v/>
      </c>
      <c r="D1148" s="280">
        <f>IF(offer_sale_type="транзит",IFERROR(VLOOKUP($B1148,calc_data,D$14+1,0),0),0)</f>
        <v/>
      </c>
      <c r="E1148" s="182">
        <f>IF(offer_sale_type="транзит",IFERROR(VLOOKUP($B1148,calc_data,E$14+1,0),0),0)</f>
        <v/>
      </c>
      <c r="F1148" s="182">
        <f>IF(offer_sale_type="транзит",IFERROR(VLOOKUP($B1148,calc_data,F$14+1,0),0),0)</f>
        <v/>
      </c>
      <c r="G1148" s="141">
        <f>IF(offer_sale_type="транзит",IFERROR(VLOOKUP($B1148,calc_data,G$14+1,0),0),0)</f>
        <v/>
      </c>
      <c r="H1148" s="141">
        <f>E1148*G1148</f>
        <v/>
      </c>
      <c r="I1148" s="141">
        <f>IF(offer_sale_type="транзит",IFERROR(ROUND(VLOOKUP($B1148,calc_data,I$14+1,0),2),0),0)</f>
        <v/>
      </c>
      <c r="J1148" s="141">
        <f>ROUND(IF(offer_sale_type="транзит",IFERROR(VLOOKUP($B1148,calc_data,J$14+1,0),0),0),2)</f>
        <v/>
      </c>
      <c r="K1148" s="142">
        <f>IF(offer_sale_type="транзит",IFERROR(ROUNDUP(VLOOKUP($B1148,calc_data,K$14+1,0),2),0),0)</f>
        <v/>
      </c>
      <c r="L1148" s="184">
        <f>IF(offer_sale_type="транзит",IFERROR(ROUNDUP(VLOOKUP($B1148,calc_data,L$14+1,0),2),0),0)</f>
        <v/>
      </c>
      <c r="M1148" s="141">
        <f>IF(offer_sale_type="транзит",IFERROR(ROUNDUP(VLOOKUP($B1148,calc_data,M$14+1,0),2),0),0)</f>
        <v/>
      </c>
      <c r="N1148" s="141">
        <f>IF(offer_sale_type="транзит",IFERROR(ROUNDUP(VLOOKUP($B1148,calc_data,N$14+1,0),2),0),0)</f>
        <v/>
      </c>
      <c r="O1148" s="147">
        <f>IF(offer_sale_type="транзит",IFERROR(ROUND(VLOOKUP($B1148,calc_data,O$14+1,1),2),0),0)</f>
        <v/>
      </c>
      <c r="P1148" s="141">
        <f>IF(offer_sale_type="транзит",IFERROR(ROUND(SUM(I1148:J1148,M1148:O1148)/E1148,2),0),0)</f>
        <v/>
      </c>
      <c r="Q1148" s="141">
        <f>E1148*P1148</f>
        <v/>
      </c>
      <c r="R1148" s="141">
        <f>ROUND(Q1148*IF(AND(offer_incoterms="DDP",seller_region="RU"),IF((TODAY()+offer_turnaround_time)&gt;=helpsheet!$L$17,rate_vatRU_from_26,rate_vatRu_till_25),0),2)</f>
        <v/>
      </c>
      <c r="S1148" s="177">
        <f>Q1148+IF(AND(offer_incoterms="DDP",seller_region="RU"),R1148,0)</f>
        <v/>
      </c>
      <c r="T1148" s="45" t="n"/>
      <c r="V1148" s="57">
        <f>IF(Q1148&gt;0,"показать","скрыть")</f>
        <v/>
      </c>
    </row>
    <row r="1149" ht="15.75" customHeight="1">
      <c r="B1149" s="809" t="n">
        <v>1133</v>
      </c>
      <c r="C1149" s="182">
        <f>IF(offer_sale_type="транзит",IFERROR(VLOOKUP($B1149,calc_data,C$14+1,0),0),0)</f>
        <v/>
      </c>
      <c r="D1149" s="280">
        <f>IF(offer_sale_type="транзит",IFERROR(VLOOKUP($B1149,calc_data,D$14+1,0),0),0)</f>
        <v/>
      </c>
      <c r="E1149" s="182">
        <f>IF(offer_sale_type="транзит",IFERROR(VLOOKUP($B1149,calc_data,E$14+1,0),0),0)</f>
        <v/>
      </c>
      <c r="F1149" s="182">
        <f>IF(offer_sale_type="транзит",IFERROR(VLOOKUP($B1149,calc_data,F$14+1,0),0),0)</f>
        <v/>
      </c>
      <c r="G1149" s="141">
        <f>IF(offer_sale_type="транзит",IFERROR(VLOOKUP($B1149,calc_data,G$14+1,0),0),0)</f>
        <v/>
      </c>
      <c r="H1149" s="141">
        <f>E1149*G1149</f>
        <v/>
      </c>
      <c r="I1149" s="141">
        <f>IF(offer_sale_type="транзит",IFERROR(ROUND(VLOOKUP($B1149,calc_data,I$14+1,0),2),0),0)</f>
        <v/>
      </c>
      <c r="J1149" s="141">
        <f>ROUND(IF(offer_sale_type="транзит",IFERROR(VLOOKUP($B1149,calc_data,J$14+1,0),0),0),2)</f>
        <v/>
      </c>
      <c r="K1149" s="142">
        <f>IF(offer_sale_type="транзит",IFERROR(ROUNDUP(VLOOKUP($B1149,calc_data,K$14+1,0),2),0),0)</f>
        <v/>
      </c>
      <c r="L1149" s="184">
        <f>IF(offer_sale_type="транзит",IFERROR(ROUNDUP(VLOOKUP($B1149,calc_data,L$14+1,0),2),0),0)</f>
        <v/>
      </c>
      <c r="M1149" s="141">
        <f>IF(offer_sale_type="транзит",IFERROR(ROUNDUP(VLOOKUP($B1149,calc_data,M$14+1,0),2),0),0)</f>
        <v/>
      </c>
      <c r="N1149" s="141">
        <f>IF(offer_sale_type="транзит",IFERROR(ROUNDUP(VLOOKUP($B1149,calc_data,N$14+1,0),2),0),0)</f>
        <v/>
      </c>
      <c r="O1149" s="147">
        <f>IF(offer_sale_type="транзит",IFERROR(ROUND(VLOOKUP($B1149,calc_data,O$14+1,1),2),0),0)</f>
        <v/>
      </c>
      <c r="P1149" s="141">
        <f>IF(offer_sale_type="транзит",IFERROR(ROUND(SUM(I1149:J1149,M1149:O1149)/E1149,2),0),0)</f>
        <v/>
      </c>
      <c r="Q1149" s="141">
        <f>E1149*P1149</f>
        <v/>
      </c>
      <c r="R1149" s="141">
        <f>ROUND(Q1149*IF(AND(offer_incoterms="DDP",seller_region="RU"),IF((TODAY()+offer_turnaround_time)&gt;=helpsheet!$L$17,rate_vatRU_from_26,rate_vatRu_till_25),0),2)</f>
        <v/>
      </c>
      <c r="S1149" s="177">
        <f>Q1149+IF(AND(offer_incoterms="DDP",seller_region="RU"),R1149,0)</f>
        <v/>
      </c>
      <c r="T1149" s="45" t="n"/>
      <c r="V1149" s="57">
        <f>IF(Q1149&gt;0,"показать","скрыть")</f>
        <v/>
      </c>
    </row>
    <row r="1150" ht="15.75" customHeight="1">
      <c r="B1150" s="809" t="n">
        <v>1134</v>
      </c>
      <c r="C1150" s="182">
        <f>IF(offer_sale_type="транзит",IFERROR(VLOOKUP($B1150,calc_data,C$14+1,0),0),0)</f>
        <v/>
      </c>
      <c r="D1150" s="280">
        <f>IF(offer_sale_type="транзит",IFERROR(VLOOKUP($B1150,calc_data,D$14+1,0),0),0)</f>
        <v/>
      </c>
      <c r="E1150" s="182">
        <f>IF(offer_sale_type="транзит",IFERROR(VLOOKUP($B1150,calc_data,E$14+1,0),0),0)</f>
        <v/>
      </c>
      <c r="F1150" s="182">
        <f>IF(offer_sale_type="транзит",IFERROR(VLOOKUP($B1150,calc_data,F$14+1,0),0),0)</f>
        <v/>
      </c>
      <c r="G1150" s="141">
        <f>IF(offer_sale_type="транзит",IFERROR(VLOOKUP($B1150,calc_data,G$14+1,0),0),0)</f>
        <v/>
      </c>
      <c r="H1150" s="141">
        <f>E1150*G1150</f>
        <v/>
      </c>
      <c r="I1150" s="141">
        <f>IF(offer_sale_type="транзит",IFERROR(ROUND(VLOOKUP($B1150,calc_data,I$14+1,0),2),0),0)</f>
        <v/>
      </c>
      <c r="J1150" s="141">
        <f>ROUND(IF(offer_sale_type="транзит",IFERROR(VLOOKUP($B1150,calc_data,J$14+1,0),0),0),2)</f>
        <v/>
      </c>
      <c r="K1150" s="142">
        <f>IF(offer_sale_type="транзит",IFERROR(ROUNDUP(VLOOKUP($B1150,calc_data,K$14+1,0),2),0),0)</f>
        <v/>
      </c>
      <c r="L1150" s="184">
        <f>IF(offer_sale_type="транзит",IFERROR(ROUNDUP(VLOOKUP($B1150,calc_data,L$14+1,0),2),0),0)</f>
        <v/>
      </c>
      <c r="M1150" s="141">
        <f>IF(offer_sale_type="транзит",IFERROR(ROUNDUP(VLOOKUP($B1150,calc_data,M$14+1,0),2),0),0)</f>
        <v/>
      </c>
      <c r="N1150" s="141">
        <f>IF(offer_sale_type="транзит",IFERROR(ROUNDUP(VLOOKUP($B1150,calc_data,N$14+1,0),2),0),0)</f>
        <v/>
      </c>
      <c r="O1150" s="147">
        <f>IF(offer_sale_type="транзит",IFERROR(ROUND(VLOOKUP($B1150,calc_data,O$14+1,1),2),0),0)</f>
        <v/>
      </c>
      <c r="P1150" s="141">
        <f>IF(offer_sale_type="транзит",IFERROR(ROUND(SUM(I1150:J1150,M1150:O1150)/E1150,2),0),0)</f>
        <v/>
      </c>
      <c r="Q1150" s="141">
        <f>E1150*P1150</f>
        <v/>
      </c>
      <c r="R1150" s="141">
        <f>ROUND(Q1150*IF(AND(offer_incoterms="DDP",seller_region="RU"),IF((TODAY()+offer_turnaround_time)&gt;=helpsheet!$L$17,rate_vatRU_from_26,rate_vatRu_till_25),0),2)</f>
        <v/>
      </c>
      <c r="S1150" s="177">
        <f>Q1150+IF(AND(offer_incoterms="DDP",seller_region="RU"),R1150,0)</f>
        <v/>
      </c>
      <c r="T1150" s="45" t="n"/>
      <c r="V1150" s="57">
        <f>IF(Q1150&gt;0,"показать","скрыть")</f>
        <v/>
      </c>
    </row>
    <row r="1151" ht="15.75" customHeight="1">
      <c r="B1151" s="809" t="n">
        <v>1135</v>
      </c>
      <c r="C1151" s="182">
        <f>IF(offer_sale_type="транзит",IFERROR(VLOOKUP($B1151,calc_data,C$14+1,0),0),0)</f>
        <v/>
      </c>
      <c r="D1151" s="280">
        <f>IF(offer_sale_type="транзит",IFERROR(VLOOKUP($B1151,calc_data,D$14+1,0),0),0)</f>
        <v/>
      </c>
      <c r="E1151" s="182">
        <f>IF(offer_sale_type="транзит",IFERROR(VLOOKUP($B1151,calc_data,E$14+1,0),0),0)</f>
        <v/>
      </c>
      <c r="F1151" s="182">
        <f>IF(offer_sale_type="транзит",IFERROR(VLOOKUP($B1151,calc_data,F$14+1,0),0),0)</f>
        <v/>
      </c>
      <c r="G1151" s="141">
        <f>IF(offer_sale_type="транзит",IFERROR(VLOOKUP($B1151,calc_data,G$14+1,0),0),0)</f>
        <v/>
      </c>
      <c r="H1151" s="141">
        <f>E1151*G1151</f>
        <v/>
      </c>
      <c r="I1151" s="141">
        <f>IF(offer_sale_type="транзит",IFERROR(ROUND(VLOOKUP($B1151,calc_data,I$14+1,0),2),0),0)</f>
        <v/>
      </c>
      <c r="J1151" s="141">
        <f>ROUND(IF(offer_sale_type="транзит",IFERROR(VLOOKUP($B1151,calc_data,J$14+1,0),0),0),2)</f>
        <v/>
      </c>
      <c r="K1151" s="142">
        <f>IF(offer_sale_type="транзит",IFERROR(ROUNDUP(VLOOKUP($B1151,calc_data,K$14+1,0),2),0),0)</f>
        <v/>
      </c>
      <c r="L1151" s="184">
        <f>IF(offer_sale_type="транзит",IFERROR(ROUNDUP(VLOOKUP($B1151,calc_data,L$14+1,0),2),0),0)</f>
        <v/>
      </c>
      <c r="M1151" s="141">
        <f>IF(offer_sale_type="транзит",IFERROR(ROUNDUP(VLOOKUP($B1151,calc_data,M$14+1,0),2),0),0)</f>
        <v/>
      </c>
      <c r="N1151" s="141">
        <f>IF(offer_sale_type="транзит",IFERROR(ROUNDUP(VLOOKUP($B1151,calc_data,N$14+1,0),2),0),0)</f>
        <v/>
      </c>
      <c r="O1151" s="147">
        <f>IF(offer_sale_type="транзит",IFERROR(ROUND(VLOOKUP($B1151,calc_data,O$14+1,1),2),0),0)</f>
        <v/>
      </c>
      <c r="P1151" s="141">
        <f>IF(offer_sale_type="транзит",IFERROR(ROUND(SUM(I1151:J1151,M1151:O1151)/E1151,2),0),0)</f>
        <v/>
      </c>
      <c r="Q1151" s="141">
        <f>E1151*P1151</f>
        <v/>
      </c>
      <c r="R1151" s="141">
        <f>ROUND(Q1151*IF(AND(offer_incoterms="DDP",seller_region="RU"),IF((TODAY()+offer_turnaround_time)&gt;=helpsheet!$L$17,rate_vatRU_from_26,rate_vatRu_till_25),0),2)</f>
        <v/>
      </c>
      <c r="S1151" s="177">
        <f>Q1151+IF(AND(offer_incoterms="DDP",seller_region="RU"),R1151,0)</f>
        <v/>
      </c>
      <c r="T1151" s="45" t="n"/>
      <c r="V1151" s="57">
        <f>IF(Q1151&gt;0,"показать","скрыть")</f>
        <v/>
      </c>
    </row>
    <row r="1152" ht="15.75" customHeight="1">
      <c r="B1152" s="809" t="n">
        <v>1136</v>
      </c>
      <c r="C1152" s="182">
        <f>IF(offer_sale_type="транзит",IFERROR(VLOOKUP($B1152,calc_data,C$14+1,0),0),0)</f>
        <v/>
      </c>
      <c r="D1152" s="280">
        <f>IF(offer_sale_type="транзит",IFERROR(VLOOKUP($B1152,calc_data,D$14+1,0),0),0)</f>
        <v/>
      </c>
      <c r="E1152" s="182">
        <f>IF(offer_sale_type="транзит",IFERROR(VLOOKUP($B1152,calc_data,E$14+1,0),0),0)</f>
        <v/>
      </c>
      <c r="F1152" s="182">
        <f>IF(offer_sale_type="транзит",IFERROR(VLOOKUP($B1152,calc_data,F$14+1,0),0),0)</f>
        <v/>
      </c>
      <c r="G1152" s="141">
        <f>IF(offer_sale_type="транзит",IFERROR(VLOOKUP($B1152,calc_data,G$14+1,0),0),0)</f>
        <v/>
      </c>
      <c r="H1152" s="141">
        <f>E1152*G1152</f>
        <v/>
      </c>
      <c r="I1152" s="141">
        <f>IF(offer_sale_type="транзит",IFERROR(ROUND(VLOOKUP($B1152,calc_data,I$14+1,0),2),0),0)</f>
        <v/>
      </c>
      <c r="J1152" s="141">
        <f>ROUND(IF(offer_sale_type="транзит",IFERROR(VLOOKUP($B1152,calc_data,J$14+1,0),0),0),2)</f>
        <v/>
      </c>
      <c r="K1152" s="142">
        <f>IF(offer_sale_type="транзит",IFERROR(ROUNDUP(VLOOKUP($B1152,calc_data,K$14+1,0),2),0),0)</f>
        <v/>
      </c>
      <c r="L1152" s="184">
        <f>IF(offer_sale_type="транзит",IFERROR(ROUNDUP(VLOOKUP($B1152,calc_data,L$14+1,0),2),0),0)</f>
        <v/>
      </c>
      <c r="M1152" s="141">
        <f>IF(offer_sale_type="транзит",IFERROR(ROUNDUP(VLOOKUP($B1152,calc_data,M$14+1,0),2),0),0)</f>
        <v/>
      </c>
      <c r="N1152" s="141">
        <f>IF(offer_sale_type="транзит",IFERROR(ROUNDUP(VLOOKUP($B1152,calc_data,N$14+1,0),2),0),0)</f>
        <v/>
      </c>
      <c r="O1152" s="147">
        <f>IF(offer_sale_type="транзит",IFERROR(ROUND(VLOOKUP($B1152,calc_data,O$14+1,1),2),0),0)</f>
        <v/>
      </c>
      <c r="P1152" s="141">
        <f>IF(offer_sale_type="транзит",IFERROR(ROUND(SUM(I1152:J1152,M1152:O1152)/E1152,2),0),0)</f>
        <v/>
      </c>
      <c r="Q1152" s="141">
        <f>E1152*P1152</f>
        <v/>
      </c>
      <c r="R1152" s="141">
        <f>ROUND(Q1152*IF(AND(offer_incoterms="DDP",seller_region="RU"),IF((TODAY()+offer_turnaround_time)&gt;=helpsheet!$L$17,rate_vatRU_from_26,rate_vatRu_till_25),0),2)</f>
        <v/>
      </c>
      <c r="S1152" s="177">
        <f>Q1152+IF(AND(offer_incoterms="DDP",seller_region="RU"),R1152,0)</f>
        <v/>
      </c>
      <c r="T1152" s="45" t="n"/>
      <c r="V1152" s="57">
        <f>IF(Q1152&gt;0,"показать","скрыть")</f>
        <v/>
      </c>
    </row>
    <row r="1153" ht="15.75" customHeight="1">
      <c r="B1153" s="809" t="n">
        <v>1137</v>
      </c>
      <c r="C1153" s="182">
        <f>IF(offer_sale_type="транзит",IFERROR(VLOOKUP($B1153,calc_data,C$14+1,0),0),0)</f>
        <v/>
      </c>
      <c r="D1153" s="280">
        <f>IF(offer_sale_type="транзит",IFERROR(VLOOKUP($B1153,calc_data,D$14+1,0),0),0)</f>
        <v/>
      </c>
      <c r="E1153" s="182">
        <f>IF(offer_sale_type="транзит",IFERROR(VLOOKUP($B1153,calc_data,E$14+1,0),0),0)</f>
        <v/>
      </c>
      <c r="F1153" s="182">
        <f>IF(offer_sale_type="транзит",IFERROR(VLOOKUP($B1153,calc_data,F$14+1,0),0),0)</f>
        <v/>
      </c>
      <c r="G1153" s="141">
        <f>IF(offer_sale_type="транзит",IFERROR(VLOOKUP($B1153,calc_data,G$14+1,0),0),0)</f>
        <v/>
      </c>
      <c r="H1153" s="141">
        <f>E1153*G1153</f>
        <v/>
      </c>
      <c r="I1153" s="141">
        <f>IF(offer_sale_type="транзит",IFERROR(ROUND(VLOOKUP($B1153,calc_data,I$14+1,0),2),0),0)</f>
        <v/>
      </c>
      <c r="J1153" s="141">
        <f>ROUND(IF(offer_sale_type="транзит",IFERROR(VLOOKUP($B1153,calc_data,J$14+1,0),0),0),2)</f>
        <v/>
      </c>
      <c r="K1153" s="142">
        <f>IF(offer_sale_type="транзит",IFERROR(ROUNDUP(VLOOKUP($B1153,calc_data,K$14+1,0),2),0),0)</f>
        <v/>
      </c>
      <c r="L1153" s="184">
        <f>IF(offer_sale_type="транзит",IFERROR(ROUNDUP(VLOOKUP($B1153,calc_data,L$14+1,0),2),0),0)</f>
        <v/>
      </c>
      <c r="M1153" s="141">
        <f>IF(offer_sale_type="транзит",IFERROR(ROUNDUP(VLOOKUP($B1153,calc_data,M$14+1,0),2),0),0)</f>
        <v/>
      </c>
      <c r="N1153" s="141">
        <f>IF(offer_sale_type="транзит",IFERROR(ROUNDUP(VLOOKUP($B1153,calc_data,N$14+1,0),2),0),0)</f>
        <v/>
      </c>
      <c r="O1153" s="147">
        <f>IF(offer_sale_type="транзит",IFERROR(ROUND(VLOOKUP($B1153,calc_data,O$14+1,1),2),0),0)</f>
        <v/>
      </c>
      <c r="P1153" s="141">
        <f>IF(offer_sale_type="транзит",IFERROR(ROUND(SUM(I1153:J1153,M1153:O1153)/E1153,2),0),0)</f>
        <v/>
      </c>
      <c r="Q1153" s="141">
        <f>E1153*P1153</f>
        <v/>
      </c>
      <c r="R1153" s="141">
        <f>ROUND(Q1153*IF(AND(offer_incoterms="DDP",seller_region="RU"),IF((TODAY()+offer_turnaround_time)&gt;=helpsheet!$L$17,rate_vatRU_from_26,rate_vatRu_till_25),0),2)</f>
        <v/>
      </c>
      <c r="S1153" s="177">
        <f>Q1153+IF(AND(offer_incoterms="DDP",seller_region="RU"),R1153,0)</f>
        <v/>
      </c>
      <c r="T1153" s="45" t="n"/>
      <c r="V1153" s="57">
        <f>IF(Q1153&gt;0,"показать","скрыть")</f>
        <v/>
      </c>
    </row>
    <row r="1154" ht="15.75" customHeight="1">
      <c r="B1154" s="809" t="n">
        <v>1138</v>
      </c>
      <c r="C1154" s="182">
        <f>IF(offer_sale_type="транзит",IFERROR(VLOOKUP($B1154,calc_data,C$14+1,0),0),0)</f>
        <v/>
      </c>
      <c r="D1154" s="280">
        <f>IF(offer_sale_type="транзит",IFERROR(VLOOKUP($B1154,calc_data,D$14+1,0),0),0)</f>
        <v/>
      </c>
      <c r="E1154" s="182">
        <f>IF(offer_sale_type="транзит",IFERROR(VLOOKUP($B1154,calc_data,E$14+1,0),0),0)</f>
        <v/>
      </c>
      <c r="F1154" s="182">
        <f>IF(offer_sale_type="транзит",IFERROR(VLOOKUP($B1154,calc_data,F$14+1,0),0),0)</f>
        <v/>
      </c>
      <c r="G1154" s="141">
        <f>IF(offer_sale_type="транзит",IFERROR(VLOOKUP($B1154,calc_data,G$14+1,0),0),0)</f>
        <v/>
      </c>
      <c r="H1154" s="141">
        <f>E1154*G1154</f>
        <v/>
      </c>
      <c r="I1154" s="141">
        <f>IF(offer_sale_type="транзит",IFERROR(ROUND(VLOOKUP($B1154,calc_data,I$14+1,0),2),0),0)</f>
        <v/>
      </c>
      <c r="J1154" s="141">
        <f>ROUND(IF(offer_sale_type="транзит",IFERROR(VLOOKUP($B1154,calc_data,J$14+1,0),0),0),2)</f>
        <v/>
      </c>
      <c r="K1154" s="142">
        <f>IF(offer_sale_type="транзит",IFERROR(ROUNDUP(VLOOKUP($B1154,calc_data,K$14+1,0),2),0),0)</f>
        <v/>
      </c>
      <c r="L1154" s="184">
        <f>IF(offer_sale_type="транзит",IFERROR(ROUNDUP(VLOOKUP($B1154,calc_data,L$14+1,0),2),0),0)</f>
        <v/>
      </c>
      <c r="M1154" s="141">
        <f>IF(offer_sale_type="транзит",IFERROR(ROUNDUP(VLOOKUP($B1154,calc_data,M$14+1,0),2),0),0)</f>
        <v/>
      </c>
      <c r="N1154" s="141">
        <f>IF(offer_sale_type="транзит",IFERROR(ROUNDUP(VLOOKUP($B1154,calc_data,N$14+1,0),2),0),0)</f>
        <v/>
      </c>
      <c r="O1154" s="147">
        <f>IF(offer_sale_type="транзит",IFERROR(ROUND(VLOOKUP($B1154,calc_data,O$14+1,1),2),0),0)</f>
        <v/>
      </c>
      <c r="P1154" s="141">
        <f>IF(offer_sale_type="транзит",IFERROR(ROUND(SUM(I1154:J1154,M1154:O1154)/E1154,2),0),0)</f>
        <v/>
      </c>
      <c r="Q1154" s="141">
        <f>E1154*P1154</f>
        <v/>
      </c>
      <c r="R1154" s="141">
        <f>ROUND(Q1154*IF(AND(offer_incoterms="DDP",seller_region="RU"),IF((TODAY()+offer_turnaround_time)&gt;=helpsheet!$L$17,rate_vatRU_from_26,rate_vatRu_till_25),0),2)</f>
        <v/>
      </c>
      <c r="S1154" s="177">
        <f>Q1154+IF(AND(offer_incoterms="DDP",seller_region="RU"),R1154,0)</f>
        <v/>
      </c>
      <c r="T1154" s="45" t="n"/>
      <c r="V1154" s="57">
        <f>IF(Q1154&gt;0,"показать","скрыть")</f>
        <v/>
      </c>
    </row>
    <row r="1155" ht="15.75" customHeight="1">
      <c r="B1155" s="809" t="n">
        <v>1139</v>
      </c>
      <c r="C1155" s="182">
        <f>IF(offer_sale_type="транзит",IFERROR(VLOOKUP($B1155,calc_data,C$14+1,0),0),0)</f>
        <v/>
      </c>
      <c r="D1155" s="280">
        <f>IF(offer_sale_type="транзит",IFERROR(VLOOKUP($B1155,calc_data,D$14+1,0),0),0)</f>
        <v/>
      </c>
      <c r="E1155" s="182">
        <f>IF(offer_sale_type="транзит",IFERROR(VLOOKUP($B1155,calc_data,E$14+1,0),0),0)</f>
        <v/>
      </c>
      <c r="F1155" s="182">
        <f>IF(offer_sale_type="транзит",IFERROR(VLOOKUP($B1155,calc_data,F$14+1,0),0),0)</f>
        <v/>
      </c>
      <c r="G1155" s="141">
        <f>IF(offer_sale_type="транзит",IFERROR(VLOOKUP($B1155,calc_data,G$14+1,0),0),0)</f>
        <v/>
      </c>
      <c r="H1155" s="141">
        <f>E1155*G1155</f>
        <v/>
      </c>
      <c r="I1155" s="141">
        <f>IF(offer_sale_type="транзит",IFERROR(ROUND(VLOOKUP($B1155,calc_data,I$14+1,0),2),0),0)</f>
        <v/>
      </c>
      <c r="J1155" s="141">
        <f>ROUND(IF(offer_sale_type="транзит",IFERROR(VLOOKUP($B1155,calc_data,J$14+1,0),0),0),2)</f>
        <v/>
      </c>
      <c r="K1155" s="142">
        <f>IF(offer_sale_type="транзит",IFERROR(ROUNDUP(VLOOKUP($B1155,calc_data,K$14+1,0),2),0),0)</f>
        <v/>
      </c>
      <c r="L1155" s="184">
        <f>IF(offer_sale_type="транзит",IFERROR(ROUNDUP(VLOOKUP($B1155,calc_data,L$14+1,0),2),0),0)</f>
        <v/>
      </c>
      <c r="M1155" s="141">
        <f>IF(offer_sale_type="транзит",IFERROR(ROUNDUP(VLOOKUP($B1155,calc_data,M$14+1,0),2),0),0)</f>
        <v/>
      </c>
      <c r="N1155" s="141">
        <f>IF(offer_sale_type="транзит",IFERROR(ROUNDUP(VLOOKUP($B1155,calc_data,N$14+1,0),2),0),0)</f>
        <v/>
      </c>
      <c r="O1155" s="147">
        <f>IF(offer_sale_type="транзит",IFERROR(ROUND(VLOOKUP($B1155,calc_data,O$14+1,1),2),0),0)</f>
        <v/>
      </c>
      <c r="P1155" s="141">
        <f>IF(offer_sale_type="транзит",IFERROR(ROUND(SUM(I1155:J1155,M1155:O1155)/E1155,2),0),0)</f>
        <v/>
      </c>
      <c r="Q1155" s="141">
        <f>E1155*P1155</f>
        <v/>
      </c>
      <c r="R1155" s="141">
        <f>ROUND(Q1155*IF(AND(offer_incoterms="DDP",seller_region="RU"),IF((TODAY()+offer_turnaround_time)&gt;=helpsheet!$L$17,rate_vatRU_from_26,rate_vatRu_till_25),0),2)</f>
        <v/>
      </c>
      <c r="S1155" s="177">
        <f>Q1155+IF(AND(offer_incoterms="DDP",seller_region="RU"),R1155,0)</f>
        <v/>
      </c>
      <c r="T1155" s="45" t="n"/>
      <c r="V1155" s="57">
        <f>IF(Q1155&gt;0,"показать","скрыть")</f>
        <v/>
      </c>
    </row>
    <row r="1156" ht="15.75" customHeight="1">
      <c r="B1156" s="809" t="n">
        <v>1140</v>
      </c>
      <c r="C1156" s="182">
        <f>IF(offer_sale_type="транзит",IFERROR(VLOOKUP($B1156,calc_data,C$14+1,0),0),0)</f>
        <v/>
      </c>
      <c r="D1156" s="280">
        <f>IF(offer_sale_type="транзит",IFERROR(VLOOKUP($B1156,calc_data,D$14+1,0),0),0)</f>
        <v/>
      </c>
      <c r="E1156" s="182">
        <f>IF(offer_sale_type="транзит",IFERROR(VLOOKUP($B1156,calc_data,E$14+1,0),0),0)</f>
        <v/>
      </c>
      <c r="F1156" s="182">
        <f>IF(offer_sale_type="транзит",IFERROR(VLOOKUP($B1156,calc_data,F$14+1,0),0),0)</f>
        <v/>
      </c>
      <c r="G1156" s="141">
        <f>IF(offer_sale_type="транзит",IFERROR(VLOOKUP($B1156,calc_data,G$14+1,0),0),0)</f>
        <v/>
      </c>
      <c r="H1156" s="141">
        <f>E1156*G1156</f>
        <v/>
      </c>
      <c r="I1156" s="141">
        <f>IF(offer_sale_type="транзит",IFERROR(ROUND(VLOOKUP($B1156,calc_data,I$14+1,0),2),0),0)</f>
        <v/>
      </c>
      <c r="J1156" s="141">
        <f>ROUND(IF(offer_sale_type="транзит",IFERROR(VLOOKUP($B1156,calc_data,J$14+1,0),0),0),2)</f>
        <v/>
      </c>
      <c r="K1156" s="142">
        <f>IF(offer_sale_type="транзит",IFERROR(ROUNDUP(VLOOKUP($B1156,calc_data,K$14+1,0),2),0),0)</f>
        <v/>
      </c>
      <c r="L1156" s="184">
        <f>IF(offer_sale_type="транзит",IFERROR(ROUNDUP(VLOOKUP($B1156,calc_data,L$14+1,0),2),0),0)</f>
        <v/>
      </c>
      <c r="M1156" s="141">
        <f>IF(offer_sale_type="транзит",IFERROR(ROUNDUP(VLOOKUP($B1156,calc_data,M$14+1,0),2),0),0)</f>
        <v/>
      </c>
      <c r="N1156" s="141">
        <f>IF(offer_sale_type="транзит",IFERROR(ROUNDUP(VLOOKUP($B1156,calc_data,N$14+1,0),2),0),0)</f>
        <v/>
      </c>
      <c r="O1156" s="147">
        <f>IF(offer_sale_type="транзит",IFERROR(ROUND(VLOOKUP($B1156,calc_data,O$14+1,1),2),0),0)</f>
        <v/>
      </c>
      <c r="P1156" s="141">
        <f>IF(offer_sale_type="транзит",IFERROR(ROUND(SUM(I1156:J1156,M1156:O1156)/E1156,2),0),0)</f>
        <v/>
      </c>
      <c r="Q1156" s="141">
        <f>E1156*P1156</f>
        <v/>
      </c>
      <c r="R1156" s="141">
        <f>ROUND(Q1156*IF(AND(offer_incoterms="DDP",seller_region="RU"),IF((TODAY()+offer_turnaround_time)&gt;=helpsheet!$L$17,rate_vatRU_from_26,rate_vatRu_till_25),0),2)</f>
        <v/>
      </c>
      <c r="S1156" s="177">
        <f>Q1156+IF(AND(offer_incoterms="DDP",seller_region="RU"),R1156,0)</f>
        <v/>
      </c>
      <c r="T1156" s="45" t="n"/>
      <c r="V1156" s="57">
        <f>IF(Q1156&gt;0,"показать","скрыть")</f>
        <v/>
      </c>
    </row>
    <row r="1157" ht="15.75" customHeight="1">
      <c r="B1157" s="809" t="n">
        <v>1141</v>
      </c>
      <c r="C1157" s="182">
        <f>IF(offer_sale_type="транзит",IFERROR(VLOOKUP($B1157,calc_data,C$14+1,0),0),0)</f>
        <v/>
      </c>
      <c r="D1157" s="280">
        <f>IF(offer_sale_type="транзит",IFERROR(VLOOKUP($B1157,calc_data,D$14+1,0),0),0)</f>
        <v/>
      </c>
      <c r="E1157" s="182">
        <f>IF(offer_sale_type="транзит",IFERROR(VLOOKUP($B1157,calc_data,E$14+1,0),0),0)</f>
        <v/>
      </c>
      <c r="F1157" s="182">
        <f>IF(offer_sale_type="транзит",IFERROR(VLOOKUP($B1157,calc_data,F$14+1,0),0),0)</f>
        <v/>
      </c>
      <c r="G1157" s="141">
        <f>IF(offer_sale_type="транзит",IFERROR(VLOOKUP($B1157,calc_data,G$14+1,0),0),0)</f>
        <v/>
      </c>
      <c r="H1157" s="141">
        <f>E1157*G1157</f>
        <v/>
      </c>
      <c r="I1157" s="141">
        <f>IF(offer_sale_type="транзит",IFERROR(ROUND(VLOOKUP($B1157,calc_data,I$14+1,0),2),0),0)</f>
        <v/>
      </c>
      <c r="J1157" s="141">
        <f>ROUND(IF(offer_sale_type="транзит",IFERROR(VLOOKUP($B1157,calc_data,J$14+1,0),0),0),2)</f>
        <v/>
      </c>
      <c r="K1157" s="142">
        <f>IF(offer_sale_type="транзит",IFERROR(ROUNDUP(VLOOKUP($B1157,calc_data,K$14+1,0),2),0),0)</f>
        <v/>
      </c>
      <c r="L1157" s="184">
        <f>IF(offer_sale_type="транзит",IFERROR(ROUNDUP(VLOOKUP($B1157,calc_data,L$14+1,0),2),0),0)</f>
        <v/>
      </c>
      <c r="M1157" s="141">
        <f>IF(offer_sale_type="транзит",IFERROR(ROUNDUP(VLOOKUP($B1157,calc_data,M$14+1,0),2),0),0)</f>
        <v/>
      </c>
      <c r="N1157" s="141">
        <f>IF(offer_sale_type="транзит",IFERROR(ROUNDUP(VLOOKUP($B1157,calc_data,N$14+1,0),2),0),0)</f>
        <v/>
      </c>
      <c r="O1157" s="147">
        <f>IF(offer_sale_type="транзит",IFERROR(ROUND(VLOOKUP($B1157,calc_data,O$14+1,1),2),0),0)</f>
        <v/>
      </c>
      <c r="P1157" s="141">
        <f>IF(offer_sale_type="транзит",IFERROR(ROUND(SUM(I1157:J1157,M1157:O1157)/E1157,2),0),0)</f>
        <v/>
      </c>
      <c r="Q1157" s="141">
        <f>E1157*P1157</f>
        <v/>
      </c>
      <c r="R1157" s="141">
        <f>ROUND(Q1157*IF(AND(offer_incoterms="DDP",seller_region="RU"),IF((TODAY()+offer_turnaround_time)&gt;=helpsheet!$L$17,rate_vatRU_from_26,rate_vatRu_till_25),0),2)</f>
        <v/>
      </c>
      <c r="S1157" s="177">
        <f>Q1157+IF(AND(offer_incoterms="DDP",seller_region="RU"),R1157,0)</f>
        <v/>
      </c>
      <c r="T1157" s="45" t="n"/>
      <c r="V1157" s="57">
        <f>IF(Q1157&gt;0,"показать","скрыть")</f>
        <v/>
      </c>
    </row>
    <row r="1158" ht="15.75" customHeight="1">
      <c r="B1158" s="809" t="n">
        <v>1142</v>
      </c>
      <c r="C1158" s="182">
        <f>IF(offer_sale_type="транзит",IFERROR(VLOOKUP($B1158,calc_data,C$14+1,0),0),0)</f>
        <v/>
      </c>
      <c r="D1158" s="280">
        <f>IF(offer_sale_type="транзит",IFERROR(VLOOKUP($B1158,calc_data,D$14+1,0),0),0)</f>
        <v/>
      </c>
      <c r="E1158" s="182">
        <f>IF(offer_sale_type="транзит",IFERROR(VLOOKUP($B1158,calc_data,E$14+1,0),0),0)</f>
        <v/>
      </c>
      <c r="F1158" s="182">
        <f>IF(offer_sale_type="транзит",IFERROR(VLOOKUP($B1158,calc_data,F$14+1,0),0),0)</f>
        <v/>
      </c>
      <c r="G1158" s="141">
        <f>IF(offer_sale_type="транзит",IFERROR(VLOOKUP($B1158,calc_data,G$14+1,0),0),0)</f>
        <v/>
      </c>
      <c r="H1158" s="141">
        <f>E1158*G1158</f>
        <v/>
      </c>
      <c r="I1158" s="141">
        <f>IF(offer_sale_type="транзит",IFERROR(ROUND(VLOOKUP($B1158,calc_data,I$14+1,0),2),0),0)</f>
        <v/>
      </c>
      <c r="J1158" s="141">
        <f>ROUND(IF(offer_sale_type="транзит",IFERROR(VLOOKUP($B1158,calc_data,J$14+1,0),0),0),2)</f>
        <v/>
      </c>
      <c r="K1158" s="142">
        <f>IF(offer_sale_type="транзит",IFERROR(ROUNDUP(VLOOKUP($B1158,calc_data,K$14+1,0),2),0),0)</f>
        <v/>
      </c>
      <c r="L1158" s="184">
        <f>IF(offer_sale_type="транзит",IFERROR(ROUNDUP(VLOOKUP($B1158,calc_data,L$14+1,0),2),0),0)</f>
        <v/>
      </c>
      <c r="M1158" s="141">
        <f>IF(offer_sale_type="транзит",IFERROR(ROUNDUP(VLOOKUP($B1158,calc_data,M$14+1,0),2),0),0)</f>
        <v/>
      </c>
      <c r="N1158" s="141">
        <f>IF(offer_sale_type="транзит",IFERROR(ROUNDUP(VLOOKUP($B1158,calc_data,N$14+1,0),2),0),0)</f>
        <v/>
      </c>
      <c r="O1158" s="147">
        <f>IF(offer_sale_type="транзит",IFERROR(ROUND(VLOOKUP($B1158,calc_data,O$14+1,1),2),0),0)</f>
        <v/>
      </c>
      <c r="P1158" s="141">
        <f>IF(offer_sale_type="транзит",IFERROR(ROUND(SUM(I1158:J1158,M1158:O1158)/E1158,2),0),0)</f>
        <v/>
      </c>
      <c r="Q1158" s="141">
        <f>E1158*P1158</f>
        <v/>
      </c>
      <c r="R1158" s="141">
        <f>ROUND(Q1158*IF(AND(offer_incoterms="DDP",seller_region="RU"),IF((TODAY()+offer_turnaround_time)&gt;=helpsheet!$L$17,rate_vatRU_from_26,rate_vatRu_till_25),0),2)</f>
        <v/>
      </c>
      <c r="S1158" s="177">
        <f>Q1158+IF(AND(offer_incoterms="DDP",seller_region="RU"),R1158,0)</f>
        <v/>
      </c>
      <c r="T1158" s="45" t="n"/>
      <c r="V1158" s="57">
        <f>IF(Q1158&gt;0,"показать","скрыть")</f>
        <v/>
      </c>
    </row>
    <row r="1159" ht="15.75" customHeight="1">
      <c r="B1159" s="809" t="n">
        <v>1143</v>
      </c>
      <c r="C1159" s="182">
        <f>IF(offer_sale_type="транзит",IFERROR(VLOOKUP($B1159,calc_data,C$14+1,0),0),0)</f>
        <v/>
      </c>
      <c r="D1159" s="280">
        <f>IF(offer_sale_type="транзит",IFERROR(VLOOKUP($B1159,calc_data,D$14+1,0),0),0)</f>
        <v/>
      </c>
      <c r="E1159" s="182">
        <f>IF(offer_sale_type="транзит",IFERROR(VLOOKUP($B1159,calc_data,E$14+1,0),0),0)</f>
        <v/>
      </c>
      <c r="F1159" s="182">
        <f>IF(offer_sale_type="транзит",IFERROR(VLOOKUP($B1159,calc_data,F$14+1,0),0),0)</f>
        <v/>
      </c>
      <c r="G1159" s="141">
        <f>IF(offer_sale_type="транзит",IFERROR(VLOOKUP($B1159,calc_data,G$14+1,0),0),0)</f>
        <v/>
      </c>
      <c r="H1159" s="141">
        <f>E1159*G1159</f>
        <v/>
      </c>
      <c r="I1159" s="141">
        <f>IF(offer_sale_type="транзит",IFERROR(ROUND(VLOOKUP($B1159,calc_data,I$14+1,0),2),0),0)</f>
        <v/>
      </c>
      <c r="J1159" s="141">
        <f>ROUND(IF(offer_sale_type="транзит",IFERROR(VLOOKUP($B1159,calc_data,J$14+1,0),0),0),2)</f>
        <v/>
      </c>
      <c r="K1159" s="142">
        <f>IF(offer_sale_type="транзит",IFERROR(ROUNDUP(VLOOKUP($B1159,calc_data,K$14+1,0),2),0),0)</f>
        <v/>
      </c>
      <c r="L1159" s="184">
        <f>IF(offer_sale_type="транзит",IFERROR(ROUNDUP(VLOOKUP($B1159,calc_data,L$14+1,0),2),0),0)</f>
        <v/>
      </c>
      <c r="M1159" s="141">
        <f>IF(offer_sale_type="транзит",IFERROR(ROUNDUP(VLOOKUP($B1159,calc_data,M$14+1,0),2),0),0)</f>
        <v/>
      </c>
      <c r="N1159" s="141">
        <f>IF(offer_sale_type="транзит",IFERROR(ROUNDUP(VLOOKUP($B1159,calc_data,N$14+1,0),2),0),0)</f>
        <v/>
      </c>
      <c r="O1159" s="147">
        <f>IF(offer_sale_type="транзит",IFERROR(ROUND(VLOOKUP($B1159,calc_data,O$14+1,1),2),0),0)</f>
        <v/>
      </c>
      <c r="P1159" s="141">
        <f>IF(offer_sale_type="транзит",IFERROR(ROUND(SUM(I1159:J1159,M1159:O1159)/E1159,2),0),0)</f>
        <v/>
      </c>
      <c r="Q1159" s="141">
        <f>E1159*P1159</f>
        <v/>
      </c>
      <c r="R1159" s="141">
        <f>ROUND(Q1159*IF(AND(offer_incoterms="DDP",seller_region="RU"),IF((TODAY()+offer_turnaround_time)&gt;=helpsheet!$L$17,rate_vatRU_from_26,rate_vatRu_till_25),0),2)</f>
        <v/>
      </c>
      <c r="S1159" s="177">
        <f>Q1159+IF(AND(offer_incoterms="DDP",seller_region="RU"),R1159,0)</f>
        <v/>
      </c>
      <c r="T1159" s="45" t="n"/>
      <c r="V1159" s="57">
        <f>IF(Q1159&gt;0,"показать","скрыть")</f>
        <v/>
      </c>
    </row>
    <row r="1160" ht="15.75" customHeight="1">
      <c r="B1160" s="809" t="n">
        <v>1144</v>
      </c>
      <c r="C1160" s="182">
        <f>IF(offer_sale_type="транзит",IFERROR(VLOOKUP($B1160,calc_data,C$14+1,0),0),0)</f>
        <v/>
      </c>
      <c r="D1160" s="280">
        <f>IF(offer_sale_type="транзит",IFERROR(VLOOKUP($B1160,calc_data,D$14+1,0),0),0)</f>
        <v/>
      </c>
      <c r="E1160" s="182">
        <f>IF(offer_sale_type="транзит",IFERROR(VLOOKUP($B1160,calc_data,E$14+1,0),0),0)</f>
        <v/>
      </c>
      <c r="F1160" s="182">
        <f>IF(offer_sale_type="транзит",IFERROR(VLOOKUP($B1160,calc_data,F$14+1,0),0),0)</f>
        <v/>
      </c>
      <c r="G1160" s="141">
        <f>IF(offer_sale_type="транзит",IFERROR(VLOOKUP($B1160,calc_data,G$14+1,0),0),0)</f>
        <v/>
      </c>
      <c r="H1160" s="141">
        <f>E1160*G1160</f>
        <v/>
      </c>
      <c r="I1160" s="141">
        <f>IF(offer_sale_type="транзит",IFERROR(ROUND(VLOOKUP($B1160,calc_data,I$14+1,0),2),0),0)</f>
        <v/>
      </c>
      <c r="J1160" s="141">
        <f>ROUND(IF(offer_sale_type="транзит",IFERROR(VLOOKUP($B1160,calc_data,J$14+1,0),0),0),2)</f>
        <v/>
      </c>
      <c r="K1160" s="142">
        <f>IF(offer_sale_type="транзит",IFERROR(ROUNDUP(VLOOKUP($B1160,calc_data,K$14+1,0),2),0),0)</f>
        <v/>
      </c>
      <c r="L1160" s="184">
        <f>IF(offer_sale_type="транзит",IFERROR(ROUNDUP(VLOOKUP($B1160,calc_data,L$14+1,0),2),0),0)</f>
        <v/>
      </c>
      <c r="M1160" s="141">
        <f>IF(offer_sale_type="транзит",IFERROR(ROUNDUP(VLOOKUP($B1160,calc_data,M$14+1,0),2),0),0)</f>
        <v/>
      </c>
      <c r="N1160" s="141">
        <f>IF(offer_sale_type="транзит",IFERROR(ROUNDUP(VLOOKUP($B1160,calc_data,N$14+1,0),2),0),0)</f>
        <v/>
      </c>
      <c r="O1160" s="147">
        <f>IF(offer_sale_type="транзит",IFERROR(ROUND(VLOOKUP($B1160,calc_data,O$14+1,1),2),0),0)</f>
        <v/>
      </c>
      <c r="P1160" s="141">
        <f>IF(offer_sale_type="транзит",IFERROR(ROUND(SUM(I1160:J1160,M1160:O1160)/E1160,2),0),0)</f>
        <v/>
      </c>
      <c r="Q1160" s="141">
        <f>E1160*P1160</f>
        <v/>
      </c>
      <c r="R1160" s="141">
        <f>ROUND(Q1160*IF(AND(offer_incoterms="DDP",seller_region="RU"),IF((TODAY()+offer_turnaround_time)&gt;=helpsheet!$L$17,rate_vatRU_from_26,rate_vatRu_till_25),0),2)</f>
        <v/>
      </c>
      <c r="S1160" s="177">
        <f>Q1160+IF(AND(offer_incoterms="DDP",seller_region="RU"),R1160,0)</f>
        <v/>
      </c>
      <c r="T1160" s="45" t="n"/>
      <c r="V1160" s="57">
        <f>IF(Q1160&gt;0,"показать","скрыть")</f>
        <v/>
      </c>
    </row>
    <row r="1161" ht="15.75" customHeight="1">
      <c r="B1161" s="809" t="n">
        <v>1145</v>
      </c>
      <c r="C1161" s="182">
        <f>IF(offer_sale_type="транзит",IFERROR(VLOOKUP($B1161,calc_data,C$14+1,0),0),0)</f>
        <v/>
      </c>
      <c r="D1161" s="280">
        <f>IF(offer_sale_type="транзит",IFERROR(VLOOKUP($B1161,calc_data,D$14+1,0),0),0)</f>
        <v/>
      </c>
      <c r="E1161" s="182">
        <f>IF(offer_sale_type="транзит",IFERROR(VLOOKUP($B1161,calc_data,E$14+1,0),0),0)</f>
        <v/>
      </c>
      <c r="F1161" s="182">
        <f>IF(offer_sale_type="транзит",IFERROR(VLOOKUP($B1161,calc_data,F$14+1,0),0),0)</f>
        <v/>
      </c>
      <c r="G1161" s="141">
        <f>IF(offer_sale_type="транзит",IFERROR(VLOOKUP($B1161,calc_data,G$14+1,0),0),0)</f>
        <v/>
      </c>
      <c r="H1161" s="141">
        <f>E1161*G1161</f>
        <v/>
      </c>
      <c r="I1161" s="141">
        <f>IF(offer_sale_type="транзит",IFERROR(ROUND(VLOOKUP($B1161,calc_data,I$14+1,0),2),0),0)</f>
        <v/>
      </c>
      <c r="J1161" s="141">
        <f>ROUND(IF(offer_sale_type="транзит",IFERROR(VLOOKUP($B1161,calc_data,J$14+1,0),0),0),2)</f>
        <v/>
      </c>
      <c r="K1161" s="142">
        <f>IF(offer_sale_type="транзит",IFERROR(ROUNDUP(VLOOKUP($B1161,calc_data,K$14+1,0),2),0),0)</f>
        <v/>
      </c>
      <c r="L1161" s="184">
        <f>IF(offer_sale_type="транзит",IFERROR(ROUNDUP(VLOOKUP($B1161,calc_data,L$14+1,0),2),0),0)</f>
        <v/>
      </c>
      <c r="M1161" s="141">
        <f>IF(offer_sale_type="транзит",IFERROR(ROUNDUP(VLOOKUP($B1161,calc_data,M$14+1,0),2),0),0)</f>
        <v/>
      </c>
      <c r="N1161" s="141">
        <f>IF(offer_sale_type="транзит",IFERROR(ROUNDUP(VLOOKUP($B1161,calc_data,N$14+1,0),2),0),0)</f>
        <v/>
      </c>
      <c r="O1161" s="147">
        <f>IF(offer_sale_type="транзит",IFERROR(ROUND(VLOOKUP($B1161,calc_data,O$14+1,1),2),0),0)</f>
        <v/>
      </c>
      <c r="P1161" s="141">
        <f>IF(offer_sale_type="транзит",IFERROR(ROUND(SUM(I1161:J1161,M1161:O1161)/E1161,2),0),0)</f>
        <v/>
      </c>
      <c r="Q1161" s="141">
        <f>E1161*P1161</f>
        <v/>
      </c>
      <c r="R1161" s="141">
        <f>ROUND(Q1161*IF(AND(offer_incoterms="DDP",seller_region="RU"),IF((TODAY()+offer_turnaround_time)&gt;=helpsheet!$L$17,rate_vatRU_from_26,rate_vatRu_till_25),0),2)</f>
        <v/>
      </c>
      <c r="S1161" s="177">
        <f>Q1161+IF(AND(offer_incoterms="DDP",seller_region="RU"),R1161,0)</f>
        <v/>
      </c>
      <c r="T1161" s="45" t="n"/>
      <c r="V1161" s="57">
        <f>IF(Q1161&gt;0,"показать","скрыть")</f>
        <v/>
      </c>
    </row>
    <row r="1162" ht="15.75" customHeight="1">
      <c r="B1162" s="809" t="n">
        <v>1146</v>
      </c>
      <c r="C1162" s="182">
        <f>IF(offer_sale_type="транзит",IFERROR(VLOOKUP($B1162,calc_data,C$14+1,0),0),0)</f>
        <v/>
      </c>
      <c r="D1162" s="280">
        <f>IF(offer_sale_type="транзит",IFERROR(VLOOKUP($B1162,calc_data,D$14+1,0),0),0)</f>
        <v/>
      </c>
      <c r="E1162" s="182">
        <f>IF(offer_sale_type="транзит",IFERROR(VLOOKUP($B1162,calc_data,E$14+1,0),0),0)</f>
        <v/>
      </c>
      <c r="F1162" s="182">
        <f>IF(offer_sale_type="транзит",IFERROR(VLOOKUP($B1162,calc_data,F$14+1,0),0),0)</f>
        <v/>
      </c>
      <c r="G1162" s="141">
        <f>IF(offer_sale_type="транзит",IFERROR(VLOOKUP($B1162,calc_data,G$14+1,0),0),0)</f>
        <v/>
      </c>
      <c r="H1162" s="141">
        <f>E1162*G1162</f>
        <v/>
      </c>
      <c r="I1162" s="141">
        <f>IF(offer_sale_type="транзит",IFERROR(ROUND(VLOOKUP($B1162,calc_data,I$14+1,0),2),0),0)</f>
        <v/>
      </c>
      <c r="J1162" s="141">
        <f>ROUND(IF(offer_sale_type="транзит",IFERROR(VLOOKUP($B1162,calc_data,J$14+1,0),0),0),2)</f>
        <v/>
      </c>
      <c r="K1162" s="142">
        <f>IF(offer_sale_type="транзит",IFERROR(ROUNDUP(VLOOKUP($B1162,calc_data,K$14+1,0),2),0),0)</f>
        <v/>
      </c>
      <c r="L1162" s="184">
        <f>IF(offer_sale_type="транзит",IFERROR(ROUNDUP(VLOOKUP($B1162,calc_data,L$14+1,0),2),0),0)</f>
        <v/>
      </c>
      <c r="M1162" s="141">
        <f>IF(offer_sale_type="транзит",IFERROR(ROUNDUP(VLOOKUP($B1162,calc_data,M$14+1,0),2),0),0)</f>
        <v/>
      </c>
      <c r="N1162" s="141">
        <f>IF(offer_sale_type="транзит",IFERROR(ROUNDUP(VLOOKUP($B1162,calc_data,N$14+1,0),2),0),0)</f>
        <v/>
      </c>
      <c r="O1162" s="147">
        <f>IF(offer_sale_type="транзит",IFERROR(ROUND(VLOOKUP($B1162,calc_data,O$14+1,1),2),0),0)</f>
        <v/>
      </c>
      <c r="P1162" s="141">
        <f>IF(offer_sale_type="транзит",IFERROR(ROUND(SUM(I1162:J1162,M1162:O1162)/E1162,2),0),0)</f>
        <v/>
      </c>
      <c r="Q1162" s="141">
        <f>E1162*P1162</f>
        <v/>
      </c>
      <c r="R1162" s="141">
        <f>ROUND(Q1162*IF(AND(offer_incoterms="DDP",seller_region="RU"),IF((TODAY()+offer_turnaround_time)&gt;=helpsheet!$L$17,rate_vatRU_from_26,rate_vatRu_till_25),0),2)</f>
        <v/>
      </c>
      <c r="S1162" s="177">
        <f>Q1162+IF(AND(offer_incoterms="DDP",seller_region="RU"),R1162,0)</f>
        <v/>
      </c>
      <c r="T1162" s="45" t="n"/>
      <c r="V1162" s="57">
        <f>IF(Q1162&gt;0,"показать","скрыть")</f>
        <v/>
      </c>
    </row>
    <row r="1163" ht="15.75" customHeight="1">
      <c r="B1163" s="809" t="n">
        <v>1147</v>
      </c>
      <c r="C1163" s="182">
        <f>IF(offer_sale_type="транзит",IFERROR(VLOOKUP($B1163,calc_data,C$14+1,0),0),0)</f>
        <v/>
      </c>
      <c r="D1163" s="280">
        <f>IF(offer_sale_type="транзит",IFERROR(VLOOKUP($B1163,calc_data,D$14+1,0),0),0)</f>
        <v/>
      </c>
      <c r="E1163" s="182">
        <f>IF(offer_sale_type="транзит",IFERROR(VLOOKUP($B1163,calc_data,E$14+1,0),0),0)</f>
        <v/>
      </c>
      <c r="F1163" s="182">
        <f>IF(offer_sale_type="транзит",IFERROR(VLOOKUP($B1163,calc_data,F$14+1,0),0),0)</f>
        <v/>
      </c>
      <c r="G1163" s="141">
        <f>IF(offer_sale_type="транзит",IFERROR(VLOOKUP($B1163,calc_data,G$14+1,0),0),0)</f>
        <v/>
      </c>
      <c r="H1163" s="141">
        <f>E1163*G1163</f>
        <v/>
      </c>
      <c r="I1163" s="141">
        <f>IF(offer_sale_type="транзит",IFERROR(ROUND(VLOOKUP($B1163,calc_data,I$14+1,0),2),0),0)</f>
        <v/>
      </c>
      <c r="J1163" s="141">
        <f>ROUND(IF(offer_sale_type="транзит",IFERROR(VLOOKUP($B1163,calc_data,J$14+1,0),0),0),2)</f>
        <v/>
      </c>
      <c r="K1163" s="142">
        <f>IF(offer_sale_type="транзит",IFERROR(ROUNDUP(VLOOKUP($B1163,calc_data,K$14+1,0),2),0),0)</f>
        <v/>
      </c>
      <c r="L1163" s="184">
        <f>IF(offer_sale_type="транзит",IFERROR(ROUNDUP(VLOOKUP($B1163,calc_data,L$14+1,0),2),0),0)</f>
        <v/>
      </c>
      <c r="M1163" s="141">
        <f>IF(offer_sale_type="транзит",IFERROR(ROUNDUP(VLOOKUP($B1163,calc_data,M$14+1,0),2),0),0)</f>
        <v/>
      </c>
      <c r="N1163" s="141">
        <f>IF(offer_sale_type="транзит",IFERROR(ROUNDUP(VLOOKUP($B1163,calc_data,N$14+1,0),2),0),0)</f>
        <v/>
      </c>
      <c r="O1163" s="147">
        <f>IF(offer_sale_type="транзит",IFERROR(ROUND(VLOOKUP($B1163,calc_data,O$14+1,1),2),0),0)</f>
        <v/>
      </c>
      <c r="P1163" s="141">
        <f>IF(offer_sale_type="транзит",IFERROR(ROUND(SUM(I1163:J1163,M1163:O1163)/E1163,2),0),0)</f>
        <v/>
      </c>
      <c r="Q1163" s="141">
        <f>E1163*P1163</f>
        <v/>
      </c>
      <c r="R1163" s="141">
        <f>ROUND(Q1163*IF(AND(offer_incoterms="DDP",seller_region="RU"),IF((TODAY()+offer_turnaround_time)&gt;=helpsheet!$L$17,rate_vatRU_from_26,rate_vatRu_till_25),0),2)</f>
        <v/>
      </c>
      <c r="S1163" s="177">
        <f>Q1163+IF(AND(offer_incoterms="DDP",seller_region="RU"),R1163,0)</f>
        <v/>
      </c>
      <c r="T1163" s="45" t="n"/>
      <c r="V1163" s="57">
        <f>IF(Q1163&gt;0,"показать","скрыть")</f>
        <v/>
      </c>
    </row>
    <row r="1164" ht="15.75" customHeight="1">
      <c r="B1164" s="809" t="n">
        <v>1148</v>
      </c>
      <c r="C1164" s="182">
        <f>IF(offer_sale_type="транзит",IFERROR(VLOOKUP($B1164,calc_data,C$14+1,0),0),0)</f>
        <v/>
      </c>
      <c r="D1164" s="280">
        <f>IF(offer_sale_type="транзит",IFERROR(VLOOKUP($B1164,calc_data,D$14+1,0),0),0)</f>
        <v/>
      </c>
      <c r="E1164" s="182">
        <f>IF(offer_sale_type="транзит",IFERROR(VLOOKUP($B1164,calc_data,E$14+1,0),0),0)</f>
        <v/>
      </c>
      <c r="F1164" s="182">
        <f>IF(offer_sale_type="транзит",IFERROR(VLOOKUP($B1164,calc_data,F$14+1,0),0),0)</f>
        <v/>
      </c>
      <c r="G1164" s="141">
        <f>IF(offer_sale_type="транзит",IFERROR(VLOOKUP($B1164,calc_data,G$14+1,0),0),0)</f>
        <v/>
      </c>
      <c r="H1164" s="141">
        <f>E1164*G1164</f>
        <v/>
      </c>
      <c r="I1164" s="141">
        <f>IF(offer_sale_type="транзит",IFERROR(ROUND(VLOOKUP($B1164,calc_data,I$14+1,0),2),0),0)</f>
        <v/>
      </c>
      <c r="J1164" s="141">
        <f>ROUND(IF(offer_sale_type="транзит",IFERROR(VLOOKUP($B1164,calc_data,J$14+1,0),0),0),2)</f>
        <v/>
      </c>
      <c r="K1164" s="142">
        <f>IF(offer_sale_type="транзит",IFERROR(ROUNDUP(VLOOKUP($B1164,calc_data,K$14+1,0),2),0),0)</f>
        <v/>
      </c>
      <c r="L1164" s="184">
        <f>IF(offer_sale_type="транзит",IFERROR(ROUNDUP(VLOOKUP($B1164,calc_data,L$14+1,0),2),0),0)</f>
        <v/>
      </c>
      <c r="M1164" s="141">
        <f>IF(offer_sale_type="транзит",IFERROR(ROUNDUP(VLOOKUP($B1164,calc_data,M$14+1,0),2),0),0)</f>
        <v/>
      </c>
      <c r="N1164" s="141">
        <f>IF(offer_sale_type="транзит",IFERROR(ROUNDUP(VLOOKUP($B1164,calc_data,N$14+1,0),2),0),0)</f>
        <v/>
      </c>
      <c r="O1164" s="147">
        <f>IF(offer_sale_type="транзит",IFERROR(ROUND(VLOOKUP($B1164,calc_data,O$14+1,1),2),0),0)</f>
        <v/>
      </c>
      <c r="P1164" s="141">
        <f>IF(offer_sale_type="транзит",IFERROR(ROUND(SUM(I1164:J1164,M1164:O1164)/E1164,2),0),0)</f>
        <v/>
      </c>
      <c r="Q1164" s="141">
        <f>E1164*P1164</f>
        <v/>
      </c>
      <c r="R1164" s="141">
        <f>ROUND(Q1164*IF(AND(offer_incoterms="DDP",seller_region="RU"),IF((TODAY()+offer_turnaround_time)&gt;=helpsheet!$L$17,rate_vatRU_from_26,rate_vatRu_till_25),0),2)</f>
        <v/>
      </c>
      <c r="S1164" s="177">
        <f>Q1164+IF(AND(offer_incoterms="DDP",seller_region="RU"),R1164,0)</f>
        <v/>
      </c>
      <c r="T1164" s="45" t="n"/>
      <c r="V1164" s="57">
        <f>IF(Q1164&gt;0,"показать","скрыть")</f>
        <v/>
      </c>
    </row>
    <row r="1165" ht="15.75" customHeight="1">
      <c r="B1165" s="809" t="n">
        <v>1149</v>
      </c>
      <c r="C1165" s="182">
        <f>IF(offer_sale_type="транзит",IFERROR(VLOOKUP($B1165,calc_data,C$14+1,0),0),0)</f>
        <v/>
      </c>
      <c r="D1165" s="280">
        <f>IF(offer_sale_type="транзит",IFERROR(VLOOKUP($B1165,calc_data,D$14+1,0),0),0)</f>
        <v/>
      </c>
      <c r="E1165" s="182">
        <f>IF(offer_sale_type="транзит",IFERROR(VLOOKUP($B1165,calc_data,E$14+1,0),0),0)</f>
        <v/>
      </c>
      <c r="F1165" s="182">
        <f>IF(offer_sale_type="транзит",IFERROR(VLOOKUP($B1165,calc_data,F$14+1,0),0),0)</f>
        <v/>
      </c>
      <c r="G1165" s="141">
        <f>IF(offer_sale_type="транзит",IFERROR(VLOOKUP($B1165,calc_data,G$14+1,0),0),0)</f>
        <v/>
      </c>
      <c r="H1165" s="141">
        <f>E1165*G1165</f>
        <v/>
      </c>
      <c r="I1165" s="141">
        <f>IF(offer_sale_type="транзит",IFERROR(ROUND(VLOOKUP($B1165,calc_data,I$14+1,0),2),0),0)</f>
        <v/>
      </c>
      <c r="J1165" s="141">
        <f>ROUND(IF(offer_sale_type="транзит",IFERROR(VLOOKUP($B1165,calc_data,J$14+1,0),0),0),2)</f>
        <v/>
      </c>
      <c r="K1165" s="142">
        <f>IF(offer_sale_type="транзит",IFERROR(ROUNDUP(VLOOKUP($B1165,calc_data,K$14+1,0),2),0),0)</f>
        <v/>
      </c>
      <c r="L1165" s="184">
        <f>IF(offer_sale_type="транзит",IFERROR(ROUNDUP(VLOOKUP($B1165,calc_data,L$14+1,0),2),0),0)</f>
        <v/>
      </c>
      <c r="M1165" s="141">
        <f>IF(offer_sale_type="транзит",IFERROR(ROUNDUP(VLOOKUP($B1165,calc_data,M$14+1,0),2),0),0)</f>
        <v/>
      </c>
      <c r="N1165" s="141">
        <f>IF(offer_sale_type="транзит",IFERROR(ROUNDUP(VLOOKUP($B1165,calc_data,N$14+1,0),2),0),0)</f>
        <v/>
      </c>
      <c r="O1165" s="147">
        <f>IF(offer_sale_type="транзит",IFERROR(ROUND(VLOOKUP($B1165,calc_data,O$14+1,1),2),0),0)</f>
        <v/>
      </c>
      <c r="P1165" s="141">
        <f>IF(offer_sale_type="транзит",IFERROR(ROUND(SUM(I1165:J1165,M1165:O1165)/E1165,2),0),0)</f>
        <v/>
      </c>
      <c r="Q1165" s="141">
        <f>E1165*P1165</f>
        <v/>
      </c>
      <c r="R1165" s="141">
        <f>ROUND(Q1165*IF(AND(offer_incoterms="DDP",seller_region="RU"),IF((TODAY()+offer_turnaround_time)&gt;=helpsheet!$L$17,rate_vatRU_from_26,rate_vatRu_till_25),0),2)</f>
        <v/>
      </c>
      <c r="S1165" s="177">
        <f>Q1165+IF(AND(offer_incoterms="DDP",seller_region="RU"),R1165,0)</f>
        <v/>
      </c>
      <c r="T1165" s="45" t="n"/>
      <c r="V1165" s="57">
        <f>IF(Q1165&gt;0,"показать","скрыть")</f>
        <v/>
      </c>
    </row>
    <row r="1166" ht="15.75" customHeight="1">
      <c r="B1166" s="809" t="n">
        <v>1150</v>
      </c>
      <c r="C1166" s="182">
        <f>IF(offer_sale_type="транзит",IFERROR(VLOOKUP($B1166,calc_data,C$14+1,0),0),0)</f>
        <v/>
      </c>
      <c r="D1166" s="280">
        <f>IF(offer_sale_type="транзит",IFERROR(VLOOKUP($B1166,calc_data,D$14+1,0),0),0)</f>
        <v/>
      </c>
      <c r="E1166" s="182">
        <f>IF(offer_sale_type="транзит",IFERROR(VLOOKUP($B1166,calc_data,E$14+1,0),0),0)</f>
        <v/>
      </c>
      <c r="F1166" s="182">
        <f>IF(offer_sale_type="транзит",IFERROR(VLOOKUP($B1166,calc_data,F$14+1,0),0),0)</f>
        <v/>
      </c>
      <c r="G1166" s="141">
        <f>IF(offer_sale_type="транзит",IFERROR(VLOOKUP($B1166,calc_data,G$14+1,0),0),0)</f>
        <v/>
      </c>
      <c r="H1166" s="141">
        <f>E1166*G1166</f>
        <v/>
      </c>
      <c r="I1166" s="141">
        <f>IF(offer_sale_type="транзит",IFERROR(ROUND(VLOOKUP($B1166,calc_data,I$14+1,0),2),0),0)</f>
        <v/>
      </c>
      <c r="J1166" s="141">
        <f>ROUND(IF(offer_sale_type="транзит",IFERROR(VLOOKUP($B1166,calc_data,J$14+1,0),0),0),2)</f>
        <v/>
      </c>
      <c r="K1166" s="142">
        <f>IF(offer_sale_type="транзит",IFERROR(ROUNDUP(VLOOKUP($B1166,calc_data,K$14+1,0),2),0),0)</f>
        <v/>
      </c>
      <c r="L1166" s="184">
        <f>IF(offer_sale_type="транзит",IFERROR(ROUNDUP(VLOOKUP($B1166,calc_data,L$14+1,0),2),0),0)</f>
        <v/>
      </c>
      <c r="M1166" s="141">
        <f>IF(offer_sale_type="транзит",IFERROR(ROUNDUP(VLOOKUP($B1166,calc_data,M$14+1,0),2),0),0)</f>
        <v/>
      </c>
      <c r="N1166" s="141">
        <f>IF(offer_sale_type="транзит",IFERROR(ROUNDUP(VLOOKUP($B1166,calc_data,N$14+1,0),2),0),0)</f>
        <v/>
      </c>
      <c r="O1166" s="147">
        <f>IF(offer_sale_type="транзит",IFERROR(ROUND(VLOOKUP($B1166,calc_data,O$14+1,1),2),0),0)</f>
        <v/>
      </c>
      <c r="P1166" s="141">
        <f>IF(offer_sale_type="транзит",IFERROR(ROUND(SUM(I1166:J1166,M1166:O1166)/E1166,2),0),0)</f>
        <v/>
      </c>
      <c r="Q1166" s="141">
        <f>E1166*P1166</f>
        <v/>
      </c>
      <c r="R1166" s="141">
        <f>ROUND(Q1166*IF(AND(offer_incoterms="DDP",seller_region="RU"),IF((TODAY()+offer_turnaround_time)&gt;=helpsheet!$L$17,rate_vatRU_from_26,rate_vatRu_till_25),0),2)</f>
        <v/>
      </c>
      <c r="S1166" s="177">
        <f>Q1166+IF(AND(offer_incoterms="DDP",seller_region="RU"),R1166,0)</f>
        <v/>
      </c>
      <c r="T1166" s="45" t="n"/>
      <c r="V1166" s="57">
        <f>IF(Q1166&gt;0,"показать","скрыть")</f>
        <v/>
      </c>
    </row>
    <row r="1167" ht="15.75" customHeight="1">
      <c r="B1167" s="809" t="n">
        <v>1151</v>
      </c>
      <c r="C1167" s="182">
        <f>IF(offer_sale_type="транзит",IFERROR(VLOOKUP($B1167,calc_data,C$14+1,0),0),0)</f>
        <v/>
      </c>
      <c r="D1167" s="280">
        <f>IF(offer_sale_type="транзит",IFERROR(VLOOKUP($B1167,calc_data,D$14+1,0),0),0)</f>
        <v/>
      </c>
      <c r="E1167" s="182">
        <f>IF(offer_sale_type="транзит",IFERROR(VLOOKUP($B1167,calc_data,E$14+1,0),0),0)</f>
        <v/>
      </c>
      <c r="F1167" s="182">
        <f>IF(offer_sale_type="транзит",IFERROR(VLOOKUP($B1167,calc_data,F$14+1,0),0),0)</f>
        <v/>
      </c>
      <c r="G1167" s="141">
        <f>IF(offer_sale_type="транзит",IFERROR(VLOOKUP($B1167,calc_data,G$14+1,0),0),0)</f>
        <v/>
      </c>
      <c r="H1167" s="141">
        <f>E1167*G1167</f>
        <v/>
      </c>
      <c r="I1167" s="141">
        <f>IF(offer_sale_type="транзит",IFERROR(ROUND(VLOOKUP($B1167,calc_data,I$14+1,0),2),0),0)</f>
        <v/>
      </c>
      <c r="J1167" s="141">
        <f>ROUND(IF(offer_sale_type="транзит",IFERROR(VLOOKUP($B1167,calc_data,J$14+1,0),0),0),2)</f>
        <v/>
      </c>
      <c r="K1167" s="142">
        <f>IF(offer_sale_type="транзит",IFERROR(ROUNDUP(VLOOKUP($B1167,calc_data,K$14+1,0),2),0),0)</f>
        <v/>
      </c>
      <c r="L1167" s="184">
        <f>IF(offer_sale_type="транзит",IFERROR(ROUNDUP(VLOOKUP($B1167,calc_data,L$14+1,0),2),0),0)</f>
        <v/>
      </c>
      <c r="M1167" s="141">
        <f>IF(offer_sale_type="транзит",IFERROR(ROUNDUP(VLOOKUP($B1167,calc_data,M$14+1,0),2),0),0)</f>
        <v/>
      </c>
      <c r="N1167" s="141">
        <f>IF(offer_sale_type="транзит",IFERROR(ROUNDUP(VLOOKUP($B1167,calc_data,N$14+1,0),2),0),0)</f>
        <v/>
      </c>
      <c r="O1167" s="147">
        <f>IF(offer_sale_type="транзит",IFERROR(ROUND(VLOOKUP($B1167,calc_data,O$14+1,1),2),0),0)</f>
        <v/>
      </c>
      <c r="P1167" s="141">
        <f>IF(offer_sale_type="транзит",IFERROR(ROUND(SUM(I1167:J1167,M1167:O1167)/E1167,2),0),0)</f>
        <v/>
      </c>
      <c r="Q1167" s="141">
        <f>E1167*P1167</f>
        <v/>
      </c>
      <c r="R1167" s="141">
        <f>ROUND(Q1167*IF(AND(offer_incoterms="DDP",seller_region="RU"),IF((TODAY()+offer_turnaround_time)&gt;=helpsheet!$L$17,rate_vatRU_from_26,rate_vatRu_till_25),0),2)</f>
        <v/>
      </c>
      <c r="S1167" s="177">
        <f>Q1167+IF(AND(offer_incoterms="DDP",seller_region="RU"),R1167,0)</f>
        <v/>
      </c>
      <c r="T1167" s="45" t="n"/>
      <c r="V1167" s="57">
        <f>IF(Q1167&gt;0,"показать","скрыть")</f>
        <v/>
      </c>
    </row>
    <row r="1168" ht="15.75" customHeight="1">
      <c r="B1168" s="809" t="n">
        <v>1152</v>
      </c>
      <c r="C1168" s="182">
        <f>IF(offer_sale_type="транзит",IFERROR(VLOOKUP($B1168,calc_data,C$14+1,0),0),0)</f>
        <v/>
      </c>
      <c r="D1168" s="280">
        <f>IF(offer_sale_type="транзит",IFERROR(VLOOKUP($B1168,calc_data,D$14+1,0),0),0)</f>
        <v/>
      </c>
      <c r="E1168" s="182">
        <f>IF(offer_sale_type="транзит",IFERROR(VLOOKUP($B1168,calc_data,E$14+1,0),0),0)</f>
        <v/>
      </c>
      <c r="F1168" s="182">
        <f>IF(offer_sale_type="транзит",IFERROR(VLOOKUP($B1168,calc_data,F$14+1,0),0),0)</f>
        <v/>
      </c>
      <c r="G1168" s="141">
        <f>IF(offer_sale_type="транзит",IFERROR(VLOOKUP($B1168,calc_data,G$14+1,0),0),0)</f>
        <v/>
      </c>
      <c r="H1168" s="141">
        <f>E1168*G1168</f>
        <v/>
      </c>
      <c r="I1168" s="141">
        <f>IF(offer_sale_type="транзит",IFERROR(ROUND(VLOOKUP($B1168,calc_data,I$14+1,0),2),0),0)</f>
        <v/>
      </c>
      <c r="J1168" s="141">
        <f>ROUND(IF(offer_sale_type="транзит",IFERROR(VLOOKUP($B1168,calc_data,J$14+1,0),0),0),2)</f>
        <v/>
      </c>
      <c r="K1168" s="142">
        <f>IF(offer_sale_type="транзит",IFERROR(ROUNDUP(VLOOKUP($B1168,calc_data,K$14+1,0),2),0),0)</f>
        <v/>
      </c>
      <c r="L1168" s="184">
        <f>IF(offer_sale_type="транзит",IFERROR(ROUNDUP(VLOOKUP($B1168,calc_data,L$14+1,0),2),0),0)</f>
        <v/>
      </c>
      <c r="M1168" s="141">
        <f>IF(offer_sale_type="транзит",IFERROR(ROUNDUP(VLOOKUP($B1168,calc_data,M$14+1,0),2),0),0)</f>
        <v/>
      </c>
      <c r="N1168" s="141">
        <f>IF(offer_sale_type="транзит",IFERROR(ROUNDUP(VLOOKUP($B1168,calc_data,N$14+1,0),2),0),0)</f>
        <v/>
      </c>
      <c r="O1168" s="147">
        <f>IF(offer_sale_type="транзит",IFERROR(ROUND(VLOOKUP($B1168,calc_data,O$14+1,1),2),0),0)</f>
        <v/>
      </c>
      <c r="P1168" s="141">
        <f>IF(offer_sale_type="транзит",IFERROR(ROUND(SUM(I1168:J1168,M1168:O1168)/E1168,2),0),0)</f>
        <v/>
      </c>
      <c r="Q1168" s="141">
        <f>E1168*P1168</f>
        <v/>
      </c>
      <c r="R1168" s="141">
        <f>ROUND(Q1168*IF(AND(offer_incoterms="DDP",seller_region="RU"),IF((TODAY()+offer_turnaround_time)&gt;=helpsheet!$L$17,rate_vatRU_from_26,rate_vatRu_till_25),0),2)</f>
        <v/>
      </c>
      <c r="S1168" s="177">
        <f>Q1168+IF(AND(offer_incoterms="DDP",seller_region="RU"),R1168,0)</f>
        <v/>
      </c>
      <c r="T1168" s="45" t="n"/>
      <c r="V1168" s="57">
        <f>IF(Q1168&gt;0,"показать","скрыть")</f>
        <v/>
      </c>
    </row>
    <row r="1169" ht="15.75" customHeight="1">
      <c r="B1169" s="809" t="n">
        <v>1153</v>
      </c>
      <c r="C1169" s="182">
        <f>IF(offer_sale_type="транзит",IFERROR(VLOOKUP($B1169,calc_data,C$14+1,0),0),0)</f>
        <v/>
      </c>
      <c r="D1169" s="280">
        <f>IF(offer_sale_type="транзит",IFERROR(VLOOKUP($B1169,calc_data,D$14+1,0),0),0)</f>
        <v/>
      </c>
      <c r="E1169" s="182">
        <f>IF(offer_sale_type="транзит",IFERROR(VLOOKUP($B1169,calc_data,E$14+1,0),0),0)</f>
        <v/>
      </c>
      <c r="F1169" s="182">
        <f>IF(offer_sale_type="транзит",IFERROR(VLOOKUP($B1169,calc_data,F$14+1,0),0),0)</f>
        <v/>
      </c>
      <c r="G1169" s="141">
        <f>IF(offer_sale_type="транзит",IFERROR(VLOOKUP($B1169,calc_data,G$14+1,0),0),0)</f>
        <v/>
      </c>
      <c r="H1169" s="141">
        <f>E1169*G1169</f>
        <v/>
      </c>
      <c r="I1169" s="141">
        <f>IF(offer_sale_type="транзит",IFERROR(ROUND(VLOOKUP($B1169,calc_data,I$14+1,0),2),0),0)</f>
        <v/>
      </c>
      <c r="J1169" s="141">
        <f>ROUND(IF(offer_sale_type="транзит",IFERROR(VLOOKUP($B1169,calc_data,J$14+1,0),0),0),2)</f>
        <v/>
      </c>
      <c r="K1169" s="142">
        <f>IF(offer_sale_type="транзит",IFERROR(ROUNDUP(VLOOKUP($B1169,calc_data,K$14+1,0),2),0),0)</f>
        <v/>
      </c>
      <c r="L1169" s="184">
        <f>IF(offer_sale_type="транзит",IFERROR(ROUNDUP(VLOOKUP($B1169,calc_data,L$14+1,0),2),0),0)</f>
        <v/>
      </c>
      <c r="M1169" s="141">
        <f>IF(offer_sale_type="транзит",IFERROR(ROUNDUP(VLOOKUP($B1169,calc_data,M$14+1,0),2),0),0)</f>
        <v/>
      </c>
      <c r="N1169" s="141">
        <f>IF(offer_sale_type="транзит",IFERROR(ROUNDUP(VLOOKUP($B1169,calc_data,N$14+1,0),2),0),0)</f>
        <v/>
      </c>
      <c r="O1169" s="147">
        <f>IF(offer_sale_type="транзит",IFERROR(ROUND(VLOOKUP($B1169,calc_data,O$14+1,1),2),0),0)</f>
        <v/>
      </c>
      <c r="P1169" s="141">
        <f>IF(offer_sale_type="транзит",IFERROR(ROUND(SUM(I1169:J1169,M1169:O1169)/E1169,2),0),0)</f>
        <v/>
      </c>
      <c r="Q1169" s="141">
        <f>E1169*P1169</f>
        <v/>
      </c>
      <c r="R1169" s="141">
        <f>ROUND(Q1169*IF(AND(offer_incoterms="DDP",seller_region="RU"),IF((TODAY()+offer_turnaround_time)&gt;=helpsheet!$L$17,rate_vatRU_from_26,rate_vatRu_till_25),0),2)</f>
        <v/>
      </c>
      <c r="S1169" s="177">
        <f>Q1169+IF(AND(offer_incoterms="DDP",seller_region="RU"),R1169,0)</f>
        <v/>
      </c>
      <c r="T1169" s="45" t="n"/>
      <c r="V1169" s="57">
        <f>IF(Q1169&gt;0,"показать","скрыть")</f>
        <v/>
      </c>
    </row>
    <row r="1170" ht="15.75" customHeight="1">
      <c r="B1170" s="809" t="n">
        <v>1154</v>
      </c>
      <c r="C1170" s="182">
        <f>IF(offer_sale_type="транзит",IFERROR(VLOOKUP($B1170,calc_data,C$14+1,0),0),0)</f>
        <v/>
      </c>
      <c r="D1170" s="280">
        <f>IF(offer_sale_type="транзит",IFERROR(VLOOKUP($B1170,calc_data,D$14+1,0),0),0)</f>
        <v/>
      </c>
      <c r="E1170" s="182">
        <f>IF(offer_sale_type="транзит",IFERROR(VLOOKUP($B1170,calc_data,E$14+1,0),0),0)</f>
        <v/>
      </c>
      <c r="F1170" s="182">
        <f>IF(offer_sale_type="транзит",IFERROR(VLOOKUP($B1170,calc_data,F$14+1,0),0),0)</f>
        <v/>
      </c>
      <c r="G1170" s="141">
        <f>IF(offer_sale_type="транзит",IFERROR(VLOOKUP($B1170,calc_data,G$14+1,0),0),0)</f>
        <v/>
      </c>
      <c r="H1170" s="141">
        <f>E1170*G1170</f>
        <v/>
      </c>
      <c r="I1170" s="141">
        <f>IF(offer_sale_type="транзит",IFERROR(ROUND(VLOOKUP($B1170,calc_data,I$14+1,0),2),0),0)</f>
        <v/>
      </c>
      <c r="J1170" s="141">
        <f>ROUND(IF(offer_sale_type="транзит",IFERROR(VLOOKUP($B1170,calc_data,J$14+1,0),0),0),2)</f>
        <v/>
      </c>
      <c r="K1170" s="142">
        <f>IF(offer_sale_type="транзит",IFERROR(ROUNDUP(VLOOKUP($B1170,calc_data,K$14+1,0),2),0),0)</f>
        <v/>
      </c>
      <c r="L1170" s="184">
        <f>IF(offer_sale_type="транзит",IFERROR(ROUNDUP(VLOOKUP($B1170,calc_data,L$14+1,0),2),0),0)</f>
        <v/>
      </c>
      <c r="M1170" s="141">
        <f>IF(offer_sale_type="транзит",IFERROR(ROUNDUP(VLOOKUP($B1170,calc_data,M$14+1,0),2),0),0)</f>
        <v/>
      </c>
      <c r="N1170" s="141">
        <f>IF(offer_sale_type="транзит",IFERROR(ROUNDUP(VLOOKUP($B1170,calc_data,N$14+1,0),2),0),0)</f>
        <v/>
      </c>
      <c r="O1170" s="147">
        <f>IF(offer_sale_type="транзит",IFERROR(ROUND(VLOOKUP($B1170,calc_data,O$14+1,1),2),0),0)</f>
        <v/>
      </c>
      <c r="P1170" s="141">
        <f>IF(offer_sale_type="транзит",IFERROR(ROUND(SUM(I1170:J1170,M1170:O1170)/E1170,2),0),0)</f>
        <v/>
      </c>
      <c r="Q1170" s="141">
        <f>E1170*P1170</f>
        <v/>
      </c>
      <c r="R1170" s="141">
        <f>ROUND(Q1170*IF(AND(offer_incoterms="DDP",seller_region="RU"),IF((TODAY()+offer_turnaround_time)&gt;=helpsheet!$L$17,rate_vatRU_from_26,rate_vatRu_till_25),0),2)</f>
        <v/>
      </c>
      <c r="S1170" s="177">
        <f>Q1170+IF(AND(offer_incoterms="DDP",seller_region="RU"),R1170,0)</f>
        <v/>
      </c>
      <c r="T1170" s="45" t="n"/>
      <c r="V1170" s="57">
        <f>IF(Q1170&gt;0,"показать","скрыть")</f>
        <v/>
      </c>
    </row>
    <row r="1171" ht="15.75" customHeight="1">
      <c r="B1171" s="809" t="n">
        <v>1155</v>
      </c>
      <c r="C1171" s="182">
        <f>IF(offer_sale_type="транзит",IFERROR(VLOOKUP($B1171,calc_data,C$14+1,0),0),0)</f>
        <v/>
      </c>
      <c r="D1171" s="280">
        <f>IF(offer_sale_type="транзит",IFERROR(VLOOKUP($B1171,calc_data,D$14+1,0),0),0)</f>
        <v/>
      </c>
      <c r="E1171" s="182">
        <f>IF(offer_sale_type="транзит",IFERROR(VLOOKUP($B1171,calc_data,E$14+1,0),0),0)</f>
        <v/>
      </c>
      <c r="F1171" s="182">
        <f>IF(offer_sale_type="транзит",IFERROR(VLOOKUP($B1171,calc_data,F$14+1,0),0),0)</f>
        <v/>
      </c>
      <c r="G1171" s="141">
        <f>IF(offer_sale_type="транзит",IFERROR(VLOOKUP($B1171,calc_data,G$14+1,0),0),0)</f>
        <v/>
      </c>
      <c r="H1171" s="141">
        <f>E1171*G1171</f>
        <v/>
      </c>
      <c r="I1171" s="141">
        <f>IF(offer_sale_type="транзит",IFERROR(ROUND(VLOOKUP($B1171,calc_data,I$14+1,0),2),0),0)</f>
        <v/>
      </c>
      <c r="J1171" s="141">
        <f>ROUND(IF(offer_sale_type="транзит",IFERROR(VLOOKUP($B1171,calc_data,J$14+1,0),0),0),2)</f>
        <v/>
      </c>
      <c r="K1171" s="142">
        <f>IF(offer_sale_type="транзит",IFERROR(ROUNDUP(VLOOKUP($B1171,calc_data,K$14+1,0),2),0),0)</f>
        <v/>
      </c>
      <c r="L1171" s="184">
        <f>IF(offer_sale_type="транзит",IFERROR(ROUNDUP(VLOOKUP($B1171,calc_data,L$14+1,0),2),0),0)</f>
        <v/>
      </c>
      <c r="M1171" s="141">
        <f>IF(offer_sale_type="транзит",IFERROR(ROUNDUP(VLOOKUP($B1171,calc_data,M$14+1,0),2),0),0)</f>
        <v/>
      </c>
      <c r="N1171" s="141">
        <f>IF(offer_sale_type="транзит",IFERROR(ROUNDUP(VLOOKUP($B1171,calc_data,N$14+1,0),2),0),0)</f>
        <v/>
      </c>
      <c r="O1171" s="147">
        <f>IF(offer_sale_type="транзит",IFERROR(ROUND(VLOOKUP($B1171,calc_data,O$14+1,1),2),0),0)</f>
        <v/>
      </c>
      <c r="P1171" s="141">
        <f>IF(offer_sale_type="транзит",IFERROR(ROUND(SUM(I1171:J1171,M1171:O1171)/E1171,2),0),0)</f>
        <v/>
      </c>
      <c r="Q1171" s="141">
        <f>E1171*P1171</f>
        <v/>
      </c>
      <c r="R1171" s="141">
        <f>ROUND(Q1171*IF(AND(offer_incoterms="DDP",seller_region="RU"),IF((TODAY()+offer_turnaround_time)&gt;=helpsheet!$L$17,rate_vatRU_from_26,rate_vatRu_till_25),0),2)</f>
        <v/>
      </c>
      <c r="S1171" s="177">
        <f>Q1171+IF(AND(offer_incoterms="DDP",seller_region="RU"),R1171,0)</f>
        <v/>
      </c>
      <c r="T1171" s="45" t="n"/>
      <c r="V1171" s="57">
        <f>IF(Q1171&gt;0,"показать","скрыть")</f>
        <v/>
      </c>
    </row>
    <row r="1172" ht="15.75" customHeight="1">
      <c r="B1172" s="809" t="n">
        <v>1156</v>
      </c>
      <c r="C1172" s="182">
        <f>IF(offer_sale_type="транзит",IFERROR(VLOOKUP($B1172,calc_data,C$14+1,0),0),0)</f>
        <v/>
      </c>
      <c r="D1172" s="280">
        <f>IF(offer_sale_type="транзит",IFERROR(VLOOKUP($B1172,calc_data,D$14+1,0),0),0)</f>
        <v/>
      </c>
      <c r="E1172" s="182">
        <f>IF(offer_sale_type="транзит",IFERROR(VLOOKUP($B1172,calc_data,E$14+1,0),0),0)</f>
        <v/>
      </c>
      <c r="F1172" s="182">
        <f>IF(offer_sale_type="транзит",IFERROR(VLOOKUP($B1172,calc_data,F$14+1,0),0),0)</f>
        <v/>
      </c>
      <c r="G1172" s="141">
        <f>IF(offer_sale_type="транзит",IFERROR(VLOOKUP($B1172,calc_data,G$14+1,0),0),0)</f>
        <v/>
      </c>
      <c r="H1172" s="141">
        <f>E1172*G1172</f>
        <v/>
      </c>
      <c r="I1172" s="141">
        <f>IF(offer_sale_type="транзит",IFERROR(ROUND(VLOOKUP($B1172,calc_data,I$14+1,0),2),0),0)</f>
        <v/>
      </c>
      <c r="J1172" s="141">
        <f>ROUND(IF(offer_sale_type="транзит",IFERROR(VLOOKUP($B1172,calc_data,J$14+1,0),0),0),2)</f>
        <v/>
      </c>
      <c r="K1172" s="142">
        <f>IF(offer_sale_type="транзит",IFERROR(ROUNDUP(VLOOKUP($B1172,calc_data,K$14+1,0),2),0),0)</f>
        <v/>
      </c>
      <c r="L1172" s="184">
        <f>IF(offer_sale_type="транзит",IFERROR(ROUNDUP(VLOOKUP($B1172,calc_data,L$14+1,0),2),0),0)</f>
        <v/>
      </c>
      <c r="M1172" s="141">
        <f>IF(offer_sale_type="транзит",IFERROR(ROUNDUP(VLOOKUP($B1172,calc_data,M$14+1,0),2),0),0)</f>
        <v/>
      </c>
      <c r="N1172" s="141">
        <f>IF(offer_sale_type="транзит",IFERROR(ROUNDUP(VLOOKUP($B1172,calc_data,N$14+1,0),2),0),0)</f>
        <v/>
      </c>
      <c r="O1172" s="147">
        <f>IF(offer_sale_type="транзит",IFERROR(ROUND(VLOOKUP($B1172,calc_data,O$14+1,1),2),0),0)</f>
        <v/>
      </c>
      <c r="P1172" s="141">
        <f>IF(offer_sale_type="транзит",IFERROR(ROUND(SUM(I1172:J1172,M1172:O1172)/E1172,2),0),0)</f>
        <v/>
      </c>
      <c r="Q1172" s="141">
        <f>E1172*P1172</f>
        <v/>
      </c>
      <c r="R1172" s="141">
        <f>ROUND(Q1172*IF(AND(offer_incoterms="DDP",seller_region="RU"),IF((TODAY()+offer_turnaround_time)&gt;=helpsheet!$L$17,rate_vatRU_from_26,rate_vatRu_till_25),0),2)</f>
        <v/>
      </c>
      <c r="S1172" s="177">
        <f>Q1172+IF(AND(offer_incoterms="DDP",seller_region="RU"),R1172,0)</f>
        <v/>
      </c>
      <c r="T1172" s="45" t="n"/>
      <c r="V1172" s="57">
        <f>IF(Q1172&gt;0,"показать","скрыть")</f>
        <v/>
      </c>
    </row>
    <row r="1173" ht="15.75" customHeight="1">
      <c r="B1173" s="809" t="n">
        <v>1157</v>
      </c>
      <c r="C1173" s="182">
        <f>IF(offer_sale_type="транзит",IFERROR(VLOOKUP($B1173,calc_data,C$14+1,0),0),0)</f>
        <v/>
      </c>
      <c r="D1173" s="280">
        <f>IF(offer_sale_type="транзит",IFERROR(VLOOKUP($B1173,calc_data,D$14+1,0),0),0)</f>
        <v/>
      </c>
      <c r="E1173" s="182">
        <f>IF(offer_sale_type="транзит",IFERROR(VLOOKUP($B1173,calc_data,E$14+1,0),0),0)</f>
        <v/>
      </c>
      <c r="F1173" s="182">
        <f>IF(offer_sale_type="транзит",IFERROR(VLOOKUP($B1173,calc_data,F$14+1,0),0),0)</f>
        <v/>
      </c>
      <c r="G1173" s="141">
        <f>IF(offer_sale_type="транзит",IFERROR(VLOOKUP($B1173,calc_data,G$14+1,0),0),0)</f>
        <v/>
      </c>
      <c r="H1173" s="141">
        <f>E1173*G1173</f>
        <v/>
      </c>
      <c r="I1173" s="141">
        <f>IF(offer_sale_type="транзит",IFERROR(ROUND(VLOOKUP($B1173,calc_data,I$14+1,0),2),0),0)</f>
        <v/>
      </c>
      <c r="J1173" s="141">
        <f>ROUND(IF(offer_sale_type="транзит",IFERROR(VLOOKUP($B1173,calc_data,J$14+1,0),0),0),2)</f>
        <v/>
      </c>
      <c r="K1173" s="142">
        <f>IF(offer_sale_type="транзит",IFERROR(ROUNDUP(VLOOKUP($B1173,calc_data,K$14+1,0),2),0),0)</f>
        <v/>
      </c>
      <c r="L1173" s="184">
        <f>IF(offer_sale_type="транзит",IFERROR(ROUNDUP(VLOOKUP($B1173,calc_data,L$14+1,0),2),0),0)</f>
        <v/>
      </c>
      <c r="M1173" s="141">
        <f>IF(offer_sale_type="транзит",IFERROR(ROUNDUP(VLOOKUP($B1173,calc_data,M$14+1,0),2),0),0)</f>
        <v/>
      </c>
      <c r="N1173" s="141">
        <f>IF(offer_sale_type="транзит",IFERROR(ROUNDUP(VLOOKUP($B1173,calc_data,N$14+1,0),2),0),0)</f>
        <v/>
      </c>
      <c r="O1173" s="147">
        <f>IF(offer_sale_type="транзит",IFERROR(ROUND(VLOOKUP($B1173,calc_data,O$14+1,1),2),0),0)</f>
        <v/>
      </c>
      <c r="P1173" s="141">
        <f>IF(offer_sale_type="транзит",IFERROR(ROUND(SUM(I1173:J1173,M1173:O1173)/E1173,2),0),0)</f>
        <v/>
      </c>
      <c r="Q1173" s="141">
        <f>E1173*P1173</f>
        <v/>
      </c>
      <c r="R1173" s="141">
        <f>ROUND(Q1173*IF(AND(offer_incoterms="DDP",seller_region="RU"),IF((TODAY()+offer_turnaround_time)&gt;=helpsheet!$L$17,rate_vatRU_from_26,rate_vatRu_till_25),0),2)</f>
        <v/>
      </c>
      <c r="S1173" s="177">
        <f>Q1173+IF(AND(offer_incoterms="DDP",seller_region="RU"),R1173,0)</f>
        <v/>
      </c>
      <c r="T1173" s="45" t="n"/>
      <c r="V1173" s="57">
        <f>IF(Q1173&gt;0,"показать","скрыть")</f>
        <v/>
      </c>
    </row>
    <row r="1174" ht="15.75" customHeight="1">
      <c r="B1174" s="809" t="n">
        <v>1158</v>
      </c>
      <c r="C1174" s="182">
        <f>IF(offer_sale_type="транзит",IFERROR(VLOOKUP($B1174,calc_data,C$14+1,0),0),0)</f>
        <v/>
      </c>
      <c r="D1174" s="280">
        <f>IF(offer_sale_type="транзит",IFERROR(VLOOKUP($B1174,calc_data,D$14+1,0),0),0)</f>
        <v/>
      </c>
      <c r="E1174" s="182">
        <f>IF(offer_sale_type="транзит",IFERROR(VLOOKUP($B1174,calc_data,E$14+1,0),0),0)</f>
        <v/>
      </c>
      <c r="F1174" s="182">
        <f>IF(offer_sale_type="транзит",IFERROR(VLOOKUP($B1174,calc_data,F$14+1,0),0),0)</f>
        <v/>
      </c>
      <c r="G1174" s="141">
        <f>IF(offer_sale_type="транзит",IFERROR(VLOOKUP($B1174,calc_data,G$14+1,0),0),0)</f>
        <v/>
      </c>
      <c r="H1174" s="141">
        <f>E1174*G1174</f>
        <v/>
      </c>
      <c r="I1174" s="141">
        <f>IF(offer_sale_type="транзит",IFERROR(ROUND(VLOOKUP($B1174,calc_data,I$14+1,0),2),0),0)</f>
        <v/>
      </c>
      <c r="J1174" s="141">
        <f>ROUND(IF(offer_sale_type="транзит",IFERROR(VLOOKUP($B1174,calc_data,J$14+1,0),0),0),2)</f>
        <v/>
      </c>
      <c r="K1174" s="142">
        <f>IF(offer_sale_type="транзит",IFERROR(ROUNDUP(VLOOKUP($B1174,calc_data,K$14+1,0),2),0),0)</f>
        <v/>
      </c>
      <c r="L1174" s="184">
        <f>IF(offer_sale_type="транзит",IFERROR(ROUNDUP(VLOOKUP($B1174,calc_data,L$14+1,0),2),0),0)</f>
        <v/>
      </c>
      <c r="M1174" s="141">
        <f>IF(offer_sale_type="транзит",IFERROR(ROUNDUP(VLOOKUP($B1174,calc_data,M$14+1,0),2),0),0)</f>
        <v/>
      </c>
      <c r="N1174" s="141">
        <f>IF(offer_sale_type="транзит",IFERROR(ROUNDUP(VLOOKUP($B1174,calc_data,N$14+1,0),2),0),0)</f>
        <v/>
      </c>
      <c r="O1174" s="147">
        <f>IF(offer_sale_type="транзит",IFERROR(ROUND(VLOOKUP($B1174,calc_data,O$14+1,1),2),0),0)</f>
        <v/>
      </c>
      <c r="P1174" s="141">
        <f>IF(offer_sale_type="транзит",IFERROR(ROUND(SUM(I1174:J1174,M1174:O1174)/E1174,2),0),0)</f>
        <v/>
      </c>
      <c r="Q1174" s="141">
        <f>E1174*P1174</f>
        <v/>
      </c>
      <c r="R1174" s="141">
        <f>ROUND(Q1174*IF(AND(offer_incoterms="DDP",seller_region="RU"),IF((TODAY()+offer_turnaround_time)&gt;=helpsheet!$L$17,rate_vatRU_from_26,rate_vatRu_till_25),0),2)</f>
        <v/>
      </c>
      <c r="S1174" s="177">
        <f>Q1174+IF(AND(offer_incoterms="DDP",seller_region="RU"),R1174,0)</f>
        <v/>
      </c>
      <c r="T1174" s="45" t="n"/>
      <c r="V1174" s="57">
        <f>IF(Q1174&gt;0,"показать","скрыть")</f>
        <v/>
      </c>
    </row>
    <row r="1175" ht="15.75" customHeight="1">
      <c r="B1175" s="809" t="n">
        <v>1159</v>
      </c>
      <c r="C1175" s="182">
        <f>IF(offer_sale_type="транзит",IFERROR(VLOOKUP($B1175,calc_data,C$14+1,0),0),0)</f>
        <v/>
      </c>
      <c r="D1175" s="280">
        <f>IF(offer_sale_type="транзит",IFERROR(VLOOKUP($B1175,calc_data,D$14+1,0),0),0)</f>
        <v/>
      </c>
      <c r="E1175" s="182">
        <f>IF(offer_sale_type="транзит",IFERROR(VLOOKUP($B1175,calc_data,E$14+1,0),0),0)</f>
        <v/>
      </c>
      <c r="F1175" s="182">
        <f>IF(offer_sale_type="транзит",IFERROR(VLOOKUP($B1175,calc_data,F$14+1,0),0),0)</f>
        <v/>
      </c>
      <c r="G1175" s="141">
        <f>IF(offer_sale_type="транзит",IFERROR(VLOOKUP($B1175,calc_data,G$14+1,0),0),0)</f>
        <v/>
      </c>
      <c r="H1175" s="141">
        <f>E1175*G1175</f>
        <v/>
      </c>
      <c r="I1175" s="141">
        <f>IF(offer_sale_type="транзит",IFERROR(ROUND(VLOOKUP($B1175,calc_data,I$14+1,0),2),0),0)</f>
        <v/>
      </c>
      <c r="J1175" s="141">
        <f>ROUND(IF(offer_sale_type="транзит",IFERROR(VLOOKUP($B1175,calc_data,J$14+1,0),0),0),2)</f>
        <v/>
      </c>
      <c r="K1175" s="142">
        <f>IF(offer_sale_type="транзит",IFERROR(ROUNDUP(VLOOKUP($B1175,calc_data,K$14+1,0),2),0),0)</f>
        <v/>
      </c>
      <c r="L1175" s="184">
        <f>IF(offer_sale_type="транзит",IFERROR(ROUNDUP(VLOOKUP($B1175,calc_data,L$14+1,0),2),0),0)</f>
        <v/>
      </c>
      <c r="M1175" s="141">
        <f>IF(offer_sale_type="транзит",IFERROR(ROUNDUP(VLOOKUP($B1175,calc_data,M$14+1,0),2),0),0)</f>
        <v/>
      </c>
      <c r="N1175" s="141">
        <f>IF(offer_sale_type="транзит",IFERROR(ROUNDUP(VLOOKUP($B1175,calc_data,N$14+1,0),2),0),0)</f>
        <v/>
      </c>
      <c r="O1175" s="147">
        <f>IF(offer_sale_type="транзит",IFERROR(ROUND(VLOOKUP($B1175,calc_data,O$14+1,1),2),0),0)</f>
        <v/>
      </c>
      <c r="P1175" s="141">
        <f>IF(offer_sale_type="транзит",IFERROR(ROUND(SUM(I1175:J1175,M1175:O1175)/E1175,2),0),0)</f>
        <v/>
      </c>
      <c r="Q1175" s="141">
        <f>E1175*P1175</f>
        <v/>
      </c>
      <c r="R1175" s="141">
        <f>ROUND(Q1175*IF(AND(offer_incoterms="DDP",seller_region="RU"),IF((TODAY()+offer_turnaround_time)&gt;=helpsheet!$L$17,rate_vatRU_from_26,rate_vatRu_till_25),0),2)</f>
        <v/>
      </c>
      <c r="S1175" s="177">
        <f>Q1175+IF(AND(offer_incoterms="DDP",seller_region="RU"),R1175,0)</f>
        <v/>
      </c>
      <c r="T1175" s="45" t="n"/>
      <c r="V1175" s="57">
        <f>IF(Q1175&gt;0,"показать","скрыть")</f>
        <v/>
      </c>
    </row>
    <row r="1176" ht="15.75" customHeight="1">
      <c r="B1176" s="809" t="n">
        <v>1160</v>
      </c>
      <c r="C1176" s="182">
        <f>IF(offer_sale_type="транзит",IFERROR(VLOOKUP($B1176,calc_data,C$14+1,0),0),0)</f>
        <v/>
      </c>
      <c r="D1176" s="280">
        <f>IF(offer_sale_type="транзит",IFERROR(VLOOKUP($B1176,calc_data,D$14+1,0),0),0)</f>
        <v/>
      </c>
      <c r="E1176" s="182">
        <f>IF(offer_sale_type="транзит",IFERROR(VLOOKUP($B1176,calc_data,E$14+1,0),0),0)</f>
        <v/>
      </c>
      <c r="F1176" s="182">
        <f>IF(offer_sale_type="транзит",IFERROR(VLOOKUP($B1176,calc_data,F$14+1,0),0),0)</f>
        <v/>
      </c>
      <c r="G1176" s="141">
        <f>IF(offer_sale_type="транзит",IFERROR(VLOOKUP($B1176,calc_data,G$14+1,0),0),0)</f>
        <v/>
      </c>
      <c r="H1176" s="141">
        <f>E1176*G1176</f>
        <v/>
      </c>
      <c r="I1176" s="141">
        <f>IF(offer_sale_type="транзит",IFERROR(ROUND(VLOOKUP($B1176,calc_data,I$14+1,0),2),0),0)</f>
        <v/>
      </c>
      <c r="J1176" s="141">
        <f>ROUND(IF(offer_sale_type="транзит",IFERROR(VLOOKUP($B1176,calc_data,J$14+1,0),0),0),2)</f>
        <v/>
      </c>
      <c r="K1176" s="142">
        <f>IF(offer_sale_type="транзит",IFERROR(ROUNDUP(VLOOKUP($B1176,calc_data,K$14+1,0),2),0),0)</f>
        <v/>
      </c>
      <c r="L1176" s="184">
        <f>IF(offer_sale_type="транзит",IFERROR(ROUNDUP(VLOOKUP($B1176,calc_data,L$14+1,0),2),0),0)</f>
        <v/>
      </c>
      <c r="M1176" s="141">
        <f>IF(offer_sale_type="транзит",IFERROR(ROUNDUP(VLOOKUP($B1176,calc_data,M$14+1,0),2),0),0)</f>
        <v/>
      </c>
      <c r="N1176" s="141">
        <f>IF(offer_sale_type="транзит",IFERROR(ROUNDUP(VLOOKUP($B1176,calc_data,N$14+1,0),2),0),0)</f>
        <v/>
      </c>
      <c r="O1176" s="147">
        <f>IF(offer_sale_type="транзит",IFERROR(ROUND(VLOOKUP($B1176,calc_data,O$14+1,1),2),0),0)</f>
        <v/>
      </c>
      <c r="P1176" s="141">
        <f>IF(offer_sale_type="транзит",IFERROR(ROUND(SUM(I1176:J1176,M1176:O1176)/E1176,2),0),0)</f>
        <v/>
      </c>
      <c r="Q1176" s="141">
        <f>E1176*P1176</f>
        <v/>
      </c>
      <c r="R1176" s="141">
        <f>ROUND(Q1176*IF(AND(offer_incoterms="DDP",seller_region="RU"),IF((TODAY()+offer_turnaround_time)&gt;=helpsheet!$L$17,rate_vatRU_from_26,rate_vatRu_till_25),0),2)</f>
        <v/>
      </c>
      <c r="S1176" s="177">
        <f>Q1176+IF(AND(offer_incoterms="DDP",seller_region="RU"),R1176,0)</f>
        <v/>
      </c>
      <c r="T1176" s="45" t="n"/>
      <c r="V1176" s="57">
        <f>IF(Q1176&gt;0,"показать","скрыть")</f>
        <v/>
      </c>
    </row>
    <row r="1177" ht="15.75" customHeight="1">
      <c r="B1177" s="809" t="n">
        <v>1161</v>
      </c>
      <c r="C1177" s="182">
        <f>IF(offer_sale_type="транзит",IFERROR(VLOOKUP($B1177,calc_data,C$14+1,0),0),0)</f>
        <v/>
      </c>
      <c r="D1177" s="280">
        <f>IF(offer_sale_type="транзит",IFERROR(VLOOKUP($B1177,calc_data,D$14+1,0),0),0)</f>
        <v/>
      </c>
      <c r="E1177" s="182">
        <f>IF(offer_sale_type="транзит",IFERROR(VLOOKUP($B1177,calc_data,E$14+1,0),0),0)</f>
        <v/>
      </c>
      <c r="F1177" s="182">
        <f>IF(offer_sale_type="транзит",IFERROR(VLOOKUP($B1177,calc_data,F$14+1,0),0),0)</f>
        <v/>
      </c>
      <c r="G1177" s="141">
        <f>IF(offer_sale_type="транзит",IFERROR(VLOOKUP($B1177,calc_data,G$14+1,0),0),0)</f>
        <v/>
      </c>
      <c r="H1177" s="141">
        <f>E1177*G1177</f>
        <v/>
      </c>
      <c r="I1177" s="141">
        <f>IF(offer_sale_type="транзит",IFERROR(ROUND(VLOOKUP($B1177,calc_data,I$14+1,0),2),0),0)</f>
        <v/>
      </c>
      <c r="J1177" s="141">
        <f>ROUND(IF(offer_sale_type="транзит",IFERROR(VLOOKUP($B1177,calc_data,J$14+1,0),0),0),2)</f>
        <v/>
      </c>
      <c r="K1177" s="142">
        <f>IF(offer_sale_type="транзит",IFERROR(ROUNDUP(VLOOKUP($B1177,calc_data,K$14+1,0),2),0),0)</f>
        <v/>
      </c>
      <c r="L1177" s="184">
        <f>IF(offer_sale_type="транзит",IFERROR(ROUNDUP(VLOOKUP($B1177,calc_data,L$14+1,0),2),0),0)</f>
        <v/>
      </c>
      <c r="M1177" s="141">
        <f>IF(offer_sale_type="транзит",IFERROR(ROUNDUP(VLOOKUP($B1177,calc_data,M$14+1,0),2),0),0)</f>
        <v/>
      </c>
      <c r="N1177" s="141">
        <f>IF(offer_sale_type="транзит",IFERROR(ROUNDUP(VLOOKUP($B1177,calc_data,N$14+1,0),2),0),0)</f>
        <v/>
      </c>
      <c r="O1177" s="147">
        <f>IF(offer_sale_type="транзит",IFERROR(ROUND(VLOOKUP($B1177,calc_data,O$14+1,1),2),0),0)</f>
        <v/>
      </c>
      <c r="P1177" s="141">
        <f>IF(offer_sale_type="транзит",IFERROR(ROUND(SUM(I1177:J1177,M1177:O1177)/E1177,2),0),0)</f>
        <v/>
      </c>
      <c r="Q1177" s="141">
        <f>E1177*P1177</f>
        <v/>
      </c>
      <c r="R1177" s="141">
        <f>ROUND(Q1177*IF(AND(offer_incoterms="DDP",seller_region="RU"),IF((TODAY()+offer_turnaround_time)&gt;=helpsheet!$L$17,rate_vatRU_from_26,rate_vatRu_till_25),0),2)</f>
        <v/>
      </c>
      <c r="S1177" s="177">
        <f>Q1177+IF(AND(offer_incoterms="DDP",seller_region="RU"),R1177,0)</f>
        <v/>
      </c>
      <c r="T1177" s="45" t="n"/>
      <c r="V1177" s="57">
        <f>IF(Q1177&gt;0,"показать","скрыть")</f>
        <v/>
      </c>
    </row>
    <row r="1178" ht="15.75" customHeight="1">
      <c r="B1178" s="809" t="n">
        <v>1162</v>
      </c>
      <c r="C1178" s="182">
        <f>IF(offer_sale_type="транзит",IFERROR(VLOOKUP($B1178,calc_data,C$14+1,0),0),0)</f>
        <v/>
      </c>
      <c r="D1178" s="280">
        <f>IF(offer_sale_type="транзит",IFERROR(VLOOKUP($B1178,calc_data,D$14+1,0),0),0)</f>
        <v/>
      </c>
      <c r="E1178" s="182">
        <f>IF(offer_sale_type="транзит",IFERROR(VLOOKUP($B1178,calc_data,E$14+1,0),0),0)</f>
        <v/>
      </c>
      <c r="F1178" s="182">
        <f>IF(offer_sale_type="транзит",IFERROR(VLOOKUP($B1178,calc_data,F$14+1,0),0),0)</f>
        <v/>
      </c>
      <c r="G1178" s="141">
        <f>IF(offer_sale_type="транзит",IFERROR(VLOOKUP($B1178,calc_data,G$14+1,0),0),0)</f>
        <v/>
      </c>
      <c r="H1178" s="141">
        <f>E1178*G1178</f>
        <v/>
      </c>
      <c r="I1178" s="141">
        <f>IF(offer_sale_type="транзит",IFERROR(ROUND(VLOOKUP($B1178,calc_data,I$14+1,0),2),0),0)</f>
        <v/>
      </c>
      <c r="J1178" s="141">
        <f>ROUND(IF(offer_sale_type="транзит",IFERROR(VLOOKUP($B1178,calc_data,J$14+1,0),0),0),2)</f>
        <v/>
      </c>
      <c r="K1178" s="142">
        <f>IF(offer_sale_type="транзит",IFERROR(ROUNDUP(VLOOKUP($B1178,calc_data,K$14+1,0),2),0),0)</f>
        <v/>
      </c>
      <c r="L1178" s="184">
        <f>IF(offer_sale_type="транзит",IFERROR(ROUNDUP(VLOOKUP($B1178,calc_data,L$14+1,0),2),0),0)</f>
        <v/>
      </c>
      <c r="M1178" s="141">
        <f>IF(offer_sale_type="транзит",IFERROR(ROUNDUP(VLOOKUP($B1178,calc_data,M$14+1,0),2),0),0)</f>
        <v/>
      </c>
      <c r="N1178" s="141">
        <f>IF(offer_sale_type="транзит",IFERROR(ROUNDUP(VLOOKUP($B1178,calc_data,N$14+1,0),2),0),0)</f>
        <v/>
      </c>
      <c r="O1178" s="147">
        <f>IF(offer_sale_type="транзит",IFERROR(ROUND(VLOOKUP($B1178,calc_data,O$14+1,1),2),0),0)</f>
        <v/>
      </c>
      <c r="P1178" s="141">
        <f>IF(offer_sale_type="транзит",IFERROR(ROUND(SUM(I1178:J1178,M1178:O1178)/E1178,2),0),0)</f>
        <v/>
      </c>
      <c r="Q1178" s="141">
        <f>E1178*P1178</f>
        <v/>
      </c>
      <c r="R1178" s="141">
        <f>ROUND(Q1178*IF(AND(offer_incoterms="DDP",seller_region="RU"),IF((TODAY()+offer_turnaround_time)&gt;=helpsheet!$L$17,rate_vatRU_from_26,rate_vatRu_till_25),0),2)</f>
        <v/>
      </c>
      <c r="S1178" s="177">
        <f>Q1178+IF(AND(offer_incoterms="DDP",seller_region="RU"),R1178,0)</f>
        <v/>
      </c>
      <c r="T1178" s="45" t="n"/>
      <c r="V1178" s="57">
        <f>IF(Q1178&gt;0,"показать","скрыть")</f>
        <v/>
      </c>
    </row>
    <row r="1179" ht="15.75" customHeight="1">
      <c r="B1179" s="809" t="n">
        <v>1163</v>
      </c>
      <c r="C1179" s="182">
        <f>IF(offer_sale_type="транзит",IFERROR(VLOOKUP($B1179,calc_data,C$14+1,0),0),0)</f>
        <v/>
      </c>
      <c r="D1179" s="280">
        <f>IF(offer_sale_type="транзит",IFERROR(VLOOKUP($B1179,calc_data,D$14+1,0),0),0)</f>
        <v/>
      </c>
      <c r="E1179" s="182">
        <f>IF(offer_sale_type="транзит",IFERROR(VLOOKUP($B1179,calc_data,E$14+1,0),0),0)</f>
        <v/>
      </c>
      <c r="F1179" s="182">
        <f>IF(offer_sale_type="транзит",IFERROR(VLOOKUP($B1179,calc_data,F$14+1,0),0),0)</f>
        <v/>
      </c>
      <c r="G1179" s="141">
        <f>IF(offer_sale_type="транзит",IFERROR(VLOOKUP($B1179,calc_data,G$14+1,0),0),0)</f>
        <v/>
      </c>
      <c r="H1179" s="141">
        <f>E1179*G1179</f>
        <v/>
      </c>
      <c r="I1179" s="141">
        <f>IF(offer_sale_type="транзит",IFERROR(ROUND(VLOOKUP($B1179,calc_data,I$14+1,0),2),0),0)</f>
        <v/>
      </c>
      <c r="J1179" s="141">
        <f>ROUND(IF(offer_sale_type="транзит",IFERROR(VLOOKUP($B1179,calc_data,J$14+1,0),0),0),2)</f>
        <v/>
      </c>
      <c r="K1179" s="142">
        <f>IF(offer_sale_type="транзит",IFERROR(ROUNDUP(VLOOKUP($B1179,calc_data,K$14+1,0),2),0),0)</f>
        <v/>
      </c>
      <c r="L1179" s="184">
        <f>IF(offer_sale_type="транзит",IFERROR(ROUNDUP(VLOOKUP($B1179,calc_data,L$14+1,0),2),0),0)</f>
        <v/>
      </c>
      <c r="M1179" s="141">
        <f>IF(offer_sale_type="транзит",IFERROR(ROUNDUP(VLOOKUP($B1179,calc_data,M$14+1,0),2),0),0)</f>
        <v/>
      </c>
      <c r="N1179" s="141">
        <f>IF(offer_sale_type="транзит",IFERROR(ROUNDUP(VLOOKUP($B1179,calc_data,N$14+1,0),2),0),0)</f>
        <v/>
      </c>
      <c r="O1179" s="147">
        <f>IF(offer_sale_type="транзит",IFERROR(ROUND(VLOOKUP($B1179,calc_data,O$14+1,1),2),0),0)</f>
        <v/>
      </c>
      <c r="P1179" s="141">
        <f>IF(offer_sale_type="транзит",IFERROR(ROUND(SUM(I1179:J1179,M1179:O1179)/E1179,2),0),0)</f>
        <v/>
      </c>
      <c r="Q1179" s="141">
        <f>E1179*P1179</f>
        <v/>
      </c>
      <c r="R1179" s="141">
        <f>ROUND(Q1179*IF(AND(offer_incoterms="DDP",seller_region="RU"),IF((TODAY()+offer_turnaround_time)&gt;=helpsheet!$L$17,rate_vatRU_from_26,rate_vatRu_till_25),0),2)</f>
        <v/>
      </c>
      <c r="S1179" s="177">
        <f>Q1179+IF(AND(offer_incoterms="DDP",seller_region="RU"),R1179,0)</f>
        <v/>
      </c>
      <c r="T1179" s="45" t="n"/>
      <c r="V1179" s="57">
        <f>IF(Q1179&gt;0,"показать","скрыть")</f>
        <v/>
      </c>
    </row>
    <row r="1180" ht="15.75" customHeight="1">
      <c r="B1180" s="809" t="n">
        <v>1164</v>
      </c>
      <c r="C1180" s="182">
        <f>IF(offer_sale_type="транзит",IFERROR(VLOOKUP($B1180,calc_data,C$14+1,0),0),0)</f>
        <v/>
      </c>
      <c r="D1180" s="280">
        <f>IF(offer_sale_type="транзит",IFERROR(VLOOKUP($B1180,calc_data,D$14+1,0),0),0)</f>
        <v/>
      </c>
      <c r="E1180" s="182">
        <f>IF(offer_sale_type="транзит",IFERROR(VLOOKUP($B1180,calc_data,E$14+1,0),0),0)</f>
        <v/>
      </c>
      <c r="F1180" s="182">
        <f>IF(offer_sale_type="транзит",IFERROR(VLOOKUP($B1180,calc_data,F$14+1,0),0),0)</f>
        <v/>
      </c>
      <c r="G1180" s="141">
        <f>IF(offer_sale_type="транзит",IFERROR(VLOOKUP($B1180,calc_data,G$14+1,0),0),0)</f>
        <v/>
      </c>
      <c r="H1180" s="141">
        <f>E1180*G1180</f>
        <v/>
      </c>
      <c r="I1180" s="141">
        <f>IF(offer_sale_type="транзит",IFERROR(ROUND(VLOOKUP($B1180,calc_data,I$14+1,0),2),0),0)</f>
        <v/>
      </c>
      <c r="J1180" s="141">
        <f>ROUND(IF(offer_sale_type="транзит",IFERROR(VLOOKUP($B1180,calc_data,J$14+1,0),0),0),2)</f>
        <v/>
      </c>
      <c r="K1180" s="142">
        <f>IF(offer_sale_type="транзит",IFERROR(ROUNDUP(VLOOKUP($B1180,calc_data,K$14+1,0),2),0),0)</f>
        <v/>
      </c>
      <c r="L1180" s="184">
        <f>IF(offer_sale_type="транзит",IFERROR(ROUNDUP(VLOOKUP($B1180,calc_data,L$14+1,0),2),0),0)</f>
        <v/>
      </c>
      <c r="M1180" s="141">
        <f>IF(offer_sale_type="транзит",IFERROR(ROUNDUP(VLOOKUP($B1180,calc_data,M$14+1,0),2),0),0)</f>
        <v/>
      </c>
      <c r="N1180" s="141">
        <f>IF(offer_sale_type="транзит",IFERROR(ROUNDUP(VLOOKUP($B1180,calc_data,N$14+1,0),2),0),0)</f>
        <v/>
      </c>
      <c r="O1180" s="147">
        <f>IF(offer_sale_type="транзит",IFERROR(ROUND(VLOOKUP($B1180,calc_data,O$14+1,1),2),0),0)</f>
        <v/>
      </c>
      <c r="P1180" s="141">
        <f>IF(offer_sale_type="транзит",IFERROR(ROUND(SUM(I1180:J1180,M1180:O1180)/E1180,2),0),0)</f>
        <v/>
      </c>
      <c r="Q1180" s="141">
        <f>E1180*P1180</f>
        <v/>
      </c>
      <c r="R1180" s="141">
        <f>ROUND(Q1180*IF(AND(offer_incoterms="DDP",seller_region="RU"),IF((TODAY()+offer_turnaround_time)&gt;=helpsheet!$L$17,rate_vatRU_from_26,rate_vatRu_till_25),0),2)</f>
        <v/>
      </c>
      <c r="S1180" s="177">
        <f>Q1180+IF(AND(offer_incoterms="DDP",seller_region="RU"),R1180,0)</f>
        <v/>
      </c>
      <c r="T1180" s="45" t="n"/>
      <c r="V1180" s="57">
        <f>IF(Q1180&gt;0,"показать","скрыть")</f>
        <v/>
      </c>
    </row>
    <row r="1181" ht="15.75" customHeight="1">
      <c r="B1181" s="809" t="n">
        <v>1165</v>
      </c>
      <c r="C1181" s="182">
        <f>IF(offer_sale_type="транзит",IFERROR(VLOOKUP($B1181,calc_data,C$14+1,0),0),0)</f>
        <v/>
      </c>
      <c r="D1181" s="280">
        <f>IF(offer_sale_type="транзит",IFERROR(VLOOKUP($B1181,calc_data,D$14+1,0),0),0)</f>
        <v/>
      </c>
      <c r="E1181" s="182">
        <f>IF(offer_sale_type="транзит",IFERROR(VLOOKUP($B1181,calc_data,E$14+1,0),0),0)</f>
        <v/>
      </c>
      <c r="F1181" s="182">
        <f>IF(offer_sale_type="транзит",IFERROR(VLOOKUP($B1181,calc_data,F$14+1,0),0),0)</f>
        <v/>
      </c>
      <c r="G1181" s="141">
        <f>IF(offer_sale_type="транзит",IFERROR(VLOOKUP($B1181,calc_data,G$14+1,0),0),0)</f>
        <v/>
      </c>
      <c r="H1181" s="141">
        <f>E1181*G1181</f>
        <v/>
      </c>
      <c r="I1181" s="141">
        <f>IF(offer_sale_type="транзит",IFERROR(ROUND(VLOOKUP($B1181,calc_data,I$14+1,0),2),0),0)</f>
        <v/>
      </c>
      <c r="J1181" s="141">
        <f>ROUND(IF(offer_sale_type="транзит",IFERROR(VLOOKUP($B1181,calc_data,J$14+1,0),0),0),2)</f>
        <v/>
      </c>
      <c r="K1181" s="142">
        <f>IF(offer_sale_type="транзит",IFERROR(ROUNDUP(VLOOKUP($B1181,calc_data,K$14+1,0),2),0),0)</f>
        <v/>
      </c>
      <c r="L1181" s="184">
        <f>IF(offer_sale_type="транзит",IFERROR(ROUNDUP(VLOOKUP($B1181,calc_data,L$14+1,0),2),0),0)</f>
        <v/>
      </c>
      <c r="M1181" s="141">
        <f>IF(offer_sale_type="транзит",IFERROR(ROUNDUP(VLOOKUP($B1181,calc_data,M$14+1,0),2),0),0)</f>
        <v/>
      </c>
      <c r="N1181" s="141">
        <f>IF(offer_sale_type="транзит",IFERROR(ROUNDUP(VLOOKUP($B1181,calc_data,N$14+1,0),2),0),0)</f>
        <v/>
      </c>
      <c r="O1181" s="147">
        <f>IF(offer_sale_type="транзит",IFERROR(ROUND(VLOOKUP($B1181,calc_data,O$14+1,1),2),0),0)</f>
        <v/>
      </c>
      <c r="P1181" s="141">
        <f>IF(offer_sale_type="транзит",IFERROR(ROUND(SUM(I1181:J1181,M1181:O1181)/E1181,2),0),0)</f>
        <v/>
      </c>
      <c r="Q1181" s="141">
        <f>E1181*P1181</f>
        <v/>
      </c>
      <c r="R1181" s="141">
        <f>ROUND(Q1181*IF(AND(offer_incoterms="DDP",seller_region="RU"),IF((TODAY()+offer_turnaround_time)&gt;=helpsheet!$L$17,rate_vatRU_from_26,rate_vatRu_till_25),0),2)</f>
        <v/>
      </c>
      <c r="S1181" s="177">
        <f>Q1181+IF(AND(offer_incoterms="DDP",seller_region="RU"),R1181,0)</f>
        <v/>
      </c>
      <c r="T1181" s="45" t="n"/>
      <c r="V1181" s="57">
        <f>IF(Q1181&gt;0,"показать","скрыть")</f>
        <v/>
      </c>
    </row>
    <row r="1182" ht="15.75" customHeight="1">
      <c r="B1182" s="809" t="n">
        <v>1166</v>
      </c>
      <c r="C1182" s="182">
        <f>IF(offer_sale_type="транзит",IFERROR(VLOOKUP($B1182,calc_data,C$14+1,0),0),0)</f>
        <v/>
      </c>
      <c r="D1182" s="280">
        <f>IF(offer_sale_type="транзит",IFERROR(VLOOKUP($B1182,calc_data,D$14+1,0),0),0)</f>
        <v/>
      </c>
      <c r="E1182" s="182">
        <f>IF(offer_sale_type="транзит",IFERROR(VLOOKUP($B1182,calc_data,E$14+1,0),0),0)</f>
        <v/>
      </c>
      <c r="F1182" s="182">
        <f>IF(offer_sale_type="транзит",IFERROR(VLOOKUP($B1182,calc_data,F$14+1,0),0),0)</f>
        <v/>
      </c>
      <c r="G1182" s="141">
        <f>IF(offer_sale_type="транзит",IFERROR(VLOOKUP($B1182,calc_data,G$14+1,0),0),0)</f>
        <v/>
      </c>
      <c r="H1182" s="141">
        <f>E1182*G1182</f>
        <v/>
      </c>
      <c r="I1182" s="141">
        <f>IF(offer_sale_type="транзит",IFERROR(ROUND(VLOOKUP($B1182,calc_data,I$14+1,0),2),0),0)</f>
        <v/>
      </c>
      <c r="J1182" s="141">
        <f>ROUND(IF(offer_sale_type="транзит",IFERROR(VLOOKUP($B1182,calc_data,J$14+1,0),0),0),2)</f>
        <v/>
      </c>
      <c r="K1182" s="142">
        <f>IF(offer_sale_type="транзит",IFERROR(ROUNDUP(VLOOKUP($B1182,calc_data,K$14+1,0),2),0),0)</f>
        <v/>
      </c>
      <c r="L1182" s="184">
        <f>IF(offer_sale_type="транзит",IFERROR(ROUNDUP(VLOOKUP($B1182,calc_data,L$14+1,0),2),0),0)</f>
        <v/>
      </c>
      <c r="M1182" s="141">
        <f>IF(offer_sale_type="транзит",IFERROR(ROUNDUP(VLOOKUP($B1182,calc_data,M$14+1,0),2),0),0)</f>
        <v/>
      </c>
      <c r="N1182" s="141">
        <f>IF(offer_sale_type="транзит",IFERROR(ROUNDUP(VLOOKUP($B1182,calc_data,N$14+1,0),2),0),0)</f>
        <v/>
      </c>
      <c r="O1182" s="147">
        <f>IF(offer_sale_type="транзит",IFERROR(ROUND(VLOOKUP($B1182,calc_data,O$14+1,1),2),0),0)</f>
        <v/>
      </c>
      <c r="P1182" s="141">
        <f>IF(offer_sale_type="транзит",IFERROR(ROUND(SUM(I1182:J1182,M1182:O1182)/E1182,2),0),0)</f>
        <v/>
      </c>
      <c r="Q1182" s="141">
        <f>E1182*P1182</f>
        <v/>
      </c>
      <c r="R1182" s="141">
        <f>ROUND(Q1182*IF(AND(offer_incoterms="DDP",seller_region="RU"),IF((TODAY()+offer_turnaround_time)&gt;=helpsheet!$L$17,rate_vatRU_from_26,rate_vatRu_till_25),0),2)</f>
        <v/>
      </c>
      <c r="S1182" s="177">
        <f>Q1182+IF(AND(offer_incoterms="DDP",seller_region="RU"),R1182,0)</f>
        <v/>
      </c>
      <c r="T1182" s="45" t="n"/>
      <c r="V1182" s="57">
        <f>IF(Q1182&gt;0,"показать","скрыть")</f>
        <v/>
      </c>
    </row>
    <row r="1183" ht="15.75" customHeight="1">
      <c r="B1183" s="809" t="n">
        <v>1167</v>
      </c>
      <c r="C1183" s="182">
        <f>IF(offer_sale_type="транзит",IFERROR(VLOOKUP($B1183,calc_data,C$14+1,0),0),0)</f>
        <v/>
      </c>
      <c r="D1183" s="280">
        <f>IF(offer_sale_type="транзит",IFERROR(VLOOKUP($B1183,calc_data,D$14+1,0),0),0)</f>
        <v/>
      </c>
      <c r="E1183" s="182">
        <f>IF(offer_sale_type="транзит",IFERROR(VLOOKUP($B1183,calc_data,E$14+1,0),0),0)</f>
        <v/>
      </c>
      <c r="F1183" s="182">
        <f>IF(offer_sale_type="транзит",IFERROR(VLOOKUP($B1183,calc_data,F$14+1,0),0),0)</f>
        <v/>
      </c>
      <c r="G1183" s="141">
        <f>IF(offer_sale_type="транзит",IFERROR(VLOOKUP($B1183,calc_data,G$14+1,0),0),0)</f>
        <v/>
      </c>
      <c r="H1183" s="141">
        <f>E1183*G1183</f>
        <v/>
      </c>
      <c r="I1183" s="141">
        <f>IF(offer_sale_type="транзит",IFERROR(ROUND(VLOOKUP($B1183,calc_data,I$14+1,0),2),0),0)</f>
        <v/>
      </c>
      <c r="J1183" s="141">
        <f>ROUND(IF(offer_sale_type="транзит",IFERROR(VLOOKUP($B1183,calc_data,J$14+1,0),0),0),2)</f>
        <v/>
      </c>
      <c r="K1183" s="142">
        <f>IF(offer_sale_type="транзит",IFERROR(ROUNDUP(VLOOKUP($B1183,calc_data,K$14+1,0),2),0),0)</f>
        <v/>
      </c>
      <c r="L1183" s="184">
        <f>IF(offer_sale_type="транзит",IFERROR(ROUNDUP(VLOOKUP($B1183,calc_data,L$14+1,0),2),0),0)</f>
        <v/>
      </c>
      <c r="M1183" s="141">
        <f>IF(offer_sale_type="транзит",IFERROR(ROUNDUP(VLOOKUP($B1183,calc_data,M$14+1,0),2),0),0)</f>
        <v/>
      </c>
      <c r="N1183" s="141">
        <f>IF(offer_sale_type="транзит",IFERROR(ROUNDUP(VLOOKUP($B1183,calc_data,N$14+1,0),2),0),0)</f>
        <v/>
      </c>
      <c r="O1183" s="147">
        <f>IF(offer_sale_type="транзит",IFERROR(ROUND(VLOOKUP($B1183,calc_data,O$14+1,1),2),0),0)</f>
        <v/>
      </c>
      <c r="P1183" s="141">
        <f>IF(offer_sale_type="транзит",IFERROR(ROUND(SUM(I1183:J1183,M1183:O1183)/E1183,2),0),0)</f>
        <v/>
      </c>
      <c r="Q1183" s="141">
        <f>E1183*P1183</f>
        <v/>
      </c>
      <c r="R1183" s="141">
        <f>ROUND(Q1183*IF(AND(offer_incoterms="DDP",seller_region="RU"),IF((TODAY()+offer_turnaround_time)&gt;=helpsheet!$L$17,rate_vatRU_from_26,rate_vatRu_till_25),0),2)</f>
        <v/>
      </c>
      <c r="S1183" s="177">
        <f>Q1183+IF(AND(offer_incoterms="DDP",seller_region="RU"),R1183,0)</f>
        <v/>
      </c>
      <c r="T1183" s="45" t="n"/>
      <c r="V1183" s="57">
        <f>IF(Q1183&gt;0,"показать","скрыть")</f>
        <v/>
      </c>
    </row>
    <row r="1184" ht="15.75" customHeight="1">
      <c r="B1184" s="809" t="n">
        <v>1168</v>
      </c>
      <c r="C1184" s="182">
        <f>IF(offer_sale_type="транзит",IFERROR(VLOOKUP($B1184,calc_data,C$14+1,0),0),0)</f>
        <v/>
      </c>
      <c r="D1184" s="280">
        <f>IF(offer_sale_type="транзит",IFERROR(VLOOKUP($B1184,calc_data,D$14+1,0),0),0)</f>
        <v/>
      </c>
      <c r="E1184" s="182">
        <f>IF(offer_sale_type="транзит",IFERROR(VLOOKUP($B1184,calc_data,E$14+1,0),0),0)</f>
        <v/>
      </c>
      <c r="F1184" s="182">
        <f>IF(offer_sale_type="транзит",IFERROR(VLOOKUP($B1184,calc_data,F$14+1,0),0),0)</f>
        <v/>
      </c>
      <c r="G1184" s="141">
        <f>IF(offer_sale_type="транзит",IFERROR(VLOOKUP($B1184,calc_data,G$14+1,0),0),0)</f>
        <v/>
      </c>
      <c r="H1184" s="141">
        <f>E1184*G1184</f>
        <v/>
      </c>
      <c r="I1184" s="141">
        <f>IF(offer_sale_type="транзит",IFERROR(ROUND(VLOOKUP($B1184,calc_data,I$14+1,0),2),0),0)</f>
        <v/>
      </c>
      <c r="J1184" s="141">
        <f>ROUND(IF(offer_sale_type="транзит",IFERROR(VLOOKUP($B1184,calc_data,J$14+1,0),0),0),2)</f>
        <v/>
      </c>
      <c r="K1184" s="142">
        <f>IF(offer_sale_type="транзит",IFERROR(ROUNDUP(VLOOKUP($B1184,calc_data,K$14+1,0),2),0),0)</f>
        <v/>
      </c>
      <c r="L1184" s="184">
        <f>IF(offer_sale_type="транзит",IFERROR(ROUNDUP(VLOOKUP($B1184,calc_data,L$14+1,0),2),0),0)</f>
        <v/>
      </c>
      <c r="M1184" s="141">
        <f>IF(offer_sale_type="транзит",IFERROR(ROUNDUP(VLOOKUP($B1184,calc_data,M$14+1,0),2),0),0)</f>
        <v/>
      </c>
      <c r="N1184" s="141">
        <f>IF(offer_sale_type="транзит",IFERROR(ROUNDUP(VLOOKUP($B1184,calc_data,N$14+1,0),2),0),0)</f>
        <v/>
      </c>
      <c r="O1184" s="147">
        <f>IF(offer_sale_type="транзит",IFERROR(ROUND(VLOOKUP($B1184,calc_data,O$14+1,1),2),0),0)</f>
        <v/>
      </c>
      <c r="P1184" s="141">
        <f>IF(offer_sale_type="транзит",IFERROR(ROUND(SUM(I1184:J1184,M1184:O1184)/E1184,2),0),0)</f>
        <v/>
      </c>
      <c r="Q1184" s="141">
        <f>E1184*P1184</f>
        <v/>
      </c>
      <c r="R1184" s="141">
        <f>ROUND(Q1184*IF(AND(offer_incoterms="DDP",seller_region="RU"),IF((TODAY()+offer_turnaround_time)&gt;=helpsheet!$L$17,rate_vatRU_from_26,rate_vatRu_till_25),0),2)</f>
        <v/>
      </c>
      <c r="S1184" s="177">
        <f>Q1184+IF(AND(offer_incoterms="DDP",seller_region="RU"),R1184,0)</f>
        <v/>
      </c>
      <c r="T1184" s="45" t="n"/>
      <c r="V1184" s="57">
        <f>IF(Q1184&gt;0,"показать","скрыть")</f>
        <v/>
      </c>
    </row>
    <row r="1185" ht="15.75" customHeight="1">
      <c r="B1185" s="809" t="n">
        <v>1169</v>
      </c>
      <c r="C1185" s="182">
        <f>IF(offer_sale_type="транзит",IFERROR(VLOOKUP($B1185,calc_data,C$14+1,0),0),0)</f>
        <v/>
      </c>
      <c r="D1185" s="280">
        <f>IF(offer_sale_type="транзит",IFERROR(VLOOKUP($B1185,calc_data,D$14+1,0),0),0)</f>
        <v/>
      </c>
      <c r="E1185" s="182">
        <f>IF(offer_sale_type="транзит",IFERROR(VLOOKUP($B1185,calc_data,E$14+1,0),0),0)</f>
        <v/>
      </c>
      <c r="F1185" s="182">
        <f>IF(offer_sale_type="транзит",IFERROR(VLOOKUP($B1185,calc_data,F$14+1,0),0),0)</f>
        <v/>
      </c>
      <c r="G1185" s="141">
        <f>IF(offer_sale_type="транзит",IFERROR(VLOOKUP($B1185,calc_data,G$14+1,0),0),0)</f>
        <v/>
      </c>
      <c r="H1185" s="141">
        <f>E1185*G1185</f>
        <v/>
      </c>
      <c r="I1185" s="141">
        <f>IF(offer_sale_type="транзит",IFERROR(ROUND(VLOOKUP($B1185,calc_data,I$14+1,0),2),0),0)</f>
        <v/>
      </c>
      <c r="J1185" s="141">
        <f>ROUND(IF(offer_sale_type="транзит",IFERROR(VLOOKUP($B1185,calc_data,J$14+1,0),0),0),2)</f>
        <v/>
      </c>
      <c r="K1185" s="142">
        <f>IF(offer_sale_type="транзит",IFERROR(ROUNDUP(VLOOKUP($B1185,calc_data,K$14+1,0),2),0),0)</f>
        <v/>
      </c>
      <c r="L1185" s="184">
        <f>IF(offer_sale_type="транзит",IFERROR(ROUNDUP(VLOOKUP($B1185,calc_data,L$14+1,0),2),0),0)</f>
        <v/>
      </c>
      <c r="M1185" s="141">
        <f>IF(offer_sale_type="транзит",IFERROR(ROUNDUP(VLOOKUP($B1185,calc_data,M$14+1,0),2),0),0)</f>
        <v/>
      </c>
      <c r="N1185" s="141">
        <f>IF(offer_sale_type="транзит",IFERROR(ROUNDUP(VLOOKUP($B1185,calc_data,N$14+1,0),2),0),0)</f>
        <v/>
      </c>
      <c r="O1185" s="147">
        <f>IF(offer_sale_type="транзит",IFERROR(ROUND(VLOOKUP($B1185,calc_data,O$14+1,1),2),0),0)</f>
        <v/>
      </c>
      <c r="P1185" s="141">
        <f>IF(offer_sale_type="транзит",IFERROR(ROUND(SUM(I1185:J1185,M1185:O1185)/E1185,2),0),0)</f>
        <v/>
      </c>
      <c r="Q1185" s="141">
        <f>E1185*P1185</f>
        <v/>
      </c>
      <c r="R1185" s="141">
        <f>ROUND(Q1185*IF(AND(offer_incoterms="DDP",seller_region="RU"),IF((TODAY()+offer_turnaround_time)&gt;=helpsheet!$L$17,rate_vatRU_from_26,rate_vatRu_till_25),0),2)</f>
        <v/>
      </c>
      <c r="S1185" s="177">
        <f>Q1185+IF(AND(offer_incoterms="DDP",seller_region="RU"),R1185,0)</f>
        <v/>
      </c>
      <c r="T1185" s="45" t="n"/>
      <c r="V1185" s="57">
        <f>IF(Q1185&gt;0,"показать","скрыть")</f>
        <v/>
      </c>
    </row>
    <row r="1186" ht="15.75" customHeight="1">
      <c r="B1186" s="809" t="n">
        <v>1170</v>
      </c>
      <c r="C1186" s="182">
        <f>IF(offer_sale_type="транзит",IFERROR(VLOOKUP($B1186,calc_data,C$14+1,0),0),0)</f>
        <v/>
      </c>
      <c r="D1186" s="280">
        <f>IF(offer_sale_type="транзит",IFERROR(VLOOKUP($B1186,calc_data,D$14+1,0),0),0)</f>
        <v/>
      </c>
      <c r="E1186" s="182">
        <f>IF(offer_sale_type="транзит",IFERROR(VLOOKUP($B1186,calc_data,E$14+1,0),0),0)</f>
        <v/>
      </c>
      <c r="F1186" s="182">
        <f>IF(offer_sale_type="транзит",IFERROR(VLOOKUP($B1186,calc_data,F$14+1,0),0),0)</f>
        <v/>
      </c>
      <c r="G1186" s="141">
        <f>IF(offer_sale_type="транзит",IFERROR(VLOOKUP($B1186,calc_data,G$14+1,0),0),0)</f>
        <v/>
      </c>
      <c r="H1186" s="141">
        <f>E1186*G1186</f>
        <v/>
      </c>
      <c r="I1186" s="141">
        <f>IF(offer_sale_type="транзит",IFERROR(ROUND(VLOOKUP($B1186,calc_data,I$14+1,0),2),0),0)</f>
        <v/>
      </c>
      <c r="J1186" s="141">
        <f>ROUND(IF(offer_sale_type="транзит",IFERROR(VLOOKUP($B1186,calc_data,J$14+1,0),0),0),2)</f>
        <v/>
      </c>
      <c r="K1186" s="142">
        <f>IF(offer_sale_type="транзит",IFERROR(ROUNDUP(VLOOKUP($B1186,calc_data,K$14+1,0),2),0),0)</f>
        <v/>
      </c>
      <c r="L1186" s="184">
        <f>IF(offer_sale_type="транзит",IFERROR(ROUNDUP(VLOOKUP($B1186,calc_data,L$14+1,0),2),0),0)</f>
        <v/>
      </c>
      <c r="M1186" s="141">
        <f>IF(offer_sale_type="транзит",IFERROR(ROUNDUP(VLOOKUP($B1186,calc_data,M$14+1,0),2),0),0)</f>
        <v/>
      </c>
      <c r="N1186" s="141">
        <f>IF(offer_sale_type="транзит",IFERROR(ROUNDUP(VLOOKUP($B1186,calc_data,N$14+1,0),2),0),0)</f>
        <v/>
      </c>
      <c r="O1186" s="147">
        <f>IF(offer_sale_type="транзит",IFERROR(ROUND(VLOOKUP($B1186,calc_data,O$14+1,1),2),0),0)</f>
        <v/>
      </c>
      <c r="P1186" s="141">
        <f>IF(offer_sale_type="транзит",IFERROR(ROUND(SUM(I1186:J1186,M1186:O1186)/E1186,2),0),0)</f>
        <v/>
      </c>
      <c r="Q1186" s="141">
        <f>E1186*P1186</f>
        <v/>
      </c>
      <c r="R1186" s="141">
        <f>ROUND(Q1186*IF(AND(offer_incoterms="DDP",seller_region="RU"),IF((TODAY()+offer_turnaround_time)&gt;=helpsheet!$L$17,rate_vatRU_from_26,rate_vatRu_till_25),0),2)</f>
        <v/>
      </c>
      <c r="S1186" s="177">
        <f>Q1186+IF(AND(offer_incoterms="DDP",seller_region="RU"),R1186,0)</f>
        <v/>
      </c>
      <c r="T1186" s="45" t="n"/>
      <c r="V1186" s="57">
        <f>IF(Q1186&gt;0,"показать","скрыть")</f>
        <v/>
      </c>
    </row>
    <row r="1187" ht="15.75" customHeight="1">
      <c r="B1187" s="809" t="n">
        <v>1171</v>
      </c>
      <c r="C1187" s="182">
        <f>IF(offer_sale_type="транзит",IFERROR(VLOOKUP($B1187,calc_data,C$14+1,0),0),0)</f>
        <v/>
      </c>
      <c r="D1187" s="280">
        <f>IF(offer_sale_type="транзит",IFERROR(VLOOKUP($B1187,calc_data,D$14+1,0),0),0)</f>
        <v/>
      </c>
      <c r="E1187" s="182">
        <f>IF(offer_sale_type="транзит",IFERROR(VLOOKUP($B1187,calc_data,E$14+1,0),0),0)</f>
        <v/>
      </c>
      <c r="F1187" s="182">
        <f>IF(offer_sale_type="транзит",IFERROR(VLOOKUP($B1187,calc_data,F$14+1,0),0),0)</f>
        <v/>
      </c>
      <c r="G1187" s="141">
        <f>IF(offer_sale_type="транзит",IFERROR(VLOOKUP($B1187,calc_data,G$14+1,0),0),0)</f>
        <v/>
      </c>
      <c r="H1187" s="141">
        <f>E1187*G1187</f>
        <v/>
      </c>
      <c r="I1187" s="141">
        <f>IF(offer_sale_type="транзит",IFERROR(ROUND(VLOOKUP($B1187,calc_data,I$14+1,0),2),0),0)</f>
        <v/>
      </c>
      <c r="J1187" s="141">
        <f>ROUND(IF(offer_sale_type="транзит",IFERROR(VLOOKUP($B1187,calc_data,J$14+1,0),0),0),2)</f>
        <v/>
      </c>
      <c r="K1187" s="142">
        <f>IF(offer_sale_type="транзит",IFERROR(ROUNDUP(VLOOKUP($B1187,calc_data,K$14+1,0),2),0),0)</f>
        <v/>
      </c>
      <c r="L1187" s="184">
        <f>IF(offer_sale_type="транзит",IFERROR(ROUNDUP(VLOOKUP($B1187,calc_data,L$14+1,0),2),0),0)</f>
        <v/>
      </c>
      <c r="M1187" s="141">
        <f>IF(offer_sale_type="транзит",IFERROR(ROUNDUP(VLOOKUP($B1187,calc_data,M$14+1,0),2),0),0)</f>
        <v/>
      </c>
      <c r="N1187" s="141">
        <f>IF(offer_sale_type="транзит",IFERROR(ROUNDUP(VLOOKUP($B1187,calc_data,N$14+1,0),2),0),0)</f>
        <v/>
      </c>
      <c r="O1187" s="147">
        <f>IF(offer_sale_type="транзит",IFERROR(ROUND(VLOOKUP($B1187,calc_data,O$14+1,1),2),0),0)</f>
        <v/>
      </c>
      <c r="P1187" s="141">
        <f>IF(offer_sale_type="транзит",IFERROR(ROUND(SUM(I1187:J1187,M1187:O1187)/E1187,2),0),0)</f>
        <v/>
      </c>
      <c r="Q1187" s="141">
        <f>E1187*P1187</f>
        <v/>
      </c>
      <c r="R1187" s="141">
        <f>ROUND(Q1187*IF(AND(offer_incoterms="DDP",seller_region="RU"),IF((TODAY()+offer_turnaround_time)&gt;=helpsheet!$L$17,rate_vatRU_from_26,rate_vatRu_till_25),0),2)</f>
        <v/>
      </c>
      <c r="S1187" s="177">
        <f>Q1187+IF(AND(offer_incoterms="DDP",seller_region="RU"),R1187,0)</f>
        <v/>
      </c>
      <c r="T1187" s="45" t="n"/>
      <c r="V1187" s="57">
        <f>IF(Q1187&gt;0,"показать","скрыть")</f>
        <v/>
      </c>
    </row>
    <row r="1188" ht="15.75" customHeight="1">
      <c r="B1188" s="809" t="n">
        <v>1172</v>
      </c>
      <c r="C1188" s="182">
        <f>IF(offer_sale_type="транзит",IFERROR(VLOOKUP($B1188,calc_data,C$14+1,0),0),0)</f>
        <v/>
      </c>
      <c r="D1188" s="280">
        <f>IF(offer_sale_type="транзит",IFERROR(VLOOKUP($B1188,calc_data,D$14+1,0),0),0)</f>
        <v/>
      </c>
      <c r="E1188" s="182">
        <f>IF(offer_sale_type="транзит",IFERROR(VLOOKUP($B1188,calc_data,E$14+1,0),0),0)</f>
        <v/>
      </c>
      <c r="F1188" s="182">
        <f>IF(offer_sale_type="транзит",IFERROR(VLOOKUP($B1188,calc_data,F$14+1,0),0),0)</f>
        <v/>
      </c>
      <c r="G1188" s="141">
        <f>IF(offer_sale_type="транзит",IFERROR(VLOOKUP($B1188,calc_data,G$14+1,0),0),0)</f>
        <v/>
      </c>
      <c r="H1188" s="141">
        <f>E1188*G1188</f>
        <v/>
      </c>
      <c r="I1188" s="141">
        <f>IF(offer_sale_type="транзит",IFERROR(ROUND(VLOOKUP($B1188,calc_data,I$14+1,0),2),0),0)</f>
        <v/>
      </c>
      <c r="J1188" s="141">
        <f>ROUND(IF(offer_sale_type="транзит",IFERROR(VLOOKUP($B1188,calc_data,J$14+1,0),0),0),2)</f>
        <v/>
      </c>
      <c r="K1188" s="142">
        <f>IF(offer_sale_type="транзит",IFERROR(ROUNDUP(VLOOKUP($B1188,calc_data,K$14+1,0),2),0),0)</f>
        <v/>
      </c>
      <c r="L1188" s="184">
        <f>IF(offer_sale_type="транзит",IFERROR(ROUNDUP(VLOOKUP($B1188,calc_data,L$14+1,0),2),0),0)</f>
        <v/>
      </c>
      <c r="M1188" s="141">
        <f>IF(offer_sale_type="транзит",IFERROR(ROUNDUP(VLOOKUP($B1188,calc_data,M$14+1,0),2),0),0)</f>
        <v/>
      </c>
      <c r="N1188" s="141">
        <f>IF(offer_sale_type="транзит",IFERROR(ROUNDUP(VLOOKUP($B1188,calc_data,N$14+1,0),2),0),0)</f>
        <v/>
      </c>
      <c r="O1188" s="147">
        <f>IF(offer_sale_type="транзит",IFERROR(ROUND(VLOOKUP($B1188,calc_data,O$14+1,1),2),0),0)</f>
        <v/>
      </c>
      <c r="P1188" s="141">
        <f>IF(offer_sale_type="транзит",IFERROR(ROUND(SUM(I1188:J1188,M1188:O1188)/E1188,2),0),0)</f>
        <v/>
      </c>
      <c r="Q1188" s="141">
        <f>E1188*P1188</f>
        <v/>
      </c>
      <c r="R1188" s="141">
        <f>ROUND(Q1188*IF(AND(offer_incoterms="DDP",seller_region="RU"),IF((TODAY()+offer_turnaround_time)&gt;=helpsheet!$L$17,rate_vatRU_from_26,rate_vatRu_till_25),0),2)</f>
        <v/>
      </c>
      <c r="S1188" s="177">
        <f>Q1188+IF(AND(offer_incoterms="DDP",seller_region="RU"),R1188,0)</f>
        <v/>
      </c>
      <c r="T1188" s="45" t="n"/>
      <c r="V1188" s="57">
        <f>IF(Q1188&gt;0,"показать","скрыть")</f>
        <v/>
      </c>
    </row>
    <row r="1189" ht="15.75" customHeight="1">
      <c r="B1189" s="809" t="n">
        <v>1173</v>
      </c>
      <c r="C1189" s="182">
        <f>IF(offer_sale_type="транзит",IFERROR(VLOOKUP($B1189,calc_data,C$14+1,0),0),0)</f>
        <v/>
      </c>
      <c r="D1189" s="280">
        <f>IF(offer_sale_type="транзит",IFERROR(VLOOKUP($B1189,calc_data,D$14+1,0),0),0)</f>
        <v/>
      </c>
      <c r="E1189" s="182">
        <f>IF(offer_sale_type="транзит",IFERROR(VLOOKUP($B1189,calc_data,E$14+1,0),0),0)</f>
        <v/>
      </c>
      <c r="F1189" s="182">
        <f>IF(offer_sale_type="транзит",IFERROR(VLOOKUP($B1189,calc_data,F$14+1,0),0),0)</f>
        <v/>
      </c>
      <c r="G1189" s="141">
        <f>IF(offer_sale_type="транзит",IFERROR(VLOOKUP($B1189,calc_data,G$14+1,0),0),0)</f>
        <v/>
      </c>
      <c r="H1189" s="141">
        <f>E1189*G1189</f>
        <v/>
      </c>
      <c r="I1189" s="141">
        <f>IF(offer_sale_type="транзит",IFERROR(ROUND(VLOOKUP($B1189,calc_data,I$14+1,0),2),0),0)</f>
        <v/>
      </c>
      <c r="J1189" s="141">
        <f>ROUND(IF(offer_sale_type="транзит",IFERROR(VLOOKUP($B1189,calc_data,J$14+1,0),0),0),2)</f>
        <v/>
      </c>
      <c r="K1189" s="142">
        <f>IF(offer_sale_type="транзит",IFERROR(ROUNDUP(VLOOKUP($B1189,calc_data,K$14+1,0),2),0),0)</f>
        <v/>
      </c>
      <c r="L1189" s="184">
        <f>IF(offer_sale_type="транзит",IFERROR(ROUNDUP(VLOOKUP($B1189,calc_data,L$14+1,0),2),0),0)</f>
        <v/>
      </c>
      <c r="M1189" s="141">
        <f>IF(offer_sale_type="транзит",IFERROR(ROUNDUP(VLOOKUP($B1189,calc_data,M$14+1,0),2),0),0)</f>
        <v/>
      </c>
      <c r="N1189" s="141">
        <f>IF(offer_sale_type="транзит",IFERROR(ROUNDUP(VLOOKUP($B1189,calc_data,N$14+1,0),2),0),0)</f>
        <v/>
      </c>
      <c r="O1189" s="147">
        <f>IF(offer_sale_type="транзит",IFERROR(ROUND(VLOOKUP($B1189,calc_data,O$14+1,1),2),0),0)</f>
        <v/>
      </c>
      <c r="P1189" s="141">
        <f>IF(offer_sale_type="транзит",IFERROR(ROUND(SUM(I1189:J1189,M1189:O1189)/E1189,2),0),0)</f>
        <v/>
      </c>
      <c r="Q1189" s="141">
        <f>E1189*P1189</f>
        <v/>
      </c>
      <c r="R1189" s="141">
        <f>ROUND(Q1189*IF(AND(offer_incoterms="DDP",seller_region="RU"),IF((TODAY()+offer_turnaround_time)&gt;=helpsheet!$L$17,rate_vatRU_from_26,rate_vatRu_till_25),0),2)</f>
        <v/>
      </c>
      <c r="S1189" s="177">
        <f>Q1189+IF(AND(offer_incoterms="DDP",seller_region="RU"),R1189,0)</f>
        <v/>
      </c>
      <c r="T1189" s="45" t="n"/>
      <c r="V1189" s="57">
        <f>IF(Q1189&gt;0,"показать","скрыть")</f>
        <v/>
      </c>
    </row>
    <row r="1190" ht="15.75" customHeight="1">
      <c r="B1190" s="809" t="n">
        <v>1174</v>
      </c>
      <c r="C1190" s="182">
        <f>IF(offer_sale_type="транзит",IFERROR(VLOOKUP($B1190,calc_data,C$14+1,0),0),0)</f>
        <v/>
      </c>
      <c r="D1190" s="280">
        <f>IF(offer_sale_type="транзит",IFERROR(VLOOKUP($B1190,calc_data,D$14+1,0),0),0)</f>
        <v/>
      </c>
      <c r="E1190" s="182">
        <f>IF(offer_sale_type="транзит",IFERROR(VLOOKUP($B1190,calc_data,E$14+1,0),0),0)</f>
        <v/>
      </c>
      <c r="F1190" s="182">
        <f>IF(offer_sale_type="транзит",IFERROR(VLOOKUP($B1190,calc_data,F$14+1,0),0),0)</f>
        <v/>
      </c>
      <c r="G1190" s="141">
        <f>IF(offer_sale_type="транзит",IFERROR(VLOOKUP($B1190,calc_data,G$14+1,0),0),0)</f>
        <v/>
      </c>
      <c r="H1190" s="141">
        <f>E1190*G1190</f>
        <v/>
      </c>
      <c r="I1190" s="141">
        <f>IF(offer_sale_type="транзит",IFERROR(ROUND(VLOOKUP($B1190,calc_data,I$14+1,0),2),0),0)</f>
        <v/>
      </c>
      <c r="J1190" s="141">
        <f>ROUND(IF(offer_sale_type="транзит",IFERROR(VLOOKUP($B1190,calc_data,J$14+1,0),0),0),2)</f>
        <v/>
      </c>
      <c r="K1190" s="142">
        <f>IF(offer_sale_type="транзит",IFERROR(ROUNDUP(VLOOKUP($B1190,calc_data,K$14+1,0),2),0),0)</f>
        <v/>
      </c>
      <c r="L1190" s="184">
        <f>IF(offer_sale_type="транзит",IFERROR(ROUNDUP(VLOOKUP($B1190,calc_data,L$14+1,0),2),0),0)</f>
        <v/>
      </c>
      <c r="M1190" s="141">
        <f>IF(offer_sale_type="транзит",IFERROR(ROUNDUP(VLOOKUP($B1190,calc_data,M$14+1,0),2),0),0)</f>
        <v/>
      </c>
      <c r="N1190" s="141">
        <f>IF(offer_sale_type="транзит",IFERROR(ROUNDUP(VLOOKUP($B1190,calc_data,N$14+1,0),2),0),0)</f>
        <v/>
      </c>
      <c r="O1190" s="147">
        <f>IF(offer_sale_type="транзит",IFERROR(ROUND(VLOOKUP($B1190,calc_data,O$14+1,1),2),0),0)</f>
        <v/>
      </c>
      <c r="P1190" s="141">
        <f>IF(offer_sale_type="транзит",IFERROR(ROUND(SUM(I1190:J1190,M1190:O1190)/E1190,2),0),0)</f>
        <v/>
      </c>
      <c r="Q1190" s="141">
        <f>E1190*P1190</f>
        <v/>
      </c>
      <c r="R1190" s="141">
        <f>ROUND(Q1190*IF(AND(offer_incoterms="DDP",seller_region="RU"),IF((TODAY()+offer_turnaround_time)&gt;=helpsheet!$L$17,rate_vatRU_from_26,rate_vatRu_till_25),0),2)</f>
        <v/>
      </c>
      <c r="S1190" s="177">
        <f>Q1190+IF(AND(offer_incoterms="DDP",seller_region="RU"),R1190,0)</f>
        <v/>
      </c>
      <c r="T1190" s="45" t="n"/>
      <c r="V1190" s="57">
        <f>IF(Q1190&gt;0,"показать","скрыть")</f>
        <v/>
      </c>
    </row>
    <row r="1191" ht="15.75" customHeight="1">
      <c r="B1191" s="809" t="n">
        <v>1175</v>
      </c>
      <c r="C1191" s="182">
        <f>IF(offer_sale_type="транзит",IFERROR(VLOOKUP($B1191,calc_data,C$14+1,0),0),0)</f>
        <v/>
      </c>
      <c r="D1191" s="280">
        <f>IF(offer_sale_type="транзит",IFERROR(VLOOKUP($B1191,calc_data,D$14+1,0),0),0)</f>
        <v/>
      </c>
      <c r="E1191" s="182">
        <f>IF(offer_sale_type="транзит",IFERROR(VLOOKUP($B1191,calc_data,E$14+1,0),0),0)</f>
        <v/>
      </c>
      <c r="F1191" s="182">
        <f>IF(offer_sale_type="транзит",IFERROR(VLOOKUP($B1191,calc_data,F$14+1,0),0),0)</f>
        <v/>
      </c>
      <c r="G1191" s="141">
        <f>IF(offer_sale_type="транзит",IFERROR(VLOOKUP($B1191,calc_data,G$14+1,0),0),0)</f>
        <v/>
      </c>
      <c r="H1191" s="141">
        <f>E1191*G1191</f>
        <v/>
      </c>
      <c r="I1191" s="141">
        <f>IF(offer_sale_type="транзит",IFERROR(ROUND(VLOOKUP($B1191,calc_data,I$14+1,0),2),0),0)</f>
        <v/>
      </c>
      <c r="J1191" s="141">
        <f>ROUND(IF(offer_sale_type="транзит",IFERROR(VLOOKUP($B1191,calc_data,J$14+1,0),0),0),2)</f>
        <v/>
      </c>
      <c r="K1191" s="142">
        <f>IF(offer_sale_type="транзит",IFERROR(ROUNDUP(VLOOKUP($B1191,calc_data,K$14+1,0),2),0),0)</f>
        <v/>
      </c>
      <c r="L1191" s="184">
        <f>IF(offer_sale_type="транзит",IFERROR(ROUNDUP(VLOOKUP($B1191,calc_data,L$14+1,0),2),0),0)</f>
        <v/>
      </c>
      <c r="M1191" s="141">
        <f>IF(offer_sale_type="транзит",IFERROR(ROUNDUP(VLOOKUP($B1191,calc_data,M$14+1,0),2),0),0)</f>
        <v/>
      </c>
      <c r="N1191" s="141">
        <f>IF(offer_sale_type="транзит",IFERROR(ROUNDUP(VLOOKUP($B1191,calc_data,N$14+1,0),2),0),0)</f>
        <v/>
      </c>
      <c r="O1191" s="147">
        <f>IF(offer_sale_type="транзит",IFERROR(ROUND(VLOOKUP($B1191,calc_data,O$14+1,1),2),0),0)</f>
        <v/>
      </c>
      <c r="P1191" s="141">
        <f>IF(offer_sale_type="транзит",IFERROR(ROUND(SUM(I1191:J1191,M1191:O1191)/E1191,2),0),0)</f>
        <v/>
      </c>
      <c r="Q1191" s="141">
        <f>E1191*P1191</f>
        <v/>
      </c>
      <c r="R1191" s="141">
        <f>ROUND(Q1191*IF(AND(offer_incoterms="DDP",seller_region="RU"),IF((TODAY()+offer_turnaround_time)&gt;=helpsheet!$L$17,rate_vatRU_from_26,rate_vatRu_till_25),0),2)</f>
        <v/>
      </c>
      <c r="S1191" s="177">
        <f>Q1191+IF(AND(offer_incoterms="DDP",seller_region="RU"),R1191,0)</f>
        <v/>
      </c>
      <c r="T1191" s="45" t="n"/>
      <c r="V1191" s="57">
        <f>IF(Q1191&gt;0,"показать","скрыть")</f>
        <v/>
      </c>
    </row>
    <row r="1192" ht="15.75" customHeight="1">
      <c r="B1192" s="809" t="n">
        <v>1176</v>
      </c>
      <c r="C1192" s="182">
        <f>IF(offer_sale_type="транзит",IFERROR(VLOOKUP($B1192,calc_data,C$14+1,0),0),0)</f>
        <v/>
      </c>
      <c r="D1192" s="280">
        <f>IF(offer_sale_type="транзит",IFERROR(VLOOKUP($B1192,calc_data,D$14+1,0),0),0)</f>
        <v/>
      </c>
      <c r="E1192" s="182">
        <f>IF(offer_sale_type="транзит",IFERROR(VLOOKUP($B1192,calc_data,E$14+1,0),0),0)</f>
        <v/>
      </c>
      <c r="F1192" s="182">
        <f>IF(offer_sale_type="транзит",IFERROR(VLOOKUP($B1192,calc_data,F$14+1,0),0),0)</f>
        <v/>
      </c>
      <c r="G1192" s="141">
        <f>IF(offer_sale_type="транзит",IFERROR(VLOOKUP($B1192,calc_data,G$14+1,0),0),0)</f>
        <v/>
      </c>
      <c r="H1192" s="141">
        <f>E1192*G1192</f>
        <v/>
      </c>
      <c r="I1192" s="141">
        <f>IF(offer_sale_type="транзит",IFERROR(ROUND(VLOOKUP($B1192,calc_data,I$14+1,0),2),0),0)</f>
        <v/>
      </c>
      <c r="J1192" s="141">
        <f>ROUND(IF(offer_sale_type="транзит",IFERROR(VLOOKUP($B1192,calc_data,J$14+1,0),0),0),2)</f>
        <v/>
      </c>
      <c r="K1192" s="142">
        <f>IF(offer_sale_type="транзит",IFERROR(ROUNDUP(VLOOKUP($B1192,calc_data,K$14+1,0),2),0),0)</f>
        <v/>
      </c>
      <c r="L1192" s="184">
        <f>IF(offer_sale_type="транзит",IFERROR(ROUNDUP(VLOOKUP($B1192,calc_data,L$14+1,0),2),0),0)</f>
        <v/>
      </c>
      <c r="M1192" s="141">
        <f>IF(offer_sale_type="транзит",IFERROR(ROUNDUP(VLOOKUP($B1192,calc_data,M$14+1,0),2),0),0)</f>
        <v/>
      </c>
      <c r="N1192" s="141">
        <f>IF(offer_sale_type="транзит",IFERROR(ROUNDUP(VLOOKUP($B1192,calc_data,N$14+1,0),2),0),0)</f>
        <v/>
      </c>
      <c r="O1192" s="147">
        <f>IF(offer_sale_type="транзит",IFERROR(ROUND(VLOOKUP($B1192,calc_data,O$14+1,1),2),0),0)</f>
        <v/>
      </c>
      <c r="P1192" s="141">
        <f>IF(offer_sale_type="транзит",IFERROR(ROUND(SUM(I1192:J1192,M1192:O1192)/E1192,2),0),0)</f>
        <v/>
      </c>
      <c r="Q1192" s="141">
        <f>E1192*P1192</f>
        <v/>
      </c>
      <c r="R1192" s="141">
        <f>ROUND(Q1192*IF(AND(offer_incoterms="DDP",seller_region="RU"),IF((TODAY()+offer_turnaround_time)&gt;=helpsheet!$L$17,rate_vatRU_from_26,rate_vatRu_till_25),0),2)</f>
        <v/>
      </c>
      <c r="S1192" s="177">
        <f>Q1192+IF(AND(offer_incoterms="DDP",seller_region="RU"),R1192,0)</f>
        <v/>
      </c>
      <c r="T1192" s="45" t="n"/>
      <c r="V1192" s="57">
        <f>IF(Q1192&gt;0,"показать","скрыть")</f>
        <v/>
      </c>
    </row>
    <row r="1193" ht="15.75" customHeight="1">
      <c r="B1193" s="809" t="n">
        <v>1177</v>
      </c>
      <c r="C1193" s="182">
        <f>IF(offer_sale_type="транзит",IFERROR(VLOOKUP($B1193,calc_data,C$14+1,0),0),0)</f>
        <v/>
      </c>
      <c r="D1193" s="280">
        <f>IF(offer_sale_type="транзит",IFERROR(VLOOKUP($B1193,calc_data,D$14+1,0),0),0)</f>
        <v/>
      </c>
      <c r="E1193" s="182">
        <f>IF(offer_sale_type="транзит",IFERROR(VLOOKUP($B1193,calc_data,E$14+1,0),0),0)</f>
        <v/>
      </c>
      <c r="F1193" s="182">
        <f>IF(offer_sale_type="транзит",IFERROR(VLOOKUP($B1193,calc_data,F$14+1,0),0),0)</f>
        <v/>
      </c>
      <c r="G1193" s="141">
        <f>IF(offer_sale_type="транзит",IFERROR(VLOOKUP($B1193,calc_data,G$14+1,0),0),0)</f>
        <v/>
      </c>
      <c r="H1193" s="141">
        <f>E1193*G1193</f>
        <v/>
      </c>
      <c r="I1193" s="141">
        <f>IF(offer_sale_type="транзит",IFERROR(ROUND(VLOOKUP($B1193,calc_data,I$14+1,0),2),0),0)</f>
        <v/>
      </c>
      <c r="J1193" s="141">
        <f>ROUND(IF(offer_sale_type="транзит",IFERROR(VLOOKUP($B1193,calc_data,J$14+1,0),0),0),2)</f>
        <v/>
      </c>
      <c r="K1193" s="142">
        <f>IF(offer_sale_type="транзит",IFERROR(ROUNDUP(VLOOKUP($B1193,calc_data,K$14+1,0),2),0),0)</f>
        <v/>
      </c>
      <c r="L1193" s="184">
        <f>IF(offer_sale_type="транзит",IFERROR(ROUNDUP(VLOOKUP($B1193,calc_data,L$14+1,0),2),0),0)</f>
        <v/>
      </c>
      <c r="M1193" s="141">
        <f>IF(offer_sale_type="транзит",IFERROR(ROUNDUP(VLOOKUP($B1193,calc_data,M$14+1,0),2),0),0)</f>
        <v/>
      </c>
      <c r="N1193" s="141">
        <f>IF(offer_sale_type="транзит",IFERROR(ROUNDUP(VLOOKUP($B1193,calc_data,N$14+1,0),2),0),0)</f>
        <v/>
      </c>
      <c r="O1193" s="147">
        <f>IF(offer_sale_type="транзит",IFERROR(ROUND(VLOOKUP($B1193,calc_data,O$14+1,1),2),0),0)</f>
        <v/>
      </c>
      <c r="P1193" s="141">
        <f>IF(offer_sale_type="транзит",IFERROR(ROUND(SUM(I1193:J1193,M1193:O1193)/E1193,2),0),0)</f>
        <v/>
      </c>
      <c r="Q1193" s="141">
        <f>E1193*P1193</f>
        <v/>
      </c>
      <c r="R1193" s="141">
        <f>ROUND(Q1193*IF(AND(offer_incoterms="DDP",seller_region="RU"),IF((TODAY()+offer_turnaround_time)&gt;=helpsheet!$L$17,rate_vatRU_from_26,rate_vatRu_till_25),0),2)</f>
        <v/>
      </c>
      <c r="S1193" s="177">
        <f>Q1193+IF(AND(offer_incoterms="DDP",seller_region="RU"),R1193,0)</f>
        <v/>
      </c>
      <c r="T1193" s="45" t="n"/>
      <c r="V1193" s="57">
        <f>IF(Q1193&gt;0,"показать","скрыть")</f>
        <v/>
      </c>
    </row>
    <row r="1194" ht="15.75" customHeight="1">
      <c r="B1194" s="809" t="n">
        <v>1178</v>
      </c>
      <c r="C1194" s="182">
        <f>IF(offer_sale_type="транзит",IFERROR(VLOOKUP($B1194,calc_data,C$14+1,0),0),0)</f>
        <v/>
      </c>
      <c r="D1194" s="280">
        <f>IF(offer_sale_type="транзит",IFERROR(VLOOKUP($B1194,calc_data,D$14+1,0),0),0)</f>
        <v/>
      </c>
      <c r="E1194" s="182">
        <f>IF(offer_sale_type="транзит",IFERROR(VLOOKUP($B1194,calc_data,E$14+1,0),0),0)</f>
        <v/>
      </c>
      <c r="F1194" s="182">
        <f>IF(offer_sale_type="транзит",IFERROR(VLOOKUP($B1194,calc_data,F$14+1,0),0),0)</f>
        <v/>
      </c>
      <c r="G1194" s="141">
        <f>IF(offer_sale_type="транзит",IFERROR(VLOOKUP($B1194,calc_data,G$14+1,0),0),0)</f>
        <v/>
      </c>
      <c r="H1194" s="141">
        <f>E1194*G1194</f>
        <v/>
      </c>
      <c r="I1194" s="141">
        <f>IF(offer_sale_type="транзит",IFERROR(ROUND(VLOOKUP($B1194,calc_data,I$14+1,0),2),0),0)</f>
        <v/>
      </c>
      <c r="J1194" s="141">
        <f>ROUND(IF(offer_sale_type="транзит",IFERROR(VLOOKUP($B1194,calc_data,J$14+1,0),0),0),2)</f>
        <v/>
      </c>
      <c r="K1194" s="142">
        <f>IF(offer_sale_type="транзит",IFERROR(ROUNDUP(VLOOKUP($B1194,calc_data,K$14+1,0),2),0),0)</f>
        <v/>
      </c>
      <c r="L1194" s="184">
        <f>IF(offer_sale_type="транзит",IFERROR(ROUNDUP(VLOOKUP($B1194,calc_data,L$14+1,0),2),0),0)</f>
        <v/>
      </c>
      <c r="M1194" s="141">
        <f>IF(offer_sale_type="транзит",IFERROR(ROUNDUP(VLOOKUP($B1194,calc_data,M$14+1,0),2),0),0)</f>
        <v/>
      </c>
      <c r="N1194" s="141">
        <f>IF(offer_sale_type="транзит",IFERROR(ROUNDUP(VLOOKUP($B1194,calc_data,N$14+1,0),2),0),0)</f>
        <v/>
      </c>
      <c r="O1194" s="147">
        <f>IF(offer_sale_type="транзит",IFERROR(ROUND(VLOOKUP($B1194,calc_data,O$14+1,1),2),0),0)</f>
        <v/>
      </c>
      <c r="P1194" s="141">
        <f>IF(offer_sale_type="транзит",IFERROR(ROUND(SUM(I1194:J1194,M1194:O1194)/E1194,2),0),0)</f>
        <v/>
      </c>
      <c r="Q1194" s="141">
        <f>E1194*P1194</f>
        <v/>
      </c>
      <c r="R1194" s="141">
        <f>ROUND(Q1194*IF(AND(offer_incoterms="DDP",seller_region="RU"),IF((TODAY()+offer_turnaround_time)&gt;=helpsheet!$L$17,rate_vatRU_from_26,rate_vatRu_till_25),0),2)</f>
        <v/>
      </c>
      <c r="S1194" s="177">
        <f>Q1194+IF(AND(offer_incoterms="DDP",seller_region="RU"),R1194,0)</f>
        <v/>
      </c>
      <c r="T1194" s="45" t="n"/>
      <c r="V1194" s="57">
        <f>IF(Q1194&gt;0,"показать","скрыть")</f>
        <v/>
      </c>
    </row>
    <row r="1195" ht="15.75" customHeight="1">
      <c r="B1195" s="809" t="n">
        <v>1179</v>
      </c>
      <c r="C1195" s="182">
        <f>IF(offer_sale_type="транзит",IFERROR(VLOOKUP($B1195,calc_data,C$14+1,0),0),0)</f>
        <v/>
      </c>
      <c r="D1195" s="280">
        <f>IF(offer_sale_type="транзит",IFERROR(VLOOKUP($B1195,calc_data,D$14+1,0),0),0)</f>
        <v/>
      </c>
      <c r="E1195" s="182">
        <f>IF(offer_sale_type="транзит",IFERROR(VLOOKUP($B1195,calc_data,E$14+1,0),0),0)</f>
        <v/>
      </c>
      <c r="F1195" s="182">
        <f>IF(offer_sale_type="транзит",IFERROR(VLOOKUP($B1195,calc_data,F$14+1,0),0),0)</f>
        <v/>
      </c>
      <c r="G1195" s="141">
        <f>IF(offer_sale_type="транзит",IFERROR(VLOOKUP($B1195,calc_data,G$14+1,0),0),0)</f>
        <v/>
      </c>
      <c r="H1195" s="141">
        <f>E1195*G1195</f>
        <v/>
      </c>
      <c r="I1195" s="141">
        <f>IF(offer_sale_type="транзит",IFERROR(ROUND(VLOOKUP($B1195,calc_data,I$14+1,0),2),0),0)</f>
        <v/>
      </c>
      <c r="J1195" s="141">
        <f>ROUND(IF(offer_sale_type="транзит",IFERROR(VLOOKUP($B1195,calc_data,J$14+1,0),0),0),2)</f>
        <v/>
      </c>
      <c r="K1195" s="142">
        <f>IF(offer_sale_type="транзит",IFERROR(ROUNDUP(VLOOKUP($B1195,calc_data,K$14+1,0),2),0),0)</f>
        <v/>
      </c>
      <c r="L1195" s="184">
        <f>IF(offer_sale_type="транзит",IFERROR(ROUNDUP(VLOOKUP($B1195,calc_data,L$14+1,0),2),0),0)</f>
        <v/>
      </c>
      <c r="M1195" s="141">
        <f>IF(offer_sale_type="транзит",IFERROR(ROUNDUP(VLOOKUP($B1195,calc_data,M$14+1,0),2),0),0)</f>
        <v/>
      </c>
      <c r="N1195" s="141">
        <f>IF(offer_sale_type="транзит",IFERROR(ROUNDUP(VLOOKUP($B1195,calc_data,N$14+1,0),2),0),0)</f>
        <v/>
      </c>
      <c r="O1195" s="147">
        <f>IF(offer_sale_type="транзит",IFERROR(ROUND(VLOOKUP($B1195,calc_data,O$14+1,1),2),0),0)</f>
        <v/>
      </c>
      <c r="P1195" s="141">
        <f>IF(offer_sale_type="транзит",IFERROR(ROUND(SUM(I1195:J1195,M1195:O1195)/E1195,2),0),0)</f>
        <v/>
      </c>
      <c r="Q1195" s="141">
        <f>E1195*P1195</f>
        <v/>
      </c>
      <c r="R1195" s="141">
        <f>ROUND(Q1195*IF(AND(offer_incoterms="DDP",seller_region="RU"),IF((TODAY()+offer_turnaround_time)&gt;=helpsheet!$L$17,rate_vatRU_from_26,rate_vatRu_till_25),0),2)</f>
        <v/>
      </c>
      <c r="S1195" s="177">
        <f>Q1195+IF(AND(offer_incoterms="DDP",seller_region="RU"),R1195,0)</f>
        <v/>
      </c>
      <c r="T1195" s="45" t="n"/>
      <c r="V1195" s="57">
        <f>IF(Q1195&gt;0,"показать","скрыть")</f>
        <v/>
      </c>
    </row>
    <row r="1196" ht="15.75" customHeight="1">
      <c r="B1196" s="809" t="n">
        <v>1180</v>
      </c>
      <c r="C1196" s="182">
        <f>IF(offer_sale_type="транзит",IFERROR(VLOOKUP($B1196,calc_data,C$14+1,0),0),0)</f>
        <v/>
      </c>
      <c r="D1196" s="280">
        <f>IF(offer_sale_type="транзит",IFERROR(VLOOKUP($B1196,calc_data,D$14+1,0),0),0)</f>
        <v/>
      </c>
      <c r="E1196" s="182">
        <f>IF(offer_sale_type="транзит",IFERROR(VLOOKUP($B1196,calc_data,E$14+1,0),0),0)</f>
        <v/>
      </c>
      <c r="F1196" s="182">
        <f>IF(offer_sale_type="транзит",IFERROR(VLOOKUP($B1196,calc_data,F$14+1,0),0),0)</f>
        <v/>
      </c>
      <c r="G1196" s="141">
        <f>IF(offer_sale_type="транзит",IFERROR(VLOOKUP($B1196,calc_data,G$14+1,0),0),0)</f>
        <v/>
      </c>
      <c r="H1196" s="141">
        <f>E1196*G1196</f>
        <v/>
      </c>
      <c r="I1196" s="141">
        <f>IF(offer_sale_type="транзит",IFERROR(ROUND(VLOOKUP($B1196,calc_data,I$14+1,0),2),0),0)</f>
        <v/>
      </c>
      <c r="J1196" s="141">
        <f>ROUND(IF(offer_sale_type="транзит",IFERROR(VLOOKUP($B1196,calc_data,J$14+1,0),0),0),2)</f>
        <v/>
      </c>
      <c r="K1196" s="142">
        <f>IF(offer_sale_type="транзит",IFERROR(ROUNDUP(VLOOKUP($B1196,calc_data,K$14+1,0),2),0),0)</f>
        <v/>
      </c>
      <c r="L1196" s="184">
        <f>IF(offer_sale_type="транзит",IFERROR(ROUNDUP(VLOOKUP($B1196,calc_data,L$14+1,0),2),0),0)</f>
        <v/>
      </c>
      <c r="M1196" s="141">
        <f>IF(offer_sale_type="транзит",IFERROR(ROUNDUP(VLOOKUP($B1196,calc_data,M$14+1,0),2),0),0)</f>
        <v/>
      </c>
      <c r="N1196" s="141">
        <f>IF(offer_sale_type="транзит",IFERROR(ROUNDUP(VLOOKUP($B1196,calc_data,N$14+1,0),2),0),0)</f>
        <v/>
      </c>
      <c r="O1196" s="147">
        <f>IF(offer_sale_type="транзит",IFERROR(ROUND(VLOOKUP($B1196,calc_data,O$14+1,1),2),0),0)</f>
        <v/>
      </c>
      <c r="P1196" s="141">
        <f>IF(offer_sale_type="транзит",IFERROR(ROUND(SUM(I1196:J1196,M1196:O1196)/E1196,2),0),0)</f>
        <v/>
      </c>
      <c r="Q1196" s="141">
        <f>E1196*P1196</f>
        <v/>
      </c>
      <c r="R1196" s="141">
        <f>ROUND(Q1196*IF(AND(offer_incoterms="DDP",seller_region="RU"),IF((TODAY()+offer_turnaround_time)&gt;=helpsheet!$L$17,rate_vatRU_from_26,rate_vatRu_till_25),0),2)</f>
        <v/>
      </c>
      <c r="S1196" s="177">
        <f>Q1196+IF(AND(offer_incoterms="DDP",seller_region="RU"),R1196,0)</f>
        <v/>
      </c>
      <c r="T1196" s="45" t="n"/>
      <c r="V1196" s="57">
        <f>IF(Q1196&gt;0,"показать","скрыть")</f>
        <v/>
      </c>
    </row>
    <row r="1197" ht="15.75" customHeight="1">
      <c r="B1197" s="809" t="n">
        <v>1181</v>
      </c>
      <c r="C1197" s="182">
        <f>IF(offer_sale_type="транзит",IFERROR(VLOOKUP($B1197,calc_data,C$14+1,0),0),0)</f>
        <v/>
      </c>
      <c r="D1197" s="280">
        <f>IF(offer_sale_type="транзит",IFERROR(VLOOKUP($B1197,calc_data,D$14+1,0),0),0)</f>
        <v/>
      </c>
      <c r="E1197" s="182">
        <f>IF(offer_sale_type="транзит",IFERROR(VLOOKUP($B1197,calc_data,E$14+1,0),0),0)</f>
        <v/>
      </c>
      <c r="F1197" s="182">
        <f>IF(offer_sale_type="транзит",IFERROR(VLOOKUP($B1197,calc_data,F$14+1,0),0),0)</f>
        <v/>
      </c>
      <c r="G1197" s="141">
        <f>IF(offer_sale_type="транзит",IFERROR(VLOOKUP($B1197,calc_data,G$14+1,0),0),0)</f>
        <v/>
      </c>
      <c r="H1197" s="141">
        <f>E1197*G1197</f>
        <v/>
      </c>
      <c r="I1197" s="141">
        <f>IF(offer_sale_type="транзит",IFERROR(ROUND(VLOOKUP($B1197,calc_data,I$14+1,0),2),0),0)</f>
        <v/>
      </c>
      <c r="J1197" s="141">
        <f>ROUND(IF(offer_sale_type="транзит",IFERROR(VLOOKUP($B1197,calc_data,J$14+1,0),0),0),2)</f>
        <v/>
      </c>
      <c r="K1197" s="142">
        <f>IF(offer_sale_type="транзит",IFERROR(ROUNDUP(VLOOKUP($B1197,calc_data,K$14+1,0),2),0),0)</f>
        <v/>
      </c>
      <c r="L1197" s="184">
        <f>IF(offer_sale_type="транзит",IFERROR(ROUNDUP(VLOOKUP($B1197,calc_data,L$14+1,0),2),0),0)</f>
        <v/>
      </c>
      <c r="M1197" s="141">
        <f>IF(offer_sale_type="транзит",IFERROR(ROUNDUP(VLOOKUP($B1197,calc_data,M$14+1,0),2),0),0)</f>
        <v/>
      </c>
      <c r="N1197" s="141">
        <f>IF(offer_sale_type="транзит",IFERROR(ROUNDUP(VLOOKUP($B1197,calc_data,N$14+1,0),2),0),0)</f>
        <v/>
      </c>
      <c r="O1197" s="147">
        <f>IF(offer_sale_type="транзит",IFERROR(ROUND(VLOOKUP($B1197,calc_data,O$14+1,1),2),0),0)</f>
        <v/>
      </c>
      <c r="P1197" s="141">
        <f>IF(offer_sale_type="транзит",IFERROR(ROUND(SUM(I1197:J1197,M1197:O1197)/E1197,2),0),0)</f>
        <v/>
      </c>
      <c r="Q1197" s="141">
        <f>E1197*P1197</f>
        <v/>
      </c>
      <c r="R1197" s="141">
        <f>ROUND(Q1197*IF(AND(offer_incoterms="DDP",seller_region="RU"),IF((TODAY()+offer_turnaround_time)&gt;=helpsheet!$L$17,rate_vatRU_from_26,rate_vatRu_till_25),0),2)</f>
        <v/>
      </c>
      <c r="S1197" s="177">
        <f>Q1197+IF(AND(offer_incoterms="DDP",seller_region="RU"),R1197,0)</f>
        <v/>
      </c>
      <c r="T1197" s="45" t="n"/>
      <c r="V1197" s="57">
        <f>IF(Q1197&gt;0,"показать","скрыть")</f>
        <v/>
      </c>
    </row>
    <row r="1198" ht="15.75" customHeight="1">
      <c r="B1198" s="809" t="n">
        <v>1182</v>
      </c>
      <c r="C1198" s="182">
        <f>IF(offer_sale_type="транзит",IFERROR(VLOOKUP($B1198,calc_data,C$14+1,0),0),0)</f>
        <v/>
      </c>
      <c r="D1198" s="280">
        <f>IF(offer_sale_type="транзит",IFERROR(VLOOKUP($B1198,calc_data,D$14+1,0),0),0)</f>
        <v/>
      </c>
      <c r="E1198" s="182">
        <f>IF(offer_sale_type="транзит",IFERROR(VLOOKUP($B1198,calc_data,E$14+1,0),0),0)</f>
        <v/>
      </c>
      <c r="F1198" s="182">
        <f>IF(offer_sale_type="транзит",IFERROR(VLOOKUP($B1198,calc_data,F$14+1,0),0),0)</f>
        <v/>
      </c>
      <c r="G1198" s="141">
        <f>IF(offer_sale_type="транзит",IFERROR(VLOOKUP($B1198,calc_data,G$14+1,0),0),0)</f>
        <v/>
      </c>
      <c r="H1198" s="141">
        <f>E1198*G1198</f>
        <v/>
      </c>
      <c r="I1198" s="141">
        <f>IF(offer_sale_type="транзит",IFERROR(ROUND(VLOOKUP($B1198,calc_data,I$14+1,0),2),0),0)</f>
        <v/>
      </c>
      <c r="J1198" s="141">
        <f>ROUND(IF(offer_sale_type="транзит",IFERROR(VLOOKUP($B1198,calc_data,J$14+1,0),0),0),2)</f>
        <v/>
      </c>
      <c r="K1198" s="142">
        <f>IF(offer_sale_type="транзит",IFERROR(ROUNDUP(VLOOKUP($B1198,calc_data,K$14+1,0),2),0),0)</f>
        <v/>
      </c>
      <c r="L1198" s="184">
        <f>IF(offer_sale_type="транзит",IFERROR(ROUNDUP(VLOOKUP($B1198,calc_data,L$14+1,0),2),0),0)</f>
        <v/>
      </c>
      <c r="M1198" s="141">
        <f>IF(offer_sale_type="транзит",IFERROR(ROUNDUP(VLOOKUP($B1198,calc_data,M$14+1,0),2),0),0)</f>
        <v/>
      </c>
      <c r="N1198" s="141">
        <f>IF(offer_sale_type="транзит",IFERROR(ROUNDUP(VLOOKUP($B1198,calc_data,N$14+1,0),2),0),0)</f>
        <v/>
      </c>
      <c r="O1198" s="147">
        <f>IF(offer_sale_type="транзит",IFERROR(ROUND(VLOOKUP($B1198,calc_data,O$14+1,1),2),0),0)</f>
        <v/>
      </c>
      <c r="P1198" s="141">
        <f>IF(offer_sale_type="транзит",IFERROR(ROUND(SUM(I1198:J1198,M1198:O1198)/E1198,2),0),0)</f>
        <v/>
      </c>
      <c r="Q1198" s="141">
        <f>E1198*P1198</f>
        <v/>
      </c>
      <c r="R1198" s="141">
        <f>ROUND(Q1198*IF(AND(offer_incoterms="DDP",seller_region="RU"),IF((TODAY()+offer_turnaround_time)&gt;=helpsheet!$L$17,rate_vatRU_from_26,rate_vatRu_till_25),0),2)</f>
        <v/>
      </c>
      <c r="S1198" s="177">
        <f>Q1198+IF(AND(offer_incoterms="DDP",seller_region="RU"),R1198,0)</f>
        <v/>
      </c>
      <c r="T1198" s="45" t="n"/>
      <c r="V1198" s="57">
        <f>IF(Q1198&gt;0,"показать","скрыть")</f>
        <v/>
      </c>
    </row>
    <row r="1199" ht="15.75" customHeight="1">
      <c r="B1199" s="809" t="n">
        <v>1183</v>
      </c>
      <c r="C1199" s="182">
        <f>IF(offer_sale_type="транзит",IFERROR(VLOOKUP($B1199,calc_data,C$14+1,0),0),0)</f>
        <v/>
      </c>
      <c r="D1199" s="280">
        <f>IF(offer_sale_type="транзит",IFERROR(VLOOKUP($B1199,calc_data,D$14+1,0),0),0)</f>
        <v/>
      </c>
      <c r="E1199" s="182">
        <f>IF(offer_sale_type="транзит",IFERROR(VLOOKUP($B1199,calc_data,E$14+1,0),0),0)</f>
        <v/>
      </c>
      <c r="F1199" s="182">
        <f>IF(offer_sale_type="транзит",IFERROR(VLOOKUP($B1199,calc_data,F$14+1,0),0),0)</f>
        <v/>
      </c>
      <c r="G1199" s="141">
        <f>IF(offer_sale_type="транзит",IFERROR(VLOOKUP($B1199,calc_data,G$14+1,0),0),0)</f>
        <v/>
      </c>
      <c r="H1199" s="141">
        <f>E1199*G1199</f>
        <v/>
      </c>
      <c r="I1199" s="141">
        <f>IF(offer_sale_type="транзит",IFERROR(ROUND(VLOOKUP($B1199,calc_data,I$14+1,0),2),0),0)</f>
        <v/>
      </c>
      <c r="J1199" s="141">
        <f>ROUND(IF(offer_sale_type="транзит",IFERROR(VLOOKUP($B1199,calc_data,J$14+1,0),0),0),2)</f>
        <v/>
      </c>
      <c r="K1199" s="142">
        <f>IF(offer_sale_type="транзит",IFERROR(ROUNDUP(VLOOKUP($B1199,calc_data,K$14+1,0),2),0),0)</f>
        <v/>
      </c>
      <c r="L1199" s="184">
        <f>IF(offer_sale_type="транзит",IFERROR(ROUNDUP(VLOOKUP($B1199,calc_data,L$14+1,0),2),0),0)</f>
        <v/>
      </c>
      <c r="M1199" s="141">
        <f>IF(offer_sale_type="транзит",IFERROR(ROUNDUP(VLOOKUP($B1199,calc_data,M$14+1,0),2),0),0)</f>
        <v/>
      </c>
      <c r="N1199" s="141">
        <f>IF(offer_sale_type="транзит",IFERROR(ROUNDUP(VLOOKUP($B1199,calc_data,N$14+1,0),2),0),0)</f>
        <v/>
      </c>
      <c r="O1199" s="147">
        <f>IF(offer_sale_type="транзит",IFERROR(ROUND(VLOOKUP($B1199,calc_data,O$14+1,1),2),0),0)</f>
        <v/>
      </c>
      <c r="P1199" s="141">
        <f>IF(offer_sale_type="транзит",IFERROR(ROUND(SUM(I1199:J1199,M1199:O1199)/E1199,2),0),0)</f>
        <v/>
      </c>
      <c r="Q1199" s="141">
        <f>E1199*P1199</f>
        <v/>
      </c>
      <c r="R1199" s="141">
        <f>ROUND(Q1199*IF(AND(offer_incoterms="DDP",seller_region="RU"),IF((TODAY()+offer_turnaround_time)&gt;=helpsheet!$L$17,rate_vatRU_from_26,rate_vatRu_till_25),0),2)</f>
        <v/>
      </c>
      <c r="S1199" s="177">
        <f>Q1199+IF(AND(offer_incoterms="DDP",seller_region="RU"),R1199,0)</f>
        <v/>
      </c>
      <c r="T1199" s="45" t="n"/>
      <c r="V1199" s="57">
        <f>IF(Q1199&gt;0,"показать","скрыть")</f>
        <v/>
      </c>
    </row>
    <row r="1200" ht="15.75" customHeight="1">
      <c r="B1200" s="809" t="n">
        <v>1184</v>
      </c>
      <c r="C1200" s="182">
        <f>IF(offer_sale_type="транзит",IFERROR(VLOOKUP($B1200,calc_data,C$14+1,0),0),0)</f>
        <v/>
      </c>
      <c r="D1200" s="280">
        <f>IF(offer_sale_type="транзит",IFERROR(VLOOKUP($B1200,calc_data,D$14+1,0),0),0)</f>
        <v/>
      </c>
      <c r="E1200" s="182">
        <f>IF(offer_sale_type="транзит",IFERROR(VLOOKUP($B1200,calc_data,E$14+1,0),0),0)</f>
        <v/>
      </c>
      <c r="F1200" s="182">
        <f>IF(offer_sale_type="транзит",IFERROR(VLOOKUP($B1200,calc_data,F$14+1,0),0),0)</f>
        <v/>
      </c>
      <c r="G1200" s="141">
        <f>IF(offer_sale_type="транзит",IFERROR(VLOOKUP($B1200,calc_data,G$14+1,0),0),0)</f>
        <v/>
      </c>
      <c r="H1200" s="141">
        <f>E1200*G1200</f>
        <v/>
      </c>
      <c r="I1200" s="141">
        <f>IF(offer_sale_type="транзит",IFERROR(ROUND(VLOOKUP($B1200,calc_data,I$14+1,0),2),0),0)</f>
        <v/>
      </c>
      <c r="J1200" s="141">
        <f>ROUND(IF(offer_sale_type="транзит",IFERROR(VLOOKUP($B1200,calc_data,J$14+1,0),0),0),2)</f>
        <v/>
      </c>
      <c r="K1200" s="142">
        <f>IF(offer_sale_type="транзит",IFERROR(ROUNDUP(VLOOKUP($B1200,calc_data,K$14+1,0),2),0),0)</f>
        <v/>
      </c>
      <c r="L1200" s="184">
        <f>IF(offer_sale_type="транзит",IFERROR(ROUNDUP(VLOOKUP($B1200,calc_data,L$14+1,0),2),0),0)</f>
        <v/>
      </c>
      <c r="M1200" s="141">
        <f>IF(offer_sale_type="транзит",IFERROR(ROUNDUP(VLOOKUP($B1200,calc_data,M$14+1,0),2),0),0)</f>
        <v/>
      </c>
      <c r="N1200" s="141">
        <f>IF(offer_sale_type="транзит",IFERROR(ROUNDUP(VLOOKUP($B1200,calc_data,N$14+1,0),2),0),0)</f>
        <v/>
      </c>
      <c r="O1200" s="147">
        <f>IF(offer_sale_type="транзит",IFERROR(ROUND(VLOOKUP($B1200,calc_data,O$14+1,1),2),0),0)</f>
        <v/>
      </c>
      <c r="P1200" s="141">
        <f>IF(offer_sale_type="транзит",IFERROR(ROUND(SUM(I1200:J1200,M1200:O1200)/E1200,2),0),0)</f>
        <v/>
      </c>
      <c r="Q1200" s="141">
        <f>E1200*P1200</f>
        <v/>
      </c>
      <c r="R1200" s="141">
        <f>ROUND(Q1200*IF(AND(offer_incoterms="DDP",seller_region="RU"),IF((TODAY()+offer_turnaround_time)&gt;=helpsheet!$L$17,rate_vatRU_from_26,rate_vatRu_till_25),0),2)</f>
        <v/>
      </c>
      <c r="S1200" s="177">
        <f>Q1200+IF(AND(offer_incoterms="DDP",seller_region="RU"),R1200,0)</f>
        <v/>
      </c>
      <c r="T1200" s="45" t="n"/>
      <c r="V1200" s="57">
        <f>IF(Q1200&gt;0,"показать","скрыть")</f>
        <v/>
      </c>
    </row>
    <row r="1201" ht="15.75" customHeight="1">
      <c r="B1201" s="809" t="n">
        <v>1185</v>
      </c>
      <c r="C1201" s="182">
        <f>IF(offer_sale_type="транзит",IFERROR(VLOOKUP($B1201,calc_data,C$14+1,0),0),0)</f>
        <v/>
      </c>
      <c r="D1201" s="280">
        <f>IF(offer_sale_type="транзит",IFERROR(VLOOKUP($B1201,calc_data,D$14+1,0),0),0)</f>
        <v/>
      </c>
      <c r="E1201" s="182">
        <f>IF(offer_sale_type="транзит",IFERROR(VLOOKUP($B1201,calc_data,E$14+1,0),0),0)</f>
        <v/>
      </c>
      <c r="F1201" s="182">
        <f>IF(offer_sale_type="транзит",IFERROR(VLOOKUP($B1201,calc_data,F$14+1,0),0),0)</f>
        <v/>
      </c>
      <c r="G1201" s="141">
        <f>IF(offer_sale_type="транзит",IFERROR(VLOOKUP($B1201,calc_data,G$14+1,0),0),0)</f>
        <v/>
      </c>
      <c r="H1201" s="141">
        <f>E1201*G1201</f>
        <v/>
      </c>
      <c r="I1201" s="141">
        <f>IF(offer_sale_type="транзит",IFERROR(ROUND(VLOOKUP($B1201,calc_data,I$14+1,0),2),0),0)</f>
        <v/>
      </c>
      <c r="J1201" s="141">
        <f>ROUND(IF(offer_sale_type="транзит",IFERROR(VLOOKUP($B1201,calc_data,J$14+1,0),0),0),2)</f>
        <v/>
      </c>
      <c r="K1201" s="142">
        <f>IF(offer_sale_type="транзит",IFERROR(ROUNDUP(VLOOKUP($B1201,calc_data,K$14+1,0),2),0),0)</f>
        <v/>
      </c>
      <c r="L1201" s="184">
        <f>IF(offer_sale_type="транзит",IFERROR(ROUNDUP(VLOOKUP($B1201,calc_data,L$14+1,0),2),0),0)</f>
        <v/>
      </c>
      <c r="M1201" s="141">
        <f>IF(offer_sale_type="транзит",IFERROR(ROUNDUP(VLOOKUP($B1201,calc_data,M$14+1,0),2),0),0)</f>
        <v/>
      </c>
      <c r="N1201" s="141">
        <f>IF(offer_sale_type="транзит",IFERROR(ROUNDUP(VLOOKUP($B1201,calc_data,N$14+1,0),2),0),0)</f>
        <v/>
      </c>
      <c r="O1201" s="147">
        <f>IF(offer_sale_type="транзит",IFERROR(ROUND(VLOOKUP($B1201,calc_data,O$14+1,1),2),0),0)</f>
        <v/>
      </c>
      <c r="P1201" s="141">
        <f>IF(offer_sale_type="транзит",IFERROR(ROUND(SUM(I1201:J1201,M1201:O1201)/E1201,2),0),0)</f>
        <v/>
      </c>
      <c r="Q1201" s="141">
        <f>E1201*P1201</f>
        <v/>
      </c>
      <c r="R1201" s="141">
        <f>ROUND(Q1201*IF(AND(offer_incoterms="DDP",seller_region="RU"),IF((TODAY()+offer_turnaround_time)&gt;=helpsheet!$L$17,rate_vatRU_from_26,rate_vatRu_till_25),0),2)</f>
        <v/>
      </c>
      <c r="S1201" s="177">
        <f>Q1201+IF(AND(offer_incoterms="DDP",seller_region="RU"),R1201,0)</f>
        <v/>
      </c>
      <c r="T1201" s="45" t="n"/>
      <c r="V1201" s="57">
        <f>IF(Q1201&gt;0,"показать","скрыть")</f>
        <v/>
      </c>
    </row>
    <row r="1202" ht="15.75" customHeight="1">
      <c r="B1202" s="809" t="n">
        <v>1186</v>
      </c>
      <c r="C1202" s="182">
        <f>IF(offer_sale_type="транзит",IFERROR(VLOOKUP($B1202,calc_data,C$14+1,0),0),0)</f>
        <v/>
      </c>
      <c r="D1202" s="280">
        <f>IF(offer_sale_type="транзит",IFERROR(VLOOKUP($B1202,calc_data,D$14+1,0),0),0)</f>
        <v/>
      </c>
      <c r="E1202" s="182">
        <f>IF(offer_sale_type="транзит",IFERROR(VLOOKUP($B1202,calc_data,E$14+1,0),0),0)</f>
        <v/>
      </c>
      <c r="F1202" s="182">
        <f>IF(offer_sale_type="транзит",IFERROR(VLOOKUP($B1202,calc_data,F$14+1,0),0),0)</f>
        <v/>
      </c>
      <c r="G1202" s="141">
        <f>IF(offer_sale_type="транзит",IFERROR(VLOOKUP($B1202,calc_data,G$14+1,0),0),0)</f>
        <v/>
      </c>
      <c r="H1202" s="141">
        <f>E1202*G1202</f>
        <v/>
      </c>
      <c r="I1202" s="141">
        <f>IF(offer_sale_type="транзит",IFERROR(ROUND(VLOOKUP($B1202,calc_data,I$14+1,0),2),0),0)</f>
        <v/>
      </c>
      <c r="J1202" s="141">
        <f>ROUND(IF(offer_sale_type="транзит",IFERROR(VLOOKUP($B1202,calc_data,J$14+1,0),0),0),2)</f>
        <v/>
      </c>
      <c r="K1202" s="142">
        <f>IF(offer_sale_type="транзит",IFERROR(ROUNDUP(VLOOKUP($B1202,calc_data,K$14+1,0),2),0),0)</f>
        <v/>
      </c>
      <c r="L1202" s="184">
        <f>IF(offer_sale_type="транзит",IFERROR(ROUNDUP(VLOOKUP($B1202,calc_data,L$14+1,0),2),0),0)</f>
        <v/>
      </c>
      <c r="M1202" s="141">
        <f>IF(offer_sale_type="транзит",IFERROR(ROUNDUP(VLOOKUP($B1202,calc_data,M$14+1,0),2),0),0)</f>
        <v/>
      </c>
      <c r="N1202" s="141">
        <f>IF(offer_sale_type="транзит",IFERROR(ROUNDUP(VLOOKUP($B1202,calc_data,N$14+1,0),2),0),0)</f>
        <v/>
      </c>
      <c r="O1202" s="147">
        <f>IF(offer_sale_type="транзит",IFERROR(ROUND(VLOOKUP($B1202,calc_data,O$14+1,1),2),0),0)</f>
        <v/>
      </c>
      <c r="P1202" s="141">
        <f>IF(offer_sale_type="транзит",IFERROR(ROUND(SUM(I1202:J1202,M1202:O1202)/E1202,2),0),0)</f>
        <v/>
      </c>
      <c r="Q1202" s="141">
        <f>E1202*P1202</f>
        <v/>
      </c>
      <c r="R1202" s="141">
        <f>ROUND(Q1202*IF(AND(offer_incoterms="DDP",seller_region="RU"),IF((TODAY()+offer_turnaround_time)&gt;=helpsheet!$L$17,rate_vatRU_from_26,rate_vatRu_till_25),0),2)</f>
        <v/>
      </c>
      <c r="S1202" s="177">
        <f>Q1202+IF(AND(offer_incoterms="DDP",seller_region="RU"),R1202,0)</f>
        <v/>
      </c>
      <c r="T1202" s="45" t="n"/>
      <c r="V1202" s="57">
        <f>IF(Q1202&gt;0,"показать","скрыть")</f>
        <v/>
      </c>
    </row>
    <row r="1203" ht="15.75" customHeight="1">
      <c r="B1203" s="809" t="n">
        <v>1187</v>
      </c>
      <c r="C1203" s="182">
        <f>IF(offer_sale_type="транзит",IFERROR(VLOOKUP($B1203,calc_data,C$14+1,0),0),0)</f>
        <v/>
      </c>
      <c r="D1203" s="280">
        <f>IF(offer_sale_type="транзит",IFERROR(VLOOKUP($B1203,calc_data,D$14+1,0),0),0)</f>
        <v/>
      </c>
      <c r="E1203" s="182">
        <f>IF(offer_sale_type="транзит",IFERROR(VLOOKUP($B1203,calc_data,E$14+1,0),0),0)</f>
        <v/>
      </c>
      <c r="F1203" s="182">
        <f>IF(offer_sale_type="транзит",IFERROR(VLOOKUP($B1203,calc_data,F$14+1,0),0),0)</f>
        <v/>
      </c>
      <c r="G1203" s="141">
        <f>IF(offer_sale_type="транзит",IFERROR(VLOOKUP($B1203,calc_data,G$14+1,0),0),0)</f>
        <v/>
      </c>
      <c r="H1203" s="141">
        <f>E1203*G1203</f>
        <v/>
      </c>
      <c r="I1203" s="141">
        <f>IF(offer_sale_type="транзит",IFERROR(ROUND(VLOOKUP($B1203,calc_data,I$14+1,0),2),0),0)</f>
        <v/>
      </c>
      <c r="J1203" s="141">
        <f>ROUND(IF(offer_sale_type="транзит",IFERROR(VLOOKUP($B1203,calc_data,J$14+1,0),0),0),2)</f>
        <v/>
      </c>
      <c r="K1203" s="142">
        <f>IF(offer_sale_type="транзит",IFERROR(ROUNDUP(VLOOKUP($B1203,calc_data,K$14+1,0),2),0),0)</f>
        <v/>
      </c>
      <c r="L1203" s="184">
        <f>IF(offer_sale_type="транзит",IFERROR(ROUNDUP(VLOOKUP($B1203,calc_data,L$14+1,0),2),0),0)</f>
        <v/>
      </c>
      <c r="M1203" s="141">
        <f>IF(offer_sale_type="транзит",IFERROR(ROUNDUP(VLOOKUP($B1203,calc_data,M$14+1,0),2),0),0)</f>
        <v/>
      </c>
      <c r="N1203" s="141">
        <f>IF(offer_sale_type="транзит",IFERROR(ROUNDUP(VLOOKUP($B1203,calc_data,N$14+1,0),2),0),0)</f>
        <v/>
      </c>
      <c r="O1203" s="147">
        <f>IF(offer_sale_type="транзит",IFERROR(ROUND(VLOOKUP($B1203,calc_data,O$14+1,1),2),0),0)</f>
        <v/>
      </c>
      <c r="P1203" s="141">
        <f>IF(offer_sale_type="транзит",IFERROR(ROUND(SUM(I1203:J1203,M1203:O1203)/E1203,2),0),0)</f>
        <v/>
      </c>
      <c r="Q1203" s="141">
        <f>E1203*P1203</f>
        <v/>
      </c>
      <c r="R1203" s="141">
        <f>ROUND(Q1203*IF(AND(offer_incoterms="DDP",seller_region="RU"),IF((TODAY()+offer_turnaround_time)&gt;=helpsheet!$L$17,rate_vatRU_from_26,rate_vatRu_till_25),0),2)</f>
        <v/>
      </c>
      <c r="S1203" s="177">
        <f>Q1203+IF(AND(offer_incoterms="DDP",seller_region="RU"),R1203,0)</f>
        <v/>
      </c>
      <c r="T1203" s="45" t="n"/>
      <c r="V1203" s="57">
        <f>IF(Q1203&gt;0,"показать","скрыть")</f>
        <v/>
      </c>
    </row>
    <row r="1204" ht="15.75" customHeight="1">
      <c r="B1204" s="809" t="n">
        <v>1188</v>
      </c>
      <c r="C1204" s="182">
        <f>IF(offer_sale_type="транзит",IFERROR(VLOOKUP($B1204,calc_data,C$14+1,0),0),0)</f>
        <v/>
      </c>
      <c r="D1204" s="280">
        <f>IF(offer_sale_type="транзит",IFERROR(VLOOKUP($B1204,calc_data,D$14+1,0),0),0)</f>
        <v/>
      </c>
      <c r="E1204" s="182">
        <f>IF(offer_sale_type="транзит",IFERROR(VLOOKUP($B1204,calc_data,E$14+1,0),0),0)</f>
        <v/>
      </c>
      <c r="F1204" s="182">
        <f>IF(offer_sale_type="транзит",IFERROR(VLOOKUP($B1204,calc_data,F$14+1,0),0),0)</f>
        <v/>
      </c>
      <c r="G1204" s="141">
        <f>IF(offer_sale_type="транзит",IFERROR(VLOOKUP($B1204,calc_data,G$14+1,0),0),0)</f>
        <v/>
      </c>
      <c r="H1204" s="141">
        <f>E1204*G1204</f>
        <v/>
      </c>
      <c r="I1204" s="141">
        <f>IF(offer_sale_type="транзит",IFERROR(ROUND(VLOOKUP($B1204,calc_data,I$14+1,0),2),0),0)</f>
        <v/>
      </c>
      <c r="J1204" s="141">
        <f>ROUND(IF(offer_sale_type="транзит",IFERROR(VLOOKUP($B1204,calc_data,J$14+1,0),0),0),2)</f>
        <v/>
      </c>
      <c r="K1204" s="142">
        <f>IF(offer_sale_type="транзит",IFERROR(ROUNDUP(VLOOKUP($B1204,calc_data,K$14+1,0),2),0),0)</f>
        <v/>
      </c>
      <c r="L1204" s="184">
        <f>IF(offer_sale_type="транзит",IFERROR(ROUNDUP(VLOOKUP($B1204,calc_data,L$14+1,0),2),0),0)</f>
        <v/>
      </c>
      <c r="M1204" s="141">
        <f>IF(offer_sale_type="транзит",IFERROR(ROUNDUP(VLOOKUP($B1204,calc_data,M$14+1,0),2),0),0)</f>
        <v/>
      </c>
      <c r="N1204" s="141">
        <f>IF(offer_sale_type="транзит",IFERROR(ROUNDUP(VLOOKUP($B1204,calc_data,N$14+1,0),2),0),0)</f>
        <v/>
      </c>
      <c r="O1204" s="147">
        <f>IF(offer_sale_type="транзит",IFERROR(ROUND(VLOOKUP($B1204,calc_data,O$14+1,1),2),0),0)</f>
        <v/>
      </c>
      <c r="P1204" s="141">
        <f>IF(offer_sale_type="транзит",IFERROR(ROUND(SUM(I1204:J1204,M1204:O1204)/E1204,2),0),0)</f>
        <v/>
      </c>
      <c r="Q1204" s="141">
        <f>E1204*P1204</f>
        <v/>
      </c>
      <c r="R1204" s="141">
        <f>ROUND(Q1204*IF(AND(offer_incoterms="DDP",seller_region="RU"),IF((TODAY()+offer_turnaround_time)&gt;=helpsheet!$L$17,rate_vatRU_from_26,rate_vatRu_till_25),0),2)</f>
        <v/>
      </c>
      <c r="S1204" s="177">
        <f>Q1204+IF(AND(offer_incoterms="DDP",seller_region="RU"),R1204,0)</f>
        <v/>
      </c>
      <c r="T1204" s="45" t="n"/>
      <c r="V1204" s="57">
        <f>IF(Q1204&gt;0,"показать","скрыть")</f>
        <v/>
      </c>
    </row>
    <row r="1205" ht="15.75" customHeight="1">
      <c r="B1205" s="809" t="n">
        <v>1189</v>
      </c>
      <c r="C1205" s="182">
        <f>IF(offer_sale_type="транзит",IFERROR(VLOOKUP($B1205,calc_data,C$14+1,0),0),0)</f>
        <v/>
      </c>
      <c r="D1205" s="280">
        <f>IF(offer_sale_type="транзит",IFERROR(VLOOKUP($B1205,calc_data,D$14+1,0),0),0)</f>
        <v/>
      </c>
      <c r="E1205" s="182">
        <f>IF(offer_sale_type="транзит",IFERROR(VLOOKUP($B1205,calc_data,E$14+1,0),0),0)</f>
        <v/>
      </c>
      <c r="F1205" s="182">
        <f>IF(offer_sale_type="транзит",IFERROR(VLOOKUP($B1205,calc_data,F$14+1,0),0),0)</f>
        <v/>
      </c>
      <c r="G1205" s="141">
        <f>IF(offer_sale_type="транзит",IFERROR(VLOOKUP($B1205,calc_data,G$14+1,0),0),0)</f>
        <v/>
      </c>
      <c r="H1205" s="141">
        <f>E1205*G1205</f>
        <v/>
      </c>
      <c r="I1205" s="141">
        <f>IF(offer_sale_type="транзит",IFERROR(ROUND(VLOOKUP($B1205,calc_data,I$14+1,0),2),0),0)</f>
        <v/>
      </c>
      <c r="J1205" s="141">
        <f>ROUND(IF(offer_sale_type="транзит",IFERROR(VLOOKUP($B1205,calc_data,J$14+1,0),0),0),2)</f>
        <v/>
      </c>
      <c r="K1205" s="142">
        <f>IF(offer_sale_type="транзит",IFERROR(ROUNDUP(VLOOKUP($B1205,calc_data,K$14+1,0),2),0),0)</f>
        <v/>
      </c>
      <c r="L1205" s="184">
        <f>IF(offer_sale_type="транзит",IFERROR(ROUNDUP(VLOOKUP($B1205,calc_data,L$14+1,0),2),0),0)</f>
        <v/>
      </c>
      <c r="M1205" s="141">
        <f>IF(offer_sale_type="транзит",IFERROR(ROUNDUP(VLOOKUP($B1205,calc_data,M$14+1,0),2),0),0)</f>
        <v/>
      </c>
      <c r="N1205" s="141">
        <f>IF(offer_sale_type="транзит",IFERROR(ROUNDUP(VLOOKUP($B1205,calc_data,N$14+1,0),2),0),0)</f>
        <v/>
      </c>
      <c r="O1205" s="147">
        <f>IF(offer_sale_type="транзит",IFERROR(ROUND(VLOOKUP($B1205,calc_data,O$14+1,1),2),0),0)</f>
        <v/>
      </c>
      <c r="P1205" s="141">
        <f>IF(offer_sale_type="транзит",IFERROR(ROUND(SUM(I1205:J1205,M1205:O1205)/E1205,2),0),0)</f>
        <v/>
      </c>
      <c r="Q1205" s="141">
        <f>E1205*P1205</f>
        <v/>
      </c>
      <c r="R1205" s="141">
        <f>ROUND(Q1205*IF(AND(offer_incoterms="DDP",seller_region="RU"),IF((TODAY()+offer_turnaround_time)&gt;=helpsheet!$L$17,rate_vatRU_from_26,rate_vatRu_till_25),0),2)</f>
        <v/>
      </c>
      <c r="S1205" s="177">
        <f>Q1205+IF(AND(offer_incoterms="DDP",seller_region="RU"),R1205,0)</f>
        <v/>
      </c>
      <c r="T1205" s="45" t="n"/>
      <c r="V1205" s="57">
        <f>IF(Q1205&gt;0,"показать","скрыть")</f>
        <v/>
      </c>
    </row>
    <row r="1206" ht="15.75" customHeight="1">
      <c r="B1206" s="809" t="n">
        <v>1190</v>
      </c>
      <c r="C1206" s="182">
        <f>IF(offer_sale_type="транзит",IFERROR(VLOOKUP($B1206,calc_data,C$14+1,0),0),0)</f>
        <v/>
      </c>
      <c r="D1206" s="280">
        <f>IF(offer_sale_type="транзит",IFERROR(VLOOKUP($B1206,calc_data,D$14+1,0),0),0)</f>
        <v/>
      </c>
      <c r="E1206" s="182">
        <f>IF(offer_sale_type="транзит",IFERROR(VLOOKUP($B1206,calc_data,E$14+1,0),0),0)</f>
        <v/>
      </c>
      <c r="F1206" s="182">
        <f>IF(offer_sale_type="транзит",IFERROR(VLOOKUP($B1206,calc_data,F$14+1,0),0),0)</f>
        <v/>
      </c>
      <c r="G1206" s="141">
        <f>IF(offer_sale_type="транзит",IFERROR(VLOOKUP($B1206,calc_data,G$14+1,0),0),0)</f>
        <v/>
      </c>
      <c r="H1206" s="141">
        <f>E1206*G1206</f>
        <v/>
      </c>
      <c r="I1206" s="141">
        <f>IF(offer_sale_type="транзит",IFERROR(ROUND(VLOOKUP($B1206,calc_data,I$14+1,0),2),0),0)</f>
        <v/>
      </c>
      <c r="J1206" s="141">
        <f>ROUND(IF(offer_sale_type="транзит",IFERROR(VLOOKUP($B1206,calc_data,J$14+1,0),0),0),2)</f>
        <v/>
      </c>
      <c r="K1206" s="142">
        <f>IF(offer_sale_type="транзит",IFERROR(ROUNDUP(VLOOKUP($B1206,calc_data,K$14+1,0),2),0),0)</f>
        <v/>
      </c>
      <c r="L1206" s="184">
        <f>IF(offer_sale_type="транзит",IFERROR(ROUNDUP(VLOOKUP($B1206,calc_data,L$14+1,0),2),0),0)</f>
        <v/>
      </c>
      <c r="M1206" s="141">
        <f>IF(offer_sale_type="транзит",IFERROR(ROUNDUP(VLOOKUP($B1206,calc_data,M$14+1,0),2),0),0)</f>
        <v/>
      </c>
      <c r="N1206" s="141">
        <f>IF(offer_sale_type="транзит",IFERROR(ROUNDUP(VLOOKUP($B1206,calc_data,N$14+1,0),2),0),0)</f>
        <v/>
      </c>
      <c r="O1206" s="147">
        <f>IF(offer_sale_type="транзит",IFERROR(ROUND(VLOOKUP($B1206,calc_data,O$14+1,1),2),0),0)</f>
        <v/>
      </c>
      <c r="P1206" s="141">
        <f>IF(offer_sale_type="транзит",IFERROR(ROUND(SUM(I1206:J1206,M1206:O1206)/E1206,2),0),0)</f>
        <v/>
      </c>
      <c r="Q1206" s="141">
        <f>E1206*P1206</f>
        <v/>
      </c>
      <c r="R1206" s="141">
        <f>ROUND(Q1206*IF(AND(offer_incoterms="DDP",seller_region="RU"),IF((TODAY()+offer_turnaround_time)&gt;=helpsheet!$L$17,rate_vatRU_from_26,rate_vatRu_till_25),0),2)</f>
        <v/>
      </c>
      <c r="S1206" s="177">
        <f>Q1206+IF(AND(offer_incoterms="DDP",seller_region="RU"),R1206,0)</f>
        <v/>
      </c>
      <c r="T1206" s="45" t="n"/>
      <c r="V1206" s="57">
        <f>IF(Q1206&gt;0,"показать","скрыть")</f>
        <v/>
      </c>
    </row>
    <row r="1207" ht="15.75" customHeight="1">
      <c r="B1207" s="809" t="n">
        <v>1191</v>
      </c>
      <c r="C1207" s="182">
        <f>IF(offer_sale_type="транзит",IFERROR(VLOOKUP($B1207,calc_data,C$14+1,0),0),0)</f>
        <v/>
      </c>
      <c r="D1207" s="280">
        <f>IF(offer_sale_type="транзит",IFERROR(VLOOKUP($B1207,calc_data,D$14+1,0),0),0)</f>
        <v/>
      </c>
      <c r="E1207" s="182">
        <f>IF(offer_sale_type="транзит",IFERROR(VLOOKUP($B1207,calc_data,E$14+1,0),0),0)</f>
        <v/>
      </c>
      <c r="F1207" s="182">
        <f>IF(offer_sale_type="транзит",IFERROR(VLOOKUP($B1207,calc_data,F$14+1,0),0),0)</f>
        <v/>
      </c>
      <c r="G1207" s="141">
        <f>IF(offer_sale_type="транзит",IFERROR(VLOOKUP($B1207,calc_data,G$14+1,0),0),0)</f>
        <v/>
      </c>
      <c r="H1207" s="141">
        <f>E1207*G1207</f>
        <v/>
      </c>
      <c r="I1207" s="141">
        <f>IF(offer_sale_type="транзит",IFERROR(ROUND(VLOOKUP($B1207,calc_data,I$14+1,0),2),0),0)</f>
        <v/>
      </c>
      <c r="J1207" s="141">
        <f>ROUND(IF(offer_sale_type="транзит",IFERROR(VLOOKUP($B1207,calc_data,J$14+1,0),0),0),2)</f>
        <v/>
      </c>
      <c r="K1207" s="142">
        <f>IF(offer_sale_type="транзит",IFERROR(ROUNDUP(VLOOKUP($B1207,calc_data,K$14+1,0),2),0),0)</f>
        <v/>
      </c>
      <c r="L1207" s="184">
        <f>IF(offer_sale_type="транзит",IFERROR(ROUNDUP(VLOOKUP($B1207,calc_data,L$14+1,0),2),0),0)</f>
        <v/>
      </c>
      <c r="M1207" s="141">
        <f>IF(offer_sale_type="транзит",IFERROR(ROUNDUP(VLOOKUP($B1207,calc_data,M$14+1,0),2),0),0)</f>
        <v/>
      </c>
      <c r="N1207" s="141">
        <f>IF(offer_sale_type="транзит",IFERROR(ROUNDUP(VLOOKUP($B1207,calc_data,N$14+1,0),2),0),0)</f>
        <v/>
      </c>
      <c r="O1207" s="147">
        <f>IF(offer_sale_type="транзит",IFERROR(ROUND(VLOOKUP($B1207,calc_data,O$14+1,1),2),0),0)</f>
        <v/>
      </c>
      <c r="P1207" s="141">
        <f>IF(offer_sale_type="транзит",IFERROR(ROUND(SUM(I1207:J1207,M1207:O1207)/E1207,2),0),0)</f>
        <v/>
      </c>
      <c r="Q1207" s="141">
        <f>E1207*P1207</f>
        <v/>
      </c>
      <c r="R1207" s="141">
        <f>ROUND(Q1207*IF(AND(offer_incoterms="DDP",seller_region="RU"),IF((TODAY()+offer_turnaround_time)&gt;=helpsheet!$L$17,rate_vatRU_from_26,rate_vatRu_till_25),0),2)</f>
        <v/>
      </c>
      <c r="S1207" s="177">
        <f>Q1207+IF(AND(offer_incoterms="DDP",seller_region="RU"),R1207,0)</f>
        <v/>
      </c>
      <c r="T1207" s="45" t="n"/>
      <c r="V1207" s="57">
        <f>IF(Q1207&gt;0,"показать","скрыть")</f>
        <v/>
      </c>
    </row>
    <row r="1208" ht="15.75" customHeight="1">
      <c r="B1208" s="809" t="n">
        <v>1192</v>
      </c>
      <c r="C1208" s="182">
        <f>IF(offer_sale_type="транзит",IFERROR(VLOOKUP($B1208,calc_data,C$14+1,0),0),0)</f>
        <v/>
      </c>
      <c r="D1208" s="280">
        <f>IF(offer_sale_type="транзит",IFERROR(VLOOKUP($B1208,calc_data,D$14+1,0),0),0)</f>
        <v/>
      </c>
      <c r="E1208" s="182">
        <f>IF(offer_sale_type="транзит",IFERROR(VLOOKUP($B1208,calc_data,E$14+1,0),0),0)</f>
        <v/>
      </c>
      <c r="F1208" s="182">
        <f>IF(offer_sale_type="транзит",IFERROR(VLOOKUP($B1208,calc_data,F$14+1,0),0),0)</f>
        <v/>
      </c>
      <c r="G1208" s="141">
        <f>IF(offer_sale_type="транзит",IFERROR(VLOOKUP($B1208,calc_data,G$14+1,0),0),0)</f>
        <v/>
      </c>
      <c r="H1208" s="141">
        <f>E1208*G1208</f>
        <v/>
      </c>
      <c r="I1208" s="141">
        <f>IF(offer_sale_type="транзит",IFERROR(ROUND(VLOOKUP($B1208,calc_data,I$14+1,0),2),0),0)</f>
        <v/>
      </c>
      <c r="J1208" s="141">
        <f>ROUND(IF(offer_sale_type="транзит",IFERROR(VLOOKUP($B1208,calc_data,J$14+1,0),0),0),2)</f>
        <v/>
      </c>
      <c r="K1208" s="142">
        <f>IF(offer_sale_type="транзит",IFERROR(ROUNDUP(VLOOKUP($B1208,calc_data,K$14+1,0),2),0),0)</f>
        <v/>
      </c>
      <c r="L1208" s="184">
        <f>IF(offer_sale_type="транзит",IFERROR(ROUNDUP(VLOOKUP($B1208,calc_data,L$14+1,0),2),0),0)</f>
        <v/>
      </c>
      <c r="M1208" s="141">
        <f>IF(offer_sale_type="транзит",IFERROR(ROUNDUP(VLOOKUP($B1208,calc_data,M$14+1,0),2),0),0)</f>
        <v/>
      </c>
      <c r="N1208" s="141">
        <f>IF(offer_sale_type="транзит",IFERROR(ROUNDUP(VLOOKUP($B1208,calc_data,N$14+1,0),2),0),0)</f>
        <v/>
      </c>
      <c r="O1208" s="147">
        <f>IF(offer_sale_type="транзит",IFERROR(ROUND(VLOOKUP($B1208,calc_data,O$14+1,1),2),0),0)</f>
        <v/>
      </c>
      <c r="P1208" s="141">
        <f>IF(offer_sale_type="транзит",IFERROR(ROUND(SUM(I1208:J1208,M1208:O1208)/E1208,2),0),0)</f>
        <v/>
      </c>
      <c r="Q1208" s="141">
        <f>E1208*P1208</f>
        <v/>
      </c>
      <c r="R1208" s="141">
        <f>ROUND(Q1208*IF(AND(offer_incoterms="DDP",seller_region="RU"),IF((TODAY()+offer_turnaround_time)&gt;=helpsheet!$L$17,rate_vatRU_from_26,rate_vatRu_till_25),0),2)</f>
        <v/>
      </c>
      <c r="S1208" s="177">
        <f>Q1208+IF(AND(offer_incoterms="DDP",seller_region="RU"),R1208,0)</f>
        <v/>
      </c>
      <c r="T1208" s="45" t="n"/>
      <c r="V1208" s="57">
        <f>IF(Q1208&gt;0,"показать","скрыть")</f>
        <v/>
      </c>
    </row>
    <row r="1209" ht="15.75" customHeight="1">
      <c r="B1209" s="809" t="n">
        <v>1193</v>
      </c>
      <c r="C1209" s="182">
        <f>IF(offer_sale_type="транзит",IFERROR(VLOOKUP($B1209,calc_data,C$14+1,0),0),0)</f>
        <v/>
      </c>
      <c r="D1209" s="280">
        <f>IF(offer_sale_type="транзит",IFERROR(VLOOKUP($B1209,calc_data,D$14+1,0),0),0)</f>
        <v/>
      </c>
      <c r="E1209" s="182">
        <f>IF(offer_sale_type="транзит",IFERROR(VLOOKUP($B1209,calc_data,E$14+1,0),0),0)</f>
        <v/>
      </c>
      <c r="F1209" s="182">
        <f>IF(offer_sale_type="транзит",IFERROR(VLOOKUP($B1209,calc_data,F$14+1,0),0),0)</f>
        <v/>
      </c>
      <c r="G1209" s="141">
        <f>IF(offer_sale_type="транзит",IFERROR(VLOOKUP($B1209,calc_data,G$14+1,0),0),0)</f>
        <v/>
      </c>
      <c r="H1209" s="141">
        <f>E1209*G1209</f>
        <v/>
      </c>
      <c r="I1209" s="141">
        <f>IF(offer_sale_type="транзит",IFERROR(ROUND(VLOOKUP($B1209,calc_data,I$14+1,0),2),0),0)</f>
        <v/>
      </c>
      <c r="J1209" s="141">
        <f>ROUND(IF(offer_sale_type="транзит",IFERROR(VLOOKUP($B1209,calc_data,J$14+1,0),0),0),2)</f>
        <v/>
      </c>
      <c r="K1209" s="142">
        <f>IF(offer_sale_type="транзит",IFERROR(ROUNDUP(VLOOKUP($B1209,calc_data,K$14+1,0),2),0),0)</f>
        <v/>
      </c>
      <c r="L1209" s="184">
        <f>IF(offer_sale_type="транзит",IFERROR(ROUNDUP(VLOOKUP($B1209,calc_data,L$14+1,0),2),0),0)</f>
        <v/>
      </c>
      <c r="M1209" s="141">
        <f>IF(offer_sale_type="транзит",IFERROR(ROUNDUP(VLOOKUP($B1209,calc_data,M$14+1,0),2),0),0)</f>
        <v/>
      </c>
      <c r="N1209" s="141">
        <f>IF(offer_sale_type="транзит",IFERROR(ROUNDUP(VLOOKUP($B1209,calc_data,N$14+1,0),2),0),0)</f>
        <v/>
      </c>
      <c r="O1209" s="147">
        <f>IF(offer_sale_type="транзит",IFERROR(ROUND(VLOOKUP($B1209,calc_data,O$14+1,1),2),0),0)</f>
        <v/>
      </c>
      <c r="P1209" s="141">
        <f>IF(offer_sale_type="транзит",IFERROR(ROUND(SUM(I1209:J1209,M1209:O1209)/E1209,2),0),0)</f>
        <v/>
      </c>
      <c r="Q1209" s="141">
        <f>E1209*P1209</f>
        <v/>
      </c>
      <c r="R1209" s="141">
        <f>ROUND(Q1209*IF(AND(offer_incoterms="DDP",seller_region="RU"),IF((TODAY()+offer_turnaround_time)&gt;=helpsheet!$L$17,rate_vatRU_from_26,rate_vatRu_till_25),0),2)</f>
        <v/>
      </c>
      <c r="S1209" s="177">
        <f>Q1209+IF(AND(offer_incoterms="DDP",seller_region="RU"),R1209,0)</f>
        <v/>
      </c>
      <c r="T1209" s="45" t="n"/>
      <c r="V1209" s="57">
        <f>IF(Q1209&gt;0,"показать","скрыть")</f>
        <v/>
      </c>
    </row>
    <row r="1210" ht="15.75" customHeight="1">
      <c r="B1210" s="809" t="n">
        <v>1194</v>
      </c>
      <c r="C1210" s="182">
        <f>IF(offer_sale_type="транзит",IFERROR(VLOOKUP($B1210,calc_data,C$14+1,0),0),0)</f>
        <v/>
      </c>
      <c r="D1210" s="280">
        <f>IF(offer_sale_type="транзит",IFERROR(VLOOKUP($B1210,calc_data,D$14+1,0),0),0)</f>
        <v/>
      </c>
      <c r="E1210" s="182">
        <f>IF(offer_sale_type="транзит",IFERROR(VLOOKUP($B1210,calc_data,E$14+1,0),0),0)</f>
        <v/>
      </c>
      <c r="F1210" s="182">
        <f>IF(offer_sale_type="транзит",IFERROR(VLOOKUP($B1210,calc_data,F$14+1,0),0),0)</f>
        <v/>
      </c>
      <c r="G1210" s="141">
        <f>IF(offer_sale_type="транзит",IFERROR(VLOOKUP($B1210,calc_data,G$14+1,0),0),0)</f>
        <v/>
      </c>
      <c r="H1210" s="141">
        <f>E1210*G1210</f>
        <v/>
      </c>
      <c r="I1210" s="141">
        <f>IF(offer_sale_type="транзит",IFERROR(ROUND(VLOOKUP($B1210,calc_data,I$14+1,0),2),0),0)</f>
        <v/>
      </c>
      <c r="J1210" s="141">
        <f>ROUND(IF(offer_sale_type="транзит",IFERROR(VLOOKUP($B1210,calc_data,J$14+1,0),0),0),2)</f>
        <v/>
      </c>
      <c r="K1210" s="142">
        <f>IF(offer_sale_type="транзит",IFERROR(ROUNDUP(VLOOKUP($B1210,calc_data,K$14+1,0),2),0),0)</f>
        <v/>
      </c>
      <c r="L1210" s="184">
        <f>IF(offer_sale_type="транзит",IFERROR(ROUNDUP(VLOOKUP($B1210,calc_data,L$14+1,0),2),0),0)</f>
        <v/>
      </c>
      <c r="M1210" s="141">
        <f>IF(offer_sale_type="транзит",IFERROR(ROUNDUP(VLOOKUP($B1210,calc_data,M$14+1,0),2),0),0)</f>
        <v/>
      </c>
      <c r="N1210" s="141">
        <f>IF(offer_sale_type="транзит",IFERROR(ROUNDUP(VLOOKUP($B1210,calc_data,N$14+1,0),2),0),0)</f>
        <v/>
      </c>
      <c r="O1210" s="147">
        <f>IF(offer_sale_type="транзит",IFERROR(ROUND(VLOOKUP($B1210,calc_data,O$14+1,1),2),0),0)</f>
        <v/>
      </c>
      <c r="P1210" s="141">
        <f>IF(offer_sale_type="транзит",IFERROR(ROUND(SUM(I1210:J1210,M1210:O1210)/E1210,2),0),0)</f>
        <v/>
      </c>
      <c r="Q1210" s="141">
        <f>E1210*P1210</f>
        <v/>
      </c>
      <c r="R1210" s="141">
        <f>ROUND(Q1210*IF(AND(offer_incoterms="DDP",seller_region="RU"),IF((TODAY()+offer_turnaround_time)&gt;=helpsheet!$L$17,rate_vatRU_from_26,rate_vatRu_till_25),0),2)</f>
        <v/>
      </c>
      <c r="S1210" s="177">
        <f>Q1210+IF(AND(offer_incoterms="DDP",seller_region="RU"),R1210,0)</f>
        <v/>
      </c>
      <c r="T1210" s="45" t="n"/>
      <c r="V1210" s="57">
        <f>IF(Q1210&gt;0,"показать","скрыть")</f>
        <v/>
      </c>
    </row>
    <row r="1211" ht="15.75" customHeight="1">
      <c r="B1211" s="809" t="n">
        <v>1195</v>
      </c>
      <c r="C1211" s="182">
        <f>IF(offer_sale_type="транзит",IFERROR(VLOOKUP($B1211,calc_data,C$14+1,0),0),0)</f>
        <v/>
      </c>
      <c r="D1211" s="280">
        <f>IF(offer_sale_type="транзит",IFERROR(VLOOKUP($B1211,calc_data,D$14+1,0),0),0)</f>
        <v/>
      </c>
      <c r="E1211" s="182">
        <f>IF(offer_sale_type="транзит",IFERROR(VLOOKUP($B1211,calc_data,E$14+1,0),0),0)</f>
        <v/>
      </c>
      <c r="F1211" s="182">
        <f>IF(offer_sale_type="транзит",IFERROR(VLOOKUP($B1211,calc_data,F$14+1,0),0),0)</f>
        <v/>
      </c>
      <c r="G1211" s="141">
        <f>IF(offer_sale_type="транзит",IFERROR(VLOOKUP($B1211,calc_data,G$14+1,0),0),0)</f>
        <v/>
      </c>
      <c r="H1211" s="141">
        <f>E1211*G1211</f>
        <v/>
      </c>
      <c r="I1211" s="141">
        <f>IF(offer_sale_type="транзит",IFERROR(ROUND(VLOOKUP($B1211,calc_data,I$14+1,0),2),0),0)</f>
        <v/>
      </c>
      <c r="J1211" s="141">
        <f>ROUND(IF(offer_sale_type="транзит",IFERROR(VLOOKUP($B1211,calc_data,J$14+1,0),0),0),2)</f>
        <v/>
      </c>
      <c r="K1211" s="142">
        <f>IF(offer_sale_type="транзит",IFERROR(ROUNDUP(VLOOKUP($B1211,calc_data,K$14+1,0),2),0),0)</f>
        <v/>
      </c>
      <c r="L1211" s="184">
        <f>IF(offer_sale_type="транзит",IFERROR(ROUNDUP(VLOOKUP($B1211,calc_data,L$14+1,0),2),0),0)</f>
        <v/>
      </c>
      <c r="M1211" s="141">
        <f>IF(offer_sale_type="транзит",IFERROR(ROUNDUP(VLOOKUP($B1211,calc_data,M$14+1,0),2),0),0)</f>
        <v/>
      </c>
      <c r="N1211" s="141">
        <f>IF(offer_sale_type="транзит",IFERROR(ROUNDUP(VLOOKUP($B1211,calc_data,N$14+1,0),2),0),0)</f>
        <v/>
      </c>
      <c r="O1211" s="147">
        <f>IF(offer_sale_type="транзит",IFERROR(ROUND(VLOOKUP($B1211,calc_data,O$14+1,1),2),0),0)</f>
        <v/>
      </c>
      <c r="P1211" s="141">
        <f>IF(offer_sale_type="транзит",IFERROR(ROUND(SUM(I1211:J1211,M1211:O1211)/E1211,2),0),0)</f>
        <v/>
      </c>
      <c r="Q1211" s="141">
        <f>E1211*P1211</f>
        <v/>
      </c>
      <c r="R1211" s="141">
        <f>ROUND(Q1211*IF(AND(offer_incoterms="DDP",seller_region="RU"),IF((TODAY()+offer_turnaround_time)&gt;=helpsheet!$L$17,rate_vatRU_from_26,rate_vatRu_till_25),0),2)</f>
        <v/>
      </c>
      <c r="S1211" s="177">
        <f>Q1211+IF(AND(offer_incoterms="DDP",seller_region="RU"),R1211,0)</f>
        <v/>
      </c>
      <c r="T1211" s="45" t="n"/>
      <c r="V1211" s="57">
        <f>IF(Q1211&gt;0,"показать","скрыть")</f>
        <v/>
      </c>
    </row>
    <row r="1212" ht="15.75" customHeight="1">
      <c r="B1212" s="809" t="n">
        <v>1196</v>
      </c>
      <c r="C1212" s="182">
        <f>IF(offer_sale_type="транзит",IFERROR(VLOOKUP($B1212,calc_data,C$14+1,0),0),0)</f>
        <v/>
      </c>
      <c r="D1212" s="280">
        <f>IF(offer_sale_type="транзит",IFERROR(VLOOKUP($B1212,calc_data,D$14+1,0),0),0)</f>
        <v/>
      </c>
      <c r="E1212" s="182">
        <f>IF(offer_sale_type="транзит",IFERROR(VLOOKUP($B1212,calc_data,E$14+1,0),0),0)</f>
        <v/>
      </c>
      <c r="F1212" s="182">
        <f>IF(offer_sale_type="транзит",IFERROR(VLOOKUP($B1212,calc_data,F$14+1,0),0),0)</f>
        <v/>
      </c>
      <c r="G1212" s="141">
        <f>IF(offer_sale_type="транзит",IFERROR(VLOOKUP($B1212,calc_data,G$14+1,0),0),0)</f>
        <v/>
      </c>
      <c r="H1212" s="141">
        <f>E1212*G1212</f>
        <v/>
      </c>
      <c r="I1212" s="141">
        <f>IF(offer_sale_type="транзит",IFERROR(ROUND(VLOOKUP($B1212,calc_data,I$14+1,0),2),0),0)</f>
        <v/>
      </c>
      <c r="J1212" s="141">
        <f>ROUND(IF(offer_sale_type="транзит",IFERROR(VLOOKUP($B1212,calc_data,J$14+1,0),0),0),2)</f>
        <v/>
      </c>
      <c r="K1212" s="142">
        <f>IF(offer_sale_type="транзит",IFERROR(ROUNDUP(VLOOKUP($B1212,calc_data,K$14+1,0),2),0),0)</f>
        <v/>
      </c>
      <c r="L1212" s="184">
        <f>IF(offer_sale_type="транзит",IFERROR(ROUNDUP(VLOOKUP($B1212,calc_data,L$14+1,0),2),0),0)</f>
        <v/>
      </c>
      <c r="M1212" s="141">
        <f>IF(offer_sale_type="транзит",IFERROR(ROUNDUP(VLOOKUP($B1212,calc_data,M$14+1,0),2),0),0)</f>
        <v/>
      </c>
      <c r="N1212" s="141">
        <f>IF(offer_sale_type="транзит",IFERROR(ROUNDUP(VLOOKUP($B1212,calc_data,N$14+1,0),2),0),0)</f>
        <v/>
      </c>
      <c r="O1212" s="147">
        <f>IF(offer_sale_type="транзит",IFERROR(ROUND(VLOOKUP($B1212,calc_data,O$14+1,1),2),0),0)</f>
        <v/>
      </c>
      <c r="P1212" s="141">
        <f>IF(offer_sale_type="транзит",IFERROR(ROUND(SUM(I1212:J1212,M1212:O1212)/E1212,2),0),0)</f>
        <v/>
      </c>
      <c r="Q1212" s="141">
        <f>E1212*P1212</f>
        <v/>
      </c>
      <c r="R1212" s="141">
        <f>ROUND(Q1212*IF(AND(offer_incoterms="DDP",seller_region="RU"),IF((TODAY()+offer_turnaround_time)&gt;=helpsheet!$L$17,rate_vatRU_from_26,rate_vatRu_till_25),0),2)</f>
        <v/>
      </c>
      <c r="S1212" s="177">
        <f>Q1212+IF(AND(offer_incoterms="DDP",seller_region="RU"),R1212,0)</f>
        <v/>
      </c>
      <c r="T1212" s="45" t="n"/>
      <c r="V1212" s="57">
        <f>IF(Q1212&gt;0,"показать","скрыть")</f>
        <v/>
      </c>
    </row>
    <row r="1213" ht="15.75" customHeight="1">
      <c r="B1213" s="809" t="n">
        <v>1197</v>
      </c>
      <c r="C1213" s="182">
        <f>IF(offer_sale_type="транзит",IFERROR(VLOOKUP($B1213,calc_data,C$14+1,0),0),0)</f>
        <v/>
      </c>
      <c r="D1213" s="280">
        <f>IF(offer_sale_type="транзит",IFERROR(VLOOKUP($B1213,calc_data,D$14+1,0),0),0)</f>
        <v/>
      </c>
      <c r="E1213" s="182">
        <f>IF(offer_sale_type="транзит",IFERROR(VLOOKUP($B1213,calc_data,E$14+1,0),0),0)</f>
        <v/>
      </c>
      <c r="F1213" s="182">
        <f>IF(offer_sale_type="транзит",IFERROR(VLOOKUP($B1213,calc_data,F$14+1,0),0),0)</f>
        <v/>
      </c>
      <c r="G1213" s="141">
        <f>IF(offer_sale_type="транзит",IFERROR(VLOOKUP($B1213,calc_data,G$14+1,0),0),0)</f>
        <v/>
      </c>
      <c r="H1213" s="141">
        <f>E1213*G1213</f>
        <v/>
      </c>
      <c r="I1213" s="141">
        <f>IF(offer_sale_type="транзит",IFERROR(ROUND(VLOOKUP($B1213,calc_data,I$14+1,0),2),0),0)</f>
        <v/>
      </c>
      <c r="J1213" s="141">
        <f>ROUND(IF(offer_sale_type="транзит",IFERROR(VLOOKUP($B1213,calc_data,J$14+1,0),0),0),2)</f>
        <v/>
      </c>
      <c r="K1213" s="142">
        <f>IF(offer_sale_type="транзит",IFERROR(ROUNDUP(VLOOKUP($B1213,calc_data,K$14+1,0),2),0),0)</f>
        <v/>
      </c>
      <c r="L1213" s="184">
        <f>IF(offer_sale_type="транзит",IFERROR(ROUNDUP(VLOOKUP($B1213,calc_data,L$14+1,0),2),0),0)</f>
        <v/>
      </c>
      <c r="M1213" s="141">
        <f>IF(offer_sale_type="транзит",IFERROR(ROUNDUP(VLOOKUP($B1213,calc_data,M$14+1,0),2),0),0)</f>
        <v/>
      </c>
      <c r="N1213" s="141">
        <f>IF(offer_sale_type="транзит",IFERROR(ROUNDUP(VLOOKUP($B1213,calc_data,N$14+1,0),2),0),0)</f>
        <v/>
      </c>
      <c r="O1213" s="147">
        <f>IF(offer_sale_type="транзит",IFERROR(ROUND(VLOOKUP($B1213,calc_data,O$14+1,1),2),0),0)</f>
        <v/>
      </c>
      <c r="P1213" s="141">
        <f>IF(offer_sale_type="транзит",IFERROR(ROUND(SUM(I1213:J1213,M1213:O1213)/E1213,2),0),0)</f>
        <v/>
      </c>
      <c r="Q1213" s="141">
        <f>E1213*P1213</f>
        <v/>
      </c>
      <c r="R1213" s="141">
        <f>ROUND(Q1213*IF(AND(offer_incoterms="DDP",seller_region="RU"),IF((TODAY()+offer_turnaround_time)&gt;=helpsheet!$L$17,rate_vatRU_from_26,rate_vatRu_till_25),0),2)</f>
        <v/>
      </c>
      <c r="S1213" s="177">
        <f>Q1213+IF(AND(offer_incoterms="DDP",seller_region="RU"),R1213,0)</f>
        <v/>
      </c>
      <c r="T1213" s="45" t="n"/>
      <c r="V1213" s="57">
        <f>IF(Q1213&gt;0,"показать","скрыть")</f>
        <v/>
      </c>
    </row>
    <row r="1214" ht="15.75" customHeight="1">
      <c r="B1214" s="809" t="n">
        <v>1198</v>
      </c>
      <c r="C1214" s="182">
        <f>IF(offer_sale_type="транзит",IFERROR(VLOOKUP($B1214,calc_data,C$14+1,0),0),0)</f>
        <v/>
      </c>
      <c r="D1214" s="280">
        <f>IF(offer_sale_type="транзит",IFERROR(VLOOKUP($B1214,calc_data,D$14+1,0),0),0)</f>
        <v/>
      </c>
      <c r="E1214" s="182">
        <f>IF(offer_sale_type="транзит",IFERROR(VLOOKUP($B1214,calc_data,E$14+1,0),0),0)</f>
        <v/>
      </c>
      <c r="F1214" s="182">
        <f>IF(offer_sale_type="транзит",IFERROR(VLOOKUP($B1214,calc_data,F$14+1,0),0),0)</f>
        <v/>
      </c>
      <c r="G1214" s="141">
        <f>IF(offer_sale_type="транзит",IFERROR(VLOOKUP($B1214,calc_data,G$14+1,0),0),0)</f>
        <v/>
      </c>
      <c r="H1214" s="141">
        <f>E1214*G1214</f>
        <v/>
      </c>
      <c r="I1214" s="141">
        <f>IF(offer_sale_type="транзит",IFERROR(ROUND(VLOOKUP($B1214,calc_data,I$14+1,0),2),0),0)</f>
        <v/>
      </c>
      <c r="J1214" s="141">
        <f>ROUND(IF(offer_sale_type="транзит",IFERROR(VLOOKUP($B1214,calc_data,J$14+1,0),0),0),2)</f>
        <v/>
      </c>
      <c r="K1214" s="142">
        <f>IF(offer_sale_type="транзит",IFERROR(ROUNDUP(VLOOKUP($B1214,calc_data,K$14+1,0),2),0),0)</f>
        <v/>
      </c>
      <c r="L1214" s="184">
        <f>IF(offer_sale_type="транзит",IFERROR(ROUNDUP(VLOOKUP($B1214,calc_data,L$14+1,0),2),0),0)</f>
        <v/>
      </c>
      <c r="M1214" s="141">
        <f>IF(offer_sale_type="транзит",IFERROR(ROUNDUP(VLOOKUP($B1214,calc_data,M$14+1,0),2),0),0)</f>
        <v/>
      </c>
      <c r="N1214" s="141">
        <f>IF(offer_sale_type="транзит",IFERROR(ROUNDUP(VLOOKUP($B1214,calc_data,N$14+1,0),2),0),0)</f>
        <v/>
      </c>
      <c r="O1214" s="147">
        <f>IF(offer_sale_type="транзит",IFERROR(ROUND(VLOOKUP($B1214,calc_data,O$14+1,1),2),0),0)</f>
        <v/>
      </c>
      <c r="P1214" s="141">
        <f>IF(offer_sale_type="транзит",IFERROR(ROUND(SUM(I1214:J1214,M1214:O1214)/E1214,2),0),0)</f>
        <v/>
      </c>
      <c r="Q1214" s="141">
        <f>E1214*P1214</f>
        <v/>
      </c>
      <c r="R1214" s="141">
        <f>ROUND(Q1214*IF(AND(offer_incoterms="DDP",seller_region="RU"),IF((TODAY()+offer_turnaround_time)&gt;=helpsheet!$L$17,rate_vatRU_from_26,rate_vatRu_till_25),0),2)</f>
        <v/>
      </c>
      <c r="S1214" s="177">
        <f>Q1214+IF(AND(offer_incoterms="DDP",seller_region="RU"),R1214,0)</f>
        <v/>
      </c>
      <c r="T1214" s="45" t="n"/>
      <c r="V1214" s="57">
        <f>IF(Q1214&gt;0,"показать","скрыть")</f>
        <v/>
      </c>
    </row>
    <row r="1215" ht="15.75" customHeight="1">
      <c r="B1215" s="809" t="n">
        <v>1199</v>
      </c>
      <c r="C1215" s="182">
        <f>IF(offer_sale_type="транзит",IFERROR(VLOOKUP($B1215,calc_data,C$14+1,0),0),0)</f>
        <v/>
      </c>
      <c r="D1215" s="280">
        <f>IF(offer_sale_type="транзит",IFERROR(VLOOKUP($B1215,calc_data,D$14+1,0),0),0)</f>
        <v/>
      </c>
      <c r="E1215" s="182">
        <f>IF(offer_sale_type="транзит",IFERROR(VLOOKUP($B1215,calc_data,E$14+1,0),0),0)</f>
        <v/>
      </c>
      <c r="F1215" s="182">
        <f>IF(offer_sale_type="транзит",IFERROR(VLOOKUP($B1215,calc_data,F$14+1,0),0),0)</f>
        <v/>
      </c>
      <c r="G1215" s="141">
        <f>IF(offer_sale_type="транзит",IFERROR(VLOOKUP($B1215,calc_data,G$14+1,0),0),0)</f>
        <v/>
      </c>
      <c r="H1215" s="141">
        <f>E1215*G1215</f>
        <v/>
      </c>
      <c r="I1215" s="141">
        <f>IF(offer_sale_type="транзит",IFERROR(ROUND(VLOOKUP($B1215,calc_data,I$14+1,0),2),0),0)</f>
        <v/>
      </c>
      <c r="J1215" s="141">
        <f>ROUND(IF(offer_sale_type="транзит",IFERROR(VLOOKUP($B1215,calc_data,J$14+1,0),0),0),2)</f>
        <v/>
      </c>
      <c r="K1215" s="142">
        <f>IF(offer_sale_type="транзит",IFERROR(ROUNDUP(VLOOKUP($B1215,calc_data,K$14+1,0),2),0),0)</f>
        <v/>
      </c>
      <c r="L1215" s="184">
        <f>IF(offer_sale_type="транзит",IFERROR(ROUNDUP(VLOOKUP($B1215,calc_data,L$14+1,0),2),0),0)</f>
        <v/>
      </c>
      <c r="M1215" s="141">
        <f>IF(offer_sale_type="транзит",IFERROR(ROUNDUP(VLOOKUP($B1215,calc_data,M$14+1,0),2),0),0)</f>
        <v/>
      </c>
      <c r="N1215" s="141">
        <f>IF(offer_sale_type="транзит",IFERROR(ROUNDUP(VLOOKUP($B1215,calc_data,N$14+1,0),2),0),0)</f>
        <v/>
      </c>
      <c r="O1215" s="147">
        <f>IF(offer_sale_type="транзит",IFERROR(ROUND(VLOOKUP($B1215,calc_data,O$14+1,1),2),0),0)</f>
        <v/>
      </c>
      <c r="P1215" s="141">
        <f>IF(offer_sale_type="транзит",IFERROR(ROUND(SUM(I1215:J1215,M1215:O1215)/E1215,2),0),0)</f>
        <v/>
      </c>
      <c r="Q1215" s="141">
        <f>E1215*P1215</f>
        <v/>
      </c>
      <c r="R1215" s="141">
        <f>ROUND(Q1215*IF(AND(offer_incoterms="DDP",seller_region="RU"),IF((TODAY()+offer_turnaround_time)&gt;=helpsheet!$L$17,rate_vatRU_from_26,rate_vatRu_till_25),0),2)</f>
        <v/>
      </c>
      <c r="S1215" s="177">
        <f>Q1215+IF(AND(offer_incoterms="DDP",seller_region="RU"),R1215,0)</f>
        <v/>
      </c>
      <c r="T1215" s="45" t="n"/>
      <c r="V1215" s="57">
        <f>IF(Q1215&gt;0,"показать","скрыть")</f>
        <v/>
      </c>
    </row>
    <row r="1216" ht="15.75" customHeight="1">
      <c r="B1216" s="809" t="n">
        <v>1200</v>
      </c>
      <c r="C1216" s="182">
        <f>IF(offer_sale_type="транзит",IFERROR(VLOOKUP($B1216,calc_data,C$14+1,0),0),0)</f>
        <v/>
      </c>
      <c r="D1216" s="280">
        <f>IF(offer_sale_type="транзит",IFERROR(VLOOKUP($B1216,calc_data,D$14+1,0),0),0)</f>
        <v/>
      </c>
      <c r="E1216" s="182">
        <f>IF(offer_sale_type="транзит",IFERROR(VLOOKUP($B1216,calc_data,E$14+1,0),0),0)</f>
        <v/>
      </c>
      <c r="F1216" s="182">
        <f>IF(offer_sale_type="транзит",IFERROR(VLOOKUP($B1216,calc_data,F$14+1,0),0),0)</f>
        <v/>
      </c>
      <c r="G1216" s="141">
        <f>IF(offer_sale_type="транзит",IFERROR(VLOOKUP($B1216,calc_data,G$14+1,0),0),0)</f>
        <v/>
      </c>
      <c r="H1216" s="141">
        <f>E1216*G1216</f>
        <v/>
      </c>
      <c r="I1216" s="141">
        <f>IF(offer_sale_type="транзит",IFERROR(ROUND(VLOOKUP($B1216,calc_data,I$14+1,0),2),0),0)</f>
        <v/>
      </c>
      <c r="J1216" s="141">
        <f>ROUND(IF(offer_sale_type="транзит",IFERROR(VLOOKUP($B1216,calc_data,J$14+1,0),0),0),2)</f>
        <v/>
      </c>
      <c r="K1216" s="142">
        <f>IF(offer_sale_type="транзит",IFERROR(ROUNDUP(VLOOKUP($B1216,calc_data,K$14+1,0),2),0),0)</f>
        <v/>
      </c>
      <c r="L1216" s="184">
        <f>IF(offer_sale_type="транзит",IFERROR(ROUNDUP(VLOOKUP($B1216,calc_data,L$14+1,0),2),0),0)</f>
        <v/>
      </c>
      <c r="M1216" s="141">
        <f>IF(offer_sale_type="транзит",IFERROR(ROUNDUP(VLOOKUP($B1216,calc_data,M$14+1,0),2),0),0)</f>
        <v/>
      </c>
      <c r="N1216" s="141">
        <f>IF(offer_sale_type="транзит",IFERROR(ROUNDUP(VLOOKUP($B1216,calc_data,N$14+1,0),2),0),0)</f>
        <v/>
      </c>
      <c r="O1216" s="147">
        <f>IF(offer_sale_type="транзит",IFERROR(ROUND(VLOOKUP($B1216,calc_data,O$14+1,1),2),0),0)</f>
        <v/>
      </c>
      <c r="P1216" s="141">
        <f>IF(offer_sale_type="транзит",IFERROR(ROUND(SUM(I1216:J1216,M1216:O1216)/E1216,2),0),0)</f>
        <v/>
      </c>
      <c r="Q1216" s="141">
        <f>E1216*P1216</f>
        <v/>
      </c>
      <c r="R1216" s="141">
        <f>ROUND(Q1216*IF(AND(offer_incoterms="DDP",seller_region="RU"),IF((TODAY()+offer_turnaround_time)&gt;=helpsheet!$L$17,rate_vatRU_from_26,rate_vatRu_till_25),0),2)</f>
        <v/>
      </c>
      <c r="S1216" s="177">
        <f>Q1216+IF(AND(offer_incoterms="DDP",seller_region="RU"),R1216,0)</f>
        <v/>
      </c>
      <c r="T1216" s="45" t="n"/>
      <c r="V1216" s="57">
        <f>IF(Q1216&gt;0,"показать","скрыть")</f>
        <v/>
      </c>
    </row>
    <row r="1217" ht="15.75" customHeight="1">
      <c r="B1217" s="809" t="n">
        <v>1201</v>
      </c>
      <c r="C1217" s="182">
        <f>IF(offer_sale_type="транзит",IFERROR(VLOOKUP($B1217,calc_data,C$14+1,0),0),0)</f>
        <v/>
      </c>
      <c r="D1217" s="280">
        <f>IF(offer_sale_type="транзит",IFERROR(VLOOKUP($B1217,calc_data,D$14+1,0),0),0)</f>
        <v/>
      </c>
      <c r="E1217" s="182">
        <f>IF(offer_sale_type="транзит",IFERROR(VLOOKUP($B1217,calc_data,E$14+1,0),0),0)</f>
        <v/>
      </c>
      <c r="F1217" s="182">
        <f>IF(offer_sale_type="транзит",IFERROR(VLOOKUP($B1217,calc_data,F$14+1,0),0),0)</f>
        <v/>
      </c>
      <c r="G1217" s="141">
        <f>IF(offer_sale_type="транзит",IFERROR(VLOOKUP($B1217,calc_data,G$14+1,0),0),0)</f>
        <v/>
      </c>
      <c r="H1217" s="141">
        <f>E1217*G1217</f>
        <v/>
      </c>
      <c r="I1217" s="141">
        <f>IF(offer_sale_type="транзит",IFERROR(ROUND(VLOOKUP($B1217,calc_data,I$14+1,0),2),0),0)</f>
        <v/>
      </c>
      <c r="J1217" s="141">
        <f>ROUND(IF(offer_sale_type="транзит",IFERROR(VLOOKUP($B1217,calc_data,J$14+1,0),0),0),2)</f>
        <v/>
      </c>
      <c r="K1217" s="142">
        <f>IF(offer_sale_type="транзит",IFERROR(ROUNDUP(VLOOKUP($B1217,calc_data,K$14+1,0),2),0),0)</f>
        <v/>
      </c>
      <c r="L1217" s="184">
        <f>IF(offer_sale_type="транзит",IFERROR(ROUNDUP(VLOOKUP($B1217,calc_data,L$14+1,0),2),0),0)</f>
        <v/>
      </c>
      <c r="M1217" s="141">
        <f>IF(offer_sale_type="транзит",IFERROR(ROUNDUP(VLOOKUP($B1217,calc_data,M$14+1,0),2),0),0)</f>
        <v/>
      </c>
      <c r="N1217" s="141">
        <f>IF(offer_sale_type="транзит",IFERROR(ROUNDUP(VLOOKUP($B1217,calc_data,N$14+1,0),2),0),0)</f>
        <v/>
      </c>
      <c r="O1217" s="147">
        <f>IF(offer_sale_type="транзит",IFERROR(ROUND(VLOOKUP($B1217,calc_data,O$14+1,1),2),0),0)</f>
        <v/>
      </c>
      <c r="P1217" s="141">
        <f>IF(offer_sale_type="транзит",IFERROR(ROUND(SUM(I1217:J1217,M1217:O1217)/E1217,2),0),0)</f>
        <v/>
      </c>
      <c r="Q1217" s="141">
        <f>E1217*P1217</f>
        <v/>
      </c>
      <c r="R1217" s="141">
        <f>ROUND(Q1217*IF(AND(offer_incoterms="DDP",seller_region="RU"),IF((TODAY()+offer_turnaround_time)&gt;=helpsheet!$L$17,rate_vatRU_from_26,rate_vatRu_till_25),0),2)</f>
        <v/>
      </c>
      <c r="S1217" s="177">
        <f>Q1217+IF(AND(offer_incoterms="DDP",seller_region="RU"),R1217,0)</f>
        <v/>
      </c>
      <c r="T1217" s="45" t="n"/>
      <c r="V1217" s="57">
        <f>IF(Q1217&gt;0,"показать","скрыть")</f>
        <v/>
      </c>
    </row>
    <row r="1218" ht="15.75" customHeight="1">
      <c r="B1218" s="809" t="n">
        <v>1202</v>
      </c>
      <c r="C1218" s="182">
        <f>IF(offer_sale_type="транзит",IFERROR(VLOOKUP($B1218,calc_data,C$14+1,0),0),0)</f>
        <v/>
      </c>
      <c r="D1218" s="280">
        <f>IF(offer_sale_type="транзит",IFERROR(VLOOKUP($B1218,calc_data,D$14+1,0),0),0)</f>
        <v/>
      </c>
      <c r="E1218" s="182">
        <f>IF(offer_sale_type="транзит",IFERROR(VLOOKUP($B1218,calc_data,E$14+1,0),0),0)</f>
        <v/>
      </c>
      <c r="F1218" s="182">
        <f>IF(offer_sale_type="транзит",IFERROR(VLOOKUP($B1218,calc_data,F$14+1,0),0),0)</f>
        <v/>
      </c>
      <c r="G1218" s="141">
        <f>IF(offer_sale_type="транзит",IFERROR(VLOOKUP($B1218,calc_data,G$14+1,0),0),0)</f>
        <v/>
      </c>
      <c r="H1218" s="141">
        <f>E1218*G1218</f>
        <v/>
      </c>
      <c r="I1218" s="141">
        <f>IF(offer_sale_type="транзит",IFERROR(ROUND(VLOOKUP($B1218,calc_data,I$14+1,0),2),0),0)</f>
        <v/>
      </c>
      <c r="J1218" s="141">
        <f>ROUND(IF(offer_sale_type="транзит",IFERROR(VLOOKUP($B1218,calc_data,J$14+1,0),0),0),2)</f>
        <v/>
      </c>
      <c r="K1218" s="142">
        <f>IF(offer_sale_type="транзит",IFERROR(ROUNDUP(VLOOKUP($B1218,calc_data,K$14+1,0),2),0),0)</f>
        <v/>
      </c>
      <c r="L1218" s="184">
        <f>IF(offer_sale_type="транзит",IFERROR(ROUNDUP(VLOOKUP($B1218,calc_data,L$14+1,0),2),0),0)</f>
        <v/>
      </c>
      <c r="M1218" s="141">
        <f>IF(offer_sale_type="транзит",IFERROR(ROUNDUP(VLOOKUP($B1218,calc_data,M$14+1,0),2),0),0)</f>
        <v/>
      </c>
      <c r="N1218" s="141">
        <f>IF(offer_sale_type="транзит",IFERROR(ROUNDUP(VLOOKUP($B1218,calc_data,N$14+1,0),2),0),0)</f>
        <v/>
      </c>
      <c r="O1218" s="147">
        <f>IF(offer_sale_type="транзит",IFERROR(ROUND(VLOOKUP($B1218,calc_data,O$14+1,1),2),0),0)</f>
        <v/>
      </c>
      <c r="P1218" s="141">
        <f>IF(offer_sale_type="транзит",IFERROR(ROUND(SUM(I1218:J1218,M1218:O1218)/E1218,2),0),0)</f>
        <v/>
      </c>
      <c r="Q1218" s="141">
        <f>E1218*P1218</f>
        <v/>
      </c>
      <c r="R1218" s="141">
        <f>ROUND(Q1218*IF(AND(offer_incoterms="DDP",seller_region="RU"),IF((TODAY()+offer_turnaround_time)&gt;=helpsheet!$L$17,rate_vatRU_from_26,rate_vatRu_till_25),0),2)</f>
        <v/>
      </c>
      <c r="S1218" s="177">
        <f>Q1218+IF(AND(offer_incoterms="DDP",seller_region="RU"),R1218,0)</f>
        <v/>
      </c>
      <c r="T1218" s="45" t="n"/>
      <c r="V1218" s="57">
        <f>IF(Q1218&gt;0,"показать","скрыть")</f>
        <v/>
      </c>
    </row>
    <row r="1219" ht="15.75" customHeight="1">
      <c r="B1219" s="809" t="n">
        <v>1203</v>
      </c>
      <c r="C1219" s="182">
        <f>IF(offer_sale_type="транзит",IFERROR(VLOOKUP($B1219,calc_data,C$14+1,0),0),0)</f>
        <v/>
      </c>
      <c r="D1219" s="280">
        <f>IF(offer_sale_type="транзит",IFERROR(VLOOKUP($B1219,calc_data,D$14+1,0),0),0)</f>
        <v/>
      </c>
      <c r="E1219" s="182">
        <f>IF(offer_sale_type="транзит",IFERROR(VLOOKUP($B1219,calc_data,E$14+1,0),0),0)</f>
        <v/>
      </c>
      <c r="F1219" s="182">
        <f>IF(offer_sale_type="транзит",IFERROR(VLOOKUP($B1219,calc_data,F$14+1,0),0),0)</f>
        <v/>
      </c>
      <c r="G1219" s="141">
        <f>IF(offer_sale_type="транзит",IFERROR(VLOOKUP($B1219,calc_data,G$14+1,0),0),0)</f>
        <v/>
      </c>
      <c r="H1219" s="141">
        <f>E1219*G1219</f>
        <v/>
      </c>
      <c r="I1219" s="141">
        <f>IF(offer_sale_type="транзит",IFERROR(ROUND(VLOOKUP($B1219,calc_data,I$14+1,0),2),0),0)</f>
        <v/>
      </c>
      <c r="J1219" s="141">
        <f>ROUND(IF(offer_sale_type="транзит",IFERROR(VLOOKUP($B1219,calc_data,J$14+1,0),0),0),2)</f>
        <v/>
      </c>
      <c r="K1219" s="142">
        <f>IF(offer_sale_type="транзит",IFERROR(ROUNDUP(VLOOKUP($B1219,calc_data,K$14+1,0),2),0),0)</f>
        <v/>
      </c>
      <c r="L1219" s="184">
        <f>IF(offer_sale_type="транзит",IFERROR(ROUNDUP(VLOOKUP($B1219,calc_data,L$14+1,0),2),0),0)</f>
        <v/>
      </c>
      <c r="M1219" s="141">
        <f>IF(offer_sale_type="транзит",IFERROR(ROUNDUP(VLOOKUP($B1219,calc_data,M$14+1,0),2),0),0)</f>
        <v/>
      </c>
      <c r="N1219" s="141">
        <f>IF(offer_sale_type="транзит",IFERROR(ROUNDUP(VLOOKUP($B1219,calc_data,N$14+1,0),2),0),0)</f>
        <v/>
      </c>
      <c r="O1219" s="147">
        <f>IF(offer_sale_type="транзит",IFERROR(ROUND(VLOOKUP($B1219,calc_data,O$14+1,1),2),0),0)</f>
        <v/>
      </c>
      <c r="P1219" s="141">
        <f>IF(offer_sale_type="транзит",IFERROR(ROUND(SUM(I1219:J1219,M1219:O1219)/E1219,2),0),0)</f>
        <v/>
      </c>
      <c r="Q1219" s="141">
        <f>E1219*P1219</f>
        <v/>
      </c>
      <c r="R1219" s="141">
        <f>ROUND(Q1219*IF(AND(offer_incoterms="DDP",seller_region="RU"),IF((TODAY()+offer_turnaround_time)&gt;=helpsheet!$L$17,rate_vatRU_from_26,rate_vatRu_till_25),0),2)</f>
        <v/>
      </c>
      <c r="S1219" s="177">
        <f>Q1219+IF(AND(offer_incoterms="DDP",seller_region="RU"),R1219,0)</f>
        <v/>
      </c>
      <c r="T1219" s="45" t="n"/>
      <c r="V1219" s="57">
        <f>IF(Q1219&gt;0,"показать","скрыть")</f>
        <v/>
      </c>
    </row>
    <row r="1220" ht="15.75" customHeight="1">
      <c r="B1220" s="809" t="n">
        <v>1204</v>
      </c>
      <c r="C1220" s="182">
        <f>IF(offer_sale_type="транзит",IFERROR(VLOOKUP($B1220,calc_data,C$14+1,0),0),0)</f>
        <v/>
      </c>
      <c r="D1220" s="280">
        <f>IF(offer_sale_type="транзит",IFERROR(VLOOKUP($B1220,calc_data,D$14+1,0),0),0)</f>
        <v/>
      </c>
      <c r="E1220" s="182">
        <f>IF(offer_sale_type="транзит",IFERROR(VLOOKUP($B1220,calc_data,E$14+1,0),0),0)</f>
        <v/>
      </c>
      <c r="F1220" s="182">
        <f>IF(offer_sale_type="транзит",IFERROR(VLOOKUP($B1220,calc_data,F$14+1,0),0),0)</f>
        <v/>
      </c>
      <c r="G1220" s="141">
        <f>IF(offer_sale_type="транзит",IFERROR(VLOOKUP($B1220,calc_data,G$14+1,0),0),0)</f>
        <v/>
      </c>
      <c r="H1220" s="141">
        <f>E1220*G1220</f>
        <v/>
      </c>
      <c r="I1220" s="141">
        <f>IF(offer_sale_type="транзит",IFERROR(ROUND(VLOOKUP($B1220,calc_data,I$14+1,0),2),0),0)</f>
        <v/>
      </c>
      <c r="J1220" s="141">
        <f>ROUND(IF(offer_sale_type="транзит",IFERROR(VLOOKUP($B1220,calc_data,J$14+1,0),0),0),2)</f>
        <v/>
      </c>
      <c r="K1220" s="142">
        <f>IF(offer_sale_type="транзит",IFERROR(ROUNDUP(VLOOKUP($B1220,calc_data,K$14+1,0),2),0),0)</f>
        <v/>
      </c>
      <c r="L1220" s="184">
        <f>IF(offer_sale_type="транзит",IFERROR(ROUNDUP(VLOOKUP($B1220,calc_data,L$14+1,0),2),0),0)</f>
        <v/>
      </c>
      <c r="M1220" s="141">
        <f>IF(offer_sale_type="транзит",IFERROR(ROUNDUP(VLOOKUP($B1220,calc_data,M$14+1,0),2),0),0)</f>
        <v/>
      </c>
      <c r="N1220" s="141">
        <f>IF(offer_sale_type="транзит",IFERROR(ROUNDUP(VLOOKUP($B1220,calc_data,N$14+1,0),2),0),0)</f>
        <v/>
      </c>
      <c r="O1220" s="147">
        <f>IF(offer_sale_type="транзит",IFERROR(ROUND(VLOOKUP($B1220,calc_data,O$14+1,1),2),0),0)</f>
        <v/>
      </c>
      <c r="P1220" s="141">
        <f>IF(offer_sale_type="транзит",IFERROR(ROUND(SUM(I1220:J1220,M1220:O1220)/E1220,2),0),0)</f>
        <v/>
      </c>
      <c r="Q1220" s="141">
        <f>E1220*P1220</f>
        <v/>
      </c>
      <c r="R1220" s="141">
        <f>ROUND(Q1220*IF(AND(offer_incoterms="DDP",seller_region="RU"),IF((TODAY()+offer_turnaround_time)&gt;=helpsheet!$L$17,rate_vatRU_from_26,rate_vatRu_till_25),0),2)</f>
        <v/>
      </c>
      <c r="S1220" s="177">
        <f>Q1220+IF(AND(offer_incoterms="DDP",seller_region="RU"),R1220,0)</f>
        <v/>
      </c>
      <c r="T1220" s="45" t="n"/>
      <c r="V1220" s="57">
        <f>IF(Q1220&gt;0,"показать","скрыть")</f>
        <v/>
      </c>
    </row>
    <row r="1221" ht="15.75" customHeight="1">
      <c r="B1221" s="809" t="n">
        <v>1205</v>
      </c>
      <c r="C1221" s="182">
        <f>IF(offer_sale_type="транзит",IFERROR(VLOOKUP($B1221,calc_data,C$14+1,0),0),0)</f>
        <v/>
      </c>
      <c r="D1221" s="280">
        <f>IF(offer_sale_type="транзит",IFERROR(VLOOKUP($B1221,calc_data,D$14+1,0),0),0)</f>
        <v/>
      </c>
      <c r="E1221" s="182">
        <f>IF(offer_sale_type="транзит",IFERROR(VLOOKUP($B1221,calc_data,E$14+1,0),0),0)</f>
        <v/>
      </c>
      <c r="F1221" s="182">
        <f>IF(offer_sale_type="транзит",IFERROR(VLOOKUP($B1221,calc_data,F$14+1,0),0),0)</f>
        <v/>
      </c>
      <c r="G1221" s="141">
        <f>IF(offer_sale_type="транзит",IFERROR(VLOOKUP($B1221,calc_data,G$14+1,0),0),0)</f>
        <v/>
      </c>
      <c r="H1221" s="141">
        <f>E1221*G1221</f>
        <v/>
      </c>
      <c r="I1221" s="141">
        <f>IF(offer_sale_type="транзит",IFERROR(ROUND(VLOOKUP($B1221,calc_data,I$14+1,0),2),0),0)</f>
        <v/>
      </c>
      <c r="J1221" s="141">
        <f>ROUND(IF(offer_sale_type="транзит",IFERROR(VLOOKUP($B1221,calc_data,J$14+1,0),0),0),2)</f>
        <v/>
      </c>
      <c r="K1221" s="142">
        <f>IF(offer_sale_type="транзит",IFERROR(ROUNDUP(VLOOKUP($B1221,calc_data,K$14+1,0),2),0),0)</f>
        <v/>
      </c>
      <c r="L1221" s="184">
        <f>IF(offer_sale_type="транзит",IFERROR(ROUNDUP(VLOOKUP($B1221,calc_data,L$14+1,0),2),0),0)</f>
        <v/>
      </c>
      <c r="M1221" s="141">
        <f>IF(offer_sale_type="транзит",IFERROR(ROUNDUP(VLOOKUP($B1221,calc_data,M$14+1,0),2),0),0)</f>
        <v/>
      </c>
      <c r="N1221" s="141">
        <f>IF(offer_sale_type="транзит",IFERROR(ROUNDUP(VLOOKUP($B1221,calc_data,N$14+1,0),2),0),0)</f>
        <v/>
      </c>
      <c r="O1221" s="147">
        <f>IF(offer_sale_type="транзит",IFERROR(ROUND(VLOOKUP($B1221,calc_data,O$14+1,1),2),0),0)</f>
        <v/>
      </c>
      <c r="P1221" s="141">
        <f>IF(offer_sale_type="транзит",IFERROR(ROUND(SUM(I1221:J1221,M1221:O1221)/E1221,2),0),0)</f>
        <v/>
      </c>
      <c r="Q1221" s="141">
        <f>E1221*P1221</f>
        <v/>
      </c>
      <c r="R1221" s="141">
        <f>ROUND(Q1221*IF(AND(offer_incoterms="DDP",seller_region="RU"),IF((TODAY()+offer_turnaround_time)&gt;=helpsheet!$L$17,rate_vatRU_from_26,rate_vatRu_till_25),0),2)</f>
        <v/>
      </c>
      <c r="S1221" s="177">
        <f>Q1221+IF(AND(offer_incoterms="DDP",seller_region="RU"),R1221,0)</f>
        <v/>
      </c>
      <c r="T1221" s="45" t="n"/>
      <c r="V1221" s="57">
        <f>IF(Q1221&gt;0,"показать","скрыть")</f>
        <v/>
      </c>
    </row>
    <row r="1222" ht="15.75" customHeight="1">
      <c r="B1222" s="809" t="n">
        <v>1206</v>
      </c>
      <c r="C1222" s="182">
        <f>IF(offer_sale_type="транзит",IFERROR(VLOOKUP($B1222,calc_data,C$14+1,0),0),0)</f>
        <v/>
      </c>
      <c r="D1222" s="280">
        <f>IF(offer_sale_type="транзит",IFERROR(VLOOKUP($B1222,calc_data,D$14+1,0),0),0)</f>
        <v/>
      </c>
      <c r="E1222" s="182">
        <f>IF(offer_sale_type="транзит",IFERROR(VLOOKUP($B1222,calc_data,E$14+1,0),0),0)</f>
        <v/>
      </c>
      <c r="F1222" s="182">
        <f>IF(offer_sale_type="транзит",IFERROR(VLOOKUP($B1222,calc_data,F$14+1,0),0),0)</f>
        <v/>
      </c>
      <c r="G1222" s="141">
        <f>IF(offer_sale_type="транзит",IFERROR(VLOOKUP($B1222,calc_data,G$14+1,0),0),0)</f>
        <v/>
      </c>
      <c r="H1222" s="141">
        <f>E1222*G1222</f>
        <v/>
      </c>
      <c r="I1222" s="141">
        <f>IF(offer_sale_type="транзит",IFERROR(ROUND(VLOOKUP($B1222,calc_data,I$14+1,0),2),0),0)</f>
        <v/>
      </c>
      <c r="J1222" s="141">
        <f>ROUND(IF(offer_sale_type="транзит",IFERROR(VLOOKUP($B1222,calc_data,J$14+1,0),0),0),2)</f>
        <v/>
      </c>
      <c r="K1222" s="142">
        <f>IF(offer_sale_type="транзит",IFERROR(ROUNDUP(VLOOKUP($B1222,calc_data,K$14+1,0),2),0),0)</f>
        <v/>
      </c>
      <c r="L1222" s="184">
        <f>IF(offer_sale_type="транзит",IFERROR(ROUNDUP(VLOOKUP($B1222,calc_data,L$14+1,0),2),0),0)</f>
        <v/>
      </c>
      <c r="M1222" s="141">
        <f>IF(offer_sale_type="транзит",IFERROR(ROUNDUP(VLOOKUP($B1222,calc_data,M$14+1,0),2),0),0)</f>
        <v/>
      </c>
      <c r="N1222" s="141">
        <f>IF(offer_sale_type="транзит",IFERROR(ROUNDUP(VLOOKUP($B1222,calc_data,N$14+1,0),2),0),0)</f>
        <v/>
      </c>
      <c r="O1222" s="147">
        <f>IF(offer_sale_type="транзит",IFERROR(ROUND(VLOOKUP($B1222,calc_data,O$14+1,1),2),0),0)</f>
        <v/>
      </c>
      <c r="P1222" s="141">
        <f>IF(offer_sale_type="транзит",IFERROR(ROUND(SUM(I1222:J1222,M1222:O1222)/E1222,2),0),0)</f>
        <v/>
      </c>
      <c r="Q1222" s="141">
        <f>E1222*P1222</f>
        <v/>
      </c>
      <c r="R1222" s="141">
        <f>ROUND(Q1222*IF(AND(offer_incoterms="DDP",seller_region="RU"),IF((TODAY()+offer_turnaround_time)&gt;=helpsheet!$L$17,rate_vatRU_from_26,rate_vatRu_till_25),0),2)</f>
        <v/>
      </c>
      <c r="S1222" s="177">
        <f>Q1222+IF(AND(offer_incoterms="DDP",seller_region="RU"),R1222,0)</f>
        <v/>
      </c>
      <c r="T1222" s="45" t="n"/>
      <c r="V1222" s="57">
        <f>IF(Q1222&gt;0,"показать","скрыть")</f>
        <v/>
      </c>
    </row>
    <row r="1223" ht="15.75" customHeight="1">
      <c r="B1223" s="809" t="n">
        <v>1207</v>
      </c>
      <c r="C1223" s="182">
        <f>IF(offer_sale_type="транзит",IFERROR(VLOOKUP($B1223,calc_data,C$14+1,0),0),0)</f>
        <v/>
      </c>
      <c r="D1223" s="280">
        <f>IF(offer_sale_type="транзит",IFERROR(VLOOKUP($B1223,calc_data,D$14+1,0),0),0)</f>
        <v/>
      </c>
      <c r="E1223" s="182">
        <f>IF(offer_sale_type="транзит",IFERROR(VLOOKUP($B1223,calc_data,E$14+1,0),0),0)</f>
        <v/>
      </c>
      <c r="F1223" s="182">
        <f>IF(offer_sale_type="транзит",IFERROR(VLOOKUP($B1223,calc_data,F$14+1,0),0),0)</f>
        <v/>
      </c>
      <c r="G1223" s="141">
        <f>IF(offer_sale_type="транзит",IFERROR(VLOOKUP($B1223,calc_data,G$14+1,0),0),0)</f>
        <v/>
      </c>
      <c r="H1223" s="141">
        <f>E1223*G1223</f>
        <v/>
      </c>
      <c r="I1223" s="141">
        <f>IF(offer_sale_type="транзит",IFERROR(ROUND(VLOOKUP($B1223,calc_data,I$14+1,0),2),0),0)</f>
        <v/>
      </c>
      <c r="J1223" s="141">
        <f>ROUND(IF(offer_sale_type="транзит",IFERROR(VLOOKUP($B1223,calc_data,J$14+1,0),0),0),2)</f>
        <v/>
      </c>
      <c r="K1223" s="142">
        <f>IF(offer_sale_type="транзит",IFERROR(ROUNDUP(VLOOKUP($B1223,calc_data,K$14+1,0),2),0),0)</f>
        <v/>
      </c>
      <c r="L1223" s="184">
        <f>IF(offer_sale_type="транзит",IFERROR(ROUNDUP(VLOOKUP($B1223,calc_data,L$14+1,0),2),0),0)</f>
        <v/>
      </c>
      <c r="M1223" s="141">
        <f>IF(offer_sale_type="транзит",IFERROR(ROUNDUP(VLOOKUP($B1223,calc_data,M$14+1,0),2),0),0)</f>
        <v/>
      </c>
      <c r="N1223" s="141">
        <f>IF(offer_sale_type="транзит",IFERROR(ROUNDUP(VLOOKUP($B1223,calc_data,N$14+1,0),2),0),0)</f>
        <v/>
      </c>
      <c r="O1223" s="147">
        <f>IF(offer_sale_type="транзит",IFERROR(ROUND(VLOOKUP($B1223,calc_data,O$14+1,1),2),0),0)</f>
        <v/>
      </c>
      <c r="P1223" s="141">
        <f>IF(offer_sale_type="транзит",IFERROR(ROUND(SUM(I1223:J1223,M1223:O1223)/E1223,2),0),0)</f>
        <v/>
      </c>
      <c r="Q1223" s="141">
        <f>E1223*P1223</f>
        <v/>
      </c>
      <c r="R1223" s="141">
        <f>ROUND(Q1223*IF(AND(offer_incoterms="DDP",seller_region="RU"),IF((TODAY()+offer_turnaround_time)&gt;=helpsheet!$L$17,rate_vatRU_from_26,rate_vatRu_till_25),0),2)</f>
        <v/>
      </c>
      <c r="S1223" s="177">
        <f>Q1223+IF(AND(offer_incoterms="DDP",seller_region="RU"),R1223,0)</f>
        <v/>
      </c>
      <c r="T1223" s="45" t="n"/>
      <c r="V1223" s="57">
        <f>IF(Q1223&gt;0,"показать","скрыть")</f>
        <v/>
      </c>
    </row>
    <row r="1224" ht="15.75" customHeight="1">
      <c r="B1224" s="809" t="n">
        <v>1208</v>
      </c>
      <c r="C1224" s="182">
        <f>IF(offer_sale_type="транзит",IFERROR(VLOOKUP($B1224,calc_data,C$14+1,0),0),0)</f>
        <v/>
      </c>
      <c r="D1224" s="280">
        <f>IF(offer_sale_type="транзит",IFERROR(VLOOKUP($B1224,calc_data,D$14+1,0),0),0)</f>
        <v/>
      </c>
      <c r="E1224" s="182">
        <f>IF(offer_sale_type="транзит",IFERROR(VLOOKUP($B1224,calc_data,E$14+1,0),0),0)</f>
        <v/>
      </c>
      <c r="F1224" s="182">
        <f>IF(offer_sale_type="транзит",IFERROR(VLOOKUP($B1224,calc_data,F$14+1,0),0),0)</f>
        <v/>
      </c>
      <c r="G1224" s="141">
        <f>IF(offer_sale_type="транзит",IFERROR(VLOOKUP($B1224,calc_data,G$14+1,0),0),0)</f>
        <v/>
      </c>
      <c r="H1224" s="141">
        <f>E1224*G1224</f>
        <v/>
      </c>
      <c r="I1224" s="141">
        <f>IF(offer_sale_type="транзит",IFERROR(ROUND(VLOOKUP($B1224,calc_data,I$14+1,0),2),0),0)</f>
        <v/>
      </c>
      <c r="J1224" s="141">
        <f>ROUND(IF(offer_sale_type="транзит",IFERROR(VLOOKUP($B1224,calc_data,J$14+1,0),0),0),2)</f>
        <v/>
      </c>
      <c r="K1224" s="142">
        <f>IF(offer_sale_type="транзит",IFERROR(ROUNDUP(VLOOKUP($B1224,calc_data,K$14+1,0),2),0),0)</f>
        <v/>
      </c>
      <c r="L1224" s="184">
        <f>IF(offer_sale_type="транзит",IFERROR(ROUNDUP(VLOOKUP($B1224,calc_data,L$14+1,0),2),0),0)</f>
        <v/>
      </c>
      <c r="M1224" s="141">
        <f>IF(offer_sale_type="транзит",IFERROR(ROUNDUP(VLOOKUP($B1224,calc_data,M$14+1,0),2),0),0)</f>
        <v/>
      </c>
      <c r="N1224" s="141">
        <f>IF(offer_sale_type="транзит",IFERROR(ROUNDUP(VLOOKUP($B1224,calc_data,N$14+1,0),2),0),0)</f>
        <v/>
      </c>
      <c r="O1224" s="147">
        <f>IF(offer_sale_type="транзит",IFERROR(ROUND(VLOOKUP($B1224,calc_data,O$14+1,1),2),0),0)</f>
        <v/>
      </c>
      <c r="P1224" s="141">
        <f>IF(offer_sale_type="транзит",IFERROR(ROUND(SUM(I1224:J1224,M1224:O1224)/E1224,2),0),0)</f>
        <v/>
      </c>
      <c r="Q1224" s="141">
        <f>E1224*P1224</f>
        <v/>
      </c>
      <c r="R1224" s="141">
        <f>ROUND(Q1224*IF(AND(offer_incoterms="DDP",seller_region="RU"),IF((TODAY()+offer_turnaround_time)&gt;=helpsheet!$L$17,rate_vatRU_from_26,rate_vatRu_till_25),0),2)</f>
        <v/>
      </c>
      <c r="S1224" s="177">
        <f>Q1224+IF(AND(offer_incoterms="DDP",seller_region="RU"),R1224,0)</f>
        <v/>
      </c>
      <c r="T1224" s="45" t="n"/>
      <c r="V1224" s="57">
        <f>IF(Q1224&gt;0,"показать","скрыть")</f>
        <v/>
      </c>
    </row>
    <row r="1225" ht="15.75" customHeight="1">
      <c r="B1225" s="809" t="n">
        <v>1209</v>
      </c>
      <c r="C1225" s="182">
        <f>IF(offer_sale_type="транзит",IFERROR(VLOOKUP($B1225,calc_data,C$14+1,0),0),0)</f>
        <v/>
      </c>
      <c r="D1225" s="280">
        <f>IF(offer_sale_type="транзит",IFERROR(VLOOKUP($B1225,calc_data,D$14+1,0),0),0)</f>
        <v/>
      </c>
      <c r="E1225" s="182">
        <f>IF(offer_sale_type="транзит",IFERROR(VLOOKUP($B1225,calc_data,E$14+1,0),0),0)</f>
        <v/>
      </c>
      <c r="F1225" s="182">
        <f>IF(offer_sale_type="транзит",IFERROR(VLOOKUP($B1225,calc_data,F$14+1,0),0),0)</f>
        <v/>
      </c>
      <c r="G1225" s="141">
        <f>IF(offer_sale_type="транзит",IFERROR(VLOOKUP($B1225,calc_data,G$14+1,0),0),0)</f>
        <v/>
      </c>
      <c r="H1225" s="141">
        <f>E1225*G1225</f>
        <v/>
      </c>
      <c r="I1225" s="141">
        <f>IF(offer_sale_type="транзит",IFERROR(ROUND(VLOOKUP($B1225,calc_data,I$14+1,0),2),0),0)</f>
        <v/>
      </c>
      <c r="J1225" s="141">
        <f>ROUND(IF(offer_sale_type="транзит",IFERROR(VLOOKUP($B1225,calc_data,J$14+1,0),0),0),2)</f>
        <v/>
      </c>
      <c r="K1225" s="142">
        <f>IF(offer_sale_type="транзит",IFERROR(ROUNDUP(VLOOKUP($B1225,calc_data,K$14+1,0),2),0),0)</f>
        <v/>
      </c>
      <c r="L1225" s="184">
        <f>IF(offer_sale_type="транзит",IFERROR(ROUNDUP(VLOOKUP($B1225,calc_data,L$14+1,0),2),0),0)</f>
        <v/>
      </c>
      <c r="M1225" s="141">
        <f>IF(offer_sale_type="транзит",IFERROR(ROUNDUP(VLOOKUP($B1225,calc_data,M$14+1,0),2),0),0)</f>
        <v/>
      </c>
      <c r="N1225" s="141">
        <f>IF(offer_sale_type="транзит",IFERROR(ROUNDUP(VLOOKUP($B1225,calc_data,N$14+1,0),2),0),0)</f>
        <v/>
      </c>
      <c r="O1225" s="147">
        <f>IF(offer_sale_type="транзит",IFERROR(ROUND(VLOOKUP($B1225,calc_data,O$14+1,1),2),0),0)</f>
        <v/>
      </c>
      <c r="P1225" s="141">
        <f>IF(offer_sale_type="транзит",IFERROR(ROUND(SUM(I1225:J1225,M1225:O1225)/E1225,2),0),0)</f>
        <v/>
      </c>
      <c r="Q1225" s="141">
        <f>E1225*P1225</f>
        <v/>
      </c>
      <c r="R1225" s="141">
        <f>ROUND(Q1225*IF(AND(offer_incoterms="DDP",seller_region="RU"),IF((TODAY()+offer_turnaround_time)&gt;=helpsheet!$L$17,rate_vatRU_from_26,rate_vatRu_till_25),0),2)</f>
        <v/>
      </c>
      <c r="S1225" s="177">
        <f>Q1225+IF(AND(offer_incoterms="DDP",seller_region="RU"),R1225,0)</f>
        <v/>
      </c>
      <c r="T1225" s="45" t="n"/>
      <c r="V1225" s="57">
        <f>IF(Q1225&gt;0,"показать","скрыть")</f>
        <v/>
      </c>
    </row>
    <row r="1226" ht="15.75" customHeight="1">
      <c r="B1226" s="809" t="n">
        <v>1210</v>
      </c>
      <c r="C1226" s="182">
        <f>IF(offer_sale_type="транзит",IFERROR(VLOOKUP($B1226,calc_data,C$14+1,0),0),0)</f>
        <v/>
      </c>
      <c r="D1226" s="280">
        <f>IF(offer_sale_type="транзит",IFERROR(VLOOKUP($B1226,calc_data,D$14+1,0),0),0)</f>
        <v/>
      </c>
      <c r="E1226" s="182">
        <f>IF(offer_sale_type="транзит",IFERROR(VLOOKUP($B1226,calc_data,E$14+1,0),0),0)</f>
        <v/>
      </c>
      <c r="F1226" s="182">
        <f>IF(offer_sale_type="транзит",IFERROR(VLOOKUP($B1226,calc_data,F$14+1,0),0),0)</f>
        <v/>
      </c>
      <c r="G1226" s="141">
        <f>IF(offer_sale_type="транзит",IFERROR(VLOOKUP($B1226,calc_data,G$14+1,0),0),0)</f>
        <v/>
      </c>
      <c r="H1226" s="141">
        <f>E1226*G1226</f>
        <v/>
      </c>
      <c r="I1226" s="141">
        <f>IF(offer_sale_type="транзит",IFERROR(ROUND(VLOOKUP($B1226,calc_data,I$14+1,0),2),0),0)</f>
        <v/>
      </c>
      <c r="J1226" s="141">
        <f>ROUND(IF(offer_sale_type="транзит",IFERROR(VLOOKUP($B1226,calc_data,J$14+1,0),0),0),2)</f>
        <v/>
      </c>
      <c r="K1226" s="142">
        <f>IF(offer_sale_type="транзит",IFERROR(ROUNDUP(VLOOKUP($B1226,calc_data,K$14+1,0),2),0),0)</f>
        <v/>
      </c>
      <c r="L1226" s="184">
        <f>IF(offer_sale_type="транзит",IFERROR(ROUNDUP(VLOOKUP($B1226,calc_data,L$14+1,0),2),0),0)</f>
        <v/>
      </c>
      <c r="M1226" s="141">
        <f>IF(offer_sale_type="транзит",IFERROR(ROUNDUP(VLOOKUP($B1226,calc_data,M$14+1,0),2),0),0)</f>
        <v/>
      </c>
      <c r="N1226" s="141">
        <f>IF(offer_sale_type="транзит",IFERROR(ROUNDUP(VLOOKUP($B1226,calc_data,N$14+1,0),2),0),0)</f>
        <v/>
      </c>
      <c r="O1226" s="147">
        <f>IF(offer_sale_type="транзит",IFERROR(ROUND(VLOOKUP($B1226,calc_data,O$14+1,1),2),0),0)</f>
        <v/>
      </c>
      <c r="P1226" s="141">
        <f>IF(offer_sale_type="транзит",IFERROR(ROUND(SUM(I1226:J1226,M1226:O1226)/E1226,2),0),0)</f>
        <v/>
      </c>
      <c r="Q1226" s="141">
        <f>E1226*P1226</f>
        <v/>
      </c>
      <c r="R1226" s="141">
        <f>ROUND(Q1226*IF(AND(offer_incoterms="DDP",seller_region="RU"),IF((TODAY()+offer_turnaround_time)&gt;=helpsheet!$L$17,rate_vatRU_from_26,rate_vatRu_till_25),0),2)</f>
        <v/>
      </c>
      <c r="S1226" s="177">
        <f>Q1226+IF(AND(offer_incoterms="DDP",seller_region="RU"),R1226,0)</f>
        <v/>
      </c>
      <c r="T1226" s="45" t="n"/>
      <c r="V1226" s="57">
        <f>IF(Q1226&gt;0,"показать","скрыть")</f>
        <v/>
      </c>
    </row>
    <row r="1227" ht="15.75" customHeight="1">
      <c r="B1227" s="809" t="n">
        <v>1211</v>
      </c>
      <c r="C1227" s="182">
        <f>IF(offer_sale_type="транзит",IFERROR(VLOOKUP($B1227,calc_data,C$14+1,0),0),0)</f>
        <v/>
      </c>
      <c r="D1227" s="280">
        <f>IF(offer_sale_type="транзит",IFERROR(VLOOKUP($B1227,calc_data,D$14+1,0),0),0)</f>
        <v/>
      </c>
      <c r="E1227" s="182">
        <f>IF(offer_sale_type="транзит",IFERROR(VLOOKUP($B1227,calc_data,E$14+1,0),0),0)</f>
        <v/>
      </c>
      <c r="F1227" s="182">
        <f>IF(offer_sale_type="транзит",IFERROR(VLOOKUP($B1227,calc_data,F$14+1,0),0),0)</f>
        <v/>
      </c>
      <c r="G1227" s="141">
        <f>IF(offer_sale_type="транзит",IFERROR(VLOOKUP($B1227,calc_data,G$14+1,0),0),0)</f>
        <v/>
      </c>
      <c r="H1227" s="141">
        <f>E1227*G1227</f>
        <v/>
      </c>
      <c r="I1227" s="141">
        <f>IF(offer_sale_type="транзит",IFERROR(ROUND(VLOOKUP($B1227,calc_data,I$14+1,0),2),0),0)</f>
        <v/>
      </c>
      <c r="J1227" s="141">
        <f>ROUND(IF(offer_sale_type="транзит",IFERROR(VLOOKUP($B1227,calc_data,J$14+1,0),0),0),2)</f>
        <v/>
      </c>
      <c r="K1227" s="142">
        <f>IF(offer_sale_type="транзит",IFERROR(ROUNDUP(VLOOKUP($B1227,calc_data,K$14+1,0),2),0),0)</f>
        <v/>
      </c>
      <c r="L1227" s="184">
        <f>IF(offer_sale_type="транзит",IFERROR(ROUNDUP(VLOOKUP($B1227,calc_data,L$14+1,0),2),0),0)</f>
        <v/>
      </c>
      <c r="M1227" s="141">
        <f>IF(offer_sale_type="транзит",IFERROR(ROUNDUP(VLOOKUP($B1227,calc_data,M$14+1,0),2),0),0)</f>
        <v/>
      </c>
      <c r="N1227" s="141">
        <f>IF(offer_sale_type="транзит",IFERROR(ROUNDUP(VLOOKUP($B1227,calc_data,N$14+1,0),2),0),0)</f>
        <v/>
      </c>
      <c r="O1227" s="147">
        <f>IF(offer_sale_type="транзит",IFERROR(ROUND(VLOOKUP($B1227,calc_data,O$14+1,1),2),0),0)</f>
        <v/>
      </c>
      <c r="P1227" s="141">
        <f>IF(offer_sale_type="транзит",IFERROR(ROUND(SUM(I1227:J1227,M1227:O1227)/E1227,2),0),0)</f>
        <v/>
      </c>
      <c r="Q1227" s="141">
        <f>E1227*P1227</f>
        <v/>
      </c>
      <c r="R1227" s="141">
        <f>ROUND(Q1227*IF(AND(offer_incoterms="DDP",seller_region="RU"),IF((TODAY()+offer_turnaround_time)&gt;=helpsheet!$L$17,rate_vatRU_from_26,rate_vatRu_till_25),0),2)</f>
        <v/>
      </c>
      <c r="S1227" s="177">
        <f>Q1227+IF(AND(offer_incoterms="DDP",seller_region="RU"),R1227,0)</f>
        <v/>
      </c>
      <c r="T1227" s="45" t="n"/>
      <c r="V1227" s="57">
        <f>IF(Q1227&gt;0,"показать","скрыть")</f>
        <v/>
      </c>
    </row>
    <row r="1228" ht="15.75" customHeight="1">
      <c r="B1228" s="809" t="n">
        <v>1212</v>
      </c>
      <c r="C1228" s="182">
        <f>IF(offer_sale_type="транзит",IFERROR(VLOOKUP($B1228,calc_data,C$14+1,0),0),0)</f>
        <v/>
      </c>
      <c r="D1228" s="280">
        <f>IF(offer_sale_type="транзит",IFERROR(VLOOKUP($B1228,calc_data,D$14+1,0),0),0)</f>
        <v/>
      </c>
      <c r="E1228" s="182">
        <f>IF(offer_sale_type="транзит",IFERROR(VLOOKUP($B1228,calc_data,E$14+1,0),0),0)</f>
        <v/>
      </c>
      <c r="F1228" s="182">
        <f>IF(offer_sale_type="транзит",IFERROR(VLOOKUP($B1228,calc_data,F$14+1,0),0),0)</f>
        <v/>
      </c>
      <c r="G1228" s="141">
        <f>IF(offer_sale_type="транзит",IFERROR(VLOOKUP($B1228,calc_data,G$14+1,0),0),0)</f>
        <v/>
      </c>
      <c r="H1228" s="141">
        <f>E1228*G1228</f>
        <v/>
      </c>
      <c r="I1228" s="141">
        <f>IF(offer_sale_type="транзит",IFERROR(ROUND(VLOOKUP($B1228,calc_data,I$14+1,0),2),0),0)</f>
        <v/>
      </c>
      <c r="J1228" s="141">
        <f>ROUND(IF(offer_sale_type="транзит",IFERROR(VLOOKUP($B1228,calc_data,J$14+1,0),0),0),2)</f>
        <v/>
      </c>
      <c r="K1228" s="142">
        <f>IF(offer_sale_type="транзит",IFERROR(ROUNDUP(VLOOKUP($B1228,calc_data,K$14+1,0),2),0),0)</f>
        <v/>
      </c>
      <c r="L1228" s="184">
        <f>IF(offer_sale_type="транзит",IFERROR(ROUNDUP(VLOOKUP($B1228,calc_data,L$14+1,0),2),0),0)</f>
        <v/>
      </c>
      <c r="M1228" s="141">
        <f>IF(offer_sale_type="транзит",IFERROR(ROUNDUP(VLOOKUP($B1228,calc_data,M$14+1,0),2),0),0)</f>
        <v/>
      </c>
      <c r="N1228" s="141">
        <f>IF(offer_sale_type="транзит",IFERROR(ROUNDUP(VLOOKUP($B1228,calc_data,N$14+1,0),2),0),0)</f>
        <v/>
      </c>
      <c r="O1228" s="147">
        <f>IF(offer_sale_type="транзит",IFERROR(ROUND(VLOOKUP($B1228,calc_data,O$14+1,1),2),0),0)</f>
        <v/>
      </c>
      <c r="P1228" s="141">
        <f>IF(offer_sale_type="транзит",IFERROR(ROUND(SUM(I1228:J1228,M1228:O1228)/E1228,2),0),0)</f>
        <v/>
      </c>
      <c r="Q1228" s="141">
        <f>E1228*P1228</f>
        <v/>
      </c>
      <c r="R1228" s="141">
        <f>ROUND(Q1228*IF(AND(offer_incoterms="DDP",seller_region="RU"),IF((TODAY()+offer_turnaround_time)&gt;=helpsheet!$L$17,rate_vatRU_from_26,rate_vatRu_till_25),0),2)</f>
        <v/>
      </c>
      <c r="S1228" s="177">
        <f>Q1228+IF(AND(offer_incoterms="DDP",seller_region="RU"),R1228,0)</f>
        <v/>
      </c>
      <c r="T1228" s="45" t="n"/>
      <c r="V1228" s="57">
        <f>IF(Q1228&gt;0,"показать","скрыть")</f>
        <v/>
      </c>
    </row>
    <row r="1229" ht="15.75" customHeight="1">
      <c r="B1229" s="809" t="n">
        <v>1213</v>
      </c>
      <c r="C1229" s="182">
        <f>IF(offer_sale_type="транзит",IFERROR(VLOOKUP($B1229,calc_data,C$14+1,0),0),0)</f>
        <v/>
      </c>
      <c r="D1229" s="280">
        <f>IF(offer_sale_type="транзит",IFERROR(VLOOKUP($B1229,calc_data,D$14+1,0),0),0)</f>
        <v/>
      </c>
      <c r="E1229" s="182">
        <f>IF(offer_sale_type="транзит",IFERROR(VLOOKUP($B1229,calc_data,E$14+1,0),0),0)</f>
        <v/>
      </c>
      <c r="F1229" s="182">
        <f>IF(offer_sale_type="транзит",IFERROR(VLOOKUP($B1229,calc_data,F$14+1,0),0),0)</f>
        <v/>
      </c>
      <c r="G1229" s="141">
        <f>IF(offer_sale_type="транзит",IFERROR(VLOOKUP($B1229,calc_data,G$14+1,0),0),0)</f>
        <v/>
      </c>
      <c r="H1229" s="141">
        <f>E1229*G1229</f>
        <v/>
      </c>
      <c r="I1229" s="141">
        <f>IF(offer_sale_type="транзит",IFERROR(ROUND(VLOOKUP($B1229,calc_data,I$14+1,0),2),0),0)</f>
        <v/>
      </c>
      <c r="J1229" s="141">
        <f>ROUND(IF(offer_sale_type="транзит",IFERROR(VLOOKUP($B1229,calc_data,J$14+1,0),0),0),2)</f>
        <v/>
      </c>
      <c r="K1229" s="142">
        <f>IF(offer_sale_type="транзит",IFERROR(ROUNDUP(VLOOKUP($B1229,calc_data,K$14+1,0),2),0),0)</f>
        <v/>
      </c>
      <c r="L1229" s="184">
        <f>IF(offer_sale_type="транзит",IFERROR(ROUNDUP(VLOOKUP($B1229,calc_data,L$14+1,0),2),0),0)</f>
        <v/>
      </c>
      <c r="M1229" s="141">
        <f>IF(offer_sale_type="транзит",IFERROR(ROUNDUP(VLOOKUP($B1229,calc_data,M$14+1,0),2),0),0)</f>
        <v/>
      </c>
      <c r="N1229" s="141">
        <f>IF(offer_sale_type="транзит",IFERROR(ROUNDUP(VLOOKUP($B1229,calc_data,N$14+1,0),2),0),0)</f>
        <v/>
      </c>
      <c r="O1229" s="147">
        <f>IF(offer_sale_type="транзит",IFERROR(ROUND(VLOOKUP($B1229,calc_data,O$14+1,1),2),0),0)</f>
        <v/>
      </c>
      <c r="P1229" s="141">
        <f>IF(offer_sale_type="транзит",IFERROR(ROUND(SUM(I1229:J1229,M1229:O1229)/E1229,2),0),0)</f>
        <v/>
      </c>
      <c r="Q1229" s="141">
        <f>E1229*P1229</f>
        <v/>
      </c>
      <c r="R1229" s="141">
        <f>ROUND(Q1229*IF(AND(offer_incoterms="DDP",seller_region="RU"),IF((TODAY()+offer_turnaround_time)&gt;=helpsheet!$L$17,rate_vatRU_from_26,rate_vatRu_till_25),0),2)</f>
        <v/>
      </c>
      <c r="S1229" s="177">
        <f>Q1229+IF(AND(offer_incoterms="DDP",seller_region="RU"),R1229,0)</f>
        <v/>
      </c>
      <c r="T1229" s="45" t="n"/>
      <c r="V1229" s="57">
        <f>IF(Q1229&gt;0,"показать","скрыть")</f>
        <v/>
      </c>
    </row>
    <row r="1230" ht="15.75" customHeight="1">
      <c r="B1230" s="809" t="n">
        <v>1214</v>
      </c>
      <c r="C1230" s="182">
        <f>IF(offer_sale_type="транзит",IFERROR(VLOOKUP($B1230,calc_data,C$14+1,0),0),0)</f>
        <v/>
      </c>
      <c r="D1230" s="280">
        <f>IF(offer_sale_type="транзит",IFERROR(VLOOKUP($B1230,calc_data,D$14+1,0),0),0)</f>
        <v/>
      </c>
      <c r="E1230" s="182">
        <f>IF(offer_sale_type="транзит",IFERROR(VLOOKUP($B1230,calc_data,E$14+1,0),0),0)</f>
        <v/>
      </c>
      <c r="F1230" s="182">
        <f>IF(offer_sale_type="транзит",IFERROR(VLOOKUP($B1230,calc_data,F$14+1,0),0),0)</f>
        <v/>
      </c>
      <c r="G1230" s="141">
        <f>IF(offer_sale_type="транзит",IFERROR(VLOOKUP($B1230,calc_data,G$14+1,0),0),0)</f>
        <v/>
      </c>
      <c r="H1230" s="141">
        <f>E1230*G1230</f>
        <v/>
      </c>
      <c r="I1230" s="141">
        <f>IF(offer_sale_type="транзит",IFERROR(ROUND(VLOOKUP($B1230,calc_data,I$14+1,0),2),0),0)</f>
        <v/>
      </c>
      <c r="J1230" s="141">
        <f>ROUND(IF(offer_sale_type="транзит",IFERROR(VLOOKUP($B1230,calc_data,J$14+1,0),0),0),2)</f>
        <v/>
      </c>
      <c r="K1230" s="142">
        <f>IF(offer_sale_type="транзит",IFERROR(ROUNDUP(VLOOKUP($B1230,calc_data,K$14+1,0),2),0),0)</f>
        <v/>
      </c>
      <c r="L1230" s="184">
        <f>IF(offer_sale_type="транзит",IFERROR(ROUNDUP(VLOOKUP($B1230,calc_data,L$14+1,0),2),0),0)</f>
        <v/>
      </c>
      <c r="M1230" s="141">
        <f>IF(offer_sale_type="транзит",IFERROR(ROUNDUP(VLOOKUP($B1230,calc_data,M$14+1,0),2),0),0)</f>
        <v/>
      </c>
      <c r="N1230" s="141">
        <f>IF(offer_sale_type="транзит",IFERROR(ROUNDUP(VLOOKUP($B1230,calc_data,N$14+1,0),2),0),0)</f>
        <v/>
      </c>
      <c r="O1230" s="147">
        <f>IF(offer_sale_type="транзит",IFERROR(ROUND(VLOOKUP($B1230,calc_data,O$14+1,1),2),0),0)</f>
        <v/>
      </c>
      <c r="P1230" s="141">
        <f>IF(offer_sale_type="транзит",IFERROR(ROUND(SUM(I1230:J1230,M1230:O1230)/E1230,2),0),0)</f>
        <v/>
      </c>
      <c r="Q1230" s="141">
        <f>E1230*P1230</f>
        <v/>
      </c>
      <c r="R1230" s="141">
        <f>ROUND(Q1230*IF(AND(offer_incoterms="DDP",seller_region="RU"),IF((TODAY()+offer_turnaround_time)&gt;=helpsheet!$L$17,rate_vatRU_from_26,rate_vatRu_till_25),0),2)</f>
        <v/>
      </c>
      <c r="S1230" s="177">
        <f>Q1230+IF(AND(offer_incoterms="DDP",seller_region="RU"),R1230,0)</f>
        <v/>
      </c>
      <c r="T1230" s="45" t="n"/>
      <c r="V1230" s="57">
        <f>IF(Q1230&gt;0,"показать","скрыть")</f>
        <v/>
      </c>
    </row>
    <row r="1231" ht="15.75" customHeight="1">
      <c r="B1231" s="809" t="n">
        <v>1215</v>
      </c>
      <c r="C1231" s="182">
        <f>IF(offer_sale_type="транзит",IFERROR(VLOOKUP($B1231,calc_data,C$14+1,0),0),0)</f>
        <v/>
      </c>
      <c r="D1231" s="280">
        <f>IF(offer_sale_type="транзит",IFERROR(VLOOKUP($B1231,calc_data,D$14+1,0),0),0)</f>
        <v/>
      </c>
      <c r="E1231" s="182">
        <f>IF(offer_sale_type="транзит",IFERROR(VLOOKUP($B1231,calc_data,E$14+1,0),0),0)</f>
        <v/>
      </c>
      <c r="F1231" s="182">
        <f>IF(offer_sale_type="транзит",IFERROR(VLOOKUP($B1231,calc_data,F$14+1,0),0),0)</f>
        <v/>
      </c>
      <c r="G1231" s="141">
        <f>IF(offer_sale_type="транзит",IFERROR(VLOOKUP($B1231,calc_data,G$14+1,0),0),0)</f>
        <v/>
      </c>
      <c r="H1231" s="141">
        <f>E1231*G1231</f>
        <v/>
      </c>
      <c r="I1231" s="141">
        <f>IF(offer_sale_type="транзит",IFERROR(ROUND(VLOOKUP($B1231,calc_data,I$14+1,0),2),0),0)</f>
        <v/>
      </c>
      <c r="J1231" s="141">
        <f>ROUND(IF(offer_sale_type="транзит",IFERROR(VLOOKUP($B1231,calc_data,J$14+1,0),0),0),2)</f>
        <v/>
      </c>
      <c r="K1231" s="142">
        <f>IF(offer_sale_type="транзит",IFERROR(ROUNDUP(VLOOKUP($B1231,calc_data,K$14+1,0),2),0),0)</f>
        <v/>
      </c>
      <c r="L1231" s="184">
        <f>IF(offer_sale_type="транзит",IFERROR(ROUNDUP(VLOOKUP($B1231,calc_data,L$14+1,0),2),0),0)</f>
        <v/>
      </c>
      <c r="M1231" s="141">
        <f>IF(offer_sale_type="транзит",IFERROR(ROUNDUP(VLOOKUP($B1231,calc_data,M$14+1,0),2),0),0)</f>
        <v/>
      </c>
      <c r="N1231" s="141">
        <f>IF(offer_sale_type="транзит",IFERROR(ROUNDUP(VLOOKUP($B1231,calc_data,N$14+1,0),2),0),0)</f>
        <v/>
      </c>
      <c r="O1231" s="147">
        <f>IF(offer_sale_type="транзит",IFERROR(ROUND(VLOOKUP($B1231,calc_data,O$14+1,1),2),0),0)</f>
        <v/>
      </c>
      <c r="P1231" s="141">
        <f>IF(offer_sale_type="транзит",IFERROR(ROUND(SUM(I1231:J1231,M1231:O1231)/E1231,2),0),0)</f>
        <v/>
      </c>
      <c r="Q1231" s="141">
        <f>E1231*P1231</f>
        <v/>
      </c>
      <c r="R1231" s="141">
        <f>ROUND(Q1231*IF(AND(offer_incoterms="DDP",seller_region="RU"),IF((TODAY()+offer_turnaround_time)&gt;=helpsheet!$L$17,rate_vatRU_from_26,rate_vatRu_till_25),0),2)</f>
        <v/>
      </c>
      <c r="S1231" s="177">
        <f>Q1231+IF(AND(offer_incoterms="DDP",seller_region="RU"),R1231,0)</f>
        <v/>
      </c>
      <c r="T1231" s="45" t="n"/>
      <c r="V1231" s="57">
        <f>IF(Q1231&gt;0,"показать","скрыть")</f>
        <v/>
      </c>
    </row>
    <row r="1232" ht="15.75" customHeight="1">
      <c r="B1232" s="809" t="n">
        <v>1216</v>
      </c>
      <c r="C1232" s="182">
        <f>IF(offer_sale_type="транзит",IFERROR(VLOOKUP($B1232,calc_data,C$14+1,0),0),0)</f>
        <v/>
      </c>
      <c r="D1232" s="280">
        <f>IF(offer_sale_type="транзит",IFERROR(VLOOKUP($B1232,calc_data,D$14+1,0),0),0)</f>
        <v/>
      </c>
      <c r="E1232" s="182">
        <f>IF(offer_sale_type="транзит",IFERROR(VLOOKUP($B1232,calc_data,E$14+1,0),0),0)</f>
        <v/>
      </c>
      <c r="F1232" s="182">
        <f>IF(offer_sale_type="транзит",IFERROR(VLOOKUP($B1232,calc_data,F$14+1,0),0),0)</f>
        <v/>
      </c>
      <c r="G1232" s="141">
        <f>IF(offer_sale_type="транзит",IFERROR(VLOOKUP($B1232,calc_data,G$14+1,0),0),0)</f>
        <v/>
      </c>
      <c r="H1232" s="141">
        <f>E1232*G1232</f>
        <v/>
      </c>
      <c r="I1232" s="141">
        <f>IF(offer_sale_type="транзит",IFERROR(ROUND(VLOOKUP($B1232,calc_data,I$14+1,0),2),0),0)</f>
        <v/>
      </c>
      <c r="J1232" s="141">
        <f>ROUND(IF(offer_sale_type="транзит",IFERROR(VLOOKUP($B1232,calc_data,J$14+1,0),0),0),2)</f>
        <v/>
      </c>
      <c r="K1232" s="142">
        <f>IF(offer_sale_type="транзит",IFERROR(ROUNDUP(VLOOKUP($B1232,calc_data,K$14+1,0),2),0),0)</f>
        <v/>
      </c>
      <c r="L1232" s="184">
        <f>IF(offer_sale_type="транзит",IFERROR(ROUNDUP(VLOOKUP($B1232,calc_data,L$14+1,0),2),0),0)</f>
        <v/>
      </c>
      <c r="M1232" s="141">
        <f>IF(offer_sale_type="транзит",IFERROR(ROUNDUP(VLOOKUP($B1232,calc_data,M$14+1,0),2),0),0)</f>
        <v/>
      </c>
      <c r="N1232" s="141">
        <f>IF(offer_sale_type="транзит",IFERROR(ROUNDUP(VLOOKUP($B1232,calc_data,N$14+1,0),2),0),0)</f>
        <v/>
      </c>
      <c r="O1232" s="147">
        <f>IF(offer_sale_type="транзит",IFERROR(ROUND(VLOOKUP($B1232,calc_data,O$14+1,1),2),0),0)</f>
        <v/>
      </c>
      <c r="P1232" s="141">
        <f>IF(offer_sale_type="транзит",IFERROR(ROUND(SUM(I1232:J1232,M1232:O1232)/E1232,2),0),0)</f>
        <v/>
      </c>
      <c r="Q1232" s="141">
        <f>E1232*P1232</f>
        <v/>
      </c>
      <c r="R1232" s="141">
        <f>ROUND(Q1232*IF(AND(offer_incoterms="DDP",seller_region="RU"),IF((TODAY()+offer_turnaround_time)&gt;=helpsheet!$L$17,rate_vatRU_from_26,rate_vatRu_till_25),0),2)</f>
        <v/>
      </c>
      <c r="S1232" s="177">
        <f>Q1232+IF(AND(offer_incoterms="DDP",seller_region="RU"),R1232,0)</f>
        <v/>
      </c>
      <c r="T1232" s="45" t="n"/>
      <c r="V1232" s="57">
        <f>IF(Q1232&gt;0,"показать","скрыть")</f>
        <v/>
      </c>
    </row>
    <row r="1233" ht="15.75" customHeight="1">
      <c r="B1233" s="809" t="n">
        <v>1217</v>
      </c>
      <c r="C1233" s="182">
        <f>IF(offer_sale_type="транзит",IFERROR(VLOOKUP($B1233,calc_data,C$14+1,0),0),0)</f>
        <v/>
      </c>
      <c r="D1233" s="280">
        <f>IF(offer_sale_type="транзит",IFERROR(VLOOKUP($B1233,calc_data,D$14+1,0),0),0)</f>
        <v/>
      </c>
      <c r="E1233" s="182">
        <f>IF(offer_sale_type="транзит",IFERROR(VLOOKUP($B1233,calc_data,E$14+1,0),0),0)</f>
        <v/>
      </c>
      <c r="F1233" s="182">
        <f>IF(offer_sale_type="транзит",IFERROR(VLOOKUP($B1233,calc_data,F$14+1,0),0),0)</f>
        <v/>
      </c>
      <c r="G1233" s="141">
        <f>IF(offer_sale_type="транзит",IFERROR(VLOOKUP($B1233,calc_data,G$14+1,0),0),0)</f>
        <v/>
      </c>
      <c r="H1233" s="141">
        <f>E1233*G1233</f>
        <v/>
      </c>
      <c r="I1233" s="141">
        <f>IF(offer_sale_type="транзит",IFERROR(ROUND(VLOOKUP($B1233,calc_data,I$14+1,0),2),0),0)</f>
        <v/>
      </c>
      <c r="J1233" s="141">
        <f>ROUND(IF(offer_sale_type="транзит",IFERROR(VLOOKUP($B1233,calc_data,J$14+1,0),0),0),2)</f>
        <v/>
      </c>
      <c r="K1233" s="142">
        <f>IF(offer_sale_type="транзит",IFERROR(ROUNDUP(VLOOKUP($B1233,calc_data,K$14+1,0),2),0),0)</f>
        <v/>
      </c>
      <c r="L1233" s="184">
        <f>IF(offer_sale_type="транзит",IFERROR(ROUNDUP(VLOOKUP($B1233,calc_data,L$14+1,0),2),0),0)</f>
        <v/>
      </c>
      <c r="M1233" s="141">
        <f>IF(offer_sale_type="транзит",IFERROR(ROUNDUP(VLOOKUP($B1233,calc_data,M$14+1,0),2),0),0)</f>
        <v/>
      </c>
      <c r="N1233" s="141">
        <f>IF(offer_sale_type="транзит",IFERROR(ROUNDUP(VLOOKUP($B1233,calc_data,N$14+1,0),2),0),0)</f>
        <v/>
      </c>
      <c r="O1233" s="147">
        <f>IF(offer_sale_type="транзит",IFERROR(ROUND(VLOOKUP($B1233,calc_data,O$14+1,1),2),0),0)</f>
        <v/>
      </c>
      <c r="P1233" s="141">
        <f>IF(offer_sale_type="транзит",IFERROR(ROUND(SUM(I1233:J1233,M1233:O1233)/E1233,2),0),0)</f>
        <v/>
      </c>
      <c r="Q1233" s="141">
        <f>E1233*P1233</f>
        <v/>
      </c>
      <c r="R1233" s="141">
        <f>ROUND(Q1233*IF(AND(offer_incoterms="DDP",seller_region="RU"),IF((TODAY()+offer_turnaround_time)&gt;=helpsheet!$L$17,rate_vatRU_from_26,rate_vatRu_till_25),0),2)</f>
        <v/>
      </c>
      <c r="S1233" s="177">
        <f>Q1233+IF(AND(offer_incoterms="DDP",seller_region="RU"),R1233,0)</f>
        <v/>
      </c>
      <c r="T1233" s="45" t="n"/>
      <c r="V1233" s="57">
        <f>IF(Q1233&gt;0,"показать","скрыть")</f>
        <v/>
      </c>
    </row>
    <row r="1234" ht="15.75" customHeight="1">
      <c r="B1234" s="809" t="n">
        <v>1218</v>
      </c>
      <c r="C1234" s="182">
        <f>IF(offer_sale_type="транзит",IFERROR(VLOOKUP($B1234,calc_data,C$14+1,0),0),0)</f>
        <v/>
      </c>
      <c r="D1234" s="280">
        <f>IF(offer_sale_type="транзит",IFERROR(VLOOKUP($B1234,calc_data,D$14+1,0),0),0)</f>
        <v/>
      </c>
      <c r="E1234" s="182">
        <f>IF(offer_sale_type="транзит",IFERROR(VLOOKUP($B1234,calc_data,E$14+1,0),0),0)</f>
        <v/>
      </c>
      <c r="F1234" s="182">
        <f>IF(offer_sale_type="транзит",IFERROR(VLOOKUP($B1234,calc_data,F$14+1,0),0),0)</f>
        <v/>
      </c>
      <c r="G1234" s="141">
        <f>IF(offer_sale_type="транзит",IFERROR(VLOOKUP($B1234,calc_data,G$14+1,0),0),0)</f>
        <v/>
      </c>
      <c r="H1234" s="141">
        <f>E1234*G1234</f>
        <v/>
      </c>
      <c r="I1234" s="141">
        <f>IF(offer_sale_type="транзит",IFERROR(ROUND(VLOOKUP($B1234,calc_data,I$14+1,0),2),0),0)</f>
        <v/>
      </c>
      <c r="J1234" s="141">
        <f>ROUND(IF(offer_sale_type="транзит",IFERROR(VLOOKUP($B1234,calc_data,J$14+1,0),0),0),2)</f>
        <v/>
      </c>
      <c r="K1234" s="142">
        <f>IF(offer_sale_type="транзит",IFERROR(ROUNDUP(VLOOKUP($B1234,calc_data,K$14+1,0),2),0),0)</f>
        <v/>
      </c>
      <c r="L1234" s="184">
        <f>IF(offer_sale_type="транзит",IFERROR(ROUNDUP(VLOOKUP($B1234,calc_data,L$14+1,0),2),0),0)</f>
        <v/>
      </c>
      <c r="M1234" s="141">
        <f>IF(offer_sale_type="транзит",IFERROR(ROUNDUP(VLOOKUP($B1234,calc_data,M$14+1,0),2),0),0)</f>
        <v/>
      </c>
      <c r="N1234" s="141">
        <f>IF(offer_sale_type="транзит",IFERROR(ROUNDUP(VLOOKUP($B1234,calc_data,N$14+1,0),2),0),0)</f>
        <v/>
      </c>
      <c r="O1234" s="147">
        <f>IF(offer_sale_type="транзит",IFERROR(ROUND(VLOOKUP($B1234,calc_data,O$14+1,1),2),0),0)</f>
        <v/>
      </c>
      <c r="P1234" s="141">
        <f>IF(offer_sale_type="транзит",IFERROR(ROUND(SUM(I1234:J1234,M1234:O1234)/E1234,2),0),0)</f>
        <v/>
      </c>
      <c r="Q1234" s="141">
        <f>E1234*P1234</f>
        <v/>
      </c>
      <c r="R1234" s="141">
        <f>ROUND(Q1234*IF(AND(offer_incoterms="DDP",seller_region="RU"),IF((TODAY()+offer_turnaround_time)&gt;=helpsheet!$L$17,rate_vatRU_from_26,rate_vatRu_till_25),0),2)</f>
        <v/>
      </c>
      <c r="S1234" s="177">
        <f>Q1234+IF(AND(offer_incoterms="DDP",seller_region="RU"),R1234,0)</f>
        <v/>
      </c>
      <c r="T1234" s="45" t="n"/>
      <c r="V1234" s="57">
        <f>IF(Q1234&gt;0,"показать","скрыть")</f>
        <v/>
      </c>
    </row>
    <row r="1235" ht="15.75" customHeight="1">
      <c r="B1235" s="809" t="n">
        <v>1219</v>
      </c>
      <c r="C1235" s="182">
        <f>IF(offer_sale_type="транзит",IFERROR(VLOOKUP($B1235,calc_data,C$14+1,0),0),0)</f>
        <v/>
      </c>
      <c r="D1235" s="280">
        <f>IF(offer_sale_type="транзит",IFERROR(VLOOKUP($B1235,calc_data,D$14+1,0),0),0)</f>
        <v/>
      </c>
      <c r="E1235" s="182">
        <f>IF(offer_sale_type="транзит",IFERROR(VLOOKUP($B1235,calc_data,E$14+1,0),0),0)</f>
        <v/>
      </c>
      <c r="F1235" s="182">
        <f>IF(offer_sale_type="транзит",IFERROR(VLOOKUP($B1235,calc_data,F$14+1,0),0),0)</f>
        <v/>
      </c>
      <c r="G1235" s="141">
        <f>IF(offer_sale_type="транзит",IFERROR(VLOOKUP($B1235,calc_data,G$14+1,0),0),0)</f>
        <v/>
      </c>
      <c r="H1235" s="141">
        <f>E1235*G1235</f>
        <v/>
      </c>
      <c r="I1235" s="141">
        <f>IF(offer_sale_type="транзит",IFERROR(ROUND(VLOOKUP($B1235,calc_data,I$14+1,0),2),0),0)</f>
        <v/>
      </c>
      <c r="J1235" s="141">
        <f>ROUND(IF(offer_sale_type="транзит",IFERROR(VLOOKUP($B1235,calc_data,J$14+1,0),0),0),2)</f>
        <v/>
      </c>
      <c r="K1235" s="142">
        <f>IF(offer_sale_type="транзит",IFERROR(ROUNDUP(VLOOKUP($B1235,calc_data,K$14+1,0),2),0),0)</f>
        <v/>
      </c>
      <c r="L1235" s="184">
        <f>IF(offer_sale_type="транзит",IFERROR(ROUNDUP(VLOOKUP($B1235,calc_data,L$14+1,0),2),0),0)</f>
        <v/>
      </c>
      <c r="M1235" s="141">
        <f>IF(offer_sale_type="транзит",IFERROR(ROUNDUP(VLOOKUP($B1235,calc_data,M$14+1,0),2),0),0)</f>
        <v/>
      </c>
      <c r="N1235" s="141">
        <f>IF(offer_sale_type="транзит",IFERROR(ROUNDUP(VLOOKUP($B1235,calc_data,N$14+1,0),2),0),0)</f>
        <v/>
      </c>
      <c r="O1235" s="147">
        <f>IF(offer_sale_type="транзит",IFERROR(ROUND(VLOOKUP($B1235,calc_data,O$14+1,1),2),0),0)</f>
        <v/>
      </c>
      <c r="P1235" s="141">
        <f>IF(offer_sale_type="транзит",IFERROR(ROUND(SUM(I1235:J1235,M1235:O1235)/E1235,2),0),0)</f>
        <v/>
      </c>
      <c r="Q1235" s="141">
        <f>E1235*P1235</f>
        <v/>
      </c>
      <c r="R1235" s="141">
        <f>ROUND(Q1235*IF(AND(offer_incoterms="DDP",seller_region="RU"),IF((TODAY()+offer_turnaround_time)&gt;=helpsheet!$L$17,rate_vatRU_from_26,rate_vatRu_till_25),0),2)</f>
        <v/>
      </c>
      <c r="S1235" s="177">
        <f>Q1235+IF(AND(offer_incoterms="DDP",seller_region="RU"),R1235,0)</f>
        <v/>
      </c>
      <c r="T1235" s="45" t="n"/>
      <c r="V1235" s="57">
        <f>IF(Q1235&gt;0,"показать","скрыть")</f>
        <v/>
      </c>
    </row>
    <row r="1236" ht="15.75" customHeight="1">
      <c r="B1236" s="809" t="n">
        <v>1220</v>
      </c>
      <c r="C1236" s="182">
        <f>IF(offer_sale_type="транзит",IFERROR(VLOOKUP($B1236,calc_data,C$14+1,0),0),0)</f>
        <v/>
      </c>
      <c r="D1236" s="280">
        <f>IF(offer_sale_type="транзит",IFERROR(VLOOKUP($B1236,calc_data,D$14+1,0),0),0)</f>
        <v/>
      </c>
      <c r="E1236" s="182">
        <f>IF(offer_sale_type="транзит",IFERROR(VLOOKUP($B1236,calc_data,E$14+1,0),0),0)</f>
        <v/>
      </c>
      <c r="F1236" s="182">
        <f>IF(offer_sale_type="транзит",IFERROR(VLOOKUP($B1236,calc_data,F$14+1,0),0),0)</f>
        <v/>
      </c>
      <c r="G1236" s="141">
        <f>IF(offer_sale_type="транзит",IFERROR(VLOOKUP($B1236,calc_data,G$14+1,0),0),0)</f>
        <v/>
      </c>
      <c r="H1236" s="141">
        <f>E1236*G1236</f>
        <v/>
      </c>
      <c r="I1236" s="141">
        <f>IF(offer_sale_type="транзит",IFERROR(ROUND(VLOOKUP($B1236,calc_data,I$14+1,0),2),0),0)</f>
        <v/>
      </c>
      <c r="J1236" s="141">
        <f>ROUND(IF(offer_sale_type="транзит",IFERROR(VLOOKUP($B1236,calc_data,J$14+1,0),0),0),2)</f>
        <v/>
      </c>
      <c r="K1236" s="142">
        <f>IF(offer_sale_type="транзит",IFERROR(ROUNDUP(VLOOKUP($B1236,calc_data,K$14+1,0),2),0),0)</f>
        <v/>
      </c>
      <c r="L1236" s="184">
        <f>IF(offer_sale_type="транзит",IFERROR(ROUNDUP(VLOOKUP($B1236,calc_data,L$14+1,0),2),0),0)</f>
        <v/>
      </c>
      <c r="M1236" s="141">
        <f>IF(offer_sale_type="транзит",IFERROR(ROUNDUP(VLOOKUP($B1236,calc_data,M$14+1,0),2),0),0)</f>
        <v/>
      </c>
      <c r="N1236" s="141">
        <f>IF(offer_sale_type="транзит",IFERROR(ROUNDUP(VLOOKUP($B1236,calc_data,N$14+1,0),2),0),0)</f>
        <v/>
      </c>
      <c r="O1236" s="147">
        <f>IF(offer_sale_type="транзит",IFERROR(ROUND(VLOOKUP($B1236,calc_data,O$14+1,1),2),0),0)</f>
        <v/>
      </c>
      <c r="P1236" s="141">
        <f>IF(offer_sale_type="транзит",IFERROR(ROUND(SUM(I1236:J1236,M1236:O1236)/E1236,2),0),0)</f>
        <v/>
      </c>
      <c r="Q1236" s="141">
        <f>E1236*P1236</f>
        <v/>
      </c>
      <c r="R1236" s="141">
        <f>ROUND(Q1236*IF(AND(offer_incoterms="DDP",seller_region="RU"),IF((TODAY()+offer_turnaround_time)&gt;=helpsheet!$L$17,rate_vatRU_from_26,rate_vatRu_till_25),0),2)</f>
        <v/>
      </c>
      <c r="S1236" s="177">
        <f>Q1236+IF(AND(offer_incoterms="DDP",seller_region="RU"),R1236,0)</f>
        <v/>
      </c>
      <c r="T1236" s="45" t="n"/>
      <c r="V1236" s="57">
        <f>IF(Q1236&gt;0,"показать","скрыть")</f>
        <v/>
      </c>
    </row>
    <row r="1237" ht="15.75" customHeight="1">
      <c r="B1237" s="809" t="n">
        <v>1221</v>
      </c>
      <c r="C1237" s="182">
        <f>IF(offer_sale_type="транзит",IFERROR(VLOOKUP($B1237,calc_data,C$14+1,0),0),0)</f>
        <v/>
      </c>
      <c r="D1237" s="280">
        <f>IF(offer_sale_type="транзит",IFERROR(VLOOKUP($B1237,calc_data,D$14+1,0),0),0)</f>
        <v/>
      </c>
      <c r="E1237" s="182">
        <f>IF(offer_sale_type="транзит",IFERROR(VLOOKUP($B1237,calc_data,E$14+1,0),0),0)</f>
        <v/>
      </c>
      <c r="F1237" s="182">
        <f>IF(offer_sale_type="транзит",IFERROR(VLOOKUP($B1237,calc_data,F$14+1,0),0),0)</f>
        <v/>
      </c>
      <c r="G1237" s="141">
        <f>IF(offer_sale_type="транзит",IFERROR(VLOOKUP($B1237,calc_data,G$14+1,0),0),0)</f>
        <v/>
      </c>
      <c r="H1237" s="141">
        <f>E1237*G1237</f>
        <v/>
      </c>
      <c r="I1237" s="141">
        <f>IF(offer_sale_type="транзит",IFERROR(ROUND(VLOOKUP($B1237,calc_data,I$14+1,0),2),0),0)</f>
        <v/>
      </c>
      <c r="J1237" s="141">
        <f>ROUND(IF(offer_sale_type="транзит",IFERROR(VLOOKUP($B1237,calc_data,J$14+1,0),0),0),2)</f>
        <v/>
      </c>
      <c r="K1237" s="142">
        <f>IF(offer_sale_type="транзит",IFERROR(ROUNDUP(VLOOKUP($B1237,calc_data,K$14+1,0),2),0),0)</f>
        <v/>
      </c>
      <c r="L1237" s="184">
        <f>IF(offer_sale_type="транзит",IFERROR(ROUNDUP(VLOOKUP($B1237,calc_data,L$14+1,0),2),0),0)</f>
        <v/>
      </c>
      <c r="M1237" s="141">
        <f>IF(offer_sale_type="транзит",IFERROR(ROUNDUP(VLOOKUP($B1237,calc_data,M$14+1,0),2),0),0)</f>
        <v/>
      </c>
      <c r="N1237" s="141">
        <f>IF(offer_sale_type="транзит",IFERROR(ROUNDUP(VLOOKUP($B1237,calc_data,N$14+1,0),2),0),0)</f>
        <v/>
      </c>
      <c r="O1237" s="147">
        <f>IF(offer_sale_type="транзит",IFERROR(ROUND(VLOOKUP($B1237,calc_data,O$14+1,1),2),0),0)</f>
        <v/>
      </c>
      <c r="P1237" s="141">
        <f>IF(offer_sale_type="транзит",IFERROR(ROUND(SUM(I1237:J1237,M1237:O1237)/E1237,2),0),0)</f>
        <v/>
      </c>
      <c r="Q1237" s="141">
        <f>E1237*P1237</f>
        <v/>
      </c>
      <c r="R1237" s="141">
        <f>ROUND(Q1237*IF(AND(offer_incoterms="DDP",seller_region="RU"),IF((TODAY()+offer_turnaround_time)&gt;=helpsheet!$L$17,rate_vatRU_from_26,rate_vatRu_till_25),0),2)</f>
        <v/>
      </c>
      <c r="S1237" s="177">
        <f>Q1237+IF(AND(offer_incoterms="DDP",seller_region="RU"),R1237,0)</f>
        <v/>
      </c>
      <c r="T1237" s="45" t="n"/>
      <c r="V1237" s="57">
        <f>IF(Q1237&gt;0,"показать","скрыть")</f>
        <v/>
      </c>
    </row>
    <row r="1238" ht="15.75" customHeight="1">
      <c r="B1238" s="809" t="n">
        <v>1222</v>
      </c>
      <c r="C1238" s="182">
        <f>IF(offer_sale_type="транзит",IFERROR(VLOOKUP($B1238,calc_data,C$14+1,0),0),0)</f>
        <v/>
      </c>
      <c r="D1238" s="280">
        <f>IF(offer_sale_type="транзит",IFERROR(VLOOKUP($B1238,calc_data,D$14+1,0),0),0)</f>
        <v/>
      </c>
      <c r="E1238" s="182">
        <f>IF(offer_sale_type="транзит",IFERROR(VLOOKUP($B1238,calc_data,E$14+1,0),0),0)</f>
        <v/>
      </c>
      <c r="F1238" s="182">
        <f>IF(offer_sale_type="транзит",IFERROR(VLOOKUP($B1238,calc_data,F$14+1,0),0),0)</f>
        <v/>
      </c>
      <c r="G1238" s="141">
        <f>IF(offer_sale_type="транзит",IFERROR(VLOOKUP($B1238,calc_data,G$14+1,0),0),0)</f>
        <v/>
      </c>
      <c r="H1238" s="141">
        <f>E1238*G1238</f>
        <v/>
      </c>
      <c r="I1238" s="141">
        <f>IF(offer_sale_type="транзит",IFERROR(ROUND(VLOOKUP($B1238,calc_data,I$14+1,0),2),0),0)</f>
        <v/>
      </c>
      <c r="J1238" s="141">
        <f>ROUND(IF(offer_sale_type="транзит",IFERROR(VLOOKUP($B1238,calc_data,J$14+1,0),0),0),2)</f>
        <v/>
      </c>
      <c r="K1238" s="142">
        <f>IF(offer_sale_type="транзит",IFERROR(ROUNDUP(VLOOKUP($B1238,calc_data,K$14+1,0),2),0),0)</f>
        <v/>
      </c>
      <c r="L1238" s="184">
        <f>IF(offer_sale_type="транзит",IFERROR(ROUNDUP(VLOOKUP($B1238,calc_data,L$14+1,0),2),0),0)</f>
        <v/>
      </c>
      <c r="M1238" s="141">
        <f>IF(offer_sale_type="транзит",IFERROR(ROUNDUP(VLOOKUP($B1238,calc_data,M$14+1,0),2),0),0)</f>
        <v/>
      </c>
      <c r="N1238" s="141">
        <f>IF(offer_sale_type="транзит",IFERROR(ROUNDUP(VLOOKUP($B1238,calc_data,N$14+1,0),2),0),0)</f>
        <v/>
      </c>
      <c r="O1238" s="147">
        <f>IF(offer_sale_type="транзит",IFERROR(ROUND(VLOOKUP($B1238,calc_data,O$14+1,1),2),0),0)</f>
        <v/>
      </c>
      <c r="P1238" s="141">
        <f>IF(offer_sale_type="транзит",IFERROR(ROUND(SUM(I1238:J1238,M1238:O1238)/E1238,2),0),0)</f>
        <v/>
      </c>
      <c r="Q1238" s="141">
        <f>E1238*P1238</f>
        <v/>
      </c>
      <c r="R1238" s="141">
        <f>ROUND(Q1238*IF(AND(offer_incoterms="DDP",seller_region="RU"),IF((TODAY()+offer_turnaround_time)&gt;=helpsheet!$L$17,rate_vatRU_from_26,rate_vatRu_till_25),0),2)</f>
        <v/>
      </c>
      <c r="S1238" s="177">
        <f>Q1238+IF(AND(offer_incoterms="DDP",seller_region="RU"),R1238,0)</f>
        <v/>
      </c>
      <c r="T1238" s="45" t="n"/>
      <c r="V1238" s="57">
        <f>IF(Q1238&gt;0,"показать","скрыть")</f>
        <v/>
      </c>
    </row>
    <row r="1239" ht="15.75" customHeight="1">
      <c r="B1239" s="809" t="n">
        <v>1223</v>
      </c>
      <c r="C1239" s="182">
        <f>IF(offer_sale_type="транзит",IFERROR(VLOOKUP($B1239,calc_data,C$14+1,0),0),0)</f>
        <v/>
      </c>
      <c r="D1239" s="280">
        <f>IF(offer_sale_type="транзит",IFERROR(VLOOKUP($B1239,calc_data,D$14+1,0),0),0)</f>
        <v/>
      </c>
      <c r="E1239" s="182">
        <f>IF(offer_sale_type="транзит",IFERROR(VLOOKUP($B1239,calc_data,E$14+1,0),0),0)</f>
        <v/>
      </c>
      <c r="F1239" s="182">
        <f>IF(offer_sale_type="транзит",IFERROR(VLOOKUP($B1239,calc_data,F$14+1,0),0),0)</f>
        <v/>
      </c>
      <c r="G1239" s="141">
        <f>IF(offer_sale_type="транзит",IFERROR(VLOOKUP($B1239,calc_data,G$14+1,0),0),0)</f>
        <v/>
      </c>
      <c r="H1239" s="141">
        <f>E1239*G1239</f>
        <v/>
      </c>
      <c r="I1239" s="141">
        <f>IF(offer_sale_type="транзит",IFERROR(ROUND(VLOOKUP($B1239,calc_data,I$14+1,0),2),0),0)</f>
        <v/>
      </c>
      <c r="J1239" s="141">
        <f>ROUND(IF(offer_sale_type="транзит",IFERROR(VLOOKUP($B1239,calc_data,J$14+1,0),0),0),2)</f>
        <v/>
      </c>
      <c r="K1239" s="142">
        <f>IF(offer_sale_type="транзит",IFERROR(ROUNDUP(VLOOKUP($B1239,calc_data,K$14+1,0),2),0),0)</f>
        <v/>
      </c>
      <c r="L1239" s="184">
        <f>IF(offer_sale_type="транзит",IFERROR(ROUNDUP(VLOOKUP($B1239,calc_data,L$14+1,0),2),0),0)</f>
        <v/>
      </c>
      <c r="M1239" s="141">
        <f>IF(offer_sale_type="транзит",IFERROR(ROUNDUP(VLOOKUP($B1239,calc_data,M$14+1,0),2),0),0)</f>
        <v/>
      </c>
      <c r="N1239" s="141">
        <f>IF(offer_sale_type="транзит",IFERROR(ROUNDUP(VLOOKUP($B1239,calc_data,N$14+1,0),2),0),0)</f>
        <v/>
      </c>
      <c r="O1239" s="147">
        <f>IF(offer_sale_type="транзит",IFERROR(ROUND(VLOOKUP($B1239,calc_data,O$14+1,1),2),0),0)</f>
        <v/>
      </c>
      <c r="P1239" s="141">
        <f>IF(offer_sale_type="транзит",IFERROR(ROUND(SUM(I1239:J1239,M1239:O1239)/E1239,2),0),0)</f>
        <v/>
      </c>
      <c r="Q1239" s="141">
        <f>E1239*P1239</f>
        <v/>
      </c>
      <c r="R1239" s="141">
        <f>ROUND(Q1239*IF(AND(offer_incoterms="DDP",seller_region="RU"),IF((TODAY()+offer_turnaround_time)&gt;=helpsheet!$L$17,rate_vatRU_from_26,rate_vatRu_till_25),0),2)</f>
        <v/>
      </c>
      <c r="S1239" s="177">
        <f>Q1239+IF(AND(offer_incoterms="DDP",seller_region="RU"),R1239,0)</f>
        <v/>
      </c>
      <c r="T1239" s="45" t="n"/>
      <c r="V1239" s="57">
        <f>IF(Q1239&gt;0,"показать","скрыть")</f>
        <v/>
      </c>
    </row>
    <row r="1240" ht="15.75" customHeight="1">
      <c r="B1240" s="809" t="n">
        <v>1224</v>
      </c>
      <c r="C1240" s="182">
        <f>IF(offer_sale_type="транзит",IFERROR(VLOOKUP($B1240,calc_data,C$14+1,0),0),0)</f>
        <v/>
      </c>
      <c r="D1240" s="280">
        <f>IF(offer_sale_type="транзит",IFERROR(VLOOKUP($B1240,calc_data,D$14+1,0),0),0)</f>
        <v/>
      </c>
      <c r="E1240" s="182">
        <f>IF(offer_sale_type="транзит",IFERROR(VLOOKUP($B1240,calc_data,E$14+1,0),0),0)</f>
        <v/>
      </c>
      <c r="F1240" s="182">
        <f>IF(offer_sale_type="транзит",IFERROR(VLOOKUP($B1240,calc_data,F$14+1,0),0),0)</f>
        <v/>
      </c>
      <c r="G1240" s="141">
        <f>IF(offer_sale_type="транзит",IFERROR(VLOOKUP($B1240,calc_data,G$14+1,0),0),0)</f>
        <v/>
      </c>
      <c r="H1240" s="141">
        <f>E1240*G1240</f>
        <v/>
      </c>
      <c r="I1240" s="141">
        <f>IF(offer_sale_type="транзит",IFERROR(ROUND(VLOOKUP($B1240,calc_data,I$14+1,0),2),0),0)</f>
        <v/>
      </c>
      <c r="J1240" s="141">
        <f>ROUND(IF(offer_sale_type="транзит",IFERROR(VLOOKUP($B1240,calc_data,J$14+1,0),0),0),2)</f>
        <v/>
      </c>
      <c r="K1240" s="142">
        <f>IF(offer_sale_type="транзит",IFERROR(ROUNDUP(VLOOKUP($B1240,calc_data,K$14+1,0),2),0),0)</f>
        <v/>
      </c>
      <c r="L1240" s="184">
        <f>IF(offer_sale_type="транзит",IFERROR(ROUNDUP(VLOOKUP($B1240,calc_data,L$14+1,0),2),0),0)</f>
        <v/>
      </c>
      <c r="M1240" s="141">
        <f>IF(offer_sale_type="транзит",IFERROR(ROUNDUP(VLOOKUP($B1240,calc_data,M$14+1,0),2),0),0)</f>
        <v/>
      </c>
      <c r="N1240" s="141">
        <f>IF(offer_sale_type="транзит",IFERROR(ROUNDUP(VLOOKUP($B1240,calc_data,N$14+1,0),2),0),0)</f>
        <v/>
      </c>
      <c r="O1240" s="147">
        <f>IF(offer_sale_type="транзит",IFERROR(ROUND(VLOOKUP($B1240,calc_data,O$14+1,1),2),0),0)</f>
        <v/>
      </c>
      <c r="P1240" s="141">
        <f>IF(offer_sale_type="транзит",IFERROR(ROUND(SUM(I1240:J1240,M1240:O1240)/E1240,2),0),0)</f>
        <v/>
      </c>
      <c r="Q1240" s="141">
        <f>E1240*P1240</f>
        <v/>
      </c>
      <c r="R1240" s="141">
        <f>ROUND(Q1240*IF(AND(offer_incoterms="DDP",seller_region="RU"),IF((TODAY()+offer_turnaround_time)&gt;=helpsheet!$L$17,rate_vatRU_from_26,rate_vatRu_till_25),0),2)</f>
        <v/>
      </c>
      <c r="S1240" s="177">
        <f>Q1240+IF(AND(offer_incoterms="DDP",seller_region="RU"),R1240,0)</f>
        <v/>
      </c>
      <c r="T1240" s="45" t="n"/>
      <c r="V1240" s="57">
        <f>IF(Q1240&gt;0,"показать","скрыть")</f>
        <v/>
      </c>
    </row>
    <row r="1241" ht="15.75" customHeight="1">
      <c r="B1241" s="809" t="n">
        <v>1225</v>
      </c>
      <c r="C1241" s="182">
        <f>IF(offer_sale_type="транзит",IFERROR(VLOOKUP($B1241,calc_data,C$14+1,0),0),0)</f>
        <v/>
      </c>
      <c r="D1241" s="280">
        <f>IF(offer_sale_type="транзит",IFERROR(VLOOKUP($B1241,calc_data,D$14+1,0),0),0)</f>
        <v/>
      </c>
      <c r="E1241" s="182">
        <f>IF(offer_sale_type="транзит",IFERROR(VLOOKUP($B1241,calc_data,E$14+1,0),0),0)</f>
        <v/>
      </c>
      <c r="F1241" s="182">
        <f>IF(offer_sale_type="транзит",IFERROR(VLOOKUP($B1241,calc_data,F$14+1,0),0),0)</f>
        <v/>
      </c>
      <c r="G1241" s="141">
        <f>IF(offer_sale_type="транзит",IFERROR(VLOOKUP($B1241,calc_data,G$14+1,0),0),0)</f>
        <v/>
      </c>
      <c r="H1241" s="141">
        <f>E1241*G1241</f>
        <v/>
      </c>
      <c r="I1241" s="141">
        <f>IF(offer_sale_type="транзит",IFERROR(ROUND(VLOOKUP($B1241,calc_data,I$14+1,0),2),0),0)</f>
        <v/>
      </c>
      <c r="J1241" s="141">
        <f>ROUND(IF(offer_sale_type="транзит",IFERROR(VLOOKUP($B1241,calc_data,J$14+1,0),0),0),2)</f>
        <v/>
      </c>
      <c r="K1241" s="142">
        <f>IF(offer_sale_type="транзит",IFERROR(ROUNDUP(VLOOKUP($B1241,calc_data,K$14+1,0),2),0),0)</f>
        <v/>
      </c>
      <c r="L1241" s="184">
        <f>IF(offer_sale_type="транзит",IFERROR(ROUNDUP(VLOOKUP($B1241,calc_data,L$14+1,0),2),0),0)</f>
        <v/>
      </c>
      <c r="M1241" s="141">
        <f>IF(offer_sale_type="транзит",IFERROR(ROUNDUP(VLOOKUP($B1241,calc_data,M$14+1,0),2),0),0)</f>
        <v/>
      </c>
      <c r="N1241" s="141">
        <f>IF(offer_sale_type="транзит",IFERROR(ROUNDUP(VLOOKUP($B1241,calc_data,N$14+1,0),2),0),0)</f>
        <v/>
      </c>
      <c r="O1241" s="147">
        <f>IF(offer_sale_type="транзит",IFERROR(ROUND(VLOOKUP($B1241,calc_data,O$14+1,1),2),0),0)</f>
        <v/>
      </c>
      <c r="P1241" s="141">
        <f>IF(offer_sale_type="транзит",IFERROR(ROUND(SUM(I1241:J1241,M1241:O1241)/E1241,2),0),0)</f>
        <v/>
      </c>
      <c r="Q1241" s="141">
        <f>E1241*P1241</f>
        <v/>
      </c>
      <c r="R1241" s="141">
        <f>ROUND(Q1241*IF(AND(offer_incoterms="DDP",seller_region="RU"),IF((TODAY()+offer_turnaround_time)&gt;=helpsheet!$L$17,rate_vatRU_from_26,rate_vatRu_till_25),0),2)</f>
        <v/>
      </c>
      <c r="S1241" s="177">
        <f>Q1241+IF(AND(offer_incoterms="DDP",seller_region="RU"),R1241,0)</f>
        <v/>
      </c>
      <c r="T1241" s="45" t="n"/>
      <c r="V1241" s="57">
        <f>IF(Q1241&gt;0,"показать","скрыть")</f>
        <v/>
      </c>
    </row>
    <row r="1242" ht="15.75" customHeight="1">
      <c r="B1242" s="809" t="n">
        <v>1226</v>
      </c>
      <c r="C1242" s="182">
        <f>IF(offer_sale_type="транзит",IFERROR(VLOOKUP($B1242,calc_data,C$14+1,0),0),0)</f>
        <v/>
      </c>
      <c r="D1242" s="280">
        <f>IF(offer_sale_type="транзит",IFERROR(VLOOKUP($B1242,calc_data,D$14+1,0),0),0)</f>
        <v/>
      </c>
      <c r="E1242" s="182">
        <f>IF(offer_sale_type="транзит",IFERROR(VLOOKUP($B1242,calc_data,E$14+1,0),0),0)</f>
        <v/>
      </c>
      <c r="F1242" s="182">
        <f>IF(offer_sale_type="транзит",IFERROR(VLOOKUP($B1242,calc_data,F$14+1,0),0),0)</f>
        <v/>
      </c>
      <c r="G1242" s="141">
        <f>IF(offer_sale_type="транзит",IFERROR(VLOOKUP($B1242,calc_data,G$14+1,0),0),0)</f>
        <v/>
      </c>
      <c r="H1242" s="141">
        <f>E1242*G1242</f>
        <v/>
      </c>
      <c r="I1242" s="141">
        <f>IF(offer_sale_type="транзит",IFERROR(ROUND(VLOOKUP($B1242,calc_data,I$14+1,0),2),0),0)</f>
        <v/>
      </c>
      <c r="J1242" s="141">
        <f>ROUND(IF(offer_sale_type="транзит",IFERROR(VLOOKUP($B1242,calc_data,J$14+1,0),0),0),2)</f>
        <v/>
      </c>
      <c r="K1242" s="142">
        <f>IF(offer_sale_type="транзит",IFERROR(ROUNDUP(VLOOKUP($B1242,calc_data,K$14+1,0),2),0),0)</f>
        <v/>
      </c>
      <c r="L1242" s="184">
        <f>IF(offer_sale_type="транзит",IFERROR(ROUNDUP(VLOOKUP($B1242,calc_data,L$14+1,0),2),0),0)</f>
        <v/>
      </c>
      <c r="M1242" s="141">
        <f>IF(offer_sale_type="транзит",IFERROR(ROUNDUP(VLOOKUP($B1242,calc_data,M$14+1,0),2),0),0)</f>
        <v/>
      </c>
      <c r="N1242" s="141">
        <f>IF(offer_sale_type="транзит",IFERROR(ROUNDUP(VLOOKUP($B1242,calc_data,N$14+1,0),2),0),0)</f>
        <v/>
      </c>
      <c r="O1242" s="147">
        <f>IF(offer_sale_type="транзит",IFERROR(ROUND(VLOOKUP($B1242,calc_data,O$14+1,1),2),0),0)</f>
        <v/>
      </c>
      <c r="P1242" s="141">
        <f>IF(offer_sale_type="транзит",IFERROR(ROUND(SUM(I1242:J1242,M1242:O1242)/E1242,2),0),0)</f>
        <v/>
      </c>
      <c r="Q1242" s="141">
        <f>E1242*P1242</f>
        <v/>
      </c>
      <c r="R1242" s="141">
        <f>ROUND(Q1242*IF(AND(offer_incoterms="DDP",seller_region="RU"),IF((TODAY()+offer_turnaround_time)&gt;=helpsheet!$L$17,rate_vatRU_from_26,rate_vatRu_till_25),0),2)</f>
        <v/>
      </c>
      <c r="S1242" s="177">
        <f>Q1242+IF(AND(offer_incoterms="DDP",seller_region="RU"),R1242,0)</f>
        <v/>
      </c>
      <c r="T1242" s="45" t="n"/>
      <c r="V1242" s="57">
        <f>IF(Q1242&gt;0,"показать","скрыть")</f>
        <v/>
      </c>
    </row>
    <row r="1243" ht="15.75" customHeight="1">
      <c r="B1243" s="809" t="n">
        <v>1227</v>
      </c>
      <c r="C1243" s="182">
        <f>IF(offer_sale_type="транзит",IFERROR(VLOOKUP($B1243,calc_data,C$14+1,0),0),0)</f>
        <v/>
      </c>
      <c r="D1243" s="280">
        <f>IF(offer_sale_type="транзит",IFERROR(VLOOKUP($B1243,calc_data,D$14+1,0),0),0)</f>
        <v/>
      </c>
      <c r="E1243" s="182">
        <f>IF(offer_sale_type="транзит",IFERROR(VLOOKUP($B1243,calc_data,E$14+1,0),0),0)</f>
        <v/>
      </c>
      <c r="F1243" s="182">
        <f>IF(offer_sale_type="транзит",IFERROR(VLOOKUP($B1243,calc_data,F$14+1,0),0),0)</f>
        <v/>
      </c>
      <c r="G1243" s="141">
        <f>IF(offer_sale_type="транзит",IFERROR(VLOOKUP($B1243,calc_data,G$14+1,0),0),0)</f>
        <v/>
      </c>
      <c r="H1243" s="141">
        <f>E1243*G1243</f>
        <v/>
      </c>
      <c r="I1243" s="141">
        <f>IF(offer_sale_type="транзит",IFERROR(ROUND(VLOOKUP($B1243,calc_data,I$14+1,0),2),0),0)</f>
        <v/>
      </c>
      <c r="J1243" s="141">
        <f>ROUND(IF(offer_sale_type="транзит",IFERROR(VLOOKUP($B1243,calc_data,J$14+1,0),0),0),2)</f>
        <v/>
      </c>
      <c r="K1243" s="142">
        <f>IF(offer_sale_type="транзит",IFERROR(ROUNDUP(VLOOKUP($B1243,calc_data,K$14+1,0),2),0),0)</f>
        <v/>
      </c>
      <c r="L1243" s="184">
        <f>IF(offer_sale_type="транзит",IFERROR(ROUNDUP(VLOOKUP($B1243,calc_data,L$14+1,0),2),0),0)</f>
        <v/>
      </c>
      <c r="M1243" s="141">
        <f>IF(offer_sale_type="транзит",IFERROR(ROUNDUP(VLOOKUP($B1243,calc_data,M$14+1,0),2),0),0)</f>
        <v/>
      </c>
      <c r="N1243" s="141">
        <f>IF(offer_sale_type="транзит",IFERROR(ROUNDUP(VLOOKUP($B1243,calc_data,N$14+1,0),2),0),0)</f>
        <v/>
      </c>
      <c r="O1243" s="147">
        <f>IF(offer_sale_type="транзит",IFERROR(ROUND(VLOOKUP($B1243,calc_data,O$14+1,1),2),0),0)</f>
        <v/>
      </c>
      <c r="P1243" s="141">
        <f>IF(offer_sale_type="транзит",IFERROR(ROUND(SUM(I1243:J1243,M1243:O1243)/E1243,2),0),0)</f>
        <v/>
      </c>
      <c r="Q1243" s="141">
        <f>E1243*P1243</f>
        <v/>
      </c>
      <c r="R1243" s="141">
        <f>ROUND(Q1243*IF(AND(offer_incoterms="DDP",seller_region="RU"),IF((TODAY()+offer_turnaround_time)&gt;=helpsheet!$L$17,rate_vatRU_from_26,rate_vatRu_till_25),0),2)</f>
        <v/>
      </c>
      <c r="S1243" s="177">
        <f>Q1243+IF(AND(offer_incoterms="DDP",seller_region="RU"),R1243,0)</f>
        <v/>
      </c>
      <c r="T1243" s="45" t="n"/>
      <c r="V1243" s="57">
        <f>IF(Q1243&gt;0,"показать","скрыть")</f>
        <v/>
      </c>
    </row>
    <row r="1244" ht="15.75" customHeight="1">
      <c r="B1244" s="809" t="n">
        <v>1228</v>
      </c>
      <c r="C1244" s="182">
        <f>IF(offer_sale_type="транзит",IFERROR(VLOOKUP($B1244,calc_data,C$14+1,0),0),0)</f>
        <v/>
      </c>
      <c r="D1244" s="280">
        <f>IF(offer_sale_type="транзит",IFERROR(VLOOKUP($B1244,calc_data,D$14+1,0),0),0)</f>
        <v/>
      </c>
      <c r="E1244" s="182">
        <f>IF(offer_sale_type="транзит",IFERROR(VLOOKUP($B1244,calc_data,E$14+1,0),0),0)</f>
        <v/>
      </c>
      <c r="F1244" s="182">
        <f>IF(offer_sale_type="транзит",IFERROR(VLOOKUP($B1244,calc_data,F$14+1,0),0),0)</f>
        <v/>
      </c>
      <c r="G1244" s="141">
        <f>IF(offer_sale_type="транзит",IFERROR(VLOOKUP($B1244,calc_data,G$14+1,0),0),0)</f>
        <v/>
      </c>
      <c r="H1244" s="141">
        <f>E1244*G1244</f>
        <v/>
      </c>
      <c r="I1244" s="141">
        <f>IF(offer_sale_type="транзит",IFERROR(ROUND(VLOOKUP($B1244,calc_data,I$14+1,0),2),0),0)</f>
        <v/>
      </c>
      <c r="J1244" s="141">
        <f>ROUND(IF(offer_sale_type="транзит",IFERROR(VLOOKUP($B1244,calc_data,J$14+1,0),0),0),2)</f>
        <v/>
      </c>
      <c r="K1244" s="142">
        <f>IF(offer_sale_type="транзит",IFERROR(ROUNDUP(VLOOKUP($B1244,calc_data,K$14+1,0),2),0),0)</f>
        <v/>
      </c>
      <c r="L1244" s="184">
        <f>IF(offer_sale_type="транзит",IFERROR(ROUNDUP(VLOOKUP($B1244,calc_data,L$14+1,0),2),0),0)</f>
        <v/>
      </c>
      <c r="M1244" s="141">
        <f>IF(offer_sale_type="транзит",IFERROR(ROUNDUP(VLOOKUP($B1244,calc_data,M$14+1,0),2),0),0)</f>
        <v/>
      </c>
      <c r="N1244" s="141">
        <f>IF(offer_sale_type="транзит",IFERROR(ROUNDUP(VLOOKUP($B1244,calc_data,N$14+1,0),2),0),0)</f>
        <v/>
      </c>
      <c r="O1244" s="147">
        <f>IF(offer_sale_type="транзит",IFERROR(ROUND(VLOOKUP($B1244,calc_data,O$14+1,1),2),0),0)</f>
        <v/>
      </c>
      <c r="P1244" s="141">
        <f>IF(offer_sale_type="транзит",IFERROR(ROUND(SUM(I1244:J1244,M1244:O1244)/E1244,2),0),0)</f>
        <v/>
      </c>
      <c r="Q1244" s="141">
        <f>E1244*P1244</f>
        <v/>
      </c>
      <c r="R1244" s="141">
        <f>ROUND(Q1244*IF(AND(offer_incoterms="DDP",seller_region="RU"),IF((TODAY()+offer_turnaround_time)&gt;=helpsheet!$L$17,rate_vatRU_from_26,rate_vatRu_till_25),0),2)</f>
        <v/>
      </c>
      <c r="S1244" s="177">
        <f>Q1244+IF(AND(offer_incoterms="DDP",seller_region="RU"),R1244,0)</f>
        <v/>
      </c>
      <c r="T1244" s="45" t="n"/>
      <c r="V1244" s="57">
        <f>IF(Q1244&gt;0,"показать","скрыть")</f>
        <v/>
      </c>
    </row>
    <row r="1245" ht="15.75" customHeight="1">
      <c r="B1245" s="809" t="n">
        <v>1229</v>
      </c>
      <c r="C1245" s="182">
        <f>IF(offer_sale_type="транзит",IFERROR(VLOOKUP($B1245,calc_data,C$14+1,0),0),0)</f>
        <v/>
      </c>
      <c r="D1245" s="280">
        <f>IF(offer_sale_type="транзит",IFERROR(VLOOKUP($B1245,calc_data,D$14+1,0),0),0)</f>
        <v/>
      </c>
      <c r="E1245" s="182">
        <f>IF(offer_sale_type="транзит",IFERROR(VLOOKUP($B1245,calc_data,E$14+1,0),0),0)</f>
        <v/>
      </c>
      <c r="F1245" s="182">
        <f>IF(offer_sale_type="транзит",IFERROR(VLOOKUP($B1245,calc_data,F$14+1,0),0),0)</f>
        <v/>
      </c>
      <c r="G1245" s="141">
        <f>IF(offer_sale_type="транзит",IFERROR(VLOOKUP($B1245,calc_data,G$14+1,0),0),0)</f>
        <v/>
      </c>
      <c r="H1245" s="141">
        <f>E1245*G1245</f>
        <v/>
      </c>
      <c r="I1245" s="141">
        <f>IF(offer_sale_type="транзит",IFERROR(ROUND(VLOOKUP($B1245,calc_data,I$14+1,0),2),0),0)</f>
        <v/>
      </c>
      <c r="J1245" s="141">
        <f>ROUND(IF(offer_sale_type="транзит",IFERROR(VLOOKUP($B1245,calc_data,J$14+1,0),0),0),2)</f>
        <v/>
      </c>
      <c r="K1245" s="142">
        <f>IF(offer_sale_type="транзит",IFERROR(ROUNDUP(VLOOKUP($B1245,calc_data,K$14+1,0),2),0),0)</f>
        <v/>
      </c>
      <c r="L1245" s="184">
        <f>IF(offer_sale_type="транзит",IFERROR(ROUNDUP(VLOOKUP($B1245,calc_data,L$14+1,0),2),0),0)</f>
        <v/>
      </c>
      <c r="M1245" s="141">
        <f>IF(offer_sale_type="транзит",IFERROR(ROUNDUP(VLOOKUP($B1245,calc_data,M$14+1,0),2),0),0)</f>
        <v/>
      </c>
      <c r="N1245" s="141">
        <f>IF(offer_sale_type="транзит",IFERROR(ROUNDUP(VLOOKUP($B1245,calc_data,N$14+1,0),2),0),0)</f>
        <v/>
      </c>
      <c r="O1245" s="147">
        <f>IF(offer_sale_type="транзит",IFERROR(ROUND(VLOOKUP($B1245,calc_data,O$14+1,1),2),0),0)</f>
        <v/>
      </c>
      <c r="P1245" s="141">
        <f>IF(offer_sale_type="транзит",IFERROR(ROUND(SUM(I1245:J1245,M1245:O1245)/E1245,2),0),0)</f>
        <v/>
      </c>
      <c r="Q1245" s="141">
        <f>E1245*P1245</f>
        <v/>
      </c>
      <c r="R1245" s="141">
        <f>ROUND(Q1245*IF(AND(offer_incoterms="DDP",seller_region="RU"),IF((TODAY()+offer_turnaround_time)&gt;=helpsheet!$L$17,rate_vatRU_from_26,rate_vatRu_till_25),0),2)</f>
        <v/>
      </c>
      <c r="S1245" s="177">
        <f>Q1245+IF(AND(offer_incoterms="DDP",seller_region="RU"),R1245,0)</f>
        <v/>
      </c>
      <c r="T1245" s="45" t="n"/>
      <c r="V1245" s="57">
        <f>IF(Q1245&gt;0,"показать","скрыть")</f>
        <v/>
      </c>
    </row>
    <row r="1246" ht="15.75" customHeight="1">
      <c r="B1246" s="809" t="n">
        <v>1230</v>
      </c>
      <c r="C1246" s="182">
        <f>IF(offer_sale_type="транзит",IFERROR(VLOOKUP($B1246,calc_data,C$14+1,0),0),0)</f>
        <v/>
      </c>
      <c r="D1246" s="280">
        <f>IF(offer_sale_type="транзит",IFERROR(VLOOKUP($B1246,calc_data,D$14+1,0),0),0)</f>
        <v/>
      </c>
      <c r="E1246" s="182">
        <f>IF(offer_sale_type="транзит",IFERROR(VLOOKUP($B1246,calc_data,E$14+1,0),0),0)</f>
        <v/>
      </c>
      <c r="F1246" s="182">
        <f>IF(offer_sale_type="транзит",IFERROR(VLOOKUP($B1246,calc_data,F$14+1,0),0),0)</f>
        <v/>
      </c>
      <c r="G1246" s="141">
        <f>IF(offer_sale_type="транзит",IFERROR(VLOOKUP($B1246,calc_data,G$14+1,0),0),0)</f>
        <v/>
      </c>
      <c r="H1246" s="141">
        <f>E1246*G1246</f>
        <v/>
      </c>
      <c r="I1246" s="141">
        <f>IF(offer_sale_type="транзит",IFERROR(ROUND(VLOOKUP($B1246,calc_data,I$14+1,0),2),0),0)</f>
        <v/>
      </c>
      <c r="J1246" s="141">
        <f>ROUND(IF(offer_sale_type="транзит",IFERROR(VLOOKUP($B1246,calc_data,J$14+1,0),0),0),2)</f>
        <v/>
      </c>
      <c r="K1246" s="142">
        <f>IF(offer_sale_type="транзит",IFERROR(ROUNDUP(VLOOKUP($B1246,calc_data,K$14+1,0),2),0),0)</f>
        <v/>
      </c>
      <c r="L1246" s="184">
        <f>IF(offer_sale_type="транзит",IFERROR(ROUNDUP(VLOOKUP($B1246,calc_data,L$14+1,0),2),0),0)</f>
        <v/>
      </c>
      <c r="M1246" s="141">
        <f>IF(offer_sale_type="транзит",IFERROR(ROUNDUP(VLOOKUP($B1246,calc_data,M$14+1,0),2),0),0)</f>
        <v/>
      </c>
      <c r="N1246" s="141">
        <f>IF(offer_sale_type="транзит",IFERROR(ROUNDUP(VLOOKUP($B1246,calc_data,N$14+1,0),2),0),0)</f>
        <v/>
      </c>
      <c r="O1246" s="147">
        <f>IF(offer_sale_type="транзит",IFERROR(ROUND(VLOOKUP($B1246,calc_data,O$14+1,1),2),0),0)</f>
        <v/>
      </c>
      <c r="P1246" s="141">
        <f>IF(offer_sale_type="транзит",IFERROR(ROUND(SUM(I1246:J1246,M1246:O1246)/E1246,2),0),0)</f>
        <v/>
      </c>
      <c r="Q1246" s="141">
        <f>E1246*P1246</f>
        <v/>
      </c>
      <c r="R1246" s="141">
        <f>ROUND(Q1246*IF(AND(offer_incoterms="DDP",seller_region="RU"),IF((TODAY()+offer_turnaround_time)&gt;=helpsheet!$L$17,rate_vatRU_from_26,rate_vatRu_till_25),0),2)</f>
        <v/>
      </c>
      <c r="S1246" s="177">
        <f>Q1246+IF(AND(offer_incoterms="DDP",seller_region="RU"),R1246,0)</f>
        <v/>
      </c>
      <c r="T1246" s="45" t="n"/>
      <c r="V1246" s="57">
        <f>IF(Q1246&gt;0,"показать","скрыть")</f>
        <v/>
      </c>
    </row>
    <row r="1247" ht="15.75" customHeight="1">
      <c r="B1247" s="809" t="n">
        <v>1231</v>
      </c>
      <c r="C1247" s="182">
        <f>IF(offer_sale_type="транзит",IFERROR(VLOOKUP($B1247,calc_data,C$14+1,0),0),0)</f>
        <v/>
      </c>
      <c r="D1247" s="280">
        <f>IF(offer_sale_type="транзит",IFERROR(VLOOKUP($B1247,calc_data,D$14+1,0),0),0)</f>
        <v/>
      </c>
      <c r="E1247" s="182">
        <f>IF(offer_sale_type="транзит",IFERROR(VLOOKUP($B1247,calc_data,E$14+1,0),0),0)</f>
        <v/>
      </c>
      <c r="F1247" s="182">
        <f>IF(offer_sale_type="транзит",IFERROR(VLOOKUP($B1247,calc_data,F$14+1,0),0),0)</f>
        <v/>
      </c>
      <c r="G1247" s="141">
        <f>IF(offer_sale_type="транзит",IFERROR(VLOOKUP($B1247,calc_data,G$14+1,0),0),0)</f>
        <v/>
      </c>
      <c r="H1247" s="141">
        <f>E1247*G1247</f>
        <v/>
      </c>
      <c r="I1247" s="141">
        <f>IF(offer_sale_type="транзит",IFERROR(ROUND(VLOOKUP($B1247,calc_data,I$14+1,0),2),0),0)</f>
        <v/>
      </c>
      <c r="J1247" s="141">
        <f>ROUND(IF(offer_sale_type="транзит",IFERROR(VLOOKUP($B1247,calc_data,J$14+1,0),0),0),2)</f>
        <v/>
      </c>
      <c r="K1247" s="142">
        <f>IF(offer_sale_type="транзит",IFERROR(ROUNDUP(VLOOKUP($B1247,calc_data,K$14+1,0),2),0),0)</f>
        <v/>
      </c>
      <c r="L1247" s="184">
        <f>IF(offer_sale_type="транзит",IFERROR(ROUNDUP(VLOOKUP($B1247,calc_data,L$14+1,0),2),0),0)</f>
        <v/>
      </c>
      <c r="M1247" s="141">
        <f>IF(offer_sale_type="транзит",IFERROR(ROUNDUP(VLOOKUP($B1247,calc_data,M$14+1,0),2),0),0)</f>
        <v/>
      </c>
      <c r="N1247" s="141">
        <f>IF(offer_sale_type="транзит",IFERROR(ROUNDUP(VLOOKUP($B1247,calc_data,N$14+1,0),2),0),0)</f>
        <v/>
      </c>
      <c r="O1247" s="147">
        <f>IF(offer_sale_type="транзит",IFERROR(ROUND(VLOOKUP($B1247,calc_data,O$14+1,1),2),0),0)</f>
        <v/>
      </c>
      <c r="P1247" s="141">
        <f>IF(offer_sale_type="транзит",IFERROR(ROUND(SUM(I1247:J1247,M1247:O1247)/E1247,2),0),0)</f>
        <v/>
      </c>
      <c r="Q1247" s="141">
        <f>E1247*P1247</f>
        <v/>
      </c>
      <c r="R1247" s="141">
        <f>ROUND(Q1247*IF(AND(offer_incoterms="DDP",seller_region="RU"),IF((TODAY()+offer_turnaround_time)&gt;=helpsheet!$L$17,rate_vatRU_from_26,rate_vatRu_till_25),0),2)</f>
        <v/>
      </c>
      <c r="S1247" s="177">
        <f>Q1247+IF(AND(offer_incoterms="DDP",seller_region="RU"),R1247,0)</f>
        <v/>
      </c>
      <c r="T1247" s="45" t="n"/>
      <c r="V1247" s="57">
        <f>IF(Q1247&gt;0,"показать","скрыть")</f>
        <v/>
      </c>
    </row>
    <row r="1248" ht="15.75" customHeight="1">
      <c r="B1248" s="809" t="n">
        <v>1232</v>
      </c>
      <c r="C1248" s="182">
        <f>IF(offer_sale_type="транзит",IFERROR(VLOOKUP($B1248,calc_data,C$14+1,0),0),0)</f>
        <v/>
      </c>
      <c r="D1248" s="280">
        <f>IF(offer_sale_type="транзит",IFERROR(VLOOKUP($B1248,calc_data,D$14+1,0),0),0)</f>
        <v/>
      </c>
      <c r="E1248" s="182">
        <f>IF(offer_sale_type="транзит",IFERROR(VLOOKUP($B1248,calc_data,E$14+1,0),0),0)</f>
        <v/>
      </c>
      <c r="F1248" s="182">
        <f>IF(offer_sale_type="транзит",IFERROR(VLOOKUP($B1248,calc_data,F$14+1,0),0),0)</f>
        <v/>
      </c>
      <c r="G1248" s="141">
        <f>IF(offer_sale_type="транзит",IFERROR(VLOOKUP($B1248,calc_data,G$14+1,0),0),0)</f>
        <v/>
      </c>
      <c r="H1248" s="141">
        <f>E1248*G1248</f>
        <v/>
      </c>
      <c r="I1248" s="141">
        <f>IF(offer_sale_type="транзит",IFERROR(ROUND(VLOOKUP($B1248,calc_data,I$14+1,0),2),0),0)</f>
        <v/>
      </c>
      <c r="J1248" s="141">
        <f>ROUND(IF(offer_sale_type="транзит",IFERROR(VLOOKUP($B1248,calc_data,J$14+1,0),0),0),2)</f>
        <v/>
      </c>
      <c r="K1248" s="142">
        <f>IF(offer_sale_type="транзит",IFERROR(ROUNDUP(VLOOKUP($B1248,calc_data,K$14+1,0),2),0),0)</f>
        <v/>
      </c>
      <c r="L1248" s="184">
        <f>IF(offer_sale_type="транзит",IFERROR(ROUNDUP(VLOOKUP($B1248,calc_data,L$14+1,0),2),0),0)</f>
        <v/>
      </c>
      <c r="M1248" s="141">
        <f>IF(offer_sale_type="транзит",IFERROR(ROUNDUP(VLOOKUP($B1248,calc_data,M$14+1,0),2),0),0)</f>
        <v/>
      </c>
      <c r="N1248" s="141">
        <f>IF(offer_sale_type="транзит",IFERROR(ROUNDUP(VLOOKUP($B1248,calc_data,N$14+1,0),2),0),0)</f>
        <v/>
      </c>
      <c r="O1248" s="147">
        <f>IF(offer_sale_type="транзит",IFERROR(ROUND(VLOOKUP($B1248,calc_data,O$14+1,1),2),0),0)</f>
        <v/>
      </c>
      <c r="P1248" s="141">
        <f>IF(offer_sale_type="транзит",IFERROR(ROUND(SUM(I1248:J1248,M1248:O1248)/E1248,2),0),0)</f>
        <v/>
      </c>
      <c r="Q1248" s="141">
        <f>E1248*P1248</f>
        <v/>
      </c>
      <c r="R1248" s="141">
        <f>ROUND(Q1248*IF(AND(offer_incoterms="DDP",seller_region="RU"),IF((TODAY()+offer_turnaround_time)&gt;=helpsheet!$L$17,rate_vatRU_from_26,rate_vatRu_till_25),0),2)</f>
        <v/>
      </c>
      <c r="S1248" s="177">
        <f>Q1248+IF(AND(offer_incoterms="DDP",seller_region="RU"),R1248,0)</f>
        <v/>
      </c>
      <c r="T1248" s="45" t="n"/>
      <c r="V1248" s="57">
        <f>IF(Q1248&gt;0,"показать","скрыть")</f>
        <v/>
      </c>
    </row>
    <row r="1249" ht="15.75" customHeight="1">
      <c r="B1249" s="809" t="n">
        <v>1233</v>
      </c>
      <c r="C1249" s="182">
        <f>IF(offer_sale_type="транзит",IFERROR(VLOOKUP($B1249,calc_data,C$14+1,0),0),0)</f>
        <v/>
      </c>
      <c r="D1249" s="280">
        <f>IF(offer_sale_type="транзит",IFERROR(VLOOKUP($B1249,calc_data,D$14+1,0),0),0)</f>
        <v/>
      </c>
      <c r="E1249" s="182">
        <f>IF(offer_sale_type="транзит",IFERROR(VLOOKUP($B1249,calc_data,E$14+1,0),0),0)</f>
        <v/>
      </c>
      <c r="F1249" s="182">
        <f>IF(offer_sale_type="транзит",IFERROR(VLOOKUP($B1249,calc_data,F$14+1,0),0),0)</f>
        <v/>
      </c>
      <c r="G1249" s="141">
        <f>IF(offer_sale_type="транзит",IFERROR(VLOOKUP($B1249,calc_data,G$14+1,0),0),0)</f>
        <v/>
      </c>
      <c r="H1249" s="141">
        <f>E1249*G1249</f>
        <v/>
      </c>
      <c r="I1249" s="141">
        <f>IF(offer_sale_type="транзит",IFERROR(ROUND(VLOOKUP($B1249,calc_data,I$14+1,0),2),0),0)</f>
        <v/>
      </c>
      <c r="J1249" s="141">
        <f>ROUND(IF(offer_sale_type="транзит",IFERROR(VLOOKUP($B1249,calc_data,J$14+1,0),0),0),2)</f>
        <v/>
      </c>
      <c r="K1249" s="142">
        <f>IF(offer_sale_type="транзит",IFERROR(ROUNDUP(VLOOKUP($B1249,calc_data,K$14+1,0),2),0),0)</f>
        <v/>
      </c>
      <c r="L1249" s="184">
        <f>IF(offer_sale_type="транзит",IFERROR(ROUNDUP(VLOOKUP($B1249,calc_data,L$14+1,0),2),0),0)</f>
        <v/>
      </c>
      <c r="M1249" s="141">
        <f>IF(offer_sale_type="транзит",IFERROR(ROUNDUP(VLOOKUP($B1249,calc_data,M$14+1,0),2),0),0)</f>
        <v/>
      </c>
      <c r="N1249" s="141">
        <f>IF(offer_sale_type="транзит",IFERROR(ROUNDUP(VLOOKUP($B1249,calc_data,N$14+1,0),2),0),0)</f>
        <v/>
      </c>
      <c r="O1249" s="147">
        <f>IF(offer_sale_type="транзит",IFERROR(ROUND(VLOOKUP($B1249,calc_data,O$14+1,1),2),0),0)</f>
        <v/>
      </c>
      <c r="P1249" s="141">
        <f>IF(offer_sale_type="транзит",IFERROR(ROUND(SUM(I1249:J1249,M1249:O1249)/E1249,2),0),0)</f>
        <v/>
      </c>
      <c r="Q1249" s="141">
        <f>E1249*P1249</f>
        <v/>
      </c>
      <c r="R1249" s="141">
        <f>ROUND(Q1249*IF(AND(offer_incoterms="DDP",seller_region="RU"),IF((TODAY()+offer_turnaround_time)&gt;=helpsheet!$L$17,rate_vatRU_from_26,rate_vatRu_till_25),0),2)</f>
        <v/>
      </c>
      <c r="S1249" s="177">
        <f>Q1249+IF(AND(offer_incoterms="DDP",seller_region="RU"),R1249,0)</f>
        <v/>
      </c>
      <c r="T1249" s="45" t="n"/>
      <c r="V1249" s="57">
        <f>IF(Q1249&gt;0,"показать","скрыть")</f>
        <v/>
      </c>
    </row>
    <row r="1250" ht="15.75" customHeight="1">
      <c r="B1250" s="809" t="n">
        <v>1234</v>
      </c>
      <c r="C1250" s="182">
        <f>IF(offer_sale_type="транзит",IFERROR(VLOOKUP($B1250,calc_data,C$14+1,0),0),0)</f>
        <v/>
      </c>
      <c r="D1250" s="280">
        <f>IF(offer_sale_type="транзит",IFERROR(VLOOKUP($B1250,calc_data,D$14+1,0),0),0)</f>
        <v/>
      </c>
      <c r="E1250" s="182">
        <f>IF(offer_sale_type="транзит",IFERROR(VLOOKUP($B1250,calc_data,E$14+1,0),0),0)</f>
        <v/>
      </c>
      <c r="F1250" s="182">
        <f>IF(offer_sale_type="транзит",IFERROR(VLOOKUP($B1250,calc_data,F$14+1,0),0),0)</f>
        <v/>
      </c>
      <c r="G1250" s="141">
        <f>IF(offer_sale_type="транзит",IFERROR(VLOOKUP($B1250,calc_data,G$14+1,0),0),0)</f>
        <v/>
      </c>
      <c r="H1250" s="141">
        <f>E1250*G1250</f>
        <v/>
      </c>
      <c r="I1250" s="141">
        <f>IF(offer_sale_type="транзит",IFERROR(ROUND(VLOOKUP($B1250,calc_data,I$14+1,0),2),0),0)</f>
        <v/>
      </c>
      <c r="J1250" s="141">
        <f>ROUND(IF(offer_sale_type="транзит",IFERROR(VLOOKUP($B1250,calc_data,J$14+1,0),0),0),2)</f>
        <v/>
      </c>
      <c r="K1250" s="142">
        <f>IF(offer_sale_type="транзит",IFERROR(ROUNDUP(VLOOKUP($B1250,calc_data,K$14+1,0),2),0),0)</f>
        <v/>
      </c>
      <c r="L1250" s="184">
        <f>IF(offer_sale_type="транзит",IFERROR(ROUNDUP(VLOOKUP($B1250,calc_data,L$14+1,0),2),0),0)</f>
        <v/>
      </c>
      <c r="M1250" s="141">
        <f>IF(offer_sale_type="транзит",IFERROR(ROUNDUP(VLOOKUP($B1250,calc_data,M$14+1,0),2),0),0)</f>
        <v/>
      </c>
      <c r="N1250" s="141">
        <f>IF(offer_sale_type="транзит",IFERROR(ROUNDUP(VLOOKUP($B1250,calc_data,N$14+1,0),2),0),0)</f>
        <v/>
      </c>
      <c r="O1250" s="147">
        <f>IF(offer_sale_type="транзит",IFERROR(ROUND(VLOOKUP($B1250,calc_data,O$14+1,1),2),0),0)</f>
        <v/>
      </c>
      <c r="P1250" s="141">
        <f>IF(offer_sale_type="транзит",IFERROR(ROUND(SUM(I1250:J1250,M1250:O1250)/E1250,2),0),0)</f>
        <v/>
      </c>
      <c r="Q1250" s="141">
        <f>E1250*P1250</f>
        <v/>
      </c>
      <c r="R1250" s="141">
        <f>ROUND(Q1250*IF(AND(offer_incoterms="DDP",seller_region="RU"),IF((TODAY()+offer_turnaround_time)&gt;=helpsheet!$L$17,rate_vatRU_from_26,rate_vatRu_till_25),0),2)</f>
        <v/>
      </c>
      <c r="S1250" s="177">
        <f>Q1250+IF(AND(offer_incoterms="DDP",seller_region="RU"),R1250,0)</f>
        <v/>
      </c>
      <c r="T1250" s="45" t="n"/>
      <c r="V1250" s="57">
        <f>IF(Q1250&gt;0,"показать","скрыть")</f>
        <v/>
      </c>
    </row>
    <row r="1251" ht="15.75" customHeight="1">
      <c r="B1251" s="809" t="n">
        <v>1235</v>
      </c>
      <c r="C1251" s="182">
        <f>IF(offer_sale_type="транзит",IFERROR(VLOOKUP($B1251,calc_data,C$14+1,0),0),0)</f>
        <v/>
      </c>
      <c r="D1251" s="280">
        <f>IF(offer_sale_type="транзит",IFERROR(VLOOKUP($B1251,calc_data,D$14+1,0),0),0)</f>
        <v/>
      </c>
      <c r="E1251" s="182">
        <f>IF(offer_sale_type="транзит",IFERROR(VLOOKUP($B1251,calc_data,E$14+1,0),0),0)</f>
        <v/>
      </c>
      <c r="F1251" s="182">
        <f>IF(offer_sale_type="транзит",IFERROR(VLOOKUP($B1251,calc_data,F$14+1,0),0),0)</f>
        <v/>
      </c>
      <c r="G1251" s="141">
        <f>IF(offer_sale_type="транзит",IFERROR(VLOOKUP($B1251,calc_data,G$14+1,0),0),0)</f>
        <v/>
      </c>
      <c r="H1251" s="141">
        <f>E1251*G1251</f>
        <v/>
      </c>
      <c r="I1251" s="141">
        <f>IF(offer_sale_type="транзит",IFERROR(ROUND(VLOOKUP($B1251,calc_data,I$14+1,0),2),0),0)</f>
        <v/>
      </c>
      <c r="J1251" s="141">
        <f>ROUND(IF(offer_sale_type="транзит",IFERROR(VLOOKUP($B1251,calc_data,J$14+1,0),0),0),2)</f>
        <v/>
      </c>
      <c r="K1251" s="142">
        <f>IF(offer_sale_type="транзит",IFERROR(ROUNDUP(VLOOKUP($B1251,calc_data,K$14+1,0),2),0),0)</f>
        <v/>
      </c>
      <c r="L1251" s="184">
        <f>IF(offer_sale_type="транзит",IFERROR(ROUNDUP(VLOOKUP($B1251,calc_data,L$14+1,0),2),0),0)</f>
        <v/>
      </c>
      <c r="M1251" s="141">
        <f>IF(offer_sale_type="транзит",IFERROR(ROUNDUP(VLOOKUP($B1251,calc_data,M$14+1,0),2),0),0)</f>
        <v/>
      </c>
      <c r="N1251" s="141">
        <f>IF(offer_sale_type="транзит",IFERROR(ROUNDUP(VLOOKUP($B1251,calc_data,N$14+1,0),2),0),0)</f>
        <v/>
      </c>
      <c r="O1251" s="147">
        <f>IF(offer_sale_type="транзит",IFERROR(ROUND(VLOOKUP($B1251,calc_data,O$14+1,1),2),0),0)</f>
        <v/>
      </c>
      <c r="P1251" s="141">
        <f>IF(offer_sale_type="транзит",IFERROR(ROUND(SUM(I1251:J1251,M1251:O1251)/E1251,2),0),0)</f>
        <v/>
      </c>
      <c r="Q1251" s="141">
        <f>E1251*P1251</f>
        <v/>
      </c>
      <c r="R1251" s="141">
        <f>ROUND(Q1251*IF(AND(offer_incoterms="DDP",seller_region="RU"),IF((TODAY()+offer_turnaround_time)&gt;=helpsheet!$L$17,rate_vatRU_from_26,rate_vatRu_till_25),0),2)</f>
        <v/>
      </c>
      <c r="S1251" s="177">
        <f>Q1251+IF(AND(offer_incoterms="DDP",seller_region="RU"),R1251,0)</f>
        <v/>
      </c>
      <c r="T1251" s="45" t="n"/>
      <c r="V1251" s="57">
        <f>IF(Q1251&gt;0,"показать","скрыть")</f>
        <v/>
      </c>
    </row>
    <row r="1252" ht="15.75" customHeight="1">
      <c r="B1252" s="809" t="n">
        <v>1236</v>
      </c>
      <c r="C1252" s="182">
        <f>IF(offer_sale_type="транзит",IFERROR(VLOOKUP($B1252,calc_data,C$14+1,0),0),0)</f>
        <v/>
      </c>
      <c r="D1252" s="280">
        <f>IF(offer_sale_type="транзит",IFERROR(VLOOKUP($B1252,calc_data,D$14+1,0),0),0)</f>
        <v/>
      </c>
      <c r="E1252" s="182">
        <f>IF(offer_sale_type="транзит",IFERROR(VLOOKUP($B1252,calc_data,E$14+1,0),0),0)</f>
        <v/>
      </c>
      <c r="F1252" s="182">
        <f>IF(offer_sale_type="транзит",IFERROR(VLOOKUP($B1252,calc_data,F$14+1,0),0),0)</f>
        <v/>
      </c>
      <c r="G1252" s="141">
        <f>IF(offer_sale_type="транзит",IFERROR(VLOOKUP($B1252,calc_data,G$14+1,0),0),0)</f>
        <v/>
      </c>
      <c r="H1252" s="141">
        <f>E1252*G1252</f>
        <v/>
      </c>
      <c r="I1252" s="141">
        <f>IF(offer_sale_type="транзит",IFERROR(ROUND(VLOOKUP($B1252,calc_data,I$14+1,0),2),0),0)</f>
        <v/>
      </c>
      <c r="J1252" s="141">
        <f>ROUND(IF(offer_sale_type="транзит",IFERROR(VLOOKUP($B1252,calc_data,J$14+1,0),0),0),2)</f>
        <v/>
      </c>
      <c r="K1252" s="142">
        <f>IF(offer_sale_type="транзит",IFERROR(ROUNDUP(VLOOKUP($B1252,calc_data,K$14+1,0),2),0),0)</f>
        <v/>
      </c>
      <c r="L1252" s="184">
        <f>IF(offer_sale_type="транзит",IFERROR(ROUNDUP(VLOOKUP($B1252,calc_data,L$14+1,0),2),0),0)</f>
        <v/>
      </c>
      <c r="M1252" s="141">
        <f>IF(offer_sale_type="транзит",IFERROR(ROUNDUP(VLOOKUP($B1252,calc_data,M$14+1,0),2),0),0)</f>
        <v/>
      </c>
      <c r="N1252" s="141">
        <f>IF(offer_sale_type="транзит",IFERROR(ROUNDUP(VLOOKUP($B1252,calc_data,N$14+1,0),2),0),0)</f>
        <v/>
      </c>
      <c r="O1252" s="147">
        <f>IF(offer_sale_type="транзит",IFERROR(ROUND(VLOOKUP($B1252,calc_data,O$14+1,1),2),0),0)</f>
        <v/>
      </c>
      <c r="P1252" s="141">
        <f>IF(offer_sale_type="транзит",IFERROR(ROUND(SUM(I1252:J1252,M1252:O1252)/E1252,2),0),0)</f>
        <v/>
      </c>
      <c r="Q1252" s="141">
        <f>E1252*P1252</f>
        <v/>
      </c>
      <c r="R1252" s="141">
        <f>ROUND(Q1252*IF(AND(offer_incoterms="DDP",seller_region="RU"),IF((TODAY()+offer_turnaround_time)&gt;=helpsheet!$L$17,rate_vatRU_from_26,rate_vatRu_till_25),0),2)</f>
        <v/>
      </c>
      <c r="S1252" s="177">
        <f>Q1252+IF(AND(offer_incoterms="DDP",seller_region="RU"),R1252,0)</f>
        <v/>
      </c>
      <c r="T1252" s="45" t="n"/>
      <c r="V1252" s="57">
        <f>IF(Q1252&gt;0,"показать","скрыть")</f>
        <v/>
      </c>
    </row>
    <row r="1253" ht="15.75" customHeight="1">
      <c r="B1253" s="809" t="n">
        <v>1237</v>
      </c>
      <c r="C1253" s="182">
        <f>IF(offer_sale_type="транзит",IFERROR(VLOOKUP($B1253,calc_data,C$14+1,0),0),0)</f>
        <v/>
      </c>
      <c r="D1253" s="280">
        <f>IF(offer_sale_type="транзит",IFERROR(VLOOKUP($B1253,calc_data,D$14+1,0),0),0)</f>
        <v/>
      </c>
      <c r="E1253" s="182">
        <f>IF(offer_sale_type="транзит",IFERROR(VLOOKUP($B1253,calc_data,E$14+1,0),0),0)</f>
        <v/>
      </c>
      <c r="F1253" s="182">
        <f>IF(offer_sale_type="транзит",IFERROR(VLOOKUP($B1253,calc_data,F$14+1,0),0),0)</f>
        <v/>
      </c>
      <c r="G1253" s="141">
        <f>IF(offer_sale_type="транзит",IFERROR(VLOOKUP($B1253,calc_data,G$14+1,0),0),0)</f>
        <v/>
      </c>
      <c r="H1253" s="141">
        <f>E1253*G1253</f>
        <v/>
      </c>
      <c r="I1253" s="141">
        <f>IF(offer_sale_type="транзит",IFERROR(ROUND(VLOOKUP($B1253,calc_data,I$14+1,0),2),0),0)</f>
        <v/>
      </c>
      <c r="J1253" s="141">
        <f>ROUND(IF(offer_sale_type="транзит",IFERROR(VLOOKUP($B1253,calc_data,J$14+1,0),0),0),2)</f>
        <v/>
      </c>
      <c r="K1253" s="142">
        <f>IF(offer_sale_type="транзит",IFERROR(ROUNDUP(VLOOKUP($B1253,calc_data,K$14+1,0),2),0),0)</f>
        <v/>
      </c>
      <c r="L1253" s="184">
        <f>IF(offer_sale_type="транзит",IFERROR(ROUNDUP(VLOOKUP($B1253,calc_data,L$14+1,0),2),0),0)</f>
        <v/>
      </c>
      <c r="M1253" s="141">
        <f>IF(offer_sale_type="транзит",IFERROR(ROUNDUP(VLOOKUP($B1253,calc_data,M$14+1,0),2),0),0)</f>
        <v/>
      </c>
      <c r="N1253" s="141">
        <f>IF(offer_sale_type="транзит",IFERROR(ROUNDUP(VLOOKUP($B1253,calc_data,N$14+1,0),2),0),0)</f>
        <v/>
      </c>
      <c r="O1253" s="147">
        <f>IF(offer_sale_type="транзит",IFERROR(ROUND(VLOOKUP($B1253,calc_data,O$14+1,1),2),0),0)</f>
        <v/>
      </c>
      <c r="P1253" s="141">
        <f>IF(offer_sale_type="транзит",IFERROR(ROUND(SUM(I1253:J1253,M1253:O1253)/E1253,2),0),0)</f>
        <v/>
      </c>
      <c r="Q1253" s="141">
        <f>E1253*P1253</f>
        <v/>
      </c>
      <c r="R1253" s="141">
        <f>ROUND(Q1253*IF(AND(offer_incoterms="DDP",seller_region="RU"),IF((TODAY()+offer_turnaround_time)&gt;=helpsheet!$L$17,rate_vatRU_from_26,rate_vatRu_till_25),0),2)</f>
        <v/>
      </c>
      <c r="S1253" s="177">
        <f>Q1253+IF(AND(offer_incoterms="DDP",seller_region="RU"),R1253,0)</f>
        <v/>
      </c>
      <c r="T1253" s="45" t="n"/>
      <c r="V1253" s="57">
        <f>IF(Q1253&gt;0,"показать","скрыть")</f>
        <v/>
      </c>
    </row>
    <row r="1254" ht="15.75" customHeight="1">
      <c r="B1254" s="809" t="n">
        <v>1238</v>
      </c>
      <c r="C1254" s="182">
        <f>IF(offer_sale_type="транзит",IFERROR(VLOOKUP($B1254,calc_data,C$14+1,0),0),0)</f>
        <v/>
      </c>
      <c r="D1254" s="280">
        <f>IF(offer_sale_type="транзит",IFERROR(VLOOKUP($B1254,calc_data,D$14+1,0),0),0)</f>
        <v/>
      </c>
      <c r="E1254" s="182">
        <f>IF(offer_sale_type="транзит",IFERROR(VLOOKUP($B1254,calc_data,E$14+1,0),0),0)</f>
        <v/>
      </c>
      <c r="F1254" s="182">
        <f>IF(offer_sale_type="транзит",IFERROR(VLOOKUP($B1254,calc_data,F$14+1,0),0),0)</f>
        <v/>
      </c>
      <c r="G1254" s="141">
        <f>IF(offer_sale_type="транзит",IFERROR(VLOOKUP($B1254,calc_data,G$14+1,0),0),0)</f>
        <v/>
      </c>
      <c r="H1254" s="141">
        <f>E1254*G1254</f>
        <v/>
      </c>
      <c r="I1254" s="141">
        <f>IF(offer_sale_type="транзит",IFERROR(ROUND(VLOOKUP($B1254,calc_data,I$14+1,0),2),0),0)</f>
        <v/>
      </c>
      <c r="J1254" s="141">
        <f>ROUND(IF(offer_sale_type="транзит",IFERROR(VLOOKUP($B1254,calc_data,J$14+1,0),0),0),2)</f>
        <v/>
      </c>
      <c r="K1254" s="142">
        <f>IF(offer_sale_type="транзит",IFERROR(ROUNDUP(VLOOKUP($B1254,calc_data,K$14+1,0),2),0),0)</f>
        <v/>
      </c>
      <c r="L1254" s="184">
        <f>IF(offer_sale_type="транзит",IFERROR(ROUNDUP(VLOOKUP($B1254,calc_data,L$14+1,0),2),0),0)</f>
        <v/>
      </c>
      <c r="M1254" s="141">
        <f>IF(offer_sale_type="транзит",IFERROR(ROUNDUP(VLOOKUP($B1254,calc_data,M$14+1,0),2),0),0)</f>
        <v/>
      </c>
      <c r="N1254" s="141">
        <f>IF(offer_sale_type="транзит",IFERROR(ROUNDUP(VLOOKUP($B1254,calc_data,N$14+1,0),2),0),0)</f>
        <v/>
      </c>
      <c r="O1254" s="147">
        <f>IF(offer_sale_type="транзит",IFERROR(ROUND(VLOOKUP($B1254,calc_data,O$14+1,1),2),0),0)</f>
        <v/>
      </c>
      <c r="P1254" s="141">
        <f>IF(offer_sale_type="транзит",IFERROR(ROUND(SUM(I1254:J1254,M1254:O1254)/E1254,2),0),0)</f>
        <v/>
      </c>
      <c r="Q1254" s="141">
        <f>E1254*P1254</f>
        <v/>
      </c>
      <c r="R1254" s="141">
        <f>ROUND(Q1254*IF(AND(offer_incoterms="DDP",seller_region="RU"),IF((TODAY()+offer_turnaround_time)&gt;=helpsheet!$L$17,rate_vatRU_from_26,rate_vatRu_till_25),0),2)</f>
        <v/>
      </c>
      <c r="S1254" s="177">
        <f>Q1254+IF(AND(offer_incoterms="DDP",seller_region="RU"),R1254,0)</f>
        <v/>
      </c>
      <c r="T1254" s="45" t="n"/>
      <c r="V1254" s="57">
        <f>IF(Q1254&gt;0,"показать","скрыть")</f>
        <v/>
      </c>
    </row>
    <row r="1255" ht="15.75" customHeight="1">
      <c r="B1255" s="809" t="n">
        <v>1239</v>
      </c>
      <c r="C1255" s="182">
        <f>IF(offer_sale_type="транзит",IFERROR(VLOOKUP($B1255,calc_data,C$14+1,0),0),0)</f>
        <v/>
      </c>
      <c r="D1255" s="280">
        <f>IF(offer_sale_type="транзит",IFERROR(VLOOKUP($B1255,calc_data,D$14+1,0),0),0)</f>
        <v/>
      </c>
      <c r="E1255" s="182">
        <f>IF(offer_sale_type="транзит",IFERROR(VLOOKUP($B1255,calc_data,E$14+1,0),0),0)</f>
        <v/>
      </c>
      <c r="F1255" s="182">
        <f>IF(offer_sale_type="транзит",IFERROR(VLOOKUP($B1255,calc_data,F$14+1,0),0),0)</f>
        <v/>
      </c>
      <c r="G1255" s="141">
        <f>IF(offer_sale_type="транзит",IFERROR(VLOOKUP($B1255,calc_data,G$14+1,0),0),0)</f>
        <v/>
      </c>
      <c r="H1255" s="141">
        <f>E1255*G1255</f>
        <v/>
      </c>
      <c r="I1255" s="141">
        <f>IF(offer_sale_type="транзит",IFERROR(ROUND(VLOOKUP($B1255,calc_data,I$14+1,0),2),0),0)</f>
        <v/>
      </c>
      <c r="J1255" s="141">
        <f>ROUND(IF(offer_sale_type="транзит",IFERROR(VLOOKUP($B1255,calc_data,J$14+1,0),0),0),2)</f>
        <v/>
      </c>
      <c r="K1255" s="142">
        <f>IF(offer_sale_type="транзит",IFERROR(ROUNDUP(VLOOKUP($B1255,calc_data,K$14+1,0),2),0),0)</f>
        <v/>
      </c>
      <c r="L1255" s="184">
        <f>IF(offer_sale_type="транзит",IFERROR(ROUNDUP(VLOOKUP($B1255,calc_data,L$14+1,0),2),0),0)</f>
        <v/>
      </c>
      <c r="M1255" s="141">
        <f>IF(offer_sale_type="транзит",IFERROR(ROUNDUP(VLOOKUP($B1255,calc_data,M$14+1,0),2),0),0)</f>
        <v/>
      </c>
      <c r="N1255" s="141">
        <f>IF(offer_sale_type="транзит",IFERROR(ROUNDUP(VLOOKUP($B1255,calc_data,N$14+1,0),2),0),0)</f>
        <v/>
      </c>
      <c r="O1255" s="147">
        <f>IF(offer_sale_type="транзит",IFERROR(ROUND(VLOOKUP($B1255,calc_data,O$14+1,1),2),0),0)</f>
        <v/>
      </c>
      <c r="P1255" s="141">
        <f>IF(offer_sale_type="транзит",IFERROR(ROUND(SUM(I1255:J1255,M1255:O1255)/E1255,2),0),0)</f>
        <v/>
      </c>
      <c r="Q1255" s="141">
        <f>E1255*P1255</f>
        <v/>
      </c>
      <c r="R1255" s="141">
        <f>ROUND(Q1255*IF(AND(offer_incoterms="DDP",seller_region="RU"),IF((TODAY()+offer_turnaround_time)&gt;=helpsheet!$L$17,rate_vatRU_from_26,rate_vatRu_till_25),0),2)</f>
        <v/>
      </c>
      <c r="S1255" s="177">
        <f>Q1255+IF(AND(offer_incoterms="DDP",seller_region="RU"),R1255,0)</f>
        <v/>
      </c>
      <c r="T1255" s="45" t="n"/>
      <c r="V1255" s="57">
        <f>IF(Q1255&gt;0,"показать","скрыть")</f>
        <v/>
      </c>
    </row>
    <row r="1256" ht="15.75" customHeight="1">
      <c r="B1256" s="809" t="n">
        <v>1240</v>
      </c>
      <c r="C1256" s="182">
        <f>IF(offer_sale_type="транзит",IFERROR(VLOOKUP($B1256,calc_data,C$14+1,0),0),0)</f>
        <v/>
      </c>
      <c r="D1256" s="280">
        <f>IF(offer_sale_type="транзит",IFERROR(VLOOKUP($B1256,calc_data,D$14+1,0),0),0)</f>
        <v/>
      </c>
      <c r="E1256" s="182">
        <f>IF(offer_sale_type="транзит",IFERROR(VLOOKUP($B1256,calc_data,E$14+1,0),0),0)</f>
        <v/>
      </c>
      <c r="F1256" s="182">
        <f>IF(offer_sale_type="транзит",IFERROR(VLOOKUP($B1256,calc_data,F$14+1,0),0),0)</f>
        <v/>
      </c>
      <c r="G1256" s="141">
        <f>IF(offer_sale_type="транзит",IFERROR(VLOOKUP($B1256,calc_data,G$14+1,0),0),0)</f>
        <v/>
      </c>
      <c r="H1256" s="141">
        <f>E1256*G1256</f>
        <v/>
      </c>
      <c r="I1256" s="141">
        <f>IF(offer_sale_type="транзит",IFERROR(ROUND(VLOOKUP($B1256,calc_data,I$14+1,0),2),0),0)</f>
        <v/>
      </c>
      <c r="J1256" s="141">
        <f>ROUND(IF(offer_sale_type="транзит",IFERROR(VLOOKUP($B1256,calc_data,J$14+1,0),0),0),2)</f>
        <v/>
      </c>
      <c r="K1256" s="142">
        <f>IF(offer_sale_type="транзит",IFERROR(ROUNDUP(VLOOKUP($B1256,calc_data,K$14+1,0),2),0),0)</f>
        <v/>
      </c>
      <c r="L1256" s="184">
        <f>IF(offer_sale_type="транзит",IFERROR(ROUNDUP(VLOOKUP($B1256,calc_data,L$14+1,0),2),0),0)</f>
        <v/>
      </c>
      <c r="M1256" s="141">
        <f>IF(offer_sale_type="транзит",IFERROR(ROUNDUP(VLOOKUP($B1256,calc_data,M$14+1,0),2),0),0)</f>
        <v/>
      </c>
      <c r="N1256" s="141">
        <f>IF(offer_sale_type="транзит",IFERROR(ROUNDUP(VLOOKUP($B1256,calc_data,N$14+1,0),2),0),0)</f>
        <v/>
      </c>
      <c r="O1256" s="147">
        <f>IF(offer_sale_type="транзит",IFERROR(ROUND(VLOOKUP($B1256,calc_data,O$14+1,1),2),0),0)</f>
        <v/>
      </c>
      <c r="P1256" s="141">
        <f>IF(offer_sale_type="транзит",IFERROR(ROUND(SUM(I1256:J1256,M1256:O1256)/E1256,2),0),0)</f>
        <v/>
      </c>
      <c r="Q1256" s="141">
        <f>E1256*P1256</f>
        <v/>
      </c>
      <c r="R1256" s="141">
        <f>ROUND(Q1256*IF(AND(offer_incoterms="DDP",seller_region="RU"),IF((TODAY()+offer_turnaround_time)&gt;=helpsheet!$L$17,rate_vatRU_from_26,rate_vatRu_till_25),0),2)</f>
        <v/>
      </c>
      <c r="S1256" s="177">
        <f>Q1256+IF(AND(offer_incoterms="DDP",seller_region="RU"),R1256,0)</f>
        <v/>
      </c>
      <c r="T1256" s="45" t="n"/>
      <c r="V1256" s="57">
        <f>IF(Q1256&gt;0,"показать","скрыть")</f>
        <v/>
      </c>
    </row>
    <row r="1257" ht="15.75" customHeight="1">
      <c r="B1257" s="809" t="n">
        <v>1241</v>
      </c>
      <c r="C1257" s="182">
        <f>IF(offer_sale_type="транзит",IFERROR(VLOOKUP($B1257,calc_data,C$14+1,0),0),0)</f>
        <v/>
      </c>
      <c r="D1257" s="280">
        <f>IF(offer_sale_type="транзит",IFERROR(VLOOKUP($B1257,calc_data,D$14+1,0),0),0)</f>
        <v/>
      </c>
      <c r="E1257" s="182">
        <f>IF(offer_sale_type="транзит",IFERROR(VLOOKUP($B1257,calc_data,E$14+1,0),0),0)</f>
        <v/>
      </c>
      <c r="F1257" s="182">
        <f>IF(offer_sale_type="транзит",IFERROR(VLOOKUP($B1257,calc_data,F$14+1,0),0),0)</f>
        <v/>
      </c>
      <c r="G1257" s="141">
        <f>IF(offer_sale_type="транзит",IFERROR(VLOOKUP($B1257,calc_data,G$14+1,0),0),0)</f>
        <v/>
      </c>
      <c r="H1257" s="141">
        <f>E1257*G1257</f>
        <v/>
      </c>
      <c r="I1257" s="141">
        <f>IF(offer_sale_type="транзит",IFERROR(ROUND(VLOOKUP($B1257,calc_data,I$14+1,0),2),0),0)</f>
        <v/>
      </c>
      <c r="J1257" s="141">
        <f>ROUND(IF(offer_sale_type="транзит",IFERROR(VLOOKUP($B1257,calc_data,J$14+1,0),0),0),2)</f>
        <v/>
      </c>
      <c r="K1257" s="142">
        <f>IF(offer_sale_type="транзит",IFERROR(ROUNDUP(VLOOKUP($B1257,calc_data,K$14+1,0),2),0),0)</f>
        <v/>
      </c>
      <c r="L1257" s="184">
        <f>IF(offer_sale_type="транзит",IFERROR(ROUNDUP(VLOOKUP($B1257,calc_data,L$14+1,0),2),0),0)</f>
        <v/>
      </c>
      <c r="M1257" s="141">
        <f>IF(offer_sale_type="транзит",IFERROR(ROUNDUP(VLOOKUP($B1257,calc_data,M$14+1,0),2),0),0)</f>
        <v/>
      </c>
      <c r="N1257" s="141">
        <f>IF(offer_sale_type="транзит",IFERROR(ROUNDUP(VLOOKUP($B1257,calc_data,N$14+1,0),2),0),0)</f>
        <v/>
      </c>
      <c r="O1257" s="147">
        <f>IF(offer_sale_type="транзит",IFERROR(ROUND(VLOOKUP($B1257,calc_data,O$14+1,1),2),0),0)</f>
        <v/>
      </c>
      <c r="P1257" s="141">
        <f>IF(offer_sale_type="транзит",IFERROR(ROUND(SUM(I1257:J1257,M1257:O1257)/E1257,2),0),0)</f>
        <v/>
      </c>
      <c r="Q1257" s="141">
        <f>E1257*P1257</f>
        <v/>
      </c>
      <c r="R1257" s="141">
        <f>ROUND(Q1257*IF(AND(offer_incoterms="DDP",seller_region="RU"),IF((TODAY()+offer_turnaround_time)&gt;=helpsheet!$L$17,rate_vatRU_from_26,rate_vatRu_till_25),0),2)</f>
        <v/>
      </c>
      <c r="S1257" s="177">
        <f>Q1257+IF(AND(offer_incoterms="DDP",seller_region="RU"),R1257,0)</f>
        <v/>
      </c>
      <c r="T1257" s="45" t="n"/>
      <c r="V1257" s="57">
        <f>IF(Q1257&gt;0,"показать","скрыть")</f>
        <v/>
      </c>
    </row>
    <row r="1258" ht="15.75" customHeight="1">
      <c r="B1258" s="809" t="n">
        <v>1242</v>
      </c>
      <c r="C1258" s="182">
        <f>IF(offer_sale_type="транзит",IFERROR(VLOOKUP($B1258,calc_data,C$14+1,0),0),0)</f>
        <v/>
      </c>
      <c r="D1258" s="280">
        <f>IF(offer_sale_type="транзит",IFERROR(VLOOKUP($B1258,calc_data,D$14+1,0),0),0)</f>
        <v/>
      </c>
      <c r="E1258" s="182">
        <f>IF(offer_sale_type="транзит",IFERROR(VLOOKUP($B1258,calc_data,E$14+1,0),0),0)</f>
        <v/>
      </c>
      <c r="F1258" s="182">
        <f>IF(offer_sale_type="транзит",IFERROR(VLOOKUP($B1258,calc_data,F$14+1,0),0),0)</f>
        <v/>
      </c>
      <c r="G1258" s="141">
        <f>IF(offer_sale_type="транзит",IFERROR(VLOOKUP($B1258,calc_data,G$14+1,0),0),0)</f>
        <v/>
      </c>
      <c r="H1258" s="141">
        <f>E1258*G1258</f>
        <v/>
      </c>
      <c r="I1258" s="141">
        <f>IF(offer_sale_type="транзит",IFERROR(ROUND(VLOOKUP($B1258,calc_data,I$14+1,0),2),0),0)</f>
        <v/>
      </c>
      <c r="J1258" s="141">
        <f>ROUND(IF(offer_sale_type="транзит",IFERROR(VLOOKUP($B1258,calc_data,J$14+1,0),0),0),2)</f>
        <v/>
      </c>
      <c r="K1258" s="142">
        <f>IF(offer_sale_type="транзит",IFERROR(ROUNDUP(VLOOKUP($B1258,calc_data,K$14+1,0),2),0),0)</f>
        <v/>
      </c>
      <c r="L1258" s="184">
        <f>IF(offer_sale_type="транзит",IFERROR(ROUNDUP(VLOOKUP($B1258,calc_data,L$14+1,0),2),0),0)</f>
        <v/>
      </c>
      <c r="M1258" s="141">
        <f>IF(offer_sale_type="транзит",IFERROR(ROUNDUP(VLOOKUP($B1258,calc_data,M$14+1,0),2),0),0)</f>
        <v/>
      </c>
      <c r="N1258" s="141">
        <f>IF(offer_sale_type="транзит",IFERROR(ROUNDUP(VLOOKUP($B1258,calc_data,N$14+1,0),2),0),0)</f>
        <v/>
      </c>
      <c r="O1258" s="147">
        <f>IF(offer_sale_type="транзит",IFERROR(ROUND(VLOOKUP($B1258,calc_data,O$14+1,1),2),0),0)</f>
        <v/>
      </c>
      <c r="P1258" s="141">
        <f>IF(offer_sale_type="транзит",IFERROR(ROUND(SUM(I1258:J1258,M1258:O1258)/E1258,2),0),0)</f>
        <v/>
      </c>
      <c r="Q1258" s="141">
        <f>E1258*P1258</f>
        <v/>
      </c>
      <c r="R1258" s="141">
        <f>ROUND(Q1258*IF(AND(offer_incoterms="DDP",seller_region="RU"),IF((TODAY()+offer_turnaround_time)&gt;=helpsheet!$L$17,rate_vatRU_from_26,rate_vatRu_till_25),0),2)</f>
        <v/>
      </c>
      <c r="S1258" s="177">
        <f>Q1258+IF(AND(offer_incoterms="DDP",seller_region="RU"),R1258,0)</f>
        <v/>
      </c>
      <c r="T1258" s="45" t="n"/>
      <c r="V1258" s="57">
        <f>IF(Q1258&gt;0,"показать","скрыть")</f>
        <v/>
      </c>
    </row>
    <row r="1259" ht="15.75" customHeight="1">
      <c r="B1259" s="809" t="n">
        <v>1243</v>
      </c>
      <c r="C1259" s="182">
        <f>IF(offer_sale_type="транзит",IFERROR(VLOOKUP($B1259,calc_data,C$14+1,0),0),0)</f>
        <v/>
      </c>
      <c r="D1259" s="280">
        <f>IF(offer_sale_type="транзит",IFERROR(VLOOKUP($B1259,calc_data,D$14+1,0),0),0)</f>
        <v/>
      </c>
      <c r="E1259" s="182">
        <f>IF(offer_sale_type="транзит",IFERROR(VLOOKUP($B1259,calc_data,E$14+1,0),0),0)</f>
        <v/>
      </c>
      <c r="F1259" s="182">
        <f>IF(offer_sale_type="транзит",IFERROR(VLOOKUP($B1259,calc_data,F$14+1,0),0),0)</f>
        <v/>
      </c>
      <c r="G1259" s="141">
        <f>IF(offer_sale_type="транзит",IFERROR(VLOOKUP($B1259,calc_data,G$14+1,0),0),0)</f>
        <v/>
      </c>
      <c r="H1259" s="141">
        <f>E1259*G1259</f>
        <v/>
      </c>
      <c r="I1259" s="141">
        <f>IF(offer_sale_type="транзит",IFERROR(ROUND(VLOOKUP($B1259,calc_data,I$14+1,0),2),0),0)</f>
        <v/>
      </c>
      <c r="J1259" s="141">
        <f>ROUND(IF(offer_sale_type="транзит",IFERROR(VLOOKUP($B1259,calc_data,J$14+1,0),0),0),2)</f>
        <v/>
      </c>
      <c r="K1259" s="142">
        <f>IF(offer_sale_type="транзит",IFERROR(ROUNDUP(VLOOKUP($B1259,calc_data,K$14+1,0),2),0),0)</f>
        <v/>
      </c>
      <c r="L1259" s="184">
        <f>IF(offer_sale_type="транзит",IFERROR(ROUNDUP(VLOOKUP($B1259,calc_data,L$14+1,0),2),0),0)</f>
        <v/>
      </c>
      <c r="M1259" s="141">
        <f>IF(offer_sale_type="транзит",IFERROR(ROUNDUP(VLOOKUP($B1259,calc_data,M$14+1,0),2),0),0)</f>
        <v/>
      </c>
      <c r="N1259" s="141">
        <f>IF(offer_sale_type="транзит",IFERROR(ROUNDUP(VLOOKUP($B1259,calc_data,N$14+1,0),2),0),0)</f>
        <v/>
      </c>
      <c r="O1259" s="147">
        <f>IF(offer_sale_type="транзит",IFERROR(ROUND(VLOOKUP($B1259,calc_data,O$14+1,1),2),0),0)</f>
        <v/>
      </c>
      <c r="P1259" s="141">
        <f>IF(offer_sale_type="транзит",IFERROR(ROUND(SUM(I1259:J1259,M1259:O1259)/E1259,2),0),0)</f>
        <v/>
      </c>
      <c r="Q1259" s="141">
        <f>E1259*P1259</f>
        <v/>
      </c>
      <c r="R1259" s="141">
        <f>ROUND(Q1259*IF(AND(offer_incoterms="DDP",seller_region="RU"),IF((TODAY()+offer_turnaround_time)&gt;=helpsheet!$L$17,rate_vatRU_from_26,rate_vatRu_till_25),0),2)</f>
        <v/>
      </c>
      <c r="S1259" s="177">
        <f>Q1259+IF(AND(offer_incoterms="DDP",seller_region="RU"),R1259,0)</f>
        <v/>
      </c>
      <c r="T1259" s="45" t="n"/>
      <c r="V1259" s="57">
        <f>IF(Q1259&gt;0,"показать","скрыть")</f>
        <v/>
      </c>
    </row>
    <row r="1260" ht="15.75" customHeight="1">
      <c r="B1260" s="809" t="n">
        <v>1244</v>
      </c>
      <c r="C1260" s="182">
        <f>IF(offer_sale_type="транзит",IFERROR(VLOOKUP($B1260,calc_data,C$14+1,0),0),0)</f>
        <v/>
      </c>
      <c r="D1260" s="280">
        <f>IF(offer_sale_type="транзит",IFERROR(VLOOKUP($B1260,calc_data,D$14+1,0),0),0)</f>
        <v/>
      </c>
      <c r="E1260" s="182">
        <f>IF(offer_sale_type="транзит",IFERROR(VLOOKUP($B1260,calc_data,E$14+1,0),0),0)</f>
        <v/>
      </c>
      <c r="F1260" s="182">
        <f>IF(offer_sale_type="транзит",IFERROR(VLOOKUP($B1260,calc_data,F$14+1,0),0),0)</f>
        <v/>
      </c>
      <c r="G1260" s="141">
        <f>IF(offer_sale_type="транзит",IFERROR(VLOOKUP($B1260,calc_data,G$14+1,0),0),0)</f>
        <v/>
      </c>
      <c r="H1260" s="141">
        <f>E1260*G1260</f>
        <v/>
      </c>
      <c r="I1260" s="141">
        <f>IF(offer_sale_type="транзит",IFERROR(ROUND(VLOOKUP($B1260,calc_data,I$14+1,0),2),0),0)</f>
        <v/>
      </c>
      <c r="J1260" s="141">
        <f>ROUND(IF(offer_sale_type="транзит",IFERROR(VLOOKUP($B1260,calc_data,J$14+1,0),0),0),2)</f>
        <v/>
      </c>
      <c r="K1260" s="142">
        <f>IF(offer_sale_type="транзит",IFERROR(ROUNDUP(VLOOKUP($B1260,calc_data,K$14+1,0),2),0),0)</f>
        <v/>
      </c>
      <c r="L1260" s="184">
        <f>IF(offer_sale_type="транзит",IFERROR(ROUNDUP(VLOOKUP($B1260,calc_data,L$14+1,0),2),0),0)</f>
        <v/>
      </c>
      <c r="M1260" s="141">
        <f>IF(offer_sale_type="транзит",IFERROR(ROUNDUP(VLOOKUP($B1260,calc_data,M$14+1,0),2),0),0)</f>
        <v/>
      </c>
      <c r="N1260" s="141">
        <f>IF(offer_sale_type="транзит",IFERROR(ROUNDUP(VLOOKUP($B1260,calc_data,N$14+1,0),2),0),0)</f>
        <v/>
      </c>
      <c r="O1260" s="147">
        <f>IF(offer_sale_type="транзит",IFERROR(ROUND(VLOOKUP($B1260,calc_data,O$14+1,1),2),0),0)</f>
        <v/>
      </c>
      <c r="P1260" s="141">
        <f>IF(offer_sale_type="транзит",IFERROR(ROUND(SUM(I1260:J1260,M1260:O1260)/E1260,2),0),0)</f>
        <v/>
      </c>
      <c r="Q1260" s="141">
        <f>E1260*P1260</f>
        <v/>
      </c>
      <c r="R1260" s="141">
        <f>ROUND(Q1260*IF(AND(offer_incoterms="DDP",seller_region="RU"),IF((TODAY()+offer_turnaround_time)&gt;=helpsheet!$L$17,rate_vatRU_from_26,rate_vatRu_till_25),0),2)</f>
        <v/>
      </c>
      <c r="S1260" s="177">
        <f>Q1260+IF(AND(offer_incoterms="DDP",seller_region="RU"),R1260,0)</f>
        <v/>
      </c>
      <c r="T1260" s="45" t="n"/>
      <c r="V1260" s="57">
        <f>IF(Q1260&gt;0,"показать","скрыть")</f>
        <v/>
      </c>
    </row>
    <row r="1261" ht="15.75" customHeight="1">
      <c r="B1261" s="809" t="n">
        <v>1245</v>
      </c>
      <c r="C1261" s="182">
        <f>IF(offer_sale_type="транзит",IFERROR(VLOOKUP($B1261,calc_data,C$14+1,0),0),0)</f>
        <v/>
      </c>
      <c r="D1261" s="280">
        <f>IF(offer_sale_type="транзит",IFERROR(VLOOKUP($B1261,calc_data,D$14+1,0),0),0)</f>
        <v/>
      </c>
      <c r="E1261" s="182">
        <f>IF(offer_sale_type="транзит",IFERROR(VLOOKUP($B1261,calc_data,E$14+1,0),0),0)</f>
        <v/>
      </c>
      <c r="F1261" s="182">
        <f>IF(offer_sale_type="транзит",IFERROR(VLOOKUP($B1261,calc_data,F$14+1,0),0),0)</f>
        <v/>
      </c>
      <c r="G1261" s="141">
        <f>IF(offer_sale_type="транзит",IFERROR(VLOOKUP($B1261,calc_data,G$14+1,0),0),0)</f>
        <v/>
      </c>
      <c r="H1261" s="141">
        <f>E1261*G1261</f>
        <v/>
      </c>
      <c r="I1261" s="141">
        <f>IF(offer_sale_type="транзит",IFERROR(ROUND(VLOOKUP($B1261,calc_data,I$14+1,0),2),0),0)</f>
        <v/>
      </c>
      <c r="J1261" s="141">
        <f>ROUND(IF(offer_sale_type="транзит",IFERROR(VLOOKUP($B1261,calc_data,J$14+1,0),0),0),2)</f>
        <v/>
      </c>
      <c r="K1261" s="142">
        <f>IF(offer_sale_type="транзит",IFERROR(ROUNDUP(VLOOKUP($B1261,calc_data,K$14+1,0),2),0),0)</f>
        <v/>
      </c>
      <c r="L1261" s="184">
        <f>IF(offer_sale_type="транзит",IFERROR(ROUNDUP(VLOOKUP($B1261,calc_data,L$14+1,0),2),0),0)</f>
        <v/>
      </c>
      <c r="M1261" s="141">
        <f>IF(offer_sale_type="транзит",IFERROR(ROUNDUP(VLOOKUP($B1261,calc_data,M$14+1,0),2),0),0)</f>
        <v/>
      </c>
      <c r="N1261" s="141">
        <f>IF(offer_sale_type="транзит",IFERROR(ROUNDUP(VLOOKUP($B1261,calc_data,N$14+1,0),2),0),0)</f>
        <v/>
      </c>
      <c r="O1261" s="147">
        <f>IF(offer_sale_type="транзит",IFERROR(ROUND(VLOOKUP($B1261,calc_data,O$14+1,1),2),0),0)</f>
        <v/>
      </c>
      <c r="P1261" s="141">
        <f>IF(offer_sale_type="транзит",IFERROR(ROUND(SUM(I1261:J1261,M1261:O1261)/E1261,2),0),0)</f>
        <v/>
      </c>
      <c r="Q1261" s="141">
        <f>E1261*P1261</f>
        <v/>
      </c>
      <c r="R1261" s="141">
        <f>ROUND(Q1261*IF(AND(offer_incoterms="DDP",seller_region="RU"),IF((TODAY()+offer_turnaround_time)&gt;=helpsheet!$L$17,rate_vatRU_from_26,rate_vatRu_till_25),0),2)</f>
        <v/>
      </c>
      <c r="S1261" s="177">
        <f>Q1261+IF(AND(offer_incoterms="DDP",seller_region="RU"),R1261,0)</f>
        <v/>
      </c>
      <c r="T1261" s="45" t="n"/>
      <c r="V1261" s="57">
        <f>IF(Q1261&gt;0,"показать","скрыть")</f>
        <v/>
      </c>
    </row>
    <row r="1262" ht="15.75" customHeight="1">
      <c r="B1262" s="809" t="n">
        <v>1246</v>
      </c>
      <c r="C1262" s="182">
        <f>IF(offer_sale_type="транзит",IFERROR(VLOOKUP($B1262,calc_data,C$14+1,0),0),0)</f>
        <v/>
      </c>
      <c r="D1262" s="280">
        <f>IF(offer_sale_type="транзит",IFERROR(VLOOKUP($B1262,calc_data,D$14+1,0),0),0)</f>
        <v/>
      </c>
      <c r="E1262" s="182">
        <f>IF(offer_sale_type="транзит",IFERROR(VLOOKUP($B1262,calc_data,E$14+1,0),0),0)</f>
        <v/>
      </c>
      <c r="F1262" s="182">
        <f>IF(offer_sale_type="транзит",IFERROR(VLOOKUP($B1262,calc_data,F$14+1,0),0),0)</f>
        <v/>
      </c>
      <c r="G1262" s="141">
        <f>IF(offer_sale_type="транзит",IFERROR(VLOOKUP($B1262,calc_data,G$14+1,0),0),0)</f>
        <v/>
      </c>
      <c r="H1262" s="141">
        <f>E1262*G1262</f>
        <v/>
      </c>
      <c r="I1262" s="141">
        <f>IF(offer_sale_type="транзит",IFERROR(ROUND(VLOOKUP($B1262,calc_data,I$14+1,0),2),0),0)</f>
        <v/>
      </c>
      <c r="J1262" s="141">
        <f>ROUND(IF(offer_sale_type="транзит",IFERROR(VLOOKUP($B1262,calc_data,J$14+1,0),0),0),2)</f>
        <v/>
      </c>
      <c r="K1262" s="142">
        <f>IF(offer_sale_type="транзит",IFERROR(ROUNDUP(VLOOKUP($B1262,calc_data,K$14+1,0),2),0),0)</f>
        <v/>
      </c>
      <c r="L1262" s="184">
        <f>IF(offer_sale_type="транзит",IFERROR(ROUNDUP(VLOOKUP($B1262,calc_data,L$14+1,0),2),0),0)</f>
        <v/>
      </c>
      <c r="M1262" s="141">
        <f>IF(offer_sale_type="транзит",IFERROR(ROUNDUP(VLOOKUP($B1262,calc_data,M$14+1,0),2),0),0)</f>
        <v/>
      </c>
      <c r="N1262" s="141">
        <f>IF(offer_sale_type="транзит",IFERROR(ROUNDUP(VLOOKUP($B1262,calc_data,N$14+1,0),2),0),0)</f>
        <v/>
      </c>
      <c r="O1262" s="147">
        <f>IF(offer_sale_type="транзит",IFERROR(ROUND(VLOOKUP($B1262,calc_data,O$14+1,1),2),0),0)</f>
        <v/>
      </c>
      <c r="P1262" s="141">
        <f>IF(offer_sale_type="транзит",IFERROR(ROUND(SUM(I1262:J1262,M1262:O1262)/E1262,2),0),0)</f>
        <v/>
      </c>
      <c r="Q1262" s="141">
        <f>E1262*P1262</f>
        <v/>
      </c>
      <c r="R1262" s="141">
        <f>ROUND(Q1262*IF(AND(offer_incoterms="DDP",seller_region="RU"),IF((TODAY()+offer_turnaround_time)&gt;=helpsheet!$L$17,rate_vatRU_from_26,rate_vatRu_till_25),0),2)</f>
        <v/>
      </c>
      <c r="S1262" s="177">
        <f>Q1262+IF(AND(offer_incoterms="DDP",seller_region="RU"),R1262,0)</f>
        <v/>
      </c>
      <c r="T1262" s="45" t="n"/>
      <c r="V1262" s="57">
        <f>IF(Q1262&gt;0,"показать","скрыть")</f>
        <v/>
      </c>
    </row>
    <row r="1263" ht="15.75" customHeight="1">
      <c r="B1263" s="809" t="n">
        <v>1247</v>
      </c>
      <c r="C1263" s="182">
        <f>IF(offer_sale_type="транзит",IFERROR(VLOOKUP($B1263,calc_data,C$14+1,0),0),0)</f>
        <v/>
      </c>
      <c r="D1263" s="280">
        <f>IF(offer_sale_type="транзит",IFERROR(VLOOKUP($B1263,calc_data,D$14+1,0),0),0)</f>
        <v/>
      </c>
      <c r="E1263" s="182">
        <f>IF(offer_sale_type="транзит",IFERROR(VLOOKUP($B1263,calc_data,E$14+1,0),0),0)</f>
        <v/>
      </c>
      <c r="F1263" s="182">
        <f>IF(offer_sale_type="транзит",IFERROR(VLOOKUP($B1263,calc_data,F$14+1,0),0),0)</f>
        <v/>
      </c>
      <c r="G1263" s="141">
        <f>IF(offer_sale_type="транзит",IFERROR(VLOOKUP($B1263,calc_data,G$14+1,0),0),0)</f>
        <v/>
      </c>
      <c r="H1263" s="141">
        <f>E1263*G1263</f>
        <v/>
      </c>
      <c r="I1263" s="141">
        <f>IF(offer_sale_type="транзит",IFERROR(ROUND(VLOOKUP($B1263,calc_data,I$14+1,0),2),0),0)</f>
        <v/>
      </c>
      <c r="J1263" s="141">
        <f>ROUND(IF(offer_sale_type="транзит",IFERROR(VLOOKUP($B1263,calc_data,J$14+1,0),0),0),2)</f>
        <v/>
      </c>
      <c r="K1263" s="142">
        <f>IF(offer_sale_type="транзит",IFERROR(ROUNDUP(VLOOKUP($B1263,calc_data,K$14+1,0),2),0),0)</f>
        <v/>
      </c>
      <c r="L1263" s="184">
        <f>IF(offer_sale_type="транзит",IFERROR(ROUNDUP(VLOOKUP($B1263,calc_data,L$14+1,0),2),0),0)</f>
        <v/>
      </c>
      <c r="M1263" s="141">
        <f>IF(offer_sale_type="транзит",IFERROR(ROUNDUP(VLOOKUP($B1263,calc_data,M$14+1,0),2),0),0)</f>
        <v/>
      </c>
      <c r="N1263" s="141">
        <f>IF(offer_sale_type="транзит",IFERROR(ROUNDUP(VLOOKUP($B1263,calc_data,N$14+1,0),2),0),0)</f>
        <v/>
      </c>
      <c r="O1263" s="147">
        <f>IF(offer_sale_type="транзит",IFERROR(ROUND(VLOOKUP($B1263,calc_data,O$14+1,1),2),0),0)</f>
        <v/>
      </c>
      <c r="P1263" s="141">
        <f>IF(offer_sale_type="транзит",IFERROR(ROUND(SUM(I1263:J1263,M1263:O1263)/E1263,2),0),0)</f>
        <v/>
      </c>
      <c r="Q1263" s="141">
        <f>E1263*P1263</f>
        <v/>
      </c>
      <c r="R1263" s="141">
        <f>ROUND(Q1263*IF(AND(offer_incoterms="DDP",seller_region="RU"),IF((TODAY()+offer_turnaround_time)&gt;=helpsheet!$L$17,rate_vatRU_from_26,rate_vatRu_till_25),0),2)</f>
        <v/>
      </c>
      <c r="S1263" s="177">
        <f>Q1263+IF(AND(offer_incoterms="DDP",seller_region="RU"),R1263,0)</f>
        <v/>
      </c>
      <c r="T1263" s="45" t="n"/>
      <c r="V1263" s="57">
        <f>IF(Q1263&gt;0,"показать","скрыть")</f>
        <v/>
      </c>
    </row>
    <row r="1264" ht="15.75" customHeight="1">
      <c r="B1264" s="809" t="n">
        <v>1248</v>
      </c>
      <c r="C1264" s="182">
        <f>IF(offer_sale_type="транзит",IFERROR(VLOOKUP($B1264,calc_data,C$14+1,0),0),0)</f>
        <v/>
      </c>
      <c r="D1264" s="280">
        <f>IF(offer_sale_type="транзит",IFERROR(VLOOKUP($B1264,calc_data,D$14+1,0),0),0)</f>
        <v/>
      </c>
      <c r="E1264" s="182">
        <f>IF(offer_sale_type="транзит",IFERROR(VLOOKUP($B1264,calc_data,E$14+1,0),0),0)</f>
        <v/>
      </c>
      <c r="F1264" s="182">
        <f>IF(offer_sale_type="транзит",IFERROR(VLOOKUP($B1264,calc_data,F$14+1,0),0),0)</f>
        <v/>
      </c>
      <c r="G1264" s="141">
        <f>IF(offer_sale_type="транзит",IFERROR(VLOOKUP($B1264,calc_data,G$14+1,0),0),0)</f>
        <v/>
      </c>
      <c r="H1264" s="141">
        <f>E1264*G1264</f>
        <v/>
      </c>
      <c r="I1264" s="141">
        <f>IF(offer_sale_type="транзит",IFERROR(ROUND(VLOOKUP($B1264,calc_data,I$14+1,0),2),0),0)</f>
        <v/>
      </c>
      <c r="J1264" s="141">
        <f>ROUND(IF(offer_sale_type="транзит",IFERROR(VLOOKUP($B1264,calc_data,J$14+1,0),0),0),2)</f>
        <v/>
      </c>
      <c r="K1264" s="142">
        <f>IF(offer_sale_type="транзит",IFERROR(ROUNDUP(VLOOKUP($B1264,calc_data,K$14+1,0),2),0),0)</f>
        <v/>
      </c>
      <c r="L1264" s="184">
        <f>IF(offer_sale_type="транзит",IFERROR(ROUNDUP(VLOOKUP($B1264,calc_data,L$14+1,0),2),0),0)</f>
        <v/>
      </c>
      <c r="M1264" s="141">
        <f>IF(offer_sale_type="транзит",IFERROR(ROUNDUP(VLOOKUP($B1264,calc_data,M$14+1,0),2),0),0)</f>
        <v/>
      </c>
      <c r="N1264" s="141">
        <f>IF(offer_sale_type="транзит",IFERROR(ROUNDUP(VLOOKUP($B1264,calc_data,N$14+1,0),2),0),0)</f>
        <v/>
      </c>
      <c r="O1264" s="147">
        <f>IF(offer_sale_type="транзит",IFERROR(ROUND(VLOOKUP($B1264,calc_data,O$14+1,1),2),0),0)</f>
        <v/>
      </c>
      <c r="P1264" s="141">
        <f>IF(offer_sale_type="транзит",IFERROR(ROUND(SUM(I1264:J1264,M1264:O1264)/E1264,2),0),0)</f>
        <v/>
      </c>
      <c r="Q1264" s="141">
        <f>E1264*P1264</f>
        <v/>
      </c>
      <c r="R1264" s="141">
        <f>ROUND(Q1264*IF(AND(offer_incoterms="DDP",seller_region="RU"),IF((TODAY()+offer_turnaround_time)&gt;=helpsheet!$L$17,rate_vatRU_from_26,rate_vatRu_till_25),0),2)</f>
        <v/>
      </c>
      <c r="S1264" s="177">
        <f>Q1264+IF(AND(offer_incoterms="DDP",seller_region="RU"),R1264,0)</f>
        <v/>
      </c>
      <c r="T1264" s="45" t="n"/>
      <c r="V1264" s="57">
        <f>IF(Q1264&gt;0,"показать","скрыть")</f>
        <v/>
      </c>
    </row>
    <row r="1265" ht="15.75" customHeight="1">
      <c r="B1265" s="809" t="n">
        <v>1249</v>
      </c>
      <c r="C1265" s="182">
        <f>IF(offer_sale_type="транзит",IFERROR(VLOOKUP($B1265,calc_data,C$14+1,0),0),0)</f>
        <v/>
      </c>
      <c r="D1265" s="280">
        <f>IF(offer_sale_type="транзит",IFERROR(VLOOKUP($B1265,calc_data,D$14+1,0),0),0)</f>
        <v/>
      </c>
      <c r="E1265" s="182">
        <f>IF(offer_sale_type="транзит",IFERROR(VLOOKUP($B1265,calc_data,E$14+1,0),0),0)</f>
        <v/>
      </c>
      <c r="F1265" s="182">
        <f>IF(offer_sale_type="транзит",IFERROR(VLOOKUP($B1265,calc_data,F$14+1,0),0),0)</f>
        <v/>
      </c>
      <c r="G1265" s="141">
        <f>IF(offer_sale_type="транзит",IFERROR(VLOOKUP($B1265,calc_data,G$14+1,0),0),0)</f>
        <v/>
      </c>
      <c r="H1265" s="141">
        <f>E1265*G1265</f>
        <v/>
      </c>
      <c r="I1265" s="141">
        <f>IF(offer_sale_type="транзит",IFERROR(ROUND(VLOOKUP($B1265,calc_data,I$14+1,0),2),0),0)</f>
        <v/>
      </c>
      <c r="J1265" s="141">
        <f>ROUND(IF(offer_sale_type="транзит",IFERROR(VLOOKUP($B1265,calc_data,J$14+1,0),0),0),2)</f>
        <v/>
      </c>
      <c r="K1265" s="142">
        <f>IF(offer_sale_type="транзит",IFERROR(ROUNDUP(VLOOKUP($B1265,calc_data,K$14+1,0),2),0),0)</f>
        <v/>
      </c>
      <c r="L1265" s="184">
        <f>IF(offer_sale_type="транзит",IFERROR(ROUNDUP(VLOOKUP($B1265,calc_data,L$14+1,0),2),0),0)</f>
        <v/>
      </c>
      <c r="M1265" s="141">
        <f>IF(offer_sale_type="транзит",IFERROR(ROUNDUP(VLOOKUP($B1265,calc_data,M$14+1,0),2),0),0)</f>
        <v/>
      </c>
      <c r="N1265" s="141">
        <f>IF(offer_sale_type="транзит",IFERROR(ROUNDUP(VLOOKUP($B1265,calc_data,N$14+1,0),2),0),0)</f>
        <v/>
      </c>
      <c r="O1265" s="147">
        <f>IF(offer_sale_type="транзит",IFERROR(ROUND(VLOOKUP($B1265,calc_data,O$14+1,1),2),0),0)</f>
        <v/>
      </c>
      <c r="P1265" s="141">
        <f>IF(offer_sale_type="транзит",IFERROR(ROUND(SUM(I1265:J1265,M1265:O1265)/E1265,2),0),0)</f>
        <v/>
      </c>
      <c r="Q1265" s="141">
        <f>E1265*P1265</f>
        <v/>
      </c>
      <c r="R1265" s="141">
        <f>ROUND(Q1265*IF(AND(offer_incoterms="DDP",seller_region="RU"),IF((TODAY()+offer_turnaround_time)&gt;=helpsheet!$L$17,rate_vatRU_from_26,rate_vatRu_till_25),0),2)</f>
        <v/>
      </c>
      <c r="S1265" s="177">
        <f>Q1265+IF(AND(offer_incoterms="DDP",seller_region="RU"),R1265,0)</f>
        <v/>
      </c>
      <c r="T1265" s="45" t="n"/>
      <c r="V1265" s="57">
        <f>IF(Q1265&gt;0,"показать","скрыть")</f>
        <v/>
      </c>
    </row>
    <row r="1266" ht="15.75" customHeight="1">
      <c r="B1266" s="809" t="n">
        <v>1250</v>
      </c>
      <c r="C1266" s="182">
        <f>IF(offer_sale_type="транзит",IFERROR(VLOOKUP($B1266,calc_data,C$14+1,0),0),0)</f>
        <v/>
      </c>
      <c r="D1266" s="280">
        <f>IF(offer_sale_type="транзит",IFERROR(VLOOKUP($B1266,calc_data,D$14+1,0),0),0)</f>
        <v/>
      </c>
      <c r="E1266" s="182">
        <f>IF(offer_sale_type="транзит",IFERROR(VLOOKUP($B1266,calc_data,E$14+1,0),0),0)</f>
        <v/>
      </c>
      <c r="F1266" s="182">
        <f>IF(offer_sale_type="транзит",IFERROR(VLOOKUP($B1266,calc_data,F$14+1,0),0),0)</f>
        <v/>
      </c>
      <c r="G1266" s="141">
        <f>IF(offer_sale_type="транзит",IFERROR(VLOOKUP($B1266,calc_data,G$14+1,0),0),0)</f>
        <v/>
      </c>
      <c r="H1266" s="141">
        <f>E1266*G1266</f>
        <v/>
      </c>
      <c r="I1266" s="141">
        <f>IF(offer_sale_type="транзит",IFERROR(ROUND(VLOOKUP($B1266,calc_data,I$14+1,0),2),0),0)</f>
        <v/>
      </c>
      <c r="J1266" s="141">
        <f>ROUND(IF(offer_sale_type="транзит",IFERROR(VLOOKUP($B1266,calc_data,J$14+1,0),0),0),2)</f>
        <v/>
      </c>
      <c r="K1266" s="142">
        <f>IF(offer_sale_type="транзит",IFERROR(ROUNDUP(VLOOKUP($B1266,calc_data,K$14+1,0),2),0),0)</f>
        <v/>
      </c>
      <c r="L1266" s="184">
        <f>IF(offer_sale_type="транзит",IFERROR(ROUNDUP(VLOOKUP($B1266,calc_data,L$14+1,0),2),0),0)</f>
        <v/>
      </c>
      <c r="M1266" s="141">
        <f>IF(offer_sale_type="транзит",IFERROR(ROUNDUP(VLOOKUP($B1266,calc_data,M$14+1,0),2),0),0)</f>
        <v/>
      </c>
      <c r="N1266" s="141">
        <f>IF(offer_sale_type="транзит",IFERROR(ROUNDUP(VLOOKUP($B1266,calc_data,N$14+1,0),2),0),0)</f>
        <v/>
      </c>
      <c r="O1266" s="147">
        <f>IF(offer_sale_type="транзит",IFERROR(ROUND(VLOOKUP($B1266,calc_data,O$14+1,1),2),0),0)</f>
        <v/>
      </c>
      <c r="P1266" s="141">
        <f>IF(offer_sale_type="транзит",IFERROR(ROUND(SUM(I1266:J1266,M1266:O1266)/E1266,2),0),0)</f>
        <v/>
      </c>
      <c r="Q1266" s="141">
        <f>E1266*P1266</f>
        <v/>
      </c>
      <c r="R1266" s="141">
        <f>ROUND(Q1266*IF(AND(offer_incoterms="DDP",seller_region="RU"),IF((TODAY()+offer_turnaround_time)&gt;=helpsheet!$L$17,rate_vatRU_from_26,rate_vatRu_till_25),0),2)</f>
        <v/>
      </c>
      <c r="S1266" s="177">
        <f>Q1266+IF(AND(offer_incoterms="DDP",seller_region="RU"),R1266,0)</f>
        <v/>
      </c>
      <c r="T1266" s="45" t="n"/>
      <c r="V1266" s="57">
        <f>IF(Q1266&gt;0,"показать","скрыть")</f>
        <v/>
      </c>
    </row>
    <row r="1267" ht="15.75" customHeight="1">
      <c r="B1267" s="809" t="n">
        <v>1251</v>
      </c>
      <c r="C1267" s="182">
        <f>IF(offer_sale_type="транзит",IFERROR(VLOOKUP($B1267,calc_data,C$14+1,0),0),0)</f>
        <v/>
      </c>
      <c r="D1267" s="280">
        <f>IF(offer_sale_type="транзит",IFERROR(VLOOKUP($B1267,calc_data,D$14+1,0),0),0)</f>
        <v/>
      </c>
      <c r="E1267" s="182">
        <f>IF(offer_sale_type="транзит",IFERROR(VLOOKUP($B1267,calc_data,E$14+1,0),0),0)</f>
        <v/>
      </c>
      <c r="F1267" s="182">
        <f>IF(offer_sale_type="транзит",IFERROR(VLOOKUP($B1267,calc_data,F$14+1,0),0),0)</f>
        <v/>
      </c>
      <c r="G1267" s="141">
        <f>IF(offer_sale_type="транзит",IFERROR(VLOOKUP($B1267,calc_data,G$14+1,0),0),0)</f>
        <v/>
      </c>
      <c r="H1267" s="141">
        <f>E1267*G1267</f>
        <v/>
      </c>
      <c r="I1267" s="141">
        <f>IF(offer_sale_type="транзит",IFERROR(ROUND(VLOOKUP($B1267,calc_data,I$14+1,0),2),0),0)</f>
        <v/>
      </c>
      <c r="J1267" s="141">
        <f>ROUND(IF(offer_sale_type="транзит",IFERROR(VLOOKUP($B1267,calc_data,J$14+1,0),0),0),2)</f>
        <v/>
      </c>
      <c r="K1267" s="142">
        <f>IF(offer_sale_type="транзит",IFERROR(ROUNDUP(VLOOKUP($B1267,calc_data,K$14+1,0),2),0),0)</f>
        <v/>
      </c>
      <c r="L1267" s="184">
        <f>IF(offer_sale_type="транзит",IFERROR(ROUNDUP(VLOOKUP($B1267,calc_data,L$14+1,0),2),0),0)</f>
        <v/>
      </c>
      <c r="M1267" s="141">
        <f>IF(offer_sale_type="транзит",IFERROR(ROUNDUP(VLOOKUP($B1267,calc_data,M$14+1,0),2),0),0)</f>
        <v/>
      </c>
      <c r="N1267" s="141">
        <f>IF(offer_sale_type="транзит",IFERROR(ROUNDUP(VLOOKUP($B1267,calc_data,N$14+1,0),2),0),0)</f>
        <v/>
      </c>
      <c r="O1267" s="147">
        <f>IF(offer_sale_type="транзит",IFERROR(ROUND(VLOOKUP($B1267,calc_data,O$14+1,1),2),0),0)</f>
        <v/>
      </c>
      <c r="P1267" s="141">
        <f>IF(offer_sale_type="транзит",IFERROR(ROUND(SUM(I1267:J1267,M1267:O1267)/E1267,2),0),0)</f>
        <v/>
      </c>
      <c r="Q1267" s="141">
        <f>E1267*P1267</f>
        <v/>
      </c>
      <c r="R1267" s="141">
        <f>ROUND(Q1267*IF(AND(offer_incoterms="DDP",seller_region="RU"),IF((TODAY()+offer_turnaround_time)&gt;=helpsheet!$L$17,rate_vatRU_from_26,rate_vatRu_till_25),0),2)</f>
        <v/>
      </c>
      <c r="S1267" s="177">
        <f>Q1267+IF(AND(offer_incoterms="DDP",seller_region="RU"),R1267,0)</f>
        <v/>
      </c>
      <c r="T1267" s="45" t="n"/>
      <c r="V1267" s="57">
        <f>IF(Q1267&gt;0,"показать","скрыть")</f>
        <v/>
      </c>
    </row>
    <row r="1268" ht="15.75" customHeight="1">
      <c r="B1268" s="809" t="n">
        <v>1252</v>
      </c>
      <c r="C1268" s="182">
        <f>IF(offer_sale_type="транзит",IFERROR(VLOOKUP($B1268,calc_data,C$14+1,0),0),0)</f>
        <v/>
      </c>
      <c r="D1268" s="280">
        <f>IF(offer_sale_type="транзит",IFERROR(VLOOKUP($B1268,calc_data,D$14+1,0),0),0)</f>
        <v/>
      </c>
      <c r="E1268" s="182">
        <f>IF(offer_sale_type="транзит",IFERROR(VLOOKUP($B1268,calc_data,E$14+1,0),0),0)</f>
        <v/>
      </c>
      <c r="F1268" s="182">
        <f>IF(offer_sale_type="транзит",IFERROR(VLOOKUP($B1268,calc_data,F$14+1,0),0),0)</f>
        <v/>
      </c>
      <c r="G1268" s="141">
        <f>IF(offer_sale_type="транзит",IFERROR(VLOOKUP($B1268,calc_data,G$14+1,0),0),0)</f>
        <v/>
      </c>
      <c r="H1268" s="141">
        <f>E1268*G1268</f>
        <v/>
      </c>
      <c r="I1268" s="141">
        <f>IF(offer_sale_type="транзит",IFERROR(ROUND(VLOOKUP($B1268,calc_data,I$14+1,0),2),0),0)</f>
        <v/>
      </c>
      <c r="J1268" s="141">
        <f>ROUND(IF(offer_sale_type="транзит",IFERROR(VLOOKUP($B1268,calc_data,J$14+1,0),0),0),2)</f>
        <v/>
      </c>
      <c r="K1268" s="142">
        <f>IF(offer_sale_type="транзит",IFERROR(ROUNDUP(VLOOKUP($B1268,calc_data,K$14+1,0),2),0),0)</f>
        <v/>
      </c>
      <c r="L1268" s="184">
        <f>IF(offer_sale_type="транзит",IFERROR(ROUNDUP(VLOOKUP($B1268,calc_data,L$14+1,0),2),0),0)</f>
        <v/>
      </c>
      <c r="M1268" s="141">
        <f>IF(offer_sale_type="транзит",IFERROR(ROUNDUP(VLOOKUP($B1268,calc_data,M$14+1,0),2),0),0)</f>
        <v/>
      </c>
      <c r="N1268" s="141">
        <f>IF(offer_sale_type="транзит",IFERROR(ROUNDUP(VLOOKUP($B1268,calc_data,N$14+1,0),2),0),0)</f>
        <v/>
      </c>
      <c r="O1268" s="147">
        <f>IF(offer_sale_type="транзит",IFERROR(ROUND(VLOOKUP($B1268,calc_data,O$14+1,1),2),0),0)</f>
        <v/>
      </c>
      <c r="P1268" s="141">
        <f>IF(offer_sale_type="транзит",IFERROR(ROUND(SUM(I1268:J1268,M1268:O1268)/E1268,2),0),0)</f>
        <v/>
      </c>
      <c r="Q1268" s="141">
        <f>E1268*P1268</f>
        <v/>
      </c>
      <c r="R1268" s="141">
        <f>ROUND(Q1268*IF(AND(offer_incoterms="DDP",seller_region="RU"),IF((TODAY()+offer_turnaround_time)&gt;=helpsheet!$L$17,rate_vatRU_from_26,rate_vatRu_till_25),0),2)</f>
        <v/>
      </c>
      <c r="S1268" s="177">
        <f>Q1268+IF(AND(offer_incoterms="DDP",seller_region="RU"),R1268,0)</f>
        <v/>
      </c>
      <c r="T1268" s="45" t="n"/>
      <c r="V1268" s="57">
        <f>IF(Q1268&gt;0,"показать","скрыть")</f>
        <v/>
      </c>
    </row>
    <row r="1269" ht="15.75" customHeight="1">
      <c r="B1269" s="809" t="n">
        <v>1253</v>
      </c>
      <c r="C1269" s="182">
        <f>IF(offer_sale_type="транзит",IFERROR(VLOOKUP($B1269,calc_data,C$14+1,0),0),0)</f>
        <v/>
      </c>
      <c r="D1269" s="280">
        <f>IF(offer_sale_type="транзит",IFERROR(VLOOKUP($B1269,calc_data,D$14+1,0),0),0)</f>
        <v/>
      </c>
      <c r="E1269" s="182">
        <f>IF(offer_sale_type="транзит",IFERROR(VLOOKUP($B1269,calc_data,E$14+1,0),0),0)</f>
        <v/>
      </c>
      <c r="F1269" s="182">
        <f>IF(offer_sale_type="транзит",IFERROR(VLOOKUP($B1269,calc_data,F$14+1,0),0),0)</f>
        <v/>
      </c>
      <c r="G1269" s="141">
        <f>IF(offer_sale_type="транзит",IFERROR(VLOOKUP($B1269,calc_data,G$14+1,0),0),0)</f>
        <v/>
      </c>
      <c r="H1269" s="141">
        <f>E1269*G1269</f>
        <v/>
      </c>
      <c r="I1269" s="141">
        <f>IF(offer_sale_type="транзит",IFERROR(ROUND(VLOOKUP($B1269,calc_data,I$14+1,0),2),0),0)</f>
        <v/>
      </c>
      <c r="J1269" s="141">
        <f>ROUND(IF(offer_sale_type="транзит",IFERROR(VLOOKUP($B1269,calc_data,J$14+1,0),0),0),2)</f>
        <v/>
      </c>
      <c r="K1269" s="142">
        <f>IF(offer_sale_type="транзит",IFERROR(ROUNDUP(VLOOKUP($B1269,calc_data,K$14+1,0),2),0),0)</f>
        <v/>
      </c>
      <c r="L1269" s="184">
        <f>IF(offer_sale_type="транзит",IFERROR(ROUNDUP(VLOOKUP($B1269,calc_data,L$14+1,0),2),0),0)</f>
        <v/>
      </c>
      <c r="M1269" s="141">
        <f>IF(offer_sale_type="транзит",IFERROR(ROUNDUP(VLOOKUP($B1269,calc_data,M$14+1,0),2),0),0)</f>
        <v/>
      </c>
      <c r="N1269" s="141">
        <f>IF(offer_sale_type="транзит",IFERROR(ROUNDUP(VLOOKUP($B1269,calc_data,N$14+1,0),2),0),0)</f>
        <v/>
      </c>
      <c r="O1269" s="147">
        <f>IF(offer_sale_type="транзит",IFERROR(ROUND(VLOOKUP($B1269,calc_data,O$14+1,1),2),0),0)</f>
        <v/>
      </c>
      <c r="P1269" s="141">
        <f>IF(offer_sale_type="транзит",IFERROR(ROUND(SUM(I1269:J1269,M1269:O1269)/E1269,2),0),0)</f>
        <v/>
      </c>
      <c r="Q1269" s="141">
        <f>E1269*P1269</f>
        <v/>
      </c>
      <c r="R1269" s="141">
        <f>ROUND(Q1269*IF(AND(offer_incoterms="DDP",seller_region="RU"),IF((TODAY()+offer_turnaround_time)&gt;=helpsheet!$L$17,rate_vatRU_from_26,rate_vatRu_till_25),0),2)</f>
        <v/>
      </c>
      <c r="S1269" s="177">
        <f>Q1269+IF(AND(offer_incoterms="DDP",seller_region="RU"),R1269,0)</f>
        <v/>
      </c>
      <c r="T1269" s="45" t="n"/>
      <c r="V1269" s="57">
        <f>IF(Q1269&gt;0,"показать","скрыть")</f>
        <v/>
      </c>
    </row>
    <row r="1270" ht="15.75" customHeight="1">
      <c r="B1270" s="809" t="n">
        <v>1254</v>
      </c>
      <c r="C1270" s="182">
        <f>IF(offer_sale_type="транзит",IFERROR(VLOOKUP($B1270,calc_data,C$14+1,0),0),0)</f>
        <v/>
      </c>
      <c r="D1270" s="280">
        <f>IF(offer_sale_type="транзит",IFERROR(VLOOKUP($B1270,calc_data,D$14+1,0),0),0)</f>
        <v/>
      </c>
      <c r="E1270" s="182">
        <f>IF(offer_sale_type="транзит",IFERROR(VLOOKUP($B1270,calc_data,E$14+1,0),0),0)</f>
        <v/>
      </c>
      <c r="F1270" s="182">
        <f>IF(offer_sale_type="транзит",IFERROR(VLOOKUP($B1270,calc_data,F$14+1,0),0),0)</f>
        <v/>
      </c>
      <c r="G1270" s="141">
        <f>IF(offer_sale_type="транзит",IFERROR(VLOOKUP($B1270,calc_data,G$14+1,0),0),0)</f>
        <v/>
      </c>
      <c r="H1270" s="141">
        <f>E1270*G1270</f>
        <v/>
      </c>
      <c r="I1270" s="141">
        <f>IF(offer_sale_type="транзит",IFERROR(ROUND(VLOOKUP($B1270,calc_data,I$14+1,0),2),0),0)</f>
        <v/>
      </c>
      <c r="J1270" s="141">
        <f>ROUND(IF(offer_sale_type="транзит",IFERROR(VLOOKUP($B1270,calc_data,J$14+1,0),0),0),2)</f>
        <v/>
      </c>
      <c r="K1270" s="142">
        <f>IF(offer_sale_type="транзит",IFERROR(ROUNDUP(VLOOKUP($B1270,calc_data,K$14+1,0),2),0),0)</f>
        <v/>
      </c>
      <c r="L1270" s="184">
        <f>IF(offer_sale_type="транзит",IFERROR(ROUNDUP(VLOOKUP($B1270,calc_data,L$14+1,0),2),0),0)</f>
        <v/>
      </c>
      <c r="M1270" s="141">
        <f>IF(offer_sale_type="транзит",IFERROR(ROUNDUP(VLOOKUP($B1270,calc_data,M$14+1,0),2),0),0)</f>
        <v/>
      </c>
      <c r="N1270" s="141">
        <f>IF(offer_sale_type="транзит",IFERROR(ROUNDUP(VLOOKUP($B1270,calc_data,N$14+1,0),2),0),0)</f>
        <v/>
      </c>
      <c r="O1270" s="147">
        <f>IF(offer_sale_type="транзит",IFERROR(ROUND(VLOOKUP($B1270,calc_data,O$14+1,1),2),0),0)</f>
        <v/>
      </c>
      <c r="P1270" s="141">
        <f>IF(offer_sale_type="транзит",IFERROR(ROUND(SUM(I1270:J1270,M1270:O1270)/E1270,2),0),0)</f>
        <v/>
      </c>
      <c r="Q1270" s="141">
        <f>E1270*P1270</f>
        <v/>
      </c>
      <c r="R1270" s="141">
        <f>ROUND(Q1270*IF(AND(offer_incoterms="DDP",seller_region="RU"),IF((TODAY()+offer_turnaround_time)&gt;=helpsheet!$L$17,rate_vatRU_from_26,rate_vatRu_till_25),0),2)</f>
        <v/>
      </c>
      <c r="S1270" s="177">
        <f>Q1270+IF(AND(offer_incoterms="DDP",seller_region="RU"),R1270,0)</f>
        <v/>
      </c>
      <c r="T1270" s="45" t="n"/>
      <c r="V1270" s="57">
        <f>IF(Q1270&gt;0,"показать","скрыть")</f>
        <v/>
      </c>
    </row>
    <row r="1271" ht="15.75" customHeight="1">
      <c r="B1271" s="809" t="n">
        <v>1255</v>
      </c>
      <c r="C1271" s="182">
        <f>IF(offer_sale_type="транзит",IFERROR(VLOOKUP($B1271,calc_data,C$14+1,0),0),0)</f>
        <v/>
      </c>
      <c r="D1271" s="280">
        <f>IF(offer_sale_type="транзит",IFERROR(VLOOKUP($B1271,calc_data,D$14+1,0),0),0)</f>
        <v/>
      </c>
      <c r="E1271" s="182">
        <f>IF(offer_sale_type="транзит",IFERROR(VLOOKUP($B1271,calc_data,E$14+1,0),0),0)</f>
        <v/>
      </c>
      <c r="F1271" s="182">
        <f>IF(offer_sale_type="транзит",IFERROR(VLOOKUP($B1271,calc_data,F$14+1,0),0),0)</f>
        <v/>
      </c>
      <c r="G1271" s="141">
        <f>IF(offer_sale_type="транзит",IFERROR(VLOOKUP($B1271,calc_data,G$14+1,0),0),0)</f>
        <v/>
      </c>
      <c r="H1271" s="141">
        <f>E1271*G1271</f>
        <v/>
      </c>
      <c r="I1271" s="141">
        <f>IF(offer_sale_type="транзит",IFERROR(ROUND(VLOOKUP($B1271,calc_data,I$14+1,0),2),0),0)</f>
        <v/>
      </c>
      <c r="J1271" s="141">
        <f>ROUND(IF(offer_sale_type="транзит",IFERROR(VLOOKUP($B1271,calc_data,J$14+1,0),0),0),2)</f>
        <v/>
      </c>
      <c r="K1271" s="142">
        <f>IF(offer_sale_type="транзит",IFERROR(ROUNDUP(VLOOKUP($B1271,calc_data,K$14+1,0),2),0),0)</f>
        <v/>
      </c>
      <c r="L1271" s="184">
        <f>IF(offer_sale_type="транзит",IFERROR(ROUNDUP(VLOOKUP($B1271,calc_data,L$14+1,0),2),0),0)</f>
        <v/>
      </c>
      <c r="M1271" s="141">
        <f>IF(offer_sale_type="транзит",IFERROR(ROUNDUP(VLOOKUP($B1271,calc_data,M$14+1,0),2),0),0)</f>
        <v/>
      </c>
      <c r="N1271" s="141">
        <f>IF(offer_sale_type="транзит",IFERROR(ROUNDUP(VLOOKUP($B1271,calc_data,N$14+1,0),2),0),0)</f>
        <v/>
      </c>
      <c r="O1271" s="147">
        <f>IF(offer_sale_type="транзит",IFERROR(ROUND(VLOOKUP($B1271,calc_data,O$14+1,1),2),0),0)</f>
        <v/>
      </c>
      <c r="P1271" s="141">
        <f>IF(offer_sale_type="транзит",IFERROR(ROUND(SUM(I1271:J1271,M1271:O1271)/E1271,2),0),0)</f>
        <v/>
      </c>
      <c r="Q1271" s="141">
        <f>E1271*P1271</f>
        <v/>
      </c>
      <c r="R1271" s="141">
        <f>ROUND(Q1271*IF(AND(offer_incoterms="DDP",seller_region="RU"),IF((TODAY()+offer_turnaround_time)&gt;=helpsheet!$L$17,rate_vatRU_from_26,rate_vatRu_till_25),0),2)</f>
        <v/>
      </c>
      <c r="S1271" s="177">
        <f>Q1271+IF(AND(offer_incoterms="DDP",seller_region="RU"),R1271,0)</f>
        <v/>
      </c>
      <c r="T1271" s="45" t="n"/>
      <c r="V1271" s="57">
        <f>IF(Q1271&gt;0,"показать","скрыть")</f>
        <v/>
      </c>
    </row>
    <row r="1272" ht="15.75" customHeight="1">
      <c r="B1272" s="809" t="n">
        <v>1256</v>
      </c>
      <c r="C1272" s="182">
        <f>IF(offer_sale_type="транзит",IFERROR(VLOOKUP($B1272,calc_data,C$14+1,0),0),0)</f>
        <v/>
      </c>
      <c r="D1272" s="280">
        <f>IF(offer_sale_type="транзит",IFERROR(VLOOKUP($B1272,calc_data,D$14+1,0),0),0)</f>
        <v/>
      </c>
      <c r="E1272" s="182">
        <f>IF(offer_sale_type="транзит",IFERROR(VLOOKUP($B1272,calc_data,E$14+1,0),0),0)</f>
        <v/>
      </c>
      <c r="F1272" s="182">
        <f>IF(offer_sale_type="транзит",IFERROR(VLOOKUP($B1272,calc_data,F$14+1,0),0),0)</f>
        <v/>
      </c>
      <c r="G1272" s="141">
        <f>IF(offer_sale_type="транзит",IFERROR(VLOOKUP($B1272,calc_data,G$14+1,0),0),0)</f>
        <v/>
      </c>
      <c r="H1272" s="141">
        <f>E1272*G1272</f>
        <v/>
      </c>
      <c r="I1272" s="141">
        <f>IF(offer_sale_type="транзит",IFERROR(ROUND(VLOOKUP($B1272,calc_data,I$14+1,0),2),0),0)</f>
        <v/>
      </c>
      <c r="J1272" s="141">
        <f>ROUND(IF(offer_sale_type="транзит",IFERROR(VLOOKUP($B1272,calc_data,J$14+1,0),0),0),2)</f>
        <v/>
      </c>
      <c r="K1272" s="142">
        <f>IF(offer_sale_type="транзит",IFERROR(ROUNDUP(VLOOKUP($B1272,calc_data,K$14+1,0),2),0),0)</f>
        <v/>
      </c>
      <c r="L1272" s="184">
        <f>IF(offer_sale_type="транзит",IFERROR(ROUNDUP(VLOOKUP($B1272,calc_data,L$14+1,0),2),0),0)</f>
        <v/>
      </c>
      <c r="M1272" s="141">
        <f>IF(offer_sale_type="транзит",IFERROR(ROUNDUP(VLOOKUP($B1272,calc_data,M$14+1,0),2),0),0)</f>
        <v/>
      </c>
      <c r="N1272" s="141">
        <f>IF(offer_sale_type="транзит",IFERROR(ROUNDUP(VLOOKUP($B1272,calc_data,N$14+1,0),2),0),0)</f>
        <v/>
      </c>
      <c r="O1272" s="147">
        <f>IF(offer_sale_type="транзит",IFERROR(ROUND(VLOOKUP($B1272,calc_data,O$14+1,1),2),0),0)</f>
        <v/>
      </c>
      <c r="P1272" s="141">
        <f>IF(offer_sale_type="транзит",IFERROR(ROUND(SUM(I1272:J1272,M1272:O1272)/E1272,2),0),0)</f>
        <v/>
      </c>
      <c r="Q1272" s="141">
        <f>E1272*P1272</f>
        <v/>
      </c>
      <c r="R1272" s="141">
        <f>ROUND(Q1272*IF(AND(offer_incoterms="DDP",seller_region="RU"),IF((TODAY()+offer_turnaround_time)&gt;=helpsheet!$L$17,rate_vatRU_from_26,rate_vatRu_till_25),0),2)</f>
        <v/>
      </c>
      <c r="S1272" s="177">
        <f>Q1272+IF(AND(offer_incoterms="DDP",seller_region="RU"),R1272,0)</f>
        <v/>
      </c>
      <c r="T1272" s="45" t="n"/>
      <c r="V1272" s="57">
        <f>IF(Q1272&gt;0,"показать","скрыть")</f>
        <v/>
      </c>
    </row>
    <row r="1273" ht="15.75" customHeight="1">
      <c r="B1273" s="809" t="n">
        <v>1257</v>
      </c>
      <c r="C1273" s="182">
        <f>IF(offer_sale_type="транзит",IFERROR(VLOOKUP($B1273,calc_data,C$14+1,0),0),0)</f>
        <v/>
      </c>
      <c r="D1273" s="280">
        <f>IF(offer_sale_type="транзит",IFERROR(VLOOKUP($B1273,calc_data,D$14+1,0),0),0)</f>
        <v/>
      </c>
      <c r="E1273" s="182">
        <f>IF(offer_sale_type="транзит",IFERROR(VLOOKUP($B1273,calc_data,E$14+1,0),0),0)</f>
        <v/>
      </c>
      <c r="F1273" s="182">
        <f>IF(offer_sale_type="транзит",IFERROR(VLOOKUP($B1273,calc_data,F$14+1,0),0),0)</f>
        <v/>
      </c>
      <c r="G1273" s="141">
        <f>IF(offer_sale_type="транзит",IFERROR(VLOOKUP($B1273,calc_data,G$14+1,0),0),0)</f>
        <v/>
      </c>
      <c r="H1273" s="141">
        <f>E1273*G1273</f>
        <v/>
      </c>
      <c r="I1273" s="141">
        <f>IF(offer_sale_type="транзит",IFERROR(ROUND(VLOOKUP($B1273,calc_data,I$14+1,0),2),0),0)</f>
        <v/>
      </c>
      <c r="J1273" s="141">
        <f>ROUND(IF(offer_sale_type="транзит",IFERROR(VLOOKUP($B1273,calc_data,J$14+1,0),0),0),2)</f>
        <v/>
      </c>
      <c r="K1273" s="142">
        <f>IF(offer_sale_type="транзит",IFERROR(ROUNDUP(VLOOKUP($B1273,calc_data,K$14+1,0),2),0),0)</f>
        <v/>
      </c>
      <c r="L1273" s="184">
        <f>IF(offer_sale_type="транзит",IFERROR(ROUNDUP(VLOOKUP($B1273,calc_data,L$14+1,0),2),0),0)</f>
        <v/>
      </c>
      <c r="M1273" s="141">
        <f>IF(offer_sale_type="транзит",IFERROR(ROUNDUP(VLOOKUP($B1273,calc_data,M$14+1,0),2),0),0)</f>
        <v/>
      </c>
      <c r="N1273" s="141">
        <f>IF(offer_sale_type="транзит",IFERROR(ROUNDUP(VLOOKUP($B1273,calc_data,N$14+1,0),2),0),0)</f>
        <v/>
      </c>
      <c r="O1273" s="147">
        <f>IF(offer_sale_type="транзит",IFERROR(ROUND(VLOOKUP($B1273,calc_data,O$14+1,1),2),0),0)</f>
        <v/>
      </c>
      <c r="P1273" s="141">
        <f>IF(offer_sale_type="транзит",IFERROR(ROUND(SUM(I1273:J1273,M1273:O1273)/E1273,2),0),0)</f>
        <v/>
      </c>
      <c r="Q1273" s="141">
        <f>E1273*P1273</f>
        <v/>
      </c>
      <c r="R1273" s="141">
        <f>ROUND(Q1273*IF(AND(offer_incoterms="DDP",seller_region="RU"),IF((TODAY()+offer_turnaround_time)&gt;=helpsheet!$L$17,rate_vatRU_from_26,rate_vatRu_till_25),0),2)</f>
        <v/>
      </c>
      <c r="S1273" s="177">
        <f>Q1273+IF(AND(offer_incoterms="DDP",seller_region="RU"),R1273,0)</f>
        <v/>
      </c>
      <c r="T1273" s="45" t="n"/>
      <c r="V1273" s="57">
        <f>IF(Q1273&gt;0,"показать","скрыть")</f>
        <v/>
      </c>
    </row>
    <row r="1274" ht="15.75" customHeight="1">
      <c r="B1274" s="809" t="n">
        <v>1258</v>
      </c>
      <c r="C1274" s="182">
        <f>IF(offer_sale_type="транзит",IFERROR(VLOOKUP($B1274,calc_data,C$14+1,0),0),0)</f>
        <v/>
      </c>
      <c r="D1274" s="280">
        <f>IF(offer_sale_type="транзит",IFERROR(VLOOKUP($B1274,calc_data,D$14+1,0),0),0)</f>
        <v/>
      </c>
      <c r="E1274" s="182">
        <f>IF(offer_sale_type="транзит",IFERROR(VLOOKUP($B1274,calc_data,E$14+1,0),0),0)</f>
        <v/>
      </c>
      <c r="F1274" s="182">
        <f>IF(offer_sale_type="транзит",IFERROR(VLOOKUP($B1274,calc_data,F$14+1,0),0),0)</f>
        <v/>
      </c>
      <c r="G1274" s="141">
        <f>IF(offer_sale_type="транзит",IFERROR(VLOOKUP($B1274,calc_data,G$14+1,0),0),0)</f>
        <v/>
      </c>
      <c r="H1274" s="141">
        <f>E1274*G1274</f>
        <v/>
      </c>
      <c r="I1274" s="141">
        <f>IF(offer_sale_type="транзит",IFERROR(ROUND(VLOOKUP($B1274,calc_data,I$14+1,0),2),0),0)</f>
        <v/>
      </c>
      <c r="J1274" s="141">
        <f>ROUND(IF(offer_sale_type="транзит",IFERROR(VLOOKUP($B1274,calc_data,J$14+1,0),0),0),2)</f>
        <v/>
      </c>
      <c r="K1274" s="142">
        <f>IF(offer_sale_type="транзит",IFERROR(ROUNDUP(VLOOKUP($B1274,calc_data,K$14+1,0),2),0),0)</f>
        <v/>
      </c>
      <c r="L1274" s="184">
        <f>IF(offer_sale_type="транзит",IFERROR(ROUNDUP(VLOOKUP($B1274,calc_data,L$14+1,0),2),0),0)</f>
        <v/>
      </c>
      <c r="M1274" s="141">
        <f>IF(offer_sale_type="транзит",IFERROR(ROUNDUP(VLOOKUP($B1274,calc_data,M$14+1,0),2),0),0)</f>
        <v/>
      </c>
      <c r="N1274" s="141">
        <f>IF(offer_sale_type="транзит",IFERROR(ROUNDUP(VLOOKUP($B1274,calc_data,N$14+1,0),2),0),0)</f>
        <v/>
      </c>
      <c r="O1274" s="147">
        <f>IF(offer_sale_type="транзит",IFERROR(ROUND(VLOOKUP($B1274,calc_data,O$14+1,1),2),0),0)</f>
        <v/>
      </c>
      <c r="P1274" s="141">
        <f>IF(offer_sale_type="транзит",IFERROR(ROUND(SUM(I1274:J1274,M1274:O1274)/E1274,2),0),0)</f>
        <v/>
      </c>
      <c r="Q1274" s="141">
        <f>E1274*P1274</f>
        <v/>
      </c>
      <c r="R1274" s="141">
        <f>ROUND(Q1274*IF(AND(offer_incoterms="DDP",seller_region="RU"),IF((TODAY()+offer_turnaround_time)&gt;=helpsheet!$L$17,rate_vatRU_from_26,rate_vatRu_till_25),0),2)</f>
        <v/>
      </c>
      <c r="S1274" s="177">
        <f>Q1274+IF(AND(offer_incoterms="DDP",seller_region="RU"),R1274,0)</f>
        <v/>
      </c>
      <c r="T1274" s="45" t="n"/>
      <c r="V1274" s="57">
        <f>IF(Q1274&gt;0,"показать","скрыть")</f>
        <v/>
      </c>
    </row>
    <row r="1275" ht="15.75" customHeight="1">
      <c r="B1275" s="809" t="n">
        <v>1259</v>
      </c>
      <c r="C1275" s="182">
        <f>IF(offer_sale_type="транзит",IFERROR(VLOOKUP($B1275,calc_data,C$14+1,0),0),0)</f>
        <v/>
      </c>
      <c r="D1275" s="280">
        <f>IF(offer_sale_type="транзит",IFERROR(VLOOKUP($B1275,calc_data,D$14+1,0),0),0)</f>
        <v/>
      </c>
      <c r="E1275" s="182">
        <f>IF(offer_sale_type="транзит",IFERROR(VLOOKUP($B1275,calc_data,E$14+1,0),0),0)</f>
        <v/>
      </c>
      <c r="F1275" s="182">
        <f>IF(offer_sale_type="транзит",IFERROR(VLOOKUP($B1275,calc_data,F$14+1,0),0),0)</f>
        <v/>
      </c>
      <c r="G1275" s="141">
        <f>IF(offer_sale_type="транзит",IFERROR(VLOOKUP($B1275,calc_data,G$14+1,0),0),0)</f>
        <v/>
      </c>
      <c r="H1275" s="141">
        <f>E1275*G1275</f>
        <v/>
      </c>
      <c r="I1275" s="141">
        <f>IF(offer_sale_type="транзит",IFERROR(ROUND(VLOOKUP($B1275,calc_data,I$14+1,0),2),0),0)</f>
        <v/>
      </c>
      <c r="J1275" s="141">
        <f>ROUND(IF(offer_sale_type="транзит",IFERROR(VLOOKUP($B1275,calc_data,J$14+1,0),0),0),2)</f>
        <v/>
      </c>
      <c r="K1275" s="142">
        <f>IF(offer_sale_type="транзит",IFERROR(ROUNDUP(VLOOKUP($B1275,calc_data,K$14+1,0),2),0),0)</f>
        <v/>
      </c>
      <c r="L1275" s="184">
        <f>IF(offer_sale_type="транзит",IFERROR(ROUNDUP(VLOOKUP($B1275,calc_data,L$14+1,0),2),0),0)</f>
        <v/>
      </c>
      <c r="M1275" s="141">
        <f>IF(offer_sale_type="транзит",IFERROR(ROUNDUP(VLOOKUP($B1275,calc_data,M$14+1,0),2),0),0)</f>
        <v/>
      </c>
      <c r="N1275" s="141">
        <f>IF(offer_sale_type="транзит",IFERROR(ROUNDUP(VLOOKUP($B1275,calc_data,N$14+1,0),2),0),0)</f>
        <v/>
      </c>
      <c r="O1275" s="147">
        <f>IF(offer_sale_type="транзит",IFERROR(ROUND(VLOOKUP($B1275,calc_data,O$14+1,1),2),0),0)</f>
        <v/>
      </c>
      <c r="P1275" s="141">
        <f>IF(offer_sale_type="транзит",IFERROR(ROUND(SUM(I1275:J1275,M1275:O1275)/E1275,2),0),0)</f>
        <v/>
      </c>
      <c r="Q1275" s="141">
        <f>E1275*P1275</f>
        <v/>
      </c>
      <c r="R1275" s="141">
        <f>ROUND(Q1275*IF(AND(offer_incoterms="DDP",seller_region="RU"),IF((TODAY()+offer_turnaround_time)&gt;=helpsheet!$L$17,rate_vatRU_from_26,rate_vatRu_till_25),0),2)</f>
        <v/>
      </c>
      <c r="S1275" s="177">
        <f>Q1275+IF(AND(offer_incoterms="DDP",seller_region="RU"),R1275,0)</f>
        <v/>
      </c>
      <c r="T1275" s="45" t="n"/>
      <c r="V1275" s="57">
        <f>IF(Q1275&gt;0,"показать","скрыть")</f>
        <v/>
      </c>
    </row>
    <row r="1276" ht="15.75" customHeight="1">
      <c r="B1276" s="809" t="n">
        <v>1260</v>
      </c>
      <c r="C1276" s="182">
        <f>IF(offer_sale_type="транзит",IFERROR(VLOOKUP($B1276,calc_data,C$14+1,0),0),0)</f>
        <v/>
      </c>
      <c r="D1276" s="280">
        <f>IF(offer_sale_type="транзит",IFERROR(VLOOKUP($B1276,calc_data,D$14+1,0),0),0)</f>
        <v/>
      </c>
      <c r="E1276" s="182">
        <f>IF(offer_sale_type="транзит",IFERROR(VLOOKUP($B1276,calc_data,E$14+1,0),0),0)</f>
        <v/>
      </c>
      <c r="F1276" s="182">
        <f>IF(offer_sale_type="транзит",IFERROR(VLOOKUP($B1276,calc_data,F$14+1,0),0),0)</f>
        <v/>
      </c>
      <c r="G1276" s="141">
        <f>IF(offer_sale_type="транзит",IFERROR(VLOOKUP($B1276,calc_data,G$14+1,0),0),0)</f>
        <v/>
      </c>
      <c r="H1276" s="141">
        <f>E1276*G1276</f>
        <v/>
      </c>
      <c r="I1276" s="141">
        <f>IF(offer_sale_type="транзит",IFERROR(ROUND(VLOOKUP($B1276,calc_data,I$14+1,0),2),0),0)</f>
        <v/>
      </c>
      <c r="J1276" s="141">
        <f>ROUND(IF(offer_sale_type="транзит",IFERROR(VLOOKUP($B1276,calc_data,J$14+1,0),0),0),2)</f>
        <v/>
      </c>
      <c r="K1276" s="142">
        <f>IF(offer_sale_type="транзит",IFERROR(ROUNDUP(VLOOKUP($B1276,calc_data,K$14+1,0),2),0),0)</f>
        <v/>
      </c>
      <c r="L1276" s="184">
        <f>IF(offer_sale_type="транзит",IFERROR(ROUNDUP(VLOOKUP($B1276,calc_data,L$14+1,0),2),0),0)</f>
        <v/>
      </c>
      <c r="M1276" s="141">
        <f>IF(offer_sale_type="транзит",IFERROR(ROUNDUP(VLOOKUP($B1276,calc_data,M$14+1,0),2),0),0)</f>
        <v/>
      </c>
      <c r="N1276" s="141">
        <f>IF(offer_sale_type="транзит",IFERROR(ROUNDUP(VLOOKUP($B1276,calc_data,N$14+1,0),2),0),0)</f>
        <v/>
      </c>
      <c r="O1276" s="147">
        <f>IF(offer_sale_type="транзит",IFERROR(ROUND(VLOOKUP($B1276,calc_data,O$14+1,1),2),0),0)</f>
        <v/>
      </c>
      <c r="P1276" s="141">
        <f>IF(offer_sale_type="транзит",IFERROR(ROUND(SUM(I1276:J1276,M1276:O1276)/E1276,2),0),0)</f>
        <v/>
      </c>
      <c r="Q1276" s="141">
        <f>E1276*P1276</f>
        <v/>
      </c>
      <c r="R1276" s="141">
        <f>ROUND(Q1276*IF(AND(offer_incoterms="DDP",seller_region="RU"),IF((TODAY()+offer_turnaround_time)&gt;=helpsheet!$L$17,rate_vatRU_from_26,rate_vatRu_till_25),0),2)</f>
        <v/>
      </c>
      <c r="S1276" s="177">
        <f>Q1276+IF(AND(offer_incoterms="DDP",seller_region="RU"),R1276,0)</f>
        <v/>
      </c>
      <c r="T1276" s="45" t="n"/>
      <c r="V1276" s="57">
        <f>IF(Q1276&gt;0,"показать","скрыть")</f>
        <v/>
      </c>
    </row>
    <row r="1277" ht="15.75" customHeight="1">
      <c r="B1277" s="809" t="n">
        <v>1261</v>
      </c>
      <c r="C1277" s="182">
        <f>IF(offer_sale_type="транзит",IFERROR(VLOOKUP($B1277,calc_data,C$14+1,0),0),0)</f>
        <v/>
      </c>
      <c r="D1277" s="280">
        <f>IF(offer_sale_type="транзит",IFERROR(VLOOKUP($B1277,calc_data,D$14+1,0),0),0)</f>
        <v/>
      </c>
      <c r="E1277" s="182">
        <f>IF(offer_sale_type="транзит",IFERROR(VLOOKUP($B1277,calc_data,E$14+1,0),0),0)</f>
        <v/>
      </c>
      <c r="F1277" s="182">
        <f>IF(offer_sale_type="транзит",IFERROR(VLOOKUP($B1277,calc_data,F$14+1,0),0),0)</f>
        <v/>
      </c>
      <c r="G1277" s="141">
        <f>IF(offer_sale_type="транзит",IFERROR(VLOOKUP($B1277,calc_data,G$14+1,0),0),0)</f>
        <v/>
      </c>
      <c r="H1277" s="141">
        <f>E1277*G1277</f>
        <v/>
      </c>
      <c r="I1277" s="141">
        <f>IF(offer_sale_type="транзит",IFERROR(ROUND(VLOOKUP($B1277,calc_data,I$14+1,0),2),0),0)</f>
        <v/>
      </c>
      <c r="J1277" s="141">
        <f>ROUND(IF(offer_sale_type="транзит",IFERROR(VLOOKUP($B1277,calc_data,J$14+1,0),0),0),2)</f>
        <v/>
      </c>
      <c r="K1277" s="142">
        <f>IF(offer_sale_type="транзит",IFERROR(ROUNDUP(VLOOKUP($B1277,calc_data,K$14+1,0),2),0),0)</f>
        <v/>
      </c>
      <c r="L1277" s="184">
        <f>IF(offer_sale_type="транзит",IFERROR(ROUNDUP(VLOOKUP($B1277,calc_data,L$14+1,0),2),0),0)</f>
        <v/>
      </c>
      <c r="M1277" s="141">
        <f>IF(offer_sale_type="транзит",IFERROR(ROUNDUP(VLOOKUP($B1277,calc_data,M$14+1,0),2),0),0)</f>
        <v/>
      </c>
      <c r="N1277" s="141">
        <f>IF(offer_sale_type="транзит",IFERROR(ROUNDUP(VLOOKUP($B1277,calc_data,N$14+1,0),2),0),0)</f>
        <v/>
      </c>
      <c r="O1277" s="147">
        <f>IF(offer_sale_type="транзит",IFERROR(ROUND(VLOOKUP($B1277,calc_data,O$14+1,1),2),0),0)</f>
        <v/>
      </c>
      <c r="P1277" s="141">
        <f>IF(offer_sale_type="транзит",IFERROR(ROUND(SUM(I1277:J1277,M1277:O1277)/E1277,2),0),0)</f>
        <v/>
      </c>
      <c r="Q1277" s="141">
        <f>E1277*P1277</f>
        <v/>
      </c>
      <c r="R1277" s="141">
        <f>ROUND(Q1277*IF(AND(offer_incoterms="DDP",seller_region="RU"),IF((TODAY()+offer_turnaround_time)&gt;=helpsheet!$L$17,rate_vatRU_from_26,rate_vatRu_till_25),0),2)</f>
        <v/>
      </c>
      <c r="S1277" s="177">
        <f>Q1277+IF(AND(offer_incoterms="DDP",seller_region="RU"),R1277,0)</f>
        <v/>
      </c>
      <c r="T1277" s="45" t="n"/>
      <c r="V1277" s="57">
        <f>IF(Q1277&gt;0,"показать","скрыть")</f>
        <v/>
      </c>
    </row>
    <row r="1278" ht="15.75" customHeight="1">
      <c r="B1278" s="809" t="n">
        <v>1262</v>
      </c>
      <c r="C1278" s="182">
        <f>IF(offer_sale_type="транзит",IFERROR(VLOOKUP($B1278,calc_data,C$14+1,0),0),0)</f>
        <v/>
      </c>
      <c r="D1278" s="280">
        <f>IF(offer_sale_type="транзит",IFERROR(VLOOKUP($B1278,calc_data,D$14+1,0),0),0)</f>
        <v/>
      </c>
      <c r="E1278" s="182">
        <f>IF(offer_sale_type="транзит",IFERROR(VLOOKUP($B1278,calc_data,E$14+1,0),0),0)</f>
        <v/>
      </c>
      <c r="F1278" s="182">
        <f>IF(offer_sale_type="транзит",IFERROR(VLOOKUP($B1278,calc_data,F$14+1,0),0),0)</f>
        <v/>
      </c>
      <c r="G1278" s="141">
        <f>IF(offer_sale_type="транзит",IFERROR(VLOOKUP($B1278,calc_data,G$14+1,0),0),0)</f>
        <v/>
      </c>
      <c r="H1278" s="141">
        <f>E1278*G1278</f>
        <v/>
      </c>
      <c r="I1278" s="141">
        <f>IF(offer_sale_type="транзит",IFERROR(ROUND(VLOOKUP($B1278,calc_data,I$14+1,0),2),0),0)</f>
        <v/>
      </c>
      <c r="J1278" s="141">
        <f>ROUND(IF(offer_sale_type="транзит",IFERROR(VLOOKUP($B1278,calc_data,J$14+1,0),0),0),2)</f>
        <v/>
      </c>
      <c r="K1278" s="142">
        <f>IF(offer_sale_type="транзит",IFERROR(ROUNDUP(VLOOKUP($B1278,calc_data,K$14+1,0),2),0),0)</f>
        <v/>
      </c>
      <c r="L1278" s="184">
        <f>IF(offer_sale_type="транзит",IFERROR(ROUNDUP(VLOOKUP($B1278,calc_data,L$14+1,0),2),0),0)</f>
        <v/>
      </c>
      <c r="M1278" s="141">
        <f>IF(offer_sale_type="транзит",IFERROR(ROUNDUP(VLOOKUP($B1278,calc_data,M$14+1,0),2),0),0)</f>
        <v/>
      </c>
      <c r="N1278" s="141">
        <f>IF(offer_sale_type="транзит",IFERROR(ROUNDUP(VLOOKUP($B1278,calc_data,N$14+1,0),2),0),0)</f>
        <v/>
      </c>
      <c r="O1278" s="147">
        <f>IF(offer_sale_type="транзит",IFERROR(ROUND(VLOOKUP($B1278,calc_data,O$14+1,1),2),0),0)</f>
        <v/>
      </c>
      <c r="P1278" s="141">
        <f>IF(offer_sale_type="транзит",IFERROR(ROUND(SUM(I1278:J1278,M1278:O1278)/E1278,2),0),0)</f>
        <v/>
      </c>
      <c r="Q1278" s="141">
        <f>E1278*P1278</f>
        <v/>
      </c>
      <c r="R1278" s="141">
        <f>ROUND(Q1278*IF(AND(offer_incoterms="DDP",seller_region="RU"),IF((TODAY()+offer_turnaround_time)&gt;=helpsheet!$L$17,rate_vatRU_from_26,rate_vatRu_till_25),0),2)</f>
        <v/>
      </c>
      <c r="S1278" s="177">
        <f>Q1278+IF(AND(offer_incoterms="DDP",seller_region="RU"),R1278,0)</f>
        <v/>
      </c>
      <c r="T1278" s="45" t="n"/>
      <c r="V1278" s="57">
        <f>IF(Q1278&gt;0,"показать","скрыть")</f>
        <v/>
      </c>
    </row>
    <row r="1279" ht="15.75" customHeight="1">
      <c r="B1279" s="809" t="n">
        <v>1263</v>
      </c>
      <c r="C1279" s="182">
        <f>IF(offer_sale_type="транзит",IFERROR(VLOOKUP($B1279,calc_data,C$14+1,0),0),0)</f>
        <v/>
      </c>
      <c r="D1279" s="280">
        <f>IF(offer_sale_type="транзит",IFERROR(VLOOKUP($B1279,calc_data,D$14+1,0),0),0)</f>
        <v/>
      </c>
      <c r="E1279" s="182">
        <f>IF(offer_sale_type="транзит",IFERROR(VLOOKUP($B1279,calc_data,E$14+1,0),0),0)</f>
        <v/>
      </c>
      <c r="F1279" s="182">
        <f>IF(offer_sale_type="транзит",IFERROR(VLOOKUP($B1279,calc_data,F$14+1,0),0),0)</f>
        <v/>
      </c>
      <c r="G1279" s="141">
        <f>IF(offer_sale_type="транзит",IFERROR(VLOOKUP($B1279,calc_data,G$14+1,0),0),0)</f>
        <v/>
      </c>
      <c r="H1279" s="141">
        <f>E1279*G1279</f>
        <v/>
      </c>
      <c r="I1279" s="141">
        <f>IF(offer_sale_type="транзит",IFERROR(ROUND(VLOOKUP($B1279,calc_data,I$14+1,0),2),0),0)</f>
        <v/>
      </c>
      <c r="J1279" s="141">
        <f>ROUND(IF(offer_sale_type="транзит",IFERROR(VLOOKUP($B1279,calc_data,J$14+1,0),0),0),2)</f>
        <v/>
      </c>
      <c r="K1279" s="142">
        <f>IF(offer_sale_type="транзит",IFERROR(ROUNDUP(VLOOKUP($B1279,calc_data,K$14+1,0),2),0),0)</f>
        <v/>
      </c>
      <c r="L1279" s="184">
        <f>IF(offer_sale_type="транзит",IFERROR(ROUNDUP(VLOOKUP($B1279,calc_data,L$14+1,0),2),0),0)</f>
        <v/>
      </c>
      <c r="M1279" s="141">
        <f>IF(offer_sale_type="транзит",IFERROR(ROUNDUP(VLOOKUP($B1279,calc_data,M$14+1,0),2),0),0)</f>
        <v/>
      </c>
      <c r="N1279" s="141">
        <f>IF(offer_sale_type="транзит",IFERROR(ROUNDUP(VLOOKUP($B1279,calc_data,N$14+1,0),2),0),0)</f>
        <v/>
      </c>
      <c r="O1279" s="147">
        <f>IF(offer_sale_type="транзит",IFERROR(ROUND(VLOOKUP($B1279,calc_data,O$14+1,1),2),0),0)</f>
        <v/>
      </c>
      <c r="P1279" s="141">
        <f>IF(offer_sale_type="транзит",IFERROR(ROUND(SUM(I1279:J1279,M1279:O1279)/E1279,2),0),0)</f>
        <v/>
      </c>
      <c r="Q1279" s="141">
        <f>E1279*P1279</f>
        <v/>
      </c>
      <c r="R1279" s="141">
        <f>ROUND(Q1279*IF(AND(offer_incoterms="DDP",seller_region="RU"),IF((TODAY()+offer_turnaround_time)&gt;=helpsheet!$L$17,rate_vatRU_from_26,rate_vatRu_till_25),0),2)</f>
        <v/>
      </c>
      <c r="S1279" s="177">
        <f>Q1279+IF(AND(offer_incoterms="DDP",seller_region="RU"),R1279,0)</f>
        <v/>
      </c>
      <c r="T1279" s="45" t="n"/>
      <c r="V1279" s="57">
        <f>IF(Q1279&gt;0,"показать","скрыть")</f>
        <v/>
      </c>
    </row>
    <row r="1280" ht="15.75" customHeight="1">
      <c r="B1280" s="809" t="n">
        <v>1264</v>
      </c>
      <c r="C1280" s="182">
        <f>IF(offer_sale_type="транзит",IFERROR(VLOOKUP($B1280,calc_data,C$14+1,0),0),0)</f>
        <v/>
      </c>
      <c r="D1280" s="280">
        <f>IF(offer_sale_type="транзит",IFERROR(VLOOKUP($B1280,calc_data,D$14+1,0),0),0)</f>
        <v/>
      </c>
      <c r="E1280" s="182">
        <f>IF(offer_sale_type="транзит",IFERROR(VLOOKUP($B1280,calc_data,E$14+1,0),0),0)</f>
        <v/>
      </c>
      <c r="F1280" s="182">
        <f>IF(offer_sale_type="транзит",IFERROR(VLOOKUP($B1280,calc_data,F$14+1,0),0),0)</f>
        <v/>
      </c>
      <c r="G1280" s="141">
        <f>IF(offer_sale_type="транзит",IFERROR(VLOOKUP($B1280,calc_data,G$14+1,0),0),0)</f>
        <v/>
      </c>
      <c r="H1280" s="141">
        <f>E1280*G1280</f>
        <v/>
      </c>
      <c r="I1280" s="141">
        <f>IF(offer_sale_type="транзит",IFERROR(ROUND(VLOOKUP($B1280,calc_data,I$14+1,0),2),0),0)</f>
        <v/>
      </c>
      <c r="J1280" s="141">
        <f>ROUND(IF(offer_sale_type="транзит",IFERROR(VLOOKUP($B1280,calc_data,J$14+1,0),0),0),2)</f>
        <v/>
      </c>
      <c r="K1280" s="142">
        <f>IF(offer_sale_type="транзит",IFERROR(ROUNDUP(VLOOKUP($B1280,calc_data,K$14+1,0),2),0),0)</f>
        <v/>
      </c>
      <c r="L1280" s="184">
        <f>IF(offer_sale_type="транзит",IFERROR(ROUNDUP(VLOOKUP($B1280,calc_data,L$14+1,0),2),0),0)</f>
        <v/>
      </c>
      <c r="M1280" s="141">
        <f>IF(offer_sale_type="транзит",IFERROR(ROUNDUP(VLOOKUP($B1280,calc_data,M$14+1,0),2),0),0)</f>
        <v/>
      </c>
      <c r="N1280" s="141">
        <f>IF(offer_sale_type="транзит",IFERROR(ROUNDUP(VLOOKUP($B1280,calc_data,N$14+1,0),2),0),0)</f>
        <v/>
      </c>
      <c r="O1280" s="147">
        <f>IF(offer_sale_type="транзит",IFERROR(ROUND(VLOOKUP($B1280,calc_data,O$14+1,1),2),0),0)</f>
        <v/>
      </c>
      <c r="P1280" s="141">
        <f>IF(offer_sale_type="транзит",IFERROR(ROUND(SUM(I1280:J1280,M1280:O1280)/E1280,2),0),0)</f>
        <v/>
      </c>
      <c r="Q1280" s="141">
        <f>E1280*P1280</f>
        <v/>
      </c>
      <c r="R1280" s="141">
        <f>ROUND(Q1280*IF(AND(offer_incoterms="DDP",seller_region="RU"),IF((TODAY()+offer_turnaround_time)&gt;=helpsheet!$L$17,rate_vatRU_from_26,rate_vatRu_till_25),0),2)</f>
        <v/>
      </c>
      <c r="S1280" s="177">
        <f>Q1280+IF(AND(offer_incoterms="DDP",seller_region="RU"),R1280,0)</f>
        <v/>
      </c>
      <c r="T1280" s="45" t="n"/>
      <c r="V1280" s="57">
        <f>IF(Q1280&gt;0,"показать","скрыть")</f>
        <v/>
      </c>
    </row>
    <row r="1281" ht="15.75" customHeight="1">
      <c r="B1281" s="809" t="n">
        <v>1265</v>
      </c>
      <c r="C1281" s="182">
        <f>IF(offer_sale_type="транзит",IFERROR(VLOOKUP($B1281,calc_data,C$14+1,0),0),0)</f>
        <v/>
      </c>
      <c r="D1281" s="280">
        <f>IF(offer_sale_type="транзит",IFERROR(VLOOKUP($B1281,calc_data,D$14+1,0),0),0)</f>
        <v/>
      </c>
      <c r="E1281" s="182">
        <f>IF(offer_sale_type="транзит",IFERROR(VLOOKUP($B1281,calc_data,E$14+1,0),0),0)</f>
        <v/>
      </c>
      <c r="F1281" s="182">
        <f>IF(offer_sale_type="транзит",IFERROR(VLOOKUP($B1281,calc_data,F$14+1,0),0),0)</f>
        <v/>
      </c>
      <c r="G1281" s="141">
        <f>IF(offer_sale_type="транзит",IFERROR(VLOOKUP($B1281,calc_data,G$14+1,0),0),0)</f>
        <v/>
      </c>
      <c r="H1281" s="141">
        <f>E1281*G1281</f>
        <v/>
      </c>
      <c r="I1281" s="141">
        <f>IF(offer_sale_type="транзит",IFERROR(ROUND(VLOOKUP($B1281,calc_data,I$14+1,0),2),0),0)</f>
        <v/>
      </c>
      <c r="J1281" s="141">
        <f>ROUND(IF(offer_sale_type="транзит",IFERROR(VLOOKUP($B1281,calc_data,J$14+1,0),0),0),2)</f>
        <v/>
      </c>
      <c r="K1281" s="142">
        <f>IF(offer_sale_type="транзит",IFERROR(ROUNDUP(VLOOKUP($B1281,calc_data,K$14+1,0),2),0),0)</f>
        <v/>
      </c>
      <c r="L1281" s="184">
        <f>IF(offer_sale_type="транзит",IFERROR(ROUNDUP(VLOOKUP($B1281,calc_data,L$14+1,0),2),0),0)</f>
        <v/>
      </c>
      <c r="M1281" s="141">
        <f>IF(offer_sale_type="транзит",IFERROR(ROUNDUP(VLOOKUP($B1281,calc_data,M$14+1,0),2),0),0)</f>
        <v/>
      </c>
      <c r="N1281" s="141">
        <f>IF(offer_sale_type="транзит",IFERROR(ROUNDUP(VLOOKUP($B1281,calc_data,N$14+1,0),2),0),0)</f>
        <v/>
      </c>
      <c r="O1281" s="147">
        <f>IF(offer_sale_type="транзит",IFERROR(ROUND(VLOOKUP($B1281,calc_data,O$14+1,1),2),0),0)</f>
        <v/>
      </c>
      <c r="P1281" s="141">
        <f>IF(offer_sale_type="транзит",IFERROR(ROUND(SUM(I1281:J1281,M1281:O1281)/E1281,2),0),0)</f>
        <v/>
      </c>
      <c r="Q1281" s="141">
        <f>E1281*P1281</f>
        <v/>
      </c>
      <c r="R1281" s="141">
        <f>ROUND(Q1281*IF(AND(offer_incoterms="DDP",seller_region="RU"),IF((TODAY()+offer_turnaround_time)&gt;=helpsheet!$L$17,rate_vatRU_from_26,rate_vatRu_till_25),0),2)</f>
        <v/>
      </c>
      <c r="S1281" s="177">
        <f>Q1281+IF(AND(offer_incoterms="DDP",seller_region="RU"),R1281,0)</f>
        <v/>
      </c>
      <c r="T1281" s="45" t="n"/>
      <c r="V1281" s="57">
        <f>IF(Q1281&gt;0,"показать","скрыть")</f>
        <v/>
      </c>
    </row>
    <row r="1282" ht="15.75" customHeight="1">
      <c r="B1282" s="809" t="n">
        <v>1266</v>
      </c>
      <c r="C1282" s="182">
        <f>IF(offer_sale_type="транзит",IFERROR(VLOOKUP($B1282,calc_data,C$14+1,0),0),0)</f>
        <v/>
      </c>
      <c r="D1282" s="280">
        <f>IF(offer_sale_type="транзит",IFERROR(VLOOKUP($B1282,calc_data,D$14+1,0),0),0)</f>
        <v/>
      </c>
      <c r="E1282" s="182">
        <f>IF(offer_sale_type="транзит",IFERROR(VLOOKUP($B1282,calc_data,E$14+1,0),0),0)</f>
        <v/>
      </c>
      <c r="F1282" s="182">
        <f>IF(offer_sale_type="транзит",IFERROR(VLOOKUP($B1282,calc_data,F$14+1,0),0),0)</f>
        <v/>
      </c>
      <c r="G1282" s="141">
        <f>IF(offer_sale_type="транзит",IFERROR(VLOOKUP($B1282,calc_data,G$14+1,0),0),0)</f>
        <v/>
      </c>
      <c r="H1282" s="141">
        <f>E1282*G1282</f>
        <v/>
      </c>
      <c r="I1282" s="141">
        <f>IF(offer_sale_type="транзит",IFERROR(ROUND(VLOOKUP($B1282,calc_data,I$14+1,0),2),0),0)</f>
        <v/>
      </c>
      <c r="J1282" s="141">
        <f>ROUND(IF(offer_sale_type="транзит",IFERROR(VLOOKUP($B1282,calc_data,J$14+1,0),0),0),2)</f>
        <v/>
      </c>
      <c r="K1282" s="142">
        <f>IF(offer_sale_type="транзит",IFERROR(ROUNDUP(VLOOKUP($B1282,calc_data,K$14+1,0),2),0),0)</f>
        <v/>
      </c>
      <c r="L1282" s="184">
        <f>IF(offer_sale_type="транзит",IFERROR(ROUNDUP(VLOOKUP($B1282,calc_data,L$14+1,0),2),0),0)</f>
        <v/>
      </c>
      <c r="M1282" s="141">
        <f>IF(offer_sale_type="транзит",IFERROR(ROUNDUP(VLOOKUP($B1282,calc_data,M$14+1,0),2),0),0)</f>
        <v/>
      </c>
      <c r="N1282" s="141">
        <f>IF(offer_sale_type="транзит",IFERROR(ROUNDUP(VLOOKUP($B1282,calc_data,N$14+1,0),2),0),0)</f>
        <v/>
      </c>
      <c r="O1282" s="147">
        <f>IF(offer_sale_type="транзит",IFERROR(ROUND(VLOOKUP($B1282,calc_data,O$14+1,1),2),0),0)</f>
        <v/>
      </c>
      <c r="P1282" s="141">
        <f>IF(offer_sale_type="транзит",IFERROR(ROUND(SUM(I1282:J1282,M1282:O1282)/E1282,2),0),0)</f>
        <v/>
      </c>
      <c r="Q1282" s="141">
        <f>E1282*P1282</f>
        <v/>
      </c>
      <c r="R1282" s="141">
        <f>ROUND(Q1282*IF(AND(offer_incoterms="DDP",seller_region="RU"),IF((TODAY()+offer_turnaround_time)&gt;=helpsheet!$L$17,rate_vatRU_from_26,rate_vatRu_till_25),0),2)</f>
        <v/>
      </c>
      <c r="S1282" s="177">
        <f>Q1282+IF(AND(offer_incoterms="DDP",seller_region="RU"),R1282,0)</f>
        <v/>
      </c>
      <c r="T1282" s="45" t="n"/>
      <c r="V1282" s="57">
        <f>IF(Q1282&gt;0,"показать","скрыть")</f>
        <v/>
      </c>
    </row>
    <row r="1283" ht="15.75" customHeight="1">
      <c r="B1283" s="809" t="n">
        <v>1267</v>
      </c>
      <c r="C1283" s="182">
        <f>IF(offer_sale_type="транзит",IFERROR(VLOOKUP($B1283,calc_data,C$14+1,0),0),0)</f>
        <v/>
      </c>
      <c r="D1283" s="280">
        <f>IF(offer_sale_type="транзит",IFERROR(VLOOKUP($B1283,calc_data,D$14+1,0),0),0)</f>
        <v/>
      </c>
      <c r="E1283" s="182">
        <f>IF(offer_sale_type="транзит",IFERROR(VLOOKUP($B1283,calc_data,E$14+1,0),0),0)</f>
        <v/>
      </c>
      <c r="F1283" s="182">
        <f>IF(offer_sale_type="транзит",IFERROR(VLOOKUP($B1283,calc_data,F$14+1,0),0),0)</f>
        <v/>
      </c>
      <c r="G1283" s="141">
        <f>IF(offer_sale_type="транзит",IFERROR(VLOOKUP($B1283,calc_data,G$14+1,0),0),0)</f>
        <v/>
      </c>
      <c r="H1283" s="141">
        <f>E1283*G1283</f>
        <v/>
      </c>
      <c r="I1283" s="141">
        <f>IF(offer_sale_type="транзит",IFERROR(ROUND(VLOOKUP($B1283,calc_data,I$14+1,0),2),0),0)</f>
        <v/>
      </c>
      <c r="J1283" s="141">
        <f>ROUND(IF(offer_sale_type="транзит",IFERROR(VLOOKUP($B1283,calc_data,J$14+1,0),0),0),2)</f>
        <v/>
      </c>
      <c r="K1283" s="142">
        <f>IF(offer_sale_type="транзит",IFERROR(ROUNDUP(VLOOKUP($B1283,calc_data,K$14+1,0),2),0),0)</f>
        <v/>
      </c>
      <c r="L1283" s="184">
        <f>IF(offer_sale_type="транзит",IFERROR(ROUNDUP(VLOOKUP($B1283,calc_data,L$14+1,0),2),0),0)</f>
        <v/>
      </c>
      <c r="M1283" s="141">
        <f>IF(offer_sale_type="транзит",IFERROR(ROUNDUP(VLOOKUP($B1283,calc_data,M$14+1,0),2),0),0)</f>
        <v/>
      </c>
      <c r="N1283" s="141">
        <f>IF(offer_sale_type="транзит",IFERROR(ROUNDUP(VLOOKUP($B1283,calc_data,N$14+1,0),2),0),0)</f>
        <v/>
      </c>
      <c r="O1283" s="147">
        <f>IF(offer_sale_type="транзит",IFERROR(ROUND(VLOOKUP($B1283,calc_data,O$14+1,1),2),0),0)</f>
        <v/>
      </c>
      <c r="P1283" s="141">
        <f>IF(offer_sale_type="транзит",IFERROR(ROUND(SUM(I1283:J1283,M1283:O1283)/E1283,2),0),0)</f>
        <v/>
      </c>
      <c r="Q1283" s="141">
        <f>E1283*P1283</f>
        <v/>
      </c>
      <c r="R1283" s="141">
        <f>ROUND(Q1283*IF(AND(offer_incoterms="DDP",seller_region="RU"),IF((TODAY()+offer_turnaround_time)&gt;=helpsheet!$L$17,rate_vatRU_from_26,rate_vatRu_till_25),0),2)</f>
        <v/>
      </c>
      <c r="S1283" s="177">
        <f>Q1283+IF(AND(offer_incoterms="DDP",seller_region="RU"),R1283,0)</f>
        <v/>
      </c>
      <c r="T1283" s="45" t="n"/>
      <c r="V1283" s="57">
        <f>IF(Q1283&gt;0,"показать","скрыть")</f>
        <v/>
      </c>
    </row>
    <row r="1284" ht="15.75" customHeight="1">
      <c r="B1284" s="809" t="n">
        <v>1268</v>
      </c>
      <c r="C1284" s="182">
        <f>IF(offer_sale_type="транзит",IFERROR(VLOOKUP($B1284,calc_data,C$14+1,0),0),0)</f>
        <v/>
      </c>
      <c r="D1284" s="280">
        <f>IF(offer_sale_type="транзит",IFERROR(VLOOKUP($B1284,calc_data,D$14+1,0),0),0)</f>
        <v/>
      </c>
      <c r="E1284" s="182">
        <f>IF(offer_sale_type="транзит",IFERROR(VLOOKUP($B1284,calc_data,E$14+1,0),0),0)</f>
        <v/>
      </c>
      <c r="F1284" s="182">
        <f>IF(offer_sale_type="транзит",IFERROR(VLOOKUP($B1284,calc_data,F$14+1,0),0),0)</f>
        <v/>
      </c>
      <c r="G1284" s="141">
        <f>IF(offer_sale_type="транзит",IFERROR(VLOOKUP($B1284,calc_data,G$14+1,0),0),0)</f>
        <v/>
      </c>
      <c r="H1284" s="141">
        <f>E1284*G1284</f>
        <v/>
      </c>
      <c r="I1284" s="141">
        <f>IF(offer_sale_type="транзит",IFERROR(ROUND(VLOOKUP($B1284,calc_data,I$14+1,0),2),0),0)</f>
        <v/>
      </c>
      <c r="J1284" s="141">
        <f>ROUND(IF(offer_sale_type="транзит",IFERROR(VLOOKUP($B1284,calc_data,J$14+1,0),0),0),2)</f>
        <v/>
      </c>
      <c r="K1284" s="142">
        <f>IF(offer_sale_type="транзит",IFERROR(ROUNDUP(VLOOKUP($B1284,calc_data,K$14+1,0),2),0),0)</f>
        <v/>
      </c>
      <c r="L1284" s="184">
        <f>IF(offer_sale_type="транзит",IFERROR(ROUNDUP(VLOOKUP($B1284,calc_data,L$14+1,0),2),0),0)</f>
        <v/>
      </c>
      <c r="M1284" s="141">
        <f>IF(offer_sale_type="транзит",IFERROR(ROUNDUP(VLOOKUP($B1284,calc_data,M$14+1,0),2),0),0)</f>
        <v/>
      </c>
      <c r="N1284" s="141">
        <f>IF(offer_sale_type="транзит",IFERROR(ROUNDUP(VLOOKUP($B1284,calc_data,N$14+1,0),2),0),0)</f>
        <v/>
      </c>
      <c r="O1284" s="147">
        <f>IF(offer_sale_type="транзит",IFERROR(ROUND(VLOOKUP($B1284,calc_data,O$14+1,1),2),0),0)</f>
        <v/>
      </c>
      <c r="P1284" s="141">
        <f>IF(offer_sale_type="транзит",IFERROR(ROUND(SUM(I1284:J1284,M1284:O1284)/E1284,2),0),0)</f>
        <v/>
      </c>
      <c r="Q1284" s="141">
        <f>E1284*P1284</f>
        <v/>
      </c>
      <c r="R1284" s="141">
        <f>ROUND(Q1284*IF(AND(offer_incoterms="DDP",seller_region="RU"),IF((TODAY()+offer_turnaround_time)&gt;=helpsheet!$L$17,rate_vatRU_from_26,rate_vatRu_till_25),0),2)</f>
        <v/>
      </c>
      <c r="S1284" s="177">
        <f>Q1284+IF(AND(offer_incoterms="DDP",seller_region="RU"),R1284,0)</f>
        <v/>
      </c>
      <c r="T1284" s="45" t="n"/>
      <c r="V1284" s="57">
        <f>IF(Q1284&gt;0,"показать","скрыть")</f>
        <v/>
      </c>
    </row>
    <row r="1285" ht="15.75" customHeight="1">
      <c r="B1285" s="809" t="n">
        <v>1269</v>
      </c>
      <c r="C1285" s="182">
        <f>IF(offer_sale_type="транзит",IFERROR(VLOOKUP($B1285,calc_data,C$14+1,0),0),0)</f>
        <v/>
      </c>
      <c r="D1285" s="280">
        <f>IF(offer_sale_type="транзит",IFERROR(VLOOKUP($B1285,calc_data,D$14+1,0),0),0)</f>
        <v/>
      </c>
      <c r="E1285" s="182">
        <f>IF(offer_sale_type="транзит",IFERROR(VLOOKUP($B1285,calc_data,E$14+1,0),0),0)</f>
        <v/>
      </c>
      <c r="F1285" s="182">
        <f>IF(offer_sale_type="транзит",IFERROR(VLOOKUP($B1285,calc_data,F$14+1,0),0),0)</f>
        <v/>
      </c>
      <c r="G1285" s="141">
        <f>IF(offer_sale_type="транзит",IFERROR(VLOOKUP($B1285,calc_data,G$14+1,0),0),0)</f>
        <v/>
      </c>
      <c r="H1285" s="141">
        <f>E1285*G1285</f>
        <v/>
      </c>
      <c r="I1285" s="141">
        <f>IF(offer_sale_type="транзит",IFERROR(ROUND(VLOOKUP($B1285,calc_data,I$14+1,0),2),0),0)</f>
        <v/>
      </c>
      <c r="J1285" s="141">
        <f>ROUND(IF(offer_sale_type="транзит",IFERROR(VLOOKUP($B1285,calc_data,J$14+1,0),0),0),2)</f>
        <v/>
      </c>
      <c r="K1285" s="142">
        <f>IF(offer_sale_type="транзит",IFERROR(ROUNDUP(VLOOKUP($B1285,calc_data,K$14+1,0),2),0),0)</f>
        <v/>
      </c>
      <c r="L1285" s="184">
        <f>IF(offer_sale_type="транзит",IFERROR(ROUNDUP(VLOOKUP($B1285,calc_data,L$14+1,0),2),0),0)</f>
        <v/>
      </c>
      <c r="M1285" s="141">
        <f>IF(offer_sale_type="транзит",IFERROR(ROUNDUP(VLOOKUP($B1285,calc_data,M$14+1,0),2),0),0)</f>
        <v/>
      </c>
      <c r="N1285" s="141">
        <f>IF(offer_sale_type="транзит",IFERROR(ROUNDUP(VLOOKUP($B1285,calc_data,N$14+1,0),2),0),0)</f>
        <v/>
      </c>
      <c r="O1285" s="147">
        <f>IF(offer_sale_type="транзит",IFERROR(ROUND(VLOOKUP($B1285,calc_data,O$14+1,1),2),0),0)</f>
        <v/>
      </c>
      <c r="P1285" s="141">
        <f>IF(offer_sale_type="транзит",IFERROR(ROUND(SUM(I1285:J1285,M1285:O1285)/E1285,2),0),0)</f>
        <v/>
      </c>
      <c r="Q1285" s="141">
        <f>E1285*P1285</f>
        <v/>
      </c>
      <c r="R1285" s="141">
        <f>ROUND(Q1285*IF(AND(offer_incoterms="DDP",seller_region="RU"),IF((TODAY()+offer_turnaround_time)&gt;=helpsheet!$L$17,rate_vatRU_from_26,rate_vatRu_till_25),0),2)</f>
        <v/>
      </c>
      <c r="S1285" s="177">
        <f>Q1285+IF(AND(offer_incoterms="DDP",seller_region="RU"),R1285,0)</f>
        <v/>
      </c>
      <c r="T1285" s="45" t="n"/>
      <c r="V1285" s="57">
        <f>IF(Q1285&gt;0,"показать","скрыть")</f>
        <v/>
      </c>
    </row>
    <row r="1286" ht="15.75" customHeight="1">
      <c r="B1286" s="809" t="n">
        <v>1270</v>
      </c>
      <c r="C1286" s="182">
        <f>IF(offer_sale_type="транзит",IFERROR(VLOOKUP($B1286,calc_data,C$14+1,0),0),0)</f>
        <v/>
      </c>
      <c r="D1286" s="280">
        <f>IF(offer_sale_type="транзит",IFERROR(VLOOKUP($B1286,calc_data,D$14+1,0),0),0)</f>
        <v/>
      </c>
      <c r="E1286" s="182">
        <f>IF(offer_sale_type="транзит",IFERROR(VLOOKUP($B1286,calc_data,E$14+1,0),0),0)</f>
        <v/>
      </c>
      <c r="F1286" s="182">
        <f>IF(offer_sale_type="транзит",IFERROR(VLOOKUP($B1286,calc_data,F$14+1,0),0),0)</f>
        <v/>
      </c>
      <c r="G1286" s="141">
        <f>IF(offer_sale_type="транзит",IFERROR(VLOOKUP($B1286,calc_data,G$14+1,0),0),0)</f>
        <v/>
      </c>
      <c r="H1286" s="141">
        <f>E1286*G1286</f>
        <v/>
      </c>
      <c r="I1286" s="141">
        <f>IF(offer_sale_type="транзит",IFERROR(ROUND(VLOOKUP($B1286,calc_data,I$14+1,0),2),0),0)</f>
        <v/>
      </c>
      <c r="J1286" s="141">
        <f>ROUND(IF(offer_sale_type="транзит",IFERROR(VLOOKUP($B1286,calc_data,J$14+1,0),0),0),2)</f>
        <v/>
      </c>
      <c r="K1286" s="142">
        <f>IF(offer_sale_type="транзит",IFERROR(ROUNDUP(VLOOKUP($B1286,calc_data,K$14+1,0),2),0),0)</f>
        <v/>
      </c>
      <c r="L1286" s="184">
        <f>IF(offer_sale_type="транзит",IFERROR(ROUNDUP(VLOOKUP($B1286,calc_data,L$14+1,0),2),0),0)</f>
        <v/>
      </c>
      <c r="M1286" s="141">
        <f>IF(offer_sale_type="транзит",IFERROR(ROUNDUP(VLOOKUP($B1286,calc_data,M$14+1,0),2),0),0)</f>
        <v/>
      </c>
      <c r="N1286" s="141">
        <f>IF(offer_sale_type="транзит",IFERROR(ROUNDUP(VLOOKUP($B1286,calc_data,N$14+1,0),2),0),0)</f>
        <v/>
      </c>
      <c r="O1286" s="147">
        <f>IF(offer_sale_type="транзит",IFERROR(ROUND(VLOOKUP($B1286,calc_data,O$14+1,1),2),0),0)</f>
        <v/>
      </c>
      <c r="P1286" s="141">
        <f>IF(offer_sale_type="транзит",IFERROR(ROUND(SUM(I1286:J1286,M1286:O1286)/E1286,2),0),0)</f>
        <v/>
      </c>
      <c r="Q1286" s="141">
        <f>E1286*P1286</f>
        <v/>
      </c>
      <c r="R1286" s="141">
        <f>ROUND(Q1286*IF(AND(offer_incoterms="DDP",seller_region="RU"),IF((TODAY()+offer_turnaround_time)&gt;=helpsheet!$L$17,rate_vatRU_from_26,rate_vatRu_till_25),0),2)</f>
        <v/>
      </c>
      <c r="S1286" s="177">
        <f>Q1286+IF(AND(offer_incoterms="DDP",seller_region="RU"),R1286,0)</f>
        <v/>
      </c>
      <c r="T1286" s="45" t="n"/>
      <c r="V1286" s="57">
        <f>IF(Q1286&gt;0,"показать","скрыть")</f>
        <v/>
      </c>
    </row>
    <row r="1287" ht="15.75" customHeight="1">
      <c r="B1287" s="809" t="n">
        <v>1271</v>
      </c>
      <c r="C1287" s="182">
        <f>IF(offer_sale_type="транзит",IFERROR(VLOOKUP($B1287,calc_data,C$14+1,0),0),0)</f>
        <v/>
      </c>
      <c r="D1287" s="280">
        <f>IF(offer_sale_type="транзит",IFERROR(VLOOKUP($B1287,calc_data,D$14+1,0),0),0)</f>
        <v/>
      </c>
      <c r="E1287" s="182">
        <f>IF(offer_sale_type="транзит",IFERROR(VLOOKUP($B1287,calc_data,E$14+1,0),0),0)</f>
        <v/>
      </c>
      <c r="F1287" s="182">
        <f>IF(offer_sale_type="транзит",IFERROR(VLOOKUP($B1287,calc_data,F$14+1,0),0),0)</f>
        <v/>
      </c>
      <c r="G1287" s="141">
        <f>IF(offer_sale_type="транзит",IFERROR(VLOOKUP($B1287,calc_data,G$14+1,0),0),0)</f>
        <v/>
      </c>
      <c r="H1287" s="141">
        <f>E1287*G1287</f>
        <v/>
      </c>
      <c r="I1287" s="141">
        <f>IF(offer_sale_type="транзит",IFERROR(ROUND(VLOOKUP($B1287,calc_data,I$14+1,0),2),0),0)</f>
        <v/>
      </c>
      <c r="J1287" s="141">
        <f>ROUND(IF(offer_sale_type="транзит",IFERROR(VLOOKUP($B1287,calc_data,J$14+1,0),0),0),2)</f>
        <v/>
      </c>
      <c r="K1287" s="142">
        <f>IF(offer_sale_type="транзит",IFERROR(ROUNDUP(VLOOKUP($B1287,calc_data,K$14+1,0),2),0),0)</f>
        <v/>
      </c>
      <c r="L1287" s="184">
        <f>IF(offer_sale_type="транзит",IFERROR(ROUNDUP(VLOOKUP($B1287,calc_data,L$14+1,0),2),0),0)</f>
        <v/>
      </c>
      <c r="M1287" s="141">
        <f>IF(offer_sale_type="транзит",IFERROR(ROUNDUP(VLOOKUP($B1287,calc_data,M$14+1,0),2),0),0)</f>
        <v/>
      </c>
      <c r="N1287" s="141">
        <f>IF(offer_sale_type="транзит",IFERROR(ROUNDUP(VLOOKUP($B1287,calc_data,N$14+1,0),2),0),0)</f>
        <v/>
      </c>
      <c r="O1287" s="147">
        <f>IF(offer_sale_type="транзит",IFERROR(ROUND(VLOOKUP($B1287,calc_data,O$14+1,1),2),0),0)</f>
        <v/>
      </c>
      <c r="P1287" s="141">
        <f>IF(offer_sale_type="транзит",IFERROR(ROUND(SUM(I1287:J1287,M1287:O1287)/E1287,2),0),0)</f>
        <v/>
      </c>
      <c r="Q1287" s="141">
        <f>E1287*P1287</f>
        <v/>
      </c>
      <c r="R1287" s="141">
        <f>ROUND(Q1287*IF(AND(offer_incoterms="DDP",seller_region="RU"),IF((TODAY()+offer_turnaround_time)&gt;=helpsheet!$L$17,rate_vatRU_from_26,rate_vatRu_till_25),0),2)</f>
        <v/>
      </c>
      <c r="S1287" s="177">
        <f>Q1287+IF(AND(offer_incoterms="DDP",seller_region="RU"),R1287,0)</f>
        <v/>
      </c>
      <c r="T1287" s="45" t="n"/>
      <c r="V1287" s="57">
        <f>IF(Q1287&gt;0,"показать","скрыть")</f>
        <v/>
      </c>
    </row>
    <row r="1288" ht="15.75" customHeight="1">
      <c r="B1288" s="809" t="n">
        <v>1272</v>
      </c>
      <c r="C1288" s="182">
        <f>IF(offer_sale_type="транзит",IFERROR(VLOOKUP($B1288,calc_data,C$14+1,0),0),0)</f>
        <v/>
      </c>
      <c r="D1288" s="280">
        <f>IF(offer_sale_type="транзит",IFERROR(VLOOKUP($B1288,calc_data,D$14+1,0),0),0)</f>
        <v/>
      </c>
      <c r="E1288" s="182">
        <f>IF(offer_sale_type="транзит",IFERROR(VLOOKUP($B1288,calc_data,E$14+1,0),0),0)</f>
        <v/>
      </c>
      <c r="F1288" s="182">
        <f>IF(offer_sale_type="транзит",IFERROR(VLOOKUP($B1288,calc_data,F$14+1,0),0),0)</f>
        <v/>
      </c>
      <c r="G1288" s="141">
        <f>IF(offer_sale_type="транзит",IFERROR(VLOOKUP($B1288,calc_data,G$14+1,0),0),0)</f>
        <v/>
      </c>
      <c r="H1288" s="141">
        <f>E1288*G1288</f>
        <v/>
      </c>
      <c r="I1288" s="141">
        <f>IF(offer_sale_type="транзит",IFERROR(ROUND(VLOOKUP($B1288,calc_data,I$14+1,0),2),0),0)</f>
        <v/>
      </c>
      <c r="J1288" s="141">
        <f>ROUND(IF(offer_sale_type="транзит",IFERROR(VLOOKUP($B1288,calc_data,J$14+1,0),0),0),2)</f>
        <v/>
      </c>
      <c r="K1288" s="142">
        <f>IF(offer_sale_type="транзит",IFERROR(ROUNDUP(VLOOKUP($B1288,calc_data,K$14+1,0),2),0),0)</f>
        <v/>
      </c>
      <c r="L1288" s="184">
        <f>IF(offer_sale_type="транзит",IFERROR(ROUNDUP(VLOOKUP($B1288,calc_data,L$14+1,0),2),0),0)</f>
        <v/>
      </c>
      <c r="M1288" s="141">
        <f>IF(offer_sale_type="транзит",IFERROR(ROUNDUP(VLOOKUP($B1288,calc_data,M$14+1,0),2),0),0)</f>
        <v/>
      </c>
      <c r="N1288" s="141">
        <f>IF(offer_sale_type="транзит",IFERROR(ROUNDUP(VLOOKUP($B1288,calc_data,N$14+1,0),2),0),0)</f>
        <v/>
      </c>
      <c r="O1288" s="147">
        <f>IF(offer_sale_type="транзит",IFERROR(ROUND(VLOOKUP($B1288,calc_data,O$14+1,1),2),0),0)</f>
        <v/>
      </c>
      <c r="P1288" s="141">
        <f>IF(offer_sale_type="транзит",IFERROR(ROUND(SUM(I1288:J1288,M1288:O1288)/E1288,2),0),0)</f>
        <v/>
      </c>
      <c r="Q1288" s="141">
        <f>E1288*P1288</f>
        <v/>
      </c>
      <c r="R1288" s="141">
        <f>ROUND(Q1288*IF(AND(offer_incoterms="DDP",seller_region="RU"),IF((TODAY()+offer_turnaround_time)&gt;=helpsheet!$L$17,rate_vatRU_from_26,rate_vatRu_till_25),0),2)</f>
        <v/>
      </c>
      <c r="S1288" s="177">
        <f>Q1288+IF(AND(offer_incoterms="DDP",seller_region="RU"),R1288,0)</f>
        <v/>
      </c>
      <c r="T1288" s="45" t="n"/>
      <c r="V1288" s="57">
        <f>IF(Q1288&gt;0,"показать","скрыть")</f>
        <v/>
      </c>
    </row>
    <row r="1289" ht="15.75" customHeight="1">
      <c r="B1289" s="809" t="n">
        <v>1273</v>
      </c>
      <c r="C1289" s="182">
        <f>IF(offer_sale_type="транзит",IFERROR(VLOOKUP($B1289,calc_data,C$14+1,0),0),0)</f>
        <v/>
      </c>
      <c r="D1289" s="280">
        <f>IF(offer_sale_type="транзит",IFERROR(VLOOKUP($B1289,calc_data,D$14+1,0),0),0)</f>
        <v/>
      </c>
      <c r="E1289" s="182">
        <f>IF(offer_sale_type="транзит",IFERROR(VLOOKUP($B1289,calc_data,E$14+1,0),0),0)</f>
        <v/>
      </c>
      <c r="F1289" s="182">
        <f>IF(offer_sale_type="транзит",IFERROR(VLOOKUP($B1289,calc_data,F$14+1,0),0),0)</f>
        <v/>
      </c>
      <c r="G1289" s="141">
        <f>IF(offer_sale_type="транзит",IFERROR(VLOOKUP($B1289,calc_data,G$14+1,0),0),0)</f>
        <v/>
      </c>
      <c r="H1289" s="141">
        <f>E1289*G1289</f>
        <v/>
      </c>
      <c r="I1289" s="141">
        <f>IF(offer_sale_type="транзит",IFERROR(ROUND(VLOOKUP($B1289,calc_data,I$14+1,0),2),0),0)</f>
        <v/>
      </c>
      <c r="J1289" s="141">
        <f>ROUND(IF(offer_sale_type="транзит",IFERROR(VLOOKUP($B1289,calc_data,J$14+1,0),0),0),2)</f>
        <v/>
      </c>
      <c r="K1289" s="142">
        <f>IF(offer_sale_type="транзит",IFERROR(ROUNDUP(VLOOKUP($B1289,calc_data,K$14+1,0),2),0),0)</f>
        <v/>
      </c>
      <c r="L1289" s="184">
        <f>IF(offer_sale_type="транзит",IFERROR(ROUNDUP(VLOOKUP($B1289,calc_data,L$14+1,0),2),0),0)</f>
        <v/>
      </c>
      <c r="M1289" s="141">
        <f>IF(offer_sale_type="транзит",IFERROR(ROUNDUP(VLOOKUP($B1289,calc_data,M$14+1,0),2),0),0)</f>
        <v/>
      </c>
      <c r="N1289" s="141">
        <f>IF(offer_sale_type="транзит",IFERROR(ROUNDUP(VLOOKUP($B1289,calc_data,N$14+1,0),2),0),0)</f>
        <v/>
      </c>
      <c r="O1289" s="147">
        <f>IF(offer_sale_type="транзит",IFERROR(ROUND(VLOOKUP($B1289,calc_data,O$14+1,1),2),0),0)</f>
        <v/>
      </c>
      <c r="P1289" s="141">
        <f>IF(offer_sale_type="транзит",IFERROR(ROUND(SUM(I1289:J1289,M1289:O1289)/E1289,2),0),0)</f>
        <v/>
      </c>
      <c r="Q1289" s="141">
        <f>E1289*P1289</f>
        <v/>
      </c>
      <c r="R1289" s="141">
        <f>ROUND(Q1289*IF(AND(offer_incoterms="DDP",seller_region="RU"),IF((TODAY()+offer_turnaround_time)&gt;=helpsheet!$L$17,rate_vatRU_from_26,rate_vatRu_till_25),0),2)</f>
        <v/>
      </c>
      <c r="S1289" s="177">
        <f>Q1289+IF(AND(offer_incoterms="DDP",seller_region="RU"),R1289,0)</f>
        <v/>
      </c>
      <c r="T1289" s="45" t="n"/>
      <c r="V1289" s="57">
        <f>IF(Q1289&gt;0,"показать","скрыть")</f>
        <v/>
      </c>
    </row>
    <row r="1290" ht="15.75" customHeight="1">
      <c r="B1290" s="809" t="n">
        <v>1274</v>
      </c>
      <c r="C1290" s="182">
        <f>IF(offer_sale_type="транзит",IFERROR(VLOOKUP($B1290,calc_data,C$14+1,0),0),0)</f>
        <v/>
      </c>
      <c r="D1290" s="280">
        <f>IF(offer_sale_type="транзит",IFERROR(VLOOKUP($B1290,calc_data,D$14+1,0),0),0)</f>
        <v/>
      </c>
      <c r="E1290" s="182">
        <f>IF(offer_sale_type="транзит",IFERROR(VLOOKUP($B1290,calc_data,E$14+1,0),0),0)</f>
        <v/>
      </c>
      <c r="F1290" s="182">
        <f>IF(offer_sale_type="транзит",IFERROR(VLOOKUP($B1290,calc_data,F$14+1,0),0),0)</f>
        <v/>
      </c>
      <c r="G1290" s="141">
        <f>IF(offer_sale_type="транзит",IFERROR(VLOOKUP($B1290,calc_data,G$14+1,0),0),0)</f>
        <v/>
      </c>
      <c r="H1290" s="141">
        <f>E1290*G1290</f>
        <v/>
      </c>
      <c r="I1290" s="141">
        <f>IF(offer_sale_type="транзит",IFERROR(ROUND(VLOOKUP($B1290,calc_data,I$14+1,0),2),0),0)</f>
        <v/>
      </c>
      <c r="J1290" s="141">
        <f>ROUND(IF(offer_sale_type="транзит",IFERROR(VLOOKUP($B1290,calc_data,J$14+1,0),0),0),2)</f>
        <v/>
      </c>
      <c r="K1290" s="142">
        <f>IF(offer_sale_type="транзит",IFERROR(ROUNDUP(VLOOKUP($B1290,calc_data,K$14+1,0),2),0),0)</f>
        <v/>
      </c>
      <c r="L1290" s="184">
        <f>IF(offer_sale_type="транзит",IFERROR(ROUNDUP(VLOOKUP($B1290,calc_data,L$14+1,0),2),0),0)</f>
        <v/>
      </c>
      <c r="M1290" s="141">
        <f>IF(offer_sale_type="транзит",IFERROR(ROUNDUP(VLOOKUP($B1290,calc_data,M$14+1,0),2),0),0)</f>
        <v/>
      </c>
      <c r="N1290" s="141">
        <f>IF(offer_sale_type="транзит",IFERROR(ROUNDUP(VLOOKUP($B1290,calc_data,N$14+1,0),2),0),0)</f>
        <v/>
      </c>
      <c r="O1290" s="147">
        <f>IF(offer_sale_type="транзит",IFERROR(ROUND(VLOOKUP($B1290,calc_data,O$14+1,1),2),0),0)</f>
        <v/>
      </c>
      <c r="P1290" s="141">
        <f>IF(offer_sale_type="транзит",IFERROR(ROUND(SUM(I1290:J1290,M1290:O1290)/E1290,2),0),0)</f>
        <v/>
      </c>
      <c r="Q1290" s="141">
        <f>E1290*P1290</f>
        <v/>
      </c>
      <c r="R1290" s="141">
        <f>ROUND(Q1290*IF(AND(offer_incoterms="DDP",seller_region="RU"),IF((TODAY()+offer_turnaround_time)&gt;=helpsheet!$L$17,rate_vatRU_from_26,rate_vatRu_till_25),0),2)</f>
        <v/>
      </c>
      <c r="S1290" s="177">
        <f>Q1290+IF(AND(offer_incoterms="DDP",seller_region="RU"),R1290,0)</f>
        <v/>
      </c>
      <c r="T1290" s="45" t="n"/>
      <c r="V1290" s="57">
        <f>IF(Q1290&gt;0,"показать","скрыть")</f>
        <v/>
      </c>
    </row>
    <row r="1291" ht="15.75" customHeight="1">
      <c r="B1291" s="809" t="n">
        <v>1275</v>
      </c>
      <c r="C1291" s="182">
        <f>IF(offer_sale_type="транзит",IFERROR(VLOOKUP($B1291,calc_data,C$14+1,0),0),0)</f>
        <v/>
      </c>
      <c r="D1291" s="280">
        <f>IF(offer_sale_type="транзит",IFERROR(VLOOKUP($B1291,calc_data,D$14+1,0),0),0)</f>
        <v/>
      </c>
      <c r="E1291" s="182">
        <f>IF(offer_sale_type="транзит",IFERROR(VLOOKUP($B1291,calc_data,E$14+1,0),0),0)</f>
        <v/>
      </c>
      <c r="F1291" s="182">
        <f>IF(offer_sale_type="транзит",IFERROR(VLOOKUP($B1291,calc_data,F$14+1,0),0),0)</f>
        <v/>
      </c>
      <c r="G1291" s="141">
        <f>IF(offer_sale_type="транзит",IFERROR(VLOOKUP($B1291,calc_data,G$14+1,0),0),0)</f>
        <v/>
      </c>
      <c r="H1291" s="141">
        <f>E1291*G1291</f>
        <v/>
      </c>
      <c r="I1291" s="141">
        <f>IF(offer_sale_type="транзит",IFERROR(ROUND(VLOOKUP($B1291,calc_data,I$14+1,0),2),0),0)</f>
        <v/>
      </c>
      <c r="J1291" s="141">
        <f>ROUND(IF(offer_sale_type="транзит",IFERROR(VLOOKUP($B1291,calc_data,J$14+1,0),0),0),2)</f>
        <v/>
      </c>
      <c r="K1291" s="142">
        <f>IF(offer_sale_type="транзит",IFERROR(ROUNDUP(VLOOKUP($B1291,calc_data,K$14+1,0),2),0),0)</f>
        <v/>
      </c>
      <c r="L1291" s="184">
        <f>IF(offer_sale_type="транзит",IFERROR(ROUNDUP(VLOOKUP($B1291,calc_data,L$14+1,0),2),0),0)</f>
        <v/>
      </c>
      <c r="M1291" s="141">
        <f>IF(offer_sale_type="транзит",IFERROR(ROUNDUP(VLOOKUP($B1291,calc_data,M$14+1,0),2),0),0)</f>
        <v/>
      </c>
      <c r="N1291" s="141">
        <f>IF(offer_sale_type="транзит",IFERROR(ROUNDUP(VLOOKUP($B1291,calc_data,N$14+1,0),2),0),0)</f>
        <v/>
      </c>
      <c r="O1291" s="147">
        <f>IF(offer_sale_type="транзит",IFERROR(ROUND(VLOOKUP($B1291,calc_data,O$14+1,1),2),0),0)</f>
        <v/>
      </c>
      <c r="P1291" s="141">
        <f>IF(offer_sale_type="транзит",IFERROR(ROUND(SUM(I1291:J1291,M1291:O1291)/E1291,2),0),0)</f>
        <v/>
      </c>
      <c r="Q1291" s="141">
        <f>E1291*P1291</f>
        <v/>
      </c>
      <c r="R1291" s="141">
        <f>ROUND(Q1291*IF(AND(offer_incoterms="DDP",seller_region="RU"),IF((TODAY()+offer_turnaround_time)&gt;=helpsheet!$L$17,rate_vatRU_from_26,rate_vatRu_till_25),0),2)</f>
        <v/>
      </c>
      <c r="S1291" s="177">
        <f>Q1291+IF(AND(offer_incoterms="DDP",seller_region="RU"),R1291,0)</f>
        <v/>
      </c>
      <c r="T1291" s="45" t="n"/>
      <c r="V1291" s="57">
        <f>IF(Q1291&gt;0,"показать","скрыть")</f>
        <v/>
      </c>
    </row>
    <row r="1292" ht="15.75" customHeight="1">
      <c r="B1292" s="809" t="n">
        <v>1276</v>
      </c>
      <c r="C1292" s="182">
        <f>IF(offer_sale_type="транзит",IFERROR(VLOOKUP($B1292,calc_data,C$14+1,0),0),0)</f>
        <v/>
      </c>
      <c r="D1292" s="280">
        <f>IF(offer_sale_type="транзит",IFERROR(VLOOKUP($B1292,calc_data,D$14+1,0),0),0)</f>
        <v/>
      </c>
      <c r="E1292" s="182">
        <f>IF(offer_sale_type="транзит",IFERROR(VLOOKUP($B1292,calc_data,E$14+1,0),0),0)</f>
        <v/>
      </c>
      <c r="F1292" s="182">
        <f>IF(offer_sale_type="транзит",IFERROR(VLOOKUP($B1292,calc_data,F$14+1,0),0),0)</f>
        <v/>
      </c>
      <c r="G1292" s="141">
        <f>IF(offer_sale_type="транзит",IFERROR(VLOOKUP($B1292,calc_data,G$14+1,0),0),0)</f>
        <v/>
      </c>
      <c r="H1292" s="141">
        <f>E1292*G1292</f>
        <v/>
      </c>
      <c r="I1292" s="141">
        <f>IF(offer_sale_type="транзит",IFERROR(ROUND(VLOOKUP($B1292,calc_data,I$14+1,0),2),0),0)</f>
        <v/>
      </c>
      <c r="J1292" s="141">
        <f>ROUND(IF(offer_sale_type="транзит",IFERROR(VLOOKUP($B1292,calc_data,J$14+1,0),0),0),2)</f>
        <v/>
      </c>
      <c r="K1292" s="142">
        <f>IF(offer_sale_type="транзит",IFERROR(ROUNDUP(VLOOKUP($B1292,calc_data,K$14+1,0),2),0),0)</f>
        <v/>
      </c>
      <c r="L1292" s="184">
        <f>IF(offer_sale_type="транзит",IFERROR(ROUNDUP(VLOOKUP($B1292,calc_data,L$14+1,0),2),0),0)</f>
        <v/>
      </c>
      <c r="M1292" s="141">
        <f>IF(offer_sale_type="транзит",IFERROR(ROUNDUP(VLOOKUP($B1292,calc_data,M$14+1,0),2),0),0)</f>
        <v/>
      </c>
      <c r="N1292" s="141">
        <f>IF(offer_sale_type="транзит",IFERROR(ROUNDUP(VLOOKUP($B1292,calc_data,N$14+1,0),2),0),0)</f>
        <v/>
      </c>
      <c r="O1292" s="147">
        <f>IF(offer_sale_type="транзит",IFERROR(ROUND(VLOOKUP($B1292,calc_data,O$14+1,1),2),0),0)</f>
        <v/>
      </c>
      <c r="P1292" s="141">
        <f>IF(offer_sale_type="транзит",IFERROR(ROUND(SUM(I1292:J1292,M1292:O1292)/E1292,2),0),0)</f>
        <v/>
      </c>
      <c r="Q1292" s="141">
        <f>E1292*P1292</f>
        <v/>
      </c>
      <c r="R1292" s="141">
        <f>ROUND(Q1292*IF(AND(offer_incoterms="DDP",seller_region="RU"),IF((TODAY()+offer_turnaround_time)&gt;=helpsheet!$L$17,rate_vatRU_from_26,rate_vatRu_till_25),0),2)</f>
        <v/>
      </c>
      <c r="S1292" s="177">
        <f>Q1292+IF(AND(offer_incoterms="DDP",seller_region="RU"),R1292,0)</f>
        <v/>
      </c>
      <c r="T1292" s="45" t="n"/>
      <c r="V1292" s="57">
        <f>IF(Q1292&gt;0,"показать","скрыть")</f>
        <v/>
      </c>
    </row>
    <row r="1293" ht="15.75" customHeight="1">
      <c r="B1293" s="809" t="n">
        <v>1277</v>
      </c>
      <c r="C1293" s="182">
        <f>IF(offer_sale_type="транзит",IFERROR(VLOOKUP($B1293,calc_data,C$14+1,0),0),0)</f>
        <v/>
      </c>
      <c r="D1293" s="280">
        <f>IF(offer_sale_type="транзит",IFERROR(VLOOKUP($B1293,calc_data,D$14+1,0),0),0)</f>
        <v/>
      </c>
      <c r="E1293" s="182">
        <f>IF(offer_sale_type="транзит",IFERROR(VLOOKUP($B1293,calc_data,E$14+1,0),0),0)</f>
        <v/>
      </c>
      <c r="F1293" s="182">
        <f>IF(offer_sale_type="транзит",IFERROR(VLOOKUP($B1293,calc_data,F$14+1,0),0),0)</f>
        <v/>
      </c>
      <c r="G1293" s="141">
        <f>IF(offer_sale_type="транзит",IFERROR(VLOOKUP($B1293,calc_data,G$14+1,0),0),0)</f>
        <v/>
      </c>
      <c r="H1293" s="141">
        <f>E1293*G1293</f>
        <v/>
      </c>
      <c r="I1293" s="141">
        <f>IF(offer_sale_type="транзит",IFERROR(ROUND(VLOOKUP($B1293,calc_data,I$14+1,0),2),0),0)</f>
        <v/>
      </c>
      <c r="J1293" s="141">
        <f>ROUND(IF(offer_sale_type="транзит",IFERROR(VLOOKUP($B1293,calc_data,J$14+1,0),0),0),2)</f>
        <v/>
      </c>
      <c r="K1293" s="142">
        <f>IF(offer_sale_type="транзит",IFERROR(ROUNDUP(VLOOKUP($B1293,calc_data,K$14+1,0),2),0),0)</f>
        <v/>
      </c>
      <c r="L1293" s="184">
        <f>IF(offer_sale_type="транзит",IFERROR(ROUNDUP(VLOOKUP($B1293,calc_data,L$14+1,0),2),0),0)</f>
        <v/>
      </c>
      <c r="M1293" s="141">
        <f>IF(offer_sale_type="транзит",IFERROR(ROUNDUP(VLOOKUP($B1293,calc_data,M$14+1,0),2),0),0)</f>
        <v/>
      </c>
      <c r="N1293" s="141">
        <f>IF(offer_sale_type="транзит",IFERROR(ROUNDUP(VLOOKUP($B1293,calc_data,N$14+1,0),2),0),0)</f>
        <v/>
      </c>
      <c r="O1293" s="147">
        <f>IF(offer_sale_type="транзит",IFERROR(ROUND(VLOOKUP($B1293,calc_data,O$14+1,1),2),0),0)</f>
        <v/>
      </c>
      <c r="P1293" s="141">
        <f>IF(offer_sale_type="транзит",IFERROR(ROUND(SUM(I1293:J1293,M1293:O1293)/E1293,2),0),0)</f>
        <v/>
      </c>
      <c r="Q1293" s="141">
        <f>E1293*P1293</f>
        <v/>
      </c>
      <c r="R1293" s="141">
        <f>ROUND(Q1293*IF(AND(offer_incoterms="DDP",seller_region="RU"),IF((TODAY()+offer_turnaround_time)&gt;=helpsheet!$L$17,rate_vatRU_from_26,rate_vatRu_till_25),0),2)</f>
        <v/>
      </c>
      <c r="S1293" s="177">
        <f>Q1293+IF(AND(offer_incoterms="DDP",seller_region="RU"),R1293,0)</f>
        <v/>
      </c>
      <c r="T1293" s="45" t="n"/>
      <c r="V1293" s="57">
        <f>IF(Q1293&gt;0,"показать","скрыть")</f>
        <v/>
      </c>
    </row>
    <row r="1294" ht="15.75" customHeight="1">
      <c r="B1294" s="809" t="n">
        <v>1278</v>
      </c>
      <c r="C1294" s="182">
        <f>IF(offer_sale_type="транзит",IFERROR(VLOOKUP($B1294,calc_data,C$14+1,0),0),0)</f>
        <v/>
      </c>
      <c r="D1294" s="280">
        <f>IF(offer_sale_type="транзит",IFERROR(VLOOKUP($B1294,calc_data,D$14+1,0),0),0)</f>
        <v/>
      </c>
      <c r="E1294" s="182">
        <f>IF(offer_sale_type="транзит",IFERROR(VLOOKUP($B1294,calc_data,E$14+1,0),0),0)</f>
        <v/>
      </c>
      <c r="F1294" s="182">
        <f>IF(offer_sale_type="транзит",IFERROR(VLOOKUP($B1294,calc_data,F$14+1,0),0),0)</f>
        <v/>
      </c>
      <c r="G1294" s="141">
        <f>IF(offer_sale_type="транзит",IFERROR(VLOOKUP($B1294,calc_data,G$14+1,0),0),0)</f>
        <v/>
      </c>
      <c r="H1294" s="141">
        <f>E1294*G1294</f>
        <v/>
      </c>
      <c r="I1294" s="141">
        <f>IF(offer_sale_type="транзит",IFERROR(ROUND(VLOOKUP($B1294,calc_data,I$14+1,0),2),0),0)</f>
        <v/>
      </c>
      <c r="J1294" s="141">
        <f>ROUND(IF(offer_sale_type="транзит",IFERROR(VLOOKUP($B1294,calc_data,J$14+1,0),0),0),2)</f>
        <v/>
      </c>
      <c r="K1294" s="142">
        <f>IF(offer_sale_type="транзит",IFERROR(ROUNDUP(VLOOKUP($B1294,calc_data,K$14+1,0),2),0),0)</f>
        <v/>
      </c>
      <c r="L1294" s="184">
        <f>IF(offer_sale_type="транзит",IFERROR(ROUNDUP(VLOOKUP($B1294,calc_data,L$14+1,0),2),0),0)</f>
        <v/>
      </c>
      <c r="M1294" s="141">
        <f>IF(offer_sale_type="транзит",IFERROR(ROUNDUP(VLOOKUP($B1294,calc_data,M$14+1,0),2),0),0)</f>
        <v/>
      </c>
      <c r="N1294" s="141">
        <f>IF(offer_sale_type="транзит",IFERROR(ROUNDUP(VLOOKUP($B1294,calc_data,N$14+1,0),2),0),0)</f>
        <v/>
      </c>
      <c r="O1294" s="147">
        <f>IF(offer_sale_type="транзит",IFERROR(ROUND(VLOOKUP($B1294,calc_data,O$14+1,1),2),0),0)</f>
        <v/>
      </c>
      <c r="P1294" s="141">
        <f>IF(offer_sale_type="транзит",IFERROR(ROUND(SUM(I1294:J1294,M1294:O1294)/E1294,2),0),0)</f>
        <v/>
      </c>
      <c r="Q1294" s="141">
        <f>E1294*P1294</f>
        <v/>
      </c>
      <c r="R1294" s="141">
        <f>ROUND(Q1294*IF(AND(offer_incoterms="DDP",seller_region="RU"),IF((TODAY()+offer_turnaround_time)&gt;=helpsheet!$L$17,rate_vatRU_from_26,rate_vatRu_till_25),0),2)</f>
        <v/>
      </c>
      <c r="S1294" s="177">
        <f>Q1294+IF(AND(offer_incoterms="DDP",seller_region="RU"),R1294,0)</f>
        <v/>
      </c>
      <c r="T1294" s="45" t="n"/>
      <c r="V1294" s="57">
        <f>IF(Q1294&gt;0,"показать","скрыть")</f>
        <v/>
      </c>
    </row>
    <row r="1295" ht="15.75" customHeight="1">
      <c r="B1295" s="809" t="n">
        <v>1279</v>
      </c>
      <c r="C1295" s="182">
        <f>IF(offer_sale_type="транзит",IFERROR(VLOOKUP($B1295,calc_data,C$14+1,0),0),0)</f>
        <v/>
      </c>
      <c r="D1295" s="280">
        <f>IF(offer_sale_type="транзит",IFERROR(VLOOKUP($B1295,calc_data,D$14+1,0),0),0)</f>
        <v/>
      </c>
      <c r="E1295" s="182">
        <f>IF(offer_sale_type="транзит",IFERROR(VLOOKUP($B1295,calc_data,E$14+1,0),0),0)</f>
        <v/>
      </c>
      <c r="F1295" s="182">
        <f>IF(offer_sale_type="транзит",IFERROR(VLOOKUP($B1295,calc_data,F$14+1,0),0),0)</f>
        <v/>
      </c>
      <c r="G1295" s="141">
        <f>IF(offer_sale_type="транзит",IFERROR(VLOOKUP($B1295,calc_data,G$14+1,0),0),0)</f>
        <v/>
      </c>
      <c r="H1295" s="141">
        <f>E1295*G1295</f>
        <v/>
      </c>
      <c r="I1295" s="141">
        <f>IF(offer_sale_type="транзит",IFERROR(ROUND(VLOOKUP($B1295,calc_data,I$14+1,0),2),0),0)</f>
        <v/>
      </c>
      <c r="J1295" s="141">
        <f>ROUND(IF(offer_sale_type="транзит",IFERROR(VLOOKUP($B1295,calc_data,J$14+1,0),0),0),2)</f>
        <v/>
      </c>
      <c r="K1295" s="142">
        <f>IF(offer_sale_type="транзит",IFERROR(ROUNDUP(VLOOKUP($B1295,calc_data,K$14+1,0),2),0),0)</f>
        <v/>
      </c>
      <c r="L1295" s="184">
        <f>IF(offer_sale_type="транзит",IFERROR(ROUNDUP(VLOOKUP($B1295,calc_data,L$14+1,0),2),0),0)</f>
        <v/>
      </c>
      <c r="M1295" s="141">
        <f>IF(offer_sale_type="транзит",IFERROR(ROUNDUP(VLOOKUP($B1295,calc_data,M$14+1,0),2),0),0)</f>
        <v/>
      </c>
      <c r="N1295" s="141">
        <f>IF(offer_sale_type="транзит",IFERROR(ROUNDUP(VLOOKUP($B1295,calc_data,N$14+1,0),2),0),0)</f>
        <v/>
      </c>
      <c r="O1295" s="147">
        <f>IF(offer_sale_type="транзит",IFERROR(ROUND(VLOOKUP($B1295,calc_data,O$14+1,1),2),0),0)</f>
        <v/>
      </c>
      <c r="P1295" s="141">
        <f>IF(offer_sale_type="транзит",IFERROR(ROUND(SUM(I1295:J1295,M1295:O1295)/E1295,2),0),0)</f>
        <v/>
      </c>
      <c r="Q1295" s="141">
        <f>E1295*P1295</f>
        <v/>
      </c>
      <c r="R1295" s="141">
        <f>ROUND(Q1295*IF(AND(offer_incoterms="DDP",seller_region="RU"),IF((TODAY()+offer_turnaround_time)&gt;=helpsheet!$L$17,rate_vatRU_from_26,rate_vatRu_till_25),0),2)</f>
        <v/>
      </c>
      <c r="S1295" s="177">
        <f>Q1295+IF(AND(offer_incoterms="DDP",seller_region="RU"),R1295,0)</f>
        <v/>
      </c>
      <c r="T1295" s="45" t="n"/>
      <c r="V1295" s="57">
        <f>IF(Q1295&gt;0,"показать","скрыть")</f>
        <v/>
      </c>
    </row>
    <row r="1296" ht="15.75" customHeight="1">
      <c r="B1296" s="809" t="n">
        <v>1280</v>
      </c>
      <c r="C1296" s="182">
        <f>IF(offer_sale_type="транзит",IFERROR(VLOOKUP($B1296,calc_data,C$14+1,0),0),0)</f>
        <v/>
      </c>
      <c r="D1296" s="280">
        <f>IF(offer_sale_type="транзит",IFERROR(VLOOKUP($B1296,calc_data,D$14+1,0),0),0)</f>
        <v/>
      </c>
      <c r="E1296" s="182">
        <f>IF(offer_sale_type="транзит",IFERROR(VLOOKUP($B1296,calc_data,E$14+1,0),0),0)</f>
        <v/>
      </c>
      <c r="F1296" s="182">
        <f>IF(offer_sale_type="транзит",IFERROR(VLOOKUP($B1296,calc_data,F$14+1,0),0),0)</f>
        <v/>
      </c>
      <c r="G1296" s="141">
        <f>IF(offer_sale_type="транзит",IFERROR(VLOOKUP($B1296,calc_data,G$14+1,0),0),0)</f>
        <v/>
      </c>
      <c r="H1296" s="141">
        <f>E1296*G1296</f>
        <v/>
      </c>
      <c r="I1296" s="141">
        <f>IF(offer_sale_type="транзит",IFERROR(ROUND(VLOOKUP($B1296,calc_data,I$14+1,0),2),0),0)</f>
        <v/>
      </c>
      <c r="J1296" s="141">
        <f>ROUND(IF(offer_sale_type="транзит",IFERROR(VLOOKUP($B1296,calc_data,J$14+1,0),0),0),2)</f>
        <v/>
      </c>
      <c r="K1296" s="142">
        <f>IF(offer_sale_type="транзит",IFERROR(ROUNDUP(VLOOKUP($B1296,calc_data,K$14+1,0),2),0),0)</f>
        <v/>
      </c>
      <c r="L1296" s="184">
        <f>IF(offer_sale_type="транзит",IFERROR(ROUNDUP(VLOOKUP($B1296,calc_data,L$14+1,0),2),0),0)</f>
        <v/>
      </c>
      <c r="M1296" s="141">
        <f>IF(offer_sale_type="транзит",IFERROR(ROUNDUP(VLOOKUP($B1296,calc_data,M$14+1,0),2),0),0)</f>
        <v/>
      </c>
      <c r="N1296" s="141">
        <f>IF(offer_sale_type="транзит",IFERROR(ROUNDUP(VLOOKUP($B1296,calc_data,N$14+1,0),2),0),0)</f>
        <v/>
      </c>
      <c r="O1296" s="147">
        <f>IF(offer_sale_type="транзит",IFERROR(ROUND(VLOOKUP($B1296,calc_data,O$14+1,1),2),0),0)</f>
        <v/>
      </c>
      <c r="P1296" s="141">
        <f>IF(offer_sale_type="транзит",IFERROR(ROUND(SUM(I1296:J1296,M1296:O1296)/E1296,2),0),0)</f>
        <v/>
      </c>
      <c r="Q1296" s="141">
        <f>E1296*P1296</f>
        <v/>
      </c>
      <c r="R1296" s="141">
        <f>ROUND(Q1296*IF(AND(offer_incoterms="DDP",seller_region="RU"),IF((TODAY()+offer_turnaround_time)&gt;=helpsheet!$L$17,rate_vatRU_from_26,rate_vatRu_till_25),0),2)</f>
        <v/>
      </c>
      <c r="S1296" s="177">
        <f>Q1296+IF(AND(offer_incoterms="DDP",seller_region="RU"),R1296,0)</f>
        <v/>
      </c>
      <c r="T1296" s="45" t="n"/>
      <c r="V1296" s="57">
        <f>IF(Q1296&gt;0,"показать","скрыть")</f>
        <v/>
      </c>
    </row>
    <row r="1297" ht="15.75" customHeight="1">
      <c r="B1297" s="809" t="n">
        <v>1281</v>
      </c>
      <c r="C1297" s="182">
        <f>IF(offer_sale_type="транзит",IFERROR(VLOOKUP($B1297,calc_data,C$14+1,0),0),0)</f>
        <v/>
      </c>
      <c r="D1297" s="280">
        <f>IF(offer_sale_type="транзит",IFERROR(VLOOKUP($B1297,calc_data,D$14+1,0),0),0)</f>
        <v/>
      </c>
      <c r="E1297" s="182">
        <f>IF(offer_sale_type="транзит",IFERROR(VLOOKUP($B1297,calc_data,E$14+1,0),0),0)</f>
        <v/>
      </c>
      <c r="F1297" s="182">
        <f>IF(offer_sale_type="транзит",IFERROR(VLOOKUP($B1297,calc_data,F$14+1,0),0),0)</f>
        <v/>
      </c>
      <c r="G1297" s="141">
        <f>IF(offer_sale_type="транзит",IFERROR(VLOOKUP($B1297,calc_data,G$14+1,0),0),0)</f>
        <v/>
      </c>
      <c r="H1297" s="141">
        <f>E1297*G1297</f>
        <v/>
      </c>
      <c r="I1297" s="141">
        <f>IF(offer_sale_type="транзит",IFERROR(ROUND(VLOOKUP($B1297,calc_data,I$14+1,0),2),0),0)</f>
        <v/>
      </c>
      <c r="J1297" s="141">
        <f>ROUND(IF(offer_sale_type="транзит",IFERROR(VLOOKUP($B1297,calc_data,J$14+1,0),0),0),2)</f>
        <v/>
      </c>
      <c r="K1297" s="142">
        <f>IF(offer_sale_type="транзит",IFERROR(ROUNDUP(VLOOKUP($B1297,calc_data,K$14+1,0),2),0),0)</f>
        <v/>
      </c>
      <c r="L1297" s="184">
        <f>IF(offer_sale_type="транзит",IFERROR(ROUNDUP(VLOOKUP($B1297,calc_data,L$14+1,0),2),0),0)</f>
        <v/>
      </c>
      <c r="M1297" s="141">
        <f>IF(offer_sale_type="транзит",IFERROR(ROUNDUP(VLOOKUP($B1297,calc_data,M$14+1,0),2),0),0)</f>
        <v/>
      </c>
      <c r="N1297" s="141">
        <f>IF(offer_sale_type="транзит",IFERROR(ROUNDUP(VLOOKUP($B1297,calc_data,N$14+1,0),2),0),0)</f>
        <v/>
      </c>
      <c r="O1297" s="147">
        <f>IF(offer_sale_type="транзит",IFERROR(ROUND(VLOOKUP($B1297,calc_data,O$14+1,1),2),0),0)</f>
        <v/>
      </c>
      <c r="P1297" s="141">
        <f>IF(offer_sale_type="транзит",IFERROR(ROUND(SUM(I1297:J1297,M1297:O1297)/E1297,2),0),0)</f>
        <v/>
      </c>
      <c r="Q1297" s="141">
        <f>E1297*P1297</f>
        <v/>
      </c>
      <c r="R1297" s="141">
        <f>ROUND(Q1297*IF(AND(offer_incoterms="DDP",seller_region="RU"),IF((TODAY()+offer_turnaround_time)&gt;=helpsheet!$L$17,rate_vatRU_from_26,rate_vatRu_till_25),0),2)</f>
        <v/>
      </c>
      <c r="S1297" s="177">
        <f>Q1297+IF(AND(offer_incoterms="DDP",seller_region="RU"),R1297,0)</f>
        <v/>
      </c>
      <c r="T1297" s="45" t="n"/>
      <c r="V1297" s="57">
        <f>IF(Q1297&gt;0,"показать","скрыть")</f>
        <v/>
      </c>
    </row>
    <row r="1298" ht="15.75" customHeight="1">
      <c r="B1298" s="809" t="n">
        <v>1282</v>
      </c>
      <c r="C1298" s="182">
        <f>IF(offer_sale_type="транзит",IFERROR(VLOOKUP($B1298,calc_data,C$14+1,0),0),0)</f>
        <v/>
      </c>
      <c r="D1298" s="280">
        <f>IF(offer_sale_type="транзит",IFERROR(VLOOKUP($B1298,calc_data,D$14+1,0),0),0)</f>
        <v/>
      </c>
      <c r="E1298" s="182">
        <f>IF(offer_sale_type="транзит",IFERROR(VLOOKUP($B1298,calc_data,E$14+1,0),0),0)</f>
        <v/>
      </c>
      <c r="F1298" s="182">
        <f>IF(offer_sale_type="транзит",IFERROR(VLOOKUP($B1298,calc_data,F$14+1,0),0),0)</f>
        <v/>
      </c>
      <c r="G1298" s="141">
        <f>IF(offer_sale_type="транзит",IFERROR(VLOOKUP($B1298,calc_data,G$14+1,0),0),0)</f>
        <v/>
      </c>
      <c r="H1298" s="141">
        <f>E1298*G1298</f>
        <v/>
      </c>
      <c r="I1298" s="141">
        <f>IF(offer_sale_type="транзит",IFERROR(ROUND(VLOOKUP($B1298,calc_data,I$14+1,0),2),0),0)</f>
        <v/>
      </c>
      <c r="J1298" s="141">
        <f>ROUND(IF(offer_sale_type="транзит",IFERROR(VLOOKUP($B1298,calc_data,J$14+1,0),0),0),2)</f>
        <v/>
      </c>
      <c r="K1298" s="142">
        <f>IF(offer_sale_type="транзит",IFERROR(ROUNDUP(VLOOKUP($B1298,calc_data,K$14+1,0),2),0),0)</f>
        <v/>
      </c>
      <c r="L1298" s="184">
        <f>IF(offer_sale_type="транзит",IFERROR(ROUNDUP(VLOOKUP($B1298,calc_data,L$14+1,0),2),0),0)</f>
        <v/>
      </c>
      <c r="M1298" s="141">
        <f>IF(offer_sale_type="транзит",IFERROR(ROUNDUP(VLOOKUP($B1298,calc_data,M$14+1,0),2),0),0)</f>
        <v/>
      </c>
      <c r="N1298" s="141">
        <f>IF(offer_sale_type="транзит",IFERROR(ROUNDUP(VLOOKUP($B1298,calc_data,N$14+1,0),2),0),0)</f>
        <v/>
      </c>
      <c r="O1298" s="147">
        <f>IF(offer_sale_type="транзит",IFERROR(ROUND(VLOOKUP($B1298,calc_data,O$14+1,1),2),0),0)</f>
        <v/>
      </c>
      <c r="P1298" s="141">
        <f>IF(offer_sale_type="транзит",IFERROR(ROUND(SUM(I1298:J1298,M1298:O1298)/E1298,2),0),0)</f>
        <v/>
      </c>
      <c r="Q1298" s="141">
        <f>E1298*P1298</f>
        <v/>
      </c>
      <c r="R1298" s="141">
        <f>ROUND(Q1298*IF(AND(offer_incoterms="DDP",seller_region="RU"),IF((TODAY()+offer_turnaround_time)&gt;=helpsheet!$L$17,rate_vatRU_from_26,rate_vatRu_till_25),0),2)</f>
        <v/>
      </c>
      <c r="S1298" s="177">
        <f>Q1298+IF(AND(offer_incoterms="DDP",seller_region="RU"),R1298,0)</f>
        <v/>
      </c>
      <c r="T1298" s="45" t="n"/>
      <c r="V1298" s="57">
        <f>IF(Q1298&gt;0,"показать","скрыть")</f>
        <v/>
      </c>
    </row>
    <row r="1299" ht="15.75" customHeight="1">
      <c r="B1299" s="809" t="n">
        <v>1283</v>
      </c>
      <c r="C1299" s="182">
        <f>IF(offer_sale_type="транзит",IFERROR(VLOOKUP($B1299,calc_data,C$14+1,0),0),0)</f>
        <v/>
      </c>
      <c r="D1299" s="280">
        <f>IF(offer_sale_type="транзит",IFERROR(VLOOKUP($B1299,calc_data,D$14+1,0),0),0)</f>
        <v/>
      </c>
      <c r="E1299" s="182">
        <f>IF(offer_sale_type="транзит",IFERROR(VLOOKUP($B1299,calc_data,E$14+1,0),0),0)</f>
        <v/>
      </c>
      <c r="F1299" s="182">
        <f>IF(offer_sale_type="транзит",IFERROR(VLOOKUP($B1299,calc_data,F$14+1,0),0),0)</f>
        <v/>
      </c>
      <c r="G1299" s="141">
        <f>IF(offer_sale_type="транзит",IFERROR(VLOOKUP($B1299,calc_data,G$14+1,0),0),0)</f>
        <v/>
      </c>
      <c r="H1299" s="141">
        <f>E1299*G1299</f>
        <v/>
      </c>
      <c r="I1299" s="141">
        <f>IF(offer_sale_type="транзит",IFERROR(ROUND(VLOOKUP($B1299,calc_data,I$14+1,0),2),0),0)</f>
        <v/>
      </c>
      <c r="J1299" s="141">
        <f>ROUND(IF(offer_sale_type="транзит",IFERROR(VLOOKUP($B1299,calc_data,J$14+1,0),0),0),2)</f>
        <v/>
      </c>
      <c r="K1299" s="142">
        <f>IF(offer_sale_type="транзит",IFERROR(ROUNDUP(VLOOKUP($B1299,calc_data,K$14+1,0),2),0),0)</f>
        <v/>
      </c>
      <c r="L1299" s="184">
        <f>IF(offer_sale_type="транзит",IFERROR(ROUNDUP(VLOOKUP($B1299,calc_data,L$14+1,0),2),0),0)</f>
        <v/>
      </c>
      <c r="M1299" s="141">
        <f>IF(offer_sale_type="транзит",IFERROR(ROUNDUP(VLOOKUP($B1299,calc_data,M$14+1,0),2),0),0)</f>
        <v/>
      </c>
      <c r="N1299" s="141">
        <f>IF(offer_sale_type="транзит",IFERROR(ROUNDUP(VLOOKUP($B1299,calc_data,N$14+1,0),2),0),0)</f>
        <v/>
      </c>
      <c r="O1299" s="147">
        <f>IF(offer_sale_type="транзит",IFERROR(ROUND(VLOOKUP($B1299,calc_data,O$14+1,1),2),0),0)</f>
        <v/>
      </c>
      <c r="P1299" s="141">
        <f>IF(offer_sale_type="транзит",IFERROR(ROUND(SUM(I1299:J1299,M1299:O1299)/E1299,2),0),0)</f>
        <v/>
      </c>
      <c r="Q1299" s="141">
        <f>E1299*P1299</f>
        <v/>
      </c>
      <c r="R1299" s="141">
        <f>ROUND(Q1299*IF(AND(offer_incoterms="DDP",seller_region="RU"),IF((TODAY()+offer_turnaround_time)&gt;=helpsheet!$L$17,rate_vatRU_from_26,rate_vatRu_till_25),0),2)</f>
        <v/>
      </c>
      <c r="S1299" s="177">
        <f>Q1299+IF(AND(offer_incoterms="DDP",seller_region="RU"),R1299,0)</f>
        <v/>
      </c>
      <c r="T1299" s="45" t="n"/>
      <c r="V1299" s="57">
        <f>IF(Q1299&gt;0,"показать","скрыть")</f>
        <v/>
      </c>
    </row>
    <row r="1300" ht="15.75" customHeight="1">
      <c r="B1300" s="809" t="n">
        <v>1284</v>
      </c>
      <c r="C1300" s="182">
        <f>IF(offer_sale_type="транзит",IFERROR(VLOOKUP($B1300,calc_data,C$14+1,0),0),0)</f>
        <v/>
      </c>
      <c r="D1300" s="280">
        <f>IF(offer_sale_type="транзит",IFERROR(VLOOKUP($B1300,calc_data,D$14+1,0),0),0)</f>
        <v/>
      </c>
      <c r="E1300" s="182">
        <f>IF(offer_sale_type="транзит",IFERROR(VLOOKUP($B1300,calc_data,E$14+1,0),0),0)</f>
        <v/>
      </c>
      <c r="F1300" s="182">
        <f>IF(offer_sale_type="транзит",IFERROR(VLOOKUP($B1300,calc_data,F$14+1,0),0),0)</f>
        <v/>
      </c>
      <c r="G1300" s="141">
        <f>IF(offer_sale_type="транзит",IFERROR(VLOOKUP($B1300,calc_data,G$14+1,0),0),0)</f>
        <v/>
      </c>
      <c r="H1300" s="141">
        <f>E1300*G1300</f>
        <v/>
      </c>
      <c r="I1300" s="141">
        <f>IF(offer_sale_type="транзит",IFERROR(ROUND(VLOOKUP($B1300,calc_data,I$14+1,0),2),0),0)</f>
        <v/>
      </c>
      <c r="J1300" s="141">
        <f>ROUND(IF(offer_sale_type="транзит",IFERROR(VLOOKUP($B1300,calc_data,J$14+1,0),0),0),2)</f>
        <v/>
      </c>
      <c r="K1300" s="142">
        <f>IF(offer_sale_type="транзит",IFERROR(ROUNDUP(VLOOKUP($B1300,calc_data,K$14+1,0),2),0),0)</f>
        <v/>
      </c>
      <c r="L1300" s="184">
        <f>IF(offer_sale_type="транзит",IFERROR(ROUNDUP(VLOOKUP($B1300,calc_data,L$14+1,0),2),0),0)</f>
        <v/>
      </c>
      <c r="M1300" s="141">
        <f>IF(offer_sale_type="транзит",IFERROR(ROUNDUP(VLOOKUP($B1300,calc_data,M$14+1,0),2),0),0)</f>
        <v/>
      </c>
      <c r="N1300" s="141">
        <f>IF(offer_sale_type="транзит",IFERROR(ROUNDUP(VLOOKUP($B1300,calc_data,N$14+1,0),2),0),0)</f>
        <v/>
      </c>
      <c r="O1300" s="147">
        <f>IF(offer_sale_type="транзит",IFERROR(ROUND(VLOOKUP($B1300,calc_data,O$14+1,1),2),0),0)</f>
        <v/>
      </c>
      <c r="P1300" s="141">
        <f>IF(offer_sale_type="транзит",IFERROR(ROUND(SUM(I1300:J1300,M1300:O1300)/E1300,2),0),0)</f>
        <v/>
      </c>
      <c r="Q1300" s="141">
        <f>E1300*P1300</f>
        <v/>
      </c>
      <c r="R1300" s="141">
        <f>ROUND(Q1300*IF(AND(offer_incoterms="DDP",seller_region="RU"),IF((TODAY()+offer_turnaround_time)&gt;=helpsheet!$L$17,rate_vatRU_from_26,rate_vatRu_till_25),0),2)</f>
        <v/>
      </c>
      <c r="S1300" s="177">
        <f>Q1300+IF(AND(offer_incoterms="DDP",seller_region="RU"),R1300,0)</f>
        <v/>
      </c>
      <c r="T1300" s="45" t="n"/>
      <c r="V1300" s="57">
        <f>IF(Q1300&gt;0,"показать","скрыть")</f>
        <v/>
      </c>
    </row>
    <row r="1301" ht="15.75" customHeight="1">
      <c r="B1301" s="809" t="n">
        <v>1285</v>
      </c>
      <c r="C1301" s="182">
        <f>IF(offer_sale_type="транзит",IFERROR(VLOOKUP($B1301,calc_data,C$14+1,0),0),0)</f>
        <v/>
      </c>
      <c r="D1301" s="280">
        <f>IF(offer_sale_type="транзит",IFERROR(VLOOKUP($B1301,calc_data,D$14+1,0),0),0)</f>
        <v/>
      </c>
      <c r="E1301" s="182">
        <f>IF(offer_sale_type="транзит",IFERROR(VLOOKUP($B1301,calc_data,E$14+1,0),0),0)</f>
        <v/>
      </c>
      <c r="F1301" s="182">
        <f>IF(offer_sale_type="транзит",IFERROR(VLOOKUP($B1301,calc_data,F$14+1,0),0),0)</f>
        <v/>
      </c>
      <c r="G1301" s="141">
        <f>IF(offer_sale_type="транзит",IFERROR(VLOOKUP($B1301,calc_data,G$14+1,0),0),0)</f>
        <v/>
      </c>
      <c r="H1301" s="141">
        <f>E1301*G1301</f>
        <v/>
      </c>
      <c r="I1301" s="141">
        <f>IF(offer_sale_type="транзит",IFERROR(ROUND(VLOOKUP($B1301,calc_data,I$14+1,0),2),0),0)</f>
        <v/>
      </c>
      <c r="J1301" s="141">
        <f>ROUND(IF(offer_sale_type="транзит",IFERROR(VLOOKUP($B1301,calc_data,J$14+1,0),0),0),2)</f>
        <v/>
      </c>
      <c r="K1301" s="142">
        <f>IF(offer_sale_type="транзит",IFERROR(ROUNDUP(VLOOKUP($B1301,calc_data,K$14+1,0),2),0),0)</f>
        <v/>
      </c>
      <c r="L1301" s="184">
        <f>IF(offer_sale_type="транзит",IFERROR(ROUNDUP(VLOOKUP($B1301,calc_data,L$14+1,0),2),0),0)</f>
        <v/>
      </c>
      <c r="M1301" s="141">
        <f>IF(offer_sale_type="транзит",IFERROR(ROUNDUP(VLOOKUP($B1301,calc_data,M$14+1,0),2),0),0)</f>
        <v/>
      </c>
      <c r="N1301" s="141">
        <f>IF(offer_sale_type="транзит",IFERROR(ROUNDUP(VLOOKUP($B1301,calc_data,N$14+1,0),2),0),0)</f>
        <v/>
      </c>
      <c r="O1301" s="147">
        <f>IF(offer_sale_type="транзит",IFERROR(ROUND(VLOOKUP($B1301,calc_data,O$14+1,1),2),0),0)</f>
        <v/>
      </c>
      <c r="P1301" s="141">
        <f>IF(offer_sale_type="транзит",IFERROR(ROUND(SUM(I1301:J1301,M1301:O1301)/E1301,2),0),0)</f>
        <v/>
      </c>
      <c r="Q1301" s="141">
        <f>E1301*P1301</f>
        <v/>
      </c>
      <c r="R1301" s="141">
        <f>ROUND(Q1301*IF(AND(offer_incoterms="DDP",seller_region="RU"),IF((TODAY()+offer_turnaround_time)&gt;=helpsheet!$L$17,rate_vatRU_from_26,rate_vatRu_till_25),0),2)</f>
        <v/>
      </c>
      <c r="S1301" s="177">
        <f>Q1301+IF(AND(offer_incoterms="DDP",seller_region="RU"),R1301,0)</f>
        <v/>
      </c>
      <c r="T1301" s="45" t="n"/>
      <c r="V1301" s="57">
        <f>IF(Q1301&gt;0,"показать","скрыть")</f>
        <v/>
      </c>
    </row>
    <row r="1302" ht="15.75" customHeight="1">
      <c r="B1302" s="809" t="n">
        <v>1286</v>
      </c>
      <c r="C1302" s="182">
        <f>IF(offer_sale_type="транзит",IFERROR(VLOOKUP($B1302,calc_data,C$14+1,0),0),0)</f>
        <v/>
      </c>
      <c r="D1302" s="280">
        <f>IF(offer_sale_type="транзит",IFERROR(VLOOKUP($B1302,calc_data,D$14+1,0),0),0)</f>
        <v/>
      </c>
      <c r="E1302" s="182">
        <f>IF(offer_sale_type="транзит",IFERROR(VLOOKUP($B1302,calc_data,E$14+1,0),0),0)</f>
        <v/>
      </c>
      <c r="F1302" s="182">
        <f>IF(offer_sale_type="транзит",IFERROR(VLOOKUP($B1302,calc_data,F$14+1,0),0),0)</f>
        <v/>
      </c>
      <c r="G1302" s="141">
        <f>IF(offer_sale_type="транзит",IFERROR(VLOOKUP($B1302,calc_data,G$14+1,0),0),0)</f>
        <v/>
      </c>
      <c r="H1302" s="141">
        <f>E1302*G1302</f>
        <v/>
      </c>
      <c r="I1302" s="141">
        <f>IF(offer_sale_type="транзит",IFERROR(ROUND(VLOOKUP($B1302,calc_data,I$14+1,0),2),0),0)</f>
        <v/>
      </c>
      <c r="J1302" s="141">
        <f>ROUND(IF(offer_sale_type="транзит",IFERROR(VLOOKUP($B1302,calc_data,J$14+1,0),0),0),2)</f>
        <v/>
      </c>
      <c r="K1302" s="142">
        <f>IF(offer_sale_type="транзит",IFERROR(ROUNDUP(VLOOKUP($B1302,calc_data,K$14+1,0),2),0),0)</f>
        <v/>
      </c>
      <c r="L1302" s="184">
        <f>IF(offer_sale_type="транзит",IFERROR(ROUNDUP(VLOOKUP($B1302,calc_data,L$14+1,0),2),0),0)</f>
        <v/>
      </c>
      <c r="M1302" s="141">
        <f>IF(offer_sale_type="транзит",IFERROR(ROUNDUP(VLOOKUP($B1302,calc_data,M$14+1,0),2),0),0)</f>
        <v/>
      </c>
      <c r="N1302" s="141">
        <f>IF(offer_sale_type="транзит",IFERROR(ROUNDUP(VLOOKUP($B1302,calc_data,N$14+1,0),2),0),0)</f>
        <v/>
      </c>
      <c r="O1302" s="147">
        <f>IF(offer_sale_type="транзит",IFERROR(ROUND(VLOOKUP($B1302,calc_data,O$14+1,1),2),0),0)</f>
        <v/>
      </c>
      <c r="P1302" s="141">
        <f>IF(offer_sale_type="транзит",IFERROR(ROUND(SUM(I1302:J1302,M1302:O1302)/E1302,2),0),0)</f>
        <v/>
      </c>
      <c r="Q1302" s="141">
        <f>E1302*P1302</f>
        <v/>
      </c>
      <c r="R1302" s="141">
        <f>ROUND(Q1302*IF(AND(offer_incoterms="DDP",seller_region="RU"),IF((TODAY()+offer_turnaround_time)&gt;=helpsheet!$L$17,rate_vatRU_from_26,rate_vatRu_till_25),0),2)</f>
        <v/>
      </c>
      <c r="S1302" s="177">
        <f>Q1302+IF(AND(offer_incoterms="DDP",seller_region="RU"),R1302,0)</f>
        <v/>
      </c>
      <c r="T1302" s="45" t="n"/>
      <c r="V1302" s="57">
        <f>IF(Q1302&gt;0,"показать","скрыть")</f>
        <v/>
      </c>
    </row>
    <row r="1303" ht="15.75" customHeight="1">
      <c r="B1303" s="809" t="n">
        <v>1287</v>
      </c>
      <c r="C1303" s="182">
        <f>IF(offer_sale_type="транзит",IFERROR(VLOOKUP($B1303,calc_data,C$14+1,0),0),0)</f>
        <v/>
      </c>
      <c r="D1303" s="280">
        <f>IF(offer_sale_type="транзит",IFERROR(VLOOKUP($B1303,calc_data,D$14+1,0),0),0)</f>
        <v/>
      </c>
      <c r="E1303" s="182">
        <f>IF(offer_sale_type="транзит",IFERROR(VLOOKUP($B1303,calc_data,E$14+1,0),0),0)</f>
        <v/>
      </c>
      <c r="F1303" s="182">
        <f>IF(offer_sale_type="транзит",IFERROR(VLOOKUP($B1303,calc_data,F$14+1,0),0),0)</f>
        <v/>
      </c>
      <c r="G1303" s="141">
        <f>IF(offer_sale_type="транзит",IFERROR(VLOOKUP($B1303,calc_data,G$14+1,0),0),0)</f>
        <v/>
      </c>
      <c r="H1303" s="141">
        <f>E1303*G1303</f>
        <v/>
      </c>
      <c r="I1303" s="141">
        <f>IF(offer_sale_type="транзит",IFERROR(ROUND(VLOOKUP($B1303,calc_data,I$14+1,0),2),0),0)</f>
        <v/>
      </c>
      <c r="J1303" s="141">
        <f>ROUND(IF(offer_sale_type="транзит",IFERROR(VLOOKUP($B1303,calc_data,J$14+1,0),0),0),2)</f>
        <v/>
      </c>
      <c r="K1303" s="142">
        <f>IF(offer_sale_type="транзит",IFERROR(ROUNDUP(VLOOKUP($B1303,calc_data,K$14+1,0),2),0),0)</f>
        <v/>
      </c>
      <c r="L1303" s="184">
        <f>IF(offer_sale_type="транзит",IFERROR(ROUNDUP(VLOOKUP($B1303,calc_data,L$14+1,0),2),0),0)</f>
        <v/>
      </c>
      <c r="M1303" s="141">
        <f>IF(offer_sale_type="транзит",IFERROR(ROUNDUP(VLOOKUP($B1303,calc_data,M$14+1,0),2),0),0)</f>
        <v/>
      </c>
      <c r="N1303" s="141">
        <f>IF(offer_sale_type="транзит",IFERROR(ROUNDUP(VLOOKUP($B1303,calc_data,N$14+1,0),2),0),0)</f>
        <v/>
      </c>
      <c r="O1303" s="147">
        <f>IF(offer_sale_type="транзит",IFERROR(ROUND(VLOOKUP($B1303,calc_data,O$14+1,1),2),0),0)</f>
        <v/>
      </c>
      <c r="P1303" s="141">
        <f>IF(offer_sale_type="транзит",IFERROR(ROUND(SUM(I1303:J1303,M1303:O1303)/E1303,2),0),0)</f>
        <v/>
      </c>
      <c r="Q1303" s="141">
        <f>E1303*P1303</f>
        <v/>
      </c>
      <c r="R1303" s="141">
        <f>ROUND(Q1303*IF(AND(offer_incoterms="DDP",seller_region="RU"),IF((TODAY()+offer_turnaround_time)&gt;=helpsheet!$L$17,rate_vatRU_from_26,rate_vatRu_till_25),0),2)</f>
        <v/>
      </c>
      <c r="S1303" s="177">
        <f>Q1303+IF(AND(offer_incoterms="DDP",seller_region="RU"),R1303,0)</f>
        <v/>
      </c>
      <c r="T1303" s="45" t="n"/>
      <c r="V1303" s="57">
        <f>IF(Q1303&gt;0,"показать","скрыть")</f>
        <v/>
      </c>
    </row>
    <row r="1304" ht="15.75" customHeight="1">
      <c r="B1304" s="809" t="n">
        <v>1288</v>
      </c>
      <c r="C1304" s="182">
        <f>IF(offer_sale_type="транзит",IFERROR(VLOOKUP($B1304,calc_data,C$14+1,0),0),0)</f>
        <v/>
      </c>
      <c r="D1304" s="280">
        <f>IF(offer_sale_type="транзит",IFERROR(VLOOKUP($B1304,calc_data,D$14+1,0),0),0)</f>
        <v/>
      </c>
      <c r="E1304" s="182">
        <f>IF(offer_sale_type="транзит",IFERROR(VLOOKUP($B1304,calc_data,E$14+1,0),0),0)</f>
        <v/>
      </c>
      <c r="F1304" s="182">
        <f>IF(offer_sale_type="транзит",IFERROR(VLOOKUP($B1304,calc_data,F$14+1,0),0),0)</f>
        <v/>
      </c>
      <c r="G1304" s="141">
        <f>IF(offer_sale_type="транзит",IFERROR(VLOOKUP($B1304,calc_data,G$14+1,0),0),0)</f>
        <v/>
      </c>
      <c r="H1304" s="141">
        <f>E1304*G1304</f>
        <v/>
      </c>
      <c r="I1304" s="141">
        <f>IF(offer_sale_type="транзит",IFERROR(ROUND(VLOOKUP($B1304,calc_data,I$14+1,0),2),0),0)</f>
        <v/>
      </c>
      <c r="J1304" s="141">
        <f>ROUND(IF(offer_sale_type="транзит",IFERROR(VLOOKUP($B1304,calc_data,J$14+1,0),0),0),2)</f>
        <v/>
      </c>
      <c r="K1304" s="142">
        <f>IF(offer_sale_type="транзит",IFERROR(ROUNDUP(VLOOKUP($B1304,calc_data,K$14+1,0),2),0),0)</f>
        <v/>
      </c>
      <c r="L1304" s="184">
        <f>IF(offer_sale_type="транзит",IFERROR(ROUNDUP(VLOOKUP($B1304,calc_data,L$14+1,0),2),0),0)</f>
        <v/>
      </c>
      <c r="M1304" s="141">
        <f>IF(offer_sale_type="транзит",IFERROR(ROUNDUP(VLOOKUP($B1304,calc_data,M$14+1,0),2),0),0)</f>
        <v/>
      </c>
      <c r="N1304" s="141">
        <f>IF(offer_sale_type="транзит",IFERROR(ROUNDUP(VLOOKUP($B1304,calc_data,N$14+1,0),2),0),0)</f>
        <v/>
      </c>
      <c r="O1304" s="147">
        <f>IF(offer_sale_type="транзит",IFERROR(ROUND(VLOOKUP($B1304,calc_data,O$14+1,1),2),0),0)</f>
        <v/>
      </c>
      <c r="P1304" s="141">
        <f>IF(offer_sale_type="транзит",IFERROR(ROUND(SUM(I1304:J1304,M1304:O1304)/E1304,2),0),0)</f>
        <v/>
      </c>
      <c r="Q1304" s="141">
        <f>E1304*P1304</f>
        <v/>
      </c>
      <c r="R1304" s="141">
        <f>ROUND(Q1304*IF(AND(offer_incoterms="DDP",seller_region="RU"),IF((TODAY()+offer_turnaround_time)&gt;=helpsheet!$L$17,rate_vatRU_from_26,rate_vatRu_till_25),0),2)</f>
        <v/>
      </c>
      <c r="S1304" s="177">
        <f>Q1304+IF(AND(offer_incoterms="DDP",seller_region="RU"),R1304,0)</f>
        <v/>
      </c>
      <c r="T1304" s="45" t="n"/>
      <c r="V1304" s="57">
        <f>IF(Q1304&gt;0,"показать","скрыть")</f>
        <v/>
      </c>
    </row>
    <row r="1305" ht="15.75" customHeight="1">
      <c r="B1305" s="809" t="n">
        <v>1289</v>
      </c>
      <c r="C1305" s="182">
        <f>IF(offer_sale_type="транзит",IFERROR(VLOOKUP($B1305,calc_data,C$14+1,0),0),0)</f>
        <v/>
      </c>
      <c r="D1305" s="280">
        <f>IF(offer_sale_type="транзит",IFERROR(VLOOKUP($B1305,calc_data,D$14+1,0),0),0)</f>
        <v/>
      </c>
      <c r="E1305" s="182">
        <f>IF(offer_sale_type="транзит",IFERROR(VLOOKUP($B1305,calc_data,E$14+1,0),0),0)</f>
        <v/>
      </c>
      <c r="F1305" s="182">
        <f>IF(offer_sale_type="транзит",IFERROR(VLOOKUP($B1305,calc_data,F$14+1,0),0),0)</f>
        <v/>
      </c>
      <c r="G1305" s="141">
        <f>IF(offer_sale_type="транзит",IFERROR(VLOOKUP($B1305,calc_data,G$14+1,0),0),0)</f>
        <v/>
      </c>
      <c r="H1305" s="141">
        <f>E1305*G1305</f>
        <v/>
      </c>
      <c r="I1305" s="141">
        <f>IF(offer_sale_type="транзит",IFERROR(ROUND(VLOOKUP($B1305,calc_data,I$14+1,0),2),0),0)</f>
        <v/>
      </c>
      <c r="J1305" s="141">
        <f>ROUND(IF(offer_sale_type="транзит",IFERROR(VLOOKUP($B1305,calc_data,J$14+1,0),0),0),2)</f>
        <v/>
      </c>
      <c r="K1305" s="142">
        <f>IF(offer_sale_type="транзит",IFERROR(ROUNDUP(VLOOKUP($B1305,calc_data,K$14+1,0),2),0),0)</f>
        <v/>
      </c>
      <c r="L1305" s="184">
        <f>IF(offer_sale_type="транзит",IFERROR(ROUNDUP(VLOOKUP($B1305,calc_data,L$14+1,0),2),0),0)</f>
        <v/>
      </c>
      <c r="M1305" s="141">
        <f>IF(offer_sale_type="транзит",IFERROR(ROUNDUP(VLOOKUP($B1305,calc_data,M$14+1,0),2),0),0)</f>
        <v/>
      </c>
      <c r="N1305" s="141">
        <f>IF(offer_sale_type="транзит",IFERROR(ROUNDUP(VLOOKUP($B1305,calc_data,N$14+1,0),2),0),0)</f>
        <v/>
      </c>
      <c r="O1305" s="147">
        <f>IF(offer_sale_type="транзит",IFERROR(ROUND(VLOOKUP($B1305,calc_data,O$14+1,1),2),0),0)</f>
        <v/>
      </c>
      <c r="P1305" s="141">
        <f>IF(offer_sale_type="транзит",IFERROR(ROUND(SUM(I1305:J1305,M1305:O1305)/E1305,2),0),0)</f>
        <v/>
      </c>
      <c r="Q1305" s="141">
        <f>E1305*P1305</f>
        <v/>
      </c>
      <c r="R1305" s="141">
        <f>ROUND(Q1305*IF(AND(offer_incoterms="DDP",seller_region="RU"),IF((TODAY()+offer_turnaround_time)&gt;=helpsheet!$L$17,rate_vatRU_from_26,rate_vatRu_till_25),0),2)</f>
        <v/>
      </c>
      <c r="S1305" s="177">
        <f>Q1305+IF(AND(offer_incoterms="DDP",seller_region="RU"),R1305,0)</f>
        <v/>
      </c>
      <c r="T1305" s="45" t="n"/>
      <c r="V1305" s="57">
        <f>IF(Q1305&gt;0,"показать","скрыть")</f>
        <v/>
      </c>
    </row>
    <row r="1306" ht="15.75" customHeight="1">
      <c r="B1306" s="809" t="n">
        <v>1290</v>
      </c>
      <c r="C1306" s="182">
        <f>IF(offer_sale_type="транзит",IFERROR(VLOOKUP($B1306,calc_data,C$14+1,0),0),0)</f>
        <v/>
      </c>
      <c r="D1306" s="280">
        <f>IF(offer_sale_type="транзит",IFERROR(VLOOKUP($B1306,calc_data,D$14+1,0),0),0)</f>
        <v/>
      </c>
      <c r="E1306" s="182">
        <f>IF(offer_sale_type="транзит",IFERROR(VLOOKUP($B1306,calc_data,E$14+1,0),0),0)</f>
        <v/>
      </c>
      <c r="F1306" s="182">
        <f>IF(offer_sale_type="транзит",IFERROR(VLOOKUP($B1306,calc_data,F$14+1,0),0),0)</f>
        <v/>
      </c>
      <c r="G1306" s="141">
        <f>IF(offer_sale_type="транзит",IFERROR(VLOOKUP($B1306,calc_data,G$14+1,0),0),0)</f>
        <v/>
      </c>
      <c r="H1306" s="141">
        <f>E1306*G1306</f>
        <v/>
      </c>
      <c r="I1306" s="141">
        <f>IF(offer_sale_type="транзит",IFERROR(ROUND(VLOOKUP($B1306,calc_data,I$14+1,0),2),0),0)</f>
        <v/>
      </c>
      <c r="J1306" s="141">
        <f>ROUND(IF(offer_sale_type="транзит",IFERROR(VLOOKUP($B1306,calc_data,J$14+1,0),0),0),2)</f>
        <v/>
      </c>
      <c r="K1306" s="142">
        <f>IF(offer_sale_type="транзит",IFERROR(ROUNDUP(VLOOKUP($B1306,calc_data,K$14+1,0),2),0),0)</f>
        <v/>
      </c>
      <c r="L1306" s="184">
        <f>IF(offer_sale_type="транзит",IFERROR(ROUNDUP(VLOOKUP($B1306,calc_data,L$14+1,0),2),0),0)</f>
        <v/>
      </c>
      <c r="M1306" s="141">
        <f>IF(offer_sale_type="транзит",IFERROR(ROUNDUP(VLOOKUP($B1306,calc_data,M$14+1,0),2),0),0)</f>
        <v/>
      </c>
      <c r="N1306" s="141">
        <f>IF(offer_sale_type="транзит",IFERROR(ROUNDUP(VLOOKUP($B1306,calc_data,N$14+1,0),2),0),0)</f>
        <v/>
      </c>
      <c r="O1306" s="147">
        <f>IF(offer_sale_type="транзит",IFERROR(ROUND(VLOOKUP($B1306,calc_data,O$14+1,1),2),0),0)</f>
        <v/>
      </c>
      <c r="P1306" s="141">
        <f>IF(offer_sale_type="транзит",IFERROR(ROUND(SUM(I1306:J1306,M1306:O1306)/E1306,2),0),0)</f>
        <v/>
      </c>
      <c r="Q1306" s="141">
        <f>E1306*P1306</f>
        <v/>
      </c>
      <c r="R1306" s="141">
        <f>ROUND(Q1306*IF(AND(offer_incoterms="DDP",seller_region="RU"),IF((TODAY()+offer_turnaround_time)&gt;=helpsheet!$L$17,rate_vatRU_from_26,rate_vatRu_till_25),0),2)</f>
        <v/>
      </c>
      <c r="S1306" s="177">
        <f>Q1306+IF(AND(offer_incoterms="DDP",seller_region="RU"),R1306,0)</f>
        <v/>
      </c>
      <c r="T1306" s="45" t="n"/>
      <c r="V1306" s="57">
        <f>IF(Q1306&gt;0,"показать","скрыть")</f>
        <v/>
      </c>
    </row>
    <row r="1307" ht="15.75" customHeight="1">
      <c r="B1307" s="809" t="n">
        <v>1291</v>
      </c>
      <c r="C1307" s="182">
        <f>IF(offer_sale_type="транзит",IFERROR(VLOOKUP($B1307,calc_data,C$14+1,0),0),0)</f>
        <v/>
      </c>
      <c r="D1307" s="280">
        <f>IF(offer_sale_type="транзит",IFERROR(VLOOKUP($B1307,calc_data,D$14+1,0),0),0)</f>
        <v/>
      </c>
      <c r="E1307" s="182">
        <f>IF(offer_sale_type="транзит",IFERROR(VLOOKUP($B1307,calc_data,E$14+1,0),0),0)</f>
        <v/>
      </c>
      <c r="F1307" s="182">
        <f>IF(offer_sale_type="транзит",IFERROR(VLOOKUP($B1307,calc_data,F$14+1,0),0),0)</f>
        <v/>
      </c>
      <c r="G1307" s="141">
        <f>IF(offer_sale_type="транзит",IFERROR(VLOOKUP($B1307,calc_data,G$14+1,0),0),0)</f>
        <v/>
      </c>
      <c r="H1307" s="141">
        <f>E1307*G1307</f>
        <v/>
      </c>
      <c r="I1307" s="141">
        <f>IF(offer_sale_type="транзит",IFERROR(ROUND(VLOOKUP($B1307,calc_data,I$14+1,0),2),0),0)</f>
        <v/>
      </c>
      <c r="J1307" s="141">
        <f>ROUND(IF(offer_sale_type="транзит",IFERROR(VLOOKUP($B1307,calc_data,J$14+1,0),0),0),2)</f>
        <v/>
      </c>
      <c r="K1307" s="142">
        <f>IF(offer_sale_type="транзит",IFERROR(ROUNDUP(VLOOKUP($B1307,calc_data,K$14+1,0),2),0),0)</f>
        <v/>
      </c>
      <c r="L1307" s="184">
        <f>IF(offer_sale_type="транзит",IFERROR(ROUNDUP(VLOOKUP($B1307,calc_data,L$14+1,0),2),0),0)</f>
        <v/>
      </c>
      <c r="M1307" s="141">
        <f>IF(offer_sale_type="транзит",IFERROR(ROUNDUP(VLOOKUP($B1307,calc_data,M$14+1,0),2),0),0)</f>
        <v/>
      </c>
      <c r="N1307" s="141">
        <f>IF(offer_sale_type="транзит",IFERROR(ROUNDUP(VLOOKUP($B1307,calc_data,N$14+1,0),2),0),0)</f>
        <v/>
      </c>
      <c r="O1307" s="147">
        <f>IF(offer_sale_type="транзит",IFERROR(ROUND(VLOOKUP($B1307,calc_data,O$14+1,1),2),0),0)</f>
        <v/>
      </c>
      <c r="P1307" s="141">
        <f>IF(offer_sale_type="транзит",IFERROR(ROUND(SUM(I1307:J1307,M1307:O1307)/E1307,2),0),0)</f>
        <v/>
      </c>
      <c r="Q1307" s="141">
        <f>E1307*P1307</f>
        <v/>
      </c>
      <c r="R1307" s="141">
        <f>ROUND(Q1307*IF(AND(offer_incoterms="DDP",seller_region="RU"),IF((TODAY()+offer_turnaround_time)&gt;=helpsheet!$L$17,rate_vatRU_from_26,rate_vatRu_till_25),0),2)</f>
        <v/>
      </c>
      <c r="S1307" s="177">
        <f>Q1307+IF(AND(offer_incoterms="DDP",seller_region="RU"),R1307,0)</f>
        <v/>
      </c>
      <c r="T1307" s="45" t="n"/>
      <c r="V1307" s="57">
        <f>IF(Q1307&gt;0,"показать","скрыть")</f>
        <v/>
      </c>
    </row>
    <row r="1308" ht="15.75" customHeight="1">
      <c r="B1308" s="809" t="n">
        <v>1292</v>
      </c>
      <c r="C1308" s="182">
        <f>IF(offer_sale_type="транзит",IFERROR(VLOOKUP($B1308,calc_data,C$14+1,0),0),0)</f>
        <v/>
      </c>
      <c r="D1308" s="280">
        <f>IF(offer_sale_type="транзит",IFERROR(VLOOKUP($B1308,calc_data,D$14+1,0),0),0)</f>
        <v/>
      </c>
      <c r="E1308" s="182">
        <f>IF(offer_sale_type="транзит",IFERROR(VLOOKUP($B1308,calc_data,E$14+1,0),0),0)</f>
        <v/>
      </c>
      <c r="F1308" s="182">
        <f>IF(offer_sale_type="транзит",IFERROR(VLOOKUP($B1308,calc_data,F$14+1,0),0),0)</f>
        <v/>
      </c>
      <c r="G1308" s="141">
        <f>IF(offer_sale_type="транзит",IFERROR(VLOOKUP($B1308,calc_data,G$14+1,0),0),0)</f>
        <v/>
      </c>
      <c r="H1308" s="141">
        <f>E1308*G1308</f>
        <v/>
      </c>
      <c r="I1308" s="141">
        <f>IF(offer_sale_type="транзит",IFERROR(ROUND(VLOOKUP($B1308,calc_data,I$14+1,0),2),0),0)</f>
        <v/>
      </c>
      <c r="J1308" s="141">
        <f>ROUND(IF(offer_sale_type="транзит",IFERROR(VLOOKUP($B1308,calc_data,J$14+1,0),0),0),2)</f>
        <v/>
      </c>
      <c r="K1308" s="142">
        <f>IF(offer_sale_type="транзит",IFERROR(ROUNDUP(VLOOKUP($B1308,calc_data,K$14+1,0),2),0),0)</f>
        <v/>
      </c>
      <c r="L1308" s="184">
        <f>IF(offer_sale_type="транзит",IFERROR(ROUNDUP(VLOOKUP($B1308,calc_data,L$14+1,0),2),0),0)</f>
        <v/>
      </c>
      <c r="M1308" s="141">
        <f>IF(offer_sale_type="транзит",IFERROR(ROUNDUP(VLOOKUP($B1308,calc_data,M$14+1,0),2),0),0)</f>
        <v/>
      </c>
      <c r="N1308" s="141">
        <f>IF(offer_sale_type="транзит",IFERROR(ROUNDUP(VLOOKUP($B1308,calc_data,N$14+1,0),2),0),0)</f>
        <v/>
      </c>
      <c r="O1308" s="147">
        <f>IF(offer_sale_type="транзит",IFERROR(ROUND(VLOOKUP($B1308,calc_data,O$14+1,1),2),0),0)</f>
        <v/>
      </c>
      <c r="P1308" s="141">
        <f>IF(offer_sale_type="транзит",IFERROR(ROUND(SUM(I1308:J1308,M1308:O1308)/E1308,2),0),0)</f>
        <v/>
      </c>
      <c r="Q1308" s="141">
        <f>E1308*P1308</f>
        <v/>
      </c>
      <c r="R1308" s="141">
        <f>ROUND(Q1308*IF(AND(offer_incoterms="DDP",seller_region="RU"),IF((TODAY()+offer_turnaround_time)&gt;=helpsheet!$L$17,rate_vatRU_from_26,rate_vatRu_till_25),0),2)</f>
        <v/>
      </c>
      <c r="S1308" s="177">
        <f>Q1308+IF(AND(offer_incoterms="DDP",seller_region="RU"),R1308,0)</f>
        <v/>
      </c>
      <c r="T1308" s="45" t="n"/>
      <c r="V1308" s="57">
        <f>IF(Q1308&gt;0,"показать","скрыть")</f>
        <v/>
      </c>
    </row>
    <row r="1309" ht="15.75" customHeight="1">
      <c r="B1309" s="809" t="n">
        <v>1293</v>
      </c>
      <c r="C1309" s="182">
        <f>IF(offer_sale_type="транзит",IFERROR(VLOOKUP($B1309,calc_data,C$14+1,0),0),0)</f>
        <v/>
      </c>
      <c r="D1309" s="280">
        <f>IF(offer_sale_type="транзит",IFERROR(VLOOKUP($B1309,calc_data,D$14+1,0),0),0)</f>
        <v/>
      </c>
      <c r="E1309" s="182">
        <f>IF(offer_sale_type="транзит",IFERROR(VLOOKUP($B1309,calc_data,E$14+1,0),0),0)</f>
        <v/>
      </c>
      <c r="F1309" s="182">
        <f>IF(offer_sale_type="транзит",IFERROR(VLOOKUP($B1309,calc_data,F$14+1,0),0),0)</f>
        <v/>
      </c>
      <c r="G1309" s="141">
        <f>IF(offer_sale_type="транзит",IFERROR(VLOOKUP($B1309,calc_data,G$14+1,0),0),0)</f>
        <v/>
      </c>
      <c r="H1309" s="141">
        <f>E1309*G1309</f>
        <v/>
      </c>
      <c r="I1309" s="141">
        <f>IF(offer_sale_type="транзит",IFERROR(ROUND(VLOOKUP($B1309,calc_data,I$14+1,0),2),0),0)</f>
        <v/>
      </c>
      <c r="J1309" s="141">
        <f>ROUND(IF(offer_sale_type="транзит",IFERROR(VLOOKUP($B1309,calc_data,J$14+1,0),0),0),2)</f>
        <v/>
      </c>
      <c r="K1309" s="142">
        <f>IF(offer_sale_type="транзит",IFERROR(ROUNDUP(VLOOKUP($B1309,calc_data,K$14+1,0),2),0),0)</f>
        <v/>
      </c>
      <c r="L1309" s="184">
        <f>IF(offer_sale_type="транзит",IFERROR(ROUNDUP(VLOOKUP($B1309,calc_data,L$14+1,0),2),0),0)</f>
        <v/>
      </c>
      <c r="M1309" s="141">
        <f>IF(offer_sale_type="транзит",IFERROR(ROUNDUP(VLOOKUP($B1309,calc_data,M$14+1,0),2),0),0)</f>
        <v/>
      </c>
      <c r="N1309" s="141">
        <f>IF(offer_sale_type="транзит",IFERROR(ROUNDUP(VLOOKUP($B1309,calc_data,N$14+1,0),2),0),0)</f>
        <v/>
      </c>
      <c r="O1309" s="147">
        <f>IF(offer_sale_type="транзит",IFERROR(ROUND(VLOOKUP($B1309,calc_data,O$14+1,1),2),0),0)</f>
        <v/>
      </c>
      <c r="P1309" s="141">
        <f>IF(offer_sale_type="транзит",IFERROR(ROUND(SUM(I1309:J1309,M1309:O1309)/E1309,2),0),0)</f>
        <v/>
      </c>
      <c r="Q1309" s="141">
        <f>E1309*P1309</f>
        <v/>
      </c>
      <c r="R1309" s="141">
        <f>ROUND(Q1309*IF(AND(offer_incoterms="DDP",seller_region="RU"),IF((TODAY()+offer_turnaround_time)&gt;=helpsheet!$L$17,rate_vatRU_from_26,rate_vatRu_till_25),0),2)</f>
        <v/>
      </c>
      <c r="S1309" s="177">
        <f>Q1309+IF(AND(offer_incoterms="DDP",seller_region="RU"),R1309,0)</f>
        <v/>
      </c>
      <c r="T1309" s="45" t="n"/>
      <c r="V1309" s="57">
        <f>IF(Q1309&gt;0,"показать","скрыть")</f>
        <v/>
      </c>
    </row>
    <row r="1310" ht="15.75" customHeight="1">
      <c r="B1310" s="809" t="n">
        <v>1294</v>
      </c>
      <c r="C1310" s="182">
        <f>IF(offer_sale_type="транзит",IFERROR(VLOOKUP($B1310,calc_data,C$14+1,0),0),0)</f>
        <v/>
      </c>
      <c r="D1310" s="280">
        <f>IF(offer_sale_type="транзит",IFERROR(VLOOKUP($B1310,calc_data,D$14+1,0),0),0)</f>
        <v/>
      </c>
      <c r="E1310" s="182">
        <f>IF(offer_sale_type="транзит",IFERROR(VLOOKUP($B1310,calc_data,E$14+1,0),0),0)</f>
        <v/>
      </c>
      <c r="F1310" s="182">
        <f>IF(offer_sale_type="транзит",IFERROR(VLOOKUP($B1310,calc_data,F$14+1,0),0),0)</f>
        <v/>
      </c>
      <c r="G1310" s="141">
        <f>IF(offer_sale_type="транзит",IFERROR(VLOOKUP($B1310,calc_data,G$14+1,0),0),0)</f>
        <v/>
      </c>
      <c r="H1310" s="141">
        <f>E1310*G1310</f>
        <v/>
      </c>
      <c r="I1310" s="141">
        <f>IF(offer_sale_type="транзит",IFERROR(ROUND(VLOOKUP($B1310,calc_data,I$14+1,0),2),0),0)</f>
        <v/>
      </c>
      <c r="J1310" s="141">
        <f>ROUND(IF(offer_sale_type="транзит",IFERROR(VLOOKUP($B1310,calc_data,J$14+1,0),0),0),2)</f>
        <v/>
      </c>
      <c r="K1310" s="142">
        <f>IF(offer_sale_type="транзит",IFERROR(ROUNDUP(VLOOKUP($B1310,calc_data,K$14+1,0),2),0),0)</f>
        <v/>
      </c>
      <c r="L1310" s="184">
        <f>IF(offer_sale_type="транзит",IFERROR(ROUNDUP(VLOOKUP($B1310,calc_data,L$14+1,0),2),0),0)</f>
        <v/>
      </c>
      <c r="M1310" s="141">
        <f>IF(offer_sale_type="транзит",IFERROR(ROUNDUP(VLOOKUP($B1310,calc_data,M$14+1,0),2),0),0)</f>
        <v/>
      </c>
      <c r="N1310" s="141">
        <f>IF(offer_sale_type="транзит",IFERROR(ROUNDUP(VLOOKUP($B1310,calc_data,N$14+1,0),2),0),0)</f>
        <v/>
      </c>
      <c r="O1310" s="147">
        <f>IF(offer_sale_type="транзит",IFERROR(ROUND(VLOOKUP($B1310,calc_data,O$14+1,1),2),0),0)</f>
        <v/>
      </c>
      <c r="P1310" s="141">
        <f>IF(offer_sale_type="транзит",IFERROR(ROUND(SUM(I1310:J1310,M1310:O1310)/E1310,2),0),0)</f>
        <v/>
      </c>
      <c r="Q1310" s="141">
        <f>E1310*P1310</f>
        <v/>
      </c>
      <c r="R1310" s="141">
        <f>ROUND(Q1310*IF(AND(offer_incoterms="DDP",seller_region="RU"),IF((TODAY()+offer_turnaround_time)&gt;=helpsheet!$L$17,rate_vatRU_from_26,rate_vatRu_till_25),0),2)</f>
        <v/>
      </c>
      <c r="S1310" s="177">
        <f>Q1310+IF(AND(offer_incoterms="DDP",seller_region="RU"),R1310,0)</f>
        <v/>
      </c>
      <c r="T1310" s="45" t="n"/>
      <c r="V1310" s="57">
        <f>IF(Q1310&gt;0,"показать","скрыть")</f>
        <v/>
      </c>
    </row>
    <row r="1311" ht="15.75" customHeight="1">
      <c r="B1311" s="809" t="n">
        <v>1295</v>
      </c>
      <c r="C1311" s="182">
        <f>IF(offer_sale_type="транзит",IFERROR(VLOOKUP($B1311,calc_data,C$14+1,0),0),0)</f>
        <v/>
      </c>
      <c r="D1311" s="280">
        <f>IF(offer_sale_type="транзит",IFERROR(VLOOKUP($B1311,calc_data,D$14+1,0),0),0)</f>
        <v/>
      </c>
      <c r="E1311" s="182">
        <f>IF(offer_sale_type="транзит",IFERROR(VLOOKUP($B1311,calc_data,E$14+1,0),0),0)</f>
        <v/>
      </c>
      <c r="F1311" s="182">
        <f>IF(offer_sale_type="транзит",IFERROR(VLOOKUP($B1311,calc_data,F$14+1,0),0),0)</f>
        <v/>
      </c>
      <c r="G1311" s="141">
        <f>IF(offer_sale_type="транзит",IFERROR(VLOOKUP($B1311,calc_data,G$14+1,0),0),0)</f>
        <v/>
      </c>
      <c r="H1311" s="141">
        <f>E1311*G1311</f>
        <v/>
      </c>
      <c r="I1311" s="141">
        <f>IF(offer_sale_type="транзит",IFERROR(ROUND(VLOOKUP($B1311,calc_data,I$14+1,0),2),0),0)</f>
        <v/>
      </c>
      <c r="J1311" s="141">
        <f>ROUND(IF(offer_sale_type="транзит",IFERROR(VLOOKUP($B1311,calc_data,J$14+1,0),0),0),2)</f>
        <v/>
      </c>
      <c r="K1311" s="142">
        <f>IF(offer_sale_type="транзит",IFERROR(ROUNDUP(VLOOKUP($B1311,calc_data,K$14+1,0),2),0),0)</f>
        <v/>
      </c>
      <c r="L1311" s="184">
        <f>IF(offer_sale_type="транзит",IFERROR(ROUNDUP(VLOOKUP($B1311,calc_data,L$14+1,0),2),0),0)</f>
        <v/>
      </c>
      <c r="M1311" s="141">
        <f>IF(offer_sale_type="транзит",IFERROR(ROUNDUP(VLOOKUP($B1311,calc_data,M$14+1,0),2),0),0)</f>
        <v/>
      </c>
      <c r="N1311" s="141">
        <f>IF(offer_sale_type="транзит",IFERROR(ROUNDUP(VLOOKUP($B1311,calc_data,N$14+1,0),2),0),0)</f>
        <v/>
      </c>
      <c r="O1311" s="147">
        <f>IF(offer_sale_type="транзит",IFERROR(ROUND(VLOOKUP($B1311,calc_data,O$14+1,1),2),0),0)</f>
        <v/>
      </c>
      <c r="P1311" s="141">
        <f>IF(offer_sale_type="транзит",IFERROR(ROUND(SUM(I1311:J1311,M1311:O1311)/E1311,2),0),0)</f>
        <v/>
      </c>
      <c r="Q1311" s="141">
        <f>E1311*P1311</f>
        <v/>
      </c>
      <c r="R1311" s="141">
        <f>ROUND(Q1311*IF(AND(offer_incoterms="DDP",seller_region="RU"),IF((TODAY()+offer_turnaround_time)&gt;=helpsheet!$L$17,rate_vatRU_from_26,rate_vatRu_till_25),0),2)</f>
        <v/>
      </c>
      <c r="S1311" s="177">
        <f>Q1311+IF(AND(offer_incoterms="DDP",seller_region="RU"),R1311,0)</f>
        <v/>
      </c>
      <c r="T1311" s="45" t="n"/>
      <c r="V1311" s="57">
        <f>IF(Q1311&gt;0,"показать","скрыть")</f>
        <v/>
      </c>
    </row>
    <row r="1312" ht="15.75" customHeight="1">
      <c r="B1312" s="809" t="n">
        <v>1296</v>
      </c>
      <c r="C1312" s="182">
        <f>IF(offer_sale_type="транзит",IFERROR(VLOOKUP($B1312,calc_data,C$14+1,0),0),0)</f>
        <v/>
      </c>
      <c r="D1312" s="280">
        <f>IF(offer_sale_type="транзит",IFERROR(VLOOKUP($B1312,calc_data,D$14+1,0),0),0)</f>
        <v/>
      </c>
      <c r="E1312" s="182">
        <f>IF(offer_sale_type="транзит",IFERROR(VLOOKUP($B1312,calc_data,E$14+1,0),0),0)</f>
        <v/>
      </c>
      <c r="F1312" s="182">
        <f>IF(offer_sale_type="транзит",IFERROR(VLOOKUP($B1312,calc_data,F$14+1,0),0),0)</f>
        <v/>
      </c>
      <c r="G1312" s="141">
        <f>IF(offer_sale_type="транзит",IFERROR(VLOOKUP($B1312,calc_data,G$14+1,0),0),0)</f>
        <v/>
      </c>
      <c r="H1312" s="141">
        <f>E1312*G1312</f>
        <v/>
      </c>
      <c r="I1312" s="141">
        <f>IF(offer_sale_type="транзит",IFERROR(ROUND(VLOOKUP($B1312,calc_data,I$14+1,0),2),0),0)</f>
        <v/>
      </c>
      <c r="J1312" s="141">
        <f>ROUND(IF(offer_sale_type="транзит",IFERROR(VLOOKUP($B1312,calc_data,J$14+1,0),0),0),2)</f>
        <v/>
      </c>
      <c r="K1312" s="142">
        <f>IF(offer_sale_type="транзит",IFERROR(ROUNDUP(VLOOKUP($B1312,calc_data,K$14+1,0),2),0),0)</f>
        <v/>
      </c>
      <c r="L1312" s="184">
        <f>IF(offer_sale_type="транзит",IFERROR(ROUNDUP(VLOOKUP($B1312,calc_data,L$14+1,0),2),0),0)</f>
        <v/>
      </c>
      <c r="M1312" s="141">
        <f>IF(offer_sale_type="транзит",IFERROR(ROUNDUP(VLOOKUP($B1312,calc_data,M$14+1,0),2),0),0)</f>
        <v/>
      </c>
      <c r="N1312" s="141">
        <f>IF(offer_sale_type="транзит",IFERROR(ROUNDUP(VLOOKUP($B1312,calc_data,N$14+1,0),2),0),0)</f>
        <v/>
      </c>
      <c r="O1312" s="147">
        <f>IF(offer_sale_type="транзит",IFERROR(ROUND(VLOOKUP($B1312,calc_data,O$14+1,1),2),0),0)</f>
        <v/>
      </c>
      <c r="P1312" s="141">
        <f>IF(offer_sale_type="транзит",IFERROR(ROUND(SUM(I1312:J1312,M1312:O1312)/E1312,2),0),0)</f>
        <v/>
      </c>
      <c r="Q1312" s="141">
        <f>E1312*P1312</f>
        <v/>
      </c>
      <c r="R1312" s="141">
        <f>ROUND(Q1312*IF(AND(offer_incoterms="DDP",seller_region="RU"),IF((TODAY()+offer_turnaround_time)&gt;=helpsheet!$L$17,rate_vatRU_from_26,rate_vatRu_till_25),0),2)</f>
        <v/>
      </c>
      <c r="S1312" s="177">
        <f>Q1312+IF(AND(offer_incoterms="DDP",seller_region="RU"),R1312,0)</f>
        <v/>
      </c>
      <c r="T1312" s="45" t="n"/>
      <c r="V1312" s="57">
        <f>IF(Q1312&gt;0,"показать","скрыть")</f>
        <v/>
      </c>
    </row>
    <row r="1313" ht="15.75" customHeight="1">
      <c r="B1313" s="809" t="n">
        <v>1297</v>
      </c>
      <c r="C1313" s="182">
        <f>IF(offer_sale_type="транзит",IFERROR(VLOOKUP($B1313,calc_data,C$14+1,0),0),0)</f>
        <v/>
      </c>
      <c r="D1313" s="280">
        <f>IF(offer_sale_type="транзит",IFERROR(VLOOKUP($B1313,calc_data,D$14+1,0),0),0)</f>
        <v/>
      </c>
      <c r="E1313" s="182">
        <f>IF(offer_sale_type="транзит",IFERROR(VLOOKUP($B1313,calc_data,E$14+1,0),0),0)</f>
        <v/>
      </c>
      <c r="F1313" s="182">
        <f>IF(offer_sale_type="транзит",IFERROR(VLOOKUP($B1313,calc_data,F$14+1,0),0),0)</f>
        <v/>
      </c>
      <c r="G1313" s="141">
        <f>IF(offer_sale_type="транзит",IFERROR(VLOOKUP($B1313,calc_data,G$14+1,0),0),0)</f>
        <v/>
      </c>
      <c r="H1313" s="141">
        <f>E1313*G1313</f>
        <v/>
      </c>
      <c r="I1313" s="141">
        <f>IF(offer_sale_type="транзит",IFERROR(ROUND(VLOOKUP($B1313,calc_data,I$14+1,0),2),0),0)</f>
        <v/>
      </c>
      <c r="J1313" s="141">
        <f>ROUND(IF(offer_sale_type="транзит",IFERROR(VLOOKUP($B1313,calc_data,J$14+1,0),0),0),2)</f>
        <v/>
      </c>
      <c r="K1313" s="142">
        <f>IF(offer_sale_type="транзит",IFERROR(ROUNDUP(VLOOKUP($B1313,calc_data,K$14+1,0),2),0),0)</f>
        <v/>
      </c>
      <c r="L1313" s="184">
        <f>IF(offer_sale_type="транзит",IFERROR(ROUNDUP(VLOOKUP($B1313,calc_data,L$14+1,0),2),0),0)</f>
        <v/>
      </c>
      <c r="M1313" s="141">
        <f>IF(offer_sale_type="транзит",IFERROR(ROUNDUP(VLOOKUP($B1313,calc_data,M$14+1,0),2),0),0)</f>
        <v/>
      </c>
      <c r="N1313" s="141">
        <f>IF(offer_sale_type="транзит",IFERROR(ROUNDUP(VLOOKUP($B1313,calc_data,N$14+1,0),2),0),0)</f>
        <v/>
      </c>
      <c r="O1313" s="147">
        <f>IF(offer_sale_type="транзит",IFERROR(ROUND(VLOOKUP($B1313,calc_data,O$14+1,1),2),0),0)</f>
        <v/>
      </c>
      <c r="P1313" s="141">
        <f>IF(offer_sale_type="транзит",IFERROR(ROUND(SUM(I1313:J1313,M1313:O1313)/E1313,2),0),0)</f>
        <v/>
      </c>
      <c r="Q1313" s="141">
        <f>E1313*P1313</f>
        <v/>
      </c>
      <c r="R1313" s="141">
        <f>ROUND(Q1313*IF(AND(offer_incoterms="DDP",seller_region="RU"),IF((TODAY()+offer_turnaround_time)&gt;=helpsheet!$L$17,rate_vatRU_from_26,rate_vatRu_till_25),0),2)</f>
        <v/>
      </c>
      <c r="S1313" s="177">
        <f>Q1313+IF(AND(offer_incoterms="DDP",seller_region="RU"),R1313,0)</f>
        <v/>
      </c>
      <c r="T1313" s="45" t="n"/>
      <c r="V1313" s="57">
        <f>IF(Q1313&gt;0,"показать","скрыть")</f>
        <v/>
      </c>
    </row>
    <row r="1314" ht="15.75" customHeight="1">
      <c r="B1314" s="809" t="n">
        <v>1298</v>
      </c>
      <c r="C1314" s="182">
        <f>IF(offer_sale_type="транзит",IFERROR(VLOOKUP($B1314,calc_data,C$14+1,0),0),0)</f>
        <v/>
      </c>
      <c r="D1314" s="280">
        <f>IF(offer_sale_type="транзит",IFERROR(VLOOKUP($B1314,calc_data,D$14+1,0),0),0)</f>
        <v/>
      </c>
      <c r="E1314" s="182">
        <f>IF(offer_sale_type="транзит",IFERROR(VLOOKUP($B1314,calc_data,E$14+1,0),0),0)</f>
        <v/>
      </c>
      <c r="F1314" s="182">
        <f>IF(offer_sale_type="транзит",IFERROR(VLOOKUP($B1314,calc_data,F$14+1,0),0),0)</f>
        <v/>
      </c>
      <c r="G1314" s="141">
        <f>IF(offer_sale_type="транзит",IFERROR(VLOOKUP($B1314,calc_data,G$14+1,0),0),0)</f>
        <v/>
      </c>
      <c r="H1314" s="141">
        <f>E1314*G1314</f>
        <v/>
      </c>
      <c r="I1314" s="141">
        <f>IF(offer_sale_type="транзит",IFERROR(ROUND(VLOOKUP($B1314,calc_data,I$14+1,0),2),0),0)</f>
        <v/>
      </c>
      <c r="J1314" s="141">
        <f>ROUND(IF(offer_sale_type="транзит",IFERROR(VLOOKUP($B1314,calc_data,J$14+1,0),0),0),2)</f>
        <v/>
      </c>
      <c r="K1314" s="142">
        <f>IF(offer_sale_type="транзит",IFERROR(ROUNDUP(VLOOKUP($B1314,calc_data,K$14+1,0),2),0),0)</f>
        <v/>
      </c>
      <c r="L1314" s="184">
        <f>IF(offer_sale_type="транзит",IFERROR(ROUNDUP(VLOOKUP($B1314,calc_data,L$14+1,0),2),0),0)</f>
        <v/>
      </c>
      <c r="M1314" s="141">
        <f>IF(offer_sale_type="транзит",IFERROR(ROUNDUP(VLOOKUP($B1314,calc_data,M$14+1,0),2),0),0)</f>
        <v/>
      </c>
      <c r="N1314" s="141">
        <f>IF(offer_sale_type="транзит",IFERROR(ROUNDUP(VLOOKUP($B1314,calc_data,N$14+1,0),2),0),0)</f>
        <v/>
      </c>
      <c r="O1314" s="147">
        <f>IF(offer_sale_type="транзит",IFERROR(ROUND(VLOOKUP($B1314,calc_data,O$14+1,1),2),0),0)</f>
        <v/>
      </c>
      <c r="P1314" s="141">
        <f>IF(offer_sale_type="транзит",IFERROR(ROUND(SUM(I1314:J1314,M1314:O1314)/E1314,2),0),0)</f>
        <v/>
      </c>
      <c r="Q1314" s="141">
        <f>E1314*P1314</f>
        <v/>
      </c>
      <c r="R1314" s="141">
        <f>ROUND(Q1314*IF(AND(offer_incoterms="DDP",seller_region="RU"),IF((TODAY()+offer_turnaround_time)&gt;=helpsheet!$L$17,rate_vatRU_from_26,rate_vatRu_till_25),0),2)</f>
        <v/>
      </c>
      <c r="S1314" s="177">
        <f>Q1314+IF(AND(offer_incoterms="DDP",seller_region="RU"),R1314,0)</f>
        <v/>
      </c>
      <c r="T1314" s="45" t="n"/>
      <c r="V1314" s="57">
        <f>IF(Q1314&gt;0,"показать","скрыть")</f>
        <v/>
      </c>
    </row>
    <row r="1315" ht="15.75" customHeight="1">
      <c r="B1315" s="809" t="n">
        <v>1299</v>
      </c>
      <c r="C1315" s="182">
        <f>IF(offer_sale_type="транзит",IFERROR(VLOOKUP($B1315,calc_data,C$14+1,0),0),0)</f>
        <v/>
      </c>
      <c r="D1315" s="280">
        <f>IF(offer_sale_type="транзит",IFERROR(VLOOKUP($B1315,calc_data,D$14+1,0),0),0)</f>
        <v/>
      </c>
      <c r="E1315" s="182">
        <f>IF(offer_sale_type="транзит",IFERROR(VLOOKUP($B1315,calc_data,E$14+1,0),0),0)</f>
        <v/>
      </c>
      <c r="F1315" s="182">
        <f>IF(offer_sale_type="транзит",IFERROR(VLOOKUP($B1315,calc_data,F$14+1,0),0),0)</f>
        <v/>
      </c>
      <c r="G1315" s="141">
        <f>IF(offer_sale_type="транзит",IFERROR(VLOOKUP($B1315,calc_data,G$14+1,0),0),0)</f>
        <v/>
      </c>
      <c r="H1315" s="141">
        <f>E1315*G1315</f>
        <v/>
      </c>
      <c r="I1315" s="141">
        <f>IF(offer_sale_type="транзит",IFERROR(ROUND(VLOOKUP($B1315,calc_data,I$14+1,0),2),0),0)</f>
        <v/>
      </c>
      <c r="J1315" s="141">
        <f>ROUND(IF(offer_sale_type="транзит",IFERROR(VLOOKUP($B1315,calc_data,J$14+1,0),0),0),2)</f>
        <v/>
      </c>
      <c r="K1315" s="142">
        <f>IF(offer_sale_type="транзит",IFERROR(ROUNDUP(VLOOKUP($B1315,calc_data,K$14+1,0),2),0),0)</f>
        <v/>
      </c>
      <c r="L1315" s="184">
        <f>IF(offer_sale_type="транзит",IFERROR(ROUNDUP(VLOOKUP($B1315,calc_data,L$14+1,0),2),0),0)</f>
        <v/>
      </c>
      <c r="M1315" s="141">
        <f>IF(offer_sale_type="транзит",IFERROR(ROUNDUP(VLOOKUP($B1315,calc_data,M$14+1,0),2),0),0)</f>
        <v/>
      </c>
      <c r="N1315" s="141">
        <f>IF(offer_sale_type="транзит",IFERROR(ROUNDUP(VLOOKUP($B1315,calc_data,N$14+1,0),2),0),0)</f>
        <v/>
      </c>
      <c r="O1315" s="147">
        <f>IF(offer_sale_type="транзит",IFERROR(ROUND(VLOOKUP($B1315,calc_data,O$14+1,1),2),0),0)</f>
        <v/>
      </c>
      <c r="P1315" s="141">
        <f>IF(offer_sale_type="транзит",IFERROR(ROUND(SUM(I1315:J1315,M1315:O1315)/E1315,2),0),0)</f>
        <v/>
      </c>
      <c r="Q1315" s="141">
        <f>E1315*P1315</f>
        <v/>
      </c>
      <c r="R1315" s="141">
        <f>ROUND(Q1315*IF(AND(offer_incoterms="DDP",seller_region="RU"),IF((TODAY()+offer_turnaround_time)&gt;=helpsheet!$L$17,rate_vatRU_from_26,rate_vatRu_till_25),0),2)</f>
        <v/>
      </c>
      <c r="S1315" s="177">
        <f>Q1315+IF(AND(offer_incoterms="DDP",seller_region="RU"),R1315,0)</f>
        <v/>
      </c>
      <c r="T1315" s="45" t="n"/>
      <c r="V1315" s="57">
        <f>IF(Q1315&gt;0,"показать","скрыть")</f>
        <v/>
      </c>
    </row>
    <row r="1316" ht="15.75" customHeight="1">
      <c r="B1316" s="809" t="n">
        <v>1300</v>
      </c>
      <c r="C1316" s="182">
        <f>IF(offer_sale_type="транзит",IFERROR(VLOOKUP($B1316,calc_data,C$14+1,0),0),0)</f>
        <v/>
      </c>
      <c r="D1316" s="280">
        <f>IF(offer_sale_type="транзит",IFERROR(VLOOKUP($B1316,calc_data,D$14+1,0),0),0)</f>
        <v/>
      </c>
      <c r="E1316" s="182">
        <f>IF(offer_sale_type="транзит",IFERROR(VLOOKUP($B1316,calc_data,E$14+1,0),0),0)</f>
        <v/>
      </c>
      <c r="F1316" s="182">
        <f>IF(offer_sale_type="транзит",IFERROR(VLOOKUP($B1316,calc_data,F$14+1,0),0),0)</f>
        <v/>
      </c>
      <c r="G1316" s="141">
        <f>IF(offer_sale_type="транзит",IFERROR(VLOOKUP($B1316,calc_data,G$14+1,0),0),0)</f>
        <v/>
      </c>
      <c r="H1316" s="141">
        <f>E1316*G1316</f>
        <v/>
      </c>
      <c r="I1316" s="141">
        <f>IF(offer_sale_type="транзит",IFERROR(ROUND(VLOOKUP($B1316,calc_data,I$14+1,0),2),0),0)</f>
        <v/>
      </c>
      <c r="J1316" s="141">
        <f>ROUND(IF(offer_sale_type="транзит",IFERROR(VLOOKUP($B1316,calc_data,J$14+1,0),0),0),2)</f>
        <v/>
      </c>
      <c r="K1316" s="142">
        <f>IF(offer_sale_type="транзит",IFERROR(ROUNDUP(VLOOKUP($B1316,calc_data,K$14+1,0),2),0),0)</f>
        <v/>
      </c>
      <c r="L1316" s="184">
        <f>IF(offer_sale_type="транзит",IFERROR(ROUNDUP(VLOOKUP($B1316,calc_data,L$14+1,0),2),0),0)</f>
        <v/>
      </c>
      <c r="M1316" s="141">
        <f>IF(offer_sale_type="транзит",IFERROR(ROUNDUP(VLOOKUP($B1316,calc_data,M$14+1,0),2),0),0)</f>
        <v/>
      </c>
      <c r="N1316" s="141">
        <f>IF(offer_sale_type="транзит",IFERROR(ROUNDUP(VLOOKUP($B1316,calc_data,N$14+1,0),2),0),0)</f>
        <v/>
      </c>
      <c r="O1316" s="147">
        <f>IF(offer_sale_type="транзит",IFERROR(ROUND(VLOOKUP($B1316,calc_data,O$14+1,1),2),0),0)</f>
        <v/>
      </c>
      <c r="P1316" s="141">
        <f>IF(offer_sale_type="транзит",IFERROR(ROUND(SUM(I1316:J1316,M1316:O1316)/E1316,2),0),0)</f>
        <v/>
      </c>
      <c r="Q1316" s="141">
        <f>E1316*P1316</f>
        <v/>
      </c>
      <c r="R1316" s="141">
        <f>ROUND(Q1316*IF(AND(offer_incoterms="DDP",seller_region="RU"),IF((TODAY()+offer_turnaround_time)&gt;=helpsheet!$L$17,rate_vatRU_from_26,rate_vatRu_till_25),0),2)</f>
        <v/>
      </c>
      <c r="S1316" s="177">
        <f>Q1316+IF(AND(offer_incoterms="DDP",seller_region="RU"),R1316,0)</f>
        <v/>
      </c>
      <c r="T1316" s="45" t="n"/>
      <c r="V1316" s="57">
        <f>IF(Q1316&gt;0,"показать","скрыть")</f>
        <v/>
      </c>
    </row>
    <row r="1317" ht="15.75" customHeight="1">
      <c r="B1317" s="809" t="n">
        <v>1301</v>
      </c>
      <c r="C1317" s="182">
        <f>IF(offer_sale_type="транзит",IFERROR(VLOOKUP($B1317,calc_data,C$14+1,0),0),0)</f>
        <v/>
      </c>
      <c r="D1317" s="280">
        <f>IF(offer_sale_type="транзит",IFERROR(VLOOKUP($B1317,calc_data,D$14+1,0),0),0)</f>
        <v/>
      </c>
      <c r="E1317" s="182">
        <f>IF(offer_sale_type="транзит",IFERROR(VLOOKUP($B1317,calc_data,E$14+1,0),0),0)</f>
        <v/>
      </c>
      <c r="F1317" s="182">
        <f>IF(offer_sale_type="транзит",IFERROR(VLOOKUP($B1317,calc_data,F$14+1,0),0),0)</f>
        <v/>
      </c>
      <c r="G1317" s="141">
        <f>IF(offer_sale_type="транзит",IFERROR(VLOOKUP($B1317,calc_data,G$14+1,0),0),0)</f>
        <v/>
      </c>
      <c r="H1317" s="141">
        <f>E1317*G1317</f>
        <v/>
      </c>
      <c r="I1317" s="141">
        <f>IF(offer_sale_type="транзит",IFERROR(ROUND(VLOOKUP($B1317,calc_data,I$14+1,0),2),0),0)</f>
        <v/>
      </c>
      <c r="J1317" s="141">
        <f>ROUND(IF(offer_sale_type="транзит",IFERROR(VLOOKUP($B1317,calc_data,J$14+1,0),0),0),2)</f>
        <v/>
      </c>
      <c r="K1317" s="142">
        <f>IF(offer_sale_type="транзит",IFERROR(ROUNDUP(VLOOKUP($B1317,calc_data,K$14+1,0),2),0),0)</f>
        <v/>
      </c>
      <c r="L1317" s="184">
        <f>IF(offer_sale_type="транзит",IFERROR(ROUNDUP(VLOOKUP($B1317,calc_data,L$14+1,0),2),0),0)</f>
        <v/>
      </c>
      <c r="M1317" s="141">
        <f>IF(offer_sale_type="транзит",IFERROR(ROUNDUP(VLOOKUP($B1317,calc_data,M$14+1,0),2),0),0)</f>
        <v/>
      </c>
      <c r="N1317" s="141">
        <f>IF(offer_sale_type="транзит",IFERROR(ROUNDUP(VLOOKUP($B1317,calc_data,N$14+1,0),2),0),0)</f>
        <v/>
      </c>
      <c r="O1317" s="147">
        <f>IF(offer_sale_type="транзит",IFERROR(ROUND(VLOOKUP($B1317,calc_data,O$14+1,1),2),0),0)</f>
        <v/>
      </c>
      <c r="P1317" s="141">
        <f>IF(offer_sale_type="транзит",IFERROR(ROUND(SUM(I1317:J1317,M1317:O1317)/E1317,2),0),0)</f>
        <v/>
      </c>
      <c r="Q1317" s="141">
        <f>E1317*P1317</f>
        <v/>
      </c>
      <c r="R1317" s="141">
        <f>ROUND(Q1317*IF(AND(offer_incoterms="DDP",seller_region="RU"),IF((TODAY()+offer_turnaround_time)&gt;=helpsheet!$L$17,rate_vatRU_from_26,rate_vatRu_till_25),0),2)</f>
        <v/>
      </c>
      <c r="S1317" s="177">
        <f>Q1317+IF(AND(offer_incoterms="DDP",seller_region="RU"),R1317,0)</f>
        <v/>
      </c>
      <c r="T1317" s="45" t="n"/>
      <c r="V1317" s="57">
        <f>IF(Q1317&gt;0,"показать","скрыть")</f>
        <v/>
      </c>
    </row>
    <row r="1318" ht="15.75" customHeight="1">
      <c r="B1318" s="809" t="n">
        <v>1302</v>
      </c>
      <c r="C1318" s="182">
        <f>IF(offer_sale_type="транзит",IFERROR(VLOOKUP($B1318,calc_data,C$14+1,0),0),0)</f>
        <v/>
      </c>
      <c r="D1318" s="280">
        <f>IF(offer_sale_type="транзит",IFERROR(VLOOKUP($B1318,calc_data,D$14+1,0),0),0)</f>
        <v/>
      </c>
      <c r="E1318" s="182">
        <f>IF(offer_sale_type="транзит",IFERROR(VLOOKUP($B1318,calc_data,E$14+1,0),0),0)</f>
        <v/>
      </c>
      <c r="F1318" s="182">
        <f>IF(offer_sale_type="транзит",IFERROR(VLOOKUP($B1318,calc_data,F$14+1,0),0),0)</f>
        <v/>
      </c>
      <c r="G1318" s="141">
        <f>IF(offer_sale_type="транзит",IFERROR(VLOOKUP($B1318,calc_data,G$14+1,0),0),0)</f>
        <v/>
      </c>
      <c r="H1318" s="141">
        <f>E1318*G1318</f>
        <v/>
      </c>
      <c r="I1318" s="141">
        <f>IF(offer_sale_type="транзит",IFERROR(ROUND(VLOOKUP($B1318,calc_data,I$14+1,0),2),0),0)</f>
        <v/>
      </c>
      <c r="J1318" s="141">
        <f>ROUND(IF(offer_sale_type="транзит",IFERROR(VLOOKUP($B1318,calc_data,J$14+1,0),0),0),2)</f>
        <v/>
      </c>
      <c r="K1318" s="142">
        <f>IF(offer_sale_type="транзит",IFERROR(ROUNDUP(VLOOKUP($B1318,calc_data,K$14+1,0),2),0),0)</f>
        <v/>
      </c>
      <c r="L1318" s="184">
        <f>IF(offer_sale_type="транзит",IFERROR(ROUNDUP(VLOOKUP($B1318,calc_data,L$14+1,0),2),0),0)</f>
        <v/>
      </c>
      <c r="M1318" s="141">
        <f>IF(offer_sale_type="транзит",IFERROR(ROUNDUP(VLOOKUP($B1318,calc_data,M$14+1,0),2),0),0)</f>
        <v/>
      </c>
      <c r="N1318" s="141">
        <f>IF(offer_sale_type="транзит",IFERROR(ROUNDUP(VLOOKUP($B1318,calc_data,N$14+1,0),2),0),0)</f>
        <v/>
      </c>
      <c r="O1318" s="147">
        <f>IF(offer_sale_type="транзит",IFERROR(ROUND(VLOOKUP($B1318,calc_data,O$14+1,1),2),0),0)</f>
        <v/>
      </c>
      <c r="P1318" s="141">
        <f>IF(offer_sale_type="транзит",IFERROR(ROUND(SUM(I1318:J1318,M1318:O1318)/E1318,2),0),0)</f>
        <v/>
      </c>
      <c r="Q1318" s="141">
        <f>E1318*P1318</f>
        <v/>
      </c>
      <c r="R1318" s="141">
        <f>ROUND(Q1318*IF(AND(offer_incoterms="DDP",seller_region="RU"),IF((TODAY()+offer_turnaround_time)&gt;=helpsheet!$L$17,rate_vatRU_from_26,rate_vatRu_till_25),0),2)</f>
        <v/>
      </c>
      <c r="S1318" s="177">
        <f>Q1318+IF(AND(offer_incoterms="DDP",seller_region="RU"),R1318,0)</f>
        <v/>
      </c>
      <c r="T1318" s="45" t="n"/>
      <c r="V1318" s="57">
        <f>IF(Q1318&gt;0,"показать","скрыть")</f>
        <v/>
      </c>
    </row>
    <row r="1319" ht="15.75" customHeight="1">
      <c r="B1319" s="809" t="n">
        <v>1303</v>
      </c>
      <c r="C1319" s="182">
        <f>IF(offer_sale_type="транзит",IFERROR(VLOOKUP($B1319,calc_data,C$14+1,0),0),0)</f>
        <v/>
      </c>
      <c r="D1319" s="280">
        <f>IF(offer_sale_type="транзит",IFERROR(VLOOKUP($B1319,calc_data,D$14+1,0),0),0)</f>
        <v/>
      </c>
      <c r="E1319" s="182">
        <f>IF(offer_sale_type="транзит",IFERROR(VLOOKUP($B1319,calc_data,E$14+1,0),0),0)</f>
        <v/>
      </c>
      <c r="F1319" s="182">
        <f>IF(offer_sale_type="транзит",IFERROR(VLOOKUP($B1319,calc_data,F$14+1,0),0),0)</f>
        <v/>
      </c>
      <c r="G1319" s="141">
        <f>IF(offer_sale_type="транзит",IFERROR(VLOOKUP($B1319,calc_data,G$14+1,0),0),0)</f>
        <v/>
      </c>
      <c r="H1319" s="141">
        <f>E1319*G1319</f>
        <v/>
      </c>
      <c r="I1319" s="141">
        <f>IF(offer_sale_type="транзит",IFERROR(ROUND(VLOOKUP($B1319,calc_data,I$14+1,0),2),0),0)</f>
        <v/>
      </c>
      <c r="J1319" s="141">
        <f>ROUND(IF(offer_sale_type="транзит",IFERROR(VLOOKUP($B1319,calc_data,J$14+1,0),0),0),2)</f>
        <v/>
      </c>
      <c r="K1319" s="142">
        <f>IF(offer_sale_type="транзит",IFERROR(ROUNDUP(VLOOKUP($B1319,calc_data,K$14+1,0),2),0),0)</f>
        <v/>
      </c>
      <c r="L1319" s="184">
        <f>IF(offer_sale_type="транзит",IFERROR(ROUNDUP(VLOOKUP($B1319,calc_data,L$14+1,0),2),0),0)</f>
        <v/>
      </c>
      <c r="M1319" s="141">
        <f>IF(offer_sale_type="транзит",IFERROR(ROUNDUP(VLOOKUP($B1319,calc_data,M$14+1,0),2),0),0)</f>
        <v/>
      </c>
      <c r="N1319" s="141">
        <f>IF(offer_sale_type="транзит",IFERROR(ROUNDUP(VLOOKUP($B1319,calc_data,N$14+1,0),2),0),0)</f>
        <v/>
      </c>
      <c r="O1319" s="147">
        <f>IF(offer_sale_type="транзит",IFERROR(ROUND(VLOOKUP($B1319,calc_data,O$14+1,1),2),0),0)</f>
        <v/>
      </c>
      <c r="P1319" s="141">
        <f>IF(offer_sale_type="транзит",IFERROR(ROUND(SUM(I1319:J1319,M1319:O1319)/E1319,2),0),0)</f>
        <v/>
      </c>
      <c r="Q1319" s="141">
        <f>E1319*P1319</f>
        <v/>
      </c>
      <c r="R1319" s="141">
        <f>ROUND(Q1319*IF(AND(offer_incoterms="DDP",seller_region="RU"),IF((TODAY()+offer_turnaround_time)&gt;=helpsheet!$L$17,rate_vatRU_from_26,rate_vatRu_till_25),0),2)</f>
        <v/>
      </c>
      <c r="S1319" s="177">
        <f>Q1319+IF(AND(offer_incoterms="DDP",seller_region="RU"),R1319,0)</f>
        <v/>
      </c>
      <c r="T1319" s="45" t="n"/>
      <c r="V1319" s="57">
        <f>IF(Q1319&gt;0,"показать","скрыть")</f>
        <v/>
      </c>
    </row>
    <row r="1320" ht="15.75" customHeight="1">
      <c r="B1320" s="809" t="n">
        <v>1304</v>
      </c>
      <c r="C1320" s="182">
        <f>IF(offer_sale_type="транзит",IFERROR(VLOOKUP($B1320,calc_data,C$14+1,0),0),0)</f>
        <v/>
      </c>
      <c r="D1320" s="280">
        <f>IF(offer_sale_type="транзит",IFERROR(VLOOKUP($B1320,calc_data,D$14+1,0),0),0)</f>
        <v/>
      </c>
      <c r="E1320" s="182">
        <f>IF(offer_sale_type="транзит",IFERROR(VLOOKUP($B1320,calc_data,E$14+1,0),0),0)</f>
        <v/>
      </c>
      <c r="F1320" s="182">
        <f>IF(offer_sale_type="транзит",IFERROR(VLOOKUP($B1320,calc_data,F$14+1,0),0),0)</f>
        <v/>
      </c>
      <c r="G1320" s="141">
        <f>IF(offer_sale_type="транзит",IFERROR(VLOOKUP($B1320,calc_data,G$14+1,0),0),0)</f>
        <v/>
      </c>
      <c r="H1320" s="141">
        <f>E1320*G1320</f>
        <v/>
      </c>
      <c r="I1320" s="141">
        <f>IF(offer_sale_type="транзит",IFERROR(ROUND(VLOOKUP($B1320,calc_data,I$14+1,0),2),0),0)</f>
        <v/>
      </c>
      <c r="J1320" s="141">
        <f>ROUND(IF(offer_sale_type="транзит",IFERROR(VLOOKUP($B1320,calc_data,J$14+1,0),0),0),2)</f>
        <v/>
      </c>
      <c r="K1320" s="142">
        <f>IF(offer_sale_type="транзит",IFERROR(ROUNDUP(VLOOKUP($B1320,calc_data,K$14+1,0),2),0),0)</f>
        <v/>
      </c>
      <c r="L1320" s="184">
        <f>IF(offer_sale_type="транзит",IFERROR(ROUNDUP(VLOOKUP($B1320,calc_data,L$14+1,0),2),0),0)</f>
        <v/>
      </c>
      <c r="M1320" s="141">
        <f>IF(offer_sale_type="транзит",IFERROR(ROUNDUP(VLOOKUP($B1320,calc_data,M$14+1,0),2),0),0)</f>
        <v/>
      </c>
      <c r="N1320" s="141">
        <f>IF(offer_sale_type="транзит",IFERROR(ROUNDUP(VLOOKUP($B1320,calc_data,N$14+1,0),2),0),0)</f>
        <v/>
      </c>
      <c r="O1320" s="147">
        <f>IF(offer_sale_type="транзит",IFERROR(ROUND(VLOOKUP($B1320,calc_data,O$14+1,1),2),0),0)</f>
        <v/>
      </c>
      <c r="P1320" s="141">
        <f>IF(offer_sale_type="транзит",IFERROR(ROUND(SUM(I1320:J1320,M1320:O1320)/E1320,2),0),0)</f>
        <v/>
      </c>
      <c r="Q1320" s="141">
        <f>E1320*P1320</f>
        <v/>
      </c>
      <c r="R1320" s="141">
        <f>ROUND(Q1320*IF(AND(offer_incoterms="DDP",seller_region="RU"),IF((TODAY()+offer_turnaround_time)&gt;=helpsheet!$L$17,rate_vatRU_from_26,rate_vatRu_till_25),0),2)</f>
        <v/>
      </c>
      <c r="S1320" s="177">
        <f>Q1320+IF(AND(offer_incoterms="DDP",seller_region="RU"),R1320,0)</f>
        <v/>
      </c>
      <c r="T1320" s="45" t="n"/>
      <c r="V1320" s="57">
        <f>IF(Q1320&gt;0,"показать","скрыть")</f>
        <v/>
      </c>
    </row>
    <row r="1321" ht="15.75" customHeight="1">
      <c r="B1321" s="809" t="n">
        <v>1305</v>
      </c>
      <c r="C1321" s="182">
        <f>IF(offer_sale_type="транзит",IFERROR(VLOOKUP($B1321,calc_data,C$14+1,0),0),0)</f>
        <v/>
      </c>
      <c r="D1321" s="280">
        <f>IF(offer_sale_type="транзит",IFERROR(VLOOKUP($B1321,calc_data,D$14+1,0),0),0)</f>
        <v/>
      </c>
      <c r="E1321" s="182">
        <f>IF(offer_sale_type="транзит",IFERROR(VLOOKUP($B1321,calc_data,E$14+1,0),0),0)</f>
        <v/>
      </c>
      <c r="F1321" s="182">
        <f>IF(offer_sale_type="транзит",IFERROR(VLOOKUP($B1321,calc_data,F$14+1,0),0),0)</f>
        <v/>
      </c>
      <c r="G1321" s="141">
        <f>IF(offer_sale_type="транзит",IFERROR(VLOOKUP($B1321,calc_data,G$14+1,0),0),0)</f>
        <v/>
      </c>
      <c r="H1321" s="141">
        <f>E1321*G1321</f>
        <v/>
      </c>
      <c r="I1321" s="141">
        <f>IF(offer_sale_type="транзит",IFERROR(ROUND(VLOOKUP($B1321,calc_data,I$14+1,0),2),0),0)</f>
        <v/>
      </c>
      <c r="J1321" s="141">
        <f>ROUND(IF(offer_sale_type="транзит",IFERROR(VLOOKUP($B1321,calc_data,J$14+1,0),0),0),2)</f>
        <v/>
      </c>
      <c r="K1321" s="142">
        <f>IF(offer_sale_type="транзит",IFERROR(ROUNDUP(VLOOKUP($B1321,calc_data,K$14+1,0),2),0),0)</f>
        <v/>
      </c>
      <c r="L1321" s="184">
        <f>IF(offer_sale_type="транзит",IFERROR(ROUNDUP(VLOOKUP($B1321,calc_data,L$14+1,0),2),0),0)</f>
        <v/>
      </c>
      <c r="M1321" s="141">
        <f>IF(offer_sale_type="транзит",IFERROR(ROUNDUP(VLOOKUP($B1321,calc_data,M$14+1,0),2),0),0)</f>
        <v/>
      </c>
      <c r="N1321" s="141">
        <f>IF(offer_sale_type="транзит",IFERROR(ROUNDUP(VLOOKUP($B1321,calc_data,N$14+1,0),2),0),0)</f>
        <v/>
      </c>
      <c r="O1321" s="147">
        <f>IF(offer_sale_type="транзит",IFERROR(ROUND(VLOOKUP($B1321,calc_data,O$14+1,1),2),0),0)</f>
        <v/>
      </c>
      <c r="P1321" s="141">
        <f>IF(offer_sale_type="транзит",IFERROR(ROUND(SUM(I1321:J1321,M1321:O1321)/E1321,2),0),0)</f>
        <v/>
      </c>
      <c r="Q1321" s="141">
        <f>E1321*P1321</f>
        <v/>
      </c>
      <c r="R1321" s="141">
        <f>ROUND(Q1321*IF(AND(offer_incoterms="DDP",seller_region="RU"),IF((TODAY()+offer_turnaround_time)&gt;=helpsheet!$L$17,rate_vatRU_from_26,rate_vatRu_till_25),0),2)</f>
        <v/>
      </c>
      <c r="S1321" s="177">
        <f>Q1321+IF(AND(offer_incoterms="DDP",seller_region="RU"),R1321,0)</f>
        <v/>
      </c>
      <c r="T1321" s="45" t="n"/>
      <c r="V1321" s="57">
        <f>IF(Q1321&gt;0,"показать","скрыть")</f>
        <v/>
      </c>
    </row>
    <row r="1322" ht="15.75" customHeight="1">
      <c r="B1322" s="809" t="n">
        <v>1306</v>
      </c>
      <c r="C1322" s="182">
        <f>IF(offer_sale_type="транзит",IFERROR(VLOOKUP($B1322,calc_data,C$14+1,0),0),0)</f>
        <v/>
      </c>
      <c r="D1322" s="280">
        <f>IF(offer_sale_type="транзит",IFERROR(VLOOKUP($B1322,calc_data,D$14+1,0),0),0)</f>
        <v/>
      </c>
      <c r="E1322" s="182">
        <f>IF(offer_sale_type="транзит",IFERROR(VLOOKUP($B1322,calc_data,E$14+1,0),0),0)</f>
        <v/>
      </c>
      <c r="F1322" s="182">
        <f>IF(offer_sale_type="транзит",IFERROR(VLOOKUP($B1322,calc_data,F$14+1,0),0),0)</f>
        <v/>
      </c>
      <c r="G1322" s="141">
        <f>IF(offer_sale_type="транзит",IFERROR(VLOOKUP($B1322,calc_data,G$14+1,0),0),0)</f>
        <v/>
      </c>
      <c r="H1322" s="141">
        <f>E1322*G1322</f>
        <v/>
      </c>
      <c r="I1322" s="141">
        <f>IF(offer_sale_type="транзит",IFERROR(ROUND(VLOOKUP($B1322,calc_data,I$14+1,0),2),0),0)</f>
        <v/>
      </c>
      <c r="J1322" s="141">
        <f>ROUND(IF(offer_sale_type="транзит",IFERROR(VLOOKUP($B1322,calc_data,J$14+1,0),0),0),2)</f>
        <v/>
      </c>
      <c r="K1322" s="142">
        <f>IF(offer_sale_type="транзит",IFERROR(ROUNDUP(VLOOKUP($B1322,calc_data,K$14+1,0),2),0),0)</f>
        <v/>
      </c>
      <c r="L1322" s="184">
        <f>IF(offer_sale_type="транзит",IFERROR(ROUNDUP(VLOOKUP($B1322,calc_data,L$14+1,0),2),0),0)</f>
        <v/>
      </c>
      <c r="M1322" s="141">
        <f>IF(offer_sale_type="транзит",IFERROR(ROUNDUP(VLOOKUP($B1322,calc_data,M$14+1,0),2),0),0)</f>
        <v/>
      </c>
      <c r="N1322" s="141">
        <f>IF(offer_sale_type="транзит",IFERROR(ROUNDUP(VLOOKUP($B1322,calc_data,N$14+1,0),2),0),0)</f>
        <v/>
      </c>
      <c r="O1322" s="147">
        <f>IF(offer_sale_type="транзит",IFERROR(ROUND(VLOOKUP($B1322,calc_data,O$14+1,1),2),0),0)</f>
        <v/>
      </c>
      <c r="P1322" s="141">
        <f>IF(offer_sale_type="транзит",IFERROR(ROUND(SUM(I1322:J1322,M1322:O1322)/E1322,2),0),0)</f>
        <v/>
      </c>
      <c r="Q1322" s="141">
        <f>E1322*P1322</f>
        <v/>
      </c>
      <c r="R1322" s="141">
        <f>ROUND(Q1322*IF(AND(offer_incoterms="DDP",seller_region="RU"),IF((TODAY()+offer_turnaround_time)&gt;=helpsheet!$L$17,rate_vatRU_from_26,rate_vatRu_till_25),0),2)</f>
        <v/>
      </c>
      <c r="S1322" s="177">
        <f>Q1322+IF(AND(offer_incoterms="DDP",seller_region="RU"),R1322,0)</f>
        <v/>
      </c>
      <c r="T1322" s="45" t="n"/>
      <c r="V1322" s="57">
        <f>IF(Q1322&gt;0,"показать","скрыть")</f>
        <v/>
      </c>
    </row>
    <row r="1323" ht="15.75" customHeight="1">
      <c r="B1323" s="809" t="n">
        <v>1307</v>
      </c>
      <c r="C1323" s="182">
        <f>IF(offer_sale_type="транзит",IFERROR(VLOOKUP($B1323,calc_data,C$14+1,0),0),0)</f>
        <v/>
      </c>
      <c r="D1323" s="280">
        <f>IF(offer_sale_type="транзит",IFERROR(VLOOKUP($B1323,calc_data,D$14+1,0),0),0)</f>
        <v/>
      </c>
      <c r="E1323" s="182">
        <f>IF(offer_sale_type="транзит",IFERROR(VLOOKUP($B1323,calc_data,E$14+1,0),0),0)</f>
        <v/>
      </c>
      <c r="F1323" s="182">
        <f>IF(offer_sale_type="транзит",IFERROR(VLOOKUP($B1323,calc_data,F$14+1,0),0),0)</f>
        <v/>
      </c>
      <c r="G1323" s="141">
        <f>IF(offer_sale_type="транзит",IFERROR(VLOOKUP($B1323,calc_data,G$14+1,0),0),0)</f>
        <v/>
      </c>
      <c r="H1323" s="141">
        <f>E1323*G1323</f>
        <v/>
      </c>
      <c r="I1323" s="141">
        <f>IF(offer_sale_type="транзит",IFERROR(ROUND(VLOOKUP($B1323,calc_data,I$14+1,0),2),0),0)</f>
        <v/>
      </c>
      <c r="J1323" s="141">
        <f>ROUND(IF(offer_sale_type="транзит",IFERROR(VLOOKUP($B1323,calc_data,J$14+1,0),0),0),2)</f>
        <v/>
      </c>
      <c r="K1323" s="142">
        <f>IF(offer_sale_type="транзит",IFERROR(ROUNDUP(VLOOKUP($B1323,calc_data,K$14+1,0),2),0),0)</f>
        <v/>
      </c>
      <c r="L1323" s="184">
        <f>IF(offer_sale_type="транзит",IFERROR(ROUNDUP(VLOOKUP($B1323,calc_data,L$14+1,0),2),0),0)</f>
        <v/>
      </c>
      <c r="M1323" s="141">
        <f>IF(offer_sale_type="транзит",IFERROR(ROUNDUP(VLOOKUP($B1323,calc_data,M$14+1,0),2),0),0)</f>
        <v/>
      </c>
      <c r="N1323" s="141">
        <f>IF(offer_sale_type="транзит",IFERROR(ROUNDUP(VLOOKUP($B1323,calc_data,N$14+1,0),2),0),0)</f>
        <v/>
      </c>
      <c r="O1323" s="147">
        <f>IF(offer_sale_type="транзит",IFERROR(ROUND(VLOOKUP($B1323,calc_data,O$14+1,1),2),0),0)</f>
        <v/>
      </c>
      <c r="P1323" s="141">
        <f>IF(offer_sale_type="транзит",IFERROR(ROUND(SUM(I1323:J1323,M1323:O1323)/E1323,2),0),0)</f>
        <v/>
      </c>
      <c r="Q1323" s="141">
        <f>E1323*P1323</f>
        <v/>
      </c>
      <c r="R1323" s="141">
        <f>ROUND(Q1323*IF(AND(offer_incoterms="DDP",seller_region="RU"),IF((TODAY()+offer_turnaround_time)&gt;=helpsheet!$L$17,rate_vatRU_from_26,rate_vatRu_till_25),0),2)</f>
        <v/>
      </c>
      <c r="S1323" s="177">
        <f>Q1323+IF(AND(offer_incoterms="DDP",seller_region="RU"),R1323,0)</f>
        <v/>
      </c>
      <c r="T1323" s="45" t="n"/>
      <c r="V1323" s="57">
        <f>IF(Q1323&gt;0,"показать","скрыть")</f>
        <v/>
      </c>
    </row>
    <row r="1324" ht="15.75" customHeight="1">
      <c r="B1324" s="809" t="n">
        <v>1308</v>
      </c>
      <c r="C1324" s="182">
        <f>IF(offer_sale_type="транзит",IFERROR(VLOOKUP($B1324,calc_data,C$14+1,0),0),0)</f>
        <v/>
      </c>
      <c r="D1324" s="280">
        <f>IF(offer_sale_type="транзит",IFERROR(VLOOKUP($B1324,calc_data,D$14+1,0),0),0)</f>
        <v/>
      </c>
      <c r="E1324" s="182">
        <f>IF(offer_sale_type="транзит",IFERROR(VLOOKUP($B1324,calc_data,E$14+1,0),0),0)</f>
        <v/>
      </c>
      <c r="F1324" s="182">
        <f>IF(offer_sale_type="транзит",IFERROR(VLOOKUP($B1324,calc_data,F$14+1,0),0),0)</f>
        <v/>
      </c>
      <c r="G1324" s="141">
        <f>IF(offer_sale_type="транзит",IFERROR(VLOOKUP($B1324,calc_data,G$14+1,0),0),0)</f>
        <v/>
      </c>
      <c r="H1324" s="141">
        <f>E1324*G1324</f>
        <v/>
      </c>
      <c r="I1324" s="141">
        <f>IF(offer_sale_type="транзит",IFERROR(ROUND(VLOOKUP($B1324,calc_data,I$14+1,0),2),0),0)</f>
        <v/>
      </c>
      <c r="J1324" s="141">
        <f>ROUND(IF(offer_sale_type="транзит",IFERROR(VLOOKUP($B1324,calc_data,J$14+1,0),0),0),2)</f>
        <v/>
      </c>
      <c r="K1324" s="142">
        <f>IF(offer_sale_type="транзит",IFERROR(ROUNDUP(VLOOKUP($B1324,calc_data,K$14+1,0),2),0),0)</f>
        <v/>
      </c>
      <c r="L1324" s="184">
        <f>IF(offer_sale_type="транзит",IFERROR(ROUNDUP(VLOOKUP($B1324,calc_data,L$14+1,0),2),0),0)</f>
        <v/>
      </c>
      <c r="M1324" s="141">
        <f>IF(offer_sale_type="транзит",IFERROR(ROUNDUP(VLOOKUP($B1324,calc_data,M$14+1,0),2),0),0)</f>
        <v/>
      </c>
      <c r="N1324" s="141">
        <f>IF(offer_sale_type="транзит",IFERROR(ROUNDUP(VLOOKUP($B1324,calc_data,N$14+1,0),2),0),0)</f>
        <v/>
      </c>
      <c r="O1324" s="147">
        <f>IF(offer_sale_type="транзит",IFERROR(ROUND(VLOOKUP($B1324,calc_data,O$14+1,1),2),0),0)</f>
        <v/>
      </c>
      <c r="P1324" s="141">
        <f>IF(offer_sale_type="транзит",IFERROR(ROUND(SUM(I1324:J1324,M1324:O1324)/E1324,2),0),0)</f>
        <v/>
      </c>
      <c r="Q1324" s="141">
        <f>E1324*P1324</f>
        <v/>
      </c>
      <c r="R1324" s="141">
        <f>ROUND(Q1324*IF(AND(offer_incoterms="DDP",seller_region="RU"),IF((TODAY()+offer_turnaround_time)&gt;=helpsheet!$L$17,rate_vatRU_from_26,rate_vatRu_till_25),0),2)</f>
        <v/>
      </c>
      <c r="S1324" s="177">
        <f>Q1324+IF(AND(offer_incoterms="DDP",seller_region="RU"),R1324,0)</f>
        <v/>
      </c>
      <c r="T1324" s="45" t="n"/>
      <c r="V1324" s="57">
        <f>IF(Q1324&gt;0,"показать","скрыть")</f>
        <v/>
      </c>
    </row>
    <row r="1325" ht="15.75" customHeight="1">
      <c r="B1325" s="809" t="n">
        <v>1309</v>
      </c>
      <c r="C1325" s="182">
        <f>IF(offer_sale_type="транзит",IFERROR(VLOOKUP($B1325,calc_data,C$14+1,0),0),0)</f>
        <v/>
      </c>
      <c r="D1325" s="280">
        <f>IF(offer_sale_type="транзит",IFERROR(VLOOKUP($B1325,calc_data,D$14+1,0),0),0)</f>
        <v/>
      </c>
      <c r="E1325" s="182">
        <f>IF(offer_sale_type="транзит",IFERROR(VLOOKUP($B1325,calc_data,E$14+1,0),0),0)</f>
        <v/>
      </c>
      <c r="F1325" s="182">
        <f>IF(offer_sale_type="транзит",IFERROR(VLOOKUP($B1325,calc_data,F$14+1,0),0),0)</f>
        <v/>
      </c>
      <c r="G1325" s="141">
        <f>IF(offer_sale_type="транзит",IFERROR(VLOOKUP($B1325,calc_data,G$14+1,0),0),0)</f>
        <v/>
      </c>
      <c r="H1325" s="141">
        <f>E1325*G1325</f>
        <v/>
      </c>
      <c r="I1325" s="141">
        <f>IF(offer_sale_type="транзит",IFERROR(ROUND(VLOOKUP($B1325,calc_data,I$14+1,0),2),0),0)</f>
        <v/>
      </c>
      <c r="J1325" s="141">
        <f>ROUND(IF(offer_sale_type="транзит",IFERROR(VLOOKUP($B1325,calc_data,J$14+1,0),0),0),2)</f>
        <v/>
      </c>
      <c r="K1325" s="142">
        <f>IF(offer_sale_type="транзит",IFERROR(ROUNDUP(VLOOKUP($B1325,calc_data,K$14+1,0),2),0),0)</f>
        <v/>
      </c>
      <c r="L1325" s="184">
        <f>IF(offer_sale_type="транзит",IFERROR(ROUNDUP(VLOOKUP($B1325,calc_data,L$14+1,0),2),0),0)</f>
        <v/>
      </c>
      <c r="M1325" s="141">
        <f>IF(offer_sale_type="транзит",IFERROR(ROUNDUP(VLOOKUP($B1325,calc_data,M$14+1,0),2),0),0)</f>
        <v/>
      </c>
      <c r="N1325" s="141">
        <f>IF(offer_sale_type="транзит",IFERROR(ROUNDUP(VLOOKUP($B1325,calc_data,N$14+1,0),2),0),0)</f>
        <v/>
      </c>
      <c r="O1325" s="147">
        <f>IF(offer_sale_type="транзит",IFERROR(ROUND(VLOOKUP($B1325,calc_data,O$14+1,1),2),0),0)</f>
        <v/>
      </c>
      <c r="P1325" s="141">
        <f>IF(offer_sale_type="транзит",IFERROR(ROUND(SUM(I1325:J1325,M1325:O1325)/E1325,2),0),0)</f>
        <v/>
      </c>
      <c r="Q1325" s="141">
        <f>E1325*P1325</f>
        <v/>
      </c>
      <c r="R1325" s="141">
        <f>ROUND(Q1325*IF(AND(offer_incoterms="DDP",seller_region="RU"),IF((TODAY()+offer_turnaround_time)&gt;=helpsheet!$L$17,rate_vatRU_from_26,rate_vatRu_till_25),0),2)</f>
        <v/>
      </c>
      <c r="S1325" s="177">
        <f>Q1325+IF(AND(offer_incoterms="DDP",seller_region="RU"),R1325,0)</f>
        <v/>
      </c>
      <c r="T1325" s="45" t="n"/>
      <c r="V1325" s="57">
        <f>IF(Q1325&gt;0,"показать","скрыть")</f>
        <v/>
      </c>
    </row>
    <row r="1326" ht="15.75" customHeight="1">
      <c r="B1326" s="809" t="n">
        <v>1310</v>
      </c>
      <c r="C1326" s="182">
        <f>IF(offer_sale_type="транзит",IFERROR(VLOOKUP($B1326,calc_data,C$14+1,0),0),0)</f>
        <v/>
      </c>
      <c r="D1326" s="280">
        <f>IF(offer_sale_type="транзит",IFERROR(VLOOKUP($B1326,calc_data,D$14+1,0),0),0)</f>
        <v/>
      </c>
      <c r="E1326" s="182">
        <f>IF(offer_sale_type="транзит",IFERROR(VLOOKUP($B1326,calc_data,E$14+1,0),0),0)</f>
        <v/>
      </c>
      <c r="F1326" s="182">
        <f>IF(offer_sale_type="транзит",IFERROR(VLOOKUP($B1326,calc_data,F$14+1,0),0),0)</f>
        <v/>
      </c>
      <c r="G1326" s="141">
        <f>IF(offer_sale_type="транзит",IFERROR(VLOOKUP($B1326,calc_data,G$14+1,0),0),0)</f>
        <v/>
      </c>
      <c r="H1326" s="141">
        <f>E1326*G1326</f>
        <v/>
      </c>
      <c r="I1326" s="141">
        <f>IF(offer_sale_type="транзит",IFERROR(ROUND(VLOOKUP($B1326,calc_data,I$14+1,0),2),0),0)</f>
        <v/>
      </c>
      <c r="J1326" s="141">
        <f>ROUND(IF(offer_sale_type="транзит",IFERROR(VLOOKUP($B1326,calc_data,J$14+1,0),0),0),2)</f>
        <v/>
      </c>
      <c r="K1326" s="142">
        <f>IF(offer_sale_type="транзит",IFERROR(ROUNDUP(VLOOKUP($B1326,calc_data,K$14+1,0),2),0),0)</f>
        <v/>
      </c>
      <c r="L1326" s="184">
        <f>IF(offer_sale_type="транзит",IFERROR(ROUNDUP(VLOOKUP($B1326,calc_data,L$14+1,0),2),0),0)</f>
        <v/>
      </c>
      <c r="M1326" s="141">
        <f>IF(offer_sale_type="транзит",IFERROR(ROUNDUP(VLOOKUP($B1326,calc_data,M$14+1,0),2),0),0)</f>
        <v/>
      </c>
      <c r="N1326" s="141">
        <f>IF(offer_sale_type="транзит",IFERROR(ROUNDUP(VLOOKUP($B1326,calc_data,N$14+1,0),2),0),0)</f>
        <v/>
      </c>
      <c r="O1326" s="147">
        <f>IF(offer_sale_type="транзит",IFERROR(ROUND(VLOOKUP($B1326,calc_data,O$14+1,1),2),0),0)</f>
        <v/>
      </c>
      <c r="P1326" s="141">
        <f>IF(offer_sale_type="транзит",IFERROR(ROUND(SUM(I1326:J1326,M1326:O1326)/E1326,2),0),0)</f>
        <v/>
      </c>
      <c r="Q1326" s="141">
        <f>E1326*P1326</f>
        <v/>
      </c>
      <c r="R1326" s="141">
        <f>ROUND(Q1326*IF(AND(offer_incoterms="DDP",seller_region="RU"),IF((TODAY()+offer_turnaround_time)&gt;=helpsheet!$L$17,rate_vatRU_from_26,rate_vatRu_till_25),0),2)</f>
        <v/>
      </c>
      <c r="S1326" s="177">
        <f>Q1326+IF(AND(offer_incoterms="DDP",seller_region="RU"),R1326,0)</f>
        <v/>
      </c>
      <c r="T1326" s="45" t="n"/>
      <c r="V1326" s="57">
        <f>IF(Q1326&gt;0,"показать","скрыть")</f>
        <v/>
      </c>
    </row>
    <row r="1327" ht="15.75" customHeight="1">
      <c r="B1327" s="809" t="n">
        <v>1311</v>
      </c>
      <c r="C1327" s="182">
        <f>IF(offer_sale_type="транзит",IFERROR(VLOOKUP($B1327,calc_data,C$14+1,0),0),0)</f>
        <v/>
      </c>
      <c r="D1327" s="280">
        <f>IF(offer_sale_type="транзит",IFERROR(VLOOKUP($B1327,calc_data,D$14+1,0),0),0)</f>
        <v/>
      </c>
      <c r="E1327" s="182">
        <f>IF(offer_sale_type="транзит",IFERROR(VLOOKUP($B1327,calc_data,E$14+1,0),0),0)</f>
        <v/>
      </c>
      <c r="F1327" s="182">
        <f>IF(offer_sale_type="транзит",IFERROR(VLOOKUP($B1327,calc_data,F$14+1,0),0),0)</f>
        <v/>
      </c>
      <c r="G1327" s="141">
        <f>IF(offer_sale_type="транзит",IFERROR(VLOOKUP($B1327,calc_data,G$14+1,0),0),0)</f>
        <v/>
      </c>
      <c r="H1327" s="141">
        <f>E1327*G1327</f>
        <v/>
      </c>
      <c r="I1327" s="141">
        <f>IF(offer_sale_type="транзит",IFERROR(ROUND(VLOOKUP($B1327,calc_data,I$14+1,0),2),0),0)</f>
        <v/>
      </c>
      <c r="J1327" s="141">
        <f>ROUND(IF(offer_sale_type="транзит",IFERROR(VLOOKUP($B1327,calc_data,J$14+1,0),0),0),2)</f>
        <v/>
      </c>
      <c r="K1327" s="142">
        <f>IF(offer_sale_type="транзит",IFERROR(ROUNDUP(VLOOKUP($B1327,calc_data,K$14+1,0),2),0),0)</f>
        <v/>
      </c>
      <c r="L1327" s="184">
        <f>IF(offer_sale_type="транзит",IFERROR(ROUNDUP(VLOOKUP($B1327,calc_data,L$14+1,0),2),0),0)</f>
        <v/>
      </c>
      <c r="M1327" s="141">
        <f>IF(offer_sale_type="транзит",IFERROR(ROUNDUP(VLOOKUP($B1327,calc_data,M$14+1,0),2),0),0)</f>
        <v/>
      </c>
      <c r="N1327" s="141">
        <f>IF(offer_sale_type="транзит",IFERROR(ROUNDUP(VLOOKUP($B1327,calc_data,N$14+1,0),2),0),0)</f>
        <v/>
      </c>
      <c r="O1327" s="147">
        <f>IF(offer_sale_type="транзит",IFERROR(ROUND(VLOOKUP($B1327,calc_data,O$14+1,1),2),0),0)</f>
        <v/>
      </c>
      <c r="P1327" s="141">
        <f>IF(offer_sale_type="транзит",IFERROR(ROUND(SUM(I1327:J1327,M1327:O1327)/E1327,2),0),0)</f>
        <v/>
      </c>
      <c r="Q1327" s="141">
        <f>E1327*P1327</f>
        <v/>
      </c>
      <c r="R1327" s="141">
        <f>ROUND(Q1327*IF(AND(offer_incoterms="DDP",seller_region="RU"),IF((TODAY()+offer_turnaround_time)&gt;=helpsheet!$L$17,rate_vatRU_from_26,rate_vatRu_till_25),0),2)</f>
        <v/>
      </c>
      <c r="S1327" s="177">
        <f>Q1327+IF(AND(offer_incoterms="DDP",seller_region="RU"),R1327,0)</f>
        <v/>
      </c>
      <c r="T1327" s="45" t="n"/>
      <c r="V1327" s="57">
        <f>IF(Q1327&gt;0,"показать","скрыть")</f>
        <v/>
      </c>
    </row>
    <row r="1328" ht="15.75" customHeight="1">
      <c r="B1328" s="809" t="n">
        <v>1312</v>
      </c>
      <c r="C1328" s="182">
        <f>IF(offer_sale_type="транзит",IFERROR(VLOOKUP($B1328,calc_data,C$14+1,0),0),0)</f>
        <v/>
      </c>
      <c r="D1328" s="280">
        <f>IF(offer_sale_type="транзит",IFERROR(VLOOKUP($B1328,calc_data,D$14+1,0),0),0)</f>
        <v/>
      </c>
      <c r="E1328" s="182">
        <f>IF(offer_sale_type="транзит",IFERROR(VLOOKUP($B1328,calc_data,E$14+1,0),0),0)</f>
        <v/>
      </c>
      <c r="F1328" s="182">
        <f>IF(offer_sale_type="транзит",IFERROR(VLOOKUP($B1328,calc_data,F$14+1,0),0),0)</f>
        <v/>
      </c>
      <c r="G1328" s="141">
        <f>IF(offer_sale_type="транзит",IFERROR(VLOOKUP($B1328,calc_data,G$14+1,0),0),0)</f>
        <v/>
      </c>
      <c r="H1328" s="141">
        <f>E1328*G1328</f>
        <v/>
      </c>
      <c r="I1328" s="141">
        <f>IF(offer_sale_type="транзит",IFERROR(ROUND(VLOOKUP($B1328,calc_data,I$14+1,0),2),0),0)</f>
        <v/>
      </c>
      <c r="J1328" s="141">
        <f>ROUND(IF(offer_sale_type="транзит",IFERROR(VLOOKUP($B1328,calc_data,J$14+1,0),0),0),2)</f>
        <v/>
      </c>
      <c r="K1328" s="142">
        <f>IF(offer_sale_type="транзит",IFERROR(ROUNDUP(VLOOKUP($B1328,calc_data,K$14+1,0),2),0),0)</f>
        <v/>
      </c>
      <c r="L1328" s="184">
        <f>IF(offer_sale_type="транзит",IFERROR(ROUNDUP(VLOOKUP($B1328,calc_data,L$14+1,0),2),0),0)</f>
        <v/>
      </c>
      <c r="M1328" s="141">
        <f>IF(offer_sale_type="транзит",IFERROR(ROUNDUP(VLOOKUP($B1328,calc_data,M$14+1,0),2),0),0)</f>
        <v/>
      </c>
      <c r="N1328" s="141">
        <f>IF(offer_sale_type="транзит",IFERROR(ROUNDUP(VLOOKUP($B1328,calc_data,N$14+1,0),2),0),0)</f>
        <v/>
      </c>
      <c r="O1328" s="147">
        <f>IF(offer_sale_type="транзит",IFERROR(ROUND(VLOOKUP($B1328,calc_data,O$14+1,1),2),0),0)</f>
        <v/>
      </c>
      <c r="P1328" s="141">
        <f>IF(offer_sale_type="транзит",IFERROR(ROUND(SUM(I1328:J1328,M1328:O1328)/E1328,2),0),0)</f>
        <v/>
      </c>
      <c r="Q1328" s="141">
        <f>E1328*P1328</f>
        <v/>
      </c>
      <c r="R1328" s="141">
        <f>ROUND(Q1328*IF(AND(offer_incoterms="DDP",seller_region="RU"),IF((TODAY()+offer_turnaround_time)&gt;=helpsheet!$L$17,rate_vatRU_from_26,rate_vatRu_till_25),0),2)</f>
        <v/>
      </c>
      <c r="S1328" s="177">
        <f>Q1328+IF(AND(offer_incoterms="DDP",seller_region="RU"),R1328,0)</f>
        <v/>
      </c>
      <c r="T1328" s="45" t="n"/>
      <c r="V1328" s="57">
        <f>IF(Q1328&gt;0,"показать","скрыть")</f>
        <v/>
      </c>
    </row>
    <row r="1329" ht="15.75" customHeight="1">
      <c r="B1329" s="809" t="n">
        <v>1313</v>
      </c>
      <c r="C1329" s="182">
        <f>IF(offer_sale_type="транзит",IFERROR(VLOOKUP($B1329,calc_data,C$14+1,0),0),0)</f>
        <v/>
      </c>
      <c r="D1329" s="280">
        <f>IF(offer_sale_type="транзит",IFERROR(VLOOKUP($B1329,calc_data,D$14+1,0),0),0)</f>
        <v/>
      </c>
      <c r="E1329" s="182">
        <f>IF(offer_sale_type="транзит",IFERROR(VLOOKUP($B1329,calc_data,E$14+1,0),0),0)</f>
        <v/>
      </c>
      <c r="F1329" s="182">
        <f>IF(offer_sale_type="транзит",IFERROR(VLOOKUP($B1329,calc_data,F$14+1,0),0),0)</f>
        <v/>
      </c>
      <c r="G1329" s="141">
        <f>IF(offer_sale_type="транзит",IFERROR(VLOOKUP($B1329,calc_data,G$14+1,0),0),0)</f>
        <v/>
      </c>
      <c r="H1329" s="141">
        <f>E1329*G1329</f>
        <v/>
      </c>
      <c r="I1329" s="141">
        <f>IF(offer_sale_type="транзит",IFERROR(ROUND(VLOOKUP($B1329,calc_data,I$14+1,0),2),0),0)</f>
        <v/>
      </c>
      <c r="J1329" s="141">
        <f>ROUND(IF(offer_sale_type="транзит",IFERROR(VLOOKUP($B1329,calc_data,J$14+1,0),0),0),2)</f>
        <v/>
      </c>
      <c r="K1329" s="142">
        <f>IF(offer_sale_type="транзит",IFERROR(ROUNDUP(VLOOKUP($B1329,calc_data,K$14+1,0),2),0),0)</f>
        <v/>
      </c>
      <c r="L1329" s="184">
        <f>IF(offer_sale_type="транзит",IFERROR(ROUNDUP(VLOOKUP($B1329,calc_data,L$14+1,0),2),0),0)</f>
        <v/>
      </c>
      <c r="M1329" s="141">
        <f>IF(offer_sale_type="транзит",IFERROR(ROUNDUP(VLOOKUP($B1329,calc_data,M$14+1,0),2),0),0)</f>
        <v/>
      </c>
      <c r="N1329" s="141">
        <f>IF(offer_sale_type="транзит",IFERROR(ROUNDUP(VLOOKUP($B1329,calc_data,N$14+1,0),2),0),0)</f>
        <v/>
      </c>
      <c r="O1329" s="147">
        <f>IF(offer_sale_type="транзит",IFERROR(ROUND(VLOOKUP($B1329,calc_data,O$14+1,1),2),0),0)</f>
        <v/>
      </c>
      <c r="P1329" s="141">
        <f>IF(offer_sale_type="транзит",IFERROR(ROUND(SUM(I1329:J1329,M1329:O1329)/E1329,2),0),0)</f>
        <v/>
      </c>
      <c r="Q1329" s="141">
        <f>E1329*P1329</f>
        <v/>
      </c>
      <c r="R1329" s="141">
        <f>ROUND(Q1329*IF(AND(offer_incoterms="DDP",seller_region="RU"),IF((TODAY()+offer_turnaround_time)&gt;=helpsheet!$L$17,rate_vatRU_from_26,rate_vatRu_till_25),0),2)</f>
        <v/>
      </c>
      <c r="S1329" s="177">
        <f>Q1329+IF(AND(offer_incoterms="DDP",seller_region="RU"),R1329,0)</f>
        <v/>
      </c>
      <c r="T1329" s="45" t="n"/>
      <c r="V1329" s="57">
        <f>IF(Q1329&gt;0,"показать","скрыть")</f>
        <v/>
      </c>
    </row>
    <row r="1330" ht="15.75" customHeight="1">
      <c r="B1330" s="809" t="n">
        <v>1314</v>
      </c>
      <c r="C1330" s="182">
        <f>IF(offer_sale_type="транзит",IFERROR(VLOOKUP($B1330,calc_data,C$14+1,0),0),0)</f>
        <v/>
      </c>
      <c r="D1330" s="280">
        <f>IF(offer_sale_type="транзит",IFERROR(VLOOKUP($B1330,calc_data,D$14+1,0),0),0)</f>
        <v/>
      </c>
      <c r="E1330" s="182">
        <f>IF(offer_sale_type="транзит",IFERROR(VLOOKUP($B1330,calc_data,E$14+1,0),0),0)</f>
        <v/>
      </c>
      <c r="F1330" s="182">
        <f>IF(offer_sale_type="транзит",IFERROR(VLOOKUP($B1330,calc_data,F$14+1,0),0),0)</f>
        <v/>
      </c>
      <c r="G1330" s="141">
        <f>IF(offer_sale_type="транзит",IFERROR(VLOOKUP($B1330,calc_data,G$14+1,0),0),0)</f>
        <v/>
      </c>
      <c r="H1330" s="141">
        <f>E1330*G1330</f>
        <v/>
      </c>
      <c r="I1330" s="141">
        <f>IF(offer_sale_type="транзит",IFERROR(ROUND(VLOOKUP($B1330,calc_data,I$14+1,0),2),0),0)</f>
        <v/>
      </c>
      <c r="J1330" s="141">
        <f>ROUND(IF(offer_sale_type="транзит",IFERROR(VLOOKUP($B1330,calc_data,J$14+1,0),0),0),2)</f>
        <v/>
      </c>
      <c r="K1330" s="142">
        <f>IF(offer_sale_type="транзит",IFERROR(ROUNDUP(VLOOKUP($B1330,calc_data,K$14+1,0),2),0),0)</f>
        <v/>
      </c>
      <c r="L1330" s="184">
        <f>IF(offer_sale_type="транзит",IFERROR(ROUNDUP(VLOOKUP($B1330,calc_data,L$14+1,0),2),0),0)</f>
        <v/>
      </c>
      <c r="M1330" s="141">
        <f>IF(offer_sale_type="транзит",IFERROR(ROUNDUP(VLOOKUP($B1330,calc_data,M$14+1,0),2),0),0)</f>
        <v/>
      </c>
      <c r="N1330" s="141">
        <f>IF(offer_sale_type="транзит",IFERROR(ROUNDUP(VLOOKUP($B1330,calc_data,N$14+1,0),2),0),0)</f>
        <v/>
      </c>
      <c r="O1330" s="147">
        <f>IF(offer_sale_type="транзит",IFERROR(ROUND(VLOOKUP($B1330,calc_data,O$14+1,1),2),0),0)</f>
        <v/>
      </c>
      <c r="P1330" s="141">
        <f>IF(offer_sale_type="транзит",IFERROR(ROUND(SUM(I1330:J1330,M1330:O1330)/E1330,2),0),0)</f>
        <v/>
      </c>
      <c r="Q1330" s="141">
        <f>E1330*P1330</f>
        <v/>
      </c>
      <c r="R1330" s="141">
        <f>ROUND(Q1330*IF(AND(offer_incoterms="DDP",seller_region="RU"),IF((TODAY()+offer_turnaround_time)&gt;=helpsheet!$L$17,rate_vatRU_from_26,rate_vatRu_till_25),0),2)</f>
        <v/>
      </c>
      <c r="S1330" s="177">
        <f>Q1330+IF(AND(offer_incoterms="DDP",seller_region="RU"),R1330,0)</f>
        <v/>
      </c>
      <c r="T1330" s="45" t="n"/>
      <c r="V1330" s="57">
        <f>IF(Q1330&gt;0,"показать","скрыть")</f>
        <v/>
      </c>
    </row>
    <row r="1331" ht="15.75" customHeight="1">
      <c r="B1331" s="809" t="n">
        <v>1315</v>
      </c>
      <c r="C1331" s="182">
        <f>IF(offer_sale_type="транзит",IFERROR(VLOOKUP($B1331,calc_data,C$14+1,0),0),0)</f>
        <v/>
      </c>
      <c r="D1331" s="280">
        <f>IF(offer_sale_type="транзит",IFERROR(VLOOKUP($B1331,calc_data,D$14+1,0),0),0)</f>
        <v/>
      </c>
      <c r="E1331" s="182">
        <f>IF(offer_sale_type="транзит",IFERROR(VLOOKUP($B1331,calc_data,E$14+1,0),0),0)</f>
        <v/>
      </c>
      <c r="F1331" s="182">
        <f>IF(offer_sale_type="транзит",IFERROR(VLOOKUP($B1331,calc_data,F$14+1,0),0),0)</f>
        <v/>
      </c>
      <c r="G1331" s="141">
        <f>IF(offer_sale_type="транзит",IFERROR(VLOOKUP($B1331,calc_data,G$14+1,0),0),0)</f>
        <v/>
      </c>
      <c r="H1331" s="141">
        <f>E1331*G1331</f>
        <v/>
      </c>
      <c r="I1331" s="141">
        <f>IF(offer_sale_type="транзит",IFERROR(ROUND(VLOOKUP($B1331,calc_data,I$14+1,0),2),0),0)</f>
        <v/>
      </c>
      <c r="J1331" s="141">
        <f>ROUND(IF(offer_sale_type="транзит",IFERROR(VLOOKUP($B1331,calc_data,J$14+1,0),0),0),2)</f>
        <v/>
      </c>
      <c r="K1331" s="142">
        <f>IF(offer_sale_type="транзит",IFERROR(ROUNDUP(VLOOKUP($B1331,calc_data,K$14+1,0),2),0),0)</f>
        <v/>
      </c>
      <c r="L1331" s="184">
        <f>IF(offer_sale_type="транзит",IFERROR(ROUNDUP(VLOOKUP($B1331,calc_data,L$14+1,0),2),0),0)</f>
        <v/>
      </c>
      <c r="M1331" s="141">
        <f>IF(offer_sale_type="транзит",IFERROR(ROUNDUP(VLOOKUP($B1331,calc_data,M$14+1,0),2),0),0)</f>
        <v/>
      </c>
      <c r="N1331" s="141">
        <f>IF(offer_sale_type="транзит",IFERROR(ROUNDUP(VLOOKUP($B1331,calc_data,N$14+1,0),2),0),0)</f>
        <v/>
      </c>
      <c r="O1331" s="147">
        <f>IF(offer_sale_type="транзит",IFERROR(ROUND(VLOOKUP($B1331,calc_data,O$14+1,1),2),0),0)</f>
        <v/>
      </c>
      <c r="P1331" s="141">
        <f>IF(offer_sale_type="транзит",IFERROR(ROUND(SUM(I1331:J1331,M1331:O1331)/E1331,2),0),0)</f>
        <v/>
      </c>
      <c r="Q1331" s="141">
        <f>E1331*P1331</f>
        <v/>
      </c>
      <c r="R1331" s="141">
        <f>ROUND(Q1331*IF(AND(offer_incoterms="DDP",seller_region="RU"),IF((TODAY()+offer_turnaround_time)&gt;=helpsheet!$L$17,rate_vatRU_from_26,rate_vatRu_till_25),0),2)</f>
        <v/>
      </c>
      <c r="S1331" s="177">
        <f>Q1331+IF(AND(offer_incoterms="DDP",seller_region="RU"),R1331,0)</f>
        <v/>
      </c>
      <c r="T1331" s="45" t="n"/>
      <c r="V1331" s="57">
        <f>IF(Q1331&gt;0,"показать","скрыть")</f>
        <v/>
      </c>
    </row>
    <row r="1332" ht="15.75" customHeight="1">
      <c r="B1332" s="809" t="n">
        <v>1316</v>
      </c>
      <c r="C1332" s="182">
        <f>IF(offer_sale_type="транзит",IFERROR(VLOOKUP($B1332,calc_data,C$14+1,0),0),0)</f>
        <v/>
      </c>
      <c r="D1332" s="280">
        <f>IF(offer_sale_type="транзит",IFERROR(VLOOKUP($B1332,calc_data,D$14+1,0),0),0)</f>
        <v/>
      </c>
      <c r="E1332" s="182">
        <f>IF(offer_sale_type="транзит",IFERROR(VLOOKUP($B1332,calc_data,E$14+1,0),0),0)</f>
        <v/>
      </c>
      <c r="F1332" s="182">
        <f>IF(offer_sale_type="транзит",IFERROR(VLOOKUP($B1332,calc_data,F$14+1,0),0),0)</f>
        <v/>
      </c>
      <c r="G1332" s="141">
        <f>IF(offer_sale_type="транзит",IFERROR(VLOOKUP($B1332,calc_data,G$14+1,0),0),0)</f>
        <v/>
      </c>
      <c r="H1332" s="141">
        <f>E1332*G1332</f>
        <v/>
      </c>
      <c r="I1332" s="141">
        <f>IF(offer_sale_type="транзит",IFERROR(ROUND(VLOOKUP($B1332,calc_data,I$14+1,0),2),0),0)</f>
        <v/>
      </c>
      <c r="J1332" s="141">
        <f>ROUND(IF(offer_sale_type="транзит",IFERROR(VLOOKUP($B1332,calc_data,J$14+1,0),0),0),2)</f>
        <v/>
      </c>
      <c r="K1332" s="142">
        <f>IF(offer_sale_type="транзит",IFERROR(ROUNDUP(VLOOKUP($B1332,calc_data,K$14+1,0),2),0),0)</f>
        <v/>
      </c>
      <c r="L1332" s="184">
        <f>IF(offer_sale_type="транзит",IFERROR(ROUNDUP(VLOOKUP($B1332,calc_data,L$14+1,0),2),0),0)</f>
        <v/>
      </c>
      <c r="M1332" s="141">
        <f>IF(offer_sale_type="транзит",IFERROR(ROUNDUP(VLOOKUP($B1332,calc_data,M$14+1,0),2),0),0)</f>
        <v/>
      </c>
      <c r="N1332" s="141">
        <f>IF(offer_sale_type="транзит",IFERROR(ROUNDUP(VLOOKUP($B1332,calc_data,N$14+1,0),2),0),0)</f>
        <v/>
      </c>
      <c r="O1332" s="147">
        <f>IF(offer_sale_type="транзит",IFERROR(ROUND(VLOOKUP($B1332,calc_data,O$14+1,1),2),0),0)</f>
        <v/>
      </c>
      <c r="P1332" s="141">
        <f>IF(offer_sale_type="транзит",IFERROR(ROUND(SUM(I1332:J1332,M1332:O1332)/E1332,2),0),0)</f>
        <v/>
      </c>
      <c r="Q1332" s="141">
        <f>E1332*P1332</f>
        <v/>
      </c>
      <c r="R1332" s="141">
        <f>ROUND(Q1332*IF(AND(offer_incoterms="DDP",seller_region="RU"),IF((TODAY()+offer_turnaround_time)&gt;=helpsheet!$L$17,rate_vatRU_from_26,rate_vatRu_till_25),0),2)</f>
        <v/>
      </c>
      <c r="S1332" s="177">
        <f>Q1332+IF(AND(offer_incoterms="DDP",seller_region="RU"),R1332,0)</f>
        <v/>
      </c>
      <c r="T1332" s="45" t="n"/>
      <c r="V1332" s="57">
        <f>IF(Q1332&gt;0,"показать","скрыть")</f>
        <v/>
      </c>
    </row>
    <row r="1333" ht="15.75" customHeight="1">
      <c r="B1333" s="809" t="n">
        <v>1317</v>
      </c>
      <c r="C1333" s="182">
        <f>IF(offer_sale_type="транзит",IFERROR(VLOOKUP($B1333,calc_data,C$14+1,0),0),0)</f>
        <v/>
      </c>
      <c r="D1333" s="280">
        <f>IF(offer_sale_type="транзит",IFERROR(VLOOKUP($B1333,calc_data,D$14+1,0),0),0)</f>
        <v/>
      </c>
      <c r="E1333" s="182">
        <f>IF(offer_sale_type="транзит",IFERROR(VLOOKUP($B1333,calc_data,E$14+1,0),0),0)</f>
        <v/>
      </c>
      <c r="F1333" s="182">
        <f>IF(offer_sale_type="транзит",IFERROR(VLOOKUP($B1333,calc_data,F$14+1,0),0),0)</f>
        <v/>
      </c>
      <c r="G1333" s="141">
        <f>IF(offer_sale_type="транзит",IFERROR(VLOOKUP($B1333,calc_data,G$14+1,0),0),0)</f>
        <v/>
      </c>
      <c r="H1333" s="141">
        <f>E1333*G1333</f>
        <v/>
      </c>
      <c r="I1333" s="141">
        <f>IF(offer_sale_type="транзит",IFERROR(ROUND(VLOOKUP($B1333,calc_data,I$14+1,0),2),0),0)</f>
        <v/>
      </c>
      <c r="J1333" s="141">
        <f>ROUND(IF(offer_sale_type="транзит",IFERROR(VLOOKUP($B1333,calc_data,J$14+1,0),0),0),2)</f>
        <v/>
      </c>
      <c r="K1333" s="142">
        <f>IF(offer_sale_type="транзит",IFERROR(ROUNDUP(VLOOKUP($B1333,calc_data,K$14+1,0),2),0),0)</f>
        <v/>
      </c>
      <c r="L1333" s="184">
        <f>IF(offer_sale_type="транзит",IFERROR(ROUNDUP(VLOOKUP($B1333,calc_data,L$14+1,0),2),0),0)</f>
        <v/>
      </c>
      <c r="M1333" s="141">
        <f>IF(offer_sale_type="транзит",IFERROR(ROUNDUP(VLOOKUP($B1333,calc_data,M$14+1,0),2),0),0)</f>
        <v/>
      </c>
      <c r="N1333" s="141">
        <f>IF(offer_sale_type="транзит",IFERROR(ROUNDUP(VLOOKUP($B1333,calc_data,N$14+1,0),2),0),0)</f>
        <v/>
      </c>
      <c r="O1333" s="147">
        <f>IF(offer_sale_type="транзит",IFERROR(ROUND(VLOOKUP($B1333,calc_data,O$14+1,1),2),0),0)</f>
        <v/>
      </c>
      <c r="P1333" s="141">
        <f>IF(offer_sale_type="транзит",IFERROR(ROUND(SUM(I1333:J1333,M1333:O1333)/E1333,2),0),0)</f>
        <v/>
      </c>
      <c r="Q1333" s="141">
        <f>E1333*P1333</f>
        <v/>
      </c>
      <c r="R1333" s="141">
        <f>ROUND(Q1333*IF(AND(offer_incoterms="DDP",seller_region="RU"),IF((TODAY()+offer_turnaround_time)&gt;=helpsheet!$L$17,rate_vatRU_from_26,rate_vatRu_till_25),0),2)</f>
        <v/>
      </c>
      <c r="S1333" s="177">
        <f>Q1333+IF(AND(offer_incoterms="DDP",seller_region="RU"),R1333,0)</f>
        <v/>
      </c>
      <c r="T1333" s="45" t="n"/>
      <c r="V1333" s="57">
        <f>IF(Q1333&gt;0,"показать","скрыть")</f>
        <v/>
      </c>
    </row>
    <row r="1334" ht="15.75" customHeight="1">
      <c r="B1334" s="809" t="n">
        <v>1318</v>
      </c>
      <c r="C1334" s="182">
        <f>IF(offer_sale_type="транзит",IFERROR(VLOOKUP($B1334,calc_data,C$14+1,0),0),0)</f>
        <v/>
      </c>
      <c r="D1334" s="280">
        <f>IF(offer_sale_type="транзит",IFERROR(VLOOKUP($B1334,calc_data,D$14+1,0),0),0)</f>
        <v/>
      </c>
      <c r="E1334" s="182">
        <f>IF(offer_sale_type="транзит",IFERROR(VLOOKUP($B1334,calc_data,E$14+1,0),0),0)</f>
        <v/>
      </c>
      <c r="F1334" s="182">
        <f>IF(offer_sale_type="транзит",IFERROR(VLOOKUP($B1334,calc_data,F$14+1,0),0),0)</f>
        <v/>
      </c>
      <c r="G1334" s="141">
        <f>IF(offer_sale_type="транзит",IFERROR(VLOOKUP($B1334,calc_data,G$14+1,0),0),0)</f>
        <v/>
      </c>
      <c r="H1334" s="141">
        <f>E1334*G1334</f>
        <v/>
      </c>
      <c r="I1334" s="141">
        <f>IF(offer_sale_type="транзит",IFERROR(ROUND(VLOOKUP($B1334,calc_data,I$14+1,0),2),0),0)</f>
        <v/>
      </c>
      <c r="J1334" s="141">
        <f>ROUND(IF(offer_sale_type="транзит",IFERROR(VLOOKUP($B1334,calc_data,J$14+1,0),0),0),2)</f>
        <v/>
      </c>
      <c r="K1334" s="142">
        <f>IF(offer_sale_type="транзит",IFERROR(ROUNDUP(VLOOKUP($B1334,calc_data,K$14+1,0),2),0),0)</f>
        <v/>
      </c>
      <c r="L1334" s="184">
        <f>IF(offer_sale_type="транзит",IFERROR(ROUNDUP(VLOOKUP($B1334,calc_data,L$14+1,0),2),0),0)</f>
        <v/>
      </c>
      <c r="M1334" s="141">
        <f>IF(offer_sale_type="транзит",IFERROR(ROUNDUP(VLOOKUP($B1334,calc_data,M$14+1,0),2),0),0)</f>
        <v/>
      </c>
      <c r="N1334" s="141">
        <f>IF(offer_sale_type="транзит",IFERROR(ROUNDUP(VLOOKUP($B1334,calc_data,N$14+1,0),2),0),0)</f>
        <v/>
      </c>
      <c r="O1334" s="147">
        <f>IF(offer_sale_type="транзит",IFERROR(ROUND(VLOOKUP($B1334,calc_data,O$14+1,1),2),0),0)</f>
        <v/>
      </c>
      <c r="P1334" s="141">
        <f>IF(offer_sale_type="транзит",IFERROR(ROUND(SUM(I1334:J1334,M1334:O1334)/E1334,2),0),0)</f>
        <v/>
      </c>
      <c r="Q1334" s="141">
        <f>E1334*P1334</f>
        <v/>
      </c>
      <c r="R1334" s="141">
        <f>ROUND(Q1334*IF(AND(offer_incoterms="DDP",seller_region="RU"),IF((TODAY()+offer_turnaround_time)&gt;=helpsheet!$L$17,rate_vatRU_from_26,rate_vatRu_till_25),0),2)</f>
        <v/>
      </c>
      <c r="S1334" s="177">
        <f>Q1334+IF(AND(offer_incoterms="DDP",seller_region="RU"),R1334,0)</f>
        <v/>
      </c>
      <c r="T1334" s="45" t="n"/>
      <c r="V1334" s="57">
        <f>IF(Q1334&gt;0,"показать","скрыть")</f>
        <v/>
      </c>
    </row>
    <row r="1335" ht="15.75" customHeight="1">
      <c r="B1335" s="809" t="n">
        <v>1319</v>
      </c>
      <c r="C1335" s="182">
        <f>IF(offer_sale_type="транзит",IFERROR(VLOOKUP($B1335,calc_data,C$14+1,0),0),0)</f>
        <v/>
      </c>
      <c r="D1335" s="280">
        <f>IF(offer_sale_type="транзит",IFERROR(VLOOKUP($B1335,calc_data,D$14+1,0),0),0)</f>
        <v/>
      </c>
      <c r="E1335" s="182">
        <f>IF(offer_sale_type="транзит",IFERROR(VLOOKUP($B1335,calc_data,E$14+1,0),0),0)</f>
        <v/>
      </c>
      <c r="F1335" s="182">
        <f>IF(offer_sale_type="транзит",IFERROR(VLOOKUP($B1335,calc_data,F$14+1,0),0),0)</f>
        <v/>
      </c>
      <c r="G1335" s="141">
        <f>IF(offer_sale_type="транзит",IFERROR(VLOOKUP($B1335,calc_data,G$14+1,0),0),0)</f>
        <v/>
      </c>
      <c r="H1335" s="141">
        <f>E1335*G1335</f>
        <v/>
      </c>
      <c r="I1335" s="141">
        <f>IF(offer_sale_type="транзит",IFERROR(ROUND(VLOOKUP($B1335,calc_data,I$14+1,0),2),0),0)</f>
        <v/>
      </c>
      <c r="J1335" s="141">
        <f>ROUND(IF(offer_sale_type="транзит",IFERROR(VLOOKUP($B1335,calc_data,J$14+1,0),0),0),2)</f>
        <v/>
      </c>
      <c r="K1335" s="142">
        <f>IF(offer_sale_type="транзит",IFERROR(ROUNDUP(VLOOKUP($B1335,calc_data,K$14+1,0),2),0),0)</f>
        <v/>
      </c>
      <c r="L1335" s="184">
        <f>IF(offer_sale_type="транзит",IFERROR(ROUNDUP(VLOOKUP($B1335,calc_data,L$14+1,0),2),0),0)</f>
        <v/>
      </c>
      <c r="M1335" s="141">
        <f>IF(offer_sale_type="транзит",IFERROR(ROUNDUP(VLOOKUP($B1335,calc_data,M$14+1,0),2),0),0)</f>
        <v/>
      </c>
      <c r="N1335" s="141">
        <f>IF(offer_sale_type="транзит",IFERROR(ROUNDUP(VLOOKUP($B1335,calc_data,N$14+1,0),2),0),0)</f>
        <v/>
      </c>
      <c r="O1335" s="147">
        <f>IF(offer_sale_type="транзит",IFERROR(ROUND(VLOOKUP($B1335,calc_data,O$14+1,1),2),0),0)</f>
        <v/>
      </c>
      <c r="P1335" s="141">
        <f>IF(offer_sale_type="транзит",IFERROR(ROUND(SUM(I1335:J1335,M1335:O1335)/E1335,2),0),0)</f>
        <v/>
      </c>
      <c r="Q1335" s="141">
        <f>E1335*P1335</f>
        <v/>
      </c>
      <c r="R1335" s="141">
        <f>ROUND(Q1335*IF(AND(offer_incoterms="DDP",seller_region="RU"),IF((TODAY()+offer_turnaround_time)&gt;=helpsheet!$L$17,rate_vatRU_from_26,rate_vatRu_till_25),0),2)</f>
        <v/>
      </c>
      <c r="S1335" s="177">
        <f>Q1335+IF(AND(offer_incoterms="DDP",seller_region="RU"),R1335,0)</f>
        <v/>
      </c>
      <c r="T1335" s="45" t="n"/>
      <c r="V1335" s="57">
        <f>IF(Q1335&gt;0,"показать","скрыть")</f>
        <v/>
      </c>
    </row>
    <row r="1336" ht="15.75" customHeight="1">
      <c r="B1336" s="809" t="n">
        <v>1320</v>
      </c>
      <c r="C1336" s="182">
        <f>IF(offer_sale_type="транзит",IFERROR(VLOOKUP($B1336,calc_data,C$14+1,0),0),0)</f>
        <v/>
      </c>
      <c r="D1336" s="280">
        <f>IF(offer_sale_type="транзит",IFERROR(VLOOKUP($B1336,calc_data,D$14+1,0),0),0)</f>
        <v/>
      </c>
      <c r="E1336" s="182">
        <f>IF(offer_sale_type="транзит",IFERROR(VLOOKUP($B1336,calc_data,E$14+1,0),0),0)</f>
        <v/>
      </c>
      <c r="F1336" s="182">
        <f>IF(offer_sale_type="транзит",IFERROR(VLOOKUP($B1336,calc_data,F$14+1,0),0),0)</f>
        <v/>
      </c>
      <c r="G1336" s="141">
        <f>IF(offer_sale_type="транзит",IFERROR(VLOOKUP($B1336,calc_data,G$14+1,0),0),0)</f>
        <v/>
      </c>
      <c r="H1336" s="141">
        <f>E1336*G1336</f>
        <v/>
      </c>
      <c r="I1336" s="141">
        <f>IF(offer_sale_type="транзит",IFERROR(ROUND(VLOOKUP($B1336,calc_data,I$14+1,0),2),0),0)</f>
        <v/>
      </c>
      <c r="J1336" s="141">
        <f>ROUND(IF(offer_sale_type="транзит",IFERROR(VLOOKUP($B1336,calc_data,J$14+1,0),0),0),2)</f>
        <v/>
      </c>
      <c r="K1336" s="142">
        <f>IF(offer_sale_type="транзит",IFERROR(ROUNDUP(VLOOKUP($B1336,calc_data,K$14+1,0),2),0),0)</f>
        <v/>
      </c>
      <c r="L1336" s="184">
        <f>IF(offer_sale_type="транзит",IFERROR(ROUNDUP(VLOOKUP($B1336,calc_data,L$14+1,0),2),0),0)</f>
        <v/>
      </c>
      <c r="M1336" s="141">
        <f>IF(offer_sale_type="транзит",IFERROR(ROUNDUP(VLOOKUP($B1336,calc_data,M$14+1,0),2),0),0)</f>
        <v/>
      </c>
      <c r="N1336" s="141">
        <f>IF(offer_sale_type="транзит",IFERROR(ROUNDUP(VLOOKUP($B1336,calc_data,N$14+1,0),2),0),0)</f>
        <v/>
      </c>
      <c r="O1336" s="147">
        <f>IF(offer_sale_type="транзит",IFERROR(ROUND(VLOOKUP($B1336,calc_data,O$14+1,1),2),0),0)</f>
        <v/>
      </c>
      <c r="P1336" s="141">
        <f>IF(offer_sale_type="транзит",IFERROR(ROUND(SUM(I1336:J1336,M1336:O1336)/E1336,2),0),0)</f>
        <v/>
      </c>
      <c r="Q1336" s="141">
        <f>E1336*P1336</f>
        <v/>
      </c>
      <c r="R1336" s="141">
        <f>ROUND(Q1336*IF(AND(offer_incoterms="DDP",seller_region="RU"),IF((TODAY()+offer_turnaround_time)&gt;=helpsheet!$L$17,rate_vatRU_from_26,rate_vatRu_till_25),0),2)</f>
        <v/>
      </c>
      <c r="S1336" s="177">
        <f>Q1336+IF(AND(offer_incoterms="DDP",seller_region="RU"),R1336,0)</f>
        <v/>
      </c>
      <c r="T1336" s="45" t="n"/>
      <c r="V1336" s="57">
        <f>IF(Q1336&gt;0,"показать","скрыть")</f>
        <v/>
      </c>
    </row>
    <row r="1337" ht="15.75" customHeight="1">
      <c r="B1337" s="809" t="n">
        <v>1321</v>
      </c>
      <c r="C1337" s="182">
        <f>IF(offer_sale_type="транзит",IFERROR(VLOOKUP($B1337,calc_data,C$14+1,0),0),0)</f>
        <v/>
      </c>
      <c r="D1337" s="280">
        <f>IF(offer_sale_type="транзит",IFERROR(VLOOKUP($B1337,calc_data,D$14+1,0),0),0)</f>
        <v/>
      </c>
      <c r="E1337" s="182">
        <f>IF(offer_sale_type="транзит",IFERROR(VLOOKUP($B1337,calc_data,E$14+1,0),0),0)</f>
        <v/>
      </c>
      <c r="F1337" s="182">
        <f>IF(offer_sale_type="транзит",IFERROR(VLOOKUP($B1337,calc_data,F$14+1,0),0),0)</f>
        <v/>
      </c>
      <c r="G1337" s="141">
        <f>IF(offer_sale_type="транзит",IFERROR(VLOOKUP($B1337,calc_data,G$14+1,0),0),0)</f>
        <v/>
      </c>
      <c r="H1337" s="141">
        <f>E1337*G1337</f>
        <v/>
      </c>
      <c r="I1337" s="141">
        <f>IF(offer_sale_type="транзит",IFERROR(ROUND(VLOOKUP($B1337,calc_data,I$14+1,0),2),0),0)</f>
        <v/>
      </c>
      <c r="J1337" s="141">
        <f>ROUND(IF(offer_sale_type="транзит",IFERROR(VLOOKUP($B1337,calc_data,J$14+1,0),0),0),2)</f>
        <v/>
      </c>
      <c r="K1337" s="142">
        <f>IF(offer_sale_type="транзит",IFERROR(ROUNDUP(VLOOKUP($B1337,calc_data,K$14+1,0),2),0),0)</f>
        <v/>
      </c>
      <c r="L1337" s="184">
        <f>IF(offer_sale_type="транзит",IFERROR(ROUNDUP(VLOOKUP($B1337,calc_data,L$14+1,0),2),0),0)</f>
        <v/>
      </c>
      <c r="M1337" s="141">
        <f>IF(offer_sale_type="транзит",IFERROR(ROUNDUP(VLOOKUP($B1337,calc_data,M$14+1,0),2),0),0)</f>
        <v/>
      </c>
      <c r="N1337" s="141">
        <f>IF(offer_sale_type="транзит",IFERROR(ROUNDUP(VLOOKUP($B1337,calc_data,N$14+1,0),2),0),0)</f>
        <v/>
      </c>
      <c r="O1337" s="147">
        <f>IF(offer_sale_type="транзит",IFERROR(ROUND(VLOOKUP($B1337,calc_data,O$14+1,1),2),0),0)</f>
        <v/>
      </c>
      <c r="P1337" s="141">
        <f>IF(offer_sale_type="транзит",IFERROR(ROUND(SUM(I1337:J1337,M1337:O1337)/E1337,2),0),0)</f>
        <v/>
      </c>
      <c r="Q1337" s="141">
        <f>E1337*P1337</f>
        <v/>
      </c>
      <c r="R1337" s="141">
        <f>ROUND(Q1337*IF(AND(offer_incoterms="DDP",seller_region="RU"),IF((TODAY()+offer_turnaround_time)&gt;=helpsheet!$L$17,rate_vatRU_from_26,rate_vatRu_till_25),0),2)</f>
        <v/>
      </c>
      <c r="S1337" s="177">
        <f>Q1337+IF(AND(offer_incoterms="DDP",seller_region="RU"),R1337,0)</f>
        <v/>
      </c>
      <c r="T1337" s="45" t="n"/>
      <c r="V1337" s="57">
        <f>IF(Q1337&gt;0,"показать","скрыть")</f>
        <v/>
      </c>
    </row>
    <row r="1338" ht="15.75" customHeight="1">
      <c r="B1338" s="809" t="n">
        <v>1322</v>
      </c>
      <c r="C1338" s="182">
        <f>IF(offer_sale_type="транзит",IFERROR(VLOOKUP($B1338,calc_data,C$14+1,0),0),0)</f>
        <v/>
      </c>
      <c r="D1338" s="280">
        <f>IF(offer_sale_type="транзит",IFERROR(VLOOKUP($B1338,calc_data,D$14+1,0),0),0)</f>
        <v/>
      </c>
      <c r="E1338" s="182">
        <f>IF(offer_sale_type="транзит",IFERROR(VLOOKUP($B1338,calc_data,E$14+1,0),0),0)</f>
        <v/>
      </c>
      <c r="F1338" s="182">
        <f>IF(offer_sale_type="транзит",IFERROR(VLOOKUP($B1338,calc_data,F$14+1,0),0),0)</f>
        <v/>
      </c>
      <c r="G1338" s="141">
        <f>IF(offer_sale_type="транзит",IFERROR(VLOOKUP($B1338,calc_data,G$14+1,0),0),0)</f>
        <v/>
      </c>
      <c r="H1338" s="141">
        <f>E1338*G1338</f>
        <v/>
      </c>
      <c r="I1338" s="141">
        <f>IF(offer_sale_type="транзит",IFERROR(ROUND(VLOOKUP($B1338,calc_data,I$14+1,0),2),0),0)</f>
        <v/>
      </c>
      <c r="J1338" s="141">
        <f>ROUND(IF(offer_sale_type="транзит",IFERROR(VLOOKUP($B1338,calc_data,J$14+1,0),0),0),2)</f>
        <v/>
      </c>
      <c r="K1338" s="142">
        <f>IF(offer_sale_type="транзит",IFERROR(ROUNDUP(VLOOKUP($B1338,calc_data,K$14+1,0),2),0),0)</f>
        <v/>
      </c>
      <c r="L1338" s="184">
        <f>IF(offer_sale_type="транзит",IFERROR(ROUNDUP(VLOOKUP($B1338,calc_data,L$14+1,0),2),0),0)</f>
        <v/>
      </c>
      <c r="M1338" s="141">
        <f>IF(offer_sale_type="транзит",IFERROR(ROUNDUP(VLOOKUP($B1338,calc_data,M$14+1,0),2),0),0)</f>
        <v/>
      </c>
      <c r="N1338" s="141">
        <f>IF(offer_sale_type="транзит",IFERROR(ROUNDUP(VLOOKUP($B1338,calc_data,N$14+1,0),2),0),0)</f>
        <v/>
      </c>
      <c r="O1338" s="147">
        <f>IF(offer_sale_type="транзит",IFERROR(ROUND(VLOOKUP($B1338,calc_data,O$14+1,1),2),0),0)</f>
        <v/>
      </c>
      <c r="P1338" s="141">
        <f>IF(offer_sale_type="транзит",IFERROR(ROUND(SUM(I1338:J1338,M1338:O1338)/E1338,2),0),0)</f>
        <v/>
      </c>
      <c r="Q1338" s="141">
        <f>E1338*P1338</f>
        <v/>
      </c>
      <c r="R1338" s="141">
        <f>ROUND(Q1338*IF(AND(offer_incoterms="DDP",seller_region="RU"),IF((TODAY()+offer_turnaround_time)&gt;=helpsheet!$L$17,rate_vatRU_from_26,rate_vatRu_till_25),0),2)</f>
        <v/>
      </c>
      <c r="S1338" s="177">
        <f>Q1338+IF(AND(offer_incoterms="DDP",seller_region="RU"),R1338,0)</f>
        <v/>
      </c>
      <c r="T1338" s="45" t="n"/>
      <c r="V1338" s="57">
        <f>IF(Q1338&gt;0,"показать","скрыть")</f>
        <v/>
      </c>
    </row>
    <row r="1339" ht="15.75" customHeight="1">
      <c r="B1339" s="809" t="n">
        <v>1323</v>
      </c>
      <c r="C1339" s="182">
        <f>IF(offer_sale_type="транзит",IFERROR(VLOOKUP($B1339,calc_data,C$14+1,0),0),0)</f>
        <v/>
      </c>
      <c r="D1339" s="280">
        <f>IF(offer_sale_type="транзит",IFERROR(VLOOKUP($B1339,calc_data,D$14+1,0),0),0)</f>
        <v/>
      </c>
      <c r="E1339" s="182">
        <f>IF(offer_sale_type="транзит",IFERROR(VLOOKUP($B1339,calc_data,E$14+1,0),0),0)</f>
        <v/>
      </c>
      <c r="F1339" s="182">
        <f>IF(offer_sale_type="транзит",IFERROR(VLOOKUP($B1339,calc_data,F$14+1,0),0),0)</f>
        <v/>
      </c>
      <c r="G1339" s="141">
        <f>IF(offer_sale_type="транзит",IFERROR(VLOOKUP($B1339,calc_data,G$14+1,0),0),0)</f>
        <v/>
      </c>
      <c r="H1339" s="141">
        <f>E1339*G1339</f>
        <v/>
      </c>
      <c r="I1339" s="141">
        <f>IF(offer_sale_type="транзит",IFERROR(ROUND(VLOOKUP($B1339,calc_data,I$14+1,0),2),0),0)</f>
        <v/>
      </c>
      <c r="J1339" s="141">
        <f>ROUND(IF(offer_sale_type="транзит",IFERROR(VLOOKUP($B1339,calc_data,J$14+1,0),0),0),2)</f>
        <v/>
      </c>
      <c r="K1339" s="142">
        <f>IF(offer_sale_type="транзит",IFERROR(ROUNDUP(VLOOKUP($B1339,calc_data,K$14+1,0),2),0),0)</f>
        <v/>
      </c>
      <c r="L1339" s="184">
        <f>IF(offer_sale_type="транзит",IFERROR(ROUNDUP(VLOOKUP($B1339,calc_data,L$14+1,0),2),0),0)</f>
        <v/>
      </c>
      <c r="M1339" s="141">
        <f>IF(offer_sale_type="транзит",IFERROR(ROUNDUP(VLOOKUP($B1339,calc_data,M$14+1,0),2),0),0)</f>
        <v/>
      </c>
      <c r="N1339" s="141">
        <f>IF(offer_sale_type="транзит",IFERROR(ROUNDUP(VLOOKUP($B1339,calc_data,N$14+1,0),2),0),0)</f>
        <v/>
      </c>
      <c r="O1339" s="147">
        <f>IF(offer_sale_type="транзит",IFERROR(ROUND(VLOOKUP($B1339,calc_data,O$14+1,1),2),0),0)</f>
        <v/>
      </c>
      <c r="P1339" s="141">
        <f>IF(offer_sale_type="транзит",IFERROR(ROUND(SUM(I1339:J1339,M1339:O1339)/E1339,2),0),0)</f>
        <v/>
      </c>
      <c r="Q1339" s="141">
        <f>E1339*P1339</f>
        <v/>
      </c>
      <c r="R1339" s="141">
        <f>ROUND(Q1339*IF(AND(offer_incoterms="DDP",seller_region="RU"),IF((TODAY()+offer_turnaround_time)&gt;=helpsheet!$L$17,rate_vatRU_from_26,rate_vatRu_till_25),0),2)</f>
        <v/>
      </c>
      <c r="S1339" s="177">
        <f>Q1339+IF(AND(offer_incoterms="DDP",seller_region="RU"),R1339,0)</f>
        <v/>
      </c>
      <c r="T1339" s="45" t="n"/>
      <c r="V1339" s="57">
        <f>IF(Q1339&gt;0,"показать","скрыть")</f>
        <v/>
      </c>
    </row>
    <row r="1340" ht="15.75" customHeight="1">
      <c r="B1340" s="809" t="n">
        <v>1324</v>
      </c>
      <c r="C1340" s="182">
        <f>IF(offer_sale_type="транзит",IFERROR(VLOOKUP($B1340,calc_data,C$14+1,0),0),0)</f>
        <v/>
      </c>
      <c r="D1340" s="280">
        <f>IF(offer_sale_type="транзит",IFERROR(VLOOKUP($B1340,calc_data,D$14+1,0),0),0)</f>
        <v/>
      </c>
      <c r="E1340" s="182">
        <f>IF(offer_sale_type="транзит",IFERROR(VLOOKUP($B1340,calc_data,E$14+1,0),0),0)</f>
        <v/>
      </c>
      <c r="F1340" s="182">
        <f>IF(offer_sale_type="транзит",IFERROR(VLOOKUP($B1340,calc_data,F$14+1,0),0),0)</f>
        <v/>
      </c>
      <c r="G1340" s="141">
        <f>IF(offer_sale_type="транзит",IFERROR(VLOOKUP($B1340,calc_data,G$14+1,0),0),0)</f>
        <v/>
      </c>
      <c r="H1340" s="141">
        <f>E1340*G1340</f>
        <v/>
      </c>
      <c r="I1340" s="141">
        <f>IF(offer_sale_type="транзит",IFERROR(ROUND(VLOOKUP($B1340,calc_data,I$14+1,0),2),0),0)</f>
        <v/>
      </c>
      <c r="J1340" s="141">
        <f>ROUND(IF(offer_sale_type="транзит",IFERROR(VLOOKUP($B1340,calc_data,J$14+1,0),0),0),2)</f>
        <v/>
      </c>
      <c r="K1340" s="142">
        <f>IF(offer_sale_type="транзит",IFERROR(ROUNDUP(VLOOKUP($B1340,calc_data,K$14+1,0),2),0),0)</f>
        <v/>
      </c>
      <c r="L1340" s="184">
        <f>IF(offer_sale_type="транзит",IFERROR(ROUNDUP(VLOOKUP($B1340,calc_data,L$14+1,0),2),0),0)</f>
        <v/>
      </c>
      <c r="M1340" s="141">
        <f>IF(offer_sale_type="транзит",IFERROR(ROUNDUP(VLOOKUP($B1340,calc_data,M$14+1,0),2),0),0)</f>
        <v/>
      </c>
      <c r="N1340" s="141">
        <f>IF(offer_sale_type="транзит",IFERROR(ROUNDUP(VLOOKUP($B1340,calc_data,N$14+1,0),2),0),0)</f>
        <v/>
      </c>
      <c r="O1340" s="147">
        <f>IF(offer_sale_type="транзит",IFERROR(ROUND(VLOOKUP($B1340,calc_data,O$14+1,1),2),0),0)</f>
        <v/>
      </c>
      <c r="P1340" s="141">
        <f>IF(offer_sale_type="транзит",IFERROR(ROUND(SUM(I1340:J1340,M1340:O1340)/E1340,2),0),0)</f>
        <v/>
      </c>
      <c r="Q1340" s="141">
        <f>E1340*P1340</f>
        <v/>
      </c>
      <c r="R1340" s="141">
        <f>ROUND(Q1340*IF(AND(offer_incoterms="DDP",seller_region="RU"),IF((TODAY()+offer_turnaround_time)&gt;=helpsheet!$L$17,rate_vatRU_from_26,rate_vatRu_till_25),0),2)</f>
        <v/>
      </c>
      <c r="S1340" s="177">
        <f>Q1340+IF(AND(offer_incoterms="DDP",seller_region="RU"),R1340,0)</f>
        <v/>
      </c>
      <c r="T1340" s="45" t="n"/>
      <c r="V1340" s="57">
        <f>IF(Q1340&gt;0,"показать","скрыть")</f>
        <v/>
      </c>
    </row>
    <row r="1341" ht="15.75" customHeight="1">
      <c r="B1341" s="809" t="n">
        <v>1325</v>
      </c>
      <c r="C1341" s="182">
        <f>IF(offer_sale_type="транзит",IFERROR(VLOOKUP($B1341,calc_data,C$14+1,0),0),0)</f>
        <v/>
      </c>
      <c r="D1341" s="280">
        <f>IF(offer_sale_type="транзит",IFERROR(VLOOKUP($B1341,calc_data,D$14+1,0),0),0)</f>
        <v/>
      </c>
      <c r="E1341" s="182">
        <f>IF(offer_sale_type="транзит",IFERROR(VLOOKUP($B1341,calc_data,E$14+1,0),0),0)</f>
        <v/>
      </c>
      <c r="F1341" s="182">
        <f>IF(offer_sale_type="транзит",IFERROR(VLOOKUP($B1341,calc_data,F$14+1,0),0),0)</f>
        <v/>
      </c>
      <c r="G1341" s="141">
        <f>IF(offer_sale_type="транзит",IFERROR(VLOOKUP($B1341,calc_data,G$14+1,0),0),0)</f>
        <v/>
      </c>
      <c r="H1341" s="141">
        <f>E1341*G1341</f>
        <v/>
      </c>
      <c r="I1341" s="141">
        <f>IF(offer_sale_type="транзит",IFERROR(ROUND(VLOOKUP($B1341,calc_data,I$14+1,0),2),0),0)</f>
        <v/>
      </c>
      <c r="J1341" s="141">
        <f>ROUND(IF(offer_sale_type="транзит",IFERROR(VLOOKUP($B1341,calc_data,J$14+1,0),0),0),2)</f>
        <v/>
      </c>
      <c r="K1341" s="142">
        <f>IF(offer_sale_type="транзит",IFERROR(ROUNDUP(VLOOKUP($B1341,calc_data,K$14+1,0),2),0),0)</f>
        <v/>
      </c>
      <c r="L1341" s="184">
        <f>IF(offer_sale_type="транзит",IFERROR(ROUNDUP(VLOOKUP($B1341,calc_data,L$14+1,0),2),0),0)</f>
        <v/>
      </c>
      <c r="M1341" s="141">
        <f>IF(offer_sale_type="транзит",IFERROR(ROUNDUP(VLOOKUP($B1341,calc_data,M$14+1,0),2),0),0)</f>
        <v/>
      </c>
      <c r="N1341" s="141">
        <f>IF(offer_sale_type="транзит",IFERROR(ROUNDUP(VLOOKUP($B1341,calc_data,N$14+1,0),2),0),0)</f>
        <v/>
      </c>
      <c r="O1341" s="147">
        <f>IF(offer_sale_type="транзит",IFERROR(ROUND(VLOOKUP($B1341,calc_data,O$14+1,1),2),0),0)</f>
        <v/>
      </c>
      <c r="P1341" s="141">
        <f>IF(offer_sale_type="транзит",IFERROR(ROUND(SUM(I1341:J1341,M1341:O1341)/E1341,2),0),0)</f>
        <v/>
      </c>
      <c r="Q1341" s="141">
        <f>E1341*P1341</f>
        <v/>
      </c>
      <c r="R1341" s="141">
        <f>ROUND(Q1341*IF(AND(offer_incoterms="DDP",seller_region="RU"),IF((TODAY()+offer_turnaround_time)&gt;=helpsheet!$L$17,rate_vatRU_from_26,rate_vatRu_till_25),0),2)</f>
        <v/>
      </c>
      <c r="S1341" s="177">
        <f>Q1341+IF(AND(offer_incoterms="DDP",seller_region="RU"),R1341,0)</f>
        <v/>
      </c>
      <c r="T1341" s="45" t="n"/>
      <c r="V1341" s="57">
        <f>IF(Q1341&gt;0,"показать","скрыть")</f>
        <v/>
      </c>
    </row>
    <row r="1342" ht="15.75" customHeight="1">
      <c r="B1342" s="809" t="n">
        <v>1326</v>
      </c>
      <c r="C1342" s="182">
        <f>IF(offer_sale_type="транзит",IFERROR(VLOOKUP($B1342,calc_data,C$14+1,0),0),0)</f>
        <v/>
      </c>
      <c r="D1342" s="280">
        <f>IF(offer_sale_type="транзит",IFERROR(VLOOKUP($B1342,calc_data,D$14+1,0),0),0)</f>
        <v/>
      </c>
      <c r="E1342" s="182">
        <f>IF(offer_sale_type="транзит",IFERROR(VLOOKUP($B1342,calc_data,E$14+1,0),0),0)</f>
        <v/>
      </c>
      <c r="F1342" s="182">
        <f>IF(offer_sale_type="транзит",IFERROR(VLOOKUP($B1342,calc_data,F$14+1,0),0),0)</f>
        <v/>
      </c>
      <c r="G1342" s="141">
        <f>IF(offer_sale_type="транзит",IFERROR(VLOOKUP($B1342,calc_data,G$14+1,0),0),0)</f>
        <v/>
      </c>
      <c r="H1342" s="141">
        <f>E1342*G1342</f>
        <v/>
      </c>
      <c r="I1342" s="141">
        <f>IF(offer_sale_type="транзит",IFERROR(ROUND(VLOOKUP($B1342,calc_data,I$14+1,0),2),0),0)</f>
        <v/>
      </c>
      <c r="J1342" s="141">
        <f>ROUND(IF(offer_sale_type="транзит",IFERROR(VLOOKUP($B1342,calc_data,J$14+1,0),0),0),2)</f>
        <v/>
      </c>
      <c r="K1342" s="142">
        <f>IF(offer_sale_type="транзит",IFERROR(ROUNDUP(VLOOKUP($B1342,calc_data,K$14+1,0),2),0),0)</f>
        <v/>
      </c>
      <c r="L1342" s="184">
        <f>IF(offer_sale_type="транзит",IFERROR(ROUNDUP(VLOOKUP($B1342,calc_data,L$14+1,0),2),0),0)</f>
        <v/>
      </c>
      <c r="M1342" s="141">
        <f>IF(offer_sale_type="транзит",IFERROR(ROUNDUP(VLOOKUP($B1342,calc_data,M$14+1,0),2),0),0)</f>
        <v/>
      </c>
      <c r="N1342" s="141">
        <f>IF(offer_sale_type="транзит",IFERROR(ROUNDUP(VLOOKUP($B1342,calc_data,N$14+1,0),2),0),0)</f>
        <v/>
      </c>
      <c r="O1342" s="147">
        <f>IF(offer_sale_type="транзит",IFERROR(ROUND(VLOOKUP($B1342,calc_data,O$14+1,1),2),0),0)</f>
        <v/>
      </c>
      <c r="P1342" s="141">
        <f>IF(offer_sale_type="транзит",IFERROR(ROUND(SUM(I1342:J1342,M1342:O1342)/E1342,2),0),0)</f>
        <v/>
      </c>
      <c r="Q1342" s="141">
        <f>E1342*P1342</f>
        <v/>
      </c>
      <c r="R1342" s="141">
        <f>ROUND(Q1342*IF(AND(offer_incoterms="DDP",seller_region="RU"),IF((TODAY()+offer_turnaround_time)&gt;=helpsheet!$L$17,rate_vatRU_from_26,rate_vatRu_till_25),0),2)</f>
        <v/>
      </c>
      <c r="S1342" s="177">
        <f>Q1342+IF(AND(offer_incoterms="DDP",seller_region="RU"),R1342,0)</f>
        <v/>
      </c>
      <c r="T1342" s="45" t="n"/>
      <c r="V1342" s="57">
        <f>IF(Q1342&gt;0,"показать","скрыть")</f>
        <v/>
      </c>
    </row>
    <row r="1343" ht="15.75" customHeight="1">
      <c r="B1343" s="809" t="n">
        <v>1327</v>
      </c>
      <c r="C1343" s="182">
        <f>IF(offer_sale_type="транзит",IFERROR(VLOOKUP($B1343,calc_data,C$14+1,0),0),0)</f>
        <v/>
      </c>
      <c r="D1343" s="280">
        <f>IF(offer_sale_type="транзит",IFERROR(VLOOKUP($B1343,calc_data,D$14+1,0),0),0)</f>
        <v/>
      </c>
      <c r="E1343" s="182">
        <f>IF(offer_sale_type="транзит",IFERROR(VLOOKUP($B1343,calc_data,E$14+1,0),0),0)</f>
        <v/>
      </c>
      <c r="F1343" s="182">
        <f>IF(offer_sale_type="транзит",IFERROR(VLOOKUP($B1343,calc_data,F$14+1,0),0),0)</f>
        <v/>
      </c>
      <c r="G1343" s="141">
        <f>IF(offer_sale_type="транзит",IFERROR(VLOOKUP($B1343,calc_data,G$14+1,0),0),0)</f>
        <v/>
      </c>
      <c r="H1343" s="141">
        <f>E1343*G1343</f>
        <v/>
      </c>
      <c r="I1343" s="141">
        <f>IF(offer_sale_type="транзит",IFERROR(ROUND(VLOOKUP($B1343,calc_data,I$14+1,0),2),0),0)</f>
        <v/>
      </c>
      <c r="J1343" s="141">
        <f>ROUND(IF(offer_sale_type="транзит",IFERROR(VLOOKUP($B1343,calc_data,J$14+1,0),0),0),2)</f>
        <v/>
      </c>
      <c r="K1343" s="142">
        <f>IF(offer_sale_type="транзит",IFERROR(ROUNDUP(VLOOKUP($B1343,calc_data,K$14+1,0),2),0),0)</f>
        <v/>
      </c>
      <c r="L1343" s="184">
        <f>IF(offer_sale_type="транзит",IFERROR(ROUNDUP(VLOOKUP($B1343,calc_data,L$14+1,0),2),0),0)</f>
        <v/>
      </c>
      <c r="M1343" s="141">
        <f>IF(offer_sale_type="транзит",IFERROR(ROUNDUP(VLOOKUP($B1343,calc_data,M$14+1,0),2),0),0)</f>
        <v/>
      </c>
      <c r="N1343" s="141">
        <f>IF(offer_sale_type="транзит",IFERROR(ROUNDUP(VLOOKUP($B1343,calc_data,N$14+1,0),2),0),0)</f>
        <v/>
      </c>
      <c r="O1343" s="147">
        <f>IF(offer_sale_type="транзит",IFERROR(ROUND(VLOOKUP($B1343,calc_data,O$14+1,1),2),0),0)</f>
        <v/>
      </c>
      <c r="P1343" s="141">
        <f>IF(offer_sale_type="транзит",IFERROR(ROUND(SUM(I1343:J1343,M1343:O1343)/E1343,2),0),0)</f>
        <v/>
      </c>
      <c r="Q1343" s="141">
        <f>E1343*P1343</f>
        <v/>
      </c>
      <c r="R1343" s="141">
        <f>ROUND(Q1343*IF(AND(offer_incoterms="DDP",seller_region="RU"),IF((TODAY()+offer_turnaround_time)&gt;=helpsheet!$L$17,rate_vatRU_from_26,rate_vatRu_till_25),0),2)</f>
        <v/>
      </c>
      <c r="S1343" s="177">
        <f>Q1343+IF(AND(offer_incoterms="DDP",seller_region="RU"),R1343,0)</f>
        <v/>
      </c>
      <c r="T1343" s="45" t="n"/>
      <c r="V1343" s="57">
        <f>IF(Q1343&gt;0,"показать","скрыть")</f>
        <v/>
      </c>
    </row>
    <row r="1344" ht="15.75" customHeight="1">
      <c r="B1344" s="809" t="n">
        <v>1328</v>
      </c>
      <c r="C1344" s="182">
        <f>IF(offer_sale_type="транзит",IFERROR(VLOOKUP($B1344,calc_data,C$14+1,0),0),0)</f>
        <v/>
      </c>
      <c r="D1344" s="280">
        <f>IF(offer_sale_type="транзит",IFERROR(VLOOKUP($B1344,calc_data,D$14+1,0),0),0)</f>
        <v/>
      </c>
      <c r="E1344" s="182">
        <f>IF(offer_sale_type="транзит",IFERROR(VLOOKUP($B1344,calc_data,E$14+1,0),0),0)</f>
        <v/>
      </c>
      <c r="F1344" s="182">
        <f>IF(offer_sale_type="транзит",IFERROR(VLOOKUP($B1344,calc_data,F$14+1,0),0),0)</f>
        <v/>
      </c>
      <c r="G1344" s="141">
        <f>IF(offer_sale_type="транзит",IFERROR(VLOOKUP($B1344,calc_data,G$14+1,0),0),0)</f>
        <v/>
      </c>
      <c r="H1344" s="141">
        <f>E1344*G1344</f>
        <v/>
      </c>
      <c r="I1344" s="141">
        <f>IF(offer_sale_type="транзит",IFERROR(ROUND(VLOOKUP($B1344,calc_data,I$14+1,0),2),0),0)</f>
        <v/>
      </c>
      <c r="J1344" s="141">
        <f>ROUND(IF(offer_sale_type="транзит",IFERROR(VLOOKUP($B1344,calc_data,J$14+1,0),0),0),2)</f>
        <v/>
      </c>
      <c r="K1344" s="142">
        <f>IF(offer_sale_type="транзит",IFERROR(ROUNDUP(VLOOKUP($B1344,calc_data,K$14+1,0),2),0),0)</f>
        <v/>
      </c>
      <c r="L1344" s="184">
        <f>IF(offer_sale_type="транзит",IFERROR(ROUNDUP(VLOOKUP($B1344,calc_data,L$14+1,0),2),0),0)</f>
        <v/>
      </c>
      <c r="M1344" s="141">
        <f>IF(offer_sale_type="транзит",IFERROR(ROUNDUP(VLOOKUP($B1344,calc_data,M$14+1,0),2),0),0)</f>
        <v/>
      </c>
      <c r="N1344" s="141">
        <f>IF(offer_sale_type="транзит",IFERROR(ROUNDUP(VLOOKUP($B1344,calc_data,N$14+1,0),2),0),0)</f>
        <v/>
      </c>
      <c r="O1344" s="147">
        <f>IF(offer_sale_type="транзит",IFERROR(ROUND(VLOOKUP($B1344,calc_data,O$14+1,1),2),0),0)</f>
        <v/>
      </c>
      <c r="P1344" s="141">
        <f>IF(offer_sale_type="транзит",IFERROR(ROUND(SUM(I1344:J1344,M1344:O1344)/E1344,2),0),0)</f>
        <v/>
      </c>
      <c r="Q1344" s="141">
        <f>E1344*P1344</f>
        <v/>
      </c>
      <c r="R1344" s="141">
        <f>ROUND(Q1344*IF(AND(offer_incoterms="DDP",seller_region="RU"),IF((TODAY()+offer_turnaround_time)&gt;=helpsheet!$L$17,rate_vatRU_from_26,rate_vatRu_till_25),0),2)</f>
        <v/>
      </c>
      <c r="S1344" s="177">
        <f>Q1344+IF(AND(offer_incoterms="DDP",seller_region="RU"),R1344,0)</f>
        <v/>
      </c>
      <c r="T1344" s="45" t="n"/>
      <c r="V1344" s="57">
        <f>IF(Q1344&gt;0,"показать","скрыть")</f>
        <v/>
      </c>
    </row>
    <row r="1345" ht="15.75" customHeight="1">
      <c r="B1345" s="809" t="n">
        <v>1329</v>
      </c>
      <c r="C1345" s="182">
        <f>IF(offer_sale_type="транзит",IFERROR(VLOOKUP($B1345,calc_data,C$14+1,0),0),0)</f>
        <v/>
      </c>
      <c r="D1345" s="280">
        <f>IF(offer_sale_type="транзит",IFERROR(VLOOKUP($B1345,calc_data,D$14+1,0),0),0)</f>
        <v/>
      </c>
      <c r="E1345" s="182">
        <f>IF(offer_sale_type="транзит",IFERROR(VLOOKUP($B1345,calc_data,E$14+1,0),0),0)</f>
        <v/>
      </c>
      <c r="F1345" s="182">
        <f>IF(offer_sale_type="транзит",IFERROR(VLOOKUP($B1345,calc_data,F$14+1,0),0),0)</f>
        <v/>
      </c>
      <c r="G1345" s="141">
        <f>IF(offer_sale_type="транзит",IFERROR(VLOOKUP($B1345,calc_data,G$14+1,0),0),0)</f>
        <v/>
      </c>
      <c r="H1345" s="141">
        <f>E1345*G1345</f>
        <v/>
      </c>
      <c r="I1345" s="141">
        <f>IF(offer_sale_type="транзит",IFERROR(ROUND(VLOOKUP($B1345,calc_data,I$14+1,0),2),0),0)</f>
        <v/>
      </c>
      <c r="J1345" s="141">
        <f>ROUND(IF(offer_sale_type="транзит",IFERROR(VLOOKUP($B1345,calc_data,J$14+1,0),0),0),2)</f>
        <v/>
      </c>
      <c r="K1345" s="142">
        <f>IF(offer_sale_type="транзит",IFERROR(ROUNDUP(VLOOKUP($B1345,calc_data,K$14+1,0),2),0),0)</f>
        <v/>
      </c>
      <c r="L1345" s="184">
        <f>IF(offer_sale_type="транзит",IFERROR(ROUNDUP(VLOOKUP($B1345,calc_data,L$14+1,0),2),0),0)</f>
        <v/>
      </c>
      <c r="M1345" s="141">
        <f>IF(offer_sale_type="транзит",IFERROR(ROUNDUP(VLOOKUP($B1345,calc_data,M$14+1,0),2),0),0)</f>
        <v/>
      </c>
      <c r="N1345" s="141">
        <f>IF(offer_sale_type="транзит",IFERROR(ROUNDUP(VLOOKUP($B1345,calc_data,N$14+1,0),2),0),0)</f>
        <v/>
      </c>
      <c r="O1345" s="147">
        <f>IF(offer_sale_type="транзит",IFERROR(ROUND(VLOOKUP($B1345,calc_data,O$14+1,1),2),0),0)</f>
        <v/>
      </c>
      <c r="P1345" s="141">
        <f>IF(offer_sale_type="транзит",IFERROR(ROUND(SUM(I1345:J1345,M1345:O1345)/E1345,2),0),0)</f>
        <v/>
      </c>
      <c r="Q1345" s="141">
        <f>E1345*P1345</f>
        <v/>
      </c>
      <c r="R1345" s="141">
        <f>ROUND(Q1345*IF(AND(offer_incoterms="DDP",seller_region="RU"),IF((TODAY()+offer_turnaround_time)&gt;=helpsheet!$L$17,rate_vatRU_from_26,rate_vatRu_till_25),0),2)</f>
        <v/>
      </c>
      <c r="S1345" s="177">
        <f>Q1345+IF(AND(offer_incoterms="DDP",seller_region="RU"),R1345,0)</f>
        <v/>
      </c>
      <c r="T1345" s="45" t="n"/>
      <c r="V1345" s="57">
        <f>IF(Q1345&gt;0,"показать","скрыть")</f>
        <v/>
      </c>
    </row>
    <row r="1346" ht="15.75" customHeight="1">
      <c r="B1346" s="809" t="n">
        <v>1330</v>
      </c>
      <c r="C1346" s="182">
        <f>IF(offer_sale_type="транзит",IFERROR(VLOOKUP($B1346,calc_data,C$14+1,0),0),0)</f>
        <v/>
      </c>
      <c r="D1346" s="280">
        <f>IF(offer_sale_type="транзит",IFERROR(VLOOKUP($B1346,calc_data,D$14+1,0),0),0)</f>
        <v/>
      </c>
      <c r="E1346" s="182">
        <f>IF(offer_sale_type="транзит",IFERROR(VLOOKUP($B1346,calc_data,E$14+1,0),0),0)</f>
        <v/>
      </c>
      <c r="F1346" s="182">
        <f>IF(offer_sale_type="транзит",IFERROR(VLOOKUP($B1346,calc_data,F$14+1,0),0),0)</f>
        <v/>
      </c>
      <c r="G1346" s="141">
        <f>IF(offer_sale_type="транзит",IFERROR(VLOOKUP($B1346,calc_data,G$14+1,0),0),0)</f>
        <v/>
      </c>
      <c r="H1346" s="141">
        <f>E1346*G1346</f>
        <v/>
      </c>
      <c r="I1346" s="141">
        <f>IF(offer_sale_type="транзит",IFERROR(ROUND(VLOOKUP($B1346,calc_data,I$14+1,0),2),0),0)</f>
        <v/>
      </c>
      <c r="J1346" s="141">
        <f>ROUND(IF(offer_sale_type="транзит",IFERROR(VLOOKUP($B1346,calc_data,J$14+1,0),0),0),2)</f>
        <v/>
      </c>
      <c r="K1346" s="142">
        <f>IF(offer_sale_type="транзит",IFERROR(ROUNDUP(VLOOKUP($B1346,calc_data,K$14+1,0),2),0),0)</f>
        <v/>
      </c>
      <c r="L1346" s="184">
        <f>IF(offer_sale_type="транзит",IFERROR(ROUNDUP(VLOOKUP($B1346,calc_data,L$14+1,0),2),0),0)</f>
        <v/>
      </c>
      <c r="M1346" s="141">
        <f>IF(offer_sale_type="транзит",IFERROR(ROUNDUP(VLOOKUP($B1346,calc_data,M$14+1,0),2),0),0)</f>
        <v/>
      </c>
      <c r="N1346" s="141">
        <f>IF(offer_sale_type="транзит",IFERROR(ROUNDUP(VLOOKUP($B1346,calc_data,N$14+1,0),2),0),0)</f>
        <v/>
      </c>
      <c r="O1346" s="147">
        <f>IF(offer_sale_type="транзит",IFERROR(ROUND(VLOOKUP($B1346,calc_data,O$14+1,1),2),0),0)</f>
        <v/>
      </c>
      <c r="P1346" s="141">
        <f>IF(offer_sale_type="транзит",IFERROR(ROUND(SUM(I1346:J1346,M1346:O1346)/E1346,2),0),0)</f>
        <v/>
      </c>
      <c r="Q1346" s="141">
        <f>E1346*P1346</f>
        <v/>
      </c>
      <c r="R1346" s="141">
        <f>ROUND(Q1346*IF(AND(offer_incoterms="DDP",seller_region="RU"),IF((TODAY()+offer_turnaround_time)&gt;=helpsheet!$L$17,rate_vatRU_from_26,rate_vatRu_till_25),0),2)</f>
        <v/>
      </c>
      <c r="S1346" s="177">
        <f>Q1346+IF(AND(offer_incoterms="DDP",seller_region="RU"),R1346,0)</f>
        <v/>
      </c>
      <c r="T1346" s="45" t="n"/>
      <c r="V1346" s="57">
        <f>IF(Q1346&gt;0,"показать","скрыть")</f>
        <v/>
      </c>
    </row>
    <row r="1347" ht="15.75" customHeight="1">
      <c r="B1347" s="809" t="n">
        <v>1331</v>
      </c>
      <c r="C1347" s="182">
        <f>IF(offer_sale_type="транзит",IFERROR(VLOOKUP($B1347,calc_data,C$14+1,0),0),0)</f>
        <v/>
      </c>
      <c r="D1347" s="280">
        <f>IF(offer_sale_type="транзит",IFERROR(VLOOKUP($B1347,calc_data,D$14+1,0),0),0)</f>
        <v/>
      </c>
      <c r="E1347" s="182">
        <f>IF(offer_sale_type="транзит",IFERROR(VLOOKUP($B1347,calc_data,E$14+1,0),0),0)</f>
        <v/>
      </c>
      <c r="F1347" s="182">
        <f>IF(offer_sale_type="транзит",IFERROR(VLOOKUP($B1347,calc_data,F$14+1,0),0),0)</f>
        <v/>
      </c>
      <c r="G1347" s="141">
        <f>IF(offer_sale_type="транзит",IFERROR(VLOOKUP($B1347,calc_data,G$14+1,0),0),0)</f>
        <v/>
      </c>
      <c r="H1347" s="141">
        <f>E1347*G1347</f>
        <v/>
      </c>
      <c r="I1347" s="141">
        <f>IF(offer_sale_type="транзит",IFERROR(ROUND(VLOOKUP($B1347,calc_data,I$14+1,0),2),0),0)</f>
        <v/>
      </c>
      <c r="J1347" s="141">
        <f>ROUND(IF(offer_sale_type="транзит",IFERROR(VLOOKUP($B1347,calc_data,J$14+1,0),0),0),2)</f>
        <v/>
      </c>
      <c r="K1347" s="142">
        <f>IF(offer_sale_type="транзит",IFERROR(ROUNDUP(VLOOKUP($B1347,calc_data,K$14+1,0),2),0),0)</f>
        <v/>
      </c>
      <c r="L1347" s="184">
        <f>IF(offer_sale_type="транзит",IFERROR(ROUNDUP(VLOOKUP($B1347,calc_data,L$14+1,0),2),0),0)</f>
        <v/>
      </c>
      <c r="M1347" s="141">
        <f>IF(offer_sale_type="транзит",IFERROR(ROUNDUP(VLOOKUP($B1347,calc_data,M$14+1,0),2),0),0)</f>
        <v/>
      </c>
      <c r="N1347" s="141">
        <f>IF(offer_sale_type="транзит",IFERROR(ROUNDUP(VLOOKUP($B1347,calc_data,N$14+1,0),2),0),0)</f>
        <v/>
      </c>
      <c r="O1347" s="147">
        <f>IF(offer_sale_type="транзит",IFERROR(ROUND(VLOOKUP($B1347,calc_data,O$14+1,1),2),0),0)</f>
        <v/>
      </c>
      <c r="P1347" s="141">
        <f>IF(offer_sale_type="транзит",IFERROR(ROUND(SUM(I1347:J1347,M1347:O1347)/E1347,2),0),0)</f>
        <v/>
      </c>
      <c r="Q1347" s="141">
        <f>E1347*P1347</f>
        <v/>
      </c>
      <c r="R1347" s="141">
        <f>ROUND(Q1347*IF(AND(offer_incoterms="DDP",seller_region="RU"),IF((TODAY()+offer_turnaround_time)&gt;=helpsheet!$L$17,rate_vatRU_from_26,rate_vatRu_till_25),0),2)</f>
        <v/>
      </c>
      <c r="S1347" s="177">
        <f>Q1347+IF(AND(offer_incoterms="DDP",seller_region="RU"),R1347,0)</f>
        <v/>
      </c>
      <c r="T1347" s="45" t="n"/>
      <c r="V1347" s="57">
        <f>IF(Q1347&gt;0,"показать","скрыть")</f>
        <v/>
      </c>
    </row>
    <row r="1348" ht="15.75" customHeight="1">
      <c r="B1348" s="809" t="n">
        <v>1332</v>
      </c>
      <c r="C1348" s="182">
        <f>IF(offer_sale_type="транзит",IFERROR(VLOOKUP($B1348,calc_data,C$14+1,0),0),0)</f>
        <v/>
      </c>
      <c r="D1348" s="280">
        <f>IF(offer_sale_type="транзит",IFERROR(VLOOKUP($B1348,calc_data,D$14+1,0),0),0)</f>
        <v/>
      </c>
      <c r="E1348" s="182">
        <f>IF(offer_sale_type="транзит",IFERROR(VLOOKUP($B1348,calc_data,E$14+1,0),0),0)</f>
        <v/>
      </c>
      <c r="F1348" s="182">
        <f>IF(offer_sale_type="транзит",IFERROR(VLOOKUP($B1348,calc_data,F$14+1,0),0),0)</f>
        <v/>
      </c>
      <c r="G1348" s="141">
        <f>IF(offer_sale_type="транзит",IFERROR(VLOOKUP($B1348,calc_data,G$14+1,0),0),0)</f>
        <v/>
      </c>
      <c r="H1348" s="141">
        <f>E1348*G1348</f>
        <v/>
      </c>
      <c r="I1348" s="141">
        <f>IF(offer_sale_type="транзит",IFERROR(ROUND(VLOOKUP($B1348,calc_data,I$14+1,0),2),0),0)</f>
        <v/>
      </c>
      <c r="J1348" s="141">
        <f>ROUND(IF(offer_sale_type="транзит",IFERROR(VLOOKUP($B1348,calc_data,J$14+1,0),0),0),2)</f>
        <v/>
      </c>
      <c r="K1348" s="142">
        <f>IF(offer_sale_type="транзит",IFERROR(ROUNDUP(VLOOKUP($B1348,calc_data,K$14+1,0),2),0),0)</f>
        <v/>
      </c>
      <c r="L1348" s="184">
        <f>IF(offer_sale_type="транзит",IFERROR(ROUNDUP(VLOOKUP($B1348,calc_data,L$14+1,0),2),0),0)</f>
        <v/>
      </c>
      <c r="M1348" s="141">
        <f>IF(offer_sale_type="транзит",IFERROR(ROUNDUP(VLOOKUP($B1348,calc_data,M$14+1,0),2),0),0)</f>
        <v/>
      </c>
      <c r="N1348" s="141">
        <f>IF(offer_sale_type="транзит",IFERROR(ROUNDUP(VLOOKUP($B1348,calc_data,N$14+1,0),2),0),0)</f>
        <v/>
      </c>
      <c r="O1348" s="147">
        <f>IF(offer_sale_type="транзит",IFERROR(ROUND(VLOOKUP($B1348,calc_data,O$14+1,1),2),0),0)</f>
        <v/>
      </c>
      <c r="P1348" s="141">
        <f>IF(offer_sale_type="транзит",IFERROR(ROUND(SUM(I1348:J1348,M1348:O1348)/E1348,2),0),0)</f>
        <v/>
      </c>
      <c r="Q1348" s="141">
        <f>E1348*P1348</f>
        <v/>
      </c>
      <c r="R1348" s="141">
        <f>ROUND(Q1348*IF(AND(offer_incoterms="DDP",seller_region="RU"),IF((TODAY()+offer_turnaround_time)&gt;=helpsheet!$L$17,rate_vatRU_from_26,rate_vatRu_till_25),0),2)</f>
        <v/>
      </c>
      <c r="S1348" s="177">
        <f>Q1348+IF(AND(offer_incoterms="DDP",seller_region="RU"),R1348,0)</f>
        <v/>
      </c>
      <c r="T1348" s="45" t="n"/>
      <c r="V1348" s="57">
        <f>IF(Q1348&gt;0,"показать","скрыть")</f>
        <v/>
      </c>
    </row>
    <row r="1349" ht="15.75" customHeight="1">
      <c r="B1349" s="809" t="n">
        <v>1333</v>
      </c>
      <c r="C1349" s="182">
        <f>IF(offer_sale_type="транзит",IFERROR(VLOOKUP($B1349,calc_data,C$14+1,0),0),0)</f>
        <v/>
      </c>
      <c r="D1349" s="280">
        <f>IF(offer_sale_type="транзит",IFERROR(VLOOKUP($B1349,calc_data,D$14+1,0),0),0)</f>
        <v/>
      </c>
      <c r="E1349" s="182">
        <f>IF(offer_sale_type="транзит",IFERROR(VLOOKUP($B1349,calc_data,E$14+1,0),0),0)</f>
        <v/>
      </c>
      <c r="F1349" s="182">
        <f>IF(offer_sale_type="транзит",IFERROR(VLOOKUP($B1349,calc_data,F$14+1,0),0),0)</f>
        <v/>
      </c>
      <c r="G1349" s="141">
        <f>IF(offer_sale_type="транзит",IFERROR(VLOOKUP($B1349,calc_data,G$14+1,0),0),0)</f>
        <v/>
      </c>
      <c r="H1349" s="141">
        <f>E1349*G1349</f>
        <v/>
      </c>
      <c r="I1349" s="141">
        <f>IF(offer_sale_type="транзит",IFERROR(ROUND(VLOOKUP($B1349,calc_data,I$14+1,0),2),0),0)</f>
        <v/>
      </c>
      <c r="J1349" s="141">
        <f>ROUND(IF(offer_sale_type="транзит",IFERROR(VLOOKUP($B1349,calc_data,J$14+1,0),0),0),2)</f>
        <v/>
      </c>
      <c r="K1349" s="142">
        <f>IF(offer_sale_type="транзит",IFERROR(ROUNDUP(VLOOKUP($B1349,calc_data,K$14+1,0),2),0),0)</f>
        <v/>
      </c>
      <c r="L1349" s="184">
        <f>IF(offer_sale_type="транзит",IFERROR(ROUNDUP(VLOOKUP($B1349,calc_data,L$14+1,0),2),0),0)</f>
        <v/>
      </c>
      <c r="M1349" s="141">
        <f>IF(offer_sale_type="транзит",IFERROR(ROUNDUP(VLOOKUP($B1349,calc_data,M$14+1,0),2),0),0)</f>
        <v/>
      </c>
      <c r="N1349" s="141">
        <f>IF(offer_sale_type="транзит",IFERROR(ROUNDUP(VLOOKUP($B1349,calc_data,N$14+1,0),2),0),0)</f>
        <v/>
      </c>
      <c r="O1349" s="147">
        <f>IF(offer_sale_type="транзит",IFERROR(ROUND(VLOOKUP($B1349,calc_data,O$14+1,1),2),0),0)</f>
        <v/>
      </c>
      <c r="P1349" s="141">
        <f>IF(offer_sale_type="транзит",IFERROR(ROUND(SUM(I1349:J1349,M1349:O1349)/E1349,2),0),0)</f>
        <v/>
      </c>
      <c r="Q1349" s="141">
        <f>E1349*P1349</f>
        <v/>
      </c>
      <c r="R1349" s="141">
        <f>ROUND(Q1349*IF(AND(offer_incoterms="DDP",seller_region="RU"),IF((TODAY()+offer_turnaround_time)&gt;=helpsheet!$L$17,rate_vatRU_from_26,rate_vatRu_till_25),0),2)</f>
        <v/>
      </c>
      <c r="S1349" s="177">
        <f>Q1349+IF(AND(offer_incoterms="DDP",seller_region="RU"),R1349,0)</f>
        <v/>
      </c>
      <c r="T1349" s="45" t="n"/>
      <c r="V1349" s="57">
        <f>IF(Q1349&gt;0,"показать","скрыть")</f>
        <v/>
      </c>
    </row>
    <row r="1350" ht="15.75" customHeight="1">
      <c r="B1350" s="809" t="n">
        <v>1334</v>
      </c>
      <c r="C1350" s="182">
        <f>IF(offer_sale_type="транзит",IFERROR(VLOOKUP($B1350,calc_data,C$14+1,0),0),0)</f>
        <v/>
      </c>
      <c r="D1350" s="280">
        <f>IF(offer_sale_type="транзит",IFERROR(VLOOKUP($B1350,calc_data,D$14+1,0),0),0)</f>
        <v/>
      </c>
      <c r="E1350" s="182">
        <f>IF(offer_sale_type="транзит",IFERROR(VLOOKUP($B1350,calc_data,E$14+1,0),0),0)</f>
        <v/>
      </c>
      <c r="F1350" s="182">
        <f>IF(offer_sale_type="транзит",IFERROR(VLOOKUP($B1350,calc_data,F$14+1,0),0),0)</f>
        <v/>
      </c>
      <c r="G1350" s="141">
        <f>IF(offer_sale_type="транзит",IFERROR(VLOOKUP($B1350,calc_data,G$14+1,0),0),0)</f>
        <v/>
      </c>
      <c r="H1350" s="141">
        <f>E1350*G1350</f>
        <v/>
      </c>
      <c r="I1350" s="141">
        <f>IF(offer_sale_type="транзит",IFERROR(ROUND(VLOOKUP($B1350,calc_data,I$14+1,0),2),0),0)</f>
        <v/>
      </c>
      <c r="J1350" s="141">
        <f>ROUND(IF(offer_sale_type="транзит",IFERROR(VLOOKUP($B1350,calc_data,J$14+1,0),0),0),2)</f>
        <v/>
      </c>
      <c r="K1350" s="142">
        <f>IF(offer_sale_type="транзит",IFERROR(ROUNDUP(VLOOKUP($B1350,calc_data,K$14+1,0),2),0),0)</f>
        <v/>
      </c>
      <c r="L1350" s="184">
        <f>IF(offer_sale_type="транзит",IFERROR(ROUNDUP(VLOOKUP($B1350,calc_data,L$14+1,0),2),0),0)</f>
        <v/>
      </c>
      <c r="M1350" s="141">
        <f>IF(offer_sale_type="транзит",IFERROR(ROUNDUP(VLOOKUP($B1350,calc_data,M$14+1,0),2),0),0)</f>
        <v/>
      </c>
      <c r="N1350" s="141">
        <f>IF(offer_sale_type="транзит",IFERROR(ROUNDUP(VLOOKUP($B1350,calc_data,N$14+1,0),2),0),0)</f>
        <v/>
      </c>
      <c r="O1350" s="147">
        <f>IF(offer_sale_type="транзит",IFERROR(ROUND(VLOOKUP($B1350,calc_data,O$14+1,1),2),0),0)</f>
        <v/>
      </c>
      <c r="P1350" s="141">
        <f>IF(offer_sale_type="транзит",IFERROR(ROUND(SUM(I1350:J1350,M1350:O1350)/E1350,2),0),0)</f>
        <v/>
      </c>
      <c r="Q1350" s="141">
        <f>E1350*P1350</f>
        <v/>
      </c>
      <c r="R1350" s="141">
        <f>ROUND(Q1350*IF(AND(offer_incoterms="DDP",seller_region="RU"),IF((TODAY()+offer_turnaround_time)&gt;=helpsheet!$L$17,rate_vatRU_from_26,rate_vatRu_till_25),0),2)</f>
        <v/>
      </c>
      <c r="S1350" s="177">
        <f>Q1350+IF(AND(offer_incoterms="DDP",seller_region="RU"),R1350,0)</f>
        <v/>
      </c>
      <c r="T1350" s="45" t="n"/>
      <c r="V1350" s="57">
        <f>IF(Q1350&gt;0,"показать","скрыть")</f>
        <v/>
      </c>
    </row>
    <row r="1351" ht="15.75" customHeight="1">
      <c r="B1351" s="809" t="n">
        <v>1335</v>
      </c>
      <c r="C1351" s="182">
        <f>IF(offer_sale_type="транзит",IFERROR(VLOOKUP($B1351,calc_data,C$14+1,0),0),0)</f>
        <v/>
      </c>
      <c r="D1351" s="280">
        <f>IF(offer_sale_type="транзит",IFERROR(VLOOKUP($B1351,calc_data,D$14+1,0),0),0)</f>
        <v/>
      </c>
      <c r="E1351" s="182">
        <f>IF(offer_sale_type="транзит",IFERROR(VLOOKUP($B1351,calc_data,E$14+1,0),0),0)</f>
        <v/>
      </c>
      <c r="F1351" s="182">
        <f>IF(offer_sale_type="транзит",IFERROR(VLOOKUP($B1351,calc_data,F$14+1,0),0),0)</f>
        <v/>
      </c>
      <c r="G1351" s="141">
        <f>IF(offer_sale_type="транзит",IFERROR(VLOOKUP($B1351,calc_data,G$14+1,0),0),0)</f>
        <v/>
      </c>
      <c r="H1351" s="141">
        <f>E1351*G1351</f>
        <v/>
      </c>
      <c r="I1351" s="141">
        <f>IF(offer_sale_type="транзит",IFERROR(ROUND(VLOOKUP($B1351,calc_data,I$14+1,0),2),0),0)</f>
        <v/>
      </c>
      <c r="J1351" s="141">
        <f>ROUND(IF(offer_sale_type="транзит",IFERROR(VLOOKUP($B1351,calc_data,J$14+1,0),0),0),2)</f>
        <v/>
      </c>
      <c r="K1351" s="142">
        <f>IF(offer_sale_type="транзит",IFERROR(ROUNDUP(VLOOKUP($B1351,calc_data,K$14+1,0),2),0),0)</f>
        <v/>
      </c>
      <c r="L1351" s="184">
        <f>IF(offer_sale_type="транзит",IFERROR(ROUNDUP(VLOOKUP($B1351,calc_data,L$14+1,0),2),0),0)</f>
        <v/>
      </c>
      <c r="M1351" s="141">
        <f>IF(offer_sale_type="транзит",IFERROR(ROUNDUP(VLOOKUP($B1351,calc_data,M$14+1,0),2),0),0)</f>
        <v/>
      </c>
      <c r="N1351" s="141">
        <f>IF(offer_sale_type="транзит",IFERROR(ROUNDUP(VLOOKUP($B1351,calc_data,N$14+1,0),2),0),0)</f>
        <v/>
      </c>
      <c r="O1351" s="147">
        <f>IF(offer_sale_type="транзит",IFERROR(ROUND(VLOOKUP($B1351,calc_data,O$14+1,1),2),0),0)</f>
        <v/>
      </c>
      <c r="P1351" s="141">
        <f>IF(offer_sale_type="транзит",IFERROR(ROUND(SUM(I1351:J1351,M1351:O1351)/E1351,2),0),0)</f>
        <v/>
      </c>
      <c r="Q1351" s="141">
        <f>E1351*P1351</f>
        <v/>
      </c>
      <c r="R1351" s="141">
        <f>ROUND(Q1351*IF(AND(offer_incoterms="DDP",seller_region="RU"),IF((TODAY()+offer_turnaround_time)&gt;=helpsheet!$L$17,rate_vatRU_from_26,rate_vatRu_till_25),0),2)</f>
        <v/>
      </c>
      <c r="S1351" s="177">
        <f>Q1351+IF(AND(offer_incoterms="DDP",seller_region="RU"),R1351,0)</f>
        <v/>
      </c>
      <c r="T1351" s="45" t="n"/>
      <c r="V1351" s="57">
        <f>IF(Q1351&gt;0,"показать","скрыть")</f>
        <v/>
      </c>
    </row>
    <row r="1352" ht="15.75" customHeight="1">
      <c r="B1352" s="809" t="n">
        <v>1336</v>
      </c>
      <c r="C1352" s="182">
        <f>IF(offer_sale_type="транзит",IFERROR(VLOOKUP($B1352,calc_data,C$14+1,0),0),0)</f>
        <v/>
      </c>
      <c r="D1352" s="280">
        <f>IF(offer_sale_type="транзит",IFERROR(VLOOKUP($B1352,calc_data,D$14+1,0),0),0)</f>
        <v/>
      </c>
      <c r="E1352" s="182">
        <f>IF(offer_sale_type="транзит",IFERROR(VLOOKUP($B1352,calc_data,E$14+1,0),0),0)</f>
        <v/>
      </c>
      <c r="F1352" s="182">
        <f>IF(offer_sale_type="транзит",IFERROR(VLOOKUP($B1352,calc_data,F$14+1,0),0),0)</f>
        <v/>
      </c>
      <c r="G1352" s="141">
        <f>IF(offer_sale_type="транзит",IFERROR(VLOOKUP($B1352,calc_data,G$14+1,0),0),0)</f>
        <v/>
      </c>
      <c r="H1352" s="141">
        <f>E1352*G1352</f>
        <v/>
      </c>
      <c r="I1352" s="141">
        <f>IF(offer_sale_type="транзит",IFERROR(ROUND(VLOOKUP($B1352,calc_data,I$14+1,0),2),0),0)</f>
        <v/>
      </c>
      <c r="J1352" s="141">
        <f>ROUND(IF(offer_sale_type="транзит",IFERROR(VLOOKUP($B1352,calc_data,J$14+1,0),0),0),2)</f>
        <v/>
      </c>
      <c r="K1352" s="142">
        <f>IF(offer_sale_type="транзит",IFERROR(ROUNDUP(VLOOKUP($B1352,calc_data,K$14+1,0),2),0),0)</f>
        <v/>
      </c>
      <c r="L1352" s="184">
        <f>IF(offer_sale_type="транзит",IFERROR(ROUNDUP(VLOOKUP($B1352,calc_data,L$14+1,0),2),0),0)</f>
        <v/>
      </c>
      <c r="M1352" s="141">
        <f>IF(offer_sale_type="транзит",IFERROR(ROUNDUP(VLOOKUP($B1352,calc_data,M$14+1,0),2),0),0)</f>
        <v/>
      </c>
      <c r="N1352" s="141">
        <f>IF(offer_sale_type="транзит",IFERROR(ROUNDUP(VLOOKUP($B1352,calc_data,N$14+1,0),2),0),0)</f>
        <v/>
      </c>
      <c r="O1352" s="147">
        <f>IF(offer_sale_type="транзит",IFERROR(ROUND(VLOOKUP($B1352,calc_data,O$14+1,1),2),0),0)</f>
        <v/>
      </c>
      <c r="P1352" s="141">
        <f>IF(offer_sale_type="транзит",IFERROR(ROUND(SUM(I1352:J1352,M1352:O1352)/E1352,2),0),0)</f>
        <v/>
      </c>
      <c r="Q1352" s="141">
        <f>E1352*P1352</f>
        <v/>
      </c>
      <c r="R1352" s="141">
        <f>ROUND(Q1352*IF(AND(offer_incoterms="DDP",seller_region="RU"),IF((TODAY()+offer_turnaround_time)&gt;=helpsheet!$L$17,rate_vatRU_from_26,rate_vatRu_till_25),0),2)</f>
        <v/>
      </c>
      <c r="S1352" s="177">
        <f>Q1352+IF(AND(offer_incoterms="DDP",seller_region="RU"),R1352,0)</f>
        <v/>
      </c>
      <c r="T1352" s="45" t="n"/>
      <c r="V1352" s="57">
        <f>IF(Q1352&gt;0,"показать","скрыть")</f>
        <v/>
      </c>
    </row>
    <row r="1353" ht="15.75" customHeight="1">
      <c r="B1353" s="809" t="n">
        <v>1337</v>
      </c>
      <c r="C1353" s="182">
        <f>IF(offer_sale_type="транзит",IFERROR(VLOOKUP($B1353,calc_data,C$14+1,0),0),0)</f>
        <v/>
      </c>
      <c r="D1353" s="280">
        <f>IF(offer_sale_type="транзит",IFERROR(VLOOKUP($B1353,calc_data,D$14+1,0),0),0)</f>
        <v/>
      </c>
      <c r="E1353" s="182">
        <f>IF(offer_sale_type="транзит",IFERROR(VLOOKUP($B1353,calc_data,E$14+1,0),0),0)</f>
        <v/>
      </c>
      <c r="F1353" s="182">
        <f>IF(offer_sale_type="транзит",IFERROR(VLOOKUP($B1353,calc_data,F$14+1,0),0),0)</f>
        <v/>
      </c>
      <c r="G1353" s="141">
        <f>IF(offer_sale_type="транзит",IFERROR(VLOOKUP($B1353,calc_data,G$14+1,0),0),0)</f>
        <v/>
      </c>
      <c r="H1353" s="141">
        <f>E1353*G1353</f>
        <v/>
      </c>
      <c r="I1353" s="141">
        <f>IF(offer_sale_type="транзит",IFERROR(ROUND(VLOOKUP($B1353,calc_data,I$14+1,0),2),0),0)</f>
        <v/>
      </c>
      <c r="J1353" s="141">
        <f>ROUND(IF(offer_sale_type="транзит",IFERROR(VLOOKUP($B1353,calc_data,J$14+1,0),0),0),2)</f>
        <v/>
      </c>
      <c r="K1353" s="142">
        <f>IF(offer_sale_type="транзит",IFERROR(ROUNDUP(VLOOKUP($B1353,calc_data,K$14+1,0),2),0),0)</f>
        <v/>
      </c>
      <c r="L1353" s="184">
        <f>IF(offer_sale_type="транзит",IFERROR(ROUNDUP(VLOOKUP($B1353,calc_data,L$14+1,0),2),0),0)</f>
        <v/>
      </c>
      <c r="M1353" s="141">
        <f>IF(offer_sale_type="транзит",IFERROR(ROUNDUP(VLOOKUP($B1353,calc_data,M$14+1,0),2),0),0)</f>
        <v/>
      </c>
      <c r="N1353" s="141">
        <f>IF(offer_sale_type="транзит",IFERROR(ROUNDUP(VLOOKUP($B1353,calc_data,N$14+1,0),2),0),0)</f>
        <v/>
      </c>
      <c r="O1353" s="147">
        <f>IF(offer_sale_type="транзит",IFERROR(ROUND(VLOOKUP($B1353,calc_data,O$14+1,1),2),0),0)</f>
        <v/>
      </c>
      <c r="P1353" s="141">
        <f>IF(offer_sale_type="транзит",IFERROR(ROUND(SUM(I1353:J1353,M1353:O1353)/E1353,2),0),0)</f>
        <v/>
      </c>
      <c r="Q1353" s="141">
        <f>E1353*P1353</f>
        <v/>
      </c>
      <c r="R1353" s="141">
        <f>ROUND(Q1353*IF(AND(offer_incoterms="DDP",seller_region="RU"),IF((TODAY()+offer_turnaround_time)&gt;=helpsheet!$L$17,rate_vatRU_from_26,rate_vatRu_till_25),0),2)</f>
        <v/>
      </c>
      <c r="S1353" s="177">
        <f>Q1353+IF(AND(offer_incoterms="DDP",seller_region="RU"),R1353,0)</f>
        <v/>
      </c>
      <c r="T1353" s="45" t="n"/>
      <c r="V1353" s="57">
        <f>IF(Q1353&gt;0,"показать","скрыть")</f>
        <v/>
      </c>
    </row>
    <row r="1354" ht="15.75" customHeight="1">
      <c r="B1354" s="809" t="n">
        <v>1338</v>
      </c>
      <c r="C1354" s="182">
        <f>IF(offer_sale_type="транзит",IFERROR(VLOOKUP($B1354,calc_data,C$14+1,0),0),0)</f>
        <v/>
      </c>
      <c r="D1354" s="280">
        <f>IF(offer_sale_type="транзит",IFERROR(VLOOKUP($B1354,calc_data,D$14+1,0),0),0)</f>
        <v/>
      </c>
      <c r="E1354" s="182">
        <f>IF(offer_sale_type="транзит",IFERROR(VLOOKUP($B1354,calc_data,E$14+1,0),0),0)</f>
        <v/>
      </c>
      <c r="F1354" s="182">
        <f>IF(offer_sale_type="транзит",IFERROR(VLOOKUP($B1354,calc_data,F$14+1,0),0),0)</f>
        <v/>
      </c>
      <c r="G1354" s="141">
        <f>IF(offer_sale_type="транзит",IFERROR(VLOOKUP($B1354,calc_data,G$14+1,0),0),0)</f>
        <v/>
      </c>
      <c r="H1354" s="141">
        <f>E1354*G1354</f>
        <v/>
      </c>
      <c r="I1354" s="141">
        <f>IF(offer_sale_type="транзит",IFERROR(ROUND(VLOOKUP($B1354,calc_data,I$14+1,0),2),0),0)</f>
        <v/>
      </c>
      <c r="J1354" s="141">
        <f>ROUND(IF(offer_sale_type="транзит",IFERROR(VLOOKUP($B1354,calc_data,J$14+1,0),0),0),2)</f>
        <v/>
      </c>
      <c r="K1354" s="142">
        <f>IF(offer_sale_type="транзит",IFERROR(ROUNDUP(VLOOKUP($B1354,calc_data,K$14+1,0),2),0),0)</f>
        <v/>
      </c>
      <c r="L1354" s="184">
        <f>IF(offer_sale_type="транзит",IFERROR(ROUNDUP(VLOOKUP($B1354,calc_data,L$14+1,0),2),0),0)</f>
        <v/>
      </c>
      <c r="M1354" s="141">
        <f>IF(offer_sale_type="транзит",IFERROR(ROUNDUP(VLOOKUP($B1354,calc_data,M$14+1,0),2),0),0)</f>
        <v/>
      </c>
      <c r="N1354" s="141">
        <f>IF(offer_sale_type="транзит",IFERROR(ROUNDUP(VLOOKUP($B1354,calc_data,N$14+1,0),2),0),0)</f>
        <v/>
      </c>
      <c r="O1354" s="147">
        <f>IF(offer_sale_type="транзит",IFERROR(ROUND(VLOOKUP($B1354,calc_data,O$14+1,1),2),0),0)</f>
        <v/>
      </c>
      <c r="P1354" s="141">
        <f>IF(offer_sale_type="транзит",IFERROR(ROUND(SUM(I1354:J1354,M1354:O1354)/E1354,2),0),0)</f>
        <v/>
      </c>
      <c r="Q1354" s="141">
        <f>E1354*P1354</f>
        <v/>
      </c>
      <c r="R1354" s="141">
        <f>ROUND(Q1354*IF(AND(offer_incoterms="DDP",seller_region="RU"),IF((TODAY()+offer_turnaround_time)&gt;=helpsheet!$L$17,rate_vatRU_from_26,rate_vatRu_till_25),0),2)</f>
        <v/>
      </c>
      <c r="S1354" s="177">
        <f>Q1354+IF(AND(offer_incoterms="DDP",seller_region="RU"),R1354,0)</f>
        <v/>
      </c>
      <c r="T1354" s="45" t="n"/>
      <c r="V1354" s="57">
        <f>IF(Q1354&gt;0,"показать","скрыть")</f>
        <v/>
      </c>
    </row>
    <row r="1355" ht="15.75" customHeight="1">
      <c r="B1355" s="809" t="n">
        <v>1339</v>
      </c>
      <c r="C1355" s="182">
        <f>IF(offer_sale_type="транзит",IFERROR(VLOOKUP($B1355,calc_data,C$14+1,0),0),0)</f>
        <v/>
      </c>
      <c r="D1355" s="280">
        <f>IF(offer_sale_type="транзит",IFERROR(VLOOKUP($B1355,calc_data,D$14+1,0),0),0)</f>
        <v/>
      </c>
      <c r="E1355" s="182">
        <f>IF(offer_sale_type="транзит",IFERROR(VLOOKUP($B1355,calc_data,E$14+1,0),0),0)</f>
        <v/>
      </c>
      <c r="F1355" s="182">
        <f>IF(offer_sale_type="транзит",IFERROR(VLOOKUP($B1355,calc_data,F$14+1,0),0),0)</f>
        <v/>
      </c>
      <c r="G1355" s="141">
        <f>IF(offer_sale_type="транзит",IFERROR(VLOOKUP($B1355,calc_data,G$14+1,0),0),0)</f>
        <v/>
      </c>
      <c r="H1355" s="141">
        <f>E1355*G1355</f>
        <v/>
      </c>
      <c r="I1355" s="141">
        <f>IF(offer_sale_type="транзит",IFERROR(ROUND(VLOOKUP($B1355,calc_data,I$14+1,0),2),0),0)</f>
        <v/>
      </c>
      <c r="J1355" s="141">
        <f>ROUND(IF(offer_sale_type="транзит",IFERROR(VLOOKUP($B1355,calc_data,J$14+1,0),0),0),2)</f>
        <v/>
      </c>
      <c r="K1355" s="142">
        <f>IF(offer_sale_type="транзит",IFERROR(ROUNDUP(VLOOKUP($B1355,calc_data,K$14+1,0),2),0),0)</f>
        <v/>
      </c>
      <c r="L1355" s="184">
        <f>IF(offer_sale_type="транзит",IFERROR(ROUNDUP(VLOOKUP($B1355,calc_data,L$14+1,0),2),0),0)</f>
        <v/>
      </c>
      <c r="M1355" s="141">
        <f>IF(offer_sale_type="транзит",IFERROR(ROUNDUP(VLOOKUP($B1355,calc_data,M$14+1,0),2),0),0)</f>
        <v/>
      </c>
      <c r="N1355" s="141">
        <f>IF(offer_sale_type="транзит",IFERROR(ROUNDUP(VLOOKUP($B1355,calc_data,N$14+1,0),2),0),0)</f>
        <v/>
      </c>
      <c r="O1355" s="147">
        <f>IF(offer_sale_type="транзит",IFERROR(ROUND(VLOOKUP($B1355,calc_data,O$14+1,1),2),0),0)</f>
        <v/>
      </c>
      <c r="P1355" s="141">
        <f>IF(offer_sale_type="транзит",IFERROR(ROUND(SUM(I1355:J1355,M1355:O1355)/E1355,2),0),0)</f>
        <v/>
      </c>
      <c r="Q1355" s="141">
        <f>E1355*P1355</f>
        <v/>
      </c>
      <c r="R1355" s="141">
        <f>ROUND(Q1355*IF(AND(offer_incoterms="DDP",seller_region="RU"),IF((TODAY()+offer_turnaround_time)&gt;=helpsheet!$L$17,rate_vatRU_from_26,rate_vatRu_till_25),0),2)</f>
        <v/>
      </c>
      <c r="S1355" s="177">
        <f>Q1355+IF(AND(offer_incoterms="DDP",seller_region="RU"),R1355,0)</f>
        <v/>
      </c>
      <c r="T1355" s="45" t="n"/>
      <c r="V1355" s="57">
        <f>IF(Q1355&gt;0,"показать","скрыть")</f>
        <v/>
      </c>
    </row>
    <row r="1356" ht="15.75" customHeight="1">
      <c r="B1356" s="809" t="n">
        <v>1340</v>
      </c>
      <c r="C1356" s="182">
        <f>IF(offer_sale_type="транзит",IFERROR(VLOOKUP($B1356,calc_data,C$14+1,0),0),0)</f>
        <v/>
      </c>
      <c r="D1356" s="280">
        <f>IF(offer_sale_type="транзит",IFERROR(VLOOKUP($B1356,calc_data,D$14+1,0),0),0)</f>
        <v/>
      </c>
      <c r="E1356" s="182">
        <f>IF(offer_sale_type="транзит",IFERROR(VLOOKUP($B1356,calc_data,E$14+1,0),0),0)</f>
        <v/>
      </c>
      <c r="F1356" s="182">
        <f>IF(offer_sale_type="транзит",IFERROR(VLOOKUP($B1356,calc_data,F$14+1,0),0),0)</f>
        <v/>
      </c>
      <c r="G1356" s="141">
        <f>IF(offer_sale_type="транзит",IFERROR(VLOOKUP($B1356,calc_data,G$14+1,0),0),0)</f>
        <v/>
      </c>
      <c r="H1356" s="141">
        <f>E1356*G1356</f>
        <v/>
      </c>
      <c r="I1356" s="141">
        <f>IF(offer_sale_type="транзит",IFERROR(ROUND(VLOOKUP($B1356,calc_data,I$14+1,0),2),0),0)</f>
        <v/>
      </c>
      <c r="J1356" s="141">
        <f>ROUND(IF(offer_sale_type="транзит",IFERROR(VLOOKUP($B1356,calc_data,J$14+1,0),0),0),2)</f>
        <v/>
      </c>
      <c r="K1356" s="142">
        <f>IF(offer_sale_type="транзит",IFERROR(ROUNDUP(VLOOKUP($B1356,calc_data,K$14+1,0),2),0),0)</f>
        <v/>
      </c>
      <c r="L1356" s="184">
        <f>IF(offer_sale_type="транзит",IFERROR(ROUNDUP(VLOOKUP($B1356,calc_data,L$14+1,0),2),0),0)</f>
        <v/>
      </c>
      <c r="M1356" s="141">
        <f>IF(offer_sale_type="транзит",IFERROR(ROUNDUP(VLOOKUP($B1356,calc_data,M$14+1,0),2),0),0)</f>
        <v/>
      </c>
      <c r="N1356" s="141">
        <f>IF(offer_sale_type="транзит",IFERROR(ROUNDUP(VLOOKUP($B1356,calc_data,N$14+1,0),2),0),0)</f>
        <v/>
      </c>
      <c r="O1356" s="147">
        <f>IF(offer_sale_type="транзит",IFERROR(ROUND(VLOOKUP($B1356,calc_data,O$14+1,1),2),0),0)</f>
        <v/>
      </c>
      <c r="P1356" s="141">
        <f>IF(offer_sale_type="транзит",IFERROR(ROUND(SUM(I1356:J1356,M1356:O1356)/E1356,2),0),0)</f>
        <v/>
      </c>
      <c r="Q1356" s="141">
        <f>E1356*P1356</f>
        <v/>
      </c>
      <c r="R1356" s="141">
        <f>ROUND(Q1356*IF(AND(offer_incoterms="DDP",seller_region="RU"),IF((TODAY()+offer_turnaround_time)&gt;=helpsheet!$L$17,rate_vatRU_from_26,rate_vatRu_till_25),0),2)</f>
        <v/>
      </c>
      <c r="S1356" s="177">
        <f>Q1356+IF(AND(offer_incoterms="DDP",seller_region="RU"),R1356,0)</f>
        <v/>
      </c>
      <c r="T1356" s="45" t="n"/>
      <c r="V1356" s="57">
        <f>IF(Q1356&gt;0,"показать","скрыть")</f>
        <v/>
      </c>
    </row>
    <row r="1357" ht="15.75" customHeight="1">
      <c r="B1357" s="809" t="n">
        <v>1341</v>
      </c>
      <c r="C1357" s="182">
        <f>IF(offer_sale_type="транзит",IFERROR(VLOOKUP($B1357,calc_data,C$14+1,0),0),0)</f>
        <v/>
      </c>
      <c r="D1357" s="280">
        <f>IF(offer_sale_type="транзит",IFERROR(VLOOKUP($B1357,calc_data,D$14+1,0),0),0)</f>
        <v/>
      </c>
      <c r="E1357" s="182">
        <f>IF(offer_sale_type="транзит",IFERROR(VLOOKUP($B1357,calc_data,E$14+1,0),0),0)</f>
        <v/>
      </c>
      <c r="F1357" s="182">
        <f>IF(offer_sale_type="транзит",IFERROR(VLOOKUP($B1357,calc_data,F$14+1,0),0),0)</f>
        <v/>
      </c>
      <c r="G1357" s="141">
        <f>IF(offer_sale_type="транзит",IFERROR(VLOOKUP($B1357,calc_data,G$14+1,0),0),0)</f>
        <v/>
      </c>
      <c r="H1357" s="141">
        <f>E1357*G1357</f>
        <v/>
      </c>
      <c r="I1357" s="141">
        <f>IF(offer_sale_type="транзит",IFERROR(ROUND(VLOOKUP($B1357,calc_data,I$14+1,0),2),0),0)</f>
        <v/>
      </c>
      <c r="J1357" s="141">
        <f>ROUND(IF(offer_sale_type="транзит",IFERROR(VLOOKUP($B1357,calc_data,J$14+1,0),0),0),2)</f>
        <v/>
      </c>
      <c r="K1357" s="142">
        <f>IF(offer_sale_type="транзит",IFERROR(ROUNDUP(VLOOKUP($B1357,calc_data,K$14+1,0),2),0),0)</f>
        <v/>
      </c>
      <c r="L1357" s="184">
        <f>IF(offer_sale_type="транзит",IFERROR(ROUNDUP(VLOOKUP($B1357,calc_data,L$14+1,0),2),0),0)</f>
        <v/>
      </c>
      <c r="M1357" s="141">
        <f>IF(offer_sale_type="транзит",IFERROR(ROUNDUP(VLOOKUP($B1357,calc_data,M$14+1,0),2),0),0)</f>
        <v/>
      </c>
      <c r="N1357" s="141">
        <f>IF(offer_sale_type="транзит",IFERROR(ROUNDUP(VLOOKUP($B1357,calc_data,N$14+1,0),2),0),0)</f>
        <v/>
      </c>
      <c r="O1357" s="147">
        <f>IF(offer_sale_type="транзит",IFERROR(ROUND(VLOOKUP($B1357,calc_data,O$14+1,1),2),0),0)</f>
        <v/>
      </c>
      <c r="P1357" s="141">
        <f>IF(offer_sale_type="транзит",IFERROR(ROUND(SUM(I1357:J1357,M1357:O1357)/E1357,2),0),0)</f>
        <v/>
      </c>
      <c r="Q1357" s="141">
        <f>E1357*P1357</f>
        <v/>
      </c>
      <c r="R1357" s="141">
        <f>ROUND(Q1357*IF(AND(offer_incoterms="DDP",seller_region="RU"),IF((TODAY()+offer_turnaround_time)&gt;=helpsheet!$L$17,rate_vatRU_from_26,rate_vatRu_till_25),0),2)</f>
        <v/>
      </c>
      <c r="S1357" s="177">
        <f>Q1357+IF(AND(offer_incoterms="DDP",seller_region="RU"),R1357,0)</f>
        <v/>
      </c>
      <c r="T1357" s="45" t="n"/>
      <c r="V1357" s="57">
        <f>IF(Q1357&gt;0,"показать","скрыть")</f>
        <v/>
      </c>
    </row>
    <row r="1358" ht="15.75" customHeight="1">
      <c r="B1358" s="809" t="n">
        <v>1342</v>
      </c>
      <c r="C1358" s="182">
        <f>IF(offer_sale_type="транзит",IFERROR(VLOOKUP($B1358,calc_data,C$14+1,0),0),0)</f>
        <v/>
      </c>
      <c r="D1358" s="280">
        <f>IF(offer_sale_type="транзит",IFERROR(VLOOKUP($B1358,calc_data,D$14+1,0),0),0)</f>
        <v/>
      </c>
      <c r="E1358" s="182">
        <f>IF(offer_sale_type="транзит",IFERROR(VLOOKUP($B1358,calc_data,E$14+1,0),0),0)</f>
        <v/>
      </c>
      <c r="F1358" s="182">
        <f>IF(offer_sale_type="транзит",IFERROR(VLOOKUP($B1358,calc_data,F$14+1,0),0),0)</f>
        <v/>
      </c>
      <c r="G1358" s="141">
        <f>IF(offer_sale_type="транзит",IFERROR(VLOOKUP($B1358,calc_data,G$14+1,0),0),0)</f>
        <v/>
      </c>
      <c r="H1358" s="141">
        <f>E1358*G1358</f>
        <v/>
      </c>
      <c r="I1358" s="141">
        <f>IF(offer_sale_type="транзит",IFERROR(ROUND(VLOOKUP($B1358,calc_data,I$14+1,0),2),0),0)</f>
        <v/>
      </c>
      <c r="J1358" s="141">
        <f>ROUND(IF(offer_sale_type="транзит",IFERROR(VLOOKUP($B1358,calc_data,J$14+1,0),0),0),2)</f>
        <v/>
      </c>
      <c r="K1358" s="142">
        <f>IF(offer_sale_type="транзит",IFERROR(ROUNDUP(VLOOKUP($B1358,calc_data,K$14+1,0),2),0),0)</f>
        <v/>
      </c>
      <c r="L1358" s="184">
        <f>IF(offer_sale_type="транзит",IFERROR(ROUNDUP(VLOOKUP($B1358,calc_data,L$14+1,0),2),0),0)</f>
        <v/>
      </c>
      <c r="M1358" s="141">
        <f>IF(offer_sale_type="транзит",IFERROR(ROUNDUP(VLOOKUP($B1358,calc_data,M$14+1,0),2),0),0)</f>
        <v/>
      </c>
      <c r="N1358" s="141">
        <f>IF(offer_sale_type="транзит",IFERROR(ROUNDUP(VLOOKUP($B1358,calc_data,N$14+1,0),2),0),0)</f>
        <v/>
      </c>
      <c r="O1358" s="147">
        <f>IF(offer_sale_type="транзит",IFERROR(ROUND(VLOOKUP($B1358,calc_data,O$14+1,1),2),0),0)</f>
        <v/>
      </c>
      <c r="P1358" s="141">
        <f>IF(offer_sale_type="транзит",IFERROR(ROUND(SUM(I1358:J1358,M1358:O1358)/E1358,2),0),0)</f>
        <v/>
      </c>
      <c r="Q1358" s="141">
        <f>E1358*P1358</f>
        <v/>
      </c>
      <c r="R1358" s="141">
        <f>ROUND(Q1358*IF(AND(offer_incoterms="DDP",seller_region="RU"),IF((TODAY()+offer_turnaround_time)&gt;=helpsheet!$L$17,rate_vatRU_from_26,rate_vatRu_till_25),0),2)</f>
        <v/>
      </c>
      <c r="S1358" s="177">
        <f>Q1358+IF(AND(offer_incoterms="DDP",seller_region="RU"),R1358,0)</f>
        <v/>
      </c>
      <c r="T1358" s="45" t="n"/>
      <c r="V1358" s="57">
        <f>IF(Q1358&gt;0,"показать","скрыть")</f>
        <v/>
      </c>
    </row>
    <row r="1359" ht="15.75" customHeight="1">
      <c r="B1359" s="809" t="n">
        <v>1343</v>
      </c>
      <c r="C1359" s="182">
        <f>IF(offer_sale_type="транзит",IFERROR(VLOOKUP($B1359,calc_data,C$14+1,0),0),0)</f>
        <v/>
      </c>
      <c r="D1359" s="280">
        <f>IF(offer_sale_type="транзит",IFERROR(VLOOKUP($B1359,calc_data,D$14+1,0),0),0)</f>
        <v/>
      </c>
      <c r="E1359" s="182">
        <f>IF(offer_sale_type="транзит",IFERROR(VLOOKUP($B1359,calc_data,E$14+1,0),0),0)</f>
        <v/>
      </c>
      <c r="F1359" s="182">
        <f>IF(offer_sale_type="транзит",IFERROR(VLOOKUP($B1359,calc_data,F$14+1,0),0),0)</f>
        <v/>
      </c>
      <c r="G1359" s="141">
        <f>IF(offer_sale_type="транзит",IFERROR(VLOOKUP($B1359,calc_data,G$14+1,0),0),0)</f>
        <v/>
      </c>
      <c r="H1359" s="141">
        <f>E1359*G1359</f>
        <v/>
      </c>
      <c r="I1359" s="141">
        <f>IF(offer_sale_type="транзит",IFERROR(ROUND(VLOOKUP($B1359,calc_data,I$14+1,0),2),0),0)</f>
        <v/>
      </c>
      <c r="J1359" s="141">
        <f>ROUND(IF(offer_sale_type="транзит",IFERROR(VLOOKUP($B1359,calc_data,J$14+1,0),0),0),2)</f>
        <v/>
      </c>
      <c r="K1359" s="142">
        <f>IF(offer_sale_type="транзит",IFERROR(ROUNDUP(VLOOKUP($B1359,calc_data,K$14+1,0),2),0),0)</f>
        <v/>
      </c>
      <c r="L1359" s="184">
        <f>IF(offer_sale_type="транзит",IFERROR(ROUNDUP(VLOOKUP($B1359,calc_data,L$14+1,0),2),0),0)</f>
        <v/>
      </c>
      <c r="M1359" s="141">
        <f>IF(offer_sale_type="транзит",IFERROR(ROUNDUP(VLOOKUP($B1359,calc_data,M$14+1,0),2),0),0)</f>
        <v/>
      </c>
      <c r="N1359" s="141">
        <f>IF(offer_sale_type="транзит",IFERROR(ROUNDUP(VLOOKUP($B1359,calc_data,N$14+1,0),2),0),0)</f>
        <v/>
      </c>
      <c r="O1359" s="147">
        <f>IF(offer_sale_type="транзит",IFERROR(ROUND(VLOOKUP($B1359,calc_data,O$14+1,1),2),0),0)</f>
        <v/>
      </c>
      <c r="P1359" s="141">
        <f>IF(offer_sale_type="транзит",IFERROR(ROUND(SUM(I1359:J1359,M1359:O1359)/E1359,2),0),0)</f>
        <v/>
      </c>
      <c r="Q1359" s="141">
        <f>E1359*P1359</f>
        <v/>
      </c>
      <c r="R1359" s="141">
        <f>ROUND(Q1359*IF(AND(offer_incoterms="DDP",seller_region="RU"),IF((TODAY()+offer_turnaround_time)&gt;=helpsheet!$L$17,rate_vatRU_from_26,rate_vatRu_till_25),0),2)</f>
        <v/>
      </c>
      <c r="S1359" s="177">
        <f>Q1359+IF(AND(offer_incoterms="DDP",seller_region="RU"),R1359,0)</f>
        <v/>
      </c>
      <c r="T1359" s="45" t="n"/>
      <c r="V1359" s="57">
        <f>IF(Q1359&gt;0,"показать","скрыть")</f>
        <v/>
      </c>
    </row>
    <row r="1360" ht="15.75" customHeight="1">
      <c r="B1360" s="809" t="n">
        <v>1344</v>
      </c>
      <c r="C1360" s="182">
        <f>IF(offer_sale_type="транзит",IFERROR(VLOOKUP($B1360,calc_data,C$14+1,0),0),0)</f>
        <v/>
      </c>
      <c r="D1360" s="280">
        <f>IF(offer_sale_type="транзит",IFERROR(VLOOKUP($B1360,calc_data,D$14+1,0),0),0)</f>
        <v/>
      </c>
      <c r="E1360" s="182">
        <f>IF(offer_sale_type="транзит",IFERROR(VLOOKUP($B1360,calc_data,E$14+1,0),0),0)</f>
        <v/>
      </c>
      <c r="F1360" s="182">
        <f>IF(offer_sale_type="транзит",IFERROR(VLOOKUP($B1360,calc_data,F$14+1,0),0),0)</f>
        <v/>
      </c>
      <c r="G1360" s="141">
        <f>IF(offer_sale_type="транзит",IFERROR(VLOOKUP($B1360,calc_data,G$14+1,0),0),0)</f>
        <v/>
      </c>
      <c r="H1360" s="141">
        <f>E1360*G1360</f>
        <v/>
      </c>
      <c r="I1360" s="141">
        <f>IF(offer_sale_type="транзит",IFERROR(ROUND(VLOOKUP($B1360,calc_data,I$14+1,0),2),0),0)</f>
        <v/>
      </c>
      <c r="J1360" s="141">
        <f>ROUND(IF(offer_sale_type="транзит",IFERROR(VLOOKUP($B1360,calc_data,J$14+1,0),0),0),2)</f>
        <v/>
      </c>
      <c r="K1360" s="142">
        <f>IF(offer_sale_type="транзит",IFERROR(ROUNDUP(VLOOKUP($B1360,calc_data,K$14+1,0),2),0),0)</f>
        <v/>
      </c>
      <c r="L1360" s="184">
        <f>IF(offer_sale_type="транзит",IFERROR(ROUNDUP(VLOOKUP($B1360,calc_data,L$14+1,0),2),0),0)</f>
        <v/>
      </c>
      <c r="M1360" s="141">
        <f>IF(offer_sale_type="транзит",IFERROR(ROUNDUP(VLOOKUP($B1360,calc_data,M$14+1,0),2),0),0)</f>
        <v/>
      </c>
      <c r="N1360" s="141">
        <f>IF(offer_sale_type="транзит",IFERROR(ROUNDUP(VLOOKUP($B1360,calc_data,N$14+1,0),2),0),0)</f>
        <v/>
      </c>
      <c r="O1360" s="147">
        <f>IF(offer_sale_type="транзит",IFERROR(ROUND(VLOOKUP($B1360,calc_data,O$14+1,1),2),0),0)</f>
        <v/>
      </c>
      <c r="P1360" s="141">
        <f>IF(offer_sale_type="транзит",IFERROR(ROUND(SUM(I1360:J1360,M1360:O1360)/E1360,2),0),0)</f>
        <v/>
      </c>
      <c r="Q1360" s="141">
        <f>E1360*P1360</f>
        <v/>
      </c>
      <c r="R1360" s="141">
        <f>ROUND(Q1360*IF(AND(offer_incoterms="DDP",seller_region="RU"),IF((TODAY()+offer_turnaround_time)&gt;=helpsheet!$L$17,rate_vatRU_from_26,rate_vatRu_till_25),0),2)</f>
        <v/>
      </c>
      <c r="S1360" s="177">
        <f>Q1360+IF(AND(offer_incoterms="DDP",seller_region="RU"),R1360,0)</f>
        <v/>
      </c>
      <c r="T1360" s="45" t="n"/>
      <c r="V1360" s="57">
        <f>IF(Q1360&gt;0,"показать","скрыть")</f>
        <v/>
      </c>
    </row>
    <row r="1361" ht="15.75" customHeight="1">
      <c r="B1361" s="809" t="n">
        <v>1345</v>
      </c>
      <c r="C1361" s="182">
        <f>IF(offer_sale_type="транзит",IFERROR(VLOOKUP($B1361,calc_data,C$14+1,0),0),0)</f>
        <v/>
      </c>
      <c r="D1361" s="280">
        <f>IF(offer_sale_type="транзит",IFERROR(VLOOKUP($B1361,calc_data,D$14+1,0),0),0)</f>
        <v/>
      </c>
      <c r="E1361" s="182">
        <f>IF(offer_sale_type="транзит",IFERROR(VLOOKUP($B1361,calc_data,E$14+1,0),0),0)</f>
        <v/>
      </c>
      <c r="F1361" s="182">
        <f>IF(offer_sale_type="транзит",IFERROR(VLOOKUP($B1361,calc_data,F$14+1,0),0),0)</f>
        <v/>
      </c>
      <c r="G1361" s="141">
        <f>IF(offer_sale_type="транзит",IFERROR(VLOOKUP($B1361,calc_data,G$14+1,0),0),0)</f>
        <v/>
      </c>
      <c r="H1361" s="141">
        <f>E1361*G1361</f>
        <v/>
      </c>
      <c r="I1361" s="141">
        <f>IF(offer_sale_type="транзит",IFERROR(ROUND(VLOOKUP($B1361,calc_data,I$14+1,0),2),0),0)</f>
        <v/>
      </c>
      <c r="J1361" s="141">
        <f>ROUND(IF(offer_sale_type="транзит",IFERROR(VLOOKUP($B1361,calc_data,J$14+1,0),0),0),2)</f>
        <v/>
      </c>
      <c r="K1361" s="142">
        <f>IF(offer_sale_type="транзит",IFERROR(ROUNDUP(VLOOKUP($B1361,calc_data,K$14+1,0),2),0),0)</f>
        <v/>
      </c>
      <c r="L1361" s="184">
        <f>IF(offer_sale_type="транзит",IFERROR(ROUNDUP(VLOOKUP($B1361,calc_data,L$14+1,0),2),0),0)</f>
        <v/>
      </c>
      <c r="M1361" s="141">
        <f>IF(offer_sale_type="транзит",IFERROR(ROUNDUP(VLOOKUP($B1361,calc_data,M$14+1,0),2),0),0)</f>
        <v/>
      </c>
      <c r="N1361" s="141">
        <f>IF(offer_sale_type="транзит",IFERROR(ROUNDUP(VLOOKUP($B1361,calc_data,N$14+1,0),2),0),0)</f>
        <v/>
      </c>
      <c r="O1361" s="147">
        <f>IF(offer_sale_type="транзит",IFERROR(ROUND(VLOOKUP($B1361,calc_data,O$14+1,1),2),0),0)</f>
        <v/>
      </c>
      <c r="P1361" s="141">
        <f>IF(offer_sale_type="транзит",IFERROR(ROUND(SUM(I1361:J1361,M1361:O1361)/E1361,2),0),0)</f>
        <v/>
      </c>
      <c r="Q1361" s="141">
        <f>E1361*P1361</f>
        <v/>
      </c>
      <c r="R1361" s="141">
        <f>ROUND(Q1361*IF(AND(offer_incoterms="DDP",seller_region="RU"),IF((TODAY()+offer_turnaround_time)&gt;=helpsheet!$L$17,rate_vatRU_from_26,rate_vatRu_till_25),0),2)</f>
        <v/>
      </c>
      <c r="S1361" s="177">
        <f>Q1361+IF(AND(offer_incoterms="DDP",seller_region="RU"),R1361,0)</f>
        <v/>
      </c>
      <c r="T1361" s="45" t="n"/>
      <c r="V1361" s="57">
        <f>IF(Q1361&gt;0,"показать","скрыть")</f>
        <v/>
      </c>
    </row>
    <row r="1362" ht="15.75" customHeight="1">
      <c r="B1362" s="809" t="n">
        <v>1346</v>
      </c>
      <c r="C1362" s="182">
        <f>IF(offer_sale_type="транзит",IFERROR(VLOOKUP($B1362,calc_data,C$14+1,0),0),0)</f>
        <v/>
      </c>
      <c r="D1362" s="280">
        <f>IF(offer_sale_type="транзит",IFERROR(VLOOKUP($B1362,calc_data,D$14+1,0),0),0)</f>
        <v/>
      </c>
      <c r="E1362" s="182">
        <f>IF(offer_sale_type="транзит",IFERROR(VLOOKUP($B1362,calc_data,E$14+1,0),0),0)</f>
        <v/>
      </c>
      <c r="F1362" s="182">
        <f>IF(offer_sale_type="транзит",IFERROR(VLOOKUP($B1362,calc_data,F$14+1,0),0),0)</f>
        <v/>
      </c>
      <c r="G1362" s="141">
        <f>IF(offer_sale_type="транзит",IFERROR(VLOOKUP($B1362,calc_data,G$14+1,0),0),0)</f>
        <v/>
      </c>
      <c r="H1362" s="141">
        <f>E1362*G1362</f>
        <v/>
      </c>
      <c r="I1362" s="141">
        <f>IF(offer_sale_type="транзит",IFERROR(ROUND(VLOOKUP($B1362,calc_data,I$14+1,0),2),0),0)</f>
        <v/>
      </c>
      <c r="J1362" s="141">
        <f>ROUND(IF(offer_sale_type="транзит",IFERROR(VLOOKUP($B1362,calc_data,J$14+1,0),0),0),2)</f>
        <v/>
      </c>
      <c r="K1362" s="142">
        <f>IF(offer_sale_type="транзит",IFERROR(ROUNDUP(VLOOKUP($B1362,calc_data,K$14+1,0),2),0),0)</f>
        <v/>
      </c>
      <c r="L1362" s="184">
        <f>IF(offer_sale_type="транзит",IFERROR(ROUNDUP(VLOOKUP($B1362,calc_data,L$14+1,0),2),0),0)</f>
        <v/>
      </c>
      <c r="M1362" s="141">
        <f>IF(offer_sale_type="транзит",IFERROR(ROUNDUP(VLOOKUP($B1362,calc_data,M$14+1,0),2),0),0)</f>
        <v/>
      </c>
      <c r="N1362" s="141">
        <f>IF(offer_sale_type="транзит",IFERROR(ROUNDUP(VLOOKUP($B1362,calc_data,N$14+1,0),2),0),0)</f>
        <v/>
      </c>
      <c r="O1362" s="147">
        <f>IF(offer_sale_type="транзит",IFERROR(ROUND(VLOOKUP($B1362,calc_data,O$14+1,1),2),0),0)</f>
        <v/>
      </c>
      <c r="P1362" s="141">
        <f>IF(offer_sale_type="транзит",IFERROR(ROUND(SUM(I1362:J1362,M1362:O1362)/E1362,2),0),0)</f>
        <v/>
      </c>
      <c r="Q1362" s="141">
        <f>E1362*P1362</f>
        <v/>
      </c>
      <c r="R1362" s="141">
        <f>ROUND(Q1362*IF(AND(offer_incoterms="DDP",seller_region="RU"),IF((TODAY()+offer_turnaround_time)&gt;=helpsheet!$L$17,rate_vatRU_from_26,rate_vatRu_till_25),0),2)</f>
        <v/>
      </c>
      <c r="S1362" s="177">
        <f>Q1362+IF(AND(offer_incoterms="DDP",seller_region="RU"),R1362,0)</f>
        <v/>
      </c>
      <c r="T1362" s="45" t="n"/>
      <c r="V1362" s="57">
        <f>IF(Q1362&gt;0,"показать","скрыть")</f>
        <v/>
      </c>
    </row>
    <row r="1363" ht="15.75" customHeight="1">
      <c r="B1363" s="809" t="n">
        <v>1347</v>
      </c>
      <c r="C1363" s="182">
        <f>IF(offer_sale_type="транзит",IFERROR(VLOOKUP($B1363,calc_data,C$14+1,0),0),0)</f>
        <v/>
      </c>
      <c r="D1363" s="280">
        <f>IF(offer_sale_type="транзит",IFERROR(VLOOKUP($B1363,calc_data,D$14+1,0),0),0)</f>
        <v/>
      </c>
      <c r="E1363" s="182">
        <f>IF(offer_sale_type="транзит",IFERROR(VLOOKUP($B1363,calc_data,E$14+1,0),0),0)</f>
        <v/>
      </c>
      <c r="F1363" s="182">
        <f>IF(offer_sale_type="транзит",IFERROR(VLOOKUP($B1363,calc_data,F$14+1,0),0),0)</f>
        <v/>
      </c>
      <c r="G1363" s="141">
        <f>IF(offer_sale_type="транзит",IFERROR(VLOOKUP($B1363,calc_data,G$14+1,0),0),0)</f>
        <v/>
      </c>
      <c r="H1363" s="141">
        <f>E1363*G1363</f>
        <v/>
      </c>
      <c r="I1363" s="141">
        <f>IF(offer_sale_type="транзит",IFERROR(ROUND(VLOOKUP($B1363,calc_data,I$14+1,0),2),0),0)</f>
        <v/>
      </c>
      <c r="J1363" s="141">
        <f>ROUND(IF(offer_sale_type="транзит",IFERROR(VLOOKUP($B1363,calc_data,J$14+1,0),0),0),2)</f>
        <v/>
      </c>
      <c r="K1363" s="142">
        <f>IF(offer_sale_type="транзит",IFERROR(ROUNDUP(VLOOKUP($B1363,calc_data,K$14+1,0),2),0),0)</f>
        <v/>
      </c>
      <c r="L1363" s="184">
        <f>IF(offer_sale_type="транзит",IFERROR(ROUNDUP(VLOOKUP($B1363,calc_data,L$14+1,0),2),0),0)</f>
        <v/>
      </c>
      <c r="M1363" s="141">
        <f>IF(offer_sale_type="транзит",IFERROR(ROUNDUP(VLOOKUP($B1363,calc_data,M$14+1,0),2),0),0)</f>
        <v/>
      </c>
      <c r="N1363" s="141">
        <f>IF(offer_sale_type="транзит",IFERROR(ROUNDUP(VLOOKUP($B1363,calc_data,N$14+1,0),2),0),0)</f>
        <v/>
      </c>
      <c r="O1363" s="147">
        <f>IF(offer_sale_type="транзит",IFERROR(ROUND(VLOOKUP($B1363,calc_data,O$14+1,1),2),0),0)</f>
        <v/>
      </c>
      <c r="P1363" s="141">
        <f>IF(offer_sale_type="транзит",IFERROR(ROUND(SUM(I1363:J1363,M1363:O1363)/E1363,2),0),0)</f>
        <v/>
      </c>
      <c r="Q1363" s="141">
        <f>E1363*P1363</f>
        <v/>
      </c>
      <c r="R1363" s="141">
        <f>ROUND(Q1363*IF(AND(offer_incoterms="DDP",seller_region="RU"),IF((TODAY()+offer_turnaround_time)&gt;=helpsheet!$L$17,rate_vatRU_from_26,rate_vatRu_till_25),0),2)</f>
        <v/>
      </c>
      <c r="S1363" s="177">
        <f>Q1363+IF(AND(offer_incoterms="DDP",seller_region="RU"),R1363,0)</f>
        <v/>
      </c>
      <c r="T1363" s="45" t="n"/>
      <c r="V1363" s="57">
        <f>IF(Q1363&gt;0,"показать","скрыть")</f>
        <v/>
      </c>
    </row>
    <row r="1364" ht="15.75" customHeight="1">
      <c r="B1364" s="809" t="n">
        <v>1348</v>
      </c>
      <c r="C1364" s="182">
        <f>IF(offer_sale_type="транзит",IFERROR(VLOOKUP($B1364,calc_data,C$14+1,0),0),0)</f>
        <v/>
      </c>
      <c r="D1364" s="280">
        <f>IF(offer_sale_type="транзит",IFERROR(VLOOKUP($B1364,calc_data,D$14+1,0),0),0)</f>
        <v/>
      </c>
      <c r="E1364" s="182">
        <f>IF(offer_sale_type="транзит",IFERROR(VLOOKUP($B1364,calc_data,E$14+1,0),0),0)</f>
        <v/>
      </c>
      <c r="F1364" s="182">
        <f>IF(offer_sale_type="транзит",IFERROR(VLOOKUP($B1364,calc_data,F$14+1,0),0),0)</f>
        <v/>
      </c>
      <c r="G1364" s="141">
        <f>IF(offer_sale_type="транзит",IFERROR(VLOOKUP($B1364,calc_data,G$14+1,0),0),0)</f>
        <v/>
      </c>
      <c r="H1364" s="141">
        <f>E1364*G1364</f>
        <v/>
      </c>
      <c r="I1364" s="141">
        <f>IF(offer_sale_type="транзит",IFERROR(ROUND(VLOOKUP($B1364,calc_data,I$14+1,0),2),0),0)</f>
        <v/>
      </c>
      <c r="J1364" s="141">
        <f>ROUND(IF(offer_sale_type="транзит",IFERROR(VLOOKUP($B1364,calc_data,J$14+1,0),0),0),2)</f>
        <v/>
      </c>
      <c r="K1364" s="142">
        <f>IF(offer_sale_type="транзит",IFERROR(ROUNDUP(VLOOKUP($B1364,calc_data,K$14+1,0),2),0),0)</f>
        <v/>
      </c>
      <c r="L1364" s="184">
        <f>IF(offer_sale_type="транзит",IFERROR(ROUNDUP(VLOOKUP($B1364,calc_data,L$14+1,0),2),0),0)</f>
        <v/>
      </c>
      <c r="M1364" s="141">
        <f>IF(offer_sale_type="транзит",IFERROR(ROUNDUP(VLOOKUP($B1364,calc_data,M$14+1,0),2),0),0)</f>
        <v/>
      </c>
      <c r="N1364" s="141">
        <f>IF(offer_sale_type="транзит",IFERROR(ROUNDUP(VLOOKUP($B1364,calc_data,N$14+1,0),2),0),0)</f>
        <v/>
      </c>
      <c r="O1364" s="147">
        <f>IF(offer_sale_type="транзит",IFERROR(ROUND(VLOOKUP($B1364,calc_data,O$14+1,1),2),0),0)</f>
        <v/>
      </c>
      <c r="P1364" s="141">
        <f>IF(offer_sale_type="транзит",IFERROR(ROUND(SUM(I1364:J1364,M1364:O1364)/E1364,2),0),0)</f>
        <v/>
      </c>
      <c r="Q1364" s="141">
        <f>E1364*P1364</f>
        <v/>
      </c>
      <c r="R1364" s="141">
        <f>ROUND(Q1364*IF(AND(offer_incoterms="DDP",seller_region="RU"),IF((TODAY()+offer_turnaround_time)&gt;=helpsheet!$L$17,rate_vatRU_from_26,rate_vatRu_till_25),0),2)</f>
        <v/>
      </c>
      <c r="S1364" s="177">
        <f>Q1364+IF(AND(offer_incoterms="DDP",seller_region="RU"),R1364,0)</f>
        <v/>
      </c>
      <c r="T1364" s="45" t="n"/>
      <c r="V1364" s="57">
        <f>IF(Q1364&gt;0,"показать","скрыть")</f>
        <v/>
      </c>
    </row>
    <row r="1365" ht="15.75" customHeight="1">
      <c r="B1365" s="809" t="n">
        <v>1349</v>
      </c>
      <c r="C1365" s="182">
        <f>IF(offer_sale_type="транзит",IFERROR(VLOOKUP($B1365,calc_data,C$14+1,0),0),0)</f>
        <v/>
      </c>
      <c r="D1365" s="280">
        <f>IF(offer_sale_type="транзит",IFERROR(VLOOKUP($B1365,calc_data,D$14+1,0),0),0)</f>
        <v/>
      </c>
      <c r="E1365" s="182">
        <f>IF(offer_sale_type="транзит",IFERROR(VLOOKUP($B1365,calc_data,E$14+1,0),0),0)</f>
        <v/>
      </c>
      <c r="F1365" s="182">
        <f>IF(offer_sale_type="транзит",IFERROR(VLOOKUP($B1365,calc_data,F$14+1,0),0),0)</f>
        <v/>
      </c>
      <c r="G1365" s="141">
        <f>IF(offer_sale_type="транзит",IFERROR(VLOOKUP($B1365,calc_data,G$14+1,0),0),0)</f>
        <v/>
      </c>
      <c r="H1365" s="141">
        <f>E1365*G1365</f>
        <v/>
      </c>
      <c r="I1365" s="141">
        <f>IF(offer_sale_type="транзит",IFERROR(ROUND(VLOOKUP($B1365,calc_data,I$14+1,0),2),0),0)</f>
        <v/>
      </c>
      <c r="J1365" s="141">
        <f>ROUND(IF(offer_sale_type="транзит",IFERROR(VLOOKUP($B1365,calc_data,J$14+1,0),0),0),2)</f>
        <v/>
      </c>
      <c r="K1365" s="142">
        <f>IF(offer_sale_type="транзит",IFERROR(ROUNDUP(VLOOKUP($B1365,calc_data,K$14+1,0),2),0),0)</f>
        <v/>
      </c>
      <c r="L1365" s="184">
        <f>IF(offer_sale_type="транзит",IFERROR(ROUNDUP(VLOOKUP($B1365,calc_data,L$14+1,0),2),0),0)</f>
        <v/>
      </c>
      <c r="M1365" s="141">
        <f>IF(offer_sale_type="транзит",IFERROR(ROUNDUP(VLOOKUP($B1365,calc_data,M$14+1,0),2),0),0)</f>
        <v/>
      </c>
      <c r="N1365" s="141">
        <f>IF(offer_sale_type="транзит",IFERROR(ROUNDUP(VLOOKUP($B1365,calc_data,N$14+1,0),2),0),0)</f>
        <v/>
      </c>
      <c r="O1365" s="147">
        <f>IF(offer_sale_type="транзит",IFERROR(ROUND(VLOOKUP($B1365,calc_data,O$14+1,1),2),0),0)</f>
        <v/>
      </c>
      <c r="P1365" s="141">
        <f>IF(offer_sale_type="транзит",IFERROR(ROUND(SUM(I1365:J1365,M1365:O1365)/E1365,2),0),0)</f>
        <v/>
      </c>
      <c r="Q1365" s="141">
        <f>E1365*P1365</f>
        <v/>
      </c>
      <c r="R1365" s="141">
        <f>ROUND(Q1365*IF(AND(offer_incoterms="DDP",seller_region="RU"),IF((TODAY()+offer_turnaround_time)&gt;=helpsheet!$L$17,rate_vatRU_from_26,rate_vatRu_till_25),0),2)</f>
        <v/>
      </c>
      <c r="S1365" s="177">
        <f>Q1365+IF(AND(offer_incoterms="DDP",seller_region="RU"),R1365,0)</f>
        <v/>
      </c>
      <c r="T1365" s="45" t="n"/>
      <c r="V1365" s="57">
        <f>IF(Q1365&gt;0,"показать","скрыть")</f>
        <v/>
      </c>
    </row>
    <row r="1366" ht="15.75" customHeight="1">
      <c r="B1366" s="809" t="n">
        <v>1350</v>
      </c>
      <c r="C1366" s="182">
        <f>IF(offer_sale_type="транзит",IFERROR(VLOOKUP($B1366,calc_data,C$14+1,0),0),0)</f>
        <v/>
      </c>
      <c r="D1366" s="280">
        <f>IF(offer_sale_type="транзит",IFERROR(VLOOKUP($B1366,calc_data,D$14+1,0),0),0)</f>
        <v/>
      </c>
      <c r="E1366" s="182">
        <f>IF(offer_sale_type="транзит",IFERROR(VLOOKUP($B1366,calc_data,E$14+1,0),0),0)</f>
        <v/>
      </c>
      <c r="F1366" s="182">
        <f>IF(offer_sale_type="транзит",IFERROR(VLOOKUP($B1366,calc_data,F$14+1,0),0),0)</f>
        <v/>
      </c>
      <c r="G1366" s="141">
        <f>IF(offer_sale_type="транзит",IFERROR(VLOOKUP($B1366,calc_data,G$14+1,0),0),0)</f>
        <v/>
      </c>
      <c r="H1366" s="141">
        <f>E1366*G1366</f>
        <v/>
      </c>
      <c r="I1366" s="141">
        <f>IF(offer_sale_type="транзит",IFERROR(ROUND(VLOOKUP($B1366,calc_data,I$14+1,0),2),0),0)</f>
        <v/>
      </c>
      <c r="J1366" s="141">
        <f>ROUND(IF(offer_sale_type="транзит",IFERROR(VLOOKUP($B1366,calc_data,J$14+1,0),0),0),2)</f>
        <v/>
      </c>
      <c r="K1366" s="142">
        <f>IF(offer_sale_type="транзит",IFERROR(ROUNDUP(VLOOKUP($B1366,calc_data,K$14+1,0),2),0),0)</f>
        <v/>
      </c>
      <c r="L1366" s="184">
        <f>IF(offer_sale_type="транзит",IFERROR(ROUNDUP(VLOOKUP($B1366,calc_data,L$14+1,0),2),0),0)</f>
        <v/>
      </c>
      <c r="M1366" s="141">
        <f>IF(offer_sale_type="транзит",IFERROR(ROUNDUP(VLOOKUP($B1366,calc_data,M$14+1,0),2),0),0)</f>
        <v/>
      </c>
      <c r="N1366" s="141">
        <f>IF(offer_sale_type="транзит",IFERROR(ROUNDUP(VLOOKUP($B1366,calc_data,N$14+1,0),2),0),0)</f>
        <v/>
      </c>
      <c r="O1366" s="147">
        <f>IF(offer_sale_type="транзит",IFERROR(ROUND(VLOOKUP($B1366,calc_data,O$14+1,1),2),0),0)</f>
        <v/>
      </c>
      <c r="P1366" s="141">
        <f>IF(offer_sale_type="транзит",IFERROR(ROUND(SUM(I1366:J1366,M1366:O1366)/E1366,2),0),0)</f>
        <v/>
      </c>
      <c r="Q1366" s="141">
        <f>E1366*P1366</f>
        <v/>
      </c>
      <c r="R1366" s="141">
        <f>ROUND(Q1366*IF(AND(offer_incoterms="DDP",seller_region="RU"),IF((TODAY()+offer_turnaround_time)&gt;=helpsheet!$L$17,rate_vatRU_from_26,rate_vatRu_till_25),0),2)</f>
        <v/>
      </c>
      <c r="S1366" s="177">
        <f>Q1366+IF(AND(offer_incoterms="DDP",seller_region="RU"),R1366,0)</f>
        <v/>
      </c>
      <c r="T1366" s="45" t="n"/>
      <c r="V1366" s="57">
        <f>IF(Q1366&gt;0,"показать","скрыть")</f>
        <v/>
      </c>
    </row>
    <row r="1367" ht="15.75" customHeight="1">
      <c r="B1367" s="809" t="n">
        <v>1351</v>
      </c>
      <c r="C1367" s="182">
        <f>IF(offer_sale_type="транзит",IFERROR(VLOOKUP($B1367,calc_data,C$14+1,0),0),0)</f>
        <v/>
      </c>
      <c r="D1367" s="280">
        <f>IF(offer_sale_type="транзит",IFERROR(VLOOKUP($B1367,calc_data,D$14+1,0),0),0)</f>
        <v/>
      </c>
      <c r="E1367" s="182">
        <f>IF(offer_sale_type="транзит",IFERROR(VLOOKUP($B1367,calc_data,E$14+1,0),0),0)</f>
        <v/>
      </c>
      <c r="F1367" s="182">
        <f>IF(offer_sale_type="транзит",IFERROR(VLOOKUP($B1367,calc_data,F$14+1,0),0),0)</f>
        <v/>
      </c>
      <c r="G1367" s="141">
        <f>IF(offer_sale_type="транзит",IFERROR(VLOOKUP($B1367,calc_data,G$14+1,0),0),0)</f>
        <v/>
      </c>
      <c r="H1367" s="141">
        <f>E1367*G1367</f>
        <v/>
      </c>
      <c r="I1367" s="141">
        <f>IF(offer_sale_type="транзит",IFERROR(ROUND(VLOOKUP($B1367,calc_data,I$14+1,0),2),0),0)</f>
        <v/>
      </c>
      <c r="J1367" s="141">
        <f>ROUND(IF(offer_sale_type="транзит",IFERROR(VLOOKUP($B1367,calc_data,J$14+1,0),0),0),2)</f>
        <v/>
      </c>
      <c r="K1367" s="142">
        <f>IF(offer_sale_type="транзит",IFERROR(ROUNDUP(VLOOKUP($B1367,calc_data,K$14+1,0),2),0),0)</f>
        <v/>
      </c>
      <c r="L1367" s="184">
        <f>IF(offer_sale_type="транзит",IFERROR(ROUNDUP(VLOOKUP($B1367,calc_data,L$14+1,0),2),0),0)</f>
        <v/>
      </c>
      <c r="M1367" s="141">
        <f>IF(offer_sale_type="транзит",IFERROR(ROUNDUP(VLOOKUP($B1367,calc_data,M$14+1,0),2),0),0)</f>
        <v/>
      </c>
      <c r="N1367" s="141">
        <f>IF(offer_sale_type="транзит",IFERROR(ROUNDUP(VLOOKUP($B1367,calc_data,N$14+1,0),2),0),0)</f>
        <v/>
      </c>
      <c r="O1367" s="147">
        <f>IF(offer_sale_type="транзит",IFERROR(ROUND(VLOOKUP($B1367,calc_data,O$14+1,1),2),0),0)</f>
        <v/>
      </c>
      <c r="P1367" s="141">
        <f>IF(offer_sale_type="транзит",IFERROR(ROUND(SUM(I1367:J1367,M1367:O1367)/E1367,2),0),0)</f>
        <v/>
      </c>
      <c r="Q1367" s="141">
        <f>E1367*P1367</f>
        <v/>
      </c>
      <c r="R1367" s="141">
        <f>ROUND(Q1367*IF(AND(offer_incoterms="DDP",seller_region="RU"),IF((TODAY()+offer_turnaround_time)&gt;=helpsheet!$L$17,rate_vatRU_from_26,rate_vatRu_till_25),0),2)</f>
        <v/>
      </c>
      <c r="S1367" s="177">
        <f>Q1367+IF(AND(offer_incoterms="DDP",seller_region="RU"),R1367,0)</f>
        <v/>
      </c>
      <c r="T1367" s="45" t="n"/>
      <c r="V1367" s="57">
        <f>IF(Q1367&gt;0,"показать","скрыть")</f>
        <v/>
      </c>
    </row>
    <row r="1368" ht="15.75" customHeight="1">
      <c r="B1368" s="809" t="n">
        <v>1352</v>
      </c>
      <c r="C1368" s="182">
        <f>IF(offer_sale_type="транзит",IFERROR(VLOOKUP($B1368,calc_data,C$14+1,0),0),0)</f>
        <v/>
      </c>
      <c r="D1368" s="280">
        <f>IF(offer_sale_type="транзит",IFERROR(VLOOKUP($B1368,calc_data,D$14+1,0),0),0)</f>
        <v/>
      </c>
      <c r="E1368" s="182">
        <f>IF(offer_sale_type="транзит",IFERROR(VLOOKUP($B1368,calc_data,E$14+1,0),0),0)</f>
        <v/>
      </c>
      <c r="F1368" s="182">
        <f>IF(offer_sale_type="транзит",IFERROR(VLOOKUP($B1368,calc_data,F$14+1,0),0),0)</f>
        <v/>
      </c>
      <c r="G1368" s="141">
        <f>IF(offer_sale_type="транзит",IFERROR(VLOOKUP($B1368,calc_data,G$14+1,0),0),0)</f>
        <v/>
      </c>
      <c r="H1368" s="141">
        <f>E1368*G1368</f>
        <v/>
      </c>
      <c r="I1368" s="141">
        <f>IF(offer_sale_type="транзит",IFERROR(ROUND(VLOOKUP($B1368,calc_data,I$14+1,0),2),0),0)</f>
        <v/>
      </c>
      <c r="J1368" s="141">
        <f>ROUND(IF(offer_sale_type="транзит",IFERROR(VLOOKUP($B1368,calc_data,J$14+1,0),0),0),2)</f>
        <v/>
      </c>
      <c r="K1368" s="142">
        <f>IF(offer_sale_type="транзит",IFERROR(ROUNDUP(VLOOKUP($B1368,calc_data,K$14+1,0),2),0),0)</f>
        <v/>
      </c>
      <c r="L1368" s="184">
        <f>IF(offer_sale_type="транзит",IFERROR(ROUNDUP(VLOOKUP($B1368,calc_data,L$14+1,0),2),0),0)</f>
        <v/>
      </c>
      <c r="M1368" s="141">
        <f>IF(offer_sale_type="транзит",IFERROR(ROUNDUP(VLOOKUP($B1368,calc_data,M$14+1,0),2),0),0)</f>
        <v/>
      </c>
      <c r="N1368" s="141">
        <f>IF(offer_sale_type="транзит",IFERROR(ROUNDUP(VLOOKUP($B1368,calc_data,N$14+1,0),2),0),0)</f>
        <v/>
      </c>
      <c r="O1368" s="147">
        <f>IF(offer_sale_type="транзит",IFERROR(ROUND(VLOOKUP($B1368,calc_data,O$14+1,1),2),0),0)</f>
        <v/>
      </c>
      <c r="P1368" s="141">
        <f>IF(offer_sale_type="транзит",IFERROR(ROUND(SUM(I1368:J1368,M1368:O1368)/E1368,2),0),0)</f>
        <v/>
      </c>
      <c r="Q1368" s="141">
        <f>E1368*P1368</f>
        <v/>
      </c>
      <c r="R1368" s="141">
        <f>ROUND(Q1368*IF(AND(offer_incoterms="DDP",seller_region="RU"),IF((TODAY()+offer_turnaround_time)&gt;=helpsheet!$L$17,rate_vatRU_from_26,rate_vatRu_till_25),0),2)</f>
        <v/>
      </c>
      <c r="S1368" s="177">
        <f>Q1368+IF(AND(offer_incoterms="DDP",seller_region="RU"),R1368,0)</f>
        <v/>
      </c>
      <c r="T1368" s="45" t="n"/>
      <c r="V1368" s="57">
        <f>IF(Q1368&gt;0,"показать","скрыть")</f>
        <v/>
      </c>
    </row>
    <row r="1369" ht="15.75" customHeight="1">
      <c r="B1369" s="809" t="n">
        <v>1353</v>
      </c>
      <c r="C1369" s="182">
        <f>IF(offer_sale_type="транзит",IFERROR(VLOOKUP($B1369,calc_data,C$14+1,0),0),0)</f>
        <v/>
      </c>
      <c r="D1369" s="280">
        <f>IF(offer_sale_type="транзит",IFERROR(VLOOKUP($B1369,calc_data,D$14+1,0),0),0)</f>
        <v/>
      </c>
      <c r="E1369" s="182">
        <f>IF(offer_sale_type="транзит",IFERROR(VLOOKUP($B1369,calc_data,E$14+1,0),0),0)</f>
        <v/>
      </c>
      <c r="F1369" s="182">
        <f>IF(offer_sale_type="транзит",IFERROR(VLOOKUP($B1369,calc_data,F$14+1,0),0),0)</f>
        <v/>
      </c>
      <c r="G1369" s="141">
        <f>IF(offer_sale_type="транзит",IFERROR(VLOOKUP($B1369,calc_data,G$14+1,0),0),0)</f>
        <v/>
      </c>
      <c r="H1369" s="141">
        <f>E1369*G1369</f>
        <v/>
      </c>
      <c r="I1369" s="141">
        <f>IF(offer_sale_type="транзит",IFERROR(ROUND(VLOOKUP($B1369,calc_data,I$14+1,0),2),0),0)</f>
        <v/>
      </c>
      <c r="J1369" s="141">
        <f>ROUND(IF(offer_sale_type="транзит",IFERROR(VLOOKUP($B1369,calc_data,J$14+1,0),0),0),2)</f>
        <v/>
      </c>
      <c r="K1369" s="142">
        <f>IF(offer_sale_type="транзит",IFERROR(ROUNDUP(VLOOKUP($B1369,calc_data,K$14+1,0),2),0),0)</f>
        <v/>
      </c>
      <c r="L1369" s="184">
        <f>IF(offer_sale_type="транзит",IFERROR(ROUNDUP(VLOOKUP($B1369,calc_data,L$14+1,0),2),0),0)</f>
        <v/>
      </c>
      <c r="M1369" s="141">
        <f>IF(offer_sale_type="транзит",IFERROR(ROUNDUP(VLOOKUP($B1369,calc_data,M$14+1,0),2),0),0)</f>
        <v/>
      </c>
      <c r="N1369" s="141">
        <f>IF(offer_sale_type="транзит",IFERROR(ROUNDUP(VLOOKUP($B1369,calc_data,N$14+1,0),2),0),0)</f>
        <v/>
      </c>
      <c r="O1369" s="147">
        <f>IF(offer_sale_type="транзит",IFERROR(ROUND(VLOOKUP($B1369,calc_data,O$14+1,1),2),0),0)</f>
        <v/>
      </c>
      <c r="P1369" s="141">
        <f>IF(offer_sale_type="транзит",IFERROR(ROUND(SUM(I1369:J1369,M1369:O1369)/E1369,2),0),0)</f>
        <v/>
      </c>
      <c r="Q1369" s="141">
        <f>E1369*P1369</f>
        <v/>
      </c>
      <c r="R1369" s="141">
        <f>ROUND(Q1369*IF(AND(offer_incoterms="DDP",seller_region="RU"),IF((TODAY()+offer_turnaround_time)&gt;=helpsheet!$L$17,rate_vatRU_from_26,rate_vatRu_till_25),0),2)</f>
        <v/>
      </c>
      <c r="S1369" s="177">
        <f>Q1369+IF(AND(offer_incoterms="DDP",seller_region="RU"),R1369,0)</f>
        <v/>
      </c>
      <c r="T1369" s="45" t="n"/>
      <c r="V1369" s="57">
        <f>IF(Q1369&gt;0,"показать","скрыть")</f>
        <v/>
      </c>
    </row>
    <row r="1370" ht="15.75" customHeight="1">
      <c r="B1370" s="809" t="n">
        <v>1354</v>
      </c>
      <c r="C1370" s="182">
        <f>IF(offer_sale_type="транзит",IFERROR(VLOOKUP($B1370,calc_data,C$14+1,0),0),0)</f>
        <v/>
      </c>
      <c r="D1370" s="280">
        <f>IF(offer_sale_type="транзит",IFERROR(VLOOKUP($B1370,calc_data,D$14+1,0),0),0)</f>
        <v/>
      </c>
      <c r="E1370" s="182">
        <f>IF(offer_sale_type="транзит",IFERROR(VLOOKUP($B1370,calc_data,E$14+1,0),0),0)</f>
        <v/>
      </c>
      <c r="F1370" s="182">
        <f>IF(offer_sale_type="транзит",IFERROR(VLOOKUP($B1370,calc_data,F$14+1,0),0),0)</f>
        <v/>
      </c>
      <c r="G1370" s="141">
        <f>IF(offer_sale_type="транзит",IFERROR(VLOOKUP($B1370,calc_data,G$14+1,0),0),0)</f>
        <v/>
      </c>
      <c r="H1370" s="141">
        <f>E1370*G1370</f>
        <v/>
      </c>
      <c r="I1370" s="141">
        <f>IF(offer_sale_type="транзит",IFERROR(ROUND(VLOOKUP($B1370,calc_data,I$14+1,0),2),0),0)</f>
        <v/>
      </c>
      <c r="J1370" s="141">
        <f>ROUND(IF(offer_sale_type="транзит",IFERROR(VLOOKUP($B1370,calc_data,J$14+1,0),0),0),2)</f>
        <v/>
      </c>
      <c r="K1370" s="142">
        <f>IF(offer_sale_type="транзит",IFERROR(ROUNDUP(VLOOKUP($B1370,calc_data,K$14+1,0),2),0),0)</f>
        <v/>
      </c>
      <c r="L1370" s="184">
        <f>IF(offer_sale_type="транзит",IFERROR(ROUNDUP(VLOOKUP($B1370,calc_data,L$14+1,0),2),0),0)</f>
        <v/>
      </c>
      <c r="M1370" s="141">
        <f>IF(offer_sale_type="транзит",IFERROR(ROUNDUP(VLOOKUP($B1370,calc_data,M$14+1,0),2),0),0)</f>
        <v/>
      </c>
      <c r="N1370" s="141">
        <f>IF(offer_sale_type="транзит",IFERROR(ROUNDUP(VLOOKUP($B1370,calc_data,N$14+1,0),2),0),0)</f>
        <v/>
      </c>
      <c r="O1370" s="147">
        <f>IF(offer_sale_type="транзит",IFERROR(ROUND(VLOOKUP($B1370,calc_data,O$14+1,1),2),0),0)</f>
        <v/>
      </c>
      <c r="P1370" s="141">
        <f>IF(offer_sale_type="транзит",IFERROR(ROUND(SUM(I1370:J1370,M1370:O1370)/E1370,2),0),0)</f>
        <v/>
      </c>
      <c r="Q1370" s="141">
        <f>E1370*P1370</f>
        <v/>
      </c>
      <c r="R1370" s="141">
        <f>ROUND(Q1370*IF(AND(offer_incoterms="DDP",seller_region="RU"),IF((TODAY()+offer_turnaround_time)&gt;=helpsheet!$L$17,rate_vatRU_from_26,rate_vatRu_till_25),0),2)</f>
        <v/>
      </c>
      <c r="S1370" s="177">
        <f>Q1370+IF(AND(offer_incoterms="DDP",seller_region="RU"),R1370,0)</f>
        <v/>
      </c>
      <c r="T1370" s="45" t="n"/>
      <c r="V1370" s="57">
        <f>IF(Q1370&gt;0,"показать","скрыть")</f>
        <v/>
      </c>
    </row>
    <row r="1371" ht="15.75" customHeight="1">
      <c r="B1371" s="809" t="n">
        <v>1355</v>
      </c>
      <c r="C1371" s="182">
        <f>IF(offer_sale_type="транзит",IFERROR(VLOOKUP($B1371,calc_data,C$14+1,0),0),0)</f>
        <v/>
      </c>
      <c r="D1371" s="280">
        <f>IF(offer_sale_type="транзит",IFERROR(VLOOKUP($B1371,calc_data,D$14+1,0),0),0)</f>
        <v/>
      </c>
      <c r="E1371" s="182">
        <f>IF(offer_sale_type="транзит",IFERROR(VLOOKUP($B1371,calc_data,E$14+1,0),0),0)</f>
        <v/>
      </c>
      <c r="F1371" s="182">
        <f>IF(offer_sale_type="транзит",IFERROR(VLOOKUP($B1371,calc_data,F$14+1,0),0),0)</f>
        <v/>
      </c>
      <c r="G1371" s="141">
        <f>IF(offer_sale_type="транзит",IFERROR(VLOOKUP($B1371,calc_data,G$14+1,0),0),0)</f>
        <v/>
      </c>
      <c r="H1371" s="141">
        <f>E1371*G1371</f>
        <v/>
      </c>
      <c r="I1371" s="141">
        <f>IF(offer_sale_type="транзит",IFERROR(ROUND(VLOOKUP($B1371,calc_data,I$14+1,0),2),0),0)</f>
        <v/>
      </c>
      <c r="J1371" s="141">
        <f>ROUND(IF(offer_sale_type="транзит",IFERROR(VLOOKUP($B1371,calc_data,J$14+1,0),0),0),2)</f>
        <v/>
      </c>
      <c r="K1371" s="142">
        <f>IF(offer_sale_type="транзит",IFERROR(ROUNDUP(VLOOKUP($B1371,calc_data,K$14+1,0),2),0),0)</f>
        <v/>
      </c>
      <c r="L1371" s="184">
        <f>IF(offer_sale_type="транзит",IFERROR(ROUNDUP(VLOOKUP($B1371,calc_data,L$14+1,0),2),0),0)</f>
        <v/>
      </c>
      <c r="M1371" s="141">
        <f>IF(offer_sale_type="транзит",IFERROR(ROUNDUP(VLOOKUP($B1371,calc_data,M$14+1,0),2),0),0)</f>
        <v/>
      </c>
      <c r="N1371" s="141">
        <f>IF(offer_sale_type="транзит",IFERROR(ROUNDUP(VLOOKUP($B1371,calc_data,N$14+1,0),2),0),0)</f>
        <v/>
      </c>
      <c r="O1371" s="147">
        <f>IF(offer_sale_type="транзит",IFERROR(ROUND(VLOOKUP($B1371,calc_data,O$14+1,1),2),0),0)</f>
        <v/>
      </c>
      <c r="P1371" s="141">
        <f>IF(offer_sale_type="транзит",IFERROR(ROUND(SUM(I1371:J1371,M1371:O1371)/E1371,2),0),0)</f>
        <v/>
      </c>
      <c r="Q1371" s="141">
        <f>E1371*P1371</f>
        <v/>
      </c>
      <c r="R1371" s="141">
        <f>ROUND(Q1371*IF(AND(offer_incoterms="DDP",seller_region="RU"),IF((TODAY()+offer_turnaround_time)&gt;=helpsheet!$L$17,rate_vatRU_from_26,rate_vatRu_till_25),0),2)</f>
        <v/>
      </c>
      <c r="S1371" s="177">
        <f>Q1371+IF(AND(offer_incoterms="DDP",seller_region="RU"),R1371,0)</f>
        <v/>
      </c>
      <c r="T1371" s="45" t="n"/>
      <c r="V1371" s="57">
        <f>IF(Q1371&gt;0,"показать","скрыть")</f>
        <v/>
      </c>
    </row>
    <row r="1372" ht="15.75" customHeight="1">
      <c r="B1372" s="809" t="n">
        <v>1356</v>
      </c>
      <c r="C1372" s="182">
        <f>IF(offer_sale_type="транзит",IFERROR(VLOOKUP($B1372,calc_data,C$14+1,0),0),0)</f>
        <v/>
      </c>
      <c r="D1372" s="280">
        <f>IF(offer_sale_type="транзит",IFERROR(VLOOKUP($B1372,calc_data,D$14+1,0),0),0)</f>
        <v/>
      </c>
      <c r="E1372" s="182">
        <f>IF(offer_sale_type="транзит",IFERROR(VLOOKUP($B1372,calc_data,E$14+1,0),0),0)</f>
        <v/>
      </c>
      <c r="F1372" s="182">
        <f>IF(offer_sale_type="транзит",IFERROR(VLOOKUP($B1372,calc_data,F$14+1,0),0),0)</f>
        <v/>
      </c>
      <c r="G1372" s="141">
        <f>IF(offer_sale_type="транзит",IFERROR(VLOOKUP($B1372,calc_data,G$14+1,0),0),0)</f>
        <v/>
      </c>
      <c r="H1372" s="141">
        <f>E1372*G1372</f>
        <v/>
      </c>
      <c r="I1372" s="141">
        <f>IF(offer_sale_type="транзит",IFERROR(ROUND(VLOOKUP($B1372,calc_data,I$14+1,0),2),0),0)</f>
        <v/>
      </c>
      <c r="J1372" s="141">
        <f>ROUND(IF(offer_sale_type="транзит",IFERROR(VLOOKUP($B1372,calc_data,J$14+1,0),0),0),2)</f>
        <v/>
      </c>
      <c r="K1372" s="142">
        <f>IF(offer_sale_type="транзит",IFERROR(ROUNDUP(VLOOKUP($B1372,calc_data,K$14+1,0),2),0),0)</f>
        <v/>
      </c>
      <c r="L1372" s="184">
        <f>IF(offer_sale_type="транзит",IFERROR(ROUNDUP(VLOOKUP($B1372,calc_data,L$14+1,0),2),0),0)</f>
        <v/>
      </c>
      <c r="M1372" s="141">
        <f>IF(offer_sale_type="транзит",IFERROR(ROUNDUP(VLOOKUP($B1372,calc_data,M$14+1,0),2),0),0)</f>
        <v/>
      </c>
      <c r="N1372" s="141">
        <f>IF(offer_sale_type="транзит",IFERROR(ROUNDUP(VLOOKUP($B1372,calc_data,N$14+1,0),2),0),0)</f>
        <v/>
      </c>
      <c r="O1372" s="147">
        <f>IF(offer_sale_type="транзит",IFERROR(ROUND(VLOOKUP($B1372,calc_data,O$14+1,1),2),0),0)</f>
        <v/>
      </c>
      <c r="P1372" s="141">
        <f>IF(offer_sale_type="транзит",IFERROR(ROUND(SUM(I1372:J1372,M1372:O1372)/E1372,2),0),0)</f>
        <v/>
      </c>
      <c r="Q1372" s="141">
        <f>E1372*P1372</f>
        <v/>
      </c>
      <c r="R1372" s="141">
        <f>ROUND(Q1372*IF(AND(offer_incoterms="DDP",seller_region="RU"),IF((TODAY()+offer_turnaround_time)&gt;=helpsheet!$L$17,rate_vatRU_from_26,rate_vatRu_till_25),0),2)</f>
        <v/>
      </c>
      <c r="S1372" s="177">
        <f>Q1372+IF(AND(offer_incoterms="DDP",seller_region="RU"),R1372,0)</f>
        <v/>
      </c>
      <c r="T1372" s="45" t="n"/>
      <c r="V1372" s="57">
        <f>IF(Q1372&gt;0,"показать","скрыть")</f>
        <v/>
      </c>
    </row>
    <row r="1373" ht="15.75" customHeight="1">
      <c r="B1373" s="809" t="n">
        <v>1357</v>
      </c>
      <c r="C1373" s="182">
        <f>IF(offer_sale_type="транзит",IFERROR(VLOOKUP($B1373,calc_data,C$14+1,0),0),0)</f>
        <v/>
      </c>
      <c r="D1373" s="280">
        <f>IF(offer_sale_type="транзит",IFERROR(VLOOKUP($B1373,calc_data,D$14+1,0),0),0)</f>
        <v/>
      </c>
      <c r="E1373" s="182">
        <f>IF(offer_sale_type="транзит",IFERROR(VLOOKUP($B1373,calc_data,E$14+1,0),0),0)</f>
        <v/>
      </c>
      <c r="F1373" s="182">
        <f>IF(offer_sale_type="транзит",IFERROR(VLOOKUP($B1373,calc_data,F$14+1,0),0),0)</f>
        <v/>
      </c>
      <c r="G1373" s="141">
        <f>IF(offer_sale_type="транзит",IFERROR(VLOOKUP($B1373,calc_data,G$14+1,0),0),0)</f>
        <v/>
      </c>
      <c r="H1373" s="141">
        <f>E1373*G1373</f>
        <v/>
      </c>
      <c r="I1373" s="141">
        <f>IF(offer_sale_type="транзит",IFERROR(ROUND(VLOOKUP($B1373,calc_data,I$14+1,0),2),0),0)</f>
        <v/>
      </c>
      <c r="J1373" s="141">
        <f>ROUND(IF(offer_sale_type="транзит",IFERROR(VLOOKUP($B1373,calc_data,J$14+1,0),0),0),2)</f>
        <v/>
      </c>
      <c r="K1373" s="142">
        <f>IF(offer_sale_type="транзит",IFERROR(ROUNDUP(VLOOKUP($B1373,calc_data,K$14+1,0),2),0),0)</f>
        <v/>
      </c>
      <c r="L1373" s="184">
        <f>IF(offer_sale_type="транзит",IFERROR(ROUNDUP(VLOOKUP($B1373,calc_data,L$14+1,0),2),0),0)</f>
        <v/>
      </c>
      <c r="M1373" s="141">
        <f>IF(offer_sale_type="транзит",IFERROR(ROUNDUP(VLOOKUP($B1373,calc_data,M$14+1,0),2),0),0)</f>
        <v/>
      </c>
      <c r="N1373" s="141">
        <f>IF(offer_sale_type="транзит",IFERROR(ROUNDUP(VLOOKUP($B1373,calc_data,N$14+1,0),2),0),0)</f>
        <v/>
      </c>
      <c r="O1373" s="147">
        <f>IF(offer_sale_type="транзит",IFERROR(ROUND(VLOOKUP($B1373,calc_data,O$14+1,1),2),0),0)</f>
        <v/>
      </c>
      <c r="P1373" s="141">
        <f>IF(offer_sale_type="транзит",IFERROR(ROUND(SUM(I1373:J1373,M1373:O1373)/E1373,2),0),0)</f>
        <v/>
      </c>
      <c r="Q1373" s="141">
        <f>E1373*P1373</f>
        <v/>
      </c>
      <c r="R1373" s="141">
        <f>ROUND(Q1373*IF(AND(offer_incoterms="DDP",seller_region="RU"),IF((TODAY()+offer_turnaround_time)&gt;=helpsheet!$L$17,rate_vatRU_from_26,rate_vatRu_till_25),0),2)</f>
        <v/>
      </c>
      <c r="S1373" s="177">
        <f>Q1373+IF(AND(offer_incoterms="DDP",seller_region="RU"),R1373,0)</f>
        <v/>
      </c>
      <c r="T1373" s="45" t="n"/>
      <c r="V1373" s="57">
        <f>IF(Q1373&gt;0,"показать","скрыть")</f>
        <v/>
      </c>
    </row>
    <row r="1374" ht="15.75" customHeight="1">
      <c r="B1374" s="809" t="n">
        <v>1358</v>
      </c>
      <c r="C1374" s="182">
        <f>IF(offer_sale_type="транзит",IFERROR(VLOOKUP($B1374,calc_data,C$14+1,0),0),0)</f>
        <v/>
      </c>
      <c r="D1374" s="280">
        <f>IF(offer_sale_type="транзит",IFERROR(VLOOKUP($B1374,calc_data,D$14+1,0),0),0)</f>
        <v/>
      </c>
      <c r="E1374" s="182">
        <f>IF(offer_sale_type="транзит",IFERROR(VLOOKUP($B1374,calc_data,E$14+1,0),0),0)</f>
        <v/>
      </c>
      <c r="F1374" s="182">
        <f>IF(offer_sale_type="транзит",IFERROR(VLOOKUP($B1374,calc_data,F$14+1,0),0),0)</f>
        <v/>
      </c>
      <c r="G1374" s="141">
        <f>IF(offer_sale_type="транзит",IFERROR(VLOOKUP($B1374,calc_data,G$14+1,0),0),0)</f>
        <v/>
      </c>
      <c r="H1374" s="141">
        <f>E1374*G1374</f>
        <v/>
      </c>
      <c r="I1374" s="141">
        <f>IF(offer_sale_type="транзит",IFERROR(ROUND(VLOOKUP($B1374,calc_data,I$14+1,0),2),0),0)</f>
        <v/>
      </c>
      <c r="J1374" s="141">
        <f>ROUND(IF(offer_sale_type="транзит",IFERROR(VLOOKUP($B1374,calc_data,J$14+1,0),0),0),2)</f>
        <v/>
      </c>
      <c r="K1374" s="142">
        <f>IF(offer_sale_type="транзит",IFERROR(ROUNDUP(VLOOKUP($B1374,calc_data,K$14+1,0),2),0),0)</f>
        <v/>
      </c>
      <c r="L1374" s="184">
        <f>IF(offer_sale_type="транзит",IFERROR(ROUNDUP(VLOOKUP($B1374,calc_data,L$14+1,0),2),0),0)</f>
        <v/>
      </c>
      <c r="M1374" s="141">
        <f>IF(offer_sale_type="транзит",IFERROR(ROUNDUP(VLOOKUP($B1374,calc_data,M$14+1,0),2),0),0)</f>
        <v/>
      </c>
      <c r="N1374" s="141">
        <f>IF(offer_sale_type="транзит",IFERROR(ROUNDUP(VLOOKUP($B1374,calc_data,N$14+1,0),2),0),0)</f>
        <v/>
      </c>
      <c r="O1374" s="147">
        <f>IF(offer_sale_type="транзит",IFERROR(ROUND(VLOOKUP($B1374,calc_data,O$14+1,1),2),0),0)</f>
        <v/>
      </c>
      <c r="P1374" s="141">
        <f>IF(offer_sale_type="транзит",IFERROR(ROUND(SUM(I1374:J1374,M1374:O1374)/E1374,2),0),0)</f>
        <v/>
      </c>
      <c r="Q1374" s="141">
        <f>E1374*P1374</f>
        <v/>
      </c>
      <c r="R1374" s="141">
        <f>ROUND(Q1374*IF(AND(offer_incoterms="DDP",seller_region="RU"),IF((TODAY()+offer_turnaround_time)&gt;=helpsheet!$L$17,rate_vatRU_from_26,rate_vatRu_till_25),0),2)</f>
        <v/>
      </c>
      <c r="S1374" s="177">
        <f>Q1374+IF(AND(offer_incoterms="DDP",seller_region="RU"),R1374,0)</f>
        <v/>
      </c>
      <c r="T1374" s="45" t="n"/>
      <c r="V1374" s="57">
        <f>IF(Q1374&gt;0,"показать","скрыть")</f>
        <v/>
      </c>
    </row>
    <row r="1375" ht="15.75" customHeight="1">
      <c r="B1375" s="809" t="n">
        <v>1359</v>
      </c>
      <c r="C1375" s="182">
        <f>IF(offer_sale_type="транзит",IFERROR(VLOOKUP($B1375,calc_data,C$14+1,0),0),0)</f>
        <v/>
      </c>
      <c r="D1375" s="280">
        <f>IF(offer_sale_type="транзит",IFERROR(VLOOKUP($B1375,calc_data,D$14+1,0),0),0)</f>
        <v/>
      </c>
      <c r="E1375" s="182">
        <f>IF(offer_sale_type="транзит",IFERROR(VLOOKUP($B1375,calc_data,E$14+1,0),0),0)</f>
        <v/>
      </c>
      <c r="F1375" s="182">
        <f>IF(offer_sale_type="транзит",IFERROR(VLOOKUP($B1375,calc_data,F$14+1,0),0),0)</f>
        <v/>
      </c>
      <c r="G1375" s="141">
        <f>IF(offer_sale_type="транзит",IFERROR(VLOOKUP($B1375,calc_data,G$14+1,0),0),0)</f>
        <v/>
      </c>
      <c r="H1375" s="141">
        <f>E1375*G1375</f>
        <v/>
      </c>
      <c r="I1375" s="141">
        <f>IF(offer_sale_type="транзит",IFERROR(ROUND(VLOOKUP($B1375,calc_data,I$14+1,0),2),0),0)</f>
        <v/>
      </c>
      <c r="J1375" s="141">
        <f>ROUND(IF(offer_sale_type="транзит",IFERROR(VLOOKUP($B1375,calc_data,J$14+1,0),0),0),2)</f>
        <v/>
      </c>
      <c r="K1375" s="142">
        <f>IF(offer_sale_type="транзит",IFERROR(ROUNDUP(VLOOKUP($B1375,calc_data,K$14+1,0),2),0),0)</f>
        <v/>
      </c>
      <c r="L1375" s="184">
        <f>IF(offer_sale_type="транзит",IFERROR(ROUNDUP(VLOOKUP($B1375,calc_data,L$14+1,0),2),0),0)</f>
        <v/>
      </c>
      <c r="M1375" s="141">
        <f>IF(offer_sale_type="транзит",IFERROR(ROUNDUP(VLOOKUP($B1375,calc_data,M$14+1,0),2),0),0)</f>
        <v/>
      </c>
      <c r="N1375" s="141">
        <f>IF(offer_sale_type="транзит",IFERROR(ROUNDUP(VLOOKUP($B1375,calc_data,N$14+1,0),2),0),0)</f>
        <v/>
      </c>
      <c r="O1375" s="147">
        <f>IF(offer_sale_type="транзит",IFERROR(ROUND(VLOOKUP($B1375,calc_data,O$14+1,1),2),0),0)</f>
        <v/>
      </c>
      <c r="P1375" s="141">
        <f>IF(offer_sale_type="транзит",IFERROR(ROUND(SUM(I1375:J1375,M1375:O1375)/E1375,2),0),0)</f>
        <v/>
      </c>
      <c r="Q1375" s="141">
        <f>E1375*P1375</f>
        <v/>
      </c>
      <c r="R1375" s="141">
        <f>ROUND(Q1375*IF(AND(offer_incoterms="DDP",seller_region="RU"),IF((TODAY()+offer_turnaround_time)&gt;=helpsheet!$L$17,rate_vatRU_from_26,rate_vatRu_till_25),0),2)</f>
        <v/>
      </c>
      <c r="S1375" s="177">
        <f>Q1375+IF(AND(offer_incoterms="DDP",seller_region="RU"),R1375,0)</f>
        <v/>
      </c>
      <c r="T1375" s="45" t="n"/>
      <c r="V1375" s="57">
        <f>IF(Q1375&gt;0,"показать","скрыть")</f>
        <v/>
      </c>
    </row>
    <row r="1376" ht="15.75" customHeight="1">
      <c r="B1376" s="809" t="n">
        <v>1360</v>
      </c>
      <c r="C1376" s="182">
        <f>IF(offer_sale_type="транзит",IFERROR(VLOOKUP($B1376,calc_data,C$14+1,0),0),0)</f>
        <v/>
      </c>
      <c r="D1376" s="280">
        <f>IF(offer_sale_type="транзит",IFERROR(VLOOKUP($B1376,calc_data,D$14+1,0),0),0)</f>
        <v/>
      </c>
      <c r="E1376" s="182">
        <f>IF(offer_sale_type="транзит",IFERROR(VLOOKUP($B1376,calc_data,E$14+1,0),0),0)</f>
        <v/>
      </c>
      <c r="F1376" s="182">
        <f>IF(offer_sale_type="транзит",IFERROR(VLOOKUP($B1376,calc_data,F$14+1,0),0),0)</f>
        <v/>
      </c>
      <c r="G1376" s="141">
        <f>IF(offer_sale_type="транзит",IFERROR(VLOOKUP($B1376,calc_data,G$14+1,0),0),0)</f>
        <v/>
      </c>
      <c r="H1376" s="141">
        <f>E1376*G1376</f>
        <v/>
      </c>
      <c r="I1376" s="141">
        <f>IF(offer_sale_type="транзит",IFERROR(ROUND(VLOOKUP($B1376,calc_data,I$14+1,0),2),0),0)</f>
        <v/>
      </c>
      <c r="J1376" s="141">
        <f>ROUND(IF(offer_sale_type="транзит",IFERROR(VLOOKUP($B1376,calc_data,J$14+1,0),0),0),2)</f>
        <v/>
      </c>
      <c r="K1376" s="142">
        <f>IF(offer_sale_type="транзит",IFERROR(ROUNDUP(VLOOKUP($B1376,calc_data,K$14+1,0),2),0),0)</f>
        <v/>
      </c>
      <c r="L1376" s="184">
        <f>IF(offer_sale_type="транзит",IFERROR(ROUNDUP(VLOOKUP($B1376,calc_data,L$14+1,0),2),0),0)</f>
        <v/>
      </c>
      <c r="M1376" s="141">
        <f>IF(offer_sale_type="транзит",IFERROR(ROUNDUP(VLOOKUP($B1376,calc_data,M$14+1,0),2),0),0)</f>
        <v/>
      </c>
      <c r="N1376" s="141">
        <f>IF(offer_sale_type="транзит",IFERROR(ROUNDUP(VLOOKUP($B1376,calc_data,N$14+1,0),2),0),0)</f>
        <v/>
      </c>
      <c r="O1376" s="147">
        <f>IF(offer_sale_type="транзит",IFERROR(ROUND(VLOOKUP($B1376,calc_data,O$14+1,1),2),0),0)</f>
        <v/>
      </c>
      <c r="P1376" s="141">
        <f>IF(offer_sale_type="транзит",IFERROR(ROUND(SUM(I1376:J1376,M1376:O1376)/E1376,2),0),0)</f>
        <v/>
      </c>
      <c r="Q1376" s="141">
        <f>E1376*P1376</f>
        <v/>
      </c>
      <c r="R1376" s="141">
        <f>ROUND(Q1376*IF(AND(offer_incoterms="DDP",seller_region="RU"),IF((TODAY()+offer_turnaround_time)&gt;=helpsheet!$L$17,rate_vatRU_from_26,rate_vatRu_till_25),0),2)</f>
        <v/>
      </c>
      <c r="S1376" s="177">
        <f>Q1376+IF(AND(offer_incoterms="DDP",seller_region="RU"),R1376,0)</f>
        <v/>
      </c>
      <c r="T1376" s="45" t="n"/>
      <c r="V1376" s="57">
        <f>IF(Q1376&gt;0,"показать","скрыть")</f>
        <v/>
      </c>
    </row>
    <row r="1377" ht="15.75" customHeight="1">
      <c r="B1377" s="809" t="n">
        <v>1361</v>
      </c>
      <c r="C1377" s="182">
        <f>IF(offer_sale_type="транзит",IFERROR(VLOOKUP($B1377,calc_data,C$14+1,0),0),0)</f>
        <v/>
      </c>
      <c r="D1377" s="280">
        <f>IF(offer_sale_type="транзит",IFERROR(VLOOKUP($B1377,calc_data,D$14+1,0),0),0)</f>
        <v/>
      </c>
      <c r="E1377" s="182">
        <f>IF(offer_sale_type="транзит",IFERROR(VLOOKUP($B1377,calc_data,E$14+1,0),0),0)</f>
        <v/>
      </c>
      <c r="F1377" s="182">
        <f>IF(offer_sale_type="транзит",IFERROR(VLOOKUP($B1377,calc_data,F$14+1,0),0),0)</f>
        <v/>
      </c>
      <c r="G1377" s="141">
        <f>IF(offer_sale_type="транзит",IFERROR(VLOOKUP($B1377,calc_data,G$14+1,0),0),0)</f>
        <v/>
      </c>
      <c r="H1377" s="141">
        <f>E1377*G1377</f>
        <v/>
      </c>
      <c r="I1377" s="141">
        <f>IF(offer_sale_type="транзит",IFERROR(ROUND(VLOOKUP($B1377,calc_data,I$14+1,0),2),0),0)</f>
        <v/>
      </c>
      <c r="J1377" s="141">
        <f>ROUND(IF(offer_sale_type="транзит",IFERROR(VLOOKUP($B1377,calc_data,J$14+1,0),0),0),2)</f>
        <v/>
      </c>
      <c r="K1377" s="142">
        <f>IF(offer_sale_type="транзит",IFERROR(ROUNDUP(VLOOKUP($B1377,calc_data,K$14+1,0),2),0),0)</f>
        <v/>
      </c>
      <c r="L1377" s="184">
        <f>IF(offer_sale_type="транзит",IFERROR(ROUNDUP(VLOOKUP($B1377,calc_data,L$14+1,0),2),0),0)</f>
        <v/>
      </c>
      <c r="M1377" s="141">
        <f>IF(offer_sale_type="транзит",IFERROR(ROUNDUP(VLOOKUP($B1377,calc_data,M$14+1,0),2),0),0)</f>
        <v/>
      </c>
      <c r="N1377" s="141">
        <f>IF(offer_sale_type="транзит",IFERROR(ROUNDUP(VLOOKUP($B1377,calc_data,N$14+1,0),2),0),0)</f>
        <v/>
      </c>
      <c r="O1377" s="147">
        <f>IF(offer_sale_type="транзит",IFERROR(ROUND(VLOOKUP($B1377,calc_data,O$14+1,1),2),0),0)</f>
        <v/>
      </c>
      <c r="P1377" s="141">
        <f>IF(offer_sale_type="транзит",IFERROR(ROUND(SUM(I1377:J1377,M1377:O1377)/E1377,2),0),0)</f>
        <v/>
      </c>
      <c r="Q1377" s="141">
        <f>E1377*P1377</f>
        <v/>
      </c>
      <c r="R1377" s="141">
        <f>ROUND(Q1377*IF(AND(offer_incoterms="DDP",seller_region="RU"),IF((TODAY()+offer_turnaround_time)&gt;=helpsheet!$L$17,rate_vatRU_from_26,rate_vatRu_till_25),0),2)</f>
        <v/>
      </c>
      <c r="S1377" s="177">
        <f>Q1377+IF(AND(offer_incoterms="DDP",seller_region="RU"),R1377,0)</f>
        <v/>
      </c>
      <c r="T1377" s="45" t="n"/>
      <c r="V1377" s="57">
        <f>IF(Q1377&gt;0,"показать","скрыть")</f>
        <v/>
      </c>
    </row>
    <row r="1378" ht="15.75" customHeight="1">
      <c r="B1378" s="809" t="n">
        <v>1362</v>
      </c>
      <c r="C1378" s="182">
        <f>IF(offer_sale_type="транзит",IFERROR(VLOOKUP($B1378,calc_data,C$14+1,0),0),0)</f>
        <v/>
      </c>
      <c r="D1378" s="280">
        <f>IF(offer_sale_type="транзит",IFERROR(VLOOKUP($B1378,calc_data,D$14+1,0),0),0)</f>
        <v/>
      </c>
      <c r="E1378" s="182">
        <f>IF(offer_sale_type="транзит",IFERROR(VLOOKUP($B1378,calc_data,E$14+1,0),0),0)</f>
        <v/>
      </c>
      <c r="F1378" s="182">
        <f>IF(offer_sale_type="транзит",IFERROR(VLOOKUP($B1378,calc_data,F$14+1,0),0),0)</f>
        <v/>
      </c>
      <c r="G1378" s="141">
        <f>IF(offer_sale_type="транзит",IFERROR(VLOOKUP($B1378,calc_data,G$14+1,0),0),0)</f>
        <v/>
      </c>
      <c r="H1378" s="141">
        <f>E1378*G1378</f>
        <v/>
      </c>
      <c r="I1378" s="141">
        <f>IF(offer_sale_type="транзит",IFERROR(ROUND(VLOOKUP($B1378,calc_data,I$14+1,0),2),0),0)</f>
        <v/>
      </c>
      <c r="J1378" s="141">
        <f>ROUND(IF(offer_sale_type="транзит",IFERROR(VLOOKUP($B1378,calc_data,J$14+1,0),0),0),2)</f>
        <v/>
      </c>
      <c r="K1378" s="142">
        <f>IF(offer_sale_type="транзит",IFERROR(ROUNDUP(VLOOKUP($B1378,calc_data,K$14+1,0),2),0),0)</f>
        <v/>
      </c>
      <c r="L1378" s="184">
        <f>IF(offer_sale_type="транзит",IFERROR(ROUNDUP(VLOOKUP($B1378,calc_data,L$14+1,0),2),0),0)</f>
        <v/>
      </c>
      <c r="M1378" s="141">
        <f>IF(offer_sale_type="транзит",IFERROR(ROUNDUP(VLOOKUP($B1378,calc_data,M$14+1,0),2),0),0)</f>
        <v/>
      </c>
      <c r="N1378" s="141">
        <f>IF(offer_sale_type="транзит",IFERROR(ROUNDUP(VLOOKUP($B1378,calc_data,N$14+1,0),2),0),0)</f>
        <v/>
      </c>
      <c r="O1378" s="147">
        <f>IF(offer_sale_type="транзит",IFERROR(ROUND(VLOOKUP($B1378,calc_data,O$14+1,1),2),0),0)</f>
        <v/>
      </c>
      <c r="P1378" s="141">
        <f>IF(offer_sale_type="транзит",IFERROR(ROUND(SUM(I1378:J1378,M1378:O1378)/E1378,2),0),0)</f>
        <v/>
      </c>
      <c r="Q1378" s="141">
        <f>E1378*P1378</f>
        <v/>
      </c>
      <c r="R1378" s="141">
        <f>ROUND(Q1378*IF(AND(offer_incoterms="DDP",seller_region="RU"),IF((TODAY()+offer_turnaround_time)&gt;=helpsheet!$L$17,rate_vatRU_from_26,rate_vatRu_till_25),0),2)</f>
        <v/>
      </c>
      <c r="S1378" s="177">
        <f>Q1378+IF(AND(offer_incoterms="DDP",seller_region="RU"),R1378,0)</f>
        <v/>
      </c>
      <c r="T1378" s="45" t="n"/>
      <c r="V1378" s="57">
        <f>IF(Q1378&gt;0,"показать","скрыть")</f>
        <v/>
      </c>
    </row>
    <row r="1379" ht="15.75" customHeight="1">
      <c r="B1379" s="809" t="n">
        <v>1363</v>
      </c>
      <c r="C1379" s="182">
        <f>IF(offer_sale_type="транзит",IFERROR(VLOOKUP($B1379,calc_data,C$14+1,0),0),0)</f>
        <v/>
      </c>
      <c r="D1379" s="280">
        <f>IF(offer_sale_type="транзит",IFERROR(VLOOKUP($B1379,calc_data,D$14+1,0),0),0)</f>
        <v/>
      </c>
      <c r="E1379" s="182">
        <f>IF(offer_sale_type="транзит",IFERROR(VLOOKUP($B1379,calc_data,E$14+1,0),0),0)</f>
        <v/>
      </c>
      <c r="F1379" s="182">
        <f>IF(offer_sale_type="транзит",IFERROR(VLOOKUP($B1379,calc_data,F$14+1,0),0),0)</f>
        <v/>
      </c>
      <c r="G1379" s="141">
        <f>IF(offer_sale_type="транзит",IFERROR(VLOOKUP($B1379,calc_data,G$14+1,0),0),0)</f>
        <v/>
      </c>
      <c r="H1379" s="141">
        <f>E1379*G1379</f>
        <v/>
      </c>
      <c r="I1379" s="141">
        <f>IF(offer_sale_type="транзит",IFERROR(ROUND(VLOOKUP($B1379,calc_data,I$14+1,0),2),0),0)</f>
        <v/>
      </c>
      <c r="J1379" s="141">
        <f>ROUND(IF(offer_sale_type="транзит",IFERROR(VLOOKUP($B1379,calc_data,J$14+1,0),0),0),2)</f>
        <v/>
      </c>
      <c r="K1379" s="142">
        <f>IF(offer_sale_type="транзит",IFERROR(ROUNDUP(VLOOKUP($B1379,calc_data,K$14+1,0),2),0),0)</f>
        <v/>
      </c>
      <c r="L1379" s="184">
        <f>IF(offer_sale_type="транзит",IFERROR(ROUNDUP(VLOOKUP($B1379,calc_data,L$14+1,0),2),0),0)</f>
        <v/>
      </c>
      <c r="M1379" s="141">
        <f>IF(offer_sale_type="транзит",IFERROR(ROUNDUP(VLOOKUP($B1379,calc_data,M$14+1,0),2),0),0)</f>
        <v/>
      </c>
      <c r="N1379" s="141">
        <f>IF(offer_sale_type="транзит",IFERROR(ROUNDUP(VLOOKUP($B1379,calc_data,N$14+1,0),2),0),0)</f>
        <v/>
      </c>
      <c r="O1379" s="147">
        <f>IF(offer_sale_type="транзит",IFERROR(ROUND(VLOOKUP($B1379,calc_data,O$14+1,1),2),0),0)</f>
        <v/>
      </c>
      <c r="P1379" s="141">
        <f>IF(offer_sale_type="транзит",IFERROR(ROUND(SUM(I1379:J1379,M1379:O1379)/E1379,2),0),0)</f>
        <v/>
      </c>
      <c r="Q1379" s="141">
        <f>E1379*P1379</f>
        <v/>
      </c>
      <c r="R1379" s="141">
        <f>ROUND(Q1379*IF(AND(offer_incoterms="DDP",seller_region="RU"),IF((TODAY()+offer_turnaround_time)&gt;=helpsheet!$L$17,rate_vatRU_from_26,rate_vatRu_till_25),0),2)</f>
        <v/>
      </c>
      <c r="S1379" s="177">
        <f>Q1379+IF(AND(offer_incoterms="DDP",seller_region="RU"),R1379,0)</f>
        <v/>
      </c>
      <c r="T1379" s="45" t="n"/>
      <c r="V1379" s="57">
        <f>IF(Q1379&gt;0,"показать","скрыть")</f>
        <v/>
      </c>
    </row>
    <row r="1380" ht="15.75" customHeight="1">
      <c r="B1380" s="809" t="n">
        <v>1364</v>
      </c>
      <c r="C1380" s="182">
        <f>IF(offer_sale_type="транзит",IFERROR(VLOOKUP($B1380,calc_data,C$14+1,0),0),0)</f>
        <v/>
      </c>
      <c r="D1380" s="280">
        <f>IF(offer_sale_type="транзит",IFERROR(VLOOKUP($B1380,calc_data,D$14+1,0),0),0)</f>
        <v/>
      </c>
      <c r="E1380" s="182">
        <f>IF(offer_sale_type="транзит",IFERROR(VLOOKUP($B1380,calc_data,E$14+1,0),0),0)</f>
        <v/>
      </c>
      <c r="F1380" s="182">
        <f>IF(offer_sale_type="транзит",IFERROR(VLOOKUP($B1380,calc_data,F$14+1,0),0),0)</f>
        <v/>
      </c>
      <c r="G1380" s="141">
        <f>IF(offer_sale_type="транзит",IFERROR(VLOOKUP($B1380,calc_data,G$14+1,0),0),0)</f>
        <v/>
      </c>
      <c r="H1380" s="141">
        <f>E1380*G1380</f>
        <v/>
      </c>
      <c r="I1380" s="141">
        <f>IF(offer_sale_type="транзит",IFERROR(ROUND(VLOOKUP($B1380,calc_data,I$14+1,0),2),0),0)</f>
        <v/>
      </c>
      <c r="J1380" s="141">
        <f>ROUND(IF(offer_sale_type="транзит",IFERROR(VLOOKUP($B1380,calc_data,J$14+1,0),0),0),2)</f>
        <v/>
      </c>
      <c r="K1380" s="142">
        <f>IF(offer_sale_type="транзит",IFERROR(ROUNDUP(VLOOKUP($B1380,calc_data,K$14+1,0),2),0),0)</f>
        <v/>
      </c>
      <c r="L1380" s="184">
        <f>IF(offer_sale_type="транзит",IFERROR(ROUNDUP(VLOOKUP($B1380,calc_data,L$14+1,0),2),0),0)</f>
        <v/>
      </c>
      <c r="M1380" s="141">
        <f>IF(offer_sale_type="транзит",IFERROR(ROUNDUP(VLOOKUP($B1380,calc_data,M$14+1,0),2),0),0)</f>
        <v/>
      </c>
      <c r="N1380" s="141">
        <f>IF(offer_sale_type="транзит",IFERROR(ROUNDUP(VLOOKUP($B1380,calc_data,N$14+1,0),2),0),0)</f>
        <v/>
      </c>
      <c r="O1380" s="147">
        <f>IF(offer_sale_type="транзит",IFERROR(ROUND(VLOOKUP($B1380,calc_data,O$14+1,1),2),0),0)</f>
        <v/>
      </c>
      <c r="P1380" s="141">
        <f>IF(offer_sale_type="транзит",IFERROR(ROUND(SUM(I1380:J1380,M1380:O1380)/E1380,2),0),0)</f>
        <v/>
      </c>
      <c r="Q1380" s="141">
        <f>E1380*P1380</f>
        <v/>
      </c>
      <c r="R1380" s="141">
        <f>ROUND(Q1380*IF(AND(offer_incoterms="DDP",seller_region="RU"),IF((TODAY()+offer_turnaround_time)&gt;=helpsheet!$L$17,rate_vatRU_from_26,rate_vatRu_till_25),0),2)</f>
        <v/>
      </c>
      <c r="S1380" s="177">
        <f>Q1380+IF(AND(offer_incoterms="DDP",seller_region="RU"),R1380,0)</f>
        <v/>
      </c>
      <c r="T1380" s="45" t="n"/>
      <c r="V1380" s="57">
        <f>IF(Q1380&gt;0,"показать","скрыть")</f>
        <v/>
      </c>
    </row>
    <row r="1381" ht="15.75" customHeight="1">
      <c r="B1381" s="809" t="n">
        <v>1365</v>
      </c>
      <c r="C1381" s="182">
        <f>IF(offer_sale_type="транзит",IFERROR(VLOOKUP($B1381,calc_data,C$14+1,0),0),0)</f>
        <v/>
      </c>
      <c r="D1381" s="280">
        <f>IF(offer_sale_type="транзит",IFERROR(VLOOKUP($B1381,calc_data,D$14+1,0),0),0)</f>
        <v/>
      </c>
      <c r="E1381" s="182">
        <f>IF(offer_sale_type="транзит",IFERROR(VLOOKUP($B1381,calc_data,E$14+1,0),0),0)</f>
        <v/>
      </c>
      <c r="F1381" s="182">
        <f>IF(offer_sale_type="транзит",IFERROR(VLOOKUP($B1381,calc_data,F$14+1,0),0),0)</f>
        <v/>
      </c>
      <c r="G1381" s="141">
        <f>IF(offer_sale_type="транзит",IFERROR(VLOOKUP($B1381,calc_data,G$14+1,0),0),0)</f>
        <v/>
      </c>
      <c r="H1381" s="141">
        <f>E1381*G1381</f>
        <v/>
      </c>
      <c r="I1381" s="141">
        <f>IF(offer_sale_type="транзит",IFERROR(ROUND(VLOOKUP($B1381,calc_data,I$14+1,0),2),0),0)</f>
        <v/>
      </c>
      <c r="J1381" s="141">
        <f>ROUND(IF(offer_sale_type="транзит",IFERROR(VLOOKUP($B1381,calc_data,J$14+1,0),0),0),2)</f>
        <v/>
      </c>
      <c r="K1381" s="142">
        <f>IF(offer_sale_type="транзит",IFERROR(ROUNDUP(VLOOKUP($B1381,calc_data,K$14+1,0),2),0),0)</f>
        <v/>
      </c>
      <c r="L1381" s="184">
        <f>IF(offer_sale_type="транзит",IFERROR(ROUNDUP(VLOOKUP($B1381,calc_data,L$14+1,0),2),0),0)</f>
        <v/>
      </c>
      <c r="M1381" s="141">
        <f>IF(offer_sale_type="транзит",IFERROR(ROUNDUP(VLOOKUP($B1381,calc_data,M$14+1,0),2),0),0)</f>
        <v/>
      </c>
      <c r="N1381" s="141">
        <f>IF(offer_sale_type="транзит",IFERROR(ROUNDUP(VLOOKUP($B1381,calc_data,N$14+1,0),2),0),0)</f>
        <v/>
      </c>
      <c r="O1381" s="147">
        <f>IF(offer_sale_type="транзит",IFERROR(ROUND(VLOOKUP($B1381,calc_data,O$14+1,1),2),0),0)</f>
        <v/>
      </c>
      <c r="P1381" s="141">
        <f>IF(offer_sale_type="транзит",IFERROR(ROUND(SUM(I1381:J1381,M1381:O1381)/E1381,2),0),0)</f>
        <v/>
      </c>
      <c r="Q1381" s="141">
        <f>E1381*P1381</f>
        <v/>
      </c>
      <c r="R1381" s="141">
        <f>ROUND(Q1381*IF(AND(offer_incoterms="DDP",seller_region="RU"),IF((TODAY()+offer_turnaround_time)&gt;=helpsheet!$L$17,rate_vatRU_from_26,rate_vatRu_till_25),0),2)</f>
        <v/>
      </c>
      <c r="S1381" s="177">
        <f>Q1381+IF(AND(offer_incoterms="DDP",seller_region="RU"),R1381,0)</f>
        <v/>
      </c>
      <c r="T1381" s="45" t="n"/>
      <c r="V1381" s="57">
        <f>IF(Q1381&gt;0,"показать","скрыть")</f>
        <v/>
      </c>
    </row>
    <row r="1382" ht="15.75" customHeight="1">
      <c r="B1382" s="809" t="n">
        <v>1366</v>
      </c>
      <c r="C1382" s="182">
        <f>IF(offer_sale_type="транзит",IFERROR(VLOOKUP($B1382,calc_data,C$14+1,0),0),0)</f>
        <v/>
      </c>
      <c r="D1382" s="280">
        <f>IF(offer_sale_type="транзит",IFERROR(VLOOKUP($B1382,calc_data,D$14+1,0),0),0)</f>
        <v/>
      </c>
      <c r="E1382" s="182">
        <f>IF(offer_sale_type="транзит",IFERROR(VLOOKUP($B1382,calc_data,E$14+1,0),0),0)</f>
        <v/>
      </c>
      <c r="F1382" s="182">
        <f>IF(offer_sale_type="транзит",IFERROR(VLOOKUP($B1382,calc_data,F$14+1,0),0),0)</f>
        <v/>
      </c>
      <c r="G1382" s="141">
        <f>IF(offer_sale_type="транзит",IFERROR(VLOOKUP($B1382,calc_data,G$14+1,0),0),0)</f>
        <v/>
      </c>
      <c r="H1382" s="141">
        <f>E1382*G1382</f>
        <v/>
      </c>
      <c r="I1382" s="141">
        <f>IF(offer_sale_type="транзит",IFERROR(ROUND(VLOOKUP($B1382,calc_data,I$14+1,0),2),0),0)</f>
        <v/>
      </c>
      <c r="J1382" s="141">
        <f>ROUND(IF(offer_sale_type="транзит",IFERROR(VLOOKUP($B1382,calc_data,J$14+1,0),0),0),2)</f>
        <v/>
      </c>
      <c r="K1382" s="142">
        <f>IF(offer_sale_type="транзит",IFERROR(ROUNDUP(VLOOKUP($B1382,calc_data,K$14+1,0),2),0),0)</f>
        <v/>
      </c>
      <c r="L1382" s="184">
        <f>IF(offer_sale_type="транзит",IFERROR(ROUNDUP(VLOOKUP($B1382,calc_data,L$14+1,0),2),0),0)</f>
        <v/>
      </c>
      <c r="M1382" s="141">
        <f>IF(offer_sale_type="транзит",IFERROR(ROUNDUP(VLOOKUP($B1382,calc_data,M$14+1,0),2),0),0)</f>
        <v/>
      </c>
      <c r="N1382" s="141">
        <f>IF(offer_sale_type="транзит",IFERROR(ROUNDUP(VLOOKUP($B1382,calc_data,N$14+1,0),2),0),0)</f>
        <v/>
      </c>
      <c r="O1382" s="147">
        <f>IF(offer_sale_type="транзит",IFERROR(ROUND(VLOOKUP($B1382,calc_data,O$14+1,1),2),0),0)</f>
        <v/>
      </c>
      <c r="P1382" s="141">
        <f>IF(offer_sale_type="транзит",IFERROR(ROUND(SUM(I1382:J1382,M1382:O1382)/E1382,2),0),0)</f>
        <v/>
      </c>
      <c r="Q1382" s="141">
        <f>E1382*P1382</f>
        <v/>
      </c>
      <c r="R1382" s="141">
        <f>ROUND(Q1382*IF(AND(offer_incoterms="DDP",seller_region="RU"),IF((TODAY()+offer_turnaround_time)&gt;=helpsheet!$L$17,rate_vatRU_from_26,rate_vatRu_till_25),0),2)</f>
        <v/>
      </c>
      <c r="S1382" s="177">
        <f>Q1382+IF(AND(offer_incoterms="DDP",seller_region="RU"),R1382,0)</f>
        <v/>
      </c>
      <c r="T1382" s="45" t="n"/>
      <c r="V1382" s="57">
        <f>IF(Q1382&gt;0,"показать","скрыть")</f>
        <v/>
      </c>
    </row>
    <row r="1383" ht="15.75" customHeight="1">
      <c r="B1383" s="809" t="n">
        <v>1367</v>
      </c>
      <c r="C1383" s="182">
        <f>IF(offer_sale_type="транзит",IFERROR(VLOOKUP($B1383,calc_data,C$14+1,0),0),0)</f>
        <v/>
      </c>
      <c r="D1383" s="280">
        <f>IF(offer_sale_type="транзит",IFERROR(VLOOKUP($B1383,calc_data,D$14+1,0),0),0)</f>
        <v/>
      </c>
      <c r="E1383" s="182">
        <f>IF(offer_sale_type="транзит",IFERROR(VLOOKUP($B1383,calc_data,E$14+1,0),0),0)</f>
        <v/>
      </c>
      <c r="F1383" s="182">
        <f>IF(offer_sale_type="транзит",IFERROR(VLOOKUP($B1383,calc_data,F$14+1,0),0),0)</f>
        <v/>
      </c>
      <c r="G1383" s="141">
        <f>IF(offer_sale_type="транзит",IFERROR(VLOOKUP($B1383,calc_data,G$14+1,0),0),0)</f>
        <v/>
      </c>
      <c r="H1383" s="141">
        <f>E1383*G1383</f>
        <v/>
      </c>
      <c r="I1383" s="141">
        <f>IF(offer_sale_type="транзит",IFERROR(ROUND(VLOOKUP($B1383,calc_data,I$14+1,0),2),0),0)</f>
        <v/>
      </c>
      <c r="J1383" s="141">
        <f>ROUND(IF(offer_sale_type="транзит",IFERROR(VLOOKUP($B1383,calc_data,J$14+1,0),0),0),2)</f>
        <v/>
      </c>
      <c r="K1383" s="142">
        <f>IF(offer_sale_type="транзит",IFERROR(ROUNDUP(VLOOKUP($B1383,calc_data,K$14+1,0),2),0),0)</f>
        <v/>
      </c>
      <c r="L1383" s="184">
        <f>IF(offer_sale_type="транзит",IFERROR(ROUNDUP(VLOOKUP($B1383,calc_data,L$14+1,0),2),0),0)</f>
        <v/>
      </c>
      <c r="M1383" s="141">
        <f>IF(offer_sale_type="транзит",IFERROR(ROUNDUP(VLOOKUP($B1383,calc_data,M$14+1,0),2),0),0)</f>
        <v/>
      </c>
      <c r="N1383" s="141">
        <f>IF(offer_sale_type="транзит",IFERROR(ROUNDUP(VLOOKUP($B1383,calc_data,N$14+1,0),2),0),0)</f>
        <v/>
      </c>
      <c r="O1383" s="147">
        <f>IF(offer_sale_type="транзит",IFERROR(ROUND(VLOOKUP($B1383,calc_data,O$14+1,1),2),0),0)</f>
        <v/>
      </c>
      <c r="P1383" s="141">
        <f>IF(offer_sale_type="транзит",IFERROR(ROUND(SUM(I1383:J1383,M1383:O1383)/E1383,2),0),0)</f>
        <v/>
      </c>
      <c r="Q1383" s="141">
        <f>E1383*P1383</f>
        <v/>
      </c>
      <c r="R1383" s="141">
        <f>ROUND(Q1383*IF(AND(offer_incoterms="DDP",seller_region="RU"),IF((TODAY()+offer_turnaround_time)&gt;=helpsheet!$L$17,rate_vatRU_from_26,rate_vatRu_till_25),0),2)</f>
        <v/>
      </c>
      <c r="S1383" s="177">
        <f>Q1383+IF(AND(offer_incoterms="DDP",seller_region="RU"),R1383,0)</f>
        <v/>
      </c>
      <c r="T1383" s="45" t="n"/>
      <c r="V1383" s="57">
        <f>IF(Q1383&gt;0,"показать","скрыть")</f>
        <v/>
      </c>
    </row>
    <row r="1384" ht="15.75" customHeight="1">
      <c r="B1384" s="809" t="n">
        <v>1368</v>
      </c>
      <c r="C1384" s="182">
        <f>IF(offer_sale_type="транзит",IFERROR(VLOOKUP($B1384,calc_data,C$14+1,0),0),0)</f>
        <v/>
      </c>
      <c r="D1384" s="280">
        <f>IF(offer_sale_type="транзит",IFERROR(VLOOKUP($B1384,calc_data,D$14+1,0),0),0)</f>
        <v/>
      </c>
      <c r="E1384" s="182">
        <f>IF(offer_sale_type="транзит",IFERROR(VLOOKUP($B1384,calc_data,E$14+1,0),0),0)</f>
        <v/>
      </c>
      <c r="F1384" s="182">
        <f>IF(offer_sale_type="транзит",IFERROR(VLOOKUP($B1384,calc_data,F$14+1,0),0),0)</f>
        <v/>
      </c>
      <c r="G1384" s="141">
        <f>IF(offer_sale_type="транзит",IFERROR(VLOOKUP($B1384,calc_data,G$14+1,0),0),0)</f>
        <v/>
      </c>
      <c r="H1384" s="141">
        <f>E1384*G1384</f>
        <v/>
      </c>
      <c r="I1384" s="141">
        <f>IF(offer_sale_type="транзит",IFERROR(ROUND(VLOOKUP($B1384,calc_data,I$14+1,0),2),0),0)</f>
        <v/>
      </c>
      <c r="J1384" s="141">
        <f>ROUND(IF(offer_sale_type="транзит",IFERROR(VLOOKUP($B1384,calc_data,J$14+1,0),0),0),2)</f>
        <v/>
      </c>
      <c r="K1384" s="142">
        <f>IF(offer_sale_type="транзит",IFERROR(ROUNDUP(VLOOKUP($B1384,calc_data,K$14+1,0),2),0),0)</f>
        <v/>
      </c>
      <c r="L1384" s="184">
        <f>IF(offer_sale_type="транзит",IFERROR(ROUNDUP(VLOOKUP($B1384,calc_data,L$14+1,0),2),0),0)</f>
        <v/>
      </c>
      <c r="M1384" s="141">
        <f>IF(offer_sale_type="транзит",IFERROR(ROUNDUP(VLOOKUP($B1384,calc_data,M$14+1,0),2),0),0)</f>
        <v/>
      </c>
      <c r="N1384" s="141">
        <f>IF(offer_sale_type="транзит",IFERROR(ROUNDUP(VLOOKUP($B1384,calc_data,N$14+1,0),2),0),0)</f>
        <v/>
      </c>
      <c r="O1384" s="147">
        <f>IF(offer_sale_type="транзит",IFERROR(ROUND(VLOOKUP($B1384,calc_data,O$14+1,1),2),0),0)</f>
        <v/>
      </c>
      <c r="P1384" s="141">
        <f>IF(offer_sale_type="транзит",IFERROR(ROUND(SUM(I1384:J1384,M1384:O1384)/E1384,2),0),0)</f>
        <v/>
      </c>
      <c r="Q1384" s="141">
        <f>E1384*P1384</f>
        <v/>
      </c>
      <c r="R1384" s="141">
        <f>ROUND(Q1384*IF(AND(offer_incoterms="DDP",seller_region="RU"),IF((TODAY()+offer_turnaround_time)&gt;=helpsheet!$L$17,rate_vatRU_from_26,rate_vatRu_till_25),0),2)</f>
        <v/>
      </c>
      <c r="S1384" s="177">
        <f>Q1384+IF(AND(offer_incoterms="DDP",seller_region="RU"),R1384,0)</f>
        <v/>
      </c>
      <c r="T1384" s="45" t="n"/>
      <c r="V1384" s="57">
        <f>IF(Q1384&gt;0,"показать","скрыть")</f>
        <v/>
      </c>
    </row>
    <row r="1385" ht="15.75" customHeight="1">
      <c r="B1385" s="809" t="n">
        <v>1369</v>
      </c>
      <c r="C1385" s="182">
        <f>IF(offer_sale_type="транзит",IFERROR(VLOOKUP($B1385,calc_data,C$14+1,0),0),0)</f>
        <v/>
      </c>
      <c r="D1385" s="280">
        <f>IF(offer_sale_type="транзит",IFERROR(VLOOKUP($B1385,calc_data,D$14+1,0),0),0)</f>
        <v/>
      </c>
      <c r="E1385" s="182">
        <f>IF(offer_sale_type="транзит",IFERROR(VLOOKUP($B1385,calc_data,E$14+1,0),0),0)</f>
        <v/>
      </c>
      <c r="F1385" s="182">
        <f>IF(offer_sale_type="транзит",IFERROR(VLOOKUP($B1385,calc_data,F$14+1,0),0),0)</f>
        <v/>
      </c>
      <c r="G1385" s="141">
        <f>IF(offer_sale_type="транзит",IFERROR(VLOOKUP($B1385,calc_data,G$14+1,0),0),0)</f>
        <v/>
      </c>
      <c r="H1385" s="141">
        <f>E1385*G1385</f>
        <v/>
      </c>
      <c r="I1385" s="141">
        <f>IF(offer_sale_type="транзит",IFERROR(ROUND(VLOOKUP($B1385,calc_data,I$14+1,0),2),0),0)</f>
        <v/>
      </c>
      <c r="J1385" s="141">
        <f>ROUND(IF(offer_sale_type="транзит",IFERROR(VLOOKUP($B1385,calc_data,J$14+1,0),0),0),2)</f>
        <v/>
      </c>
      <c r="K1385" s="142">
        <f>IF(offer_sale_type="транзит",IFERROR(ROUNDUP(VLOOKUP($B1385,calc_data,K$14+1,0),2),0),0)</f>
        <v/>
      </c>
      <c r="L1385" s="184">
        <f>IF(offer_sale_type="транзит",IFERROR(ROUNDUP(VLOOKUP($B1385,calc_data,L$14+1,0),2),0),0)</f>
        <v/>
      </c>
      <c r="M1385" s="141">
        <f>IF(offer_sale_type="транзит",IFERROR(ROUNDUP(VLOOKUP($B1385,calc_data,M$14+1,0),2),0),0)</f>
        <v/>
      </c>
      <c r="N1385" s="141">
        <f>IF(offer_sale_type="транзит",IFERROR(ROUNDUP(VLOOKUP($B1385,calc_data,N$14+1,0),2),0),0)</f>
        <v/>
      </c>
      <c r="O1385" s="147">
        <f>IF(offer_sale_type="транзит",IFERROR(ROUND(VLOOKUP($B1385,calc_data,O$14+1,1),2),0),0)</f>
        <v/>
      </c>
      <c r="P1385" s="141">
        <f>IF(offer_sale_type="транзит",IFERROR(ROUND(SUM(I1385:J1385,M1385:O1385)/E1385,2),0),0)</f>
        <v/>
      </c>
      <c r="Q1385" s="141">
        <f>E1385*P1385</f>
        <v/>
      </c>
      <c r="R1385" s="141">
        <f>ROUND(Q1385*IF(AND(offer_incoterms="DDP",seller_region="RU"),IF((TODAY()+offer_turnaround_time)&gt;=helpsheet!$L$17,rate_vatRU_from_26,rate_vatRu_till_25),0),2)</f>
        <v/>
      </c>
      <c r="S1385" s="177">
        <f>Q1385+IF(AND(offer_incoterms="DDP",seller_region="RU"),R1385,0)</f>
        <v/>
      </c>
      <c r="T1385" s="45" t="n"/>
      <c r="V1385" s="57">
        <f>IF(Q1385&gt;0,"показать","скрыть")</f>
        <v/>
      </c>
    </row>
    <row r="1386" ht="15.75" customHeight="1">
      <c r="B1386" s="809" t="n">
        <v>1370</v>
      </c>
      <c r="C1386" s="182">
        <f>IF(offer_sale_type="транзит",IFERROR(VLOOKUP($B1386,calc_data,C$14+1,0),0),0)</f>
        <v/>
      </c>
      <c r="D1386" s="280">
        <f>IF(offer_sale_type="транзит",IFERROR(VLOOKUP($B1386,calc_data,D$14+1,0),0),0)</f>
        <v/>
      </c>
      <c r="E1386" s="182">
        <f>IF(offer_sale_type="транзит",IFERROR(VLOOKUP($B1386,calc_data,E$14+1,0),0),0)</f>
        <v/>
      </c>
      <c r="F1386" s="182">
        <f>IF(offer_sale_type="транзит",IFERROR(VLOOKUP($B1386,calc_data,F$14+1,0),0),0)</f>
        <v/>
      </c>
      <c r="G1386" s="141">
        <f>IF(offer_sale_type="транзит",IFERROR(VLOOKUP($B1386,calc_data,G$14+1,0),0),0)</f>
        <v/>
      </c>
      <c r="H1386" s="141">
        <f>E1386*G1386</f>
        <v/>
      </c>
      <c r="I1386" s="141">
        <f>IF(offer_sale_type="транзит",IFERROR(ROUND(VLOOKUP($B1386,calc_data,I$14+1,0),2),0),0)</f>
        <v/>
      </c>
      <c r="J1386" s="141">
        <f>ROUND(IF(offer_sale_type="транзит",IFERROR(VLOOKUP($B1386,calc_data,J$14+1,0),0),0),2)</f>
        <v/>
      </c>
      <c r="K1386" s="142">
        <f>IF(offer_sale_type="транзит",IFERROR(ROUNDUP(VLOOKUP($B1386,calc_data,K$14+1,0),2),0),0)</f>
        <v/>
      </c>
      <c r="L1386" s="184">
        <f>IF(offer_sale_type="транзит",IFERROR(ROUNDUP(VLOOKUP($B1386,calc_data,L$14+1,0),2),0),0)</f>
        <v/>
      </c>
      <c r="M1386" s="141">
        <f>IF(offer_sale_type="транзит",IFERROR(ROUNDUP(VLOOKUP($B1386,calc_data,M$14+1,0),2),0),0)</f>
        <v/>
      </c>
      <c r="N1386" s="141">
        <f>IF(offer_sale_type="транзит",IFERROR(ROUNDUP(VLOOKUP($B1386,calc_data,N$14+1,0),2),0),0)</f>
        <v/>
      </c>
      <c r="O1386" s="147">
        <f>IF(offer_sale_type="транзит",IFERROR(ROUND(VLOOKUP($B1386,calc_data,O$14+1,1),2),0),0)</f>
        <v/>
      </c>
      <c r="P1386" s="141">
        <f>IF(offer_sale_type="транзит",IFERROR(ROUND(SUM(I1386:J1386,M1386:O1386)/E1386,2),0),0)</f>
        <v/>
      </c>
      <c r="Q1386" s="141">
        <f>E1386*P1386</f>
        <v/>
      </c>
      <c r="R1386" s="141">
        <f>ROUND(Q1386*IF(AND(offer_incoterms="DDP",seller_region="RU"),IF((TODAY()+offer_turnaround_time)&gt;=helpsheet!$L$17,rate_vatRU_from_26,rate_vatRu_till_25),0),2)</f>
        <v/>
      </c>
      <c r="S1386" s="177">
        <f>Q1386+IF(AND(offer_incoterms="DDP",seller_region="RU"),R1386,0)</f>
        <v/>
      </c>
      <c r="T1386" s="45" t="n"/>
      <c r="V1386" s="57">
        <f>IF(Q1386&gt;0,"показать","скрыть")</f>
        <v/>
      </c>
    </row>
    <row r="1387" ht="15.75" customHeight="1">
      <c r="B1387" s="809" t="n">
        <v>1371</v>
      </c>
      <c r="C1387" s="182">
        <f>IF(offer_sale_type="транзит",IFERROR(VLOOKUP($B1387,calc_data,C$14+1,0),0),0)</f>
        <v/>
      </c>
      <c r="D1387" s="280">
        <f>IF(offer_sale_type="транзит",IFERROR(VLOOKUP($B1387,calc_data,D$14+1,0),0),0)</f>
        <v/>
      </c>
      <c r="E1387" s="182">
        <f>IF(offer_sale_type="транзит",IFERROR(VLOOKUP($B1387,calc_data,E$14+1,0),0),0)</f>
        <v/>
      </c>
      <c r="F1387" s="182">
        <f>IF(offer_sale_type="транзит",IFERROR(VLOOKUP($B1387,calc_data,F$14+1,0),0),0)</f>
        <v/>
      </c>
      <c r="G1387" s="141">
        <f>IF(offer_sale_type="транзит",IFERROR(VLOOKUP($B1387,calc_data,G$14+1,0),0),0)</f>
        <v/>
      </c>
      <c r="H1387" s="141">
        <f>E1387*G1387</f>
        <v/>
      </c>
      <c r="I1387" s="141">
        <f>IF(offer_sale_type="транзит",IFERROR(ROUND(VLOOKUP($B1387,calc_data,I$14+1,0),2),0),0)</f>
        <v/>
      </c>
      <c r="J1387" s="141">
        <f>ROUND(IF(offer_sale_type="транзит",IFERROR(VLOOKUP($B1387,calc_data,J$14+1,0),0),0),2)</f>
        <v/>
      </c>
      <c r="K1387" s="142">
        <f>IF(offer_sale_type="транзит",IFERROR(ROUNDUP(VLOOKUP($B1387,calc_data,K$14+1,0),2),0),0)</f>
        <v/>
      </c>
      <c r="L1387" s="184">
        <f>IF(offer_sale_type="транзит",IFERROR(ROUNDUP(VLOOKUP($B1387,calc_data,L$14+1,0),2),0),0)</f>
        <v/>
      </c>
      <c r="M1387" s="141">
        <f>IF(offer_sale_type="транзит",IFERROR(ROUNDUP(VLOOKUP($B1387,calc_data,M$14+1,0),2),0),0)</f>
        <v/>
      </c>
      <c r="N1387" s="141">
        <f>IF(offer_sale_type="транзит",IFERROR(ROUNDUP(VLOOKUP($B1387,calc_data,N$14+1,0),2),0),0)</f>
        <v/>
      </c>
      <c r="O1387" s="147">
        <f>IF(offer_sale_type="транзит",IFERROR(ROUND(VLOOKUP($B1387,calc_data,O$14+1,1),2),0),0)</f>
        <v/>
      </c>
      <c r="P1387" s="141">
        <f>IF(offer_sale_type="транзит",IFERROR(ROUND(SUM(I1387:J1387,M1387:O1387)/E1387,2),0),0)</f>
        <v/>
      </c>
      <c r="Q1387" s="141">
        <f>E1387*P1387</f>
        <v/>
      </c>
      <c r="R1387" s="141">
        <f>ROUND(Q1387*IF(AND(offer_incoterms="DDP",seller_region="RU"),IF((TODAY()+offer_turnaround_time)&gt;=helpsheet!$L$17,rate_vatRU_from_26,rate_vatRu_till_25),0),2)</f>
        <v/>
      </c>
      <c r="S1387" s="177">
        <f>Q1387+IF(AND(offer_incoterms="DDP",seller_region="RU"),R1387,0)</f>
        <v/>
      </c>
      <c r="T1387" s="45" t="n"/>
      <c r="V1387" s="57">
        <f>IF(Q1387&gt;0,"показать","скрыть")</f>
        <v/>
      </c>
    </row>
    <row r="1388" ht="15.75" customHeight="1">
      <c r="B1388" s="809" t="n">
        <v>1372</v>
      </c>
      <c r="C1388" s="182">
        <f>IF(offer_sale_type="транзит",IFERROR(VLOOKUP($B1388,calc_data,C$14+1,0),0),0)</f>
        <v/>
      </c>
      <c r="D1388" s="280">
        <f>IF(offer_sale_type="транзит",IFERROR(VLOOKUP($B1388,calc_data,D$14+1,0),0),0)</f>
        <v/>
      </c>
      <c r="E1388" s="182">
        <f>IF(offer_sale_type="транзит",IFERROR(VLOOKUP($B1388,calc_data,E$14+1,0),0),0)</f>
        <v/>
      </c>
      <c r="F1388" s="182">
        <f>IF(offer_sale_type="транзит",IFERROR(VLOOKUP($B1388,calc_data,F$14+1,0),0),0)</f>
        <v/>
      </c>
      <c r="G1388" s="141">
        <f>IF(offer_sale_type="транзит",IFERROR(VLOOKUP($B1388,calc_data,G$14+1,0),0),0)</f>
        <v/>
      </c>
      <c r="H1388" s="141">
        <f>E1388*G1388</f>
        <v/>
      </c>
      <c r="I1388" s="141">
        <f>IF(offer_sale_type="транзит",IFERROR(ROUND(VLOOKUP($B1388,calc_data,I$14+1,0),2),0),0)</f>
        <v/>
      </c>
      <c r="J1388" s="141">
        <f>ROUND(IF(offer_sale_type="транзит",IFERROR(VLOOKUP($B1388,calc_data,J$14+1,0),0),0),2)</f>
        <v/>
      </c>
      <c r="K1388" s="142">
        <f>IF(offer_sale_type="транзит",IFERROR(ROUNDUP(VLOOKUP($B1388,calc_data,K$14+1,0),2),0),0)</f>
        <v/>
      </c>
      <c r="L1388" s="184">
        <f>IF(offer_sale_type="транзит",IFERROR(ROUNDUP(VLOOKUP($B1388,calc_data,L$14+1,0),2),0),0)</f>
        <v/>
      </c>
      <c r="M1388" s="141">
        <f>IF(offer_sale_type="транзит",IFERROR(ROUNDUP(VLOOKUP($B1388,calc_data,M$14+1,0),2),0),0)</f>
        <v/>
      </c>
      <c r="N1388" s="141">
        <f>IF(offer_sale_type="транзит",IFERROR(ROUNDUP(VLOOKUP($B1388,calc_data,N$14+1,0),2),0),0)</f>
        <v/>
      </c>
      <c r="O1388" s="147">
        <f>IF(offer_sale_type="транзит",IFERROR(ROUND(VLOOKUP($B1388,calc_data,O$14+1,1),2),0),0)</f>
        <v/>
      </c>
      <c r="P1388" s="141">
        <f>IF(offer_sale_type="транзит",IFERROR(ROUND(SUM(I1388:J1388,M1388:O1388)/E1388,2),0),0)</f>
        <v/>
      </c>
      <c r="Q1388" s="141">
        <f>E1388*P1388</f>
        <v/>
      </c>
      <c r="R1388" s="141">
        <f>ROUND(Q1388*IF(AND(offer_incoterms="DDP",seller_region="RU"),IF((TODAY()+offer_turnaround_time)&gt;=helpsheet!$L$17,rate_vatRU_from_26,rate_vatRu_till_25),0),2)</f>
        <v/>
      </c>
      <c r="S1388" s="177">
        <f>Q1388+IF(AND(offer_incoterms="DDP",seller_region="RU"),R1388,0)</f>
        <v/>
      </c>
      <c r="T1388" s="45" t="n"/>
      <c r="V1388" s="57">
        <f>IF(Q1388&gt;0,"показать","скрыть")</f>
        <v/>
      </c>
    </row>
    <row r="1389" ht="15.75" customHeight="1">
      <c r="B1389" s="809" t="n">
        <v>1373</v>
      </c>
      <c r="C1389" s="182">
        <f>IF(offer_sale_type="транзит",IFERROR(VLOOKUP($B1389,calc_data,C$14+1,0),0),0)</f>
        <v/>
      </c>
      <c r="D1389" s="280">
        <f>IF(offer_sale_type="транзит",IFERROR(VLOOKUP($B1389,calc_data,D$14+1,0),0),0)</f>
        <v/>
      </c>
      <c r="E1389" s="182">
        <f>IF(offer_sale_type="транзит",IFERROR(VLOOKUP($B1389,calc_data,E$14+1,0),0),0)</f>
        <v/>
      </c>
      <c r="F1389" s="182">
        <f>IF(offer_sale_type="транзит",IFERROR(VLOOKUP($B1389,calc_data,F$14+1,0),0),0)</f>
        <v/>
      </c>
      <c r="G1389" s="141">
        <f>IF(offer_sale_type="транзит",IFERROR(VLOOKUP($B1389,calc_data,G$14+1,0),0),0)</f>
        <v/>
      </c>
      <c r="H1389" s="141">
        <f>E1389*G1389</f>
        <v/>
      </c>
      <c r="I1389" s="141">
        <f>IF(offer_sale_type="транзит",IFERROR(ROUND(VLOOKUP($B1389,calc_data,I$14+1,0),2),0),0)</f>
        <v/>
      </c>
      <c r="J1389" s="141">
        <f>ROUND(IF(offer_sale_type="транзит",IFERROR(VLOOKUP($B1389,calc_data,J$14+1,0),0),0),2)</f>
        <v/>
      </c>
      <c r="K1389" s="142">
        <f>IF(offer_sale_type="транзит",IFERROR(ROUNDUP(VLOOKUP($B1389,calc_data,K$14+1,0),2),0),0)</f>
        <v/>
      </c>
      <c r="L1389" s="184">
        <f>IF(offer_sale_type="транзит",IFERROR(ROUNDUP(VLOOKUP($B1389,calc_data,L$14+1,0),2),0),0)</f>
        <v/>
      </c>
      <c r="M1389" s="141">
        <f>IF(offer_sale_type="транзит",IFERROR(ROUNDUP(VLOOKUP($B1389,calc_data,M$14+1,0),2),0),0)</f>
        <v/>
      </c>
      <c r="N1389" s="141">
        <f>IF(offer_sale_type="транзит",IFERROR(ROUNDUP(VLOOKUP($B1389,calc_data,N$14+1,0),2),0),0)</f>
        <v/>
      </c>
      <c r="O1389" s="147">
        <f>IF(offer_sale_type="транзит",IFERROR(ROUND(VLOOKUP($B1389,calc_data,O$14+1,1),2),0),0)</f>
        <v/>
      </c>
      <c r="P1389" s="141">
        <f>IF(offer_sale_type="транзит",IFERROR(ROUND(SUM(I1389:J1389,M1389:O1389)/E1389,2),0),0)</f>
        <v/>
      </c>
      <c r="Q1389" s="141">
        <f>E1389*P1389</f>
        <v/>
      </c>
      <c r="R1389" s="141">
        <f>ROUND(Q1389*IF(AND(offer_incoterms="DDP",seller_region="RU"),IF((TODAY()+offer_turnaround_time)&gt;=helpsheet!$L$17,rate_vatRU_from_26,rate_vatRu_till_25),0),2)</f>
        <v/>
      </c>
      <c r="S1389" s="177">
        <f>Q1389+IF(AND(offer_incoterms="DDP",seller_region="RU"),R1389,0)</f>
        <v/>
      </c>
      <c r="T1389" s="45" t="n"/>
      <c r="V1389" s="57">
        <f>IF(Q1389&gt;0,"показать","скрыть")</f>
        <v/>
      </c>
    </row>
    <row r="1390" ht="15.75" customHeight="1">
      <c r="B1390" s="809" t="n">
        <v>1374</v>
      </c>
      <c r="C1390" s="182">
        <f>IF(offer_sale_type="транзит",IFERROR(VLOOKUP($B1390,calc_data,C$14+1,0),0),0)</f>
        <v/>
      </c>
      <c r="D1390" s="280">
        <f>IF(offer_sale_type="транзит",IFERROR(VLOOKUP($B1390,calc_data,D$14+1,0),0),0)</f>
        <v/>
      </c>
      <c r="E1390" s="182">
        <f>IF(offer_sale_type="транзит",IFERROR(VLOOKUP($B1390,calc_data,E$14+1,0),0),0)</f>
        <v/>
      </c>
      <c r="F1390" s="182">
        <f>IF(offer_sale_type="транзит",IFERROR(VLOOKUP($B1390,calc_data,F$14+1,0),0),0)</f>
        <v/>
      </c>
      <c r="G1390" s="141">
        <f>IF(offer_sale_type="транзит",IFERROR(VLOOKUP($B1390,calc_data,G$14+1,0),0),0)</f>
        <v/>
      </c>
      <c r="H1390" s="141">
        <f>E1390*G1390</f>
        <v/>
      </c>
      <c r="I1390" s="141">
        <f>IF(offer_sale_type="транзит",IFERROR(ROUND(VLOOKUP($B1390,calc_data,I$14+1,0),2),0),0)</f>
        <v/>
      </c>
      <c r="J1390" s="141">
        <f>ROUND(IF(offer_sale_type="транзит",IFERROR(VLOOKUP($B1390,calc_data,J$14+1,0),0),0),2)</f>
        <v/>
      </c>
      <c r="K1390" s="142">
        <f>IF(offer_sale_type="транзит",IFERROR(ROUNDUP(VLOOKUP($B1390,calc_data,K$14+1,0),2),0),0)</f>
        <v/>
      </c>
      <c r="L1390" s="184">
        <f>IF(offer_sale_type="транзит",IFERROR(ROUNDUP(VLOOKUP($B1390,calc_data,L$14+1,0),2),0),0)</f>
        <v/>
      </c>
      <c r="M1390" s="141">
        <f>IF(offer_sale_type="транзит",IFERROR(ROUNDUP(VLOOKUP($B1390,calc_data,M$14+1,0),2),0),0)</f>
        <v/>
      </c>
      <c r="N1390" s="141">
        <f>IF(offer_sale_type="транзит",IFERROR(ROUNDUP(VLOOKUP($B1390,calc_data,N$14+1,0),2),0),0)</f>
        <v/>
      </c>
      <c r="O1390" s="147">
        <f>IF(offer_sale_type="транзит",IFERROR(ROUND(VLOOKUP($B1390,calc_data,O$14+1,1),2),0),0)</f>
        <v/>
      </c>
      <c r="P1390" s="141">
        <f>IF(offer_sale_type="транзит",IFERROR(ROUND(SUM(I1390:J1390,M1390:O1390)/E1390,2),0),0)</f>
        <v/>
      </c>
      <c r="Q1390" s="141">
        <f>E1390*P1390</f>
        <v/>
      </c>
      <c r="R1390" s="141">
        <f>ROUND(Q1390*IF(AND(offer_incoterms="DDP",seller_region="RU"),IF((TODAY()+offer_turnaround_time)&gt;=helpsheet!$L$17,rate_vatRU_from_26,rate_vatRu_till_25),0),2)</f>
        <v/>
      </c>
      <c r="S1390" s="177">
        <f>Q1390+IF(AND(offer_incoterms="DDP",seller_region="RU"),R1390,0)</f>
        <v/>
      </c>
      <c r="T1390" s="45" t="n"/>
      <c r="V1390" s="57">
        <f>IF(Q1390&gt;0,"показать","скрыть")</f>
        <v/>
      </c>
    </row>
    <row r="1391" ht="15.75" customHeight="1">
      <c r="B1391" s="809" t="n">
        <v>1375</v>
      </c>
      <c r="C1391" s="182">
        <f>IF(offer_sale_type="транзит",IFERROR(VLOOKUP($B1391,calc_data,C$14+1,0),0),0)</f>
        <v/>
      </c>
      <c r="D1391" s="280">
        <f>IF(offer_sale_type="транзит",IFERROR(VLOOKUP($B1391,calc_data,D$14+1,0),0),0)</f>
        <v/>
      </c>
      <c r="E1391" s="182">
        <f>IF(offer_sale_type="транзит",IFERROR(VLOOKUP($B1391,calc_data,E$14+1,0),0),0)</f>
        <v/>
      </c>
      <c r="F1391" s="182">
        <f>IF(offer_sale_type="транзит",IFERROR(VLOOKUP($B1391,calc_data,F$14+1,0),0),0)</f>
        <v/>
      </c>
      <c r="G1391" s="141">
        <f>IF(offer_sale_type="транзит",IFERROR(VLOOKUP($B1391,calc_data,G$14+1,0),0),0)</f>
        <v/>
      </c>
      <c r="H1391" s="141">
        <f>E1391*G1391</f>
        <v/>
      </c>
      <c r="I1391" s="141">
        <f>IF(offer_sale_type="транзит",IFERROR(ROUND(VLOOKUP($B1391,calc_data,I$14+1,0),2),0),0)</f>
        <v/>
      </c>
      <c r="J1391" s="141">
        <f>ROUND(IF(offer_sale_type="транзит",IFERROR(VLOOKUP($B1391,calc_data,J$14+1,0),0),0),2)</f>
        <v/>
      </c>
      <c r="K1391" s="142">
        <f>IF(offer_sale_type="транзит",IFERROR(ROUNDUP(VLOOKUP($B1391,calc_data,K$14+1,0),2),0),0)</f>
        <v/>
      </c>
      <c r="L1391" s="184">
        <f>IF(offer_sale_type="транзит",IFERROR(ROUNDUP(VLOOKUP($B1391,calc_data,L$14+1,0),2),0),0)</f>
        <v/>
      </c>
      <c r="M1391" s="141">
        <f>IF(offer_sale_type="транзит",IFERROR(ROUNDUP(VLOOKUP($B1391,calc_data,M$14+1,0),2),0),0)</f>
        <v/>
      </c>
      <c r="N1391" s="141">
        <f>IF(offer_sale_type="транзит",IFERROR(ROUNDUP(VLOOKUP($B1391,calc_data,N$14+1,0),2),0),0)</f>
        <v/>
      </c>
      <c r="O1391" s="147">
        <f>IF(offer_sale_type="транзит",IFERROR(ROUND(VLOOKUP($B1391,calc_data,O$14+1,1),2),0),0)</f>
        <v/>
      </c>
      <c r="P1391" s="141">
        <f>IF(offer_sale_type="транзит",IFERROR(ROUND(SUM(I1391:J1391,M1391:O1391)/E1391,2),0),0)</f>
        <v/>
      </c>
      <c r="Q1391" s="141">
        <f>E1391*P1391</f>
        <v/>
      </c>
      <c r="R1391" s="141">
        <f>ROUND(Q1391*IF(AND(offer_incoterms="DDP",seller_region="RU"),IF((TODAY()+offer_turnaround_time)&gt;=helpsheet!$L$17,rate_vatRU_from_26,rate_vatRu_till_25),0),2)</f>
        <v/>
      </c>
      <c r="S1391" s="177">
        <f>Q1391+IF(AND(offer_incoterms="DDP",seller_region="RU"),R1391,0)</f>
        <v/>
      </c>
      <c r="T1391" s="45" t="n"/>
      <c r="V1391" s="57">
        <f>IF(Q1391&gt;0,"показать","скрыть")</f>
        <v/>
      </c>
    </row>
    <row r="1392" ht="15.75" customHeight="1">
      <c r="B1392" s="809" t="n">
        <v>1376</v>
      </c>
      <c r="C1392" s="182">
        <f>IF(offer_sale_type="транзит",IFERROR(VLOOKUP($B1392,calc_data,C$14+1,0),0),0)</f>
        <v/>
      </c>
      <c r="D1392" s="280">
        <f>IF(offer_sale_type="транзит",IFERROR(VLOOKUP($B1392,calc_data,D$14+1,0),0),0)</f>
        <v/>
      </c>
      <c r="E1392" s="182">
        <f>IF(offer_sale_type="транзит",IFERROR(VLOOKUP($B1392,calc_data,E$14+1,0),0),0)</f>
        <v/>
      </c>
      <c r="F1392" s="182">
        <f>IF(offer_sale_type="транзит",IFERROR(VLOOKUP($B1392,calc_data,F$14+1,0),0),0)</f>
        <v/>
      </c>
      <c r="G1392" s="141">
        <f>IF(offer_sale_type="транзит",IFERROR(VLOOKUP($B1392,calc_data,G$14+1,0),0),0)</f>
        <v/>
      </c>
      <c r="H1392" s="141">
        <f>E1392*G1392</f>
        <v/>
      </c>
      <c r="I1392" s="141">
        <f>IF(offer_sale_type="транзит",IFERROR(ROUND(VLOOKUP($B1392,calc_data,I$14+1,0),2),0),0)</f>
        <v/>
      </c>
      <c r="J1392" s="141">
        <f>ROUND(IF(offer_sale_type="транзит",IFERROR(VLOOKUP($B1392,calc_data,J$14+1,0),0),0),2)</f>
        <v/>
      </c>
      <c r="K1392" s="142">
        <f>IF(offer_sale_type="транзит",IFERROR(ROUNDUP(VLOOKUP($B1392,calc_data,K$14+1,0),2),0),0)</f>
        <v/>
      </c>
      <c r="L1392" s="184">
        <f>IF(offer_sale_type="транзит",IFERROR(ROUNDUP(VLOOKUP($B1392,calc_data,L$14+1,0),2),0),0)</f>
        <v/>
      </c>
      <c r="M1392" s="141">
        <f>IF(offer_sale_type="транзит",IFERROR(ROUNDUP(VLOOKUP($B1392,calc_data,M$14+1,0),2),0),0)</f>
        <v/>
      </c>
      <c r="N1392" s="141">
        <f>IF(offer_sale_type="транзит",IFERROR(ROUNDUP(VLOOKUP($B1392,calc_data,N$14+1,0),2),0),0)</f>
        <v/>
      </c>
      <c r="O1392" s="147">
        <f>IF(offer_sale_type="транзит",IFERROR(ROUND(VLOOKUP($B1392,calc_data,O$14+1,1),2),0),0)</f>
        <v/>
      </c>
      <c r="P1392" s="141">
        <f>IF(offer_sale_type="транзит",IFERROR(ROUND(SUM(I1392:J1392,M1392:O1392)/E1392,2),0),0)</f>
        <v/>
      </c>
      <c r="Q1392" s="141">
        <f>E1392*P1392</f>
        <v/>
      </c>
      <c r="R1392" s="141">
        <f>ROUND(Q1392*IF(AND(offer_incoterms="DDP",seller_region="RU"),IF((TODAY()+offer_turnaround_time)&gt;=helpsheet!$L$17,rate_vatRU_from_26,rate_vatRu_till_25),0),2)</f>
        <v/>
      </c>
      <c r="S1392" s="177">
        <f>Q1392+IF(AND(offer_incoterms="DDP",seller_region="RU"),R1392,0)</f>
        <v/>
      </c>
      <c r="T1392" s="45" t="n"/>
      <c r="V1392" s="57">
        <f>IF(Q1392&gt;0,"показать","скрыть")</f>
        <v/>
      </c>
    </row>
    <row r="1393" ht="15.75" customHeight="1">
      <c r="B1393" s="809" t="n">
        <v>1377</v>
      </c>
      <c r="C1393" s="182">
        <f>IF(offer_sale_type="транзит",IFERROR(VLOOKUP($B1393,calc_data,C$14+1,0),0),0)</f>
        <v/>
      </c>
      <c r="D1393" s="280">
        <f>IF(offer_sale_type="транзит",IFERROR(VLOOKUP($B1393,calc_data,D$14+1,0),0),0)</f>
        <v/>
      </c>
      <c r="E1393" s="182">
        <f>IF(offer_sale_type="транзит",IFERROR(VLOOKUP($B1393,calc_data,E$14+1,0),0),0)</f>
        <v/>
      </c>
      <c r="F1393" s="182">
        <f>IF(offer_sale_type="транзит",IFERROR(VLOOKUP($B1393,calc_data,F$14+1,0),0),0)</f>
        <v/>
      </c>
      <c r="G1393" s="141">
        <f>IF(offer_sale_type="транзит",IFERROR(VLOOKUP($B1393,calc_data,G$14+1,0),0),0)</f>
        <v/>
      </c>
      <c r="H1393" s="141">
        <f>E1393*G1393</f>
        <v/>
      </c>
      <c r="I1393" s="141">
        <f>IF(offer_sale_type="транзит",IFERROR(ROUND(VLOOKUP($B1393,calc_data,I$14+1,0),2),0),0)</f>
        <v/>
      </c>
      <c r="J1393" s="141">
        <f>ROUND(IF(offer_sale_type="транзит",IFERROR(VLOOKUP($B1393,calc_data,J$14+1,0),0),0),2)</f>
        <v/>
      </c>
      <c r="K1393" s="142">
        <f>IF(offer_sale_type="транзит",IFERROR(ROUNDUP(VLOOKUP($B1393,calc_data,K$14+1,0),2),0),0)</f>
        <v/>
      </c>
      <c r="L1393" s="184">
        <f>IF(offer_sale_type="транзит",IFERROR(ROUNDUP(VLOOKUP($B1393,calc_data,L$14+1,0),2),0),0)</f>
        <v/>
      </c>
      <c r="M1393" s="141">
        <f>IF(offer_sale_type="транзит",IFERROR(ROUNDUP(VLOOKUP($B1393,calc_data,M$14+1,0),2),0),0)</f>
        <v/>
      </c>
      <c r="N1393" s="141">
        <f>IF(offer_sale_type="транзит",IFERROR(ROUNDUP(VLOOKUP($B1393,calc_data,N$14+1,0),2),0),0)</f>
        <v/>
      </c>
      <c r="O1393" s="147">
        <f>IF(offer_sale_type="транзит",IFERROR(ROUND(VLOOKUP($B1393,calc_data,O$14+1,1),2),0),0)</f>
        <v/>
      </c>
      <c r="P1393" s="141">
        <f>IF(offer_sale_type="транзит",IFERROR(ROUND(SUM(I1393:J1393,M1393:O1393)/E1393,2),0),0)</f>
        <v/>
      </c>
      <c r="Q1393" s="141">
        <f>E1393*P1393</f>
        <v/>
      </c>
      <c r="R1393" s="141">
        <f>ROUND(Q1393*IF(AND(offer_incoterms="DDP",seller_region="RU"),IF((TODAY()+offer_turnaround_time)&gt;=helpsheet!$L$17,rate_vatRU_from_26,rate_vatRu_till_25),0),2)</f>
        <v/>
      </c>
      <c r="S1393" s="177">
        <f>Q1393+IF(AND(offer_incoterms="DDP",seller_region="RU"),R1393,0)</f>
        <v/>
      </c>
      <c r="T1393" s="45" t="n"/>
      <c r="V1393" s="57">
        <f>IF(Q1393&gt;0,"показать","скрыть")</f>
        <v/>
      </c>
    </row>
    <row r="1394" ht="15.75" customHeight="1">
      <c r="B1394" s="809" t="n">
        <v>1378</v>
      </c>
      <c r="C1394" s="182">
        <f>IF(offer_sale_type="транзит",IFERROR(VLOOKUP($B1394,calc_data,C$14+1,0),0),0)</f>
        <v/>
      </c>
      <c r="D1394" s="280">
        <f>IF(offer_sale_type="транзит",IFERROR(VLOOKUP($B1394,calc_data,D$14+1,0),0),0)</f>
        <v/>
      </c>
      <c r="E1394" s="182">
        <f>IF(offer_sale_type="транзит",IFERROR(VLOOKUP($B1394,calc_data,E$14+1,0),0),0)</f>
        <v/>
      </c>
      <c r="F1394" s="182">
        <f>IF(offer_sale_type="транзит",IFERROR(VLOOKUP($B1394,calc_data,F$14+1,0),0),0)</f>
        <v/>
      </c>
      <c r="G1394" s="141">
        <f>IF(offer_sale_type="транзит",IFERROR(VLOOKUP($B1394,calc_data,G$14+1,0),0),0)</f>
        <v/>
      </c>
      <c r="H1394" s="141">
        <f>E1394*G1394</f>
        <v/>
      </c>
      <c r="I1394" s="141">
        <f>IF(offer_sale_type="транзит",IFERROR(ROUND(VLOOKUP($B1394,calc_data,I$14+1,0),2),0),0)</f>
        <v/>
      </c>
      <c r="J1394" s="141">
        <f>ROUND(IF(offer_sale_type="транзит",IFERROR(VLOOKUP($B1394,calc_data,J$14+1,0),0),0),2)</f>
        <v/>
      </c>
      <c r="K1394" s="142">
        <f>IF(offer_sale_type="транзит",IFERROR(ROUNDUP(VLOOKUP($B1394,calc_data,K$14+1,0),2),0),0)</f>
        <v/>
      </c>
      <c r="L1394" s="184">
        <f>IF(offer_sale_type="транзит",IFERROR(ROUNDUP(VLOOKUP($B1394,calc_data,L$14+1,0),2),0),0)</f>
        <v/>
      </c>
      <c r="M1394" s="141">
        <f>IF(offer_sale_type="транзит",IFERROR(ROUNDUP(VLOOKUP($B1394,calc_data,M$14+1,0),2),0),0)</f>
        <v/>
      </c>
      <c r="N1394" s="141">
        <f>IF(offer_sale_type="транзит",IFERROR(ROUNDUP(VLOOKUP($B1394,calc_data,N$14+1,0),2),0),0)</f>
        <v/>
      </c>
      <c r="O1394" s="147">
        <f>IF(offer_sale_type="транзит",IFERROR(ROUND(VLOOKUP($B1394,calc_data,O$14+1,1),2),0),0)</f>
        <v/>
      </c>
      <c r="P1394" s="141">
        <f>IF(offer_sale_type="транзит",IFERROR(ROUND(SUM(I1394:J1394,M1394:O1394)/E1394,2),0),0)</f>
        <v/>
      </c>
      <c r="Q1394" s="141">
        <f>E1394*P1394</f>
        <v/>
      </c>
      <c r="R1394" s="141">
        <f>ROUND(Q1394*IF(AND(offer_incoterms="DDP",seller_region="RU"),IF((TODAY()+offer_turnaround_time)&gt;=helpsheet!$L$17,rate_vatRU_from_26,rate_vatRu_till_25),0),2)</f>
        <v/>
      </c>
      <c r="S1394" s="177">
        <f>Q1394+IF(AND(offer_incoterms="DDP",seller_region="RU"),R1394,0)</f>
        <v/>
      </c>
      <c r="T1394" s="45" t="n"/>
      <c r="V1394" s="57">
        <f>IF(Q1394&gt;0,"показать","скрыть")</f>
        <v/>
      </c>
    </row>
    <row r="1395" ht="15.75" customHeight="1">
      <c r="B1395" s="809" t="n">
        <v>1379</v>
      </c>
      <c r="C1395" s="182">
        <f>IF(offer_sale_type="транзит",IFERROR(VLOOKUP($B1395,calc_data,C$14+1,0),0),0)</f>
        <v/>
      </c>
      <c r="D1395" s="280">
        <f>IF(offer_sale_type="транзит",IFERROR(VLOOKUP($B1395,calc_data,D$14+1,0),0),0)</f>
        <v/>
      </c>
      <c r="E1395" s="182">
        <f>IF(offer_sale_type="транзит",IFERROR(VLOOKUP($B1395,calc_data,E$14+1,0),0),0)</f>
        <v/>
      </c>
      <c r="F1395" s="182">
        <f>IF(offer_sale_type="транзит",IFERROR(VLOOKUP($B1395,calc_data,F$14+1,0),0),0)</f>
        <v/>
      </c>
      <c r="G1395" s="141">
        <f>IF(offer_sale_type="транзит",IFERROR(VLOOKUP($B1395,calc_data,G$14+1,0),0),0)</f>
        <v/>
      </c>
      <c r="H1395" s="141">
        <f>E1395*G1395</f>
        <v/>
      </c>
      <c r="I1395" s="141">
        <f>IF(offer_sale_type="транзит",IFERROR(ROUND(VLOOKUP($B1395,calc_data,I$14+1,0),2),0),0)</f>
        <v/>
      </c>
      <c r="J1395" s="141">
        <f>ROUND(IF(offer_sale_type="транзит",IFERROR(VLOOKUP($B1395,calc_data,J$14+1,0),0),0),2)</f>
        <v/>
      </c>
      <c r="K1395" s="142">
        <f>IF(offer_sale_type="транзит",IFERROR(ROUNDUP(VLOOKUP($B1395,calc_data,K$14+1,0),2),0),0)</f>
        <v/>
      </c>
      <c r="L1395" s="184">
        <f>IF(offer_sale_type="транзит",IFERROR(ROUNDUP(VLOOKUP($B1395,calc_data,L$14+1,0),2),0),0)</f>
        <v/>
      </c>
      <c r="M1395" s="141">
        <f>IF(offer_sale_type="транзит",IFERROR(ROUNDUP(VLOOKUP($B1395,calc_data,M$14+1,0),2),0),0)</f>
        <v/>
      </c>
      <c r="N1395" s="141">
        <f>IF(offer_sale_type="транзит",IFERROR(ROUNDUP(VLOOKUP($B1395,calc_data,N$14+1,0),2),0),0)</f>
        <v/>
      </c>
      <c r="O1395" s="147">
        <f>IF(offer_sale_type="транзит",IFERROR(ROUND(VLOOKUP($B1395,calc_data,O$14+1,1),2),0),0)</f>
        <v/>
      </c>
      <c r="P1395" s="141">
        <f>IF(offer_sale_type="транзит",IFERROR(ROUND(SUM(I1395:J1395,M1395:O1395)/E1395,2),0),0)</f>
        <v/>
      </c>
      <c r="Q1395" s="141">
        <f>E1395*P1395</f>
        <v/>
      </c>
      <c r="R1395" s="141">
        <f>ROUND(Q1395*IF(AND(offer_incoterms="DDP",seller_region="RU"),IF((TODAY()+offer_turnaround_time)&gt;=helpsheet!$L$17,rate_vatRU_from_26,rate_vatRu_till_25),0),2)</f>
        <v/>
      </c>
      <c r="S1395" s="177">
        <f>Q1395+IF(AND(offer_incoterms="DDP",seller_region="RU"),R1395,0)</f>
        <v/>
      </c>
      <c r="T1395" s="45" t="n"/>
      <c r="V1395" s="57">
        <f>IF(Q1395&gt;0,"показать","скрыть")</f>
        <v/>
      </c>
    </row>
    <row r="1396" ht="15.75" customHeight="1">
      <c r="B1396" s="809" t="n">
        <v>1380</v>
      </c>
      <c r="C1396" s="182">
        <f>IF(offer_sale_type="транзит",IFERROR(VLOOKUP($B1396,calc_data,C$14+1,0),0),0)</f>
        <v/>
      </c>
      <c r="D1396" s="280">
        <f>IF(offer_sale_type="транзит",IFERROR(VLOOKUP($B1396,calc_data,D$14+1,0),0),0)</f>
        <v/>
      </c>
      <c r="E1396" s="182">
        <f>IF(offer_sale_type="транзит",IFERROR(VLOOKUP($B1396,calc_data,E$14+1,0),0),0)</f>
        <v/>
      </c>
      <c r="F1396" s="182">
        <f>IF(offer_sale_type="транзит",IFERROR(VLOOKUP($B1396,calc_data,F$14+1,0),0),0)</f>
        <v/>
      </c>
      <c r="G1396" s="141">
        <f>IF(offer_sale_type="транзит",IFERROR(VLOOKUP($B1396,calc_data,G$14+1,0),0),0)</f>
        <v/>
      </c>
      <c r="H1396" s="141">
        <f>E1396*G1396</f>
        <v/>
      </c>
      <c r="I1396" s="141">
        <f>IF(offer_sale_type="транзит",IFERROR(ROUND(VLOOKUP($B1396,calc_data,I$14+1,0),2),0),0)</f>
        <v/>
      </c>
      <c r="J1396" s="141">
        <f>ROUND(IF(offer_sale_type="транзит",IFERROR(VLOOKUP($B1396,calc_data,J$14+1,0),0),0),2)</f>
        <v/>
      </c>
      <c r="K1396" s="142">
        <f>IF(offer_sale_type="транзит",IFERROR(ROUNDUP(VLOOKUP($B1396,calc_data,K$14+1,0),2),0),0)</f>
        <v/>
      </c>
      <c r="L1396" s="184">
        <f>IF(offer_sale_type="транзит",IFERROR(ROUNDUP(VLOOKUP($B1396,calc_data,L$14+1,0),2),0),0)</f>
        <v/>
      </c>
      <c r="M1396" s="141">
        <f>IF(offer_sale_type="транзит",IFERROR(ROUNDUP(VLOOKUP($B1396,calc_data,M$14+1,0),2),0),0)</f>
        <v/>
      </c>
      <c r="N1396" s="141">
        <f>IF(offer_sale_type="транзит",IFERROR(ROUNDUP(VLOOKUP($B1396,calc_data,N$14+1,0),2),0),0)</f>
        <v/>
      </c>
      <c r="O1396" s="147">
        <f>IF(offer_sale_type="транзит",IFERROR(ROUND(VLOOKUP($B1396,calc_data,O$14+1,1),2),0),0)</f>
        <v/>
      </c>
      <c r="P1396" s="141">
        <f>IF(offer_sale_type="транзит",IFERROR(ROUND(SUM(I1396:J1396,M1396:O1396)/E1396,2),0),0)</f>
        <v/>
      </c>
      <c r="Q1396" s="141">
        <f>E1396*P1396</f>
        <v/>
      </c>
      <c r="R1396" s="141">
        <f>ROUND(Q1396*IF(AND(offer_incoterms="DDP",seller_region="RU"),IF((TODAY()+offer_turnaround_time)&gt;=helpsheet!$L$17,rate_vatRU_from_26,rate_vatRu_till_25),0),2)</f>
        <v/>
      </c>
      <c r="S1396" s="177">
        <f>Q1396+IF(AND(offer_incoterms="DDP",seller_region="RU"),R1396,0)</f>
        <v/>
      </c>
      <c r="T1396" s="45" t="n"/>
      <c r="V1396" s="57">
        <f>IF(Q1396&gt;0,"показать","скрыть")</f>
        <v/>
      </c>
    </row>
    <row r="1397" ht="15.75" customHeight="1">
      <c r="B1397" s="809" t="n">
        <v>1381</v>
      </c>
      <c r="C1397" s="182">
        <f>IF(offer_sale_type="транзит",IFERROR(VLOOKUP($B1397,calc_data,C$14+1,0),0),0)</f>
        <v/>
      </c>
      <c r="D1397" s="280">
        <f>IF(offer_sale_type="транзит",IFERROR(VLOOKUP($B1397,calc_data,D$14+1,0),0),0)</f>
        <v/>
      </c>
      <c r="E1397" s="182">
        <f>IF(offer_sale_type="транзит",IFERROR(VLOOKUP($B1397,calc_data,E$14+1,0),0),0)</f>
        <v/>
      </c>
      <c r="F1397" s="182">
        <f>IF(offer_sale_type="транзит",IFERROR(VLOOKUP($B1397,calc_data,F$14+1,0),0),0)</f>
        <v/>
      </c>
      <c r="G1397" s="141">
        <f>IF(offer_sale_type="транзит",IFERROR(VLOOKUP($B1397,calc_data,G$14+1,0),0),0)</f>
        <v/>
      </c>
      <c r="H1397" s="141">
        <f>E1397*G1397</f>
        <v/>
      </c>
      <c r="I1397" s="141">
        <f>IF(offer_sale_type="транзит",IFERROR(ROUND(VLOOKUP($B1397,calc_data,I$14+1,0),2),0),0)</f>
        <v/>
      </c>
      <c r="J1397" s="141">
        <f>ROUND(IF(offer_sale_type="транзит",IFERROR(VLOOKUP($B1397,calc_data,J$14+1,0),0),0),2)</f>
        <v/>
      </c>
      <c r="K1397" s="142">
        <f>IF(offer_sale_type="транзит",IFERROR(ROUNDUP(VLOOKUP($B1397,calc_data,K$14+1,0),2),0),0)</f>
        <v/>
      </c>
      <c r="L1397" s="184">
        <f>IF(offer_sale_type="транзит",IFERROR(ROUNDUP(VLOOKUP($B1397,calc_data,L$14+1,0),2),0),0)</f>
        <v/>
      </c>
      <c r="M1397" s="141">
        <f>IF(offer_sale_type="транзит",IFERROR(ROUNDUP(VLOOKUP($B1397,calc_data,M$14+1,0),2),0),0)</f>
        <v/>
      </c>
      <c r="N1397" s="141">
        <f>IF(offer_sale_type="транзит",IFERROR(ROUNDUP(VLOOKUP($B1397,calc_data,N$14+1,0),2),0),0)</f>
        <v/>
      </c>
      <c r="O1397" s="147">
        <f>IF(offer_sale_type="транзит",IFERROR(ROUND(VLOOKUP($B1397,calc_data,O$14+1,1),2),0),0)</f>
        <v/>
      </c>
      <c r="P1397" s="141">
        <f>IF(offer_sale_type="транзит",IFERROR(ROUND(SUM(I1397:J1397,M1397:O1397)/E1397,2),0),0)</f>
        <v/>
      </c>
      <c r="Q1397" s="141">
        <f>E1397*P1397</f>
        <v/>
      </c>
      <c r="R1397" s="141">
        <f>ROUND(Q1397*IF(AND(offer_incoterms="DDP",seller_region="RU"),IF((TODAY()+offer_turnaround_time)&gt;=helpsheet!$L$17,rate_vatRU_from_26,rate_vatRu_till_25),0),2)</f>
        <v/>
      </c>
      <c r="S1397" s="177">
        <f>Q1397+IF(AND(offer_incoterms="DDP",seller_region="RU"),R1397,0)</f>
        <v/>
      </c>
      <c r="T1397" s="45" t="n"/>
      <c r="V1397" s="57">
        <f>IF(Q1397&gt;0,"показать","скрыть")</f>
        <v/>
      </c>
    </row>
    <row r="1398" ht="15.75" customHeight="1">
      <c r="B1398" s="809" t="n">
        <v>1382</v>
      </c>
      <c r="C1398" s="182">
        <f>IF(offer_sale_type="транзит",IFERROR(VLOOKUP($B1398,calc_data,C$14+1,0),0),0)</f>
        <v/>
      </c>
      <c r="D1398" s="280">
        <f>IF(offer_sale_type="транзит",IFERROR(VLOOKUP($B1398,calc_data,D$14+1,0),0),0)</f>
        <v/>
      </c>
      <c r="E1398" s="182">
        <f>IF(offer_sale_type="транзит",IFERROR(VLOOKUP($B1398,calc_data,E$14+1,0),0),0)</f>
        <v/>
      </c>
      <c r="F1398" s="182">
        <f>IF(offer_sale_type="транзит",IFERROR(VLOOKUP($B1398,calc_data,F$14+1,0),0),0)</f>
        <v/>
      </c>
      <c r="G1398" s="141">
        <f>IF(offer_sale_type="транзит",IFERROR(VLOOKUP($B1398,calc_data,G$14+1,0),0),0)</f>
        <v/>
      </c>
      <c r="H1398" s="141">
        <f>E1398*G1398</f>
        <v/>
      </c>
      <c r="I1398" s="141">
        <f>IF(offer_sale_type="транзит",IFERROR(ROUND(VLOOKUP($B1398,calc_data,I$14+1,0),2),0),0)</f>
        <v/>
      </c>
      <c r="J1398" s="141">
        <f>ROUND(IF(offer_sale_type="транзит",IFERROR(VLOOKUP($B1398,calc_data,J$14+1,0),0),0),2)</f>
        <v/>
      </c>
      <c r="K1398" s="142">
        <f>IF(offer_sale_type="транзит",IFERROR(ROUNDUP(VLOOKUP($B1398,calc_data,K$14+1,0),2),0),0)</f>
        <v/>
      </c>
      <c r="L1398" s="184">
        <f>IF(offer_sale_type="транзит",IFERROR(ROUNDUP(VLOOKUP($B1398,calc_data,L$14+1,0),2),0),0)</f>
        <v/>
      </c>
      <c r="M1398" s="141">
        <f>IF(offer_sale_type="транзит",IFERROR(ROUNDUP(VLOOKUP($B1398,calc_data,M$14+1,0),2),0),0)</f>
        <v/>
      </c>
      <c r="N1398" s="141">
        <f>IF(offer_sale_type="транзит",IFERROR(ROUNDUP(VLOOKUP($B1398,calc_data,N$14+1,0),2),0),0)</f>
        <v/>
      </c>
      <c r="O1398" s="147">
        <f>IF(offer_sale_type="транзит",IFERROR(ROUND(VLOOKUP($B1398,calc_data,O$14+1,1),2),0),0)</f>
        <v/>
      </c>
      <c r="P1398" s="141">
        <f>IF(offer_sale_type="транзит",IFERROR(ROUND(SUM(I1398:J1398,M1398:O1398)/E1398,2),0),0)</f>
        <v/>
      </c>
      <c r="Q1398" s="141">
        <f>E1398*P1398</f>
        <v/>
      </c>
      <c r="R1398" s="141">
        <f>ROUND(Q1398*IF(AND(offer_incoterms="DDP",seller_region="RU"),IF((TODAY()+offer_turnaround_time)&gt;=helpsheet!$L$17,rate_vatRU_from_26,rate_vatRu_till_25),0),2)</f>
        <v/>
      </c>
      <c r="S1398" s="177">
        <f>Q1398+IF(AND(offer_incoterms="DDP",seller_region="RU"),R1398,0)</f>
        <v/>
      </c>
      <c r="T1398" s="45" t="n"/>
      <c r="V1398" s="57">
        <f>IF(Q1398&gt;0,"показать","скрыть")</f>
        <v/>
      </c>
    </row>
    <row r="1399" ht="15.75" customHeight="1">
      <c r="B1399" s="809" t="n">
        <v>1383</v>
      </c>
      <c r="C1399" s="182">
        <f>IF(offer_sale_type="транзит",IFERROR(VLOOKUP($B1399,calc_data,C$14+1,0),0),0)</f>
        <v/>
      </c>
      <c r="D1399" s="280">
        <f>IF(offer_sale_type="транзит",IFERROR(VLOOKUP($B1399,calc_data,D$14+1,0),0),0)</f>
        <v/>
      </c>
      <c r="E1399" s="182">
        <f>IF(offer_sale_type="транзит",IFERROR(VLOOKUP($B1399,calc_data,E$14+1,0),0),0)</f>
        <v/>
      </c>
      <c r="F1399" s="182">
        <f>IF(offer_sale_type="транзит",IFERROR(VLOOKUP($B1399,calc_data,F$14+1,0),0),0)</f>
        <v/>
      </c>
      <c r="G1399" s="141">
        <f>IF(offer_sale_type="транзит",IFERROR(VLOOKUP($B1399,calc_data,G$14+1,0),0),0)</f>
        <v/>
      </c>
      <c r="H1399" s="141">
        <f>E1399*G1399</f>
        <v/>
      </c>
      <c r="I1399" s="141">
        <f>IF(offer_sale_type="транзит",IFERROR(ROUND(VLOOKUP($B1399,calc_data,I$14+1,0),2),0),0)</f>
        <v/>
      </c>
      <c r="J1399" s="141">
        <f>ROUND(IF(offer_sale_type="транзит",IFERROR(VLOOKUP($B1399,calc_data,J$14+1,0),0),0),2)</f>
        <v/>
      </c>
      <c r="K1399" s="142">
        <f>IF(offer_sale_type="транзит",IFERROR(ROUNDUP(VLOOKUP($B1399,calc_data,K$14+1,0),2),0),0)</f>
        <v/>
      </c>
      <c r="L1399" s="184">
        <f>IF(offer_sale_type="транзит",IFERROR(ROUNDUP(VLOOKUP($B1399,calc_data,L$14+1,0),2),0),0)</f>
        <v/>
      </c>
      <c r="M1399" s="141">
        <f>IF(offer_sale_type="транзит",IFERROR(ROUNDUP(VLOOKUP($B1399,calc_data,M$14+1,0),2),0),0)</f>
        <v/>
      </c>
      <c r="N1399" s="141">
        <f>IF(offer_sale_type="транзит",IFERROR(ROUNDUP(VLOOKUP($B1399,calc_data,N$14+1,0),2),0),0)</f>
        <v/>
      </c>
      <c r="O1399" s="147">
        <f>IF(offer_sale_type="транзит",IFERROR(ROUND(VLOOKUP($B1399,calc_data,O$14+1,1),2),0),0)</f>
        <v/>
      </c>
      <c r="P1399" s="141">
        <f>IF(offer_sale_type="транзит",IFERROR(ROUND(SUM(I1399:J1399,M1399:O1399)/E1399,2),0),0)</f>
        <v/>
      </c>
      <c r="Q1399" s="141">
        <f>E1399*P1399</f>
        <v/>
      </c>
      <c r="R1399" s="141">
        <f>ROUND(Q1399*IF(AND(offer_incoterms="DDP",seller_region="RU"),IF((TODAY()+offer_turnaround_time)&gt;=helpsheet!$L$17,rate_vatRU_from_26,rate_vatRu_till_25),0),2)</f>
        <v/>
      </c>
      <c r="S1399" s="177">
        <f>Q1399+IF(AND(offer_incoterms="DDP",seller_region="RU"),R1399,0)</f>
        <v/>
      </c>
      <c r="T1399" s="45" t="n"/>
      <c r="V1399" s="57">
        <f>IF(Q1399&gt;0,"показать","скрыть")</f>
        <v/>
      </c>
    </row>
    <row r="1400" ht="15.75" customHeight="1">
      <c r="B1400" s="809" t="n">
        <v>1384</v>
      </c>
      <c r="C1400" s="182">
        <f>IF(offer_sale_type="транзит",IFERROR(VLOOKUP($B1400,calc_data,C$14+1,0),0),0)</f>
        <v/>
      </c>
      <c r="D1400" s="280">
        <f>IF(offer_sale_type="транзит",IFERROR(VLOOKUP($B1400,calc_data,D$14+1,0),0),0)</f>
        <v/>
      </c>
      <c r="E1400" s="182">
        <f>IF(offer_sale_type="транзит",IFERROR(VLOOKUP($B1400,calc_data,E$14+1,0),0),0)</f>
        <v/>
      </c>
      <c r="F1400" s="182">
        <f>IF(offer_sale_type="транзит",IFERROR(VLOOKUP($B1400,calc_data,F$14+1,0),0),0)</f>
        <v/>
      </c>
      <c r="G1400" s="141">
        <f>IF(offer_sale_type="транзит",IFERROR(VLOOKUP($B1400,calc_data,G$14+1,0),0),0)</f>
        <v/>
      </c>
      <c r="H1400" s="141">
        <f>E1400*G1400</f>
        <v/>
      </c>
      <c r="I1400" s="141">
        <f>IF(offer_sale_type="транзит",IFERROR(ROUND(VLOOKUP($B1400,calc_data,I$14+1,0),2),0),0)</f>
        <v/>
      </c>
      <c r="J1400" s="141">
        <f>ROUND(IF(offer_sale_type="транзит",IFERROR(VLOOKUP($B1400,calc_data,J$14+1,0),0),0),2)</f>
        <v/>
      </c>
      <c r="K1400" s="142">
        <f>IF(offer_sale_type="транзит",IFERROR(ROUNDUP(VLOOKUP($B1400,calc_data,K$14+1,0),2),0),0)</f>
        <v/>
      </c>
      <c r="L1400" s="184">
        <f>IF(offer_sale_type="транзит",IFERROR(ROUNDUP(VLOOKUP($B1400,calc_data,L$14+1,0),2),0),0)</f>
        <v/>
      </c>
      <c r="M1400" s="141">
        <f>IF(offer_sale_type="транзит",IFERROR(ROUNDUP(VLOOKUP($B1400,calc_data,M$14+1,0),2),0),0)</f>
        <v/>
      </c>
      <c r="N1400" s="141">
        <f>IF(offer_sale_type="транзит",IFERROR(ROUNDUP(VLOOKUP($B1400,calc_data,N$14+1,0),2),0),0)</f>
        <v/>
      </c>
      <c r="O1400" s="147">
        <f>IF(offer_sale_type="транзит",IFERROR(ROUND(VLOOKUP($B1400,calc_data,O$14+1,1),2),0),0)</f>
        <v/>
      </c>
      <c r="P1400" s="141">
        <f>IF(offer_sale_type="транзит",IFERROR(ROUND(SUM(I1400:J1400,M1400:O1400)/E1400,2),0),0)</f>
        <v/>
      </c>
      <c r="Q1400" s="141">
        <f>E1400*P1400</f>
        <v/>
      </c>
      <c r="R1400" s="141">
        <f>ROUND(Q1400*IF(AND(offer_incoterms="DDP",seller_region="RU"),IF((TODAY()+offer_turnaround_time)&gt;=helpsheet!$L$17,rate_vatRU_from_26,rate_vatRu_till_25),0),2)</f>
        <v/>
      </c>
      <c r="S1400" s="177">
        <f>Q1400+IF(AND(offer_incoterms="DDP",seller_region="RU"),R1400,0)</f>
        <v/>
      </c>
      <c r="T1400" s="45" t="n"/>
      <c r="V1400" s="57">
        <f>IF(Q1400&gt;0,"показать","скрыть")</f>
        <v/>
      </c>
    </row>
    <row r="1401" ht="15.75" customHeight="1">
      <c r="B1401" s="809" t="n">
        <v>1385</v>
      </c>
      <c r="C1401" s="182">
        <f>IF(offer_sale_type="транзит",IFERROR(VLOOKUP($B1401,calc_data,C$14+1,0),0),0)</f>
        <v/>
      </c>
      <c r="D1401" s="280">
        <f>IF(offer_sale_type="транзит",IFERROR(VLOOKUP($B1401,calc_data,D$14+1,0),0),0)</f>
        <v/>
      </c>
      <c r="E1401" s="182">
        <f>IF(offer_sale_type="транзит",IFERROR(VLOOKUP($B1401,calc_data,E$14+1,0),0),0)</f>
        <v/>
      </c>
      <c r="F1401" s="182">
        <f>IF(offer_sale_type="транзит",IFERROR(VLOOKUP($B1401,calc_data,F$14+1,0),0),0)</f>
        <v/>
      </c>
      <c r="G1401" s="141">
        <f>IF(offer_sale_type="транзит",IFERROR(VLOOKUP($B1401,calc_data,G$14+1,0),0),0)</f>
        <v/>
      </c>
      <c r="H1401" s="141">
        <f>E1401*G1401</f>
        <v/>
      </c>
      <c r="I1401" s="141">
        <f>IF(offer_sale_type="транзит",IFERROR(ROUND(VLOOKUP($B1401,calc_data,I$14+1,0),2),0),0)</f>
        <v/>
      </c>
      <c r="J1401" s="141">
        <f>ROUND(IF(offer_sale_type="транзит",IFERROR(VLOOKUP($B1401,calc_data,J$14+1,0),0),0),2)</f>
        <v/>
      </c>
      <c r="K1401" s="142">
        <f>IF(offer_sale_type="транзит",IFERROR(ROUNDUP(VLOOKUP($B1401,calc_data,K$14+1,0),2),0),0)</f>
        <v/>
      </c>
      <c r="L1401" s="184">
        <f>IF(offer_sale_type="транзит",IFERROR(ROUNDUP(VLOOKUP($B1401,calc_data,L$14+1,0),2),0),0)</f>
        <v/>
      </c>
      <c r="M1401" s="141">
        <f>IF(offer_sale_type="транзит",IFERROR(ROUNDUP(VLOOKUP($B1401,calc_data,M$14+1,0),2),0),0)</f>
        <v/>
      </c>
      <c r="N1401" s="141">
        <f>IF(offer_sale_type="транзит",IFERROR(ROUNDUP(VLOOKUP($B1401,calc_data,N$14+1,0),2),0),0)</f>
        <v/>
      </c>
      <c r="O1401" s="147">
        <f>IF(offer_sale_type="транзит",IFERROR(ROUND(VLOOKUP($B1401,calc_data,O$14+1,1),2),0),0)</f>
        <v/>
      </c>
      <c r="P1401" s="141">
        <f>IF(offer_sale_type="транзит",IFERROR(ROUND(SUM(I1401:J1401,M1401:O1401)/E1401,2),0),0)</f>
        <v/>
      </c>
      <c r="Q1401" s="141">
        <f>E1401*P1401</f>
        <v/>
      </c>
      <c r="R1401" s="141">
        <f>ROUND(Q1401*IF(AND(offer_incoterms="DDP",seller_region="RU"),IF((TODAY()+offer_turnaround_time)&gt;=helpsheet!$L$17,rate_vatRU_from_26,rate_vatRu_till_25),0),2)</f>
        <v/>
      </c>
      <c r="S1401" s="177">
        <f>Q1401+IF(AND(offer_incoterms="DDP",seller_region="RU"),R1401,0)</f>
        <v/>
      </c>
      <c r="T1401" s="45" t="n"/>
      <c r="V1401" s="57">
        <f>IF(Q1401&gt;0,"показать","скрыть")</f>
        <v/>
      </c>
    </row>
    <row r="1402" ht="15.75" customHeight="1">
      <c r="B1402" s="809" t="n">
        <v>1386</v>
      </c>
      <c r="C1402" s="182">
        <f>IF(offer_sale_type="транзит",IFERROR(VLOOKUP($B1402,calc_data,C$14+1,0),0),0)</f>
        <v/>
      </c>
      <c r="D1402" s="280">
        <f>IF(offer_sale_type="транзит",IFERROR(VLOOKUP($B1402,calc_data,D$14+1,0),0),0)</f>
        <v/>
      </c>
      <c r="E1402" s="182">
        <f>IF(offer_sale_type="транзит",IFERROR(VLOOKUP($B1402,calc_data,E$14+1,0),0),0)</f>
        <v/>
      </c>
      <c r="F1402" s="182">
        <f>IF(offer_sale_type="транзит",IFERROR(VLOOKUP($B1402,calc_data,F$14+1,0),0),0)</f>
        <v/>
      </c>
      <c r="G1402" s="141">
        <f>IF(offer_sale_type="транзит",IFERROR(VLOOKUP($B1402,calc_data,G$14+1,0),0),0)</f>
        <v/>
      </c>
      <c r="H1402" s="141">
        <f>E1402*G1402</f>
        <v/>
      </c>
      <c r="I1402" s="141">
        <f>IF(offer_sale_type="транзит",IFERROR(ROUND(VLOOKUP($B1402,calc_data,I$14+1,0),2),0),0)</f>
        <v/>
      </c>
      <c r="J1402" s="141">
        <f>ROUND(IF(offer_sale_type="транзит",IFERROR(VLOOKUP($B1402,calc_data,J$14+1,0),0),0),2)</f>
        <v/>
      </c>
      <c r="K1402" s="142">
        <f>IF(offer_sale_type="транзит",IFERROR(ROUNDUP(VLOOKUP($B1402,calc_data,K$14+1,0),2),0),0)</f>
        <v/>
      </c>
      <c r="L1402" s="184">
        <f>IF(offer_sale_type="транзит",IFERROR(ROUNDUP(VLOOKUP($B1402,calc_data,L$14+1,0),2),0),0)</f>
        <v/>
      </c>
      <c r="M1402" s="141">
        <f>IF(offer_sale_type="транзит",IFERROR(ROUNDUP(VLOOKUP($B1402,calc_data,M$14+1,0),2),0),0)</f>
        <v/>
      </c>
      <c r="N1402" s="141">
        <f>IF(offer_sale_type="транзит",IFERROR(ROUNDUP(VLOOKUP($B1402,calc_data,N$14+1,0),2),0),0)</f>
        <v/>
      </c>
      <c r="O1402" s="147">
        <f>IF(offer_sale_type="транзит",IFERROR(ROUND(VLOOKUP($B1402,calc_data,O$14+1,1),2),0),0)</f>
        <v/>
      </c>
      <c r="P1402" s="141">
        <f>IF(offer_sale_type="транзит",IFERROR(ROUND(SUM(I1402:J1402,M1402:O1402)/E1402,2),0),0)</f>
        <v/>
      </c>
      <c r="Q1402" s="141">
        <f>E1402*P1402</f>
        <v/>
      </c>
      <c r="R1402" s="141">
        <f>ROUND(Q1402*IF(AND(offer_incoterms="DDP",seller_region="RU"),IF((TODAY()+offer_turnaround_time)&gt;=helpsheet!$L$17,rate_vatRU_from_26,rate_vatRu_till_25),0),2)</f>
        <v/>
      </c>
      <c r="S1402" s="177">
        <f>Q1402+IF(AND(offer_incoterms="DDP",seller_region="RU"),R1402,0)</f>
        <v/>
      </c>
      <c r="T1402" s="45" t="n"/>
      <c r="V1402" s="57">
        <f>IF(Q1402&gt;0,"показать","скрыть")</f>
        <v/>
      </c>
    </row>
    <row r="1403" ht="15.75" customHeight="1">
      <c r="B1403" s="809" t="n">
        <v>1387</v>
      </c>
      <c r="C1403" s="182">
        <f>IF(offer_sale_type="транзит",IFERROR(VLOOKUP($B1403,calc_data,C$14+1,0),0),0)</f>
        <v/>
      </c>
      <c r="D1403" s="280">
        <f>IF(offer_sale_type="транзит",IFERROR(VLOOKUP($B1403,calc_data,D$14+1,0),0),0)</f>
        <v/>
      </c>
      <c r="E1403" s="182">
        <f>IF(offer_sale_type="транзит",IFERROR(VLOOKUP($B1403,calc_data,E$14+1,0),0),0)</f>
        <v/>
      </c>
      <c r="F1403" s="182">
        <f>IF(offer_sale_type="транзит",IFERROR(VLOOKUP($B1403,calc_data,F$14+1,0),0),0)</f>
        <v/>
      </c>
      <c r="G1403" s="141">
        <f>IF(offer_sale_type="транзит",IFERROR(VLOOKUP($B1403,calc_data,G$14+1,0),0),0)</f>
        <v/>
      </c>
      <c r="H1403" s="141">
        <f>E1403*G1403</f>
        <v/>
      </c>
      <c r="I1403" s="141">
        <f>IF(offer_sale_type="транзит",IFERROR(ROUND(VLOOKUP($B1403,calc_data,I$14+1,0),2),0),0)</f>
        <v/>
      </c>
      <c r="J1403" s="141">
        <f>ROUND(IF(offer_sale_type="транзит",IFERROR(VLOOKUP($B1403,calc_data,J$14+1,0),0),0),2)</f>
        <v/>
      </c>
      <c r="K1403" s="142">
        <f>IF(offer_sale_type="транзит",IFERROR(ROUNDUP(VLOOKUP($B1403,calc_data,K$14+1,0),2),0),0)</f>
        <v/>
      </c>
      <c r="L1403" s="184">
        <f>IF(offer_sale_type="транзит",IFERROR(ROUNDUP(VLOOKUP($B1403,calc_data,L$14+1,0),2),0),0)</f>
        <v/>
      </c>
      <c r="M1403" s="141">
        <f>IF(offer_sale_type="транзит",IFERROR(ROUNDUP(VLOOKUP($B1403,calc_data,M$14+1,0),2),0),0)</f>
        <v/>
      </c>
      <c r="N1403" s="141">
        <f>IF(offer_sale_type="транзит",IFERROR(ROUNDUP(VLOOKUP($B1403,calc_data,N$14+1,0),2),0),0)</f>
        <v/>
      </c>
      <c r="O1403" s="147">
        <f>IF(offer_sale_type="транзит",IFERROR(ROUND(VLOOKUP($B1403,calc_data,O$14+1,1),2),0),0)</f>
        <v/>
      </c>
      <c r="P1403" s="141">
        <f>IF(offer_sale_type="транзит",IFERROR(ROUND(SUM(I1403:J1403,M1403:O1403)/E1403,2),0),0)</f>
        <v/>
      </c>
      <c r="Q1403" s="141">
        <f>E1403*P1403</f>
        <v/>
      </c>
      <c r="R1403" s="141">
        <f>ROUND(Q1403*IF(AND(offer_incoterms="DDP",seller_region="RU"),IF((TODAY()+offer_turnaround_time)&gt;=helpsheet!$L$17,rate_vatRU_from_26,rate_vatRu_till_25),0),2)</f>
        <v/>
      </c>
      <c r="S1403" s="177">
        <f>Q1403+IF(AND(offer_incoterms="DDP",seller_region="RU"),R1403,0)</f>
        <v/>
      </c>
      <c r="T1403" s="45" t="n"/>
      <c r="V1403" s="57">
        <f>IF(Q1403&gt;0,"показать","скрыть")</f>
        <v/>
      </c>
    </row>
    <row r="1404" ht="15.75" customHeight="1">
      <c r="B1404" s="809" t="n">
        <v>1388</v>
      </c>
      <c r="C1404" s="182">
        <f>IF(offer_sale_type="транзит",IFERROR(VLOOKUP($B1404,calc_data,C$14+1,0),0),0)</f>
        <v/>
      </c>
      <c r="D1404" s="280">
        <f>IF(offer_sale_type="транзит",IFERROR(VLOOKUP($B1404,calc_data,D$14+1,0),0),0)</f>
        <v/>
      </c>
      <c r="E1404" s="182">
        <f>IF(offer_sale_type="транзит",IFERROR(VLOOKUP($B1404,calc_data,E$14+1,0),0),0)</f>
        <v/>
      </c>
      <c r="F1404" s="182">
        <f>IF(offer_sale_type="транзит",IFERROR(VLOOKUP($B1404,calc_data,F$14+1,0),0),0)</f>
        <v/>
      </c>
      <c r="G1404" s="141">
        <f>IF(offer_sale_type="транзит",IFERROR(VLOOKUP($B1404,calc_data,G$14+1,0),0),0)</f>
        <v/>
      </c>
      <c r="H1404" s="141">
        <f>E1404*G1404</f>
        <v/>
      </c>
      <c r="I1404" s="141">
        <f>IF(offer_sale_type="транзит",IFERROR(ROUND(VLOOKUP($B1404,calc_data,I$14+1,0),2),0),0)</f>
        <v/>
      </c>
      <c r="J1404" s="141">
        <f>ROUND(IF(offer_sale_type="транзит",IFERROR(VLOOKUP($B1404,calc_data,J$14+1,0),0),0),2)</f>
        <v/>
      </c>
      <c r="K1404" s="142">
        <f>IF(offer_sale_type="транзит",IFERROR(ROUNDUP(VLOOKUP($B1404,calc_data,K$14+1,0),2),0),0)</f>
        <v/>
      </c>
      <c r="L1404" s="184">
        <f>IF(offer_sale_type="транзит",IFERROR(ROUNDUP(VLOOKUP($B1404,calc_data,L$14+1,0),2),0),0)</f>
        <v/>
      </c>
      <c r="M1404" s="141">
        <f>IF(offer_sale_type="транзит",IFERROR(ROUNDUP(VLOOKUP($B1404,calc_data,M$14+1,0),2),0),0)</f>
        <v/>
      </c>
      <c r="N1404" s="141">
        <f>IF(offer_sale_type="транзит",IFERROR(ROUNDUP(VLOOKUP($B1404,calc_data,N$14+1,0),2),0),0)</f>
        <v/>
      </c>
      <c r="O1404" s="147">
        <f>IF(offer_sale_type="транзит",IFERROR(ROUND(VLOOKUP($B1404,calc_data,O$14+1,1),2),0),0)</f>
        <v/>
      </c>
      <c r="P1404" s="141">
        <f>IF(offer_sale_type="транзит",IFERROR(ROUND(SUM(I1404:J1404,M1404:O1404)/E1404,2),0),0)</f>
        <v/>
      </c>
      <c r="Q1404" s="141">
        <f>E1404*P1404</f>
        <v/>
      </c>
      <c r="R1404" s="141">
        <f>ROUND(Q1404*IF(AND(offer_incoterms="DDP",seller_region="RU"),IF((TODAY()+offer_turnaround_time)&gt;=helpsheet!$L$17,rate_vatRU_from_26,rate_vatRu_till_25),0),2)</f>
        <v/>
      </c>
      <c r="S1404" s="177">
        <f>Q1404+IF(AND(offer_incoterms="DDP",seller_region="RU"),R1404,0)</f>
        <v/>
      </c>
      <c r="T1404" s="45" t="n"/>
      <c r="V1404" s="57">
        <f>IF(Q1404&gt;0,"показать","скрыть")</f>
        <v/>
      </c>
    </row>
    <row r="1405" ht="15.75" customHeight="1">
      <c r="B1405" s="809" t="n">
        <v>1389</v>
      </c>
      <c r="C1405" s="182">
        <f>IF(offer_sale_type="транзит",IFERROR(VLOOKUP($B1405,calc_data,C$14+1,0),0),0)</f>
        <v/>
      </c>
      <c r="D1405" s="280">
        <f>IF(offer_sale_type="транзит",IFERROR(VLOOKUP($B1405,calc_data,D$14+1,0),0),0)</f>
        <v/>
      </c>
      <c r="E1405" s="182">
        <f>IF(offer_sale_type="транзит",IFERROR(VLOOKUP($B1405,calc_data,E$14+1,0),0),0)</f>
        <v/>
      </c>
      <c r="F1405" s="182">
        <f>IF(offer_sale_type="транзит",IFERROR(VLOOKUP($B1405,calc_data,F$14+1,0),0),0)</f>
        <v/>
      </c>
      <c r="G1405" s="141">
        <f>IF(offer_sale_type="транзит",IFERROR(VLOOKUP($B1405,calc_data,G$14+1,0),0),0)</f>
        <v/>
      </c>
      <c r="H1405" s="141">
        <f>E1405*G1405</f>
        <v/>
      </c>
      <c r="I1405" s="141">
        <f>IF(offer_sale_type="транзит",IFERROR(ROUND(VLOOKUP($B1405,calc_data,I$14+1,0),2),0),0)</f>
        <v/>
      </c>
      <c r="J1405" s="141">
        <f>ROUND(IF(offer_sale_type="транзит",IFERROR(VLOOKUP($B1405,calc_data,J$14+1,0),0),0),2)</f>
        <v/>
      </c>
      <c r="K1405" s="142">
        <f>IF(offer_sale_type="транзит",IFERROR(ROUNDUP(VLOOKUP($B1405,calc_data,K$14+1,0),2),0),0)</f>
        <v/>
      </c>
      <c r="L1405" s="184">
        <f>IF(offer_sale_type="транзит",IFERROR(ROUNDUP(VLOOKUP($B1405,calc_data,L$14+1,0),2),0),0)</f>
        <v/>
      </c>
      <c r="M1405" s="141">
        <f>IF(offer_sale_type="транзит",IFERROR(ROUNDUP(VLOOKUP($B1405,calc_data,M$14+1,0),2),0),0)</f>
        <v/>
      </c>
      <c r="N1405" s="141">
        <f>IF(offer_sale_type="транзит",IFERROR(ROUNDUP(VLOOKUP($B1405,calc_data,N$14+1,0),2),0),0)</f>
        <v/>
      </c>
      <c r="O1405" s="147">
        <f>IF(offer_sale_type="транзит",IFERROR(ROUND(VLOOKUP($B1405,calc_data,O$14+1,1),2),0),0)</f>
        <v/>
      </c>
      <c r="P1405" s="141">
        <f>IF(offer_sale_type="транзит",IFERROR(ROUND(SUM(I1405:J1405,M1405:O1405)/E1405,2),0),0)</f>
        <v/>
      </c>
      <c r="Q1405" s="141">
        <f>E1405*P1405</f>
        <v/>
      </c>
      <c r="R1405" s="141">
        <f>ROUND(Q1405*IF(AND(offer_incoterms="DDP",seller_region="RU"),IF((TODAY()+offer_turnaround_time)&gt;=helpsheet!$L$17,rate_vatRU_from_26,rate_vatRu_till_25),0),2)</f>
        <v/>
      </c>
      <c r="S1405" s="177">
        <f>Q1405+IF(AND(offer_incoterms="DDP",seller_region="RU"),R1405,0)</f>
        <v/>
      </c>
      <c r="T1405" s="45" t="n"/>
      <c r="V1405" s="57">
        <f>IF(Q1405&gt;0,"показать","скрыть")</f>
        <v/>
      </c>
    </row>
    <row r="1406" ht="15.75" customHeight="1">
      <c r="B1406" s="809" t="n">
        <v>1390</v>
      </c>
      <c r="C1406" s="182">
        <f>IF(offer_sale_type="транзит",IFERROR(VLOOKUP($B1406,calc_data,C$14+1,0),0),0)</f>
        <v/>
      </c>
      <c r="D1406" s="280">
        <f>IF(offer_sale_type="транзит",IFERROR(VLOOKUP($B1406,calc_data,D$14+1,0),0),0)</f>
        <v/>
      </c>
      <c r="E1406" s="182">
        <f>IF(offer_sale_type="транзит",IFERROR(VLOOKUP($B1406,calc_data,E$14+1,0),0),0)</f>
        <v/>
      </c>
      <c r="F1406" s="182">
        <f>IF(offer_sale_type="транзит",IFERROR(VLOOKUP($B1406,calc_data,F$14+1,0),0),0)</f>
        <v/>
      </c>
      <c r="G1406" s="141">
        <f>IF(offer_sale_type="транзит",IFERROR(VLOOKUP($B1406,calc_data,G$14+1,0),0),0)</f>
        <v/>
      </c>
      <c r="H1406" s="141">
        <f>E1406*G1406</f>
        <v/>
      </c>
      <c r="I1406" s="141">
        <f>IF(offer_sale_type="транзит",IFERROR(ROUND(VLOOKUP($B1406,calc_data,I$14+1,0),2),0),0)</f>
        <v/>
      </c>
      <c r="J1406" s="141">
        <f>ROUND(IF(offer_sale_type="транзит",IFERROR(VLOOKUP($B1406,calc_data,J$14+1,0),0),0),2)</f>
        <v/>
      </c>
      <c r="K1406" s="142">
        <f>IF(offer_sale_type="транзит",IFERROR(ROUNDUP(VLOOKUP($B1406,calc_data,K$14+1,0),2),0),0)</f>
        <v/>
      </c>
      <c r="L1406" s="184">
        <f>IF(offer_sale_type="транзит",IFERROR(ROUNDUP(VLOOKUP($B1406,calc_data,L$14+1,0),2),0),0)</f>
        <v/>
      </c>
      <c r="M1406" s="141">
        <f>IF(offer_sale_type="транзит",IFERROR(ROUNDUP(VLOOKUP($B1406,calc_data,M$14+1,0),2),0),0)</f>
        <v/>
      </c>
      <c r="N1406" s="141">
        <f>IF(offer_sale_type="транзит",IFERROR(ROUNDUP(VLOOKUP($B1406,calc_data,N$14+1,0),2),0),0)</f>
        <v/>
      </c>
      <c r="O1406" s="147">
        <f>IF(offer_sale_type="транзит",IFERROR(ROUND(VLOOKUP($B1406,calc_data,O$14+1,1),2),0),0)</f>
        <v/>
      </c>
      <c r="P1406" s="141">
        <f>IF(offer_sale_type="транзит",IFERROR(ROUND(SUM(I1406:J1406,M1406:O1406)/E1406,2),0),0)</f>
        <v/>
      </c>
      <c r="Q1406" s="141">
        <f>E1406*P1406</f>
        <v/>
      </c>
      <c r="R1406" s="141">
        <f>ROUND(Q1406*IF(AND(offer_incoterms="DDP",seller_region="RU"),IF((TODAY()+offer_turnaround_time)&gt;=helpsheet!$L$17,rate_vatRU_from_26,rate_vatRu_till_25),0),2)</f>
        <v/>
      </c>
      <c r="S1406" s="177">
        <f>Q1406+IF(AND(offer_incoterms="DDP",seller_region="RU"),R1406,0)</f>
        <v/>
      </c>
      <c r="T1406" s="45" t="n"/>
      <c r="V1406" s="57">
        <f>IF(Q1406&gt;0,"показать","скрыть")</f>
        <v/>
      </c>
    </row>
    <row r="1407" ht="15.75" customHeight="1">
      <c r="B1407" s="809" t="n">
        <v>1391</v>
      </c>
      <c r="C1407" s="182">
        <f>IF(offer_sale_type="транзит",IFERROR(VLOOKUP($B1407,calc_data,C$14+1,0),0),0)</f>
        <v/>
      </c>
      <c r="D1407" s="280">
        <f>IF(offer_sale_type="транзит",IFERROR(VLOOKUP($B1407,calc_data,D$14+1,0),0),0)</f>
        <v/>
      </c>
      <c r="E1407" s="182">
        <f>IF(offer_sale_type="транзит",IFERROR(VLOOKUP($B1407,calc_data,E$14+1,0),0),0)</f>
        <v/>
      </c>
      <c r="F1407" s="182">
        <f>IF(offer_sale_type="транзит",IFERROR(VLOOKUP($B1407,calc_data,F$14+1,0),0),0)</f>
        <v/>
      </c>
      <c r="G1407" s="141">
        <f>IF(offer_sale_type="транзит",IFERROR(VLOOKUP($B1407,calc_data,G$14+1,0),0),0)</f>
        <v/>
      </c>
      <c r="H1407" s="141">
        <f>E1407*G1407</f>
        <v/>
      </c>
      <c r="I1407" s="141">
        <f>IF(offer_sale_type="транзит",IFERROR(ROUND(VLOOKUP($B1407,calc_data,I$14+1,0),2),0),0)</f>
        <v/>
      </c>
      <c r="J1407" s="141">
        <f>ROUND(IF(offer_sale_type="транзит",IFERROR(VLOOKUP($B1407,calc_data,J$14+1,0),0),0),2)</f>
        <v/>
      </c>
      <c r="K1407" s="142">
        <f>IF(offer_sale_type="транзит",IFERROR(ROUNDUP(VLOOKUP($B1407,calc_data,K$14+1,0),2),0),0)</f>
        <v/>
      </c>
      <c r="L1407" s="184">
        <f>IF(offer_sale_type="транзит",IFERROR(ROUNDUP(VLOOKUP($B1407,calc_data,L$14+1,0),2),0),0)</f>
        <v/>
      </c>
      <c r="M1407" s="141">
        <f>IF(offer_sale_type="транзит",IFERROR(ROUNDUP(VLOOKUP($B1407,calc_data,M$14+1,0),2),0),0)</f>
        <v/>
      </c>
      <c r="N1407" s="141">
        <f>IF(offer_sale_type="транзит",IFERROR(ROUNDUP(VLOOKUP($B1407,calc_data,N$14+1,0),2),0),0)</f>
        <v/>
      </c>
      <c r="O1407" s="147">
        <f>IF(offer_sale_type="транзит",IFERROR(ROUND(VLOOKUP($B1407,calc_data,O$14+1,1),2),0),0)</f>
        <v/>
      </c>
      <c r="P1407" s="141">
        <f>IF(offer_sale_type="транзит",IFERROR(ROUND(SUM(I1407:J1407,M1407:O1407)/E1407,2),0),0)</f>
        <v/>
      </c>
      <c r="Q1407" s="141">
        <f>E1407*P1407</f>
        <v/>
      </c>
      <c r="R1407" s="141">
        <f>ROUND(Q1407*IF(AND(offer_incoterms="DDP",seller_region="RU"),IF((TODAY()+offer_turnaround_time)&gt;=helpsheet!$L$17,rate_vatRU_from_26,rate_vatRu_till_25),0),2)</f>
        <v/>
      </c>
      <c r="S1407" s="177">
        <f>Q1407+IF(AND(offer_incoterms="DDP",seller_region="RU"),R1407,0)</f>
        <v/>
      </c>
      <c r="T1407" s="45" t="n"/>
      <c r="V1407" s="57">
        <f>IF(Q1407&gt;0,"показать","скрыть")</f>
        <v/>
      </c>
    </row>
    <row r="1408" ht="15.75" customHeight="1">
      <c r="B1408" s="809" t="n">
        <v>1392</v>
      </c>
      <c r="C1408" s="182">
        <f>IF(offer_sale_type="транзит",IFERROR(VLOOKUP($B1408,calc_data,C$14+1,0),0),0)</f>
        <v/>
      </c>
      <c r="D1408" s="280">
        <f>IF(offer_sale_type="транзит",IFERROR(VLOOKUP($B1408,calc_data,D$14+1,0),0),0)</f>
        <v/>
      </c>
      <c r="E1408" s="182">
        <f>IF(offer_sale_type="транзит",IFERROR(VLOOKUP($B1408,calc_data,E$14+1,0),0),0)</f>
        <v/>
      </c>
      <c r="F1408" s="182">
        <f>IF(offer_sale_type="транзит",IFERROR(VLOOKUP($B1408,calc_data,F$14+1,0),0),0)</f>
        <v/>
      </c>
      <c r="G1408" s="141">
        <f>IF(offer_sale_type="транзит",IFERROR(VLOOKUP($B1408,calc_data,G$14+1,0),0),0)</f>
        <v/>
      </c>
      <c r="H1408" s="141">
        <f>E1408*G1408</f>
        <v/>
      </c>
      <c r="I1408" s="141">
        <f>IF(offer_sale_type="транзит",IFERROR(ROUND(VLOOKUP($B1408,calc_data,I$14+1,0),2),0),0)</f>
        <v/>
      </c>
      <c r="J1408" s="141">
        <f>ROUND(IF(offer_sale_type="транзит",IFERROR(VLOOKUP($B1408,calc_data,J$14+1,0),0),0),2)</f>
        <v/>
      </c>
      <c r="K1408" s="142">
        <f>IF(offer_sale_type="транзит",IFERROR(ROUNDUP(VLOOKUP($B1408,calc_data,K$14+1,0),2),0),0)</f>
        <v/>
      </c>
      <c r="L1408" s="184">
        <f>IF(offer_sale_type="транзит",IFERROR(ROUNDUP(VLOOKUP($B1408,calc_data,L$14+1,0),2),0),0)</f>
        <v/>
      </c>
      <c r="M1408" s="141">
        <f>IF(offer_sale_type="транзит",IFERROR(ROUNDUP(VLOOKUP($B1408,calc_data,M$14+1,0),2),0),0)</f>
        <v/>
      </c>
      <c r="N1408" s="141">
        <f>IF(offer_sale_type="транзит",IFERROR(ROUNDUP(VLOOKUP($B1408,calc_data,N$14+1,0),2),0),0)</f>
        <v/>
      </c>
      <c r="O1408" s="147">
        <f>IF(offer_sale_type="транзит",IFERROR(ROUND(VLOOKUP($B1408,calc_data,O$14+1,1),2),0),0)</f>
        <v/>
      </c>
      <c r="P1408" s="141">
        <f>IF(offer_sale_type="транзит",IFERROR(ROUND(SUM(I1408:J1408,M1408:O1408)/E1408,2),0),0)</f>
        <v/>
      </c>
      <c r="Q1408" s="141">
        <f>E1408*P1408</f>
        <v/>
      </c>
      <c r="R1408" s="141">
        <f>ROUND(Q1408*IF(AND(offer_incoterms="DDP",seller_region="RU"),IF((TODAY()+offer_turnaround_time)&gt;=helpsheet!$L$17,rate_vatRU_from_26,rate_vatRu_till_25),0),2)</f>
        <v/>
      </c>
      <c r="S1408" s="177">
        <f>Q1408+IF(AND(offer_incoterms="DDP",seller_region="RU"),R1408,0)</f>
        <v/>
      </c>
      <c r="T1408" s="45" t="n"/>
      <c r="V1408" s="57">
        <f>IF(Q1408&gt;0,"показать","скрыть")</f>
        <v/>
      </c>
    </row>
    <row r="1409" ht="15.75" customHeight="1">
      <c r="B1409" s="809" t="n">
        <v>1393</v>
      </c>
      <c r="C1409" s="182">
        <f>IF(offer_sale_type="транзит",IFERROR(VLOOKUP($B1409,calc_data,C$14+1,0),0),0)</f>
        <v/>
      </c>
      <c r="D1409" s="280">
        <f>IF(offer_sale_type="транзит",IFERROR(VLOOKUP($B1409,calc_data,D$14+1,0),0),0)</f>
        <v/>
      </c>
      <c r="E1409" s="182">
        <f>IF(offer_sale_type="транзит",IFERROR(VLOOKUP($B1409,calc_data,E$14+1,0),0),0)</f>
        <v/>
      </c>
      <c r="F1409" s="182">
        <f>IF(offer_sale_type="транзит",IFERROR(VLOOKUP($B1409,calc_data,F$14+1,0),0),0)</f>
        <v/>
      </c>
      <c r="G1409" s="141">
        <f>IF(offer_sale_type="транзит",IFERROR(VLOOKUP($B1409,calc_data,G$14+1,0),0),0)</f>
        <v/>
      </c>
      <c r="H1409" s="141">
        <f>E1409*G1409</f>
        <v/>
      </c>
      <c r="I1409" s="141">
        <f>IF(offer_sale_type="транзит",IFERROR(ROUND(VLOOKUP($B1409,calc_data,I$14+1,0),2),0),0)</f>
        <v/>
      </c>
      <c r="J1409" s="141">
        <f>ROUND(IF(offer_sale_type="транзит",IFERROR(VLOOKUP($B1409,calc_data,J$14+1,0),0),0),2)</f>
        <v/>
      </c>
      <c r="K1409" s="142">
        <f>IF(offer_sale_type="транзит",IFERROR(ROUNDUP(VLOOKUP($B1409,calc_data,K$14+1,0),2),0),0)</f>
        <v/>
      </c>
      <c r="L1409" s="184">
        <f>IF(offer_sale_type="транзит",IFERROR(ROUNDUP(VLOOKUP($B1409,calc_data,L$14+1,0),2),0),0)</f>
        <v/>
      </c>
      <c r="M1409" s="141">
        <f>IF(offer_sale_type="транзит",IFERROR(ROUNDUP(VLOOKUP($B1409,calc_data,M$14+1,0),2),0),0)</f>
        <v/>
      </c>
      <c r="N1409" s="141">
        <f>IF(offer_sale_type="транзит",IFERROR(ROUNDUP(VLOOKUP($B1409,calc_data,N$14+1,0),2),0),0)</f>
        <v/>
      </c>
      <c r="O1409" s="147">
        <f>IF(offer_sale_type="транзит",IFERROR(ROUND(VLOOKUP($B1409,calc_data,O$14+1,1),2),0),0)</f>
        <v/>
      </c>
      <c r="P1409" s="141">
        <f>IF(offer_sale_type="транзит",IFERROR(ROUND(SUM(I1409:J1409,M1409:O1409)/E1409,2),0),0)</f>
        <v/>
      </c>
      <c r="Q1409" s="141">
        <f>E1409*P1409</f>
        <v/>
      </c>
      <c r="R1409" s="141">
        <f>ROUND(Q1409*IF(AND(offer_incoterms="DDP",seller_region="RU"),IF((TODAY()+offer_turnaround_time)&gt;=helpsheet!$L$17,rate_vatRU_from_26,rate_vatRu_till_25),0),2)</f>
        <v/>
      </c>
      <c r="S1409" s="177">
        <f>Q1409+IF(AND(offer_incoterms="DDP",seller_region="RU"),R1409,0)</f>
        <v/>
      </c>
      <c r="T1409" s="45" t="n"/>
      <c r="V1409" s="57">
        <f>IF(Q1409&gt;0,"показать","скрыть")</f>
        <v/>
      </c>
    </row>
    <row r="1410" ht="15.75" customHeight="1">
      <c r="B1410" s="809" t="n">
        <v>1394</v>
      </c>
      <c r="C1410" s="182">
        <f>IF(offer_sale_type="транзит",IFERROR(VLOOKUP($B1410,calc_data,C$14+1,0),0),0)</f>
        <v/>
      </c>
      <c r="D1410" s="280">
        <f>IF(offer_sale_type="транзит",IFERROR(VLOOKUP($B1410,calc_data,D$14+1,0),0),0)</f>
        <v/>
      </c>
      <c r="E1410" s="182">
        <f>IF(offer_sale_type="транзит",IFERROR(VLOOKUP($B1410,calc_data,E$14+1,0),0),0)</f>
        <v/>
      </c>
      <c r="F1410" s="182">
        <f>IF(offer_sale_type="транзит",IFERROR(VLOOKUP($B1410,calc_data,F$14+1,0),0),0)</f>
        <v/>
      </c>
      <c r="G1410" s="141">
        <f>IF(offer_sale_type="транзит",IFERROR(VLOOKUP($B1410,calc_data,G$14+1,0),0),0)</f>
        <v/>
      </c>
      <c r="H1410" s="141">
        <f>E1410*G1410</f>
        <v/>
      </c>
      <c r="I1410" s="141">
        <f>IF(offer_sale_type="транзит",IFERROR(ROUND(VLOOKUP($B1410,calc_data,I$14+1,0),2),0),0)</f>
        <v/>
      </c>
      <c r="J1410" s="141">
        <f>ROUND(IF(offer_sale_type="транзит",IFERROR(VLOOKUP($B1410,calc_data,J$14+1,0),0),0),2)</f>
        <v/>
      </c>
      <c r="K1410" s="142">
        <f>IF(offer_sale_type="транзит",IFERROR(ROUNDUP(VLOOKUP($B1410,calc_data,K$14+1,0),2),0),0)</f>
        <v/>
      </c>
      <c r="L1410" s="184">
        <f>IF(offer_sale_type="транзит",IFERROR(ROUNDUP(VLOOKUP($B1410,calc_data,L$14+1,0),2),0),0)</f>
        <v/>
      </c>
      <c r="M1410" s="141">
        <f>IF(offer_sale_type="транзит",IFERROR(ROUNDUP(VLOOKUP($B1410,calc_data,M$14+1,0),2),0),0)</f>
        <v/>
      </c>
      <c r="N1410" s="141">
        <f>IF(offer_sale_type="транзит",IFERROR(ROUNDUP(VLOOKUP($B1410,calc_data,N$14+1,0),2),0),0)</f>
        <v/>
      </c>
      <c r="O1410" s="147">
        <f>IF(offer_sale_type="транзит",IFERROR(ROUND(VLOOKUP($B1410,calc_data,O$14+1,1),2),0),0)</f>
        <v/>
      </c>
      <c r="P1410" s="141">
        <f>IF(offer_sale_type="транзит",IFERROR(ROUND(SUM(I1410:J1410,M1410:O1410)/E1410,2),0),0)</f>
        <v/>
      </c>
      <c r="Q1410" s="141">
        <f>E1410*P1410</f>
        <v/>
      </c>
      <c r="R1410" s="141">
        <f>ROUND(Q1410*IF(AND(offer_incoterms="DDP",seller_region="RU"),IF((TODAY()+offer_turnaround_time)&gt;=helpsheet!$L$17,rate_vatRU_from_26,rate_vatRu_till_25),0),2)</f>
        <v/>
      </c>
      <c r="S1410" s="177">
        <f>Q1410+IF(AND(offer_incoterms="DDP",seller_region="RU"),R1410,0)</f>
        <v/>
      </c>
      <c r="T1410" s="45" t="n"/>
      <c r="V1410" s="57">
        <f>IF(Q1410&gt;0,"показать","скрыть")</f>
        <v/>
      </c>
    </row>
    <row r="1411" ht="15.75" customHeight="1">
      <c r="B1411" s="809" t="n">
        <v>1395</v>
      </c>
      <c r="C1411" s="182">
        <f>IF(offer_sale_type="транзит",IFERROR(VLOOKUP($B1411,calc_data,C$14+1,0),0),0)</f>
        <v/>
      </c>
      <c r="D1411" s="280">
        <f>IF(offer_sale_type="транзит",IFERROR(VLOOKUP($B1411,calc_data,D$14+1,0),0),0)</f>
        <v/>
      </c>
      <c r="E1411" s="182">
        <f>IF(offer_sale_type="транзит",IFERROR(VLOOKUP($B1411,calc_data,E$14+1,0),0),0)</f>
        <v/>
      </c>
      <c r="F1411" s="182">
        <f>IF(offer_sale_type="транзит",IFERROR(VLOOKUP($B1411,calc_data,F$14+1,0),0),0)</f>
        <v/>
      </c>
      <c r="G1411" s="141">
        <f>IF(offer_sale_type="транзит",IFERROR(VLOOKUP($B1411,calc_data,G$14+1,0),0),0)</f>
        <v/>
      </c>
      <c r="H1411" s="141">
        <f>E1411*G1411</f>
        <v/>
      </c>
      <c r="I1411" s="141">
        <f>IF(offer_sale_type="транзит",IFERROR(ROUND(VLOOKUP($B1411,calc_data,I$14+1,0),2),0),0)</f>
        <v/>
      </c>
      <c r="J1411" s="141">
        <f>ROUND(IF(offer_sale_type="транзит",IFERROR(VLOOKUP($B1411,calc_data,J$14+1,0),0),0),2)</f>
        <v/>
      </c>
      <c r="K1411" s="142">
        <f>IF(offer_sale_type="транзит",IFERROR(ROUNDUP(VLOOKUP($B1411,calc_data,K$14+1,0),2),0),0)</f>
        <v/>
      </c>
      <c r="L1411" s="184">
        <f>IF(offer_sale_type="транзит",IFERROR(ROUNDUP(VLOOKUP($B1411,calc_data,L$14+1,0),2),0),0)</f>
        <v/>
      </c>
      <c r="M1411" s="141">
        <f>IF(offer_sale_type="транзит",IFERROR(ROUNDUP(VLOOKUP($B1411,calc_data,M$14+1,0),2),0),0)</f>
        <v/>
      </c>
      <c r="N1411" s="141">
        <f>IF(offer_sale_type="транзит",IFERROR(ROUNDUP(VLOOKUP($B1411,calc_data,N$14+1,0),2),0),0)</f>
        <v/>
      </c>
      <c r="O1411" s="147">
        <f>IF(offer_sale_type="транзит",IFERROR(ROUND(VLOOKUP($B1411,calc_data,O$14+1,1),2),0),0)</f>
        <v/>
      </c>
      <c r="P1411" s="141">
        <f>IF(offer_sale_type="транзит",IFERROR(ROUND(SUM(I1411:J1411,M1411:O1411)/E1411,2),0),0)</f>
        <v/>
      </c>
      <c r="Q1411" s="141">
        <f>E1411*P1411</f>
        <v/>
      </c>
      <c r="R1411" s="141">
        <f>ROUND(Q1411*IF(AND(offer_incoterms="DDP",seller_region="RU"),IF((TODAY()+offer_turnaround_time)&gt;=helpsheet!$L$17,rate_vatRU_from_26,rate_vatRu_till_25),0),2)</f>
        <v/>
      </c>
      <c r="S1411" s="177">
        <f>Q1411+IF(AND(offer_incoterms="DDP",seller_region="RU"),R1411,0)</f>
        <v/>
      </c>
      <c r="T1411" s="45" t="n"/>
      <c r="V1411" s="57">
        <f>IF(Q1411&gt;0,"показать","скрыть")</f>
        <v/>
      </c>
    </row>
    <row r="1412" ht="15.75" customHeight="1">
      <c r="B1412" s="809" t="n">
        <v>1396</v>
      </c>
      <c r="C1412" s="182">
        <f>IF(offer_sale_type="транзит",IFERROR(VLOOKUP($B1412,calc_data,C$14+1,0),0),0)</f>
        <v/>
      </c>
      <c r="D1412" s="280">
        <f>IF(offer_sale_type="транзит",IFERROR(VLOOKUP($B1412,calc_data,D$14+1,0),0),0)</f>
        <v/>
      </c>
      <c r="E1412" s="182">
        <f>IF(offer_sale_type="транзит",IFERROR(VLOOKUP($B1412,calc_data,E$14+1,0),0),0)</f>
        <v/>
      </c>
      <c r="F1412" s="182">
        <f>IF(offer_sale_type="транзит",IFERROR(VLOOKUP($B1412,calc_data,F$14+1,0),0),0)</f>
        <v/>
      </c>
      <c r="G1412" s="141">
        <f>IF(offer_sale_type="транзит",IFERROR(VLOOKUP($B1412,calc_data,G$14+1,0),0),0)</f>
        <v/>
      </c>
      <c r="H1412" s="141">
        <f>E1412*G1412</f>
        <v/>
      </c>
      <c r="I1412" s="141">
        <f>IF(offer_sale_type="транзит",IFERROR(ROUND(VLOOKUP($B1412,calc_data,I$14+1,0),2),0),0)</f>
        <v/>
      </c>
      <c r="J1412" s="141">
        <f>ROUND(IF(offer_sale_type="транзит",IFERROR(VLOOKUP($B1412,calc_data,J$14+1,0),0),0),2)</f>
        <v/>
      </c>
      <c r="K1412" s="142">
        <f>IF(offer_sale_type="транзит",IFERROR(ROUNDUP(VLOOKUP($B1412,calc_data,K$14+1,0),2),0),0)</f>
        <v/>
      </c>
      <c r="L1412" s="184">
        <f>IF(offer_sale_type="транзит",IFERROR(ROUNDUP(VLOOKUP($B1412,calc_data,L$14+1,0),2),0),0)</f>
        <v/>
      </c>
      <c r="M1412" s="141">
        <f>IF(offer_sale_type="транзит",IFERROR(ROUNDUP(VLOOKUP($B1412,calc_data,M$14+1,0),2),0),0)</f>
        <v/>
      </c>
      <c r="N1412" s="141">
        <f>IF(offer_sale_type="транзит",IFERROR(ROUNDUP(VLOOKUP($B1412,calc_data,N$14+1,0),2),0),0)</f>
        <v/>
      </c>
      <c r="O1412" s="147">
        <f>IF(offer_sale_type="транзит",IFERROR(ROUND(VLOOKUP($B1412,calc_data,O$14+1,1),2),0),0)</f>
        <v/>
      </c>
      <c r="P1412" s="141">
        <f>IF(offer_sale_type="транзит",IFERROR(ROUND(SUM(I1412:J1412,M1412:O1412)/E1412,2),0),0)</f>
        <v/>
      </c>
      <c r="Q1412" s="141">
        <f>E1412*P1412</f>
        <v/>
      </c>
      <c r="R1412" s="141">
        <f>ROUND(Q1412*IF(AND(offer_incoterms="DDP",seller_region="RU"),IF((TODAY()+offer_turnaround_time)&gt;=helpsheet!$L$17,rate_vatRU_from_26,rate_vatRu_till_25),0),2)</f>
        <v/>
      </c>
      <c r="S1412" s="177">
        <f>Q1412+IF(AND(offer_incoterms="DDP",seller_region="RU"),R1412,0)</f>
        <v/>
      </c>
      <c r="T1412" s="45" t="n"/>
      <c r="V1412" s="57">
        <f>IF(Q1412&gt;0,"показать","скрыть")</f>
        <v/>
      </c>
    </row>
    <row r="1413" ht="15.75" customHeight="1">
      <c r="B1413" s="809" t="n">
        <v>1397</v>
      </c>
      <c r="C1413" s="182">
        <f>IF(offer_sale_type="транзит",IFERROR(VLOOKUP($B1413,calc_data,C$14+1,0),0),0)</f>
        <v/>
      </c>
      <c r="D1413" s="280">
        <f>IF(offer_sale_type="транзит",IFERROR(VLOOKUP($B1413,calc_data,D$14+1,0),0),0)</f>
        <v/>
      </c>
      <c r="E1413" s="182">
        <f>IF(offer_sale_type="транзит",IFERROR(VLOOKUP($B1413,calc_data,E$14+1,0),0),0)</f>
        <v/>
      </c>
      <c r="F1413" s="182">
        <f>IF(offer_sale_type="транзит",IFERROR(VLOOKUP($B1413,calc_data,F$14+1,0),0),0)</f>
        <v/>
      </c>
      <c r="G1413" s="141">
        <f>IF(offer_sale_type="транзит",IFERROR(VLOOKUP($B1413,calc_data,G$14+1,0),0),0)</f>
        <v/>
      </c>
      <c r="H1413" s="141">
        <f>E1413*G1413</f>
        <v/>
      </c>
      <c r="I1413" s="141">
        <f>IF(offer_sale_type="транзит",IFERROR(ROUND(VLOOKUP($B1413,calc_data,I$14+1,0),2),0),0)</f>
        <v/>
      </c>
      <c r="J1413" s="141">
        <f>ROUND(IF(offer_sale_type="транзит",IFERROR(VLOOKUP($B1413,calc_data,J$14+1,0),0),0),2)</f>
        <v/>
      </c>
      <c r="K1413" s="142">
        <f>IF(offer_sale_type="транзит",IFERROR(ROUNDUP(VLOOKUP($B1413,calc_data,K$14+1,0),2),0),0)</f>
        <v/>
      </c>
      <c r="L1413" s="184">
        <f>IF(offer_sale_type="транзит",IFERROR(ROUNDUP(VLOOKUP($B1413,calc_data,L$14+1,0),2),0),0)</f>
        <v/>
      </c>
      <c r="M1413" s="141">
        <f>IF(offer_sale_type="транзит",IFERROR(ROUNDUP(VLOOKUP($B1413,calc_data,M$14+1,0),2),0),0)</f>
        <v/>
      </c>
      <c r="N1413" s="141">
        <f>IF(offer_sale_type="транзит",IFERROR(ROUNDUP(VLOOKUP($B1413,calc_data,N$14+1,0),2),0),0)</f>
        <v/>
      </c>
      <c r="O1413" s="147">
        <f>IF(offer_sale_type="транзит",IFERROR(ROUND(VLOOKUP($B1413,calc_data,O$14+1,1),2),0),0)</f>
        <v/>
      </c>
      <c r="P1413" s="141">
        <f>IF(offer_sale_type="транзит",IFERROR(ROUND(SUM(I1413:J1413,M1413:O1413)/E1413,2),0),0)</f>
        <v/>
      </c>
      <c r="Q1413" s="141">
        <f>E1413*P1413</f>
        <v/>
      </c>
      <c r="R1413" s="141">
        <f>ROUND(Q1413*IF(AND(offer_incoterms="DDP",seller_region="RU"),IF((TODAY()+offer_turnaround_time)&gt;=helpsheet!$L$17,rate_vatRU_from_26,rate_vatRu_till_25),0),2)</f>
        <v/>
      </c>
      <c r="S1413" s="177">
        <f>Q1413+IF(AND(offer_incoterms="DDP",seller_region="RU"),R1413,0)</f>
        <v/>
      </c>
      <c r="T1413" s="45" t="n"/>
      <c r="V1413" s="57">
        <f>IF(Q1413&gt;0,"показать","скрыть")</f>
        <v/>
      </c>
    </row>
    <row r="1414" ht="15.75" customHeight="1">
      <c r="B1414" s="809" t="n">
        <v>1398</v>
      </c>
      <c r="C1414" s="182">
        <f>IF(offer_sale_type="транзит",IFERROR(VLOOKUP($B1414,calc_data,C$14+1,0),0),0)</f>
        <v/>
      </c>
      <c r="D1414" s="280">
        <f>IF(offer_sale_type="транзит",IFERROR(VLOOKUP($B1414,calc_data,D$14+1,0),0),0)</f>
        <v/>
      </c>
      <c r="E1414" s="182">
        <f>IF(offer_sale_type="транзит",IFERROR(VLOOKUP($B1414,calc_data,E$14+1,0),0),0)</f>
        <v/>
      </c>
      <c r="F1414" s="182">
        <f>IF(offer_sale_type="транзит",IFERROR(VLOOKUP($B1414,calc_data,F$14+1,0),0),0)</f>
        <v/>
      </c>
      <c r="G1414" s="141">
        <f>IF(offer_sale_type="транзит",IFERROR(VLOOKUP($B1414,calc_data,G$14+1,0),0),0)</f>
        <v/>
      </c>
      <c r="H1414" s="141">
        <f>E1414*G1414</f>
        <v/>
      </c>
      <c r="I1414" s="141">
        <f>IF(offer_sale_type="транзит",IFERROR(ROUND(VLOOKUP($B1414,calc_data,I$14+1,0),2),0),0)</f>
        <v/>
      </c>
      <c r="J1414" s="141">
        <f>ROUND(IF(offer_sale_type="транзит",IFERROR(VLOOKUP($B1414,calc_data,J$14+1,0),0),0),2)</f>
        <v/>
      </c>
      <c r="K1414" s="142">
        <f>IF(offer_sale_type="транзит",IFERROR(ROUNDUP(VLOOKUP($B1414,calc_data,K$14+1,0),2),0),0)</f>
        <v/>
      </c>
      <c r="L1414" s="184">
        <f>IF(offer_sale_type="транзит",IFERROR(ROUNDUP(VLOOKUP($B1414,calc_data,L$14+1,0),2),0),0)</f>
        <v/>
      </c>
      <c r="M1414" s="141">
        <f>IF(offer_sale_type="транзит",IFERROR(ROUNDUP(VLOOKUP($B1414,calc_data,M$14+1,0),2),0),0)</f>
        <v/>
      </c>
      <c r="N1414" s="141">
        <f>IF(offer_sale_type="транзит",IFERROR(ROUNDUP(VLOOKUP($B1414,calc_data,N$14+1,0),2),0),0)</f>
        <v/>
      </c>
      <c r="O1414" s="147">
        <f>IF(offer_sale_type="транзит",IFERROR(ROUND(VLOOKUP($B1414,calc_data,O$14+1,1),2),0),0)</f>
        <v/>
      </c>
      <c r="P1414" s="141">
        <f>IF(offer_sale_type="транзит",IFERROR(ROUND(SUM(I1414:J1414,M1414:O1414)/E1414,2),0),0)</f>
        <v/>
      </c>
      <c r="Q1414" s="141">
        <f>E1414*P1414</f>
        <v/>
      </c>
      <c r="R1414" s="141">
        <f>ROUND(Q1414*IF(AND(offer_incoterms="DDP",seller_region="RU"),IF((TODAY()+offer_turnaround_time)&gt;=helpsheet!$L$17,rate_vatRU_from_26,rate_vatRu_till_25),0),2)</f>
        <v/>
      </c>
      <c r="S1414" s="177">
        <f>Q1414+IF(AND(offer_incoterms="DDP",seller_region="RU"),R1414,0)</f>
        <v/>
      </c>
      <c r="T1414" s="45" t="n"/>
      <c r="V1414" s="57">
        <f>IF(Q1414&gt;0,"показать","скрыть")</f>
        <v/>
      </c>
    </row>
    <row r="1415" ht="15.75" customHeight="1">
      <c r="B1415" s="809" t="n">
        <v>1399</v>
      </c>
      <c r="C1415" s="182">
        <f>IF(offer_sale_type="транзит",IFERROR(VLOOKUP($B1415,calc_data,C$14+1,0),0),0)</f>
        <v/>
      </c>
      <c r="D1415" s="280">
        <f>IF(offer_sale_type="транзит",IFERROR(VLOOKUP($B1415,calc_data,D$14+1,0),0),0)</f>
        <v/>
      </c>
      <c r="E1415" s="182">
        <f>IF(offer_sale_type="транзит",IFERROR(VLOOKUP($B1415,calc_data,E$14+1,0),0),0)</f>
        <v/>
      </c>
      <c r="F1415" s="182">
        <f>IF(offer_sale_type="транзит",IFERROR(VLOOKUP($B1415,calc_data,F$14+1,0),0),0)</f>
        <v/>
      </c>
      <c r="G1415" s="141">
        <f>IF(offer_sale_type="транзит",IFERROR(VLOOKUP($B1415,calc_data,G$14+1,0),0),0)</f>
        <v/>
      </c>
      <c r="H1415" s="141">
        <f>E1415*G1415</f>
        <v/>
      </c>
      <c r="I1415" s="141">
        <f>IF(offer_sale_type="транзит",IFERROR(ROUND(VLOOKUP($B1415,calc_data,I$14+1,0),2),0),0)</f>
        <v/>
      </c>
      <c r="J1415" s="141">
        <f>ROUND(IF(offer_sale_type="транзит",IFERROR(VLOOKUP($B1415,calc_data,J$14+1,0),0),0),2)</f>
        <v/>
      </c>
      <c r="K1415" s="142">
        <f>IF(offer_sale_type="транзит",IFERROR(ROUNDUP(VLOOKUP($B1415,calc_data,K$14+1,0),2),0),0)</f>
        <v/>
      </c>
      <c r="L1415" s="184">
        <f>IF(offer_sale_type="транзит",IFERROR(ROUNDUP(VLOOKUP($B1415,calc_data,L$14+1,0),2),0),0)</f>
        <v/>
      </c>
      <c r="M1415" s="141">
        <f>IF(offer_sale_type="транзит",IFERROR(ROUNDUP(VLOOKUP($B1415,calc_data,M$14+1,0),2),0),0)</f>
        <v/>
      </c>
      <c r="N1415" s="141">
        <f>IF(offer_sale_type="транзит",IFERROR(ROUNDUP(VLOOKUP($B1415,calc_data,N$14+1,0),2),0),0)</f>
        <v/>
      </c>
      <c r="O1415" s="147">
        <f>IF(offer_sale_type="транзит",IFERROR(ROUND(VLOOKUP($B1415,calc_data,O$14+1,1),2),0),0)</f>
        <v/>
      </c>
      <c r="P1415" s="141">
        <f>IF(offer_sale_type="транзит",IFERROR(ROUND(SUM(I1415:J1415,M1415:O1415)/E1415,2),0),0)</f>
        <v/>
      </c>
      <c r="Q1415" s="141">
        <f>E1415*P1415</f>
        <v/>
      </c>
      <c r="R1415" s="141">
        <f>ROUND(Q1415*IF(AND(offer_incoterms="DDP",seller_region="RU"),IF((TODAY()+offer_turnaround_time)&gt;=helpsheet!$L$17,rate_vatRU_from_26,rate_vatRu_till_25),0),2)</f>
        <v/>
      </c>
      <c r="S1415" s="177">
        <f>Q1415+IF(AND(offer_incoterms="DDP",seller_region="RU"),R1415,0)</f>
        <v/>
      </c>
      <c r="T1415" s="45" t="n"/>
      <c r="V1415" s="57">
        <f>IF(Q1415&gt;0,"показать","скрыть")</f>
        <v/>
      </c>
    </row>
    <row r="1416" ht="15.75" customHeight="1">
      <c r="B1416" s="809" t="n">
        <v>1400</v>
      </c>
      <c r="C1416" s="182">
        <f>IF(offer_sale_type="транзит",IFERROR(VLOOKUP($B1416,calc_data,C$14+1,0),0),0)</f>
        <v/>
      </c>
      <c r="D1416" s="280">
        <f>IF(offer_sale_type="транзит",IFERROR(VLOOKUP($B1416,calc_data,D$14+1,0),0),0)</f>
        <v/>
      </c>
      <c r="E1416" s="182">
        <f>IF(offer_sale_type="транзит",IFERROR(VLOOKUP($B1416,calc_data,E$14+1,0),0),0)</f>
        <v/>
      </c>
      <c r="F1416" s="182">
        <f>IF(offer_sale_type="транзит",IFERROR(VLOOKUP($B1416,calc_data,F$14+1,0),0),0)</f>
        <v/>
      </c>
      <c r="G1416" s="141">
        <f>IF(offer_sale_type="транзит",IFERROR(VLOOKUP($B1416,calc_data,G$14+1,0),0),0)</f>
        <v/>
      </c>
      <c r="H1416" s="141">
        <f>E1416*G1416</f>
        <v/>
      </c>
      <c r="I1416" s="141">
        <f>IF(offer_sale_type="транзит",IFERROR(ROUND(VLOOKUP($B1416,calc_data,I$14+1,0),2),0),0)</f>
        <v/>
      </c>
      <c r="J1416" s="141">
        <f>ROUND(IF(offer_sale_type="транзит",IFERROR(VLOOKUP($B1416,calc_data,J$14+1,0),0),0),2)</f>
        <v/>
      </c>
      <c r="K1416" s="142">
        <f>IF(offer_sale_type="транзит",IFERROR(ROUNDUP(VLOOKUP($B1416,calc_data,K$14+1,0),2),0),0)</f>
        <v/>
      </c>
      <c r="L1416" s="184">
        <f>IF(offer_sale_type="транзит",IFERROR(ROUNDUP(VLOOKUP($B1416,calc_data,L$14+1,0),2),0),0)</f>
        <v/>
      </c>
      <c r="M1416" s="141">
        <f>IF(offer_sale_type="транзит",IFERROR(ROUNDUP(VLOOKUP($B1416,calc_data,M$14+1,0),2),0),0)</f>
        <v/>
      </c>
      <c r="N1416" s="141">
        <f>IF(offer_sale_type="транзит",IFERROR(ROUNDUP(VLOOKUP($B1416,calc_data,N$14+1,0),2),0),0)</f>
        <v/>
      </c>
      <c r="O1416" s="147">
        <f>IF(offer_sale_type="транзит",IFERROR(ROUND(VLOOKUP($B1416,calc_data,O$14+1,1),2),0),0)</f>
        <v/>
      </c>
      <c r="P1416" s="141">
        <f>IF(offer_sale_type="транзит",IFERROR(ROUND(SUM(I1416:J1416,M1416:O1416)/E1416,2),0),0)</f>
        <v/>
      </c>
      <c r="Q1416" s="141">
        <f>E1416*P1416</f>
        <v/>
      </c>
      <c r="R1416" s="141">
        <f>ROUND(Q1416*IF(AND(offer_incoterms="DDP",seller_region="RU"),IF((TODAY()+offer_turnaround_time)&gt;=helpsheet!$L$17,rate_vatRU_from_26,rate_vatRu_till_25),0),2)</f>
        <v/>
      </c>
      <c r="S1416" s="177">
        <f>Q1416+IF(AND(offer_incoterms="DDP",seller_region="RU"),R1416,0)</f>
        <v/>
      </c>
      <c r="T1416" s="45" t="n"/>
      <c r="V1416" s="57">
        <f>IF(Q1416&gt;0,"показать","скрыть")</f>
        <v/>
      </c>
    </row>
    <row r="1417" ht="15.75" customHeight="1">
      <c r="B1417" s="809" t="n">
        <v>1401</v>
      </c>
      <c r="C1417" s="182">
        <f>IF(offer_sale_type="транзит",IFERROR(VLOOKUP($B1417,calc_data,C$14+1,0),0),0)</f>
        <v/>
      </c>
      <c r="D1417" s="280">
        <f>IF(offer_sale_type="транзит",IFERROR(VLOOKUP($B1417,calc_data,D$14+1,0),0),0)</f>
        <v/>
      </c>
      <c r="E1417" s="182">
        <f>IF(offer_sale_type="транзит",IFERROR(VLOOKUP($B1417,calc_data,E$14+1,0),0),0)</f>
        <v/>
      </c>
      <c r="F1417" s="182">
        <f>IF(offer_sale_type="транзит",IFERROR(VLOOKUP($B1417,calc_data,F$14+1,0),0),0)</f>
        <v/>
      </c>
      <c r="G1417" s="141">
        <f>IF(offer_sale_type="транзит",IFERROR(VLOOKUP($B1417,calc_data,G$14+1,0),0),0)</f>
        <v/>
      </c>
      <c r="H1417" s="141">
        <f>E1417*G1417</f>
        <v/>
      </c>
      <c r="I1417" s="141">
        <f>IF(offer_sale_type="транзит",IFERROR(ROUND(VLOOKUP($B1417,calc_data,I$14+1,0),2),0),0)</f>
        <v/>
      </c>
      <c r="J1417" s="141">
        <f>ROUND(IF(offer_sale_type="транзит",IFERROR(VLOOKUP($B1417,calc_data,J$14+1,0),0),0),2)</f>
        <v/>
      </c>
      <c r="K1417" s="142">
        <f>IF(offer_sale_type="транзит",IFERROR(ROUNDUP(VLOOKUP($B1417,calc_data,K$14+1,0),2),0),0)</f>
        <v/>
      </c>
      <c r="L1417" s="184">
        <f>IF(offer_sale_type="транзит",IFERROR(ROUNDUP(VLOOKUP($B1417,calc_data,L$14+1,0),2),0),0)</f>
        <v/>
      </c>
      <c r="M1417" s="141">
        <f>IF(offer_sale_type="транзит",IFERROR(ROUNDUP(VLOOKUP($B1417,calc_data,M$14+1,0),2),0),0)</f>
        <v/>
      </c>
      <c r="N1417" s="141">
        <f>IF(offer_sale_type="транзит",IFERROR(ROUNDUP(VLOOKUP($B1417,calc_data,N$14+1,0),2),0),0)</f>
        <v/>
      </c>
      <c r="O1417" s="147">
        <f>IF(offer_sale_type="транзит",IFERROR(ROUND(VLOOKUP($B1417,calc_data,O$14+1,1),2),0),0)</f>
        <v/>
      </c>
      <c r="P1417" s="141">
        <f>IF(offer_sale_type="транзит",IFERROR(ROUND(SUM(I1417:J1417,M1417:O1417)/E1417,2),0),0)</f>
        <v/>
      </c>
      <c r="Q1417" s="141">
        <f>E1417*P1417</f>
        <v/>
      </c>
      <c r="R1417" s="141">
        <f>ROUND(Q1417*IF(AND(offer_incoterms="DDP",seller_region="RU"),IF((TODAY()+offer_turnaround_time)&gt;=helpsheet!$L$17,rate_vatRU_from_26,rate_vatRu_till_25),0),2)</f>
        <v/>
      </c>
      <c r="S1417" s="177">
        <f>Q1417+IF(AND(offer_incoterms="DDP",seller_region="RU"),R1417,0)</f>
        <v/>
      </c>
      <c r="T1417" s="45" t="n"/>
      <c r="V1417" s="57">
        <f>IF(Q1417&gt;0,"показать","скрыть")</f>
        <v/>
      </c>
    </row>
    <row r="1418" ht="15.75" customHeight="1">
      <c r="B1418" s="809" t="n">
        <v>1402</v>
      </c>
      <c r="C1418" s="182">
        <f>IF(offer_sale_type="транзит",IFERROR(VLOOKUP($B1418,calc_data,C$14+1,0),0),0)</f>
        <v/>
      </c>
      <c r="D1418" s="280">
        <f>IF(offer_sale_type="транзит",IFERROR(VLOOKUP($B1418,calc_data,D$14+1,0),0),0)</f>
        <v/>
      </c>
      <c r="E1418" s="182">
        <f>IF(offer_sale_type="транзит",IFERROR(VLOOKUP($B1418,calc_data,E$14+1,0),0),0)</f>
        <v/>
      </c>
      <c r="F1418" s="182">
        <f>IF(offer_sale_type="транзит",IFERROR(VLOOKUP($B1418,calc_data,F$14+1,0),0),0)</f>
        <v/>
      </c>
      <c r="G1418" s="141">
        <f>IF(offer_sale_type="транзит",IFERROR(VLOOKUP($B1418,calc_data,G$14+1,0),0),0)</f>
        <v/>
      </c>
      <c r="H1418" s="141">
        <f>E1418*G1418</f>
        <v/>
      </c>
      <c r="I1418" s="141">
        <f>IF(offer_sale_type="транзит",IFERROR(ROUND(VLOOKUP($B1418,calc_data,I$14+1,0),2),0),0)</f>
        <v/>
      </c>
      <c r="J1418" s="141">
        <f>ROUND(IF(offer_sale_type="транзит",IFERROR(VLOOKUP($B1418,calc_data,J$14+1,0),0),0),2)</f>
        <v/>
      </c>
      <c r="K1418" s="142">
        <f>IF(offer_sale_type="транзит",IFERROR(ROUNDUP(VLOOKUP($B1418,calc_data,K$14+1,0),2),0),0)</f>
        <v/>
      </c>
      <c r="L1418" s="184">
        <f>IF(offer_sale_type="транзит",IFERROR(ROUNDUP(VLOOKUP($B1418,calc_data,L$14+1,0),2),0),0)</f>
        <v/>
      </c>
      <c r="M1418" s="141">
        <f>IF(offer_sale_type="транзит",IFERROR(ROUNDUP(VLOOKUP($B1418,calc_data,M$14+1,0),2),0),0)</f>
        <v/>
      </c>
      <c r="N1418" s="141">
        <f>IF(offer_sale_type="транзит",IFERROR(ROUNDUP(VLOOKUP($B1418,calc_data,N$14+1,0),2),0),0)</f>
        <v/>
      </c>
      <c r="O1418" s="147">
        <f>IF(offer_sale_type="транзит",IFERROR(ROUND(VLOOKUP($B1418,calc_data,O$14+1,1),2),0),0)</f>
        <v/>
      </c>
      <c r="P1418" s="141">
        <f>IF(offer_sale_type="транзит",IFERROR(ROUND(SUM(I1418:J1418,M1418:O1418)/E1418,2),0),0)</f>
        <v/>
      </c>
      <c r="Q1418" s="141">
        <f>E1418*P1418</f>
        <v/>
      </c>
      <c r="R1418" s="141">
        <f>ROUND(Q1418*IF(AND(offer_incoterms="DDP",seller_region="RU"),IF((TODAY()+offer_turnaround_time)&gt;=helpsheet!$L$17,rate_vatRU_from_26,rate_vatRu_till_25),0),2)</f>
        <v/>
      </c>
      <c r="S1418" s="177">
        <f>Q1418+IF(AND(offer_incoterms="DDP",seller_region="RU"),R1418,0)</f>
        <v/>
      </c>
      <c r="T1418" s="45" t="n"/>
      <c r="V1418" s="57">
        <f>IF(Q1418&gt;0,"показать","скрыть")</f>
        <v/>
      </c>
    </row>
    <row r="1419" ht="15.75" customHeight="1">
      <c r="B1419" s="809" t="n">
        <v>1403</v>
      </c>
      <c r="C1419" s="182">
        <f>IF(offer_sale_type="транзит",IFERROR(VLOOKUP($B1419,calc_data,C$14+1,0),0),0)</f>
        <v/>
      </c>
      <c r="D1419" s="280">
        <f>IF(offer_sale_type="транзит",IFERROR(VLOOKUP($B1419,calc_data,D$14+1,0),0),0)</f>
        <v/>
      </c>
      <c r="E1419" s="182">
        <f>IF(offer_sale_type="транзит",IFERROR(VLOOKUP($B1419,calc_data,E$14+1,0),0),0)</f>
        <v/>
      </c>
      <c r="F1419" s="182">
        <f>IF(offer_sale_type="транзит",IFERROR(VLOOKUP($B1419,calc_data,F$14+1,0),0),0)</f>
        <v/>
      </c>
      <c r="G1419" s="141">
        <f>IF(offer_sale_type="транзит",IFERROR(VLOOKUP($B1419,calc_data,G$14+1,0),0),0)</f>
        <v/>
      </c>
      <c r="H1419" s="141">
        <f>E1419*G1419</f>
        <v/>
      </c>
      <c r="I1419" s="141">
        <f>IF(offer_sale_type="транзит",IFERROR(ROUND(VLOOKUP($B1419,calc_data,I$14+1,0),2),0),0)</f>
        <v/>
      </c>
      <c r="J1419" s="141">
        <f>ROUND(IF(offer_sale_type="транзит",IFERROR(VLOOKUP($B1419,calc_data,J$14+1,0),0),0),2)</f>
        <v/>
      </c>
      <c r="K1419" s="142">
        <f>IF(offer_sale_type="транзит",IFERROR(ROUNDUP(VLOOKUP($B1419,calc_data,K$14+1,0),2),0),0)</f>
        <v/>
      </c>
      <c r="L1419" s="184">
        <f>IF(offer_sale_type="транзит",IFERROR(ROUNDUP(VLOOKUP($B1419,calc_data,L$14+1,0),2),0),0)</f>
        <v/>
      </c>
      <c r="M1419" s="141">
        <f>IF(offer_sale_type="транзит",IFERROR(ROUNDUP(VLOOKUP($B1419,calc_data,M$14+1,0),2),0),0)</f>
        <v/>
      </c>
      <c r="N1419" s="141">
        <f>IF(offer_sale_type="транзит",IFERROR(ROUNDUP(VLOOKUP($B1419,calc_data,N$14+1,0),2),0),0)</f>
        <v/>
      </c>
      <c r="O1419" s="147">
        <f>IF(offer_sale_type="транзит",IFERROR(ROUND(VLOOKUP($B1419,calc_data,O$14+1,1),2),0),0)</f>
        <v/>
      </c>
      <c r="P1419" s="141">
        <f>IF(offer_sale_type="транзит",IFERROR(ROUND(SUM(I1419:J1419,M1419:O1419)/E1419,2),0),0)</f>
        <v/>
      </c>
      <c r="Q1419" s="141">
        <f>E1419*P1419</f>
        <v/>
      </c>
      <c r="R1419" s="141">
        <f>ROUND(Q1419*IF(AND(offer_incoterms="DDP",seller_region="RU"),IF((TODAY()+offer_turnaround_time)&gt;=helpsheet!$L$17,rate_vatRU_from_26,rate_vatRu_till_25),0),2)</f>
        <v/>
      </c>
      <c r="S1419" s="177">
        <f>Q1419+IF(AND(offer_incoterms="DDP",seller_region="RU"),R1419,0)</f>
        <v/>
      </c>
      <c r="T1419" s="45" t="n"/>
      <c r="V1419" s="57">
        <f>IF(Q1419&gt;0,"показать","скрыть")</f>
        <v/>
      </c>
    </row>
    <row r="1420" ht="15.75" customHeight="1">
      <c r="B1420" s="809" t="n">
        <v>1404</v>
      </c>
      <c r="C1420" s="182">
        <f>IF(offer_sale_type="транзит",IFERROR(VLOOKUP($B1420,calc_data,C$14+1,0),0),0)</f>
        <v/>
      </c>
      <c r="D1420" s="280">
        <f>IF(offer_sale_type="транзит",IFERROR(VLOOKUP($B1420,calc_data,D$14+1,0),0),0)</f>
        <v/>
      </c>
      <c r="E1420" s="182">
        <f>IF(offer_sale_type="транзит",IFERROR(VLOOKUP($B1420,calc_data,E$14+1,0),0),0)</f>
        <v/>
      </c>
      <c r="F1420" s="182">
        <f>IF(offer_sale_type="транзит",IFERROR(VLOOKUP($B1420,calc_data,F$14+1,0),0),0)</f>
        <v/>
      </c>
      <c r="G1420" s="141">
        <f>IF(offer_sale_type="транзит",IFERROR(VLOOKUP($B1420,calc_data,G$14+1,0),0),0)</f>
        <v/>
      </c>
      <c r="H1420" s="141">
        <f>E1420*G1420</f>
        <v/>
      </c>
      <c r="I1420" s="141">
        <f>IF(offer_sale_type="транзит",IFERROR(ROUND(VLOOKUP($B1420,calc_data,I$14+1,0),2),0),0)</f>
        <v/>
      </c>
      <c r="J1420" s="141">
        <f>ROUND(IF(offer_sale_type="транзит",IFERROR(VLOOKUP($B1420,calc_data,J$14+1,0),0),0),2)</f>
        <v/>
      </c>
      <c r="K1420" s="142">
        <f>IF(offer_sale_type="транзит",IFERROR(ROUNDUP(VLOOKUP($B1420,calc_data,K$14+1,0),2),0),0)</f>
        <v/>
      </c>
      <c r="L1420" s="184">
        <f>IF(offer_sale_type="транзит",IFERROR(ROUNDUP(VLOOKUP($B1420,calc_data,L$14+1,0),2),0),0)</f>
        <v/>
      </c>
      <c r="M1420" s="141">
        <f>IF(offer_sale_type="транзит",IFERROR(ROUNDUP(VLOOKUP($B1420,calc_data,M$14+1,0),2),0),0)</f>
        <v/>
      </c>
      <c r="N1420" s="141">
        <f>IF(offer_sale_type="транзит",IFERROR(ROUNDUP(VLOOKUP($B1420,calc_data,N$14+1,0),2),0),0)</f>
        <v/>
      </c>
      <c r="O1420" s="147">
        <f>IF(offer_sale_type="транзит",IFERROR(ROUND(VLOOKUP($B1420,calc_data,O$14+1,1),2),0),0)</f>
        <v/>
      </c>
      <c r="P1420" s="141">
        <f>IF(offer_sale_type="транзит",IFERROR(ROUND(SUM(I1420:J1420,M1420:O1420)/E1420,2),0),0)</f>
        <v/>
      </c>
      <c r="Q1420" s="141">
        <f>E1420*P1420</f>
        <v/>
      </c>
      <c r="R1420" s="141">
        <f>ROUND(Q1420*IF(AND(offer_incoterms="DDP",seller_region="RU"),IF((TODAY()+offer_turnaround_time)&gt;=helpsheet!$L$17,rate_vatRU_from_26,rate_vatRu_till_25),0),2)</f>
        <v/>
      </c>
      <c r="S1420" s="177">
        <f>Q1420+IF(AND(offer_incoterms="DDP",seller_region="RU"),R1420,0)</f>
        <v/>
      </c>
      <c r="T1420" s="45" t="n"/>
      <c r="V1420" s="57">
        <f>IF(Q1420&gt;0,"показать","скрыть")</f>
        <v/>
      </c>
    </row>
    <row r="1421" ht="15.75" customHeight="1">
      <c r="B1421" s="809" t="n">
        <v>1405</v>
      </c>
      <c r="C1421" s="182">
        <f>IF(offer_sale_type="транзит",IFERROR(VLOOKUP($B1421,calc_data,C$14+1,0),0),0)</f>
        <v/>
      </c>
      <c r="D1421" s="280">
        <f>IF(offer_sale_type="транзит",IFERROR(VLOOKUP($B1421,calc_data,D$14+1,0),0),0)</f>
        <v/>
      </c>
      <c r="E1421" s="182">
        <f>IF(offer_sale_type="транзит",IFERROR(VLOOKUP($B1421,calc_data,E$14+1,0),0),0)</f>
        <v/>
      </c>
      <c r="F1421" s="182">
        <f>IF(offer_sale_type="транзит",IFERROR(VLOOKUP($B1421,calc_data,F$14+1,0),0),0)</f>
        <v/>
      </c>
      <c r="G1421" s="141">
        <f>IF(offer_sale_type="транзит",IFERROR(VLOOKUP($B1421,calc_data,G$14+1,0),0),0)</f>
        <v/>
      </c>
      <c r="H1421" s="141">
        <f>E1421*G1421</f>
        <v/>
      </c>
      <c r="I1421" s="141">
        <f>IF(offer_sale_type="транзит",IFERROR(ROUND(VLOOKUP($B1421,calc_data,I$14+1,0),2),0),0)</f>
        <v/>
      </c>
      <c r="J1421" s="141">
        <f>ROUND(IF(offer_sale_type="транзит",IFERROR(VLOOKUP($B1421,calc_data,J$14+1,0),0),0),2)</f>
        <v/>
      </c>
      <c r="K1421" s="142">
        <f>IF(offer_sale_type="транзит",IFERROR(ROUNDUP(VLOOKUP($B1421,calc_data,K$14+1,0),2),0),0)</f>
        <v/>
      </c>
      <c r="L1421" s="184">
        <f>IF(offer_sale_type="транзит",IFERROR(ROUNDUP(VLOOKUP($B1421,calc_data,L$14+1,0),2),0),0)</f>
        <v/>
      </c>
      <c r="M1421" s="141">
        <f>IF(offer_sale_type="транзит",IFERROR(ROUNDUP(VLOOKUP($B1421,calc_data,M$14+1,0),2),0),0)</f>
        <v/>
      </c>
      <c r="N1421" s="141">
        <f>IF(offer_sale_type="транзит",IFERROR(ROUNDUP(VLOOKUP($B1421,calc_data,N$14+1,0),2),0),0)</f>
        <v/>
      </c>
      <c r="O1421" s="147">
        <f>IF(offer_sale_type="транзит",IFERROR(ROUND(VLOOKUP($B1421,calc_data,O$14+1,1),2),0),0)</f>
        <v/>
      </c>
      <c r="P1421" s="141">
        <f>IF(offer_sale_type="транзит",IFERROR(ROUND(SUM(I1421:J1421,M1421:O1421)/E1421,2),0),0)</f>
        <v/>
      </c>
      <c r="Q1421" s="141">
        <f>E1421*P1421</f>
        <v/>
      </c>
      <c r="R1421" s="141">
        <f>ROUND(Q1421*IF(AND(offer_incoterms="DDP",seller_region="RU"),IF((TODAY()+offer_turnaround_time)&gt;=helpsheet!$L$17,rate_vatRU_from_26,rate_vatRu_till_25),0),2)</f>
        <v/>
      </c>
      <c r="S1421" s="177">
        <f>Q1421+IF(AND(offer_incoterms="DDP",seller_region="RU"),R1421,0)</f>
        <v/>
      </c>
      <c r="T1421" s="45" t="n"/>
      <c r="V1421" s="57">
        <f>IF(Q1421&gt;0,"показать","скрыть")</f>
        <v/>
      </c>
    </row>
    <row r="1422" ht="15.75" customHeight="1">
      <c r="B1422" s="809" t="n">
        <v>1406</v>
      </c>
      <c r="C1422" s="182">
        <f>IF(offer_sale_type="транзит",IFERROR(VLOOKUP($B1422,calc_data,C$14+1,0),0),0)</f>
        <v/>
      </c>
      <c r="D1422" s="280">
        <f>IF(offer_sale_type="транзит",IFERROR(VLOOKUP($B1422,calc_data,D$14+1,0),0),0)</f>
        <v/>
      </c>
      <c r="E1422" s="182">
        <f>IF(offer_sale_type="транзит",IFERROR(VLOOKUP($B1422,calc_data,E$14+1,0),0),0)</f>
        <v/>
      </c>
      <c r="F1422" s="182">
        <f>IF(offer_sale_type="транзит",IFERROR(VLOOKUP($B1422,calc_data,F$14+1,0),0),0)</f>
        <v/>
      </c>
      <c r="G1422" s="141">
        <f>IF(offer_sale_type="транзит",IFERROR(VLOOKUP($B1422,calc_data,G$14+1,0),0),0)</f>
        <v/>
      </c>
      <c r="H1422" s="141">
        <f>E1422*G1422</f>
        <v/>
      </c>
      <c r="I1422" s="141">
        <f>IF(offer_sale_type="транзит",IFERROR(ROUND(VLOOKUP($B1422,calc_data,I$14+1,0),2),0),0)</f>
        <v/>
      </c>
      <c r="J1422" s="141">
        <f>ROUND(IF(offer_sale_type="транзит",IFERROR(VLOOKUP($B1422,calc_data,J$14+1,0),0),0),2)</f>
        <v/>
      </c>
      <c r="K1422" s="142">
        <f>IF(offer_sale_type="транзит",IFERROR(ROUNDUP(VLOOKUP($B1422,calc_data,K$14+1,0),2),0),0)</f>
        <v/>
      </c>
      <c r="L1422" s="184">
        <f>IF(offer_sale_type="транзит",IFERROR(ROUNDUP(VLOOKUP($B1422,calc_data,L$14+1,0),2),0),0)</f>
        <v/>
      </c>
      <c r="M1422" s="141">
        <f>IF(offer_sale_type="транзит",IFERROR(ROUNDUP(VLOOKUP($B1422,calc_data,M$14+1,0),2),0),0)</f>
        <v/>
      </c>
      <c r="N1422" s="141">
        <f>IF(offer_sale_type="транзит",IFERROR(ROUNDUP(VLOOKUP($B1422,calc_data,N$14+1,0),2),0),0)</f>
        <v/>
      </c>
      <c r="O1422" s="147">
        <f>IF(offer_sale_type="транзит",IFERROR(ROUND(VLOOKUP($B1422,calc_data,O$14+1,1),2),0),0)</f>
        <v/>
      </c>
      <c r="P1422" s="141">
        <f>IF(offer_sale_type="транзит",IFERROR(ROUND(SUM(I1422:J1422,M1422:O1422)/E1422,2),0),0)</f>
        <v/>
      </c>
      <c r="Q1422" s="141">
        <f>E1422*P1422</f>
        <v/>
      </c>
      <c r="R1422" s="141">
        <f>ROUND(Q1422*IF(AND(offer_incoterms="DDP",seller_region="RU"),IF((TODAY()+offer_turnaround_time)&gt;=helpsheet!$L$17,rate_vatRU_from_26,rate_vatRu_till_25),0),2)</f>
        <v/>
      </c>
      <c r="S1422" s="177">
        <f>Q1422+IF(AND(offer_incoterms="DDP",seller_region="RU"),R1422,0)</f>
        <v/>
      </c>
      <c r="T1422" s="45" t="n"/>
      <c r="V1422" s="57">
        <f>IF(Q1422&gt;0,"показать","скрыть")</f>
        <v/>
      </c>
    </row>
    <row r="1423" ht="15.75" customHeight="1">
      <c r="B1423" s="809" t="n">
        <v>1407</v>
      </c>
      <c r="C1423" s="182">
        <f>IF(offer_sale_type="транзит",IFERROR(VLOOKUP($B1423,calc_data,C$14+1,0),0),0)</f>
        <v/>
      </c>
      <c r="D1423" s="280">
        <f>IF(offer_sale_type="транзит",IFERROR(VLOOKUP($B1423,calc_data,D$14+1,0),0),0)</f>
        <v/>
      </c>
      <c r="E1423" s="182">
        <f>IF(offer_sale_type="транзит",IFERROR(VLOOKUP($B1423,calc_data,E$14+1,0),0),0)</f>
        <v/>
      </c>
      <c r="F1423" s="182">
        <f>IF(offer_sale_type="транзит",IFERROR(VLOOKUP($B1423,calc_data,F$14+1,0),0),0)</f>
        <v/>
      </c>
      <c r="G1423" s="141">
        <f>IF(offer_sale_type="транзит",IFERROR(VLOOKUP($B1423,calc_data,G$14+1,0),0),0)</f>
        <v/>
      </c>
      <c r="H1423" s="141">
        <f>E1423*G1423</f>
        <v/>
      </c>
      <c r="I1423" s="141">
        <f>IF(offer_sale_type="транзит",IFERROR(ROUND(VLOOKUP($B1423,calc_data,I$14+1,0),2),0),0)</f>
        <v/>
      </c>
      <c r="J1423" s="141">
        <f>ROUND(IF(offer_sale_type="транзит",IFERROR(VLOOKUP($B1423,calc_data,J$14+1,0),0),0),2)</f>
        <v/>
      </c>
      <c r="K1423" s="142">
        <f>IF(offer_sale_type="транзит",IFERROR(ROUNDUP(VLOOKUP($B1423,calc_data,K$14+1,0),2),0),0)</f>
        <v/>
      </c>
      <c r="L1423" s="184">
        <f>IF(offer_sale_type="транзит",IFERROR(ROUNDUP(VLOOKUP($B1423,calc_data,L$14+1,0),2),0),0)</f>
        <v/>
      </c>
      <c r="M1423" s="141">
        <f>IF(offer_sale_type="транзит",IFERROR(ROUNDUP(VLOOKUP($B1423,calc_data,M$14+1,0),2),0),0)</f>
        <v/>
      </c>
      <c r="N1423" s="141">
        <f>IF(offer_sale_type="транзит",IFERROR(ROUNDUP(VLOOKUP($B1423,calc_data,N$14+1,0),2),0),0)</f>
        <v/>
      </c>
      <c r="O1423" s="147">
        <f>IF(offer_sale_type="транзит",IFERROR(ROUND(VLOOKUP($B1423,calc_data,O$14+1,1),2),0),0)</f>
        <v/>
      </c>
      <c r="P1423" s="141">
        <f>IF(offer_sale_type="транзит",IFERROR(ROUND(SUM(I1423:J1423,M1423:O1423)/E1423,2),0),0)</f>
        <v/>
      </c>
      <c r="Q1423" s="141">
        <f>E1423*P1423</f>
        <v/>
      </c>
      <c r="R1423" s="141">
        <f>ROUND(Q1423*IF(AND(offer_incoterms="DDP",seller_region="RU"),IF((TODAY()+offer_turnaround_time)&gt;=helpsheet!$L$17,rate_vatRU_from_26,rate_vatRu_till_25),0),2)</f>
        <v/>
      </c>
      <c r="S1423" s="177">
        <f>Q1423+IF(AND(offer_incoterms="DDP",seller_region="RU"),R1423,0)</f>
        <v/>
      </c>
      <c r="T1423" s="45" t="n"/>
      <c r="V1423" s="57">
        <f>IF(Q1423&gt;0,"показать","скрыть")</f>
        <v/>
      </c>
    </row>
    <row r="1424" ht="15.75" customHeight="1">
      <c r="B1424" s="809" t="n">
        <v>1408</v>
      </c>
      <c r="C1424" s="182">
        <f>IF(offer_sale_type="транзит",IFERROR(VLOOKUP($B1424,calc_data,C$14+1,0),0),0)</f>
        <v/>
      </c>
      <c r="D1424" s="280">
        <f>IF(offer_sale_type="транзит",IFERROR(VLOOKUP($B1424,calc_data,D$14+1,0),0),0)</f>
        <v/>
      </c>
      <c r="E1424" s="182">
        <f>IF(offer_sale_type="транзит",IFERROR(VLOOKUP($B1424,calc_data,E$14+1,0),0),0)</f>
        <v/>
      </c>
      <c r="F1424" s="182">
        <f>IF(offer_sale_type="транзит",IFERROR(VLOOKUP($B1424,calc_data,F$14+1,0),0),0)</f>
        <v/>
      </c>
      <c r="G1424" s="141">
        <f>IF(offer_sale_type="транзит",IFERROR(VLOOKUP($B1424,calc_data,G$14+1,0),0),0)</f>
        <v/>
      </c>
      <c r="H1424" s="141">
        <f>E1424*G1424</f>
        <v/>
      </c>
      <c r="I1424" s="141">
        <f>IF(offer_sale_type="транзит",IFERROR(ROUND(VLOOKUP($B1424,calc_data,I$14+1,0),2),0),0)</f>
        <v/>
      </c>
      <c r="J1424" s="141">
        <f>ROUND(IF(offer_sale_type="транзит",IFERROR(VLOOKUP($B1424,calc_data,J$14+1,0),0),0),2)</f>
        <v/>
      </c>
      <c r="K1424" s="142">
        <f>IF(offer_sale_type="транзит",IFERROR(ROUNDUP(VLOOKUP($B1424,calc_data,K$14+1,0),2),0),0)</f>
        <v/>
      </c>
      <c r="L1424" s="184">
        <f>IF(offer_sale_type="транзит",IFERROR(ROUNDUP(VLOOKUP($B1424,calc_data,L$14+1,0),2),0),0)</f>
        <v/>
      </c>
      <c r="M1424" s="141">
        <f>IF(offer_sale_type="транзит",IFERROR(ROUNDUP(VLOOKUP($B1424,calc_data,M$14+1,0),2),0),0)</f>
        <v/>
      </c>
      <c r="N1424" s="141">
        <f>IF(offer_sale_type="транзит",IFERROR(ROUNDUP(VLOOKUP($B1424,calc_data,N$14+1,0),2),0),0)</f>
        <v/>
      </c>
      <c r="O1424" s="147">
        <f>IF(offer_sale_type="транзит",IFERROR(ROUND(VLOOKUP($B1424,calc_data,O$14+1,1),2),0),0)</f>
        <v/>
      </c>
      <c r="P1424" s="141">
        <f>IF(offer_sale_type="транзит",IFERROR(ROUND(SUM(I1424:J1424,M1424:O1424)/E1424,2),0),0)</f>
        <v/>
      </c>
      <c r="Q1424" s="141">
        <f>E1424*P1424</f>
        <v/>
      </c>
      <c r="R1424" s="141">
        <f>ROUND(Q1424*IF(AND(offer_incoterms="DDP",seller_region="RU"),IF((TODAY()+offer_turnaround_time)&gt;=helpsheet!$L$17,rate_vatRU_from_26,rate_vatRu_till_25),0),2)</f>
        <v/>
      </c>
      <c r="S1424" s="177">
        <f>Q1424+IF(AND(offer_incoterms="DDP",seller_region="RU"),R1424,0)</f>
        <v/>
      </c>
      <c r="T1424" s="45" t="n"/>
      <c r="V1424" s="57">
        <f>IF(Q1424&gt;0,"показать","скрыть")</f>
        <v/>
      </c>
    </row>
    <row r="1425" ht="15.75" customHeight="1">
      <c r="B1425" s="809" t="n">
        <v>1409</v>
      </c>
      <c r="C1425" s="182">
        <f>IF(offer_sale_type="транзит",IFERROR(VLOOKUP($B1425,calc_data,C$14+1,0),0),0)</f>
        <v/>
      </c>
      <c r="D1425" s="280">
        <f>IF(offer_sale_type="транзит",IFERROR(VLOOKUP($B1425,calc_data,D$14+1,0),0),0)</f>
        <v/>
      </c>
      <c r="E1425" s="182">
        <f>IF(offer_sale_type="транзит",IFERROR(VLOOKUP($B1425,calc_data,E$14+1,0),0),0)</f>
        <v/>
      </c>
      <c r="F1425" s="182">
        <f>IF(offer_sale_type="транзит",IFERROR(VLOOKUP($B1425,calc_data,F$14+1,0),0),0)</f>
        <v/>
      </c>
      <c r="G1425" s="141">
        <f>IF(offer_sale_type="транзит",IFERROR(VLOOKUP($B1425,calc_data,G$14+1,0),0),0)</f>
        <v/>
      </c>
      <c r="H1425" s="141">
        <f>E1425*G1425</f>
        <v/>
      </c>
      <c r="I1425" s="141">
        <f>IF(offer_sale_type="транзит",IFERROR(ROUND(VLOOKUP($B1425,calc_data,I$14+1,0),2),0),0)</f>
        <v/>
      </c>
      <c r="J1425" s="141">
        <f>ROUND(IF(offer_sale_type="транзит",IFERROR(VLOOKUP($B1425,calc_data,J$14+1,0),0),0),2)</f>
        <v/>
      </c>
      <c r="K1425" s="142">
        <f>IF(offer_sale_type="транзит",IFERROR(ROUNDUP(VLOOKUP($B1425,calc_data,K$14+1,0),2),0),0)</f>
        <v/>
      </c>
      <c r="L1425" s="184">
        <f>IF(offer_sale_type="транзит",IFERROR(ROUNDUP(VLOOKUP($B1425,calc_data,L$14+1,0),2),0),0)</f>
        <v/>
      </c>
      <c r="M1425" s="141">
        <f>IF(offer_sale_type="транзит",IFERROR(ROUNDUP(VLOOKUP($B1425,calc_data,M$14+1,0),2),0),0)</f>
        <v/>
      </c>
      <c r="N1425" s="141">
        <f>IF(offer_sale_type="транзит",IFERROR(ROUNDUP(VLOOKUP($B1425,calc_data,N$14+1,0),2),0),0)</f>
        <v/>
      </c>
      <c r="O1425" s="147">
        <f>IF(offer_sale_type="транзит",IFERROR(ROUND(VLOOKUP($B1425,calc_data,O$14+1,1),2),0),0)</f>
        <v/>
      </c>
      <c r="P1425" s="141">
        <f>IF(offer_sale_type="транзит",IFERROR(ROUND(SUM(I1425:J1425,M1425:O1425)/E1425,2),0),0)</f>
        <v/>
      </c>
      <c r="Q1425" s="141">
        <f>E1425*P1425</f>
        <v/>
      </c>
      <c r="R1425" s="141">
        <f>ROUND(Q1425*IF(AND(offer_incoterms="DDP",seller_region="RU"),IF((TODAY()+offer_turnaround_time)&gt;=helpsheet!$L$17,rate_vatRU_from_26,rate_vatRu_till_25),0),2)</f>
        <v/>
      </c>
      <c r="S1425" s="177">
        <f>Q1425+IF(AND(offer_incoterms="DDP",seller_region="RU"),R1425,0)</f>
        <v/>
      </c>
      <c r="T1425" s="45" t="n"/>
      <c r="V1425" s="57">
        <f>IF(Q1425&gt;0,"показать","скрыть")</f>
        <v/>
      </c>
    </row>
    <row r="1426" ht="15.75" customHeight="1">
      <c r="B1426" s="809" t="n">
        <v>1410</v>
      </c>
      <c r="C1426" s="182">
        <f>IF(offer_sale_type="транзит",IFERROR(VLOOKUP($B1426,calc_data,C$14+1,0),0),0)</f>
        <v/>
      </c>
      <c r="D1426" s="280">
        <f>IF(offer_sale_type="транзит",IFERROR(VLOOKUP($B1426,calc_data,D$14+1,0),0),0)</f>
        <v/>
      </c>
      <c r="E1426" s="182">
        <f>IF(offer_sale_type="транзит",IFERROR(VLOOKUP($B1426,calc_data,E$14+1,0),0),0)</f>
        <v/>
      </c>
      <c r="F1426" s="182">
        <f>IF(offer_sale_type="транзит",IFERROR(VLOOKUP($B1426,calc_data,F$14+1,0),0),0)</f>
        <v/>
      </c>
      <c r="G1426" s="141">
        <f>IF(offer_sale_type="транзит",IFERROR(VLOOKUP($B1426,calc_data,G$14+1,0),0),0)</f>
        <v/>
      </c>
      <c r="H1426" s="141">
        <f>E1426*G1426</f>
        <v/>
      </c>
      <c r="I1426" s="141">
        <f>IF(offer_sale_type="транзит",IFERROR(ROUND(VLOOKUP($B1426,calc_data,I$14+1,0),2),0),0)</f>
        <v/>
      </c>
      <c r="J1426" s="141">
        <f>ROUND(IF(offer_sale_type="транзит",IFERROR(VLOOKUP($B1426,calc_data,J$14+1,0),0),0),2)</f>
        <v/>
      </c>
      <c r="K1426" s="142">
        <f>IF(offer_sale_type="транзит",IFERROR(ROUNDUP(VLOOKUP($B1426,calc_data,K$14+1,0),2),0),0)</f>
        <v/>
      </c>
      <c r="L1426" s="184">
        <f>IF(offer_sale_type="транзит",IFERROR(ROUNDUP(VLOOKUP($B1426,calc_data,L$14+1,0),2),0),0)</f>
        <v/>
      </c>
      <c r="M1426" s="141">
        <f>IF(offer_sale_type="транзит",IFERROR(ROUNDUP(VLOOKUP($B1426,calc_data,M$14+1,0),2),0),0)</f>
        <v/>
      </c>
      <c r="N1426" s="141">
        <f>IF(offer_sale_type="транзит",IFERROR(ROUNDUP(VLOOKUP($B1426,calc_data,N$14+1,0),2),0),0)</f>
        <v/>
      </c>
      <c r="O1426" s="147">
        <f>IF(offer_sale_type="транзит",IFERROR(ROUND(VLOOKUP($B1426,calc_data,O$14+1,1),2),0),0)</f>
        <v/>
      </c>
      <c r="P1426" s="141">
        <f>IF(offer_sale_type="транзит",IFERROR(ROUND(SUM(I1426:J1426,M1426:O1426)/E1426,2),0),0)</f>
        <v/>
      </c>
      <c r="Q1426" s="141">
        <f>E1426*P1426</f>
        <v/>
      </c>
      <c r="R1426" s="141">
        <f>ROUND(Q1426*IF(AND(offer_incoterms="DDP",seller_region="RU"),IF((TODAY()+offer_turnaround_time)&gt;=helpsheet!$L$17,rate_vatRU_from_26,rate_vatRu_till_25),0),2)</f>
        <v/>
      </c>
      <c r="S1426" s="177">
        <f>Q1426+IF(AND(offer_incoterms="DDP",seller_region="RU"),R1426,0)</f>
        <v/>
      </c>
      <c r="T1426" s="45" t="n"/>
      <c r="V1426" s="57">
        <f>IF(Q1426&gt;0,"показать","скрыть")</f>
        <v/>
      </c>
    </row>
    <row r="1427" ht="15.75" customHeight="1">
      <c r="B1427" s="809" t="n">
        <v>1411</v>
      </c>
      <c r="C1427" s="182">
        <f>IF(offer_sale_type="транзит",IFERROR(VLOOKUP($B1427,calc_data,C$14+1,0),0),0)</f>
        <v/>
      </c>
      <c r="D1427" s="280">
        <f>IF(offer_sale_type="транзит",IFERROR(VLOOKUP($B1427,calc_data,D$14+1,0),0),0)</f>
        <v/>
      </c>
      <c r="E1427" s="182">
        <f>IF(offer_sale_type="транзит",IFERROR(VLOOKUP($B1427,calc_data,E$14+1,0),0),0)</f>
        <v/>
      </c>
      <c r="F1427" s="182">
        <f>IF(offer_sale_type="транзит",IFERROR(VLOOKUP($B1427,calc_data,F$14+1,0),0),0)</f>
        <v/>
      </c>
      <c r="G1427" s="141">
        <f>IF(offer_sale_type="транзит",IFERROR(VLOOKUP($B1427,calc_data,G$14+1,0),0),0)</f>
        <v/>
      </c>
      <c r="H1427" s="141">
        <f>E1427*G1427</f>
        <v/>
      </c>
      <c r="I1427" s="141">
        <f>IF(offer_sale_type="транзит",IFERROR(ROUND(VLOOKUP($B1427,calc_data,I$14+1,0),2),0),0)</f>
        <v/>
      </c>
      <c r="J1427" s="141">
        <f>ROUND(IF(offer_sale_type="транзит",IFERROR(VLOOKUP($B1427,calc_data,J$14+1,0),0),0),2)</f>
        <v/>
      </c>
      <c r="K1427" s="142">
        <f>IF(offer_sale_type="транзит",IFERROR(ROUNDUP(VLOOKUP($B1427,calc_data,K$14+1,0),2),0),0)</f>
        <v/>
      </c>
      <c r="L1427" s="184">
        <f>IF(offer_sale_type="транзит",IFERROR(ROUNDUP(VLOOKUP($B1427,calc_data,L$14+1,0),2),0),0)</f>
        <v/>
      </c>
      <c r="M1427" s="141">
        <f>IF(offer_sale_type="транзит",IFERROR(ROUNDUP(VLOOKUP($B1427,calc_data,M$14+1,0),2),0),0)</f>
        <v/>
      </c>
      <c r="N1427" s="141">
        <f>IF(offer_sale_type="транзит",IFERROR(ROUNDUP(VLOOKUP($B1427,calc_data,N$14+1,0),2),0),0)</f>
        <v/>
      </c>
      <c r="O1427" s="147">
        <f>IF(offer_sale_type="транзит",IFERROR(ROUND(VLOOKUP($B1427,calc_data,O$14+1,1),2),0),0)</f>
        <v/>
      </c>
      <c r="P1427" s="141">
        <f>IF(offer_sale_type="транзит",IFERROR(ROUND(SUM(I1427:J1427,M1427:O1427)/E1427,2),0),0)</f>
        <v/>
      </c>
      <c r="Q1427" s="141">
        <f>E1427*P1427</f>
        <v/>
      </c>
      <c r="R1427" s="141">
        <f>ROUND(Q1427*IF(AND(offer_incoterms="DDP",seller_region="RU"),IF((TODAY()+offer_turnaround_time)&gt;=helpsheet!$L$17,rate_vatRU_from_26,rate_vatRu_till_25),0),2)</f>
        <v/>
      </c>
      <c r="S1427" s="177">
        <f>Q1427+IF(AND(offer_incoterms="DDP",seller_region="RU"),R1427,0)</f>
        <v/>
      </c>
      <c r="T1427" s="45" t="n"/>
      <c r="V1427" s="57">
        <f>IF(Q1427&gt;0,"показать","скрыть")</f>
        <v/>
      </c>
    </row>
    <row r="1428" ht="15.75" customHeight="1">
      <c r="B1428" s="809" t="n">
        <v>1412</v>
      </c>
      <c r="C1428" s="182">
        <f>IF(offer_sale_type="транзит",IFERROR(VLOOKUP($B1428,calc_data,C$14+1,0),0),0)</f>
        <v/>
      </c>
      <c r="D1428" s="280">
        <f>IF(offer_sale_type="транзит",IFERROR(VLOOKUP($B1428,calc_data,D$14+1,0),0),0)</f>
        <v/>
      </c>
      <c r="E1428" s="182">
        <f>IF(offer_sale_type="транзит",IFERROR(VLOOKUP($B1428,calc_data,E$14+1,0),0),0)</f>
        <v/>
      </c>
      <c r="F1428" s="182">
        <f>IF(offer_sale_type="транзит",IFERROR(VLOOKUP($B1428,calc_data,F$14+1,0),0),0)</f>
        <v/>
      </c>
      <c r="G1428" s="141">
        <f>IF(offer_sale_type="транзит",IFERROR(VLOOKUP($B1428,calc_data,G$14+1,0),0),0)</f>
        <v/>
      </c>
      <c r="H1428" s="141">
        <f>E1428*G1428</f>
        <v/>
      </c>
      <c r="I1428" s="141">
        <f>IF(offer_sale_type="транзит",IFERROR(ROUND(VLOOKUP($B1428,calc_data,I$14+1,0),2),0),0)</f>
        <v/>
      </c>
      <c r="J1428" s="141">
        <f>ROUND(IF(offer_sale_type="транзит",IFERROR(VLOOKUP($B1428,calc_data,J$14+1,0),0),0),2)</f>
        <v/>
      </c>
      <c r="K1428" s="142">
        <f>IF(offer_sale_type="транзит",IFERROR(ROUNDUP(VLOOKUP($B1428,calc_data,K$14+1,0),2),0),0)</f>
        <v/>
      </c>
      <c r="L1428" s="184">
        <f>IF(offer_sale_type="транзит",IFERROR(ROUNDUP(VLOOKUP($B1428,calc_data,L$14+1,0),2),0),0)</f>
        <v/>
      </c>
      <c r="M1428" s="141">
        <f>IF(offer_sale_type="транзит",IFERROR(ROUNDUP(VLOOKUP($B1428,calc_data,M$14+1,0),2),0),0)</f>
        <v/>
      </c>
      <c r="N1428" s="141">
        <f>IF(offer_sale_type="транзит",IFERROR(ROUNDUP(VLOOKUP($B1428,calc_data,N$14+1,0),2),0),0)</f>
        <v/>
      </c>
      <c r="O1428" s="147">
        <f>IF(offer_sale_type="транзит",IFERROR(ROUND(VLOOKUP($B1428,calc_data,O$14+1,1),2),0),0)</f>
        <v/>
      </c>
      <c r="P1428" s="141">
        <f>IF(offer_sale_type="транзит",IFERROR(ROUND(SUM(I1428:J1428,M1428:O1428)/E1428,2),0),0)</f>
        <v/>
      </c>
      <c r="Q1428" s="141">
        <f>E1428*P1428</f>
        <v/>
      </c>
      <c r="R1428" s="141">
        <f>ROUND(Q1428*IF(AND(offer_incoterms="DDP",seller_region="RU"),IF((TODAY()+offer_turnaround_time)&gt;=helpsheet!$L$17,rate_vatRU_from_26,rate_vatRu_till_25),0),2)</f>
        <v/>
      </c>
      <c r="S1428" s="177">
        <f>Q1428+IF(AND(offer_incoterms="DDP",seller_region="RU"),R1428,0)</f>
        <v/>
      </c>
      <c r="T1428" s="45" t="n"/>
      <c r="V1428" s="57">
        <f>IF(Q1428&gt;0,"показать","скрыть")</f>
        <v/>
      </c>
    </row>
    <row r="1429" ht="15.75" customHeight="1">
      <c r="B1429" s="809" t="n">
        <v>1413</v>
      </c>
      <c r="C1429" s="182">
        <f>IF(offer_sale_type="транзит",IFERROR(VLOOKUP($B1429,calc_data,C$14+1,0),0),0)</f>
        <v/>
      </c>
      <c r="D1429" s="280">
        <f>IF(offer_sale_type="транзит",IFERROR(VLOOKUP($B1429,calc_data,D$14+1,0),0),0)</f>
        <v/>
      </c>
      <c r="E1429" s="182">
        <f>IF(offer_sale_type="транзит",IFERROR(VLOOKUP($B1429,calc_data,E$14+1,0),0),0)</f>
        <v/>
      </c>
      <c r="F1429" s="182">
        <f>IF(offer_sale_type="транзит",IFERROR(VLOOKUP($B1429,calc_data,F$14+1,0),0),0)</f>
        <v/>
      </c>
      <c r="G1429" s="141">
        <f>IF(offer_sale_type="транзит",IFERROR(VLOOKUP($B1429,calc_data,G$14+1,0),0),0)</f>
        <v/>
      </c>
      <c r="H1429" s="141">
        <f>E1429*G1429</f>
        <v/>
      </c>
      <c r="I1429" s="141">
        <f>IF(offer_sale_type="транзит",IFERROR(ROUND(VLOOKUP($B1429,calc_data,I$14+1,0),2),0),0)</f>
        <v/>
      </c>
      <c r="J1429" s="141">
        <f>ROUND(IF(offer_sale_type="транзит",IFERROR(VLOOKUP($B1429,calc_data,J$14+1,0),0),0),2)</f>
        <v/>
      </c>
      <c r="K1429" s="142">
        <f>IF(offer_sale_type="транзит",IFERROR(ROUNDUP(VLOOKUP($B1429,calc_data,K$14+1,0),2),0),0)</f>
        <v/>
      </c>
      <c r="L1429" s="184">
        <f>IF(offer_sale_type="транзит",IFERROR(ROUNDUP(VLOOKUP($B1429,calc_data,L$14+1,0),2),0),0)</f>
        <v/>
      </c>
      <c r="M1429" s="141">
        <f>IF(offer_sale_type="транзит",IFERROR(ROUNDUP(VLOOKUP($B1429,calc_data,M$14+1,0),2),0),0)</f>
        <v/>
      </c>
      <c r="N1429" s="141">
        <f>IF(offer_sale_type="транзит",IFERROR(ROUNDUP(VLOOKUP($B1429,calc_data,N$14+1,0),2),0),0)</f>
        <v/>
      </c>
      <c r="O1429" s="147">
        <f>IF(offer_sale_type="транзит",IFERROR(ROUND(VLOOKUP($B1429,calc_data,O$14+1,1),2),0),0)</f>
        <v/>
      </c>
      <c r="P1429" s="141">
        <f>IF(offer_sale_type="транзит",IFERROR(ROUND(SUM(I1429:J1429,M1429:O1429)/E1429,2),0),0)</f>
        <v/>
      </c>
      <c r="Q1429" s="141">
        <f>E1429*P1429</f>
        <v/>
      </c>
      <c r="R1429" s="141">
        <f>ROUND(Q1429*IF(AND(offer_incoterms="DDP",seller_region="RU"),IF((TODAY()+offer_turnaround_time)&gt;=helpsheet!$L$17,rate_vatRU_from_26,rate_vatRu_till_25),0),2)</f>
        <v/>
      </c>
      <c r="S1429" s="177">
        <f>Q1429+IF(AND(offer_incoterms="DDP",seller_region="RU"),R1429,0)</f>
        <v/>
      </c>
      <c r="T1429" s="45" t="n"/>
      <c r="V1429" s="57">
        <f>IF(Q1429&gt;0,"показать","скрыть")</f>
        <v/>
      </c>
    </row>
    <row r="1430" ht="15.75" customHeight="1">
      <c r="B1430" s="809" t="n">
        <v>1414</v>
      </c>
      <c r="C1430" s="182">
        <f>IF(offer_sale_type="транзит",IFERROR(VLOOKUP($B1430,calc_data,C$14+1,0),0),0)</f>
        <v/>
      </c>
      <c r="D1430" s="280">
        <f>IF(offer_sale_type="транзит",IFERROR(VLOOKUP($B1430,calc_data,D$14+1,0),0),0)</f>
        <v/>
      </c>
      <c r="E1430" s="182">
        <f>IF(offer_sale_type="транзит",IFERROR(VLOOKUP($B1430,calc_data,E$14+1,0),0),0)</f>
        <v/>
      </c>
      <c r="F1430" s="182">
        <f>IF(offer_sale_type="транзит",IFERROR(VLOOKUP($B1430,calc_data,F$14+1,0),0),0)</f>
        <v/>
      </c>
      <c r="G1430" s="141">
        <f>IF(offer_sale_type="транзит",IFERROR(VLOOKUP($B1430,calc_data,G$14+1,0),0),0)</f>
        <v/>
      </c>
      <c r="H1430" s="141">
        <f>E1430*G1430</f>
        <v/>
      </c>
      <c r="I1430" s="141">
        <f>IF(offer_sale_type="транзит",IFERROR(ROUND(VLOOKUP($B1430,calc_data,I$14+1,0),2),0),0)</f>
        <v/>
      </c>
      <c r="J1430" s="141">
        <f>ROUND(IF(offer_sale_type="транзит",IFERROR(VLOOKUP($B1430,calc_data,J$14+1,0),0),0),2)</f>
        <v/>
      </c>
      <c r="K1430" s="142">
        <f>IF(offer_sale_type="транзит",IFERROR(ROUNDUP(VLOOKUP($B1430,calc_data,K$14+1,0),2),0),0)</f>
        <v/>
      </c>
      <c r="L1430" s="184">
        <f>IF(offer_sale_type="транзит",IFERROR(ROUNDUP(VLOOKUP($B1430,calc_data,L$14+1,0),2),0),0)</f>
        <v/>
      </c>
      <c r="M1430" s="141">
        <f>IF(offer_sale_type="транзит",IFERROR(ROUNDUP(VLOOKUP($B1430,calc_data,M$14+1,0),2),0),0)</f>
        <v/>
      </c>
      <c r="N1430" s="141">
        <f>IF(offer_sale_type="транзит",IFERROR(ROUNDUP(VLOOKUP($B1430,calc_data,N$14+1,0),2),0),0)</f>
        <v/>
      </c>
      <c r="O1430" s="147">
        <f>IF(offer_sale_type="транзит",IFERROR(ROUND(VLOOKUP($B1430,calc_data,O$14+1,1),2),0),0)</f>
        <v/>
      </c>
      <c r="P1430" s="141">
        <f>IF(offer_sale_type="транзит",IFERROR(ROUND(SUM(I1430:J1430,M1430:O1430)/E1430,2),0),0)</f>
        <v/>
      </c>
      <c r="Q1430" s="141">
        <f>E1430*P1430</f>
        <v/>
      </c>
      <c r="R1430" s="141">
        <f>ROUND(Q1430*IF(AND(offer_incoterms="DDP",seller_region="RU"),IF((TODAY()+offer_turnaround_time)&gt;=helpsheet!$L$17,rate_vatRU_from_26,rate_vatRu_till_25),0),2)</f>
        <v/>
      </c>
      <c r="S1430" s="177">
        <f>Q1430+IF(AND(offer_incoterms="DDP",seller_region="RU"),R1430,0)</f>
        <v/>
      </c>
      <c r="T1430" s="45" t="n"/>
      <c r="V1430" s="57">
        <f>IF(Q1430&gt;0,"показать","скрыть")</f>
        <v/>
      </c>
    </row>
    <row r="1431" ht="15.75" customHeight="1">
      <c r="B1431" s="809" t="n">
        <v>1415</v>
      </c>
      <c r="C1431" s="182">
        <f>IF(offer_sale_type="транзит",IFERROR(VLOOKUP($B1431,calc_data,C$14+1,0),0),0)</f>
        <v/>
      </c>
      <c r="D1431" s="280">
        <f>IF(offer_sale_type="транзит",IFERROR(VLOOKUP($B1431,calc_data,D$14+1,0),0),0)</f>
        <v/>
      </c>
      <c r="E1431" s="182">
        <f>IF(offer_sale_type="транзит",IFERROR(VLOOKUP($B1431,calc_data,E$14+1,0),0),0)</f>
        <v/>
      </c>
      <c r="F1431" s="182">
        <f>IF(offer_sale_type="транзит",IFERROR(VLOOKUP($B1431,calc_data,F$14+1,0),0),0)</f>
        <v/>
      </c>
      <c r="G1431" s="141">
        <f>IF(offer_sale_type="транзит",IFERROR(VLOOKUP($B1431,calc_data,G$14+1,0),0),0)</f>
        <v/>
      </c>
      <c r="H1431" s="141">
        <f>E1431*G1431</f>
        <v/>
      </c>
      <c r="I1431" s="141">
        <f>IF(offer_sale_type="транзит",IFERROR(ROUND(VLOOKUP($B1431,calc_data,I$14+1,0),2),0),0)</f>
        <v/>
      </c>
      <c r="J1431" s="141">
        <f>ROUND(IF(offer_sale_type="транзит",IFERROR(VLOOKUP($B1431,calc_data,J$14+1,0),0),0),2)</f>
        <v/>
      </c>
      <c r="K1431" s="142">
        <f>IF(offer_sale_type="транзит",IFERROR(ROUNDUP(VLOOKUP($B1431,calc_data,K$14+1,0),2),0),0)</f>
        <v/>
      </c>
      <c r="L1431" s="184">
        <f>IF(offer_sale_type="транзит",IFERROR(ROUNDUP(VLOOKUP($B1431,calc_data,L$14+1,0),2),0),0)</f>
        <v/>
      </c>
      <c r="M1431" s="141">
        <f>IF(offer_sale_type="транзит",IFERROR(ROUNDUP(VLOOKUP($B1431,calc_data,M$14+1,0),2),0),0)</f>
        <v/>
      </c>
      <c r="N1431" s="141">
        <f>IF(offer_sale_type="транзит",IFERROR(ROUNDUP(VLOOKUP($B1431,calc_data,N$14+1,0),2),0),0)</f>
        <v/>
      </c>
      <c r="O1431" s="147">
        <f>IF(offer_sale_type="транзит",IFERROR(ROUND(VLOOKUP($B1431,calc_data,O$14+1,1),2),0),0)</f>
        <v/>
      </c>
      <c r="P1431" s="141">
        <f>IF(offer_sale_type="транзит",IFERROR(ROUND(SUM(I1431:J1431,M1431:O1431)/E1431,2),0),0)</f>
        <v/>
      </c>
      <c r="Q1431" s="141">
        <f>E1431*P1431</f>
        <v/>
      </c>
      <c r="R1431" s="141">
        <f>ROUND(Q1431*IF(AND(offer_incoterms="DDP",seller_region="RU"),IF((TODAY()+offer_turnaround_time)&gt;=helpsheet!$L$17,rate_vatRU_from_26,rate_vatRu_till_25),0),2)</f>
        <v/>
      </c>
      <c r="S1431" s="177">
        <f>Q1431+IF(AND(offer_incoterms="DDP",seller_region="RU"),R1431,0)</f>
        <v/>
      </c>
      <c r="T1431" s="45" t="n"/>
      <c r="V1431" s="57">
        <f>IF(Q1431&gt;0,"показать","скрыть")</f>
        <v/>
      </c>
    </row>
    <row r="1432" ht="15.75" customHeight="1">
      <c r="B1432" s="809" t="n">
        <v>1416</v>
      </c>
      <c r="C1432" s="182">
        <f>IF(offer_sale_type="транзит",IFERROR(VLOOKUP($B1432,calc_data,C$14+1,0),0),0)</f>
        <v/>
      </c>
      <c r="D1432" s="280">
        <f>IF(offer_sale_type="транзит",IFERROR(VLOOKUP($B1432,calc_data,D$14+1,0),0),0)</f>
        <v/>
      </c>
      <c r="E1432" s="182">
        <f>IF(offer_sale_type="транзит",IFERROR(VLOOKUP($B1432,calc_data,E$14+1,0),0),0)</f>
        <v/>
      </c>
      <c r="F1432" s="182">
        <f>IF(offer_sale_type="транзит",IFERROR(VLOOKUP($B1432,calc_data,F$14+1,0),0),0)</f>
        <v/>
      </c>
      <c r="G1432" s="141">
        <f>IF(offer_sale_type="транзит",IFERROR(VLOOKUP($B1432,calc_data,G$14+1,0),0),0)</f>
        <v/>
      </c>
      <c r="H1432" s="141">
        <f>E1432*G1432</f>
        <v/>
      </c>
      <c r="I1432" s="141">
        <f>IF(offer_sale_type="транзит",IFERROR(ROUND(VLOOKUP($B1432,calc_data,I$14+1,0),2),0),0)</f>
        <v/>
      </c>
      <c r="J1432" s="141">
        <f>ROUND(IF(offer_sale_type="транзит",IFERROR(VLOOKUP($B1432,calc_data,J$14+1,0),0),0),2)</f>
        <v/>
      </c>
      <c r="K1432" s="142">
        <f>IF(offer_sale_type="транзит",IFERROR(ROUNDUP(VLOOKUP($B1432,calc_data,K$14+1,0),2),0),0)</f>
        <v/>
      </c>
      <c r="L1432" s="184">
        <f>IF(offer_sale_type="транзит",IFERROR(ROUNDUP(VLOOKUP($B1432,calc_data,L$14+1,0),2),0),0)</f>
        <v/>
      </c>
      <c r="M1432" s="141">
        <f>IF(offer_sale_type="транзит",IFERROR(ROUNDUP(VLOOKUP($B1432,calc_data,M$14+1,0),2),0),0)</f>
        <v/>
      </c>
      <c r="N1432" s="141">
        <f>IF(offer_sale_type="транзит",IFERROR(ROUNDUP(VLOOKUP($B1432,calc_data,N$14+1,0),2),0),0)</f>
        <v/>
      </c>
      <c r="O1432" s="147">
        <f>IF(offer_sale_type="транзит",IFERROR(ROUND(VLOOKUP($B1432,calc_data,O$14+1,1),2),0),0)</f>
        <v/>
      </c>
      <c r="P1432" s="141">
        <f>IF(offer_sale_type="транзит",IFERROR(ROUND(SUM(I1432:J1432,M1432:O1432)/E1432,2),0),0)</f>
        <v/>
      </c>
      <c r="Q1432" s="141">
        <f>E1432*P1432</f>
        <v/>
      </c>
      <c r="R1432" s="141">
        <f>ROUND(Q1432*IF(AND(offer_incoterms="DDP",seller_region="RU"),IF((TODAY()+offer_turnaround_time)&gt;=helpsheet!$L$17,rate_vatRU_from_26,rate_vatRu_till_25),0),2)</f>
        <v/>
      </c>
      <c r="S1432" s="177">
        <f>Q1432+IF(AND(offer_incoterms="DDP",seller_region="RU"),R1432,0)</f>
        <v/>
      </c>
      <c r="T1432" s="45" t="n"/>
      <c r="V1432" s="57">
        <f>IF(Q1432&gt;0,"показать","скрыть")</f>
        <v/>
      </c>
    </row>
    <row r="1433" ht="15.75" customHeight="1">
      <c r="B1433" s="809" t="n">
        <v>1417</v>
      </c>
      <c r="C1433" s="182">
        <f>IF(offer_sale_type="транзит",IFERROR(VLOOKUP($B1433,calc_data,C$14+1,0),0),0)</f>
        <v/>
      </c>
      <c r="D1433" s="280">
        <f>IF(offer_sale_type="транзит",IFERROR(VLOOKUP($B1433,calc_data,D$14+1,0),0),0)</f>
        <v/>
      </c>
      <c r="E1433" s="182">
        <f>IF(offer_sale_type="транзит",IFERROR(VLOOKUP($B1433,calc_data,E$14+1,0),0),0)</f>
        <v/>
      </c>
      <c r="F1433" s="182">
        <f>IF(offer_sale_type="транзит",IFERROR(VLOOKUP($B1433,calc_data,F$14+1,0),0),0)</f>
        <v/>
      </c>
      <c r="G1433" s="141">
        <f>IF(offer_sale_type="транзит",IFERROR(VLOOKUP($B1433,calc_data,G$14+1,0),0),0)</f>
        <v/>
      </c>
      <c r="H1433" s="141">
        <f>E1433*G1433</f>
        <v/>
      </c>
      <c r="I1433" s="141">
        <f>IF(offer_sale_type="транзит",IFERROR(ROUND(VLOOKUP($B1433,calc_data,I$14+1,0),2),0),0)</f>
        <v/>
      </c>
      <c r="J1433" s="141">
        <f>ROUND(IF(offer_sale_type="транзит",IFERROR(VLOOKUP($B1433,calc_data,J$14+1,0),0),0),2)</f>
        <v/>
      </c>
      <c r="K1433" s="142">
        <f>IF(offer_sale_type="транзит",IFERROR(ROUNDUP(VLOOKUP($B1433,calc_data,K$14+1,0),2),0),0)</f>
        <v/>
      </c>
      <c r="L1433" s="184">
        <f>IF(offer_sale_type="транзит",IFERROR(ROUNDUP(VLOOKUP($B1433,calc_data,L$14+1,0),2),0),0)</f>
        <v/>
      </c>
      <c r="M1433" s="141">
        <f>IF(offer_sale_type="транзит",IFERROR(ROUNDUP(VLOOKUP($B1433,calc_data,M$14+1,0),2),0),0)</f>
        <v/>
      </c>
      <c r="N1433" s="141">
        <f>IF(offer_sale_type="транзит",IFERROR(ROUNDUP(VLOOKUP($B1433,calc_data,N$14+1,0),2),0),0)</f>
        <v/>
      </c>
      <c r="O1433" s="147">
        <f>IF(offer_sale_type="транзит",IFERROR(ROUND(VLOOKUP($B1433,calc_data,O$14+1,1),2),0),0)</f>
        <v/>
      </c>
      <c r="P1433" s="141">
        <f>IF(offer_sale_type="транзит",IFERROR(ROUND(SUM(I1433:J1433,M1433:O1433)/E1433,2),0),0)</f>
        <v/>
      </c>
      <c r="Q1433" s="141">
        <f>E1433*P1433</f>
        <v/>
      </c>
      <c r="R1433" s="141">
        <f>ROUND(Q1433*IF(AND(offer_incoterms="DDP",seller_region="RU"),IF((TODAY()+offer_turnaround_time)&gt;=helpsheet!$L$17,rate_vatRU_from_26,rate_vatRu_till_25),0),2)</f>
        <v/>
      </c>
      <c r="S1433" s="177">
        <f>Q1433+IF(AND(offer_incoterms="DDP",seller_region="RU"),R1433,0)</f>
        <v/>
      </c>
      <c r="T1433" s="45" t="n"/>
      <c r="V1433" s="57">
        <f>IF(Q1433&gt;0,"показать","скрыть")</f>
        <v/>
      </c>
    </row>
    <row r="1434" ht="15.75" customHeight="1">
      <c r="B1434" s="809" t="n">
        <v>1418</v>
      </c>
      <c r="C1434" s="182">
        <f>IF(offer_sale_type="транзит",IFERROR(VLOOKUP($B1434,calc_data,C$14+1,0),0),0)</f>
        <v/>
      </c>
      <c r="D1434" s="280">
        <f>IF(offer_sale_type="транзит",IFERROR(VLOOKUP($B1434,calc_data,D$14+1,0),0),0)</f>
        <v/>
      </c>
      <c r="E1434" s="182">
        <f>IF(offer_sale_type="транзит",IFERROR(VLOOKUP($B1434,calc_data,E$14+1,0),0),0)</f>
        <v/>
      </c>
      <c r="F1434" s="182">
        <f>IF(offer_sale_type="транзит",IFERROR(VLOOKUP($B1434,calc_data,F$14+1,0),0),0)</f>
        <v/>
      </c>
      <c r="G1434" s="141">
        <f>IF(offer_sale_type="транзит",IFERROR(VLOOKUP($B1434,calc_data,G$14+1,0),0),0)</f>
        <v/>
      </c>
      <c r="H1434" s="141">
        <f>E1434*G1434</f>
        <v/>
      </c>
      <c r="I1434" s="141">
        <f>IF(offer_sale_type="транзит",IFERROR(ROUND(VLOOKUP($B1434,calc_data,I$14+1,0),2),0),0)</f>
        <v/>
      </c>
      <c r="J1434" s="141">
        <f>ROUND(IF(offer_sale_type="транзит",IFERROR(VLOOKUP($B1434,calc_data,J$14+1,0),0),0),2)</f>
        <v/>
      </c>
      <c r="K1434" s="142">
        <f>IF(offer_sale_type="транзит",IFERROR(ROUNDUP(VLOOKUP($B1434,calc_data,K$14+1,0),2),0),0)</f>
        <v/>
      </c>
      <c r="L1434" s="184">
        <f>IF(offer_sale_type="транзит",IFERROR(ROUNDUP(VLOOKUP($B1434,calc_data,L$14+1,0),2),0),0)</f>
        <v/>
      </c>
      <c r="M1434" s="141">
        <f>IF(offer_sale_type="транзит",IFERROR(ROUNDUP(VLOOKUP($B1434,calc_data,M$14+1,0),2),0),0)</f>
        <v/>
      </c>
      <c r="N1434" s="141">
        <f>IF(offer_sale_type="транзит",IFERROR(ROUNDUP(VLOOKUP($B1434,calc_data,N$14+1,0),2),0),0)</f>
        <v/>
      </c>
      <c r="O1434" s="147">
        <f>IF(offer_sale_type="транзит",IFERROR(ROUND(VLOOKUP($B1434,calc_data,O$14+1,1),2),0),0)</f>
        <v/>
      </c>
      <c r="P1434" s="141">
        <f>IF(offer_sale_type="транзит",IFERROR(ROUND(SUM(I1434:J1434,M1434:O1434)/E1434,2),0),0)</f>
        <v/>
      </c>
      <c r="Q1434" s="141">
        <f>E1434*P1434</f>
        <v/>
      </c>
      <c r="R1434" s="141">
        <f>ROUND(Q1434*IF(AND(offer_incoterms="DDP",seller_region="RU"),IF((TODAY()+offer_turnaround_time)&gt;=helpsheet!$L$17,rate_vatRU_from_26,rate_vatRu_till_25),0),2)</f>
        <v/>
      </c>
      <c r="S1434" s="177">
        <f>Q1434+IF(AND(offer_incoterms="DDP",seller_region="RU"),R1434,0)</f>
        <v/>
      </c>
      <c r="T1434" s="45" t="n"/>
      <c r="V1434" s="57">
        <f>IF(Q1434&gt;0,"показать","скрыть")</f>
        <v/>
      </c>
    </row>
    <row r="1435" ht="15.75" customHeight="1">
      <c r="B1435" s="809" t="n">
        <v>1419</v>
      </c>
      <c r="C1435" s="182">
        <f>IF(offer_sale_type="транзит",IFERROR(VLOOKUP($B1435,calc_data,C$14+1,0),0),0)</f>
        <v/>
      </c>
      <c r="D1435" s="280">
        <f>IF(offer_sale_type="транзит",IFERROR(VLOOKUP($B1435,calc_data,D$14+1,0),0),0)</f>
        <v/>
      </c>
      <c r="E1435" s="182">
        <f>IF(offer_sale_type="транзит",IFERROR(VLOOKUP($B1435,calc_data,E$14+1,0),0),0)</f>
        <v/>
      </c>
      <c r="F1435" s="182">
        <f>IF(offer_sale_type="транзит",IFERROR(VLOOKUP($B1435,calc_data,F$14+1,0),0),0)</f>
        <v/>
      </c>
      <c r="G1435" s="141">
        <f>IF(offer_sale_type="транзит",IFERROR(VLOOKUP($B1435,calc_data,G$14+1,0),0),0)</f>
        <v/>
      </c>
      <c r="H1435" s="141">
        <f>E1435*G1435</f>
        <v/>
      </c>
      <c r="I1435" s="141">
        <f>IF(offer_sale_type="транзит",IFERROR(ROUND(VLOOKUP($B1435,calc_data,I$14+1,0),2),0),0)</f>
        <v/>
      </c>
      <c r="J1435" s="141">
        <f>ROUND(IF(offer_sale_type="транзит",IFERROR(VLOOKUP($B1435,calc_data,J$14+1,0),0),0),2)</f>
        <v/>
      </c>
      <c r="K1435" s="142">
        <f>IF(offer_sale_type="транзит",IFERROR(ROUNDUP(VLOOKUP($B1435,calc_data,K$14+1,0),2),0),0)</f>
        <v/>
      </c>
      <c r="L1435" s="184">
        <f>IF(offer_sale_type="транзит",IFERROR(ROUNDUP(VLOOKUP($B1435,calc_data,L$14+1,0),2),0),0)</f>
        <v/>
      </c>
      <c r="M1435" s="141">
        <f>IF(offer_sale_type="транзит",IFERROR(ROUNDUP(VLOOKUP($B1435,calc_data,M$14+1,0),2),0),0)</f>
        <v/>
      </c>
      <c r="N1435" s="141">
        <f>IF(offer_sale_type="транзит",IFERROR(ROUNDUP(VLOOKUP($B1435,calc_data,N$14+1,0),2),0),0)</f>
        <v/>
      </c>
      <c r="O1435" s="147">
        <f>IF(offer_sale_type="транзит",IFERROR(ROUND(VLOOKUP($B1435,calc_data,O$14+1,1),2),0),0)</f>
        <v/>
      </c>
      <c r="P1435" s="141">
        <f>IF(offer_sale_type="транзит",IFERROR(ROUND(SUM(I1435:J1435,M1435:O1435)/E1435,2),0),0)</f>
        <v/>
      </c>
      <c r="Q1435" s="141">
        <f>E1435*P1435</f>
        <v/>
      </c>
      <c r="R1435" s="141">
        <f>ROUND(Q1435*IF(AND(offer_incoterms="DDP",seller_region="RU"),IF((TODAY()+offer_turnaround_time)&gt;=helpsheet!$L$17,rate_vatRU_from_26,rate_vatRu_till_25),0),2)</f>
        <v/>
      </c>
      <c r="S1435" s="177">
        <f>Q1435+IF(AND(offer_incoterms="DDP",seller_region="RU"),R1435,0)</f>
        <v/>
      </c>
      <c r="T1435" s="45" t="n"/>
      <c r="V1435" s="57">
        <f>IF(Q1435&gt;0,"показать","скрыть")</f>
        <v/>
      </c>
    </row>
    <row r="1436" ht="15.75" customHeight="1">
      <c r="B1436" s="809" t="n">
        <v>1420</v>
      </c>
      <c r="C1436" s="182">
        <f>IF(offer_sale_type="транзит",IFERROR(VLOOKUP($B1436,calc_data,C$14+1,0),0),0)</f>
        <v/>
      </c>
      <c r="D1436" s="280">
        <f>IF(offer_sale_type="транзит",IFERROR(VLOOKUP($B1436,calc_data,D$14+1,0),0),0)</f>
        <v/>
      </c>
      <c r="E1436" s="182">
        <f>IF(offer_sale_type="транзит",IFERROR(VLOOKUP($B1436,calc_data,E$14+1,0),0),0)</f>
        <v/>
      </c>
      <c r="F1436" s="182">
        <f>IF(offer_sale_type="транзит",IFERROR(VLOOKUP($B1436,calc_data,F$14+1,0),0),0)</f>
        <v/>
      </c>
      <c r="G1436" s="141">
        <f>IF(offer_sale_type="транзит",IFERROR(VLOOKUP($B1436,calc_data,G$14+1,0),0),0)</f>
        <v/>
      </c>
      <c r="H1436" s="141">
        <f>E1436*G1436</f>
        <v/>
      </c>
      <c r="I1436" s="141">
        <f>IF(offer_sale_type="транзит",IFERROR(ROUND(VLOOKUP($B1436,calc_data,I$14+1,0),2),0),0)</f>
        <v/>
      </c>
      <c r="J1436" s="141">
        <f>ROUND(IF(offer_sale_type="транзит",IFERROR(VLOOKUP($B1436,calc_data,J$14+1,0),0),0),2)</f>
        <v/>
      </c>
      <c r="K1436" s="142">
        <f>IF(offer_sale_type="транзит",IFERROR(ROUNDUP(VLOOKUP($B1436,calc_data,K$14+1,0),2),0),0)</f>
        <v/>
      </c>
      <c r="L1436" s="184">
        <f>IF(offer_sale_type="транзит",IFERROR(ROUNDUP(VLOOKUP($B1436,calc_data,L$14+1,0),2),0),0)</f>
        <v/>
      </c>
      <c r="M1436" s="141">
        <f>IF(offer_sale_type="транзит",IFERROR(ROUNDUP(VLOOKUP($B1436,calc_data,M$14+1,0),2),0),0)</f>
        <v/>
      </c>
      <c r="N1436" s="141">
        <f>IF(offer_sale_type="транзит",IFERROR(ROUNDUP(VLOOKUP($B1436,calc_data,N$14+1,0),2),0),0)</f>
        <v/>
      </c>
      <c r="O1436" s="147">
        <f>IF(offer_sale_type="транзит",IFERROR(ROUND(VLOOKUP($B1436,calc_data,O$14+1,1),2),0),0)</f>
        <v/>
      </c>
      <c r="P1436" s="141">
        <f>IF(offer_sale_type="транзит",IFERROR(ROUND(SUM(I1436:J1436,M1436:O1436)/E1436,2),0),0)</f>
        <v/>
      </c>
      <c r="Q1436" s="141">
        <f>E1436*P1436</f>
        <v/>
      </c>
      <c r="R1436" s="141">
        <f>ROUND(Q1436*IF(AND(offer_incoterms="DDP",seller_region="RU"),IF((TODAY()+offer_turnaround_time)&gt;=helpsheet!$L$17,rate_vatRU_from_26,rate_vatRu_till_25),0),2)</f>
        <v/>
      </c>
      <c r="S1436" s="177">
        <f>Q1436+IF(AND(offer_incoterms="DDP",seller_region="RU"),R1436,0)</f>
        <v/>
      </c>
      <c r="T1436" s="45" t="n"/>
      <c r="V1436" s="57">
        <f>IF(Q1436&gt;0,"показать","скрыть")</f>
        <v/>
      </c>
    </row>
    <row r="1437" ht="15.75" customHeight="1">
      <c r="B1437" s="809" t="n">
        <v>1421</v>
      </c>
      <c r="C1437" s="182">
        <f>IF(offer_sale_type="транзит",IFERROR(VLOOKUP($B1437,calc_data,C$14+1,0),0),0)</f>
        <v/>
      </c>
      <c r="D1437" s="280">
        <f>IF(offer_sale_type="транзит",IFERROR(VLOOKUP($B1437,calc_data,D$14+1,0),0),0)</f>
        <v/>
      </c>
      <c r="E1437" s="182">
        <f>IF(offer_sale_type="транзит",IFERROR(VLOOKUP($B1437,calc_data,E$14+1,0),0),0)</f>
        <v/>
      </c>
      <c r="F1437" s="182">
        <f>IF(offer_sale_type="транзит",IFERROR(VLOOKUP($B1437,calc_data,F$14+1,0),0),0)</f>
        <v/>
      </c>
      <c r="G1437" s="141">
        <f>IF(offer_sale_type="транзит",IFERROR(VLOOKUP($B1437,calc_data,G$14+1,0),0),0)</f>
        <v/>
      </c>
      <c r="H1437" s="141">
        <f>E1437*G1437</f>
        <v/>
      </c>
      <c r="I1437" s="141">
        <f>IF(offer_sale_type="транзит",IFERROR(ROUND(VLOOKUP($B1437,calc_data,I$14+1,0),2),0),0)</f>
        <v/>
      </c>
      <c r="J1437" s="141">
        <f>ROUND(IF(offer_sale_type="транзит",IFERROR(VLOOKUP($B1437,calc_data,J$14+1,0),0),0),2)</f>
        <v/>
      </c>
      <c r="K1437" s="142">
        <f>IF(offer_sale_type="транзит",IFERROR(ROUNDUP(VLOOKUP($B1437,calc_data,K$14+1,0),2),0),0)</f>
        <v/>
      </c>
      <c r="L1437" s="184">
        <f>IF(offer_sale_type="транзит",IFERROR(ROUNDUP(VLOOKUP($B1437,calc_data,L$14+1,0),2),0),0)</f>
        <v/>
      </c>
      <c r="M1437" s="141">
        <f>IF(offer_sale_type="транзит",IFERROR(ROUNDUP(VLOOKUP($B1437,calc_data,M$14+1,0),2),0),0)</f>
        <v/>
      </c>
      <c r="N1437" s="141">
        <f>IF(offer_sale_type="транзит",IFERROR(ROUNDUP(VLOOKUP($B1437,calc_data,N$14+1,0),2),0),0)</f>
        <v/>
      </c>
      <c r="O1437" s="147">
        <f>IF(offer_sale_type="транзит",IFERROR(ROUND(VLOOKUP($B1437,calc_data,O$14+1,1),2),0),0)</f>
        <v/>
      </c>
      <c r="P1437" s="141">
        <f>IF(offer_sale_type="транзит",IFERROR(ROUND(SUM(I1437:J1437,M1437:O1437)/E1437,2),0),0)</f>
        <v/>
      </c>
      <c r="Q1437" s="141">
        <f>E1437*P1437</f>
        <v/>
      </c>
      <c r="R1437" s="141">
        <f>ROUND(Q1437*IF(AND(offer_incoterms="DDP",seller_region="RU"),IF((TODAY()+offer_turnaround_time)&gt;=helpsheet!$L$17,rate_vatRU_from_26,rate_vatRu_till_25),0),2)</f>
        <v/>
      </c>
      <c r="S1437" s="177">
        <f>Q1437+IF(AND(offer_incoterms="DDP",seller_region="RU"),R1437,0)</f>
        <v/>
      </c>
      <c r="T1437" s="45" t="n"/>
      <c r="V1437" s="57">
        <f>IF(Q1437&gt;0,"показать","скрыть")</f>
        <v/>
      </c>
    </row>
    <row r="1438" ht="15.75" customHeight="1">
      <c r="B1438" s="809" t="n">
        <v>1422</v>
      </c>
      <c r="C1438" s="182">
        <f>IF(offer_sale_type="транзит",IFERROR(VLOOKUP($B1438,calc_data,C$14+1,0),0),0)</f>
        <v/>
      </c>
      <c r="D1438" s="280">
        <f>IF(offer_sale_type="транзит",IFERROR(VLOOKUP($B1438,calc_data,D$14+1,0),0),0)</f>
        <v/>
      </c>
      <c r="E1438" s="182">
        <f>IF(offer_sale_type="транзит",IFERROR(VLOOKUP($B1438,calc_data,E$14+1,0),0),0)</f>
        <v/>
      </c>
      <c r="F1438" s="182">
        <f>IF(offer_sale_type="транзит",IFERROR(VLOOKUP($B1438,calc_data,F$14+1,0),0),0)</f>
        <v/>
      </c>
      <c r="G1438" s="141">
        <f>IF(offer_sale_type="транзит",IFERROR(VLOOKUP($B1438,calc_data,G$14+1,0),0),0)</f>
        <v/>
      </c>
      <c r="H1438" s="141">
        <f>E1438*G1438</f>
        <v/>
      </c>
      <c r="I1438" s="141">
        <f>IF(offer_sale_type="транзит",IFERROR(ROUND(VLOOKUP($B1438,calc_data,I$14+1,0),2),0),0)</f>
        <v/>
      </c>
      <c r="J1438" s="141">
        <f>ROUND(IF(offer_sale_type="транзит",IFERROR(VLOOKUP($B1438,calc_data,J$14+1,0),0),0),2)</f>
        <v/>
      </c>
      <c r="K1438" s="142">
        <f>IF(offer_sale_type="транзит",IFERROR(ROUNDUP(VLOOKUP($B1438,calc_data,K$14+1,0),2),0),0)</f>
        <v/>
      </c>
      <c r="L1438" s="184">
        <f>IF(offer_sale_type="транзит",IFERROR(ROUNDUP(VLOOKUP($B1438,calc_data,L$14+1,0),2),0),0)</f>
        <v/>
      </c>
      <c r="M1438" s="141">
        <f>IF(offer_sale_type="транзит",IFERROR(ROUNDUP(VLOOKUP($B1438,calc_data,M$14+1,0),2),0),0)</f>
        <v/>
      </c>
      <c r="N1438" s="141">
        <f>IF(offer_sale_type="транзит",IFERROR(ROUNDUP(VLOOKUP($B1438,calc_data,N$14+1,0),2),0),0)</f>
        <v/>
      </c>
      <c r="O1438" s="147">
        <f>IF(offer_sale_type="транзит",IFERROR(ROUND(VLOOKUP($B1438,calc_data,O$14+1,1),2),0),0)</f>
        <v/>
      </c>
      <c r="P1438" s="141">
        <f>IF(offer_sale_type="транзит",IFERROR(ROUND(SUM(I1438:J1438,M1438:O1438)/E1438,2),0),0)</f>
        <v/>
      </c>
      <c r="Q1438" s="141">
        <f>E1438*P1438</f>
        <v/>
      </c>
      <c r="R1438" s="141">
        <f>ROUND(Q1438*IF(AND(offer_incoterms="DDP",seller_region="RU"),IF((TODAY()+offer_turnaround_time)&gt;=helpsheet!$L$17,rate_vatRU_from_26,rate_vatRu_till_25),0),2)</f>
        <v/>
      </c>
      <c r="S1438" s="177">
        <f>Q1438+IF(AND(offer_incoterms="DDP",seller_region="RU"),R1438,0)</f>
        <v/>
      </c>
      <c r="T1438" s="45" t="n"/>
      <c r="V1438" s="57">
        <f>IF(Q1438&gt;0,"показать","скрыть")</f>
        <v/>
      </c>
    </row>
    <row r="1439" ht="15.75" customHeight="1">
      <c r="B1439" s="809" t="n">
        <v>1423</v>
      </c>
      <c r="C1439" s="182">
        <f>IF(offer_sale_type="транзит",IFERROR(VLOOKUP($B1439,calc_data,C$14+1,0),0),0)</f>
        <v/>
      </c>
      <c r="D1439" s="280">
        <f>IF(offer_sale_type="транзит",IFERROR(VLOOKUP($B1439,calc_data,D$14+1,0),0),0)</f>
        <v/>
      </c>
      <c r="E1439" s="182">
        <f>IF(offer_sale_type="транзит",IFERROR(VLOOKUP($B1439,calc_data,E$14+1,0),0),0)</f>
        <v/>
      </c>
      <c r="F1439" s="182">
        <f>IF(offer_sale_type="транзит",IFERROR(VLOOKUP($B1439,calc_data,F$14+1,0),0),0)</f>
        <v/>
      </c>
      <c r="G1439" s="141">
        <f>IF(offer_sale_type="транзит",IFERROR(VLOOKUP($B1439,calc_data,G$14+1,0),0),0)</f>
        <v/>
      </c>
      <c r="H1439" s="141">
        <f>E1439*G1439</f>
        <v/>
      </c>
      <c r="I1439" s="141">
        <f>IF(offer_sale_type="транзит",IFERROR(ROUND(VLOOKUP($B1439,calc_data,I$14+1,0),2),0),0)</f>
        <v/>
      </c>
      <c r="J1439" s="141">
        <f>ROUND(IF(offer_sale_type="транзит",IFERROR(VLOOKUP($B1439,calc_data,J$14+1,0),0),0),2)</f>
        <v/>
      </c>
      <c r="K1439" s="142">
        <f>IF(offer_sale_type="транзит",IFERROR(ROUNDUP(VLOOKUP($B1439,calc_data,K$14+1,0),2),0),0)</f>
        <v/>
      </c>
      <c r="L1439" s="184">
        <f>IF(offer_sale_type="транзит",IFERROR(ROUNDUP(VLOOKUP($B1439,calc_data,L$14+1,0),2),0),0)</f>
        <v/>
      </c>
      <c r="M1439" s="141">
        <f>IF(offer_sale_type="транзит",IFERROR(ROUNDUP(VLOOKUP($B1439,calc_data,M$14+1,0),2),0),0)</f>
        <v/>
      </c>
      <c r="N1439" s="141">
        <f>IF(offer_sale_type="транзит",IFERROR(ROUNDUP(VLOOKUP($B1439,calc_data,N$14+1,0),2),0),0)</f>
        <v/>
      </c>
      <c r="O1439" s="147">
        <f>IF(offer_sale_type="транзит",IFERROR(ROUND(VLOOKUP($B1439,calc_data,O$14+1,1),2),0),0)</f>
        <v/>
      </c>
      <c r="P1439" s="141">
        <f>IF(offer_sale_type="транзит",IFERROR(ROUND(SUM(I1439:J1439,M1439:O1439)/E1439,2),0),0)</f>
        <v/>
      </c>
      <c r="Q1439" s="141">
        <f>E1439*P1439</f>
        <v/>
      </c>
      <c r="R1439" s="141">
        <f>ROUND(Q1439*IF(AND(offer_incoterms="DDP",seller_region="RU"),IF((TODAY()+offer_turnaround_time)&gt;=helpsheet!$L$17,rate_vatRU_from_26,rate_vatRu_till_25),0),2)</f>
        <v/>
      </c>
      <c r="S1439" s="177">
        <f>Q1439+IF(AND(offer_incoterms="DDP",seller_region="RU"),R1439,0)</f>
        <v/>
      </c>
      <c r="T1439" s="45" t="n"/>
      <c r="V1439" s="57">
        <f>IF(Q1439&gt;0,"показать","скрыть")</f>
        <v/>
      </c>
    </row>
    <row r="1440" ht="15.75" customHeight="1">
      <c r="B1440" s="809" t="n">
        <v>1424</v>
      </c>
      <c r="C1440" s="182">
        <f>IF(offer_sale_type="транзит",IFERROR(VLOOKUP($B1440,calc_data,C$14+1,0),0),0)</f>
        <v/>
      </c>
      <c r="D1440" s="280">
        <f>IF(offer_sale_type="транзит",IFERROR(VLOOKUP($B1440,calc_data,D$14+1,0),0),0)</f>
        <v/>
      </c>
      <c r="E1440" s="182">
        <f>IF(offer_sale_type="транзит",IFERROR(VLOOKUP($B1440,calc_data,E$14+1,0),0),0)</f>
        <v/>
      </c>
      <c r="F1440" s="182">
        <f>IF(offer_sale_type="транзит",IFERROR(VLOOKUP($B1440,calc_data,F$14+1,0),0),0)</f>
        <v/>
      </c>
      <c r="G1440" s="141">
        <f>IF(offer_sale_type="транзит",IFERROR(VLOOKUP($B1440,calc_data,G$14+1,0),0),0)</f>
        <v/>
      </c>
      <c r="H1440" s="141">
        <f>E1440*G1440</f>
        <v/>
      </c>
      <c r="I1440" s="141">
        <f>IF(offer_sale_type="транзит",IFERROR(ROUND(VLOOKUP($B1440,calc_data,I$14+1,0),2),0),0)</f>
        <v/>
      </c>
      <c r="J1440" s="141">
        <f>ROUND(IF(offer_sale_type="транзит",IFERROR(VLOOKUP($B1440,calc_data,J$14+1,0),0),0),2)</f>
        <v/>
      </c>
      <c r="K1440" s="142">
        <f>IF(offer_sale_type="транзит",IFERROR(ROUNDUP(VLOOKUP($B1440,calc_data,K$14+1,0),2),0),0)</f>
        <v/>
      </c>
      <c r="L1440" s="184">
        <f>IF(offer_sale_type="транзит",IFERROR(ROUNDUP(VLOOKUP($B1440,calc_data,L$14+1,0),2),0),0)</f>
        <v/>
      </c>
      <c r="M1440" s="141">
        <f>IF(offer_sale_type="транзит",IFERROR(ROUNDUP(VLOOKUP($B1440,calc_data,M$14+1,0),2),0),0)</f>
        <v/>
      </c>
      <c r="N1440" s="141">
        <f>IF(offer_sale_type="транзит",IFERROR(ROUNDUP(VLOOKUP($B1440,calc_data,N$14+1,0),2),0),0)</f>
        <v/>
      </c>
      <c r="O1440" s="147">
        <f>IF(offer_sale_type="транзит",IFERROR(ROUND(VLOOKUP($B1440,calc_data,O$14+1,1),2),0),0)</f>
        <v/>
      </c>
      <c r="P1440" s="141">
        <f>IF(offer_sale_type="транзит",IFERROR(ROUND(SUM(I1440:J1440,M1440:O1440)/E1440,2),0),0)</f>
        <v/>
      </c>
      <c r="Q1440" s="141">
        <f>E1440*P1440</f>
        <v/>
      </c>
      <c r="R1440" s="141">
        <f>ROUND(Q1440*IF(AND(offer_incoterms="DDP",seller_region="RU"),IF((TODAY()+offer_turnaround_time)&gt;=helpsheet!$L$17,rate_vatRU_from_26,rate_vatRu_till_25),0),2)</f>
        <v/>
      </c>
      <c r="S1440" s="177">
        <f>Q1440+IF(AND(offer_incoterms="DDP",seller_region="RU"),R1440,0)</f>
        <v/>
      </c>
      <c r="T1440" s="45" t="n"/>
      <c r="V1440" s="57">
        <f>IF(Q1440&gt;0,"показать","скрыть")</f>
        <v/>
      </c>
    </row>
    <row r="1441" ht="15.75" customHeight="1">
      <c r="B1441" s="809" t="n">
        <v>1425</v>
      </c>
      <c r="C1441" s="182">
        <f>IF(offer_sale_type="транзит",IFERROR(VLOOKUP($B1441,calc_data,C$14+1,0),0),0)</f>
        <v/>
      </c>
      <c r="D1441" s="280">
        <f>IF(offer_sale_type="транзит",IFERROR(VLOOKUP($B1441,calc_data,D$14+1,0),0),0)</f>
        <v/>
      </c>
      <c r="E1441" s="182">
        <f>IF(offer_sale_type="транзит",IFERROR(VLOOKUP($B1441,calc_data,E$14+1,0),0),0)</f>
        <v/>
      </c>
      <c r="F1441" s="182">
        <f>IF(offer_sale_type="транзит",IFERROR(VLOOKUP($B1441,calc_data,F$14+1,0),0),0)</f>
        <v/>
      </c>
      <c r="G1441" s="141">
        <f>IF(offer_sale_type="транзит",IFERROR(VLOOKUP($B1441,calc_data,G$14+1,0),0),0)</f>
        <v/>
      </c>
      <c r="H1441" s="141">
        <f>E1441*G1441</f>
        <v/>
      </c>
      <c r="I1441" s="141">
        <f>IF(offer_sale_type="транзит",IFERROR(ROUND(VLOOKUP($B1441,calc_data,I$14+1,0),2),0),0)</f>
        <v/>
      </c>
      <c r="J1441" s="141">
        <f>ROUND(IF(offer_sale_type="транзит",IFERROR(VLOOKUP($B1441,calc_data,J$14+1,0),0),0),2)</f>
        <v/>
      </c>
      <c r="K1441" s="142">
        <f>IF(offer_sale_type="транзит",IFERROR(ROUNDUP(VLOOKUP($B1441,calc_data,K$14+1,0),2),0),0)</f>
        <v/>
      </c>
      <c r="L1441" s="184">
        <f>IF(offer_sale_type="транзит",IFERROR(ROUNDUP(VLOOKUP($B1441,calc_data,L$14+1,0),2),0),0)</f>
        <v/>
      </c>
      <c r="M1441" s="141">
        <f>IF(offer_sale_type="транзит",IFERROR(ROUNDUP(VLOOKUP($B1441,calc_data,M$14+1,0),2),0),0)</f>
        <v/>
      </c>
      <c r="N1441" s="141">
        <f>IF(offer_sale_type="транзит",IFERROR(ROUNDUP(VLOOKUP($B1441,calc_data,N$14+1,0),2),0),0)</f>
        <v/>
      </c>
      <c r="O1441" s="147">
        <f>IF(offer_sale_type="транзит",IFERROR(ROUND(VLOOKUP($B1441,calc_data,O$14+1,1),2),0),0)</f>
        <v/>
      </c>
      <c r="P1441" s="141">
        <f>IF(offer_sale_type="транзит",IFERROR(ROUND(SUM(I1441:J1441,M1441:O1441)/E1441,2),0),0)</f>
        <v/>
      </c>
      <c r="Q1441" s="141">
        <f>E1441*P1441</f>
        <v/>
      </c>
      <c r="R1441" s="141">
        <f>ROUND(Q1441*IF(AND(offer_incoterms="DDP",seller_region="RU"),IF((TODAY()+offer_turnaround_time)&gt;=helpsheet!$L$17,rate_vatRU_from_26,rate_vatRu_till_25),0),2)</f>
        <v/>
      </c>
      <c r="S1441" s="177">
        <f>Q1441+IF(AND(offer_incoterms="DDP",seller_region="RU"),R1441,0)</f>
        <v/>
      </c>
      <c r="T1441" s="45" t="n"/>
      <c r="V1441" s="57">
        <f>IF(Q1441&gt;0,"показать","скрыть")</f>
        <v/>
      </c>
    </row>
    <row r="1442" ht="15.75" customHeight="1">
      <c r="B1442" s="809" t="n">
        <v>1426</v>
      </c>
      <c r="C1442" s="182">
        <f>IF(offer_sale_type="транзит",IFERROR(VLOOKUP($B1442,calc_data,C$14+1,0),0),0)</f>
        <v/>
      </c>
      <c r="D1442" s="280">
        <f>IF(offer_sale_type="транзит",IFERROR(VLOOKUP($B1442,calc_data,D$14+1,0),0),0)</f>
        <v/>
      </c>
      <c r="E1442" s="182">
        <f>IF(offer_sale_type="транзит",IFERROR(VLOOKUP($B1442,calc_data,E$14+1,0),0),0)</f>
        <v/>
      </c>
      <c r="F1442" s="182">
        <f>IF(offer_sale_type="транзит",IFERROR(VLOOKUP($B1442,calc_data,F$14+1,0),0),0)</f>
        <v/>
      </c>
      <c r="G1442" s="141">
        <f>IF(offer_sale_type="транзит",IFERROR(VLOOKUP($B1442,calc_data,G$14+1,0),0),0)</f>
        <v/>
      </c>
      <c r="H1442" s="141">
        <f>E1442*G1442</f>
        <v/>
      </c>
      <c r="I1442" s="141">
        <f>IF(offer_sale_type="транзит",IFERROR(ROUND(VLOOKUP($B1442,calc_data,I$14+1,0),2),0),0)</f>
        <v/>
      </c>
      <c r="J1442" s="141">
        <f>ROUND(IF(offer_sale_type="транзит",IFERROR(VLOOKUP($B1442,calc_data,J$14+1,0),0),0),2)</f>
        <v/>
      </c>
      <c r="K1442" s="142">
        <f>IF(offer_sale_type="транзит",IFERROR(ROUNDUP(VLOOKUP($B1442,calc_data,K$14+1,0),2),0),0)</f>
        <v/>
      </c>
      <c r="L1442" s="184">
        <f>IF(offer_sale_type="транзит",IFERROR(ROUNDUP(VLOOKUP($B1442,calc_data,L$14+1,0),2),0),0)</f>
        <v/>
      </c>
      <c r="M1442" s="141">
        <f>IF(offer_sale_type="транзит",IFERROR(ROUNDUP(VLOOKUP($B1442,calc_data,M$14+1,0),2),0),0)</f>
        <v/>
      </c>
      <c r="N1442" s="141">
        <f>IF(offer_sale_type="транзит",IFERROR(ROUNDUP(VLOOKUP($B1442,calc_data,N$14+1,0),2),0),0)</f>
        <v/>
      </c>
      <c r="O1442" s="147">
        <f>IF(offer_sale_type="транзит",IFERROR(ROUND(VLOOKUP($B1442,calc_data,O$14+1,1),2),0),0)</f>
        <v/>
      </c>
      <c r="P1442" s="141">
        <f>IF(offer_sale_type="транзит",IFERROR(ROUND(SUM(I1442:J1442,M1442:O1442)/E1442,2),0),0)</f>
        <v/>
      </c>
      <c r="Q1442" s="141">
        <f>E1442*P1442</f>
        <v/>
      </c>
      <c r="R1442" s="141">
        <f>ROUND(Q1442*IF(AND(offer_incoterms="DDP",seller_region="RU"),IF((TODAY()+offer_turnaround_time)&gt;=helpsheet!$L$17,rate_vatRU_from_26,rate_vatRu_till_25),0),2)</f>
        <v/>
      </c>
      <c r="S1442" s="177">
        <f>Q1442+IF(AND(offer_incoterms="DDP",seller_region="RU"),R1442,0)</f>
        <v/>
      </c>
      <c r="T1442" s="45" t="n"/>
      <c r="V1442" s="57">
        <f>IF(Q1442&gt;0,"показать","скрыть")</f>
        <v/>
      </c>
    </row>
    <row r="1443" ht="15.75" customHeight="1">
      <c r="B1443" s="809" t="n">
        <v>1427</v>
      </c>
      <c r="C1443" s="182">
        <f>IF(offer_sale_type="транзит",IFERROR(VLOOKUP($B1443,calc_data,C$14+1,0),0),0)</f>
        <v/>
      </c>
      <c r="D1443" s="280">
        <f>IF(offer_sale_type="транзит",IFERROR(VLOOKUP($B1443,calc_data,D$14+1,0),0),0)</f>
        <v/>
      </c>
      <c r="E1443" s="182">
        <f>IF(offer_sale_type="транзит",IFERROR(VLOOKUP($B1443,calc_data,E$14+1,0),0),0)</f>
        <v/>
      </c>
      <c r="F1443" s="182">
        <f>IF(offer_sale_type="транзит",IFERROR(VLOOKUP($B1443,calc_data,F$14+1,0),0),0)</f>
        <v/>
      </c>
      <c r="G1443" s="141">
        <f>IF(offer_sale_type="транзит",IFERROR(VLOOKUP($B1443,calc_data,G$14+1,0),0),0)</f>
        <v/>
      </c>
      <c r="H1443" s="141">
        <f>E1443*G1443</f>
        <v/>
      </c>
      <c r="I1443" s="141">
        <f>IF(offer_sale_type="транзит",IFERROR(ROUND(VLOOKUP($B1443,calc_data,I$14+1,0),2),0),0)</f>
        <v/>
      </c>
      <c r="J1443" s="141">
        <f>ROUND(IF(offer_sale_type="транзит",IFERROR(VLOOKUP($B1443,calc_data,J$14+1,0),0),0),2)</f>
        <v/>
      </c>
      <c r="K1443" s="142">
        <f>IF(offer_sale_type="транзит",IFERROR(ROUNDUP(VLOOKUP($B1443,calc_data,K$14+1,0),2),0),0)</f>
        <v/>
      </c>
      <c r="L1443" s="184">
        <f>IF(offer_sale_type="транзит",IFERROR(ROUNDUP(VLOOKUP($B1443,calc_data,L$14+1,0),2),0),0)</f>
        <v/>
      </c>
      <c r="M1443" s="141">
        <f>IF(offer_sale_type="транзит",IFERROR(ROUNDUP(VLOOKUP($B1443,calc_data,M$14+1,0),2),0),0)</f>
        <v/>
      </c>
      <c r="N1443" s="141">
        <f>IF(offer_sale_type="транзит",IFERROR(ROUNDUP(VLOOKUP($B1443,calc_data,N$14+1,0),2),0),0)</f>
        <v/>
      </c>
      <c r="O1443" s="147">
        <f>IF(offer_sale_type="транзит",IFERROR(ROUND(VLOOKUP($B1443,calc_data,O$14+1,1),2),0),0)</f>
        <v/>
      </c>
      <c r="P1443" s="141">
        <f>IF(offer_sale_type="транзит",IFERROR(ROUND(SUM(I1443:J1443,M1443:O1443)/E1443,2),0),0)</f>
        <v/>
      </c>
      <c r="Q1443" s="141">
        <f>E1443*P1443</f>
        <v/>
      </c>
      <c r="R1443" s="141">
        <f>ROUND(Q1443*IF(AND(offer_incoterms="DDP",seller_region="RU"),IF((TODAY()+offer_turnaround_time)&gt;=helpsheet!$L$17,rate_vatRU_from_26,rate_vatRu_till_25),0),2)</f>
        <v/>
      </c>
      <c r="S1443" s="177">
        <f>Q1443+IF(AND(offer_incoterms="DDP",seller_region="RU"),R1443,0)</f>
        <v/>
      </c>
      <c r="T1443" s="45" t="n"/>
      <c r="V1443" s="57">
        <f>IF(Q1443&gt;0,"показать","скрыть")</f>
        <v/>
      </c>
    </row>
    <row r="1444" ht="15.75" customHeight="1">
      <c r="B1444" s="809" t="n">
        <v>1428</v>
      </c>
      <c r="C1444" s="182">
        <f>IF(offer_sale_type="транзит",IFERROR(VLOOKUP($B1444,calc_data,C$14+1,0),0),0)</f>
        <v/>
      </c>
      <c r="D1444" s="280">
        <f>IF(offer_sale_type="транзит",IFERROR(VLOOKUP($B1444,calc_data,D$14+1,0),0),0)</f>
        <v/>
      </c>
      <c r="E1444" s="182">
        <f>IF(offer_sale_type="транзит",IFERROR(VLOOKUP($B1444,calc_data,E$14+1,0),0),0)</f>
        <v/>
      </c>
      <c r="F1444" s="182">
        <f>IF(offer_sale_type="транзит",IFERROR(VLOOKUP($B1444,calc_data,F$14+1,0),0),0)</f>
        <v/>
      </c>
      <c r="G1444" s="141">
        <f>IF(offer_sale_type="транзит",IFERROR(VLOOKUP($B1444,calc_data,G$14+1,0),0),0)</f>
        <v/>
      </c>
      <c r="H1444" s="141">
        <f>E1444*G1444</f>
        <v/>
      </c>
      <c r="I1444" s="141">
        <f>IF(offer_sale_type="транзит",IFERROR(ROUND(VLOOKUP($B1444,calc_data,I$14+1,0),2),0),0)</f>
        <v/>
      </c>
      <c r="J1444" s="141">
        <f>ROUND(IF(offer_sale_type="транзит",IFERROR(VLOOKUP($B1444,calc_data,J$14+1,0),0),0),2)</f>
        <v/>
      </c>
      <c r="K1444" s="142">
        <f>IF(offer_sale_type="транзит",IFERROR(ROUNDUP(VLOOKUP($B1444,calc_data,K$14+1,0),2),0),0)</f>
        <v/>
      </c>
      <c r="L1444" s="184">
        <f>IF(offer_sale_type="транзит",IFERROR(ROUNDUP(VLOOKUP($B1444,calc_data,L$14+1,0),2),0),0)</f>
        <v/>
      </c>
      <c r="M1444" s="141">
        <f>IF(offer_sale_type="транзит",IFERROR(ROUNDUP(VLOOKUP($B1444,calc_data,M$14+1,0),2),0),0)</f>
        <v/>
      </c>
      <c r="N1444" s="141">
        <f>IF(offer_sale_type="транзит",IFERROR(ROUNDUP(VLOOKUP($B1444,calc_data,N$14+1,0),2),0),0)</f>
        <v/>
      </c>
      <c r="O1444" s="147">
        <f>IF(offer_sale_type="транзит",IFERROR(ROUND(VLOOKUP($B1444,calc_data,O$14+1,1),2),0),0)</f>
        <v/>
      </c>
      <c r="P1444" s="141">
        <f>IF(offer_sale_type="транзит",IFERROR(ROUND(SUM(I1444:J1444,M1444:O1444)/E1444,2),0),0)</f>
        <v/>
      </c>
      <c r="Q1444" s="141">
        <f>E1444*P1444</f>
        <v/>
      </c>
      <c r="R1444" s="141">
        <f>ROUND(Q1444*IF(AND(offer_incoterms="DDP",seller_region="RU"),IF((TODAY()+offer_turnaround_time)&gt;=helpsheet!$L$17,rate_vatRU_from_26,rate_vatRu_till_25),0),2)</f>
        <v/>
      </c>
      <c r="S1444" s="177">
        <f>Q1444+IF(AND(offer_incoterms="DDP",seller_region="RU"),R1444,0)</f>
        <v/>
      </c>
      <c r="T1444" s="45" t="n"/>
      <c r="V1444" s="57">
        <f>IF(Q1444&gt;0,"показать","скрыть")</f>
        <v/>
      </c>
    </row>
    <row r="1445" ht="15.75" customHeight="1">
      <c r="B1445" s="809" t="n">
        <v>1429</v>
      </c>
      <c r="C1445" s="182">
        <f>IF(offer_sale_type="транзит",IFERROR(VLOOKUP($B1445,calc_data,C$14+1,0),0),0)</f>
        <v/>
      </c>
      <c r="D1445" s="280">
        <f>IF(offer_sale_type="транзит",IFERROR(VLOOKUP($B1445,calc_data,D$14+1,0),0),0)</f>
        <v/>
      </c>
      <c r="E1445" s="182">
        <f>IF(offer_sale_type="транзит",IFERROR(VLOOKUP($B1445,calc_data,E$14+1,0),0),0)</f>
        <v/>
      </c>
      <c r="F1445" s="182">
        <f>IF(offer_sale_type="транзит",IFERROR(VLOOKUP($B1445,calc_data,F$14+1,0),0),0)</f>
        <v/>
      </c>
      <c r="G1445" s="141">
        <f>IF(offer_sale_type="транзит",IFERROR(VLOOKUP($B1445,calc_data,G$14+1,0),0),0)</f>
        <v/>
      </c>
      <c r="H1445" s="141">
        <f>E1445*G1445</f>
        <v/>
      </c>
      <c r="I1445" s="141">
        <f>IF(offer_sale_type="транзит",IFERROR(ROUND(VLOOKUP($B1445,calc_data,I$14+1,0),2),0),0)</f>
        <v/>
      </c>
      <c r="J1445" s="141">
        <f>ROUND(IF(offer_sale_type="транзит",IFERROR(VLOOKUP($B1445,calc_data,J$14+1,0),0),0),2)</f>
        <v/>
      </c>
      <c r="K1445" s="142">
        <f>IF(offer_sale_type="транзит",IFERROR(ROUNDUP(VLOOKUP($B1445,calc_data,K$14+1,0),2),0),0)</f>
        <v/>
      </c>
      <c r="L1445" s="184">
        <f>IF(offer_sale_type="транзит",IFERROR(ROUNDUP(VLOOKUP($B1445,calc_data,L$14+1,0),2),0),0)</f>
        <v/>
      </c>
      <c r="M1445" s="141">
        <f>IF(offer_sale_type="транзит",IFERROR(ROUNDUP(VLOOKUP($B1445,calc_data,M$14+1,0),2),0),0)</f>
        <v/>
      </c>
      <c r="N1445" s="141">
        <f>IF(offer_sale_type="транзит",IFERROR(ROUNDUP(VLOOKUP($B1445,calc_data,N$14+1,0),2),0),0)</f>
        <v/>
      </c>
      <c r="O1445" s="147">
        <f>IF(offer_sale_type="транзит",IFERROR(ROUND(VLOOKUP($B1445,calc_data,O$14+1,1),2),0),0)</f>
        <v/>
      </c>
      <c r="P1445" s="141">
        <f>IF(offer_sale_type="транзит",IFERROR(ROUND(SUM(I1445:J1445,M1445:O1445)/E1445,2),0),0)</f>
        <v/>
      </c>
      <c r="Q1445" s="141">
        <f>E1445*P1445</f>
        <v/>
      </c>
      <c r="R1445" s="141">
        <f>ROUND(Q1445*IF(AND(offer_incoterms="DDP",seller_region="RU"),IF((TODAY()+offer_turnaround_time)&gt;=helpsheet!$L$17,rate_vatRU_from_26,rate_vatRu_till_25),0),2)</f>
        <v/>
      </c>
      <c r="S1445" s="177">
        <f>Q1445+IF(AND(offer_incoterms="DDP",seller_region="RU"),R1445,0)</f>
        <v/>
      </c>
      <c r="T1445" s="45" t="n"/>
      <c r="V1445" s="57">
        <f>IF(Q1445&gt;0,"показать","скрыть")</f>
        <v/>
      </c>
    </row>
    <row r="1446" ht="15.75" customHeight="1">
      <c r="B1446" s="809" t="n">
        <v>1430</v>
      </c>
      <c r="C1446" s="182">
        <f>IF(offer_sale_type="транзит",IFERROR(VLOOKUP($B1446,calc_data,C$14+1,0),0),0)</f>
        <v/>
      </c>
      <c r="D1446" s="280">
        <f>IF(offer_sale_type="транзит",IFERROR(VLOOKUP($B1446,calc_data,D$14+1,0),0),0)</f>
        <v/>
      </c>
      <c r="E1446" s="182">
        <f>IF(offer_sale_type="транзит",IFERROR(VLOOKUP($B1446,calc_data,E$14+1,0),0),0)</f>
        <v/>
      </c>
      <c r="F1446" s="182">
        <f>IF(offer_sale_type="транзит",IFERROR(VLOOKUP($B1446,calc_data,F$14+1,0),0),0)</f>
        <v/>
      </c>
      <c r="G1446" s="141">
        <f>IF(offer_sale_type="транзит",IFERROR(VLOOKUP($B1446,calc_data,G$14+1,0),0),0)</f>
        <v/>
      </c>
      <c r="H1446" s="141">
        <f>E1446*G1446</f>
        <v/>
      </c>
      <c r="I1446" s="141">
        <f>IF(offer_sale_type="транзит",IFERROR(ROUND(VLOOKUP($B1446,calc_data,I$14+1,0),2),0),0)</f>
        <v/>
      </c>
      <c r="J1446" s="141">
        <f>ROUND(IF(offer_sale_type="транзит",IFERROR(VLOOKUP($B1446,calc_data,J$14+1,0),0),0),2)</f>
        <v/>
      </c>
      <c r="K1446" s="142">
        <f>IF(offer_sale_type="транзит",IFERROR(ROUNDUP(VLOOKUP($B1446,calc_data,K$14+1,0),2),0),0)</f>
        <v/>
      </c>
      <c r="L1446" s="184">
        <f>IF(offer_sale_type="транзит",IFERROR(ROUNDUP(VLOOKUP($B1446,calc_data,L$14+1,0),2),0),0)</f>
        <v/>
      </c>
      <c r="M1446" s="141">
        <f>IF(offer_sale_type="транзит",IFERROR(ROUNDUP(VLOOKUP($B1446,calc_data,M$14+1,0),2),0),0)</f>
        <v/>
      </c>
      <c r="N1446" s="141">
        <f>IF(offer_sale_type="транзит",IFERROR(ROUNDUP(VLOOKUP($B1446,calc_data,N$14+1,0),2),0),0)</f>
        <v/>
      </c>
      <c r="O1446" s="147">
        <f>IF(offer_sale_type="транзит",IFERROR(ROUND(VLOOKUP($B1446,calc_data,O$14+1,1),2),0),0)</f>
        <v/>
      </c>
      <c r="P1446" s="141">
        <f>IF(offer_sale_type="транзит",IFERROR(ROUND(SUM(I1446:J1446,M1446:O1446)/E1446,2),0),0)</f>
        <v/>
      </c>
      <c r="Q1446" s="141">
        <f>E1446*P1446</f>
        <v/>
      </c>
      <c r="R1446" s="141">
        <f>ROUND(Q1446*IF(AND(offer_incoterms="DDP",seller_region="RU"),IF((TODAY()+offer_turnaround_time)&gt;=helpsheet!$L$17,rate_vatRU_from_26,rate_vatRu_till_25),0),2)</f>
        <v/>
      </c>
      <c r="S1446" s="177">
        <f>Q1446+IF(AND(offer_incoterms="DDP",seller_region="RU"),R1446,0)</f>
        <v/>
      </c>
      <c r="T1446" s="45" t="n"/>
      <c r="V1446" s="57">
        <f>IF(Q1446&gt;0,"показать","скрыть")</f>
        <v/>
      </c>
    </row>
    <row r="1447" ht="15.75" customHeight="1">
      <c r="B1447" s="809" t="n">
        <v>1431</v>
      </c>
      <c r="C1447" s="182">
        <f>IF(offer_sale_type="транзит",IFERROR(VLOOKUP($B1447,calc_data,C$14+1,0),0),0)</f>
        <v/>
      </c>
      <c r="D1447" s="280">
        <f>IF(offer_sale_type="транзит",IFERROR(VLOOKUP($B1447,calc_data,D$14+1,0),0),0)</f>
        <v/>
      </c>
      <c r="E1447" s="182">
        <f>IF(offer_sale_type="транзит",IFERROR(VLOOKUP($B1447,calc_data,E$14+1,0),0),0)</f>
        <v/>
      </c>
      <c r="F1447" s="182">
        <f>IF(offer_sale_type="транзит",IFERROR(VLOOKUP($B1447,calc_data,F$14+1,0),0),0)</f>
        <v/>
      </c>
      <c r="G1447" s="141">
        <f>IF(offer_sale_type="транзит",IFERROR(VLOOKUP($B1447,calc_data,G$14+1,0),0),0)</f>
        <v/>
      </c>
      <c r="H1447" s="141">
        <f>E1447*G1447</f>
        <v/>
      </c>
      <c r="I1447" s="141">
        <f>IF(offer_sale_type="транзит",IFERROR(ROUND(VLOOKUP($B1447,calc_data,I$14+1,0),2),0),0)</f>
        <v/>
      </c>
      <c r="J1447" s="141">
        <f>ROUND(IF(offer_sale_type="транзит",IFERROR(VLOOKUP($B1447,calc_data,J$14+1,0),0),0),2)</f>
        <v/>
      </c>
      <c r="K1447" s="142">
        <f>IF(offer_sale_type="транзит",IFERROR(ROUNDUP(VLOOKUP($B1447,calc_data,K$14+1,0),2),0),0)</f>
        <v/>
      </c>
      <c r="L1447" s="184">
        <f>IF(offer_sale_type="транзит",IFERROR(ROUNDUP(VLOOKUP($B1447,calc_data,L$14+1,0),2),0),0)</f>
        <v/>
      </c>
      <c r="M1447" s="141">
        <f>IF(offer_sale_type="транзит",IFERROR(ROUNDUP(VLOOKUP($B1447,calc_data,M$14+1,0),2),0),0)</f>
        <v/>
      </c>
      <c r="N1447" s="141">
        <f>IF(offer_sale_type="транзит",IFERROR(ROUNDUP(VLOOKUP($B1447,calc_data,N$14+1,0),2),0),0)</f>
        <v/>
      </c>
      <c r="O1447" s="147">
        <f>IF(offer_sale_type="транзит",IFERROR(ROUND(VLOOKUP($B1447,calc_data,O$14+1,1),2),0),0)</f>
        <v/>
      </c>
      <c r="P1447" s="141">
        <f>IF(offer_sale_type="транзит",IFERROR(ROUND(SUM(I1447:J1447,M1447:O1447)/E1447,2),0),0)</f>
        <v/>
      </c>
      <c r="Q1447" s="141">
        <f>E1447*P1447</f>
        <v/>
      </c>
      <c r="R1447" s="141">
        <f>ROUND(Q1447*IF(AND(offer_incoterms="DDP",seller_region="RU"),IF((TODAY()+offer_turnaround_time)&gt;=helpsheet!$L$17,rate_vatRU_from_26,rate_vatRu_till_25),0),2)</f>
        <v/>
      </c>
      <c r="S1447" s="177">
        <f>Q1447+IF(AND(offer_incoterms="DDP",seller_region="RU"),R1447,0)</f>
        <v/>
      </c>
      <c r="T1447" s="45" t="n"/>
      <c r="V1447" s="57">
        <f>IF(Q1447&gt;0,"показать","скрыть")</f>
        <v/>
      </c>
    </row>
    <row r="1448" ht="15.75" customHeight="1">
      <c r="B1448" s="809" t="n">
        <v>1432</v>
      </c>
      <c r="C1448" s="182">
        <f>IF(offer_sale_type="транзит",IFERROR(VLOOKUP($B1448,calc_data,C$14+1,0),0),0)</f>
        <v/>
      </c>
      <c r="D1448" s="280">
        <f>IF(offer_sale_type="транзит",IFERROR(VLOOKUP($B1448,calc_data,D$14+1,0),0),0)</f>
        <v/>
      </c>
      <c r="E1448" s="182">
        <f>IF(offer_sale_type="транзит",IFERROR(VLOOKUP($B1448,calc_data,E$14+1,0),0),0)</f>
        <v/>
      </c>
      <c r="F1448" s="182">
        <f>IF(offer_sale_type="транзит",IFERROR(VLOOKUP($B1448,calc_data,F$14+1,0),0),0)</f>
        <v/>
      </c>
      <c r="G1448" s="141">
        <f>IF(offer_sale_type="транзит",IFERROR(VLOOKUP($B1448,calc_data,G$14+1,0),0),0)</f>
        <v/>
      </c>
      <c r="H1448" s="141">
        <f>E1448*G1448</f>
        <v/>
      </c>
      <c r="I1448" s="141">
        <f>IF(offer_sale_type="транзит",IFERROR(ROUND(VLOOKUP($B1448,calc_data,I$14+1,0),2),0),0)</f>
        <v/>
      </c>
      <c r="J1448" s="141">
        <f>ROUND(IF(offer_sale_type="транзит",IFERROR(VLOOKUP($B1448,calc_data,J$14+1,0),0),0),2)</f>
        <v/>
      </c>
      <c r="K1448" s="142">
        <f>IF(offer_sale_type="транзит",IFERROR(ROUNDUP(VLOOKUP($B1448,calc_data,K$14+1,0),2),0),0)</f>
        <v/>
      </c>
      <c r="L1448" s="184">
        <f>IF(offer_sale_type="транзит",IFERROR(ROUNDUP(VLOOKUP($B1448,calc_data,L$14+1,0),2),0),0)</f>
        <v/>
      </c>
      <c r="M1448" s="141">
        <f>IF(offer_sale_type="транзит",IFERROR(ROUNDUP(VLOOKUP($B1448,calc_data,M$14+1,0),2),0),0)</f>
        <v/>
      </c>
      <c r="N1448" s="141">
        <f>IF(offer_sale_type="транзит",IFERROR(ROUNDUP(VLOOKUP($B1448,calc_data,N$14+1,0),2),0),0)</f>
        <v/>
      </c>
      <c r="O1448" s="147">
        <f>IF(offer_sale_type="транзит",IFERROR(ROUND(VLOOKUP($B1448,calc_data,O$14+1,1),2),0),0)</f>
        <v/>
      </c>
      <c r="P1448" s="141">
        <f>IF(offer_sale_type="транзит",IFERROR(ROUND(SUM(I1448:J1448,M1448:O1448)/E1448,2),0),0)</f>
        <v/>
      </c>
      <c r="Q1448" s="141">
        <f>E1448*P1448</f>
        <v/>
      </c>
      <c r="R1448" s="141">
        <f>ROUND(Q1448*IF(AND(offer_incoterms="DDP",seller_region="RU"),IF((TODAY()+offer_turnaround_time)&gt;=helpsheet!$L$17,rate_vatRU_from_26,rate_vatRu_till_25),0),2)</f>
        <v/>
      </c>
      <c r="S1448" s="177">
        <f>Q1448+IF(AND(offer_incoterms="DDP",seller_region="RU"),R1448,0)</f>
        <v/>
      </c>
      <c r="T1448" s="45" t="n"/>
      <c r="V1448" s="57">
        <f>IF(Q1448&gt;0,"показать","скрыть")</f>
        <v/>
      </c>
    </row>
    <row r="1449" ht="15.75" customHeight="1">
      <c r="B1449" s="809" t="n">
        <v>1433</v>
      </c>
      <c r="C1449" s="182">
        <f>IF(offer_sale_type="транзит",IFERROR(VLOOKUP($B1449,calc_data,C$14+1,0),0),0)</f>
        <v/>
      </c>
      <c r="D1449" s="280">
        <f>IF(offer_sale_type="транзит",IFERROR(VLOOKUP($B1449,calc_data,D$14+1,0),0),0)</f>
        <v/>
      </c>
      <c r="E1449" s="182">
        <f>IF(offer_sale_type="транзит",IFERROR(VLOOKUP($B1449,calc_data,E$14+1,0),0),0)</f>
        <v/>
      </c>
      <c r="F1449" s="182">
        <f>IF(offer_sale_type="транзит",IFERROR(VLOOKUP($B1449,calc_data,F$14+1,0),0),0)</f>
        <v/>
      </c>
      <c r="G1449" s="141">
        <f>IF(offer_sale_type="транзит",IFERROR(VLOOKUP($B1449,calc_data,G$14+1,0),0),0)</f>
        <v/>
      </c>
      <c r="H1449" s="141">
        <f>E1449*G1449</f>
        <v/>
      </c>
      <c r="I1449" s="141">
        <f>IF(offer_sale_type="транзит",IFERROR(ROUND(VLOOKUP($B1449,calc_data,I$14+1,0),2),0),0)</f>
        <v/>
      </c>
      <c r="J1449" s="141">
        <f>ROUND(IF(offer_sale_type="транзит",IFERROR(VLOOKUP($B1449,calc_data,J$14+1,0),0),0),2)</f>
        <v/>
      </c>
      <c r="K1449" s="142">
        <f>IF(offer_sale_type="транзит",IFERROR(ROUNDUP(VLOOKUP($B1449,calc_data,K$14+1,0),2),0),0)</f>
        <v/>
      </c>
      <c r="L1449" s="184">
        <f>IF(offer_sale_type="транзит",IFERROR(ROUNDUP(VLOOKUP($B1449,calc_data,L$14+1,0),2),0),0)</f>
        <v/>
      </c>
      <c r="M1449" s="141">
        <f>IF(offer_sale_type="транзит",IFERROR(ROUNDUP(VLOOKUP($B1449,calc_data,M$14+1,0),2),0),0)</f>
        <v/>
      </c>
      <c r="N1449" s="141">
        <f>IF(offer_sale_type="транзит",IFERROR(ROUNDUP(VLOOKUP($B1449,calc_data,N$14+1,0),2),0),0)</f>
        <v/>
      </c>
      <c r="O1449" s="147">
        <f>IF(offer_sale_type="транзит",IFERROR(ROUND(VLOOKUP($B1449,calc_data,O$14+1,1),2),0),0)</f>
        <v/>
      </c>
      <c r="P1449" s="141">
        <f>IF(offer_sale_type="транзит",IFERROR(ROUND(SUM(I1449:J1449,M1449:O1449)/E1449,2),0),0)</f>
        <v/>
      </c>
      <c r="Q1449" s="141">
        <f>E1449*P1449</f>
        <v/>
      </c>
      <c r="R1449" s="141">
        <f>ROUND(Q1449*IF(AND(offer_incoterms="DDP",seller_region="RU"),IF((TODAY()+offer_turnaround_time)&gt;=helpsheet!$L$17,rate_vatRU_from_26,rate_vatRu_till_25),0),2)</f>
        <v/>
      </c>
      <c r="S1449" s="177">
        <f>Q1449+IF(AND(offer_incoterms="DDP",seller_region="RU"),R1449,0)</f>
        <v/>
      </c>
      <c r="T1449" s="45" t="n"/>
      <c r="V1449" s="57">
        <f>IF(Q1449&gt;0,"показать","скрыть")</f>
        <v/>
      </c>
    </row>
    <row r="1450" ht="15.75" customHeight="1">
      <c r="B1450" s="809" t="n">
        <v>1434</v>
      </c>
      <c r="C1450" s="182">
        <f>IF(offer_sale_type="транзит",IFERROR(VLOOKUP($B1450,calc_data,C$14+1,0),0),0)</f>
        <v/>
      </c>
      <c r="D1450" s="280">
        <f>IF(offer_sale_type="транзит",IFERROR(VLOOKUP($B1450,calc_data,D$14+1,0),0),0)</f>
        <v/>
      </c>
      <c r="E1450" s="182">
        <f>IF(offer_sale_type="транзит",IFERROR(VLOOKUP($B1450,calc_data,E$14+1,0),0),0)</f>
        <v/>
      </c>
      <c r="F1450" s="182">
        <f>IF(offer_sale_type="транзит",IFERROR(VLOOKUP($B1450,calc_data,F$14+1,0),0),0)</f>
        <v/>
      </c>
      <c r="G1450" s="141">
        <f>IF(offer_sale_type="транзит",IFERROR(VLOOKUP($B1450,calc_data,G$14+1,0),0),0)</f>
        <v/>
      </c>
      <c r="H1450" s="141">
        <f>E1450*G1450</f>
        <v/>
      </c>
      <c r="I1450" s="141">
        <f>IF(offer_sale_type="транзит",IFERROR(ROUND(VLOOKUP($B1450,calc_data,I$14+1,0),2),0),0)</f>
        <v/>
      </c>
      <c r="J1450" s="141">
        <f>ROUND(IF(offer_sale_type="транзит",IFERROR(VLOOKUP($B1450,calc_data,J$14+1,0),0),0),2)</f>
        <v/>
      </c>
      <c r="K1450" s="142">
        <f>IF(offer_sale_type="транзит",IFERROR(ROUNDUP(VLOOKUP($B1450,calc_data,K$14+1,0),2),0),0)</f>
        <v/>
      </c>
      <c r="L1450" s="184">
        <f>IF(offer_sale_type="транзит",IFERROR(ROUNDUP(VLOOKUP($B1450,calc_data,L$14+1,0),2),0),0)</f>
        <v/>
      </c>
      <c r="M1450" s="141">
        <f>IF(offer_sale_type="транзит",IFERROR(ROUNDUP(VLOOKUP($B1450,calc_data,M$14+1,0),2),0),0)</f>
        <v/>
      </c>
      <c r="N1450" s="141">
        <f>IF(offer_sale_type="транзит",IFERROR(ROUNDUP(VLOOKUP($B1450,calc_data,N$14+1,0),2),0),0)</f>
        <v/>
      </c>
      <c r="O1450" s="147">
        <f>IF(offer_sale_type="транзит",IFERROR(ROUND(VLOOKUP($B1450,calc_data,O$14+1,1),2),0),0)</f>
        <v/>
      </c>
      <c r="P1450" s="141">
        <f>IF(offer_sale_type="транзит",IFERROR(ROUND(SUM(I1450:J1450,M1450:O1450)/E1450,2),0),0)</f>
        <v/>
      </c>
      <c r="Q1450" s="141">
        <f>E1450*P1450</f>
        <v/>
      </c>
      <c r="R1450" s="141">
        <f>ROUND(Q1450*IF(AND(offer_incoterms="DDP",seller_region="RU"),IF((TODAY()+offer_turnaround_time)&gt;=helpsheet!$L$17,rate_vatRU_from_26,rate_vatRu_till_25),0),2)</f>
        <v/>
      </c>
      <c r="S1450" s="177">
        <f>Q1450+IF(AND(offer_incoterms="DDP",seller_region="RU"),R1450,0)</f>
        <v/>
      </c>
      <c r="T1450" s="45" t="n"/>
      <c r="V1450" s="57">
        <f>IF(Q1450&gt;0,"показать","скрыть")</f>
        <v/>
      </c>
    </row>
    <row r="1451" ht="15.75" customHeight="1">
      <c r="B1451" s="809" t="n">
        <v>1435</v>
      </c>
      <c r="C1451" s="182">
        <f>IF(offer_sale_type="транзит",IFERROR(VLOOKUP($B1451,calc_data,C$14+1,0),0),0)</f>
        <v/>
      </c>
      <c r="D1451" s="280">
        <f>IF(offer_sale_type="транзит",IFERROR(VLOOKUP($B1451,calc_data,D$14+1,0),0),0)</f>
        <v/>
      </c>
      <c r="E1451" s="182">
        <f>IF(offer_sale_type="транзит",IFERROR(VLOOKUP($B1451,calc_data,E$14+1,0),0),0)</f>
        <v/>
      </c>
      <c r="F1451" s="182">
        <f>IF(offer_sale_type="транзит",IFERROR(VLOOKUP($B1451,calc_data,F$14+1,0),0),0)</f>
        <v/>
      </c>
      <c r="G1451" s="141">
        <f>IF(offer_sale_type="транзит",IFERROR(VLOOKUP($B1451,calc_data,G$14+1,0),0),0)</f>
        <v/>
      </c>
      <c r="H1451" s="141">
        <f>E1451*G1451</f>
        <v/>
      </c>
      <c r="I1451" s="141">
        <f>IF(offer_sale_type="транзит",IFERROR(ROUND(VLOOKUP($B1451,calc_data,I$14+1,0),2),0),0)</f>
        <v/>
      </c>
      <c r="J1451" s="141">
        <f>ROUND(IF(offer_sale_type="транзит",IFERROR(VLOOKUP($B1451,calc_data,J$14+1,0),0),0),2)</f>
        <v/>
      </c>
      <c r="K1451" s="142">
        <f>IF(offer_sale_type="транзит",IFERROR(ROUNDUP(VLOOKUP($B1451,calc_data,K$14+1,0),2),0),0)</f>
        <v/>
      </c>
      <c r="L1451" s="184">
        <f>IF(offer_sale_type="транзит",IFERROR(ROUNDUP(VLOOKUP($B1451,calc_data,L$14+1,0),2),0),0)</f>
        <v/>
      </c>
      <c r="M1451" s="141">
        <f>IF(offer_sale_type="транзит",IFERROR(ROUNDUP(VLOOKUP($B1451,calc_data,M$14+1,0),2),0),0)</f>
        <v/>
      </c>
      <c r="N1451" s="141">
        <f>IF(offer_sale_type="транзит",IFERROR(ROUNDUP(VLOOKUP($B1451,calc_data,N$14+1,0),2),0),0)</f>
        <v/>
      </c>
      <c r="O1451" s="147">
        <f>IF(offer_sale_type="транзит",IFERROR(ROUND(VLOOKUP($B1451,calc_data,O$14+1,1),2),0),0)</f>
        <v/>
      </c>
      <c r="P1451" s="141">
        <f>IF(offer_sale_type="транзит",IFERROR(ROUND(SUM(I1451:J1451,M1451:O1451)/E1451,2),0),0)</f>
        <v/>
      </c>
      <c r="Q1451" s="141">
        <f>E1451*P1451</f>
        <v/>
      </c>
      <c r="R1451" s="141">
        <f>ROUND(Q1451*IF(AND(offer_incoterms="DDP",seller_region="RU"),IF((TODAY()+offer_turnaround_time)&gt;=helpsheet!$L$17,rate_vatRU_from_26,rate_vatRu_till_25),0),2)</f>
        <v/>
      </c>
      <c r="S1451" s="177">
        <f>Q1451+IF(AND(offer_incoterms="DDP",seller_region="RU"),R1451,0)</f>
        <v/>
      </c>
      <c r="T1451" s="45" t="n"/>
      <c r="V1451" s="57">
        <f>IF(Q1451&gt;0,"показать","скрыть")</f>
        <v/>
      </c>
    </row>
    <row r="1452" ht="15.75" customHeight="1">
      <c r="B1452" s="809" t="n">
        <v>1436</v>
      </c>
      <c r="C1452" s="182">
        <f>IF(offer_sale_type="транзит",IFERROR(VLOOKUP($B1452,calc_data,C$14+1,0),0),0)</f>
        <v/>
      </c>
      <c r="D1452" s="280">
        <f>IF(offer_sale_type="транзит",IFERROR(VLOOKUP($B1452,calc_data,D$14+1,0),0),0)</f>
        <v/>
      </c>
      <c r="E1452" s="182">
        <f>IF(offer_sale_type="транзит",IFERROR(VLOOKUP($B1452,calc_data,E$14+1,0),0),0)</f>
        <v/>
      </c>
      <c r="F1452" s="182">
        <f>IF(offer_sale_type="транзит",IFERROR(VLOOKUP($B1452,calc_data,F$14+1,0),0),0)</f>
        <v/>
      </c>
      <c r="G1452" s="141">
        <f>IF(offer_sale_type="транзит",IFERROR(VLOOKUP($B1452,calc_data,G$14+1,0),0),0)</f>
        <v/>
      </c>
      <c r="H1452" s="141">
        <f>E1452*G1452</f>
        <v/>
      </c>
      <c r="I1452" s="141">
        <f>IF(offer_sale_type="транзит",IFERROR(ROUND(VLOOKUP($B1452,calc_data,I$14+1,0),2),0),0)</f>
        <v/>
      </c>
      <c r="J1452" s="141">
        <f>ROUND(IF(offer_sale_type="транзит",IFERROR(VLOOKUP($B1452,calc_data,J$14+1,0),0),0),2)</f>
        <v/>
      </c>
      <c r="K1452" s="142">
        <f>IF(offer_sale_type="транзит",IFERROR(ROUNDUP(VLOOKUP($B1452,calc_data,K$14+1,0),2),0),0)</f>
        <v/>
      </c>
      <c r="L1452" s="184">
        <f>IF(offer_sale_type="транзит",IFERROR(ROUNDUP(VLOOKUP($B1452,calc_data,L$14+1,0),2),0),0)</f>
        <v/>
      </c>
      <c r="M1452" s="141">
        <f>IF(offer_sale_type="транзит",IFERROR(ROUNDUP(VLOOKUP($B1452,calc_data,M$14+1,0),2),0),0)</f>
        <v/>
      </c>
      <c r="N1452" s="141">
        <f>IF(offer_sale_type="транзит",IFERROR(ROUNDUP(VLOOKUP($B1452,calc_data,N$14+1,0),2),0),0)</f>
        <v/>
      </c>
      <c r="O1452" s="147">
        <f>IF(offer_sale_type="транзит",IFERROR(ROUND(VLOOKUP($B1452,calc_data,O$14+1,1),2),0),0)</f>
        <v/>
      </c>
      <c r="P1452" s="141">
        <f>IF(offer_sale_type="транзит",IFERROR(ROUND(SUM(I1452:J1452,M1452:O1452)/E1452,2),0),0)</f>
        <v/>
      </c>
      <c r="Q1452" s="141">
        <f>E1452*P1452</f>
        <v/>
      </c>
      <c r="R1452" s="141">
        <f>ROUND(Q1452*IF(AND(offer_incoterms="DDP",seller_region="RU"),IF((TODAY()+offer_turnaround_time)&gt;=helpsheet!$L$17,rate_vatRU_from_26,rate_vatRu_till_25),0),2)</f>
        <v/>
      </c>
      <c r="S1452" s="177">
        <f>Q1452+IF(AND(offer_incoterms="DDP",seller_region="RU"),R1452,0)</f>
        <v/>
      </c>
      <c r="T1452" s="45" t="n"/>
      <c r="V1452" s="57">
        <f>IF(Q1452&gt;0,"показать","скрыть")</f>
        <v/>
      </c>
    </row>
    <row r="1453" ht="15.75" customHeight="1">
      <c r="B1453" s="809" t="n">
        <v>1437</v>
      </c>
      <c r="C1453" s="182">
        <f>IF(offer_sale_type="транзит",IFERROR(VLOOKUP($B1453,calc_data,C$14+1,0),0),0)</f>
        <v/>
      </c>
      <c r="D1453" s="280">
        <f>IF(offer_sale_type="транзит",IFERROR(VLOOKUP($B1453,calc_data,D$14+1,0),0),0)</f>
        <v/>
      </c>
      <c r="E1453" s="182">
        <f>IF(offer_sale_type="транзит",IFERROR(VLOOKUP($B1453,calc_data,E$14+1,0),0),0)</f>
        <v/>
      </c>
      <c r="F1453" s="182">
        <f>IF(offer_sale_type="транзит",IFERROR(VLOOKUP($B1453,calc_data,F$14+1,0),0),0)</f>
        <v/>
      </c>
      <c r="G1453" s="141">
        <f>IF(offer_sale_type="транзит",IFERROR(VLOOKUP($B1453,calc_data,G$14+1,0),0),0)</f>
        <v/>
      </c>
      <c r="H1453" s="141">
        <f>E1453*G1453</f>
        <v/>
      </c>
      <c r="I1453" s="141">
        <f>IF(offer_sale_type="транзит",IFERROR(ROUND(VLOOKUP($B1453,calc_data,I$14+1,0),2),0),0)</f>
        <v/>
      </c>
      <c r="J1453" s="141">
        <f>ROUND(IF(offer_sale_type="транзит",IFERROR(VLOOKUP($B1453,calc_data,J$14+1,0),0),0),2)</f>
        <v/>
      </c>
      <c r="K1453" s="142">
        <f>IF(offer_sale_type="транзит",IFERROR(ROUNDUP(VLOOKUP($B1453,calc_data,K$14+1,0),2),0),0)</f>
        <v/>
      </c>
      <c r="L1453" s="184">
        <f>IF(offer_sale_type="транзит",IFERROR(ROUNDUP(VLOOKUP($B1453,calc_data,L$14+1,0),2),0),0)</f>
        <v/>
      </c>
      <c r="M1453" s="141">
        <f>IF(offer_sale_type="транзит",IFERROR(ROUNDUP(VLOOKUP($B1453,calc_data,M$14+1,0),2),0),0)</f>
        <v/>
      </c>
      <c r="N1453" s="141">
        <f>IF(offer_sale_type="транзит",IFERROR(ROUNDUP(VLOOKUP($B1453,calc_data,N$14+1,0),2),0),0)</f>
        <v/>
      </c>
      <c r="O1453" s="147">
        <f>IF(offer_sale_type="транзит",IFERROR(ROUND(VLOOKUP($B1453,calc_data,O$14+1,1),2),0),0)</f>
        <v/>
      </c>
      <c r="P1453" s="141">
        <f>IF(offer_sale_type="транзит",IFERROR(ROUND(SUM(I1453:J1453,M1453:O1453)/E1453,2),0),0)</f>
        <v/>
      </c>
      <c r="Q1453" s="141">
        <f>E1453*P1453</f>
        <v/>
      </c>
      <c r="R1453" s="141">
        <f>ROUND(Q1453*IF(AND(offer_incoterms="DDP",seller_region="RU"),IF((TODAY()+offer_turnaround_time)&gt;=helpsheet!$L$17,rate_vatRU_from_26,rate_vatRu_till_25),0),2)</f>
        <v/>
      </c>
      <c r="S1453" s="177">
        <f>Q1453+IF(AND(offer_incoterms="DDP",seller_region="RU"),R1453,0)</f>
        <v/>
      </c>
      <c r="T1453" s="45" t="n"/>
      <c r="V1453" s="57">
        <f>IF(Q1453&gt;0,"показать","скрыть")</f>
        <v/>
      </c>
    </row>
    <row r="1454" ht="15.75" customHeight="1">
      <c r="B1454" s="809" t="n">
        <v>1438</v>
      </c>
      <c r="C1454" s="182">
        <f>IF(offer_sale_type="транзит",IFERROR(VLOOKUP($B1454,calc_data,C$14+1,0),0),0)</f>
        <v/>
      </c>
      <c r="D1454" s="280">
        <f>IF(offer_sale_type="транзит",IFERROR(VLOOKUP($B1454,calc_data,D$14+1,0),0),0)</f>
        <v/>
      </c>
      <c r="E1454" s="182">
        <f>IF(offer_sale_type="транзит",IFERROR(VLOOKUP($B1454,calc_data,E$14+1,0),0),0)</f>
        <v/>
      </c>
      <c r="F1454" s="182">
        <f>IF(offer_sale_type="транзит",IFERROR(VLOOKUP($B1454,calc_data,F$14+1,0),0),0)</f>
        <v/>
      </c>
      <c r="G1454" s="141">
        <f>IF(offer_sale_type="транзит",IFERROR(VLOOKUP($B1454,calc_data,G$14+1,0),0),0)</f>
        <v/>
      </c>
      <c r="H1454" s="141">
        <f>E1454*G1454</f>
        <v/>
      </c>
      <c r="I1454" s="141">
        <f>IF(offer_sale_type="транзит",IFERROR(ROUND(VLOOKUP($B1454,calc_data,I$14+1,0),2),0),0)</f>
        <v/>
      </c>
      <c r="J1454" s="141">
        <f>ROUND(IF(offer_sale_type="транзит",IFERROR(VLOOKUP($B1454,calc_data,J$14+1,0),0),0),2)</f>
        <v/>
      </c>
      <c r="K1454" s="142">
        <f>IF(offer_sale_type="транзит",IFERROR(ROUNDUP(VLOOKUP($B1454,calc_data,K$14+1,0),2),0),0)</f>
        <v/>
      </c>
      <c r="L1454" s="184">
        <f>IF(offer_sale_type="транзит",IFERROR(ROUNDUP(VLOOKUP($B1454,calc_data,L$14+1,0),2),0),0)</f>
        <v/>
      </c>
      <c r="M1454" s="141">
        <f>IF(offer_sale_type="транзит",IFERROR(ROUNDUP(VLOOKUP($B1454,calc_data,M$14+1,0),2),0),0)</f>
        <v/>
      </c>
      <c r="N1454" s="141">
        <f>IF(offer_sale_type="транзит",IFERROR(ROUNDUP(VLOOKUP($B1454,calc_data,N$14+1,0),2),0),0)</f>
        <v/>
      </c>
      <c r="O1454" s="147">
        <f>IF(offer_sale_type="транзит",IFERROR(ROUND(VLOOKUP($B1454,calc_data,O$14+1,1),2),0),0)</f>
        <v/>
      </c>
      <c r="P1454" s="141">
        <f>IF(offer_sale_type="транзит",IFERROR(ROUND(SUM(I1454:J1454,M1454:O1454)/E1454,2),0),0)</f>
        <v/>
      </c>
      <c r="Q1454" s="141">
        <f>E1454*P1454</f>
        <v/>
      </c>
      <c r="R1454" s="141">
        <f>ROUND(Q1454*IF(AND(offer_incoterms="DDP",seller_region="RU"),IF((TODAY()+offer_turnaround_time)&gt;=helpsheet!$L$17,rate_vatRU_from_26,rate_vatRu_till_25),0),2)</f>
        <v/>
      </c>
      <c r="S1454" s="177">
        <f>Q1454+IF(AND(offer_incoterms="DDP",seller_region="RU"),R1454,0)</f>
        <v/>
      </c>
      <c r="T1454" s="45" t="n"/>
      <c r="V1454" s="57">
        <f>IF(Q1454&gt;0,"показать","скрыть")</f>
        <v/>
      </c>
    </row>
    <row r="1455" ht="15.75" customHeight="1">
      <c r="B1455" s="809" t="n">
        <v>1439</v>
      </c>
      <c r="C1455" s="182">
        <f>IF(offer_sale_type="транзит",IFERROR(VLOOKUP($B1455,calc_data,C$14+1,0),0),0)</f>
        <v/>
      </c>
      <c r="D1455" s="280">
        <f>IF(offer_sale_type="транзит",IFERROR(VLOOKUP($B1455,calc_data,D$14+1,0),0),0)</f>
        <v/>
      </c>
      <c r="E1455" s="182">
        <f>IF(offer_sale_type="транзит",IFERROR(VLOOKUP($B1455,calc_data,E$14+1,0),0),0)</f>
        <v/>
      </c>
      <c r="F1455" s="182">
        <f>IF(offer_sale_type="транзит",IFERROR(VLOOKUP($B1455,calc_data,F$14+1,0),0),0)</f>
        <v/>
      </c>
      <c r="G1455" s="141">
        <f>IF(offer_sale_type="транзит",IFERROR(VLOOKUP($B1455,calc_data,G$14+1,0),0),0)</f>
        <v/>
      </c>
      <c r="H1455" s="141">
        <f>E1455*G1455</f>
        <v/>
      </c>
      <c r="I1455" s="141">
        <f>IF(offer_sale_type="транзит",IFERROR(ROUND(VLOOKUP($B1455,calc_data,I$14+1,0),2),0),0)</f>
        <v/>
      </c>
      <c r="J1455" s="141">
        <f>ROUND(IF(offer_sale_type="транзит",IFERROR(VLOOKUP($B1455,calc_data,J$14+1,0),0),0),2)</f>
        <v/>
      </c>
      <c r="K1455" s="142">
        <f>IF(offer_sale_type="транзит",IFERROR(ROUNDUP(VLOOKUP($B1455,calc_data,K$14+1,0),2),0),0)</f>
        <v/>
      </c>
      <c r="L1455" s="184">
        <f>IF(offer_sale_type="транзит",IFERROR(ROUNDUP(VLOOKUP($B1455,calc_data,L$14+1,0),2),0),0)</f>
        <v/>
      </c>
      <c r="M1455" s="141">
        <f>IF(offer_sale_type="транзит",IFERROR(ROUNDUP(VLOOKUP($B1455,calc_data,M$14+1,0),2),0),0)</f>
        <v/>
      </c>
      <c r="N1455" s="141">
        <f>IF(offer_sale_type="транзит",IFERROR(ROUNDUP(VLOOKUP($B1455,calc_data,N$14+1,0),2),0),0)</f>
        <v/>
      </c>
      <c r="O1455" s="147">
        <f>IF(offer_sale_type="транзит",IFERROR(ROUND(VLOOKUP($B1455,calc_data,O$14+1,1),2),0),0)</f>
        <v/>
      </c>
      <c r="P1455" s="141">
        <f>IF(offer_sale_type="транзит",IFERROR(ROUND(SUM(I1455:J1455,M1455:O1455)/E1455,2),0),0)</f>
        <v/>
      </c>
      <c r="Q1455" s="141">
        <f>E1455*P1455</f>
        <v/>
      </c>
      <c r="R1455" s="141">
        <f>ROUND(Q1455*IF(AND(offer_incoterms="DDP",seller_region="RU"),IF((TODAY()+offer_turnaround_time)&gt;=helpsheet!$L$17,rate_vatRU_from_26,rate_vatRu_till_25),0),2)</f>
        <v/>
      </c>
      <c r="S1455" s="177">
        <f>Q1455+IF(AND(offer_incoterms="DDP",seller_region="RU"),R1455,0)</f>
        <v/>
      </c>
      <c r="T1455" s="45" t="n"/>
      <c r="V1455" s="57">
        <f>IF(Q1455&gt;0,"показать","скрыть")</f>
        <v/>
      </c>
    </row>
    <row r="1456" ht="15.75" customHeight="1">
      <c r="B1456" s="809" t="n">
        <v>1440</v>
      </c>
      <c r="C1456" s="182">
        <f>IF(offer_sale_type="транзит",IFERROR(VLOOKUP($B1456,calc_data,C$14+1,0),0),0)</f>
        <v/>
      </c>
      <c r="D1456" s="280">
        <f>IF(offer_sale_type="транзит",IFERROR(VLOOKUP($B1456,calc_data,D$14+1,0),0),0)</f>
        <v/>
      </c>
      <c r="E1456" s="182">
        <f>IF(offer_sale_type="транзит",IFERROR(VLOOKUP($B1456,calc_data,E$14+1,0),0),0)</f>
        <v/>
      </c>
      <c r="F1456" s="182">
        <f>IF(offer_sale_type="транзит",IFERROR(VLOOKUP($B1456,calc_data,F$14+1,0),0),0)</f>
        <v/>
      </c>
      <c r="G1456" s="141">
        <f>IF(offer_sale_type="транзит",IFERROR(VLOOKUP($B1456,calc_data,G$14+1,0),0),0)</f>
        <v/>
      </c>
      <c r="H1456" s="141">
        <f>E1456*G1456</f>
        <v/>
      </c>
      <c r="I1456" s="141">
        <f>IF(offer_sale_type="транзит",IFERROR(ROUND(VLOOKUP($B1456,calc_data,I$14+1,0),2),0),0)</f>
        <v/>
      </c>
      <c r="J1456" s="141">
        <f>ROUND(IF(offer_sale_type="транзит",IFERROR(VLOOKUP($B1456,calc_data,J$14+1,0),0),0),2)</f>
        <v/>
      </c>
      <c r="K1456" s="142">
        <f>IF(offer_sale_type="транзит",IFERROR(ROUNDUP(VLOOKUP($B1456,calc_data,K$14+1,0),2),0),0)</f>
        <v/>
      </c>
      <c r="L1456" s="184">
        <f>IF(offer_sale_type="транзит",IFERROR(ROUNDUP(VLOOKUP($B1456,calc_data,L$14+1,0),2),0),0)</f>
        <v/>
      </c>
      <c r="M1456" s="141">
        <f>IF(offer_sale_type="транзит",IFERROR(ROUNDUP(VLOOKUP($B1456,calc_data,M$14+1,0),2),0),0)</f>
        <v/>
      </c>
      <c r="N1456" s="141">
        <f>IF(offer_sale_type="транзит",IFERROR(ROUNDUP(VLOOKUP($B1456,calc_data,N$14+1,0),2),0),0)</f>
        <v/>
      </c>
      <c r="O1456" s="147">
        <f>IF(offer_sale_type="транзит",IFERROR(ROUND(VLOOKUP($B1456,calc_data,O$14+1,1),2),0),0)</f>
        <v/>
      </c>
      <c r="P1456" s="141">
        <f>IF(offer_sale_type="транзит",IFERROR(ROUND(SUM(I1456:J1456,M1456:O1456)/E1456,2),0),0)</f>
        <v/>
      </c>
      <c r="Q1456" s="141">
        <f>E1456*P1456</f>
        <v/>
      </c>
      <c r="R1456" s="141">
        <f>ROUND(Q1456*IF(AND(offer_incoterms="DDP",seller_region="RU"),IF((TODAY()+offer_turnaround_time)&gt;=helpsheet!$L$17,rate_vatRU_from_26,rate_vatRu_till_25),0),2)</f>
        <v/>
      </c>
      <c r="S1456" s="177">
        <f>Q1456+IF(AND(offer_incoterms="DDP",seller_region="RU"),R1456,0)</f>
        <v/>
      </c>
      <c r="T1456" s="45" t="n"/>
      <c r="V1456" s="57">
        <f>IF(Q1456&gt;0,"показать","скрыть")</f>
        <v/>
      </c>
    </row>
    <row r="1457" ht="15.75" customHeight="1">
      <c r="B1457" s="809" t="n">
        <v>1441</v>
      </c>
      <c r="C1457" s="182">
        <f>IF(offer_sale_type="транзит",IFERROR(VLOOKUP($B1457,calc_data,C$14+1,0),0),0)</f>
        <v/>
      </c>
      <c r="D1457" s="280">
        <f>IF(offer_sale_type="транзит",IFERROR(VLOOKUP($B1457,calc_data,D$14+1,0),0),0)</f>
        <v/>
      </c>
      <c r="E1457" s="182">
        <f>IF(offer_sale_type="транзит",IFERROR(VLOOKUP($B1457,calc_data,E$14+1,0),0),0)</f>
        <v/>
      </c>
      <c r="F1457" s="182">
        <f>IF(offer_sale_type="транзит",IFERROR(VLOOKUP($B1457,calc_data,F$14+1,0),0),0)</f>
        <v/>
      </c>
      <c r="G1457" s="141">
        <f>IF(offer_sale_type="транзит",IFERROR(VLOOKUP($B1457,calc_data,G$14+1,0),0),0)</f>
        <v/>
      </c>
      <c r="H1457" s="141">
        <f>E1457*G1457</f>
        <v/>
      </c>
      <c r="I1457" s="141">
        <f>IF(offer_sale_type="транзит",IFERROR(ROUND(VLOOKUP($B1457,calc_data,I$14+1,0),2),0),0)</f>
        <v/>
      </c>
      <c r="J1457" s="141">
        <f>ROUND(IF(offer_sale_type="транзит",IFERROR(VLOOKUP($B1457,calc_data,J$14+1,0),0),0),2)</f>
        <v/>
      </c>
      <c r="K1457" s="142">
        <f>IF(offer_sale_type="транзит",IFERROR(ROUNDUP(VLOOKUP($B1457,calc_data,K$14+1,0),2),0),0)</f>
        <v/>
      </c>
      <c r="L1457" s="184">
        <f>IF(offer_sale_type="транзит",IFERROR(ROUNDUP(VLOOKUP($B1457,calc_data,L$14+1,0),2),0),0)</f>
        <v/>
      </c>
      <c r="M1457" s="141">
        <f>IF(offer_sale_type="транзит",IFERROR(ROUNDUP(VLOOKUP($B1457,calc_data,M$14+1,0),2),0),0)</f>
        <v/>
      </c>
      <c r="N1457" s="141">
        <f>IF(offer_sale_type="транзит",IFERROR(ROUNDUP(VLOOKUP($B1457,calc_data,N$14+1,0),2),0),0)</f>
        <v/>
      </c>
      <c r="O1457" s="147">
        <f>IF(offer_sale_type="транзит",IFERROR(ROUND(VLOOKUP($B1457,calc_data,O$14+1,1),2),0),0)</f>
        <v/>
      </c>
      <c r="P1457" s="141">
        <f>IF(offer_sale_type="транзит",IFERROR(ROUND(SUM(I1457:J1457,M1457:O1457)/E1457,2),0),0)</f>
        <v/>
      </c>
      <c r="Q1457" s="141">
        <f>E1457*P1457</f>
        <v/>
      </c>
      <c r="R1457" s="141">
        <f>ROUND(Q1457*IF(AND(offer_incoterms="DDP",seller_region="RU"),IF((TODAY()+offer_turnaround_time)&gt;=helpsheet!$L$17,rate_vatRU_from_26,rate_vatRu_till_25),0),2)</f>
        <v/>
      </c>
      <c r="S1457" s="177">
        <f>Q1457+IF(AND(offer_incoterms="DDP",seller_region="RU"),R1457,0)</f>
        <v/>
      </c>
      <c r="T1457" s="45" t="n"/>
      <c r="V1457" s="57">
        <f>IF(Q1457&gt;0,"показать","скрыть")</f>
        <v/>
      </c>
    </row>
    <row r="1458" ht="15.75" customHeight="1">
      <c r="B1458" s="809" t="n">
        <v>1442</v>
      </c>
      <c r="C1458" s="182">
        <f>IF(offer_sale_type="транзит",IFERROR(VLOOKUP($B1458,calc_data,C$14+1,0),0),0)</f>
        <v/>
      </c>
      <c r="D1458" s="280">
        <f>IF(offer_sale_type="транзит",IFERROR(VLOOKUP($B1458,calc_data,D$14+1,0),0),0)</f>
        <v/>
      </c>
      <c r="E1458" s="182">
        <f>IF(offer_sale_type="транзит",IFERROR(VLOOKUP($B1458,calc_data,E$14+1,0),0),0)</f>
        <v/>
      </c>
      <c r="F1458" s="182">
        <f>IF(offer_sale_type="транзит",IFERROR(VLOOKUP($B1458,calc_data,F$14+1,0),0),0)</f>
        <v/>
      </c>
      <c r="G1458" s="141">
        <f>IF(offer_sale_type="транзит",IFERROR(VLOOKUP($B1458,calc_data,G$14+1,0),0),0)</f>
        <v/>
      </c>
      <c r="H1458" s="141">
        <f>E1458*G1458</f>
        <v/>
      </c>
      <c r="I1458" s="141">
        <f>IF(offer_sale_type="транзит",IFERROR(ROUND(VLOOKUP($B1458,calc_data,I$14+1,0),2),0),0)</f>
        <v/>
      </c>
      <c r="J1458" s="141">
        <f>ROUND(IF(offer_sale_type="транзит",IFERROR(VLOOKUP($B1458,calc_data,J$14+1,0),0),0),2)</f>
        <v/>
      </c>
      <c r="K1458" s="142">
        <f>IF(offer_sale_type="транзит",IFERROR(ROUNDUP(VLOOKUP($B1458,calc_data,K$14+1,0),2),0),0)</f>
        <v/>
      </c>
      <c r="L1458" s="184">
        <f>IF(offer_sale_type="транзит",IFERROR(ROUNDUP(VLOOKUP($B1458,calc_data,L$14+1,0),2),0),0)</f>
        <v/>
      </c>
      <c r="M1458" s="141">
        <f>IF(offer_sale_type="транзит",IFERROR(ROUNDUP(VLOOKUP($B1458,calc_data,M$14+1,0),2),0),0)</f>
        <v/>
      </c>
      <c r="N1458" s="141">
        <f>IF(offer_sale_type="транзит",IFERROR(ROUNDUP(VLOOKUP($B1458,calc_data,N$14+1,0),2),0),0)</f>
        <v/>
      </c>
      <c r="O1458" s="147">
        <f>IF(offer_sale_type="транзит",IFERROR(ROUND(VLOOKUP($B1458,calc_data,O$14+1,1),2),0),0)</f>
        <v/>
      </c>
      <c r="P1458" s="141">
        <f>IF(offer_sale_type="транзит",IFERROR(ROUND(SUM(I1458:J1458,M1458:O1458)/E1458,2),0),0)</f>
        <v/>
      </c>
      <c r="Q1458" s="141">
        <f>E1458*P1458</f>
        <v/>
      </c>
      <c r="R1458" s="141">
        <f>ROUND(Q1458*IF(AND(offer_incoterms="DDP",seller_region="RU"),IF((TODAY()+offer_turnaround_time)&gt;=helpsheet!$L$17,rate_vatRU_from_26,rate_vatRu_till_25),0),2)</f>
        <v/>
      </c>
      <c r="S1458" s="177">
        <f>Q1458+IF(AND(offer_incoterms="DDP",seller_region="RU"),R1458,0)</f>
        <v/>
      </c>
      <c r="T1458" s="45" t="n"/>
      <c r="V1458" s="57">
        <f>IF(Q1458&gt;0,"показать","скрыть")</f>
        <v/>
      </c>
    </row>
    <row r="1459" ht="15.75" customHeight="1">
      <c r="B1459" s="809" t="n">
        <v>1443</v>
      </c>
      <c r="C1459" s="182">
        <f>IF(offer_sale_type="транзит",IFERROR(VLOOKUP($B1459,calc_data,C$14+1,0),0),0)</f>
        <v/>
      </c>
      <c r="D1459" s="280">
        <f>IF(offer_sale_type="транзит",IFERROR(VLOOKUP($B1459,calc_data,D$14+1,0),0),0)</f>
        <v/>
      </c>
      <c r="E1459" s="182">
        <f>IF(offer_sale_type="транзит",IFERROR(VLOOKUP($B1459,calc_data,E$14+1,0),0),0)</f>
        <v/>
      </c>
      <c r="F1459" s="182">
        <f>IF(offer_sale_type="транзит",IFERROR(VLOOKUP($B1459,calc_data,F$14+1,0),0),0)</f>
        <v/>
      </c>
      <c r="G1459" s="141">
        <f>IF(offer_sale_type="транзит",IFERROR(VLOOKUP($B1459,calc_data,G$14+1,0),0),0)</f>
        <v/>
      </c>
      <c r="H1459" s="141">
        <f>E1459*G1459</f>
        <v/>
      </c>
      <c r="I1459" s="141">
        <f>IF(offer_sale_type="транзит",IFERROR(ROUND(VLOOKUP($B1459,calc_data,I$14+1,0),2),0),0)</f>
        <v/>
      </c>
      <c r="J1459" s="141">
        <f>ROUND(IF(offer_sale_type="транзит",IFERROR(VLOOKUP($B1459,calc_data,J$14+1,0),0),0),2)</f>
        <v/>
      </c>
      <c r="K1459" s="142">
        <f>IF(offer_sale_type="транзит",IFERROR(ROUNDUP(VLOOKUP($B1459,calc_data,K$14+1,0),2),0),0)</f>
        <v/>
      </c>
      <c r="L1459" s="184">
        <f>IF(offer_sale_type="транзит",IFERROR(ROUNDUP(VLOOKUP($B1459,calc_data,L$14+1,0),2),0),0)</f>
        <v/>
      </c>
      <c r="M1459" s="141">
        <f>IF(offer_sale_type="транзит",IFERROR(ROUNDUP(VLOOKUP($B1459,calc_data,M$14+1,0),2),0),0)</f>
        <v/>
      </c>
      <c r="N1459" s="141">
        <f>IF(offer_sale_type="транзит",IFERROR(ROUNDUP(VLOOKUP($B1459,calc_data,N$14+1,0),2),0),0)</f>
        <v/>
      </c>
      <c r="O1459" s="147">
        <f>IF(offer_sale_type="транзит",IFERROR(ROUND(VLOOKUP($B1459,calc_data,O$14+1,1),2),0),0)</f>
        <v/>
      </c>
      <c r="P1459" s="141">
        <f>IF(offer_sale_type="транзит",IFERROR(ROUND(SUM(I1459:J1459,M1459:O1459)/E1459,2),0),0)</f>
        <v/>
      </c>
      <c r="Q1459" s="141">
        <f>E1459*P1459</f>
        <v/>
      </c>
      <c r="R1459" s="141">
        <f>ROUND(Q1459*IF(AND(offer_incoterms="DDP",seller_region="RU"),IF((TODAY()+offer_turnaround_time)&gt;=helpsheet!$L$17,rate_vatRU_from_26,rate_vatRu_till_25),0),2)</f>
        <v/>
      </c>
      <c r="S1459" s="177">
        <f>Q1459+IF(AND(offer_incoterms="DDP",seller_region="RU"),R1459,0)</f>
        <v/>
      </c>
      <c r="T1459" s="45" t="n"/>
      <c r="V1459" s="57">
        <f>IF(Q1459&gt;0,"показать","скрыть")</f>
        <v/>
      </c>
    </row>
    <row r="1460" ht="15.75" customHeight="1">
      <c r="B1460" s="809" t="n">
        <v>1444</v>
      </c>
      <c r="C1460" s="182">
        <f>IF(offer_sale_type="транзит",IFERROR(VLOOKUP($B1460,calc_data,C$14+1,0),0),0)</f>
        <v/>
      </c>
      <c r="D1460" s="280">
        <f>IF(offer_sale_type="транзит",IFERROR(VLOOKUP($B1460,calc_data,D$14+1,0),0),0)</f>
        <v/>
      </c>
      <c r="E1460" s="182">
        <f>IF(offer_sale_type="транзит",IFERROR(VLOOKUP($B1460,calc_data,E$14+1,0),0),0)</f>
        <v/>
      </c>
      <c r="F1460" s="182">
        <f>IF(offer_sale_type="транзит",IFERROR(VLOOKUP($B1460,calc_data,F$14+1,0),0),0)</f>
        <v/>
      </c>
      <c r="G1460" s="141">
        <f>IF(offer_sale_type="транзит",IFERROR(VLOOKUP($B1460,calc_data,G$14+1,0),0),0)</f>
        <v/>
      </c>
      <c r="H1460" s="141">
        <f>E1460*G1460</f>
        <v/>
      </c>
      <c r="I1460" s="141">
        <f>IF(offer_sale_type="транзит",IFERROR(ROUND(VLOOKUP($B1460,calc_data,I$14+1,0),2),0),0)</f>
        <v/>
      </c>
      <c r="J1460" s="141">
        <f>ROUND(IF(offer_sale_type="транзит",IFERROR(VLOOKUP($B1460,calc_data,J$14+1,0),0),0),2)</f>
        <v/>
      </c>
      <c r="K1460" s="142">
        <f>IF(offer_sale_type="транзит",IFERROR(ROUNDUP(VLOOKUP($B1460,calc_data,K$14+1,0),2),0),0)</f>
        <v/>
      </c>
      <c r="L1460" s="184">
        <f>IF(offer_sale_type="транзит",IFERROR(ROUNDUP(VLOOKUP($B1460,calc_data,L$14+1,0),2),0),0)</f>
        <v/>
      </c>
      <c r="M1460" s="141">
        <f>IF(offer_sale_type="транзит",IFERROR(ROUNDUP(VLOOKUP($B1460,calc_data,M$14+1,0),2),0),0)</f>
        <v/>
      </c>
      <c r="N1460" s="141">
        <f>IF(offer_sale_type="транзит",IFERROR(ROUNDUP(VLOOKUP($B1460,calc_data,N$14+1,0),2),0),0)</f>
        <v/>
      </c>
      <c r="O1460" s="147">
        <f>IF(offer_sale_type="транзит",IFERROR(ROUND(VLOOKUP($B1460,calc_data,O$14+1,1),2),0),0)</f>
        <v/>
      </c>
      <c r="P1460" s="141">
        <f>IF(offer_sale_type="транзит",IFERROR(ROUND(SUM(I1460:J1460,M1460:O1460)/E1460,2),0),0)</f>
        <v/>
      </c>
      <c r="Q1460" s="141">
        <f>E1460*P1460</f>
        <v/>
      </c>
      <c r="R1460" s="141">
        <f>ROUND(Q1460*IF(AND(offer_incoterms="DDP",seller_region="RU"),IF((TODAY()+offer_turnaround_time)&gt;=helpsheet!$L$17,rate_vatRU_from_26,rate_vatRu_till_25),0),2)</f>
        <v/>
      </c>
      <c r="S1460" s="177">
        <f>Q1460+IF(AND(offer_incoterms="DDP",seller_region="RU"),R1460,0)</f>
        <v/>
      </c>
      <c r="T1460" s="45" t="n"/>
      <c r="V1460" s="57">
        <f>IF(Q1460&gt;0,"показать","скрыть")</f>
        <v/>
      </c>
    </row>
    <row r="1461" ht="15.75" customHeight="1">
      <c r="B1461" s="809" t="n">
        <v>1445</v>
      </c>
      <c r="C1461" s="182">
        <f>IF(offer_sale_type="транзит",IFERROR(VLOOKUP($B1461,calc_data,C$14+1,0),0),0)</f>
        <v/>
      </c>
      <c r="D1461" s="280">
        <f>IF(offer_sale_type="транзит",IFERROR(VLOOKUP($B1461,calc_data,D$14+1,0),0),0)</f>
        <v/>
      </c>
      <c r="E1461" s="182">
        <f>IF(offer_sale_type="транзит",IFERROR(VLOOKUP($B1461,calc_data,E$14+1,0),0),0)</f>
        <v/>
      </c>
      <c r="F1461" s="182">
        <f>IF(offer_sale_type="транзит",IFERROR(VLOOKUP($B1461,calc_data,F$14+1,0),0),0)</f>
        <v/>
      </c>
      <c r="G1461" s="141">
        <f>IF(offer_sale_type="транзит",IFERROR(VLOOKUP($B1461,calc_data,G$14+1,0),0),0)</f>
        <v/>
      </c>
      <c r="H1461" s="141">
        <f>E1461*G1461</f>
        <v/>
      </c>
      <c r="I1461" s="141">
        <f>IF(offer_sale_type="транзит",IFERROR(ROUND(VLOOKUP($B1461,calc_data,I$14+1,0),2),0),0)</f>
        <v/>
      </c>
      <c r="J1461" s="141">
        <f>ROUND(IF(offer_sale_type="транзит",IFERROR(VLOOKUP($B1461,calc_data,J$14+1,0),0),0),2)</f>
        <v/>
      </c>
      <c r="K1461" s="142">
        <f>IF(offer_sale_type="транзит",IFERROR(ROUNDUP(VLOOKUP($B1461,calc_data,K$14+1,0),2),0),0)</f>
        <v/>
      </c>
      <c r="L1461" s="184">
        <f>IF(offer_sale_type="транзит",IFERROR(ROUNDUP(VLOOKUP($B1461,calc_data,L$14+1,0),2),0),0)</f>
        <v/>
      </c>
      <c r="M1461" s="141">
        <f>IF(offer_sale_type="транзит",IFERROR(ROUNDUP(VLOOKUP($B1461,calc_data,M$14+1,0),2),0),0)</f>
        <v/>
      </c>
      <c r="N1461" s="141">
        <f>IF(offer_sale_type="транзит",IFERROR(ROUNDUP(VLOOKUP($B1461,calc_data,N$14+1,0),2),0),0)</f>
        <v/>
      </c>
      <c r="O1461" s="147">
        <f>IF(offer_sale_type="транзит",IFERROR(ROUND(VLOOKUP($B1461,calc_data,O$14+1,1),2),0),0)</f>
        <v/>
      </c>
      <c r="P1461" s="141">
        <f>IF(offer_sale_type="транзит",IFERROR(ROUND(SUM(I1461:J1461,M1461:O1461)/E1461,2),0),0)</f>
        <v/>
      </c>
      <c r="Q1461" s="141">
        <f>E1461*P1461</f>
        <v/>
      </c>
      <c r="R1461" s="141">
        <f>ROUND(Q1461*IF(AND(offer_incoterms="DDP",seller_region="RU"),IF((TODAY()+offer_turnaround_time)&gt;=helpsheet!$L$17,rate_vatRU_from_26,rate_vatRu_till_25),0),2)</f>
        <v/>
      </c>
      <c r="S1461" s="177">
        <f>Q1461+IF(AND(offer_incoterms="DDP",seller_region="RU"),R1461,0)</f>
        <v/>
      </c>
      <c r="T1461" s="45" t="n"/>
      <c r="V1461" s="57">
        <f>IF(Q1461&gt;0,"показать","скрыть")</f>
        <v/>
      </c>
    </row>
    <row r="1462" ht="15.75" customHeight="1">
      <c r="B1462" s="809" t="n">
        <v>1446</v>
      </c>
      <c r="C1462" s="182">
        <f>IF(offer_sale_type="транзит",IFERROR(VLOOKUP($B1462,calc_data,C$14+1,0),0),0)</f>
        <v/>
      </c>
      <c r="D1462" s="280">
        <f>IF(offer_sale_type="транзит",IFERROR(VLOOKUP($B1462,calc_data,D$14+1,0),0),0)</f>
        <v/>
      </c>
      <c r="E1462" s="182">
        <f>IF(offer_sale_type="транзит",IFERROR(VLOOKUP($B1462,calc_data,E$14+1,0),0),0)</f>
        <v/>
      </c>
      <c r="F1462" s="182">
        <f>IF(offer_sale_type="транзит",IFERROR(VLOOKUP($B1462,calc_data,F$14+1,0),0),0)</f>
        <v/>
      </c>
      <c r="G1462" s="141">
        <f>IF(offer_sale_type="транзит",IFERROR(VLOOKUP($B1462,calc_data,G$14+1,0),0),0)</f>
        <v/>
      </c>
      <c r="H1462" s="141">
        <f>E1462*G1462</f>
        <v/>
      </c>
      <c r="I1462" s="141">
        <f>IF(offer_sale_type="транзит",IFERROR(ROUND(VLOOKUP($B1462,calc_data,I$14+1,0),2),0),0)</f>
        <v/>
      </c>
      <c r="J1462" s="141">
        <f>ROUND(IF(offer_sale_type="транзит",IFERROR(VLOOKUP($B1462,calc_data,J$14+1,0),0),0),2)</f>
        <v/>
      </c>
      <c r="K1462" s="142">
        <f>IF(offer_sale_type="транзит",IFERROR(ROUNDUP(VLOOKUP($B1462,calc_data,K$14+1,0),2),0),0)</f>
        <v/>
      </c>
      <c r="L1462" s="184">
        <f>IF(offer_sale_type="транзит",IFERROR(ROUNDUP(VLOOKUP($B1462,calc_data,L$14+1,0),2),0),0)</f>
        <v/>
      </c>
      <c r="M1462" s="141">
        <f>IF(offer_sale_type="транзит",IFERROR(ROUNDUP(VLOOKUP($B1462,calc_data,M$14+1,0),2),0),0)</f>
        <v/>
      </c>
      <c r="N1462" s="141">
        <f>IF(offer_sale_type="транзит",IFERROR(ROUNDUP(VLOOKUP($B1462,calc_data,N$14+1,0),2),0),0)</f>
        <v/>
      </c>
      <c r="O1462" s="147">
        <f>IF(offer_sale_type="транзит",IFERROR(ROUND(VLOOKUP($B1462,calc_data,O$14+1,1),2),0),0)</f>
        <v/>
      </c>
      <c r="P1462" s="141">
        <f>IF(offer_sale_type="транзит",IFERROR(ROUND(SUM(I1462:J1462,M1462:O1462)/E1462,2),0),0)</f>
        <v/>
      </c>
      <c r="Q1462" s="141">
        <f>E1462*P1462</f>
        <v/>
      </c>
      <c r="R1462" s="141">
        <f>ROUND(Q1462*IF(AND(offer_incoterms="DDP",seller_region="RU"),IF((TODAY()+offer_turnaround_time)&gt;=helpsheet!$L$17,rate_vatRU_from_26,rate_vatRu_till_25),0),2)</f>
        <v/>
      </c>
      <c r="S1462" s="177">
        <f>Q1462+IF(AND(offer_incoterms="DDP",seller_region="RU"),R1462,0)</f>
        <v/>
      </c>
      <c r="T1462" s="45" t="n"/>
      <c r="V1462" s="57">
        <f>IF(Q1462&gt;0,"показать","скрыть")</f>
        <v/>
      </c>
    </row>
    <row r="1463" ht="15.75" customHeight="1">
      <c r="B1463" s="809" t="n">
        <v>1447</v>
      </c>
      <c r="C1463" s="182">
        <f>IF(offer_sale_type="транзит",IFERROR(VLOOKUP($B1463,calc_data,C$14+1,0),0),0)</f>
        <v/>
      </c>
      <c r="D1463" s="280">
        <f>IF(offer_sale_type="транзит",IFERROR(VLOOKUP($B1463,calc_data,D$14+1,0),0),0)</f>
        <v/>
      </c>
      <c r="E1463" s="182">
        <f>IF(offer_sale_type="транзит",IFERROR(VLOOKUP($B1463,calc_data,E$14+1,0),0),0)</f>
        <v/>
      </c>
      <c r="F1463" s="182">
        <f>IF(offer_sale_type="транзит",IFERROR(VLOOKUP($B1463,calc_data,F$14+1,0),0),0)</f>
        <v/>
      </c>
      <c r="G1463" s="141">
        <f>IF(offer_sale_type="транзит",IFERROR(VLOOKUP($B1463,calc_data,G$14+1,0),0),0)</f>
        <v/>
      </c>
      <c r="H1463" s="141">
        <f>E1463*G1463</f>
        <v/>
      </c>
      <c r="I1463" s="141">
        <f>IF(offer_sale_type="транзит",IFERROR(ROUND(VLOOKUP($B1463,calc_data,I$14+1,0),2),0),0)</f>
        <v/>
      </c>
      <c r="J1463" s="141">
        <f>ROUND(IF(offer_sale_type="транзит",IFERROR(VLOOKUP($B1463,calc_data,J$14+1,0),0),0),2)</f>
        <v/>
      </c>
      <c r="K1463" s="142">
        <f>IF(offer_sale_type="транзит",IFERROR(ROUNDUP(VLOOKUP($B1463,calc_data,K$14+1,0),2),0),0)</f>
        <v/>
      </c>
      <c r="L1463" s="184">
        <f>IF(offer_sale_type="транзит",IFERROR(ROUNDUP(VLOOKUP($B1463,calc_data,L$14+1,0),2),0),0)</f>
        <v/>
      </c>
      <c r="M1463" s="141">
        <f>IF(offer_sale_type="транзит",IFERROR(ROUNDUP(VLOOKUP($B1463,calc_data,M$14+1,0),2),0),0)</f>
        <v/>
      </c>
      <c r="N1463" s="141">
        <f>IF(offer_sale_type="транзит",IFERROR(ROUNDUP(VLOOKUP($B1463,calc_data,N$14+1,0),2),0),0)</f>
        <v/>
      </c>
      <c r="O1463" s="147">
        <f>IF(offer_sale_type="транзит",IFERROR(ROUND(VLOOKUP($B1463,calc_data,O$14+1,1),2),0),0)</f>
        <v/>
      </c>
      <c r="P1463" s="141">
        <f>IF(offer_sale_type="транзит",IFERROR(ROUND(SUM(I1463:J1463,M1463:O1463)/E1463,2),0),0)</f>
        <v/>
      </c>
      <c r="Q1463" s="141">
        <f>E1463*P1463</f>
        <v/>
      </c>
      <c r="R1463" s="141">
        <f>ROUND(Q1463*IF(AND(offer_incoterms="DDP",seller_region="RU"),IF((TODAY()+offer_turnaround_time)&gt;=helpsheet!$L$17,rate_vatRU_from_26,rate_vatRu_till_25),0),2)</f>
        <v/>
      </c>
      <c r="S1463" s="177">
        <f>Q1463+IF(AND(offer_incoterms="DDP",seller_region="RU"),R1463,0)</f>
        <v/>
      </c>
      <c r="T1463" s="45" t="n"/>
      <c r="V1463" s="57">
        <f>IF(Q1463&gt;0,"показать","скрыть")</f>
        <v/>
      </c>
    </row>
    <row r="1464" ht="15.75" customHeight="1">
      <c r="B1464" s="809" t="n">
        <v>1448</v>
      </c>
      <c r="C1464" s="182">
        <f>IF(offer_sale_type="транзит",IFERROR(VLOOKUP($B1464,calc_data,C$14+1,0),0),0)</f>
        <v/>
      </c>
      <c r="D1464" s="280">
        <f>IF(offer_sale_type="транзит",IFERROR(VLOOKUP($B1464,calc_data,D$14+1,0),0),0)</f>
        <v/>
      </c>
      <c r="E1464" s="182">
        <f>IF(offer_sale_type="транзит",IFERROR(VLOOKUP($B1464,calc_data,E$14+1,0),0),0)</f>
        <v/>
      </c>
      <c r="F1464" s="182">
        <f>IF(offer_sale_type="транзит",IFERROR(VLOOKUP($B1464,calc_data,F$14+1,0),0),0)</f>
        <v/>
      </c>
      <c r="G1464" s="141">
        <f>IF(offer_sale_type="транзит",IFERROR(VLOOKUP($B1464,calc_data,G$14+1,0),0),0)</f>
        <v/>
      </c>
      <c r="H1464" s="141">
        <f>E1464*G1464</f>
        <v/>
      </c>
      <c r="I1464" s="141">
        <f>IF(offer_sale_type="транзит",IFERROR(ROUND(VLOOKUP($B1464,calc_data,I$14+1,0),2),0),0)</f>
        <v/>
      </c>
      <c r="J1464" s="141">
        <f>ROUND(IF(offer_sale_type="транзит",IFERROR(VLOOKUP($B1464,calc_data,J$14+1,0),0),0),2)</f>
        <v/>
      </c>
      <c r="K1464" s="142">
        <f>IF(offer_sale_type="транзит",IFERROR(ROUNDUP(VLOOKUP($B1464,calc_data,K$14+1,0),2),0),0)</f>
        <v/>
      </c>
      <c r="L1464" s="184">
        <f>IF(offer_sale_type="транзит",IFERROR(ROUNDUP(VLOOKUP($B1464,calc_data,L$14+1,0),2),0),0)</f>
        <v/>
      </c>
      <c r="M1464" s="141">
        <f>IF(offer_sale_type="транзит",IFERROR(ROUNDUP(VLOOKUP($B1464,calc_data,M$14+1,0),2),0),0)</f>
        <v/>
      </c>
      <c r="N1464" s="141">
        <f>IF(offer_sale_type="транзит",IFERROR(ROUNDUP(VLOOKUP($B1464,calc_data,N$14+1,0),2),0),0)</f>
        <v/>
      </c>
      <c r="O1464" s="147">
        <f>IF(offer_sale_type="транзит",IFERROR(ROUND(VLOOKUP($B1464,calc_data,O$14+1,1),2),0),0)</f>
        <v/>
      </c>
      <c r="P1464" s="141">
        <f>IF(offer_sale_type="транзит",IFERROR(ROUND(SUM(I1464:J1464,M1464:O1464)/E1464,2),0),0)</f>
        <v/>
      </c>
      <c r="Q1464" s="141">
        <f>E1464*P1464</f>
        <v/>
      </c>
      <c r="R1464" s="141">
        <f>ROUND(Q1464*IF(AND(offer_incoterms="DDP",seller_region="RU"),IF((TODAY()+offer_turnaround_time)&gt;=helpsheet!$L$17,rate_vatRU_from_26,rate_vatRu_till_25),0),2)</f>
        <v/>
      </c>
      <c r="S1464" s="177">
        <f>Q1464+IF(AND(offer_incoterms="DDP",seller_region="RU"),R1464,0)</f>
        <v/>
      </c>
      <c r="T1464" s="45" t="n"/>
      <c r="V1464" s="57">
        <f>IF(Q1464&gt;0,"показать","скрыть")</f>
        <v/>
      </c>
    </row>
    <row r="1465" ht="15.75" customHeight="1">
      <c r="B1465" s="809" t="n">
        <v>1449</v>
      </c>
      <c r="C1465" s="182">
        <f>IF(offer_sale_type="транзит",IFERROR(VLOOKUP($B1465,calc_data,C$14+1,0),0),0)</f>
        <v/>
      </c>
      <c r="D1465" s="280">
        <f>IF(offer_sale_type="транзит",IFERROR(VLOOKUP($B1465,calc_data,D$14+1,0),0),0)</f>
        <v/>
      </c>
      <c r="E1465" s="182">
        <f>IF(offer_sale_type="транзит",IFERROR(VLOOKUP($B1465,calc_data,E$14+1,0),0),0)</f>
        <v/>
      </c>
      <c r="F1465" s="182">
        <f>IF(offer_sale_type="транзит",IFERROR(VLOOKUP($B1465,calc_data,F$14+1,0),0),0)</f>
        <v/>
      </c>
      <c r="G1465" s="141">
        <f>IF(offer_sale_type="транзит",IFERROR(VLOOKUP($B1465,calc_data,G$14+1,0),0),0)</f>
        <v/>
      </c>
      <c r="H1465" s="141">
        <f>E1465*G1465</f>
        <v/>
      </c>
      <c r="I1465" s="141">
        <f>IF(offer_sale_type="транзит",IFERROR(ROUND(VLOOKUP($B1465,calc_data,I$14+1,0),2),0),0)</f>
        <v/>
      </c>
      <c r="J1465" s="141">
        <f>ROUND(IF(offer_sale_type="транзит",IFERROR(VLOOKUP($B1465,calc_data,J$14+1,0),0),0),2)</f>
        <v/>
      </c>
      <c r="K1465" s="142">
        <f>IF(offer_sale_type="транзит",IFERROR(ROUNDUP(VLOOKUP($B1465,calc_data,K$14+1,0),2),0),0)</f>
        <v/>
      </c>
      <c r="L1465" s="184">
        <f>IF(offer_sale_type="транзит",IFERROR(ROUNDUP(VLOOKUP($B1465,calc_data,L$14+1,0),2),0),0)</f>
        <v/>
      </c>
      <c r="M1465" s="141">
        <f>IF(offer_sale_type="транзит",IFERROR(ROUNDUP(VLOOKUP($B1465,calc_data,M$14+1,0),2),0),0)</f>
        <v/>
      </c>
      <c r="N1465" s="141">
        <f>IF(offer_sale_type="транзит",IFERROR(ROUNDUP(VLOOKUP($B1465,calc_data,N$14+1,0),2),0),0)</f>
        <v/>
      </c>
      <c r="O1465" s="147">
        <f>IF(offer_sale_type="транзит",IFERROR(ROUND(VLOOKUP($B1465,calc_data,O$14+1,1),2),0),0)</f>
        <v/>
      </c>
      <c r="P1465" s="141">
        <f>IF(offer_sale_type="транзит",IFERROR(ROUND(SUM(I1465:J1465,M1465:O1465)/E1465,2),0),0)</f>
        <v/>
      </c>
      <c r="Q1465" s="141">
        <f>E1465*P1465</f>
        <v/>
      </c>
      <c r="R1465" s="141">
        <f>ROUND(Q1465*IF(AND(offer_incoterms="DDP",seller_region="RU"),IF((TODAY()+offer_turnaround_time)&gt;=helpsheet!$L$17,rate_vatRU_from_26,rate_vatRu_till_25),0),2)</f>
        <v/>
      </c>
      <c r="S1465" s="177">
        <f>Q1465+IF(AND(offer_incoterms="DDP",seller_region="RU"),R1465,0)</f>
        <v/>
      </c>
      <c r="T1465" s="45" t="n"/>
      <c r="V1465" s="57">
        <f>IF(Q1465&gt;0,"показать","скрыть")</f>
        <v/>
      </c>
    </row>
    <row r="1466" ht="15.75" customHeight="1">
      <c r="B1466" s="809" t="n">
        <v>1450</v>
      </c>
      <c r="C1466" s="182">
        <f>IF(offer_sale_type="транзит",IFERROR(VLOOKUP($B1466,calc_data,C$14+1,0),0),0)</f>
        <v/>
      </c>
      <c r="D1466" s="280">
        <f>IF(offer_sale_type="транзит",IFERROR(VLOOKUP($B1466,calc_data,D$14+1,0),0),0)</f>
        <v/>
      </c>
      <c r="E1466" s="182">
        <f>IF(offer_sale_type="транзит",IFERROR(VLOOKUP($B1466,calc_data,E$14+1,0),0),0)</f>
        <v/>
      </c>
      <c r="F1466" s="182">
        <f>IF(offer_sale_type="транзит",IFERROR(VLOOKUP($B1466,calc_data,F$14+1,0),0),0)</f>
        <v/>
      </c>
      <c r="G1466" s="141">
        <f>IF(offer_sale_type="транзит",IFERROR(VLOOKUP($B1466,calc_data,G$14+1,0),0),0)</f>
        <v/>
      </c>
      <c r="H1466" s="141">
        <f>E1466*G1466</f>
        <v/>
      </c>
      <c r="I1466" s="141">
        <f>IF(offer_sale_type="транзит",IFERROR(ROUND(VLOOKUP($B1466,calc_data,I$14+1,0),2),0),0)</f>
        <v/>
      </c>
      <c r="J1466" s="141">
        <f>ROUND(IF(offer_sale_type="транзит",IFERROR(VLOOKUP($B1466,calc_data,J$14+1,0),0),0),2)</f>
        <v/>
      </c>
      <c r="K1466" s="142">
        <f>IF(offer_sale_type="транзит",IFERROR(ROUNDUP(VLOOKUP($B1466,calc_data,K$14+1,0),2),0),0)</f>
        <v/>
      </c>
      <c r="L1466" s="184">
        <f>IF(offer_sale_type="транзит",IFERROR(ROUNDUP(VLOOKUP($B1466,calc_data,L$14+1,0),2),0),0)</f>
        <v/>
      </c>
      <c r="M1466" s="141">
        <f>IF(offer_sale_type="транзит",IFERROR(ROUNDUP(VLOOKUP($B1466,calc_data,M$14+1,0),2),0),0)</f>
        <v/>
      </c>
      <c r="N1466" s="141">
        <f>IF(offer_sale_type="транзит",IFERROR(ROUNDUP(VLOOKUP($B1466,calc_data,N$14+1,0),2),0),0)</f>
        <v/>
      </c>
      <c r="O1466" s="147">
        <f>IF(offer_sale_type="транзит",IFERROR(ROUND(VLOOKUP($B1466,calc_data,O$14+1,1),2),0),0)</f>
        <v/>
      </c>
      <c r="P1466" s="141">
        <f>IF(offer_sale_type="транзит",IFERROR(ROUND(SUM(I1466:J1466,M1466:O1466)/E1466,2),0),0)</f>
        <v/>
      </c>
      <c r="Q1466" s="141">
        <f>E1466*P1466</f>
        <v/>
      </c>
      <c r="R1466" s="141">
        <f>ROUND(Q1466*IF(AND(offer_incoterms="DDP",seller_region="RU"),IF((TODAY()+offer_turnaround_time)&gt;=helpsheet!$L$17,rate_vatRU_from_26,rate_vatRu_till_25),0),2)</f>
        <v/>
      </c>
      <c r="S1466" s="177">
        <f>Q1466+IF(AND(offer_incoterms="DDP",seller_region="RU"),R1466,0)</f>
        <v/>
      </c>
      <c r="T1466" s="45" t="n"/>
      <c r="V1466" s="57">
        <f>IF(Q1466&gt;0,"показать","скрыть")</f>
        <v/>
      </c>
    </row>
    <row r="1467" ht="15.75" customHeight="1">
      <c r="B1467" s="809" t="n">
        <v>1451</v>
      </c>
      <c r="C1467" s="182">
        <f>IF(offer_sale_type="транзит",IFERROR(VLOOKUP($B1467,calc_data,C$14+1,0),0),0)</f>
        <v/>
      </c>
      <c r="D1467" s="280">
        <f>IF(offer_sale_type="транзит",IFERROR(VLOOKUP($B1467,calc_data,D$14+1,0),0),0)</f>
        <v/>
      </c>
      <c r="E1467" s="182">
        <f>IF(offer_sale_type="транзит",IFERROR(VLOOKUP($B1467,calc_data,E$14+1,0),0),0)</f>
        <v/>
      </c>
      <c r="F1467" s="182">
        <f>IF(offer_sale_type="транзит",IFERROR(VLOOKUP($B1467,calc_data,F$14+1,0),0),0)</f>
        <v/>
      </c>
      <c r="G1467" s="141">
        <f>IF(offer_sale_type="транзит",IFERROR(VLOOKUP($B1467,calc_data,G$14+1,0),0),0)</f>
        <v/>
      </c>
      <c r="H1467" s="141">
        <f>E1467*G1467</f>
        <v/>
      </c>
      <c r="I1467" s="141">
        <f>IF(offer_sale_type="транзит",IFERROR(ROUND(VLOOKUP($B1467,calc_data,I$14+1,0),2),0),0)</f>
        <v/>
      </c>
      <c r="J1467" s="141">
        <f>ROUND(IF(offer_sale_type="транзит",IFERROR(VLOOKUP($B1467,calc_data,J$14+1,0),0),0),2)</f>
        <v/>
      </c>
      <c r="K1467" s="142">
        <f>IF(offer_sale_type="транзит",IFERROR(ROUNDUP(VLOOKUP($B1467,calc_data,K$14+1,0),2),0),0)</f>
        <v/>
      </c>
      <c r="L1467" s="184">
        <f>IF(offer_sale_type="транзит",IFERROR(ROUNDUP(VLOOKUP($B1467,calc_data,L$14+1,0),2),0),0)</f>
        <v/>
      </c>
      <c r="M1467" s="141">
        <f>IF(offer_sale_type="транзит",IFERROR(ROUNDUP(VLOOKUP($B1467,calc_data,M$14+1,0),2),0),0)</f>
        <v/>
      </c>
      <c r="N1467" s="141">
        <f>IF(offer_sale_type="транзит",IFERROR(ROUNDUP(VLOOKUP($B1467,calc_data,N$14+1,0),2),0),0)</f>
        <v/>
      </c>
      <c r="O1467" s="147">
        <f>IF(offer_sale_type="транзит",IFERROR(ROUND(VLOOKUP($B1467,calc_data,O$14+1,1),2),0),0)</f>
        <v/>
      </c>
      <c r="P1467" s="141">
        <f>IF(offer_sale_type="транзит",IFERROR(ROUND(SUM(I1467:J1467,M1467:O1467)/E1467,2),0),0)</f>
        <v/>
      </c>
      <c r="Q1467" s="141">
        <f>E1467*P1467</f>
        <v/>
      </c>
      <c r="R1467" s="141">
        <f>ROUND(Q1467*IF(AND(offer_incoterms="DDP",seller_region="RU"),IF((TODAY()+offer_turnaround_time)&gt;=helpsheet!$L$17,rate_vatRU_from_26,rate_vatRu_till_25),0),2)</f>
        <v/>
      </c>
      <c r="S1467" s="177">
        <f>Q1467+IF(AND(offer_incoterms="DDP",seller_region="RU"),R1467,0)</f>
        <v/>
      </c>
      <c r="T1467" s="45" t="n"/>
      <c r="V1467" s="57">
        <f>IF(Q1467&gt;0,"показать","скрыть")</f>
        <v/>
      </c>
    </row>
    <row r="1468" ht="15.75" customHeight="1">
      <c r="B1468" s="809" t="n">
        <v>1452</v>
      </c>
      <c r="C1468" s="182">
        <f>IF(offer_sale_type="транзит",IFERROR(VLOOKUP($B1468,calc_data,C$14+1,0),0),0)</f>
        <v/>
      </c>
      <c r="D1468" s="280">
        <f>IF(offer_sale_type="транзит",IFERROR(VLOOKUP($B1468,calc_data,D$14+1,0),0),0)</f>
        <v/>
      </c>
      <c r="E1468" s="182">
        <f>IF(offer_sale_type="транзит",IFERROR(VLOOKUP($B1468,calc_data,E$14+1,0),0),0)</f>
        <v/>
      </c>
      <c r="F1468" s="182">
        <f>IF(offer_sale_type="транзит",IFERROR(VLOOKUP($B1468,calc_data,F$14+1,0),0),0)</f>
        <v/>
      </c>
      <c r="G1468" s="141">
        <f>IF(offer_sale_type="транзит",IFERROR(VLOOKUP($B1468,calc_data,G$14+1,0),0),0)</f>
        <v/>
      </c>
      <c r="H1468" s="141">
        <f>E1468*G1468</f>
        <v/>
      </c>
      <c r="I1468" s="141">
        <f>IF(offer_sale_type="транзит",IFERROR(ROUND(VLOOKUP($B1468,calc_data,I$14+1,0),2),0),0)</f>
        <v/>
      </c>
      <c r="J1468" s="141">
        <f>ROUND(IF(offer_sale_type="транзит",IFERROR(VLOOKUP($B1468,calc_data,J$14+1,0),0),0),2)</f>
        <v/>
      </c>
      <c r="K1468" s="142">
        <f>IF(offer_sale_type="транзит",IFERROR(ROUNDUP(VLOOKUP($B1468,calc_data,K$14+1,0),2),0),0)</f>
        <v/>
      </c>
      <c r="L1468" s="184">
        <f>IF(offer_sale_type="транзит",IFERROR(ROUNDUP(VLOOKUP($B1468,calc_data,L$14+1,0),2),0),0)</f>
        <v/>
      </c>
      <c r="M1468" s="141">
        <f>IF(offer_sale_type="транзит",IFERROR(ROUNDUP(VLOOKUP($B1468,calc_data,M$14+1,0),2),0),0)</f>
        <v/>
      </c>
      <c r="N1468" s="141">
        <f>IF(offer_sale_type="транзит",IFERROR(ROUNDUP(VLOOKUP($B1468,calc_data,N$14+1,0),2),0),0)</f>
        <v/>
      </c>
      <c r="O1468" s="147">
        <f>IF(offer_sale_type="транзит",IFERROR(ROUND(VLOOKUP($B1468,calc_data,O$14+1,1),2),0),0)</f>
        <v/>
      </c>
      <c r="P1468" s="141">
        <f>IF(offer_sale_type="транзит",IFERROR(ROUND(SUM(I1468:J1468,M1468:O1468)/E1468,2),0),0)</f>
        <v/>
      </c>
      <c r="Q1468" s="141">
        <f>E1468*P1468</f>
        <v/>
      </c>
      <c r="R1468" s="141">
        <f>ROUND(Q1468*IF(AND(offer_incoterms="DDP",seller_region="RU"),IF((TODAY()+offer_turnaround_time)&gt;=helpsheet!$L$17,rate_vatRU_from_26,rate_vatRu_till_25),0),2)</f>
        <v/>
      </c>
      <c r="S1468" s="177">
        <f>Q1468+IF(AND(offer_incoterms="DDP",seller_region="RU"),R1468,0)</f>
        <v/>
      </c>
      <c r="T1468" s="45" t="n"/>
      <c r="V1468" s="57">
        <f>IF(Q1468&gt;0,"показать","скрыть")</f>
        <v/>
      </c>
    </row>
    <row r="1469" ht="15.75" customHeight="1">
      <c r="B1469" s="809" t="n">
        <v>1453</v>
      </c>
      <c r="C1469" s="182">
        <f>IF(offer_sale_type="транзит",IFERROR(VLOOKUP($B1469,calc_data,C$14+1,0),0),0)</f>
        <v/>
      </c>
      <c r="D1469" s="280">
        <f>IF(offer_sale_type="транзит",IFERROR(VLOOKUP($B1469,calc_data,D$14+1,0),0),0)</f>
        <v/>
      </c>
      <c r="E1469" s="182">
        <f>IF(offer_sale_type="транзит",IFERROR(VLOOKUP($B1469,calc_data,E$14+1,0),0),0)</f>
        <v/>
      </c>
      <c r="F1469" s="182">
        <f>IF(offer_sale_type="транзит",IFERROR(VLOOKUP($B1469,calc_data,F$14+1,0),0),0)</f>
        <v/>
      </c>
      <c r="G1469" s="141">
        <f>IF(offer_sale_type="транзит",IFERROR(VLOOKUP($B1469,calc_data,G$14+1,0),0),0)</f>
        <v/>
      </c>
      <c r="H1469" s="141">
        <f>E1469*G1469</f>
        <v/>
      </c>
      <c r="I1469" s="141">
        <f>IF(offer_sale_type="транзит",IFERROR(ROUND(VLOOKUP($B1469,calc_data,I$14+1,0),2),0),0)</f>
        <v/>
      </c>
      <c r="J1469" s="141">
        <f>ROUND(IF(offer_sale_type="транзит",IFERROR(VLOOKUP($B1469,calc_data,J$14+1,0),0),0),2)</f>
        <v/>
      </c>
      <c r="K1469" s="142">
        <f>IF(offer_sale_type="транзит",IFERROR(ROUNDUP(VLOOKUP($B1469,calc_data,K$14+1,0),2),0),0)</f>
        <v/>
      </c>
      <c r="L1469" s="184">
        <f>IF(offer_sale_type="транзит",IFERROR(ROUNDUP(VLOOKUP($B1469,calc_data,L$14+1,0),2),0),0)</f>
        <v/>
      </c>
      <c r="M1469" s="141">
        <f>IF(offer_sale_type="транзит",IFERROR(ROUNDUP(VLOOKUP($B1469,calc_data,M$14+1,0),2),0),0)</f>
        <v/>
      </c>
      <c r="N1469" s="141">
        <f>IF(offer_sale_type="транзит",IFERROR(ROUNDUP(VLOOKUP($B1469,calc_data,N$14+1,0),2),0),0)</f>
        <v/>
      </c>
      <c r="O1469" s="147">
        <f>IF(offer_sale_type="транзит",IFERROR(ROUND(VLOOKUP($B1469,calc_data,O$14+1,1),2),0),0)</f>
        <v/>
      </c>
      <c r="P1469" s="141">
        <f>IF(offer_sale_type="транзит",IFERROR(ROUND(SUM(I1469:J1469,M1469:O1469)/E1469,2),0),0)</f>
        <v/>
      </c>
      <c r="Q1469" s="141">
        <f>E1469*P1469</f>
        <v/>
      </c>
      <c r="R1469" s="141">
        <f>ROUND(Q1469*IF(AND(offer_incoterms="DDP",seller_region="RU"),IF((TODAY()+offer_turnaround_time)&gt;=helpsheet!$L$17,rate_vatRU_from_26,rate_vatRu_till_25),0),2)</f>
        <v/>
      </c>
      <c r="S1469" s="177">
        <f>Q1469+IF(AND(offer_incoterms="DDP",seller_region="RU"),R1469,0)</f>
        <v/>
      </c>
      <c r="T1469" s="45" t="n"/>
      <c r="V1469" s="57">
        <f>IF(Q1469&gt;0,"показать","скрыть")</f>
        <v/>
      </c>
    </row>
    <row r="1470" ht="15.75" customHeight="1">
      <c r="B1470" s="809" t="n">
        <v>1454</v>
      </c>
      <c r="C1470" s="182">
        <f>IF(offer_sale_type="транзит",IFERROR(VLOOKUP($B1470,calc_data,C$14+1,0),0),0)</f>
        <v/>
      </c>
      <c r="D1470" s="280">
        <f>IF(offer_sale_type="транзит",IFERROR(VLOOKUP($B1470,calc_data,D$14+1,0),0),0)</f>
        <v/>
      </c>
      <c r="E1470" s="182">
        <f>IF(offer_sale_type="транзит",IFERROR(VLOOKUP($B1470,calc_data,E$14+1,0),0),0)</f>
        <v/>
      </c>
      <c r="F1470" s="182">
        <f>IF(offer_sale_type="транзит",IFERROR(VLOOKUP($B1470,calc_data,F$14+1,0),0),0)</f>
        <v/>
      </c>
      <c r="G1470" s="141">
        <f>IF(offer_sale_type="транзит",IFERROR(VLOOKUP($B1470,calc_data,G$14+1,0),0),0)</f>
        <v/>
      </c>
      <c r="H1470" s="141">
        <f>E1470*G1470</f>
        <v/>
      </c>
      <c r="I1470" s="141">
        <f>IF(offer_sale_type="транзит",IFERROR(ROUND(VLOOKUP($B1470,calc_data,I$14+1,0),2),0),0)</f>
        <v/>
      </c>
      <c r="J1470" s="141">
        <f>ROUND(IF(offer_sale_type="транзит",IFERROR(VLOOKUP($B1470,calc_data,J$14+1,0),0),0),2)</f>
        <v/>
      </c>
      <c r="K1470" s="142">
        <f>IF(offer_sale_type="транзит",IFERROR(ROUNDUP(VLOOKUP($B1470,calc_data,K$14+1,0),2),0),0)</f>
        <v/>
      </c>
      <c r="L1470" s="184">
        <f>IF(offer_sale_type="транзит",IFERROR(ROUNDUP(VLOOKUP($B1470,calc_data,L$14+1,0),2),0),0)</f>
        <v/>
      </c>
      <c r="M1470" s="141">
        <f>IF(offer_sale_type="транзит",IFERROR(ROUNDUP(VLOOKUP($B1470,calc_data,M$14+1,0),2),0),0)</f>
        <v/>
      </c>
      <c r="N1470" s="141">
        <f>IF(offer_sale_type="транзит",IFERROR(ROUNDUP(VLOOKUP($B1470,calc_data,N$14+1,0),2),0),0)</f>
        <v/>
      </c>
      <c r="O1470" s="147">
        <f>IF(offer_sale_type="транзит",IFERROR(ROUND(VLOOKUP($B1470,calc_data,O$14+1,1),2),0),0)</f>
        <v/>
      </c>
      <c r="P1470" s="141">
        <f>IF(offer_sale_type="транзит",IFERROR(ROUND(SUM(I1470:J1470,M1470:O1470)/E1470,2),0),0)</f>
        <v/>
      </c>
      <c r="Q1470" s="141">
        <f>E1470*P1470</f>
        <v/>
      </c>
      <c r="R1470" s="141">
        <f>ROUND(Q1470*IF(AND(offer_incoterms="DDP",seller_region="RU"),IF((TODAY()+offer_turnaround_time)&gt;=helpsheet!$L$17,rate_vatRU_from_26,rate_vatRu_till_25),0),2)</f>
        <v/>
      </c>
      <c r="S1470" s="177">
        <f>Q1470+IF(AND(offer_incoterms="DDP",seller_region="RU"),R1470,0)</f>
        <v/>
      </c>
      <c r="T1470" s="45" t="n"/>
      <c r="V1470" s="57">
        <f>IF(Q1470&gt;0,"показать","скрыть")</f>
        <v/>
      </c>
    </row>
    <row r="1471" ht="15.75" customHeight="1">
      <c r="B1471" s="809" t="n">
        <v>1455</v>
      </c>
      <c r="C1471" s="182">
        <f>IF(offer_sale_type="транзит",IFERROR(VLOOKUP($B1471,calc_data,C$14+1,0),0),0)</f>
        <v/>
      </c>
      <c r="D1471" s="280">
        <f>IF(offer_sale_type="транзит",IFERROR(VLOOKUP($B1471,calc_data,D$14+1,0),0),0)</f>
        <v/>
      </c>
      <c r="E1471" s="182">
        <f>IF(offer_sale_type="транзит",IFERROR(VLOOKUP($B1471,calc_data,E$14+1,0),0),0)</f>
        <v/>
      </c>
      <c r="F1471" s="182">
        <f>IF(offer_sale_type="транзит",IFERROR(VLOOKUP($B1471,calc_data,F$14+1,0),0),0)</f>
        <v/>
      </c>
      <c r="G1471" s="141">
        <f>IF(offer_sale_type="транзит",IFERROR(VLOOKUP($B1471,calc_data,G$14+1,0),0),0)</f>
        <v/>
      </c>
      <c r="H1471" s="141">
        <f>E1471*G1471</f>
        <v/>
      </c>
      <c r="I1471" s="141">
        <f>IF(offer_sale_type="транзит",IFERROR(ROUND(VLOOKUP($B1471,calc_data,I$14+1,0),2),0),0)</f>
        <v/>
      </c>
      <c r="J1471" s="141">
        <f>ROUND(IF(offer_sale_type="транзит",IFERROR(VLOOKUP($B1471,calc_data,J$14+1,0),0),0),2)</f>
        <v/>
      </c>
      <c r="K1471" s="142">
        <f>IF(offer_sale_type="транзит",IFERROR(ROUNDUP(VLOOKUP($B1471,calc_data,K$14+1,0),2),0),0)</f>
        <v/>
      </c>
      <c r="L1471" s="184">
        <f>IF(offer_sale_type="транзит",IFERROR(ROUNDUP(VLOOKUP($B1471,calc_data,L$14+1,0),2),0),0)</f>
        <v/>
      </c>
      <c r="M1471" s="141">
        <f>IF(offer_sale_type="транзит",IFERROR(ROUNDUP(VLOOKUP($B1471,calc_data,M$14+1,0),2),0),0)</f>
        <v/>
      </c>
      <c r="N1471" s="141">
        <f>IF(offer_sale_type="транзит",IFERROR(ROUNDUP(VLOOKUP($B1471,calc_data,N$14+1,0),2),0),0)</f>
        <v/>
      </c>
      <c r="O1471" s="147">
        <f>IF(offer_sale_type="транзит",IFERROR(ROUND(VLOOKUP($B1471,calc_data,O$14+1,1),2),0),0)</f>
        <v/>
      </c>
      <c r="P1471" s="141">
        <f>IF(offer_sale_type="транзит",IFERROR(ROUND(SUM(I1471:J1471,M1471:O1471)/E1471,2),0),0)</f>
        <v/>
      </c>
      <c r="Q1471" s="141">
        <f>E1471*P1471</f>
        <v/>
      </c>
      <c r="R1471" s="141">
        <f>ROUND(Q1471*IF(AND(offer_incoterms="DDP",seller_region="RU"),IF((TODAY()+offer_turnaround_time)&gt;=helpsheet!$L$17,rate_vatRU_from_26,rate_vatRu_till_25),0),2)</f>
        <v/>
      </c>
      <c r="S1471" s="177">
        <f>Q1471+IF(AND(offer_incoterms="DDP",seller_region="RU"),R1471,0)</f>
        <v/>
      </c>
      <c r="T1471" s="45" t="n"/>
      <c r="V1471" s="57">
        <f>IF(Q1471&gt;0,"показать","скрыть")</f>
        <v/>
      </c>
    </row>
    <row r="1472" ht="15.75" customHeight="1">
      <c r="B1472" s="809" t="n">
        <v>1456</v>
      </c>
      <c r="C1472" s="182">
        <f>IF(offer_sale_type="транзит",IFERROR(VLOOKUP($B1472,calc_data,C$14+1,0),0),0)</f>
        <v/>
      </c>
      <c r="D1472" s="280">
        <f>IF(offer_sale_type="транзит",IFERROR(VLOOKUP($B1472,calc_data,D$14+1,0),0),0)</f>
        <v/>
      </c>
      <c r="E1472" s="182">
        <f>IF(offer_sale_type="транзит",IFERROR(VLOOKUP($B1472,calc_data,E$14+1,0),0),0)</f>
        <v/>
      </c>
      <c r="F1472" s="182">
        <f>IF(offer_sale_type="транзит",IFERROR(VLOOKUP($B1472,calc_data,F$14+1,0),0),0)</f>
        <v/>
      </c>
      <c r="G1472" s="141">
        <f>IF(offer_sale_type="транзит",IFERROR(VLOOKUP($B1472,calc_data,G$14+1,0),0),0)</f>
        <v/>
      </c>
      <c r="H1472" s="141">
        <f>E1472*G1472</f>
        <v/>
      </c>
      <c r="I1472" s="141">
        <f>IF(offer_sale_type="транзит",IFERROR(ROUND(VLOOKUP($B1472,calc_data,I$14+1,0),2),0),0)</f>
        <v/>
      </c>
      <c r="J1472" s="141">
        <f>ROUND(IF(offer_sale_type="транзит",IFERROR(VLOOKUP($B1472,calc_data,J$14+1,0),0),0),2)</f>
        <v/>
      </c>
      <c r="K1472" s="142">
        <f>IF(offer_sale_type="транзит",IFERROR(ROUNDUP(VLOOKUP($B1472,calc_data,K$14+1,0),2),0),0)</f>
        <v/>
      </c>
      <c r="L1472" s="184">
        <f>IF(offer_sale_type="транзит",IFERROR(ROUNDUP(VLOOKUP($B1472,calc_data,L$14+1,0),2),0),0)</f>
        <v/>
      </c>
      <c r="M1472" s="141">
        <f>IF(offer_sale_type="транзит",IFERROR(ROUNDUP(VLOOKUP($B1472,calc_data,M$14+1,0),2),0),0)</f>
        <v/>
      </c>
      <c r="N1472" s="141">
        <f>IF(offer_sale_type="транзит",IFERROR(ROUNDUP(VLOOKUP($B1472,calc_data,N$14+1,0),2),0),0)</f>
        <v/>
      </c>
      <c r="O1472" s="147">
        <f>IF(offer_sale_type="транзит",IFERROR(ROUND(VLOOKUP($B1472,calc_data,O$14+1,1),2),0),0)</f>
        <v/>
      </c>
      <c r="P1472" s="141">
        <f>IF(offer_sale_type="транзит",IFERROR(ROUND(SUM(I1472:J1472,M1472:O1472)/E1472,2),0),0)</f>
        <v/>
      </c>
      <c r="Q1472" s="141">
        <f>E1472*P1472</f>
        <v/>
      </c>
      <c r="R1472" s="141">
        <f>ROUND(Q1472*IF(AND(offer_incoterms="DDP",seller_region="RU"),IF((TODAY()+offer_turnaround_time)&gt;=helpsheet!$L$17,rate_vatRU_from_26,rate_vatRu_till_25),0),2)</f>
        <v/>
      </c>
      <c r="S1472" s="177">
        <f>Q1472+IF(AND(offer_incoterms="DDP",seller_region="RU"),R1472,0)</f>
        <v/>
      </c>
      <c r="T1472" s="45" t="n"/>
      <c r="V1472" s="57">
        <f>IF(Q1472&gt;0,"показать","скрыть")</f>
        <v/>
      </c>
    </row>
    <row r="1473" ht="15.75" customHeight="1">
      <c r="B1473" s="809" t="n">
        <v>1457</v>
      </c>
      <c r="C1473" s="182">
        <f>IF(offer_sale_type="транзит",IFERROR(VLOOKUP($B1473,calc_data,C$14+1,0),0),0)</f>
        <v/>
      </c>
      <c r="D1473" s="280">
        <f>IF(offer_sale_type="транзит",IFERROR(VLOOKUP($B1473,calc_data,D$14+1,0),0),0)</f>
        <v/>
      </c>
      <c r="E1473" s="182">
        <f>IF(offer_sale_type="транзит",IFERROR(VLOOKUP($B1473,calc_data,E$14+1,0),0),0)</f>
        <v/>
      </c>
      <c r="F1473" s="182">
        <f>IF(offer_sale_type="транзит",IFERROR(VLOOKUP($B1473,calc_data,F$14+1,0),0),0)</f>
        <v/>
      </c>
      <c r="G1473" s="141">
        <f>IF(offer_sale_type="транзит",IFERROR(VLOOKUP($B1473,calc_data,G$14+1,0),0),0)</f>
        <v/>
      </c>
      <c r="H1473" s="141">
        <f>E1473*G1473</f>
        <v/>
      </c>
      <c r="I1473" s="141">
        <f>IF(offer_sale_type="транзит",IFERROR(ROUND(VLOOKUP($B1473,calc_data,I$14+1,0),2),0),0)</f>
        <v/>
      </c>
      <c r="J1473" s="141">
        <f>ROUND(IF(offer_sale_type="транзит",IFERROR(VLOOKUP($B1473,calc_data,J$14+1,0),0),0),2)</f>
        <v/>
      </c>
      <c r="K1473" s="142">
        <f>IF(offer_sale_type="транзит",IFERROR(ROUNDUP(VLOOKUP($B1473,calc_data,K$14+1,0),2),0),0)</f>
        <v/>
      </c>
      <c r="L1473" s="184">
        <f>IF(offer_sale_type="транзит",IFERROR(ROUNDUP(VLOOKUP($B1473,calc_data,L$14+1,0),2),0),0)</f>
        <v/>
      </c>
      <c r="M1473" s="141">
        <f>IF(offer_sale_type="транзит",IFERROR(ROUNDUP(VLOOKUP($B1473,calc_data,M$14+1,0),2),0),0)</f>
        <v/>
      </c>
      <c r="N1473" s="141">
        <f>IF(offer_sale_type="транзит",IFERROR(ROUNDUP(VLOOKUP($B1473,calc_data,N$14+1,0),2),0),0)</f>
        <v/>
      </c>
      <c r="O1473" s="147">
        <f>IF(offer_sale_type="транзит",IFERROR(ROUND(VLOOKUP($B1473,calc_data,O$14+1,1),2),0),0)</f>
        <v/>
      </c>
      <c r="P1473" s="141">
        <f>IF(offer_sale_type="транзит",IFERROR(ROUND(SUM(I1473:J1473,M1473:O1473)/E1473,2),0),0)</f>
        <v/>
      </c>
      <c r="Q1473" s="141">
        <f>E1473*P1473</f>
        <v/>
      </c>
      <c r="R1473" s="141">
        <f>ROUND(Q1473*IF(AND(offer_incoterms="DDP",seller_region="RU"),IF((TODAY()+offer_turnaround_time)&gt;=helpsheet!$L$17,rate_vatRU_from_26,rate_vatRu_till_25),0),2)</f>
        <v/>
      </c>
      <c r="S1473" s="177">
        <f>Q1473+IF(AND(offer_incoterms="DDP",seller_region="RU"),R1473,0)</f>
        <v/>
      </c>
      <c r="T1473" s="45" t="n"/>
      <c r="V1473" s="57">
        <f>IF(Q1473&gt;0,"показать","скрыть")</f>
        <v/>
      </c>
    </row>
    <row r="1474" ht="15.75" customHeight="1">
      <c r="B1474" s="809" t="n">
        <v>1458</v>
      </c>
      <c r="C1474" s="182">
        <f>IF(offer_sale_type="транзит",IFERROR(VLOOKUP($B1474,calc_data,C$14+1,0),0),0)</f>
        <v/>
      </c>
      <c r="D1474" s="280">
        <f>IF(offer_sale_type="транзит",IFERROR(VLOOKUP($B1474,calc_data,D$14+1,0),0),0)</f>
        <v/>
      </c>
      <c r="E1474" s="182">
        <f>IF(offer_sale_type="транзит",IFERROR(VLOOKUP($B1474,calc_data,E$14+1,0),0),0)</f>
        <v/>
      </c>
      <c r="F1474" s="182">
        <f>IF(offer_sale_type="транзит",IFERROR(VLOOKUP($B1474,calc_data,F$14+1,0),0),0)</f>
        <v/>
      </c>
      <c r="G1474" s="141">
        <f>IF(offer_sale_type="транзит",IFERROR(VLOOKUP($B1474,calc_data,G$14+1,0),0),0)</f>
        <v/>
      </c>
      <c r="H1474" s="141">
        <f>E1474*G1474</f>
        <v/>
      </c>
      <c r="I1474" s="141">
        <f>IF(offer_sale_type="транзит",IFERROR(ROUND(VLOOKUP($B1474,calc_data,I$14+1,0),2),0),0)</f>
        <v/>
      </c>
      <c r="J1474" s="141">
        <f>ROUND(IF(offer_sale_type="транзит",IFERROR(VLOOKUP($B1474,calc_data,J$14+1,0),0),0),2)</f>
        <v/>
      </c>
      <c r="K1474" s="142">
        <f>IF(offer_sale_type="транзит",IFERROR(ROUNDUP(VLOOKUP($B1474,calc_data,K$14+1,0),2),0),0)</f>
        <v/>
      </c>
      <c r="L1474" s="184">
        <f>IF(offer_sale_type="транзит",IFERROR(ROUNDUP(VLOOKUP($B1474,calc_data,L$14+1,0),2),0),0)</f>
        <v/>
      </c>
      <c r="M1474" s="141">
        <f>IF(offer_sale_type="транзит",IFERROR(ROUNDUP(VLOOKUP($B1474,calc_data,M$14+1,0),2),0),0)</f>
        <v/>
      </c>
      <c r="N1474" s="141">
        <f>IF(offer_sale_type="транзит",IFERROR(ROUNDUP(VLOOKUP($B1474,calc_data,N$14+1,0),2),0),0)</f>
        <v/>
      </c>
      <c r="O1474" s="147">
        <f>IF(offer_sale_type="транзит",IFERROR(ROUND(VLOOKUP($B1474,calc_data,O$14+1,1),2),0),0)</f>
        <v/>
      </c>
      <c r="P1474" s="141">
        <f>IF(offer_sale_type="транзит",IFERROR(ROUND(SUM(I1474:J1474,M1474:O1474)/E1474,2),0),0)</f>
        <v/>
      </c>
      <c r="Q1474" s="141">
        <f>E1474*P1474</f>
        <v/>
      </c>
      <c r="R1474" s="141">
        <f>ROUND(Q1474*IF(AND(offer_incoterms="DDP",seller_region="RU"),IF((TODAY()+offer_turnaround_time)&gt;=helpsheet!$L$17,rate_vatRU_from_26,rate_vatRu_till_25),0),2)</f>
        <v/>
      </c>
      <c r="S1474" s="177">
        <f>Q1474+IF(AND(offer_incoterms="DDP",seller_region="RU"),R1474,0)</f>
        <v/>
      </c>
      <c r="T1474" s="45" t="n"/>
      <c r="V1474" s="57">
        <f>IF(Q1474&gt;0,"показать","скрыть")</f>
        <v/>
      </c>
    </row>
    <row r="1475" ht="15.75" customHeight="1">
      <c r="B1475" s="809" t="n">
        <v>1459</v>
      </c>
      <c r="C1475" s="182">
        <f>IF(offer_sale_type="транзит",IFERROR(VLOOKUP($B1475,calc_data,C$14+1,0),0),0)</f>
        <v/>
      </c>
      <c r="D1475" s="280">
        <f>IF(offer_sale_type="транзит",IFERROR(VLOOKUP($B1475,calc_data,D$14+1,0),0),0)</f>
        <v/>
      </c>
      <c r="E1475" s="182">
        <f>IF(offer_sale_type="транзит",IFERROR(VLOOKUP($B1475,calc_data,E$14+1,0),0),0)</f>
        <v/>
      </c>
      <c r="F1475" s="182">
        <f>IF(offer_sale_type="транзит",IFERROR(VLOOKUP($B1475,calc_data,F$14+1,0),0),0)</f>
        <v/>
      </c>
      <c r="G1475" s="141">
        <f>IF(offer_sale_type="транзит",IFERROR(VLOOKUP($B1475,calc_data,G$14+1,0),0),0)</f>
        <v/>
      </c>
      <c r="H1475" s="141">
        <f>E1475*G1475</f>
        <v/>
      </c>
      <c r="I1475" s="141">
        <f>IF(offer_sale_type="транзит",IFERROR(ROUND(VLOOKUP($B1475,calc_data,I$14+1,0),2),0),0)</f>
        <v/>
      </c>
      <c r="J1475" s="141">
        <f>ROUND(IF(offer_sale_type="транзит",IFERROR(VLOOKUP($B1475,calc_data,J$14+1,0),0),0),2)</f>
        <v/>
      </c>
      <c r="K1475" s="142">
        <f>IF(offer_sale_type="транзит",IFERROR(ROUNDUP(VLOOKUP($B1475,calc_data,K$14+1,0),2),0),0)</f>
        <v/>
      </c>
      <c r="L1475" s="184">
        <f>IF(offer_sale_type="транзит",IFERROR(ROUNDUP(VLOOKUP($B1475,calc_data,L$14+1,0),2),0),0)</f>
        <v/>
      </c>
      <c r="M1475" s="141">
        <f>IF(offer_sale_type="транзит",IFERROR(ROUNDUP(VLOOKUP($B1475,calc_data,M$14+1,0),2),0),0)</f>
        <v/>
      </c>
      <c r="N1475" s="141">
        <f>IF(offer_sale_type="транзит",IFERROR(ROUNDUP(VLOOKUP($B1475,calc_data,N$14+1,0),2),0),0)</f>
        <v/>
      </c>
      <c r="O1475" s="147">
        <f>IF(offer_sale_type="транзит",IFERROR(ROUND(VLOOKUP($B1475,calc_data,O$14+1,1),2),0),0)</f>
        <v/>
      </c>
      <c r="P1475" s="141">
        <f>IF(offer_sale_type="транзит",IFERROR(ROUND(SUM(I1475:J1475,M1475:O1475)/E1475,2),0),0)</f>
        <v/>
      </c>
      <c r="Q1475" s="141">
        <f>E1475*P1475</f>
        <v/>
      </c>
      <c r="R1475" s="141">
        <f>ROUND(Q1475*IF(AND(offer_incoterms="DDP",seller_region="RU"),IF((TODAY()+offer_turnaround_time)&gt;=helpsheet!$L$17,rate_vatRU_from_26,rate_vatRu_till_25),0),2)</f>
        <v/>
      </c>
      <c r="S1475" s="177">
        <f>Q1475+IF(AND(offer_incoterms="DDP",seller_region="RU"),R1475,0)</f>
        <v/>
      </c>
      <c r="T1475" s="45" t="n"/>
      <c r="V1475" s="57">
        <f>IF(Q1475&gt;0,"показать","скрыть")</f>
        <v/>
      </c>
    </row>
    <row r="1476" ht="15.75" customHeight="1">
      <c r="B1476" s="809" t="n">
        <v>1460</v>
      </c>
      <c r="C1476" s="182">
        <f>IF(offer_sale_type="транзит",IFERROR(VLOOKUP($B1476,calc_data,C$14+1,0),0),0)</f>
        <v/>
      </c>
      <c r="D1476" s="280">
        <f>IF(offer_sale_type="транзит",IFERROR(VLOOKUP($B1476,calc_data,D$14+1,0),0),0)</f>
        <v/>
      </c>
      <c r="E1476" s="182">
        <f>IF(offer_sale_type="транзит",IFERROR(VLOOKUP($B1476,calc_data,E$14+1,0),0),0)</f>
        <v/>
      </c>
      <c r="F1476" s="182">
        <f>IF(offer_sale_type="транзит",IFERROR(VLOOKUP($B1476,calc_data,F$14+1,0),0),0)</f>
        <v/>
      </c>
      <c r="G1476" s="141">
        <f>IF(offer_sale_type="транзит",IFERROR(VLOOKUP($B1476,calc_data,G$14+1,0),0),0)</f>
        <v/>
      </c>
      <c r="H1476" s="141">
        <f>E1476*G1476</f>
        <v/>
      </c>
      <c r="I1476" s="141">
        <f>IF(offer_sale_type="транзит",IFERROR(ROUND(VLOOKUP($B1476,calc_data,I$14+1,0),2),0),0)</f>
        <v/>
      </c>
      <c r="J1476" s="141">
        <f>ROUND(IF(offer_sale_type="транзит",IFERROR(VLOOKUP($B1476,calc_data,J$14+1,0),0),0),2)</f>
        <v/>
      </c>
      <c r="K1476" s="142">
        <f>IF(offer_sale_type="транзит",IFERROR(ROUNDUP(VLOOKUP($B1476,calc_data,K$14+1,0),2),0),0)</f>
        <v/>
      </c>
      <c r="L1476" s="184">
        <f>IF(offer_sale_type="транзит",IFERROR(ROUNDUP(VLOOKUP($B1476,calc_data,L$14+1,0),2),0),0)</f>
        <v/>
      </c>
      <c r="M1476" s="141">
        <f>IF(offer_sale_type="транзит",IFERROR(ROUNDUP(VLOOKUP($B1476,calc_data,M$14+1,0),2),0),0)</f>
        <v/>
      </c>
      <c r="N1476" s="141">
        <f>IF(offer_sale_type="транзит",IFERROR(ROUNDUP(VLOOKUP($B1476,calc_data,N$14+1,0),2),0),0)</f>
        <v/>
      </c>
      <c r="O1476" s="147">
        <f>IF(offer_sale_type="транзит",IFERROR(ROUND(VLOOKUP($B1476,calc_data,O$14+1,1),2),0),0)</f>
        <v/>
      </c>
      <c r="P1476" s="141">
        <f>IF(offer_sale_type="транзит",IFERROR(ROUND(SUM(I1476:J1476,M1476:O1476)/E1476,2),0),0)</f>
        <v/>
      </c>
      <c r="Q1476" s="141">
        <f>E1476*P1476</f>
        <v/>
      </c>
      <c r="R1476" s="141">
        <f>ROUND(Q1476*IF(AND(offer_incoterms="DDP",seller_region="RU"),IF((TODAY()+offer_turnaround_time)&gt;=helpsheet!$L$17,rate_vatRU_from_26,rate_vatRu_till_25),0),2)</f>
        <v/>
      </c>
      <c r="S1476" s="177">
        <f>Q1476+IF(AND(offer_incoterms="DDP",seller_region="RU"),R1476,0)</f>
        <v/>
      </c>
      <c r="T1476" s="45" t="n"/>
      <c r="V1476" s="57">
        <f>IF(Q1476&gt;0,"показать","скрыть")</f>
        <v/>
      </c>
    </row>
    <row r="1477" ht="15.75" customHeight="1">
      <c r="B1477" s="809" t="n">
        <v>1461</v>
      </c>
      <c r="C1477" s="182">
        <f>IF(offer_sale_type="транзит",IFERROR(VLOOKUP($B1477,calc_data,C$14+1,0),0),0)</f>
        <v/>
      </c>
      <c r="D1477" s="280">
        <f>IF(offer_sale_type="транзит",IFERROR(VLOOKUP($B1477,calc_data,D$14+1,0),0),0)</f>
        <v/>
      </c>
      <c r="E1477" s="182">
        <f>IF(offer_sale_type="транзит",IFERROR(VLOOKUP($B1477,calc_data,E$14+1,0),0),0)</f>
        <v/>
      </c>
      <c r="F1477" s="182">
        <f>IF(offer_sale_type="транзит",IFERROR(VLOOKUP($B1477,calc_data,F$14+1,0),0),0)</f>
        <v/>
      </c>
      <c r="G1477" s="141">
        <f>IF(offer_sale_type="транзит",IFERROR(VLOOKUP($B1477,calc_data,G$14+1,0),0),0)</f>
        <v/>
      </c>
      <c r="H1477" s="141">
        <f>E1477*G1477</f>
        <v/>
      </c>
      <c r="I1477" s="141">
        <f>IF(offer_sale_type="транзит",IFERROR(ROUND(VLOOKUP($B1477,calc_data,I$14+1,0),2),0),0)</f>
        <v/>
      </c>
      <c r="J1477" s="141">
        <f>ROUND(IF(offer_sale_type="транзит",IFERROR(VLOOKUP($B1477,calc_data,J$14+1,0),0),0),2)</f>
        <v/>
      </c>
      <c r="K1477" s="142">
        <f>IF(offer_sale_type="транзит",IFERROR(ROUNDUP(VLOOKUP($B1477,calc_data,K$14+1,0),2),0),0)</f>
        <v/>
      </c>
      <c r="L1477" s="184">
        <f>IF(offer_sale_type="транзит",IFERROR(ROUNDUP(VLOOKUP($B1477,calc_data,L$14+1,0),2),0),0)</f>
        <v/>
      </c>
      <c r="M1477" s="141">
        <f>IF(offer_sale_type="транзит",IFERROR(ROUNDUP(VLOOKUP($B1477,calc_data,M$14+1,0),2),0),0)</f>
        <v/>
      </c>
      <c r="N1477" s="141">
        <f>IF(offer_sale_type="транзит",IFERROR(ROUNDUP(VLOOKUP($B1477,calc_data,N$14+1,0),2),0),0)</f>
        <v/>
      </c>
      <c r="O1477" s="147">
        <f>IF(offer_sale_type="транзит",IFERROR(ROUND(VLOOKUP($B1477,calc_data,O$14+1,1),2),0),0)</f>
        <v/>
      </c>
      <c r="P1477" s="141">
        <f>IF(offer_sale_type="транзит",IFERROR(ROUND(SUM(I1477:J1477,M1477:O1477)/E1477,2),0),0)</f>
        <v/>
      </c>
      <c r="Q1477" s="141">
        <f>E1477*P1477</f>
        <v/>
      </c>
      <c r="R1477" s="141">
        <f>ROUND(Q1477*IF(AND(offer_incoterms="DDP",seller_region="RU"),IF((TODAY()+offer_turnaround_time)&gt;=helpsheet!$L$17,rate_vatRU_from_26,rate_vatRu_till_25),0),2)</f>
        <v/>
      </c>
      <c r="S1477" s="177">
        <f>Q1477+IF(AND(offer_incoterms="DDP",seller_region="RU"),R1477,0)</f>
        <v/>
      </c>
      <c r="T1477" s="45" t="n"/>
      <c r="V1477" s="57">
        <f>IF(Q1477&gt;0,"показать","скрыть")</f>
        <v/>
      </c>
    </row>
    <row r="1478" ht="15.75" customHeight="1">
      <c r="B1478" s="809" t="n">
        <v>1462</v>
      </c>
      <c r="C1478" s="182">
        <f>IF(offer_sale_type="транзит",IFERROR(VLOOKUP($B1478,calc_data,C$14+1,0),0),0)</f>
        <v/>
      </c>
      <c r="D1478" s="280">
        <f>IF(offer_sale_type="транзит",IFERROR(VLOOKUP($B1478,calc_data,D$14+1,0),0),0)</f>
        <v/>
      </c>
      <c r="E1478" s="182">
        <f>IF(offer_sale_type="транзит",IFERROR(VLOOKUP($B1478,calc_data,E$14+1,0),0),0)</f>
        <v/>
      </c>
      <c r="F1478" s="182">
        <f>IF(offer_sale_type="транзит",IFERROR(VLOOKUP($B1478,calc_data,F$14+1,0),0),0)</f>
        <v/>
      </c>
      <c r="G1478" s="141">
        <f>IF(offer_sale_type="транзит",IFERROR(VLOOKUP($B1478,calc_data,G$14+1,0),0),0)</f>
        <v/>
      </c>
      <c r="H1478" s="141">
        <f>E1478*G1478</f>
        <v/>
      </c>
      <c r="I1478" s="141">
        <f>IF(offer_sale_type="транзит",IFERROR(ROUND(VLOOKUP($B1478,calc_data,I$14+1,0),2),0),0)</f>
        <v/>
      </c>
      <c r="J1478" s="141">
        <f>ROUND(IF(offer_sale_type="транзит",IFERROR(VLOOKUP($B1478,calc_data,J$14+1,0),0),0),2)</f>
        <v/>
      </c>
      <c r="K1478" s="142">
        <f>IF(offer_sale_type="транзит",IFERROR(ROUNDUP(VLOOKUP($B1478,calc_data,K$14+1,0),2),0),0)</f>
        <v/>
      </c>
      <c r="L1478" s="184">
        <f>IF(offer_sale_type="транзит",IFERROR(ROUNDUP(VLOOKUP($B1478,calc_data,L$14+1,0),2),0),0)</f>
        <v/>
      </c>
      <c r="M1478" s="141">
        <f>IF(offer_sale_type="транзит",IFERROR(ROUNDUP(VLOOKUP($B1478,calc_data,M$14+1,0),2),0),0)</f>
        <v/>
      </c>
      <c r="N1478" s="141">
        <f>IF(offer_sale_type="транзит",IFERROR(ROUNDUP(VLOOKUP($B1478,calc_data,N$14+1,0),2),0),0)</f>
        <v/>
      </c>
      <c r="O1478" s="147">
        <f>IF(offer_sale_type="транзит",IFERROR(ROUND(VLOOKUP($B1478,calc_data,O$14+1,1),2),0),0)</f>
        <v/>
      </c>
      <c r="P1478" s="141">
        <f>IF(offer_sale_type="транзит",IFERROR(ROUND(SUM(I1478:J1478,M1478:O1478)/E1478,2),0),0)</f>
        <v/>
      </c>
      <c r="Q1478" s="141">
        <f>E1478*P1478</f>
        <v/>
      </c>
      <c r="R1478" s="141">
        <f>ROUND(Q1478*IF(AND(offer_incoterms="DDP",seller_region="RU"),IF((TODAY()+offer_turnaround_time)&gt;=helpsheet!$L$17,rate_vatRU_from_26,rate_vatRu_till_25),0),2)</f>
        <v/>
      </c>
      <c r="S1478" s="177">
        <f>Q1478+IF(AND(offer_incoterms="DDP",seller_region="RU"),R1478,0)</f>
        <v/>
      </c>
      <c r="T1478" s="45" t="n"/>
      <c r="V1478" s="57">
        <f>IF(Q1478&gt;0,"показать","скрыть")</f>
        <v/>
      </c>
    </row>
    <row r="1479" ht="15.75" customHeight="1">
      <c r="B1479" s="809" t="n">
        <v>1463</v>
      </c>
      <c r="C1479" s="182">
        <f>IF(offer_sale_type="транзит",IFERROR(VLOOKUP($B1479,calc_data,C$14+1,0),0),0)</f>
        <v/>
      </c>
      <c r="D1479" s="280">
        <f>IF(offer_sale_type="транзит",IFERROR(VLOOKUP($B1479,calc_data,D$14+1,0),0),0)</f>
        <v/>
      </c>
      <c r="E1479" s="182">
        <f>IF(offer_sale_type="транзит",IFERROR(VLOOKUP($B1479,calc_data,E$14+1,0),0),0)</f>
        <v/>
      </c>
      <c r="F1479" s="182">
        <f>IF(offer_sale_type="транзит",IFERROR(VLOOKUP($B1479,calc_data,F$14+1,0),0),0)</f>
        <v/>
      </c>
      <c r="G1479" s="141">
        <f>IF(offer_sale_type="транзит",IFERROR(VLOOKUP($B1479,calc_data,G$14+1,0),0),0)</f>
        <v/>
      </c>
      <c r="H1479" s="141">
        <f>E1479*G1479</f>
        <v/>
      </c>
      <c r="I1479" s="141">
        <f>IF(offer_sale_type="транзит",IFERROR(ROUND(VLOOKUP($B1479,calc_data,I$14+1,0),2),0),0)</f>
        <v/>
      </c>
      <c r="J1479" s="141">
        <f>ROUND(IF(offer_sale_type="транзит",IFERROR(VLOOKUP($B1479,calc_data,J$14+1,0),0),0),2)</f>
        <v/>
      </c>
      <c r="K1479" s="142">
        <f>IF(offer_sale_type="транзит",IFERROR(ROUNDUP(VLOOKUP($B1479,calc_data,K$14+1,0),2),0),0)</f>
        <v/>
      </c>
      <c r="L1479" s="184">
        <f>IF(offer_sale_type="транзит",IFERROR(ROUNDUP(VLOOKUP($B1479,calc_data,L$14+1,0),2),0),0)</f>
        <v/>
      </c>
      <c r="M1479" s="141">
        <f>IF(offer_sale_type="транзит",IFERROR(ROUNDUP(VLOOKUP($B1479,calc_data,M$14+1,0),2),0),0)</f>
        <v/>
      </c>
      <c r="N1479" s="141">
        <f>IF(offer_sale_type="транзит",IFERROR(ROUNDUP(VLOOKUP($B1479,calc_data,N$14+1,0),2),0),0)</f>
        <v/>
      </c>
      <c r="O1479" s="147">
        <f>IF(offer_sale_type="транзит",IFERROR(ROUND(VLOOKUP($B1479,calc_data,O$14+1,1),2),0),0)</f>
        <v/>
      </c>
      <c r="P1479" s="141">
        <f>IF(offer_sale_type="транзит",IFERROR(ROUND(SUM(I1479:J1479,M1479:O1479)/E1479,2),0),0)</f>
        <v/>
      </c>
      <c r="Q1479" s="141">
        <f>E1479*P1479</f>
        <v/>
      </c>
      <c r="R1479" s="141">
        <f>ROUND(Q1479*IF(AND(offer_incoterms="DDP",seller_region="RU"),IF((TODAY()+offer_turnaround_time)&gt;=helpsheet!$L$17,rate_vatRU_from_26,rate_vatRu_till_25),0),2)</f>
        <v/>
      </c>
      <c r="S1479" s="177">
        <f>Q1479+IF(AND(offer_incoterms="DDP",seller_region="RU"),R1479,0)</f>
        <v/>
      </c>
      <c r="T1479" s="45" t="n"/>
      <c r="V1479" s="57">
        <f>IF(Q1479&gt;0,"показать","скрыть")</f>
        <v/>
      </c>
    </row>
    <row r="1480" ht="15.75" customHeight="1">
      <c r="B1480" s="809" t="n">
        <v>1464</v>
      </c>
      <c r="C1480" s="182">
        <f>IF(offer_sale_type="транзит",IFERROR(VLOOKUP($B1480,calc_data,C$14+1,0),0),0)</f>
        <v/>
      </c>
      <c r="D1480" s="280">
        <f>IF(offer_sale_type="транзит",IFERROR(VLOOKUP($B1480,calc_data,D$14+1,0),0),0)</f>
        <v/>
      </c>
      <c r="E1480" s="182">
        <f>IF(offer_sale_type="транзит",IFERROR(VLOOKUP($B1480,calc_data,E$14+1,0),0),0)</f>
        <v/>
      </c>
      <c r="F1480" s="182">
        <f>IF(offer_sale_type="транзит",IFERROR(VLOOKUP($B1480,calc_data,F$14+1,0),0),0)</f>
        <v/>
      </c>
      <c r="G1480" s="141">
        <f>IF(offer_sale_type="транзит",IFERROR(VLOOKUP($B1480,calc_data,G$14+1,0),0),0)</f>
        <v/>
      </c>
      <c r="H1480" s="141">
        <f>E1480*G1480</f>
        <v/>
      </c>
      <c r="I1480" s="141">
        <f>IF(offer_sale_type="транзит",IFERROR(ROUND(VLOOKUP($B1480,calc_data,I$14+1,0),2),0),0)</f>
        <v/>
      </c>
      <c r="J1480" s="141">
        <f>ROUND(IF(offer_sale_type="транзит",IFERROR(VLOOKUP($B1480,calc_data,J$14+1,0),0),0),2)</f>
        <v/>
      </c>
      <c r="K1480" s="142">
        <f>IF(offer_sale_type="транзит",IFERROR(ROUNDUP(VLOOKUP($B1480,calc_data,K$14+1,0),2),0),0)</f>
        <v/>
      </c>
      <c r="L1480" s="184">
        <f>IF(offer_sale_type="транзит",IFERROR(ROUNDUP(VLOOKUP($B1480,calc_data,L$14+1,0),2),0),0)</f>
        <v/>
      </c>
      <c r="M1480" s="141">
        <f>IF(offer_sale_type="транзит",IFERROR(ROUNDUP(VLOOKUP($B1480,calc_data,M$14+1,0),2),0),0)</f>
        <v/>
      </c>
      <c r="N1480" s="141">
        <f>IF(offer_sale_type="транзит",IFERROR(ROUNDUP(VLOOKUP($B1480,calc_data,N$14+1,0),2),0),0)</f>
        <v/>
      </c>
      <c r="O1480" s="147">
        <f>IF(offer_sale_type="транзит",IFERROR(ROUND(VLOOKUP($B1480,calc_data,O$14+1,1),2),0),0)</f>
        <v/>
      </c>
      <c r="P1480" s="141">
        <f>IF(offer_sale_type="транзит",IFERROR(ROUND(SUM(I1480:J1480,M1480:O1480)/E1480,2),0),0)</f>
        <v/>
      </c>
      <c r="Q1480" s="141">
        <f>E1480*P1480</f>
        <v/>
      </c>
      <c r="R1480" s="141">
        <f>ROUND(Q1480*IF(AND(offer_incoterms="DDP",seller_region="RU"),IF((TODAY()+offer_turnaround_time)&gt;=helpsheet!$L$17,rate_vatRU_from_26,rate_vatRu_till_25),0),2)</f>
        <v/>
      </c>
      <c r="S1480" s="177">
        <f>Q1480+IF(AND(offer_incoterms="DDP",seller_region="RU"),R1480,0)</f>
        <v/>
      </c>
      <c r="T1480" s="45" t="n"/>
      <c r="V1480" s="57">
        <f>IF(Q1480&gt;0,"показать","скрыть")</f>
        <v/>
      </c>
    </row>
    <row r="1481" ht="15.75" customHeight="1">
      <c r="B1481" s="809" t="n">
        <v>1465</v>
      </c>
      <c r="C1481" s="182">
        <f>IF(offer_sale_type="транзит",IFERROR(VLOOKUP($B1481,calc_data,C$14+1,0),0),0)</f>
        <v/>
      </c>
      <c r="D1481" s="280">
        <f>IF(offer_sale_type="транзит",IFERROR(VLOOKUP($B1481,calc_data,D$14+1,0),0),0)</f>
        <v/>
      </c>
      <c r="E1481" s="182">
        <f>IF(offer_sale_type="транзит",IFERROR(VLOOKUP($B1481,calc_data,E$14+1,0),0),0)</f>
        <v/>
      </c>
      <c r="F1481" s="182">
        <f>IF(offer_sale_type="транзит",IFERROR(VLOOKUP($B1481,calc_data,F$14+1,0),0),0)</f>
        <v/>
      </c>
      <c r="G1481" s="141">
        <f>IF(offer_sale_type="транзит",IFERROR(VLOOKUP($B1481,calc_data,G$14+1,0),0),0)</f>
        <v/>
      </c>
      <c r="H1481" s="141">
        <f>E1481*G1481</f>
        <v/>
      </c>
      <c r="I1481" s="141">
        <f>IF(offer_sale_type="транзит",IFERROR(ROUND(VLOOKUP($B1481,calc_data,I$14+1,0),2),0),0)</f>
        <v/>
      </c>
      <c r="J1481" s="141">
        <f>ROUND(IF(offer_sale_type="транзит",IFERROR(VLOOKUP($B1481,calc_data,J$14+1,0),0),0),2)</f>
        <v/>
      </c>
      <c r="K1481" s="142">
        <f>IF(offer_sale_type="транзит",IFERROR(ROUNDUP(VLOOKUP($B1481,calc_data,K$14+1,0),2),0),0)</f>
        <v/>
      </c>
      <c r="L1481" s="184">
        <f>IF(offer_sale_type="транзит",IFERROR(ROUNDUP(VLOOKUP($B1481,calc_data,L$14+1,0),2),0),0)</f>
        <v/>
      </c>
      <c r="M1481" s="141">
        <f>IF(offer_sale_type="транзит",IFERROR(ROUNDUP(VLOOKUP($B1481,calc_data,M$14+1,0),2),0),0)</f>
        <v/>
      </c>
      <c r="N1481" s="141">
        <f>IF(offer_sale_type="транзит",IFERROR(ROUNDUP(VLOOKUP($B1481,calc_data,N$14+1,0),2),0),0)</f>
        <v/>
      </c>
      <c r="O1481" s="147">
        <f>IF(offer_sale_type="транзит",IFERROR(ROUND(VLOOKUP($B1481,calc_data,O$14+1,1),2),0),0)</f>
        <v/>
      </c>
      <c r="P1481" s="141">
        <f>IF(offer_sale_type="транзит",IFERROR(ROUND(SUM(I1481:J1481,M1481:O1481)/E1481,2),0),0)</f>
        <v/>
      </c>
      <c r="Q1481" s="141">
        <f>E1481*P1481</f>
        <v/>
      </c>
      <c r="R1481" s="141">
        <f>ROUND(Q1481*IF(AND(offer_incoterms="DDP",seller_region="RU"),IF((TODAY()+offer_turnaround_time)&gt;=helpsheet!$L$17,rate_vatRU_from_26,rate_vatRu_till_25),0),2)</f>
        <v/>
      </c>
      <c r="S1481" s="177">
        <f>Q1481+IF(AND(offer_incoterms="DDP",seller_region="RU"),R1481,0)</f>
        <v/>
      </c>
      <c r="T1481" s="45" t="n"/>
      <c r="V1481" s="57">
        <f>IF(Q1481&gt;0,"показать","скрыть")</f>
        <v/>
      </c>
    </row>
    <row r="1482" ht="15.75" customHeight="1">
      <c r="B1482" s="809" t="n">
        <v>1466</v>
      </c>
      <c r="C1482" s="182">
        <f>IF(offer_sale_type="транзит",IFERROR(VLOOKUP($B1482,calc_data,C$14+1,0),0),0)</f>
        <v/>
      </c>
      <c r="D1482" s="280">
        <f>IF(offer_sale_type="транзит",IFERROR(VLOOKUP($B1482,calc_data,D$14+1,0),0),0)</f>
        <v/>
      </c>
      <c r="E1482" s="182">
        <f>IF(offer_sale_type="транзит",IFERROR(VLOOKUP($B1482,calc_data,E$14+1,0),0),0)</f>
        <v/>
      </c>
      <c r="F1482" s="182">
        <f>IF(offer_sale_type="транзит",IFERROR(VLOOKUP($B1482,calc_data,F$14+1,0),0),0)</f>
        <v/>
      </c>
      <c r="G1482" s="141">
        <f>IF(offer_sale_type="транзит",IFERROR(VLOOKUP($B1482,calc_data,G$14+1,0),0),0)</f>
        <v/>
      </c>
      <c r="H1482" s="141">
        <f>E1482*G1482</f>
        <v/>
      </c>
      <c r="I1482" s="141">
        <f>IF(offer_sale_type="транзит",IFERROR(ROUND(VLOOKUP($B1482,calc_data,I$14+1,0),2),0),0)</f>
        <v/>
      </c>
      <c r="J1482" s="141">
        <f>ROUND(IF(offer_sale_type="транзит",IFERROR(VLOOKUP($B1482,calc_data,J$14+1,0),0),0),2)</f>
        <v/>
      </c>
      <c r="K1482" s="142">
        <f>IF(offer_sale_type="транзит",IFERROR(ROUNDUP(VLOOKUP($B1482,calc_data,K$14+1,0),2),0),0)</f>
        <v/>
      </c>
      <c r="L1482" s="184">
        <f>IF(offer_sale_type="транзит",IFERROR(ROUNDUP(VLOOKUP($B1482,calc_data,L$14+1,0),2),0),0)</f>
        <v/>
      </c>
      <c r="M1482" s="141">
        <f>IF(offer_sale_type="транзит",IFERROR(ROUNDUP(VLOOKUP($B1482,calc_data,M$14+1,0),2),0),0)</f>
        <v/>
      </c>
      <c r="N1482" s="141">
        <f>IF(offer_sale_type="транзит",IFERROR(ROUNDUP(VLOOKUP($B1482,calc_data,N$14+1,0),2),0),0)</f>
        <v/>
      </c>
      <c r="O1482" s="147">
        <f>IF(offer_sale_type="транзит",IFERROR(ROUND(VLOOKUP($B1482,calc_data,O$14+1,1),2),0),0)</f>
        <v/>
      </c>
      <c r="P1482" s="141">
        <f>IF(offer_sale_type="транзит",IFERROR(ROUND(SUM(I1482:J1482,M1482:O1482)/E1482,2),0),0)</f>
        <v/>
      </c>
      <c r="Q1482" s="141">
        <f>E1482*P1482</f>
        <v/>
      </c>
      <c r="R1482" s="141">
        <f>ROUND(Q1482*IF(AND(offer_incoterms="DDP",seller_region="RU"),IF((TODAY()+offer_turnaround_time)&gt;=helpsheet!$L$17,rate_vatRU_from_26,rate_vatRu_till_25),0),2)</f>
        <v/>
      </c>
      <c r="S1482" s="177">
        <f>Q1482+IF(AND(offer_incoterms="DDP",seller_region="RU"),R1482,0)</f>
        <v/>
      </c>
      <c r="T1482" s="45" t="n"/>
      <c r="V1482" s="57">
        <f>IF(Q1482&gt;0,"показать","скрыть")</f>
        <v/>
      </c>
    </row>
    <row r="1483" ht="15.75" customHeight="1">
      <c r="B1483" s="809" t="n">
        <v>1467</v>
      </c>
      <c r="C1483" s="182">
        <f>IF(offer_sale_type="транзит",IFERROR(VLOOKUP($B1483,calc_data,C$14+1,0),0),0)</f>
        <v/>
      </c>
      <c r="D1483" s="280">
        <f>IF(offer_sale_type="транзит",IFERROR(VLOOKUP($B1483,calc_data,D$14+1,0),0),0)</f>
        <v/>
      </c>
      <c r="E1483" s="182">
        <f>IF(offer_sale_type="транзит",IFERROR(VLOOKUP($B1483,calc_data,E$14+1,0),0),0)</f>
        <v/>
      </c>
      <c r="F1483" s="182">
        <f>IF(offer_sale_type="транзит",IFERROR(VLOOKUP($B1483,calc_data,F$14+1,0),0),0)</f>
        <v/>
      </c>
      <c r="G1483" s="141">
        <f>IF(offer_sale_type="транзит",IFERROR(VLOOKUP($B1483,calc_data,G$14+1,0),0),0)</f>
        <v/>
      </c>
      <c r="H1483" s="141">
        <f>E1483*G1483</f>
        <v/>
      </c>
      <c r="I1483" s="141">
        <f>IF(offer_sale_type="транзит",IFERROR(ROUND(VLOOKUP($B1483,calc_data,I$14+1,0),2),0),0)</f>
        <v/>
      </c>
      <c r="J1483" s="141">
        <f>ROUND(IF(offer_sale_type="транзит",IFERROR(VLOOKUP($B1483,calc_data,J$14+1,0),0),0),2)</f>
        <v/>
      </c>
      <c r="K1483" s="142">
        <f>IF(offer_sale_type="транзит",IFERROR(ROUNDUP(VLOOKUP($B1483,calc_data,K$14+1,0),2),0),0)</f>
        <v/>
      </c>
      <c r="L1483" s="184">
        <f>IF(offer_sale_type="транзит",IFERROR(ROUNDUP(VLOOKUP($B1483,calc_data,L$14+1,0),2),0),0)</f>
        <v/>
      </c>
      <c r="M1483" s="141">
        <f>IF(offer_sale_type="транзит",IFERROR(ROUNDUP(VLOOKUP($B1483,calc_data,M$14+1,0),2),0),0)</f>
        <v/>
      </c>
      <c r="N1483" s="141">
        <f>IF(offer_sale_type="транзит",IFERROR(ROUNDUP(VLOOKUP($B1483,calc_data,N$14+1,0),2),0),0)</f>
        <v/>
      </c>
      <c r="O1483" s="147">
        <f>IF(offer_sale_type="транзит",IFERROR(ROUND(VLOOKUP($B1483,calc_data,O$14+1,1),2),0),0)</f>
        <v/>
      </c>
      <c r="P1483" s="141">
        <f>IF(offer_sale_type="транзит",IFERROR(ROUND(SUM(I1483:J1483,M1483:O1483)/E1483,2),0),0)</f>
        <v/>
      </c>
      <c r="Q1483" s="141">
        <f>E1483*P1483</f>
        <v/>
      </c>
      <c r="R1483" s="141">
        <f>ROUND(Q1483*IF(AND(offer_incoterms="DDP",seller_region="RU"),IF((TODAY()+offer_turnaround_time)&gt;=helpsheet!$L$17,rate_vatRU_from_26,rate_vatRu_till_25),0),2)</f>
        <v/>
      </c>
      <c r="S1483" s="177">
        <f>Q1483+IF(AND(offer_incoterms="DDP",seller_region="RU"),R1483,0)</f>
        <v/>
      </c>
      <c r="T1483" s="45" t="n"/>
      <c r="V1483" s="57">
        <f>IF(Q1483&gt;0,"показать","скрыть")</f>
        <v/>
      </c>
    </row>
    <row r="1484" ht="15.75" customHeight="1">
      <c r="B1484" s="809" t="n">
        <v>1468</v>
      </c>
      <c r="C1484" s="182">
        <f>IF(offer_sale_type="транзит",IFERROR(VLOOKUP($B1484,calc_data,C$14+1,0),0),0)</f>
        <v/>
      </c>
      <c r="D1484" s="280">
        <f>IF(offer_sale_type="транзит",IFERROR(VLOOKUP($B1484,calc_data,D$14+1,0),0),0)</f>
        <v/>
      </c>
      <c r="E1484" s="182">
        <f>IF(offer_sale_type="транзит",IFERROR(VLOOKUP($B1484,calc_data,E$14+1,0),0),0)</f>
        <v/>
      </c>
      <c r="F1484" s="182">
        <f>IF(offer_sale_type="транзит",IFERROR(VLOOKUP($B1484,calc_data,F$14+1,0),0),0)</f>
        <v/>
      </c>
      <c r="G1484" s="141">
        <f>IF(offer_sale_type="транзит",IFERROR(VLOOKUP($B1484,calc_data,G$14+1,0),0),0)</f>
        <v/>
      </c>
      <c r="H1484" s="141">
        <f>E1484*G1484</f>
        <v/>
      </c>
      <c r="I1484" s="141">
        <f>IF(offer_sale_type="транзит",IFERROR(ROUND(VLOOKUP($B1484,calc_data,I$14+1,0),2),0),0)</f>
        <v/>
      </c>
      <c r="J1484" s="141">
        <f>ROUND(IF(offer_sale_type="транзит",IFERROR(VLOOKUP($B1484,calc_data,J$14+1,0),0),0),2)</f>
        <v/>
      </c>
      <c r="K1484" s="142">
        <f>IF(offer_sale_type="транзит",IFERROR(ROUNDUP(VLOOKUP($B1484,calc_data,K$14+1,0),2),0),0)</f>
        <v/>
      </c>
      <c r="L1484" s="184">
        <f>IF(offer_sale_type="транзит",IFERROR(ROUNDUP(VLOOKUP($B1484,calc_data,L$14+1,0),2),0),0)</f>
        <v/>
      </c>
      <c r="M1484" s="141">
        <f>IF(offer_sale_type="транзит",IFERROR(ROUNDUP(VLOOKUP($B1484,calc_data,M$14+1,0),2),0),0)</f>
        <v/>
      </c>
      <c r="N1484" s="141">
        <f>IF(offer_sale_type="транзит",IFERROR(ROUNDUP(VLOOKUP($B1484,calc_data,N$14+1,0),2),0),0)</f>
        <v/>
      </c>
      <c r="O1484" s="147">
        <f>IF(offer_sale_type="транзит",IFERROR(ROUND(VLOOKUP($B1484,calc_data,O$14+1,1),2),0),0)</f>
        <v/>
      </c>
      <c r="P1484" s="141">
        <f>IF(offer_sale_type="транзит",IFERROR(ROUND(SUM(I1484:J1484,M1484:O1484)/E1484,2),0),0)</f>
        <v/>
      </c>
      <c r="Q1484" s="141">
        <f>E1484*P1484</f>
        <v/>
      </c>
      <c r="R1484" s="141">
        <f>ROUND(Q1484*IF(AND(offer_incoterms="DDP",seller_region="RU"),IF((TODAY()+offer_turnaround_time)&gt;=helpsheet!$L$17,rate_vatRU_from_26,rate_vatRu_till_25),0),2)</f>
        <v/>
      </c>
      <c r="S1484" s="177">
        <f>Q1484+IF(AND(offer_incoterms="DDP",seller_region="RU"),R1484,0)</f>
        <v/>
      </c>
      <c r="T1484" s="45" t="n"/>
      <c r="V1484" s="57">
        <f>IF(Q1484&gt;0,"показать","скрыть")</f>
        <v/>
      </c>
    </row>
    <row r="1485" ht="15.75" customHeight="1">
      <c r="B1485" s="809" t="n">
        <v>1469</v>
      </c>
      <c r="C1485" s="182">
        <f>IF(offer_sale_type="транзит",IFERROR(VLOOKUP($B1485,calc_data,C$14+1,0),0),0)</f>
        <v/>
      </c>
      <c r="D1485" s="280">
        <f>IF(offer_sale_type="транзит",IFERROR(VLOOKUP($B1485,calc_data,D$14+1,0),0),0)</f>
        <v/>
      </c>
      <c r="E1485" s="182">
        <f>IF(offer_sale_type="транзит",IFERROR(VLOOKUP($B1485,calc_data,E$14+1,0),0),0)</f>
        <v/>
      </c>
      <c r="F1485" s="182">
        <f>IF(offer_sale_type="транзит",IFERROR(VLOOKUP($B1485,calc_data,F$14+1,0),0),0)</f>
        <v/>
      </c>
      <c r="G1485" s="141">
        <f>IF(offer_sale_type="транзит",IFERROR(VLOOKUP($B1485,calc_data,G$14+1,0),0),0)</f>
        <v/>
      </c>
      <c r="H1485" s="141">
        <f>E1485*G1485</f>
        <v/>
      </c>
      <c r="I1485" s="141">
        <f>IF(offer_sale_type="транзит",IFERROR(ROUND(VLOOKUP($B1485,calc_data,I$14+1,0),2),0),0)</f>
        <v/>
      </c>
      <c r="J1485" s="141">
        <f>ROUND(IF(offer_sale_type="транзит",IFERROR(VLOOKUP($B1485,calc_data,J$14+1,0),0),0),2)</f>
        <v/>
      </c>
      <c r="K1485" s="142">
        <f>IF(offer_sale_type="транзит",IFERROR(ROUNDUP(VLOOKUP($B1485,calc_data,K$14+1,0),2),0),0)</f>
        <v/>
      </c>
      <c r="L1485" s="184">
        <f>IF(offer_sale_type="транзит",IFERROR(ROUNDUP(VLOOKUP($B1485,calc_data,L$14+1,0),2),0),0)</f>
        <v/>
      </c>
      <c r="M1485" s="141">
        <f>IF(offer_sale_type="транзит",IFERROR(ROUNDUP(VLOOKUP($B1485,calc_data,M$14+1,0),2),0),0)</f>
        <v/>
      </c>
      <c r="N1485" s="141">
        <f>IF(offer_sale_type="транзит",IFERROR(ROUNDUP(VLOOKUP($B1485,calc_data,N$14+1,0),2),0),0)</f>
        <v/>
      </c>
      <c r="O1485" s="147">
        <f>IF(offer_sale_type="транзит",IFERROR(ROUND(VLOOKUP($B1485,calc_data,O$14+1,1),2),0),0)</f>
        <v/>
      </c>
      <c r="P1485" s="141">
        <f>IF(offer_sale_type="транзит",IFERROR(ROUND(SUM(I1485:J1485,M1485:O1485)/E1485,2),0),0)</f>
        <v/>
      </c>
      <c r="Q1485" s="141">
        <f>E1485*P1485</f>
        <v/>
      </c>
      <c r="R1485" s="141">
        <f>ROUND(Q1485*IF(AND(offer_incoterms="DDP",seller_region="RU"),IF((TODAY()+offer_turnaround_time)&gt;=helpsheet!$L$17,rate_vatRU_from_26,rate_vatRu_till_25),0),2)</f>
        <v/>
      </c>
      <c r="S1485" s="177">
        <f>Q1485+IF(AND(offer_incoterms="DDP",seller_region="RU"),R1485,0)</f>
        <v/>
      </c>
      <c r="T1485" s="45" t="n"/>
      <c r="V1485" s="57">
        <f>IF(Q1485&gt;0,"показать","скрыть")</f>
        <v/>
      </c>
    </row>
    <row r="1486" ht="15.75" customHeight="1">
      <c r="B1486" s="809" t="n">
        <v>1470</v>
      </c>
      <c r="C1486" s="182">
        <f>IF(offer_sale_type="транзит",IFERROR(VLOOKUP($B1486,calc_data,C$14+1,0),0),0)</f>
        <v/>
      </c>
      <c r="D1486" s="280">
        <f>IF(offer_sale_type="транзит",IFERROR(VLOOKUP($B1486,calc_data,D$14+1,0),0),0)</f>
        <v/>
      </c>
      <c r="E1486" s="182">
        <f>IF(offer_sale_type="транзит",IFERROR(VLOOKUP($B1486,calc_data,E$14+1,0),0),0)</f>
        <v/>
      </c>
      <c r="F1486" s="182">
        <f>IF(offer_sale_type="транзит",IFERROR(VLOOKUP($B1486,calc_data,F$14+1,0),0),0)</f>
        <v/>
      </c>
      <c r="G1486" s="141">
        <f>IF(offer_sale_type="транзит",IFERROR(VLOOKUP($B1486,calc_data,G$14+1,0),0),0)</f>
        <v/>
      </c>
      <c r="H1486" s="141">
        <f>E1486*G1486</f>
        <v/>
      </c>
      <c r="I1486" s="141">
        <f>IF(offer_sale_type="транзит",IFERROR(ROUND(VLOOKUP($B1486,calc_data,I$14+1,0),2),0),0)</f>
        <v/>
      </c>
      <c r="J1486" s="141">
        <f>ROUND(IF(offer_sale_type="транзит",IFERROR(VLOOKUP($B1486,calc_data,J$14+1,0),0),0),2)</f>
        <v/>
      </c>
      <c r="K1486" s="142">
        <f>IF(offer_sale_type="транзит",IFERROR(ROUNDUP(VLOOKUP($B1486,calc_data,K$14+1,0),2),0),0)</f>
        <v/>
      </c>
      <c r="L1486" s="184">
        <f>IF(offer_sale_type="транзит",IFERROR(ROUNDUP(VLOOKUP($B1486,calc_data,L$14+1,0),2),0),0)</f>
        <v/>
      </c>
      <c r="M1486" s="141">
        <f>IF(offer_sale_type="транзит",IFERROR(ROUNDUP(VLOOKUP($B1486,calc_data,M$14+1,0),2),0),0)</f>
        <v/>
      </c>
      <c r="N1486" s="141">
        <f>IF(offer_sale_type="транзит",IFERROR(ROUNDUP(VLOOKUP($B1486,calc_data,N$14+1,0),2),0),0)</f>
        <v/>
      </c>
      <c r="O1486" s="147">
        <f>IF(offer_sale_type="транзит",IFERROR(ROUND(VLOOKUP($B1486,calc_data,O$14+1,1),2),0),0)</f>
        <v/>
      </c>
      <c r="P1486" s="141">
        <f>IF(offer_sale_type="транзит",IFERROR(ROUND(SUM(I1486:J1486,M1486:O1486)/E1486,2),0),0)</f>
        <v/>
      </c>
      <c r="Q1486" s="141">
        <f>E1486*P1486</f>
        <v/>
      </c>
      <c r="R1486" s="141">
        <f>ROUND(Q1486*IF(AND(offer_incoterms="DDP",seller_region="RU"),IF((TODAY()+offer_turnaround_time)&gt;=helpsheet!$L$17,rate_vatRU_from_26,rate_vatRu_till_25),0),2)</f>
        <v/>
      </c>
      <c r="S1486" s="177">
        <f>Q1486+IF(AND(offer_incoterms="DDP",seller_region="RU"),R1486,0)</f>
        <v/>
      </c>
      <c r="T1486" s="45" t="n"/>
      <c r="V1486" s="57">
        <f>IF(Q1486&gt;0,"показать","скрыть")</f>
        <v/>
      </c>
    </row>
    <row r="1487" ht="15.75" customHeight="1">
      <c r="B1487" s="809" t="n">
        <v>1471</v>
      </c>
      <c r="C1487" s="182">
        <f>IF(offer_sale_type="транзит",IFERROR(VLOOKUP($B1487,calc_data,C$14+1,0),0),0)</f>
        <v/>
      </c>
      <c r="D1487" s="280">
        <f>IF(offer_sale_type="транзит",IFERROR(VLOOKUP($B1487,calc_data,D$14+1,0),0),0)</f>
        <v/>
      </c>
      <c r="E1487" s="182">
        <f>IF(offer_sale_type="транзит",IFERROR(VLOOKUP($B1487,calc_data,E$14+1,0),0),0)</f>
        <v/>
      </c>
      <c r="F1487" s="182">
        <f>IF(offer_sale_type="транзит",IFERROR(VLOOKUP($B1487,calc_data,F$14+1,0),0),0)</f>
        <v/>
      </c>
      <c r="G1487" s="141">
        <f>IF(offer_sale_type="транзит",IFERROR(VLOOKUP($B1487,calc_data,G$14+1,0),0),0)</f>
        <v/>
      </c>
      <c r="H1487" s="141">
        <f>E1487*G1487</f>
        <v/>
      </c>
      <c r="I1487" s="141">
        <f>IF(offer_sale_type="транзит",IFERROR(ROUND(VLOOKUP($B1487,calc_data,I$14+1,0),2),0),0)</f>
        <v/>
      </c>
      <c r="J1487" s="141">
        <f>ROUND(IF(offer_sale_type="транзит",IFERROR(VLOOKUP($B1487,calc_data,J$14+1,0),0),0),2)</f>
        <v/>
      </c>
      <c r="K1487" s="142">
        <f>IF(offer_sale_type="транзит",IFERROR(ROUNDUP(VLOOKUP($B1487,calc_data,K$14+1,0),2),0),0)</f>
        <v/>
      </c>
      <c r="L1487" s="184">
        <f>IF(offer_sale_type="транзит",IFERROR(ROUNDUP(VLOOKUP($B1487,calc_data,L$14+1,0),2),0),0)</f>
        <v/>
      </c>
      <c r="M1487" s="141">
        <f>IF(offer_sale_type="транзит",IFERROR(ROUNDUP(VLOOKUP($B1487,calc_data,M$14+1,0),2),0),0)</f>
        <v/>
      </c>
      <c r="N1487" s="141">
        <f>IF(offer_sale_type="транзит",IFERROR(ROUNDUP(VLOOKUP($B1487,calc_data,N$14+1,0),2),0),0)</f>
        <v/>
      </c>
      <c r="O1487" s="147">
        <f>IF(offer_sale_type="транзит",IFERROR(ROUND(VLOOKUP($B1487,calc_data,O$14+1,1),2),0),0)</f>
        <v/>
      </c>
      <c r="P1487" s="141">
        <f>IF(offer_sale_type="транзит",IFERROR(ROUND(SUM(I1487:J1487,M1487:O1487)/E1487,2),0),0)</f>
        <v/>
      </c>
      <c r="Q1487" s="141">
        <f>E1487*P1487</f>
        <v/>
      </c>
      <c r="R1487" s="141">
        <f>ROUND(Q1487*IF(AND(offer_incoterms="DDP",seller_region="RU"),IF((TODAY()+offer_turnaround_time)&gt;=helpsheet!$L$17,rate_vatRU_from_26,rate_vatRu_till_25),0),2)</f>
        <v/>
      </c>
      <c r="S1487" s="177">
        <f>Q1487+IF(AND(offer_incoterms="DDP",seller_region="RU"),R1487,0)</f>
        <v/>
      </c>
      <c r="T1487" s="45" t="n"/>
      <c r="V1487" s="57">
        <f>IF(Q1487&gt;0,"показать","скрыть")</f>
        <v/>
      </c>
    </row>
    <row r="1488" ht="15.75" customHeight="1">
      <c r="B1488" s="809" t="n">
        <v>1472</v>
      </c>
      <c r="C1488" s="182">
        <f>IF(offer_sale_type="транзит",IFERROR(VLOOKUP($B1488,calc_data,C$14+1,0),0),0)</f>
        <v/>
      </c>
      <c r="D1488" s="280">
        <f>IF(offer_sale_type="транзит",IFERROR(VLOOKUP($B1488,calc_data,D$14+1,0),0),0)</f>
        <v/>
      </c>
      <c r="E1488" s="182">
        <f>IF(offer_sale_type="транзит",IFERROR(VLOOKUP($B1488,calc_data,E$14+1,0),0),0)</f>
        <v/>
      </c>
      <c r="F1488" s="182">
        <f>IF(offer_sale_type="транзит",IFERROR(VLOOKUP($B1488,calc_data,F$14+1,0),0),0)</f>
        <v/>
      </c>
      <c r="G1488" s="141">
        <f>IF(offer_sale_type="транзит",IFERROR(VLOOKUP($B1488,calc_data,G$14+1,0),0),0)</f>
        <v/>
      </c>
      <c r="H1488" s="141">
        <f>E1488*G1488</f>
        <v/>
      </c>
      <c r="I1488" s="141">
        <f>IF(offer_sale_type="транзит",IFERROR(ROUND(VLOOKUP($B1488,calc_data,I$14+1,0),2),0),0)</f>
        <v/>
      </c>
      <c r="J1488" s="141">
        <f>ROUND(IF(offer_sale_type="транзит",IFERROR(VLOOKUP($B1488,calc_data,J$14+1,0),0),0),2)</f>
        <v/>
      </c>
      <c r="K1488" s="142">
        <f>IF(offer_sale_type="транзит",IFERROR(ROUNDUP(VLOOKUP($B1488,calc_data,K$14+1,0),2),0),0)</f>
        <v/>
      </c>
      <c r="L1488" s="184">
        <f>IF(offer_sale_type="транзит",IFERROR(ROUNDUP(VLOOKUP($B1488,calc_data,L$14+1,0),2),0),0)</f>
        <v/>
      </c>
      <c r="M1488" s="141">
        <f>IF(offer_sale_type="транзит",IFERROR(ROUNDUP(VLOOKUP($B1488,calc_data,M$14+1,0),2),0),0)</f>
        <v/>
      </c>
      <c r="N1488" s="141">
        <f>IF(offer_sale_type="транзит",IFERROR(ROUNDUP(VLOOKUP($B1488,calc_data,N$14+1,0),2),0),0)</f>
        <v/>
      </c>
      <c r="O1488" s="147">
        <f>IF(offer_sale_type="транзит",IFERROR(ROUND(VLOOKUP($B1488,calc_data,O$14+1,1),2),0),0)</f>
        <v/>
      </c>
      <c r="P1488" s="141">
        <f>IF(offer_sale_type="транзит",IFERROR(ROUND(SUM(I1488:J1488,M1488:O1488)/E1488,2),0),0)</f>
        <v/>
      </c>
      <c r="Q1488" s="141">
        <f>E1488*P1488</f>
        <v/>
      </c>
      <c r="R1488" s="141">
        <f>ROUND(Q1488*IF(AND(offer_incoterms="DDP",seller_region="RU"),IF((TODAY()+offer_turnaround_time)&gt;=helpsheet!$L$17,rate_vatRU_from_26,rate_vatRu_till_25),0),2)</f>
        <v/>
      </c>
      <c r="S1488" s="177">
        <f>Q1488+IF(AND(offer_incoterms="DDP",seller_region="RU"),R1488,0)</f>
        <v/>
      </c>
      <c r="T1488" s="45" t="n"/>
      <c r="V1488" s="57">
        <f>IF(Q1488&gt;0,"показать","скрыть")</f>
        <v/>
      </c>
    </row>
    <row r="1489" ht="15.75" customHeight="1">
      <c r="B1489" s="809" t="n">
        <v>1473</v>
      </c>
      <c r="C1489" s="182">
        <f>IF(offer_sale_type="транзит",IFERROR(VLOOKUP($B1489,calc_data,C$14+1,0),0),0)</f>
        <v/>
      </c>
      <c r="D1489" s="280">
        <f>IF(offer_sale_type="транзит",IFERROR(VLOOKUP($B1489,calc_data,D$14+1,0),0),0)</f>
        <v/>
      </c>
      <c r="E1489" s="182">
        <f>IF(offer_sale_type="транзит",IFERROR(VLOOKUP($B1489,calc_data,E$14+1,0),0),0)</f>
        <v/>
      </c>
      <c r="F1489" s="182">
        <f>IF(offer_sale_type="транзит",IFERROR(VLOOKUP($B1489,calc_data,F$14+1,0),0),0)</f>
        <v/>
      </c>
      <c r="G1489" s="141">
        <f>IF(offer_sale_type="транзит",IFERROR(VLOOKUP($B1489,calc_data,G$14+1,0),0),0)</f>
        <v/>
      </c>
      <c r="H1489" s="141">
        <f>E1489*G1489</f>
        <v/>
      </c>
      <c r="I1489" s="141">
        <f>IF(offer_sale_type="транзит",IFERROR(ROUND(VLOOKUP($B1489,calc_data,I$14+1,0),2),0),0)</f>
        <v/>
      </c>
      <c r="J1489" s="141">
        <f>ROUND(IF(offer_sale_type="транзит",IFERROR(VLOOKUP($B1489,calc_data,J$14+1,0),0),0),2)</f>
        <v/>
      </c>
      <c r="K1489" s="142">
        <f>IF(offer_sale_type="транзит",IFERROR(ROUNDUP(VLOOKUP($B1489,calc_data,K$14+1,0),2),0),0)</f>
        <v/>
      </c>
      <c r="L1489" s="184">
        <f>IF(offer_sale_type="транзит",IFERROR(ROUNDUP(VLOOKUP($B1489,calc_data,L$14+1,0),2),0),0)</f>
        <v/>
      </c>
      <c r="M1489" s="141">
        <f>IF(offer_sale_type="транзит",IFERROR(ROUNDUP(VLOOKUP($B1489,calc_data,M$14+1,0),2),0),0)</f>
        <v/>
      </c>
      <c r="N1489" s="141">
        <f>IF(offer_sale_type="транзит",IFERROR(ROUNDUP(VLOOKUP($B1489,calc_data,N$14+1,0),2),0),0)</f>
        <v/>
      </c>
      <c r="O1489" s="147">
        <f>IF(offer_sale_type="транзит",IFERROR(ROUND(VLOOKUP($B1489,calc_data,O$14+1,1),2),0),0)</f>
        <v/>
      </c>
      <c r="P1489" s="141">
        <f>IF(offer_sale_type="транзит",IFERROR(ROUND(SUM(I1489:J1489,M1489:O1489)/E1489,2),0),0)</f>
        <v/>
      </c>
      <c r="Q1489" s="141">
        <f>E1489*P1489</f>
        <v/>
      </c>
      <c r="R1489" s="141">
        <f>ROUND(Q1489*IF(AND(offer_incoterms="DDP",seller_region="RU"),IF((TODAY()+offer_turnaround_time)&gt;=helpsheet!$L$17,rate_vatRU_from_26,rate_vatRu_till_25),0),2)</f>
        <v/>
      </c>
      <c r="S1489" s="177">
        <f>Q1489+IF(AND(offer_incoterms="DDP",seller_region="RU"),R1489,0)</f>
        <v/>
      </c>
      <c r="T1489" s="45" t="n"/>
      <c r="V1489" s="57">
        <f>IF(Q1489&gt;0,"показать","скрыть")</f>
        <v/>
      </c>
    </row>
    <row r="1490" ht="15.75" customHeight="1">
      <c r="B1490" s="809" t="n">
        <v>1474</v>
      </c>
      <c r="C1490" s="182">
        <f>IF(offer_sale_type="транзит",IFERROR(VLOOKUP($B1490,calc_data,C$14+1,0),0),0)</f>
        <v/>
      </c>
      <c r="D1490" s="280">
        <f>IF(offer_sale_type="транзит",IFERROR(VLOOKUP($B1490,calc_data,D$14+1,0),0),0)</f>
        <v/>
      </c>
      <c r="E1490" s="182">
        <f>IF(offer_sale_type="транзит",IFERROR(VLOOKUP($B1490,calc_data,E$14+1,0),0),0)</f>
        <v/>
      </c>
      <c r="F1490" s="182">
        <f>IF(offer_sale_type="транзит",IFERROR(VLOOKUP($B1490,calc_data,F$14+1,0),0),0)</f>
        <v/>
      </c>
      <c r="G1490" s="141">
        <f>IF(offer_sale_type="транзит",IFERROR(VLOOKUP($B1490,calc_data,G$14+1,0),0),0)</f>
        <v/>
      </c>
      <c r="H1490" s="141">
        <f>E1490*G1490</f>
        <v/>
      </c>
      <c r="I1490" s="141">
        <f>IF(offer_sale_type="транзит",IFERROR(ROUND(VLOOKUP($B1490,calc_data,I$14+1,0),2),0),0)</f>
        <v/>
      </c>
      <c r="J1490" s="141">
        <f>ROUND(IF(offer_sale_type="транзит",IFERROR(VLOOKUP($B1490,calc_data,J$14+1,0),0),0),2)</f>
        <v/>
      </c>
      <c r="K1490" s="142">
        <f>IF(offer_sale_type="транзит",IFERROR(ROUNDUP(VLOOKUP($B1490,calc_data,K$14+1,0),2),0),0)</f>
        <v/>
      </c>
      <c r="L1490" s="184">
        <f>IF(offer_sale_type="транзит",IFERROR(ROUNDUP(VLOOKUP($B1490,calc_data,L$14+1,0),2),0),0)</f>
        <v/>
      </c>
      <c r="M1490" s="141">
        <f>IF(offer_sale_type="транзит",IFERROR(ROUNDUP(VLOOKUP($B1490,calc_data,M$14+1,0),2),0),0)</f>
        <v/>
      </c>
      <c r="N1490" s="141">
        <f>IF(offer_sale_type="транзит",IFERROR(ROUNDUP(VLOOKUP($B1490,calc_data,N$14+1,0),2),0),0)</f>
        <v/>
      </c>
      <c r="O1490" s="147">
        <f>IF(offer_sale_type="транзит",IFERROR(ROUND(VLOOKUP($B1490,calc_data,O$14+1,1),2),0),0)</f>
        <v/>
      </c>
      <c r="P1490" s="141">
        <f>IF(offer_sale_type="транзит",IFERROR(ROUND(SUM(I1490:J1490,M1490:O1490)/E1490,2),0),0)</f>
        <v/>
      </c>
      <c r="Q1490" s="141">
        <f>E1490*P1490</f>
        <v/>
      </c>
      <c r="R1490" s="141">
        <f>ROUND(Q1490*IF(AND(offer_incoterms="DDP",seller_region="RU"),IF((TODAY()+offer_turnaround_time)&gt;=helpsheet!$L$17,rate_vatRU_from_26,rate_vatRu_till_25),0),2)</f>
        <v/>
      </c>
      <c r="S1490" s="177">
        <f>Q1490+IF(AND(offer_incoterms="DDP",seller_region="RU"),R1490,0)</f>
        <v/>
      </c>
      <c r="T1490" s="45" t="n"/>
      <c r="V1490" s="57">
        <f>IF(Q1490&gt;0,"показать","скрыть")</f>
        <v/>
      </c>
    </row>
    <row r="1491" ht="15.75" customHeight="1">
      <c r="B1491" s="809" t="n">
        <v>1475</v>
      </c>
      <c r="C1491" s="182">
        <f>IF(offer_sale_type="транзит",IFERROR(VLOOKUP($B1491,calc_data,C$14+1,0),0),0)</f>
        <v/>
      </c>
      <c r="D1491" s="280">
        <f>IF(offer_sale_type="транзит",IFERROR(VLOOKUP($B1491,calc_data,D$14+1,0),0),0)</f>
        <v/>
      </c>
      <c r="E1491" s="182">
        <f>IF(offer_sale_type="транзит",IFERROR(VLOOKUP($B1491,calc_data,E$14+1,0),0),0)</f>
        <v/>
      </c>
      <c r="F1491" s="182">
        <f>IF(offer_sale_type="транзит",IFERROR(VLOOKUP($B1491,calc_data,F$14+1,0),0),0)</f>
        <v/>
      </c>
      <c r="G1491" s="141">
        <f>IF(offer_sale_type="транзит",IFERROR(VLOOKUP($B1491,calc_data,G$14+1,0),0),0)</f>
        <v/>
      </c>
      <c r="H1491" s="141">
        <f>E1491*G1491</f>
        <v/>
      </c>
      <c r="I1491" s="141">
        <f>IF(offer_sale_type="транзит",IFERROR(ROUND(VLOOKUP($B1491,calc_data,I$14+1,0),2),0),0)</f>
        <v/>
      </c>
      <c r="J1491" s="141">
        <f>ROUND(IF(offer_sale_type="транзит",IFERROR(VLOOKUP($B1491,calc_data,J$14+1,0),0),0),2)</f>
        <v/>
      </c>
      <c r="K1491" s="142">
        <f>IF(offer_sale_type="транзит",IFERROR(ROUNDUP(VLOOKUP($B1491,calc_data,K$14+1,0),2),0),0)</f>
        <v/>
      </c>
      <c r="L1491" s="184">
        <f>IF(offer_sale_type="транзит",IFERROR(ROUNDUP(VLOOKUP($B1491,calc_data,L$14+1,0),2),0),0)</f>
        <v/>
      </c>
      <c r="M1491" s="141">
        <f>IF(offer_sale_type="транзит",IFERROR(ROUNDUP(VLOOKUP($B1491,calc_data,M$14+1,0),2),0),0)</f>
        <v/>
      </c>
      <c r="N1491" s="141">
        <f>IF(offer_sale_type="транзит",IFERROR(ROUNDUP(VLOOKUP($B1491,calc_data,N$14+1,0),2),0),0)</f>
        <v/>
      </c>
      <c r="O1491" s="147">
        <f>IF(offer_sale_type="транзит",IFERROR(ROUND(VLOOKUP($B1491,calc_data,O$14+1,1),2),0),0)</f>
        <v/>
      </c>
      <c r="P1491" s="141">
        <f>IF(offer_sale_type="транзит",IFERROR(ROUND(SUM(I1491:J1491,M1491:O1491)/E1491,2),0),0)</f>
        <v/>
      </c>
      <c r="Q1491" s="141">
        <f>E1491*P1491</f>
        <v/>
      </c>
      <c r="R1491" s="141">
        <f>ROUND(Q1491*IF(AND(offer_incoterms="DDP",seller_region="RU"),IF((TODAY()+offer_turnaround_time)&gt;=helpsheet!$L$17,rate_vatRU_from_26,rate_vatRu_till_25),0),2)</f>
        <v/>
      </c>
      <c r="S1491" s="177">
        <f>Q1491+IF(AND(offer_incoterms="DDP",seller_region="RU"),R1491,0)</f>
        <v/>
      </c>
      <c r="T1491" s="45" t="n"/>
      <c r="V1491" s="57">
        <f>IF(Q1491&gt;0,"показать","скрыть")</f>
        <v/>
      </c>
    </row>
    <row r="1492" ht="15.75" customHeight="1">
      <c r="B1492" s="809" t="n">
        <v>1476</v>
      </c>
      <c r="C1492" s="182">
        <f>IF(offer_sale_type="транзит",IFERROR(VLOOKUP($B1492,calc_data,C$14+1,0),0),0)</f>
        <v/>
      </c>
      <c r="D1492" s="280">
        <f>IF(offer_sale_type="транзит",IFERROR(VLOOKUP($B1492,calc_data,D$14+1,0),0),0)</f>
        <v/>
      </c>
      <c r="E1492" s="182">
        <f>IF(offer_sale_type="транзит",IFERROR(VLOOKUP($B1492,calc_data,E$14+1,0),0),0)</f>
        <v/>
      </c>
      <c r="F1492" s="182">
        <f>IF(offer_sale_type="транзит",IFERROR(VLOOKUP($B1492,calc_data,F$14+1,0),0),0)</f>
        <v/>
      </c>
      <c r="G1492" s="141">
        <f>IF(offer_sale_type="транзит",IFERROR(VLOOKUP($B1492,calc_data,G$14+1,0),0),0)</f>
        <v/>
      </c>
      <c r="H1492" s="141">
        <f>E1492*G1492</f>
        <v/>
      </c>
      <c r="I1492" s="141">
        <f>IF(offer_sale_type="транзит",IFERROR(ROUND(VLOOKUP($B1492,calc_data,I$14+1,0),2),0),0)</f>
        <v/>
      </c>
      <c r="J1492" s="141">
        <f>ROUND(IF(offer_sale_type="транзит",IFERROR(VLOOKUP($B1492,calc_data,J$14+1,0),0),0),2)</f>
        <v/>
      </c>
      <c r="K1492" s="142">
        <f>IF(offer_sale_type="транзит",IFERROR(ROUNDUP(VLOOKUP($B1492,calc_data,K$14+1,0),2),0),0)</f>
        <v/>
      </c>
      <c r="L1492" s="184">
        <f>IF(offer_sale_type="транзит",IFERROR(ROUNDUP(VLOOKUP($B1492,calc_data,L$14+1,0),2),0),0)</f>
        <v/>
      </c>
      <c r="M1492" s="141">
        <f>IF(offer_sale_type="транзит",IFERROR(ROUNDUP(VLOOKUP($B1492,calc_data,M$14+1,0),2),0),0)</f>
        <v/>
      </c>
      <c r="N1492" s="141">
        <f>IF(offer_sale_type="транзит",IFERROR(ROUNDUP(VLOOKUP($B1492,calc_data,N$14+1,0),2),0),0)</f>
        <v/>
      </c>
      <c r="O1492" s="147">
        <f>IF(offer_sale_type="транзит",IFERROR(ROUND(VLOOKUP($B1492,calc_data,O$14+1,1),2),0),0)</f>
        <v/>
      </c>
      <c r="P1492" s="141">
        <f>IF(offer_sale_type="транзит",IFERROR(ROUND(SUM(I1492:J1492,M1492:O1492)/E1492,2),0),0)</f>
        <v/>
      </c>
      <c r="Q1492" s="141">
        <f>E1492*P1492</f>
        <v/>
      </c>
      <c r="R1492" s="141">
        <f>ROUND(Q1492*IF(AND(offer_incoterms="DDP",seller_region="RU"),IF((TODAY()+offer_turnaround_time)&gt;=helpsheet!$L$17,rate_vatRU_from_26,rate_vatRu_till_25),0),2)</f>
        <v/>
      </c>
      <c r="S1492" s="177">
        <f>Q1492+IF(AND(offer_incoterms="DDP",seller_region="RU"),R1492,0)</f>
        <v/>
      </c>
      <c r="T1492" s="45" t="n"/>
      <c r="V1492" s="57">
        <f>IF(Q1492&gt;0,"показать","скрыть")</f>
        <v/>
      </c>
    </row>
    <row r="1493" ht="15.75" customHeight="1">
      <c r="B1493" s="809" t="n">
        <v>1477</v>
      </c>
      <c r="C1493" s="182">
        <f>IF(offer_sale_type="транзит",IFERROR(VLOOKUP($B1493,calc_data,C$14+1,0),0),0)</f>
        <v/>
      </c>
      <c r="D1493" s="280">
        <f>IF(offer_sale_type="транзит",IFERROR(VLOOKUP($B1493,calc_data,D$14+1,0),0),0)</f>
        <v/>
      </c>
      <c r="E1493" s="182">
        <f>IF(offer_sale_type="транзит",IFERROR(VLOOKUP($B1493,calc_data,E$14+1,0),0),0)</f>
        <v/>
      </c>
      <c r="F1493" s="182">
        <f>IF(offer_sale_type="транзит",IFERROR(VLOOKUP($B1493,calc_data,F$14+1,0),0),0)</f>
        <v/>
      </c>
      <c r="G1493" s="141">
        <f>IF(offer_sale_type="транзит",IFERROR(VLOOKUP($B1493,calc_data,G$14+1,0),0),0)</f>
        <v/>
      </c>
      <c r="H1493" s="141">
        <f>E1493*G1493</f>
        <v/>
      </c>
      <c r="I1493" s="141">
        <f>IF(offer_sale_type="транзит",IFERROR(ROUND(VLOOKUP($B1493,calc_data,I$14+1,0),2),0),0)</f>
        <v/>
      </c>
      <c r="J1493" s="141">
        <f>ROUND(IF(offer_sale_type="транзит",IFERROR(VLOOKUP($B1493,calc_data,J$14+1,0),0),0),2)</f>
        <v/>
      </c>
      <c r="K1493" s="142">
        <f>IF(offer_sale_type="транзит",IFERROR(ROUNDUP(VLOOKUP($B1493,calc_data,K$14+1,0),2),0),0)</f>
        <v/>
      </c>
      <c r="L1493" s="184">
        <f>IF(offer_sale_type="транзит",IFERROR(ROUNDUP(VLOOKUP($B1493,calc_data,L$14+1,0),2),0),0)</f>
        <v/>
      </c>
      <c r="M1493" s="141">
        <f>IF(offer_sale_type="транзит",IFERROR(ROUNDUP(VLOOKUP($B1493,calc_data,M$14+1,0),2),0),0)</f>
        <v/>
      </c>
      <c r="N1493" s="141">
        <f>IF(offer_sale_type="транзит",IFERROR(ROUNDUP(VLOOKUP($B1493,calc_data,N$14+1,0),2),0),0)</f>
        <v/>
      </c>
      <c r="O1493" s="147">
        <f>IF(offer_sale_type="транзит",IFERROR(ROUND(VLOOKUP($B1493,calc_data,O$14+1,1),2),0),0)</f>
        <v/>
      </c>
      <c r="P1493" s="141">
        <f>IF(offer_sale_type="транзит",IFERROR(ROUND(SUM(I1493:J1493,M1493:O1493)/E1493,2),0),0)</f>
        <v/>
      </c>
      <c r="Q1493" s="141">
        <f>E1493*P1493</f>
        <v/>
      </c>
      <c r="R1493" s="141">
        <f>ROUND(Q1493*IF(AND(offer_incoterms="DDP",seller_region="RU"),IF((TODAY()+offer_turnaround_time)&gt;=helpsheet!$L$17,rate_vatRU_from_26,rate_vatRu_till_25),0),2)</f>
        <v/>
      </c>
      <c r="S1493" s="177">
        <f>Q1493+IF(AND(offer_incoterms="DDP",seller_region="RU"),R1493,0)</f>
        <v/>
      </c>
      <c r="T1493" s="45" t="n"/>
      <c r="V1493" s="57">
        <f>IF(Q1493&gt;0,"показать","скрыть")</f>
        <v/>
      </c>
    </row>
    <row r="1494" ht="15.75" customHeight="1">
      <c r="B1494" s="809" t="n">
        <v>1478</v>
      </c>
      <c r="C1494" s="182">
        <f>IF(offer_sale_type="транзит",IFERROR(VLOOKUP($B1494,calc_data,C$14+1,0),0),0)</f>
        <v/>
      </c>
      <c r="D1494" s="280">
        <f>IF(offer_sale_type="транзит",IFERROR(VLOOKUP($B1494,calc_data,D$14+1,0),0),0)</f>
        <v/>
      </c>
      <c r="E1494" s="182">
        <f>IF(offer_sale_type="транзит",IFERROR(VLOOKUP($B1494,calc_data,E$14+1,0),0),0)</f>
        <v/>
      </c>
      <c r="F1494" s="182">
        <f>IF(offer_sale_type="транзит",IFERROR(VLOOKUP($B1494,calc_data,F$14+1,0),0),0)</f>
        <v/>
      </c>
      <c r="G1494" s="141">
        <f>IF(offer_sale_type="транзит",IFERROR(VLOOKUP($B1494,calc_data,G$14+1,0),0),0)</f>
        <v/>
      </c>
      <c r="H1494" s="141">
        <f>E1494*G1494</f>
        <v/>
      </c>
      <c r="I1494" s="141">
        <f>IF(offer_sale_type="транзит",IFERROR(ROUND(VLOOKUP($B1494,calc_data,I$14+1,0),2),0),0)</f>
        <v/>
      </c>
      <c r="J1494" s="141">
        <f>ROUND(IF(offer_sale_type="транзит",IFERROR(VLOOKUP($B1494,calc_data,J$14+1,0),0),0),2)</f>
        <v/>
      </c>
      <c r="K1494" s="142">
        <f>IF(offer_sale_type="транзит",IFERROR(ROUNDUP(VLOOKUP($B1494,calc_data,K$14+1,0),2),0),0)</f>
        <v/>
      </c>
      <c r="L1494" s="184">
        <f>IF(offer_sale_type="транзит",IFERROR(ROUNDUP(VLOOKUP($B1494,calc_data,L$14+1,0),2),0),0)</f>
        <v/>
      </c>
      <c r="M1494" s="141">
        <f>IF(offer_sale_type="транзит",IFERROR(ROUNDUP(VLOOKUP($B1494,calc_data,M$14+1,0),2),0),0)</f>
        <v/>
      </c>
      <c r="N1494" s="141">
        <f>IF(offer_sale_type="транзит",IFERROR(ROUNDUP(VLOOKUP($B1494,calc_data,N$14+1,0),2),0),0)</f>
        <v/>
      </c>
      <c r="O1494" s="147">
        <f>IF(offer_sale_type="транзит",IFERROR(ROUND(VLOOKUP($B1494,calc_data,O$14+1,1),2),0),0)</f>
        <v/>
      </c>
      <c r="P1494" s="141">
        <f>IF(offer_sale_type="транзит",IFERROR(ROUND(SUM(I1494:J1494,M1494:O1494)/E1494,2),0),0)</f>
        <v/>
      </c>
      <c r="Q1494" s="141">
        <f>E1494*P1494</f>
        <v/>
      </c>
      <c r="R1494" s="141">
        <f>ROUND(Q1494*IF(AND(offer_incoterms="DDP",seller_region="RU"),IF((TODAY()+offer_turnaround_time)&gt;=helpsheet!$L$17,rate_vatRU_from_26,rate_vatRu_till_25),0),2)</f>
        <v/>
      </c>
      <c r="S1494" s="177">
        <f>Q1494+IF(AND(offer_incoterms="DDP",seller_region="RU"),R1494,0)</f>
        <v/>
      </c>
      <c r="T1494" s="45" t="n"/>
      <c r="V1494" s="57">
        <f>IF(Q1494&gt;0,"показать","скрыть")</f>
        <v/>
      </c>
    </row>
    <row r="1495" ht="15.75" customHeight="1">
      <c r="B1495" s="809" t="n">
        <v>1479</v>
      </c>
      <c r="C1495" s="182">
        <f>IF(offer_sale_type="транзит",IFERROR(VLOOKUP($B1495,calc_data,C$14+1,0),0),0)</f>
        <v/>
      </c>
      <c r="D1495" s="280">
        <f>IF(offer_sale_type="транзит",IFERROR(VLOOKUP($B1495,calc_data,D$14+1,0),0),0)</f>
        <v/>
      </c>
      <c r="E1495" s="182">
        <f>IF(offer_sale_type="транзит",IFERROR(VLOOKUP($B1495,calc_data,E$14+1,0),0),0)</f>
        <v/>
      </c>
      <c r="F1495" s="182">
        <f>IF(offer_sale_type="транзит",IFERROR(VLOOKUP($B1495,calc_data,F$14+1,0),0),0)</f>
        <v/>
      </c>
      <c r="G1495" s="141">
        <f>IF(offer_sale_type="транзит",IFERROR(VLOOKUP($B1495,calc_data,G$14+1,0),0),0)</f>
        <v/>
      </c>
      <c r="H1495" s="141">
        <f>E1495*G1495</f>
        <v/>
      </c>
      <c r="I1495" s="141">
        <f>IF(offer_sale_type="транзит",IFERROR(ROUND(VLOOKUP($B1495,calc_data,I$14+1,0),2),0),0)</f>
        <v/>
      </c>
      <c r="J1495" s="141">
        <f>ROUND(IF(offer_sale_type="транзит",IFERROR(VLOOKUP($B1495,calc_data,J$14+1,0),0),0),2)</f>
        <v/>
      </c>
      <c r="K1495" s="142">
        <f>IF(offer_sale_type="транзит",IFERROR(ROUNDUP(VLOOKUP($B1495,calc_data,K$14+1,0),2),0),0)</f>
        <v/>
      </c>
      <c r="L1495" s="184">
        <f>IF(offer_sale_type="транзит",IFERROR(ROUNDUP(VLOOKUP($B1495,calc_data,L$14+1,0),2),0),0)</f>
        <v/>
      </c>
      <c r="M1495" s="141">
        <f>IF(offer_sale_type="транзит",IFERROR(ROUNDUP(VLOOKUP($B1495,calc_data,M$14+1,0),2),0),0)</f>
        <v/>
      </c>
      <c r="N1495" s="141">
        <f>IF(offer_sale_type="транзит",IFERROR(ROUNDUP(VLOOKUP($B1495,calc_data,N$14+1,0),2),0),0)</f>
        <v/>
      </c>
      <c r="O1495" s="147">
        <f>IF(offer_sale_type="транзит",IFERROR(ROUND(VLOOKUP($B1495,calc_data,O$14+1,1),2),0),0)</f>
        <v/>
      </c>
      <c r="P1495" s="141">
        <f>IF(offer_sale_type="транзит",IFERROR(ROUND(SUM(I1495:J1495,M1495:O1495)/E1495,2),0),0)</f>
        <v/>
      </c>
      <c r="Q1495" s="141">
        <f>E1495*P1495</f>
        <v/>
      </c>
      <c r="R1495" s="141">
        <f>ROUND(Q1495*IF(AND(offer_incoterms="DDP",seller_region="RU"),IF((TODAY()+offer_turnaround_time)&gt;=helpsheet!$L$17,rate_vatRU_from_26,rate_vatRu_till_25),0),2)</f>
        <v/>
      </c>
      <c r="S1495" s="177">
        <f>Q1495+IF(AND(offer_incoterms="DDP",seller_region="RU"),R1495,0)</f>
        <v/>
      </c>
      <c r="T1495" s="45" t="n"/>
      <c r="V1495" s="57">
        <f>IF(Q1495&gt;0,"показать","скрыть")</f>
        <v/>
      </c>
    </row>
    <row r="1496" ht="15.75" customHeight="1">
      <c r="B1496" s="809" t="n">
        <v>1480</v>
      </c>
      <c r="C1496" s="182">
        <f>IF(offer_sale_type="транзит",IFERROR(VLOOKUP($B1496,calc_data,C$14+1,0),0),0)</f>
        <v/>
      </c>
      <c r="D1496" s="280">
        <f>IF(offer_sale_type="транзит",IFERROR(VLOOKUP($B1496,calc_data,D$14+1,0),0),0)</f>
        <v/>
      </c>
      <c r="E1496" s="182">
        <f>IF(offer_sale_type="транзит",IFERROR(VLOOKUP($B1496,calc_data,E$14+1,0),0),0)</f>
        <v/>
      </c>
      <c r="F1496" s="182">
        <f>IF(offer_sale_type="транзит",IFERROR(VLOOKUP($B1496,calc_data,F$14+1,0),0),0)</f>
        <v/>
      </c>
      <c r="G1496" s="141">
        <f>IF(offer_sale_type="транзит",IFERROR(VLOOKUP($B1496,calc_data,G$14+1,0),0),0)</f>
        <v/>
      </c>
      <c r="H1496" s="141">
        <f>E1496*G1496</f>
        <v/>
      </c>
      <c r="I1496" s="141">
        <f>IF(offer_sale_type="транзит",IFERROR(ROUND(VLOOKUP($B1496,calc_data,I$14+1,0),2),0),0)</f>
        <v/>
      </c>
      <c r="J1496" s="141">
        <f>ROUND(IF(offer_sale_type="транзит",IFERROR(VLOOKUP($B1496,calc_data,J$14+1,0),0),0),2)</f>
        <v/>
      </c>
      <c r="K1496" s="142">
        <f>IF(offer_sale_type="транзит",IFERROR(ROUNDUP(VLOOKUP($B1496,calc_data,K$14+1,0),2),0),0)</f>
        <v/>
      </c>
      <c r="L1496" s="184">
        <f>IF(offer_sale_type="транзит",IFERROR(ROUNDUP(VLOOKUP($B1496,calc_data,L$14+1,0),2),0),0)</f>
        <v/>
      </c>
      <c r="M1496" s="141">
        <f>IF(offer_sale_type="транзит",IFERROR(ROUNDUP(VLOOKUP($B1496,calc_data,M$14+1,0),2),0),0)</f>
        <v/>
      </c>
      <c r="N1496" s="141">
        <f>IF(offer_sale_type="транзит",IFERROR(ROUNDUP(VLOOKUP($B1496,calc_data,N$14+1,0),2),0),0)</f>
        <v/>
      </c>
      <c r="O1496" s="147">
        <f>IF(offer_sale_type="транзит",IFERROR(ROUND(VLOOKUP($B1496,calc_data,O$14+1,1),2),0),0)</f>
        <v/>
      </c>
      <c r="P1496" s="141">
        <f>IF(offer_sale_type="транзит",IFERROR(ROUND(SUM(I1496:J1496,M1496:O1496)/E1496,2),0),0)</f>
        <v/>
      </c>
      <c r="Q1496" s="141">
        <f>E1496*P1496</f>
        <v/>
      </c>
      <c r="R1496" s="141">
        <f>ROUND(Q1496*IF(AND(offer_incoterms="DDP",seller_region="RU"),IF((TODAY()+offer_turnaround_time)&gt;=helpsheet!$L$17,rate_vatRU_from_26,rate_vatRu_till_25),0),2)</f>
        <v/>
      </c>
      <c r="S1496" s="177">
        <f>Q1496+IF(AND(offer_incoterms="DDP",seller_region="RU"),R1496,0)</f>
        <v/>
      </c>
      <c r="T1496" s="45" t="n"/>
      <c r="V1496" s="57">
        <f>IF(Q1496&gt;0,"показать","скрыть")</f>
        <v/>
      </c>
    </row>
    <row r="1497" ht="15.75" customHeight="1">
      <c r="B1497" s="809" t="n">
        <v>1481</v>
      </c>
      <c r="C1497" s="182">
        <f>IF(offer_sale_type="транзит",IFERROR(VLOOKUP($B1497,calc_data,C$14+1,0),0),0)</f>
        <v/>
      </c>
      <c r="D1497" s="280">
        <f>IF(offer_sale_type="транзит",IFERROR(VLOOKUP($B1497,calc_data,D$14+1,0),0),0)</f>
        <v/>
      </c>
      <c r="E1497" s="182">
        <f>IF(offer_sale_type="транзит",IFERROR(VLOOKUP($B1497,calc_data,E$14+1,0),0),0)</f>
        <v/>
      </c>
      <c r="F1497" s="182">
        <f>IF(offer_sale_type="транзит",IFERROR(VLOOKUP($B1497,calc_data,F$14+1,0),0),0)</f>
        <v/>
      </c>
      <c r="G1497" s="141">
        <f>IF(offer_sale_type="транзит",IFERROR(VLOOKUP($B1497,calc_data,G$14+1,0),0),0)</f>
        <v/>
      </c>
      <c r="H1497" s="141">
        <f>E1497*G1497</f>
        <v/>
      </c>
      <c r="I1497" s="141">
        <f>IF(offer_sale_type="транзит",IFERROR(ROUND(VLOOKUP($B1497,calc_data,I$14+1,0),2),0),0)</f>
        <v/>
      </c>
      <c r="J1497" s="141">
        <f>ROUND(IF(offer_sale_type="транзит",IFERROR(VLOOKUP($B1497,calc_data,J$14+1,0),0),0),2)</f>
        <v/>
      </c>
      <c r="K1497" s="142">
        <f>IF(offer_sale_type="транзит",IFERROR(ROUNDUP(VLOOKUP($B1497,calc_data,K$14+1,0),2),0),0)</f>
        <v/>
      </c>
      <c r="L1497" s="184">
        <f>IF(offer_sale_type="транзит",IFERROR(ROUNDUP(VLOOKUP($B1497,calc_data,L$14+1,0),2),0),0)</f>
        <v/>
      </c>
      <c r="M1497" s="141">
        <f>IF(offer_sale_type="транзит",IFERROR(ROUNDUP(VLOOKUP($B1497,calc_data,M$14+1,0),2),0),0)</f>
        <v/>
      </c>
      <c r="N1497" s="141">
        <f>IF(offer_sale_type="транзит",IFERROR(ROUNDUP(VLOOKUP($B1497,calc_data,N$14+1,0),2),0),0)</f>
        <v/>
      </c>
      <c r="O1497" s="147">
        <f>IF(offer_sale_type="транзит",IFERROR(ROUND(VLOOKUP($B1497,calc_data,O$14+1,1),2),0),0)</f>
        <v/>
      </c>
      <c r="P1497" s="141">
        <f>IF(offer_sale_type="транзит",IFERROR(ROUND(SUM(I1497:J1497,M1497:O1497)/E1497,2),0),0)</f>
        <v/>
      </c>
      <c r="Q1497" s="141">
        <f>E1497*P1497</f>
        <v/>
      </c>
      <c r="R1497" s="141">
        <f>ROUND(Q1497*IF(AND(offer_incoterms="DDP",seller_region="RU"),IF((TODAY()+offer_turnaround_time)&gt;=helpsheet!$L$17,rate_vatRU_from_26,rate_vatRu_till_25),0),2)</f>
        <v/>
      </c>
      <c r="S1497" s="177">
        <f>Q1497+IF(AND(offer_incoterms="DDP",seller_region="RU"),R1497,0)</f>
        <v/>
      </c>
      <c r="T1497" s="45" t="n"/>
      <c r="V1497" s="57">
        <f>IF(Q1497&gt;0,"показать","скрыть")</f>
        <v/>
      </c>
    </row>
    <row r="1498" ht="15.75" customHeight="1">
      <c r="B1498" s="809" t="n">
        <v>1482</v>
      </c>
      <c r="C1498" s="182">
        <f>IF(offer_sale_type="транзит",IFERROR(VLOOKUP($B1498,calc_data,C$14+1,0),0),0)</f>
        <v/>
      </c>
      <c r="D1498" s="280">
        <f>IF(offer_sale_type="транзит",IFERROR(VLOOKUP($B1498,calc_data,D$14+1,0),0),0)</f>
        <v/>
      </c>
      <c r="E1498" s="182">
        <f>IF(offer_sale_type="транзит",IFERROR(VLOOKUP($B1498,calc_data,E$14+1,0),0),0)</f>
        <v/>
      </c>
      <c r="F1498" s="182">
        <f>IF(offer_sale_type="транзит",IFERROR(VLOOKUP($B1498,calc_data,F$14+1,0),0),0)</f>
        <v/>
      </c>
      <c r="G1498" s="141">
        <f>IF(offer_sale_type="транзит",IFERROR(VLOOKUP($B1498,calc_data,G$14+1,0),0),0)</f>
        <v/>
      </c>
      <c r="H1498" s="141">
        <f>E1498*G1498</f>
        <v/>
      </c>
      <c r="I1498" s="141">
        <f>IF(offer_sale_type="транзит",IFERROR(ROUND(VLOOKUP($B1498,calc_data,I$14+1,0),2),0),0)</f>
        <v/>
      </c>
      <c r="J1498" s="141">
        <f>ROUND(IF(offer_sale_type="транзит",IFERROR(VLOOKUP($B1498,calc_data,J$14+1,0),0),0),2)</f>
        <v/>
      </c>
      <c r="K1498" s="142">
        <f>IF(offer_sale_type="транзит",IFERROR(ROUNDUP(VLOOKUP($B1498,calc_data,K$14+1,0),2),0),0)</f>
        <v/>
      </c>
      <c r="L1498" s="184">
        <f>IF(offer_sale_type="транзит",IFERROR(ROUNDUP(VLOOKUP($B1498,calc_data,L$14+1,0),2),0),0)</f>
        <v/>
      </c>
      <c r="M1498" s="141">
        <f>IF(offer_sale_type="транзит",IFERROR(ROUNDUP(VLOOKUP($B1498,calc_data,M$14+1,0),2),0),0)</f>
        <v/>
      </c>
      <c r="N1498" s="141">
        <f>IF(offer_sale_type="транзит",IFERROR(ROUNDUP(VLOOKUP($B1498,calc_data,N$14+1,0),2),0),0)</f>
        <v/>
      </c>
      <c r="O1498" s="147">
        <f>IF(offer_sale_type="транзит",IFERROR(ROUND(VLOOKUP($B1498,calc_data,O$14+1,1),2),0),0)</f>
        <v/>
      </c>
      <c r="P1498" s="141">
        <f>IF(offer_sale_type="транзит",IFERROR(ROUND(SUM(I1498:J1498,M1498:O1498)/E1498,2),0),0)</f>
        <v/>
      </c>
      <c r="Q1498" s="141">
        <f>E1498*P1498</f>
        <v/>
      </c>
      <c r="R1498" s="141">
        <f>ROUND(Q1498*IF(AND(offer_incoterms="DDP",seller_region="RU"),IF((TODAY()+offer_turnaround_time)&gt;=helpsheet!$L$17,rate_vatRU_from_26,rate_vatRu_till_25),0),2)</f>
        <v/>
      </c>
      <c r="S1498" s="177">
        <f>Q1498+IF(AND(offer_incoterms="DDP",seller_region="RU"),R1498,0)</f>
        <v/>
      </c>
      <c r="T1498" s="45" t="n"/>
      <c r="V1498" s="57">
        <f>IF(Q1498&gt;0,"показать","скрыть")</f>
        <v/>
      </c>
    </row>
    <row r="1499" ht="15.75" customHeight="1">
      <c r="B1499" s="809" t="n">
        <v>1483</v>
      </c>
      <c r="C1499" s="182">
        <f>IF(offer_sale_type="транзит",IFERROR(VLOOKUP($B1499,calc_data,C$14+1,0),0),0)</f>
        <v/>
      </c>
      <c r="D1499" s="280">
        <f>IF(offer_sale_type="транзит",IFERROR(VLOOKUP($B1499,calc_data,D$14+1,0),0),0)</f>
        <v/>
      </c>
      <c r="E1499" s="182">
        <f>IF(offer_sale_type="транзит",IFERROR(VLOOKUP($B1499,calc_data,E$14+1,0),0),0)</f>
        <v/>
      </c>
      <c r="F1499" s="182">
        <f>IF(offer_sale_type="транзит",IFERROR(VLOOKUP($B1499,calc_data,F$14+1,0),0),0)</f>
        <v/>
      </c>
      <c r="G1499" s="141">
        <f>IF(offer_sale_type="транзит",IFERROR(VLOOKUP($B1499,calc_data,G$14+1,0),0),0)</f>
        <v/>
      </c>
      <c r="H1499" s="141">
        <f>E1499*G1499</f>
        <v/>
      </c>
      <c r="I1499" s="141">
        <f>IF(offer_sale_type="транзит",IFERROR(ROUND(VLOOKUP($B1499,calc_data,I$14+1,0),2),0),0)</f>
        <v/>
      </c>
      <c r="J1499" s="141">
        <f>ROUND(IF(offer_sale_type="транзит",IFERROR(VLOOKUP($B1499,calc_data,J$14+1,0),0),0),2)</f>
        <v/>
      </c>
      <c r="K1499" s="142">
        <f>IF(offer_sale_type="транзит",IFERROR(ROUNDUP(VLOOKUP($B1499,calc_data,K$14+1,0),2),0),0)</f>
        <v/>
      </c>
      <c r="L1499" s="184">
        <f>IF(offer_sale_type="транзит",IFERROR(ROUNDUP(VLOOKUP($B1499,calc_data,L$14+1,0),2),0),0)</f>
        <v/>
      </c>
      <c r="M1499" s="141">
        <f>IF(offer_sale_type="транзит",IFERROR(ROUNDUP(VLOOKUP($B1499,calc_data,M$14+1,0),2),0),0)</f>
        <v/>
      </c>
      <c r="N1499" s="141">
        <f>IF(offer_sale_type="транзит",IFERROR(ROUNDUP(VLOOKUP($B1499,calc_data,N$14+1,0),2),0),0)</f>
        <v/>
      </c>
      <c r="O1499" s="147">
        <f>IF(offer_sale_type="транзит",IFERROR(ROUND(VLOOKUP($B1499,calc_data,O$14+1,1),2),0),0)</f>
        <v/>
      </c>
      <c r="P1499" s="141">
        <f>IF(offer_sale_type="транзит",IFERROR(ROUND(SUM(I1499:J1499,M1499:O1499)/E1499,2),0),0)</f>
        <v/>
      </c>
      <c r="Q1499" s="141">
        <f>E1499*P1499</f>
        <v/>
      </c>
      <c r="R1499" s="141">
        <f>ROUND(Q1499*IF(AND(offer_incoterms="DDP",seller_region="RU"),IF((TODAY()+offer_turnaround_time)&gt;=helpsheet!$L$17,rate_vatRU_from_26,rate_vatRu_till_25),0),2)</f>
        <v/>
      </c>
      <c r="S1499" s="177">
        <f>Q1499+IF(AND(offer_incoterms="DDP",seller_region="RU"),R1499,0)</f>
        <v/>
      </c>
      <c r="T1499" s="45" t="n"/>
      <c r="V1499" s="57">
        <f>IF(Q1499&gt;0,"показать","скрыть")</f>
        <v/>
      </c>
    </row>
    <row r="1500" ht="15.75" customHeight="1">
      <c r="B1500" s="809" t="n">
        <v>1484</v>
      </c>
      <c r="C1500" s="182">
        <f>IF(offer_sale_type="транзит",IFERROR(VLOOKUP($B1500,calc_data,C$14+1,0),0),0)</f>
        <v/>
      </c>
      <c r="D1500" s="280">
        <f>IF(offer_sale_type="транзит",IFERROR(VLOOKUP($B1500,calc_data,D$14+1,0),0),0)</f>
        <v/>
      </c>
      <c r="E1500" s="182">
        <f>IF(offer_sale_type="транзит",IFERROR(VLOOKUP($B1500,calc_data,E$14+1,0),0),0)</f>
        <v/>
      </c>
      <c r="F1500" s="182">
        <f>IF(offer_sale_type="транзит",IFERROR(VLOOKUP($B1500,calc_data,F$14+1,0),0),0)</f>
        <v/>
      </c>
      <c r="G1500" s="141">
        <f>IF(offer_sale_type="транзит",IFERROR(VLOOKUP($B1500,calc_data,G$14+1,0),0),0)</f>
        <v/>
      </c>
      <c r="H1500" s="141">
        <f>E1500*G1500</f>
        <v/>
      </c>
      <c r="I1500" s="141">
        <f>IF(offer_sale_type="транзит",IFERROR(ROUND(VLOOKUP($B1500,calc_data,I$14+1,0),2),0),0)</f>
        <v/>
      </c>
      <c r="J1500" s="141">
        <f>ROUND(IF(offer_sale_type="транзит",IFERROR(VLOOKUP($B1500,calc_data,J$14+1,0),0),0),2)</f>
        <v/>
      </c>
      <c r="K1500" s="142">
        <f>IF(offer_sale_type="транзит",IFERROR(ROUNDUP(VLOOKUP($B1500,calc_data,K$14+1,0),2),0),0)</f>
        <v/>
      </c>
      <c r="L1500" s="184">
        <f>IF(offer_sale_type="транзит",IFERROR(ROUNDUP(VLOOKUP($B1500,calc_data,L$14+1,0),2),0),0)</f>
        <v/>
      </c>
      <c r="M1500" s="141">
        <f>IF(offer_sale_type="транзит",IFERROR(ROUNDUP(VLOOKUP($B1500,calc_data,M$14+1,0),2),0),0)</f>
        <v/>
      </c>
      <c r="N1500" s="141">
        <f>IF(offer_sale_type="транзит",IFERROR(ROUNDUP(VLOOKUP($B1500,calc_data,N$14+1,0),2),0),0)</f>
        <v/>
      </c>
      <c r="O1500" s="147">
        <f>IF(offer_sale_type="транзит",IFERROR(ROUND(VLOOKUP($B1500,calc_data,O$14+1,1),2),0),0)</f>
        <v/>
      </c>
      <c r="P1500" s="141">
        <f>IF(offer_sale_type="транзит",IFERROR(ROUND(SUM(I1500:J1500,M1500:O1500)/E1500,2),0),0)</f>
        <v/>
      </c>
      <c r="Q1500" s="141">
        <f>E1500*P1500</f>
        <v/>
      </c>
      <c r="R1500" s="141">
        <f>ROUND(Q1500*IF(AND(offer_incoterms="DDP",seller_region="RU"),IF((TODAY()+offer_turnaround_time)&gt;=helpsheet!$L$17,rate_vatRU_from_26,rate_vatRu_till_25),0),2)</f>
        <v/>
      </c>
      <c r="S1500" s="177">
        <f>Q1500+IF(AND(offer_incoterms="DDP",seller_region="RU"),R1500,0)</f>
        <v/>
      </c>
      <c r="T1500" s="45" t="n"/>
      <c r="V1500" s="57">
        <f>IF(Q1500&gt;0,"показать","скрыть")</f>
        <v/>
      </c>
    </row>
    <row r="1501" ht="15.75" customHeight="1">
      <c r="B1501" s="809" t="n">
        <v>1485</v>
      </c>
      <c r="C1501" s="182">
        <f>IF(offer_sale_type="транзит",IFERROR(VLOOKUP($B1501,calc_data,C$14+1,0),0),0)</f>
        <v/>
      </c>
      <c r="D1501" s="280">
        <f>IF(offer_sale_type="транзит",IFERROR(VLOOKUP($B1501,calc_data,D$14+1,0),0),0)</f>
        <v/>
      </c>
      <c r="E1501" s="182">
        <f>IF(offer_sale_type="транзит",IFERROR(VLOOKUP($B1501,calc_data,E$14+1,0),0),0)</f>
        <v/>
      </c>
      <c r="F1501" s="182">
        <f>IF(offer_sale_type="транзит",IFERROR(VLOOKUP($B1501,calc_data,F$14+1,0),0),0)</f>
        <v/>
      </c>
      <c r="G1501" s="141">
        <f>IF(offer_sale_type="транзит",IFERROR(VLOOKUP($B1501,calc_data,G$14+1,0),0),0)</f>
        <v/>
      </c>
      <c r="H1501" s="141">
        <f>E1501*G1501</f>
        <v/>
      </c>
      <c r="I1501" s="141">
        <f>IF(offer_sale_type="транзит",IFERROR(ROUND(VLOOKUP($B1501,calc_data,I$14+1,0),2),0),0)</f>
        <v/>
      </c>
      <c r="J1501" s="141">
        <f>ROUND(IF(offer_sale_type="транзит",IFERROR(VLOOKUP($B1501,calc_data,J$14+1,0),0),0),2)</f>
        <v/>
      </c>
      <c r="K1501" s="142">
        <f>IF(offer_sale_type="транзит",IFERROR(ROUNDUP(VLOOKUP($B1501,calc_data,K$14+1,0),2),0),0)</f>
        <v/>
      </c>
      <c r="L1501" s="184">
        <f>IF(offer_sale_type="транзит",IFERROR(ROUNDUP(VLOOKUP($B1501,calc_data,L$14+1,0),2),0),0)</f>
        <v/>
      </c>
      <c r="M1501" s="141">
        <f>IF(offer_sale_type="транзит",IFERROR(ROUNDUP(VLOOKUP($B1501,calc_data,M$14+1,0),2),0),0)</f>
        <v/>
      </c>
      <c r="N1501" s="141">
        <f>IF(offer_sale_type="транзит",IFERROR(ROUNDUP(VLOOKUP($B1501,calc_data,N$14+1,0),2),0),0)</f>
        <v/>
      </c>
      <c r="O1501" s="147">
        <f>IF(offer_sale_type="транзит",IFERROR(ROUND(VLOOKUP($B1501,calc_data,O$14+1,1),2),0),0)</f>
        <v/>
      </c>
      <c r="P1501" s="141">
        <f>IF(offer_sale_type="транзит",IFERROR(ROUND(SUM(I1501:J1501,M1501:O1501)/E1501,2),0),0)</f>
        <v/>
      </c>
      <c r="Q1501" s="141">
        <f>E1501*P1501</f>
        <v/>
      </c>
      <c r="R1501" s="141">
        <f>ROUND(Q1501*IF(AND(offer_incoterms="DDP",seller_region="RU"),IF((TODAY()+offer_turnaround_time)&gt;=helpsheet!$L$17,rate_vatRU_from_26,rate_vatRu_till_25),0),2)</f>
        <v/>
      </c>
      <c r="S1501" s="177">
        <f>Q1501+IF(AND(offer_incoterms="DDP",seller_region="RU"),R1501,0)</f>
        <v/>
      </c>
      <c r="T1501" s="45" t="n"/>
      <c r="V1501" s="57">
        <f>IF(Q1501&gt;0,"показать","скрыть")</f>
        <v/>
      </c>
    </row>
    <row r="1502" ht="15.75" customHeight="1">
      <c r="B1502" s="809" t="n">
        <v>1486</v>
      </c>
      <c r="C1502" s="182">
        <f>IF(offer_sale_type="транзит",IFERROR(VLOOKUP($B1502,calc_data,C$14+1,0),0),0)</f>
        <v/>
      </c>
      <c r="D1502" s="280">
        <f>IF(offer_sale_type="транзит",IFERROR(VLOOKUP($B1502,calc_data,D$14+1,0),0),0)</f>
        <v/>
      </c>
      <c r="E1502" s="182">
        <f>IF(offer_sale_type="транзит",IFERROR(VLOOKUP($B1502,calc_data,E$14+1,0),0),0)</f>
        <v/>
      </c>
      <c r="F1502" s="182">
        <f>IF(offer_sale_type="транзит",IFERROR(VLOOKUP($B1502,calc_data,F$14+1,0),0),0)</f>
        <v/>
      </c>
      <c r="G1502" s="141">
        <f>IF(offer_sale_type="транзит",IFERROR(VLOOKUP($B1502,calc_data,G$14+1,0),0),0)</f>
        <v/>
      </c>
      <c r="H1502" s="141">
        <f>E1502*G1502</f>
        <v/>
      </c>
      <c r="I1502" s="141">
        <f>IF(offer_sale_type="транзит",IFERROR(ROUND(VLOOKUP($B1502,calc_data,I$14+1,0),2),0),0)</f>
        <v/>
      </c>
      <c r="J1502" s="141">
        <f>ROUND(IF(offer_sale_type="транзит",IFERROR(VLOOKUP($B1502,calc_data,J$14+1,0),0),0),2)</f>
        <v/>
      </c>
      <c r="K1502" s="142">
        <f>IF(offer_sale_type="транзит",IFERROR(ROUNDUP(VLOOKUP($B1502,calc_data,K$14+1,0),2),0),0)</f>
        <v/>
      </c>
      <c r="L1502" s="184">
        <f>IF(offer_sale_type="транзит",IFERROR(ROUNDUP(VLOOKUP($B1502,calc_data,L$14+1,0),2),0),0)</f>
        <v/>
      </c>
      <c r="M1502" s="141">
        <f>IF(offer_sale_type="транзит",IFERROR(ROUNDUP(VLOOKUP($B1502,calc_data,M$14+1,0),2),0),0)</f>
        <v/>
      </c>
      <c r="N1502" s="141">
        <f>IF(offer_sale_type="транзит",IFERROR(ROUNDUP(VLOOKUP($B1502,calc_data,N$14+1,0),2),0),0)</f>
        <v/>
      </c>
      <c r="O1502" s="147">
        <f>IF(offer_sale_type="транзит",IFERROR(ROUND(VLOOKUP($B1502,calc_data,O$14+1,1),2),0),0)</f>
        <v/>
      </c>
      <c r="P1502" s="141">
        <f>IF(offer_sale_type="транзит",IFERROR(ROUND(SUM(I1502:J1502,M1502:O1502)/E1502,2),0),0)</f>
        <v/>
      </c>
      <c r="Q1502" s="141">
        <f>E1502*P1502</f>
        <v/>
      </c>
      <c r="R1502" s="141">
        <f>ROUND(Q1502*IF(AND(offer_incoterms="DDP",seller_region="RU"),IF((TODAY()+offer_turnaround_time)&gt;=helpsheet!$L$17,rate_vatRU_from_26,rate_vatRu_till_25),0),2)</f>
        <v/>
      </c>
      <c r="S1502" s="177">
        <f>Q1502+IF(AND(offer_incoterms="DDP",seller_region="RU"),R1502,0)</f>
        <v/>
      </c>
      <c r="T1502" s="45" t="n"/>
      <c r="V1502" s="57">
        <f>IF(Q1502&gt;0,"показать","скрыть")</f>
        <v/>
      </c>
    </row>
    <row r="1503" ht="15.75" customHeight="1">
      <c r="B1503" s="809" t="n">
        <v>1487</v>
      </c>
      <c r="C1503" s="182">
        <f>IF(offer_sale_type="транзит",IFERROR(VLOOKUP($B1503,calc_data,C$14+1,0),0),0)</f>
        <v/>
      </c>
      <c r="D1503" s="280">
        <f>IF(offer_sale_type="транзит",IFERROR(VLOOKUP($B1503,calc_data,D$14+1,0),0),0)</f>
        <v/>
      </c>
      <c r="E1503" s="182">
        <f>IF(offer_sale_type="транзит",IFERROR(VLOOKUP($B1503,calc_data,E$14+1,0),0),0)</f>
        <v/>
      </c>
      <c r="F1503" s="182">
        <f>IF(offer_sale_type="транзит",IFERROR(VLOOKUP($B1503,calc_data,F$14+1,0),0),0)</f>
        <v/>
      </c>
      <c r="G1503" s="141">
        <f>IF(offer_sale_type="транзит",IFERROR(VLOOKUP($B1503,calc_data,G$14+1,0),0),0)</f>
        <v/>
      </c>
      <c r="H1503" s="141">
        <f>E1503*G1503</f>
        <v/>
      </c>
      <c r="I1503" s="141">
        <f>IF(offer_sale_type="транзит",IFERROR(ROUND(VLOOKUP($B1503,calc_data,I$14+1,0),2),0),0)</f>
        <v/>
      </c>
      <c r="J1503" s="141">
        <f>ROUND(IF(offer_sale_type="транзит",IFERROR(VLOOKUP($B1503,calc_data,J$14+1,0),0),0),2)</f>
        <v/>
      </c>
      <c r="K1503" s="142">
        <f>IF(offer_sale_type="транзит",IFERROR(ROUNDUP(VLOOKUP($B1503,calc_data,K$14+1,0),2),0),0)</f>
        <v/>
      </c>
      <c r="L1503" s="184">
        <f>IF(offer_sale_type="транзит",IFERROR(ROUNDUP(VLOOKUP($B1503,calc_data,L$14+1,0),2),0),0)</f>
        <v/>
      </c>
      <c r="M1503" s="141">
        <f>IF(offer_sale_type="транзит",IFERROR(ROUNDUP(VLOOKUP($B1503,calc_data,M$14+1,0),2),0),0)</f>
        <v/>
      </c>
      <c r="N1503" s="141">
        <f>IF(offer_sale_type="транзит",IFERROR(ROUNDUP(VLOOKUP($B1503,calc_data,N$14+1,0),2),0),0)</f>
        <v/>
      </c>
      <c r="O1503" s="147">
        <f>IF(offer_sale_type="транзит",IFERROR(ROUND(VLOOKUP($B1503,calc_data,O$14+1,1),2),0),0)</f>
        <v/>
      </c>
      <c r="P1503" s="141">
        <f>IF(offer_sale_type="транзит",IFERROR(ROUND(SUM(I1503:J1503,M1503:O1503)/E1503,2),0),0)</f>
        <v/>
      </c>
      <c r="Q1503" s="141">
        <f>E1503*P1503</f>
        <v/>
      </c>
      <c r="R1503" s="141">
        <f>ROUND(Q1503*IF(AND(offer_incoterms="DDP",seller_region="RU"),IF((TODAY()+offer_turnaround_time)&gt;=helpsheet!$L$17,rate_vatRU_from_26,rate_vatRu_till_25),0),2)</f>
        <v/>
      </c>
      <c r="S1503" s="177">
        <f>Q1503+IF(AND(offer_incoterms="DDP",seller_region="RU"),R1503,0)</f>
        <v/>
      </c>
      <c r="T1503" s="45" t="n"/>
      <c r="V1503" s="57">
        <f>IF(Q1503&gt;0,"показать","скрыть")</f>
        <v/>
      </c>
    </row>
    <row r="1504" ht="15.75" customHeight="1">
      <c r="B1504" s="809" t="n">
        <v>1488</v>
      </c>
      <c r="C1504" s="182">
        <f>IF(offer_sale_type="транзит",IFERROR(VLOOKUP($B1504,calc_data,C$14+1,0),0),0)</f>
        <v/>
      </c>
      <c r="D1504" s="280">
        <f>IF(offer_sale_type="транзит",IFERROR(VLOOKUP($B1504,calc_data,D$14+1,0),0),0)</f>
        <v/>
      </c>
      <c r="E1504" s="182">
        <f>IF(offer_sale_type="транзит",IFERROR(VLOOKUP($B1504,calc_data,E$14+1,0),0),0)</f>
        <v/>
      </c>
      <c r="F1504" s="182">
        <f>IF(offer_sale_type="транзит",IFERROR(VLOOKUP($B1504,calc_data,F$14+1,0),0),0)</f>
        <v/>
      </c>
      <c r="G1504" s="141">
        <f>IF(offer_sale_type="транзит",IFERROR(VLOOKUP($B1504,calc_data,G$14+1,0),0),0)</f>
        <v/>
      </c>
      <c r="H1504" s="141">
        <f>E1504*G1504</f>
        <v/>
      </c>
      <c r="I1504" s="141">
        <f>IF(offer_sale_type="транзит",IFERROR(ROUND(VLOOKUP($B1504,calc_data,I$14+1,0),2),0),0)</f>
        <v/>
      </c>
      <c r="J1504" s="141">
        <f>ROUND(IF(offer_sale_type="транзит",IFERROR(VLOOKUP($B1504,calc_data,J$14+1,0),0),0),2)</f>
        <v/>
      </c>
      <c r="K1504" s="142">
        <f>IF(offer_sale_type="транзит",IFERROR(ROUNDUP(VLOOKUP($B1504,calc_data,K$14+1,0),2),0),0)</f>
        <v/>
      </c>
      <c r="L1504" s="184">
        <f>IF(offer_sale_type="транзит",IFERROR(ROUNDUP(VLOOKUP($B1504,calc_data,L$14+1,0),2),0),0)</f>
        <v/>
      </c>
      <c r="M1504" s="141">
        <f>IF(offer_sale_type="транзит",IFERROR(ROUNDUP(VLOOKUP($B1504,calc_data,M$14+1,0),2),0),0)</f>
        <v/>
      </c>
      <c r="N1504" s="141">
        <f>IF(offer_sale_type="транзит",IFERROR(ROUNDUP(VLOOKUP($B1504,calc_data,N$14+1,0),2),0),0)</f>
        <v/>
      </c>
      <c r="O1504" s="147">
        <f>IF(offer_sale_type="транзит",IFERROR(ROUND(VLOOKUP($B1504,calc_data,O$14+1,1),2),0),0)</f>
        <v/>
      </c>
      <c r="P1504" s="141">
        <f>IF(offer_sale_type="транзит",IFERROR(ROUND(SUM(I1504:J1504,M1504:O1504)/E1504,2),0),0)</f>
        <v/>
      </c>
      <c r="Q1504" s="141">
        <f>E1504*P1504</f>
        <v/>
      </c>
      <c r="R1504" s="141">
        <f>ROUND(Q1504*IF(AND(offer_incoterms="DDP",seller_region="RU"),IF((TODAY()+offer_turnaround_time)&gt;=helpsheet!$L$17,rate_vatRU_from_26,rate_vatRu_till_25),0),2)</f>
        <v/>
      </c>
      <c r="S1504" s="177">
        <f>Q1504+IF(AND(offer_incoterms="DDP",seller_region="RU"),R1504,0)</f>
        <v/>
      </c>
      <c r="T1504" s="45" t="n"/>
      <c r="V1504" s="57">
        <f>IF(Q1504&gt;0,"показать","скрыть")</f>
        <v/>
      </c>
    </row>
    <row r="1505" ht="15.75" customHeight="1">
      <c r="B1505" s="809" t="n">
        <v>1489</v>
      </c>
      <c r="C1505" s="182">
        <f>IF(offer_sale_type="транзит",IFERROR(VLOOKUP($B1505,calc_data,C$14+1,0),0),0)</f>
        <v/>
      </c>
      <c r="D1505" s="280">
        <f>IF(offer_sale_type="транзит",IFERROR(VLOOKUP($B1505,calc_data,D$14+1,0),0),0)</f>
        <v/>
      </c>
      <c r="E1505" s="182">
        <f>IF(offer_sale_type="транзит",IFERROR(VLOOKUP($B1505,calc_data,E$14+1,0),0),0)</f>
        <v/>
      </c>
      <c r="F1505" s="182">
        <f>IF(offer_sale_type="транзит",IFERROR(VLOOKUP($B1505,calc_data,F$14+1,0),0),0)</f>
        <v/>
      </c>
      <c r="G1505" s="141">
        <f>IF(offer_sale_type="транзит",IFERROR(VLOOKUP($B1505,calc_data,G$14+1,0),0),0)</f>
        <v/>
      </c>
      <c r="H1505" s="141">
        <f>E1505*G1505</f>
        <v/>
      </c>
      <c r="I1505" s="141">
        <f>IF(offer_sale_type="транзит",IFERROR(ROUND(VLOOKUP($B1505,calc_data,I$14+1,0),2),0),0)</f>
        <v/>
      </c>
      <c r="J1505" s="141">
        <f>ROUND(IF(offer_sale_type="транзит",IFERROR(VLOOKUP($B1505,calc_data,J$14+1,0),0),0),2)</f>
        <v/>
      </c>
      <c r="K1505" s="142">
        <f>IF(offer_sale_type="транзит",IFERROR(ROUNDUP(VLOOKUP($B1505,calc_data,K$14+1,0),2),0),0)</f>
        <v/>
      </c>
      <c r="L1505" s="184">
        <f>IF(offer_sale_type="транзит",IFERROR(ROUNDUP(VLOOKUP($B1505,calc_data,L$14+1,0),2),0),0)</f>
        <v/>
      </c>
      <c r="M1505" s="141">
        <f>IF(offer_sale_type="транзит",IFERROR(ROUNDUP(VLOOKUP($B1505,calc_data,M$14+1,0),2),0),0)</f>
        <v/>
      </c>
      <c r="N1505" s="141">
        <f>IF(offer_sale_type="транзит",IFERROR(ROUNDUP(VLOOKUP($B1505,calc_data,N$14+1,0),2),0),0)</f>
        <v/>
      </c>
      <c r="O1505" s="147">
        <f>IF(offer_sale_type="транзит",IFERROR(ROUND(VLOOKUP($B1505,calc_data,O$14+1,1),2),0),0)</f>
        <v/>
      </c>
      <c r="P1505" s="141">
        <f>IF(offer_sale_type="транзит",IFERROR(ROUND(SUM(I1505:J1505,M1505:O1505)/E1505,2),0),0)</f>
        <v/>
      </c>
      <c r="Q1505" s="141">
        <f>E1505*P1505</f>
        <v/>
      </c>
      <c r="R1505" s="141">
        <f>ROUND(Q1505*IF(AND(offer_incoterms="DDP",seller_region="RU"),IF((TODAY()+offer_turnaround_time)&gt;=helpsheet!$L$17,rate_vatRU_from_26,rate_vatRu_till_25),0),2)</f>
        <v/>
      </c>
      <c r="S1505" s="177">
        <f>Q1505+IF(AND(offer_incoterms="DDP",seller_region="RU"),R1505,0)</f>
        <v/>
      </c>
      <c r="T1505" s="45" t="n"/>
      <c r="V1505" s="57">
        <f>IF(Q1505&gt;0,"показать","скрыть")</f>
        <v/>
      </c>
    </row>
    <row r="1506" ht="15.75" customHeight="1">
      <c r="B1506" s="809" t="n">
        <v>1490</v>
      </c>
      <c r="C1506" s="182">
        <f>IF(offer_sale_type="транзит",IFERROR(VLOOKUP($B1506,calc_data,C$14+1,0),0),0)</f>
        <v/>
      </c>
      <c r="D1506" s="280">
        <f>IF(offer_sale_type="транзит",IFERROR(VLOOKUP($B1506,calc_data,D$14+1,0),0),0)</f>
        <v/>
      </c>
      <c r="E1506" s="182">
        <f>IF(offer_sale_type="транзит",IFERROR(VLOOKUP($B1506,calc_data,E$14+1,0),0),0)</f>
        <v/>
      </c>
      <c r="F1506" s="182">
        <f>IF(offer_sale_type="транзит",IFERROR(VLOOKUP($B1506,calc_data,F$14+1,0),0),0)</f>
        <v/>
      </c>
      <c r="G1506" s="141">
        <f>IF(offer_sale_type="транзит",IFERROR(VLOOKUP($B1506,calc_data,G$14+1,0),0),0)</f>
        <v/>
      </c>
      <c r="H1506" s="141">
        <f>E1506*G1506</f>
        <v/>
      </c>
      <c r="I1506" s="141">
        <f>IF(offer_sale_type="транзит",IFERROR(ROUND(VLOOKUP($B1506,calc_data,I$14+1,0),2),0),0)</f>
        <v/>
      </c>
      <c r="J1506" s="141">
        <f>ROUND(IF(offer_sale_type="транзит",IFERROR(VLOOKUP($B1506,calc_data,J$14+1,0),0),0),2)</f>
        <v/>
      </c>
      <c r="K1506" s="142">
        <f>IF(offer_sale_type="транзит",IFERROR(ROUNDUP(VLOOKUP($B1506,calc_data,K$14+1,0),2),0),0)</f>
        <v/>
      </c>
      <c r="L1506" s="184">
        <f>IF(offer_sale_type="транзит",IFERROR(ROUNDUP(VLOOKUP($B1506,calc_data,L$14+1,0),2),0),0)</f>
        <v/>
      </c>
      <c r="M1506" s="141">
        <f>IF(offer_sale_type="транзит",IFERROR(ROUNDUP(VLOOKUP($B1506,calc_data,M$14+1,0),2),0),0)</f>
        <v/>
      </c>
      <c r="N1506" s="141">
        <f>IF(offer_sale_type="транзит",IFERROR(ROUNDUP(VLOOKUP($B1506,calc_data,N$14+1,0),2),0),0)</f>
        <v/>
      </c>
      <c r="O1506" s="147">
        <f>IF(offer_sale_type="транзит",IFERROR(ROUND(VLOOKUP($B1506,calc_data,O$14+1,1),2),0),0)</f>
        <v/>
      </c>
      <c r="P1506" s="141">
        <f>IF(offer_sale_type="транзит",IFERROR(ROUND(SUM(I1506:J1506,M1506:O1506)/E1506,2),0),0)</f>
        <v/>
      </c>
      <c r="Q1506" s="141">
        <f>E1506*P1506</f>
        <v/>
      </c>
      <c r="R1506" s="141">
        <f>ROUND(Q1506*IF(AND(offer_incoterms="DDP",seller_region="RU"),IF((TODAY()+offer_turnaround_time)&gt;=helpsheet!$L$17,rate_vatRU_from_26,rate_vatRu_till_25),0),2)</f>
        <v/>
      </c>
      <c r="S1506" s="177">
        <f>Q1506+IF(AND(offer_incoterms="DDP",seller_region="RU"),R1506,0)</f>
        <v/>
      </c>
      <c r="T1506" s="45" t="n"/>
      <c r="V1506" s="57">
        <f>IF(Q1506&gt;0,"показать","скрыть")</f>
        <v/>
      </c>
    </row>
    <row r="1507" ht="15.75" customHeight="1">
      <c r="B1507" s="809" t="n">
        <v>1491</v>
      </c>
      <c r="C1507" s="182">
        <f>IF(offer_sale_type="транзит",IFERROR(VLOOKUP($B1507,calc_data,C$14+1,0),0),0)</f>
        <v/>
      </c>
      <c r="D1507" s="280">
        <f>IF(offer_sale_type="транзит",IFERROR(VLOOKUP($B1507,calc_data,D$14+1,0),0),0)</f>
        <v/>
      </c>
      <c r="E1507" s="182">
        <f>IF(offer_sale_type="транзит",IFERROR(VLOOKUP($B1507,calc_data,E$14+1,0),0),0)</f>
        <v/>
      </c>
      <c r="F1507" s="182">
        <f>IF(offer_sale_type="транзит",IFERROR(VLOOKUP($B1507,calc_data,F$14+1,0),0),0)</f>
        <v/>
      </c>
      <c r="G1507" s="141">
        <f>IF(offer_sale_type="транзит",IFERROR(VLOOKUP($B1507,calc_data,G$14+1,0),0),0)</f>
        <v/>
      </c>
      <c r="H1507" s="141">
        <f>E1507*G1507</f>
        <v/>
      </c>
      <c r="I1507" s="141">
        <f>IF(offer_sale_type="транзит",IFERROR(ROUND(VLOOKUP($B1507,calc_data,I$14+1,0),2),0),0)</f>
        <v/>
      </c>
      <c r="J1507" s="141">
        <f>ROUND(IF(offer_sale_type="транзит",IFERROR(VLOOKUP($B1507,calc_data,J$14+1,0),0),0),2)</f>
        <v/>
      </c>
      <c r="K1507" s="142">
        <f>IF(offer_sale_type="транзит",IFERROR(ROUNDUP(VLOOKUP($B1507,calc_data,K$14+1,0),2),0),0)</f>
        <v/>
      </c>
      <c r="L1507" s="184">
        <f>IF(offer_sale_type="транзит",IFERROR(ROUNDUP(VLOOKUP($B1507,calc_data,L$14+1,0),2),0),0)</f>
        <v/>
      </c>
      <c r="M1507" s="141">
        <f>IF(offer_sale_type="транзит",IFERROR(ROUNDUP(VLOOKUP($B1507,calc_data,M$14+1,0),2),0),0)</f>
        <v/>
      </c>
      <c r="N1507" s="141">
        <f>IF(offer_sale_type="транзит",IFERROR(ROUNDUP(VLOOKUP($B1507,calc_data,N$14+1,0),2),0),0)</f>
        <v/>
      </c>
      <c r="O1507" s="147">
        <f>IF(offer_sale_type="транзит",IFERROR(ROUND(VLOOKUP($B1507,calc_data,O$14+1,1),2),0),0)</f>
        <v/>
      </c>
      <c r="P1507" s="141">
        <f>IF(offer_sale_type="транзит",IFERROR(ROUND(SUM(I1507:J1507,M1507:O1507)/E1507,2),0),0)</f>
        <v/>
      </c>
      <c r="Q1507" s="141">
        <f>E1507*P1507</f>
        <v/>
      </c>
      <c r="R1507" s="141">
        <f>ROUND(Q1507*IF(AND(offer_incoterms="DDP",seller_region="RU"),IF((TODAY()+offer_turnaround_time)&gt;=helpsheet!$L$17,rate_vatRU_from_26,rate_vatRu_till_25),0),2)</f>
        <v/>
      </c>
      <c r="S1507" s="177">
        <f>Q1507+IF(AND(offer_incoterms="DDP",seller_region="RU"),R1507,0)</f>
        <v/>
      </c>
      <c r="T1507" s="45" t="n"/>
      <c r="V1507" s="57">
        <f>IF(Q1507&gt;0,"показать","скрыть")</f>
        <v/>
      </c>
    </row>
    <row r="1508" ht="15.75" customHeight="1">
      <c r="B1508" s="809" t="n">
        <v>1492</v>
      </c>
      <c r="C1508" s="182">
        <f>IF(offer_sale_type="транзит",IFERROR(VLOOKUP($B1508,calc_data,C$14+1,0),0),0)</f>
        <v/>
      </c>
      <c r="D1508" s="280">
        <f>IF(offer_sale_type="транзит",IFERROR(VLOOKUP($B1508,calc_data,D$14+1,0),0),0)</f>
        <v/>
      </c>
      <c r="E1508" s="182">
        <f>IF(offer_sale_type="транзит",IFERROR(VLOOKUP($B1508,calc_data,E$14+1,0),0),0)</f>
        <v/>
      </c>
      <c r="F1508" s="182">
        <f>IF(offer_sale_type="транзит",IFERROR(VLOOKUP($B1508,calc_data,F$14+1,0),0),0)</f>
        <v/>
      </c>
      <c r="G1508" s="141">
        <f>IF(offer_sale_type="транзит",IFERROR(VLOOKUP($B1508,calc_data,G$14+1,0),0),0)</f>
        <v/>
      </c>
      <c r="H1508" s="141">
        <f>E1508*G1508</f>
        <v/>
      </c>
      <c r="I1508" s="141">
        <f>IF(offer_sale_type="транзит",IFERROR(ROUND(VLOOKUP($B1508,calc_data,I$14+1,0),2),0),0)</f>
        <v/>
      </c>
      <c r="J1508" s="141">
        <f>ROUND(IF(offer_sale_type="транзит",IFERROR(VLOOKUP($B1508,calc_data,J$14+1,0),0),0),2)</f>
        <v/>
      </c>
      <c r="K1508" s="142">
        <f>IF(offer_sale_type="транзит",IFERROR(ROUNDUP(VLOOKUP($B1508,calc_data,K$14+1,0),2),0),0)</f>
        <v/>
      </c>
      <c r="L1508" s="184">
        <f>IF(offer_sale_type="транзит",IFERROR(ROUNDUP(VLOOKUP($B1508,calc_data,L$14+1,0),2),0),0)</f>
        <v/>
      </c>
      <c r="M1508" s="141">
        <f>IF(offer_sale_type="транзит",IFERROR(ROUNDUP(VLOOKUP($B1508,calc_data,M$14+1,0),2),0),0)</f>
        <v/>
      </c>
      <c r="N1508" s="141">
        <f>IF(offer_sale_type="транзит",IFERROR(ROUNDUP(VLOOKUP($B1508,calc_data,N$14+1,0),2),0),0)</f>
        <v/>
      </c>
      <c r="O1508" s="147">
        <f>IF(offer_sale_type="транзит",IFERROR(ROUND(VLOOKUP($B1508,calc_data,O$14+1,1),2),0),0)</f>
        <v/>
      </c>
      <c r="P1508" s="141">
        <f>IF(offer_sale_type="транзит",IFERROR(ROUND(SUM(I1508:J1508,M1508:O1508)/E1508,2),0),0)</f>
        <v/>
      </c>
      <c r="Q1508" s="141">
        <f>E1508*P1508</f>
        <v/>
      </c>
      <c r="R1508" s="141">
        <f>ROUND(Q1508*IF(AND(offer_incoterms="DDP",seller_region="RU"),IF((TODAY()+offer_turnaround_time)&gt;=helpsheet!$L$17,rate_vatRU_from_26,rate_vatRu_till_25),0),2)</f>
        <v/>
      </c>
      <c r="S1508" s="177">
        <f>Q1508+IF(AND(offer_incoterms="DDP",seller_region="RU"),R1508,0)</f>
        <v/>
      </c>
      <c r="T1508" s="45" t="n"/>
      <c r="V1508" s="57">
        <f>IF(Q1508&gt;0,"показать","скрыть")</f>
        <v/>
      </c>
    </row>
    <row r="1509" ht="15.75" customHeight="1">
      <c r="B1509" s="809" t="n">
        <v>1493</v>
      </c>
      <c r="C1509" s="182">
        <f>IF(offer_sale_type="транзит",IFERROR(VLOOKUP($B1509,calc_data,C$14+1,0),0),0)</f>
        <v/>
      </c>
      <c r="D1509" s="280">
        <f>IF(offer_sale_type="транзит",IFERROR(VLOOKUP($B1509,calc_data,D$14+1,0),0),0)</f>
        <v/>
      </c>
      <c r="E1509" s="182">
        <f>IF(offer_sale_type="транзит",IFERROR(VLOOKUP($B1509,calc_data,E$14+1,0),0),0)</f>
        <v/>
      </c>
      <c r="F1509" s="182">
        <f>IF(offer_sale_type="транзит",IFERROR(VLOOKUP($B1509,calc_data,F$14+1,0),0),0)</f>
        <v/>
      </c>
      <c r="G1509" s="141">
        <f>IF(offer_sale_type="транзит",IFERROR(VLOOKUP($B1509,calc_data,G$14+1,0),0),0)</f>
        <v/>
      </c>
      <c r="H1509" s="141">
        <f>E1509*G1509</f>
        <v/>
      </c>
      <c r="I1509" s="141">
        <f>IF(offer_sale_type="транзит",IFERROR(ROUND(VLOOKUP($B1509,calc_data,I$14+1,0),2),0),0)</f>
        <v/>
      </c>
      <c r="J1509" s="141">
        <f>ROUND(IF(offer_sale_type="транзит",IFERROR(VLOOKUP($B1509,calc_data,J$14+1,0),0),0),2)</f>
        <v/>
      </c>
      <c r="K1509" s="142">
        <f>IF(offer_sale_type="транзит",IFERROR(ROUNDUP(VLOOKUP($B1509,calc_data,K$14+1,0),2),0),0)</f>
        <v/>
      </c>
      <c r="L1509" s="184">
        <f>IF(offer_sale_type="транзит",IFERROR(ROUNDUP(VLOOKUP($B1509,calc_data,L$14+1,0),2),0),0)</f>
        <v/>
      </c>
      <c r="M1509" s="141">
        <f>IF(offer_sale_type="транзит",IFERROR(ROUNDUP(VLOOKUP($B1509,calc_data,M$14+1,0),2),0),0)</f>
        <v/>
      </c>
      <c r="N1509" s="141">
        <f>IF(offer_sale_type="транзит",IFERROR(ROUNDUP(VLOOKUP($B1509,calc_data,N$14+1,0),2),0),0)</f>
        <v/>
      </c>
      <c r="O1509" s="147">
        <f>IF(offer_sale_type="транзит",IFERROR(ROUND(VLOOKUP($B1509,calc_data,O$14+1,1),2),0),0)</f>
        <v/>
      </c>
      <c r="P1509" s="141">
        <f>IF(offer_sale_type="транзит",IFERROR(ROUND(SUM(I1509:J1509,M1509:O1509)/E1509,2),0),0)</f>
        <v/>
      </c>
      <c r="Q1509" s="141">
        <f>E1509*P1509</f>
        <v/>
      </c>
      <c r="R1509" s="141">
        <f>ROUND(Q1509*IF(AND(offer_incoterms="DDP",seller_region="RU"),IF((TODAY()+offer_turnaround_time)&gt;=helpsheet!$L$17,rate_vatRU_from_26,rate_vatRu_till_25),0),2)</f>
        <v/>
      </c>
      <c r="S1509" s="177">
        <f>Q1509+IF(AND(offer_incoterms="DDP",seller_region="RU"),R1509,0)</f>
        <v/>
      </c>
      <c r="T1509" s="45" t="n"/>
      <c r="V1509" s="57">
        <f>IF(Q1509&gt;0,"показать","скрыть")</f>
        <v/>
      </c>
    </row>
    <row r="1510" ht="15.75" customHeight="1">
      <c r="B1510" s="809" t="n">
        <v>1494</v>
      </c>
      <c r="C1510" s="182">
        <f>IF(offer_sale_type="транзит",IFERROR(VLOOKUP($B1510,calc_data,C$14+1,0),0),0)</f>
        <v/>
      </c>
      <c r="D1510" s="280">
        <f>IF(offer_sale_type="транзит",IFERROR(VLOOKUP($B1510,calc_data,D$14+1,0),0),0)</f>
        <v/>
      </c>
      <c r="E1510" s="182">
        <f>IF(offer_sale_type="транзит",IFERROR(VLOOKUP($B1510,calc_data,E$14+1,0),0),0)</f>
        <v/>
      </c>
      <c r="F1510" s="182">
        <f>IF(offer_sale_type="транзит",IFERROR(VLOOKUP($B1510,calc_data,F$14+1,0),0),0)</f>
        <v/>
      </c>
      <c r="G1510" s="141">
        <f>IF(offer_sale_type="транзит",IFERROR(VLOOKUP($B1510,calc_data,G$14+1,0),0),0)</f>
        <v/>
      </c>
      <c r="H1510" s="141">
        <f>E1510*G1510</f>
        <v/>
      </c>
      <c r="I1510" s="141">
        <f>IF(offer_sale_type="транзит",IFERROR(ROUND(VLOOKUP($B1510,calc_data,I$14+1,0),2),0),0)</f>
        <v/>
      </c>
      <c r="J1510" s="141">
        <f>ROUND(IF(offer_sale_type="транзит",IFERROR(VLOOKUP($B1510,calc_data,J$14+1,0),0),0),2)</f>
        <v/>
      </c>
      <c r="K1510" s="142">
        <f>IF(offer_sale_type="транзит",IFERROR(ROUNDUP(VLOOKUP($B1510,calc_data,K$14+1,0),2),0),0)</f>
        <v/>
      </c>
      <c r="L1510" s="184">
        <f>IF(offer_sale_type="транзит",IFERROR(ROUNDUP(VLOOKUP($B1510,calc_data,L$14+1,0),2),0),0)</f>
        <v/>
      </c>
      <c r="M1510" s="141">
        <f>IF(offer_sale_type="транзит",IFERROR(ROUNDUP(VLOOKUP($B1510,calc_data,M$14+1,0),2),0),0)</f>
        <v/>
      </c>
      <c r="N1510" s="141">
        <f>IF(offer_sale_type="транзит",IFERROR(ROUNDUP(VLOOKUP($B1510,calc_data,N$14+1,0),2),0),0)</f>
        <v/>
      </c>
      <c r="O1510" s="147">
        <f>IF(offer_sale_type="транзит",IFERROR(ROUND(VLOOKUP($B1510,calc_data,O$14+1,1),2),0),0)</f>
        <v/>
      </c>
      <c r="P1510" s="141">
        <f>IF(offer_sale_type="транзит",IFERROR(ROUND(SUM(I1510:J1510,M1510:O1510)/E1510,2),0),0)</f>
        <v/>
      </c>
      <c r="Q1510" s="141">
        <f>E1510*P1510</f>
        <v/>
      </c>
      <c r="R1510" s="141">
        <f>ROUND(Q1510*IF(AND(offer_incoterms="DDP",seller_region="RU"),IF((TODAY()+offer_turnaround_time)&gt;=helpsheet!$L$17,rate_vatRU_from_26,rate_vatRu_till_25),0),2)</f>
        <v/>
      </c>
      <c r="S1510" s="177">
        <f>Q1510+IF(AND(offer_incoterms="DDP",seller_region="RU"),R1510,0)</f>
        <v/>
      </c>
      <c r="T1510" s="45" t="n"/>
      <c r="V1510" s="57">
        <f>IF(Q1510&gt;0,"показать","скрыть")</f>
        <v/>
      </c>
    </row>
    <row r="1511" ht="15.75" customHeight="1">
      <c r="B1511" s="809" t="n">
        <v>1495</v>
      </c>
      <c r="C1511" s="182">
        <f>IF(offer_sale_type="транзит",IFERROR(VLOOKUP($B1511,calc_data,C$14+1,0),0),0)</f>
        <v/>
      </c>
      <c r="D1511" s="280">
        <f>IF(offer_sale_type="транзит",IFERROR(VLOOKUP($B1511,calc_data,D$14+1,0),0),0)</f>
        <v/>
      </c>
      <c r="E1511" s="182">
        <f>IF(offer_sale_type="транзит",IFERROR(VLOOKUP($B1511,calc_data,E$14+1,0),0),0)</f>
        <v/>
      </c>
      <c r="F1511" s="182">
        <f>IF(offer_sale_type="транзит",IFERROR(VLOOKUP($B1511,calc_data,F$14+1,0),0),0)</f>
        <v/>
      </c>
      <c r="G1511" s="141">
        <f>IF(offer_sale_type="транзит",IFERROR(VLOOKUP($B1511,calc_data,G$14+1,0),0),0)</f>
        <v/>
      </c>
      <c r="H1511" s="141">
        <f>E1511*G1511</f>
        <v/>
      </c>
      <c r="I1511" s="141">
        <f>IF(offer_sale_type="транзит",IFERROR(ROUND(VLOOKUP($B1511,calc_data,I$14+1,0),2),0),0)</f>
        <v/>
      </c>
      <c r="J1511" s="141">
        <f>ROUND(IF(offer_sale_type="транзит",IFERROR(VLOOKUP($B1511,calc_data,J$14+1,0),0),0),2)</f>
        <v/>
      </c>
      <c r="K1511" s="142">
        <f>IF(offer_sale_type="транзит",IFERROR(ROUNDUP(VLOOKUP($B1511,calc_data,K$14+1,0),2),0),0)</f>
        <v/>
      </c>
      <c r="L1511" s="184">
        <f>IF(offer_sale_type="транзит",IFERROR(ROUNDUP(VLOOKUP($B1511,calc_data,L$14+1,0),2),0),0)</f>
        <v/>
      </c>
      <c r="M1511" s="141">
        <f>IF(offer_sale_type="транзит",IFERROR(ROUNDUP(VLOOKUP($B1511,calc_data,M$14+1,0),2),0),0)</f>
        <v/>
      </c>
      <c r="N1511" s="141">
        <f>IF(offer_sale_type="транзит",IFERROR(ROUNDUP(VLOOKUP($B1511,calc_data,N$14+1,0),2),0),0)</f>
        <v/>
      </c>
      <c r="O1511" s="147">
        <f>IF(offer_sale_type="транзит",IFERROR(ROUND(VLOOKUP($B1511,calc_data,O$14+1,1),2),0),0)</f>
        <v/>
      </c>
      <c r="P1511" s="141">
        <f>IF(offer_sale_type="транзит",IFERROR(ROUND(SUM(I1511:J1511,M1511:O1511)/E1511,2),0),0)</f>
        <v/>
      </c>
      <c r="Q1511" s="141">
        <f>E1511*P1511</f>
        <v/>
      </c>
      <c r="R1511" s="141">
        <f>ROUND(Q1511*IF(AND(offer_incoterms="DDP",seller_region="RU"),IF((TODAY()+offer_turnaround_time)&gt;=helpsheet!$L$17,rate_vatRU_from_26,rate_vatRu_till_25),0),2)</f>
        <v/>
      </c>
      <c r="S1511" s="177">
        <f>Q1511+IF(AND(offer_incoterms="DDP",seller_region="RU"),R1511,0)</f>
        <v/>
      </c>
      <c r="T1511" s="45" t="n"/>
      <c r="V1511" s="57">
        <f>IF(Q1511&gt;0,"показать","скрыть")</f>
        <v/>
      </c>
    </row>
    <row r="1512" ht="15.75" customHeight="1">
      <c r="B1512" s="809" t="n">
        <v>1496</v>
      </c>
      <c r="C1512" s="182">
        <f>IF(offer_sale_type="транзит",IFERROR(VLOOKUP($B1512,calc_data,C$14+1,0),0),0)</f>
        <v/>
      </c>
      <c r="D1512" s="280">
        <f>IF(offer_sale_type="транзит",IFERROR(VLOOKUP($B1512,calc_data,D$14+1,0),0),0)</f>
        <v/>
      </c>
      <c r="E1512" s="182">
        <f>IF(offer_sale_type="транзит",IFERROR(VLOOKUP($B1512,calc_data,E$14+1,0),0),0)</f>
        <v/>
      </c>
      <c r="F1512" s="182">
        <f>IF(offer_sale_type="транзит",IFERROR(VLOOKUP($B1512,calc_data,F$14+1,0),0),0)</f>
        <v/>
      </c>
      <c r="G1512" s="141">
        <f>IF(offer_sale_type="транзит",IFERROR(VLOOKUP($B1512,calc_data,G$14+1,0),0),0)</f>
        <v/>
      </c>
      <c r="H1512" s="141">
        <f>E1512*G1512</f>
        <v/>
      </c>
      <c r="I1512" s="141">
        <f>IF(offer_sale_type="транзит",IFERROR(ROUND(VLOOKUP($B1512,calc_data,I$14+1,0),2),0),0)</f>
        <v/>
      </c>
      <c r="J1512" s="141">
        <f>ROUND(IF(offer_sale_type="транзит",IFERROR(VLOOKUP($B1512,calc_data,J$14+1,0),0),0),2)</f>
        <v/>
      </c>
      <c r="K1512" s="142">
        <f>IF(offer_sale_type="транзит",IFERROR(ROUNDUP(VLOOKUP($B1512,calc_data,K$14+1,0),2),0),0)</f>
        <v/>
      </c>
      <c r="L1512" s="184">
        <f>IF(offer_sale_type="транзит",IFERROR(ROUNDUP(VLOOKUP($B1512,calc_data,L$14+1,0),2),0),0)</f>
        <v/>
      </c>
      <c r="M1512" s="141">
        <f>IF(offer_sale_type="транзит",IFERROR(ROUNDUP(VLOOKUP($B1512,calc_data,M$14+1,0),2),0),0)</f>
        <v/>
      </c>
      <c r="N1512" s="141">
        <f>IF(offer_sale_type="транзит",IFERROR(ROUNDUP(VLOOKUP($B1512,calc_data,N$14+1,0),2),0),0)</f>
        <v/>
      </c>
      <c r="O1512" s="147">
        <f>IF(offer_sale_type="транзит",IFERROR(ROUND(VLOOKUP($B1512,calc_data,O$14+1,1),2),0),0)</f>
        <v/>
      </c>
      <c r="P1512" s="141">
        <f>IF(offer_sale_type="транзит",IFERROR(ROUND(SUM(I1512:J1512,M1512:O1512)/E1512,2),0),0)</f>
        <v/>
      </c>
      <c r="Q1512" s="141">
        <f>E1512*P1512</f>
        <v/>
      </c>
      <c r="R1512" s="141">
        <f>ROUND(Q1512*IF(AND(offer_incoterms="DDP",seller_region="RU"),IF((TODAY()+offer_turnaround_time)&gt;=helpsheet!$L$17,rate_vatRU_from_26,rate_vatRu_till_25),0),2)</f>
        <v/>
      </c>
      <c r="S1512" s="177">
        <f>Q1512+IF(AND(offer_incoterms="DDP",seller_region="RU"),R1512,0)</f>
        <v/>
      </c>
      <c r="T1512" s="45" t="n"/>
      <c r="V1512" s="57">
        <f>IF(Q1512&gt;0,"показать","скрыть")</f>
        <v/>
      </c>
    </row>
    <row r="1513" ht="15.75" customHeight="1">
      <c r="B1513" s="809" t="n">
        <v>1497</v>
      </c>
      <c r="C1513" s="182">
        <f>IF(offer_sale_type="транзит",IFERROR(VLOOKUP($B1513,calc_data,C$14+1,0),0),0)</f>
        <v/>
      </c>
      <c r="D1513" s="280">
        <f>IF(offer_sale_type="транзит",IFERROR(VLOOKUP($B1513,calc_data,D$14+1,0),0),0)</f>
        <v/>
      </c>
      <c r="E1513" s="182">
        <f>IF(offer_sale_type="транзит",IFERROR(VLOOKUP($B1513,calc_data,E$14+1,0),0),0)</f>
        <v/>
      </c>
      <c r="F1513" s="182">
        <f>IF(offer_sale_type="транзит",IFERROR(VLOOKUP($B1513,calc_data,F$14+1,0),0),0)</f>
        <v/>
      </c>
      <c r="G1513" s="141">
        <f>IF(offer_sale_type="транзит",IFERROR(VLOOKUP($B1513,calc_data,G$14+1,0),0),0)</f>
        <v/>
      </c>
      <c r="H1513" s="141">
        <f>E1513*G1513</f>
        <v/>
      </c>
      <c r="I1513" s="141">
        <f>IF(offer_sale_type="транзит",IFERROR(ROUND(VLOOKUP($B1513,calc_data,I$14+1,0),2),0),0)</f>
        <v/>
      </c>
      <c r="J1513" s="141">
        <f>ROUND(IF(offer_sale_type="транзит",IFERROR(VLOOKUP($B1513,calc_data,J$14+1,0),0),0),2)</f>
        <v/>
      </c>
      <c r="K1513" s="142">
        <f>IF(offer_sale_type="транзит",IFERROR(ROUNDUP(VLOOKUP($B1513,calc_data,K$14+1,0),2),0),0)</f>
        <v/>
      </c>
      <c r="L1513" s="184">
        <f>IF(offer_sale_type="транзит",IFERROR(ROUNDUP(VLOOKUP($B1513,calc_data,L$14+1,0),2),0),0)</f>
        <v/>
      </c>
      <c r="M1513" s="141">
        <f>IF(offer_sale_type="транзит",IFERROR(ROUNDUP(VLOOKUP($B1513,calc_data,M$14+1,0),2),0),0)</f>
        <v/>
      </c>
      <c r="N1513" s="141">
        <f>IF(offer_sale_type="транзит",IFERROR(ROUNDUP(VLOOKUP($B1513,calc_data,N$14+1,0),2),0),0)</f>
        <v/>
      </c>
      <c r="O1513" s="147">
        <f>IF(offer_sale_type="транзит",IFERROR(ROUND(VLOOKUP($B1513,calc_data,O$14+1,1),2),0),0)</f>
        <v/>
      </c>
      <c r="P1513" s="141">
        <f>IF(offer_sale_type="транзит",IFERROR(ROUND(SUM(I1513:J1513,M1513:O1513)/E1513,2),0),0)</f>
        <v/>
      </c>
      <c r="Q1513" s="141">
        <f>E1513*P1513</f>
        <v/>
      </c>
      <c r="R1513" s="141">
        <f>ROUND(Q1513*IF(AND(offer_incoterms="DDP",seller_region="RU"),IF((TODAY()+offer_turnaround_time)&gt;=helpsheet!$L$17,rate_vatRU_from_26,rate_vatRu_till_25),0),2)</f>
        <v/>
      </c>
      <c r="S1513" s="177">
        <f>Q1513+IF(AND(offer_incoterms="DDP",seller_region="RU"),R1513,0)</f>
        <v/>
      </c>
      <c r="T1513" s="45" t="n"/>
      <c r="V1513" s="57">
        <f>IF(Q1513&gt;0,"показать","скрыть")</f>
        <v/>
      </c>
    </row>
    <row r="1514" ht="15.75" customHeight="1">
      <c r="B1514" s="809" t="n">
        <v>1498</v>
      </c>
      <c r="C1514" s="182">
        <f>IF(offer_sale_type="транзит",IFERROR(VLOOKUP($B1514,calc_data,C$14+1,0),0),0)</f>
        <v/>
      </c>
      <c r="D1514" s="280">
        <f>IF(offer_sale_type="транзит",IFERROR(VLOOKUP($B1514,calc_data,D$14+1,0),0),0)</f>
        <v/>
      </c>
      <c r="E1514" s="182">
        <f>IF(offer_sale_type="транзит",IFERROR(VLOOKUP($B1514,calc_data,E$14+1,0),0),0)</f>
        <v/>
      </c>
      <c r="F1514" s="182">
        <f>IF(offer_sale_type="транзит",IFERROR(VLOOKUP($B1514,calc_data,F$14+1,0),0),0)</f>
        <v/>
      </c>
      <c r="G1514" s="141">
        <f>IF(offer_sale_type="транзит",IFERROR(VLOOKUP($B1514,calc_data,G$14+1,0),0),0)</f>
        <v/>
      </c>
      <c r="H1514" s="141">
        <f>E1514*G1514</f>
        <v/>
      </c>
      <c r="I1514" s="141">
        <f>IF(offer_sale_type="транзит",IFERROR(ROUND(VLOOKUP($B1514,calc_data,I$14+1,0),2),0),0)</f>
        <v/>
      </c>
      <c r="J1514" s="141">
        <f>ROUND(IF(offer_sale_type="транзит",IFERROR(VLOOKUP($B1514,calc_data,J$14+1,0),0),0),2)</f>
        <v/>
      </c>
      <c r="K1514" s="142">
        <f>IF(offer_sale_type="транзит",IFERROR(ROUNDUP(VLOOKUP($B1514,calc_data,K$14+1,0),2),0),0)</f>
        <v/>
      </c>
      <c r="L1514" s="184">
        <f>IF(offer_sale_type="транзит",IFERROR(ROUNDUP(VLOOKUP($B1514,calc_data,L$14+1,0),2),0),0)</f>
        <v/>
      </c>
      <c r="M1514" s="141">
        <f>IF(offer_sale_type="транзит",IFERROR(ROUNDUP(VLOOKUP($B1514,calc_data,M$14+1,0),2),0),0)</f>
        <v/>
      </c>
      <c r="N1514" s="141">
        <f>IF(offer_sale_type="транзит",IFERROR(ROUNDUP(VLOOKUP($B1514,calc_data,N$14+1,0),2),0),0)</f>
        <v/>
      </c>
      <c r="O1514" s="147">
        <f>IF(offer_sale_type="транзит",IFERROR(ROUND(VLOOKUP($B1514,calc_data,O$14+1,1),2),0),0)</f>
        <v/>
      </c>
      <c r="P1514" s="141">
        <f>IF(offer_sale_type="транзит",IFERROR(ROUND(SUM(I1514:J1514,M1514:O1514)/E1514,2),0),0)</f>
        <v/>
      </c>
      <c r="Q1514" s="141">
        <f>E1514*P1514</f>
        <v/>
      </c>
      <c r="R1514" s="141">
        <f>ROUND(Q1514*IF(AND(offer_incoterms="DDP",seller_region="RU"),IF((TODAY()+offer_turnaround_time)&gt;=helpsheet!$L$17,rate_vatRU_from_26,rate_vatRu_till_25),0),2)</f>
        <v/>
      </c>
      <c r="S1514" s="177">
        <f>Q1514+IF(AND(offer_incoterms="DDP",seller_region="RU"),R1514,0)</f>
        <v/>
      </c>
      <c r="T1514" s="45" t="n"/>
      <c r="V1514" s="57">
        <f>IF(Q1514&gt;0,"показать","скрыть")</f>
        <v/>
      </c>
    </row>
    <row r="1515" ht="15.75" customHeight="1">
      <c r="B1515" s="809" t="n">
        <v>1499</v>
      </c>
      <c r="C1515" s="182">
        <f>IF(offer_sale_type="транзит",IFERROR(VLOOKUP($B1515,calc_data,C$14+1,0),0),0)</f>
        <v/>
      </c>
      <c r="D1515" s="280">
        <f>IF(offer_sale_type="транзит",IFERROR(VLOOKUP($B1515,calc_data,D$14+1,0),0),0)</f>
        <v/>
      </c>
      <c r="E1515" s="182">
        <f>IF(offer_sale_type="транзит",IFERROR(VLOOKUP($B1515,calc_data,E$14+1,0),0),0)</f>
        <v/>
      </c>
      <c r="F1515" s="182">
        <f>IF(offer_sale_type="транзит",IFERROR(VLOOKUP($B1515,calc_data,F$14+1,0),0),0)</f>
        <v/>
      </c>
      <c r="G1515" s="141">
        <f>IF(offer_sale_type="транзит",IFERROR(VLOOKUP($B1515,calc_data,G$14+1,0),0),0)</f>
        <v/>
      </c>
      <c r="H1515" s="141">
        <f>E1515*G1515</f>
        <v/>
      </c>
      <c r="I1515" s="141">
        <f>IF(offer_sale_type="транзит",IFERROR(ROUND(VLOOKUP($B1515,calc_data,I$14+1,0),2),0),0)</f>
        <v/>
      </c>
      <c r="J1515" s="141">
        <f>ROUND(IF(offer_sale_type="транзит",IFERROR(VLOOKUP($B1515,calc_data,J$14+1,0),0),0),2)</f>
        <v/>
      </c>
      <c r="K1515" s="142">
        <f>IF(offer_sale_type="транзит",IFERROR(ROUNDUP(VLOOKUP($B1515,calc_data,K$14+1,0),2),0),0)</f>
        <v/>
      </c>
      <c r="L1515" s="184">
        <f>IF(offer_sale_type="транзит",IFERROR(ROUNDUP(VLOOKUP($B1515,calc_data,L$14+1,0),2),0),0)</f>
        <v/>
      </c>
      <c r="M1515" s="141">
        <f>IF(offer_sale_type="транзит",IFERROR(ROUNDUP(VLOOKUP($B1515,calc_data,M$14+1,0),2),0),0)</f>
        <v/>
      </c>
      <c r="N1515" s="141">
        <f>IF(offer_sale_type="транзит",IFERROR(ROUNDUP(VLOOKUP($B1515,calc_data,N$14+1,0),2),0),0)</f>
        <v/>
      </c>
      <c r="O1515" s="147">
        <f>IF(offer_sale_type="транзит",IFERROR(ROUND(VLOOKUP($B1515,calc_data,O$14+1,1),2),0),0)</f>
        <v/>
      </c>
      <c r="P1515" s="141">
        <f>IF(offer_sale_type="транзит",IFERROR(ROUND(SUM(I1515:J1515,M1515:O1515)/E1515,2),0),0)</f>
        <v/>
      </c>
      <c r="Q1515" s="141">
        <f>E1515*P1515</f>
        <v/>
      </c>
      <c r="R1515" s="141">
        <f>ROUND(Q1515*IF(AND(offer_incoterms="DDP",seller_region="RU"),IF((TODAY()+offer_turnaround_time)&gt;=helpsheet!$L$17,rate_vatRU_from_26,rate_vatRu_till_25),0),2)</f>
        <v/>
      </c>
      <c r="S1515" s="177">
        <f>Q1515+IF(AND(offer_incoterms="DDP",seller_region="RU"),R1515,0)</f>
        <v/>
      </c>
      <c r="T1515" s="45" t="n"/>
      <c r="V1515" s="57">
        <f>IF(Q1515&gt;0,"показать","скрыть")</f>
        <v/>
      </c>
    </row>
    <row r="1516" ht="15.75" customHeight="1">
      <c r="B1516" s="809" t="n">
        <v>1500</v>
      </c>
      <c r="C1516" s="182">
        <f>IF(offer_sale_type="транзит",IFERROR(VLOOKUP($B1516,calc_data,C$14+1,0),0),0)</f>
        <v/>
      </c>
      <c r="D1516" s="280">
        <f>IF(offer_sale_type="транзит",IFERROR(VLOOKUP($B1516,calc_data,D$14+1,0),0),0)</f>
        <v/>
      </c>
      <c r="E1516" s="182">
        <f>IF(offer_sale_type="транзит",IFERROR(VLOOKUP($B1516,calc_data,E$14+1,0),0),0)</f>
        <v/>
      </c>
      <c r="F1516" s="182">
        <f>IF(offer_sale_type="транзит",IFERROR(VLOOKUP($B1516,calc_data,F$14+1,0),0),0)</f>
        <v/>
      </c>
      <c r="G1516" s="141">
        <f>IF(offer_sale_type="транзит",IFERROR(VLOOKUP($B1516,calc_data,G$14+1,0),0),0)</f>
        <v/>
      </c>
      <c r="H1516" s="141">
        <f>E1516*G1516</f>
        <v/>
      </c>
      <c r="I1516" s="141">
        <f>IF(offer_sale_type="транзит",IFERROR(ROUND(VLOOKUP($B1516,calc_data,I$14+1,0),2),0),0)</f>
        <v/>
      </c>
      <c r="J1516" s="141">
        <f>ROUND(IF(offer_sale_type="транзит",IFERROR(VLOOKUP($B1516,calc_data,J$14+1,0),0),0),2)</f>
        <v/>
      </c>
      <c r="K1516" s="142">
        <f>IF(offer_sale_type="транзит",IFERROR(ROUNDUP(VLOOKUP($B1516,calc_data,K$14+1,0),2),0),0)</f>
        <v/>
      </c>
      <c r="L1516" s="184">
        <f>IF(offer_sale_type="транзит",IFERROR(ROUNDUP(VLOOKUP($B1516,calc_data,L$14+1,0),2),0),0)</f>
        <v/>
      </c>
      <c r="M1516" s="141">
        <f>IF(offer_sale_type="транзит",IFERROR(ROUNDUP(VLOOKUP($B1516,calc_data,M$14+1,0),2),0),0)</f>
        <v/>
      </c>
      <c r="N1516" s="141">
        <f>IF(offer_sale_type="транзит",IFERROR(ROUNDUP(VLOOKUP($B1516,calc_data,N$14+1,0),2),0),0)</f>
        <v/>
      </c>
      <c r="O1516" s="147">
        <f>IF(offer_sale_type="транзит",IFERROR(ROUND(VLOOKUP($B1516,calc_data,O$14+1,1),2),0),0)</f>
        <v/>
      </c>
      <c r="P1516" s="141">
        <f>IF(offer_sale_type="транзит",IFERROR(ROUND(SUM(I1516:J1516,M1516:O1516)/E1516,2),0),0)</f>
        <v/>
      </c>
      <c r="Q1516" s="141">
        <f>E1516*P1516</f>
        <v/>
      </c>
      <c r="R1516" s="141">
        <f>ROUND(Q1516*IF(AND(offer_incoterms="DDP",seller_region="RU"),IF((TODAY()+offer_turnaround_time)&gt;=helpsheet!$L$17,rate_vatRU_from_26,rate_vatRu_till_25),0),2)</f>
        <v/>
      </c>
      <c r="S1516" s="177">
        <f>Q1516+IF(AND(offer_incoterms="DDP",seller_region="RU"),R1516,0)</f>
        <v/>
      </c>
      <c r="T1516" s="45" t="n"/>
      <c r="V1516" s="57">
        <f>IF(Q1516&gt;0,"показать","скрыть")</f>
        <v/>
      </c>
    </row>
    <row r="1517" ht="15.75" customHeight="1">
      <c r="B1517" s="809" t="n">
        <v>1501</v>
      </c>
      <c r="C1517" s="182">
        <f>IF(offer_sale_type="транзит",IFERROR(VLOOKUP($B1517,calc_data,C$14+1,0),0),0)</f>
        <v/>
      </c>
      <c r="D1517" s="280">
        <f>IF(offer_sale_type="транзит",IFERROR(VLOOKUP($B1517,calc_data,D$14+1,0),0),0)</f>
        <v/>
      </c>
      <c r="E1517" s="182">
        <f>IF(offer_sale_type="транзит",IFERROR(VLOOKUP($B1517,calc_data,E$14+1,0),0),0)</f>
        <v/>
      </c>
      <c r="F1517" s="182">
        <f>IF(offer_sale_type="транзит",IFERROR(VLOOKUP($B1517,calc_data,F$14+1,0),0),0)</f>
        <v/>
      </c>
      <c r="G1517" s="141">
        <f>IF(offer_sale_type="транзит",IFERROR(VLOOKUP($B1517,calc_data,G$14+1,0),0),0)</f>
        <v/>
      </c>
      <c r="H1517" s="141">
        <f>E1517*G1517</f>
        <v/>
      </c>
      <c r="I1517" s="141">
        <f>IF(offer_sale_type="транзит",IFERROR(ROUND(VLOOKUP($B1517,calc_data,I$14+1,0),2),0),0)</f>
        <v/>
      </c>
      <c r="J1517" s="141">
        <f>ROUND(IF(offer_sale_type="транзит",IFERROR(VLOOKUP($B1517,calc_data,J$14+1,0),0),0),2)</f>
        <v/>
      </c>
      <c r="K1517" s="142">
        <f>IF(offer_sale_type="транзит",IFERROR(ROUNDUP(VLOOKUP($B1517,calc_data,K$14+1,0),2),0),0)</f>
        <v/>
      </c>
      <c r="L1517" s="184">
        <f>IF(offer_sale_type="транзит",IFERROR(ROUNDUP(VLOOKUP($B1517,calc_data,L$14+1,0),2),0),0)</f>
        <v/>
      </c>
      <c r="M1517" s="141">
        <f>IF(offer_sale_type="транзит",IFERROR(ROUNDUP(VLOOKUP($B1517,calc_data,M$14+1,0),2),0),0)</f>
        <v/>
      </c>
      <c r="N1517" s="141">
        <f>IF(offer_sale_type="транзит",IFERROR(ROUNDUP(VLOOKUP($B1517,calc_data,N$14+1,0),2),0),0)</f>
        <v/>
      </c>
      <c r="O1517" s="147">
        <f>IF(offer_sale_type="транзит",IFERROR(ROUND(VLOOKUP($B1517,calc_data,O$14+1,1),2),0),0)</f>
        <v/>
      </c>
      <c r="P1517" s="141">
        <f>IF(offer_sale_type="транзит",IFERROR(ROUND(SUM(I1517:J1517,M1517:O1517)/E1517,2),0),0)</f>
        <v/>
      </c>
      <c r="Q1517" s="141">
        <f>E1517*P1517</f>
        <v/>
      </c>
      <c r="R1517" s="141">
        <f>ROUND(Q1517*IF(AND(offer_incoterms="DDP",seller_region="RU"),IF((TODAY()+offer_turnaround_time)&gt;=helpsheet!$L$17,rate_vatRU_from_26,rate_vatRu_till_25),0),2)</f>
        <v/>
      </c>
      <c r="S1517" s="177">
        <f>Q1517+IF(AND(offer_incoterms="DDP",seller_region="RU"),R1517,0)</f>
        <v/>
      </c>
      <c r="T1517" s="45" t="n"/>
      <c r="V1517" s="57">
        <f>IF(Q1517&gt;0,"показать","скрыть")</f>
        <v/>
      </c>
    </row>
    <row r="1518" ht="15.75" customHeight="1">
      <c r="B1518" s="809" t="n">
        <v>1502</v>
      </c>
      <c r="C1518" s="182">
        <f>IF(offer_sale_type="транзит",IFERROR(VLOOKUP($B1518,calc_data,C$14+1,0),0),0)</f>
        <v/>
      </c>
      <c r="D1518" s="280">
        <f>IF(offer_sale_type="транзит",IFERROR(VLOOKUP($B1518,calc_data,D$14+1,0),0),0)</f>
        <v/>
      </c>
      <c r="E1518" s="182">
        <f>IF(offer_sale_type="транзит",IFERROR(VLOOKUP($B1518,calc_data,E$14+1,0),0),0)</f>
        <v/>
      </c>
      <c r="F1518" s="182">
        <f>IF(offer_sale_type="транзит",IFERROR(VLOOKUP($B1518,calc_data,F$14+1,0),0),0)</f>
        <v/>
      </c>
      <c r="G1518" s="141">
        <f>IF(offer_sale_type="транзит",IFERROR(VLOOKUP($B1518,calc_data,G$14+1,0),0),0)</f>
        <v/>
      </c>
      <c r="H1518" s="141">
        <f>E1518*G1518</f>
        <v/>
      </c>
      <c r="I1518" s="141">
        <f>IF(offer_sale_type="транзит",IFERROR(ROUND(VLOOKUP($B1518,calc_data,I$14+1,0),2),0),0)</f>
        <v/>
      </c>
      <c r="J1518" s="141">
        <f>ROUND(IF(offer_sale_type="транзит",IFERROR(VLOOKUP($B1518,calc_data,J$14+1,0),0),0),2)</f>
        <v/>
      </c>
      <c r="K1518" s="142">
        <f>IF(offer_sale_type="транзит",IFERROR(ROUNDUP(VLOOKUP($B1518,calc_data,K$14+1,0),2),0),0)</f>
        <v/>
      </c>
      <c r="L1518" s="184">
        <f>IF(offer_sale_type="транзит",IFERROR(ROUNDUP(VLOOKUP($B1518,calc_data,L$14+1,0),2),0),0)</f>
        <v/>
      </c>
      <c r="M1518" s="141">
        <f>IF(offer_sale_type="транзит",IFERROR(ROUNDUP(VLOOKUP($B1518,calc_data,M$14+1,0),2),0),0)</f>
        <v/>
      </c>
      <c r="N1518" s="141">
        <f>IF(offer_sale_type="транзит",IFERROR(ROUNDUP(VLOOKUP($B1518,calc_data,N$14+1,0),2),0),0)</f>
        <v/>
      </c>
      <c r="O1518" s="147">
        <f>IF(offer_sale_type="транзит",IFERROR(ROUND(VLOOKUP($B1518,calc_data,O$14+1,1),2),0),0)</f>
        <v/>
      </c>
      <c r="P1518" s="141">
        <f>IF(offer_sale_type="транзит",IFERROR(ROUND(SUM(I1518:J1518,M1518:O1518)/E1518,2),0),0)</f>
        <v/>
      </c>
      <c r="Q1518" s="141">
        <f>E1518*P1518</f>
        <v/>
      </c>
      <c r="R1518" s="141">
        <f>ROUND(Q1518*IF(AND(offer_incoterms="DDP",seller_region="RU"),IF((TODAY()+offer_turnaround_time)&gt;=helpsheet!$L$17,rate_vatRU_from_26,rate_vatRu_till_25),0),2)</f>
        <v/>
      </c>
      <c r="S1518" s="177">
        <f>Q1518+IF(AND(offer_incoterms="DDP",seller_region="RU"),R1518,0)</f>
        <v/>
      </c>
      <c r="T1518" s="45" t="n"/>
      <c r="V1518" s="57">
        <f>IF(Q1518&gt;0,"показать","скрыть")</f>
        <v/>
      </c>
    </row>
    <row r="1519" ht="15.75" customHeight="1">
      <c r="B1519" s="809" t="n">
        <v>1503</v>
      </c>
      <c r="C1519" s="182">
        <f>IF(offer_sale_type="транзит",IFERROR(VLOOKUP($B1519,calc_data,C$14+1,0),0),0)</f>
        <v/>
      </c>
      <c r="D1519" s="280">
        <f>IF(offer_sale_type="транзит",IFERROR(VLOOKUP($B1519,calc_data,D$14+1,0),0),0)</f>
        <v/>
      </c>
      <c r="E1519" s="182">
        <f>IF(offer_sale_type="транзит",IFERROR(VLOOKUP($B1519,calc_data,E$14+1,0),0),0)</f>
        <v/>
      </c>
      <c r="F1519" s="182">
        <f>IF(offer_sale_type="транзит",IFERROR(VLOOKUP($B1519,calc_data,F$14+1,0),0),0)</f>
        <v/>
      </c>
      <c r="G1519" s="141">
        <f>IF(offer_sale_type="транзит",IFERROR(VLOOKUP($B1519,calc_data,G$14+1,0),0),0)</f>
        <v/>
      </c>
      <c r="H1519" s="141">
        <f>E1519*G1519</f>
        <v/>
      </c>
      <c r="I1519" s="141">
        <f>IF(offer_sale_type="транзит",IFERROR(ROUND(VLOOKUP($B1519,calc_data,I$14+1,0),2),0),0)</f>
        <v/>
      </c>
      <c r="J1519" s="141">
        <f>ROUND(IF(offer_sale_type="транзит",IFERROR(VLOOKUP($B1519,calc_data,J$14+1,0),0),0),2)</f>
        <v/>
      </c>
      <c r="K1519" s="142">
        <f>IF(offer_sale_type="транзит",IFERROR(ROUNDUP(VLOOKUP($B1519,calc_data,K$14+1,0),2),0),0)</f>
        <v/>
      </c>
      <c r="L1519" s="184">
        <f>IF(offer_sale_type="транзит",IFERROR(ROUNDUP(VLOOKUP($B1519,calc_data,L$14+1,0),2),0),0)</f>
        <v/>
      </c>
      <c r="M1519" s="141">
        <f>IF(offer_sale_type="транзит",IFERROR(ROUNDUP(VLOOKUP($B1519,calc_data,M$14+1,0),2),0),0)</f>
        <v/>
      </c>
      <c r="N1519" s="141">
        <f>IF(offer_sale_type="транзит",IFERROR(ROUNDUP(VLOOKUP($B1519,calc_data,N$14+1,0),2),0),0)</f>
        <v/>
      </c>
      <c r="O1519" s="147">
        <f>IF(offer_sale_type="транзит",IFERROR(ROUND(VLOOKUP($B1519,calc_data,O$14+1,1),2),0),0)</f>
        <v/>
      </c>
      <c r="P1519" s="141">
        <f>IF(offer_sale_type="транзит",IFERROR(ROUND(SUM(I1519:J1519,M1519:O1519)/E1519,2),0),0)</f>
        <v/>
      </c>
      <c r="Q1519" s="141">
        <f>E1519*P1519</f>
        <v/>
      </c>
      <c r="R1519" s="141">
        <f>ROUND(Q1519*IF(AND(offer_incoterms="DDP",seller_region="RU"),IF((TODAY()+offer_turnaround_time)&gt;=helpsheet!$L$17,rate_vatRU_from_26,rate_vatRu_till_25),0),2)</f>
        <v/>
      </c>
      <c r="S1519" s="177">
        <f>Q1519+IF(AND(offer_incoterms="DDP",seller_region="RU"),R1519,0)</f>
        <v/>
      </c>
      <c r="T1519" s="45" t="n"/>
      <c r="V1519" s="57">
        <f>IF(Q1519&gt;0,"показать","скрыть")</f>
        <v/>
      </c>
    </row>
    <row r="1520" ht="15.75" customHeight="1">
      <c r="B1520" s="809" t="n">
        <v>1504</v>
      </c>
      <c r="C1520" s="182">
        <f>IF(offer_sale_type="транзит",IFERROR(VLOOKUP($B1520,calc_data,C$14+1,0),0),0)</f>
        <v/>
      </c>
      <c r="D1520" s="280">
        <f>IF(offer_sale_type="транзит",IFERROR(VLOOKUP($B1520,calc_data,D$14+1,0),0),0)</f>
        <v/>
      </c>
      <c r="E1520" s="182">
        <f>IF(offer_sale_type="транзит",IFERROR(VLOOKUP($B1520,calc_data,E$14+1,0),0),0)</f>
        <v/>
      </c>
      <c r="F1520" s="182">
        <f>IF(offer_sale_type="транзит",IFERROR(VLOOKUP($B1520,calc_data,F$14+1,0),0),0)</f>
        <v/>
      </c>
      <c r="G1520" s="141">
        <f>IF(offer_sale_type="транзит",IFERROR(VLOOKUP($B1520,calc_data,G$14+1,0),0),0)</f>
        <v/>
      </c>
      <c r="H1520" s="141">
        <f>E1520*G1520</f>
        <v/>
      </c>
      <c r="I1520" s="141">
        <f>IF(offer_sale_type="транзит",IFERROR(ROUND(VLOOKUP($B1520,calc_data,I$14+1,0),2),0),0)</f>
        <v/>
      </c>
      <c r="J1520" s="141">
        <f>ROUND(IF(offer_sale_type="транзит",IFERROR(VLOOKUP($B1520,calc_data,J$14+1,0),0),0),2)</f>
        <v/>
      </c>
      <c r="K1520" s="142">
        <f>IF(offer_sale_type="транзит",IFERROR(ROUNDUP(VLOOKUP($B1520,calc_data,K$14+1,0),2),0),0)</f>
        <v/>
      </c>
      <c r="L1520" s="184">
        <f>IF(offer_sale_type="транзит",IFERROR(ROUNDUP(VLOOKUP($B1520,calc_data,L$14+1,0),2),0),0)</f>
        <v/>
      </c>
      <c r="M1520" s="141">
        <f>IF(offer_sale_type="транзит",IFERROR(ROUNDUP(VLOOKUP($B1520,calc_data,M$14+1,0),2),0),0)</f>
        <v/>
      </c>
      <c r="N1520" s="141">
        <f>IF(offer_sale_type="транзит",IFERROR(ROUNDUP(VLOOKUP($B1520,calc_data,N$14+1,0),2),0),0)</f>
        <v/>
      </c>
      <c r="O1520" s="147">
        <f>IF(offer_sale_type="транзит",IFERROR(ROUND(VLOOKUP($B1520,calc_data,O$14+1,1),2),0),0)</f>
        <v/>
      </c>
      <c r="P1520" s="141">
        <f>IF(offer_sale_type="транзит",IFERROR(ROUND(SUM(I1520:J1520,M1520:O1520)/E1520,2),0),0)</f>
        <v/>
      </c>
      <c r="Q1520" s="141">
        <f>E1520*P1520</f>
        <v/>
      </c>
      <c r="R1520" s="141">
        <f>ROUND(Q1520*IF(AND(offer_incoterms="DDP",seller_region="RU"),IF((TODAY()+offer_turnaround_time)&gt;=helpsheet!$L$17,rate_vatRU_from_26,rate_vatRu_till_25),0),2)</f>
        <v/>
      </c>
      <c r="S1520" s="177">
        <f>Q1520+IF(AND(offer_incoterms="DDP",seller_region="RU"),R1520,0)</f>
        <v/>
      </c>
      <c r="T1520" s="45" t="n"/>
      <c r="V1520" s="57">
        <f>IF(Q1520&gt;0,"показать","скрыть")</f>
        <v/>
      </c>
    </row>
    <row r="1521" ht="15.75" customHeight="1">
      <c r="B1521" s="809" t="n">
        <v>1505</v>
      </c>
      <c r="C1521" s="182">
        <f>IF(offer_sale_type="транзит",IFERROR(VLOOKUP($B1521,calc_data,C$14+1,0),0),0)</f>
        <v/>
      </c>
      <c r="D1521" s="280">
        <f>IF(offer_sale_type="транзит",IFERROR(VLOOKUP($B1521,calc_data,D$14+1,0),0),0)</f>
        <v/>
      </c>
      <c r="E1521" s="182">
        <f>IF(offer_sale_type="транзит",IFERROR(VLOOKUP($B1521,calc_data,E$14+1,0),0),0)</f>
        <v/>
      </c>
      <c r="F1521" s="182">
        <f>IF(offer_sale_type="транзит",IFERROR(VLOOKUP($B1521,calc_data,F$14+1,0),0),0)</f>
        <v/>
      </c>
      <c r="G1521" s="141">
        <f>IF(offer_sale_type="транзит",IFERROR(VLOOKUP($B1521,calc_data,G$14+1,0),0),0)</f>
        <v/>
      </c>
      <c r="H1521" s="141">
        <f>E1521*G1521</f>
        <v/>
      </c>
      <c r="I1521" s="141">
        <f>IF(offer_sale_type="транзит",IFERROR(ROUND(VLOOKUP($B1521,calc_data,I$14+1,0),2),0),0)</f>
        <v/>
      </c>
      <c r="J1521" s="141">
        <f>ROUND(IF(offer_sale_type="транзит",IFERROR(VLOOKUP($B1521,calc_data,J$14+1,0),0),0),2)</f>
        <v/>
      </c>
      <c r="K1521" s="142">
        <f>IF(offer_sale_type="транзит",IFERROR(ROUNDUP(VLOOKUP($B1521,calc_data,K$14+1,0),2),0),0)</f>
        <v/>
      </c>
      <c r="L1521" s="184">
        <f>IF(offer_sale_type="транзит",IFERROR(ROUNDUP(VLOOKUP($B1521,calc_data,L$14+1,0),2),0),0)</f>
        <v/>
      </c>
      <c r="M1521" s="141">
        <f>IF(offer_sale_type="транзит",IFERROR(ROUNDUP(VLOOKUP($B1521,calc_data,M$14+1,0),2),0),0)</f>
        <v/>
      </c>
      <c r="N1521" s="141">
        <f>IF(offer_sale_type="транзит",IFERROR(ROUNDUP(VLOOKUP($B1521,calc_data,N$14+1,0),2),0),0)</f>
        <v/>
      </c>
      <c r="O1521" s="147">
        <f>IF(offer_sale_type="транзит",IFERROR(ROUND(VLOOKUP($B1521,calc_data,O$14+1,1),2),0),0)</f>
        <v/>
      </c>
      <c r="P1521" s="141">
        <f>IF(offer_sale_type="транзит",IFERROR(ROUND(SUM(I1521:J1521,M1521:O1521)/E1521,2),0),0)</f>
        <v/>
      </c>
      <c r="Q1521" s="141">
        <f>E1521*P1521</f>
        <v/>
      </c>
      <c r="R1521" s="141">
        <f>ROUND(Q1521*IF(AND(offer_incoterms="DDP",seller_region="RU"),IF((TODAY()+offer_turnaround_time)&gt;=helpsheet!$L$17,rate_vatRU_from_26,rate_vatRu_till_25),0),2)</f>
        <v/>
      </c>
      <c r="S1521" s="177">
        <f>Q1521+IF(AND(offer_incoterms="DDP",seller_region="RU"),R1521,0)</f>
        <v/>
      </c>
      <c r="T1521" s="45" t="n"/>
      <c r="V1521" s="57">
        <f>IF(Q1521&gt;0,"показать","скрыть")</f>
        <v/>
      </c>
    </row>
    <row r="1522" ht="15.75" customHeight="1">
      <c r="B1522" s="809" t="n">
        <v>1506</v>
      </c>
      <c r="C1522" s="182">
        <f>IF(offer_sale_type="транзит",IFERROR(VLOOKUP($B1522,calc_data,C$14+1,0),0),0)</f>
        <v/>
      </c>
      <c r="D1522" s="280">
        <f>IF(offer_sale_type="транзит",IFERROR(VLOOKUP($B1522,calc_data,D$14+1,0),0),0)</f>
        <v/>
      </c>
      <c r="E1522" s="182">
        <f>IF(offer_sale_type="транзит",IFERROR(VLOOKUP($B1522,calc_data,E$14+1,0),0),0)</f>
        <v/>
      </c>
      <c r="F1522" s="182">
        <f>IF(offer_sale_type="транзит",IFERROR(VLOOKUP($B1522,calc_data,F$14+1,0),0),0)</f>
        <v/>
      </c>
      <c r="G1522" s="141">
        <f>IF(offer_sale_type="транзит",IFERROR(VLOOKUP($B1522,calc_data,G$14+1,0),0),0)</f>
        <v/>
      </c>
      <c r="H1522" s="141">
        <f>E1522*G1522</f>
        <v/>
      </c>
      <c r="I1522" s="141">
        <f>IF(offer_sale_type="транзит",IFERROR(ROUND(VLOOKUP($B1522,calc_data,I$14+1,0),2),0),0)</f>
        <v/>
      </c>
      <c r="J1522" s="141">
        <f>ROUND(IF(offer_sale_type="транзит",IFERROR(VLOOKUP($B1522,calc_data,J$14+1,0),0),0),2)</f>
        <v/>
      </c>
      <c r="K1522" s="142">
        <f>IF(offer_sale_type="транзит",IFERROR(ROUNDUP(VLOOKUP($B1522,calc_data,K$14+1,0),2),0),0)</f>
        <v/>
      </c>
      <c r="L1522" s="184">
        <f>IF(offer_sale_type="транзит",IFERROR(ROUNDUP(VLOOKUP($B1522,calc_data,L$14+1,0),2),0),0)</f>
        <v/>
      </c>
      <c r="M1522" s="141">
        <f>IF(offer_sale_type="транзит",IFERROR(ROUNDUP(VLOOKUP($B1522,calc_data,M$14+1,0),2),0),0)</f>
        <v/>
      </c>
      <c r="N1522" s="141">
        <f>IF(offer_sale_type="транзит",IFERROR(ROUNDUP(VLOOKUP($B1522,calc_data,N$14+1,0),2),0),0)</f>
        <v/>
      </c>
      <c r="O1522" s="147">
        <f>IF(offer_sale_type="транзит",IFERROR(ROUND(VLOOKUP($B1522,calc_data,O$14+1,1),2),0),0)</f>
        <v/>
      </c>
      <c r="P1522" s="141">
        <f>IF(offer_sale_type="транзит",IFERROR(ROUND(SUM(I1522:J1522,M1522:O1522)/E1522,2),0),0)</f>
        <v/>
      </c>
      <c r="Q1522" s="141">
        <f>E1522*P1522</f>
        <v/>
      </c>
      <c r="R1522" s="141">
        <f>ROUND(Q1522*IF(AND(offer_incoterms="DDP",seller_region="RU"),IF((TODAY()+offer_turnaround_time)&gt;=helpsheet!$L$17,rate_vatRU_from_26,rate_vatRu_till_25),0),2)</f>
        <v/>
      </c>
      <c r="S1522" s="177">
        <f>Q1522+IF(AND(offer_incoterms="DDP",seller_region="RU"),R1522,0)</f>
        <v/>
      </c>
      <c r="T1522" s="45" t="n"/>
      <c r="V1522" s="57">
        <f>IF(Q1522&gt;0,"показать","скрыть")</f>
        <v/>
      </c>
    </row>
    <row r="1523" ht="15.75" customHeight="1">
      <c r="B1523" s="809" t="n">
        <v>1507</v>
      </c>
      <c r="C1523" s="182">
        <f>IF(offer_sale_type="транзит",IFERROR(VLOOKUP($B1523,calc_data,C$14+1,0),0),0)</f>
        <v/>
      </c>
      <c r="D1523" s="280">
        <f>IF(offer_sale_type="транзит",IFERROR(VLOOKUP($B1523,calc_data,D$14+1,0),0),0)</f>
        <v/>
      </c>
      <c r="E1523" s="182">
        <f>IF(offer_sale_type="транзит",IFERROR(VLOOKUP($B1523,calc_data,E$14+1,0),0),0)</f>
        <v/>
      </c>
      <c r="F1523" s="182">
        <f>IF(offer_sale_type="транзит",IFERROR(VLOOKUP($B1523,calc_data,F$14+1,0),0),0)</f>
        <v/>
      </c>
      <c r="G1523" s="141">
        <f>IF(offer_sale_type="транзит",IFERROR(VLOOKUP($B1523,calc_data,G$14+1,0),0),0)</f>
        <v/>
      </c>
      <c r="H1523" s="141">
        <f>E1523*G1523</f>
        <v/>
      </c>
      <c r="I1523" s="141">
        <f>IF(offer_sale_type="транзит",IFERROR(ROUND(VLOOKUP($B1523,calc_data,I$14+1,0),2),0),0)</f>
        <v/>
      </c>
      <c r="J1523" s="141">
        <f>ROUND(IF(offer_sale_type="транзит",IFERROR(VLOOKUP($B1523,calc_data,J$14+1,0),0),0),2)</f>
        <v/>
      </c>
      <c r="K1523" s="142">
        <f>IF(offer_sale_type="транзит",IFERROR(ROUNDUP(VLOOKUP($B1523,calc_data,K$14+1,0),2),0),0)</f>
        <v/>
      </c>
      <c r="L1523" s="184">
        <f>IF(offer_sale_type="транзит",IFERROR(ROUNDUP(VLOOKUP($B1523,calc_data,L$14+1,0),2),0),0)</f>
        <v/>
      </c>
      <c r="M1523" s="141">
        <f>IF(offer_sale_type="транзит",IFERROR(ROUNDUP(VLOOKUP($B1523,calc_data,M$14+1,0),2),0),0)</f>
        <v/>
      </c>
      <c r="N1523" s="141">
        <f>IF(offer_sale_type="транзит",IFERROR(ROUNDUP(VLOOKUP($B1523,calc_data,N$14+1,0),2),0),0)</f>
        <v/>
      </c>
      <c r="O1523" s="147">
        <f>IF(offer_sale_type="транзит",IFERROR(ROUND(VLOOKUP($B1523,calc_data,O$14+1,1),2),0),0)</f>
        <v/>
      </c>
      <c r="P1523" s="141">
        <f>IF(offer_sale_type="транзит",IFERROR(ROUND(SUM(I1523:J1523,M1523:O1523)/E1523,2),0),0)</f>
        <v/>
      </c>
      <c r="Q1523" s="141">
        <f>E1523*P1523</f>
        <v/>
      </c>
      <c r="R1523" s="141">
        <f>ROUND(Q1523*IF(AND(offer_incoterms="DDP",seller_region="RU"),IF((TODAY()+offer_turnaround_time)&gt;=helpsheet!$L$17,rate_vatRU_from_26,rate_vatRu_till_25),0),2)</f>
        <v/>
      </c>
      <c r="S1523" s="177">
        <f>Q1523+IF(AND(offer_incoterms="DDP",seller_region="RU"),R1523,0)</f>
        <v/>
      </c>
      <c r="T1523" s="45" t="n"/>
      <c r="V1523" s="57">
        <f>IF(Q1523&gt;0,"показать","скрыть")</f>
        <v/>
      </c>
    </row>
    <row r="1524" ht="15.75" customHeight="1">
      <c r="B1524" s="809" t="n">
        <v>1508</v>
      </c>
      <c r="C1524" s="182">
        <f>IF(offer_sale_type="транзит",IFERROR(VLOOKUP($B1524,calc_data,C$14+1,0),0),0)</f>
        <v/>
      </c>
      <c r="D1524" s="280">
        <f>IF(offer_sale_type="транзит",IFERROR(VLOOKUP($B1524,calc_data,D$14+1,0),0),0)</f>
        <v/>
      </c>
      <c r="E1524" s="182">
        <f>IF(offer_sale_type="транзит",IFERROR(VLOOKUP($B1524,calc_data,E$14+1,0),0),0)</f>
        <v/>
      </c>
      <c r="F1524" s="182">
        <f>IF(offer_sale_type="транзит",IFERROR(VLOOKUP($B1524,calc_data,F$14+1,0),0),0)</f>
        <v/>
      </c>
      <c r="G1524" s="141">
        <f>IF(offer_sale_type="транзит",IFERROR(VLOOKUP($B1524,calc_data,G$14+1,0),0),0)</f>
        <v/>
      </c>
      <c r="H1524" s="141">
        <f>E1524*G1524</f>
        <v/>
      </c>
      <c r="I1524" s="141">
        <f>IF(offer_sale_type="транзит",IFERROR(ROUND(VLOOKUP($B1524,calc_data,I$14+1,0),2),0),0)</f>
        <v/>
      </c>
      <c r="J1524" s="141">
        <f>ROUND(IF(offer_sale_type="транзит",IFERROR(VLOOKUP($B1524,calc_data,J$14+1,0),0),0),2)</f>
        <v/>
      </c>
      <c r="K1524" s="142">
        <f>IF(offer_sale_type="транзит",IFERROR(ROUNDUP(VLOOKUP($B1524,calc_data,K$14+1,0),2),0),0)</f>
        <v/>
      </c>
      <c r="L1524" s="184">
        <f>IF(offer_sale_type="транзит",IFERROR(ROUNDUP(VLOOKUP($B1524,calc_data,L$14+1,0),2),0),0)</f>
        <v/>
      </c>
      <c r="M1524" s="141">
        <f>IF(offer_sale_type="транзит",IFERROR(ROUNDUP(VLOOKUP($B1524,calc_data,M$14+1,0),2),0),0)</f>
        <v/>
      </c>
      <c r="N1524" s="141">
        <f>IF(offer_sale_type="транзит",IFERROR(ROUNDUP(VLOOKUP($B1524,calc_data,N$14+1,0),2),0),0)</f>
        <v/>
      </c>
      <c r="O1524" s="147">
        <f>IF(offer_sale_type="транзит",IFERROR(ROUND(VLOOKUP($B1524,calc_data,O$14+1,1),2),0),0)</f>
        <v/>
      </c>
      <c r="P1524" s="141">
        <f>IF(offer_sale_type="транзит",IFERROR(ROUND(SUM(I1524:J1524,M1524:O1524)/E1524,2),0),0)</f>
        <v/>
      </c>
      <c r="Q1524" s="141">
        <f>E1524*P1524</f>
        <v/>
      </c>
      <c r="R1524" s="141">
        <f>ROUND(Q1524*IF(AND(offer_incoterms="DDP",seller_region="RU"),IF((TODAY()+offer_turnaround_time)&gt;=helpsheet!$L$17,rate_vatRU_from_26,rate_vatRu_till_25),0),2)</f>
        <v/>
      </c>
      <c r="S1524" s="177">
        <f>Q1524+IF(AND(offer_incoterms="DDP",seller_region="RU"),R1524,0)</f>
        <v/>
      </c>
      <c r="T1524" s="45" t="n"/>
      <c r="V1524" s="57">
        <f>IF(Q1524&gt;0,"показать","скрыть")</f>
        <v/>
      </c>
    </row>
    <row r="1525" ht="15.75" customHeight="1">
      <c r="B1525" s="809" t="n">
        <v>1509</v>
      </c>
      <c r="C1525" s="182">
        <f>IF(offer_sale_type="транзит",IFERROR(VLOOKUP($B1525,calc_data,C$14+1,0),0),0)</f>
        <v/>
      </c>
      <c r="D1525" s="280">
        <f>IF(offer_sale_type="транзит",IFERROR(VLOOKUP($B1525,calc_data,D$14+1,0),0),0)</f>
        <v/>
      </c>
      <c r="E1525" s="182">
        <f>IF(offer_sale_type="транзит",IFERROR(VLOOKUP($B1525,calc_data,E$14+1,0),0),0)</f>
        <v/>
      </c>
      <c r="F1525" s="182">
        <f>IF(offer_sale_type="транзит",IFERROR(VLOOKUP($B1525,calc_data,F$14+1,0),0),0)</f>
        <v/>
      </c>
      <c r="G1525" s="141">
        <f>IF(offer_sale_type="транзит",IFERROR(VLOOKUP($B1525,calc_data,G$14+1,0),0),0)</f>
        <v/>
      </c>
      <c r="H1525" s="141">
        <f>E1525*G1525</f>
        <v/>
      </c>
      <c r="I1525" s="141">
        <f>IF(offer_sale_type="транзит",IFERROR(ROUND(VLOOKUP($B1525,calc_data,I$14+1,0),2),0),0)</f>
        <v/>
      </c>
      <c r="J1525" s="141">
        <f>ROUND(IF(offer_sale_type="транзит",IFERROR(VLOOKUP($B1525,calc_data,J$14+1,0),0),0),2)</f>
        <v/>
      </c>
      <c r="K1525" s="142">
        <f>IF(offer_sale_type="транзит",IFERROR(ROUNDUP(VLOOKUP($B1525,calc_data,K$14+1,0),2),0),0)</f>
        <v/>
      </c>
      <c r="L1525" s="184">
        <f>IF(offer_sale_type="транзит",IFERROR(ROUNDUP(VLOOKUP($B1525,calc_data,L$14+1,0),2),0),0)</f>
        <v/>
      </c>
      <c r="M1525" s="141">
        <f>IF(offer_sale_type="транзит",IFERROR(ROUNDUP(VLOOKUP($B1525,calc_data,M$14+1,0),2),0),0)</f>
        <v/>
      </c>
      <c r="N1525" s="141">
        <f>IF(offer_sale_type="транзит",IFERROR(ROUNDUP(VLOOKUP($B1525,calc_data,N$14+1,0),2),0),0)</f>
        <v/>
      </c>
      <c r="O1525" s="147">
        <f>IF(offer_sale_type="транзит",IFERROR(ROUND(VLOOKUP($B1525,calc_data,O$14+1,1),2),0),0)</f>
        <v/>
      </c>
      <c r="P1525" s="141">
        <f>IF(offer_sale_type="транзит",IFERROR(ROUND(SUM(I1525:J1525,M1525:O1525)/E1525,2),0),0)</f>
        <v/>
      </c>
      <c r="Q1525" s="141">
        <f>E1525*P1525</f>
        <v/>
      </c>
      <c r="R1525" s="141">
        <f>ROUND(Q1525*IF(AND(offer_incoterms="DDP",seller_region="RU"),IF((TODAY()+offer_turnaround_time)&gt;=helpsheet!$L$17,rate_vatRU_from_26,rate_vatRu_till_25),0),2)</f>
        <v/>
      </c>
      <c r="S1525" s="177">
        <f>Q1525+IF(AND(offer_incoterms="DDP",seller_region="RU"),R1525,0)</f>
        <v/>
      </c>
      <c r="T1525" s="45" t="n"/>
      <c r="V1525" s="57">
        <f>IF(Q1525&gt;0,"показать","скрыть")</f>
        <v/>
      </c>
    </row>
    <row r="1526" ht="15.75" customHeight="1">
      <c r="B1526" s="809" t="n">
        <v>1510</v>
      </c>
      <c r="C1526" s="182">
        <f>IF(offer_sale_type="транзит",IFERROR(VLOOKUP($B1526,calc_data,C$14+1,0),0),0)</f>
        <v/>
      </c>
      <c r="D1526" s="280">
        <f>IF(offer_sale_type="транзит",IFERROR(VLOOKUP($B1526,calc_data,D$14+1,0),0),0)</f>
        <v/>
      </c>
      <c r="E1526" s="182">
        <f>IF(offer_sale_type="транзит",IFERROR(VLOOKUP($B1526,calc_data,E$14+1,0),0),0)</f>
        <v/>
      </c>
      <c r="F1526" s="182">
        <f>IF(offer_sale_type="транзит",IFERROR(VLOOKUP($B1526,calc_data,F$14+1,0),0),0)</f>
        <v/>
      </c>
      <c r="G1526" s="141">
        <f>IF(offer_sale_type="транзит",IFERROR(VLOOKUP($B1526,calc_data,G$14+1,0),0),0)</f>
        <v/>
      </c>
      <c r="H1526" s="141">
        <f>E1526*G1526</f>
        <v/>
      </c>
      <c r="I1526" s="141">
        <f>IF(offer_sale_type="транзит",IFERROR(ROUND(VLOOKUP($B1526,calc_data,I$14+1,0),2),0),0)</f>
        <v/>
      </c>
      <c r="J1526" s="141">
        <f>ROUND(IF(offer_sale_type="транзит",IFERROR(VLOOKUP($B1526,calc_data,J$14+1,0),0),0),2)</f>
        <v/>
      </c>
      <c r="K1526" s="142">
        <f>IF(offer_sale_type="транзит",IFERROR(ROUNDUP(VLOOKUP($B1526,calc_data,K$14+1,0),2),0),0)</f>
        <v/>
      </c>
      <c r="L1526" s="184">
        <f>IF(offer_sale_type="транзит",IFERROR(ROUNDUP(VLOOKUP($B1526,calc_data,L$14+1,0),2),0),0)</f>
        <v/>
      </c>
      <c r="M1526" s="141">
        <f>IF(offer_sale_type="транзит",IFERROR(ROUNDUP(VLOOKUP($B1526,calc_data,M$14+1,0),2),0),0)</f>
        <v/>
      </c>
      <c r="N1526" s="141">
        <f>IF(offer_sale_type="транзит",IFERROR(ROUNDUP(VLOOKUP($B1526,calc_data,N$14+1,0),2),0),0)</f>
        <v/>
      </c>
      <c r="O1526" s="147">
        <f>IF(offer_sale_type="транзит",IFERROR(ROUND(VLOOKUP($B1526,calc_data,O$14+1,1),2),0),0)</f>
        <v/>
      </c>
      <c r="P1526" s="141">
        <f>IF(offer_sale_type="транзит",IFERROR(ROUND(SUM(I1526:J1526,M1526:O1526)/E1526,2),0),0)</f>
        <v/>
      </c>
      <c r="Q1526" s="141">
        <f>E1526*P1526</f>
        <v/>
      </c>
      <c r="R1526" s="141">
        <f>ROUND(Q1526*IF(AND(offer_incoterms="DDP",seller_region="RU"),IF((TODAY()+offer_turnaround_time)&gt;=helpsheet!$L$17,rate_vatRU_from_26,rate_vatRu_till_25),0),2)</f>
        <v/>
      </c>
      <c r="S1526" s="177">
        <f>Q1526+IF(AND(offer_incoterms="DDP",seller_region="RU"),R1526,0)</f>
        <v/>
      </c>
      <c r="T1526" s="45" t="n"/>
      <c r="V1526" s="57">
        <f>IF(Q1526&gt;0,"показать","скрыть")</f>
        <v/>
      </c>
    </row>
    <row r="1527" ht="15.75" customHeight="1">
      <c r="B1527" s="809" t="n">
        <v>1511</v>
      </c>
      <c r="C1527" s="182">
        <f>IF(offer_sale_type="транзит",IFERROR(VLOOKUP($B1527,calc_data,C$14+1,0),0),0)</f>
        <v/>
      </c>
      <c r="D1527" s="280">
        <f>IF(offer_sale_type="транзит",IFERROR(VLOOKUP($B1527,calc_data,D$14+1,0),0),0)</f>
        <v/>
      </c>
      <c r="E1527" s="182">
        <f>IF(offer_sale_type="транзит",IFERROR(VLOOKUP($B1527,calc_data,E$14+1,0),0),0)</f>
        <v/>
      </c>
      <c r="F1527" s="182">
        <f>IF(offer_sale_type="транзит",IFERROR(VLOOKUP($B1527,calc_data,F$14+1,0),0),0)</f>
        <v/>
      </c>
      <c r="G1527" s="141">
        <f>IF(offer_sale_type="транзит",IFERROR(VLOOKUP($B1527,calc_data,G$14+1,0),0),0)</f>
        <v/>
      </c>
      <c r="H1527" s="141">
        <f>E1527*G1527</f>
        <v/>
      </c>
      <c r="I1527" s="141">
        <f>IF(offer_sale_type="транзит",IFERROR(ROUND(VLOOKUP($B1527,calc_data,I$14+1,0),2),0),0)</f>
        <v/>
      </c>
      <c r="J1527" s="141">
        <f>ROUND(IF(offer_sale_type="транзит",IFERROR(VLOOKUP($B1527,calc_data,J$14+1,0),0),0),2)</f>
        <v/>
      </c>
      <c r="K1527" s="142">
        <f>IF(offer_sale_type="транзит",IFERROR(ROUNDUP(VLOOKUP($B1527,calc_data,K$14+1,0),2),0),0)</f>
        <v/>
      </c>
      <c r="L1527" s="184">
        <f>IF(offer_sale_type="транзит",IFERROR(ROUNDUP(VLOOKUP($B1527,calc_data,L$14+1,0),2),0),0)</f>
        <v/>
      </c>
      <c r="M1527" s="141">
        <f>IF(offer_sale_type="транзит",IFERROR(ROUNDUP(VLOOKUP($B1527,calc_data,M$14+1,0),2),0),0)</f>
        <v/>
      </c>
      <c r="N1527" s="141">
        <f>IF(offer_sale_type="транзит",IFERROR(ROUNDUP(VLOOKUP($B1527,calc_data,N$14+1,0),2),0),0)</f>
        <v/>
      </c>
      <c r="O1527" s="147">
        <f>IF(offer_sale_type="транзит",IFERROR(ROUND(VLOOKUP($B1527,calc_data,O$14+1,1),2),0),0)</f>
        <v/>
      </c>
      <c r="P1527" s="141">
        <f>IF(offer_sale_type="транзит",IFERROR(ROUND(SUM(I1527:J1527,M1527:O1527)/E1527,2),0),0)</f>
        <v/>
      </c>
      <c r="Q1527" s="141">
        <f>E1527*P1527</f>
        <v/>
      </c>
      <c r="R1527" s="141">
        <f>ROUND(Q1527*IF(AND(offer_incoterms="DDP",seller_region="RU"),IF((TODAY()+offer_turnaround_time)&gt;=helpsheet!$L$17,rate_vatRU_from_26,rate_vatRu_till_25),0),2)</f>
        <v/>
      </c>
      <c r="S1527" s="177">
        <f>Q1527+IF(AND(offer_incoterms="DDP",seller_region="RU"),R1527,0)</f>
        <v/>
      </c>
      <c r="T1527" s="45" t="n"/>
      <c r="V1527" s="57">
        <f>IF(Q1527&gt;0,"показать","скрыть")</f>
        <v/>
      </c>
    </row>
    <row r="1528" ht="15.75" customHeight="1">
      <c r="B1528" s="809" t="n">
        <v>1512</v>
      </c>
      <c r="C1528" s="182">
        <f>IF(offer_sale_type="транзит",IFERROR(VLOOKUP($B1528,calc_data,C$14+1,0),0),0)</f>
        <v/>
      </c>
      <c r="D1528" s="280">
        <f>IF(offer_sale_type="транзит",IFERROR(VLOOKUP($B1528,calc_data,D$14+1,0),0),0)</f>
        <v/>
      </c>
      <c r="E1528" s="182">
        <f>IF(offer_sale_type="транзит",IFERROR(VLOOKUP($B1528,calc_data,E$14+1,0),0),0)</f>
        <v/>
      </c>
      <c r="F1528" s="182">
        <f>IF(offer_sale_type="транзит",IFERROR(VLOOKUP($B1528,calc_data,F$14+1,0),0),0)</f>
        <v/>
      </c>
      <c r="G1528" s="141">
        <f>IF(offer_sale_type="транзит",IFERROR(VLOOKUP($B1528,calc_data,G$14+1,0),0),0)</f>
        <v/>
      </c>
      <c r="H1528" s="141">
        <f>E1528*G1528</f>
        <v/>
      </c>
      <c r="I1528" s="141">
        <f>IF(offer_sale_type="транзит",IFERROR(ROUND(VLOOKUP($B1528,calc_data,I$14+1,0),2),0),0)</f>
        <v/>
      </c>
      <c r="J1528" s="141">
        <f>ROUND(IF(offer_sale_type="транзит",IFERROR(VLOOKUP($B1528,calc_data,J$14+1,0),0),0),2)</f>
        <v/>
      </c>
      <c r="K1528" s="142">
        <f>IF(offer_sale_type="транзит",IFERROR(ROUNDUP(VLOOKUP($B1528,calc_data,K$14+1,0),2),0),0)</f>
        <v/>
      </c>
      <c r="L1528" s="184">
        <f>IF(offer_sale_type="транзит",IFERROR(ROUNDUP(VLOOKUP($B1528,calc_data,L$14+1,0),2),0),0)</f>
        <v/>
      </c>
      <c r="M1528" s="141">
        <f>IF(offer_sale_type="транзит",IFERROR(ROUNDUP(VLOOKUP($B1528,calc_data,M$14+1,0),2),0),0)</f>
        <v/>
      </c>
      <c r="N1528" s="141">
        <f>IF(offer_sale_type="транзит",IFERROR(ROUNDUP(VLOOKUP($B1528,calc_data,N$14+1,0),2),0),0)</f>
        <v/>
      </c>
      <c r="O1528" s="147">
        <f>IF(offer_sale_type="транзит",IFERROR(ROUND(VLOOKUP($B1528,calc_data,O$14+1,1),2),0),0)</f>
        <v/>
      </c>
      <c r="P1528" s="141">
        <f>IF(offer_sale_type="транзит",IFERROR(ROUND(SUM(I1528:J1528,M1528:O1528)/E1528,2),0),0)</f>
        <v/>
      </c>
      <c r="Q1528" s="141">
        <f>E1528*P1528</f>
        <v/>
      </c>
      <c r="R1528" s="141">
        <f>ROUND(Q1528*IF(AND(offer_incoterms="DDP",seller_region="RU"),IF((TODAY()+offer_turnaround_time)&gt;=helpsheet!$L$17,rate_vatRU_from_26,rate_vatRu_till_25),0),2)</f>
        <v/>
      </c>
      <c r="S1528" s="177">
        <f>Q1528+IF(AND(offer_incoterms="DDP",seller_region="RU"),R1528,0)</f>
        <v/>
      </c>
      <c r="T1528" s="45" t="n"/>
      <c r="V1528" s="57">
        <f>IF(Q1528&gt;0,"показать","скрыть")</f>
        <v/>
      </c>
    </row>
    <row r="1529" ht="15.75" customHeight="1">
      <c r="B1529" s="809" t="n">
        <v>1513</v>
      </c>
      <c r="C1529" s="182">
        <f>IF(offer_sale_type="транзит",IFERROR(VLOOKUP($B1529,calc_data,C$14+1,0),0),0)</f>
        <v/>
      </c>
      <c r="D1529" s="280">
        <f>IF(offer_sale_type="транзит",IFERROR(VLOOKUP($B1529,calc_data,D$14+1,0),0),0)</f>
        <v/>
      </c>
      <c r="E1529" s="182">
        <f>IF(offer_sale_type="транзит",IFERROR(VLOOKUP($B1529,calc_data,E$14+1,0),0),0)</f>
        <v/>
      </c>
      <c r="F1529" s="182">
        <f>IF(offer_sale_type="транзит",IFERROR(VLOOKUP($B1529,calc_data,F$14+1,0),0),0)</f>
        <v/>
      </c>
      <c r="G1529" s="141">
        <f>IF(offer_sale_type="транзит",IFERROR(VLOOKUP($B1529,calc_data,G$14+1,0),0),0)</f>
        <v/>
      </c>
      <c r="H1529" s="141">
        <f>E1529*G1529</f>
        <v/>
      </c>
      <c r="I1529" s="141">
        <f>IF(offer_sale_type="транзит",IFERROR(ROUND(VLOOKUP($B1529,calc_data,I$14+1,0),2),0),0)</f>
        <v/>
      </c>
      <c r="J1529" s="141">
        <f>ROUND(IF(offer_sale_type="транзит",IFERROR(VLOOKUP($B1529,calc_data,J$14+1,0),0),0),2)</f>
        <v/>
      </c>
      <c r="K1529" s="142">
        <f>IF(offer_sale_type="транзит",IFERROR(ROUNDUP(VLOOKUP($B1529,calc_data,K$14+1,0),2),0),0)</f>
        <v/>
      </c>
      <c r="L1529" s="184">
        <f>IF(offer_sale_type="транзит",IFERROR(ROUNDUP(VLOOKUP($B1529,calc_data,L$14+1,0),2),0),0)</f>
        <v/>
      </c>
      <c r="M1529" s="141">
        <f>IF(offer_sale_type="транзит",IFERROR(ROUNDUP(VLOOKUP($B1529,calc_data,M$14+1,0),2),0),0)</f>
        <v/>
      </c>
      <c r="N1529" s="141">
        <f>IF(offer_sale_type="транзит",IFERROR(ROUNDUP(VLOOKUP($B1529,calc_data,N$14+1,0),2),0),0)</f>
        <v/>
      </c>
      <c r="O1529" s="147">
        <f>IF(offer_sale_type="транзит",IFERROR(ROUND(VLOOKUP($B1529,calc_data,O$14+1,1),2),0),0)</f>
        <v/>
      </c>
      <c r="P1529" s="141">
        <f>IF(offer_sale_type="транзит",IFERROR(ROUND(SUM(I1529:J1529,M1529:O1529)/E1529,2),0),0)</f>
        <v/>
      </c>
      <c r="Q1529" s="141">
        <f>E1529*P1529</f>
        <v/>
      </c>
      <c r="R1529" s="141">
        <f>ROUND(Q1529*IF(AND(offer_incoterms="DDP",seller_region="RU"),IF((TODAY()+offer_turnaround_time)&gt;=helpsheet!$L$17,rate_vatRU_from_26,rate_vatRu_till_25),0),2)</f>
        <v/>
      </c>
      <c r="S1529" s="177">
        <f>Q1529+IF(AND(offer_incoterms="DDP",seller_region="RU"),R1529,0)</f>
        <v/>
      </c>
      <c r="T1529" s="45" t="n"/>
      <c r="V1529" s="57">
        <f>IF(Q1529&gt;0,"показать","скрыть")</f>
        <v/>
      </c>
    </row>
    <row r="1530" ht="15.75" customHeight="1">
      <c r="B1530" s="809" t="n">
        <v>1514</v>
      </c>
      <c r="C1530" s="182">
        <f>IF(offer_sale_type="транзит",IFERROR(VLOOKUP($B1530,calc_data,C$14+1,0),0),0)</f>
        <v/>
      </c>
      <c r="D1530" s="280">
        <f>IF(offer_sale_type="транзит",IFERROR(VLOOKUP($B1530,calc_data,D$14+1,0),0),0)</f>
        <v/>
      </c>
      <c r="E1530" s="182">
        <f>IF(offer_sale_type="транзит",IFERROR(VLOOKUP($B1530,calc_data,E$14+1,0),0),0)</f>
        <v/>
      </c>
      <c r="F1530" s="182">
        <f>IF(offer_sale_type="транзит",IFERROR(VLOOKUP($B1530,calc_data,F$14+1,0),0),0)</f>
        <v/>
      </c>
      <c r="G1530" s="141">
        <f>IF(offer_sale_type="транзит",IFERROR(VLOOKUP($B1530,calc_data,G$14+1,0),0),0)</f>
        <v/>
      </c>
      <c r="H1530" s="141">
        <f>E1530*G1530</f>
        <v/>
      </c>
      <c r="I1530" s="141">
        <f>IF(offer_sale_type="транзит",IFERROR(ROUND(VLOOKUP($B1530,calc_data,I$14+1,0),2),0),0)</f>
        <v/>
      </c>
      <c r="J1530" s="141">
        <f>ROUND(IF(offer_sale_type="транзит",IFERROR(VLOOKUP($B1530,calc_data,J$14+1,0),0),0),2)</f>
        <v/>
      </c>
      <c r="K1530" s="142">
        <f>IF(offer_sale_type="транзит",IFERROR(ROUNDUP(VLOOKUP($B1530,calc_data,K$14+1,0),2),0),0)</f>
        <v/>
      </c>
      <c r="L1530" s="184">
        <f>IF(offer_sale_type="транзит",IFERROR(ROUNDUP(VLOOKUP($B1530,calc_data,L$14+1,0),2),0),0)</f>
        <v/>
      </c>
      <c r="M1530" s="141">
        <f>IF(offer_sale_type="транзит",IFERROR(ROUNDUP(VLOOKUP($B1530,calc_data,M$14+1,0),2),0),0)</f>
        <v/>
      </c>
      <c r="N1530" s="141">
        <f>IF(offer_sale_type="транзит",IFERROR(ROUNDUP(VLOOKUP($B1530,calc_data,N$14+1,0),2),0),0)</f>
        <v/>
      </c>
      <c r="O1530" s="147">
        <f>IF(offer_sale_type="транзит",IFERROR(ROUND(VLOOKUP($B1530,calc_data,O$14+1,1),2),0),0)</f>
        <v/>
      </c>
      <c r="P1530" s="141">
        <f>IF(offer_sale_type="транзит",IFERROR(ROUND(SUM(I1530:J1530,M1530:O1530)/E1530,2),0),0)</f>
        <v/>
      </c>
      <c r="Q1530" s="141">
        <f>E1530*P1530</f>
        <v/>
      </c>
      <c r="R1530" s="141">
        <f>ROUND(Q1530*IF(AND(offer_incoterms="DDP",seller_region="RU"),IF((TODAY()+offer_turnaround_time)&gt;=helpsheet!$L$17,rate_vatRU_from_26,rate_vatRu_till_25),0),2)</f>
        <v/>
      </c>
      <c r="S1530" s="177">
        <f>Q1530+IF(AND(offer_incoterms="DDP",seller_region="RU"),R1530,0)</f>
        <v/>
      </c>
      <c r="T1530" s="45" t="n"/>
      <c r="V1530" s="57">
        <f>IF(Q1530&gt;0,"показать","скрыть")</f>
        <v/>
      </c>
    </row>
    <row r="1531" ht="15.75" customHeight="1">
      <c r="B1531" s="809" t="n">
        <v>1515</v>
      </c>
      <c r="C1531" s="182">
        <f>IF(offer_sale_type="транзит",IFERROR(VLOOKUP($B1531,calc_data,C$14+1,0),0),0)</f>
        <v/>
      </c>
      <c r="D1531" s="280">
        <f>IF(offer_sale_type="транзит",IFERROR(VLOOKUP($B1531,calc_data,D$14+1,0),0),0)</f>
        <v/>
      </c>
      <c r="E1531" s="182">
        <f>IF(offer_sale_type="транзит",IFERROR(VLOOKUP($B1531,calc_data,E$14+1,0),0),0)</f>
        <v/>
      </c>
      <c r="F1531" s="182">
        <f>IF(offer_sale_type="транзит",IFERROR(VLOOKUP($B1531,calc_data,F$14+1,0),0),0)</f>
        <v/>
      </c>
      <c r="G1531" s="141">
        <f>IF(offer_sale_type="транзит",IFERROR(VLOOKUP($B1531,calc_data,G$14+1,0),0),0)</f>
        <v/>
      </c>
      <c r="H1531" s="141">
        <f>E1531*G1531</f>
        <v/>
      </c>
      <c r="I1531" s="141">
        <f>IF(offer_sale_type="транзит",IFERROR(ROUND(VLOOKUP($B1531,calc_data,I$14+1,0),2),0),0)</f>
        <v/>
      </c>
      <c r="J1531" s="141">
        <f>ROUND(IF(offer_sale_type="транзит",IFERROR(VLOOKUP($B1531,calc_data,J$14+1,0),0),0),2)</f>
        <v/>
      </c>
      <c r="K1531" s="142">
        <f>IF(offer_sale_type="транзит",IFERROR(ROUNDUP(VLOOKUP($B1531,calc_data,K$14+1,0),2),0),0)</f>
        <v/>
      </c>
      <c r="L1531" s="184">
        <f>IF(offer_sale_type="транзит",IFERROR(ROUNDUP(VLOOKUP($B1531,calc_data,L$14+1,0),2),0),0)</f>
        <v/>
      </c>
      <c r="M1531" s="141">
        <f>IF(offer_sale_type="транзит",IFERROR(ROUNDUP(VLOOKUP($B1531,calc_data,M$14+1,0),2),0),0)</f>
        <v/>
      </c>
      <c r="N1531" s="141">
        <f>IF(offer_sale_type="транзит",IFERROR(ROUNDUP(VLOOKUP($B1531,calc_data,N$14+1,0),2),0),0)</f>
        <v/>
      </c>
      <c r="O1531" s="147">
        <f>IF(offer_sale_type="транзит",IFERROR(ROUND(VLOOKUP($B1531,calc_data,O$14+1,1),2),0),0)</f>
        <v/>
      </c>
      <c r="P1531" s="141">
        <f>IF(offer_sale_type="транзит",IFERROR(ROUND(SUM(I1531:J1531,M1531:O1531)/E1531,2),0),0)</f>
        <v/>
      </c>
      <c r="Q1531" s="141">
        <f>E1531*P1531</f>
        <v/>
      </c>
      <c r="R1531" s="141">
        <f>ROUND(Q1531*IF(AND(offer_incoterms="DDP",seller_region="RU"),IF((TODAY()+offer_turnaround_time)&gt;=helpsheet!$L$17,rate_vatRU_from_26,rate_vatRu_till_25),0),2)</f>
        <v/>
      </c>
      <c r="S1531" s="177">
        <f>Q1531+IF(AND(offer_incoterms="DDP",seller_region="RU"),R1531,0)</f>
        <v/>
      </c>
      <c r="T1531" s="45" t="n"/>
      <c r="V1531" s="57">
        <f>IF(Q1531&gt;0,"показать","скрыть")</f>
        <v/>
      </c>
    </row>
    <row r="1532" ht="15.75" customHeight="1">
      <c r="B1532" s="809" t="n">
        <v>1516</v>
      </c>
      <c r="C1532" s="182">
        <f>IF(offer_sale_type="транзит",IFERROR(VLOOKUP($B1532,calc_data,C$14+1,0),0),0)</f>
        <v/>
      </c>
      <c r="D1532" s="280">
        <f>IF(offer_sale_type="транзит",IFERROR(VLOOKUP($B1532,calc_data,D$14+1,0),0),0)</f>
        <v/>
      </c>
      <c r="E1532" s="182">
        <f>IF(offer_sale_type="транзит",IFERROR(VLOOKUP($B1532,calc_data,E$14+1,0),0),0)</f>
        <v/>
      </c>
      <c r="F1532" s="182">
        <f>IF(offer_sale_type="транзит",IFERROR(VLOOKUP($B1532,calc_data,F$14+1,0),0),0)</f>
        <v/>
      </c>
      <c r="G1532" s="141">
        <f>IF(offer_sale_type="транзит",IFERROR(VLOOKUP($B1532,calc_data,G$14+1,0),0),0)</f>
        <v/>
      </c>
      <c r="H1532" s="141">
        <f>E1532*G1532</f>
        <v/>
      </c>
      <c r="I1532" s="141">
        <f>IF(offer_sale_type="транзит",IFERROR(ROUND(VLOOKUP($B1532,calc_data,I$14+1,0),2),0),0)</f>
        <v/>
      </c>
      <c r="J1532" s="141">
        <f>ROUND(IF(offer_sale_type="транзит",IFERROR(VLOOKUP($B1532,calc_data,J$14+1,0),0),0),2)</f>
        <v/>
      </c>
      <c r="K1532" s="142">
        <f>IF(offer_sale_type="транзит",IFERROR(ROUNDUP(VLOOKUP($B1532,calc_data,K$14+1,0),2),0),0)</f>
        <v/>
      </c>
      <c r="L1532" s="184">
        <f>IF(offer_sale_type="транзит",IFERROR(ROUNDUP(VLOOKUP($B1532,calc_data,L$14+1,0),2),0),0)</f>
        <v/>
      </c>
      <c r="M1532" s="141">
        <f>IF(offer_sale_type="транзит",IFERROR(ROUNDUP(VLOOKUP($B1532,calc_data,M$14+1,0),2),0),0)</f>
        <v/>
      </c>
      <c r="N1532" s="141">
        <f>IF(offer_sale_type="транзит",IFERROR(ROUNDUP(VLOOKUP($B1532,calc_data,N$14+1,0),2),0),0)</f>
        <v/>
      </c>
      <c r="O1532" s="147">
        <f>IF(offer_sale_type="транзит",IFERROR(ROUND(VLOOKUP($B1532,calc_data,O$14+1,1),2),0),0)</f>
        <v/>
      </c>
      <c r="P1532" s="141">
        <f>IF(offer_sale_type="транзит",IFERROR(ROUND(SUM(I1532:J1532,M1532:O1532)/E1532,2),0),0)</f>
        <v/>
      </c>
      <c r="Q1532" s="141">
        <f>E1532*P1532</f>
        <v/>
      </c>
      <c r="R1532" s="141">
        <f>ROUND(Q1532*IF(AND(offer_incoterms="DDP",seller_region="RU"),IF((TODAY()+offer_turnaround_time)&gt;=helpsheet!$L$17,rate_vatRU_from_26,rate_vatRu_till_25),0),2)</f>
        <v/>
      </c>
      <c r="S1532" s="177">
        <f>Q1532+IF(AND(offer_incoterms="DDP",seller_region="RU"),R1532,0)</f>
        <v/>
      </c>
      <c r="T1532" s="45" t="n"/>
      <c r="V1532" s="57">
        <f>IF(Q1532&gt;0,"показать","скрыть")</f>
        <v/>
      </c>
    </row>
    <row r="1533" ht="15.75" customHeight="1">
      <c r="B1533" s="809" t="n">
        <v>1517</v>
      </c>
      <c r="C1533" s="182">
        <f>IF(offer_sale_type="транзит",IFERROR(VLOOKUP($B1533,calc_data,C$14+1,0),0),0)</f>
        <v/>
      </c>
      <c r="D1533" s="280">
        <f>IF(offer_sale_type="транзит",IFERROR(VLOOKUP($B1533,calc_data,D$14+1,0),0),0)</f>
        <v/>
      </c>
      <c r="E1533" s="182">
        <f>IF(offer_sale_type="транзит",IFERROR(VLOOKUP($B1533,calc_data,E$14+1,0),0),0)</f>
        <v/>
      </c>
      <c r="F1533" s="182">
        <f>IF(offer_sale_type="транзит",IFERROR(VLOOKUP($B1533,calc_data,F$14+1,0),0),0)</f>
        <v/>
      </c>
      <c r="G1533" s="141">
        <f>IF(offer_sale_type="транзит",IFERROR(VLOOKUP($B1533,calc_data,G$14+1,0),0),0)</f>
        <v/>
      </c>
      <c r="H1533" s="141">
        <f>E1533*G1533</f>
        <v/>
      </c>
      <c r="I1533" s="141">
        <f>IF(offer_sale_type="транзит",IFERROR(ROUND(VLOOKUP($B1533,calc_data,I$14+1,0),2),0),0)</f>
        <v/>
      </c>
      <c r="J1533" s="141">
        <f>ROUND(IF(offer_sale_type="транзит",IFERROR(VLOOKUP($B1533,calc_data,J$14+1,0),0),0),2)</f>
        <v/>
      </c>
      <c r="K1533" s="142">
        <f>IF(offer_sale_type="транзит",IFERROR(ROUNDUP(VLOOKUP($B1533,calc_data,K$14+1,0),2),0),0)</f>
        <v/>
      </c>
      <c r="L1533" s="184">
        <f>IF(offer_sale_type="транзит",IFERROR(ROUNDUP(VLOOKUP($B1533,calc_data,L$14+1,0),2),0),0)</f>
        <v/>
      </c>
      <c r="M1533" s="141">
        <f>IF(offer_sale_type="транзит",IFERROR(ROUNDUP(VLOOKUP($B1533,calc_data,M$14+1,0),2),0),0)</f>
        <v/>
      </c>
      <c r="N1533" s="141">
        <f>IF(offer_sale_type="транзит",IFERROR(ROUNDUP(VLOOKUP($B1533,calc_data,N$14+1,0),2),0),0)</f>
        <v/>
      </c>
      <c r="O1533" s="147">
        <f>IF(offer_sale_type="транзит",IFERROR(ROUND(VLOOKUP($B1533,calc_data,O$14+1,1),2),0),0)</f>
        <v/>
      </c>
      <c r="P1533" s="141">
        <f>IF(offer_sale_type="транзит",IFERROR(ROUND(SUM(I1533:J1533,M1533:O1533)/E1533,2),0),0)</f>
        <v/>
      </c>
      <c r="Q1533" s="141">
        <f>E1533*P1533</f>
        <v/>
      </c>
      <c r="R1533" s="141">
        <f>ROUND(Q1533*IF(AND(offer_incoterms="DDP",seller_region="RU"),IF((TODAY()+offer_turnaround_time)&gt;=helpsheet!$L$17,rate_vatRU_from_26,rate_vatRu_till_25),0),2)</f>
        <v/>
      </c>
      <c r="S1533" s="177">
        <f>Q1533+IF(AND(offer_incoterms="DDP",seller_region="RU"),R1533,0)</f>
        <v/>
      </c>
      <c r="T1533" s="45" t="n"/>
      <c r="V1533" s="57">
        <f>IF(Q1533&gt;0,"показать","скрыть")</f>
        <v/>
      </c>
    </row>
    <row r="1534" ht="15.75" customHeight="1">
      <c r="B1534" s="809" t="n">
        <v>1518</v>
      </c>
      <c r="C1534" s="182">
        <f>IF(offer_sale_type="транзит",IFERROR(VLOOKUP($B1534,calc_data,C$14+1,0),0),0)</f>
        <v/>
      </c>
      <c r="D1534" s="280">
        <f>IF(offer_sale_type="транзит",IFERROR(VLOOKUP($B1534,calc_data,D$14+1,0),0),0)</f>
        <v/>
      </c>
      <c r="E1534" s="182">
        <f>IF(offer_sale_type="транзит",IFERROR(VLOOKUP($B1534,calc_data,E$14+1,0),0),0)</f>
        <v/>
      </c>
      <c r="F1534" s="182">
        <f>IF(offer_sale_type="транзит",IFERROR(VLOOKUP($B1534,calc_data,F$14+1,0),0),0)</f>
        <v/>
      </c>
      <c r="G1534" s="141">
        <f>IF(offer_sale_type="транзит",IFERROR(VLOOKUP($B1534,calc_data,G$14+1,0),0),0)</f>
        <v/>
      </c>
      <c r="H1534" s="141">
        <f>E1534*G1534</f>
        <v/>
      </c>
      <c r="I1534" s="141">
        <f>IF(offer_sale_type="транзит",IFERROR(ROUND(VLOOKUP($B1534,calc_data,I$14+1,0),2),0),0)</f>
        <v/>
      </c>
      <c r="J1534" s="141">
        <f>ROUND(IF(offer_sale_type="транзит",IFERROR(VLOOKUP($B1534,calc_data,J$14+1,0),0),0),2)</f>
        <v/>
      </c>
      <c r="K1534" s="142">
        <f>IF(offer_sale_type="транзит",IFERROR(ROUNDUP(VLOOKUP($B1534,calc_data,K$14+1,0),2),0),0)</f>
        <v/>
      </c>
      <c r="L1534" s="184">
        <f>IF(offer_sale_type="транзит",IFERROR(ROUNDUP(VLOOKUP($B1534,calc_data,L$14+1,0),2),0),0)</f>
        <v/>
      </c>
      <c r="M1534" s="141">
        <f>IF(offer_sale_type="транзит",IFERROR(ROUNDUP(VLOOKUP($B1534,calc_data,M$14+1,0),2),0),0)</f>
        <v/>
      </c>
      <c r="N1534" s="141">
        <f>IF(offer_sale_type="транзит",IFERROR(ROUNDUP(VLOOKUP($B1534,calc_data,N$14+1,0),2),0),0)</f>
        <v/>
      </c>
      <c r="O1534" s="147">
        <f>IF(offer_sale_type="транзит",IFERROR(ROUND(VLOOKUP($B1534,calc_data,O$14+1,1),2),0),0)</f>
        <v/>
      </c>
      <c r="P1534" s="141">
        <f>IF(offer_sale_type="транзит",IFERROR(ROUND(SUM(I1534:J1534,M1534:O1534)/E1534,2),0),0)</f>
        <v/>
      </c>
      <c r="Q1534" s="141">
        <f>E1534*P1534</f>
        <v/>
      </c>
      <c r="R1534" s="141">
        <f>ROUND(Q1534*IF(AND(offer_incoterms="DDP",seller_region="RU"),IF((TODAY()+offer_turnaround_time)&gt;=helpsheet!$L$17,rate_vatRU_from_26,rate_vatRu_till_25),0),2)</f>
        <v/>
      </c>
      <c r="S1534" s="177">
        <f>Q1534+IF(AND(offer_incoterms="DDP",seller_region="RU"),R1534,0)</f>
        <v/>
      </c>
      <c r="T1534" s="45" t="n"/>
      <c r="V1534" s="57">
        <f>IF(Q1534&gt;0,"показать","скрыть")</f>
        <v/>
      </c>
    </row>
    <row r="1535" ht="15.75" customHeight="1">
      <c r="B1535" s="809" t="n">
        <v>1519</v>
      </c>
      <c r="C1535" s="182">
        <f>IF(offer_sale_type="транзит",IFERROR(VLOOKUP($B1535,calc_data,C$14+1,0),0),0)</f>
        <v/>
      </c>
      <c r="D1535" s="280">
        <f>IF(offer_sale_type="транзит",IFERROR(VLOOKUP($B1535,calc_data,D$14+1,0),0),0)</f>
        <v/>
      </c>
      <c r="E1535" s="182">
        <f>IF(offer_sale_type="транзит",IFERROR(VLOOKUP($B1535,calc_data,E$14+1,0),0),0)</f>
        <v/>
      </c>
      <c r="F1535" s="182">
        <f>IF(offer_sale_type="транзит",IFERROR(VLOOKUP($B1535,calc_data,F$14+1,0),0),0)</f>
        <v/>
      </c>
      <c r="G1535" s="141">
        <f>IF(offer_sale_type="транзит",IFERROR(VLOOKUP($B1535,calc_data,G$14+1,0),0),0)</f>
        <v/>
      </c>
      <c r="H1535" s="141">
        <f>E1535*G1535</f>
        <v/>
      </c>
      <c r="I1535" s="141">
        <f>IF(offer_sale_type="транзит",IFERROR(ROUND(VLOOKUP($B1535,calc_data,I$14+1,0),2),0),0)</f>
        <v/>
      </c>
      <c r="J1535" s="141">
        <f>ROUND(IF(offer_sale_type="транзит",IFERROR(VLOOKUP($B1535,calc_data,J$14+1,0),0),0),2)</f>
        <v/>
      </c>
      <c r="K1535" s="142">
        <f>IF(offer_sale_type="транзит",IFERROR(ROUNDUP(VLOOKUP($B1535,calc_data,K$14+1,0),2),0),0)</f>
        <v/>
      </c>
      <c r="L1535" s="184">
        <f>IF(offer_sale_type="транзит",IFERROR(ROUNDUP(VLOOKUP($B1535,calc_data,L$14+1,0),2),0),0)</f>
        <v/>
      </c>
      <c r="M1535" s="141">
        <f>IF(offer_sale_type="транзит",IFERROR(ROUNDUP(VLOOKUP($B1535,calc_data,M$14+1,0),2),0),0)</f>
        <v/>
      </c>
      <c r="N1535" s="141">
        <f>IF(offer_sale_type="транзит",IFERROR(ROUNDUP(VLOOKUP($B1535,calc_data,N$14+1,0),2),0),0)</f>
        <v/>
      </c>
      <c r="O1535" s="147">
        <f>IF(offer_sale_type="транзит",IFERROR(ROUND(VLOOKUP($B1535,calc_data,O$14+1,1),2),0),0)</f>
        <v/>
      </c>
      <c r="P1535" s="141">
        <f>IF(offer_sale_type="транзит",IFERROR(ROUND(SUM(I1535:J1535,M1535:O1535)/E1535,2),0),0)</f>
        <v/>
      </c>
      <c r="Q1535" s="141">
        <f>E1535*P1535</f>
        <v/>
      </c>
      <c r="R1535" s="141">
        <f>ROUND(Q1535*IF(AND(offer_incoterms="DDP",seller_region="RU"),IF((TODAY()+offer_turnaround_time)&gt;=helpsheet!$L$17,rate_vatRU_from_26,rate_vatRu_till_25),0),2)</f>
        <v/>
      </c>
      <c r="S1535" s="177">
        <f>Q1535+IF(AND(offer_incoterms="DDP",seller_region="RU"),R1535,0)</f>
        <v/>
      </c>
      <c r="T1535" s="45" t="n"/>
      <c r="V1535" s="57">
        <f>IF(Q1535&gt;0,"показать","скрыть")</f>
        <v/>
      </c>
    </row>
    <row r="1536" ht="15.75" customHeight="1">
      <c r="B1536" s="809" t="n">
        <v>1520</v>
      </c>
      <c r="C1536" s="182">
        <f>IF(offer_sale_type="транзит",IFERROR(VLOOKUP($B1536,calc_data,C$14+1,0),0),0)</f>
        <v/>
      </c>
      <c r="D1536" s="280">
        <f>IF(offer_sale_type="транзит",IFERROR(VLOOKUP($B1536,calc_data,D$14+1,0),0),0)</f>
        <v/>
      </c>
      <c r="E1536" s="182">
        <f>IF(offer_sale_type="транзит",IFERROR(VLOOKUP($B1536,calc_data,E$14+1,0),0),0)</f>
        <v/>
      </c>
      <c r="F1536" s="182">
        <f>IF(offer_sale_type="транзит",IFERROR(VLOOKUP($B1536,calc_data,F$14+1,0),0),0)</f>
        <v/>
      </c>
      <c r="G1536" s="141">
        <f>IF(offer_sale_type="транзит",IFERROR(VLOOKUP($B1536,calc_data,G$14+1,0),0),0)</f>
        <v/>
      </c>
      <c r="H1536" s="141">
        <f>E1536*G1536</f>
        <v/>
      </c>
      <c r="I1536" s="141">
        <f>IF(offer_sale_type="транзит",IFERROR(ROUND(VLOOKUP($B1536,calc_data,I$14+1,0),2),0),0)</f>
        <v/>
      </c>
      <c r="J1536" s="141">
        <f>ROUND(IF(offer_sale_type="транзит",IFERROR(VLOOKUP($B1536,calc_data,J$14+1,0),0),0),2)</f>
        <v/>
      </c>
      <c r="K1536" s="142">
        <f>IF(offer_sale_type="транзит",IFERROR(ROUNDUP(VLOOKUP($B1536,calc_data,K$14+1,0),2),0),0)</f>
        <v/>
      </c>
      <c r="L1536" s="184">
        <f>IF(offer_sale_type="транзит",IFERROR(ROUNDUP(VLOOKUP($B1536,calc_data,L$14+1,0),2),0),0)</f>
        <v/>
      </c>
      <c r="M1536" s="141">
        <f>IF(offer_sale_type="транзит",IFERROR(ROUNDUP(VLOOKUP($B1536,calc_data,M$14+1,0),2),0),0)</f>
        <v/>
      </c>
      <c r="N1536" s="141">
        <f>IF(offer_sale_type="транзит",IFERROR(ROUNDUP(VLOOKUP($B1536,calc_data,N$14+1,0),2),0),0)</f>
        <v/>
      </c>
      <c r="O1536" s="147">
        <f>IF(offer_sale_type="транзит",IFERROR(ROUND(VLOOKUP($B1536,calc_data,O$14+1,1),2),0),0)</f>
        <v/>
      </c>
      <c r="P1536" s="141">
        <f>IF(offer_sale_type="транзит",IFERROR(ROUND(SUM(I1536:J1536,M1536:O1536)/E1536,2),0),0)</f>
        <v/>
      </c>
      <c r="Q1536" s="141">
        <f>E1536*P1536</f>
        <v/>
      </c>
      <c r="R1536" s="141">
        <f>ROUND(Q1536*IF(AND(offer_incoterms="DDP",seller_region="RU"),IF((TODAY()+offer_turnaround_time)&gt;=helpsheet!$L$17,rate_vatRU_from_26,rate_vatRu_till_25),0),2)</f>
        <v/>
      </c>
      <c r="S1536" s="177">
        <f>Q1536+IF(AND(offer_incoterms="DDP",seller_region="RU"),R1536,0)</f>
        <v/>
      </c>
      <c r="T1536" s="45" t="n"/>
      <c r="V1536" s="57">
        <f>IF(Q1536&gt;0,"показать","скрыть")</f>
        <v/>
      </c>
    </row>
    <row r="1537" ht="15.75" customHeight="1">
      <c r="B1537" s="809" t="n">
        <v>1521</v>
      </c>
      <c r="C1537" s="182">
        <f>IF(offer_sale_type="транзит",IFERROR(VLOOKUP($B1537,calc_data,C$14+1,0),0),0)</f>
        <v/>
      </c>
      <c r="D1537" s="280">
        <f>IF(offer_sale_type="транзит",IFERROR(VLOOKUP($B1537,calc_data,D$14+1,0),0),0)</f>
        <v/>
      </c>
      <c r="E1537" s="182">
        <f>IF(offer_sale_type="транзит",IFERROR(VLOOKUP($B1537,calc_data,E$14+1,0),0),0)</f>
        <v/>
      </c>
      <c r="F1537" s="182">
        <f>IF(offer_sale_type="транзит",IFERROR(VLOOKUP($B1537,calc_data,F$14+1,0),0),0)</f>
        <v/>
      </c>
      <c r="G1537" s="141">
        <f>IF(offer_sale_type="транзит",IFERROR(VLOOKUP($B1537,calc_data,G$14+1,0),0),0)</f>
        <v/>
      </c>
      <c r="H1537" s="141">
        <f>E1537*G1537</f>
        <v/>
      </c>
      <c r="I1537" s="141">
        <f>IF(offer_sale_type="транзит",IFERROR(ROUND(VLOOKUP($B1537,calc_data,I$14+1,0),2),0),0)</f>
        <v/>
      </c>
      <c r="J1537" s="141">
        <f>ROUND(IF(offer_sale_type="транзит",IFERROR(VLOOKUP($B1537,calc_data,J$14+1,0),0),0),2)</f>
        <v/>
      </c>
      <c r="K1537" s="142">
        <f>IF(offer_sale_type="транзит",IFERROR(ROUNDUP(VLOOKUP($B1537,calc_data,K$14+1,0),2),0),0)</f>
        <v/>
      </c>
      <c r="L1537" s="184">
        <f>IF(offer_sale_type="транзит",IFERROR(ROUNDUP(VLOOKUP($B1537,calc_data,L$14+1,0),2),0),0)</f>
        <v/>
      </c>
      <c r="M1537" s="141">
        <f>IF(offer_sale_type="транзит",IFERROR(ROUNDUP(VLOOKUP($B1537,calc_data,M$14+1,0),2),0),0)</f>
        <v/>
      </c>
      <c r="N1537" s="141">
        <f>IF(offer_sale_type="транзит",IFERROR(ROUNDUP(VLOOKUP($B1537,calc_data,N$14+1,0),2),0),0)</f>
        <v/>
      </c>
      <c r="O1537" s="147">
        <f>IF(offer_sale_type="транзит",IFERROR(ROUND(VLOOKUP($B1537,calc_data,O$14+1,1),2),0),0)</f>
        <v/>
      </c>
      <c r="P1537" s="141">
        <f>IF(offer_sale_type="транзит",IFERROR(ROUND(SUM(I1537:J1537,M1537:O1537)/E1537,2),0),0)</f>
        <v/>
      </c>
      <c r="Q1537" s="141">
        <f>E1537*P1537</f>
        <v/>
      </c>
      <c r="R1537" s="141">
        <f>ROUND(Q1537*IF(AND(offer_incoterms="DDP",seller_region="RU"),IF((TODAY()+offer_turnaround_time)&gt;=helpsheet!$L$17,rate_vatRU_from_26,rate_vatRu_till_25),0),2)</f>
        <v/>
      </c>
      <c r="S1537" s="177">
        <f>Q1537+IF(AND(offer_incoterms="DDP",seller_region="RU"),R1537,0)</f>
        <v/>
      </c>
      <c r="T1537" s="45" t="n"/>
      <c r="V1537" s="57">
        <f>IF(Q1537&gt;0,"показать","скрыть")</f>
        <v/>
      </c>
    </row>
    <row r="1538" ht="15.75" customHeight="1">
      <c r="B1538" s="809" t="n">
        <v>1522</v>
      </c>
      <c r="C1538" s="182">
        <f>IF(offer_sale_type="транзит",IFERROR(VLOOKUP($B1538,calc_data,C$14+1,0),0),0)</f>
        <v/>
      </c>
      <c r="D1538" s="280">
        <f>IF(offer_sale_type="транзит",IFERROR(VLOOKUP($B1538,calc_data,D$14+1,0),0),0)</f>
        <v/>
      </c>
      <c r="E1538" s="182">
        <f>IF(offer_sale_type="транзит",IFERROR(VLOOKUP($B1538,calc_data,E$14+1,0),0),0)</f>
        <v/>
      </c>
      <c r="F1538" s="182">
        <f>IF(offer_sale_type="транзит",IFERROR(VLOOKUP($B1538,calc_data,F$14+1,0),0),0)</f>
        <v/>
      </c>
      <c r="G1538" s="141">
        <f>IF(offer_sale_type="транзит",IFERROR(VLOOKUP($B1538,calc_data,G$14+1,0),0),0)</f>
        <v/>
      </c>
      <c r="H1538" s="141">
        <f>E1538*G1538</f>
        <v/>
      </c>
      <c r="I1538" s="141">
        <f>IF(offer_sale_type="транзит",IFERROR(ROUND(VLOOKUP($B1538,calc_data,I$14+1,0),2),0),0)</f>
        <v/>
      </c>
      <c r="J1538" s="141">
        <f>ROUND(IF(offer_sale_type="транзит",IFERROR(VLOOKUP($B1538,calc_data,J$14+1,0),0),0),2)</f>
        <v/>
      </c>
      <c r="K1538" s="142">
        <f>IF(offer_sale_type="транзит",IFERROR(ROUNDUP(VLOOKUP($B1538,calc_data,K$14+1,0),2),0),0)</f>
        <v/>
      </c>
      <c r="L1538" s="184">
        <f>IF(offer_sale_type="транзит",IFERROR(ROUNDUP(VLOOKUP($B1538,calc_data,L$14+1,0),2),0),0)</f>
        <v/>
      </c>
      <c r="M1538" s="141">
        <f>IF(offer_sale_type="транзит",IFERROR(ROUNDUP(VLOOKUP($B1538,calc_data,M$14+1,0),2),0),0)</f>
        <v/>
      </c>
      <c r="N1538" s="141">
        <f>IF(offer_sale_type="транзит",IFERROR(ROUNDUP(VLOOKUP($B1538,calc_data,N$14+1,0),2),0),0)</f>
        <v/>
      </c>
      <c r="O1538" s="147">
        <f>IF(offer_sale_type="транзит",IFERROR(ROUND(VLOOKUP($B1538,calc_data,O$14+1,1),2),0),0)</f>
        <v/>
      </c>
      <c r="P1538" s="141">
        <f>IF(offer_sale_type="транзит",IFERROR(ROUND(SUM(I1538:J1538,M1538:O1538)/E1538,2),0),0)</f>
        <v/>
      </c>
      <c r="Q1538" s="141">
        <f>E1538*P1538</f>
        <v/>
      </c>
      <c r="R1538" s="141">
        <f>ROUND(Q1538*IF(AND(offer_incoterms="DDP",seller_region="RU"),IF((TODAY()+offer_turnaround_time)&gt;=helpsheet!$L$17,rate_vatRU_from_26,rate_vatRu_till_25),0),2)</f>
        <v/>
      </c>
      <c r="S1538" s="177">
        <f>Q1538+IF(AND(offer_incoterms="DDP",seller_region="RU"),R1538,0)</f>
        <v/>
      </c>
      <c r="T1538" s="45" t="n"/>
      <c r="V1538" s="57">
        <f>IF(Q1538&gt;0,"показать","скрыть")</f>
        <v/>
      </c>
    </row>
    <row r="1539" ht="15.75" customHeight="1">
      <c r="B1539" s="809" t="n">
        <v>1523</v>
      </c>
      <c r="C1539" s="182">
        <f>IF(offer_sale_type="транзит",IFERROR(VLOOKUP($B1539,calc_data,C$14+1,0),0),0)</f>
        <v/>
      </c>
      <c r="D1539" s="280">
        <f>IF(offer_sale_type="транзит",IFERROR(VLOOKUP($B1539,calc_data,D$14+1,0),0),0)</f>
        <v/>
      </c>
      <c r="E1539" s="182">
        <f>IF(offer_sale_type="транзит",IFERROR(VLOOKUP($B1539,calc_data,E$14+1,0),0),0)</f>
        <v/>
      </c>
      <c r="F1539" s="182">
        <f>IF(offer_sale_type="транзит",IFERROR(VLOOKUP($B1539,calc_data,F$14+1,0),0),0)</f>
        <v/>
      </c>
      <c r="G1539" s="141">
        <f>IF(offer_sale_type="транзит",IFERROR(VLOOKUP($B1539,calc_data,G$14+1,0),0),0)</f>
        <v/>
      </c>
      <c r="H1539" s="141">
        <f>E1539*G1539</f>
        <v/>
      </c>
      <c r="I1539" s="141">
        <f>IF(offer_sale_type="транзит",IFERROR(ROUND(VLOOKUP($B1539,calc_data,I$14+1,0),2),0),0)</f>
        <v/>
      </c>
      <c r="J1539" s="141">
        <f>ROUND(IF(offer_sale_type="транзит",IFERROR(VLOOKUP($B1539,calc_data,J$14+1,0),0),0),2)</f>
        <v/>
      </c>
      <c r="K1539" s="142">
        <f>IF(offer_sale_type="транзит",IFERROR(ROUNDUP(VLOOKUP($B1539,calc_data,K$14+1,0),2),0),0)</f>
        <v/>
      </c>
      <c r="L1539" s="184">
        <f>IF(offer_sale_type="транзит",IFERROR(ROUNDUP(VLOOKUP($B1539,calc_data,L$14+1,0),2),0),0)</f>
        <v/>
      </c>
      <c r="M1539" s="141">
        <f>IF(offer_sale_type="транзит",IFERROR(ROUNDUP(VLOOKUP($B1539,calc_data,M$14+1,0),2),0),0)</f>
        <v/>
      </c>
      <c r="N1539" s="141">
        <f>IF(offer_sale_type="транзит",IFERROR(ROUNDUP(VLOOKUP($B1539,calc_data,N$14+1,0),2),0),0)</f>
        <v/>
      </c>
      <c r="O1539" s="147">
        <f>IF(offer_sale_type="транзит",IFERROR(ROUND(VLOOKUP($B1539,calc_data,O$14+1,1),2),0),0)</f>
        <v/>
      </c>
      <c r="P1539" s="141">
        <f>IF(offer_sale_type="транзит",IFERROR(ROUND(SUM(I1539:J1539,M1539:O1539)/E1539,2),0),0)</f>
        <v/>
      </c>
      <c r="Q1539" s="141">
        <f>E1539*P1539</f>
        <v/>
      </c>
      <c r="R1539" s="141">
        <f>ROUND(Q1539*IF(AND(offer_incoterms="DDP",seller_region="RU"),IF((TODAY()+offer_turnaround_time)&gt;=helpsheet!$L$17,rate_vatRU_from_26,rate_vatRu_till_25),0),2)</f>
        <v/>
      </c>
      <c r="S1539" s="177">
        <f>Q1539+IF(AND(offer_incoterms="DDP",seller_region="RU"),R1539,0)</f>
        <v/>
      </c>
      <c r="T1539" s="45" t="n"/>
      <c r="V1539" s="57">
        <f>IF(Q1539&gt;0,"показать","скрыть")</f>
        <v/>
      </c>
    </row>
    <row r="1540" ht="15.75" customHeight="1">
      <c r="B1540" s="809" t="n">
        <v>1524</v>
      </c>
      <c r="C1540" s="182">
        <f>IF(offer_sale_type="транзит",IFERROR(VLOOKUP($B1540,calc_data,C$14+1,0),0),0)</f>
        <v/>
      </c>
      <c r="D1540" s="280">
        <f>IF(offer_sale_type="транзит",IFERROR(VLOOKUP($B1540,calc_data,D$14+1,0),0),0)</f>
        <v/>
      </c>
      <c r="E1540" s="182">
        <f>IF(offer_sale_type="транзит",IFERROR(VLOOKUP($B1540,calc_data,E$14+1,0),0),0)</f>
        <v/>
      </c>
      <c r="F1540" s="182">
        <f>IF(offer_sale_type="транзит",IFERROR(VLOOKUP($B1540,calc_data,F$14+1,0),0),0)</f>
        <v/>
      </c>
      <c r="G1540" s="141">
        <f>IF(offer_sale_type="транзит",IFERROR(VLOOKUP($B1540,calc_data,G$14+1,0),0),0)</f>
        <v/>
      </c>
      <c r="H1540" s="141">
        <f>E1540*G1540</f>
        <v/>
      </c>
      <c r="I1540" s="141">
        <f>IF(offer_sale_type="транзит",IFERROR(ROUND(VLOOKUP($B1540,calc_data,I$14+1,0),2),0),0)</f>
        <v/>
      </c>
      <c r="J1540" s="141">
        <f>ROUND(IF(offer_sale_type="транзит",IFERROR(VLOOKUP($B1540,calc_data,J$14+1,0),0),0),2)</f>
        <v/>
      </c>
      <c r="K1540" s="142">
        <f>IF(offer_sale_type="транзит",IFERROR(ROUNDUP(VLOOKUP($B1540,calc_data,K$14+1,0),2),0),0)</f>
        <v/>
      </c>
      <c r="L1540" s="184">
        <f>IF(offer_sale_type="транзит",IFERROR(ROUNDUP(VLOOKUP($B1540,calc_data,L$14+1,0),2),0),0)</f>
        <v/>
      </c>
      <c r="M1540" s="141">
        <f>IF(offer_sale_type="транзит",IFERROR(ROUNDUP(VLOOKUP($B1540,calc_data,M$14+1,0),2),0),0)</f>
        <v/>
      </c>
      <c r="N1540" s="141">
        <f>IF(offer_sale_type="транзит",IFERROR(ROUNDUP(VLOOKUP($B1540,calc_data,N$14+1,0),2),0),0)</f>
        <v/>
      </c>
      <c r="O1540" s="147">
        <f>IF(offer_sale_type="транзит",IFERROR(ROUND(VLOOKUP($B1540,calc_data,O$14+1,1),2),0),0)</f>
        <v/>
      </c>
      <c r="P1540" s="141">
        <f>IF(offer_sale_type="транзит",IFERROR(ROUND(SUM(I1540:J1540,M1540:O1540)/E1540,2),0),0)</f>
        <v/>
      </c>
      <c r="Q1540" s="141">
        <f>E1540*P1540</f>
        <v/>
      </c>
      <c r="R1540" s="141">
        <f>ROUND(Q1540*IF(AND(offer_incoterms="DDP",seller_region="RU"),IF((TODAY()+offer_turnaround_time)&gt;=helpsheet!$L$17,rate_vatRU_from_26,rate_vatRu_till_25),0),2)</f>
        <v/>
      </c>
      <c r="S1540" s="177">
        <f>Q1540+IF(AND(offer_incoterms="DDP",seller_region="RU"),R1540,0)</f>
        <v/>
      </c>
      <c r="T1540" s="45" t="n"/>
      <c r="V1540" s="57">
        <f>IF(Q1540&gt;0,"показать","скрыть")</f>
        <v/>
      </c>
    </row>
    <row r="1541" ht="15.75" customHeight="1">
      <c r="B1541" s="809" t="n">
        <v>1525</v>
      </c>
      <c r="C1541" s="182">
        <f>IF(offer_sale_type="транзит",IFERROR(VLOOKUP($B1541,calc_data,C$14+1,0),0),0)</f>
        <v/>
      </c>
      <c r="D1541" s="280">
        <f>IF(offer_sale_type="транзит",IFERROR(VLOOKUP($B1541,calc_data,D$14+1,0),0),0)</f>
        <v/>
      </c>
      <c r="E1541" s="182">
        <f>IF(offer_sale_type="транзит",IFERROR(VLOOKUP($B1541,calc_data,E$14+1,0),0),0)</f>
        <v/>
      </c>
      <c r="F1541" s="182">
        <f>IF(offer_sale_type="транзит",IFERROR(VLOOKUP($B1541,calc_data,F$14+1,0),0),0)</f>
        <v/>
      </c>
      <c r="G1541" s="141">
        <f>IF(offer_sale_type="транзит",IFERROR(VLOOKUP($B1541,calc_data,G$14+1,0),0),0)</f>
        <v/>
      </c>
      <c r="H1541" s="141">
        <f>E1541*G1541</f>
        <v/>
      </c>
      <c r="I1541" s="141">
        <f>IF(offer_sale_type="транзит",IFERROR(ROUND(VLOOKUP($B1541,calc_data,I$14+1,0),2),0),0)</f>
        <v/>
      </c>
      <c r="J1541" s="141">
        <f>ROUND(IF(offer_sale_type="транзит",IFERROR(VLOOKUP($B1541,calc_data,J$14+1,0),0),0),2)</f>
        <v/>
      </c>
      <c r="K1541" s="142">
        <f>IF(offer_sale_type="транзит",IFERROR(ROUNDUP(VLOOKUP($B1541,calc_data,K$14+1,0),2),0),0)</f>
        <v/>
      </c>
      <c r="L1541" s="184">
        <f>IF(offer_sale_type="транзит",IFERROR(ROUNDUP(VLOOKUP($B1541,calc_data,L$14+1,0),2),0),0)</f>
        <v/>
      </c>
      <c r="M1541" s="141">
        <f>IF(offer_sale_type="транзит",IFERROR(ROUNDUP(VLOOKUP($B1541,calc_data,M$14+1,0),2),0),0)</f>
        <v/>
      </c>
      <c r="N1541" s="141">
        <f>IF(offer_sale_type="транзит",IFERROR(ROUNDUP(VLOOKUP($B1541,calc_data,N$14+1,0),2),0),0)</f>
        <v/>
      </c>
      <c r="O1541" s="147">
        <f>IF(offer_sale_type="транзит",IFERROR(ROUND(VLOOKUP($B1541,calc_data,O$14+1,1),2),0),0)</f>
        <v/>
      </c>
      <c r="P1541" s="141">
        <f>IF(offer_sale_type="транзит",IFERROR(ROUND(SUM(I1541:J1541,M1541:O1541)/E1541,2),0),0)</f>
        <v/>
      </c>
      <c r="Q1541" s="141">
        <f>E1541*P1541</f>
        <v/>
      </c>
      <c r="R1541" s="141">
        <f>ROUND(Q1541*IF(AND(offer_incoterms="DDP",seller_region="RU"),IF((TODAY()+offer_turnaround_time)&gt;=helpsheet!$L$17,rate_vatRU_from_26,rate_vatRu_till_25),0),2)</f>
        <v/>
      </c>
      <c r="S1541" s="177">
        <f>Q1541+IF(AND(offer_incoterms="DDP",seller_region="RU"),R1541,0)</f>
        <v/>
      </c>
      <c r="T1541" s="45" t="n"/>
      <c r="V1541" s="57">
        <f>IF(Q1541&gt;0,"показать","скрыть")</f>
        <v/>
      </c>
    </row>
    <row r="1542" ht="15.75" customHeight="1">
      <c r="B1542" s="809" t="n">
        <v>1526</v>
      </c>
      <c r="C1542" s="182">
        <f>IF(offer_sale_type="транзит",IFERROR(VLOOKUP($B1542,calc_data,C$14+1,0),0),0)</f>
        <v/>
      </c>
      <c r="D1542" s="280">
        <f>IF(offer_sale_type="транзит",IFERROR(VLOOKUP($B1542,calc_data,D$14+1,0),0),0)</f>
        <v/>
      </c>
      <c r="E1542" s="182">
        <f>IF(offer_sale_type="транзит",IFERROR(VLOOKUP($B1542,calc_data,E$14+1,0),0),0)</f>
        <v/>
      </c>
      <c r="F1542" s="182">
        <f>IF(offer_sale_type="транзит",IFERROR(VLOOKUP($B1542,calc_data,F$14+1,0),0),0)</f>
        <v/>
      </c>
      <c r="G1542" s="141">
        <f>IF(offer_sale_type="транзит",IFERROR(VLOOKUP($B1542,calc_data,G$14+1,0),0),0)</f>
        <v/>
      </c>
      <c r="H1542" s="141">
        <f>E1542*G1542</f>
        <v/>
      </c>
      <c r="I1542" s="141">
        <f>IF(offer_sale_type="транзит",IFERROR(ROUND(VLOOKUP($B1542,calc_data,I$14+1,0),2),0),0)</f>
        <v/>
      </c>
      <c r="J1542" s="141">
        <f>ROUND(IF(offer_sale_type="транзит",IFERROR(VLOOKUP($B1542,calc_data,J$14+1,0),0),0),2)</f>
        <v/>
      </c>
      <c r="K1542" s="142">
        <f>IF(offer_sale_type="транзит",IFERROR(ROUNDUP(VLOOKUP($B1542,calc_data,K$14+1,0),2),0),0)</f>
        <v/>
      </c>
      <c r="L1542" s="184">
        <f>IF(offer_sale_type="транзит",IFERROR(ROUNDUP(VLOOKUP($B1542,calc_data,L$14+1,0),2),0),0)</f>
        <v/>
      </c>
      <c r="M1542" s="141">
        <f>IF(offer_sale_type="транзит",IFERROR(ROUNDUP(VLOOKUP($B1542,calc_data,M$14+1,0),2),0),0)</f>
        <v/>
      </c>
      <c r="N1542" s="141">
        <f>IF(offer_sale_type="транзит",IFERROR(ROUNDUP(VLOOKUP($B1542,calc_data,N$14+1,0),2),0),0)</f>
        <v/>
      </c>
      <c r="O1542" s="147">
        <f>IF(offer_sale_type="транзит",IFERROR(ROUND(VLOOKUP($B1542,calc_data,O$14+1,1),2),0),0)</f>
        <v/>
      </c>
      <c r="P1542" s="141">
        <f>IF(offer_sale_type="транзит",IFERROR(ROUND(SUM(I1542:J1542,M1542:O1542)/E1542,2),0),0)</f>
        <v/>
      </c>
      <c r="Q1542" s="141">
        <f>E1542*P1542</f>
        <v/>
      </c>
      <c r="R1542" s="141">
        <f>ROUND(Q1542*IF(AND(offer_incoterms="DDP",seller_region="RU"),IF((TODAY()+offer_turnaround_time)&gt;=helpsheet!$L$17,rate_vatRU_from_26,rate_vatRu_till_25),0),2)</f>
        <v/>
      </c>
      <c r="S1542" s="177">
        <f>Q1542+IF(AND(offer_incoterms="DDP",seller_region="RU"),R1542,0)</f>
        <v/>
      </c>
      <c r="T1542" s="45" t="n"/>
      <c r="V1542" s="57">
        <f>IF(Q1542&gt;0,"показать","скрыть")</f>
        <v/>
      </c>
    </row>
    <row r="1543" ht="15.75" customHeight="1">
      <c r="B1543" s="809" t="n">
        <v>1527</v>
      </c>
      <c r="C1543" s="182">
        <f>IF(offer_sale_type="транзит",IFERROR(VLOOKUP($B1543,calc_data,C$14+1,0),0),0)</f>
        <v/>
      </c>
      <c r="D1543" s="280">
        <f>IF(offer_sale_type="транзит",IFERROR(VLOOKUP($B1543,calc_data,D$14+1,0),0),0)</f>
        <v/>
      </c>
      <c r="E1543" s="182">
        <f>IF(offer_sale_type="транзит",IFERROR(VLOOKUP($B1543,calc_data,E$14+1,0),0),0)</f>
        <v/>
      </c>
      <c r="F1543" s="182">
        <f>IF(offer_sale_type="транзит",IFERROR(VLOOKUP($B1543,calc_data,F$14+1,0),0),0)</f>
        <v/>
      </c>
      <c r="G1543" s="141">
        <f>IF(offer_sale_type="транзит",IFERROR(VLOOKUP($B1543,calc_data,G$14+1,0),0),0)</f>
        <v/>
      </c>
      <c r="H1543" s="141">
        <f>E1543*G1543</f>
        <v/>
      </c>
      <c r="I1543" s="141">
        <f>IF(offer_sale_type="транзит",IFERROR(ROUND(VLOOKUP($B1543,calc_data,I$14+1,0),2),0),0)</f>
        <v/>
      </c>
      <c r="J1543" s="141">
        <f>ROUND(IF(offer_sale_type="транзит",IFERROR(VLOOKUP($B1543,calc_data,J$14+1,0),0),0),2)</f>
        <v/>
      </c>
      <c r="K1543" s="142">
        <f>IF(offer_sale_type="транзит",IFERROR(ROUNDUP(VLOOKUP($B1543,calc_data,K$14+1,0),2),0),0)</f>
        <v/>
      </c>
      <c r="L1543" s="184">
        <f>IF(offer_sale_type="транзит",IFERROR(ROUNDUP(VLOOKUP($B1543,calc_data,L$14+1,0),2),0),0)</f>
        <v/>
      </c>
      <c r="M1543" s="141">
        <f>IF(offer_sale_type="транзит",IFERROR(ROUNDUP(VLOOKUP($B1543,calc_data,M$14+1,0),2),0),0)</f>
        <v/>
      </c>
      <c r="N1543" s="141">
        <f>IF(offer_sale_type="транзит",IFERROR(ROUNDUP(VLOOKUP($B1543,calc_data,N$14+1,0),2),0),0)</f>
        <v/>
      </c>
      <c r="O1543" s="147">
        <f>IF(offer_sale_type="транзит",IFERROR(ROUND(VLOOKUP($B1543,calc_data,O$14+1,1),2),0),0)</f>
        <v/>
      </c>
      <c r="P1543" s="141">
        <f>IF(offer_sale_type="транзит",IFERROR(ROUND(SUM(I1543:J1543,M1543:O1543)/E1543,2),0),0)</f>
        <v/>
      </c>
      <c r="Q1543" s="141">
        <f>E1543*P1543</f>
        <v/>
      </c>
      <c r="R1543" s="141">
        <f>ROUND(Q1543*IF(AND(offer_incoterms="DDP",seller_region="RU"),IF((TODAY()+offer_turnaround_time)&gt;=helpsheet!$L$17,rate_vatRU_from_26,rate_vatRu_till_25),0),2)</f>
        <v/>
      </c>
      <c r="S1543" s="177">
        <f>Q1543+IF(AND(offer_incoterms="DDP",seller_region="RU"),R1543,0)</f>
        <v/>
      </c>
      <c r="T1543" s="45" t="n"/>
      <c r="V1543" s="57">
        <f>IF(Q1543&gt;0,"показать","скрыть")</f>
        <v/>
      </c>
    </row>
    <row r="1544" ht="15.75" customHeight="1">
      <c r="B1544" s="809" t="n">
        <v>1528</v>
      </c>
      <c r="C1544" s="182">
        <f>IF(offer_sale_type="транзит",IFERROR(VLOOKUP($B1544,calc_data,C$14+1,0),0),0)</f>
        <v/>
      </c>
      <c r="D1544" s="280">
        <f>IF(offer_sale_type="транзит",IFERROR(VLOOKUP($B1544,calc_data,D$14+1,0),0),0)</f>
        <v/>
      </c>
      <c r="E1544" s="182">
        <f>IF(offer_sale_type="транзит",IFERROR(VLOOKUP($B1544,calc_data,E$14+1,0),0),0)</f>
        <v/>
      </c>
      <c r="F1544" s="182">
        <f>IF(offer_sale_type="транзит",IFERROR(VLOOKUP($B1544,calc_data,F$14+1,0),0),0)</f>
        <v/>
      </c>
      <c r="G1544" s="141">
        <f>IF(offer_sale_type="транзит",IFERROR(VLOOKUP($B1544,calc_data,G$14+1,0),0),0)</f>
        <v/>
      </c>
      <c r="H1544" s="141">
        <f>E1544*G1544</f>
        <v/>
      </c>
      <c r="I1544" s="141">
        <f>IF(offer_sale_type="транзит",IFERROR(ROUND(VLOOKUP($B1544,calc_data,I$14+1,0),2),0),0)</f>
        <v/>
      </c>
      <c r="J1544" s="141">
        <f>ROUND(IF(offer_sale_type="транзит",IFERROR(VLOOKUP($B1544,calc_data,J$14+1,0),0),0),2)</f>
        <v/>
      </c>
      <c r="K1544" s="142">
        <f>IF(offer_sale_type="транзит",IFERROR(ROUNDUP(VLOOKUP($B1544,calc_data,K$14+1,0),2),0),0)</f>
        <v/>
      </c>
      <c r="L1544" s="184">
        <f>IF(offer_sale_type="транзит",IFERROR(ROUNDUP(VLOOKUP($B1544,calc_data,L$14+1,0),2),0),0)</f>
        <v/>
      </c>
      <c r="M1544" s="141">
        <f>IF(offer_sale_type="транзит",IFERROR(ROUNDUP(VLOOKUP($B1544,calc_data,M$14+1,0),2),0),0)</f>
        <v/>
      </c>
      <c r="N1544" s="141">
        <f>IF(offer_sale_type="транзит",IFERROR(ROUNDUP(VLOOKUP($B1544,calc_data,N$14+1,0),2),0),0)</f>
        <v/>
      </c>
      <c r="O1544" s="147">
        <f>IF(offer_sale_type="транзит",IFERROR(ROUND(VLOOKUP($B1544,calc_data,O$14+1,1),2),0),0)</f>
        <v/>
      </c>
      <c r="P1544" s="141">
        <f>IF(offer_sale_type="транзит",IFERROR(ROUND(SUM(I1544:J1544,M1544:O1544)/E1544,2),0),0)</f>
        <v/>
      </c>
      <c r="Q1544" s="141">
        <f>E1544*P1544</f>
        <v/>
      </c>
      <c r="R1544" s="141">
        <f>ROUND(Q1544*IF(AND(offer_incoterms="DDP",seller_region="RU"),IF((TODAY()+offer_turnaround_time)&gt;=helpsheet!$L$17,rate_vatRU_from_26,rate_vatRu_till_25),0),2)</f>
        <v/>
      </c>
      <c r="S1544" s="177">
        <f>Q1544+IF(AND(offer_incoterms="DDP",seller_region="RU"),R1544,0)</f>
        <v/>
      </c>
      <c r="T1544" s="45" t="n"/>
      <c r="V1544" s="57">
        <f>IF(Q1544&gt;0,"показать","скрыть")</f>
        <v/>
      </c>
    </row>
    <row r="1545" ht="15.75" customHeight="1">
      <c r="B1545" s="809" t="n">
        <v>1529</v>
      </c>
      <c r="C1545" s="182">
        <f>IF(offer_sale_type="транзит",IFERROR(VLOOKUP($B1545,calc_data,C$14+1,0),0),0)</f>
        <v/>
      </c>
      <c r="D1545" s="280">
        <f>IF(offer_sale_type="транзит",IFERROR(VLOOKUP($B1545,calc_data,D$14+1,0),0),0)</f>
        <v/>
      </c>
      <c r="E1545" s="182">
        <f>IF(offer_sale_type="транзит",IFERROR(VLOOKUP($B1545,calc_data,E$14+1,0),0),0)</f>
        <v/>
      </c>
      <c r="F1545" s="182">
        <f>IF(offer_sale_type="транзит",IFERROR(VLOOKUP($B1545,calc_data,F$14+1,0),0),0)</f>
        <v/>
      </c>
      <c r="G1545" s="141">
        <f>IF(offer_sale_type="транзит",IFERROR(VLOOKUP($B1545,calc_data,G$14+1,0),0),0)</f>
        <v/>
      </c>
      <c r="H1545" s="141">
        <f>E1545*G1545</f>
        <v/>
      </c>
      <c r="I1545" s="141">
        <f>IF(offer_sale_type="транзит",IFERROR(ROUND(VLOOKUP($B1545,calc_data,I$14+1,0),2),0),0)</f>
        <v/>
      </c>
      <c r="J1545" s="141">
        <f>ROUND(IF(offer_sale_type="транзит",IFERROR(VLOOKUP($B1545,calc_data,J$14+1,0),0),0),2)</f>
        <v/>
      </c>
      <c r="K1545" s="142">
        <f>IF(offer_sale_type="транзит",IFERROR(ROUNDUP(VLOOKUP($B1545,calc_data,K$14+1,0),2),0),0)</f>
        <v/>
      </c>
      <c r="L1545" s="184">
        <f>IF(offer_sale_type="транзит",IFERROR(ROUNDUP(VLOOKUP($B1545,calc_data,L$14+1,0),2),0),0)</f>
        <v/>
      </c>
      <c r="M1545" s="141">
        <f>IF(offer_sale_type="транзит",IFERROR(ROUNDUP(VLOOKUP($B1545,calc_data,M$14+1,0),2),0),0)</f>
        <v/>
      </c>
      <c r="N1545" s="141">
        <f>IF(offer_sale_type="транзит",IFERROR(ROUNDUP(VLOOKUP($B1545,calc_data,N$14+1,0),2),0),0)</f>
        <v/>
      </c>
      <c r="O1545" s="147">
        <f>IF(offer_sale_type="транзит",IFERROR(ROUND(VLOOKUP($B1545,calc_data,O$14+1,1),2),0),0)</f>
        <v/>
      </c>
      <c r="P1545" s="141">
        <f>IF(offer_sale_type="транзит",IFERROR(ROUND(SUM(I1545:J1545,M1545:O1545)/E1545,2),0),0)</f>
        <v/>
      </c>
      <c r="Q1545" s="141">
        <f>E1545*P1545</f>
        <v/>
      </c>
      <c r="R1545" s="141">
        <f>ROUND(Q1545*IF(AND(offer_incoterms="DDP",seller_region="RU"),IF((TODAY()+offer_turnaround_time)&gt;=helpsheet!$L$17,rate_vatRU_from_26,rate_vatRu_till_25),0),2)</f>
        <v/>
      </c>
      <c r="S1545" s="177">
        <f>Q1545+IF(AND(offer_incoterms="DDP",seller_region="RU"),R1545,0)</f>
        <v/>
      </c>
      <c r="T1545" s="45" t="n"/>
      <c r="V1545" s="57">
        <f>IF(Q1545&gt;0,"показать","скрыть")</f>
        <v/>
      </c>
    </row>
    <row r="1546" ht="15.75" customHeight="1">
      <c r="B1546" s="809" t="n">
        <v>1530</v>
      </c>
      <c r="C1546" s="182">
        <f>IF(offer_sale_type="транзит",IFERROR(VLOOKUP($B1546,calc_data,C$14+1,0),0),0)</f>
        <v/>
      </c>
      <c r="D1546" s="280">
        <f>IF(offer_sale_type="транзит",IFERROR(VLOOKUP($B1546,calc_data,D$14+1,0),0),0)</f>
        <v/>
      </c>
      <c r="E1546" s="182">
        <f>IF(offer_sale_type="транзит",IFERROR(VLOOKUP($B1546,calc_data,E$14+1,0),0),0)</f>
        <v/>
      </c>
      <c r="F1546" s="182">
        <f>IF(offer_sale_type="транзит",IFERROR(VLOOKUP($B1546,calc_data,F$14+1,0),0),0)</f>
        <v/>
      </c>
      <c r="G1546" s="141">
        <f>IF(offer_sale_type="транзит",IFERROR(VLOOKUP($B1546,calc_data,G$14+1,0),0),0)</f>
        <v/>
      </c>
      <c r="H1546" s="141">
        <f>E1546*G1546</f>
        <v/>
      </c>
      <c r="I1546" s="141">
        <f>IF(offer_sale_type="транзит",IFERROR(ROUND(VLOOKUP($B1546,calc_data,I$14+1,0),2),0),0)</f>
        <v/>
      </c>
      <c r="J1546" s="141">
        <f>ROUND(IF(offer_sale_type="транзит",IFERROR(VLOOKUP($B1546,calc_data,J$14+1,0),0),0),2)</f>
        <v/>
      </c>
      <c r="K1546" s="142">
        <f>IF(offer_sale_type="транзит",IFERROR(ROUNDUP(VLOOKUP($B1546,calc_data,K$14+1,0),2),0),0)</f>
        <v/>
      </c>
      <c r="L1546" s="184">
        <f>IF(offer_sale_type="транзит",IFERROR(ROUNDUP(VLOOKUP($B1546,calc_data,L$14+1,0),2),0),0)</f>
        <v/>
      </c>
      <c r="M1546" s="141">
        <f>IF(offer_sale_type="транзит",IFERROR(ROUNDUP(VLOOKUP($B1546,calc_data,M$14+1,0),2),0),0)</f>
        <v/>
      </c>
      <c r="N1546" s="141">
        <f>IF(offer_sale_type="транзит",IFERROR(ROUNDUP(VLOOKUP($B1546,calc_data,N$14+1,0),2),0),0)</f>
        <v/>
      </c>
      <c r="O1546" s="147">
        <f>IF(offer_sale_type="транзит",IFERROR(ROUND(VLOOKUP($B1546,calc_data,O$14+1,1),2),0),0)</f>
        <v/>
      </c>
      <c r="P1546" s="141">
        <f>IF(offer_sale_type="транзит",IFERROR(ROUND(SUM(I1546:J1546,M1546:O1546)/E1546,2),0),0)</f>
        <v/>
      </c>
      <c r="Q1546" s="141">
        <f>E1546*P1546</f>
        <v/>
      </c>
      <c r="R1546" s="141">
        <f>ROUND(Q1546*IF(AND(offer_incoterms="DDP",seller_region="RU"),IF((TODAY()+offer_turnaround_time)&gt;=helpsheet!$L$17,rate_vatRU_from_26,rate_vatRu_till_25),0),2)</f>
        <v/>
      </c>
      <c r="S1546" s="177">
        <f>Q1546+IF(AND(offer_incoterms="DDP",seller_region="RU"),R1546,0)</f>
        <v/>
      </c>
      <c r="T1546" s="45" t="n"/>
      <c r="V1546" s="57">
        <f>IF(Q1546&gt;0,"показать","скрыть")</f>
        <v/>
      </c>
    </row>
    <row r="1547" ht="15.75" customHeight="1">
      <c r="B1547" s="809" t="n">
        <v>1531</v>
      </c>
      <c r="C1547" s="182">
        <f>IF(offer_sale_type="транзит",IFERROR(VLOOKUP($B1547,calc_data,C$14+1,0),0),0)</f>
        <v/>
      </c>
      <c r="D1547" s="280">
        <f>IF(offer_sale_type="транзит",IFERROR(VLOOKUP($B1547,calc_data,D$14+1,0),0),0)</f>
        <v/>
      </c>
      <c r="E1547" s="182">
        <f>IF(offer_sale_type="транзит",IFERROR(VLOOKUP($B1547,calc_data,E$14+1,0),0),0)</f>
        <v/>
      </c>
      <c r="F1547" s="182">
        <f>IF(offer_sale_type="транзит",IFERROR(VLOOKUP($B1547,calc_data,F$14+1,0),0),0)</f>
        <v/>
      </c>
      <c r="G1547" s="141">
        <f>IF(offer_sale_type="транзит",IFERROR(VLOOKUP($B1547,calc_data,G$14+1,0),0),0)</f>
        <v/>
      </c>
      <c r="H1547" s="141">
        <f>E1547*G1547</f>
        <v/>
      </c>
      <c r="I1547" s="141">
        <f>IF(offer_sale_type="транзит",IFERROR(ROUND(VLOOKUP($B1547,calc_data,I$14+1,0),2),0),0)</f>
        <v/>
      </c>
      <c r="J1547" s="141">
        <f>ROUND(IF(offer_sale_type="транзит",IFERROR(VLOOKUP($B1547,calc_data,J$14+1,0),0),0),2)</f>
        <v/>
      </c>
      <c r="K1547" s="142">
        <f>IF(offer_sale_type="транзит",IFERROR(ROUNDUP(VLOOKUP($B1547,calc_data,K$14+1,0),2),0),0)</f>
        <v/>
      </c>
      <c r="L1547" s="184">
        <f>IF(offer_sale_type="транзит",IFERROR(ROUNDUP(VLOOKUP($B1547,calc_data,L$14+1,0),2),0),0)</f>
        <v/>
      </c>
      <c r="M1547" s="141">
        <f>IF(offer_sale_type="транзит",IFERROR(ROUNDUP(VLOOKUP($B1547,calc_data,M$14+1,0),2),0),0)</f>
        <v/>
      </c>
      <c r="N1547" s="141">
        <f>IF(offer_sale_type="транзит",IFERROR(ROUNDUP(VLOOKUP($B1547,calc_data,N$14+1,0),2),0),0)</f>
        <v/>
      </c>
      <c r="O1547" s="147">
        <f>IF(offer_sale_type="транзит",IFERROR(ROUND(VLOOKUP($B1547,calc_data,O$14+1,1),2),0),0)</f>
        <v/>
      </c>
      <c r="P1547" s="141">
        <f>IF(offer_sale_type="транзит",IFERROR(ROUND(SUM(I1547:J1547,M1547:O1547)/E1547,2),0),0)</f>
        <v/>
      </c>
      <c r="Q1547" s="141">
        <f>E1547*P1547</f>
        <v/>
      </c>
      <c r="R1547" s="141">
        <f>ROUND(Q1547*IF(AND(offer_incoterms="DDP",seller_region="RU"),IF((TODAY()+offer_turnaround_time)&gt;=helpsheet!$L$17,rate_vatRU_from_26,rate_vatRu_till_25),0),2)</f>
        <v/>
      </c>
      <c r="S1547" s="177">
        <f>Q1547+IF(AND(offer_incoterms="DDP",seller_region="RU"),R1547,0)</f>
        <v/>
      </c>
      <c r="T1547" s="45" t="n"/>
      <c r="V1547" s="57">
        <f>IF(Q1547&gt;0,"показать","скрыть")</f>
        <v/>
      </c>
    </row>
    <row r="1548" ht="15.75" customHeight="1">
      <c r="B1548" s="809" t="n">
        <v>1532</v>
      </c>
      <c r="C1548" s="182">
        <f>IF(offer_sale_type="транзит",IFERROR(VLOOKUP($B1548,calc_data,C$14+1,0),0),0)</f>
        <v/>
      </c>
      <c r="D1548" s="280">
        <f>IF(offer_sale_type="транзит",IFERROR(VLOOKUP($B1548,calc_data,D$14+1,0),0),0)</f>
        <v/>
      </c>
      <c r="E1548" s="182">
        <f>IF(offer_sale_type="транзит",IFERROR(VLOOKUP($B1548,calc_data,E$14+1,0),0),0)</f>
        <v/>
      </c>
      <c r="F1548" s="182">
        <f>IF(offer_sale_type="транзит",IFERROR(VLOOKUP($B1548,calc_data,F$14+1,0),0),0)</f>
        <v/>
      </c>
      <c r="G1548" s="141">
        <f>IF(offer_sale_type="транзит",IFERROR(VLOOKUP($B1548,calc_data,G$14+1,0),0),0)</f>
        <v/>
      </c>
      <c r="H1548" s="141">
        <f>E1548*G1548</f>
        <v/>
      </c>
      <c r="I1548" s="141">
        <f>IF(offer_sale_type="транзит",IFERROR(ROUND(VLOOKUP($B1548,calc_data,I$14+1,0),2),0),0)</f>
        <v/>
      </c>
      <c r="J1548" s="141">
        <f>ROUND(IF(offer_sale_type="транзит",IFERROR(VLOOKUP($B1548,calc_data,J$14+1,0),0),0),2)</f>
        <v/>
      </c>
      <c r="K1548" s="142">
        <f>IF(offer_sale_type="транзит",IFERROR(ROUNDUP(VLOOKUP($B1548,calc_data,K$14+1,0),2),0),0)</f>
        <v/>
      </c>
      <c r="L1548" s="184">
        <f>IF(offer_sale_type="транзит",IFERROR(ROUNDUP(VLOOKUP($B1548,calc_data,L$14+1,0),2),0),0)</f>
        <v/>
      </c>
      <c r="M1548" s="141">
        <f>IF(offer_sale_type="транзит",IFERROR(ROUNDUP(VLOOKUP($B1548,calc_data,M$14+1,0),2),0),0)</f>
        <v/>
      </c>
      <c r="N1548" s="141">
        <f>IF(offer_sale_type="транзит",IFERROR(ROUNDUP(VLOOKUP($B1548,calc_data,N$14+1,0),2),0),0)</f>
        <v/>
      </c>
      <c r="O1548" s="147">
        <f>IF(offer_sale_type="транзит",IFERROR(ROUND(VLOOKUP($B1548,calc_data,O$14+1,1),2),0),0)</f>
        <v/>
      </c>
      <c r="P1548" s="141">
        <f>IF(offer_sale_type="транзит",IFERROR(ROUND(SUM(I1548:J1548,M1548:O1548)/E1548,2),0),0)</f>
        <v/>
      </c>
      <c r="Q1548" s="141">
        <f>E1548*P1548</f>
        <v/>
      </c>
      <c r="R1548" s="141">
        <f>ROUND(Q1548*IF(AND(offer_incoterms="DDP",seller_region="RU"),IF((TODAY()+offer_turnaround_time)&gt;=helpsheet!$L$17,rate_vatRU_from_26,rate_vatRu_till_25),0),2)</f>
        <v/>
      </c>
      <c r="S1548" s="177">
        <f>Q1548+IF(AND(offer_incoterms="DDP",seller_region="RU"),R1548,0)</f>
        <v/>
      </c>
      <c r="T1548" s="45" t="n"/>
      <c r="V1548" s="57">
        <f>IF(Q1548&gt;0,"показать","скрыть")</f>
        <v/>
      </c>
    </row>
    <row r="1549" ht="15.75" customHeight="1">
      <c r="B1549" s="809" t="n">
        <v>1533</v>
      </c>
      <c r="C1549" s="182">
        <f>IF(offer_sale_type="транзит",IFERROR(VLOOKUP($B1549,calc_data,C$14+1,0),0),0)</f>
        <v/>
      </c>
      <c r="D1549" s="280">
        <f>IF(offer_sale_type="транзит",IFERROR(VLOOKUP($B1549,calc_data,D$14+1,0),0),0)</f>
        <v/>
      </c>
      <c r="E1549" s="182">
        <f>IF(offer_sale_type="транзит",IFERROR(VLOOKUP($B1549,calc_data,E$14+1,0),0),0)</f>
        <v/>
      </c>
      <c r="F1549" s="182">
        <f>IF(offer_sale_type="транзит",IFERROR(VLOOKUP($B1549,calc_data,F$14+1,0),0),0)</f>
        <v/>
      </c>
      <c r="G1549" s="141">
        <f>IF(offer_sale_type="транзит",IFERROR(VLOOKUP($B1549,calc_data,G$14+1,0),0),0)</f>
        <v/>
      </c>
      <c r="H1549" s="141">
        <f>E1549*G1549</f>
        <v/>
      </c>
      <c r="I1549" s="141">
        <f>IF(offer_sale_type="транзит",IFERROR(ROUND(VLOOKUP($B1549,calc_data,I$14+1,0),2),0),0)</f>
        <v/>
      </c>
      <c r="J1549" s="141">
        <f>ROUND(IF(offer_sale_type="транзит",IFERROR(VLOOKUP($B1549,calc_data,J$14+1,0),0),0),2)</f>
        <v/>
      </c>
      <c r="K1549" s="142">
        <f>IF(offer_sale_type="транзит",IFERROR(ROUNDUP(VLOOKUP($B1549,calc_data,K$14+1,0),2),0),0)</f>
        <v/>
      </c>
      <c r="L1549" s="184">
        <f>IF(offer_sale_type="транзит",IFERROR(ROUNDUP(VLOOKUP($B1549,calc_data,L$14+1,0),2),0),0)</f>
        <v/>
      </c>
      <c r="M1549" s="141">
        <f>IF(offer_sale_type="транзит",IFERROR(ROUNDUP(VLOOKUP($B1549,calc_data,M$14+1,0),2),0),0)</f>
        <v/>
      </c>
      <c r="N1549" s="141">
        <f>IF(offer_sale_type="транзит",IFERROR(ROUNDUP(VLOOKUP($B1549,calc_data,N$14+1,0),2),0),0)</f>
        <v/>
      </c>
      <c r="O1549" s="147">
        <f>IF(offer_sale_type="транзит",IFERROR(ROUND(VLOOKUP($B1549,calc_data,O$14+1,1),2),0),0)</f>
        <v/>
      </c>
      <c r="P1549" s="141">
        <f>IF(offer_sale_type="транзит",IFERROR(ROUND(SUM(I1549:J1549,M1549:O1549)/E1549,2),0),0)</f>
        <v/>
      </c>
      <c r="Q1549" s="141">
        <f>E1549*P1549</f>
        <v/>
      </c>
      <c r="R1549" s="141">
        <f>ROUND(Q1549*IF(AND(offer_incoterms="DDP",seller_region="RU"),IF((TODAY()+offer_turnaround_time)&gt;=helpsheet!$L$17,rate_vatRU_from_26,rate_vatRu_till_25),0),2)</f>
        <v/>
      </c>
      <c r="S1549" s="177">
        <f>Q1549+IF(AND(offer_incoterms="DDP",seller_region="RU"),R1549,0)</f>
        <v/>
      </c>
      <c r="T1549" s="45" t="n"/>
      <c r="V1549" s="57">
        <f>IF(Q1549&gt;0,"показать","скрыть")</f>
        <v/>
      </c>
    </row>
    <row r="1550" ht="15.75" customHeight="1">
      <c r="B1550" s="809" t="n">
        <v>1534</v>
      </c>
      <c r="C1550" s="182">
        <f>IF(offer_sale_type="транзит",IFERROR(VLOOKUP($B1550,calc_data,C$14+1,0),0),0)</f>
        <v/>
      </c>
      <c r="D1550" s="280">
        <f>IF(offer_sale_type="транзит",IFERROR(VLOOKUP($B1550,calc_data,D$14+1,0),0),0)</f>
        <v/>
      </c>
      <c r="E1550" s="182">
        <f>IF(offer_sale_type="транзит",IFERROR(VLOOKUP($B1550,calc_data,E$14+1,0),0),0)</f>
        <v/>
      </c>
      <c r="F1550" s="182">
        <f>IF(offer_sale_type="транзит",IFERROR(VLOOKUP($B1550,calc_data,F$14+1,0),0),0)</f>
        <v/>
      </c>
      <c r="G1550" s="141">
        <f>IF(offer_sale_type="транзит",IFERROR(VLOOKUP($B1550,calc_data,G$14+1,0),0),0)</f>
        <v/>
      </c>
      <c r="H1550" s="141">
        <f>E1550*G1550</f>
        <v/>
      </c>
      <c r="I1550" s="141">
        <f>IF(offer_sale_type="транзит",IFERROR(ROUND(VLOOKUP($B1550,calc_data,I$14+1,0),2),0),0)</f>
        <v/>
      </c>
      <c r="J1550" s="141">
        <f>ROUND(IF(offer_sale_type="транзит",IFERROR(VLOOKUP($B1550,calc_data,J$14+1,0),0),0),2)</f>
        <v/>
      </c>
      <c r="K1550" s="142">
        <f>IF(offer_sale_type="транзит",IFERROR(ROUNDUP(VLOOKUP($B1550,calc_data,K$14+1,0),2),0),0)</f>
        <v/>
      </c>
      <c r="L1550" s="184">
        <f>IF(offer_sale_type="транзит",IFERROR(ROUNDUP(VLOOKUP($B1550,calc_data,L$14+1,0),2),0),0)</f>
        <v/>
      </c>
      <c r="M1550" s="141">
        <f>IF(offer_sale_type="транзит",IFERROR(ROUNDUP(VLOOKUP($B1550,calc_data,M$14+1,0),2),0),0)</f>
        <v/>
      </c>
      <c r="N1550" s="141">
        <f>IF(offer_sale_type="транзит",IFERROR(ROUNDUP(VLOOKUP($B1550,calc_data,N$14+1,0),2),0),0)</f>
        <v/>
      </c>
      <c r="O1550" s="147">
        <f>IF(offer_sale_type="транзит",IFERROR(ROUND(VLOOKUP($B1550,calc_data,O$14+1,1),2),0),0)</f>
        <v/>
      </c>
      <c r="P1550" s="141">
        <f>IF(offer_sale_type="транзит",IFERROR(ROUND(SUM(I1550:J1550,M1550:O1550)/E1550,2),0),0)</f>
        <v/>
      </c>
      <c r="Q1550" s="141">
        <f>E1550*P1550</f>
        <v/>
      </c>
      <c r="R1550" s="141">
        <f>ROUND(Q1550*IF(AND(offer_incoterms="DDP",seller_region="RU"),IF((TODAY()+offer_turnaround_time)&gt;=helpsheet!$L$17,rate_vatRU_from_26,rate_vatRu_till_25),0),2)</f>
        <v/>
      </c>
      <c r="S1550" s="177">
        <f>Q1550+IF(AND(offer_incoterms="DDP",seller_region="RU"),R1550,0)</f>
        <v/>
      </c>
      <c r="T1550" s="45" t="n"/>
      <c r="V1550" s="57">
        <f>IF(Q1550&gt;0,"показать","скрыть")</f>
        <v/>
      </c>
    </row>
    <row r="1551" ht="15.75" customHeight="1">
      <c r="B1551" s="809" t="n">
        <v>1535</v>
      </c>
      <c r="C1551" s="182">
        <f>IF(offer_sale_type="транзит",IFERROR(VLOOKUP($B1551,calc_data,C$14+1,0),0),0)</f>
        <v/>
      </c>
      <c r="D1551" s="280">
        <f>IF(offer_sale_type="транзит",IFERROR(VLOOKUP($B1551,calc_data,D$14+1,0),0),0)</f>
        <v/>
      </c>
      <c r="E1551" s="182">
        <f>IF(offer_sale_type="транзит",IFERROR(VLOOKUP($B1551,calc_data,E$14+1,0),0),0)</f>
        <v/>
      </c>
      <c r="F1551" s="182">
        <f>IF(offer_sale_type="транзит",IFERROR(VLOOKUP($B1551,calc_data,F$14+1,0),0),0)</f>
        <v/>
      </c>
      <c r="G1551" s="141">
        <f>IF(offer_sale_type="транзит",IFERROR(VLOOKUP($B1551,calc_data,G$14+1,0),0),0)</f>
        <v/>
      </c>
      <c r="H1551" s="141">
        <f>E1551*G1551</f>
        <v/>
      </c>
      <c r="I1551" s="141">
        <f>IF(offer_sale_type="транзит",IFERROR(ROUND(VLOOKUP($B1551,calc_data,I$14+1,0),2),0),0)</f>
        <v/>
      </c>
      <c r="J1551" s="141">
        <f>ROUND(IF(offer_sale_type="транзит",IFERROR(VLOOKUP($B1551,calc_data,J$14+1,0),0),0),2)</f>
        <v/>
      </c>
      <c r="K1551" s="142">
        <f>IF(offer_sale_type="транзит",IFERROR(ROUNDUP(VLOOKUP($B1551,calc_data,K$14+1,0),2),0),0)</f>
        <v/>
      </c>
      <c r="L1551" s="184">
        <f>IF(offer_sale_type="транзит",IFERROR(ROUNDUP(VLOOKUP($B1551,calc_data,L$14+1,0),2),0),0)</f>
        <v/>
      </c>
      <c r="M1551" s="141">
        <f>IF(offer_sale_type="транзит",IFERROR(ROUNDUP(VLOOKUP($B1551,calc_data,M$14+1,0),2),0),0)</f>
        <v/>
      </c>
      <c r="N1551" s="141">
        <f>IF(offer_sale_type="транзит",IFERROR(ROUNDUP(VLOOKUP($B1551,calc_data,N$14+1,0),2),0),0)</f>
        <v/>
      </c>
      <c r="O1551" s="147">
        <f>IF(offer_sale_type="транзит",IFERROR(ROUND(VLOOKUP($B1551,calc_data,O$14+1,1),2),0),0)</f>
        <v/>
      </c>
      <c r="P1551" s="141">
        <f>IF(offer_sale_type="транзит",IFERROR(ROUND(SUM(I1551:J1551,M1551:O1551)/E1551,2),0),0)</f>
        <v/>
      </c>
      <c r="Q1551" s="141">
        <f>E1551*P1551</f>
        <v/>
      </c>
      <c r="R1551" s="141">
        <f>ROUND(Q1551*IF(AND(offer_incoterms="DDP",seller_region="RU"),IF((TODAY()+offer_turnaround_time)&gt;=helpsheet!$L$17,rate_vatRU_from_26,rate_vatRu_till_25),0),2)</f>
        <v/>
      </c>
      <c r="S1551" s="177">
        <f>Q1551+IF(AND(offer_incoterms="DDP",seller_region="RU"),R1551,0)</f>
        <v/>
      </c>
      <c r="T1551" s="45" t="n"/>
      <c r="V1551" s="57">
        <f>IF(Q1551&gt;0,"показать","скрыть")</f>
        <v/>
      </c>
    </row>
    <row r="1552" ht="15.75" customHeight="1">
      <c r="B1552" s="809" t="n">
        <v>1536</v>
      </c>
      <c r="C1552" s="182">
        <f>IF(offer_sale_type="транзит",IFERROR(VLOOKUP($B1552,calc_data,C$14+1,0),0),0)</f>
        <v/>
      </c>
      <c r="D1552" s="280">
        <f>IF(offer_sale_type="транзит",IFERROR(VLOOKUP($B1552,calc_data,D$14+1,0),0),0)</f>
        <v/>
      </c>
      <c r="E1552" s="182">
        <f>IF(offer_sale_type="транзит",IFERROR(VLOOKUP($B1552,calc_data,E$14+1,0),0),0)</f>
        <v/>
      </c>
      <c r="F1552" s="182">
        <f>IF(offer_sale_type="транзит",IFERROR(VLOOKUP($B1552,calc_data,F$14+1,0),0),0)</f>
        <v/>
      </c>
      <c r="G1552" s="141">
        <f>IF(offer_sale_type="транзит",IFERROR(VLOOKUP($B1552,calc_data,G$14+1,0),0),0)</f>
        <v/>
      </c>
      <c r="H1552" s="141">
        <f>E1552*G1552</f>
        <v/>
      </c>
      <c r="I1552" s="141">
        <f>IF(offer_sale_type="транзит",IFERROR(ROUND(VLOOKUP($B1552,calc_data,I$14+1,0),2),0),0)</f>
        <v/>
      </c>
      <c r="J1552" s="141">
        <f>ROUND(IF(offer_sale_type="транзит",IFERROR(VLOOKUP($B1552,calc_data,J$14+1,0),0),0),2)</f>
        <v/>
      </c>
      <c r="K1552" s="142">
        <f>IF(offer_sale_type="транзит",IFERROR(ROUNDUP(VLOOKUP($B1552,calc_data,K$14+1,0),2),0),0)</f>
        <v/>
      </c>
      <c r="L1552" s="184">
        <f>IF(offer_sale_type="транзит",IFERROR(ROUNDUP(VLOOKUP($B1552,calc_data,L$14+1,0),2),0),0)</f>
        <v/>
      </c>
      <c r="M1552" s="141">
        <f>IF(offer_sale_type="транзит",IFERROR(ROUNDUP(VLOOKUP($B1552,calc_data,M$14+1,0),2),0),0)</f>
        <v/>
      </c>
      <c r="N1552" s="141">
        <f>IF(offer_sale_type="транзит",IFERROR(ROUNDUP(VLOOKUP($B1552,calc_data,N$14+1,0),2),0),0)</f>
        <v/>
      </c>
      <c r="O1552" s="147">
        <f>IF(offer_sale_type="транзит",IFERROR(ROUND(VLOOKUP($B1552,calc_data,O$14+1,1),2),0),0)</f>
        <v/>
      </c>
      <c r="P1552" s="141">
        <f>IF(offer_sale_type="транзит",IFERROR(ROUND(SUM(I1552:J1552,M1552:O1552)/E1552,2),0),0)</f>
        <v/>
      </c>
      <c r="Q1552" s="141">
        <f>E1552*P1552</f>
        <v/>
      </c>
      <c r="R1552" s="141">
        <f>ROUND(Q1552*IF(AND(offer_incoterms="DDP",seller_region="RU"),IF((TODAY()+offer_turnaround_time)&gt;=helpsheet!$L$17,rate_vatRU_from_26,rate_vatRu_till_25),0),2)</f>
        <v/>
      </c>
      <c r="S1552" s="177">
        <f>Q1552+IF(AND(offer_incoterms="DDP",seller_region="RU"),R1552,0)</f>
        <v/>
      </c>
      <c r="T1552" s="45" t="n"/>
      <c r="V1552" s="57">
        <f>IF(Q1552&gt;0,"показать","скрыть")</f>
        <v/>
      </c>
    </row>
    <row r="1553" ht="15.75" customHeight="1">
      <c r="B1553" s="809" t="n">
        <v>1537</v>
      </c>
      <c r="C1553" s="182">
        <f>IF(offer_sale_type="транзит",IFERROR(VLOOKUP($B1553,calc_data,C$14+1,0),0),0)</f>
        <v/>
      </c>
      <c r="D1553" s="280">
        <f>IF(offer_sale_type="транзит",IFERROR(VLOOKUP($B1553,calc_data,D$14+1,0),0),0)</f>
        <v/>
      </c>
      <c r="E1553" s="182">
        <f>IF(offer_sale_type="транзит",IFERROR(VLOOKUP($B1553,calc_data,E$14+1,0),0),0)</f>
        <v/>
      </c>
      <c r="F1553" s="182">
        <f>IF(offer_sale_type="транзит",IFERROR(VLOOKUP($B1553,calc_data,F$14+1,0),0),0)</f>
        <v/>
      </c>
      <c r="G1553" s="141">
        <f>IF(offer_sale_type="транзит",IFERROR(VLOOKUP($B1553,calc_data,G$14+1,0),0),0)</f>
        <v/>
      </c>
      <c r="H1553" s="141">
        <f>E1553*G1553</f>
        <v/>
      </c>
      <c r="I1553" s="141">
        <f>IF(offer_sale_type="транзит",IFERROR(ROUND(VLOOKUP($B1553,calc_data,I$14+1,0),2),0),0)</f>
        <v/>
      </c>
      <c r="J1553" s="141">
        <f>ROUND(IF(offer_sale_type="транзит",IFERROR(VLOOKUP($B1553,calc_data,J$14+1,0),0),0),2)</f>
        <v/>
      </c>
      <c r="K1553" s="142">
        <f>IF(offer_sale_type="транзит",IFERROR(ROUNDUP(VLOOKUP($B1553,calc_data,K$14+1,0),2),0),0)</f>
        <v/>
      </c>
      <c r="L1553" s="184">
        <f>IF(offer_sale_type="транзит",IFERROR(ROUNDUP(VLOOKUP($B1553,calc_data,L$14+1,0),2),0),0)</f>
        <v/>
      </c>
      <c r="M1553" s="141">
        <f>IF(offer_sale_type="транзит",IFERROR(ROUNDUP(VLOOKUP($B1553,calc_data,M$14+1,0),2),0),0)</f>
        <v/>
      </c>
      <c r="N1553" s="141">
        <f>IF(offer_sale_type="транзит",IFERROR(ROUNDUP(VLOOKUP($B1553,calc_data,N$14+1,0),2),0),0)</f>
        <v/>
      </c>
      <c r="O1553" s="147">
        <f>IF(offer_sale_type="транзит",IFERROR(ROUND(VLOOKUP($B1553,calc_data,O$14+1,1),2),0),0)</f>
        <v/>
      </c>
      <c r="P1553" s="141">
        <f>IF(offer_sale_type="транзит",IFERROR(ROUND(SUM(I1553:J1553,M1553:O1553)/E1553,2),0),0)</f>
        <v/>
      </c>
      <c r="Q1553" s="141">
        <f>E1553*P1553</f>
        <v/>
      </c>
      <c r="R1553" s="141">
        <f>ROUND(Q1553*IF(AND(offer_incoterms="DDP",seller_region="RU"),IF((TODAY()+offer_turnaround_time)&gt;=helpsheet!$L$17,rate_vatRU_from_26,rate_vatRu_till_25),0),2)</f>
        <v/>
      </c>
      <c r="S1553" s="177">
        <f>Q1553+IF(AND(offer_incoterms="DDP",seller_region="RU"),R1553,0)</f>
        <v/>
      </c>
      <c r="T1553" s="45" t="n"/>
      <c r="V1553" s="57">
        <f>IF(Q1553&gt;0,"показать","скрыть")</f>
        <v/>
      </c>
    </row>
    <row r="1554" ht="15.75" customHeight="1">
      <c r="B1554" s="809" t="n">
        <v>1538</v>
      </c>
      <c r="C1554" s="182">
        <f>IF(offer_sale_type="транзит",IFERROR(VLOOKUP($B1554,calc_data,C$14+1,0),0),0)</f>
        <v/>
      </c>
      <c r="D1554" s="280">
        <f>IF(offer_sale_type="транзит",IFERROR(VLOOKUP($B1554,calc_data,D$14+1,0),0),0)</f>
        <v/>
      </c>
      <c r="E1554" s="182">
        <f>IF(offer_sale_type="транзит",IFERROR(VLOOKUP($B1554,calc_data,E$14+1,0),0),0)</f>
        <v/>
      </c>
      <c r="F1554" s="182">
        <f>IF(offer_sale_type="транзит",IFERROR(VLOOKUP($B1554,calc_data,F$14+1,0),0),0)</f>
        <v/>
      </c>
      <c r="G1554" s="141">
        <f>IF(offer_sale_type="транзит",IFERROR(VLOOKUP($B1554,calc_data,G$14+1,0),0),0)</f>
        <v/>
      </c>
      <c r="H1554" s="141">
        <f>E1554*G1554</f>
        <v/>
      </c>
      <c r="I1554" s="141">
        <f>IF(offer_sale_type="транзит",IFERROR(ROUND(VLOOKUP($B1554,calc_data,I$14+1,0),2),0),0)</f>
        <v/>
      </c>
      <c r="J1554" s="141">
        <f>ROUND(IF(offer_sale_type="транзит",IFERROR(VLOOKUP($B1554,calc_data,J$14+1,0),0),0),2)</f>
        <v/>
      </c>
      <c r="K1554" s="142">
        <f>IF(offer_sale_type="транзит",IFERROR(ROUNDUP(VLOOKUP($B1554,calc_data,K$14+1,0),2),0),0)</f>
        <v/>
      </c>
      <c r="L1554" s="184">
        <f>IF(offer_sale_type="транзит",IFERROR(ROUNDUP(VLOOKUP($B1554,calc_data,L$14+1,0),2),0),0)</f>
        <v/>
      </c>
      <c r="M1554" s="141">
        <f>IF(offer_sale_type="транзит",IFERROR(ROUNDUP(VLOOKUP($B1554,calc_data,M$14+1,0),2),0),0)</f>
        <v/>
      </c>
      <c r="N1554" s="141">
        <f>IF(offer_sale_type="транзит",IFERROR(ROUNDUP(VLOOKUP($B1554,calc_data,N$14+1,0),2),0),0)</f>
        <v/>
      </c>
      <c r="O1554" s="147">
        <f>IF(offer_sale_type="транзит",IFERROR(ROUND(VLOOKUP($B1554,calc_data,O$14+1,1),2),0),0)</f>
        <v/>
      </c>
      <c r="P1554" s="141">
        <f>IF(offer_sale_type="транзит",IFERROR(ROUND(SUM(I1554:J1554,M1554:O1554)/E1554,2),0),0)</f>
        <v/>
      </c>
      <c r="Q1554" s="141">
        <f>E1554*P1554</f>
        <v/>
      </c>
      <c r="R1554" s="141">
        <f>ROUND(Q1554*IF(AND(offer_incoterms="DDP",seller_region="RU"),IF((TODAY()+offer_turnaround_time)&gt;=helpsheet!$L$17,rate_vatRU_from_26,rate_vatRu_till_25),0),2)</f>
        <v/>
      </c>
      <c r="S1554" s="177">
        <f>Q1554+IF(AND(offer_incoterms="DDP",seller_region="RU"),R1554,0)</f>
        <v/>
      </c>
      <c r="T1554" s="45" t="n"/>
      <c r="V1554" s="57">
        <f>IF(Q1554&gt;0,"показать","скрыть")</f>
        <v/>
      </c>
    </row>
    <row r="1555" ht="15.75" customHeight="1">
      <c r="B1555" s="809" t="n">
        <v>1539</v>
      </c>
      <c r="C1555" s="182">
        <f>IF(offer_sale_type="транзит",IFERROR(VLOOKUP($B1555,calc_data,C$14+1,0),0),0)</f>
        <v/>
      </c>
      <c r="D1555" s="280">
        <f>IF(offer_sale_type="транзит",IFERROR(VLOOKUP($B1555,calc_data,D$14+1,0),0),0)</f>
        <v/>
      </c>
      <c r="E1555" s="182">
        <f>IF(offer_sale_type="транзит",IFERROR(VLOOKUP($B1555,calc_data,E$14+1,0),0),0)</f>
        <v/>
      </c>
      <c r="F1555" s="182">
        <f>IF(offer_sale_type="транзит",IFERROR(VLOOKUP($B1555,calc_data,F$14+1,0),0),0)</f>
        <v/>
      </c>
      <c r="G1555" s="141">
        <f>IF(offer_sale_type="транзит",IFERROR(VLOOKUP($B1555,calc_data,G$14+1,0),0),0)</f>
        <v/>
      </c>
      <c r="H1555" s="141">
        <f>E1555*G1555</f>
        <v/>
      </c>
      <c r="I1555" s="141">
        <f>IF(offer_sale_type="транзит",IFERROR(ROUND(VLOOKUP($B1555,calc_data,I$14+1,0),2),0),0)</f>
        <v/>
      </c>
      <c r="J1555" s="141">
        <f>ROUND(IF(offer_sale_type="транзит",IFERROR(VLOOKUP($B1555,calc_data,J$14+1,0),0),0),2)</f>
        <v/>
      </c>
      <c r="K1555" s="142">
        <f>IF(offer_sale_type="транзит",IFERROR(ROUNDUP(VLOOKUP($B1555,calc_data,K$14+1,0),2),0),0)</f>
        <v/>
      </c>
      <c r="L1555" s="184">
        <f>IF(offer_sale_type="транзит",IFERROR(ROUNDUP(VLOOKUP($B1555,calc_data,L$14+1,0),2),0),0)</f>
        <v/>
      </c>
      <c r="M1555" s="141">
        <f>IF(offer_sale_type="транзит",IFERROR(ROUNDUP(VLOOKUP($B1555,calc_data,M$14+1,0),2),0),0)</f>
        <v/>
      </c>
      <c r="N1555" s="141">
        <f>IF(offer_sale_type="транзит",IFERROR(ROUNDUP(VLOOKUP($B1555,calc_data,N$14+1,0),2),0),0)</f>
        <v/>
      </c>
      <c r="O1555" s="147">
        <f>IF(offer_sale_type="транзит",IFERROR(ROUND(VLOOKUP($B1555,calc_data,O$14+1,1),2),0),0)</f>
        <v/>
      </c>
      <c r="P1555" s="141">
        <f>IF(offer_sale_type="транзит",IFERROR(ROUND(SUM(I1555:J1555,M1555:O1555)/E1555,2),0),0)</f>
        <v/>
      </c>
      <c r="Q1555" s="141">
        <f>E1555*P1555</f>
        <v/>
      </c>
      <c r="R1555" s="141">
        <f>ROUND(Q1555*IF(AND(offer_incoterms="DDP",seller_region="RU"),IF((TODAY()+offer_turnaround_time)&gt;=helpsheet!$L$17,rate_vatRU_from_26,rate_vatRu_till_25),0),2)</f>
        <v/>
      </c>
      <c r="S1555" s="177">
        <f>Q1555+IF(AND(offer_incoterms="DDP",seller_region="RU"),R1555,0)</f>
        <v/>
      </c>
      <c r="T1555" s="45" t="n"/>
      <c r="V1555" s="57">
        <f>IF(Q1555&gt;0,"показать","скрыть")</f>
        <v/>
      </c>
    </row>
    <row r="1556" ht="15.75" customHeight="1">
      <c r="B1556" s="809" t="n">
        <v>1540</v>
      </c>
      <c r="C1556" s="182">
        <f>IF(offer_sale_type="транзит",IFERROR(VLOOKUP($B1556,calc_data,C$14+1,0),0),0)</f>
        <v/>
      </c>
      <c r="D1556" s="280">
        <f>IF(offer_sale_type="транзит",IFERROR(VLOOKUP($B1556,calc_data,D$14+1,0),0),0)</f>
        <v/>
      </c>
      <c r="E1556" s="182">
        <f>IF(offer_sale_type="транзит",IFERROR(VLOOKUP($B1556,calc_data,E$14+1,0),0),0)</f>
        <v/>
      </c>
      <c r="F1556" s="182">
        <f>IF(offer_sale_type="транзит",IFERROR(VLOOKUP($B1556,calc_data,F$14+1,0),0),0)</f>
        <v/>
      </c>
      <c r="G1556" s="141">
        <f>IF(offer_sale_type="транзит",IFERROR(VLOOKUP($B1556,calc_data,G$14+1,0),0),0)</f>
        <v/>
      </c>
      <c r="H1556" s="141">
        <f>E1556*G1556</f>
        <v/>
      </c>
      <c r="I1556" s="141">
        <f>IF(offer_sale_type="транзит",IFERROR(ROUND(VLOOKUP($B1556,calc_data,I$14+1,0),2),0),0)</f>
        <v/>
      </c>
      <c r="J1556" s="141">
        <f>ROUND(IF(offer_sale_type="транзит",IFERROR(VLOOKUP($B1556,calc_data,J$14+1,0),0),0),2)</f>
        <v/>
      </c>
      <c r="K1556" s="142">
        <f>IF(offer_sale_type="транзит",IFERROR(ROUNDUP(VLOOKUP($B1556,calc_data,K$14+1,0),2),0),0)</f>
        <v/>
      </c>
      <c r="L1556" s="184">
        <f>IF(offer_sale_type="транзит",IFERROR(ROUNDUP(VLOOKUP($B1556,calc_data,L$14+1,0),2),0),0)</f>
        <v/>
      </c>
      <c r="M1556" s="141">
        <f>IF(offer_sale_type="транзит",IFERROR(ROUNDUP(VLOOKUP($B1556,calc_data,M$14+1,0),2),0),0)</f>
        <v/>
      </c>
      <c r="N1556" s="141">
        <f>IF(offer_sale_type="транзит",IFERROR(ROUNDUP(VLOOKUP($B1556,calc_data,N$14+1,0),2),0),0)</f>
        <v/>
      </c>
      <c r="O1556" s="147">
        <f>IF(offer_sale_type="транзит",IFERROR(ROUND(VLOOKUP($B1556,calc_data,O$14+1,1),2),0),0)</f>
        <v/>
      </c>
      <c r="P1556" s="141">
        <f>IF(offer_sale_type="транзит",IFERROR(ROUND(SUM(I1556:J1556,M1556:O1556)/E1556,2),0),0)</f>
        <v/>
      </c>
      <c r="Q1556" s="141">
        <f>E1556*P1556</f>
        <v/>
      </c>
      <c r="R1556" s="141">
        <f>ROUND(Q1556*IF(AND(offer_incoterms="DDP",seller_region="RU"),IF((TODAY()+offer_turnaround_time)&gt;=helpsheet!$L$17,rate_vatRU_from_26,rate_vatRu_till_25),0),2)</f>
        <v/>
      </c>
      <c r="S1556" s="177">
        <f>Q1556+IF(AND(offer_incoterms="DDP",seller_region="RU"),R1556,0)</f>
        <v/>
      </c>
      <c r="T1556" s="45" t="n"/>
      <c r="V1556" s="57">
        <f>IF(Q1556&gt;0,"показать","скрыть")</f>
        <v/>
      </c>
    </row>
    <row r="1557" ht="15.75" customHeight="1">
      <c r="B1557" s="809" t="n">
        <v>1541</v>
      </c>
      <c r="C1557" s="182">
        <f>IF(offer_sale_type="транзит",IFERROR(VLOOKUP($B1557,calc_data,C$14+1,0),0),0)</f>
        <v/>
      </c>
      <c r="D1557" s="280">
        <f>IF(offer_sale_type="транзит",IFERROR(VLOOKUP($B1557,calc_data,D$14+1,0),0),0)</f>
        <v/>
      </c>
      <c r="E1557" s="182">
        <f>IF(offer_sale_type="транзит",IFERROR(VLOOKUP($B1557,calc_data,E$14+1,0),0),0)</f>
        <v/>
      </c>
      <c r="F1557" s="182">
        <f>IF(offer_sale_type="транзит",IFERROR(VLOOKUP($B1557,calc_data,F$14+1,0),0),0)</f>
        <v/>
      </c>
      <c r="G1557" s="141">
        <f>IF(offer_sale_type="транзит",IFERROR(VLOOKUP($B1557,calc_data,G$14+1,0),0),0)</f>
        <v/>
      </c>
      <c r="H1557" s="141">
        <f>E1557*G1557</f>
        <v/>
      </c>
      <c r="I1557" s="141">
        <f>IF(offer_sale_type="транзит",IFERROR(ROUND(VLOOKUP($B1557,calc_data,I$14+1,0),2),0),0)</f>
        <v/>
      </c>
      <c r="J1557" s="141">
        <f>ROUND(IF(offer_sale_type="транзит",IFERROR(VLOOKUP($B1557,calc_data,J$14+1,0),0),0),2)</f>
        <v/>
      </c>
      <c r="K1557" s="142">
        <f>IF(offer_sale_type="транзит",IFERROR(ROUNDUP(VLOOKUP($B1557,calc_data,K$14+1,0),2),0),0)</f>
        <v/>
      </c>
      <c r="L1557" s="184">
        <f>IF(offer_sale_type="транзит",IFERROR(ROUNDUP(VLOOKUP($B1557,calc_data,L$14+1,0),2),0),0)</f>
        <v/>
      </c>
      <c r="M1557" s="141">
        <f>IF(offer_sale_type="транзит",IFERROR(ROUNDUP(VLOOKUP($B1557,calc_data,M$14+1,0),2),0),0)</f>
        <v/>
      </c>
      <c r="N1557" s="141">
        <f>IF(offer_sale_type="транзит",IFERROR(ROUNDUP(VLOOKUP($B1557,calc_data,N$14+1,0),2),0),0)</f>
        <v/>
      </c>
      <c r="O1557" s="147">
        <f>IF(offer_sale_type="транзит",IFERROR(ROUND(VLOOKUP($B1557,calc_data,O$14+1,1),2),0),0)</f>
        <v/>
      </c>
      <c r="P1557" s="141">
        <f>IF(offer_sale_type="транзит",IFERROR(ROUND(SUM(I1557:J1557,M1557:O1557)/E1557,2),0),0)</f>
        <v/>
      </c>
      <c r="Q1557" s="141">
        <f>E1557*P1557</f>
        <v/>
      </c>
      <c r="R1557" s="141">
        <f>ROUND(Q1557*IF(AND(offer_incoterms="DDP",seller_region="RU"),IF((TODAY()+offer_turnaround_time)&gt;=helpsheet!$L$17,rate_vatRU_from_26,rate_vatRu_till_25),0),2)</f>
        <v/>
      </c>
      <c r="S1557" s="177">
        <f>Q1557+IF(AND(offer_incoterms="DDP",seller_region="RU"),R1557,0)</f>
        <v/>
      </c>
      <c r="T1557" s="45" t="n"/>
      <c r="V1557" s="57">
        <f>IF(Q1557&gt;0,"показать","скрыть")</f>
        <v/>
      </c>
    </row>
    <row r="1558" ht="15.75" customHeight="1">
      <c r="B1558" s="809" t="n">
        <v>1542</v>
      </c>
      <c r="C1558" s="182">
        <f>IF(offer_sale_type="транзит",IFERROR(VLOOKUP($B1558,calc_data,C$14+1,0),0),0)</f>
        <v/>
      </c>
      <c r="D1558" s="280">
        <f>IF(offer_sale_type="транзит",IFERROR(VLOOKUP($B1558,calc_data,D$14+1,0),0),0)</f>
        <v/>
      </c>
      <c r="E1558" s="182">
        <f>IF(offer_sale_type="транзит",IFERROR(VLOOKUP($B1558,calc_data,E$14+1,0),0),0)</f>
        <v/>
      </c>
      <c r="F1558" s="182">
        <f>IF(offer_sale_type="транзит",IFERROR(VLOOKUP($B1558,calc_data,F$14+1,0),0),0)</f>
        <v/>
      </c>
      <c r="G1558" s="141">
        <f>IF(offer_sale_type="транзит",IFERROR(VLOOKUP($B1558,calc_data,G$14+1,0),0),0)</f>
        <v/>
      </c>
      <c r="H1558" s="141">
        <f>E1558*G1558</f>
        <v/>
      </c>
      <c r="I1558" s="141">
        <f>IF(offer_sale_type="транзит",IFERROR(ROUND(VLOOKUP($B1558,calc_data,I$14+1,0),2),0),0)</f>
        <v/>
      </c>
      <c r="J1558" s="141">
        <f>ROUND(IF(offer_sale_type="транзит",IFERROR(VLOOKUP($B1558,calc_data,J$14+1,0),0),0),2)</f>
        <v/>
      </c>
      <c r="K1558" s="142">
        <f>IF(offer_sale_type="транзит",IFERROR(ROUNDUP(VLOOKUP($B1558,calc_data,K$14+1,0),2),0),0)</f>
        <v/>
      </c>
      <c r="L1558" s="184">
        <f>IF(offer_sale_type="транзит",IFERROR(ROUNDUP(VLOOKUP($B1558,calc_data,L$14+1,0),2),0),0)</f>
        <v/>
      </c>
      <c r="M1558" s="141">
        <f>IF(offer_sale_type="транзит",IFERROR(ROUNDUP(VLOOKUP($B1558,calc_data,M$14+1,0),2),0),0)</f>
        <v/>
      </c>
      <c r="N1558" s="141">
        <f>IF(offer_sale_type="транзит",IFERROR(ROUNDUP(VLOOKUP($B1558,calc_data,N$14+1,0),2),0),0)</f>
        <v/>
      </c>
      <c r="O1558" s="147">
        <f>IF(offer_sale_type="транзит",IFERROR(ROUND(VLOOKUP($B1558,calc_data,O$14+1,1),2),0),0)</f>
        <v/>
      </c>
      <c r="P1558" s="141">
        <f>IF(offer_sale_type="транзит",IFERROR(ROUND(SUM(I1558:J1558,M1558:O1558)/E1558,2),0),0)</f>
        <v/>
      </c>
      <c r="Q1558" s="141">
        <f>E1558*P1558</f>
        <v/>
      </c>
      <c r="R1558" s="141">
        <f>ROUND(Q1558*IF(AND(offer_incoterms="DDP",seller_region="RU"),IF((TODAY()+offer_turnaround_time)&gt;=helpsheet!$L$17,rate_vatRU_from_26,rate_vatRu_till_25),0),2)</f>
        <v/>
      </c>
      <c r="S1558" s="177">
        <f>Q1558+IF(AND(offer_incoterms="DDP",seller_region="RU"),R1558,0)</f>
        <v/>
      </c>
      <c r="T1558" s="45" t="n"/>
      <c r="V1558" s="57">
        <f>IF(Q1558&gt;0,"показать","скрыть")</f>
        <v/>
      </c>
    </row>
    <row r="1559" ht="15.75" customHeight="1">
      <c r="B1559" s="809" t="n">
        <v>1543</v>
      </c>
      <c r="C1559" s="182">
        <f>IF(offer_sale_type="транзит",IFERROR(VLOOKUP($B1559,calc_data,C$14+1,0),0),0)</f>
        <v/>
      </c>
      <c r="D1559" s="280">
        <f>IF(offer_sale_type="транзит",IFERROR(VLOOKUP($B1559,calc_data,D$14+1,0),0),0)</f>
        <v/>
      </c>
      <c r="E1559" s="182">
        <f>IF(offer_sale_type="транзит",IFERROR(VLOOKUP($B1559,calc_data,E$14+1,0),0),0)</f>
        <v/>
      </c>
      <c r="F1559" s="182">
        <f>IF(offer_sale_type="транзит",IFERROR(VLOOKUP($B1559,calc_data,F$14+1,0),0),0)</f>
        <v/>
      </c>
      <c r="G1559" s="141">
        <f>IF(offer_sale_type="транзит",IFERROR(VLOOKUP($B1559,calc_data,G$14+1,0),0),0)</f>
        <v/>
      </c>
      <c r="H1559" s="141">
        <f>E1559*G1559</f>
        <v/>
      </c>
      <c r="I1559" s="141">
        <f>IF(offer_sale_type="транзит",IFERROR(ROUND(VLOOKUP($B1559,calc_data,I$14+1,0),2),0),0)</f>
        <v/>
      </c>
      <c r="J1559" s="141">
        <f>ROUND(IF(offer_sale_type="транзит",IFERROR(VLOOKUP($B1559,calc_data,J$14+1,0),0),0),2)</f>
        <v/>
      </c>
      <c r="K1559" s="142">
        <f>IF(offer_sale_type="транзит",IFERROR(ROUNDUP(VLOOKUP($B1559,calc_data,K$14+1,0),2),0),0)</f>
        <v/>
      </c>
      <c r="L1559" s="184">
        <f>IF(offer_sale_type="транзит",IFERROR(ROUNDUP(VLOOKUP($B1559,calc_data,L$14+1,0),2),0),0)</f>
        <v/>
      </c>
      <c r="M1559" s="141">
        <f>IF(offer_sale_type="транзит",IFERROR(ROUNDUP(VLOOKUP($B1559,calc_data,M$14+1,0),2),0),0)</f>
        <v/>
      </c>
      <c r="N1559" s="141">
        <f>IF(offer_sale_type="транзит",IFERROR(ROUNDUP(VLOOKUP($B1559,calc_data,N$14+1,0),2),0),0)</f>
        <v/>
      </c>
      <c r="O1559" s="147">
        <f>IF(offer_sale_type="транзит",IFERROR(ROUND(VLOOKUP($B1559,calc_data,O$14+1,1),2),0),0)</f>
        <v/>
      </c>
      <c r="P1559" s="141">
        <f>IF(offer_sale_type="транзит",IFERROR(ROUND(SUM(I1559:J1559,M1559:O1559)/E1559,2),0),0)</f>
        <v/>
      </c>
      <c r="Q1559" s="141">
        <f>E1559*P1559</f>
        <v/>
      </c>
      <c r="R1559" s="141">
        <f>ROUND(Q1559*IF(AND(offer_incoterms="DDP",seller_region="RU"),IF((TODAY()+offer_turnaround_time)&gt;=helpsheet!$L$17,rate_vatRU_from_26,rate_vatRu_till_25),0),2)</f>
        <v/>
      </c>
      <c r="S1559" s="177">
        <f>Q1559+IF(AND(offer_incoterms="DDP",seller_region="RU"),R1559,0)</f>
        <v/>
      </c>
      <c r="T1559" s="45" t="n"/>
      <c r="V1559" s="57">
        <f>IF(Q1559&gt;0,"показать","скрыть")</f>
        <v/>
      </c>
    </row>
    <row r="1560" ht="15.75" customHeight="1">
      <c r="B1560" s="809" t="n">
        <v>1544</v>
      </c>
      <c r="C1560" s="182">
        <f>IF(offer_sale_type="транзит",IFERROR(VLOOKUP($B1560,calc_data,C$14+1,0),0),0)</f>
        <v/>
      </c>
      <c r="D1560" s="280">
        <f>IF(offer_sale_type="транзит",IFERROR(VLOOKUP($B1560,calc_data,D$14+1,0),0),0)</f>
        <v/>
      </c>
      <c r="E1560" s="182">
        <f>IF(offer_sale_type="транзит",IFERROR(VLOOKUP($B1560,calc_data,E$14+1,0),0),0)</f>
        <v/>
      </c>
      <c r="F1560" s="182">
        <f>IF(offer_sale_type="транзит",IFERROR(VLOOKUP($B1560,calc_data,F$14+1,0),0),0)</f>
        <v/>
      </c>
      <c r="G1560" s="141">
        <f>IF(offer_sale_type="транзит",IFERROR(VLOOKUP($B1560,calc_data,G$14+1,0),0),0)</f>
        <v/>
      </c>
      <c r="H1560" s="141">
        <f>E1560*G1560</f>
        <v/>
      </c>
      <c r="I1560" s="141">
        <f>IF(offer_sale_type="транзит",IFERROR(ROUND(VLOOKUP($B1560,calc_data,I$14+1,0),2),0),0)</f>
        <v/>
      </c>
      <c r="J1560" s="141">
        <f>ROUND(IF(offer_sale_type="транзит",IFERROR(VLOOKUP($B1560,calc_data,J$14+1,0),0),0),2)</f>
        <v/>
      </c>
      <c r="K1560" s="142">
        <f>IF(offer_sale_type="транзит",IFERROR(ROUNDUP(VLOOKUP($B1560,calc_data,K$14+1,0),2),0),0)</f>
        <v/>
      </c>
      <c r="L1560" s="184">
        <f>IF(offer_sale_type="транзит",IFERROR(ROUNDUP(VLOOKUP($B1560,calc_data,L$14+1,0),2),0),0)</f>
        <v/>
      </c>
      <c r="M1560" s="141">
        <f>IF(offer_sale_type="транзит",IFERROR(ROUNDUP(VLOOKUP($B1560,calc_data,M$14+1,0),2),0),0)</f>
        <v/>
      </c>
      <c r="N1560" s="141">
        <f>IF(offer_sale_type="транзит",IFERROR(ROUNDUP(VLOOKUP($B1560,calc_data,N$14+1,0),2),0),0)</f>
        <v/>
      </c>
      <c r="O1560" s="147">
        <f>IF(offer_sale_type="транзит",IFERROR(ROUND(VLOOKUP($B1560,calc_data,O$14+1,1),2),0),0)</f>
        <v/>
      </c>
      <c r="P1560" s="141">
        <f>IF(offer_sale_type="транзит",IFERROR(ROUND(SUM(I1560:J1560,M1560:O1560)/E1560,2),0),0)</f>
        <v/>
      </c>
      <c r="Q1560" s="141">
        <f>E1560*P1560</f>
        <v/>
      </c>
      <c r="R1560" s="141">
        <f>ROUND(Q1560*IF(AND(offer_incoterms="DDP",seller_region="RU"),IF((TODAY()+offer_turnaround_time)&gt;=helpsheet!$L$17,rate_vatRU_from_26,rate_vatRu_till_25),0),2)</f>
        <v/>
      </c>
      <c r="S1560" s="177">
        <f>Q1560+IF(AND(offer_incoterms="DDP",seller_region="RU"),R1560,0)</f>
        <v/>
      </c>
      <c r="T1560" s="45" t="n"/>
      <c r="V1560" s="57">
        <f>IF(Q1560&gt;0,"показать","скрыть")</f>
        <v/>
      </c>
    </row>
    <row r="1561" ht="15.75" customHeight="1">
      <c r="B1561" s="809" t="n">
        <v>1545</v>
      </c>
      <c r="C1561" s="182">
        <f>IF(offer_sale_type="транзит",IFERROR(VLOOKUP($B1561,calc_data,C$14+1,0),0),0)</f>
        <v/>
      </c>
      <c r="D1561" s="280">
        <f>IF(offer_sale_type="транзит",IFERROR(VLOOKUP($B1561,calc_data,D$14+1,0),0),0)</f>
        <v/>
      </c>
      <c r="E1561" s="182">
        <f>IF(offer_sale_type="транзит",IFERROR(VLOOKUP($B1561,calc_data,E$14+1,0),0),0)</f>
        <v/>
      </c>
      <c r="F1561" s="182">
        <f>IF(offer_sale_type="транзит",IFERROR(VLOOKUP($B1561,calc_data,F$14+1,0),0),0)</f>
        <v/>
      </c>
      <c r="G1561" s="141">
        <f>IF(offer_sale_type="транзит",IFERROR(VLOOKUP($B1561,calc_data,G$14+1,0),0),0)</f>
        <v/>
      </c>
      <c r="H1561" s="141">
        <f>E1561*G1561</f>
        <v/>
      </c>
      <c r="I1561" s="141">
        <f>IF(offer_sale_type="транзит",IFERROR(ROUND(VLOOKUP($B1561,calc_data,I$14+1,0),2),0),0)</f>
        <v/>
      </c>
      <c r="J1561" s="141">
        <f>ROUND(IF(offer_sale_type="транзит",IFERROR(VLOOKUP($B1561,calc_data,J$14+1,0),0),0),2)</f>
        <v/>
      </c>
      <c r="K1561" s="142">
        <f>IF(offer_sale_type="транзит",IFERROR(ROUNDUP(VLOOKUP($B1561,calc_data,K$14+1,0),2),0),0)</f>
        <v/>
      </c>
      <c r="L1561" s="184">
        <f>IF(offer_sale_type="транзит",IFERROR(ROUNDUP(VLOOKUP($B1561,calc_data,L$14+1,0),2),0),0)</f>
        <v/>
      </c>
      <c r="M1561" s="141">
        <f>IF(offer_sale_type="транзит",IFERROR(ROUNDUP(VLOOKUP($B1561,calc_data,M$14+1,0),2),0),0)</f>
        <v/>
      </c>
      <c r="N1561" s="141">
        <f>IF(offer_sale_type="транзит",IFERROR(ROUNDUP(VLOOKUP($B1561,calc_data,N$14+1,0),2),0),0)</f>
        <v/>
      </c>
      <c r="O1561" s="147">
        <f>IF(offer_sale_type="транзит",IFERROR(ROUND(VLOOKUP($B1561,calc_data,O$14+1,1),2),0),0)</f>
        <v/>
      </c>
      <c r="P1561" s="141">
        <f>IF(offer_sale_type="транзит",IFERROR(ROUND(SUM(I1561:J1561,M1561:O1561)/E1561,2),0),0)</f>
        <v/>
      </c>
      <c r="Q1561" s="141">
        <f>E1561*P1561</f>
        <v/>
      </c>
      <c r="R1561" s="141">
        <f>ROUND(Q1561*IF(AND(offer_incoterms="DDP",seller_region="RU"),IF((TODAY()+offer_turnaround_time)&gt;=helpsheet!$L$17,rate_vatRU_from_26,rate_vatRu_till_25),0),2)</f>
        <v/>
      </c>
      <c r="S1561" s="177">
        <f>Q1561+IF(AND(offer_incoterms="DDP",seller_region="RU"),R1561,0)</f>
        <v/>
      </c>
      <c r="T1561" s="45" t="n"/>
      <c r="V1561" s="57">
        <f>IF(Q1561&gt;0,"показать","скрыть")</f>
        <v/>
      </c>
    </row>
    <row r="1562" ht="15.75" customHeight="1">
      <c r="B1562" s="809" t="n">
        <v>1546</v>
      </c>
      <c r="C1562" s="182">
        <f>IF(offer_sale_type="транзит",IFERROR(VLOOKUP($B1562,calc_data,C$14+1,0),0),0)</f>
        <v/>
      </c>
      <c r="D1562" s="280">
        <f>IF(offer_sale_type="транзит",IFERROR(VLOOKUP($B1562,calc_data,D$14+1,0),0),0)</f>
        <v/>
      </c>
      <c r="E1562" s="182">
        <f>IF(offer_sale_type="транзит",IFERROR(VLOOKUP($B1562,calc_data,E$14+1,0),0),0)</f>
        <v/>
      </c>
      <c r="F1562" s="182">
        <f>IF(offer_sale_type="транзит",IFERROR(VLOOKUP($B1562,calc_data,F$14+1,0),0),0)</f>
        <v/>
      </c>
      <c r="G1562" s="141">
        <f>IF(offer_sale_type="транзит",IFERROR(VLOOKUP($B1562,calc_data,G$14+1,0),0),0)</f>
        <v/>
      </c>
      <c r="H1562" s="141">
        <f>E1562*G1562</f>
        <v/>
      </c>
      <c r="I1562" s="141">
        <f>IF(offer_sale_type="транзит",IFERROR(ROUND(VLOOKUP($B1562,calc_data,I$14+1,0),2),0),0)</f>
        <v/>
      </c>
      <c r="J1562" s="141">
        <f>ROUND(IF(offer_sale_type="транзит",IFERROR(VLOOKUP($B1562,calc_data,J$14+1,0),0),0),2)</f>
        <v/>
      </c>
      <c r="K1562" s="142">
        <f>IF(offer_sale_type="транзит",IFERROR(ROUNDUP(VLOOKUP($B1562,calc_data,K$14+1,0),2),0),0)</f>
        <v/>
      </c>
      <c r="L1562" s="184">
        <f>IF(offer_sale_type="транзит",IFERROR(ROUNDUP(VLOOKUP($B1562,calc_data,L$14+1,0),2),0),0)</f>
        <v/>
      </c>
      <c r="M1562" s="141">
        <f>IF(offer_sale_type="транзит",IFERROR(ROUNDUP(VLOOKUP($B1562,calc_data,M$14+1,0),2),0),0)</f>
        <v/>
      </c>
      <c r="N1562" s="141">
        <f>IF(offer_sale_type="транзит",IFERROR(ROUNDUP(VLOOKUP($B1562,calc_data,N$14+1,0),2),0),0)</f>
        <v/>
      </c>
      <c r="O1562" s="147">
        <f>IF(offer_sale_type="транзит",IFERROR(ROUND(VLOOKUP($B1562,calc_data,O$14+1,1),2),0),0)</f>
        <v/>
      </c>
      <c r="P1562" s="141">
        <f>IF(offer_sale_type="транзит",IFERROR(ROUND(SUM(I1562:J1562,M1562:O1562)/E1562,2),0),0)</f>
        <v/>
      </c>
      <c r="Q1562" s="141">
        <f>E1562*P1562</f>
        <v/>
      </c>
      <c r="R1562" s="141">
        <f>ROUND(Q1562*IF(AND(offer_incoterms="DDP",seller_region="RU"),IF((TODAY()+offer_turnaround_time)&gt;=helpsheet!$L$17,rate_vatRU_from_26,rate_vatRu_till_25),0),2)</f>
        <v/>
      </c>
      <c r="S1562" s="177">
        <f>Q1562+IF(AND(offer_incoterms="DDP",seller_region="RU"),R1562,0)</f>
        <v/>
      </c>
      <c r="T1562" s="45" t="n"/>
      <c r="V1562" s="57">
        <f>IF(Q1562&gt;0,"показать","скрыть")</f>
        <v/>
      </c>
    </row>
    <row r="1563" ht="15.75" customHeight="1">
      <c r="B1563" s="809" t="n">
        <v>1547</v>
      </c>
      <c r="C1563" s="182">
        <f>IF(offer_sale_type="транзит",IFERROR(VLOOKUP($B1563,calc_data,C$14+1,0),0),0)</f>
        <v/>
      </c>
      <c r="D1563" s="280">
        <f>IF(offer_sale_type="транзит",IFERROR(VLOOKUP($B1563,calc_data,D$14+1,0),0),0)</f>
        <v/>
      </c>
      <c r="E1563" s="182">
        <f>IF(offer_sale_type="транзит",IFERROR(VLOOKUP($B1563,calc_data,E$14+1,0),0),0)</f>
        <v/>
      </c>
      <c r="F1563" s="182">
        <f>IF(offer_sale_type="транзит",IFERROR(VLOOKUP($B1563,calc_data,F$14+1,0),0),0)</f>
        <v/>
      </c>
      <c r="G1563" s="141">
        <f>IF(offer_sale_type="транзит",IFERROR(VLOOKUP($B1563,calc_data,G$14+1,0),0),0)</f>
        <v/>
      </c>
      <c r="H1563" s="141">
        <f>E1563*G1563</f>
        <v/>
      </c>
      <c r="I1563" s="141">
        <f>IF(offer_sale_type="транзит",IFERROR(ROUND(VLOOKUP($B1563,calc_data,I$14+1,0),2),0),0)</f>
        <v/>
      </c>
      <c r="J1563" s="141">
        <f>ROUND(IF(offer_sale_type="транзит",IFERROR(VLOOKUP($B1563,calc_data,J$14+1,0),0),0),2)</f>
        <v/>
      </c>
      <c r="K1563" s="142">
        <f>IF(offer_sale_type="транзит",IFERROR(ROUNDUP(VLOOKUP($B1563,calc_data,K$14+1,0),2),0),0)</f>
        <v/>
      </c>
      <c r="L1563" s="184">
        <f>IF(offer_sale_type="транзит",IFERROR(ROUNDUP(VLOOKUP($B1563,calc_data,L$14+1,0),2),0),0)</f>
        <v/>
      </c>
      <c r="M1563" s="141">
        <f>IF(offer_sale_type="транзит",IFERROR(ROUNDUP(VLOOKUP($B1563,calc_data,M$14+1,0),2),0),0)</f>
        <v/>
      </c>
      <c r="N1563" s="141">
        <f>IF(offer_sale_type="транзит",IFERROR(ROUNDUP(VLOOKUP($B1563,calc_data,N$14+1,0),2),0),0)</f>
        <v/>
      </c>
      <c r="O1563" s="147">
        <f>IF(offer_sale_type="транзит",IFERROR(ROUND(VLOOKUP($B1563,calc_data,O$14+1,1),2),0),0)</f>
        <v/>
      </c>
      <c r="P1563" s="141">
        <f>IF(offer_sale_type="транзит",IFERROR(ROUND(SUM(I1563:J1563,M1563:O1563)/E1563,2),0),0)</f>
        <v/>
      </c>
      <c r="Q1563" s="141">
        <f>E1563*P1563</f>
        <v/>
      </c>
      <c r="R1563" s="141">
        <f>ROUND(Q1563*IF(AND(offer_incoterms="DDP",seller_region="RU"),IF((TODAY()+offer_turnaround_time)&gt;=helpsheet!$L$17,rate_vatRU_from_26,rate_vatRu_till_25),0),2)</f>
        <v/>
      </c>
      <c r="S1563" s="177">
        <f>Q1563+IF(AND(offer_incoterms="DDP",seller_region="RU"),R1563,0)</f>
        <v/>
      </c>
      <c r="T1563" s="45" t="n"/>
      <c r="V1563" s="57">
        <f>IF(Q1563&gt;0,"показать","скрыть")</f>
        <v/>
      </c>
    </row>
    <row r="1564" ht="15.75" customHeight="1">
      <c r="B1564" s="809" t="n">
        <v>1548</v>
      </c>
      <c r="C1564" s="182">
        <f>IF(offer_sale_type="транзит",IFERROR(VLOOKUP($B1564,calc_data,C$14+1,0),0),0)</f>
        <v/>
      </c>
      <c r="D1564" s="280">
        <f>IF(offer_sale_type="транзит",IFERROR(VLOOKUP($B1564,calc_data,D$14+1,0),0),0)</f>
        <v/>
      </c>
      <c r="E1564" s="182">
        <f>IF(offer_sale_type="транзит",IFERROR(VLOOKUP($B1564,calc_data,E$14+1,0),0),0)</f>
        <v/>
      </c>
      <c r="F1564" s="182">
        <f>IF(offer_sale_type="транзит",IFERROR(VLOOKUP($B1564,calc_data,F$14+1,0),0),0)</f>
        <v/>
      </c>
      <c r="G1564" s="141">
        <f>IF(offer_sale_type="транзит",IFERROR(VLOOKUP($B1564,calc_data,G$14+1,0),0),0)</f>
        <v/>
      </c>
      <c r="H1564" s="141">
        <f>E1564*G1564</f>
        <v/>
      </c>
      <c r="I1564" s="141">
        <f>IF(offer_sale_type="транзит",IFERROR(ROUND(VLOOKUP($B1564,calc_data,I$14+1,0),2),0),0)</f>
        <v/>
      </c>
      <c r="J1564" s="141">
        <f>ROUND(IF(offer_sale_type="транзит",IFERROR(VLOOKUP($B1564,calc_data,J$14+1,0),0),0),2)</f>
        <v/>
      </c>
      <c r="K1564" s="142">
        <f>IF(offer_sale_type="транзит",IFERROR(ROUNDUP(VLOOKUP($B1564,calc_data,K$14+1,0),2),0),0)</f>
        <v/>
      </c>
      <c r="L1564" s="184">
        <f>IF(offer_sale_type="транзит",IFERROR(ROUNDUP(VLOOKUP($B1564,calc_data,L$14+1,0),2),0),0)</f>
        <v/>
      </c>
      <c r="M1564" s="141">
        <f>IF(offer_sale_type="транзит",IFERROR(ROUNDUP(VLOOKUP($B1564,calc_data,M$14+1,0),2),0),0)</f>
        <v/>
      </c>
      <c r="N1564" s="141">
        <f>IF(offer_sale_type="транзит",IFERROR(ROUNDUP(VLOOKUP($B1564,calc_data,N$14+1,0),2),0),0)</f>
        <v/>
      </c>
      <c r="O1564" s="147">
        <f>IF(offer_sale_type="транзит",IFERROR(ROUND(VLOOKUP($B1564,calc_data,O$14+1,1),2),0),0)</f>
        <v/>
      </c>
      <c r="P1564" s="141">
        <f>IF(offer_sale_type="транзит",IFERROR(ROUND(SUM(I1564:J1564,M1564:O1564)/E1564,2),0),0)</f>
        <v/>
      </c>
      <c r="Q1564" s="141">
        <f>E1564*P1564</f>
        <v/>
      </c>
      <c r="R1564" s="141">
        <f>ROUND(Q1564*IF(AND(offer_incoterms="DDP",seller_region="RU"),IF((TODAY()+offer_turnaround_time)&gt;=helpsheet!$L$17,rate_vatRU_from_26,rate_vatRu_till_25),0),2)</f>
        <v/>
      </c>
      <c r="S1564" s="177">
        <f>Q1564+IF(AND(offer_incoterms="DDP",seller_region="RU"),R1564,0)</f>
        <v/>
      </c>
      <c r="T1564" s="45" t="n"/>
      <c r="V1564" s="57">
        <f>IF(Q1564&gt;0,"показать","скрыть")</f>
        <v/>
      </c>
    </row>
    <row r="1565" ht="15.75" customHeight="1">
      <c r="B1565" s="809" t="n">
        <v>1549</v>
      </c>
      <c r="C1565" s="182">
        <f>IF(offer_sale_type="транзит",IFERROR(VLOOKUP($B1565,calc_data,C$14+1,0),0),0)</f>
        <v/>
      </c>
      <c r="D1565" s="280">
        <f>IF(offer_sale_type="транзит",IFERROR(VLOOKUP($B1565,calc_data,D$14+1,0),0),0)</f>
        <v/>
      </c>
      <c r="E1565" s="182">
        <f>IF(offer_sale_type="транзит",IFERROR(VLOOKUP($B1565,calc_data,E$14+1,0),0),0)</f>
        <v/>
      </c>
      <c r="F1565" s="182">
        <f>IF(offer_sale_type="транзит",IFERROR(VLOOKUP($B1565,calc_data,F$14+1,0),0),0)</f>
        <v/>
      </c>
      <c r="G1565" s="141">
        <f>IF(offer_sale_type="транзит",IFERROR(VLOOKUP($B1565,calc_data,G$14+1,0),0),0)</f>
        <v/>
      </c>
      <c r="H1565" s="141">
        <f>E1565*G1565</f>
        <v/>
      </c>
      <c r="I1565" s="141">
        <f>IF(offer_sale_type="транзит",IFERROR(ROUND(VLOOKUP($B1565,calc_data,I$14+1,0),2),0),0)</f>
        <v/>
      </c>
      <c r="J1565" s="141">
        <f>ROUND(IF(offer_sale_type="транзит",IFERROR(VLOOKUP($B1565,calc_data,J$14+1,0),0),0),2)</f>
        <v/>
      </c>
      <c r="K1565" s="142">
        <f>IF(offer_sale_type="транзит",IFERROR(ROUNDUP(VLOOKUP($B1565,calc_data,K$14+1,0),2),0),0)</f>
        <v/>
      </c>
      <c r="L1565" s="184">
        <f>IF(offer_sale_type="транзит",IFERROR(ROUNDUP(VLOOKUP($B1565,calc_data,L$14+1,0),2),0),0)</f>
        <v/>
      </c>
      <c r="M1565" s="141">
        <f>IF(offer_sale_type="транзит",IFERROR(ROUNDUP(VLOOKUP($B1565,calc_data,M$14+1,0),2),0),0)</f>
        <v/>
      </c>
      <c r="N1565" s="141">
        <f>IF(offer_sale_type="транзит",IFERROR(ROUNDUP(VLOOKUP($B1565,calc_data,N$14+1,0),2),0),0)</f>
        <v/>
      </c>
      <c r="O1565" s="147">
        <f>IF(offer_sale_type="транзит",IFERROR(ROUND(VLOOKUP($B1565,calc_data,O$14+1,1),2),0),0)</f>
        <v/>
      </c>
      <c r="P1565" s="141">
        <f>IF(offer_sale_type="транзит",IFERROR(ROUND(SUM(I1565:J1565,M1565:O1565)/E1565,2),0),0)</f>
        <v/>
      </c>
      <c r="Q1565" s="141">
        <f>E1565*P1565</f>
        <v/>
      </c>
      <c r="R1565" s="141">
        <f>ROUND(Q1565*IF(AND(offer_incoterms="DDP",seller_region="RU"),IF((TODAY()+offer_turnaround_time)&gt;=helpsheet!$L$17,rate_vatRU_from_26,rate_vatRu_till_25),0),2)</f>
        <v/>
      </c>
      <c r="S1565" s="177">
        <f>Q1565+IF(AND(offer_incoterms="DDP",seller_region="RU"),R1565,0)</f>
        <v/>
      </c>
      <c r="T1565" s="45" t="n"/>
      <c r="V1565" s="57">
        <f>IF(Q1565&gt;0,"показать","скрыть")</f>
        <v/>
      </c>
    </row>
    <row r="1566" ht="15.75" customHeight="1">
      <c r="B1566" s="809" t="n">
        <v>1550</v>
      </c>
      <c r="C1566" s="182">
        <f>IF(offer_sale_type="транзит",IFERROR(VLOOKUP($B1566,calc_data,C$14+1,0),0),0)</f>
        <v/>
      </c>
      <c r="D1566" s="280">
        <f>IF(offer_sale_type="транзит",IFERROR(VLOOKUP($B1566,calc_data,D$14+1,0),0),0)</f>
        <v/>
      </c>
      <c r="E1566" s="182">
        <f>IF(offer_sale_type="транзит",IFERROR(VLOOKUP($B1566,calc_data,E$14+1,0),0),0)</f>
        <v/>
      </c>
      <c r="F1566" s="182">
        <f>IF(offer_sale_type="транзит",IFERROR(VLOOKUP($B1566,calc_data,F$14+1,0),0),0)</f>
        <v/>
      </c>
      <c r="G1566" s="141">
        <f>IF(offer_sale_type="транзит",IFERROR(VLOOKUP($B1566,calc_data,G$14+1,0),0),0)</f>
        <v/>
      </c>
      <c r="H1566" s="141">
        <f>E1566*G1566</f>
        <v/>
      </c>
      <c r="I1566" s="141">
        <f>IF(offer_sale_type="транзит",IFERROR(ROUND(VLOOKUP($B1566,calc_data,I$14+1,0),2),0),0)</f>
        <v/>
      </c>
      <c r="J1566" s="141">
        <f>ROUND(IF(offer_sale_type="транзит",IFERROR(VLOOKUP($B1566,calc_data,J$14+1,0),0),0),2)</f>
        <v/>
      </c>
      <c r="K1566" s="142">
        <f>IF(offer_sale_type="транзит",IFERROR(ROUNDUP(VLOOKUP($B1566,calc_data,K$14+1,0),2),0),0)</f>
        <v/>
      </c>
      <c r="L1566" s="184">
        <f>IF(offer_sale_type="транзит",IFERROR(ROUNDUP(VLOOKUP($B1566,calc_data,L$14+1,0),2),0),0)</f>
        <v/>
      </c>
      <c r="M1566" s="141">
        <f>IF(offer_sale_type="транзит",IFERROR(ROUNDUP(VLOOKUP($B1566,calc_data,M$14+1,0),2),0),0)</f>
        <v/>
      </c>
      <c r="N1566" s="141">
        <f>IF(offer_sale_type="транзит",IFERROR(ROUNDUP(VLOOKUP($B1566,calc_data,N$14+1,0),2),0),0)</f>
        <v/>
      </c>
      <c r="O1566" s="147">
        <f>IF(offer_sale_type="транзит",IFERROR(ROUND(VLOOKUP($B1566,calc_data,O$14+1,1),2),0),0)</f>
        <v/>
      </c>
      <c r="P1566" s="141">
        <f>IF(offer_sale_type="транзит",IFERROR(ROUND(SUM(I1566:J1566,M1566:O1566)/E1566,2),0),0)</f>
        <v/>
      </c>
      <c r="Q1566" s="141">
        <f>E1566*P1566</f>
        <v/>
      </c>
      <c r="R1566" s="141">
        <f>ROUND(Q1566*IF(AND(offer_incoterms="DDP",seller_region="RU"),IF((TODAY()+offer_turnaround_time)&gt;=helpsheet!$L$17,rate_vatRU_from_26,rate_vatRu_till_25),0),2)</f>
        <v/>
      </c>
      <c r="S1566" s="177">
        <f>Q1566+IF(AND(offer_incoterms="DDP",seller_region="RU"),R1566,0)</f>
        <v/>
      </c>
      <c r="T1566" s="45" t="n"/>
      <c r="V1566" s="57">
        <f>IF(Q1566&gt;0,"показать","скрыть")</f>
        <v/>
      </c>
    </row>
    <row r="1567" ht="15.75" customHeight="1">
      <c r="B1567" s="809" t="n">
        <v>1551</v>
      </c>
      <c r="C1567" s="182">
        <f>IF(offer_sale_type="транзит",IFERROR(VLOOKUP($B1567,calc_data,C$14+1,0),0),0)</f>
        <v/>
      </c>
      <c r="D1567" s="280">
        <f>IF(offer_sale_type="транзит",IFERROR(VLOOKUP($B1567,calc_data,D$14+1,0),0),0)</f>
        <v/>
      </c>
      <c r="E1567" s="182">
        <f>IF(offer_sale_type="транзит",IFERROR(VLOOKUP($B1567,calc_data,E$14+1,0),0),0)</f>
        <v/>
      </c>
      <c r="F1567" s="182">
        <f>IF(offer_sale_type="транзит",IFERROR(VLOOKUP($B1567,calc_data,F$14+1,0),0),0)</f>
        <v/>
      </c>
      <c r="G1567" s="141">
        <f>IF(offer_sale_type="транзит",IFERROR(VLOOKUP($B1567,calc_data,G$14+1,0),0),0)</f>
        <v/>
      </c>
      <c r="H1567" s="141">
        <f>E1567*G1567</f>
        <v/>
      </c>
      <c r="I1567" s="141">
        <f>IF(offer_sale_type="транзит",IFERROR(ROUND(VLOOKUP($B1567,calc_data,I$14+1,0),2),0),0)</f>
        <v/>
      </c>
      <c r="J1567" s="141">
        <f>ROUND(IF(offer_sale_type="транзит",IFERROR(VLOOKUP($B1567,calc_data,J$14+1,0),0),0),2)</f>
        <v/>
      </c>
      <c r="K1567" s="142">
        <f>IF(offer_sale_type="транзит",IFERROR(ROUNDUP(VLOOKUP($B1567,calc_data,K$14+1,0),2),0),0)</f>
        <v/>
      </c>
      <c r="L1567" s="184">
        <f>IF(offer_sale_type="транзит",IFERROR(ROUNDUP(VLOOKUP($B1567,calc_data,L$14+1,0),2),0),0)</f>
        <v/>
      </c>
      <c r="M1567" s="141">
        <f>IF(offer_sale_type="транзит",IFERROR(ROUNDUP(VLOOKUP($B1567,calc_data,M$14+1,0),2),0),0)</f>
        <v/>
      </c>
      <c r="N1567" s="141">
        <f>IF(offer_sale_type="транзит",IFERROR(ROUNDUP(VLOOKUP($B1567,calc_data,N$14+1,0),2),0),0)</f>
        <v/>
      </c>
      <c r="O1567" s="147">
        <f>IF(offer_sale_type="транзит",IFERROR(ROUND(VLOOKUP($B1567,calc_data,O$14+1,1),2),0),0)</f>
        <v/>
      </c>
      <c r="P1567" s="141">
        <f>IF(offer_sale_type="транзит",IFERROR(ROUND(SUM(I1567:J1567,M1567:O1567)/E1567,2),0),0)</f>
        <v/>
      </c>
      <c r="Q1567" s="141">
        <f>E1567*P1567</f>
        <v/>
      </c>
      <c r="R1567" s="141">
        <f>ROUND(Q1567*IF(AND(offer_incoterms="DDP",seller_region="RU"),IF((TODAY()+offer_turnaround_time)&gt;=helpsheet!$L$17,rate_vatRU_from_26,rate_vatRu_till_25),0),2)</f>
        <v/>
      </c>
      <c r="S1567" s="177">
        <f>Q1567+IF(AND(offer_incoterms="DDP",seller_region="RU"),R1567,0)</f>
        <v/>
      </c>
      <c r="T1567" s="45" t="n"/>
      <c r="V1567" s="57">
        <f>IF(Q1567&gt;0,"показать","скрыть")</f>
        <v/>
      </c>
    </row>
    <row r="1568" ht="15.75" customHeight="1">
      <c r="B1568" s="809" t="n">
        <v>1552</v>
      </c>
      <c r="C1568" s="182">
        <f>IF(offer_sale_type="транзит",IFERROR(VLOOKUP($B1568,calc_data,C$14+1,0),0),0)</f>
        <v/>
      </c>
      <c r="D1568" s="280">
        <f>IF(offer_sale_type="транзит",IFERROR(VLOOKUP($B1568,calc_data,D$14+1,0),0),0)</f>
        <v/>
      </c>
      <c r="E1568" s="182">
        <f>IF(offer_sale_type="транзит",IFERROR(VLOOKUP($B1568,calc_data,E$14+1,0),0),0)</f>
        <v/>
      </c>
      <c r="F1568" s="182">
        <f>IF(offer_sale_type="транзит",IFERROR(VLOOKUP($B1568,calc_data,F$14+1,0),0),0)</f>
        <v/>
      </c>
      <c r="G1568" s="141">
        <f>IF(offer_sale_type="транзит",IFERROR(VLOOKUP($B1568,calc_data,G$14+1,0),0),0)</f>
        <v/>
      </c>
      <c r="H1568" s="141">
        <f>E1568*G1568</f>
        <v/>
      </c>
      <c r="I1568" s="141">
        <f>IF(offer_sale_type="транзит",IFERROR(ROUND(VLOOKUP($B1568,calc_data,I$14+1,0),2),0),0)</f>
        <v/>
      </c>
      <c r="J1568" s="141">
        <f>ROUND(IF(offer_sale_type="транзит",IFERROR(VLOOKUP($B1568,calc_data,J$14+1,0),0),0),2)</f>
        <v/>
      </c>
      <c r="K1568" s="142">
        <f>IF(offer_sale_type="транзит",IFERROR(ROUNDUP(VLOOKUP($B1568,calc_data,K$14+1,0),2),0),0)</f>
        <v/>
      </c>
      <c r="L1568" s="184">
        <f>IF(offer_sale_type="транзит",IFERROR(ROUNDUP(VLOOKUP($B1568,calc_data,L$14+1,0),2),0),0)</f>
        <v/>
      </c>
      <c r="M1568" s="141">
        <f>IF(offer_sale_type="транзит",IFERROR(ROUNDUP(VLOOKUP($B1568,calc_data,M$14+1,0),2),0),0)</f>
        <v/>
      </c>
      <c r="N1568" s="141">
        <f>IF(offer_sale_type="транзит",IFERROR(ROUNDUP(VLOOKUP($B1568,calc_data,N$14+1,0),2),0),0)</f>
        <v/>
      </c>
      <c r="O1568" s="147">
        <f>IF(offer_sale_type="транзит",IFERROR(ROUND(VLOOKUP($B1568,calc_data,O$14+1,1),2),0),0)</f>
        <v/>
      </c>
      <c r="P1568" s="141">
        <f>IF(offer_sale_type="транзит",IFERROR(ROUND(SUM(I1568:J1568,M1568:O1568)/E1568,2),0),0)</f>
        <v/>
      </c>
      <c r="Q1568" s="141">
        <f>E1568*P1568</f>
        <v/>
      </c>
      <c r="R1568" s="141">
        <f>ROUND(Q1568*IF(AND(offer_incoterms="DDP",seller_region="RU"),IF((TODAY()+offer_turnaround_time)&gt;=helpsheet!$L$17,rate_vatRU_from_26,rate_vatRu_till_25),0),2)</f>
        <v/>
      </c>
      <c r="S1568" s="177">
        <f>Q1568+IF(AND(offer_incoterms="DDP",seller_region="RU"),R1568,0)</f>
        <v/>
      </c>
      <c r="T1568" s="45" t="n"/>
      <c r="V1568" s="57">
        <f>IF(Q1568&gt;0,"показать","скрыть")</f>
        <v/>
      </c>
    </row>
    <row r="1569" ht="15.75" customHeight="1">
      <c r="B1569" s="809" t="n">
        <v>1553</v>
      </c>
      <c r="C1569" s="182">
        <f>IF(offer_sale_type="транзит",IFERROR(VLOOKUP($B1569,calc_data,C$14+1,0),0),0)</f>
        <v/>
      </c>
      <c r="D1569" s="280">
        <f>IF(offer_sale_type="транзит",IFERROR(VLOOKUP($B1569,calc_data,D$14+1,0),0),0)</f>
        <v/>
      </c>
      <c r="E1569" s="182">
        <f>IF(offer_sale_type="транзит",IFERROR(VLOOKUP($B1569,calc_data,E$14+1,0),0),0)</f>
        <v/>
      </c>
      <c r="F1569" s="182">
        <f>IF(offer_sale_type="транзит",IFERROR(VLOOKUP($B1569,calc_data,F$14+1,0),0),0)</f>
        <v/>
      </c>
      <c r="G1569" s="141">
        <f>IF(offer_sale_type="транзит",IFERROR(VLOOKUP($B1569,calc_data,G$14+1,0),0),0)</f>
        <v/>
      </c>
      <c r="H1569" s="141">
        <f>E1569*G1569</f>
        <v/>
      </c>
      <c r="I1569" s="141">
        <f>IF(offer_sale_type="транзит",IFERROR(ROUND(VLOOKUP($B1569,calc_data,I$14+1,0),2),0),0)</f>
        <v/>
      </c>
      <c r="J1569" s="141">
        <f>ROUND(IF(offer_sale_type="транзит",IFERROR(VLOOKUP($B1569,calc_data,J$14+1,0),0),0),2)</f>
        <v/>
      </c>
      <c r="K1569" s="142">
        <f>IF(offer_sale_type="транзит",IFERROR(ROUNDUP(VLOOKUP($B1569,calc_data,K$14+1,0),2),0),0)</f>
        <v/>
      </c>
      <c r="L1569" s="184">
        <f>IF(offer_sale_type="транзит",IFERROR(ROUNDUP(VLOOKUP($B1569,calc_data,L$14+1,0),2),0),0)</f>
        <v/>
      </c>
      <c r="M1569" s="141">
        <f>IF(offer_sale_type="транзит",IFERROR(ROUNDUP(VLOOKUP($B1569,calc_data,M$14+1,0),2),0),0)</f>
        <v/>
      </c>
      <c r="N1569" s="141">
        <f>IF(offer_sale_type="транзит",IFERROR(ROUNDUP(VLOOKUP($B1569,calc_data,N$14+1,0),2),0),0)</f>
        <v/>
      </c>
      <c r="O1569" s="147">
        <f>IF(offer_sale_type="транзит",IFERROR(ROUND(VLOOKUP($B1569,calc_data,O$14+1,1),2),0),0)</f>
        <v/>
      </c>
      <c r="P1569" s="141">
        <f>IF(offer_sale_type="транзит",IFERROR(ROUND(SUM(I1569:J1569,M1569:O1569)/E1569,2),0),0)</f>
        <v/>
      </c>
      <c r="Q1569" s="141">
        <f>E1569*P1569</f>
        <v/>
      </c>
      <c r="R1569" s="141">
        <f>ROUND(Q1569*IF(AND(offer_incoterms="DDP",seller_region="RU"),IF((TODAY()+offer_turnaround_time)&gt;=helpsheet!$L$17,rate_vatRU_from_26,rate_vatRu_till_25),0),2)</f>
        <v/>
      </c>
      <c r="S1569" s="177">
        <f>Q1569+IF(AND(offer_incoterms="DDP",seller_region="RU"),R1569,0)</f>
        <v/>
      </c>
      <c r="T1569" s="45" t="n"/>
      <c r="V1569" s="57">
        <f>IF(Q1569&gt;0,"показать","скрыть")</f>
        <v/>
      </c>
    </row>
    <row r="1570" ht="15.75" customHeight="1">
      <c r="B1570" s="809" t="n">
        <v>1554</v>
      </c>
      <c r="C1570" s="182">
        <f>IF(offer_sale_type="транзит",IFERROR(VLOOKUP($B1570,calc_data,C$14+1,0),0),0)</f>
        <v/>
      </c>
      <c r="D1570" s="280">
        <f>IF(offer_sale_type="транзит",IFERROR(VLOOKUP($B1570,calc_data,D$14+1,0),0),0)</f>
        <v/>
      </c>
      <c r="E1570" s="182">
        <f>IF(offer_sale_type="транзит",IFERROR(VLOOKUP($B1570,calc_data,E$14+1,0),0),0)</f>
        <v/>
      </c>
      <c r="F1570" s="182">
        <f>IF(offer_sale_type="транзит",IFERROR(VLOOKUP($B1570,calc_data,F$14+1,0),0),0)</f>
        <v/>
      </c>
      <c r="G1570" s="141">
        <f>IF(offer_sale_type="транзит",IFERROR(VLOOKUP($B1570,calc_data,G$14+1,0),0),0)</f>
        <v/>
      </c>
      <c r="H1570" s="141">
        <f>E1570*G1570</f>
        <v/>
      </c>
      <c r="I1570" s="141">
        <f>IF(offer_sale_type="транзит",IFERROR(ROUND(VLOOKUP($B1570,calc_data,I$14+1,0),2),0),0)</f>
        <v/>
      </c>
      <c r="J1570" s="141">
        <f>ROUND(IF(offer_sale_type="транзит",IFERROR(VLOOKUP($B1570,calc_data,J$14+1,0),0),0),2)</f>
        <v/>
      </c>
      <c r="K1570" s="142">
        <f>IF(offer_sale_type="транзит",IFERROR(ROUNDUP(VLOOKUP($B1570,calc_data,K$14+1,0),2),0),0)</f>
        <v/>
      </c>
      <c r="L1570" s="184">
        <f>IF(offer_sale_type="транзит",IFERROR(ROUNDUP(VLOOKUP($B1570,calc_data,L$14+1,0),2),0),0)</f>
        <v/>
      </c>
      <c r="M1570" s="141">
        <f>IF(offer_sale_type="транзит",IFERROR(ROUNDUP(VLOOKUP($B1570,calc_data,M$14+1,0),2),0),0)</f>
        <v/>
      </c>
      <c r="N1570" s="141">
        <f>IF(offer_sale_type="транзит",IFERROR(ROUNDUP(VLOOKUP($B1570,calc_data,N$14+1,0),2),0),0)</f>
        <v/>
      </c>
      <c r="O1570" s="147">
        <f>IF(offer_sale_type="транзит",IFERROR(ROUND(VLOOKUP($B1570,calc_data,O$14+1,1),2),0),0)</f>
        <v/>
      </c>
      <c r="P1570" s="141">
        <f>IF(offer_sale_type="транзит",IFERROR(ROUND(SUM(I1570:J1570,M1570:O1570)/E1570,2),0),0)</f>
        <v/>
      </c>
      <c r="Q1570" s="141">
        <f>E1570*P1570</f>
        <v/>
      </c>
      <c r="R1570" s="141">
        <f>ROUND(Q1570*IF(AND(offer_incoterms="DDP",seller_region="RU"),IF((TODAY()+offer_turnaround_time)&gt;=helpsheet!$L$17,rate_vatRU_from_26,rate_vatRu_till_25),0),2)</f>
        <v/>
      </c>
      <c r="S1570" s="177">
        <f>Q1570+IF(AND(offer_incoterms="DDP",seller_region="RU"),R1570,0)</f>
        <v/>
      </c>
      <c r="T1570" s="45" t="n"/>
      <c r="V1570" s="57">
        <f>IF(Q1570&gt;0,"показать","скрыть")</f>
        <v/>
      </c>
    </row>
    <row r="1571" ht="15.75" customHeight="1">
      <c r="B1571" s="809" t="n">
        <v>1555</v>
      </c>
      <c r="C1571" s="182">
        <f>IF(offer_sale_type="транзит",IFERROR(VLOOKUP($B1571,calc_data,C$14+1,0),0),0)</f>
        <v/>
      </c>
      <c r="D1571" s="280">
        <f>IF(offer_sale_type="транзит",IFERROR(VLOOKUP($B1571,calc_data,D$14+1,0),0),0)</f>
        <v/>
      </c>
      <c r="E1571" s="182">
        <f>IF(offer_sale_type="транзит",IFERROR(VLOOKUP($B1571,calc_data,E$14+1,0),0),0)</f>
        <v/>
      </c>
      <c r="F1571" s="182">
        <f>IF(offer_sale_type="транзит",IFERROR(VLOOKUP($B1571,calc_data,F$14+1,0),0),0)</f>
        <v/>
      </c>
      <c r="G1571" s="141">
        <f>IF(offer_sale_type="транзит",IFERROR(VLOOKUP($B1571,calc_data,G$14+1,0),0),0)</f>
        <v/>
      </c>
      <c r="H1571" s="141">
        <f>E1571*G1571</f>
        <v/>
      </c>
      <c r="I1571" s="141">
        <f>IF(offer_sale_type="транзит",IFERROR(ROUND(VLOOKUP($B1571,calc_data,I$14+1,0),2),0),0)</f>
        <v/>
      </c>
      <c r="J1571" s="141">
        <f>ROUND(IF(offer_sale_type="транзит",IFERROR(VLOOKUP($B1571,calc_data,J$14+1,0),0),0),2)</f>
        <v/>
      </c>
      <c r="K1571" s="142">
        <f>IF(offer_sale_type="транзит",IFERROR(ROUNDUP(VLOOKUP($B1571,calc_data,K$14+1,0),2),0),0)</f>
        <v/>
      </c>
      <c r="L1571" s="184">
        <f>IF(offer_sale_type="транзит",IFERROR(ROUNDUP(VLOOKUP($B1571,calc_data,L$14+1,0),2),0),0)</f>
        <v/>
      </c>
      <c r="M1571" s="141">
        <f>IF(offer_sale_type="транзит",IFERROR(ROUNDUP(VLOOKUP($B1571,calc_data,M$14+1,0),2),0),0)</f>
        <v/>
      </c>
      <c r="N1571" s="141">
        <f>IF(offer_sale_type="транзит",IFERROR(ROUNDUP(VLOOKUP($B1571,calc_data,N$14+1,0),2),0),0)</f>
        <v/>
      </c>
      <c r="O1571" s="147">
        <f>IF(offer_sale_type="транзит",IFERROR(ROUND(VLOOKUP($B1571,calc_data,O$14+1,1),2),0),0)</f>
        <v/>
      </c>
      <c r="P1571" s="141">
        <f>IF(offer_sale_type="транзит",IFERROR(ROUND(SUM(I1571:J1571,M1571:O1571)/E1571,2),0),0)</f>
        <v/>
      </c>
      <c r="Q1571" s="141">
        <f>E1571*P1571</f>
        <v/>
      </c>
      <c r="R1571" s="141">
        <f>ROUND(Q1571*IF(AND(offer_incoterms="DDP",seller_region="RU"),IF((TODAY()+offer_turnaround_time)&gt;=helpsheet!$L$17,rate_vatRU_from_26,rate_vatRu_till_25),0),2)</f>
        <v/>
      </c>
      <c r="S1571" s="177">
        <f>Q1571+IF(AND(offer_incoterms="DDP",seller_region="RU"),R1571,0)</f>
        <v/>
      </c>
      <c r="T1571" s="45" t="n"/>
      <c r="V1571" s="57">
        <f>IF(Q1571&gt;0,"показать","скрыть")</f>
        <v/>
      </c>
    </row>
    <row r="1572" ht="15.75" customHeight="1">
      <c r="B1572" s="809" t="n">
        <v>1556</v>
      </c>
      <c r="C1572" s="182">
        <f>IF(offer_sale_type="транзит",IFERROR(VLOOKUP($B1572,calc_data,C$14+1,0),0),0)</f>
        <v/>
      </c>
      <c r="D1572" s="280">
        <f>IF(offer_sale_type="транзит",IFERROR(VLOOKUP($B1572,calc_data,D$14+1,0),0),0)</f>
        <v/>
      </c>
      <c r="E1572" s="182">
        <f>IF(offer_sale_type="транзит",IFERROR(VLOOKUP($B1572,calc_data,E$14+1,0),0),0)</f>
        <v/>
      </c>
      <c r="F1572" s="182">
        <f>IF(offer_sale_type="транзит",IFERROR(VLOOKUP($B1572,calc_data,F$14+1,0),0),0)</f>
        <v/>
      </c>
      <c r="G1572" s="141">
        <f>IF(offer_sale_type="транзит",IFERROR(VLOOKUP($B1572,calc_data,G$14+1,0),0),0)</f>
        <v/>
      </c>
      <c r="H1572" s="141">
        <f>E1572*G1572</f>
        <v/>
      </c>
      <c r="I1572" s="141">
        <f>IF(offer_sale_type="транзит",IFERROR(ROUND(VLOOKUP($B1572,calc_data,I$14+1,0),2),0),0)</f>
        <v/>
      </c>
      <c r="J1572" s="141">
        <f>ROUND(IF(offer_sale_type="транзит",IFERROR(VLOOKUP($B1572,calc_data,J$14+1,0),0),0),2)</f>
        <v/>
      </c>
      <c r="K1572" s="142">
        <f>IF(offer_sale_type="транзит",IFERROR(ROUNDUP(VLOOKUP($B1572,calc_data,K$14+1,0),2),0),0)</f>
        <v/>
      </c>
      <c r="L1572" s="184">
        <f>IF(offer_sale_type="транзит",IFERROR(ROUNDUP(VLOOKUP($B1572,calc_data,L$14+1,0),2),0),0)</f>
        <v/>
      </c>
      <c r="M1572" s="141">
        <f>IF(offer_sale_type="транзит",IFERROR(ROUNDUP(VLOOKUP($B1572,calc_data,M$14+1,0),2),0),0)</f>
        <v/>
      </c>
      <c r="N1572" s="141">
        <f>IF(offer_sale_type="транзит",IFERROR(ROUNDUP(VLOOKUP($B1572,calc_data,N$14+1,0),2),0),0)</f>
        <v/>
      </c>
      <c r="O1572" s="147">
        <f>IF(offer_sale_type="транзит",IFERROR(ROUND(VLOOKUP($B1572,calc_data,O$14+1,1),2),0),0)</f>
        <v/>
      </c>
      <c r="P1572" s="141">
        <f>IF(offer_sale_type="транзит",IFERROR(ROUND(SUM(I1572:J1572,M1572:O1572)/E1572,2),0),0)</f>
        <v/>
      </c>
      <c r="Q1572" s="141">
        <f>E1572*P1572</f>
        <v/>
      </c>
      <c r="R1572" s="141">
        <f>ROUND(Q1572*IF(AND(offer_incoterms="DDP",seller_region="RU"),IF((TODAY()+offer_turnaround_time)&gt;=helpsheet!$L$17,rate_vatRU_from_26,rate_vatRu_till_25),0),2)</f>
        <v/>
      </c>
      <c r="S1572" s="177">
        <f>Q1572+IF(AND(offer_incoterms="DDP",seller_region="RU"),R1572,0)</f>
        <v/>
      </c>
      <c r="T1572" s="45" t="n"/>
      <c r="V1572" s="57">
        <f>IF(Q1572&gt;0,"показать","скрыть")</f>
        <v/>
      </c>
    </row>
    <row r="1573" ht="15.75" customHeight="1">
      <c r="B1573" s="809" t="n">
        <v>1557</v>
      </c>
      <c r="C1573" s="182">
        <f>IF(offer_sale_type="транзит",IFERROR(VLOOKUP($B1573,calc_data,C$14+1,0),0),0)</f>
        <v/>
      </c>
      <c r="D1573" s="280">
        <f>IF(offer_sale_type="транзит",IFERROR(VLOOKUP($B1573,calc_data,D$14+1,0),0),0)</f>
        <v/>
      </c>
      <c r="E1573" s="182">
        <f>IF(offer_sale_type="транзит",IFERROR(VLOOKUP($B1573,calc_data,E$14+1,0),0),0)</f>
        <v/>
      </c>
      <c r="F1573" s="182">
        <f>IF(offer_sale_type="транзит",IFERROR(VLOOKUP($B1573,calc_data,F$14+1,0),0),0)</f>
        <v/>
      </c>
      <c r="G1573" s="141">
        <f>IF(offer_sale_type="транзит",IFERROR(VLOOKUP($B1573,calc_data,G$14+1,0),0),0)</f>
        <v/>
      </c>
      <c r="H1573" s="141">
        <f>E1573*G1573</f>
        <v/>
      </c>
      <c r="I1573" s="141">
        <f>IF(offer_sale_type="транзит",IFERROR(ROUND(VLOOKUP($B1573,calc_data,I$14+1,0),2),0),0)</f>
        <v/>
      </c>
      <c r="J1573" s="141">
        <f>ROUND(IF(offer_sale_type="транзит",IFERROR(VLOOKUP($B1573,calc_data,J$14+1,0),0),0),2)</f>
        <v/>
      </c>
      <c r="K1573" s="142">
        <f>IF(offer_sale_type="транзит",IFERROR(ROUNDUP(VLOOKUP($B1573,calc_data,K$14+1,0),2),0),0)</f>
        <v/>
      </c>
      <c r="L1573" s="184">
        <f>IF(offer_sale_type="транзит",IFERROR(ROUNDUP(VLOOKUP($B1573,calc_data,L$14+1,0),2),0),0)</f>
        <v/>
      </c>
      <c r="M1573" s="141">
        <f>IF(offer_sale_type="транзит",IFERROR(ROUNDUP(VLOOKUP($B1573,calc_data,M$14+1,0),2),0),0)</f>
        <v/>
      </c>
      <c r="N1573" s="141">
        <f>IF(offer_sale_type="транзит",IFERROR(ROUNDUP(VLOOKUP($B1573,calc_data,N$14+1,0),2),0),0)</f>
        <v/>
      </c>
      <c r="O1573" s="147">
        <f>IF(offer_sale_type="транзит",IFERROR(ROUND(VLOOKUP($B1573,calc_data,O$14+1,1),2),0),0)</f>
        <v/>
      </c>
      <c r="P1573" s="141">
        <f>IF(offer_sale_type="транзит",IFERROR(ROUND(SUM(I1573:J1573,M1573:O1573)/E1573,2),0),0)</f>
        <v/>
      </c>
      <c r="Q1573" s="141">
        <f>E1573*P1573</f>
        <v/>
      </c>
      <c r="R1573" s="141">
        <f>ROUND(Q1573*IF(AND(offer_incoterms="DDP",seller_region="RU"),IF((TODAY()+offer_turnaround_time)&gt;=helpsheet!$L$17,rate_vatRU_from_26,rate_vatRu_till_25),0),2)</f>
        <v/>
      </c>
      <c r="S1573" s="177">
        <f>Q1573+IF(AND(offer_incoterms="DDP",seller_region="RU"),R1573,0)</f>
        <v/>
      </c>
      <c r="T1573" s="45" t="n"/>
      <c r="V1573" s="57">
        <f>IF(Q1573&gt;0,"показать","скрыть")</f>
        <v/>
      </c>
    </row>
    <row r="1574" ht="15.75" customHeight="1">
      <c r="B1574" s="809" t="n">
        <v>1558</v>
      </c>
      <c r="C1574" s="182">
        <f>IF(offer_sale_type="транзит",IFERROR(VLOOKUP($B1574,calc_data,C$14+1,0),0),0)</f>
        <v/>
      </c>
      <c r="D1574" s="280">
        <f>IF(offer_sale_type="транзит",IFERROR(VLOOKUP($B1574,calc_data,D$14+1,0),0),0)</f>
        <v/>
      </c>
      <c r="E1574" s="182">
        <f>IF(offer_sale_type="транзит",IFERROR(VLOOKUP($B1574,calc_data,E$14+1,0),0),0)</f>
        <v/>
      </c>
      <c r="F1574" s="182">
        <f>IF(offer_sale_type="транзит",IFERROR(VLOOKUP($B1574,calc_data,F$14+1,0),0),0)</f>
        <v/>
      </c>
      <c r="G1574" s="141">
        <f>IF(offer_sale_type="транзит",IFERROR(VLOOKUP($B1574,calc_data,G$14+1,0),0),0)</f>
        <v/>
      </c>
      <c r="H1574" s="141">
        <f>E1574*G1574</f>
        <v/>
      </c>
      <c r="I1574" s="141">
        <f>IF(offer_sale_type="транзит",IFERROR(ROUND(VLOOKUP($B1574,calc_data,I$14+1,0),2),0),0)</f>
        <v/>
      </c>
      <c r="J1574" s="141">
        <f>ROUND(IF(offer_sale_type="транзит",IFERROR(VLOOKUP($B1574,calc_data,J$14+1,0),0),0),2)</f>
        <v/>
      </c>
      <c r="K1574" s="142">
        <f>IF(offer_sale_type="транзит",IFERROR(ROUNDUP(VLOOKUP($B1574,calc_data,K$14+1,0),2),0),0)</f>
        <v/>
      </c>
      <c r="L1574" s="184">
        <f>IF(offer_sale_type="транзит",IFERROR(ROUNDUP(VLOOKUP($B1574,calc_data,L$14+1,0),2),0),0)</f>
        <v/>
      </c>
      <c r="M1574" s="141">
        <f>IF(offer_sale_type="транзит",IFERROR(ROUNDUP(VLOOKUP($B1574,calc_data,M$14+1,0),2),0),0)</f>
        <v/>
      </c>
      <c r="N1574" s="141">
        <f>IF(offer_sale_type="транзит",IFERROR(ROUNDUP(VLOOKUP($B1574,calc_data,N$14+1,0),2),0),0)</f>
        <v/>
      </c>
      <c r="O1574" s="147">
        <f>IF(offer_sale_type="транзит",IFERROR(ROUND(VLOOKUP($B1574,calc_data,O$14+1,1),2),0),0)</f>
        <v/>
      </c>
      <c r="P1574" s="141">
        <f>IF(offer_sale_type="транзит",IFERROR(ROUND(SUM(I1574:J1574,M1574:O1574)/E1574,2),0),0)</f>
        <v/>
      </c>
      <c r="Q1574" s="141">
        <f>E1574*P1574</f>
        <v/>
      </c>
      <c r="R1574" s="141">
        <f>ROUND(Q1574*IF(AND(offer_incoterms="DDP",seller_region="RU"),IF((TODAY()+offer_turnaround_time)&gt;=helpsheet!$L$17,rate_vatRU_from_26,rate_vatRu_till_25),0),2)</f>
        <v/>
      </c>
      <c r="S1574" s="177">
        <f>Q1574+IF(AND(offer_incoterms="DDP",seller_region="RU"),R1574,0)</f>
        <v/>
      </c>
      <c r="T1574" s="45" t="n"/>
      <c r="V1574" s="57">
        <f>IF(Q1574&gt;0,"показать","скрыть")</f>
        <v/>
      </c>
    </row>
    <row r="1575" ht="15.75" customHeight="1">
      <c r="B1575" s="809" t="n">
        <v>1559</v>
      </c>
      <c r="C1575" s="182">
        <f>IF(offer_sale_type="транзит",IFERROR(VLOOKUP($B1575,calc_data,C$14+1,0),0),0)</f>
        <v/>
      </c>
      <c r="D1575" s="280">
        <f>IF(offer_sale_type="транзит",IFERROR(VLOOKUP($B1575,calc_data,D$14+1,0),0),0)</f>
        <v/>
      </c>
      <c r="E1575" s="182">
        <f>IF(offer_sale_type="транзит",IFERROR(VLOOKUP($B1575,calc_data,E$14+1,0),0),0)</f>
        <v/>
      </c>
      <c r="F1575" s="182">
        <f>IF(offer_sale_type="транзит",IFERROR(VLOOKUP($B1575,calc_data,F$14+1,0),0),0)</f>
        <v/>
      </c>
      <c r="G1575" s="141">
        <f>IF(offer_sale_type="транзит",IFERROR(VLOOKUP($B1575,calc_data,G$14+1,0),0),0)</f>
        <v/>
      </c>
      <c r="H1575" s="141">
        <f>E1575*G1575</f>
        <v/>
      </c>
      <c r="I1575" s="141">
        <f>IF(offer_sale_type="транзит",IFERROR(ROUND(VLOOKUP($B1575,calc_data,I$14+1,0),2),0),0)</f>
        <v/>
      </c>
      <c r="J1575" s="141">
        <f>ROUND(IF(offer_sale_type="транзит",IFERROR(VLOOKUP($B1575,calc_data,J$14+1,0),0),0),2)</f>
        <v/>
      </c>
      <c r="K1575" s="142">
        <f>IF(offer_sale_type="транзит",IFERROR(ROUNDUP(VLOOKUP($B1575,calc_data,K$14+1,0),2),0),0)</f>
        <v/>
      </c>
      <c r="L1575" s="184">
        <f>IF(offer_sale_type="транзит",IFERROR(ROUNDUP(VLOOKUP($B1575,calc_data,L$14+1,0),2),0),0)</f>
        <v/>
      </c>
      <c r="M1575" s="141">
        <f>IF(offer_sale_type="транзит",IFERROR(ROUNDUP(VLOOKUP($B1575,calc_data,M$14+1,0),2),0),0)</f>
        <v/>
      </c>
      <c r="N1575" s="141">
        <f>IF(offer_sale_type="транзит",IFERROR(ROUNDUP(VLOOKUP($B1575,calc_data,N$14+1,0),2),0),0)</f>
        <v/>
      </c>
      <c r="O1575" s="147">
        <f>IF(offer_sale_type="транзит",IFERROR(ROUND(VLOOKUP($B1575,calc_data,O$14+1,1),2),0),0)</f>
        <v/>
      </c>
      <c r="P1575" s="141">
        <f>IF(offer_sale_type="транзит",IFERROR(ROUND(SUM(I1575:J1575,M1575:O1575)/E1575,2),0),0)</f>
        <v/>
      </c>
      <c r="Q1575" s="141">
        <f>E1575*P1575</f>
        <v/>
      </c>
      <c r="R1575" s="141">
        <f>ROUND(Q1575*IF(AND(offer_incoterms="DDP",seller_region="RU"),IF((TODAY()+offer_turnaround_time)&gt;=helpsheet!$L$17,rate_vatRU_from_26,rate_vatRu_till_25),0),2)</f>
        <v/>
      </c>
      <c r="S1575" s="177">
        <f>Q1575+IF(AND(offer_incoterms="DDP",seller_region="RU"),R1575,0)</f>
        <v/>
      </c>
      <c r="T1575" s="45" t="n"/>
      <c r="V1575" s="57">
        <f>IF(Q1575&gt;0,"показать","скрыть")</f>
        <v/>
      </c>
    </row>
    <row r="1576" ht="15.75" customHeight="1">
      <c r="B1576" s="809" t="n">
        <v>1560</v>
      </c>
      <c r="C1576" s="182">
        <f>IF(offer_sale_type="транзит",IFERROR(VLOOKUP($B1576,calc_data,C$14+1,0),0),0)</f>
        <v/>
      </c>
      <c r="D1576" s="280">
        <f>IF(offer_sale_type="транзит",IFERROR(VLOOKUP($B1576,calc_data,D$14+1,0),0),0)</f>
        <v/>
      </c>
      <c r="E1576" s="182">
        <f>IF(offer_sale_type="транзит",IFERROR(VLOOKUP($B1576,calc_data,E$14+1,0),0),0)</f>
        <v/>
      </c>
      <c r="F1576" s="182">
        <f>IF(offer_sale_type="транзит",IFERROR(VLOOKUP($B1576,calc_data,F$14+1,0),0),0)</f>
        <v/>
      </c>
      <c r="G1576" s="141">
        <f>IF(offer_sale_type="транзит",IFERROR(VLOOKUP($B1576,calc_data,G$14+1,0),0),0)</f>
        <v/>
      </c>
      <c r="H1576" s="141">
        <f>E1576*G1576</f>
        <v/>
      </c>
      <c r="I1576" s="141">
        <f>IF(offer_sale_type="транзит",IFERROR(ROUND(VLOOKUP($B1576,calc_data,I$14+1,0),2),0),0)</f>
        <v/>
      </c>
      <c r="J1576" s="141">
        <f>ROUND(IF(offer_sale_type="транзит",IFERROR(VLOOKUP($B1576,calc_data,J$14+1,0),0),0),2)</f>
        <v/>
      </c>
      <c r="K1576" s="142">
        <f>IF(offer_sale_type="транзит",IFERROR(ROUNDUP(VLOOKUP($B1576,calc_data,K$14+1,0),2),0),0)</f>
        <v/>
      </c>
      <c r="L1576" s="184">
        <f>IF(offer_sale_type="транзит",IFERROR(ROUNDUP(VLOOKUP($B1576,calc_data,L$14+1,0),2),0),0)</f>
        <v/>
      </c>
      <c r="M1576" s="141">
        <f>IF(offer_sale_type="транзит",IFERROR(ROUNDUP(VLOOKUP($B1576,calc_data,M$14+1,0),2),0),0)</f>
        <v/>
      </c>
      <c r="N1576" s="141">
        <f>IF(offer_sale_type="транзит",IFERROR(ROUNDUP(VLOOKUP($B1576,calc_data,N$14+1,0),2),0),0)</f>
        <v/>
      </c>
      <c r="O1576" s="147">
        <f>IF(offer_sale_type="транзит",IFERROR(ROUND(VLOOKUP($B1576,calc_data,O$14+1,1),2),0),0)</f>
        <v/>
      </c>
      <c r="P1576" s="141">
        <f>IF(offer_sale_type="транзит",IFERROR(ROUND(SUM(I1576:J1576,M1576:O1576)/E1576,2),0),0)</f>
        <v/>
      </c>
      <c r="Q1576" s="141">
        <f>E1576*P1576</f>
        <v/>
      </c>
      <c r="R1576" s="141">
        <f>ROUND(Q1576*IF(AND(offer_incoterms="DDP",seller_region="RU"),IF((TODAY()+offer_turnaround_time)&gt;=helpsheet!$L$17,rate_vatRU_from_26,rate_vatRu_till_25),0),2)</f>
        <v/>
      </c>
      <c r="S1576" s="177">
        <f>Q1576+IF(AND(offer_incoterms="DDP",seller_region="RU"),R1576,0)</f>
        <v/>
      </c>
      <c r="T1576" s="45" t="n"/>
      <c r="V1576" s="57">
        <f>IF(Q1576&gt;0,"показать","скрыть")</f>
        <v/>
      </c>
    </row>
    <row r="1577" ht="15.75" customHeight="1">
      <c r="B1577" s="809" t="n">
        <v>1561</v>
      </c>
      <c r="C1577" s="182">
        <f>IF(offer_sale_type="транзит",IFERROR(VLOOKUP($B1577,calc_data,C$14+1,0),0),0)</f>
        <v/>
      </c>
      <c r="D1577" s="280">
        <f>IF(offer_sale_type="транзит",IFERROR(VLOOKUP($B1577,calc_data,D$14+1,0),0),0)</f>
        <v/>
      </c>
      <c r="E1577" s="182">
        <f>IF(offer_sale_type="транзит",IFERROR(VLOOKUP($B1577,calc_data,E$14+1,0),0),0)</f>
        <v/>
      </c>
      <c r="F1577" s="182">
        <f>IF(offer_sale_type="транзит",IFERROR(VLOOKUP($B1577,calc_data,F$14+1,0),0),0)</f>
        <v/>
      </c>
      <c r="G1577" s="141">
        <f>IF(offer_sale_type="транзит",IFERROR(VLOOKUP($B1577,calc_data,G$14+1,0),0),0)</f>
        <v/>
      </c>
      <c r="H1577" s="141">
        <f>E1577*G1577</f>
        <v/>
      </c>
      <c r="I1577" s="141">
        <f>IF(offer_sale_type="транзит",IFERROR(ROUND(VLOOKUP($B1577,calc_data,I$14+1,0),2),0),0)</f>
        <v/>
      </c>
      <c r="J1577" s="141">
        <f>ROUND(IF(offer_sale_type="транзит",IFERROR(VLOOKUP($B1577,calc_data,J$14+1,0),0),0),2)</f>
        <v/>
      </c>
      <c r="K1577" s="142">
        <f>IF(offer_sale_type="транзит",IFERROR(ROUNDUP(VLOOKUP($B1577,calc_data,K$14+1,0),2),0),0)</f>
        <v/>
      </c>
      <c r="L1577" s="184">
        <f>IF(offer_sale_type="транзит",IFERROR(ROUNDUP(VLOOKUP($B1577,calc_data,L$14+1,0),2),0),0)</f>
        <v/>
      </c>
      <c r="M1577" s="141">
        <f>IF(offer_sale_type="транзит",IFERROR(ROUNDUP(VLOOKUP($B1577,calc_data,M$14+1,0),2),0),0)</f>
        <v/>
      </c>
      <c r="N1577" s="141">
        <f>IF(offer_sale_type="транзит",IFERROR(ROUNDUP(VLOOKUP($B1577,calc_data,N$14+1,0),2),0),0)</f>
        <v/>
      </c>
      <c r="O1577" s="147">
        <f>IF(offer_sale_type="транзит",IFERROR(ROUND(VLOOKUP($B1577,calc_data,O$14+1,1),2),0),0)</f>
        <v/>
      </c>
      <c r="P1577" s="141">
        <f>IF(offer_sale_type="транзит",IFERROR(ROUND(SUM(I1577:J1577,M1577:O1577)/E1577,2),0),0)</f>
        <v/>
      </c>
      <c r="Q1577" s="141">
        <f>E1577*P1577</f>
        <v/>
      </c>
      <c r="R1577" s="141">
        <f>ROUND(Q1577*IF(AND(offer_incoterms="DDP",seller_region="RU"),IF((TODAY()+offer_turnaround_time)&gt;=helpsheet!$L$17,rate_vatRU_from_26,rate_vatRu_till_25),0),2)</f>
        <v/>
      </c>
      <c r="S1577" s="177">
        <f>Q1577+IF(AND(offer_incoterms="DDP",seller_region="RU"),R1577,0)</f>
        <v/>
      </c>
      <c r="T1577" s="45" t="n"/>
      <c r="V1577" s="57">
        <f>IF(Q1577&gt;0,"показать","скрыть")</f>
        <v/>
      </c>
    </row>
    <row r="1578" ht="15.75" customHeight="1">
      <c r="B1578" s="809" t="n">
        <v>1562</v>
      </c>
      <c r="C1578" s="182">
        <f>IF(offer_sale_type="транзит",IFERROR(VLOOKUP($B1578,calc_data,C$14+1,0),0),0)</f>
        <v/>
      </c>
      <c r="D1578" s="280">
        <f>IF(offer_sale_type="транзит",IFERROR(VLOOKUP($B1578,calc_data,D$14+1,0),0),0)</f>
        <v/>
      </c>
      <c r="E1578" s="182">
        <f>IF(offer_sale_type="транзит",IFERROR(VLOOKUP($B1578,calc_data,E$14+1,0),0),0)</f>
        <v/>
      </c>
      <c r="F1578" s="182">
        <f>IF(offer_sale_type="транзит",IFERROR(VLOOKUP($B1578,calc_data,F$14+1,0),0),0)</f>
        <v/>
      </c>
      <c r="G1578" s="141">
        <f>IF(offer_sale_type="транзит",IFERROR(VLOOKUP($B1578,calc_data,G$14+1,0),0),0)</f>
        <v/>
      </c>
      <c r="H1578" s="141">
        <f>E1578*G1578</f>
        <v/>
      </c>
      <c r="I1578" s="141">
        <f>IF(offer_sale_type="транзит",IFERROR(ROUND(VLOOKUP($B1578,calc_data,I$14+1,0),2),0),0)</f>
        <v/>
      </c>
      <c r="J1578" s="141">
        <f>ROUND(IF(offer_sale_type="транзит",IFERROR(VLOOKUP($B1578,calc_data,J$14+1,0),0),0),2)</f>
        <v/>
      </c>
      <c r="K1578" s="142">
        <f>IF(offer_sale_type="транзит",IFERROR(ROUNDUP(VLOOKUP($B1578,calc_data,K$14+1,0),2),0),0)</f>
        <v/>
      </c>
      <c r="L1578" s="184">
        <f>IF(offer_sale_type="транзит",IFERROR(ROUNDUP(VLOOKUP($B1578,calc_data,L$14+1,0),2),0),0)</f>
        <v/>
      </c>
      <c r="M1578" s="141">
        <f>IF(offer_sale_type="транзит",IFERROR(ROUNDUP(VLOOKUP($B1578,calc_data,M$14+1,0),2),0),0)</f>
        <v/>
      </c>
      <c r="N1578" s="141">
        <f>IF(offer_sale_type="транзит",IFERROR(ROUNDUP(VLOOKUP($B1578,calc_data,N$14+1,0),2),0),0)</f>
        <v/>
      </c>
      <c r="O1578" s="147">
        <f>IF(offer_sale_type="транзит",IFERROR(ROUND(VLOOKUP($B1578,calc_data,O$14+1,1),2),0),0)</f>
        <v/>
      </c>
      <c r="P1578" s="141">
        <f>IF(offer_sale_type="транзит",IFERROR(ROUND(SUM(I1578:J1578,M1578:O1578)/E1578,2),0),0)</f>
        <v/>
      </c>
      <c r="Q1578" s="141">
        <f>E1578*P1578</f>
        <v/>
      </c>
      <c r="R1578" s="141">
        <f>ROUND(Q1578*IF(AND(offer_incoterms="DDP",seller_region="RU"),IF((TODAY()+offer_turnaround_time)&gt;=helpsheet!$L$17,rate_vatRU_from_26,rate_vatRu_till_25),0),2)</f>
        <v/>
      </c>
      <c r="S1578" s="177">
        <f>Q1578+IF(AND(offer_incoterms="DDP",seller_region="RU"),R1578,0)</f>
        <v/>
      </c>
      <c r="T1578" s="45" t="n"/>
      <c r="V1578" s="57">
        <f>IF(Q1578&gt;0,"показать","скрыть")</f>
        <v/>
      </c>
    </row>
    <row r="1579" ht="15.75" customHeight="1">
      <c r="B1579" s="809" t="n">
        <v>1563</v>
      </c>
      <c r="C1579" s="182">
        <f>IF(offer_sale_type="транзит",IFERROR(VLOOKUP($B1579,calc_data,C$14+1,0),0),0)</f>
        <v/>
      </c>
      <c r="D1579" s="280">
        <f>IF(offer_sale_type="транзит",IFERROR(VLOOKUP($B1579,calc_data,D$14+1,0),0),0)</f>
        <v/>
      </c>
      <c r="E1579" s="182">
        <f>IF(offer_sale_type="транзит",IFERROR(VLOOKUP($B1579,calc_data,E$14+1,0),0),0)</f>
        <v/>
      </c>
      <c r="F1579" s="182">
        <f>IF(offer_sale_type="транзит",IFERROR(VLOOKUP($B1579,calc_data,F$14+1,0),0),0)</f>
        <v/>
      </c>
      <c r="G1579" s="141">
        <f>IF(offer_sale_type="транзит",IFERROR(VLOOKUP($B1579,calc_data,G$14+1,0),0),0)</f>
        <v/>
      </c>
      <c r="H1579" s="141">
        <f>E1579*G1579</f>
        <v/>
      </c>
      <c r="I1579" s="141">
        <f>IF(offer_sale_type="транзит",IFERROR(ROUND(VLOOKUP($B1579,calc_data,I$14+1,0),2),0),0)</f>
        <v/>
      </c>
      <c r="J1579" s="141">
        <f>ROUND(IF(offer_sale_type="транзит",IFERROR(VLOOKUP($B1579,calc_data,J$14+1,0),0),0),2)</f>
        <v/>
      </c>
      <c r="K1579" s="142">
        <f>IF(offer_sale_type="транзит",IFERROR(ROUNDUP(VLOOKUP($B1579,calc_data,K$14+1,0),2),0),0)</f>
        <v/>
      </c>
      <c r="L1579" s="184">
        <f>IF(offer_sale_type="транзит",IFERROR(ROUNDUP(VLOOKUP($B1579,calc_data,L$14+1,0),2),0),0)</f>
        <v/>
      </c>
      <c r="M1579" s="141">
        <f>IF(offer_sale_type="транзит",IFERROR(ROUNDUP(VLOOKUP($B1579,calc_data,M$14+1,0),2),0),0)</f>
        <v/>
      </c>
      <c r="N1579" s="141">
        <f>IF(offer_sale_type="транзит",IFERROR(ROUNDUP(VLOOKUP($B1579,calc_data,N$14+1,0),2),0),0)</f>
        <v/>
      </c>
      <c r="O1579" s="147">
        <f>IF(offer_sale_type="транзит",IFERROR(ROUND(VLOOKUP($B1579,calc_data,O$14+1,1),2),0),0)</f>
        <v/>
      </c>
      <c r="P1579" s="141">
        <f>IF(offer_sale_type="транзит",IFERROR(ROUND(SUM(I1579:J1579,M1579:O1579)/E1579,2),0),0)</f>
        <v/>
      </c>
      <c r="Q1579" s="141">
        <f>E1579*P1579</f>
        <v/>
      </c>
      <c r="R1579" s="141">
        <f>ROUND(Q1579*IF(AND(offer_incoterms="DDP",seller_region="RU"),IF((TODAY()+offer_turnaround_time)&gt;=helpsheet!$L$17,rate_vatRU_from_26,rate_vatRu_till_25),0),2)</f>
        <v/>
      </c>
      <c r="S1579" s="177">
        <f>Q1579+IF(AND(offer_incoterms="DDP",seller_region="RU"),R1579,0)</f>
        <v/>
      </c>
      <c r="T1579" s="45" t="n"/>
      <c r="V1579" s="57">
        <f>IF(Q1579&gt;0,"показать","скрыть")</f>
        <v/>
      </c>
    </row>
    <row r="1580" ht="15.75" customHeight="1">
      <c r="B1580" s="809" t="n">
        <v>1564</v>
      </c>
      <c r="C1580" s="182">
        <f>IF(offer_sale_type="транзит",IFERROR(VLOOKUP($B1580,calc_data,C$14+1,0),0),0)</f>
        <v/>
      </c>
      <c r="D1580" s="280">
        <f>IF(offer_sale_type="транзит",IFERROR(VLOOKUP($B1580,calc_data,D$14+1,0),0),0)</f>
        <v/>
      </c>
      <c r="E1580" s="182">
        <f>IF(offer_sale_type="транзит",IFERROR(VLOOKUP($B1580,calc_data,E$14+1,0),0),0)</f>
        <v/>
      </c>
      <c r="F1580" s="182">
        <f>IF(offer_sale_type="транзит",IFERROR(VLOOKUP($B1580,calc_data,F$14+1,0),0),0)</f>
        <v/>
      </c>
      <c r="G1580" s="141">
        <f>IF(offer_sale_type="транзит",IFERROR(VLOOKUP($B1580,calc_data,G$14+1,0),0),0)</f>
        <v/>
      </c>
      <c r="H1580" s="141">
        <f>E1580*G1580</f>
        <v/>
      </c>
      <c r="I1580" s="141">
        <f>IF(offer_sale_type="транзит",IFERROR(ROUND(VLOOKUP($B1580,calc_data,I$14+1,0),2),0),0)</f>
        <v/>
      </c>
      <c r="J1580" s="141">
        <f>ROUND(IF(offer_sale_type="транзит",IFERROR(VLOOKUP($B1580,calc_data,J$14+1,0),0),0),2)</f>
        <v/>
      </c>
      <c r="K1580" s="142">
        <f>IF(offer_sale_type="транзит",IFERROR(ROUNDUP(VLOOKUP($B1580,calc_data,K$14+1,0),2),0),0)</f>
        <v/>
      </c>
      <c r="L1580" s="184">
        <f>IF(offer_sale_type="транзит",IFERROR(ROUNDUP(VLOOKUP($B1580,calc_data,L$14+1,0),2),0),0)</f>
        <v/>
      </c>
      <c r="M1580" s="141">
        <f>IF(offer_sale_type="транзит",IFERROR(ROUNDUP(VLOOKUP($B1580,calc_data,M$14+1,0),2),0),0)</f>
        <v/>
      </c>
      <c r="N1580" s="141">
        <f>IF(offer_sale_type="транзит",IFERROR(ROUNDUP(VLOOKUP($B1580,calc_data,N$14+1,0),2),0),0)</f>
        <v/>
      </c>
      <c r="O1580" s="147">
        <f>IF(offer_sale_type="транзит",IFERROR(ROUND(VLOOKUP($B1580,calc_data,O$14+1,1),2),0),0)</f>
        <v/>
      </c>
      <c r="P1580" s="141">
        <f>IF(offer_sale_type="транзит",IFERROR(ROUND(SUM(I1580:J1580,M1580:O1580)/E1580,2),0),0)</f>
        <v/>
      </c>
      <c r="Q1580" s="141">
        <f>E1580*P1580</f>
        <v/>
      </c>
      <c r="R1580" s="141">
        <f>ROUND(Q1580*IF(AND(offer_incoterms="DDP",seller_region="RU"),IF((TODAY()+offer_turnaround_time)&gt;=helpsheet!$L$17,rate_vatRU_from_26,rate_vatRu_till_25),0),2)</f>
        <v/>
      </c>
      <c r="S1580" s="177">
        <f>Q1580+IF(AND(offer_incoterms="DDP",seller_region="RU"),R1580,0)</f>
        <v/>
      </c>
      <c r="T1580" s="45" t="n"/>
      <c r="V1580" s="57">
        <f>IF(Q1580&gt;0,"показать","скрыть")</f>
        <v/>
      </c>
    </row>
    <row r="1581" ht="15.75" customHeight="1">
      <c r="B1581" s="809" t="n">
        <v>1565</v>
      </c>
      <c r="C1581" s="182">
        <f>IF(offer_sale_type="транзит",IFERROR(VLOOKUP($B1581,calc_data,C$14+1,0),0),0)</f>
        <v/>
      </c>
      <c r="D1581" s="280">
        <f>IF(offer_sale_type="транзит",IFERROR(VLOOKUP($B1581,calc_data,D$14+1,0),0),0)</f>
        <v/>
      </c>
      <c r="E1581" s="182">
        <f>IF(offer_sale_type="транзит",IFERROR(VLOOKUP($B1581,calc_data,E$14+1,0),0),0)</f>
        <v/>
      </c>
      <c r="F1581" s="182">
        <f>IF(offer_sale_type="транзит",IFERROR(VLOOKUP($B1581,calc_data,F$14+1,0),0),0)</f>
        <v/>
      </c>
      <c r="G1581" s="141">
        <f>IF(offer_sale_type="транзит",IFERROR(VLOOKUP($B1581,calc_data,G$14+1,0),0),0)</f>
        <v/>
      </c>
      <c r="H1581" s="141">
        <f>E1581*G1581</f>
        <v/>
      </c>
      <c r="I1581" s="141">
        <f>IF(offer_sale_type="транзит",IFERROR(ROUND(VLOOKUP($B1581,calc_data,I$14+1,0),2),0),0)</f>
        <v/>
      </c>
      <c r="J1581" s="141">
        <f>ROUND(IF(offer_sale_type="транзит",IFERROR(VLOOKUP($B1581,calc_data,J$14+1,0),0),0),2)</f>
        <v/>
      </c>
      <c r="K1581" s="142">
        <f>IF(offer_sale_type="транзит",IFERROR(ROUNDUP(VLOOKUP($B1581,calc_data,K$14+1,0),2),0),0)</f>
        <v/>
      </c>
      <c r="L1581" s="184">
        <f>IF(offer_sale_type="транзит",IFERROR(ROUNDUP(VLOOKUP($B1581,calc_data,L$14+1,0),2),0),0)</f>
        <v/>
      </c>
      <c r="M1581" s="141">
        <f>IF(offer_sale_type="транзит",IFERROR(ROUNDUP(VLOOKUP($B1581,calc_data,M$14+1,0),2),0),0)</f>
        <v/>
      </c>
      <c r="N1581" s="141">
        <f>IF(offer_sale_type="транзит",IFERROR(ROUNDUP(VLOOKUP($B1581,calc_data,N$14+1,0),2),0),0)</f>
        <v/>
      </c>
      <c r="O1581" s="147">
        <f>IF(offer_sale_type="транзит",IFERROR(ROUND(VLOOKUP($B1581,calc_data,O$14+1,1),2),0),0)</f>
        <v/>
      </c>
      <c r="P1581" s="141">
        <f>IF(offer_sale_type="транзит",IFERROR(ROUND(SUM(I1581:J1581,M1581:O1581)/E1581,2),0),0)</f>
        <v/>
      </c>
      <c r="Q1581" s="141">
        <f>E1581*P1581</f>
        <v/>
      </c>
      <c r="R1581" s="141">
        <f>ROUND(Q1581*IF(AND(offer_incoterms="DDP",seller_region="RU"),IF((TODAY()+offer_turnaround_time)&gt;=helpsheet!$L$17,rate_vatRU_from_26,rate_vatRu_till_25),0),2)</f>
        <v/>
      </c>
      <c r="S1581" s="177">
        <f>Q1581+IF(AND(offer_incoterms="DDP",seller_region="RU"),R1581,0)</f>
        <v/>
      </c>
      <c r="T1581" s="45" t="n"/>
      <c r="V1581" s="57">
        <f>IF(Q1581&gt;0,"показать","скрыть")</f>
        <v/>
      </c>
    </row>
    <row r="1582" ht="15.75" customHeight="1">
      <c r="B1582" s="809" t="n">
        <v>1566</v>
      </c>
      <c r="C1582" s="182">
        <f>IF(offer_sale_type="транзит",IFERROR(VLOOKUP($B1582,calc_data,C$14+1,0),0),0)</f>
        <v/>
      </c>
      <c r="D1582" s="280">
        <f>IF(offer_sale_type="транзит",IFERROR(VLOOKUP($B1582,calc_data,D$14+1,0),0),0)</f>
        <v/>
      </c>
      <c r="E1582" s="182">
        <f>IF(offer_sale_type="транзит",IFERROR(VLOOKUP($B1582,calc_data,E$14+1,0),0),0)</f>
        <v/>
      </c>
      <c r="F1582" s="182">
        <f>IF(offer_sale_type="транзит",IFERROR(VLOOKUP($B1582,calc_data,F$14+1,0),0),0)</f>
        <v/>
      </c>
      <c r="G1582" s="141">
        <f>IF(offer_sale_type="транзит",IFERROR(VLOOKUP($B1582,calc_data,G$14+1,0),0),0)</f>
        <v/>
      </c>
      <c r="H1582" s="141">
        <f>E1582*G1582</f>
        <v/>
      </c>
      <c r="I1582" s="141">
        <f>IF(offer_sale_type="транзит",IFERROR(ROUND(VLOOKUP($B1582,calc_data,I$14+1,0),2),0),0)</f>
        <v/>
      </c>
      <c r="J1582" s="141">
        <f>ROUND(IF(offer_sale_type="транзит",IFERROR(VLOOKUP($B1582,calc_data,J$14+1,0),0),0),2)</f>
        <v/>
      </c>
      <c r="K1582" s="142">
        <f>IF(offer_sale_type="транзит",IFERROR(ROUNDUP(VLOOKUP($B1582,calc_data,K$14+1,0),2),0),0)</f>
        <v/>
      </c>
      <c r="L1582" s="184">
        <f>IF(offer_sale_type="транзит",IFERROR(ROUNDUP(VLOOKUP($B1582,calc_data,L$14+1,0),2),0),0)</f>
        <v/>
      </c>
      <c r="M1582" s="141">
        <f>IF(offer_sale_type="транзит",IFERROR(ROUNDUP(VLOOKUP($B1582,calc_data,M$14+1,0),2),0),0)</f>
        <v/>
      </c>
      <c r="N1582" s="141">
        <f>IF(offer_sale_type="транзит",IFERROR(ROUNDUP(VLOOKUP($B1582,calc_data,N$14+1,0),2),0),0)</f>
        <v/>
      </c>
      <c r="O1582" s="147">
        <f>IF(offer_sale_type="транзит",IFERROR(ROUND(VLOOKUP($B1582,calc_data,O$14+1,1),2),0),0)</f>
        <v/>
      </c>
      <c r="P1582" s="141">
        <f>IF(offer_sale_type="транзит",IFERROR(ROUND(SUM(I1582:J1582,M1582:O1582)/E1582,2),0),0)</f>
        <v/>
      </c>
      <c r="Q1582" s="141">
        <f>E1582*P1582</f>
        <v/>
      </c>
      <c r="R1582" s="141">
        <f>ROUND(Q1582*IF(AND(offer_incoterms="DDP",seller_region="RU"),IF((TODAY()+offer_turnaround_time)&gt;=helpsheet!$L$17,rate_vatRU_from_26,rate_vatRu_till_25),0),2)</f>
        <v/>
      </c>
      <c r="S1582" s="177">
        <f>Q1582+IF(AND(offer_incoterms="DDP",seller_region="RU"),R1582,0)</f>
        <v/>
      </c>
      <c r="T1582" s="45" t="n"/>
      <c r="V1582" s="57">
        <f>IF(Q1582&gt;0,"показать","скрыть")</f>
        <v/>
      </c>
    </row>
    <row r="1583" ht="15.75" customHeight="1">
      <c r="B1583" s="809" t="n">
        <v>1567</v>
      </c>
      <c r="C1583" s="182">
        <f>IF(offer_sale_type="транзит",IFERROR(VLOOKUP($B1583,calc_data,C$14+1,0),0),0)</f>
        <v/>
      </c>
      <c r="D1583" s="280">
        <f>IF(offer_sale_type="транзит",IFERROR(VLOOKUP($B1583,calc_data,D$14+1,0),0),0)</f>
        <v/>
      </c>
      <c r="E1583" s="182">
        <f>IF(offer_sale_type="транзит",IFERROR(VLOOKUP($B1583,calc_data,E$14+1,0),0),0)</f>
        <v/>
      </c>
      <c r="F1583" s="182">
        <f>IF(offer_sale_type="транзит",IFERROR(VLOOKUP($B1583,calc_data,F$14+1,0),0),0)</f>
        <v/>
      </c>
      <c r="G1583" s="141">
        <f>IF(offer_sale_type="транзит",IFERROR(VLOOKUP($B1583,calc_data,G$14+1,0),0),0)</f>
        <v/>
      </c>
      <c r="H1583" s="141">
        <f>E1583*G1583</f>
        <v/>
      </c>
      <c r="I1583" s="141">
        <f>IF(offer_sale_type="транзит",IFERROR(ROUND(VLOOKUP($B1583,calc_data,I$14+1,0),2),0),0)</f>
        <v/>
      </c>
      <c r="J1583" s="141">
        <f>ROUND(IF(offer_sale_type="транзит",IFERROR(VLOOKUP($B1583,calc_data,J$14+1,0),0),0),2)</f>
        <v/>
      </c>
      <c r="K1583" s="142">
        <f>IF(offer_sale_type="транзит",IFERROR(ROUNDUP(VLOOKUP($B1583,calc_data,K$14+1,0),2),0),0)</f>
        <v/>
      </c>
      <c r="L1583" s="184">
        <f>IF(offer_sale_type="транзит",IFERROR(ROUNDUP(VLOOKUP($B1583,calc_data,L$14+1,0),2),0),0)</f>
        <v/>
      </c>
      <c r="M1583" s="141">
        <f>IF(offer_sale_type="транзит",IFERROR(ROUNDUP(VLOOKUP($B1583,calc_data,M$14+1,0),2),0),0)</f>
        <v/>
      </c>
      <c r="N1583" s="141">
        <f>IF(offer_sale_type="транзит",IFERROR(ROUNDUP(VLOOKUP($B1583,calc_data,N$14+1,0),2),0),0)</f>
        <v/>
      </c>
      <c r="O1583" s="147">
        <f>IF(offer_sale_type="транзит",IFERROR(ROUND(VLOOKUP($B1583,calc_data,O$14+1,1),2),0),0)</f>
        <v/>
      </c>
      <c r="P1583" s="141">
        <f>IF(offer_sale_type="транзит",IFERROR(ROUND(SUM(I1583:J1583,M1583:O1583)/E1583,2),0),0)</f>
        <v/>
      </c>
      <c r="Q1583" s="141">
        <f>E1583*P1583</f>
        <v/>
      </c>
      <c r="R1583" s="141">
        <f>ROUND(Q1583*IF(AND(offer_incoterms="DDP",seller_region="RU"),IF((TODAY()+offer_turnaround_time)&gt;=helpsheet!$L$17,rate_vatRU_from_26,rate_vatRu_till_25),0),2)</f>
        <v/>
      </c>
      <c r="S1583" s="177">
        <f>Q1583+IF(AND(offer_incoterms="DDP",seller_region="RU"),R1583,0)</f>
        <v/>
      </c>
      <c r="T1583" s="45" t="n"/>
      <c r="V1583" s="57">
        <f>IF(Q1583&gt;0,"показать","скрыть")</f>
        <v/>
      </c>
    </row>
    <row r="1584" ht="15.75" customHeight="1">
      <c r="B1584" s="809" t="n">
        <v>1568</v>
      </c>
      <c r="C1584" s="182">
        <f>IF(offer_sale_type="транзит",IFERROR(VLOOKUP($B1584,calc_data,C$14+1,0),0),0)</f>
        <v/>
      </c>
      <c r="D1584" s="280">
        <f>IF(offer_sale_type="транзит",IFERROR(VLOOKUP($B1584,calc_data,D$14+1,0),0),0)</f>
        <v/>
      </c>
      <c r="E1584" s="182">
        <f>IF(offer_sale_type="транзит",IFERROR(VLOOKUP($B1584,calc_data,E$14+1,0),0),0)</f>
        <v/>
      </c>
      <c r="F1584" s="182">
        <f>IF(offer_sale_type="транзит",IFERROR(VLOOKUP($B1584,calc_data,F$14+1,0),0),0)</f>
        <v/>
      </c>
      <c r="G1584" s="141">
        <f>IF(offer_sale_type="транзит",IFERROR(VLOOKUP($B1584,calc_data,G$14+1,0),0),0)</f>
        <v/>
      </c>
      <c r="H1584" s="141">
        <f>E1584*G1584</f>
        <v/>
      </c>
      <c r="I1584" s="141">
        <f>IF(offer_sale_type="транзит",IFERROR(ROUND(VLOOKUP($B1584,calc_data,I$14+1,0),2),0),0)</f>
        <v/>
      </c>
      <c r="J1584" s="141">
        <f>ROUND(IF(offer_sale_type="транзит",IFERROR(VLOOKUP($B1584,calc_data,J$14+1,0),0),0),2)</f>
        <v/>
      </c>
      <c r="K1584" s="142">
        <f>IF(offer_sale_type="транзит",IFERROR(ROUNDUP(VLOOKUP($B1584,calc_data,K$14+1,0),2),0),0)</f>
        <v/>
      </c>
      <c r="L1584" s="184">
        <f>IF(offer_sale_type="транзит",IFERROR(ROUNDUP(VLOOKUP($B1584,calc_data,L$14+1,0),2),0),0)</f>
        <v/>
      </c>
      <c r="M1584" s="141">
        <f>IF(offer_sale_type="транзит",IFERROR(ROUNDUP(VLOOKUP($B1584,calc_data,M$14+1,0),2),0),0)</f>
        <v/>
      </c>
      <c r="N1584" s="141">
        <f>IF(offer_sale_type="транзит",IFERROR(ROUNDUP(VLOOKUP($B1584,calc_data,N$14+1,0),2),0),0)</f>
        <v/>
      </c>
      <c r="O1584" s="147">
        <f>IF(offer_sale_type="транзит",IFERROR(ROUND(VLOOKUP($B1584,calc_data,O$14+1,1),2),0),0)</f>
        <v/>
      </c>
      <c r="P1584" s="141">
        <f>IF(offer_sale_type="транзит",IFERROR(ROUND(SUM(I1584:J1584,M1584:O1584)/E1584,2),0),0)</f>
        <v/>
      </c>
      <c r="Q1584" s="141">
        <f>E1584*P1584</f>
        <v/>
      </c>
      <c r="R1584" s="141">
        <f>ROUND(Q1584*IF(AND(offer_incoterms="DDP",seller_region="RU"),IF((TODAY()+offer_turnaround_time)&gt;=helpsheet!$L$17,rate_vatRU_from_26,rate_vatRu_till_25),0),2)</f>
        <v/>
      </c>
      <c r="S1584" s="177">
        <f>Q1584+IF(AND(offer_incoterms="DDP",seller_region="RU"),R1584,0)</f>
        <v/>
      </c>
      <c r="T1584" s="45" t="n"/>
      <c r="V1584" s="57">
        <f>IF(Q1584&gt;0,"показать","скрыть")</f>
        <v/>
      </c>
    </row>
    <row r="1585" ht="15.75" customHeight="1">
      <c r="B1585" s="809" t="n">
        <v>1569</v>
      </c>
      <c r="C1585" s="182">
        <f>IF(offer_sale_type="транзит",IFERROR(VLOOKUP($B1585,calc_data,C$14+1,0),0),0)</f>
        <v/>
      </c>
      <c r="D1585" s="280">
        <f>IF(offer_sale_type="транзит",IFERROR(VLOOKUP($B1585,calc_data,D$14+1,0),0),0)</f>
        <v/>
      </c>
      <c r="E1585" s="182">
        <f>IF(offer_sale_type="транзит",IFERROR(VLOOKUP($B1585,calc_data,E$14+1,0),0),0)</f>
        <v/>
      </c>
      <c r="F1585" s="182">
        <f>IF(offer_sale_type="транзит",IFERROR(VLOOKUP($B1585,calc_data,F$14+1,0),0),0)</f>
        <v/>
      </c>
      <c r="G1585" s="141">
        <f>IF(offer_sale_type="транзит",IFERROR(VLOOKUP($B1585,calc_data,G$14+1,0),0),0)</f>
        <v/>
      </c>
      <c r="H1585" s="141">
        <f>E1585*G1585</f>
        <v/>
      </c>
      <c r="I1585" s="141">
        <f>IF(offer_sale_type="транзит",IFERROR(ROUND(VLOOKUP($B1585,calc_data,I$14+1,0),2),0),0)</f>
        <v/>
      </c>
      <c r="J1585" s="141">
        <f>ROUND(IF(offer_sale_type="транзит",IFERROR(VLOOKUP($B1585,calc_data,J$14+1,0),0),0),2)</f>
        <v/>
      </c>
      <c r="K1585" s="142">
        <f>IF(offer_sale_type="транзит",IFERROR(ROUNDUP(VLOOKUP($B1585,calc_data,K$14+1,0),2),0),0)</f>
        <v/>
      </c>
      <c r="L1585" s="184">
        <f>IF(offer_sale_type="транзит",IFERROR(ROUNDUP(VLOOKUP($B1585,calc_data,L$14+1,0),2),0),0)</f>
        <v/>
      </c>
      <c r="M1585" s="141">
        <f>IF(offer_sale_type="транзит",IFERROR(ROUNDUP(VLOOKUP($B1585,calc_data,M$14+1,0),2),0),0)</f>
        <v/>
      </c>
      <c r="N1585" s="141">
        <f>IF(offer_sale_type="транзит",IFERROR(ROUNDUP(VLOOKUP($B1585,calc_data,N$14+1,0),2),0),0)</f>
        <v/>
      </c>
      <c r="O1585" s="147">
        <f>IF(offer_sale_type="транзит",IFERROR(ROUND(VLOOKUP($B1585,calc_data,O$14+1,1),2),0),0)</f>
        <v/>
      </c>
      <c r="P1585" s="141">
        <f>IF(offer_sale_type="транзит",IFERROR(ROUND(SUM(I1585:J1585,M1585:O1585)/E1585,2),0),0)</f>
        <v/>
      </c>
      <c r="Q1585" s="141">
        <f>E1585*P1585</f>
        <v/>
      </c>
      <c r="R1585" s="141">
        <f>ROUND(Q1585*IF(AND(offer_incoterms="DDP",seller_region="RU"),IF((TODAY()+offer_turnaround_time)&gt;=helpsheet!$L$17,rate_vatRU_from_26,rate_vatRu_till_25),0),2)</f>
        <v/>
      </c>
      <c r="S1585" s="177">
        <f>Q1585+IF(AND(offer_incoterms="DDP",seller_region="RU"),R1585,0)</f>
        <v/>
      </c>
      <c r="T1585" s="45" t="n"/>
      <c r="V1585" s="57">
        <f>IF(Q1585&gt;0,"показать","скрыть")</f>
        <v/>
      </c>
    </row>
    <row r="1586" ht="15.75" customHeight="1">
      <c r="B1586" s="809" t="n">
        <v>1570</v>
      </c>
      <c r="C1586" s="182">
        <f>IF(offer_sale_type="транзит",IFERROR(VLOOKUP($B1586,calc_data,C$14+1,0),0),0)</f>
        <v/>
      </c>
      <c r="D1586" s="280">
        <f>IF(offer_sale_type="транзит",IFERROR(VLOOKUP($B1586,calc_data,D$14+1,0),0),0)</f>
        <v/>
      </c>
      <c r="E1586" s="182">
        <f>IF(offer_sale_type="транзит",IFERROR(VLOOKUP($B1586,calc_data,E$14+1,0),0),0)</f>
        <v/>
      </c>
      <c r="F1586" s="182">
        <f>IF(offer_sale_type="транзит",IFERROR(VLOOKUP($B1586,calc_data,F$14+1,0),0),0)</f>
        <v/>
      </c>
      <c r="G1586" s="141">
        <f>IF(offer_sale_type="транзит",IFERROR(VLOOKUP($B1586,calc_data,G$14+1,0),0),0)</f>
        <v/>
      </c>
      <c r="H1586" s="141">
        <f>E1586*G1586</f>
        <v/>
      </c>
      <c r="I1586" s="141">
        <f>IF(offer_sale_type="транзит",IFERROR(ROUND(VLOOKUP($B1586,calc_data,I$14+1,0),2),0),0)</f>
        <v/>
      </c>
      <c r="J1586" s="141">
        <f>ROUND(IF(offer_sale_type="транзит",IFERROR(VLOOKUP($B1586,calc_data,J$14+1,0),0),0),2)</f>
        <v/>
      </c>
      <c r="K1586" s="142">
        <f>IF(offer_sale_type="транзит",IFERROR(ROUNDUP(VLOOKUP($B1586,calc_data,K$14+1,0),2),0),0)</f>
        <v/>
      </c>
      <c r="L1586" s="184">
        <f>IF(offer_sale_type="транзит",IFERROR(ROUNDUP(VLOOKUP($B1586,calc_data,L$14+1,0),2),0),0)</f>
        <v/>
      </c>
      <c r="M1586" s="141">
        <f>IF(offer_sale_type="транзит",IFERROR(ROUNDUP(VLOOKUP($B1586,calc_data,M$14+1,0),2),0),0)</f>
        <v/>
      </c>
      <c r="N1586" s="141">
        <f>IF(offer_sale_type="транзит",IFERROR(ROUNDUP(VLOOKUP($B1586,calc_data,N$14+1,0),2),0),0)</f>
        <v/>
      </c>
      <c r="O1586" s="147">
        <f>IF(offer_sale_type="транзит",IFERROR(ROUND(VLOOKUP($B1586,calc_data,O$14+1,1),2),0),0)</f>
        <v/>
      </c>
      <c r="P1586" s="141">
        <f>IF(offer_sale_type="транзит",IFERROR(ROUND(SUM(I1586:J1586,M1586:O1586)/E1586,2),0),0)</f>
        <v/>
      </c>
      <c r="Q1586" s="141">
        <f>E1586*P1586</f>
        <v/>
      </c>
      <c r="R1586" s="141">
        <f>ROUND(Q1586*IF(AND(offer_incoterms="DDP",seller_region="RU"),IF((TODAY()+offer_turnaround_time)&gt;=helpsheet!$L$17,rate_vatRU_from_26,rate_vatRu_till_25),0),2)</f>
        <v/>
      </c>
      <c r="S1586" s="177">
        <f>Q1586+IF(AND(offer_incoterms="DDP",seller_region="RU"),R1586,0)</f>
        <v/>
      </c>
      <c r="T1586" s="45" t="n"/>
      <c r="V1586" s="57">
        <f>IF(Q1586&gt;0,"показать","скрыть")</f>
        <v/>
      </c>
    </row>
    <row r="1587" ht="15.75" customHeight="1">
      <c r="B1587" s="809" t="n">
        <v>1571</v>
      </c>
      <c r="C1587" s="182">
        <f>IF(offer_sale_type="транзит",IFERROR(VLOOKUP($B1587,calc_data,C$14+1,0),0),0)</f>
        <v/>
      </c>
      <c r="D1587" s="280">
        <f>IF(offer_sale_type="транзит",IFERROR(VLOOKUP($B1587,calc_data,D$14+1,0),0),0)</f>
        <v/>
      </c>
      <c r="E1587" s="182">
        <f>IF(offer_sale_type="транзит",IFERROR(VLOOKUP($B1587,calc_data,E$14+1,0),0),0)</f>
        <v/>
      </c>
      <c r="F1587" s="182">
        <f>IF(offer_sale_type="транзит",IFERROR(VLOOKUP($B1587,calc_data,F$14+1,0),0),0)</f>
        <v/>
      </c>
      <c r="G1587" s="141">
        <f>IF(offer_sale_type="транзит",IFERROR(VLOOKUP($B1587,calc_data,G$14+1,0),0),0)</f>
        <v/>
      </c>
      <c r="H1587" s="141">
        <f>E1587*G1587</f>
        <v/>
      </c>
      <c r="I1587" s="141">
        <f>IF(offer_sale_type="транзит",IFERROR(ROUND(VLOOKUP($B1587,calc_data,I$14+1,0),2),0),0)</f>
        <v/>
      </c>
      <c r="J1587" s="141">
        <f>ROUND(IF(offer_sale_type="транзит",IFERROR(VLOOKUP($B1587,calc_data,J$14+1,0),0),0),2)</f>
        <v/>
      </c>
      <c r="K1587" s="142">
        <f>IF(offer_sale_type="транзит",IFERROR(ROUNDUP(VLOOKUP($B1587,calc_data,K$14+1,0),2),0),0)</f>
        <v/>
      </c>
      <c r="L1587" s="184">
        <f>IF(offer_sale_type="транзит",IFERROR(ROUNDUP(VLOOKUP($B1587,calc_data,L$14+1,0),2),0),0)</f>
        <v/>
      </c>
      <c r="M1587" s="141">
        <f>IF(offer_sale_type="транзит",IFERROR(ROUNDUP(VLOOKUP($B1587,calc_data,M$14+1,0),2),0),0)</f>
        <v/>
      </c>
      <c r="N1587" s="141">
        <f>IF(offer_sale_type="транзит",IFERROR(ROUNDUP(VLOOKUP($B1587,calc_data,N$14+1,0),2),0),0)</f>
        <v/>
      </c>
      <c r="O1587" s="147">
        <f>IF(offer_sale_type="транзит",IFERROR(ROUND(VLOOKUP($B1587,calc_data,O$14+1,1),2),0),0)</f>
        <v/>
      </c>
      <c r="P1587" s="141">
        <f>IF(offer_sale_type="транзит",IFERROR(ROUND(SUM(I1587:J1587,M1587:O1587)/E1587,2),0),0)</f>
        <v/>
      </c>
      <c r="Q1587" s="141">
        <f>E1587*P1587</f>
        <v/>
      </c>
      <c r="R1587" s="141">
        <f>ROUND(Q1587*IF(AND(offer_incoterms="DDP",seller_region="RU"),IF((TODAY()+offer_turnaround_time)&gt;=helpsheet!$L$17,rate_vatRU_from_26,rate_vatRu_till_25),0),2)</f>
        <v/>
      </c>
      <c r="S1587" s="177">
        <f>Q1587+IF(AND(offer_incoterms="DDP",seller_region="RU"),R1587,0)</f>
        <v/>
      </c>
      <c r="T1587" s="45" t="n"/>
      <c r="V1587" s="57">
        <f>IF(Q1587&gt;0,"показать","скрыть")</f>
        <v/>
      </c>
    </row>
    <row r="1588" ht="15.75" customHeight="1">
      <c r="B1588" s="809" t="n">
        <v>1572</v>
      </c>
      <c r="C1588" s="182">
        <f>IF(offer_sale_type="транзит",IFERROR(VLOOKUP($B1588,calc_data,C$14+1,0),0),0)</f>
        <v/>
      </c>
      <c r="D1588" s="280">
        <f>IF(offer_sale_type="транзит",IFERROR(VLOOKUP($B1588,calc_data,D$14+1,0),0),0)</f>
        <v/>
      </c>
      <c r="E1588" s="182">
        <f>IF(offer_sale_type="транзит",IFERROR(VLOOKUP($B1588,calc_data,E$14+1,0),0),0)</f>
        <v/>
      </c>
      <c r="F1588" s="182">
        <f>IF(offer_sale_type="транзит",IFERROR(VLOOKUP($B1588,calc_data,F$14+1,0),0),0)</f>
        <v/>
      </c>
      <c r="G1588" s="141">
        <f>IF(offer_sale_type="транзит",IFERROR(VLOOKUP($B1588,calc_data,G$14+1,0),0),0)</f>
        <v/>
      </c>
      <c r="H1588" s="141">
        <f>E1588*G1588</f>
        <v/>
      </c>
      <c r="I1588" s="141">
        <f>IF(offer_sale_type="транзит",IFERROR(ROUND(VLOOKUP($B1588,calc_data,I$14+1,0),2),0),0)</f>
        <v/>
      </c>
      <c r="J1588" s="141">
        <f>ROUND(IF(offer_sale_type="транзит",IFERROR(VLOOKUP($B1588,calc_data,J$14+1,0),0),0),2)</f>
        <v/>
      </c>
      <c r="K1588" s="142">
        <f>IF(offer_sale_type="транзит",IFERROR(ROUNDUP(VLOOKUP($B1588,calc_data,K$14+1,0),2),0),0)</f>
        <v/>
      </c>
      <c r="L1588" s="184">
        <f>IF(offer_sale_type="транзит",IFERROR(ROUNDUP(VLOOKUP($B1588,calc_data,L$14+1,0),2),0),0)</f>
        <v/>
      </c>
      <c r="M1588" s="141">
        <f>IF(offer_sale_type="транзит",IFERROR(ROUNDUP(VLOOKUP($B1588,calc_data,M$14+1,0),2),0),0)</f>
        <v/>
      </c>
      <c r="N1588" s="141">
        <f>IF(offer_sale_type="транзит",IFERROR(ROUNDUP(VLOOKUP($B1588,calc_data,N$14+1,0),2),0),0)</f>
        <v/>
      </c>
      <c r="O1588" s="147">
        <f>IF(offer_sale_type="транзит",IFERROR(ROUND(VLOOKUP($B1588,calc_data,O$14+1,1),2),0),0)</f>
        <v/>
      </c>
      <c r="P1588" s="141">
        <f>IF(offer_sale_type="транзит",IFERROR(ROUND(SUM(I1588:J1588,M1588:O1588)/E1588,2),0),0)</f>
        <v/>
      </c>
      <c r="Q1588" s="141">
        <f>E1588*P1588</f>
        <v/>
      </c>
      <c r="R1588" s="141">
        <f>ROUND(Q1588*IF(AND(offer_incoterms="DDP",seller_region="RU"),IF((TODAY()+offer_turnaround_time)&gt;=helpsheet!$L$17,rate_vatRU_from_26,rate_vatRu_till_25),0),2)</f>
        <v/>
      </c>
      <c r="S1588" s="177">
        <f>Q1588+IF(AND(offer_incoterms="DDP",seller_region="RU"),R1588,0)</f>
        <v/>
      </c>
      <c r="T1588" s="45" t="n"/>
      <c r="V1588" s="57">
        <f>IF(Q1588&gt;0,"показать","скрыть")</f>
        <v/>
      </c>
    </row>
    <row r="1589" ht="15.75" customHeight="1">
      <c r="B1589" s="809" t="n">
        <v>1573</v>
      </c>
      <c r="C1589" s="182">
        <f>IF(offer_sale_type="транзит",IFERROR(VLOOKUP($B1589,calc_data,C$14+1,0),0),0)</f>
        <v/>
      </c>
      <c r="D1589" s="280">
        <f>IF(offer_sale_type="транзит",IFERROR(VLOOKUP($B1589,calc_data,D$14+1,0),0),0)</f>
        <v/>
      </c>
      <c r="E1589" s="182">
        <f>IF(offer_sale_type="транзит",IFERROR(VLOOKUP($B1589,calc_data,E$14+1,0),0),0)</f>
        <v/>
      </c>
      <c r="F1589" s="182">
        <f>IF(offer_sale_type="транзит",IFERROR(VLOOKUP($B1589,calc_data,F$14+1,0),0),0)</f>
        <v/>
      </c>
      <c r="G1589" s="141">
        <f>IF(offer_sale_type="транзит",IFERROR(VLOOKUP($B1589,calc_data,G$14+1,0),0),0)</f>
        <v/>
      </c>
      <c r="H1589" s="141">
        <f>E1589*G1589</f>
        <v/>
      </c>
      <c r="I1589" s="141">
        <f>IF(offer_sale_type="транзит",IFERROR(ROUND(VLOOKUP($B1589,calc_data,I$14+1,0),2),0),0)</f>
        <v/>
      </c>
      <c r="J1589" s="141">
        <f>ROUND(IF(offer_sale_type="транзит",IFERROR(VLOOKUP($B1589,calc_data,J$14+1,0),0),0),2)</f>
        <v/>
      </c>
      <c r="K1589" s="142">
        <f>IF(offer_sale_type="транзит",IFERROR(ROUNDUP(VLOOKUP($B1589,calc_data,K$14+1,0),2),0),0)</f>
        <v/>
      </c>
      <c r="L1589" s="184">
        <f>IF(offer_sale_type="транзит",IFERROR(ROUNDUP(VLOOKUP($B1589,calc_data,L$14+1,0),2),0),0)</f>
        <v/>
      </c>
      <c r="M1589" s="141">
        <f>IF(offer_sale_type="транзит",IFERROR(ROUNDUP(VLOOKUP($B1589,calc_data,M$14+1,0),2),0),0)</f>
        <v/>
      </c>
      <c r="N1589" s="141">
        <f>IF(offer_sale_type="транзит",IFERROR(ROUNDUP(VLOOKUP($B1589,calc_data,N$14+1,0),2),0),0)</f>
        <v/>
      </c>
      <c r="O1589" s="147">
        <f>IF(offer_sale_type="транзит",IFERROR(ROUND(VLOOKUP($B1589,calc_data,O$14+1,1),2),0),0)</f>
        <v/>
      </c>
      <c r="P1589" s="141">
        <f>IF(offer_sale_type="транзит",IFERROR(ROUND(SUM(I1589:J1589,M1589:O1589)/E1589,2),0),0)</f>
        <v/>
      </c>
      <c r="Q1589" s="141">
        <f>E1589*P1589</f>
        <v/>
      </c>
      <c r="R1589" s="141">
        <f>ROUND(Q1589*IF(AND(offer_incoterms="DDP",seller_region="RU"),IF((TODAY()+offer_turnaround_time)&gt;=helpsheet!$L$17,rate_vatRU_from_26,rate_vatRu_till_25),0),2)</f>
        <v/>
      </c>
      <c r="S1589" s="177">
        <f>Q1589+IF(AND(offer_incoterms="DDP",seller_region="RU"),R1589,0)</f>
        <v/>
      </c>
      <c r="T1589" s="45" t="n"/>
      <c r="V1589" s="57">
        <f>IF(Q1589&gt;0,"показать","скрыть")</f>
        <v/>
      </c>
    </row>
    <row r="1590" ht="15.75" customHeight="1">
      <c r="B1590" s="809" t="n">
        <v>1574</v>
      </c>
      <c r="C1590" s="182">
        <f>IF(offer_sale_type="транзит",IFERROR(VLOOKUP($B1590,calc_data,C$14+1,0),0),0)</f>
        <v/>
      </c>
      <c r="D1590" s="280">
        <f>IF(offer_sale_type="транзит",IFERROR(VLOOKUP($B1590,calc_data,D$14+1,0),0),0)</f>
        <v/>
      </c>
      <c r="E1590" s="182">
        <f>IF(offer_sale_type="транзит",IFERROR(VLOOKUP($B1590,calc_data,E$14+1,0),0),0)</f>
        <v/>
      </c>
      <c r="F1590" s="182">
        <f>IF(offer_sale_type="транзит",IFERROR(VLOOKUP($B1590,calc_data,F$14+1,0),0),0)</f>
        <v/>
      </c>
      <c r="G1590" s="141">
        <f>IF(offer_sale_type="транзит",IFERROR(VLOOKUP($B1590,calc_data,G$14+1,0),0),0)</f>
        <v/>
      </c>
      <c r="H1590" s="141">
        <f>E1590*G1590</f>
        <v/>
      </c>
      <c r="I1590" s="141">
        <f>IF(offer_sale_type="транзит",IFERROR(ROUND(VLOOKUP($B1590,calc_data,I$14+1,0),2),0),0)</f>
        <v/>
      </c>
      <c r="J1590" s="141">
        <f>ROUND(IF(offer_sale_type="транзит",IFERROR(VLOOKUP($B1590,calc_data,J$14+1,0),0),0),2)</f>
        <v/>
      </c>
      <c r="K1590" s="142">
        <f>IF(offer_sale_type="транзит",IFERROR(ROUNDUP(VLOOKUP($B1590,calc_data,K$14+1,0),2),0),0)</f>
        <v/>
      </c>
      <c r="L1590" s="184">
        <f>IF(offer_sale_type="транзит",IFERROR(ROUNDUP(VLOOKUP($B1590,calc_data,L$14+1,0),2),0),0)</f>
        <v/>
      </c>
      <c r="M1590" s="141">
        <f>IF(offer_sale_type="транзит",IFERROR(ROUNDUP(VLOOKUP($B1590,calc_data,M$14+1,0),2),0),0)</f>
        <v/>
      </c>
      <c r="N1590" s="141">
        <f>IF(offer_sale_type="транзит",IFERROR(ROUNDUP(VLOOKUP($B1590,calc_data,N$14+1,0),2),0),0)</f>
        <v/>
      </c>
      <c r="O1590" s="147">
        <f>IF(offer_sale_type="транзит",IFERROR(ROUND(VLOOKUP($B1590,calc_data,O$14+1,1),2),0),0)</f>
        <v/>
      </c>
      <c r="P1590" s="141">
        <f>IF(offer_sale_type="транзит",IFERROR(ROUND(SUM(I1590:J1590,M1590:O1590)/E1590,2),0),0)</f>
        <v/>
      </c>
      <c r="Q1590" s="141">
        <f>E1590*P1590</f>
        <v/>
      </c>
      <c r="R1590" s="141">
        <f>ROUND(Q1590*IF(AND(offer_incoterms="DDP",seller_region="RU"),IF((TODAY()+offer_turnaround_time)&gt;=helpsheet!$L$17,rate_vatRU_from_26,rate_vatRu_till_25),0),2)</f>
        <v/>
      </c>
      <c r="S1590" s="177">
        <f>Q1590+IF(AND(offer_incoterms="DDP",seller_region="RU"),R1590,0)</f>
        <v/>
      </c>
      <c r="T1590" s="45" t="n"/>
      <c r="V1590" s="57">
        <f>IF(Q1590&gt;0,"показать","скрыть")</f>
        <v/>
      </c>
    </row>
    <row r="1591" ht="15.75" customHeight="1">
      <c r="B1591" s="809" t="n">
        <v>1575</v>
      </c>
      <c r="C1591" s="182">
        <f>IF(offer_sale_type="транзит",IFERROR(VLOOKUP($B1591,calc_data,C$14+1,0),0),0)</f>
        <v/>
      </c>
      <c r="D1591" s="280">
        <f>IF(offer_sale_type="транзит",IFERROR(VLOOKUP($B1591,calc_data,D$14+1,0),0),0)</f>
        <v/>
      </c>
      <c r="E1591" s="182">
        <f>IF(offer_sale_type="транзит",IFERROR(VLOOKUP($B1591,calc_data,E$14+1,0),0),0)</f>
        <v/>
      </c>
      <c r="F1591" s="182">
        <f>IF(offer_sale_type="транзит",IFERROR(VLOOKUP($B1591,calc_data,F$14+1,0),0),0)</f>
        <v/>
      </c>
      <c r="G1591" s="141">
        <f>IF(offer_sale_type="транзит",IFERROR(VLOOKUP($B1591,calc_data,G$14+1,0),0),0)</f>
        <v/>
      </c>
      <c r="H1591" s="141">
        <f>E1591*G1591</f>
        <v/>
      </c>
      <c r="I1591" s="141">
        <f>IF(offer_sale_type="транзит",IFERROR(ROUND(VLOOKUP($B1591,calc_data,I$14+1,0),2),0),0)</f>
        <v/>
      </c>
      <c r="J1591" s="141">
        <f>ROUND(IF(offer_sale_type="транзит",IFERROR(VLOOKUP($B1591,calc_data,J$14+1,0),0),0),2)</f>
        <v/>
      </c>
      <c r="K1591" s="142">
        <f>IF(offer_sale_type="транзит",IFERROR(ROUNDUP(VLOOKUP($B1591,calc_data,K$14+1,0),2),0),0)</f>
        <v/>
      </c>
      <c r="L1591" s="184">
        <f>IF(offer_sale_type="транзит",IFERROR(ROUNDUP(VLOOKUP($B1591,calc_data,L$14+1,0),2),0),0)</f>
        <v/>
      </c>
      <c r="M1591" s="141">
        <f>IF(offer_sale_type="транзит",IFERROR(ROUNDUP(VLOOKUP($B1591,calc_data,M$14+1,0),2),0),0)</f>
        <v/>
      </c>
      <c r="N1591" s="141">
        <f>IF(offer_sale_type="транзит",IFERROR(ROUNDUP(VLOOKUP($B1591,calc_data,N$14+1,0),2),0),0)</f>
        <v/>
      </c>
      <c r="O1591" s="147">
        <f>IF(offer_sale_type="транзит",IFERROR(ROUND(VLOOKUP($B1591,calc_data,O$14+1,1),2),0),0)</f>
        <v/>
      </c>
      <c r="P1591" s="141">
        <f>IF(offer_sale_type="транзит",IFERROR(ROUND(SUM(I1591:J1591,M1591:O1591)/E1591,2),0),0)</f>
        <v/>
      </c>
      <c r="Q1591" s="141">
        <f>E1591*P1591</f>
        <v/>
      </c>
      <c r="R1591" s="141">
        <f>ROUND(Q1591*IF(AND(offer_incoterms="DDP",seller_region="RU"),IF((TODAY()+offer_turnaround_time)&gt;=helpsheet!$L$17,rate_vatRU_from_26,rate_vatRu_till_25),0),2)</f>
        <v/>
      </c>
      <c r="S1591" s="177">
        <f>Q1591+IF(AND(offer_incoterms="DDP",seller_region="RU"),R1591,0)</f>
        <v/>
      </c>
      <c r="T1591" s="45" t="n"/>
      <c r="V1591" s="57">
        <f>IF(Q1591&gt;0,"показать","скрыть")</f>
        <v/>
      </c>
    </row>
    <row r="1592" ht="15.75" customHeight="1">
      <c r="B1592" s="809" t="n">
        <v>1576</v>
      </c>
      <c r="C1592" s="182">
        <f>IF(offer_sale_type="транзит",IFERROR(VLOOKUP($B1592,calc_data,C$14+1,0),0),0)</f>
        <v/>
      </c>
      <c r="D1592" s="280">
        <f>IF(offer_sale_type="транзит",IFERROR(VLOOKUP($B1592,calc_data,D$14+1,0),0),0)</f>
        <v/>
      </c>
      <c r="E1592" s="182">
        <f>IF(offer_sale_type="транзит",IFERROR(VLOOKUP($B1592,calc_data,E$14+1,0),0),0)</f>
        <v/>
      </c>
      <c r="F1592" s="182">
        <f>IF(offer_sale_type="транзит",IFERROR(VLOOKUP($B1592,calc_data,F$14+1,0),0),0)</f>
        <v/>
      </c>
      <c r="G1592" s="141">
        <f>IF(offer_sale_type="транзит",IFERROR(VLOOKUP($B1592,calc_data,G$14+1,0),0),0)</f>
        <v/>
      </c>
      <c r="H1592" s="141">
        <f>E1592*G1592</f>
        <v/>
      </c>
      <c r="I1592" s="141">
        <f>IF(offer_sale_type="транзит",IFERROR(ROUND(VLOOKUP($B1592,calc_data,I$14+1,0),2),0),0)</f>
        <v/>
      </c>
      <c r="J1592" s="141">
        <f>ROUND(IF(offer_sale_type="транзит",IFERROR(VLOOKUP($B1592,calc_data,J$14+1,0),0),0),2)</f>
        <v/>
      </c>
      <c r="K1592" s="142">
        <f>IF(offer_sale_type="транзит",IFERROR(ROUNDUP(VLOOKUP($B1592,calc_data,K$14+1,0),2),0),0)</f>
        <v/>
      </c>
      <c r="L1592" s="184">
        <f>IF(offer_sale_type="транзит",IFERROR(ROUNDUP(VLOOKUP($B1592,calc_data,L$14+1,0),2),0),0)</f>
        <v/>
      </c>
      <c r="M1592" s="141">
        <f>IF(offer_sale_type="транзит",IFERROR(ROUNDUP(VLOOKUP($B1592,calc_data,M$14+1,0),2),0),0)</f>
        <v/>
      </c>
      <c r="N1592" s="141">
        <f>IF(offer_sale_type="транзит",IFERROR(ROUNDUP(VLOOKUP($B1592,calc_data,N$14+1,0),2),0),0)</f>
        <v/>
      </c>
      <c r="O1592" s="147">
        <f>IF(offer_sale_type="транзит",IFERROR(ROUND(VLOOKUP($B1592,calc_data,O$14+1,1),2),0),0)</f>
        <v/>
      </c>
      <c r="P1592" s="141">
        <f>IF(offer_sale_type="транзит",IFERROR(ROUND(SUM(I1592:J1592,M1592:O1592)/E1592,2),0),0)</f>
        <v/>
      </c>
      <c r="Q1592" s="141">
        <f>E1592*P1592</f>
        <v/>
      </c>
      <c r="R1592" s="141">
        <f>ROUND(Q1592*IF(AND(offer_incoterms="DDP",seller_region="RU"),IF((TODAY()+offer_turnaround_time)&gt;=helpsheet!$L$17,rate_vatRU_from_26,rate_vatRu_till_25),0),2)</f>
        <v/>
      </c>
      <c r="S1592" s="177">
        <f>Q1592+IF(AND(offer_incoterms="DDP",seller_region="RU"),R1592,0)</f>
        <v/>
      </c>
      <c r="T1592" s="45" t="n"/>
      <c r="V1592" s="57">
        <f>IF(Q1592&gt;0,"показать","скрыть")</f>
        <v/>
      </c>
    </row>
    <row r="1593" ht="15.75" customHeight="1">
      <c r="B1593" s="809" t="n">
        <v>1577</v>
      </c>
      <c r="C1593" s="182">
        <f>IF(offer_sale_type="транзит",IFERROR(VLOOKUP($B1593,calc_data,C$14+1,0),0),0)</f>
        <v/>
      </c>
      <c r="D1593" s="280">
        <f>IF(offer_sale_type="транзит",IFERROR(VLOOKUP($B1593,calc_data,D$14+1,0),0),0)</f>
        <v/>
      </c>
      <c r="E1593" s="182">
        <f>IF(offer_sale_type="транзит",IFERROR(VLOOKUP($B1593,calc_data,E$14+1,0),0),0)</f>
        <v/>
      </c>
      <c r="F1593" s="182">
        <f>IF(offer_sale_type="транзит",IFERROR(VLOOKUP($B1593,calc_data,F$14+1,0),0),0)</f>
        <v/>
      </c>
      <c r="G1593" s="141">
        <f>IF(offer_sale_type="транзит",IFERROR(VLOOKUP($B1593,calc_data,G$14+1,0),0),0)</f>
        <v/>
      </c>
      <c r="H1593" s="141">
        <f>E1593*G1593</f>
        <v/>
      </c>
      <c r="I1593" s="141">
        <f>IF(offer_sale_type="транзит",IFERROR(ROUND(VLOOKUP($B1593,calc_data,I$14+1,0),2),0),0)</f>
        <v/>
      </c>
      <c r="J1593" s="141">
        <f>ROUND(IF(offer_sale_type="транзит",IFERROR(VLOOKUP($B1593,calc_data,J$14+1,0),0),0),2)</f>
        <v/>
      </c>
      <c r="K1593" s="142">
        <f>IF(offer_sale_type="транзит",IFERROR(ROUNDUP(VLOOKUP($B1593,calc_data,K$14+1,0),2),0),0)</f>
        <v/>
      </c>
      <c r="L1593" s="184">
        <f>IF(offer_sale_type="транзит",IFERROR(ROUNDUP(VLOOKUP($B1593,calc_data,L$14+1,0),2),0),0)</f>
        <v/>
      </c>
      <c r="M1593" s="141">
        <f>IF(offer_sale_type="транзит",IFERROR(ROUNDUP(VLOOKUP($B1593,calc_data,M$14+1,0),2),0),0)</f>
        <v/>
      </c>
      <c r="N1593" s="141">
        <f>IF(offer_sale_type="транзит",IFERROR(ROUNDUP(VLOOKUP($B1593,calc_data,N$14+1,0),2),0),0)</f>
        <v/>
      </c>
      <c r="O1593" s="147">
        <f>IF(offer_sale_type="транзит",IFERROR(ROUND(VLOOKUP($B1593,calc_data,O$14+1,1),2),0),0)</f>
        <v/>
      </c>
      <c r="P1593" s="141">
        <f>IF(offer_sale_type="транзит",IFERROR(ROUND(SUM(I1593:J1593,M1593:O1593)/E1593,2),0),0)</f>
        <v/>
      </c>
      <c r="Q1593" s="141">
        <f>E1593*P1593</f>
        <v/>
      </c>
      <c r="R1593" s="141">
        <f>ROUND(Q1593*IF(AND(offer_incoterms="DDP",seller_region="RU"),IF((TODAY()+offer_turnaround_time)&gt;=helpsheet!$L$17,rate_vatRU_from_26,rate_vatRu_till_25),0),2)</f>
        <v/>
      </c>
      <c r="S1593" s="177">
        <f>Q1593+IF(AND(offer_incoterms="DDP",seller_region="RU"),R1593,0)</f>
        <v/>
      </c>
      <c r="T1593" s="45" t="n"/>
      <c r="V1593" s="57">
        <f>IF(Q1593&gt;0,"показать","скрыть")</f>
        <v/>
      </c>
    </row>
    <row r="1594" ht="15.75" customHeight="1">
      <c r="B1594" s="809" t="n">
        <v>1578</v>
      </c>
      <c r="C1594" s="182">
        <f>IF(offer_sale_type="транзит",IFERROR(VLOOKUP($B1594,calc_data,C$14+1,0),0),0)</f>
        <v/>
      </c>
      <c r="D1594" s="280">
        <f>IF(offer_sale_type="транзит",IFERROR(VLOOKUP($B1594,calc_data,D$14+1,0),0),0)</f>
        <v/>
      </c>
      <c r="E1594" s="182">
        <f>IF(offer_sale_type="транзит",IFERROR(VLOOKUP($B1594,calc_data,E$14+1,0),0),0)</f>
        <v/>
      </c>
      <c r="F1594" s="182">
        <f>IF(offer_sale_type="транзит",IFERROR(VLOOKUP($B1594,calc_data,F$14+1,0),0),0)</f>
        <v/>
      </c>
      <c r="G1594" s="141">
        <f>IF(offer_sale_type="транзит",IFERROR(VLOOKUP($B1594,calc_data,G$14+1,0),0),0)</f>
        <v/>
      </c>
      <c r="H1594" s="141">
        <f>E1594*G1594</f>
        <v/>
      </c>
      <c r="I1594" s="141">
        <f>IF(offer_sale_type="транзит",IFERROR(ROUND(VLOOKUP($B1594,calc_data,I$14+1,0),2),0),0)</f>
        <v/>
      </c>
      <c r="J1594" s="141">
        <f>ROUND(IF(offer_sale_type="транзит",IFERROR(VLOOKUP($B1594,calc_data,J$14+1,0),0),0),2)</f>
        <v/>
      </c>
      <c r="K1594" s="142">
        <f>IF(offer_sale_type="транзит",IFERROR(ROUNDUP(VLOOKUP($B1594,calc_data,K$14+1,0),2),0),0)</f>
        <v/>
      </c>
      <c r="L1594" s="184">
        <f>IF(offer_sale_type="транзит",IFERROR(ROUNDUP(VLOOKUP($B1594,calc_data,L$14+1,0),2),0),0)</f>
        <v/>
      </c>
      <c r="M1594" s="141">
        <f>IF(offer_sale_type="транзит",IFERROR(ROUNDUP(VLOOKUP($B1594,calc_data,M$14+1,0),2),0),0)</f>
        <v/>
      </c>
      <c r="N1594" s="141">
        <f>IF(offer_sale_type="транзит",IFERROR(ROUNDUP(VLOOKUP($B1594,calc_data,N$14+1,0),2),0),0)</f>
        <v/>
      </c>
      <c r="O1594" s="147">
        <f>IF(offer_sale_type="транзит",IFERROR(ROUND(VLOOKUP($B1594,calc_data,O$14+1,1),2),0),0)</f>
        <v/>
      </c>
      <c r="P1594" s="141">
        <f>IF(offer_sale_type="транзит",IFERROR(ROUND(SUM(I1594:J1594,M1594:O1594)/E1594,2),0),0)</f>
        <v/>
      </c>
      <c r="Q1594" s="141">
        <f>E1594*P1594</f>
        <v/>
      </c>
      <c r="R1594" s="141">
        <f>ROUND(Q1594*IF(AND(offer_incoterms="DDP",seller_region="RU"),IF((TODAY()+offer_turnaround_time)&gt;=helpsheet!$L$17,rate_vatRU_from_26,rate_vatRu_till_25),0),2)</f>
        <v/>
      </c>
      <c r="S1594" s="177">
        <f>Q1594+IF(AND(offer_incoterms="DDP",seller_region="RU"),R1594,0)</f>
        <v/>
      </c>
      <c r="T1594" s="45" t="n"/>
      <c r="V1594" s="57">
        <f>IF(Q1594&gt;0,"показать","скрыть")</f>
        <v/>
      </c>
    </row>
    <row r="1595" ht="15.75" customHeight="1">
      <c r="B1595" s="809" t="n">
        <v>1579</v>
      </c>
      <c r="C1595" s="182">
        <f>IF(offer_sale_type="транзит",IFERROR(VLOOKUP($B1595,calc_data,C$14+1,0),0),0)</f>
        <v/>
      </c>
      <c r="D1595" s="280">
        <f>IF(offer_sale_type="транзит",IFERROR(VLOOKUP($B1595,calc_data,D$14+1,0),0),0)</f>
        <v/>
      </c>
      <c r="E1595" s="182">
        <f>IF(offer_sale_type="транзит",IFERROR(VLOOKUP($B1595,calc_data,E$14+1,0),0),0)</f>
        <v/>
      </c>
      <c r="F1595" s="182">
        <f>IF(offer_sale_type="транзит",IFERROR(VLOOKUP($B1595,calc_data,F$14+1,0),0),0)</f>
        <v/>
      </c>
      <c r="G1595" s="141">
        <f>IF(offer_sale_type="транзит",IFERROR(VLOOKUP($B1595,calc_data,G$14+1,0),0),0)</f>
        <v/>
      </c>
      <c r="H1595" s="141">
        <f>E1595*G1595</f>
        <v/>
      </c>
      <c r="I1595" s="141">
        <f>IF(offer_sale_type="транзит",IFERROR(ROUND(VLOOKUP($B1595,calc_data,I$14+1,0),2),0),0)</f>
        <v/>
      </c>
      <c r="J1595" s="141">
        <f>ROUND(IF(offer_sale_type="транзит",IFERROR(VLOOKUP($B1595,calc_data,J$14+1,0),0),0),2)</f>
        <v/>
      </c>
      <c r="K1595" s="142">
        <f>IF(offer_sale_type="транзит",IFERROR(ROUNDUP(VLOOKUP($B1595,calc_data,K$14+1,0),2),0),0)</f>
        <v/>
      </c>
      <c r="L1595" s="184">
        <f>IF(offer_sale_type="транзит",IFERROR(ROUNDUP(VLOOKUP($B1595,calc_data,L$14+1,0),2),0),0)</f>
        <v/>
      </c>
      <c r="M1595" s="141">
        <f>IF(offer_sale_type="транзит",IFERROR(ROUNDUP(VLOOKUP($B1595,calc_data,M$14+1,0),2),0),0)</f>
        <v/>
      </c>
      <c r="N1595" s="141">
        <f>IF(offer_sale_type="транзит",IFERROR(ROUNDUP(VLOOKUP($B1595,calc_data,N$14+1,0),2),0),0)</f>
        <v/>
      </c>
      <c r="O1595" s="147">
        <f>IF(offer_sale_type="транзит",IFERROR(ROUND(VLOOKUP($B1595,calc_data,O$14+1,1),2),0),0)</f>
        <v/>
      </c>
      <c r="P1595" s="141">
        <f>IF(offer_sale_type="транзит",IFERROR(ROUND(SUM(I1595:J1595,M1595:O1595)/E1595,2),0),0)</f>
        <v/>
      </c>
      <c r="Q1595" s="141">
        <f>E1595*P1595</f>
        <v/>
      </c>
      <c r="R1595" s="141">
        <f>ROUND(Q1595*IF(AND(offer_incoterms="DDP",seller_region="RU"),IF((TODAY()+offer_turnaround_time)&gt;=helpsheet!$L$17,rate_vatRU_from_26,rate_vatRu_till_25),0),2)</f>
        <v/>
      </c>
      <c r="S1595" s="177">
        <f>Q1595+IF(AND(offer_incoterms="DDP",seller_region="RU"),R1595,0)</f>
        <v/>
      </c>
      <c r="T1595" s="45" t="n"/>
      <c r="V1595" s="57">
        <f>IF(Q1595&gt;0,"показать","скрыть")</f>
        <v/>
      </c>
    </row>
    <row r="1596" ht="15.75" customHeight="1">
      <c r="B1596" s="809" t="n">
        <v>1580</v>
      </c>
      <c r="C1596" s="182">
        <f>IF(offer_sale_type="транзит",IFERROR(VLOOKUP($B1596,calc_data,C$14+1,0),0),0)</f>
        <v/>
      </c>
      <c r="D1596" s="280">
        <f>IF(offer_sale_type="транзит",IFERROR(VLOOKUP($B1596,calc_data,D$14+1,0),0),0)</f>
        <v/>
      </c>
      <c r="E1596" s="182">
        <f>IF(offer_sale_type="транзит",IFERROR(VLOOKUP($B1596,calc_data,E$14+1,0),0),0)</f>
        <v/>
      </c>
      <c r="F1596" s="182">
        <f>IF(offer_sale_type="транзит",IFERROR(VLOOKUP($B1596,calc_data,F$14+1,0),0),0)</f>
        <v/>
      </c>
      <c r="G1596" s="141">
        <f>IF(offer_sale_type="транзит",IFERROR(VLOOKUP($B1596,calc_data,G$14+1,0),0),0)</f>
        <v/>
      </c>
      <c r="H1596" s="141">
        <f>E1596*G1596</f>
        <v/>
      </c>
      <c r="I1596" s="141">
        <f>IF(offer_sale_type="транзит",IFERROR(ROUND(VLOOKUP($B1596,calc_data,I$14+1,0),2),0),0)</f>
        <v/>
      </c>
      <c r="J1596" s="141">
        <f>ROUND(IF(offer_sale_type="транзит",IFERROR(VLOOKUP($B1596,calc_data,J$14+1,0),0),0),2)</f>
        <v/>
      </c>
      <c r="K1596" s="142">
        <f>IF(offer_sale_type="транзит",IFERROR(ROUNDUP(VLOOKUP($B1596,calc_data,K$14+1,0),2),0),0)</f>
        <v/>
      </c>
      <c r="L1596" s="184">
        <f>IF(offer_sale_type="транзит",IFERROR(ROUNDUP(VLOOKUP($B1596,calc_data,L$14+1,0),2),0),0)</f>
        <v/>
      </c>
      <c r="M1596" s="141">
        <f>IF(offer_sale_type="транзит",IFERROR(ROUNDUP(VLOOKUP($B1596,calc_data,M$14+1,0),2),0),0)</f>
        <v/>
      </c>
      <c r="N1596" s="141">
        <f>IF(offer_sale_type="транзит",IFERROR(ROUNDUP(VLOOKUP($B1596,calc_data,N$14+1,0),2),0),0)</f>
        <v/>
      </c>
      <c r="O1596" s="147">
        <f>IF(offer_sale_type="транзит",IFERROR(ROUND(VLOOKUP($B1596,calc_data,O$14+1,1),2),0),0)</f>
        <v/>
      </c>
      <c r="P1596" s="141">
        <f>IF(offer_sale_type="транзит",IFERROR(ROUND(SUM(I1596:J1596,M1596:O1596)/E1596,2),0),0)</f>
        <v/>
      </c>
      <c r="Q1596" s="141">
        <f>E1596*P1596</f>
        <v/>
      </c>
      <c r="R1596" s="141">
        <f>ROUND(Q1596*IF(AND(offer_incoterms="DDP",seller_region="RU"),IF((TODAY()+offer_turnaround_time)&gt;=helpsheet!$L$17,rate_vatRU_from_26,rate_vatRu_till_25),0),2)</f>
        <v/>
      </c>
      <c r="S1596" s="177">
        <f>Q1596+IF(AND(offer_incoterms="DDP",seller_region="RU"),R1596,0)</f>
        <v/>
      </c>
      <c r="T1596" s="45" t="n"/>
      <c r="V1596" s="57">
        <f>IF(Q1596&gt;0,"показать","скрыть")</f>
        <v/>
      </c>
    </row>
    <row r="1597" ht="15.75" customHeight="1">
      <c r="B1597" s="809" t="n">
        <v>1581</v>
      </c>
      <c r="C1597" s="182">
        <f>IF(offer_sale_type="транзит",IFERROR(VLOOKUP($B1597,calc_data,C$14+1,0),0),0)</f>
        <v/>
      </c>
      <c r="D1597" s="280">
        <f>IF(offer_sale_type="транзит",IFERROR(VLOOKUP($B1597,calc_data,D$14+1,0),0),0)</f>
        <v/>
      </c>
      <c r="E1597" s="182">
        <f>IF(offer_sale_type="транзит",IFERROR(VLOOKUP($B1597,calc_data,E$14+1,0),0),0)</f>
        <v/>
      </c>
      <c r="F1597" s="182">
        <f>IF(offer_sale_type="транзит",IFERROR(VLOOKUP($B1597,calc_data,F$14+1,0),0),0)</f>
        <v/>
      </c>
      <c r="G1597" s="141">
        <f>IF(offer_sale_type="транзит",IFERROR(VLOOKUP($B1597,calc_data,G$14+1,0),0),0)</f>
        <v/>
      </c>
      <c r="H1597" s="141">
        <f>E1597*G1597</f>
        <v/>
      </c>
      <c r="I1597" s="141">
        <f>IF(offer_sale_type="транзит",IFERROR(ROUND(VLOOKUP($B1597,calc_data,I$14+1,0),2),0),0)</f>
        <v/>
      </c>
      <c r="J1597" s="141">
        <f>ROUND(IF(offer_sale_type="транзит",IFERROR(VLOOKUP($B1597,calc_data,J$14+1,0),0),0),2)</f>
        <v/>
      </c>
      <c r="K1597" s="142">
        <f>IF(offer_sale_type="транзит",IFERROR(ROUNDUP(VLOOKUP($B1597,calc_data,K$14+1,0),2),0),0)</f>
        <v/>
      </c>
      <c r="L1597" s="184">
        <f>IF(offer_sale_type="транзит",IFERROR(ROUNDUP(VLOOKUP($B1597,calc_data,L$14+1,0),2),0),0)</f>
        <v/>
      </c>
      <c r="M1597" s="141">
        <f>IF(offer_sale_type="транзит",IFERROR(ROUNDUP(VLOOKUP($B1597,calc_data,M$14+1,0),2),0),0)</f>
        <v/>
      </c>
      <c r="N1597" s="141">
        <f>IF(offer_sale_type="транзит",IFERROR(ROUNDUP(VLOOKUP($B1597,calc_data,N$14+1,0),2),0),0)</f>
        <v/>
      </c>
      <c r="O1597" s="147">
        <f>IF(offer_sale_type="транзит",IFERROR(ROUND(VLOOKUP($B1597,calc_data,O$14+1,1),2),0),0)</f>
        <v/>
      </c>
      <c r="P1597" s="141">
        <f>IF(offer_sale_type="транзит",IFERROR(ROUND(SUM(I1597:J1597,M1597:O1597)/E1597,2),0),0)</f>
        <v/>
      </c>
      <c r="Q1597" s="141">
        <f>E1597*P1597</f>
        <v/>
      </c>
      <c r="R1597" s="141">
        <f>ROUND(Q1597*IF(AND(offer_incoterms="DDP",seller_region="RU"),IF((TODAY()+offer_turnaround_time)&gt;=helpsheet!$L$17,rate_vatRU_from_26,rate_vatRu_till_25),0),2)</f>
        <v/>
      </c>
      <c r="S1597" s="177">
        <f>Q1597+IF(AND(offer_incoterms="DDP",seller_region="RU"),R1597,0)</f>
        <v/>
      </c>
      <c r="T1597" s="45" t="n"/>
      <c r="V1597" s="57">
        <f>IF(Q1597&gt;0,"показать","скрыть")</f>
        <v/>
      </c>
    </row>
    <row r="1598" ht="15.75" customHeight="1">
      <c r="B1598" s="809" t="n">
        <v>1582</v>
      </c>
      <c r="C1598" s="182">
        <f>IF(offer_sale_type="транзит",IFERROR(VLOOKUP($B1598,calc_data,C$14+1,0),0),0)</f>
        <v/>
      </c>
      <c r="D1598" s="280">
        <f>IF(offer_sale_type="транзит",IFERROR(VLOOKUP($B1598,calc_data,D$14+1,0),0),0)</f>
        <v/>
      </c>
      <c r="E1598" s="182">
        <f>IF(offer_sale_type="транзит",IFERROR(VLOOKUP($B1598,calc_data,E$14+1,0),0),0)</f>
        <v/>
      </c>
      <c r="F1598" s="182">
        <f>IF(offer_sale_type="транзит",IFERROR(VLOOKUP($B1598,calc_data,F$14+1,0),0),0)</f>
        <v/>
      </c>
      <c r="G1598" s="141">
        <f>IF(offer_sale_type="транзит",IFERROR(VLOOKUP($B1598,calc_data,G$14+1,0),0),0)</f>
        <v/>
      </c>
      <c r="H1598" s="141">
        <f>E1598*G1598</f>
        <v/>
      </c>
      <c r="I1598" s="141">
        <f>IF(offer_sale_type="транзит",IFERROR(ROUND(VLOOKUP($B1598,calc_data,I$14+1,0),2),0),0)</f>
        <v/>
      </c>
      <c r="J1598" s="141">
        <f>ROUND(IF(offer_sale_type="транзит",IFERROR(VLOOKUP($B1598,calc_data,J$14+1,0),0),0),2)</f>
        <v/>
      </c>
      <c r="K1598" s="142">
        <f>IF(offer_sale_type="транзит",IFERROR(ROUNDUP(VLOOKUP($B1598,calc_data,K$14+1,0),2),0),0)</f>
        <v/>
      </c>
      <c r="L1598" s="184">
        <f>IF(offer_sale_type="транзит",IFERROR(ROUNDUP(VLOOKUP($B1598,calc_data,L$14+1,0),2),0),0)</f>
        <v/>
      </c>
      <c r="M1598" s="141">
        <f>IF(offer_sale_type="транзит",IFERROR(ROUNDUP(VLOOKUP($B1598,calc_data,M$14+1,0),2),0),0)</f>
        <v/>
      </c>
      <c r="N1598" s="141">
        <f>IF(offer_sale_type="транзит",IFERROR(ROUNDUP(VLOOKUP($B1598,calc_data,N$14+1,0),2),0),0)</f>
        <v/>
      </c>
      <c r="O1598" s="147">
        <f>IF(offer_sale_type="транзит",IFERROR(ROUND(VLOOKUP($B1598,calc_data,O$14+1,1),2),0),0)</f>
        <v/>
      </c>
      <c r="P1598" s="141">
        <f>IF(offer_sale_type="транзит",IFERROR(ROUND(SUM(I1598:J1598,M1598:O1598)/E1598,2),0),0)</f>
        <v/>
      </c>
      <c r="Q1598" s="141">
        <f>E1598*P1598</f>
        <v/>
      </c>
      <c r="R1598" s="141">
        <f>ROUND(Q1598*IF(AND(offer_incoterms="DDP",seller_region="RU"),IF((TODAY()+offer_turnaround_time)&gt;=helpsheet!$L$17,rate_vatRU_from_26,rate_vatRu_till_25),0),2)</f>
        <v/>
      </c>
      <c r="S1598" s="177">
        <f>Q1598+IF(AND(offer_incoterms="DDP",seller_region="RU"),R1598,0)</f>
        <v/>
      </c>
      <c r="T1598" s="45" t="n"/>
      <c r="V1598" s="57">
        <f>IF(Q1598&gt;0,"показать","скрыть")</f>
        <v/>
      </c>
    </row>
    <row r="1599" ht="15.75" customHeight="1">
      <c r="B1599" s="809" t="n">
        <v>1583</v>
      </c>
      <c r="C1599" s="182">
        <f>IF(offer_sale_type="транзит",IFERROR(VLOOKUP($B1599,calc_data,C$14+1,0),0),0)</f>
        <v/>
      </c>
      <c r="D1599" s="280">
        <f>IF(offer_sale_type="транзит",IFERROR(VLOOKUP($B1599,calc_data,D$14+1,0),0),0)</f>
        <v/>
      </c>
      <c r="E1599" s="182">
        <f>IF(offer_sale_type="транзит",IFERROR(VLOOKUP($B1599,calc_data,E$14+1,0),0),0)</f>
        <v/>
      </c>
      <c r="F1599" s="182">
        <f>IF(offer_sale_type="транзит",IFERROR(VLOOKUP($B1599,calc_data,F$14+1,0),0),0)</f>
        <v/>
      </c>
      <c r="G1599" s="141">
        <f>IF(offer_sale_type="транзит",IFERROR(VLOOKUP($B1599,calc_data,G$14+1,0),0),0)</f>
        <v/>
      </c>
      <c r="H1599" s="141">
        <f>E1599*G1599</f>
        <v/>
      </c>
      <c r="I1599" s="141">
        <f>IF(offer_sale_type="транзит",IFERROR(ROUND(VLOOKUP($B1599,calc_data,I$14+1,0),2),0),0)</f>
        <v/>
      </c>
      <c r="J1599" s="141">
        <f>ROUND(IF(offer_sale_type="транзит",IFERROR(VLOOKUP($B1599,calc_data,J$14+1,0),0),0),2)</f>
        <v/>
      </c>
      <c r="K1599" s="142">
        <f>IF(offer_sale_type="транзит",IFERROR(ROUNDUP(VLOOKUP($B1599,calc_data,K$14+1,0),2),0),0)</f>
        <v/>
      </c>
      <c r="L1599" s="184">
        <f>IF(offer_sale_type="транзит",IFERROR(ROUNDUP(VLOOKUP($B1599,calc_data,L$14+1,0),2),0),0)</f>
        <v/>
      </c>
      <c r="M1599" s="141">
        <f>IF(offer_sale_type="транзит",IFERROR(ROUNDUP(VLOOKUP($B1599,calc_data,M$14+1,0),2),0),0)</f>
        <v/>
      </c>
      <c r="N1599" s="141">
        <f>IF(offer_sale_type="транзит",IFERROR(ROUNDUP(VLOOKUP($B1599,calc_data,N$14+1,0),2),0),0)</f>
        <v/>
      </c>
      <c r="O1599" s="147">
        <f>IF(offer_sale_type="транзит",IFERROR(ROUND(VLOOKUP($B1599,calc_data,O$14+1,1),2),0),0)</f>
        <v/>
      </c>
      <c r="P1599" s="141">
        <f>IF(offer_sale_type="транзит",IFERROR(ROUND(SUM(I1599:J1599,M1599:O1599)/E1599,2),0),0)</f>
        <v/>
      </c>
      <c r="Q1599" s="141">
        <f>E1599*P1599</f>
        <v/>
      </c>
      <c r="R1599" s="141">
        <f>ROUND(Q1599*IF(AND(offer_incoterms="DDP",seller_region="RU"),IF((TODAY()+offer_turnaround_time)&gt;=helpsheet!$L$17,rate_vatRU_from_26,rate_vatRu_till_25),0),2)</f>
        <v/>
      </c>
      <c r="S1599" s="177">
        <f>Q1599+IF(AND(offer_incoterms="DDP",seller_region="RU"),R1599,0)</f>
        <v/>
      </c>
      <c r="T1599" s="45" t="n"/>
      <c r="V1599" s="57">
        <f>IF(Q1599&gt;0,"показать","скрыть")</f>
        <v/>
      </c>
    </row>
    <row r="1600" ht="15.75" customHeight="1">
      <c r="B1600" s="809" t="n">
        <v>1584</v>
      </c>
      <c r="C1600" s="182">
        <f>IF(offer_sale_type="транзит",IFERROR(VLOOKUP($B1600,calc_data,C$14+1,0),0),0)</f>
        <v/>
      </c>
      <c r="D1600" s="280">
        <f>IF(offer_sale_type="транзит",IFERROR(VLOOKUP($B1600,calc_data,D$14+1,0),0),0)</f>
        <v/>
      </c>
      <c r="E1600" s="182">
        <f>IF(offer_sale_type="транзит",IFERROR(VLOOKUP($B1600,calc_data,E$14+1,0),0),0)</f>
        <v/>
      </c>
      <c r="F1600" s="182">
        <f>IF(offer_sale_type="транзит",IFERROR(VLOOKUP($B1600,calc_data,F$14+1,0),0),0)</f>
        <v/>
      </c>
      <c r="G1600" s="141">
        <f>IF(offer_sale_type="транзит",IFERROR(VLOOKUP($B1600,calc_data,G$14+1,0),0),0)</f>
        <v/>
      </c>
      <c r="H1600" s="141">
        <f>E1600*G1600</f>
        <v/>
      </c>
      <c r="I1600" s="141">
        <f>IF(offer_sale_type="транзит",IFERROR(ROUND(VLOOKUP($B1600,calc_data,I$14+1,0),2),0),0)</f>
        <v/>
      </c>
      <c r="J1600" s="141">
        <f>ROUND(IF(offer_sale_type="транзит",IFERROR(VLOOKUP($B1600,calc_data,J$14+1,0),0),0),2)</f>
        <v/>
      </c>
      <c r="K1600" s="142">
        <f>IF(offer_sale_type="транзит",IFERROR(ROUNDUP(VLOOKUP($B1600,calc_data,K$14+1,0),2),0),0)</f>
        <v/>
      </c>
      <c r="L1600" s="184">
        <f>IF(offer_sale_type="транзит",IFERROR(ROUNDUP(VLOOKUP($B1600,calc_data,L$14+1,0),2),0),0)</f>
        <v/>
      </c>
      <c r="M1600" s="141">
        <f>IF(offer_sale_type="транзит",IFERROR(ROUNDUP(VLOOKUP($B1600,calc_data,M$14+1,0),2),0),0)</f>
        <v/>
      </c>
      <c r="N1600" s="141">
        <f>IF(offer_sale_type="транзит",IFERROR(ROUNDUP(VLOOKUP($B1600,calc_data,N$14+1,0),2),0),0)</f>
        <v/>
      </c>
      <c r="O1600" s="147">
        <f>IF(offer_sale_type="транзит",IFERROR(ROUND(VLOOKUP($B1600,calc_data,O$14+1,1),2),0),0)</f>
        <v/>
      </c>
      <c r="P1600" s="141">
        <f>IF(offer_sale_type="транзит",IFERROR(ROUND(SUM(I1600:J1600,M1600:O1600)/E1600,2),0),0)</f>
        <v/>
      </c>
      <c r="Q1600" s="141">
        <f>E1600*P1600</f>
        <v/>
      </c>
      <c r="R1600" s="141">
        <f>ROUND(Q1600*IF(AND(offer_incoterms="DDP",seller_region="RU"),IF((TODAY()+offer_turnaround_time)&gt;=helpsheet!$L$17,rate_vatRU_from_26,rate_vatRu_till_25),0),2)</f>
        <v/>
      </c>
      <c r="S1600" s="177">
        <f>Q1600+IF(AND(offer_incoterms="DDP",seller_region="RU"),R1600,0)</f>
        <v/>
      </c>
      <c r="T1600" s="45" t="n"/>
      <c r="V1600" s="57">
        <f>IF(Q1600&gt;0,"показать","скрыть")</f>
        <v/>
      </c>
    </row>
    <row r="1601" ht="15.75" customHeight="1">
      <c r="B1601" s="809" t="n">
        <v>1585</v>
      </c>
      <c r="C1601" s="182">
        <f>IF(offer_sale_type="транзит",IFERROR(VLOOKUP($B1601,calc_data,C$14+1,0),0),0)</f>
        <v/>
      </c>
      <c r="D1601" s="280">
        <f>IF(offer_sale_type="транзит",IFERROR(VLOOKUP($B1601,calc_data,D$14+1,0),0),0)</f>
        <v/>
      </c>
      <c r="E1601" s="182">
        <f>IF(offer_sale_type="транзит",IFERROR(VLOOKUP($B1601,calc_data,E$14+1,0),0),0)</f>
        <v/>
      </c>
      <c r="F1601" s="182">
        <f>IF(offer_sale_type="транзит",IFERROR(VLOOKUP($B1601,calc_data,F$14+1,0),0),0)</f>
        <v/>
      </c>
      <c r="G1601" s="141">
        <f>IF(offer_sale_type="транзит",IFERROR(VLOOKUP($B1601,calc_data,G$14+1,0),0),0)</f>
        <v/>
      </c>
      <c r="H1601" s="141">
        <f>E1601*G1601</f>
        <v/>
      </c>
      <c r="I1601" s="141">
        <f>IF(offer_sale_type="транзит",IFERROR(ROUND(VLOOKUP($B1601,calc_data,I$14+1,0),2),0),0)</f>
        <v/>
      </c>
      <c r="J1601" s="141">
        <f>ROUND(IF(offer_sale_type="транзит",IFERROR(VLOOKUP($B1601,calc_data,J$14+1,0),0),0),2)</f>
        <v/>
      </c>
      <c r="K1601" s="142">
        <f>IF(offer_sale_type="транзит",IFERROR(ROUNDUP(VLOOKUP($B1601,calc_data,K$14+1,0),2),0),0)</f>
        <v/>
      </c>
      <c r="L1601" s="184">
        <f>IF(offer_sale_type="транзит",IFERROR(ROUNDUP(VLOOKUP($B1601,calc_data,L$14+1,0),2),0),0)</f>
        <v/>
      </c>
      <c r="M1601" s="141">
        <f>IF(offer_sale_type="транзит",IFERROR(ROUNDUP(VLOOKUP($B1601,calc_data,M$14+1,0),2),0),0)</f>
        <v/>
      </c>
      <c r="N1601" s="141">
        <f>IF(offer_sale_type="транзит",IFERROR(ROUNDUP(VLOOKUP($B1601,calc_data,N$14+1,0),2),0),0)</f>
        <v/>
      </c>
      <c r="O1601" s="147">
        <f>IF(offer_sale_type="транзит",IFERROR(ROUND(VLOOKUP($B1601,calc_data,O$14+1,1),2),0),0)</f>
        <v/>
      </c>
      <c r="P1601" s="141">
        <f>IF(offer_sale_type="транзит",IFERROR(ROUND(SUM(I1601:J1601,M1601:O1601)/E1601,2),0),0)</f>
        <v/>
      </c>
      <c r="Q1601" s="141">
        <f>E1601*P1601</f>
        <v/>
      </c>
      <c r="R1601" s="141">
        <f>ROUND(Q1601*IF(AND(offer_incoterms="DDP",seller_region="RU"),IF((TODAY()+offer_turnaround_time)&gt;=helpsheet!$L$17,rate_vatRU_from_26,rate_vatRu_till_25),0),2)</f>
        <v/>
      </c>
      <c r="S1601" s="177">
        <f>Q1601+IF(AND(offer_incoterms="DDP",seller_region="RU"),R1601,0)</f>
        <v/>
      </c>
      <c r="T1601" s="45" t="n"/>
      <c r="V1601" s="57">
        <f>IF(Q1601&gt;0,"показать","скрыть")</f>
        <v/>
      </c>
    </row>
    <row r="1602" ht="15.75" customHeight="1">
      <c r="B1602" s="809" t="n">
        <v>1586</v>
      </c>
      <c r="C1602" s="182">
        <f>IF(offer_sale_type="транзит",IFERROR(VLOOKUP($B1602,calc_data,C$14+1,0),0),0)</f>
        <v/>
      </c>
      <c r="D1602" s="280">
        <f>IF(offer_sale_type="транзит",IFERROR(VLOOKUP($B1602,calc_data,D$14+1,0),0),0)</f>
        <v/>
      </c>
      <c r="E1602" s="182">
        <f>IF(offer_sale_type="транзит",IFERROR(VLOOKUP($B1602,calc_data,E$14+1,0),0),0)</f>
        <v/>
      </c>
      <c r="F1602" s="182">
        <f>IF(offer_sale_type="транзит",IFERROR(VLOOKUP($B1602,calc_data,F$14+1,0),0),0)</f>
        <v/>
      </c>
      <c r="G1602" s="141">
        <f>IF(offer_sale_type="транзит",IFERROR(VLOOKUP($B1602,calc_data,G$14+1,0),0),0)</f>
        <v/>
      </c>
      <c r="H1602" s="141">
        <f>E1602*G1602</f>
        <v/>
      </c>
      <c r="I1602" s="141">
        <f>IF(offer_sale_type="транзит",IFERROR(ROUND(VLOOKUP($B1602,calc_data,I$14+1,0),2),0),0)</f>
        <v/>
      </c>
      <c r="J1602" s="141">
        <f>ROUND(IF(offer_sale_type="транзит",IFERROR(VLOOKUP($B1602,calc_data,J$14+1,0),0),0),2)</f>
        <v/>
      </c>
      <c r="K1602" s="142">
        <f>IF(offer_sale_type="транзит",IFERROR(ROUNDUP(VLOOKUP($B1602,calc_data,K$14+1,0),2),0),0)</f>
        <v/>
      </c>
      <c r="L1602" s="184">
        <f>IF(offer_sale_type="транзит",IFERROR(ROUNDUP(VLOOKUP($B1602,calc_data,L$14+1,0),2),0),0)</f>
        <v/>
      </c>
      <c r="M1602" s="141">
        <f>IF(offer_sale_type="транзит",IFERROR(ROUNDUP(VLOOKUP($B1602,calc_data,M$14+1,0),2),0),0)</f>
        <v/>
      </c>
      <c r="N1602" s="141">
        <f>IF(offer_sale_type="транзит",IFERROR(ROUNDUP(VLOOKUP($B1602,calc_data,N$14+1,0),2),0),0)</f>
        <v/>
      </c>
      <c r="O1602" s="147">
        <f>IF(offer_sale_type="транзит",IFERROR(ROUND(VLOOKUP($B1602,calc_data,O$14+1,1),2),0),0)</f>
        <v/>
      </c>
      <c r="P1602" s="141">
        <f>IF(offer_sale_type="транзит",IFERROR(ROUND(SUM(I1602:J1602,M1602:O1602)/E1602,2),0),0)</f>
        <v/>
      </c>
      <c r="Q1602" s="141">
        <f>E1602*P1602</f>
        <v/>
      </c>
      <c r="R1602" s="141">
        <f>ROUND(Q1602*IF(AND(offer_incoterms="DDP",seller_region="RU"),IF((TODAY()+offer_turnaround_time)&gt;=helpsheet!$L$17,rate_vatRU_from_26,rate_vatRu_till_25),0),2)</f>
        <v/>
      </c>
      <c r="S1602" s="177">
        <f>Q1602+IF(AND(offer_incoterms="DDP",seller_region="RU"),R1602,0)</f>
        <v/>
      </c>
      <c r="T1602" s="45" t="n"/>
      <c r="V1602" s="57">
        <f>IF(Q1602&gt;0,"показать","скрыть")</f>
        <v/>
      </c>
    </row>
    <row r="1603" ht="15.75" customHeight="1">
      <c r="B1603" s="809" t="n">
        <v>1587</v>
      </c>
      <c r="C1603" s="182">
        <f>IF(offer_sale_type="транзит",IFERROR(VLOOKUP($B1603,calc_data,C$14+1,0),0),0)</f>
        <v/>
      </c>
      <c r="D1603" s="280">
        <f>IF(offer_sale_type="транзит",IFERROR(VLOOKUP($B1603,calc_data,D$14+1,0),0),0)</f>
        <v/>
      </c>
      <c r="E1603" s="182">
        <f>IF(offer_sale_type="транзит",IFERROR(VLOOKUP($B1603,calc_data,E$14+1,0),0),0)</f>
        <v/>
      </c>
      <c r="F1603" s="182">
        <f>IF(offer_sale_type="транзит",IFERROR(VLOOKUP($B1603,calc_data,F$14+1,0),0),0)</f>
        <v/>
      </c>
      <c r="G1603" s="141">
        <f>IF(offer_sale_type="транзит",IFERROR(VLOOKUP($B1603,calc_data,G$14+1,0),0),0)</f>
        <v/>
      </c>
      <c r="H1603" s="141">
        <f>E1603*G1603</f>
        <v/>
      </c>
      <c r="I1603" s="141">
        <f>IF(offer_sale_type="транзит",IFERROR(ROUND(VLOOKUP($B1603,calc_data,I$14+1,0),2),0),0)</f>
        <v/>
      </c>
      <c r="J1603" s="141">
        <f>ROUND(IF(offer_sale_type="транзит",IFERROR(VLOOKUP($B1603,calc_data,J$14+1,0),0),0),2)</f>
        <v/>
      </c>
      <c r="K1603" s="142">
        <f>IF(offer_sale_type="транзит",IFERROR(ROUNDUP(VLOOKUP($B1603,calc_data,K$14+1,0),2),0),0)</f>
        <v/>
      </c>
      <c r="L1603" s="184">
        <f>IF(offer_sale_type="транзит",IFERROR(ROUNDUP(VLOOKUP($B1603,calc_data,L$14+1,0),2),0),0)</f>
        <v/>
      </c>
      <c r="M1603" s="141">
        <f>IF(offer_sale_type="транзит",IFERROR(ROUNDUP(VLOOKUP($B1603,calc_data,M$14+1,0),2),0),0)</f>
        <v/>
      </c>
      <c r="N1603" s="141">
        <f>IF(offer_sale_type="транзит",IFERROR(ROUNDUP(VLOOKUP($B1603,calc_data,N$14+1,0),2),0),0)</f>
        <v/>
      </c>
      <c r="O1603" s="147">
        <f>IF(offer_sale_type="транзит",IFERROR(ROUND(VLOOKUP($B1603,calc_data,O$14+1,1),2),0),0)</f>
        <v/>
      </c>
      <c r="P1603" s="141">
        <f>IF(offer_sale_type="транзит",IFERROR(ROUND(SUM(I1603:J1603,M1603:O1603)/E1603,2),0),0)</f>
        <v/>
      </c>
      <c r="Q1603" s="141">
        <f>E1603*P1603</f>
        <v/>
      </c>
      <c r="R1603" s="141">
        <f>ROUND(Q1603*IF(AND(offer_incoterms="DDP",seller_region="RU"),IF((TODAY()+offer_turnaround_time)&gt;=helpsheet!$L$17,rate_vatRU_from_26,rate_vatRu_till_25),0),2)</f>
        <v/>
      </c>
      <c r="S1603" s="177">
        <f>Q1603+IF(AND(offer_incoterms="DDP",seller_region="RU"),R1603,0)</f>
        <v/>
      </c>
      <c r="T1603" s="45" t="n"/>
      <c r="V1603" s="57">
        <f>IF(Q1603&gt;0,"показать","скрыть")</f>
        <v/>
      </c>
    </row>
    <row r="1604" ht="15.75" customHeight="1">
      <c r="B1604" s="809" t="n">
        <v>1588</v>
      </c>
      <c r="C1604" s="182">
        <f>IF(offer_sale_type="транзит",IFERROR(VLOOKUP($B1604,calc_data,C$14+1,0),0),0)</f>
        <v/>
      </c>
      <c r="D1604" s="280">
        <f>IF(offer_sale_type="транзит",IFERROR(VLOOKUP($B1604,calc_data,D$14+1,0),0),0)</f>
        <v/>
      </c>
      <c r="E1604" s="182">
        <f>IF(offer_sale_type="транзит",IFERROR(VLOOKUP($B1604,calc_data,E$14+1,0),0),0)</f>
        <v/>
      </c>
      <c r="F1604" s="182">
        <f>IF(offer_sale_type="транзит",IFERROR(VLOOKUP($B1604,calc_data,F$14+1,0),0),0)</f>
        <v/>
      </c>
      <c r="G1604" s="141">
        <f>IF(offer_sale_type="транзит",IFERROR(VLOOKUP($B1604,calc_data,G$14+1,0),0),0)</f>
        <v/>
      </c>
      <c r="H1604" s="141">
        <f>E1604*G1604</f>
        <v/>
      </c>
      <c r="I1604" s="141">
        <f>IF(offer_sale_type="транзит",IFERROR(ROUND(VLOOKUP($B1604,calc_data,I$14+1,0),2),0),0)</f>
        <v/>
      </c>
      <c r="J1604" s="141">
        <f>ROUND(IF(offer_sale_type="транзит",IFERROR(VLOOKUP($B1604,calc_data,J$14+1,0),0),0),2)</f>
        <v/>
      </c>
      <c r="K1604" s="142">
        <f>IF(offer_sale_type="транзит",IFERROR(ROUNDUP(VLOOKUP($B1604,calc_data,K$14+1,0),2),0),0)</f>
        <v/>
      </c>
      <c r="L1604" s="184">
        <f>IF(offer_sale_type="транзит",IFERROR(ROUNDUP(VLOOKUP($B1604,calc_data,L$14+1,0),2),0),0)</f>
        <v/>
      </c>
      <c r="M1604" s="141">
        <f>IF(offer_sale_type="транзит",IFERROR(ROUNDUP(VLOOKUP($B1604,calc_data,M$14+1,0),2),0),0)</f>
        <v/>
      </c>
      <c r="N1604" s="141">
        <f>IF(offer_sale_type="транзит",IFERROR(ROUNDUP(VLOOKUP($B1604,calc_data,N$14+1,0),2),0),0)</f>
        <v/>
      </c>
      <c r="O1604" s="147">
        <f>IF(offer_sale_type="транзит",IFERROR(ROUND(VLOOKUP($B1604,calc_data,O$14+1,1),2),0),0)</f>
        <v/>
      </c>
      <c r="P1604" s="141">
        <f>IF(offer_sale_type="транзит",IFERROR(ROUND(SUM(I1604:J1604,M1604:O1604)/E1604,2),0),0)</f>
        <v/>
      </c>
      <c r="Q1604" s="141">
        <f>E1604*P1604</f>
        <v/>
      </c>
      <c r="R1604" s="141">
        <f>ROUND(Q1604*IF(AND(offer_incoterms="DDP",seller_region="RU"),IF((TODAY()+offer_turnaround_time)&gt;=helpsheet!$L$17,rate_vatRU_from_26,rate_vatRu_till_25),0),2)</f>
        <v/>
      </c>
      <c r="S1604" s="177">
        <f>Q1604+IF(AND(offer_incoterms="DDP",seller_region="RU"),R1604,0)</f>
        <v/>
      </c>
      <c r="T1604" s="45" t="n"/>
      <c r="V1604" s="57">
        <f>IF(Q1604&gt;0,"показать","скрыть")</f>
        <v/>
      </c>
    </row>
    <row r="1605" ht="15.75" customHeight="1">
      <c r="B1605" s="809" t="n">
        <v>1589</v>
      </c>
      <c r="C1605" s="182">
        <f>IF(offer_sale_type="транзит",IFERROR(VLOOKUP($B1605,calc_data,C$14+1,0),0),0)</f>
        <v/>
      </c>
      <c r="D1605" s="280">
        <f>IF(offer_sale_type="транзит",IFERROR(VLOOKUP($B1605,calc_data,D$14+1,0),0),0)</f>
        <v/>
      </c>
      <c r="E1605" s="182">
        <f>IF(offer_sale_type="транзит",IFERROR(VLOOKUP($B1605,calc_data,E$14+1,0),0),0)</f>
        <v/>
      </c>
      <c r="F1605" s="182">
        <f>IF(offer_sale_type="транзит",IFERROR(VLOOKUP($B1605,calc_data,F$14+1,0),0),0)</f>
        <v/>
      </c>
      <c r="G1605" s="141">
        <f>IF(offer_sale_type="транзит",IFERROR(VLOOKUP($B1605,calc_data,G$14+1,0),0),0)</f>
        <v/>
      </c>
      <c r="H1605" s="141">
        <f>E1605*G1605</f>
        <v/>
      </c>
      <c r="I1605" s="141">
        <f>IF(offer_sale_type="транзит",IFERROR(ROUND(VLOOKUP($B1605,calc_data,I$14+1,0),2),0),0)</f>
        <v/>
      </c>
      <c r="J1605" s="141">
        <f>ROUND(IF(offer_sale_type="транзит",IFERROR(VLOOKUP($B1605,calc_data,J$14+1,0),0),0),2)</f>
        <v/>
      </c>
      <c r="K1605" s="142">
        <f>IF(offer_sale_type="транзит",IFERROR(ROUNDUP(VLOOKUP($B1605,calc_data,K$14+1,0),2),0),0)</f>
        <v/>
      </c>
      <c r="L1605" s="184">
        <f>IF(offer_sale_type="транзит",IFERROR(ROUNDUP(VLOOKUP($B1605,calc_data,L$14+1,0),2),0),0)</f>
        <v/>
      </c>
      <c r="M1605" s="141">
        <f>IF(offer_sale_type="транзит",IFERROR(ROUNDUP(VLOOKUP($B1605,calc_data,M$14+1,0),2),0),0)</f>
        <v/>
      </c>
      <c r="N1605" s="141">
        <f>IF(offer_sale_type="транзит",IFERROR(ROUNDUP(VLOOKUP($B1605,calc_data,N$14+1,0),2),0),0)</f>
        <v/>
      </c>
      <c r="O1605" s="147">
        <f>IF(offer_sale_type="транзит",IFERROR(ROUND(VLOOKUP($B1605,calc_data,O$14+1,1),2),0),0)</f>
        <v/>
      </c>
      <c r="P1605" s="141">
        <f>IF(offer_sale_type="транзит",IFERROR(ROUND(SUM(I1605:J1605,M1605:O1605)/E1605,2),0),0)</f>
        <v/>
      </c>
      <c r="Q1605" s="141">
        <f>E1605*P1605</f>
        <v/>
      </c>
      <c r="R1605" s="141">
        <f>ROUND(Q1605*IF(AND(offer_incoterms="DDP",seller_region="RU"),IF((TODAY()+offer_turnaround_time)&gt;=helpsheet!$L$17,rate_vatRU_from_26,rate_vatRu_till_25),0),2)</f>
        <v/>
      </c>
      <c r="S1605" s="177">
        <f>Q1605+IF(AND(offer_incoterms="DDP",seller_region="RU"),R1605,0)</f>
        <v/>
      </c>
      <c r="T1605" s="45" t="n"/>
      <c r="V1605" s="57">
        <f>IF(Q1605&gt;0,"показать","скрыть")</f>
        <v/>
      </c>
    </row>
    <row r="1606" ht="15.75" customHeight="1">
      <c r="B1606" s="809" t="n">
        <v>1590</v>
      </c>
      <c r="C1606" s="182">
        <f>IF(offer_sale_type="транзит",IFERROR(VLOOKUP($B1606,calc_data,C$14+1,0),0),0)</f>
        <v/>
      </c>
      <c r="D1606" s="280">
        <f>IF(offer_sale_type="транзит",IFERROR(VLOOKUP($B1606,calc_data,D$14+1,0),0),0)</f>
        <v/>
      </c>
      <c r="E1606" s="182">
        <f>IF(offer_sale_type="транзит",IFERROR(VLOOKUP($B1606,calc_data,E$14+1,0),0),0)</f>
        <v/>
      </c>
      <c r="F1606" s="182">
        <f>IF(offer_sale_type="транзит",IFERROR(VLOOKUP($B1606,calc_data,F$14+1,0),0),0)</f>
        <v/>
      </c>
      <c r="G1606" s="141">
        <f>IF(offer_sale_type="транзит",IFERROR(VLOOKUP($B1606,calc_data,G$14+1,0),0),0)</f>
        <v/>
      </c>
      <c r="H1606" s="141">
        <f>E1606*G1606</f>
        <v/>
      </c>
      <c r="I1606" s="141">
        <f>IF(offer_sale_type="транзит",IFERROR(ROUND(VLOOKUP($B1606,calc_data,I$14+1,0),2),0),0)</f>
        <v/>
      </c>
      <c r="J1606" s="141">
        <f>ROUND(IF(offer_sale_type="транзит",IFERROR(VLOOKUP($B1606,calc_data,J$14+1,0),0),0),2)</f>
        <v/>
      </c>
      <c r="K1606" s="142">
        <f>IF(offer_sale_type="транзит",IFERROR(ROUNDUP(VLOOKUP($B1606,calc_data,K$14+1,0),2),0),0)</f>
        <v/>
      </c>
      <c r="L1606" s="184">
        <f>IF(offer_sale_type="транзит",IFERROR(ROUNDUP(VLOOKUP($B1606,calc_data,L$14+1,0),2),0),0)</f>
        <v/>
      </c>
      <c r="M1606" s="141">
        <f>IF(offer_sale_type="транзит",IFERROR(ROUNDUP(VLOOKUP($B1606,calc_data,M$14+1,0),2),0),0)</f>
        <v/>
      </c>
      <c r="N1606" s="141">
        <f>IF(offer_sale_type="транзит",IFERROR(ROUNDUP(VLOOKUP($B1606,calc_data,N$14+1,0),2),0),0)</f>
        <v/>
      </c>
      <c r="O1606" s="147">
        <f>IF(offer_sale_type="транзит",IFERROR(ROUND(VLOOKUP($B1606,calc_data,O$14+1,1),2),0),0)</f>
        <v/>
      </c>
      <c r="P1606" s="141">
        <f>IF(offer_sale_type="транзит",IFERROR(ROUND(SUM(I1606:J1606,M1606:O1606)/E1606,2),0),0)</f>
        <v/>
      </c>
      <c r="Q1606" s="141">
        <f>E1606*P1606</f>
        <v/>
      </c>
      <c r="R1606" s="141">
        <f>ROUND(Q1606*IF(AND(offer_incoterms="DDP",seller_region="RU"),IF((TODAY()+offer_turnaround_time)&gt;=helpsheet!$L$17,rate_vatRU_from_26,rate_vatRu_till_25),0),2)</f>
        <v/>
      </c>
      <c r="S1606" s="177">
        <f>Q1606+IF(AND(offer_incoterms="DDP",seller_region="RU"),R1606,0)</f>
        <v/>
      </c>
      <c r="T1606" s="45" t="n"/>
      <c r="V1606" s="57">
        <f>IF(Q1606&gt;0,"показать","скрыть")</f>
        <v/>
      </c>
    </row>
    <row r="1607" ht="15.75" customHeight="1">
      <c r="B1607" s="809" t="n">
        <v>1591</v>
      </c>
      <c r="C1607" s="182">
        <f>IF(offer_sale_type="транзит",IFERROR(VLOOKUP($B1607,calc_data,C$14+1,0),0),0)</f>
        <v/>
      </c>
      <c r="D1607" s="280">
        <f>IF(offer_sale_type="транзит",IFERROR(VLOOKUP($B1607,calc_data,D$14+1,0),0),0)</f>
        <v/>
      </c>
      <c r="E1607" s="182">
        <f>IF(offer_sale_type="транзит",IFERROR(VLOOKUP($B1607,calc_data,E$14+1,0),0),0)</f>
        <v/>
      </c>
      <c r="F1607" s="182">
        <f>IF(offer_sale_type="транзит",IFERROR(VLOOKUP($B1607,calc_data,F$14+1,0),0),0)</f>
        <v/>
      </c>
      <c r="G1607" s="141">
        <f>IF(offer_sale_type="транзит",IFERROR(VLOOKUP($B1607,calc_data,G$14+1,0),0),0)</f>
        <v/>
      </c>
      <c r="H1607" s="141">
        <f>E1607*G1607</f>
        <v/>
      </c>
      <c r="I1607" s="141">
        <f>IF(offer_sale_type="транзит",IFERROR(ROUND(VLOOKUP($B1607,calc_data,I$14+1,0),2),0),0)</f>
        <v/>
      </c>
      <c r="J1607" s="141">
        <f>ROUND(IF(offer_sale_type="транзит",IFERROR(VLOOKUP($B1607,calc_data,J$14+1,0),0),0),2)</f>
        <v/>
      </c>
      <c r="K1607" s="142">
        <f>IF(offer_sale_type="транзит",IFERROR(ROUNDUP(VLOOKUP($B1607,calc_data,K$14+1,0),2),0),0)</f>
        <v/>
      </c>
      <c r="L1607" s="184">
        <f>IF(offer_sale_type="транзит",IFERROR(ROUNDUP(VLOOKUP($B1607,calc_data,L$14+1,0),2),0),0)</f>
        <v/>
      </c>
      <c r="M1607" s="141">
        <f>IF(offer_sale_type="транзит",IFERROR(ROUNDUP(VLOOKUP($B1607,calc_data,M$14+1,0),2),0),0)</f>
        <v/>
      </c>
      <c r="N1607" s="141">
        <f>IF(offer_sale_type="транзит",IFERROR(ROUNDUP(VLOOKUP($B1607,calc_data,N$14+1,0),2),0),0)</f>
        <v/>
      </c>
      <c r="O1607" s="147">
        <f>IF(offer_sale_type="транзит",IFERROR(ROUND(VLOOKUP($B1607,calc_data,O$14+1,1),2),0),0)</f>
        <v/>
      </c>
      <c r="P1607" s="141">
        <f>IF(offer_sale_type="транзит",IFERROR(ROUND(SUM(I1607:J1607,M1607:O1607)/E1607,2),0),0)</f>
        <v/>
      </c>
      <c r="Q1607" s="141">
        <f>E1607*P1607</f>
        <v/>
      </c>
      <c r="R1607" s="141">
        <f>ROUND(Q1607*IF(AND(offer_incoterms="DDP",seller_region="RU"),IF((TODAY()+offer_turnaround_time)&gt;=helpsheet!$L$17,rate_vatRU_from_26,rate_vatRu_till_25),0),2)</f>
        <v/>
      </c>
      <c r="S1607" s="177">
        <f>Q1607+IF(AND(offer_incoterms="DDP",seller_region="RU"),R1607,0)</f>
        <v/>
      </c>
      <c r="T1607" s="45" t="n"/>
      <c r="V1607" s="57">
        <f>IF(Q1607&gt;0,"показать","скрыть")</f>
        <v/>
      </c>
    </row>
    <row r="1608" ht="15.75" customHeight="1">
      <c r="B1608" s="809" t="n">
        <v>1592</v>
      </c>
      <c r="C1608" s="182">
        <f>IF(offer_sale_type="транзит",IFERROR(VLOOKUP($B1608,calc_data,C$14+1,0),0),0)</f>
        <v/>
      </c>
      <c r="D1608" s="280">
        <f>IF(offer_sale_type="транзит",IFERROR(VLOOKUP($B1608,calc_data,D$14+1,0),0),0)</f>
        <v/>
      </c>
      <c r="E1608" s="182">
        <f>IF(offer_sale_type="транзит",IFERROR(VLOOKUP($B1608,calc_data,E$14+1,0),0),0)</f>
        <v/>
      </c>
      <c r="F1608" s="182">
        <f>IF(offer_sale_type="транзит",IFERROR(VLOOKUP($B1608,calc_data,F$14+1,0),0),0)</f>
        <v/>
      </c>
      <c r="G1608" s="141">
        <f>IF(offer_sale_type="транзит",IFERROR(VLOOKUP($B1608,calc_data,G$14+1,0),0),0)</f>
        <v/>
      </c>
      <c r="H1608" s="141">
        <f>E1608*G1608</f>
        <v/>
      </c>
      <c r="I1608" s="141">
        <f>IF(offer_sale_type="транзит",IFERROR(ROUND(VLOOKUP($B1608,calc_data,I$14+1,0),2),0),0)</f>
        <v/>
      </c>
      <c r="J1608" s="141">
        <f>ROUND(IF(offer_sale_type="транзит",IFERROR(VLOOKUP($B1608,calc_data,J$14+1,0),0),0),2)</f>
        <v/>
      </c>
      <c r="K1608" s="142">
        <f>IF(offer_sale_type="транзит",IFERROR(ROUNDUP(VLOOKUP($B1608,calc_data,K$14+1,0),2),0),0)</f>
        <v/>
      </c>
      <c r="L1608" s="184">
        <f>IF(offer_sale_type="транзит",IFERROR(ROUNDUP(VLOOKUP($B1608,calc_data,L$14+1,0),2),0),0)</f>
        <v/>
      </c>
      <c r="M1608" s="141">
        <f>IF(offer_sale_type="транзит",IFERROR(ROUNDUP(VLOOKUP($B1608,calc_data,M$14+1,0),2),0),0)</f>
        <v/>
      </c>
      <c r="N1608" s="141">
        <f>IF(offer_sale_type="транзит",IFERROR(ROUNDUP(VLOOKUP($B1608,calc_data,N$14+1,0),2),0),0)</f>
        <v/>
      </c>
      <c r="O1608" s="147">
        <f>IF(offer_sale_type="транзит",IFERROR(ROUND(VLOOKUP($B1608,calc_data,O$14+1,1),2),0),0)</f>
        <v/>
      </c>
      <c r="P1608" s="141">
        <f>IF(offer_sale_type="транзит",IFERROR(ROUND(SUM(I1608:J1608,M1608:O1608)/E1608,2),0),0)</f>
        <v/>
      </c>
      <c r="Q1608" s="141">
        <f>E1608*P1608</f>
        <v/>
      </c>
      <c r="R1608" s="141">
        <f>ROUND(Q1608*IF(AND(offer_incoterms="DDP",seller_region="RU"),IF((TODAY()+offer_turnaround_time)&gt;=helpsheet!$L$17,rate_vatRU_from_26,rate_vatRu_till_25),0),2)</f>
        <v/>
      </c>
      <c r="S1608" s="177">
        <f>Q1608+IF(AND(offer_incoterms="DDP",seller_region="RU"),R1608,0)</f>
        <v/>
      </c>
      <c r="T1608" s="45" t="n"/>
      <c r="V1608" s="57">
        <f>IF(Q1608&gt;0,"показать","скрыть")</f>
        <v/>
      </c>
    </row>
    <row r="1609" ht="15.75" customHeight="1">
      <c r="B1609" s="809" t="n">
        <v>1593</v>
      </c>
      <c r="C1609" s="182">
        <f>IF(offer_sale_type="транзит",IFERROR(VLOOKUP($B1609,calc_data,C$14+1,0),0),0)</f>
        <v/>
      </c>
      <c r="D1609" s="280">
        <f>IF(offer_sale_type="транзит",IFERROR(VLOOKUP($B1609,calc_data,D$14+1,0),0),0)</f>
        <v/>
      </c>
      <c r="E1609" s="182">
        <f>IF(offer_sale_type="транзит",IFERROR(VLOOKUP($B1609,calc_data,E$14+1,0),0),0)</f>
        <v/>
      </c>
      <c r="F1609" s="182">
        <f>IF(offer_sale_type="транзит",IFERROR(VLOOKUP($B1609,calc_data,F$14+1,0),0),0)</f>
        <v/>
      </c>
      <c r="G1609" s="141">
        <f>IF(offer_sale_type="транзит",IFERROR(VLOOKUP($B1609,calc_data,G$14+1,0),0),0)</f>
        <v/>
      </c>
      <c r="H1609" s="141">
        <f>E1609*G1609</f>
        <v/>
      </c>
      <c r="I1609" s="141">
        <f>IF(offer_sale_type="транзит",IFERROR(ROUND(VLOOKUP($B1609,calc_data,I$14+1,0),2),0),0)</f>
        <v/>
      </c>
      <c r="J1609" s="141">
        <f>ROUND(IF(offer_sale_type="транзит",IFERROR(VLOOKUP($B1609,calc_data,J$14+1,0),0),0),2)</f>
        <v/>
      </c>
      <c r="K1609" s="142">
        <f>IF(offer_sale_type="транзит",IFERROR(ROUNDUP(VLOOKUP($B1609,calc_data,K$14+1,0),2),0),0)</f>
        <v/>
      </c>
      <c r="L1609" s="184">
        <f>IF(offer_sale_type="транзит",IFERROR(ROUNDUP(VLOOKUP($B1609,calc_data,L$14+1,0),2),0),0)</f>
        <v/>
      </c>
      <c r="M1609" s="141">
        <f>IF(offer_sale_type="транзит",IFERROR(ROUNDUP(VLOOKUP($B1609,calc_data,M$14+1,0),2),0),0)</f>
        <v/>
      </c>
      <c r="N1609" s="141">
        <f>IF(offer_sale_type="транзит",IFERROR(ROUNDUP(VLOOKUP($B1609,calc_data,N$14+1,0),2),0),0)</f>
        <v/>
      </c>
      <c r="O1609" s="147">
        <f>IF(offer_sale_type="транзит",IFERROR(ROUND(VLOOKUP($B1609,calc_data,O$14+1,1),2),0),0)</f>
        <v/>
      </c>
      <c r="P1609" s="141">
        <f>IF(offer_sale_type="транзит",IFERROR(ROUND(SUM(I1609:J1609,M1609:O1609)/E1609,2),0),0)</f>
        <v/>
      </c>
      <c r="Q1609" s="141">
        <f>E1609*P1609</f>
        <v/>
      </c>
      <c r="R1609" s="141">
        <f>ROUND(Q1609*IF(AND(offer_incoterms="DDP",seller_region="RU"),IF((TODAY()+offer_turnaround_time)&gt;=helpsheet!$L$17,rate_vatRU_from_26,rate_vatRu_till_25),0),2)</f>
        <v/>
      </c>
      <c r="S1609" s="177">
        <f>Q1609+IF(AND(offer_incoterms="DDP",seller_region="RU"),R1609,0)</f>
        <v/>
      </c>
      <c r="T1609" s="45" t="n"/>
      <c r="V1609" s="57">
        <f>IF(Q1609&gt;0,"показать","скрыть")</f>
        <v/>
      </c>
    </row>
    <row r="1610" ht="15.75" customHeight="1">
      <c r="B1610" s="809" t="n">
        <v>1594</v>
      </c>
      <c r="C1610" s="182">
        <f>IF(offer_sale_type="транзит",IFERROR(VLOOKUP($B1610,calc_data,C$14+1,0),0),0)</f>
        <v/>
      </c>
      <c r="D1610" s="280">
        <f>IF(offer_sale_type="транзит",IFERROR(VLOOKUP($B1610,calc_data,D$14+1,0),0),0)</f>
        <v/>
      </c>
      <c r="E1610" s="182">
        <f>IF(offer_sale_type="транзит",IFERROR(VLOOKUP($B1610,calc_data,E$14+1,0),0),0)</f>
        <v/>
      </c>
      <c r="F1610" s="182">
        <f>IF(offer_sale_type="транзит",IFERROR(VLOOKUP($B1610,calc_data,F$14+1,0),0),0)</f>
        <v/>
      </c>
      <c r="G1610" s="141">
        <f>IF(offer_sale_type="транзит",IFERROR(VLOOKUP($B1610,calc_data,G$14+1,0),0),0)</f>
        <v/>
      </c>
      <c r="H1610" s="141">
        <f>E1610*G1610</f>
        <v/>
      </c>
      <c r="I1610" s="141">
        <f>IF(offer_sale_type="транзит",IFERROR(ROUND(VLOOKUP($B1610,calc_data,I$14+1,0),2),0),0)</f>
        <v/>
      </c>
      <c r="J1610" s="141">
        <f>ROUND(IF(offer_sale_type="транзит",IFERROR(VLOOKUP($B1610,calc_data,J$14+1,0),0),0),2)</f>
        <v/>
      </c>
      <c r="K1610" s="142">
        <f>IF(offer_sale_type="транзит",IFERROR(ROUNDUP(VLOOKUP($B1610,calc_data,K$14+1,0),2),0),0)</f>
        <v/>
      </c>
      <c r="L1610" s="184">
        <f>IF(offer_sale_type="транзит",IFERROR(ROUNDUP(VLOOKUP($B1610,calc_data,L$14+1,0),2),0),0)</f>
        <v/>
      </c>
      <c r="M1610" s="141">
        <f>IF(offer_sale_type="транзит",IFERROR(ROUNDUP(VLOOKUP($B1610,calc_data,M$14+1,0),2),0),0)</f>
        <v/>
      </c>
      <c r="N1610" s="141">
        <f>IF(offer_sale_type="транзит",IFERROR(ROUNDUP(VLOOKUP($B1610,calc_data,N$14+1,0),2),0),0)</f>
        <v/>
      </c>
      <c r="O1610" s="147">
        <f>IF(offer_sale_type="транзит",IFERROR(ROUND(VLOOKUP($B1610,calc_data,O$14+1,1),2),0),0)</f>
        <v/>
      </c>
      <c r="P1610" s="141">
        <f>IF(offer_sale_type="транзит",IFERROR(ROUND(SUM(I1610:J1610,M1610:O1610)/E1610,2),0),0)</f>
        <v/>
      </c>
      <c r="Q1610" s="141">
        <f>E1610*P1610</f>
        <v/>
      </c>
      <c r="R1610" s="141">
        <f>ROUND(Q1610*IF(AND(offer_incoterms="DDP",seller_region="RU"),IF((TODAY()+offer_turnaround_time)&gt;=helpsheet!$L$17,rate_vatRU_from_26,rate_vatRu_till_25),0),2)</f>
        <v/>
      </c>
      <c r="S1610" s="177">
        <f>Q1610+IF(AND(offer_incoterms="DDP",seller_region="RU"),R1610,0)</f>
        <v/>
      </c>
      <c r="T1610" s="45" t="n"/>
      <c r="V1610" s="57">
        <f>IF(Q1610&gt;0,"показать","скрыть")</f>
        <v/>
      </c>
    </row>
    <row r="1611" ht="15.75" customHeight="1">
      <c r="B1611" s="809" t="n">
        <v>1595</v>
      </c>
      <c r="C1611" s="182">
        <f>IF(offer_sale_type="транзит",IFERROR(VLOOKUP($B1611,calc_data,C$14+1,0),0),0)</f>
        <v/>
      </c>
      <c r="D1611" s="280">
        <f>IF(offer_sale_type="транзит",IFERROR(VLOOKUP($B1611,calc_data,D$14+1,0),0),0)</f>
        <v/>
      </c>
      <c r="E1611" s="182">
        <f>IF(offer_sale_type="транзит",IFERROR(VLOOKUP($B1611,calc_data,E$14+1,0),0),0)</f>
        <v/>
      </c>
      <c r="F1611" s="182">
        <f>IF(offer_sale_type="транзит",IFERROR(VLOOKUP($B1611,calc_data,F$14+1,0),0),0)</f>
        <v/>
      </c>
      <c r="G1611" s="141">
        <f>IF(offer_sale_type="транзит",IFERROR(VLOOKUP($B1611,calc_data,G$14+1,0),0),0)</f>
        <v/>
      </c>
      <c r="H1611" s="141">
        <f>E1611*G1611</f>
        <v/>
      </c>
      <c r="I1611" s="141">
        <f>IF(offer_sale_type="транзит",IFERROR(ROUND(VLOOKUP($B1611,calc_data,I$14+1,0),2),0),0)</f>
        <v/>
      </c>
      <c r="J1611" s="141">
        <f>ROUND(IF(offer_sale_type="транзит",IFERROR(VLOOKUP($B1611,calc_data,J$14+1,0),0),0),2)</f>
        <v/>
      </c>
      <c r="K1611" s="142">
        <f>IF(offer_sale_type="транзит",IFERROR(ROUNDUP(VLOOKUP($B1611,calc_data,K$14+1,0),2),0),0)</f>
        <v/>
      </c>
      <c r="L1611" s="184">
        <f>IF(offer_sale_type="транзит",IFERROR(ROUNDUP(VLOOKUP($B1611,calc_data,L$14+1,0),2),0),0)</f>
        <v/>
      </c>
      <c r="M1611" s="141">
        <f>IF(offer_sale_type="транзит",IFERROR(ROUNDUP(VLOOKUP($B1611,calc_data,M$14+1,0),2),0),0)</f>
        <v/>
      </c>
      <c r="N1611" s="141">
        <f>IF(offer_sale_type="транзит",IFERROR(ROUNDUP(VLOOKUP($B1611,calc_data,N$14+1,0),2),0),0)</f>
        <v/>
      </c>
      <c r="O1611" s="147">
        <f>IF(offer_sale_type="транзит",IFERROR(ROUND(VLOOKUP($B1611,calc_data,O$14+1,1),2),0),0)</f>
        <v/>
      </c>
      <c r="P1611" s="141">
        <f>IF(offer_sale_type="транзит",IFERROR(ROUND(SUM(I1611:J1611,M1611:O1611)/E1611,2),0),0)</f>
        <v/>
      </c>
      <c r="Q1611" s="141">
        <f>E1611*P1611</f>
        <v/>
      </c>
      <c r="R1611" s="141">
        <f>ROUND(Q1611*IF(AND(offer_incoterms="DDP",seller_region="RU"),IF((TODAY()+offer_turnaround_time)&gt;=helpsheet!$L$17,rate_vatRU_from_26,rate_vatRu_till_25),0),2)</f>
        <v/>
      </c>
      <c r="S1611" s="177">
        <f>Q1611+IF(AND(offer_incoterms="DDP",seller_region="RU"),R1611,0)</f>
        <v/>
      </c>
      <c r="T1611" s="45" t="n"/>
      <c r="V1611" s="57">
        <f>IF(Q1611&gt;0,"показать","скрыть")</f>
        <v/>
      </c>
    </row>
    <row r="1612" ht="15.75" customHeight="1">
      <c r="B1612" s="809" t="n">
        <v>1596</v>
      </c>
      <c r="C1612" s="182">
        <f>IF(offer_sale_type="транзит",IFERROR(VLOOKUP($B1612,calc_data,C$14+1,0),0),0)</f>
        <v/>
      </c>
      <c r="D1612" s="280">
        <f>IF(offer_sale_type="транзит",IFERROR(VLOOKUP($B1612,calc_data,D$14+1,0),0),0)</f>
        <v/>
      </c>
      <c r="E1612" s="182">
        <f>IF(offer_sale_type="транзит",IFERROR(VLOOKUP($B1612,calc_data,E$14+1,0),0),0)</f>
        <v/>
      </c>
      <c r="F1612" s="182">
        <f>IF(offer_sale_type="транзит",IFERROR(VLOOKUP($B1612,calc_data,F$14+1,0),0),0)</f>
        <v/>
      </c>
      <c r="G1612" s="141">
        <f>IF(offer_sale_type="транзит",IFERROR(VLOOKUP($B1612,calc_data,G$14+1,0),0),0)</f>
        <v/>
      </c>
      <c r="H1612" s="141">
        <f>E1612*G1612</f>
        <v/>
      </c>
      <c r="I1612" s="141">
        <f>IF(offer_sale_type="транзит",IFERROR(ROUND(VLOOKUP($B1612,calc_data,I$14+1,0),2),0),0)</f>
        <v/>
      </c>
      <c r="J1612" s="141">
        <f>ROUND(IF(offer_sale_type="транзит",IFERROR(VLOOKUP($B1612,calc_data,J$14+1,0),0),0),2)</f>
        <v/>
      </c>
      <c r="K1612" s="142">
        <f>IF(offer_sale_type="транзит",IFERROR(ROUNDUP(VLOOKUP($B1612,calc_data,K$14+1,0),2),0),0)</f>
        <v/>
      </c>
      <c r="L1612" s="184">
        <f>IF(offer_sale_type="транзит",IFERROR(ROUNDUP(VLOOKUP($B1612,calc_data,L$14+1,0),2),0),0)</f>
        <v/>
      </c>
      <c r="M1612" s="141">
        <f>IF(offer_sale_type="транзит",IFERROR(ROUNDUP(VLOOKUP($B1612,calc_data,M$14+1,0),2),0),0)</f>
        <v/>
      </c>
      <c r="N1612" s="141">
        <f>IF(offer_sale_type="транзит",IFERROR(ROUNDUP(VLOOKUP($B1612,calc_data,N$14+1,0),2),0),0)</f>
        <v/>
      </c>
      <c r="O1612" s="147">
        <f>IF(offer_sale_type="транзит",IFERROR(ROUND(VLOOKUP($B1612,calc_data,O$14+1,1),2),0),0)</f>
        <v/>
      </c>
      <c r="P1612" s="141">
        <f>IF(offer_sale_type="транзит",IFERROR(ROUND(SUM(I1612:J1612,M1612:O1612)/E1612,2),0),0)</f>
        <v/>
      </c>
      <c r="Q1612" s="141">
        <f>E1612*P1612</f>
        <v/>
      </c>
      <c r="R1612" s="141">
        <f>ROUND(Q1612*IF(AND(offer_incoterms="DDP",seller_region="RU"),IF((TODAY()+offer_turnaround_time)&gt;=helpsheet!$L$17,rate_vatRU_from_26,rate_vatRu_till_25),0),2)</f>
        <v/>
      </c>
      <c r="S1612" s="177">
        <f>Q1612+IF(AND(offer_incoterms="DDP",seller_region="RU"),R1612,0)</f>
        <v/>
      </c>
      <c r="T1612" s="45" t="n"/>
      <c r="V1612" s="57">
        <f>IF(Q1612&gt;0,"показать","скрыть")</f>
        <v/>
      </c>
    </row>
    <row r="1613" ht="15.75" customHeight="1">
      <c r="B1613" s="809" t="n">
        <v>1597</v>
      </c>
      <c r="C1613" s="182">
        <f>IF(offer_sale_type="транзит",IFERROR(VLOOKUP($B1613,calc_data,C$14+1,0),0),0)</f>
        <v/>
      </c>
      <c r="D1613" s="280">
        <f>IF(offer_sale_type="транзит",IFERROR(VLOOKUP($B1613,calc_data,D$14+1,0),0),0)</f>
        <v/>
      </c>
      <c r="E1613" s="182">
        <f>IF(offer_sale_type="транзит",IFERROR(VLOOKUP($B1613,calc_data,E$14+1,0),0),0)</f>
        <v/>
      </c>
      <c r="F1613" s="182">
        <f>IF(offer_sale_type="транзит",IFERROR(VLOOKUP($B1613,calc_data,F$14+1,0),0),0)</f>
        <v/>
      </c>
      <c r="G1613" s="141">
        <f>IF(offer_sale_type="транзит",IFERROR(VLOOKUP($B1613,calc_data,G$14+1,0),0),0)</f>
        <v/>
      </c>
      <c r="H1613" s="141">
        <f>E1613*G1613</f>
        <v/>
      </c>
      <c r="I1613" s="141">
        <f>IF(offer_sale_type="транзит",IFERROR(ROUND(VLOOKUP($B1613,calc_data,I$14+1,0),2),0),0)</f>
        <v/>
      </c>
      <c r="J1613" s="141">
        <f>ROUND(IF(offer_sale_type="транзит",IFERROR(VLOOKUP($B1613,calc_data,J$14+1,0),0),0),2)</f>
        <v/>
      </c>
      <c r="K1613" s="142">
        <f>IF(offer_sale_type="транзит",IFERROR(ROUNDUP(VLOOKUP($B1613,calc_data,K$14+1,0),2),0),0)</f>
        <v/>
      </c>
      <c r="L1613" s="184">
        <f>IF(offer_sale_type="транзит",IFERROR(ROUNDUP(VLOOKUP($B1613,calc_data,L$14+1,0),2),0),0)</f>
        <v/>
      </c>
      <c r="M1613" s="141">
        <f>IF(offer_sale_type="транзит",IFERROR(ROUNDUP(VLOOKUP($B1613,calc_data,M$14+1,0),2),0),0)</f>
        <v/>
      </c>
      <c r="N1613" s="141">
        <f>IF(offer_sale_type="транзит",IFERROR(ROUNDUP(VLOOKUP($B1613,calc_data,N$14+1,0),2),0),0)</f>
        <v/>
      </c>
      <c r="O1613" s="147">
        <f>IF(offer_sale_type="транзит",IFERROR(ROUND(VLOOKUP($B1613,calc_data,O$14+1,1),2),0),0)</f>
        <v/>
      </c>
      <c r="P1613" s="141">
        <f>IF(offer_sale_type="транзит",IFERROR(ROUND(SUM(I1613:J1613,M1613:O1613)/E1613,2),0),0)</f>
        <v/>
      </c>
      <c r="Q1613" s="141">
        <f>E1613*P1613</f>
        <v/>
      </c>
      <c r="R1613" s="141">
        <f>ROUND(Q1613*IF(AND(offer_incoterms="DDP",seller_region="RU"),IF((TODAY()+offer_turnaround_time)&gt;=helpsheet!$L$17,rate_vatRU_from_26,rate_vatRu_till_25),0),2)</f>
        <v/>
      </c>
      <c r="S1613" s="177">
        <f>Q1613+IF(AND(offer_incoterms="DDP",seller_region="RU"),R1613,0)</f>
        <v/>
      </c>
      <c r="T1613" s="45" t="n"/>
      <c r="V1613" s="57">
        <f>IF(Q1613&gt;0,"показать","скрыть")</f>
        <v/>
      </c>
    </row>
    <row r="1614" ht="15.75" customHeight="1">
      <c r="B1614" s="809" t="n">
        <v>1598</v>
      </c>
      <c r="C1614" s="182">
        <f>IF(offer_sale_type="транзит",IFERROR(VLOOKUP($B1614,calc_data,C$14+1,0),0),0)</f>
        <v/>
      </c>
      <c r="D1614" s="280">
        <f>IF(offer_sale_type="транзит",IFERROR(VLOOKUP($B1614,calc_data,D$14+1,0),0),0)</f>
        <v/>
      </c>
      <c r="E1614" s="182">
        <f>IF(offer_sale_type="транзит",IFERROR(VLOOKUP($B1614,calc_data,E$14+1,0),0),0)</f>
        <v/>
      </c>
      <c r="F1614" s="182">
        <f>IF(offer_sale_type="транзит",IFERROR(VLOOKUP($B1614,calc_data,F$14+1,0),0),0)</f>
        <v/>
      </c>
      <c r="G1614" s="141">
        <f>IF(offer_sale_type="транзит",IFERROR(VLOOKUP($B1614,calc_data,G$14+1,0),0),0)</f>
        <v/>
      </c>
      <c r="H1614" s="141">
        <f>E1614*G1614</f>
        <v/>
      </c>
      <c r="I1614" s="141">
        <f>IF(offer_sale_type="транзит",IFERROR(ROUND(VLOOKUP($B1614,calc_data,I$14+1,0),2),0),0)</f>
        <v/>
      </c>
      <c r="J1614" s="141">
        <f>ROUND(IF(offer_sale_type="транзит",IFERROR(VLOOKUP($B1614,calc_data,J$14+1,0),0),0),2)</f>
        <v/>
      </c>
      <c r="K1614" s="142">
        <f>IF(offer_sale_type="транзит",IFERROR(ROUNDUP(VLOOKUP($B1614,calc_data,K$14+1,0),2),0),0)</f>
        <v/>
      </c>
      <c r="L1614" s="184">
        <f>IF(offer_sale_type="транзит",IFERROR(ROUNDUP(VLOOKUP($B1614,calc_data,L$14+1,0),2),0),0)</f>
        <v/>
      </c>
      <c r="M1614" s="141">
        <f>IF(offer_sale_type="транзит",IFERROR(ROUNDUP(VLOOKUP($B1614,calc_data,M$14+1,0),2),0),0)</f>
        <v/>
      </c>
      <c r="N1614" s="141">
        <f>IF(offer_sale_type="транзит",IFERROR(ROUNDUP(VLOOKUP($B1614,calc_data,N$14+1,0),2),0),0)</f>
        <v/>
      </c>
      <c r="O1614" s="147">
        <f>IF(offer_sale_type="транзит",IFERROR(ROUND(VLOOKUP($B1614,calc_data,O$14+1,1),2),0),0)</f>
        <v/>
      </c>
      <c r="P1614" s="141">
        <f>IF(offer_sale_type="транзит",IFERROR(ROUND(SUM(I1614:J1614,M1614:O1614)/E1614,2),0),0)</f>
        <v/>
      </c>
      <c r="Q1614" s="141">
        <f>E1614*P1614</f>
        <v/>
      </c>
      <c r="R1614" s="141">
        <f>ROUND(Q1614*IF(AND(offer_incoterms="DDP",seller_region="RU"),IF((TODAY()+offer_turnaround_time)&gt;=helpsheet!$L$17,rate_vatRU_from_26,rate_vatRu_till_25),0),2)</f>
        <v/>
      </c>
      <c r="S1614" s="177">
        <f>Q1614+IF(AND(offer_incoterms="DDP",seller_region="RU"),R1614,0)</f>
        <v/>
      </c>
      <c r="T1614" s="45" t="n"/>
      <c r="V1614" s="57">
        <f>IF(Q1614&gt;0,"показать","скрыть")</f>
        <v/>
      </c>
    </row>
    <row r="1615" ht="15.75" customHeight="1">
      <c r="B1615" s="809" t="n">
        <v>1599</v>
      </c>
      <c r="C1615" s="182">
        <f>IF(offer_sale_type="транзит",IFERROR(VLOOKUP($B1615,calc_data,C$14+1,0),0),0)</f>
        <v/>
      </c>
      <c r="D1615" s="280">
        <f>IF(offer_sale_type="транзит",IFERROR(VLOOKUP($B1615,calc_data,D$14+1,0),0),0)</f>
        <v/>
      </c>
      <c r="E1615" s="182">
        <f>IF(offer_sale_type="транзит",IFERROR(VLOOKUP($B1615,calc_data,E$14+1,0),0),0)</f>
        <v/>
      </c>
      <c r="F1615" s="182">
        <f>IF(offer_sale_type="транзит",IFERROR(VLOOKUP($B1615,calc_data,F$14+1,0),0),0)</f>
        <v/>
      </c>
      <c r="G1615" s="141">
        <f>IF(offer_sale_type="транзит",IFERROR(VLOOKUP($B1615,calc_data,G$14+1,0),0),0)</f>
        <v/>
      </c>
      <c r="H1615" s="141">
        <f>E1615*G1615</f>
        <v/>
      </c>
      <c r="I1615" s="141">
        <f>IF(offer_sale_type="транзит",IFERROR(ROUND(VLOOKUP($B1615,calc_data,I$14+1,0),2),0),0)</f>
        <v/>
      </c>
      <c r="J1615" s="141">
        <f>ROUND(IF(offer_sale_type="транзит",IFERROR(VLOOKUP($B1615,calc_data,J$14+1,0),0),0),2)</f>
        <v/>
      </c>
      <c r="K1615" s="142">
        <f>IF(offer_sale_type="транзит",IFERROR(ROUNDUP(VLOOKUP($B1615,calc_data,K$14+1,0),2),0),0)</f>
        <v/>
      </c>
      <c r="L1615" s="184">
        <f>IF(offer_sale_type="транзит",IFERROR(ROUNDUP(VLOOKUP($B1615,calc_data,L$14+1,0),2),0),0)</f>
        <v/>
      </c>
      <c r="M1615" s="141">
        <f>IF(offer_sale_type="транзит",IFERROR(ROUNDUP(VLOOKUP($B1615,calc_data,M$14+1,0),2),0),0)</f>
        <v/>
      </c>
      <c r="N1615" s="141">
        <f>IF(offer_sale_type="транзит",IFERROR(ROUNDUP(VLOOKUP($B1615,calc_data,N$14+1,0),2),0),0)</f>
        <v/>
      </c>
      <c r="O1615" s="147">
        <f>IF(offer_sale_type="транзит",IFERROR(ROUND(VLOOKUP($B1615,calc_data,O$14+1,1),2),0),0)</f>
        <v/>
      </c>
      <c r="P1615" s="141">
        <f>IF(offer_sale_type="транзит",IFERROR(ROUND(SUM(I1615:J1615,M1615:O1615)/E1615,2),0),0)</f>
        <v/>
      </c>
      <c r="Q1615" s="141">
        <f>E1615*P1615</f>
        <v/>
      </c>
      <c r="R1615" s="141">
        <f>ROUND(Q1615*IF(AND(offer_incoterms="DDP",seller_region="RU"),IF((TODAY()+offer_turnaround_time)&gt;=helpsheet!$L$17,rate_vatRU_from_26,rate_vatRu_till_25),0),2)</f>
        <v/>
      </c>
      <c r="S1615" s="177">
        <f>Q1615+IF(AND(offer_incoterms="DDP",seller_region="RU"),R1615,0)</f>
        <v/>
      </c>
      <c r="T1615" s="45" t="n"/>
      <c r="V1615" s="57">
        <f>IF(Q1615&gt;0,"показать","скрыть")</f>
        <v/>
      </c>
    </row>
    <row r="1616" ht="15.75" customHeight="1">
      <c r="B1616" s="809" t="n">
        <v>1600</v>
      </c>
      <c r="C1616" s="182">
        <f>IF(offer_sale_type="транзит",IFERROR(VLOOKUP($B1616,calc_data,C$14+1,0),0),0)</f>
        <v/>
      </c>
      <c r="D1616" s="280">
        <f>IF(offer_sale_type="транзит",IFERROR(VLOOKUP($B1616,calc_data,D$14+1,0),0),0)</f>
        <v/>
      </c>
      <c r="E1616" s="182">
        <f>IF(offer_sale_type="транзит",IFERROR(VLOOKUP($B1616,calc_data,E$14+1,0),0),0)</f>
        <v/>
      </c>
      <c r="F1616" s="182">
        <f>IF(offer_sale_type="транзит",IFERROR(VLOOKUP($B1616,calc_data,F$14+1,0),0),0)</f>
        <v/>
      </c>
      <c r="G1616" s="141">
        <f>IF(offer_sale_type="транзит",IFERROR(VLOOKUP($B1616,calc_data,G$14+1,0),0),0)</f>
        <v/>
      </c>
      <c r="H1616" s="141">
        <f>E1616*G1616</f>
        <v/>
      </c>
      <c r="I1616" s="141">
        <f>IF(offer_sale_type="транзит",IFERROR(ROUND(VLOOKUP($B1616,calc_data,I$14+1,0),2),0),0)</f>
        <v/>
      </c>
      <c r="J1616" s="141">
        <f>ROUND(IF(offer_sale_type="транзит",IFERROR(VLOOKUP($B1616,calc_data,J$14+1,0),0),0),2)</f>
        <v/>
      </c>
      <c r="K1616" s="142">
        <f>IF(offer_sale_type="транзит",IFERROR(ROUNDUP(VLOOKUP($B1616,calc_data,K$14+1,0),2),0),0)</f>
        <v/>
      </c>
      <c r="L1616" s="184">
        <f>IF(offer_sale_type="транзит",IFERROR(ROUNDUP(VLOOKUP($B1616,calc_data,L$14+1,0),2),0),0)</f>
        <v/>
      </c>
      <c r="M1616" s="141">
        <f>IF(offer_sale_type="транзит",IFERROR(ROUNDUP(VLOOKUP($B1616,calc_data,M$14+1,0),2),0),0)</f>
        <v/>
      </c>
      <c r="N1616" s="141">
        <f>IF(offer_sale_type="транзит",IFERROR(ROUNDUP(VLOOKUP($B1616,calc_data,N$14+1,0),2),0),0)</f>
        <v/>
      </c>
      <c r="O1616" s="147">
        <f>IF(offer_sale_type="транзит",IFERROR(ROUND(VLOOKUP($B1616,calc_data,O$14+1,1),2),0),0)</f>
        <v/>
      </c>
      <c r="P1616" s="141">
        <f>IF(offer_sale_type="транзит",IFERROR(ROUND(SUM(I1616:J1616,M1616:O1616)/E1616,2),0),0)</f>
        <v/>
      </c>
      <c r="Q1616" s="141">
        <f>E1616*P1616</f>
        <v/>
      </c>
      <c r="R1616" s="141">
        <f>ROUND(Q1616*IF(AND(offer_incoterms="DDP",seller_region="RU"),IF((TODAY()+offer_turnaround_time)&gt;=helpsheet!$L$17,rate_vatRU_from_26,rate_vatRu_till_25),0),2)</f>
        <v/>
      </c>
      <c r="S1616" s="177">
        <f>Q1616+IF(AND(offer_incoterms="DDP",seller_region="RU"),R1616,0)</f>
        <v/>
      </c>
      <c r="T1616" s="45" t="n"/>
      <c r="V1616" s="57">
        <f>IF(Q1616&gt;0,"показать","скрыть")</f>
        <v/>
      </c>
    </row>
    <row r="1617" ht="15.75" customHeight="1">
      <c r="B1617" s="809" t="n">
        <v>1601</v>
      </c>
      <c r="C1617" s="182">
        <f>IF(offer_sale_type="транзит",IFERROR(VLOOKUP($B1617,calc_data,C$14+1,0),0),0)</f>
        <v/>
      </c>
      <c r="D1617" s="280">
        <f>IF(offer_sale_type="транзит",IFERROR(VLOOKUP($B1617,calc_data,D$14+1,0),0),0)</f>
        <v/>
      </c>
      <c r="E1617" s="182">
        <f>IF(offer_sale_type="транзит",IFERROR(VLOOKUP($B1617,calc_data,E$14+1,0),0),0)</f>
        <v/>
      </c>
      <c r="F1617" s="182">
        <f>IF(offer_sale_type="транзит",IFERROR(VLOOKUP($B1617,calc_data,F$14+1,0),0),0)</f>
        <v/>
      </c>
      <c r="G1617" s="141">
        <f>IF(offer_sale_type="транзит",IFERROR(VLOOKUP($B1617,calc_data,G$14+1,0),0),0)</f>
        <v/>
      </c>
      <c r="H1617" s="141">
        <f>E1617*G1617</f>
        <v/>
      </c>
      <c r="I1617" s="141">
        <f>IF(offer_sale_type="транзит",IFERROR(ROUND(VLOOKUP($B1617,calc_data,I$14+1,0),2),0),0)</f>
        <v/>
      </c>
      <c r="J1617" s="141">
        <f>ROUND(IF(offer_sale_type="транзит",IFERROR(VLOOKUP($B1617,calc_data,J$14+1,0),0),0),2)</f>
        <v/>
      </c>
      <c r="K1617" s="142">
        <f>IF(offer_sale_type="транзит",IFERROR(ROUNDUP(VLOOKUP($B1617,calc_data,K$14+1,0),2),0),0)</f>
        <v/>
      </c>
      <c r="L1617" s="184">
        <f>IF(offer_sale_type="транзит",IFERROR(ROUNDUP(VLOOKUP($B1617,calc_data,L$14+1,0),2),0),0)</f>
        <v/>
      </c>
      <c r="M1617" s="141">
        <f>IF(offer_sale_type="транзит",IFERROR(ROUNDUP(VLOOKUP($B1617,calc_data,M$14+1,0),2),0),0)</f>
        <v/>
      </c>
      <c r="N1617" s="141">
        <f>IF(offer_sale_type="транзит",IFERROR(ROUNDUP(VLOOKUP($B1617,calc_data,N$14+1,0),2),0),0)</f>
        <v/>
      </c>
      <c r="O1617" s="147">
        <f>IF(offer_sale_type="транзит",IFERROR(ROUND(VLOOKUP($B1617,calc_data,O$14+1,1),2),0),0)</f>
        <v/>
      </c>
      <c r="P1617" s="141">
        <f>IF(offer_sale_type="транзит",IFERROR(ROUND(SUM(I1617:J1617,M1617:O1617)/E1617,2),0),0)</f>
        <v/>
      </c>
      <c r="Q1617" s="141">
        <f>E1617*P1617</f>
        <v/>
      </c>
      <c r="R1617" s="141">
        <f>ROUND(Q1617*IF(AND(offer_incoterms="DDP",seller_region="RU"),IF((TODAY()+offer_turnaround_time)&gt;=helpsheet!$L$17,rate_vatRU_from_26,rate_vatRu_till_25),0),2)</f>
        <v/>
      </c>
      <c r="S1617" s="177">
        <f>Q1617+IF(AND(offer_incoterms="DDP",seller_region="RU"),R1617,0)</f>
        <v/>
      </c>
      <c r="T1617" s="45" t="n"/>
      <c r="V1617" s="57">
        <f>IF(Q1617&gt;0,"показать","скрыть")</f>
        <v/>
      </c>
    </row>
    <row r="1618" ht="15.75" customHeight="1">
      <c r="B1618" s="809" t="n">
        <v>1602</v>
      </c>
      <c r="C1618" s="182">
        <f>IF(offer_sale_type="транзит",IFERROR(VLOOKUP($B1618,calc_data,C$14+1,0),0),0)</f>
        <v/>
      </c>
      <c r="D1618" s="280">
        <f>IF(offer_sale_type="транзит",IFERROR(VLOOKUP($B1618,calc_data,D$14+1,0),0),0)</f>
        <v/>
      </c>
      <c r="E1618" s="182">
        <f>IF(offer_sale_type="транзит",IFERROR(VLOOKUP($B1618,calc_data,E$14+1,0),0),0)</f>
        <v/>
      </c>
      <c r="F1618" s="182">
        <f>IF(offer_sale_type="транзит",IFERROR(VLOOKUP($B1618,calc_data,F$14+1,0),0),0)</f>
        <v/>
      </c>
      <c r="G1618" s="141">
        <f>IF(offer_sale_type="транзит",IFERROR(VLOOKUP($B1618,calc_data,G$14+1,0),0),0)</f>
        <v/>
      </c>
      <c r="H1618" s="141">
        <f>E1618*G1618</f>
        <v/>
      </c>
      <c r="I1618" s="141">
        <f>IF(offer_sale_type="транзит",IFERROR(ROUND(VLOOKUP($B1618,calc_data,I$14+1,0),2),0),0)</f>
        <v/>
      </c>
      <c r="J1618" s="141">
        <f>ROUND(IF(offer_sale_type="транзит",IFERROR(VLOOKUP($B1618,calc_data,J$14+1,0),0),0),2)</f>
        <v/>
      </c>
      <c r="K1618" s="142">
        <f>IF(offer_sale_type="транзит",IFERROR(ROUNDUP(VLOOKUP($B1618,calc_data,K$14+1,0),2),0),0)</f>
        <v/>
      </c>
      <c r="L1618" s="184">
        <f>IF(offer_sale_type="транзит",IFERROR(ROUNDUP(VLOOKUP($B1618,calc_data,L$14+1,0),2),0),0)</f>
        <v/>
      </c>
      <c r="M1618" s="141">
        <f>IF(offer_sale_type="транзит",IFERROR(ROUNDUP(VLOOKUP($B1618,calc_data,M$14+1,0),2),0),0)</f>
        <v/>
      </c>
      <c r="N1618" s="141">
        <f>IF(offer_sale_type="транзит",IFERROR(ROUNDUP(VLOOKUP($B1618,calc_data,N$14+1,0),2),0),0)</f>
        <v/>
      </c>
      <c r="O1618" s="147">
        <f>IF(offer_sale_type="транзит",IFERROR(ROUND(VLOOKUP($B1618,calc_data,O$14+1,1),2),0),0)</f>
        <v/>
      </c>
      <c r="P1618" s="141">
        <f>IF(offer_sale_type="транзит",IFERROR(ROUND(SUM(I1618:J1618,M1618:O1618)/E1618,2),0),0)</f>
        <v/>
      </c>
      <c r="Q1618" s="141">
        <f>E1618*P1618</f>
        <v/>
      </c>
      <c r="R1618" s="141">
        <f>ROUND(Q1618*IF(AND(offer_incoterms="DDP",seller_region="RU"),IF((TODAY()+offer_turnaround_time)&gt;=helpsheet!$L$17,rate_vatRU_from_26,rate_vatRu_till_25),0),2)</f>
        <v/>
      </c>
      <c r="S1618" s="177">
        <f>Q1618+IF(AND(offer_incoterms="DDP",seller_region="RU"),R1618,0)</f>
        <v/>
      </c>
      <c r="T1618" s="45" t="n"/>
      <c r="V1618" s="57">
        <f>IF(Q1618&gt;0,"показать","скрыть")</f>
        <v/>
      </c>
    </row>
    <row r="1619" ht="15.75" customHeight="1">
      <c r="B1619" s="809" t="n">
        <v>1603</v>
      </c>
      <c r="C1619" s="182">
        <f>IF(offer_sale_type="транзит",IFERROR(VLOOKUP($B1619,calc_data,C$14+1,0),0),0)</f>
        <v/>
      </c>
      <c r="D1619" s="280">
        <f>IF(offer_sale_type="транзит",IFERROR(VLOOKUP($B1619,calc_data,D$14+1,0),0),0)</f>
        <v/>
      </c>
      <c r="E1619" s="182">
        <f>IF(offer_sale_type="транзит",IFERROR(VLOOKUP($B1619,calc_data,E$14+1,0),0),0)</f>
        <v/>
      </c>
      <c r="F1619" s="182">
        <f>IF(offer_sale_type="транзит",IFERROR(VLOOKUP($B1619,calc_data,F$14+1,0),0),0)</f>
        <v/>
      </c>
      <c r="G1619" s="141">
        <f>IF(offer_sale_type="транзит",IFERROR(VLOOKUP($B1619,calc_data,G$14+1,0),0),0)</f>
        <v/>
      </c>
      <c r="H1619" s="141">
        <f>E1619*G1619</f>
        <v/>
      </c>
      <c r="I1619" s="141">
        <f>IF(offer_sale_type="транзит",IFERROR(ROUND(VLOOKUP($B1619,calc_data,I$14+1,0),2),0),0)</f>
        <v/>
      </c>
      <c r="J1619" s="141">
        <f>ROUND(IF(offer_sale_type="транзит",IFERROR(VLOOKUP($B1619,calc_data,J$14+1,0),0),0),2)</f>
        <v/>
      </c>
      <c r="K1619" s="142">
        <f>IF(offer_sale_type="транзит",IFERROR(ROUNDUP(VLOOKUP($B1619,calc_data,K$14+1,0),2),0),0)</f>
        <v/>
      </c>
      <c r="L1619" s="184">
        <f>IF(offer_sale_type="транзит",IFERROR(ROUNDUP(VLOOKUP($B1619,calc_data,L$14+1,0),2),0),0)</f>
        <v/>
      </c>
      <c r="M1619" s="141">
        <f>IF(offer_sale_type="транзит",IFERROR(ROUNDUP(VLOOKUP($B1619,calc_data,M$14+1,0),2),0),0)</f>
        <v/>
      </c>
      <c r="N1619" s="141">
        <f>IF(offer_sale_type="транзит",IFERROR(ROUNDUP(VLOOKUP($B1619,calc_data,N$14+1,0),2),0),0)</f>
        <v/>
      </c>
      <c r="O1619" s="147">
        <f>IF(offer_sale_type="транзит",IFERROR(ROUND(VLOOKUP($B1619,calc_data,O$14+1,1),2),0),0)</f>
        <v/>
      </c>
      <c r="P1619" s="141">
        <f>IF(offer_sale_type="транзит",IFERROR(ROUND(SUM(I1619:J1619,M1619:O1619)/E1619,2),0),0)</f>
        <v/>
      </c>
      <c r="Q1619" s="141">
        <f>E1619*P1619</f>
        <v/>
      </c>
      <c r="R1619" s="141">
        <f>ROUND(Q1619*IF(AND(offer_incoterms="DDP",seller_region="RU"),IF((TODAY()+offer_turnaround_time)&gt;=helpsheet!$L$17,rate_vatRU_from_26,rate_vatRu_till_25),0),2)</f>
        <v/>
      </c>
      <c r="S1619" s="177">
        <f>Q1619+IF(AND(offer_incoterms="DDP",seller_region="RU"),R1619,0)</f>
        <v/>
      </c>
      <c r="T1619" s="45" t="n"/>
      <c r="V1619" s="57">
        <f>IF(Q1619&gt;0,"показать","скрыть")</f>
        <v/>
      </c>
    </row>
    <row r="1620" ht="15.75" customHeight="1">
      <c r="B1620" s="809" t="n">
        <v>1604</v>
      </c>
      <c r="C1620" s="182">
        <f>IF(offer_sale_type="транзит",IFERROR(VLOOKUP($B1620,calc_data,C$14+1,0),0),0)</f>
        <v/>
      </c>
      <c r="D1620" s="280">
        <f>IF(offer_sale_type="транзит",IFERROR(VLOOKUP($B1620,calc_data,D$14+1,0),0),0)</f>
        <v/>
      </c>
      <c r="E1620" s="182">
        <f>IF(offer_sale_type="транзит",IFERROR(VLOOKUP($B1620,calc_data,E$14+1,0),0),0)</f>
        <v/>
      </c>
      <c r="F1620" s="182">
        <f>IF(offer_sale_type="транзит",IFERROR(VLOOKUP($B1620,calc_data,F$14+1,0),0),0)</f>
        <v/>
      </c>
      <c r="G1620" s="141">
        <f>IF(offer_sale_type="транзит",IFERROR(VLOOKUP($B1620,calc_data,G$14+1,0),0),0)</f>
        <v/>
      </c>
      <c r="H1620" s="141">
        <f>E1620*G1620</f>
        <v/>
      </c>
      <c r="I1620" s="141">
        <f>IF(offer_sale_type="транзит",IFERROR(ROUND(VLOOKUP($B1620,calc_data,I$14+1,0),2),0),0)</f>
        <v/>
      </c>
      <c r="J1620" s="141">
        <f>ROUND(IF(offer_sale_type="транзит",IFERROR(VLOOKUP($B1620,calc_data,J$14+1,0),0),0),2)</f>
        <v/>
      </c>
      <c r="K1620" s="142">
        <f>IF(offer_sale_type="транзит",IFERROR(ROUNDUP(VLOOKUP($B1620,calc_data,K$14+1,0),2),0),0)</f>
        <v/>
      </c>
      <c r="L1620" s="184">
        <f>IF(offer_sale_type="транзит",IFERROR(ROUNDUP(VLOOKUP($B1620,calc_data,L$14+1,0),2),0),0)</f>
        <v/>
      </c>
      <c r="M1620" s="141">
        <f>IF(offer_sale_type="транзит",IFERROR(ROUNDUP(VLOOKUP($B1620,calc_data,M$14+1,0),2),0),0)</f>
        <v/>
      </c>
      <c r="N1620" s="141">
        <f>IF(offer_sale_type="транзит",IFERROR(ROUNDUP(VLOOKUP($B1620,calc_data,N$14+1,0),2),0),0)</f>
        <v/>
      </c>
      <c r="O1620" s="147">
        <f>IF(offer_sale_type="транзит",IFERROR(ROUND(VLOOKUP($B1620,calc_data,O$14+1,1),2),0),0)</f>
        <v/>
      </c>
      <c r="P1620" s="141">
        <f>IF(offer_sale_type="транзит",IFERROR(ROUND(SUM(I1620:J1620,M1620:O1620)/E1620,2),0),0)</f>
        <v/>
      </c>
      <c r="Q1620" s="141">
        <f>E1620*P1620</f>
        <v/>
      </c>
      <c r="R1620" s="141">
        <f>ROUND(Q1620*IF(AND(offer_incoterms="DDP",seller_region="RU"),IF((TODAY()+offer_turnaround_time)&gt;=helpsheet!$L$17,rate_vatRU_from_26,rate_vatRu_till_25),0),2)</f>
        <v/>
      </c>
      <c r="S1620" s="177">
        <f>Q1620+IF(AND(offer_incoterms="DDP",seller_region="RU"),R1620,0)</f>
        <v/>
      </c>
      <c r="T1620" s="45" t="n"/>
      <c r="V1620" s="57">
        <f>IF(Q1620&gt;0,"показать","скрыть")</f>
        <v/>
      </c>
    </row>
    <row r="1621" ht="15.75" customHeight="1">
      <c r="B1621" s="809" t="n">
        <v>1605</v>
      </c>
      <c r="C1621" s="182">
        <f>IF(offer_sale_type="транзит",IFERROR(VLOOKUP($B1621,calc_data,C$14+1,0),0),0)</f>
        <v/>
      </c>
      <c r="D1621" s="280">
        <f>IF(offer_sale_type="транзит",IFERROR(VLOOKUP($B1621,calc_data,D$14+1,0),0),0)</f>
        <v/>
      </c>
      <c r="E1621" s="182">
        <f>IF(offer_sale_type="транзит",IFERROR(VLOOKUP($B1621,calc_data,E$14+1,0),0),0)</f>
        <v/>
      </c>
      <c r="F1621" s="182">
        <f>IF(offer_sale_type="транзит",IFERROR(VLOOKUP($B1621,calc_data,F$14+1,0),0),0)</f>
        <v/>
      </c>
      <c r="G1621" s="141">
        <f>IF(offer_sale_type="транзит",IFERROR(VLOOKUP($B1621,calc_data,G$14+1,0),0),0)</f>
        <v/>
      </c>
      <c r="H1621" s="141">
        <f>E1621*G1621</f>
        <v/>
      </c>
      <c r="I1621" s="141">
        <f>IF(offer_sale_type="транзит",IFERROR(ROUND(VLOOKUP($B1621,calc_data,I$14+1,0),2),0),0)</f>
        <v/>
      </c>
      <c r="J1621" s="141">
        <f>ROUND(IF(offer_sale_type="транзит",IFERROR(VLOOKUP($B1621,calc_data,J$14+1,0),0),0),2)</f>
        <v/>
      </c>
      <c r="K1621" s="142">
        <f>IF(offer_sale_type="транзит",IFERROR(ROUNDUP(VLOOKUP($B1621,calc_data,K$14+1,0),2),0),0)</f>
        <v/>
      </c>
      <c r="L1621" s="184">
        <f>IF(offer_sale_type="транзит",IFERROR(ROUNDUP(VLOOKUP($B1621,calc_data,L$14+1,0),2),0),0)</f>
        <v/>
      </c>
      <c r="M1621" s="141">
        <f>IF(offer_sale_type="транзит",IFERROR(ROUNDUP(VLOOKUP($B1621,calc_data,M$14+1,0),2),0),0)</f>
        <v/>
      </c>
      <c r="N1621" s="141">
        <f>IF(offer_sale_type="транзит",IFERROR(ROUNDUP(VLOOKUP($B1621,calc_data,N$14+1,0),2),0),0)</f>
        <v/>
      </c>
      <c r="O1621" s="147">
        <f>IF(offer_sale_type="транзит",IFERROR(ROUND(VLOOKUP($B1621,calc_data,O$14+1,1),2),0),0)</f>
        <v/>
      </c>
      <c r="P1621" s="141">
        <f>IF(offer_sale_type="транзит",IFERROR(ROUND(SUM(I1621:J1621,M1621:O1621)/E1621,2),0),0)</f>
        <v/>
      </c>
      <c r="Q1621" s="141">
        <f>E1621*P1621</f>
        <v/>
      </c>
      <c r="R1621" s="141">
        <f>ROUND(Q1621*IF(AND(offer_incoterms="DDP",seller_region="RU"),IF((TODAY()+offer_turnaround_time)&gt;=helpsheet!$L$17,rate_vatRU_from_26,rate_vatRu_till_25),0),2)</f>
        <v/>
      </c>
      <c r="S1621" s="177">
        <f>Q1621+IF(AND(offer_incoterms="DDP",seller_region="RU"),R1621,0)</f>
        <v/>
      </c>
      <c r="T1621" s="45" t="n"/>
      <c r="V1621" s="57">
        <f>IF(Q1621&gt;0,"показать","скрыть")</f>
        <v/>
      </c>
    </row>
    <row r="1622" ht="15.75" customHeight="1">
      <c r="B1622" s="809" t="n">
        <v>1606</v>
      </c>
      <c r="C1622" s="182">
        <f>IF(offer_sale_type="транзит",IFERROR(VLOOKUP($B1622,calc_data,C$14+1,0),0),0)</f>
        <v/>
      </c>
      <c r="D1622" s="280">
        <f>IF(offer_sale_type="транзит",IFERROR(VLOOKUP($B1622,calc_data,D$14+1,0),0),0)</f>
        <v/>
      </c>
      <c r="E1622" s="182">
        <f>IF(offer_sale_type="транзит",IFERROR(VLOOKUP($B1622,calc_data,E$14+1,0),0),0)</f>
        <v/>
      </c>
      <c r="F1622" s="182">
        <f>IF(offer_sale_type="транзит",IFERROR(VLOOKUP($B1622,calc_data,F$14+1,0),0),0)</f>
        <v/>
      </c>
      <c r="G1622" s="141">
        <f>IF(offer_sale_type="транзит",IFERROR(VLOOKUP($B1622,calc_data,G$14+1,0),0),0)</f>
        <v/>
      </c>
      <c r="H1622" s="141">
        <f>E1622*G1622</f>
        <v/>
      </c>
      <c r="I1622" s="141">
        <f>IF(offer_sale_type="транзит",IFERROR(ROUND(VLOOKUP($B1622,calc_data,I$14+1,0),2),0),0)</f>
        <v/>
      </c>
      <c r="J1622" s="141">
        <f>ROUND(IF(offer_sale_type="транзит",IFERROR(VLOOKUP($B1622,calc_data,J$14+1,0),0),0),2)</f>
        <v/>
      </c>
      <c r="K1622" s="142">
        <f>IF(offer_sale_type="транзит",IFERROR(ROUNDUP(VLOOKUP($B1622,calc_data,K$14+1,0),2),0),0)</f>
        <v/>
      </c>
      <c r="L1622" s="184">
        <f>IF(offer_sale_type="транзит",IFERROR(ROUNDUP(VLOOKUP($B1622,calc_data,L$14+1,0),2),0),0)</f>
        <v/>
      </c>
      <c r="M1622" s="141">
        <f>IF(offer_sale_type="транзит",IFERROR(ROUNDUP(VLOOKUP($B1622,calc_data,M$14+1,0),2),0),0)</f>
        <v/>
      </c>
      <c r="N1622" s="141">
        <f>IF(offer_sale_type="транзит",IFERROR(ROUNDUP(VLOOKUP($B1622,calc_data,N$14+1,0),2),0),0)</f>
        <v/>
      </c>
      <c r="O1622" s="147">
        <f>IF(offer_sale_type="транзит",IFERROR(ROUND(VLOOKUP($B1622,calc_data,O$14+1,1),2),0),0)</f>
        <v/>
      </c>
      <c r="P1622" s="141">
        <f>IF(offer_sale_type="транзит",IFERROR(ROUND(SUM(I1622:J1622,M1622:O1622)/E1622,2),0),0)</f>
        <v/>
      </c>
      <c r="Q1622" s="141">
        <f>E1622*P1622</f>
        <v/>
      </c>
      <c r="R1622" s="141">
        <f>ROUND(Q1622*IF(AND(offer_incoterms="DDP",seller_region="RU"),IF((TODAY()+offer_turnaround_time)&gt;=helpsheet!$L$17,rate_vatRU_from_26,rate_vatRu_till_25),0),2)</f>
        <v/>
      </c>
      <c r="S1622" s="177">
        <f>Q1622+IF(AND(offer_incoterms="DDP",seller_region="RU"),R1622,0)</f>
        <v/>
      </c>
      <c r="T1622" s="45" t="n"/>
      <c r="V1622" s="57">
        <f>IF(Q1622&gt;0,"показать","скрыть")</f>
        <v/>
      </c>
    </row>
    <row r="1623" ht="15.75" customHeight="1">
      <c r="B1623" s="809" t="n">
        <v>1607</v>
      </c>
      <c r="C1623" s="182">
        <f>IF(offer_sale_type="транзит",IFERROR(VLOOKUP($B1623,calc_data,C$14+1,0),0),0)</f>
        <v/>
      </c>
      <c r="D1623" s="280">
        <f>IF(offer_sale_type="транзит",IFERROR(VLOOKUP($B1623,calc_data,D$14+1,0),0),0)</f>
        <v/>
      </c>
      <c r="E1623" s="182">
        <f>IF(offer_sale_type="транзит",IFERROR(VLOOKUP($B1623,calc_data,E$14+1,0),0),0)</f>
        <v/>
      </c>
      <c r="F1623" s="182">
        <f>IF(offer_sale_type="транзит",IFERROR(VLOOKUP($B1623,calc_data,F$14+1,0),0),0)</f>
        <v/>
      </c>
      <c r="G1623" s="141">
        <f>IF(offer_sale_type="транзит",IFERROR(VLOOKUP($B1623,calc_data,G$14+1,0),0),0)</f>
        <v/>
      </c>
      <c r="H1623" s="141">
        <f>E1623*G1623</f>
        <v/>
      </c>
      <c r="I1623" s="141">
        <f>IF(offer_sale_type="транзит",IFERROR(ROUND(VLOOKUP($B1623,calc_data,I$14+1,0),2),0),0)</f>
        <v/>
      </c>
      <c r="J1623" s="141">
        <f>ROUND(IF(offer_sale_type="транзит",IFERROR(VLOOKUP($B1623,calc_data,J$14+1,0),0),0),2)</f>
        <v/>
      </c>
      <c r="K1623" s="142">
        <f>IF(offer_sale_type="транзит",IFERROR(ROUNDUP(VLOOKUP($B1623,calc_data,K$14+1,0),2),0),0)</f>
        <v/>
      </c>
      <c r="L1623" s="184">
        <f>IF(offer_sale_type="транзит",IFERROR(ROUNDUP(VLOOKUP($B1623,calc_data,L$14+1,0),2),0),0)</f>
        <v/>
      </c>
      <c r="M1623" s="141">
        <f>IF(offer_sale_type="транзит",IFERROR(ROUNDUP(VLOOKUP($B1623,calc_data,M$14+1,0),2),0),0)</f>
        <v/>
      </c>
      <c r="N1623" s="141">
        <f>IF(offer_sale_type="транзит",IFERROR(ROUNDUP(VLOOKUP($B1623,calc_data,N$14+1,0),2),0),0)</f>
        <v/>
      </c>
      <c r="O1623" s="147">
        <f>IF(offer_sale_type="транзит",IFERROR(ROUND(VLOOKUP($B1623,calc_data,O$14+1,1),2),0),0)</f>
        <v/>
      </c>
      <c r="P1623" s="141">
        <f>IF(offer_sale_type="транзит",IFERROR(ROUND(SUM(I1623:J1623,M1623:O1623)/E1623,2),0),0)</f>
        <v/>
      </c>
      <c r="Q1623" s="141">
        <f>E1623*P1623</f>
        <v/>
      </c>
      <c r="R1623" s="141">
        <f>ROUND(Q1623*IF(AND(offer_incoterms="DDP",seller_region="RU"),IF((TODAY()+offer_turnaround_time)&gt;=helpsheet!$L$17,rate_vatRU_from_26,rate_vatRu_till_25),0),2)</f>
        <v/>
      </c>
      <c r="S1623" s="177">
        <f>Q1623+IF(AND(offer_incoterms="DDP",seller_region="RU"),R1623,0)</f>
        <v/>
      </c>
      <c r="T1623" s="45" t="n"/>
      <c r="V1623" s="57">
        <f>IF(Q1623&gt;0,"показать","скрыть")</f>
        <v/>
      </c>
    </row>
    <row r="1624" ht="15.75" customHeight="1">
      <c r="B1624" s="809" t="n">
        <v>1608</v>
      </c>
      <c r="C1624" s="182">
        <f>IF(offer_sale_type="транзит",IFERROR(VLOOKUP($B1624,calc_data,C$14+1,0),0),0)</f>
        <v/>
      </c>
      <c r="D1624" s="280">
        <f>IF(offer_sale_type="транзит",IFERROR(VLOOKUP($B1624,calc_data,D$14+1,0),0),0)</f>
        <v/>
      </c>
      <c r="E1624" s="182">
        <f>IF(offer_sale_type="транзит",IFERROR(VLOOKUP($B1624,calc_data,E$14+1,0),0),0)</f>
        <v/>
      </c>
      <c r="F1624" s="182">
        <f>IF(offer_sale_type="транзит",IFERROR(VLOOKUP($B1624,calc_data,F$14+1,0),0),0)</f>
        <v/>
      </c>
      <c r="G1624" s="141">
        <f>IF(offer_sale_type="транзит",IFERROR(VLOOKUP($B1624,calc_data,G$14+1,0),0),0)</f>
        <v/>
      </c>
      <c r="H1624" s="141">
        <f>E1624*G1624</f>
        <v/>
      </c>
      <c r="I1624" s="141">
        <f>IF(offer_sale_type="транзит",IFERROR(ROUND(VLOOKUP($B1624,calc_data,I$14+1,0),2),0),0)</f>
        <v/>
      </c>
      <c r="J1624" s="141">
        <f>ROUND(IF(offer_sale_type="транзит",IFERROR(VLOOKUP($B1624,calc_data,J$14+1,0),0),0),2)</f>
        <v/>
      </c>
      <c r="K1624" s="142">
        <f>IF(offer_sale_type="транзит",IFERROR(ROUNDUP(VLOOKUP($B1624,calc_data,K$14+1,0),2),0),0)</f>
        <v/>
      </c>
      <c r="L1624" s="184">
        <f>IF(offer_sale_type="транзит",IFERROR(ROUNDUP(VLOOKUP($B1624,calc_data,L$14+1,0),2),0),0)</f>
        <v/>
      </c>
      <c r="M1624" s="141">
        <f>IF(offer_sale_type="транзит",IFERROR(ROUNDUP(VLOOKUP($B1624,calc_data,M$14+1,0),2),0),0)</f>
        <v/>
      </c>
      <c r="N1624" s="141">
        <f>IF(offer_sale_type="транзит",IFERROR(ROUNDUP(VLOOKUP($B1624,calc_data,N$14+1,0),2),0),0)</f>
        <v/>
      </c>
      <c r="O1624" s="147">
        <f>IF(offer_sale_type="транзит",IFERROR(ROUND(VLOOKUP($B1624,calc_data,O$14+1,1),2),0),0)</f>
        <v/>
      </c>
      <c r="P1624" s="141">
        <f>IF(offer_sale_type="транзит",IFERROR(ROUND(SUM(I1624:J1624,M1624:O1624)/E1624,2),0),0)</f>
        <v/>
      </c>
      <c r="Q1624" s="141">
        <f>E1624*P1624</f>
        <v/>
      </c>
      <c r="R1624" s="141">
        <f>ROUND(Q1624*IF(AND(offer_incoterms="DDP",seller_region="RU"),IF((TODAY()+offer_turnaround_time)&gt;=helpsheet!$L$17,rate_vatRU_from_26,rate_vatRu_till_25),0),2)</f>
        <v/>
      </c>
      <c r="S1624" s="177">
        <f>Q1624+IF(AND(offer_incoterms="DDP",seller_region="RU"),R1624,0)</f>
        <v/>
      </c>
      <c r="T1624" s="45" t="n"/>
      <c r="V1624" s="57">
        <f>IF(Q1624&gt;0,"показать","скрыть")</f>
        <v/>
      </c>
    </row>
    <row r="1625" ht="15.75" customHeight="1">
      <c r="B1625" s="809" t="n">
        <v>1609</v>
      </c>
      <c r="C1625" s="182">
        <f>IF(offer_sale_type="транзит",IFERROR(VLOOKUP($B1625,calc_data,C$14+1,0),0),0)</f>
        <v/>
      </c>
      <c r="D1625" s="280">
        <f>IF(offer_sale_type="транзит",IFERROR(VLOOKUP($B1625,calc_data,D$14+1,0),0),0)</f>
        <v/>
      </c>
      <c r="E1625" s="182">
        <f>IF(offer_sale_type="транзит",IFERROR(VLOOKUP($B1625,calc_data,E$14+1,0),0),0)</f>
        <v/>
      </c>
      <c r="F1625" s="182">
        <f>IF(offer_sale_type="транзит",IFERROR(VLOOKUP($B1625,calc_data,F$14+1,0),0),0)</f>
        <v/>
      </c>
      <c r="G1625" s="141">
        <f>IF(offer_sale_type="транзит",IFERROR(VLOOKUP($B1625,calc_data,G$14+1,0),0),0)</f>
        <v/>
      </c>
      <c r="H1625" s="141">
        <f>E1625*G1625</f>
        <v/>
      </c>
      <c r="I1625" s="141">
        <f>IF(offer_sale_type="транзит",IFERROR(ROUND(VLOOKUP($B1625,calc_data,I$14+1,0),2),0),0)</f>
        <v/>
      </c>
      <c r="J1625" s="141">
        <f>ROUND(IF(offer_sale_type="транзит",IFERROR(VLOOKUP($B1625,calc_data,J$14+1,0),0),0),2)</f>
        <v/>
      </c>
      <c r="K1625" s="142">
        <f>IF(offer_sale_type="транзит",IFERROR(ROUNDUP(VLOOKUP($B1625,calc_data,K$14+1,0),2),0),0)</f>
        <v/>
      </c>
      <c r="L1625" s="184">
        <f>IF(offer_sale_type="транзит",IFERROR(ROUNDUP(VLOOKUP($B1625,calc_data,L$14+1,0),2),0),0)</f>
        <v/>
      </c>
      <c r="M1625" s="141">
        <f>IF(offer_sale_type="транзит",IFERROR(ROUNDUP(VLOOKUP($B1625,calc_data,M$14+1,0),2),0),0)</f>
        <v/>
      </c>
      <c r="N1625" s="141">
        <f>IF(offer_sale_type="транзит",IFERROR(ROUNDUP(VLOOKUP($B1625,calc_data,N$14+1,0),2),0),0)</f>
        <v/>
      </c>
      <c r="O1625" s="147">
        <f>IF(offer_sale_type="транзит",IFERROR(ROUND(VLOOKUP($B1625,calc_data,O$14+1,1),2),0),0)</f>
        <v/>
      </c>
      <c r="P1625" s="141">
        <f>IF(offer_sale_type="транзит",IFERROR(ROUND(SUM(I1625:J1625,M1625:O1625)/E1625,2),0),0)</f>
        <v/>
      </c>
      <c r="Q1625" s="141">
        <f>E1625*P1625</f>
        <v/>
      </c>
      <c r="R1625" s="141">
        <f>ROUND(Q1625*IF(AND(offer_incoterms="DDP",seller_region="RU"),IF((TODAY()+offer_turnaround_time)&gt;=helpsheet!$L$17,rate_vatRU_from_26,rate_vatRu_till_25),0),2)</f>
        <v/>
      </c>
      <c r="S1625" s="177">
        <f>Q1625+IF(AND(offer_incoterms="DDP",seller_region="RU"),R1625,0)</f>
        <v/>
      </c>
      <c r="T1625" s="45" t="n"/>
      <c r="V1625" s="57">
        <f>IF(Q1625&gt;0,"показать","скрыть")</f>
        <v/>
      </c>
    </row>
    <row r="1626" ht="15.75" customHeight="1">
      <c r="B1626" s="809" t="n">
        <v>1610</v>
      </c>
      <c r="C1626" s="182">
        <f>IF(offer_sale_type="транзит",IFERROR(VLOOKUP($B1626,calc_data,C$14+1,0),0),0)</f>
        <v/>
      </c>
      <c r="D1626" s="280">
        <f>IF(offer_sale_type="транзит",IFERROR(VLOOKUP($B1626,calc_data,D$14+1,0),0),0)</f>
        <v/>
      </c>
      <c r="E1626" s="182">
        <f>IF(offer_sale_type="транзит",IFERROR(VLOOKUP($B1626,calc_data,E$14+1,0),0),0)</f>
        <v/>
      </c>
      <c r="F1626" s="182">
        <f>IF(offer_sale_type="транзит",IFERROR(VLOOKUP($B1626,calc_data,F$14+1,0),0),0)</f>
        <v/>
      </c>
      <c r="G1626" s="141">
        <f>IF(offer_sale_type="транзит",IFERROR(VLOOKUP($B1626,calc_data,G$14+1,0),0),0)</f>
        <v/>
      </c>
      <c r="H1626" s="141">
        <f>E1626*G1626</f>
        <v/>
      </c>
      <c r="I1626" s="141">
        <f>IF(offer_sale_type="транзит",IFERROR(ROUND(VLOOKUP($B1626,calc_data,I$14+1,0),2),0),0)</f>
        <v/>
      </c>
      <c r="J1626" s="141">
        <f>ROUND(IF(offer_sale_type="транзит",IFERROR(VLOOKUP($B1626,calc_data,J$14+1,0),0),0),2)</f>
        <v/>
      </c>
      <c r="K1626" s="142">
        <f>IF(offer_sale_type="транзит",IFERROR(ROUNDUP(VLOOKUP($B1626,calc_data,K$14+1,0),2),0),0)</f>
        <v/>
      </c>
      <c r="L1626" s="184">
        <f>IF(offer_sale_type="транзит",IFERROR(ROUNDUP(VLOOKUP($B1626,calc_data,L$14+1,0),2),0),0)</f>
        <v/>
      </c>
      <c r="M1626" s="141">
        <f>IF(offer_sale_type="транзит",IFERROR(ROUNDUP(VLOOKUP($B1626,calc_data,M$14+1,0),2),0),0)</f>
        <v/>
      </c>
      <c r="N1626" s="141">
        <f>IF(offer_sale_type="транзит",IFERROR(ROUNDUP(VLOOKUP($B1626,calc_data,N$14+1,0),2),0),0)</f>
        <v/>
      </c>
      <c r="O1626" s="147">
        <f>IF(offer_sale_type="транзит",IFERROR(ROUND(VLOOKUP($B1626,calc_data,O$14+1,1),2),0),0)</f>
        <v/>
      </c>
      <c r="P1626" s="141">
        <f>IF(offer_sale_type="транзит",IFERROR(ROUND(SUM(I1626:J1626,M1626:O1626)/E1626,2),0),0)</f>
        <v/>
      </c>
      <c r="Q1626" s="141">
        <f>E1626*P1626</f>
        <v/>
      </c>
      <c r="R1626" s="141">
        <f>ROUND(Q1626*IF(AND(offer_incoterms="DDP",seller_region="RU"),IF((TODAY()+offer_turnaround_time)&gt;=helpsheet!$L$17,rate_vatRU_from_26,rate_vatRu_till_25),0),2)</f>
        <v/>
      </c>
      <c r="S1626" s="177">
        <f>Q1626+IF(AND(offer_incoterms="DDP",seller_region="RU"),R1626,0)</f>
        <v/>
      </c>
      <c r="T1626" s="45" t="n"/>
      <c r="V1626" s="57">
        <f>IF(Q1626&gt;0,"показать","скрыть")</f>
        <v/>
      </c>
    </row>
    <row r="1627" ht="15.75" customHeight="1">
      <c r="B1627" s="809" t="n">
        <v>1611</v>
      </c>
      <c r="C1627" s="182">
        <f>IF(offer_sale_type="транзит",IFERROR(VLOOKUP($B1627,calc_data,C$14+1,0),0),0)</f>
        <v/>
      </c>
      <c r="D1627" s="280">
        <f>IF(offer_sale_type="транзит",IFERROR(VLOOKUP($B1627,calc_data,D$14+1,0),0),0)</f>
        <v/>
      </c>
      <c r="E1627" s="182">
        <f>IF(offer_sale_type="транзит",IFERROR(VLOOKUP($B1627,calc_data,E$14+1,0),0),0)</f>
        <v/>
      </c>
      <c r="F1627" s="182">
        <f>IF(offer_sale_type="транзит",IFERROR(VLOOKUP($B1627,calc_data,F$14+1,0),0),0)</f>
        <v/>
      </c>
      <c r="G1627" s="141">
        <f>IF(offer_sale_type="транзит",IFERROR(VLOOKUP($B1627,calc_data,G$14+1,0),0),0)</f>
        <v/>
      </c>
      <c r="H1627" s="141">
        <f>E1627*G1627</f>
        <v/>
      </c>
      <c r="I1627" s="141">
        <f>IF(offer_sale_type="транзит",IFERROR(ROUND(VLOOKUP($B1627,calc_data,I$14+1,0),2),0),0)</f>
        <v/>
      </c>
      <c r="J1627" s="141">
        <f>ROUND(IF(offer_sale_type="транзит",IFERROR(VLOOKUP($B1627,calc_data,J$14+1,0),0),0),2)</f>
        <v/>
      </c>
      <c r="K1627" s="142">
        <f>IF(offer_sale_type="транзит",IFERROR(ROUNDUP(VLOOKUP($B1627,calc_data,K$14+1,0),2),0),0)</f>
        <v/>
      </c>
      <c r="L1627" s="184">
        <f>IF(offer_sale_type="транзит",IFERROR(ROUNDUP(VLOOKUP($B1627,calc_data,L$14+1,0),2),0),0)</f>
        <v/>
      </c>
      <c r="M1627" s="141">
        <f>IF(offer_sale_type="транзит",IFERROR(ROUNDUP(VLOOKUP($B1627,calc_data,M$14+1,0),2),0),0)</f>
        <v/>
      </c>
      <c r="N1627" s="141">
        <f>IF(offer_sale_type="транзит",IFERROR(ROUNDUP(VLOOKUP($B1627,calc_data,N$14+1,0),2),0),0)</f>
        <v/>
      </c>
      <c r="O1627" s="147">
        <f>IF(offer_sale_type="транзит",IFERROR(ROUND(VLOOKUP($B1627,calc_data,O$14+1,1),2),0),0)</f>
        <v/>
      </c>
      <c r="P1627" s="141">
        <f>IF(offer_sale_type="транзит",IFERROR(ROUND(SUM(I1627:J1627,M1627:O1627)/E1627,2),0),0)</f>
        <v/>
      </c>
      <c r="Q1627" s="141">
        <f>E1627*P1627</f>
        <v/>
      </c>
      <c r="R1627" s="141">
        <f>ROUND(Q1627*IF(AND(offer_incoterms="DDP",seller_region="RU"),IF((TODAY()+offer_turnaround_time)&gt;=helpsheet!$L$17,rate_vatRU_from_26,rate_vatRu_till_25),0),2)</f>
        <v/>
      </c>
      <c r="S1627" s="177">
        <f>Q1627+IF(AND(offer_incoterms="DDP",seller_region="RU"),R1627,0)</f>
        <v/>
      </c>
      <c r="T1627" s="45" t="n"/>
      <c r="V1627" s="57">
        <f>IF(Q1627&gt;0,"показать","скрыть")</f>
        <v/>
      </c>
    </row>
    <row r="1628" ht="15.75" customHeight="1">
      <c r="B1628" s="809" t="n">
        <v>1612</v>
      </c>
      <c r="C1628" s="182">
        <f>IF(offer_sale_type="транзит",IFERROR(VLOOKUP($B1628,calc_data,C$14+1,0),0),0)</f>
        <v/>
      </c>
      <c r="D1628" s="280">
        <f>IF(offer_sale_type="транзит",IFERROR(VLOOKUP($B1628,calc_data,D$14+1,0),0),0)</f>
        <v/>
      </c>
      <c r="E1628" s="182">
        <f>IF(offer_sale_type="транзит",IFERROR(VLOOKUP($B1628,calc_data,E$14+1,0),0),0)</f>
        <v/>
      </c>
      <c r="F1628" s="182">
        <f>IF(offer_sale_type="транзит",IFERROR(VLOOKUP($B1628,calc_data,F$14+1,0),0),0)</f>
        <v/>
      </c>
      <c r="G1628" s="141">
        <f>IF(offer_sale_type="транзит",IFERROR(VLOOKUP($B1628,calc_data,G$14+1,0),0),0)</f>
        <v/>
      </c>
      <c r="H1628" s="141">
        <f>E1628*G1628</f>
        <v/>
      </c>
      <c r="I1628" s="141">
        <f>IF(offer_sale_type="транзит",IFERROR(ROUND(VLOOKUP($B1628,calc_data,I$14+1,0),2),0),0)</f>
        <v/>
      </c>
      <c r="J1628" s="141">
        <f>ROUND(IF(offer_sale_type="транзит",IFERROR(VLOOKUP($B1628,calc_data,J$14+1,0),0),0),2)</f>
        <v/>
      </c>
      <c r="K1628" s="142">
        <f>IF(offer_sale_type="транзит",IFERROR(ROUNDUP(VLOOKUP($B1628,calc_data,K$14+1,0),2),0),0)</f>
        <v/>
      </c>
      <c r="L1628" s="184">
        <f>IF(offer_sale_type="транзит",IFERROR(ROUNDUP(VLOOKUP($B1628,calc_data,L$14+1,0),2),0),0)</f>
        <v/>
      </c>
      <c r="M1628" s="141">
        <f>IF(offer_sale_type="транзит",IFERROR(ROUNDUP(VLOOKUP($B1628,calc_data,M$14+1,0),2),0),0)</f>
        <v/>
      </c>
      <c r="N1628" s="141">
        <f>IF(offer_sale_type="транзит",IFERROR(ROUNDUP(VLOOKUP($B1628,calc_data,N$14+1,0),2),0),0)</f>
        <v/>
      </c>
      <c r="O1628" s="147">
        <f>IF(offer_sale_type="транзит",IFERROR(ROUND(VLOOKUP($B1628,calc_data,O$14+1,1),2),0),0)</f>
        <v/>
      </c>
      <c r="P1628" s="141">
        <f>IF(offer_sale_type="транзит",IFERROR(ROUND(SUM(I1628:J1628,M1628:O1628)/E1628,2),0),0)</f>
        <v/>
      </c>
      <c r="Q1628" s="141">
        <f>E1628*P1628</f>
        <v/>
      </c>
      <c r="R1628" s="141">
        <f>ROUND(Q1628*IF(AND(offer_incoterms="DDP",seller_region="RU"),IF((TODAY()+offer_turnaround_time)&gt;=helpsheet!$L$17,rate_vatRU_from_26,rate_vatRu_till_25),0),2)</f>
        <v/>
      </c>
      <c r="S1628" s="177">
        <f>Q1628+IF(AND(offer_incoterms="DDP",seller_region="RU"),R1628,0)</f>
        <v/>
      </c>
      <c r="T1628" s="45" t="n"/>
      <c r="V1628" s="57">
        <f>IF(Q1628&gt;0,"показать","скрыть")</f>
        <v/>
      </c>
    </row>
    <row r="1629" ht="15.75" customHeight="1">
      <c r="B1629" s="809" t="n">
        <v>1613</v>
      </c>
      <c r="C1629" s="182">
        <f>IF(offer_sale_type="транзит",IFERROR(VLOOKUP($B1629,calc_data,C$14+1,0),0),0)</f>
        <v/>
      </c>
      <c r="D1629" s="280">
        <f>IF(offer_sale_type="транзит",IFERROR(VLOOKUP($B1629,calc_data,D$14+1,0),0),0)</f>
        <v/>
      </c>
      <c r="E1629" s="182">
        <f>IF(offer_sale_type="транзит",IFERROR(VLOOKUP($B1629,calc_data,E$14+1,0),0),0)</f>
        <v/>
      </c>
      <c r="F1629" s="182">
        <f>IF(offer_sale_type="транзит",IFERROR(VLOOKUP($B1629,calc_data,F$14+1,0),0),0)</f>
        <v/>
      </c>
      <c r="G1629" s="141">
        <f>IF(offer_sale_type="транзит",IFERROR(VLOOKUP($B1629,calc_data,G$14+1,0),0),0)</f>
        <v/>
      </c>
      <c r="H1629" s="141">
        <f>E1629*G1629</f>
        <v/>
      </c>
      <c r="I1629" s="141">
        <f>IF(offer_sale_type="транзит",IFERROR(ROUND(VLOOKUP($B1629,calc_data,I$14+1,0),2),0),0)</f>
        <v/>
      </c>
      <c r="J1629" s="141">
        <f>ROUND(IF(offer_sale_type="транзит",IFERROR(VLOOKUP($B1629,calc_data,J$14+1,0),0),0),2)</f>
        <v/>
      </c>
      <c r="K1629" s="142">
        <f>IF(offer_sale_type="транзит",IFERROR(ROUNDUP(VLOOKUP($B1629,calc_data,K$14+1,0),2),0),0)</f>
        <v/>
      </c>
      <c r="L1629" s="184">
        <f>IF(offer_sale_type="транзит",IFERROR(ROUNDUP(VLOOKUP($B1629,calc_data,L$14+1,0),2),0),0)</f>
        <v/>
      </c>
      <c r="M1629" s="141">
        <f>IF(offer_sale_type="транзит",IFERROR(ROUNDUP(VLOOKUP($B1629,calc_data,M$14+1,0),2),0),0)</f>
        <v/>
      </c>
      <c r="N1629" s="141">
        <f>IF(offer_sale_type="транзит",IFERROR(ROUNDUP(VLOOKUP($B1629,calc_data,N$14+1,0),2),0),0)</f>
        <v/>
      </c>
      <c r="O1629" s="147">
        <f>IF(offer_sale_type="транзит",IFERROR(ROUND(VLOOKUP($B1629,calc_data,O$14+1,1),2),0),0)</f>
        <v/>
      </c>
      <c r="P1629" s="141">
        <f>IF(offer_sale_type="транзит",IFERROR(ROUND(SUM(I1629:J1629,M1629:O1629)/E1629,2),0),0)</f>
        <v/>
      </c>
      <c r="Q1629" s="141">
        <f>E1629*P1629</f>
        <v/>
      </c>
      <c r="R1629" s="141">
        <f>ROUND(Q1629*IF(AND(offer_incoterms="DDP",seller_region="RU"),IF((TODAY()+offer_turnaround_time)&gt;=helpsheet!$L$17,rate_vatRU_from_26,rate_vatRu_till_25),0),2)</f>
        <v/>
      </c>
      <c r="S1629" s="177">
        <f>Q1629+IF(AND(offer_incoterms="DDP",seller_region="RU"),R1629,0)</f>
        <v/>
      </c>
      <c r="T1629" s="45" t="n"/>
      <c r="V1629" s="57">
        <f>IF(Q1629&gt;0,"показать","скрыть")</f>
        <v/>
      </c>
    </row>
    <row r="1630" ht="15.75" customHeight="1">
      <c r="B1630" s="809" t="n">
        <v>1614</v>
      </c>
      <c r="C1630" s="182">
        <f>IF(offer_sale_type="транзит",IFERROR(VLOOKUP($B1630,calc_data,C$14+1,0),0),0)</f>
        <v/>
      </c>
      <c r="D1630" s="280">
        <f>IF(offer_sale_type="транзит",IFERROR(VLOOKUP($B1630,calc_data,D$14+1,0),0),0)</f>
        <v/>
      </c>
      <c r="E1630" s="182">
        <f>IF(offer_sale_type="транзит",IFERROR(VLOOKUP($B1630,calc_data,E$14+1,0),0),0)</f>
        <v/>
      </c>
      <c r="F1630" s="182">
        <f>IF(offer_sale_type="транзит",IFERROR(VLOOKUP($B1630,calc_data,F$14+1,0),0),0)</f>
        <v/>
      </c>
      <c r="G1630" s="141">
        <f>IF(offer_sale_type="транзит",IFERROR(VLOOKUP($B1630,calc_data,G$14+1,0),0),0)</f>
        <v/>
      </c>
      <c r="H1630" s="141">
        <f>E1630*G1630</f>
        <v/>
      </c>
      <c r="I1630" s="141">
        <f>IF(offer_sale_type="транзит",IFERROR(ROUND(VLOOKUP($B1630,calc_data,I$14+1,0),2),0),0)</f>
        <v/>
      </c>
      <c r="J1630" s="141">
        <f>ROUND(IF(offer_sale_type="транзит",IFERROR(VLOOKUP($B1630,calc_data,J$14+1,0),0),0),2)</f>
        <v/>
      </c>
      <c r="K1630" s="142">
        <f>IF(offer_sale_type="транзит",IFERROR(ROUNDUP(VLOOKUP($B1630,calc_data,K$14+1,0),2),0),0)</f>
        <v/>
      </c>
      <c r="L1630" s="184">
        <f>IF(offer_sale_type="транзит",IFERROR(ROUNDUP(VLOOKUP($B1630,calc_data,L$14+1,0),2),0),0)</f>
        <v/>
      </c>
      <c r="M1630" s="141">
        <f>IF(offer_sale_type="транзит",IFERROR(ROUNDUP(VLOOKUP($B1630,calc_data,M$14+1,0),2),0),0)</f>
        <v/>
      </c>
      <c r="N1630" s="141">
        <f>IF(offer_sale_type="транзит",IFERROR(ROUNDUP(VLOOKUP($B1630,calc_data,N$14+1,0),2),0),0)</f>
        <v/>
      </c>
      <c r="O1630" s="147">
        <f>IF(offer_sale_type="транзит",IFERROR(ROUND(VLOOKUP($B1630,calc_data,O$14+1,1),2),0),0)</f>
        <v/>
      </c>
      <c r="P1630" s="141">
        <f>IF(offer_sale_type="транзит",IFERROR(ROUND(SUM(I1630:J1630,M1630:O1630)/E1630,2),0),0)</f>
        <v/>
      </c>
      <c r="Q1630" s="141">
        <f>E1630*P1630</f>
        <v/>
      </c>
      <c r="R1630" s="141">
        <f>ROUND(Q1630*IF(AND(offer_incoterms="DDP",seller_region="RU"),IF((TODAY()+offer_turnaround_time)&gt;=helpsheet!$L$17,rate_vatRU_from_26,rate_vatRu_till_25),0),2)</f>
        <v/>
      </c>
      <c r="S1630" s="177">
        <f>Q1630+IF(AND(offer_incoterms="DDP",seller_region="RU"),R1630,0)</f>
        <v/>
      </c>
      <c r="T1630" s="45" t="n"/>
      <c r="V1630" s="57">
        <f>IF(Q1630&gt;0,"показать","скрыть")</f>
        <v/>
      </c>
    </row>
    <row r="1631" ht="15.75" customHeight="1">
      <c r="B1631" s="809" t="n">
        <v>1615</v>
      </c>
      <c r="C1631" s="182">
        <f>IF(offer_sale_type="транзит",IFERROR(VLOOKUP($B1631,calc_data,C$14+1,0),0),0)</f>
        <v/>
      </c>
      <c r="D1631" s="280">
        <f>IF(offer_sale_type="транзит",IFERROR(VLOOKUP($B1631,calc_data,D$14+1,0),0),0)</f>
        <v/>
      </c>
      <c r="E1631" s="182">
        <f>IF(offer_sale_type="транзит",IFERROR(VLOOKUP($B1631,calc_data,E$14+1,0),0),0)</f>
        <v/>
      </c>
      <c r="F1631" s="182">
        <f>IF(offer_sale_type="транзит",IFERROR(VLOOKUP($B1631,calc_data,F$14+1,0),0),0)</f>
        <v/>
      </c>
      <c r="G1631" s="141">
        <f>IF(offer_sale_type="транзит",IFERROR(VLOOKUP($B1631,calc_data,G$14+1,0),0),0)</f>
        <v/>
      </c>
      <c r="H1631" s="141">
        <f>E1631*G1631</f>
        <v/>
      </c>
      <c r="I1631" s="141">
        <f>IF(offer_sale_type="транзит",IFERROR(ROUND(VLOOKUP($B1631,calc_data,I$14+1,0),2),0),0)</f>
        <v/>
      </c>
      <c r="J1631" s="141">
        <f>ROUND(IF(offer_sale_type="транзит",IFERROR(VLOOKUP($B1631,calc_data,J$14+1,0),0),0),2)</f>
        <v/>
      </c>
      <c r="K1631" s="142">
        <f>IF(offer_sale_type="транзит",IFERROR(ROUNDUP(VLOOKUP($B1631,calc_data,K$14+1,0),2),0),0)</f>
        <v/>
      </c>
      <c r="L1631" s="184">
        <f>IF(offer_sale_type="транзит",IFERROR(ROUNDUP(VLOOKUP($B1631,calc_data,L$14+1,0),2),0),0)</f>
        <v/>
      </c>
      <c r="M1631" s="141">
        <f>IF(offer_sale_type="транзит",IFERROR(ROUNDUP(VLOOKUP($B1631,calc_data,M$14+1,0),2),0),0)</f>
        <v/>
      </c>
      <c r="N1631" s="141">
        <f>IF(offer_sale_type="транзит",IFERROR(ROUNDUP(VLOOKUP($B1631,calc_data,N$14+1,0),2),0),0)</f>
        <v/>
      </c>
      <c r="O1631" s="147">
        <f>IF(offer_sale_type="транзит",IFERROR(ROUND(VLOOKUP($B1631,calc_data,O$14+1,1),2),0),0)</f>
        <v/>
      </c>
      <c r="P1631" s="141">
        <f>IF(offer_sale_type="транзит",IFERROR(ROUND(SUM(I1631:J1631,M1631:O1631)/E1631,2),0),0)</f>
        <v/>
      </c>
      <c r="Q1631" s="141">
        <f>E1631*P1631</f>
        <v/>
      </c>
      <c r="R1631" s="141">
        <f>ROUND(Q1631*IF(AND(offer_incoterms="DDP",seller_region="RU"),IF((TODAY()+offer_turnaround_time)&gt;=helpsheet!$L$17,rate_vatRU_from_26,rate_vatRu_till_25),0),2)</f>
        <v/>
      </c>
      <c r="S1631" s="177">
        <f>Q1631+IF(AND(offer_incoterms="DDP",seller_region="RU"),R1631,0)</f>
        <v/>
      </c>
      <c r="T1631" s="45" t="n"/>
      <c r="V1631" s="57">
        <f>IF(Q1631&gt;0,"показать","скрыть")</f>
        <v/>
      </c>
    </row>
    <row r="1632" ht="15.75" customHeight="1">
      <c r="B1632" s="809" t="n">
        <v>1616</v>
      </c>
      <c r="C1632" s="182">
        <f>IF(offer_sale_type="транзит",IFERROR(VLOOKUP($B1632,calc_data,C$14+1,0),0),0)</f>
        <v/>
      </c>
      <c r="D1632" s="280">
        <f>IF(offer_sale_type="транзит",IFERROR(VLOOKUP($B1632,calc_data,D$14+1,0),0),0)</f>
        <v/>
      </c>
      <c r="E1632" s="182">
        <f>IF(offer_sale_type="транзит",IFERROR(VLOOKUP($B1632,calc_data,E$14+1,0),0),0)</f>
        <v/>
      </c>
      <c r="F1632" s="182">
        <f>IF(offer_sale_type="транзит",IFERROR(VLOOKUP($B1632,calc_data,F$14+1,0),0),0)</f>
        <v/>
      </c>
      <c r="G1632" s="141">
        <f>IF(offer_sale_type="транзит",IFERROR(VLOOKUP($B1632,calc_data,G$14+1,0),0),0)</f>
        <v/>
      </c>
      <c r="H1632" s="141">
        <f>E1632*G1632</f>
        <v/>
      </c>
      <c r="I1632" s="141">
        <f>IF(offer_sale_type="транзит",IFERROR(ROUND(VLOOKUP($B1632,calc_data,I$14+1,0),2),0),0)</f>
        <v/>
      </c>
      <c r="J1632" s="141">
        <f>ROUND(IF(offer_sale_type="транзит",IFERROR(VLOOKUP($B1632,calc_data,J$14+1,0),0),0),2)</f>
        <v/>
      </c>
      <c r="K1632" s="142">
        <f>IF(offer_sale_type="транзит",IFERROR(ROUNDUP(VLOOKUP($B1632,calc_data,K$14+1,0),2),0),0)</f>
        <v/>
      </c>
      <c r="L1632" s="184">
        <f>IF(offer_sale_type="транзит",IFERROR(ROUNDUP(VLOOKUP($B1632,calc_data,L$14+1,0),2),0),0)</f>
        <v/>
      </c>
      <c r="M1632" s="141">
        <f>IF(offer_sale_type="транзит",IFERROR(ROUNDUP(VLOOKUP($B1632,calc_data,M$14+1,0),2),0),0)</f>
        <v/>
      </c>
      <c r="N1632" s="141">
        <f>IF(offer_sale_type="транзит",IFERROR(ROUNDUP(VLOOKUP($B1632,calc_data,N$14+1,0),2),0),0)</f>
        <v/>
      </c>
      <c r="O1632" s="147">
        <f>IF(offer_sale_type="транзит",IFERROR(ROUND(VLOOKUP($B1632,calc_data,O$14+1,1),2),0),0)</f>
        <v/>
      </c>
      <c r="P1632" s="141">
        <f>IF(offer_sale_type="транзит",IFERROR(ROUND(SUM(I1632:J1632,M1632:O1632)/E1632,2),0),0)</f>
        <v/>
      </c>
      <c r="Q1632" s="141">
        <f>E1632*P1632</f>
        <v/>
      </c>
      <c r="R1632" s="141">
        <f>ROUND(Q1632*IF(AND(offer_incoterms="DDP",seller_region="RU"),IF((TODAY()+offer_turnaround_time)&gt;=helpsheet!$L$17,rate_vatRU_from_26,rate_vatRu_till_25),0),2)</f>
        <v/>
      </c>
      <c r="S1632" s="177">
        <f>Q1632+IF(AND(offer_incoterms="DDP",seller_region="RU"),R1632,0)</f>
        <v/>
      </c>
      <c r="T1632" s="45" t="n"/>
      <c r="V1632" s="57">
        <f>IF(Q1632&gt;0,"показать","скрыть")</f>
        <v/>
      </c>
    </row>
    <row r="1633" ht="15.75" customHeight="1">
      <c r="B1633" s="809" t="n">
        <v>1617</v>
      </c>
      <c r="C1633" s="182">
        <f>IF(offer_sale_type="транзит",IFERROR(VLOOKUP($B1633,calc_data,C$14+1,0),0),0)</f>
        <v/>
      </c>
      <c r="D1633" s="280">
        <f>IF(offer_sale_type="транзит",IFERROR(VLOOKUP($B1633,calc_data,D$14+1,0),0),0)</f>
        <v/>
      </c>
      <c r="E1633" s="182">
        <f>IF(offer_sale_type="транзит",IFERROR(VLOOKUP($B1633,calc_data,E$14+1,0),0),0)</f>
        <v/>
      </c>
      <c r="F1633" s="182">
        <f>IF(offer_sale_type="транзит",IFERROR(VLOOKUP($B1633,calc_data,F$14+1,0),0),0)</f>
        <v/>
      </c>
      <c r="G1633" s="141">
        <f>IF(offer_sale_type="транзит",IFERROR(VLOOKUP($B1633,calc_data,G$14+1,0),0),0)</f>
        <v/>
      </c>
      <c r="H1633" s="141">
        <f>E1633*G1633</f>
        <v/>
      </c>
      <c r="I1633" s="141">
        <f>IF(offer_sale_type="транзит",IFERROR(ROUND(VLOOKUP($B1633,calc_data,I$14+1,0),2),0),0)</f>
        <v/>
      </c>
      <c r="J1633" s="141">
        <f>ROUND(IF(offer_sale_type="транзит",IFERROR(VLOOKUP($B1633,calc_data,J$14+1,0),0),0),2)</f>
        <v/>
      </c>
      <c r="K1633" s="142">
        <f>IF(offer_sale_type="транзит",IFERROR(ROUNDUP(VLOOKUP($B1633,calc_data,K$14+1,0),2),0),0)</f>
        <v/>
      </c>
      <c r="L1633" s="184">
        <f>IF(offer_sale_type="транзит",IFERROR(ROUNDUP(VLOOKUP($B1633,calc_data,L$14+1,0),2),0),0)</f>
        <v/>
      </c>
      <c r="M1633" s="141">
        <f>IF(offer_sale_type="транзит",IFERROR(ROUNDUP(VLOOKUP($B1633,calc_data,M$14+1,0),2),0),0)</f>
        <v/>
      </c>
      <c r="N1633" s="141">
        <f>IF(offer_sale_type="транзит",IFERROR(ROUNDUP(VLOOKUP($B1633,calc_data,N$14+1,0),2),0),0)</f>
        <v/>
      </c>
      <c r="O1633" s="147">
        <f>IF(offer_sale_type="транзит",IFERROR(ROUND(VLOOKUP($B1633,calc_data,O$14+1,1),2),0),0)</f>
        <v/>
      </c>
      <c r="P1633" s="141">
        <f>IF(offer_sale_type="транзит",IFERROR(ROUND(SUM(I1633:J1633,M1633:O1633)/E1633,2),0),0)</f>
        <v/>
      </c>
      <c r="Q1633" s="141">
        <f>E1633*P1633</f>
        <v/>
      </c>
      <c r="R1633" s="141">
        <f>ROUND(Q1633*IF(AND(offer_incoterms="DDP",seller_region="RU"),IF((TODAY()+offer_turnaround_time)&gt;=helpsheet!$L$17,rate_vatRU_from_26,rate_vatRu_till_25),0),2)</f>
        <v/>
      </c>
      <c r="S1633" s="177">
        <f>Q1633+IF(AND(offer_incoterms="DDP",seller_region="RU"),R1633,0)</f>
        <v/>
      </c>
      <c r="T1633" s="45" t="n"/>
      <c r="V1633" s="57">
        <f>IF(Q1633&gt;0,"показать","скрыть")</f>
        <v/>
      </c>
    </row>
    <row r="1634" ht="15.75" customHeight="1">
      <c r="B1634" s="809" t="n">
        <v>1618</v>
      </c>
      <c r="C1634" s="182">
        <f>IF(offer_sale_type="транзит",IFERROR(VLOOKUP($B1634,calc_data,C$14+1,0),0),0)</f>
        <v/>
      </c>
      <c r="D1634" s="280">
        <f>IF(offer_sale_type="транзит",IFERROR(VLOOKUP($B1634,calc_data,D$14+1,0),0),0)</f>
        <v/>
      </c>
      <c r="E1634" s="182">
        <f>IF(offer_sale_type="транзит",IFERROR(VLOOKUP($B1634,calc_data,E$14+1,0),0),0)</f>
        <v/>
      </c>
      <c r="F1634" s="182">
        <f>IF(offer_sale_type="транзит",IFERROR(VLOOKUP($B1634,calc_data,F$14+1,0),0),0)</f>
        <v/>
      </c>
      <c r="G1634" s="141">
        <f>IF(offer_sale_type="транзит",IFERROR(VLOOKUP($B1634,calc_data,G$14+1,0),0),0)</f>
        <v/>
      </c>
      <c r="H1634" s="141">
        <f>E1634*G1634</f>
        <v/>
      </c>
      <c r="I1634" s="141">
        <f>IF(offer_sale_type="транзит",IFERROR(ROUND(VLOOKUP($B1634,calc_data,I$14+1,0),2),0),0)</f>
        <v/>
      </c>
      <c r="J1634" s="141">
        <f>ROUND(IF(offer_sale_type="транзит",IFERROR(VLOOKUP($B1634,calc_data,J$14+1,0),0),0),2)</f>
        <v/>
      </c>
      <c r="K1634" s="142">
        <f>IF(offer_sale_type="транзит",IFERROR(ROUNDUP(VLOOKUP($B1634,calc_data,K$14+1,0),2),0),0)</f>
        <v/>
      </c>
      <c r="L1634" s="184">
        <f>IF(offer_sale_type="транзит",IFERROR(ROUNDUP(VLOOKUP($B1634,calc_data,L$14+1,0),2),0),0)</f>
        <v/>
      </c>
      <c r="M1634" s="141">
        <f>IF(offer_sale_type="транзит",IFERROR(ROUNDUP(VLOOKUP($B1634,calc_data,M$14+1,0),2),0),0)</f>
        <v/>
      </c>
      <c r="N1634" s="141">
        <f>IF(offer_sale_type="транзит",IFERROR(ROUNDUP(VLOOKUP($B1634,calc_data,N$14+1,0),2),0),0)</f>
        <v/>
      </c>
      <c r="O1634" s="147">
        <f>IF(offer_sale_type="транзит",IFERROR(ROUND(VLOOKUP($B1634,calc_data,O$14+1,1),2),0),0)</f>
        <v/>
      </c>
      <c r="P1634" s="141">
        <f>IF(offer_sale_type="транзит",IFERROR(ROUND(SUM(I1634:J1634,M1634:O1634)/E1634,2),0),0)</f>
        <v/>
      </c>
      <c r="Q1634" s="141">
        <f>E1634*P1634</f>
        <v/>
      </c>
      <c r="R1634" s="141">
        <f>ROUND(Q1634*IF(AND(offer_incoterms="DDP",seller_region="RU"),IF((TODAY()+offer_turnaround_time)&gt;=helpsheet!$L$17,rate_vatRU_from_26,rate_vatRu_till_25),0),2)</f>
        <v/>
      </c>
      <c r="S1634" s="177">
        <f>Q1634+IF(AND(offer_incoterms="DDP",seller_region="RU"),R1634,0)</f>
        <v/>
      </c>
      <c r="T1634" s="45" t="n"/>
      <c r="V1634" s="57">
        <f>IF(Q1634&gt;0,"показать","скрыть")</f>
        <v/>
      </c>
    </row>
    <row r="1635" ht="15.75" customHeight="1">
      <c r="B1635" s="809" t="n">
        <v>1619</v>
      </c>
      <c r="C1635" s="182">
        <f>IF(offer_sale_type="транзит",IFERROR(VLOOKUP($B1635,calc_data,C$14+1,0),0),0)</f>
        <v/>
      </c>
      <c r="D1635" s="280">
        <f>IF(offer_sale_type="транзит",IFERROR(VLOOKUP($B1635,calc_data,D$14+1,0),0),0)</f>
        <v/>
      </c>
      <c r="E1635" s="182">
        <f>IF(offer_sale_type="транзит",IFERROR(VLOOKUP($B1635,calc_data,E$14+1,0),0),0)</f>
        <v/>
      </c>
      <c r="F1635" s="182">
        <f>IF(offer_sale_type="транзит",IFERROR(VLOOKUP($B1635,calc_data,F$14+1,0),0),0)</f>
        <v/>
      </c>
      <c r="G1635" s="141">
        <f>IF(offer_sale_type="транзит",IFERROR(VLOOKUP($B1635,calc_data,G$14+1,0),0),0)</f>
        <v/>
      </c>
      <c r="H1635" s="141">
        <f>E1635*G1635</f>
        <v/>
      </c>
      <c r="I1635" s="141">
        <f>IF(offer_sale_type="транзит",IFERROR(ROUND(VLOOKUP($B1635,calc_data,I$14+1,0),2),0),0)</f>
        <v/>
      </c>
      <c r="J1635" s="141">
        <f>ROUND(IF(offer_sale_type="транзит",IFERROR(VLOOKUP($B1635,calc_data,J$14+1,0),0),0),2)</f>
        <v/>
      </c>
      <c r="K1635" s="142">
        <f>IF(offer_sale_type="транзит",IFERROR(ROUNDUP(VLOOKUP($B1635,calc_data,K$14+1,0),2),0),0)</f>
        <v/>
      </c>
      <c r="L1635" s="184">
        <f>IF(offer_sale_type="транзит",IFERROR(ROUNDUP(VLOOKUP($B1635,calc_data,L$14+1,0),2),0),0)</f>
        <v/>
      </c>
      <c r="M1635" s="141">
        <f>IF(offer_sale_type="транзит",IFERROR(ROUNDUP(VLOOKUP($B1635,calc_data,M$14+1,0),2),0),0)</f>
        <v/>
      </c>
      <c r="N1635" s="141">
        <f>IF(offer_sale_type="транзит",IFERROR(ROUNDUP(VLOOKUP($B1635,calc_data,N$14+1,0),2),0),0)</f>
        <v/>
      </c>
      <c r="O1635" s="147">
        <f>IF(offer_sale_type="транзит",IFERROR(ROUND(VLOOKUP($B1635,calc_data,O$14+1,1),2),0),0)</f>
        <v/>
      </c>
      <c r="P1635" s="141">
        <f>IF(offer_sale_type="транзит",IFERROR(ROUND(SUM(I1635:J1635,M1635:O1635)/E1635,2),0),0)</f>
        <v/>
      </c>
      <c r="Q1635" s="141">
        <f>E1635*P1635</f>
        <v/>
      </c>
      <c r="R1635" s="141">
        <f>ROUND(Q1635*IF(AND(offer_incoterms="DDP",seller_region="RU"),IF((TODAY()+offer_turnaround_time)&gt;=helpsheet!$L$17,rate_vatRU_from_26,rate_vatRu_till_25),0),2)</f>
        <v/>
      </c>
      <c r="S1635" s="177">
        <f>Q1635+IF(AND(offer_incoterms="DDP",seller_region="RU"),R1635,0)</f>
        <v/>
      </c>
      <c r="T1635" s="45" t="n"/>
      <c r="V1635" s="57">
        <f>IF(Q1635&gt;0,"показать","скрыть")</f>
        <v/>
      </c>
    </row>
    <row r="1636" ht="15.75" customHeight="1">
      <c r="B1636" s="809" t="n">
        <v>1620</v>
      </c>
      <c r="C1636" s="182">
        <f>IF(offer_sale_type="транзит",IFERROR(VLOOKUP($B1636,calc_data,C$14+1,0),0),0)</f>
        <v/>
      </c>
      <c r="D1636" s="280">
        <f>IF(offer_sale_type="транзит",IFERROR(VLOOKUP($B1636,calc_data,D$14+1,0),0),0)</f>
        <v/>
      </c>
      <c r="E1636" s="182">
        <f>IF(offer_sale_type="транзит",IFERROR(VLOOKUP($B1636,calc_data,E$14+1,0),0),0)</f>
        <v/>
      </c>
      <c r="F1636" s="182">
        <f>IF(offer_sale_type="транзит",IFERROR(VLOOKUP($B1636,calc_data,F$14+1,0),0),0)</f>
        <v/>
      </c>
      <c r="G1636" s="141">
        <f>IF(offer_sale_type="транзит",IFERROR(VLOOKUP($B1636,calc_data,G$14+1,0),0),0)</f>
        <v/>
      </c>
      <c r="H1636" s="141">
        <f>E1636*G1636</f>
        <v/>
      </c>
      <c r="I1636" s="141">
        <f>IF(offer_sale_type="транзит",IFERROR(ROUND(VLOOKUP($B1636,calc_data,I$14+1,0),2),0),0)</f>
        <v/>
      </c>
      <c r="J1636" s="141">
        <f>ROUND(IF(offer_sale_type="транзит",IFERROR(VLOOKUP($B1636,calc_data,J$14+1,0),0),0),2)</f>
        <v/>
      </c>
      <c r="K1636" s="142">
        <f>IF(offer_sale_type="транзит",IFERROR(ROUNDUP(VLOOKUP($B1636,calc_data,K$14+1,0),2),0),0)</f>
        <v/>
      </c>
      <c r="L1636" s="184">
        <f>IF(offer_sale_type="транзит",IFERROR(ROUNDUP(VLOOKUP($B1636,calc_data,L$14+1,0),2),0),0)</f>
        <v/>
      </c>
      <c r="M1636" s="141">
        <f>IF(offer_sale_type="транзит",IFERROR(ROUNDUP(VLOOKUP($B1636,calc_data,M$14+1,0),2),0),0)</f>
        <v/>
      </c>
      <c r="N1636" s="141">
        <f>IF(offer_sale_type="транзит",IFERROR(ROUNDUP(VLOOKUP($B1636,calc_data,N$14+1,0),2),0),0)</f>
        <v/>
      </c>
      <c r="O1636" s="147">
        <f>IF(offer_sale_type="транзит",IFERROR(ROUND(VLOOKUP($B1636,calc_data,O$14+1,1),2),0),0)</f>
        <v/>
      </c>
      <c r="P1636" s="141">
        <f>IF(offer_sale_type="транзит",IFERROR(ROUND(SUM(I1636:J1636,M1636:O1636)/E1636,2),0),0)</f>
        <v/>
      </c>
      <c r="Q1636" s="141">
        <f>E1636*P1636</f>
        <v/>
      </c>
      <c r="R1636" s="141">
        <f>ROUND(Q1636*IF(AND(offer_incoterms="DDP",seller_region="RU"),IF((TODAY()+offer_turnaround_time)&gt;=helpsheet!$L$17,rate_vatRU_from_26,rate_vatRu_till_25),0),2)</f>
        <v/>
      </c>
      <c r="S1636" s="177">
        <f>Q1636+IF(AND(offer_incoterms="DDP",seller_region="RU"),R1636,0)</f>
        <v/>
      </c>
      <c r="T1636" s="45" t="n"/>
      <c r="V1636" s="57">
        <f>IF(Q1636&gt;0,"показать","скрыть")</f>
        <v/>
      </c>
    </row>
    <row r="1637" ht="15.75" customHeight="1">
      <c r="B1637" s="809" t="n">
        <v>1621</v>
      </c>
      <c r="C1637" s="182">
        <f>IF(offer_sale_type="транзит",IFERROR(VLOOKUP($B1637,calc_data,C$14+1,0),0),0)</f>
        <v/>
      </c>
      <c r="D1637" s="280">
        <f>IF(offer_sale_type="транзит",IFERROR(VLOOKUP($B1637,calc_data,D$14+1,0),0),0)</f>
        <v/>
      </c>
      <c r="E1637" s="182">
        <f>IF(offer_sale_type="транзит",IFERROR(VLOOKUP($B1637,calc_data,E$14+1,0),0),0)</f>
        <v/>
      </c>
      <c r="F1637" s="182">
        <f>IF(offer_sale_type="транзит",IFERROR(VLOOKUP($B1637,calc_data,F$14+1,0),0),0)</f>
        <v/>
      </c>
      <c r="G1637" s="141">
        <f>IF(offer_sale_type="транзит",IFERROR(VLOOKUP($B1637,calc_data,G$14+1,0),0),0)</f>
        <v/>
      </c>
      <c r="H1637" s="141">
        <f>E1637*G1637</f>
        <v/>
      </c>
      <c r="I1637" s="141">
        <f>IF(offer_sale_type="транзит",IFERROR(ROUND(VLOOKUP($B1637,calc_data,I$14+1,0),2),0),0)</f>
        <v/>
      </c>
      <c r="J1637" s="141">
        <f>ROUND(IF(offer_sale_type="транзит",IFERROR(VLOOKUP($B1637,calc_data,J$14+1,0),0),0),2)</f>
        <v/>
      </c>
      <c r="K1637" s="142">
        <f>IF(offer_sale_type="транзит",IFERROR(ROUNDUP(VLOOKUP($B1637,calc_data,K$14+1,0),2),0),0)</f>
        <v/>
      </c>
      <c r="L1637" s="184">
        <f>IF(offer_sale_type="транзит",IFERROR(ROUNDUP(VLOOKUP($B1637,calc_data,L$14+1,0),2),0),0)</f>
        <v/>
      </c>
      <c r="M1637" s="141">
        <f>IF(offer_sale_type="транзит",IFERROR(ROUNDUP(VLOOKUP($B1637,calc_data,M$14+1,0),2),0),0)</f>
        <v/>
      </c>
      <c r="N1637" s="141">
        <f>IF(offer_sale_type="транзит",IFERROR(ROUNDUP(VLOOKUP($B1637,calc_data,N$14+1,0),2),0),0)</f>
        <v/>
      </c>
      <c r="O1637" s="147">
        <f>IF(offer_sale_type="транзит",IFERROR(ROUND(VLOOKUP($B1637,calc_data,O$14+1,1),2),0),0)</f>
        <v/>
      </c>
      <c r="P1637" s="141">
        <f>IF(offer_sale_type="транзит",IFERROR(ROUND(SUM(I1637:J1637,M1637:O1637)/E1637,2),0),0)</f>
        <v/>
      </c>
      <c r="Q1637" s="141">
        <f>E1637*P1637</f>
        <v/>
      </c>
      <c r="R1637" s="141">
        <f>ROUND(Q1637*IF(AND(offer_incoterms="DDP",seller_region="RU"),IF((TODAY()+offer_turnaround_time)&gt;=helpsheet!$L$17,rate_vatRU_from_26,rate_vatRu_till_25),0),2)</f>
        <v/>
      </c>
      <c r="S1637" s="177">
        <f>Q1637+IF(AND(offer_incoterms="DDP",seller_region="RU"),R1637,0)</f>
        <v/>
      </c>
      <c r="T1637" s="45" t="n"/>
      <c r="V1637" s="57">
        <f>IF(Q1637&gt;0,"показать","скрыть")</f>
        <v/>
      </c>
    </row>
    <row r="1638" ht="15.75" customHeight="1">
      <c r="B1638" s="809" t="n">
        <v>1622</v>
      </c>
      <c r="C1638" s="182">
        <f>IF(offer_sale_type="транзит",IFERROR(VLOOKUP($B1638,calc_data,C$14+1,0),0),0)</f>
        <v/>
      </c>
      <c r="D1638" s="280">
        <f>IF(offer_sale_type="транзит",IFERROR(VLOOKUP($B1638,calc_data,D$14+1,0),0),0)</f>
        <v/>
      </c>
      <c r="E1638" s="182">
        <f>IF(offer_sale_type="транзит",IFERROR(VLOOKUP($B1638,calc_data,E$14+1,0),0),0)</f>
        <v/>
      </c>
      <c r="F1638" s="182">
        <f>IF(offer_sale_type="транзит",IFERROR(VLOOKUP($B1638,calc_data,F$14+1,0),0),0)</f>
        <v/>
      </c>
      <c r="G1638" s="141">
        <f>IF(offer_sale_type="транзит",IFERROR(VLOOKUP($B1638,calc_data,G$14+1,0),0),0)</f>
        <v/>
      </c>
      <c r="H1638" s="141">
        <f>E1638*G1638</f>
        <v/>
      </c>
      <c r="I1638" s="141">
        <f>IF(offer_sale_type="транзит",IFERROR(ROUND(VLOOKUP($B1638,calc_data,I$14+1,0),2),0),0)</f>
        <v/>
      </c>
      <c r="J1638" s="141">
        <f>ROUND(IF(offer_sale_type="транзит",IFERROR(VLOOKUP($B1638,calc_data,J$14+1,0),0),0),2)</f>
        <v/>
      </c>
      <c r="K1638" s="142">
        <f>IF(offer_sale_type="транзит",IFERROR(ROUNDUP(VLOOKUP($B1638,calc_data,K$14+1,0),2),0),0)</f>
        <v/>
      </c>
      <c r="L1638" s="184">
        <f>IF(offer_sale_type="транзит",IFERROR(ROUNDUP(VLOOKUP($B1638,calc_data,L$14+1,0),2),0),0)</f>
        <v/>
      </c>
      <c r="M1638" s="141">
        <f>IF(offer_sale_type="транзит",IFERROR(ROUNDUP(VLOOKUP($B1638,calc_data,M$14+1,0),2),0),0)</f>
        <v/>
      </c>
      <c r="N1638" s="141">
        <f>IF(offer_sale_type="транзит",IFERROR(ROUNDUP(VLOOKUP($B1638,calc_data,N$14+1,0),2),0),0)</f>
        <v/>
      </c>
      <c r="O1638" s="147">
        <f>IF(offer_sale_type="транзит",IFERROR(ROUND(VLOOKUP($B1638,calc_data,O$14+1,1),2),0),0)</f>
        <v/>
      </c>
      <c r="P1638" s="141">
        <f>IF(offer_sale_type="транзит",IFERROR(ROUND(SUM(I1638:J1638,M1638:O1638)/E1638,2),0),0)</f>
        <v/>
      </c>
      <c r="Q1638" s="141">
        <f>E1638*P1638</f>
        <v/>
      </c>
      <c r="R1638" s="141">
        <f>ROUND(Q1638*IF(AND(offer_incoterms="DDP",seller_region="RU"),IF((TODAY()+offer_turnaround_time)&gt;=helpsheet!$L$17,rate_vatRU_from_26,rate_vatRu_till_25),0),2)</f>
        <v/>
      </c>
      <c r="S1638" s="177">
        <f>Q1638+IF(AND(offer_incoterms="DDP",seller_region="RU"),R1638,0)</f>
        <v/>
      </c>
      <c r="T1638" s="45" t="n"/>
      <c r="V1638" s="57">
        <f>IF(Q1638&gt;0,"показать","скрыть")</f>
        <v/>
      </c>
    </row>
    <row r="1639" ht="15.75" customHeight="1">
      <c r="B1639" s="809" t="n">
        <v>1623</v>
      </c>
      <c r="C1639" s="182">
        <f>IF(offer_sale_type="транзит",IFERROR(VLOOKUP($B1639,calc_data,C$14+1,0),0),0)</f>
        <v/>
      </c>
      <c r="D1639" s="280">
        <f>IF(offer_sale_type="транзит",IFERROR(VLOOKUP($B1639,calc_data,D$14+1,0),0),0)</f>
        <v/>
      </c>
      <c r="E1639" s="182">
        <f>IF(offer_sale_type="транзит",IFERROR(VLOOKUP($B1639,calc_data,E$14+1,0),0),0)</f>
        <v/>
      </c>
      <c r="F1639" s="182">
        <f>IF(offer_sale_type="транзит",IFERROR(VLOOKUP($B1639,calc_data,F$14+1,0),0),0)</f>
        <v/>
      </c>
      <c r="G1639" s="141">
        <f>IF(offer_sale_type="транзит",IFERROR(VLOOKUP($B1639,calc_data,G$14+1,0),0),0)</f>
        <v/>
      </c>
      <c r="H1639" s="141">
        <f>E1639*G1639</f>
        <v/>
      </c>
      <c r="I1639" s="141">
        <f>IF(offer_sale_type="транзит",IFERROR(ROUND(VLOOKUP($B1639,calc_data,I$14+1,0),2),0),0)</f>
        <v/>
      </c>
      <c r="J1639" s="141">
        <f>ROUND(IF(offer_sale_type="транзит",IFERROR(VLOOKUP($B1639,calc_data,J$14+1,0),0),0),2)</f>
        <v/>
      </c>
      <c r="K1639" s="142">
        <f>IF(offer_sale_type="транзит",IFERROR(ROUNDUP(VLOOKUP($B1639,calc_data,K$14+1,0),2),0),0)</f>
        <v/>
      </c>
      <c r="L1639" s="184">
        <f>IF(offer_sale_type="транзит",IFERROR(ROUNDUP(VLOOKUP($B1639,calc_data,L$14+1,0),2),0),0)</f>
        <v/>
      </c>
      <c r="M1639" s="141">
        <f>IF(offer_sale_type="транзит",IFERROR(ROUNDUP(VLOOKUP($B1639,calc_data,M$14+1,0),2),0),0)</f>
        <v/>
      </c>
      <c r="N1639" s="141">
        <f>IF(offer_sale_type="транзит",IFERROR(ROUNDUP(VLOOKUP($B1639,calc_data,N$14+1,0),2),0),0)</f>
        <v/>
      </c>
      <c r="O1639" s="147">
        <f>IF(offer_sale_type="транзит",IFERROR(ROUND(VLOOKUP($B1639,calc_data,O$14+1,1),2),0),0)</f>
        <v/>
      </c>
      <c r="P1639" s="141">
        <f>IF(offer_sale_type="транзит",IFERROR(ROUND(SUM(I1639:J1639,M1639:O1639)/E1639,2),0),0)</f>
        <v/>
      </c>
      <c r="Q1639" s="141">
        <f>E1639*P1639</f>
        <v/>
      </c>
      <c r="R1639" s="141">
        <f>ROUND(Q1639*IF(AND(offer_incoterms="DDP",seller_region="RU"),IF((TODAY()+offer_turnaround_time)&gt;=helpsheet!$L$17,rate_vatRU_from_26,rate_vatRu_till_25),0),2)</f>
        <v/>
      </c>
      <c r="S1639" s="177">
        <f>Q1639+IF(AND(offer_incoterms="DDP",seller_region="RU"),R1639,0)</f>
        <v/>
      </c>
      <c r="T1639" s="45" t="n"/>
      <c r="V1639" s="57">
        <f>IF(Q1639&gt;0,"показать","скрыть")</f>
        <v/>
      </c>
    </row>
    <row r="1640" ht="15.75" customHeight="1">
      <c r="B1640" s="809" t="n">
        <v>1624</v>
      </c>
      <c r="C1640" s="182">
        <f>IF(offer_sale_type="транзит",IFERROR(VLOOKUP($B1640,calc_data,C$14+1,0),0),0)</f>
        <v/>
      </c>
      <c r="D1640" s="280">
        <f>IF(offer_sale_type="транзит",IFERROR(VLOOKUP($B1640,calc_data,D$14+1,0),0),0)</f>
        <v/>
      </c>
      <c r="E1640" s="182">
        <f>IF(offer_sale_type="транзит",IFERROR(VLOOKUP($B1640,calc_data,E$14+1,0),0),0)</f>
        <v/>
      </c>
      <c r="F1640" s="182">
        <f>IF(offer_sale_type="транзит",IFERROR(VLOOKUP($B1640,calc_data,F$14+1,0),0),0)</f>
        <v/>
      </c>
      <c r="G1640" s="141">
        <f>IF(offer_sale_type="транзит",IFERROR(VLOOKUP($B1640,calc_data,G$14+1,0),0),0)</f>
        <v/>
      </c>
      <c r="H1640" s="141">
        <f>E1640*G1640</f>
        <v/>
      </c>
      <c r="I1640" s="141">
        <f>IF(offer_sale_type="транзит",IFERROR(ROUND(VLOOKUP($B1640,calc_data,I$14+1,0),2),0),0)</f>
        <v/>
      </c>
      <c r="J1640" s="141">
        <f>ROUND(IF(offer_sale_type="транзит",IFERROR(VLOOKUP($B1640,calc_data,J$14+1,0),0),0),2)</f>
        <v/>
      </c>
      <c r="K1640" s="142">
        <f>IF(offer_sale_type="транзит",IFERROR(ROUNDUP(VLOOKUP($B1640,calc_data,K$14+1,0),2),0),0)</f>
        <v/>
      </c>
      <c r="L1640" s="184">
        <f>IF(offer_sale_type="транзит",IFERROR(ROUNDUP(VLOOKUP($B1640,calc_data,L$14+1,0),2),0),0)</f>
        <v/>
      </c>
      <c r="M1640" s="141">
        <f>IF(offer_sale_type="транзит",IFERROR(ROUNDUP(VLOOKUP($B1640,calc_data,M$14+1,0),2),0),0)</f>
        <v/>
      </c>
      <c r="N1640" s="141">
        <f>IF(offer_sale_type="транзит",IFERROR(ROUNDUP(VLOOKUP($B1640,calc_data,N$14+1,0),2),0),0)</f>
        <v/>
      </c>
      <c r="O1640" s="147">
        <f>IF(offer_sale_type="транзит",IFERROR(ROUND(VLOOKUP($B1640,calc_data,O$14+1,1),2),0),0)</f>
        <v/>
      </c>
      <c r="P1640" s="141">
        <f>IF(offer_sale_type="транзит",IFERROR(ROUND(SUM(I1640:J1640,M1640:O1640)/E1640,2),0),0)</f>
        <v/>
      </c>
      <c r="Q1640" s="141">
        <f>E1640*P1640</f>
        <v/>
      </c>
      <c r="R1640" s="141">
        <f>ROUND(Q1640*IF(AND(offer_incoterms="DDP",seller_region="RU"),IF((TODAY()+offer_turnaround_time)&gt;=helpsheet!$L$17,rate_vatRU_from_26,rate_vatRu_till_25),0),2)</f>
        <v/>
      </c>
      <c r="S1640" s="177">
        <f>Q1640+IF(AND(offer_incoterms="DDP",seller_region="RU"),R1640,0)</f>
        <v/>
      </c>
      <c r="T1640" s="45" t="n"/>
      <c r="V1640" s="57">
        <f>IF(Q1640&gt;0,"показать","скрыть")</f>
        <v/>
      </c>
    </row>
    <row r="1641" ht="15.75" customHeight="1">
      <c r="B1641" s="809" t="n">
        <v>1625</v>
      </c>
      <c r="C1641" s="182">
        <f>IF(offer_sale_type="транзит",IFERROR(VLOOKUP($B1641,calc_data,C$14+1,0),0),0)</f>
        <v/>
      </c>
      <c r="D1641" s="280">
        <f>IF(offer_sale_type="транзит",IFERROR(VLOOKUP($B1641,calc_data,D$14+1,0),0),0)</f>
        <v/>
      </c>
      <c r="E1641" s="182">
        <f>IF(offer_sale_type="транзит",IFERROR(VLOOKUP($B1641,calc_data,E$14+1,0),0),0)</f>
        <v/>
      </c>
      <c r="F1641" s="182">
        <f>IF(offer_sale_type="транзит",IFERROR(VLOOKUP($B1641,calc_data,F$14+1,0),0),0)</f>
        <v/>
      </c>
      <c r="G1641" s="141">
        <f>IF(offer_sale_type="транзит",IFERROR(VLOOKUP($B1641,calc_data,G$14+1,0),0),0)</f>
        <v/>
      </c>
      <c r="H1641" s="141">
        <f>E1641*G1641</f>
        <v/>
      </c>
      <c r="I1641" s="141">
        <f>IF(offer_sale_type="транзит",IFERROR(ROUND(VLOOKUP($B1641,calc_data,I$14+1,0),2),0),0)</f>
        <v/>
      </c>
      <c r="J1641" s="141">
        <f>ROUND(IF(offer_sale_type="транзит",IFERROR(VLOOKUP($B1641,calc_data,J$14+1,0),0),0),2)</f>
        <v/>
      </c>
      <c r="K1641" s="142">
        <f>IF(offer_sale_type="транзит",IFERROR(ROUNDUP(VLOOKUP($B1641,calc_data,K$14+1,0),2),0),0)</f>
        <v/>
      </c>
      <c r="L1641" s="184">
        <f>IF(offer_sale_type="транзит",IFERROR(ROUNDUP(VLOOKUP($B1641,calc_data,L$14+1,0),2),0),0)</f>
        <v/>
      </c>
      <c r="M1641" s="141">
        <f>IF(offer_sale_type="транзит",IFERROR(ROUNDUP(VLOOKUP($B1641,calc_data,M$14+1,0),2),0),0)</f>
        <v/>
      </c>
      <c r="N1641" s="141">
        <f>IF(offer_sale_type="транзит",IFERROR(ROUNDUP(VLOOKUP($B1641,calc_data,N$14+1,0),2),0),0)</f>
        <v/>
      </c>
      <c r="O1641" s="147">
        <f>IF(offer_sale_type="транзит",IFERROR(ROUND(VLOOKUP($B1641,calc_data,O$14+1,1),2),0),0)</f>
        <v/>
      </c>
      <c r="P1641" s="141">
        <f>IF(offer_sale_type="транзит",IFERROR(ROUND(SUM(I1641:J1641,M1641:O1641)/E1641,2),0),0)</f>
        <v/>
      </c>
      <c r="Q1641" s="141">
        <f>E1641*P1641</f>
        <v/>
      </c>
      <c r="R1641" s="141">
        <f>ROUND(Q1641*IF(AND(offer_incoterms="DDP",seller_region="RU"),IF((TODAY()+offer_turnaround_time)&gt;=helpsheet!$L$17,rate_vatRU_from_26,rate_vatRu_till_25),0),2)</f>
        <v/>
      </c>
      <c r="S1641" s="177">
        <f>Q1641+IF(AND(offer_incoterms="DDP",seller_region="RU"),R1641,0)</f>
        <v/>
      </c>
      <c r="T1641" s="45" t="n"/>
      <c r="V1641" s="57">
        <f>IF(Q1641&gt;0,"показать","скрыть")</f>
        <v/>
      </c>
    </row>
    <row r="1642" ht="15.75" customHeight="1">
      <c r="B1642" s="809" t="n">
        <v>1626</v>
      </c>
      <c r="C1642" s="182">
        <f>IF(offer_sale_type="транзит",IFERROR(VLOOKUP($B1642,calc_data,C$14+1,0),0),0)</f>
        <v/>
      </c>
      <c r="D1642" s="280">
        <f>IF(offer_sale_type="транзит",IFERROR(VLOOKUP($B1642,calc_data,D$14+1,0),0),0)</f>
        <v/>
      </c>
      <c r="E1642" s="182">
        <f>IF(offer_sale_type="транзит",IFERROR(VLOOKUP($B1642,calc_data,E$14+1,0),0),0)</f>
        <v/>
      </c>
      <c r="F1642" s="182">
        <f>IF(offer_sale_type="транзит",IFERROR(VLOOKUP($B1642,calc_data,F$14+1,0),0),0)</f>
        <v/>
      </c>
      <c r="G1642" s="141">
        <f>IF(offer_sale_type="транзит",IFERROR(VLOOKUP($B1642,calc_data,G$14+1,0),0),0)</f>
        <v/>
      </c>
      <c r="H1642" s="141">
        <f>E1642*G1642</f>
        <v/>
      </c>
      <c r="I1642" s="141">
        <f>IF(offer_sale_type="транзит",IFERROR(ROUND(VLOOKUP($B1642,calc_data,I$14+1,0),2),0),0)</f>
        <v/>
      </c>
      <c r="J1642" s="141">
        <f>ROUND(IF(offer_sale_type="транзит",IFERROR(VLOOKUP($B1642,calc_data,J$14+1,0),0),0),2)</f>
        <v/>
      </c>
      <c r="K1642" s="142">
        <f>IF(offer_sale_type="транзит",IFERROR(ROUNDUP(VLOOKUP($B1642,calc_data,K$14+1,0),2),0),0)</f>
        <v/>
      </c>
      <c r="L1642" s="184">
        <f>IF(offer_sale_type="транзит",IFERROR(ROUNDUP(VLOOKUP($B1642,calc_data,L$14+1,0),2),0),0)</f>
        <v/>
      </c>
      <c r="M1642" s="141">
        <f>IF(offer_sale_type="транзит",IFERROR(ROUNDUP(VLOOKUP($B1642,calc_data,M$14+1,0),2),0),0)</f>
        <v/>
      </c>
      <c r="N1642" s="141">
        <f>IF(offer_sale_type="транзит",IFERROR(ROUNDUP(VLOOKUP($B1642,calc_data,N$14+1,0),2),0),0)</f>
        <v/>
      </c>
      <c r="O1642" s="147">
        <f>IF(offer_sale_type="транзит",IFERROR(ROUND(VLOOKUP($B1642,calc_data,O$14+1,1),2),0),0)</f>
        <v/>
      </c>
      <c r="P1642" s="141">
        <f>IF(offer_sale_type="транзит",IFERROR(ROUND(SUM(I1642:J1642,M1642:O1642)/E1642,2),0),0)</f>
        <v/>
      </c>
      <c r="Q1642" s="141">
        <f>E1642*P1642</f>
        <v/>
      </c>
      <c r="R1642" s="141">
        <f>ROUND(Q1642*IF(AND(offer_incoterms="DDP",seller_region="RU"),IF((TODAY()+offer_turnaround_time)&gt;=helpsheet!$L$17,rate_vatRU_from_26,rate_vatRu_till_25),0),2)</f>
        <v/>
      </c>
      <c r="S1642" s="177">
        <f>Q1642+IF(AND(offer_incoterms="DDP",seller_region="RU"),R1642,0)</f>
        <v/>
      </c>
      <c r="T1642" s="45" t="n"/>
      <c r="V1642" s="57">
        <f>IF(Q1642&gt;0,"показать","скрыть")</f>
        <v/>
      </c>
    </row>
    <row r="1643" ht="15.75" customHeight="1">
      <c r="B1643" s="809" t="n">
        <v>1627</v>
      </c>
      <c r="C1643" s="182">
        <f>IF(offer_sale_type="транзит",IFERROR(VLOOKUP($B1643,calc_data,C$14+1,0),0),0)</f>
        <v/>
      </c>
      <c r="D1643" s="280">
        <f>IF(offer_sale_type="транзит",IFERROR(VLOOKUP($B1643,calc_data,D$14+1,0),0),0)</f>
        <v/>
      </c>
      <c r="E1643" s="182">
        <f>IF(offer_sale_type="транзит",IFERROR(VLOOKUP($B1643,calc_data,E$14+1,0),0),0)</f>
        <v/>
      </c>
      <c r="F1643" s="182">
        <f>IF(offer_sale_type="транзит",IFERROR(VLOOKUP($B1643,calc_data,F$14+1,0),0),0)</f>
        <v/>
      </c>
      <c r="G1643" s="141">
        <f>IF(offer_sale_type="транзит",IFERROR(VLOOKUP($B1643,calc_data,G$14+1,0),0),0)</f>
        <v/>
      </c>
      <c r="H1643" s="141">
        <f>E1643*G1643</f>
        <v/>
      </c>
      <c r="I1643" s="141">
        <f>IF(offer_sale_type="транзит",IFERROR(ROUND(VLOOKUP($B1643,calc_data,I$14+1,0),2),0),0)</f>
        <v/>
      </c>
      <c r="J1643" s="141">
        <f>ROUND(IF(offer_sale_type="транзит",IFERROR(VLOOKUP($B1643,calc_data,J$14+1,0),0),0),2)</f>
        <v/>
      </c>
      <c r="K1643" s="142">
        <f>IF(offer_sale_type="транзит",IFERROR(ROUNDUP(VLOOKUP($B1643,calc_data,K$14+1,0),2),0),0)</f>
        <v/>
      </c>
      <c r="L1643" s="184">
        <f>IF(offer_sale_type="транзит",IFERROR(ROUNDUP(VLOOKUP($B1643,calc_data,L$14+1,0),2),0),0)</f>
        <v/>
      </c>
      <c r="M1643" s="141">
        <f>IF(offer_sale_type="транзит",IFERROR(ROUNDUP(VLOOKUP($B1643,calc_data,M$14+1,0),2),0),0)</f>
        <v/>
      </c>
      <c r="N1643" s="141">
        <f>IF(offer_sale_type="транзит",IFERROR(ROUNDUP(VLOOKUP($B1643,calc_data,N$14+1,0),2),0),0)</f>
        <v/>
      </c>
      <c r="O1643" s="147">
        <f>IF(offer_sale_type="транзит",IFERROR(ROUND(VLOOKUP($B1643,calc_data,O$14+1,1),2),0),0)</f>
        <v/>
      </c>
      <c r="P1643" s="141">
        <f>IF(offer_sale_type="транзит",IFERROR(ROUND(SUM(I1643:J1643,M1643:O1643)/E1643,2),0),0)</f>
        <v/>
      </c>
      <c r="Q1643" s="141">
        <f>E1643*P1643</f>
        <v/>
      </c>
      <c r="R1643" s="141">
        <f>ROUND(Q1643*IF(AND(offer_incoterms="DDP",seller_region="RU"),IF((TODAY()+offer_turnaround_time)&gt;=helpsheet!$L$17,rate_vatRU_from_26,rate_vatRu_till_25),0),2)</f>
        <v/>
      </c>
      <c r="S1643" s="177">
        <f>Q1643+IF(AND(offer_incoterms="DDP",seller_region="RU"),R1643,0)</f>
        <v/>
      </c>
      <c r="T1643" s="45" t="n"/>
      <c r="V1643" s="57">
        <f>IF(Q1643&gt;0,"показать","скрыть")</f>
        <v/>
      </c>
    </row>
    <row r="1644" ht="15.75" customHeight="1">
      <c r="B1644" s="809" t="n">
        <v>1628</v>
      </c>
      <c r="C1644" s="182">
        <f>IF(offer_sale_type="транзит",IFERROR(VLOOKUP($B1644,calc_data,C$14+1,0),0),0)</f>
        <v/>
      </c>
      <c r="D1644" s="280">
        <f>IF(offer_sale_type="транзит",IFERROR(VLOOKUP($B1644,calc_data,D$14+1,0),0),0)</f>
        <v/>
      </c>
      <c r="E1644" s="182">
        <f>IF(offer_sale_type="транзит",IFERROR(VLOOKUP($B1644,calc_data,E$14+1,0),0),0)</f>
        <v/>
      </c>
      <c r="F1644" s="182">
        <f>IF(offer_sale_type="транзит",IFERROR(VLOOKUP($B1644,calc_data,F$14+1,0),0),0)</f>
        <v/>
      </c>
      <c r="G1644" s="141">
        <f>IF(offer_sale_type="транзит",IFERROR(VLOOKUP($B1644,calc_data,G$14+1,0),0),0)</f>
        <v/>
      </c>
      <c r="H1644" s="141">
        <f>E1644*G1644</f>
        <v/>
      </c>
      <c r="I1644" s="141">
        <f>IF(offer_sale_type="транзит",IFERROR(ROUND(VLOOKUP($B1644,calc_data,I$14+1,0),2),0),0)</f>
        <v/>
      </c>
      <c r="J1644" s="141">
        <f>ROUND(IF(offer_sale_type="транзит",IFERROR(VLOOKUP($B1644,calc_data,J$14+1,0),0),0),2)</f>
        <v/>
      </c>
      <c r="K1644" s="142">
        <f>IF(offer_sale_type="транзит",IFERROR(ROUNDUP(VLOOKUP($B1644,calc_data,K$14+1,0),2),0),0)</f>
        <v/>
      </c>
      <c r="L1644" s="184">
        <f>IF(offer_sale_type="транзит",IFERROR(ROUNDUP(VLOOKUP($B1644,calc_data,L$14+1,0),2),0),0)</f>
        <v/>
      </c>
      <c r="M1644" s="141">
        <f>IF(offer_sale_type="транзит",IFERROR(ROUNDUP(VLOOKUP($B1644,calc_data,M$14+1,0),2),0),0)</f>
        <v/>
      </c>
      <c r="N1644" s="141">
        <f>IF(offer_sale_type="транзит",IFERROR(ROUNDUP(VLOOKUP($B1644,calc_data,N$14+1,0),2),0),0)</f>
        <v/>
      </c>
      <c r="O1644" s="147">
        <f>IF(offer_sale_type="транзит",IFERROR(ROUND(VLOOKUP($B1644,calc_data,O$14+1,1),2),0),0)</f>
        <v/>
      </c>
      <c r="P1644" s="141">
        <f>IF(offer_sale_type="транзит",IFERROR(ROUND(SUM(I1644:J1644,M1644:O1644)/E1644,2),0),0)</f>
        <v/>
      </c>
      <c r="Q1644" s="141">
        <f>E1644*P1644</f>
        <v/>
      </c>
      <c r="R1644" s="141">
        <f>ROUND(Q1644*IF(AND(offer_incoterms="DDP",seller_region="RU"),IF((TODAY()+offer_turnaround_time)&gt;=helpsheet!$L$17,rate_vatRU_from_26,rate_vatRu_till_25),0),2)</f>
        <v/>
      </c>
      <c r="S1644" s="177">
        <f>Q1644+IF(AND(offer_incoterms="DDP",seller_region="RU"),R1644,0)</f>
        <v/>
      </c>
      <c r="T1644" s="45" t="n"/>
      <c r="V1644" s="57">
        <f>IF(Q1644&gt;0,"показать","скрыть")</f>
        <v/>
      </c>
    </row>
    <row r="1645" ht="15.75" customHeight="1">
      <c r="B1645" s="809" t="n">
        <v>1629</v>
      </c>
      <c r="C1645" s="182">
        <f>IF(offer_sale_type="транзит",IFERROR(VLOOKUP($B1645,calc_data,C$14+1,0),0),0)</f>
        <v/>
      </c>
      <c r="D1645" s="280">
        <f>IF(offer_sale_type="транзит",IFERROR(VLOOKUP($B1645,calc_data,D$14+1,0),0),0)</f>
        <v/>
      </c>
      <c r="E1645" s="182">
        <f>IF(offer_sale_type="транзит",IFERROR(VLOOKUP($B1645,calc_data,E$14+1,0),0),0)</f>
        <v/>
      </c>
      <c r="F1645" s="182">
        <f>IF(offer_sale_type="транзит",IFERROR(VLOOKUP($B1645,calc_data,F$14+1,0),0),0)</f>
        <v/>
      </c>
      <c r="G1645" s="141">
        <f>IF(offer_sale_type="транзит",IFERROR(VLOOKUP($B1645,calc_data,G$14+1,0),0),0)</f>
        <v/>
      </c>
      <c r="H1645" s="141">
        <f>E1645*G1645</f>
        <v/>
      </c>
      <c r="I1645" s="141">
        <f>IF(offer_sale_type="транзит",IFERROR(ROUND(VLOOKUP($B1645,calc_data,I$14+1,0),2),0),0)</f>
        <v/>
      </c>
      <c r="J1645" s="141">
        <f>ROUND(IF(offer_sale_type="транзит",IFERROR(VLOOKUP($B1645,calc_data,J$14+1,0),0),0),2)</f>
        <v/>
      </c>
      <c r="K1645" s="142">
        <f>IF(offer_sale_type="транзит",IFERROR(ROUNDUP(VLOOKUP($B1645,calc_data,K$14+1,0),2),0),0)</f>
        <v/>
      </c>
      <c r="L1645" s="184">
        <f>IF(offer_sale_type="транзит",IFERROR(ROUNDUP(VLOOKUP($B1645,calc_data,L$14+1,0),2),0),0)</f>
        <v/>
      </c>
      <c r="M1645" s="141">
        <f>IF(offer_sale_type="транзит",IFERROR(ROUNDUP(VLOOKUP($B1645,calc_data,M$14+1,0),2),0),0)</f>
        <v/>
      </c>
      <c r="N1645" s="141">
        <f>IF(offer_sale_type="транзит",IFERROR(ROUNDUP(VLOOKUP($B1645,calc_data,N$14+1,0),2),0),0)</f>
        <v/>
      </c>
      <c r="O1645" s="147">
        <f>IF(offer_sale_type="транзит",IFERROR(ROUND(VLOOKUP($B1645,calc_data,O$14+1,1),2),0),0)</f>
        <v/>
      </c>
      <c r="P1645" s="141">
        <f>IF(offer_sale_type="транзит",IFERROR(ROUND(SUM(I1645:J1645,M1645:O1645)/E1645,2),0),0)</f>
        <v/>
      </c>
      <c r="Q1645" s="141">
        <f>E1645*P1645</f>
        <v/>
      </c>
      <c r="R1645" s="141">
        <f>ROUND(Q1645*IF(AND(offer_incoterms="DDP",seller_region="RU"),IF((TODAY()+offer_turnaround_time)&gt;=helpsheet!$L$17,rate_vatRU_from_26,rate_vatRu_till_25),0),2)</f>
        <v/>
      </c>
      <c r="S1645" s="177">
        <f>Q1645+IF(AND(offer_incoterms="DDP",seller_region="RU"),R1645,0)</f>
        <v/>
      </c>
      <c r="T1645" s="45" t="n"/>
      <c r="V1645" s="57">
        <f>IF(Q1645&gt;0,"показать","скрыть")</f>
        <v/>
      </c>
    </row>
    <row r="1646" ht="15.75" customHeight="1">
      <c r="B1646" s="809" t="n">
        <v>1630</v>
      </c>
      <c r="C1646" s="182">
        <f>IF(offer_sale_type="транзит",IFERROR(VLOOKUP($B1646,calc_data,C$14+1,0),0),0)</f>
        <v/>
      </c>
      <c r="D1646" s="280">
        <f>IF(offer_sale_type="транзит",IFERROR(VLOOKUP($B1646,calc_data,D$14+1,0),0),0)</f>
        <v/>
      </c>
      <c r="E1646" s="182">
        <f>IF(offer_sale_type="транзит",IFERROR(VLOOKUP($B1646,calc_data,E$14+1,0),0),0)</f>
        <v/>
      </c>
      <c r="F1646" s="182">
        <f>IF(offer_sale_type="транзит",IFERROR(VLOOKUP($B1646,calc_data,F$14+1,0),0),0)</f>
        <v/>
      </c>
      <c r="G1646" s="141">
        <f>IF(offer_sale_type="транзит",IFERROR(VLOOKUP($B1646,calc_data,G$14+1,0),0),0)</f>
        <v/>
      </c>
      <c r="H1646" s="141">
        <f>E1646*G1646</f>
        <v/>
      </c>
      <c r="I1646" s="141">
        <f>IF(offer_sale_type="транзит",IFERROR(ROUND(VLOOKUP($B1646,calc_data,I$14+1,0),2),0),0)</f>
        <v/>
      </c>
      <c r="J1646" s="141">
        <f>ROUND(IF(offer_sale_type="транзит",IFERROR(VLOOKUP($B1646,calc_data,J$14+1,0),0),0),2)</f>
        <v/>
      </c>
      <c r="K1646" s="142">
        <f>IF(offer_sale_type="транзит",IFERROR(ROUNDUP(VLOOKUP($B1646,calc_data,K$14+1,0),2),0),0)</f>
        <v/>
      </c>
      <c r="L1646" s="184">
        <f>IF(offer_sale_type="транзит",IFERROR(ROUNDUP(VLOOKUP($B1646,calc_data,L$14+1,0),2),0),0)</f>
        <v/>
      </c>
      <c r="M1646" s="141">
        <f>IF(offer_sale_type="транзит",IFERROR(ROUNDUP(VLOOKUP($B1646,calc_data,M$14+1,0),2),0),0)</f>
        <v/>
      </c>
      <c r="N1646" s="141">
        <f>IF(offer_sale_type="транзит",IFERROR(ROUNDUP(VLOOKUP($B1646,calc_data,N$14+1,0),2),0),0)</f>
        <v/>
      </c>
      <c r="O1646" s="147">
        <f>IF(offer_sale_type="транзит",IFERROR(ROUND(VLOOKUP($B1646,calc_data,O$14+1,1),2),0),0)</f>
        <v/>
      </c>
      <c r="P1646" s="141">
        <f>IF(offer_sale_type="транзит",IFERROR(ROUND(SUM(I1646:J1646,M1646:O1646)/E1646,2),0),0)</f>
        <v/>
      </c>
      <c r="Q1646" s="141">
        <f>E1646*P1646</f>
        <v/>
      </c>
      <c r="R1646" s="141">
        <f>ROUND(Q1646*IF(AND(offer_incoterms="DDP",seller_region="RU"),IF((TODAY()+offer_turnaround_time)&gt;=helpsheet!$L$17,rate_vatRU_from_26,rate_vatRu_till_25),0),2)</f>
        <v/>
      </c>
      <c r="S1646" s="177">
        <f>Q1646+IF(AND(offer_incoterms="DDP",seller_region="RU"),R1646,0)</f>
        <v/>
      </c>
      <c r="T1646" s="45" t="n"/>
      <c r="V1646" s="57">
        <f>IF(Q1646&gt;0,"показать","скрыть")</f>
        <v/>
      </c>
    </row>
    <row r="1647" ht="15.75" customHeight="1">
      <c r="B1647" s="809" t="n">
        <v>1631</v>
      </c>
      <c r="C1647" s="182">
        <f>IF(offer_sale_type="транзит",IFERROR(VLOOKUP($B1647,calc_data,C$14+1,0),0),0)</f>
        <v/>
      </c>
      <c r="D1647" s="280">
        <f>IF(offer_sale_type="транзит",IFERROR(VLOOKUP($B1647,calc_data,D$14+1,0),0),0)</f>
        <v/>
      </c>
      <c r="E1647" s="182">
        <f>IF(offer_sale_type="транзит",IFERROR(VLOOKUP($B1647,calc_data,E$14+1,0),0),0)</f>
        <v/>
      </c>
      <c r="F1647" s="182">
        <f>IF(offer_sale_type="транзит",IFERROR(VLOOKUP($B1647,calc_data,F$14+1,0),0),0)</f>
        <v/>
      </c>
      <c r="G1647" s="141">
        <f>IF(offer_sale_type="транзит",IFERROR(VLOOKUP($B1647,calc_data,G$14+1,0),0),0)</f>
        <v/>
      </c>
      <c r="H1647" s="141">
        <f>E1647*G1647</f>
        <v/>
      </c>
      <c r="I1647" s="141">
        <f>IF(offer_sale_type="транзит",IFERROR(ROUND(VLOOKUP($B1647,calc_data,I$14+1,0),2),0),0)</f>
        <v/>
      </c>
      <c r="J1647" s="141">
        <f>ROUND(IF(offer_sale_type="транзит",IFERROR(VLOOKUP($B1647,calc_data,J$14+1,0),0),0),2)</f>
        <v/>
      </c>
      <c r="K1647" s="142">
        <f>IF(offer_sale_type="транзит",IFERROR(ROUNDUP(VLOOKUP($B1647,calc_data,K$14+1,0),2),0),0)</f>
        <v/>
      </c>
      <c r="L1647" s="184">
        <f>IF(offer_sale_type="транзит",IFERROR(ROUNDUP(VLOOKUP($B1647,calc_data,L$14+1,0),2),0),0)</f>
        <v/>
      </c>
      <c r="M1647" s="141">
        <f>IF(offer_sale_type="транзит",IFERROR(ROUNDUP(VLOOKUP($B1647,calc_data,M$14+1,0),2),0),0)</f>
        <v/>
      </c>
      <c r="N1647" s="141">
        <f>IF(offer_sale_type="транзит",IFERROR(ROUNDUP(VLOOKUP($B1647,calc_data,N$14+1,0),2),0),0)</f>
        <v/>
      </c>
      <c r="O1647" s="147">
        <f>IF(offer_sale_type="транзит",IFERROR(ROUND(VLOOKUP($B1647,calc_data,O$14+1,1),2),0),0)</f>
        <v/>
      </c>
      <c r="P1647" s="141">
        <f>IF(offer_sale_type="транзит",IFERROR(ROUND(SUM(I1647:J1647,M1647:O1647)/E1647,2),0),0)</f>
        <v/>
      </c>
      <c r="Q1647" s="141">
        <f>E1647*P1647</f>
        <v/>
      </c>
      <c r="R1647" s="141">
        <f>ROUND(Q1647*IF(AND(offer_incoterms="DDP",seller_region="RU"),IF((TODAY()+offer_turnaround_time)&gt;=helpsheet!$L$17,rate_vatRU_from_26,rate_vatRu_till_25),0),2)</f>
        <v/>
      </c>
      <c r="S1647" s="177">
        <f>Q1647+IF(AND(offer_incoterms="DDP",seller_region="RU"),R1647,0)</f>
        <v/>
      </c>
      <c r="T1647" s="45" t="n"/>
      <c r="V1647" s="57">
        <f>IF(Q1647&gt;0,"показать","скрыть")</f>
        <v/>
      </c>
    </row>
    <row r="1648" ht="15.75" customHeight="1">
      <c r="B1648" s="809" t="n">
        <v>1632</v>
      </c>
      <c r="C1648" s="182">
        <f>IF(offer_sale_type="транзит",IFERROR(VLOOKUP($B1648,calc_data,C$14+1,0),0),0)</f>
        <v/>
      </c>
      <c r="D1648" s="280">
        <f>IF(offer_sale_type="транзит",IFERROR(VLOOKUP($B1648,calc_data,D$14+1,0),0),0)</f>
        <v/>
      </c>
      <c r="E1648" s="182">
        <f>IF(offer_sale_type="транзит",IFERROR(VLOOKUP($B1648,calc_data,E$14+1,0),0),0)</f>
        <v/>
      </c>
      <c r="F1648" s="182">
        <f>IF(offer_sale_type="транзит",IFERROR(VLOOKUP($B1648,calc_data,F$14+1,0),0),0)</f>
        <v/>
      </c>
      <c r="G1648" s="141">
        <f>IF(offer_sale_type="транзит",IFERROR(VLOOKUP($B1648,calc_data,G$14+1,0),0),0)</f>
        <v/>
      </c>
      <c r="H1648" s="141">
        <f>E1648*G1648</f>
        <v/>
      </c>
      <c r="I1648" s="141">
        <f>IF(offer_sale_type="транзит",IFERROR(ROUND(VLOOKUP($B1648,calc_data,I$14+1,0),2),0),0)</f>
        <v/>
      </c>
      <c r="J1648" s="141">
        <f>ROUND(IF(offer_sale_type="транзит",IFERROR(VLOOKUP($B1648,calc_data,J$14+1,0),0),0),2)</f>
        <v/>
      </c>
      <c r="K1648" s="142">
        <f>IF(offer_sale_type="транзит",IFERROR(ROUNDUP(VLOOKUP($B1648,calc_data,K$14+1,0),2),0),0)</f>
        <v/>
      </c>
      <c r="L1648" s="184">
        <f>IF(offer_sale_type="транзит",IFERROR(ROUNDUP(VLOOKUP($B1648,calc_data,L$14+1,0),2),0),0)</f>
        <v/>
      </c>
      <c r="M1648" s="141">
        <f>IF(offer_sale_type="транзит",IFERROR(ROUNDUP(VLOOKUP($B1648,calc_data,M$14+1,0),2),0),0)</f>
        <v/>
      </c>
      <c r="N1648" s="141">
        <f>IF(offer_sale_type="транзит",IFERROR(ROUNDUP(VLOOKUP($B1648,calc_data,N$14+1,0),2),0),0)</f>
        <v/>
      </c>
      <c r="O1648" s="147">
        <f>IF(offer_sale_type="транзит",IFERROR(ROUND(VLOOKUP($B1648,calc_data,O$14+1,1),2),0),0)</f>
        <v/>
      </c>
      <c r="P1648" s="141">
        <f>IF(offer_sale_type="транзит",IFERROR(ROUND(SUM(I1648:J1648,M1648:O1648)/E1648,2),0),0)</f>
        <v/>
      </c>
      <c r="Q1648" s="141">
        <f>E1648*P1648</f>
        <v/>
      </c>
      <c r="R1648" s="141">
        <f>ROUND(Q1648*IF(AND(offer_incoterms="DDP",seller_region="RU"),IF((TODAY()+offer_turnaround_time)&gt;=helpsheet!$L$17,rate_vatRU_from_26,rate_vatRu_till_25),0),2)</f>
        <v/>
      </c>
      <c r="S1648" s="177">
        <f>Q1648+IF(AND(offer_incoterms="DDP",seller_region="RU"),R1648,0)</f>
        <v/>
      </c>
      <c r="T1648" s="45" t="n"/>
      <c r="V1648" s="57">
        <f>IF(Q1648&gt;0,"показать","скрыть")</f>
        <v/>
      </c>
    </row>
    <row r="1649" ht="15.75" customHeight="1">
      <c r="B1649" s="809" t="n">
        <v>1633</v>
      </c>
      <c r="C1649" s="182">
        <f>IF(offer_sale_type="транзит",IFERROR(VLOOKUP($B1649,calc_data,C$14+1,0),0),0)</f>
        <v/>
      </c>
      <c r="D1649" s="280">
        <f>IF(offer_sale_type="транзит",IFERROR(VLOOKUP($B1649,calc_data,D$14+1,0),0),0)</f>
        <v/>
      </c>
      <c r="E1649" s="182">
        <f>IF(offer_sale_type="транзит",IFERROR(VLOOKUP($B1649,calc_data,E$14+1,0),0),0)</f>
        <v/>
      </c>
      <c r="F1649" s="182">
        <f>IF(offer_sale_type="транзит",IFERROR(VLOOKUP($B1649,calc_data,F$14+1,0),0),0)</f>
        <v/>
      </c>
      <c r="G1649" s="141">
        <f>IF(offer_sale_type="транзит",IFERROR(VLOOKUP($B1649,calc_data,G$14+1,0),0),0)</f>
        <v/>
      </c>
      <c r="H1649" s="141">
        <f>E1649*G1649</f>
        <v/>
      </c>
      <c r="I1649" s="141">
        <f>IF(offer_sale_type="транзит",IFERROR(ROUND(VLOOKUP($B1649,calc_data,I$14+1,0),2),0),0)</f>
        <v/>
      </c>
      <c r="J1649" s="141">
        <f>ROUND(IF(offer_sale_type="транзит",IFERROR(VLOOKUP($B1649,calc_data,J$14+1,0),0),0),2)</f>
        <v/>
      </c>
      <c r="K1649" s="142">
        <f>IF(offer_sale_type="транзит",IFERROR(ROUNDUP(VLOOKUP($B1649,calc_data,K$14+1,0),2),0),0)</f>
        <v/>
      </c>
      <c r="L1649" s="184">
        <f>IF(offer_sale_type="транзит",IFERROR(ROUNDUP(VLOOKUP($B1649,calc_data,L$14+1,0),2),0),0)</f>
        <v/>
      </c>
      <c r="M1649" s="141">
        <f>IF(offer_sale_type="транзит",IFERROR(ROUNDUP(VLOOKUP($B1649,calc_data,M$14+1,0),2),0),0)</f>
        <v/>
      </c>
      <c r="N1649" s="141">
        <f>IF(offer_sale_type="транзит",IFERROR(ROUNDUP(VLOOKUP($B1649,calc_data,N$14+1,0),2),0),0)</f>
        <v/>
      </c>
      <c r="O1649" s="147">
        <f>IF(offer_sale_type="транзит",IFERROR(ROUND(VLOOKUP($B1649,calc_data,O$14+1,1),2),0),0)</f>
        <v/>
      </c>
      <c r="P1649" s="141">
        <f>IF(offer_sale_type="транзит",IFERROR(ROUND(SUM(I1649:J1649,M1649:O1649)/E1649,2),0),0)</f>
        <v/>
      </c>
      <c r="Q1649" s="141">
        <f>E1649*P1649</f>
        <v/>
      </c>
      <c r="R1649" s="141">
        <f>ROUND(Q1649*IF(AND(offer_incoterms="DDP",seller_region="RU"),IF((TODAY()+offer_turnaround_time)&gt;=helpsheet!$L$17,rate_vatRU_from_26,rate_vatRu_till_25),0),2)</f>
        <v/>
      </c>
      <c r="S1649" s="177">
        <f>Q1649+IF(AND(offer_incoterms="DDP",seller_region="RU"),R1649,0)</f>
        <v/>
      </c>
      <c r="T1649" s="45" t="n"/>
      <c r="V1649" s="57">
        <f>IF(Q1649&gt;0,"показать","скрыть")</f>
        <v/>
      </c>
    </row>
    <row r="1650" ht="15.75" customHeight="1">
      <c r="B1650" s="809" t="n">
        <v>1634</v>
      </c>
      <c r="C1650" s="182">
        <f>IF(offer_sale_type="транзит",IFERROR(VLOOKUP($B1650,calc_data,C$14+1,0),0),0)</f>
        <v/>
      </c>
      <c r="D1650" s="280">
        <f>IF(offer_sale_type="транзит",IFERROR(VLOOKUP($B1650,calc_data,D$14+1,0),0),0)</f>
        <v/>
      </c>
      <c r="E1650" s="182">
        <f>IF(offer_sale_type="транзит",IFERROR(VLOOKUP($B1650,calc_data,E$14+1,0),0),0)</f>
        <v/>
      </c>
      <c r="F1650" s="182">
        <f>IF(offer_sale_type="транзит",IFERROR(VLOOKUP($B1650,calc_data,F$14+1,0),0),0)</f>
        <v/>
      </c>
      <c r="G1650" s="141">
        <f>IF(offer_sale_type="транзит",IFERROR(VLOOKUP($B1650,calc_data,G$14+1,0),0),0)</f>
        <v/>
      </c>
      <c r="H1650" s="141">
        <f>E1650*G1650</f>
        <v/>
      </c>
      <c r="I1650" s="141">
        <f>IF(offer_sale_type="транзит",IFERROR(ROUND(VLOOKUP($B1650,calc_data,I$14+1,0),2),0),0)</f>
        <v/>
      </c>
      <c r="J1650" s="141">
        <f>ROUND(IF(offer_sale_type="транзит",IFERROR(VLOOKUP($B1650,calc_data,J$14+1,0),0),0),2)</f>
        <v/>
      </c>
      <c r="K1650" s="142">
        <f>IF(offer_sale_type="транзит",IFERROR(ROUNDUP(VLOOKUP($B1650,calc_data,K$14+1,0),2),0),0)</f>
        <v/>
      </c>
      <c r="L1650" s="184">
        <f>IF(offer_sale_type="транзит",IFERROR(ROUNDUP(VLOOKUP($B1650,calc_data,L$14+1,0),2),0),0)</f>
        <v/>
      </c>
      <c r="M1650" s="141">
        <f>IF(offer_sale_type="транзит",IFERROR(ROUNDUP(VLOOKUP($B1650,calc_data,M$14+1,0),2),0),0)</f>
        <v/>
      </c>
      <c r="N1650" s="141">
        <f>IF(offer_sale_type="транзит",IFERROR(ROUNDUP(VLOOKUP($B1650,calc_data,N$14+1,0),2),0),0)</f>
        <v/>
      </c>
      <c r="O1650" s="147">
        <f>IF(offer_sale_type="транзит",IFERROR(ROUND(VLOOKUP($B1650,calc_data,O$14+1,1),2),0),0)</f>
        <v/>
      </c>
      <c r="P1650" s="141">
        <f>IF(offer_sale_type="транзит",IFERROR(ROUND(SUM(I1650:J1650,M1650:O1650)/E1650,2),0),0)</f>
        <v/>
      </c>
      <c r="Q1650" s="141">
        <f>E1650*P1650</f>
        <v/>
      </c>
      <c r="R1650" s="141">
        <f>ROUND(Q1650*IF(AND(offer_incoterms="DDP",seller_region="RU"),IF((TODAY()+offer_turnaround_time)&gt;=helpsheet!$L$17,rate_vatRU_from_26,rate_vatRu_till_25),0),2)</f>
        <v/>
      </c>
      <c r="S1650" s="177">
        <f>Q1650+IF(AND(offer_incoterms="DDP",seller_region="RU"),R1650,0)</f>
        <v/>
      </c>
      <c r="T1650" s="45" t="n"/>
      <c r="V1650" s="57">
        <f>IF(Q1650&gt;0,"показать","скрыть")</f>
        <v/>
      </c>
    </row>
    <row r="1651" ht="15.75" customHeight="1">
      <c r="B1651" s="809" t="n">
        <v>1635</v>
      </c>
      <c r="C1651" s="182">
        <f>IF(offer_sale_type="транзит",IFERROR(VLOOKUP($B1651,calc_data,C$14+1,0),0),0)</f>
        <v/>
      </c>
      <c r="D1651" s="280">
        <f>IF(offer_sale_type="транзит",IFERROR(VLOOKUP($B1651,calc_data,D$14+1,0),0),0)</f>
        <v/>
      </c>
      <c r="E1651" s="182">
        <f>IF(offer_sale_type="транзит",IFERROR(VLOOKUP($B1651,calc_data,E$14+1,0),0),0)</f>
        <v/>
      </c>
      <c r="F1651" s="182">
        <f>IF(offer_sale_type="транзит",IFERROR(VLOOKUP($B1651,calc_data,F$14+1,0),0),0)</f>
        <v/>
      </c>
      <c r="G1651" s="141">
        <f>IF(offer_sale_type="транзит",IFERROR(VLOOKUP($B1651,calc_data,G$14+1,0),0),0)</f>
        <v/>
      </c>
      <c r="H1651" s="141">
        <f>E1651*G1651</f>
        <v/>
      </c>
      <c r="I1651" s="141">
        <f>IF(offer_sale_type="транзит",IFERROR(ROUND(VLOOKUP($B1651,calc_data,I$14+1,0),2),0),0)</f>
        <v/>
      </c>
      <c r="J1651" s="141">
        <f>ROUND(IF(offer_sale_type="транзит",IFERROR(VLOOKUP($B1651,calc_data,J$14+1,0),0),0),2)</f>
        <v/>
      </c>
      <c r="K1651" s="142">
        <f>IF(offer_sale_type="транзит",IFERROR(ROUNDUP(VLOOKUP($B1651,calc_data,K$14+1,0),2),0),0)</f>
        <v/>
      </c>
      <c r="L1651" s="184">
        <f>IF(offer_sale_type="транзит",IFERROR(ROUNDUP(VLOOKUP($B1651,calc_data,L$14+1,0),2),0),0)</f>
        <v/>
      </c>
      <c r="M1651" s="141">
        <f>IF(offer_sale_type="транзит",IFERROR(ROUNDUP(VLOOKUP($B1651,calc_data,M$14+1,0),2),0),0)</f>
        <v/>
      </c>
      <c r="N1651" s="141">
        <f>IF(offer_sale_type="транзит",IFERROR(ROUNDUP(VLOOKUP($B1651,calc_data,N$14+1,0),2),0),0)</f>
        <v/>
      </c>
      <c r="O1651" s="147">
        <f>IF(offer_sale_type="транзит",IFERROR(ROUND(VLOOKUP($B1651,calc_data,O$14+1,1),2),0),0)</f>
        <v/>
      </c>
      <c r="P1651" s="141">
        <f>IF(offer_sale_type="транзит",IFERROR(ROUND(SUM(I1651:J1651,M1651:O1651)/E1651,2),0),0)</f>
        <v/>
      </c>
      <c r="Q1651" s="141">
        <f>E1651*P1651</f>
        <v/>
      </c>
      <c r="R1651" s="141">
        <f>ROUND(Q1651*IF(AND(offer_incoterms="DDP",seller_region="RU"),IF((TODAY()+offer_turnaround_time)&gt;=helpsheet!$L$17,rate_vatRU_from_26,rate_vatRu_till_25),0),2)</f>
        <v/>
      </c>
      <c r="S1651" s="177">
        <f>Q1651+IF(AND(offer_incoterms="DDP",seller_region="RU"),R1651,0)</f>
        <v/>
      </c>
      <c r="T1651" s="45" t="n"/>
      <c r="V1651" s="57">
        <f>IF(Q1651&gt;0,"показать","скрыть")</f>
        <v/>
      </c>
    </row>
    <row r="1652" ht="15.75" customHeight="1">
      <c r="B1652" s="809" t="n">
        <v>1636</v>
      </c>
      <c r="C1652" s="182">
        <f>IF(offer_sale_type="транзит",IFERROR(VLOOKUP($B1652,calc_data,C$14+1,0),0),0)</f>
        <v/>
      </c>
      <c r="D1652" s="280">
        <f>IF(offer_sale_type="транзит",IFERROR(VLOOKUP($B1652,calc_data,D$14+1,0),0),0)</f>
        <v/>
      </c>
      <c r="E1652" s="182">
        <f>IF(offer_sale_type="транзит",IFERROR(VLOOKUP($B1652,calc_data,E$14+1,0),0),0)</f>
        <v/>
      </c>
      <c r="F1652" s="182">
        <f>IF(offer_sale_type="транзит",IFERROR(VLOOKUP($B1652,calc_data,F$14+1,0),0),0)</f>
        <v/>
      </c>
      <c r="G1652" s="141">
        <f>IF(offer_sale_type="транзит",IFERROR(VLOOKUP($B1652,calc_data,G$14+1,0),0),0)</f>
        <v/>
      </c>
      <c r="H1652" s="141">
        <f>E1652*G1652</f>
        <v/>
      </c>
      <c r="I1652" s="141">
        <f>IF(offer_sale_type="транзит",IFERROR(ROUND(VLOOKUP($B1652,calc_data,I$14+1,0),2),0),0)</f>
        <v/>
      </c>
      <c r="J1652" s="141">
        <f>ROUND(IF(offer_sale_type="транзит",IFERROR(VLOOKUP($B1652,calc_data,J$14+1,0),0),0),2)</f>
        <v/>
      </c>
      <c r="K1652" s="142">
        <f>IF(offer_sale_type="транзит",IFERROR(ROUNDUP(VLOOKUP($B1652,calc_data,K$14+1,0),2),0),0)</f>
        <v/>
      </c>
      <c r="L1652" s="184">
        <f>IF(offer_sale_type="транзит",IFERROR(ROUNDUP(VLOOKUP($B1652,calc_data,L$14+1,0),2),0),0)</f>
        <v/>
      </c>
      <c r="M1652" s="141">
        <f>IF(offer_sale_type="транзит",IFERROR(ROUNDUP(VLOOKUP($B1652,calc_data,M$14+1,0),2),0),0)</f>
        <v/>
      </c>
      <c r="N1652" s="141">
        <f>IF(offer_sale_type="транзит",IFERROR(ROUNDUP(VLOOKUP($B1652,calc_data,N$14+1,0),2),0),0)</f>
        <v/>
      </c>
      <c r="O1652" s="147">
        <f>IF(offer_sale_type="транзит",IFERROR(ROUND(VLOOKUP($B1652,calc_data,O$14+1,1),2),0),0)</f>
        <v/>
      </c>
      <c r="P1652" s="141">
        <f>IF(offer_sale_type="транзит",IFERROR(ROUND(SUM(I1652:J1652,M1652:O1652)/E1652,2),0),0)</f>
        <v/>
      </c>
      <c r="Q1652" s="141">
        <f>E1652*P1652</f>
        <v/>
      </c>
      <c r="R1652" s="141">
        <f>ROUND(Q1652*IF(AND(offer_incoterms="DDP",seller_region="RU"),IF((TODAY()+offer_turnaround_time)&gt;=helpsheet!$L$17,rate_vatRU_from_26,rate_vatRu_till_25),0),2)</f>
        <v/>
      </c>
      <c r="S1652" s="177">
        <f>Q1652+IF(AND(offer_incoterms="DDP",seller_region="RU"),R1652,0)</f>
        <v/>
      </c>
      <c r="T1652" s="45" t="n"/>
      <c r="V1652" s="57">
        <f>IF(Q1652&gt;0,"показать","скрыть")</f>
        <v/>
      </c>
    </row>
    <row r="1653" ht="15.75" customHeight="1">
      <c r="B1653" s="809" t="n">
        <v>1637</v>
      </c>
      <c r="C1653" s="182">
        <f>IF(offer_sale_type="транзит",IFERROR(VLOOKUP($B1653,calc_data,C$14+1,0),0),0)</f>
        <v/>
      </c>
      <c r="D1653" s="280">
        <f>IF(offer_sale_type="транзит",IFERROR(VLOOKUP($B1653,calc_data,D$14+1,0),0),0)</f>
        <v/>
      </c>
      <c r="E1653" s="182">
        <f>IF(offer_sale_type="транзит",IFERROR(VLOOKUP($B1653,calc_data,E$14+1,0),0),0)</f>
        <v/>
      </c>
      <c r="F1653" s="182">
        <f>IF(offer_sale_type="транзит",IFERROR(VLOOKUP($B1653,calc_data,F$14+1,0),0),0)</f>
        <v/>
      </c>
      <c r="G1653" s="141">
        <f>IF(offer_sale_type="транзит",IFERROR(VLOOKUP($B1653,calc_data,G$14+1,0),0),0)</f>
        <v/>
      </c>
      <c r="H1653" s="141">
        <f>E1653*G1653</f>
        <v/>
      </c>
      <c r="I1653" s="141">
        <f>IF(offer_sale_type="транзит",IFERROR(ROUND(VLOOKUP($B1653,calc_data,I$14+1,0),2),0),0)</f>
        <v/>
      </c>
      <c r="J1653" s="141">
        <f>ROUND(IF(offer_sale_type="транзит",IFERROR(VLOOKUP($B1653,calc_data,J$14+1,0),0),0),2)</f>
        <v/>
      </c>
      <c r="K1653" s="142">
        <f>IF(offer_sale_type="транзит",IFERROR(ROUNDUP(VLOOKUP($B1653,calc_data,K$14+1,0),2),0),0)</f>
        <v/>
      </c>
      <c r="L1653" s="184">
        <f>IF(offer_sale_type="транзит",IFERROR(ROUNDUP(VLOOKUP($B1653,calc_data,L$14+1,0),2),0),0)</f>
        <v/>
      </c>
      <c r="M1653" s="141">
        <f>IF(offer_sale_type="транзит",IFERROR(ROUNDUP(VLOOKUP($B1653,calc_data,M$14+1,0),2),0),0)</f>
        <v/>
      </c>
      <c r="N1653" s="141">
        <f>IF(offer_sale_type="транзит",IFERROR(ROUNDUP(VLOOKUP($B1653,calc_data,N$14+1,0),2),0),0)</f>
        <v/>
      </c>
      <c r="O1653" s="147">
        <f>IF(offer_sale_type="транзит",IFERROR(ROUND(VLOOKUP($B1653,calc_data,O$14+1,1),2),0),0)</f>
        <v/>
      </c>
      <c r="P1653" s="141">
        <f>IF(offer_sale_type="транзит",IFERROR(ROUND(SUM(I1653:J1653,M1653:O1653)/E1653,2),0),0)</f>
        <v/>
      </c>
      <c r="Q1653" s="141">
        <f>E1653*P1653</f>
        <v/>
      </c>
      <c r="R1653" s="141">
        <f>ROUND(Q1653*IF(AND(offer_incoterms="DDP",seller_region="RU"),IF((TODAY()+offer_turnaround_time)&gt;=helpsheet!$L$17,rate_vatRU_from_26,rate_vatRu_till_25),0),2)</f>
        <v/>
      </c>
      <c r="S1653" s="177">
        <f>Q1653+IF(AND(offer_incoterms="DDP",seller_region="RU"),R1653,0)</f>
        <v/>
      </c>
      <c r="T1653" s="45" t="n"/>
      <c r="V1653" s="57">
        <f>IF(Q1653&gt;0,"показать","скрыть")</f>
        <v/>
      </c>
    </row>
    <row r="1654" ht="15.75" customHeight="1">
      <c r="B1654" s="809" t="n">
        <v>1638</v>
      </c>
      <c r="C1654" s="182">
        <f>IF(offer_sale_type="транзит",IFERROR(VLOOKUP($B1654,calc_data,C$14+1,0),0),0)</f>
        <v/>
      </c>
      <c r="D1654" s="280">
        <f>IF(offer_sale_type="транзит",IFERROR(VLOOKUP($B1654,calc_data,D$14+1,0),0),0)</f>
        <v/>
      </c>
      <c r="E1654" s="182">
        <f>IF(offer_sale_type="транзит",IFERROR(VLOOKUP($B1654,calc_data,E$14+1,0),0),0)</f>
        <v/>
      </c>
      <c r="F1654" s="182">
        <f>IF(offer_sale_type="транзит",IFERROR(VLOOKUP($B1654,calc_data,F$14+1,0),0),0)</f>
        <v/>
      </c>
      <c r="G1654" s="141">
        <f>IF(offer_sale_type="транзит",IFERROR(VLOOKUP($B1654,calc_data,G$14+1,0),0),0)</f>
        <v/>
      </c>
      <c r="H1654" s="141">
        <f>E1654*G1654</f>
        <v/>
      </c>
      <c r="I1654" s="141">
        <f>IF(offer_sale_type="транзит",IFERROR(ROUND(VLOOKUP($B1654,calc_data,I$14+1,0),2),0),0)</f>
        <v/>
      </c>
      <c r="J1654" s="141">
        <f>ROUND(IF(offer_sale_type="транзит",IFERROR(VLOOKUP($B1654,calc_data,J$14+1,0),0),0),2)</f>
        <v/>
      </c>
      <c r="K1654" s="142">
        <f>IF(offer_sale_type="транзит",IFERROR(ROUNDUP(VLOOKUP($B1654,calc_data,K$14+1,0),2),0),0)</f>
        <v/>
      </c>
      <c r="L1654" s="184">
        <f>IF(offer_sale_type="транзит",IFERROR(ROUNDUP(VLOOKUP($B1654,calc_data,L$14+1,0),2),0),0)</f>
        <v/>
      </c>
      <c r="M1654" s="141">
        <f>IF(offer_sale_type="транзит",IFERROR(ROUNDUP(VLOOKUP($B1654,calc_data,M$14+1,0),2),0),0)</f>
        <v/>
      </c>
      <c r="N1654" s="141">
        <f>IF(offer_sale_type="транзит",IFERROR(ROUNDUP(VLOOKUP($B1654,calc_data,N$14+1,0),2),0),0)</f>
        <v/>
      </c>
      <c r="O1654" s="147">
        <f>IF(offer_sale_type="транзит",IFERROR(ROUND(VLOOKUP($B1654,calc_data,O$14+1,1),2),0),0)</f>
        <v/>
      </c>
      <c r="P1654" s="141">
        <f>IF(offer_sale_type="транзит",IFERROR(ROUND(SUM(I1654:J1654,M1654:O1654)/E1654,2),0),0)</f>
        <v/>
      </c>
      <c r="Q1654" s="141">
        <f>E1654*P1654</f>
        <v/>
      </c>
      <c r="R1654" s="141">
        <f>ROUND(Q1654*IF(AND(offer_incoterms="DDP",seller_region="RU"),IF((TODAY()+offer_turnaround_time)&gt;=helpsheet!$L$17,rate_vatRU_from_26,rate_vatRu_till_25),0),2)</f>
        <v/>
      </c>
      <c r="S1654" s="177">
        <f>Q1654+IF(AND(offer_incoterms="DDP",seller_region="RU"),R1654,0)</f>
        <v/>
      </c>
      <c r="T1654" s="45" t="n"/>
      <c r="V1654" s="57">
        <f>IF(Q1654&gt;0,"показать","скрыть")</f>
        <v/>
      </c>
    </row>
    <row r="1655" ht="15.75" customHeight="1">
      <c r="B1655" s="809" t="n">
        <v>1639</v>
      </c>
      <c r="C1655" s="182">
        <f>IF(offer_sale_type="транзит",IFERROR(VLOOKUP($B1655,calc_data,C$14+1,0),0),0)</f>
        <v/>
      </c>
      <c r="D1655" s="280">
        <f>IF(offer_sale_type="транзит",IFERROR(VLOOKUP($B1655,calc_data,D$14+1,0),0),0)</f>
        <v/>
      </c>
      <c r="E1655" s="182">
        <f>IF(offer_sale_type="транзит",IFERROR(VLOOKUP($B1655,calc_data,E$14+1,0),0),0)</f>
        <v/>
      </c>
      <c r="F1655" s="182">
        <f>IF(offer_sale_type="транзит",IFERROR(VLOOKUP($B1655,calc_data,F$14+1,0),0),0)</f>
        <v/>
      </c>
      <c r="G1655" s="141">
        <f>IF(offer_sale_type="транзит",IFERROR(VLOOKUP($B1655,calc_data,G$14+1,0),0),0)</f>
        <v/>
      </c>
      <c r="H1655" s="141">
        <f>E1655*G1655</f>
        <v/>
      </c>
      <c r="I1655" s="141">
        <f>IF(offer_sale_type="транзит",IFERROR(ROUND(VLOOKUP($B1655,calc_data,I$14+1,0),2),0),0)</f>
        <v/>
      </c>
      <c r="J1655" s="141">
        <f>ROUND(IF(offer_sale_type="транзит",IFERROR(VLOOKUP($B1655,calc_data,J$14+1,0),0),0),2)</f>
        <v/>
      </c>
      <c r="K1655" s="142">
        <f>IF(offer_sale_type="транзит",IFERROR(ROUNDUP(VLOOKUP($B1655,calc_data,K$14+1,0),2),0),0)</f>
        <v/>
      </c>
      <c r="L1655" s="184">
        <f>IF(offer_sale_type="транзит",IFERROR(ROUNDUP(VLOOKUP($B1655,calc_data,L$14+1,0),2),0),0)</f>
        <v/>
      </c>
      <c r="M1655" s="141">
        <f>IF(offer_sale_type="транзит",IFERROR(ROUNDUP(VLOOKUP($B1655,calc_data,M$14+1,0),2),0),0)</f>
        <v/>
      </c>
      <c r="N1655" s="141">
        <f>IF(offer_sale_type="транзит",IFERROR(ROUNDUP(VLOOKUP($B1655,calc_data,N$14+1,0),2),0),0)</f>
        <v/>
      </c>
      <c r="O1655" s="147">
        <f>IF(offer_sale_type="транзит",IFERROR(ROUND(VLOOKUP($B1655,calc_data,O$14+1,1),2),0),0)</f>
        <v/>
      </c>
      <c r="P1655" s="141">
        <f>IF(offer_sale_type="транзит",IFERROR(ROUND(SUM(I1655:J1655,M1655:O1655)/E1655,2),0),0)</f>
        <v/>
      </c>
      <c r="Q1655" s="141">
        <f>E1655*P1655</f>
        <v/>
      </c>
      <c r="R1655" s="141">
        <f>ROUND(Q1655*IF(AND(offer_incoterms="DDP",seller_region="RU"),IF((TODAY()+offer_turnaround_time)&gt;=helpsheet!$L$17,rate_vatRU_from_26,rate_vatRu_till_25),0),2)</f>
        <v/>
      </c>
      <c r="S1655" s="177">
        <f>Q1655+IF(AND(offer_incoterms="DDP",seller_region="RU"),R1655,0)</f>
        <v/>
      </c>
      <c r="T1655" s="45" t="n"/>
      <c r="V1655" s="57">
        <f>IF(Q1655&gt;0,"показать","скрыть")</f>
        <v/>
      </c>
    </row>
    <row r="1656" ht="15.75" customHeight="1">
      <c r="B1656" s="809" t="n">
        <v>1640</v>
      </c>
      <c r="C1656" s="182">
        <f>IF(offer_sale_type="транзит",IFERROR(VLOOKUP($B1656,calc_data,C$14+1,0),0),0)</f>
        <v/>
      </c>
      <c r="D1656" s="280">
        <f>IF(offer_sale_type="транзит",IFERROR(VLOOKUP($B1656,calc_data,D$14+1,0),0),0)</f>
        <v/>
      </c>
      <c r="E1656" s="182">
        <f>IF(offer_sale_type="транзит",IFERROR(VLOOKUP($B1656,calc_data,E$14+1,0),0),0)</f>
        <v/>
      </c>
      <c r="F1656" s="182">
        <f>IF(offer_sale_type="транзит",IFERROR(VLOOKUP($B1656,calc_data,F$14+1,0),0),0)</f>
        <v/>
      </c>
      <c r="G1656" s="141">
        <f>IF(offer_sale_type="транзит",IFERROR(VLOOKUP($B1656,calc_data,G$14+1,0),0),0)</f>
        <v/>
      </c>
      <c r="H1656" s="141">
        <f>E1656*G1656</f>
        <v/>
      </c>
      <c r="I1656" s="141">
        <f>IF(offer_sale_type="транзит",IFERROR(ROUND(VLOOKUP($B1656,calc_data,I$14+1,0),2),0),0)</f>
        <v/>
      </c>
      <c r="J1656" s="141">
        <f>ROUND(IF(offer_sale_type="транзит",IFERROR(VLOOKUP($B1656,calc_data,J$14+1,0),0),0),2)</f>
        <v/>
      </c>
      <c r="K1656" s="142">
        <f>IF(offer_sale_type="транзит",IFERROR(ROUNDUP(VLOOKUP($B1656,calc_data,K$14+1,0),2),0),0)</f>
        <v/>
      </c>
      <c r="L1656" s="184">
        <f>IF(offer_sale_type="транзит",IFERROR(ROUNDUP(VLOOKUP($B1656,calc_data,L$14+1,0),2),0),0)</f>
        <v/>
      </c>
      <c r="M1656" s="141">
        <f>IF(offer_sale_type="транзит",IFERROR(ROUNDUP(VLOOKUP($B1656,calc_data,M$14+1,0),2),0),0)</f>
        <v/>
      </c>
      <c r="N1656" s="141">
        <f>IF(offer_sale_type="транзит",IFERROR(ROUNDUP(VLOOKUP($B1656,calc_data,N$14+1,0),2),0),0)</f>
        <v/>
      </c>
      <c r="O1656" s="147">
        <f>IF(offer_sale_type="транзит",IFERROR(ROUND(VLOOKUP($B1656,calc_data,O$14+1,1),2),0),0)</f>
        <v/>
      </c>
      <c r="P1656" s="141">
        <f>IF(offer_sale_type="транзит",IFERROR(ROUND(SUM(I1656:J1656,M1656:O1656)/E1656,2),0),0)</f>
        <v/>
      </c>
      <c r="Q1656" s="141">
        <f>E1656*P1656</f>
        <v/>
      </c>
      <c r="R1656" s="141">
        <f>ROUND(Q1656*IF(AND(offer_incoterms="DDP",seller_region="RU"),IF((TODAY()+offer_turnaround_time)&gt;=helpsheet!$L$17,rate_vatRU_from_26,rate_vatRu_till_25),0),2)</f>
        <v/>
      </c>
      <c r="S1656" s="177">
        <f>Q1656+IF(AND(offer_incoterms="DDP",seller_region="RU"),R1656,0)</f>
        <v/>
      </c>
      <c r="T1656" s="45" t="n"/>
      <c r="V1656" s="57">
        <f>IF(Q1656&gt;0,"показать","скрыть")</f>
        <v/>
      </c>
    </row>
    <row r="1657" ht="15.75" customHeight="1">
      <c r="B1657" s="809" t="n">
        <v>1641</v>
      </c>
      <c r="C1657" s="182">
        <f>IF(offer_sale_type="транзит",IFERROR(VLOOKUP($B1657,calc_data,C$14+1,0),0),0)</f>
        <v/>
      </c>
      <c r="D1657" s="280">
        <f>IF(offer_sale_type="транзит",IFERROR(VLOOKUP($B1657,calc_data,D$14+1,0),0),0)</f>
        <v/>
      </c>
      <c r="E1657" s="182">
        <f>IF(offer_sale_type="транзит",IFERROR(VLOOKUP($B1657,calc_data,E$14+1,0),0),0)</f>
        <v/>
      </c>
      <c r="F1657" s="182">
        <f>IF(offer_sale_type="транзит",IFERROR(VLOOKUP($B1657,calc_data,F$14+1,0),0),0)</f>
        <v/>
      </c>
      <c r="G1657" s="141">
        <f>IF(offer_sale_type="транзит",IFERROR(VLOOKUP($B1657,calc_data,G$14+1,0),0),0)</f>
        <v/>
      </c>
      <c r="H1657" s="141">
        <f>E1657*G1657</f>
        <v/>
      </c>
      <c r="I1657" s="141">
        <f>IF(offer_sale_type="транзит",IFERROR(ROUND(VLOOKUP($B1657,calc_data,I$14+1,0),2),0),0)</f>
        <v/>
      </c>
      <c r="J1657" s="141">
        <f>ROUND(IF(offer_sale_type="транзит",IFERROR(VLOOKUP($B1657,calc_data,J$14+1,0),0),0),2)</f>
        <v/>
      </c>
      <c r="K1657" s="142">
        <f>IF(offer_sale_type="транзит",IFERROR(ROUNDUP(VLOOKUP($B1657,calc_data,K$14+1,0),2),0),0)</f>
        <v/>
      </c>
      <c r="L1657" s="184">
        <f>IF(offer_sale_type="транзит",IFERROR(ROUNDUP(VLOOKUP($B1657,calc_data,L$14+1,0),2),0),0)</f>
        <v/>
      </c>
      <c r="M1657" s="141">
        <f>IF(offer_sale_type="транзит",IFERROR(ROUNDUP(VLOOKUP($B1657,calc_data,M$14+1,0),2),0),0)</f>
        <v/>
      </c>
      <c r="N1657" s="141">
        <f>IF(offer_sale_type="транзит",IFERROR(ROUNDUP(VLOOKUP($B1657,calc_data,N$14+1,0),2),0),0)</f>
        <v/>
      </c>
      <c r="O1657" s="147">
        <f>IF(offer_sale_type="транзит",IFERROR(ROUND(VLOOKUP($B1657,calc_data,O$14+1,1),2),0),0)</f>
        <v/>
      </c>
      <c r="P1657" s="141">
        <f>IF(offer_sale_type="транзит",IFERROR(ROUND(SUM(I1657:J1657,M1657:O1657)/E1657,2),0),0)</f>
        <v/>
      </c>
      <c r="Q1657" s="141">
        <f>E1657*P1657</f>
        <v/>
      </c>
      <c r="R1657" s="141">
        <f>ROUND(Q1657*IF(AND(offer_incoterms="DDP",seller_region="RU"),IF((TODAY()+offer_turnaround_time)&gt;=helpsheet!$L$17,rate_vatRU_from_26,rate_vatRu_till_25),0),2)</f>
        <v/>
      </c>
      <c r="S1657" s="177">
        <f>Q1657+IF(AND(offer_incoterms="DDP",seller_region="RU"),R1657,0)</f>
        <v/>
      </c>
      <c r="T1657" s="45" t="n"/>
      <c r="V1657" s="57">
        <f>IF(Q1657&gt;0,"показать","скрыть")</f>
        <v/>
      </c>
    </row>
    <row r="1658" ht="15.75" customHeight="1">
      <c r="B1658" s="809" t="n">
        <v>1642</v>
      </c>
      <c r="C1658" s="182">
        <f>IF(offer_sale_type="транзит",IFERROR(VLOOKUP($B1658,calc_data,C$14+1,0),0),0)</f>
        <v/>
      </c>
      <c r="D1658" s="280">
        <f>IF(offer_sale_type="транзит",IFERROR(VLOOKUP($B1658,calc_data,D$14+1,0),0),0)</f>
        <v/>
      </c>
      <c r="E1658" s="182">
        <f>IF(offer_sale_type="транзит",IFERROR(VLOOKUP($B1658,calc_data,E$14+1,0),0),0)</f>
        <v/>
      </c>
      <c r="F1658" s="182">
        <f>IF(offer_sale_type="транзит",IFERROR(VLOOKUP($B1658,calc_data,F$14+1,0),0),0)</f>
        <v/>
      </c>
      <c r="G1658" s="141">
        <f>IF(offer_sale_type="транзит",IFERROR(VLOOKUP($B1658,calc_data,G$14+1,0),0),0)</f>
        <v/>
      </c>
      <c r="H1658" s="141">
        <f>E1658*G1658</f>
        <v/>
      </c>
      <c r="I1658" s="141">
        <f>IF(offer_sale_type="транзит",IFERROR(ROUND(VLOOKUP($B1658,calc_data,I$14+1,0),2),0),0)</f>
        <v/>
      </c>
      <c r="J1658" s="141">
        <f>ROUND(IF(offer_sale_type="транзит",IFERROR(VLOOKUP($B1658,calc_data,J$14+1,0),0),0),2)</f>
        <v/>
      </c>
      <c r="K1658" s="142">
        <f>IF(offer_sale_type="транзит",IFERROR(ROUNDUP(VLOOKUP($B1658,calc_data,K$14+1,0),2),0),0)</f>
        <v/>
      </c>
      <c r="L1658" s="184">
        <f>IF(offer_sale_type="транзит",IFERROR(ROUNDUP(VLOOKUP($B1658,calc_data,L$14+1,0),2),0),0)</f>
        <v/>
      </c>
      <c r="M1658" s="141">
        <f>IF(offer_sale_type="транзит",IFERROR(ROUNDUP(VLOOKUP($B1658,calc_data,M$14+1,0),2),0),0)</f>
        <v/>
      </c>
      <c r="N1658" s="141">
        <f>IF(offer_sale_type="транзит",IFERROR(ROUNDUP(VLOOKUP($B1658,calc_data,N$14+1,0),2),0),0)</f>
        <v/>
      </c>
      <c r="O1658" s="147">
        <f>IF(offer_sale_type="транзит",IFERROR(ROUND(VLOOKUP($B1658,calc_data,O$14+1,1),2),0),0)</f>
        <v/>
      </c>
      <c r="P1658" s="141">
        <f>IF(offer_sale_type="транзит",IFERROR(ROUND(SUM(I1658:J1658,M1658:O1658)/E1658,2),0),0)</f>
        <v/>
      </c>
      <c r="Q1658" s="141">
        <f>E1658*P1658</f>
        <v/>
      </c>
      <c r="R1658" s="141">
        <f>ROUND(Q1658*IF(AND(offer_incoterms="DDP",seller_region="RU"),IF((TODAY()+offer_turnaround_time)&gt;=helpsheet!$L$17,rate_vatRU_from_26,rate_vatRu_till_25),0),2)</f>
        <v/>
      </c>
      <c r="S1658" s="177">
        <f>Q1658+IF(AND(offer_incoterms="DDP",seller_region="RU"),R1658,0)</f>
        <v/>
      </c>
      <c r="T1658" s="45" t="n"/>
      <c r="V1658" s="57">
        <f>IF(Q1658&gt;0,"показать","скрыть")</f>
        <v/>
      </c>
    </row>
    <row r="1659" ht="15.75" customHeight="1">
      <c r="B1659" s="809" t="n">
        <v>1643</v>
      </c>
      <c r="C1659" s="182">
        <f>IF(offer_sale_type="транзит",IFERROR(VLOOKUP($B1659,calc_data,C$14+1,0),0),0)</f>
        <v/>
      </c>
      <c r="D1659" s="280">
        <f>IF(offer_sale_type="транзит",IFERROR(VLOOKUP($B1659,calc_data,D$14+1,0),0),0)</f>
        <v/>
      </c>
      <c r="E1659" s="182">
        <f>IF(offer_sale_type="транзит",IFERROR(VLOOKUP($B1659,calc_data,E$14+1,0),0),0)</f>
        <v/>
      </c>
      <c r="F1659" s="182">
        <f>IF(offer_sale_type="транзит",IFERROR(VLOOKUP($B1659,calc_data,F$14+1,0),0),0)</f>
        <v/>
      </c>
      <c r="G1659" s="141">
        <f>IF(offer_sale_type="транзит",IFERROR(VLOOKUP($B1659,calc_data,G$14+1,0),0),0)</f>
        <v/>
      </c>
      <c r="H1659" s="141">
        <f>E1659*G1659</f>
        <v/>
      </c>
      <c r="I1659" s="141">
        <f>IF(offer_sale_type="транзит",IFERROR(ROUND(VLOOKUP($B1659,calc_data,I$14+1,0),2),0),0)</f>
        <v/>
      </c>
      <c r="J1659" s="141">
        <f>ROUND(IF(offer_sale_type="транзит",IFERROR(VLOOKUP($B1659,calc_data,J$14+1,0),0),0),2)</f>
        <v/>
      </c>
      <c r="K1659" s="142">
        <f>IF(offer_sale_type="транзит",IFERROR(ROUNDUP(VLOOKUP($B1659,calc_data,K$14+1,0),2),0),0)</f>
        <v/>
      </c>
      <c r="L1659" s="184">
        <f>IF(offer_sale_type="транзит",IFERROR(ROUNDUP(VLOOKUP($B1659,calc_data,L$14+1,0),2),0),0)</f>
        <v/>
      </c>
      <c r="M1659" s="141">
        <f>IF(offer_sale_type="транзит",IFERROR(ROUNDUP(VLOOKUP($B1659,calc_data,M$14+1,0),2),0),0)</f>
        <v/>
      </c>
      <c r="N1659" s="141">
        <f>IF(offer_sale_type="транзит",IFERROR(ROUNDUP(VLOOKUP($B1659,calc_data,N$14+1,0),2),0),0)</f>
        <v/>
      </c>
      <c r="O1659" s="147">
        <f>IF(offer_sale_type="транзит",IFERROR(ROUND(VLOOKUP($B1659,calc_data,O$14+1,1),2),0),0)</f>
        <v/>
      </c>
      <c r="P1659" s="141">
        <f>IF(offer_sale_type="транзит",IFERROR(ROUND(SUM(I1659:J1659,M1659:O1659)/E1659,2),0),0)</f>
        <v/>
      </c>
      <c r="Q1659" s="141">
        <f>E1659*P1659</f>
        <v/>
      </c>
      <c r="R1659" s="141">
        <f>ROUND(Q1659*IF(AND(offer_incoterms="DDP",seller_region="RU"),IF((TODAY()+offer_turnaround_time)&gt;=helpsheet!$L$17,rate_vatRU_from_26,rate_vatRu_till_25),0),2)</f>
        <v/>
      </c>
      <c r="S1659" s="177">
        <f>Q1659+IF(AND(offer_incoterms="DDP",seller_region="RU"),R1659,0)</f>
        <v/>
      </c>
      <c r="T1659" s="45" t="n"/>
      <c r="V1659" s="57">
        <f>IF(Q1659&gt;0,"показать","скрыть")</f>
        <v/>
      </c>
    </row>
    <row r="1660" ht="15.75" customHeight="1">
      <c r="B1660" s="809" t="n">
        <v>1644</v>
      </c>
      <c r="C1660" s="182">
        <f>IF(offer_sale_type="транзит",IFERROR(VLOOKUP($B1660,calc_data,C$14+1,0),0),0)</f>
        <v/>
      </c>
      <c r="D1660" s="280">
        <f>IF(offer_sale_type="транзит",IFERROR(VLOOKUP($B1660,calc_data,D$14+1,0),0),0)</f>
        <v/>
      </c>
      <c r="E1660" s="182">
        <f>IF(offer_sale_type="транзит",IFERROR(VLOOKUP($B1660,calc_data,E$14+1,0),0),0)</f>
        <v/>
      </c>
      <c r="F1660" s="182">
        <f>IF(offer_sale_type="транзит",IFERROR(VLOOKUP($B1660,calc_data,F$14+1,0),0),0)</f>
        <v/>
      </c>
      <c r="G1660" s="141">
        <f>IF(offer_sale_type="транзит",IFERROR(VLOOKUP($B1660,calc_data,G$14+1,0),0),0)</f>
        <v/>
      </c>
      <c r="H1660" s="141">
        <f>E1660*G1660</f>
        <v/>
      </c>
      <c r="I1660" s="141">
        <f>IF(offer_sale_type="транзит",IFERROR(ROUND(VLOOKUP($B1660,calc_data,I$14+1,0),2),0),0)</f>
        <v/>
      </c>
      <c r="J1660" s="141">
        <f>ROUND(IF(offer_sale_type="транзит",IFERROR(VLOOKUP($B1660,calc_data,J$14+1,0),0),0),2)</f>
        <v/>
      </c>
      <c r="K1660" s="142">
        <f>IF(offer_sale_type="транзит",IFERROR(ROUNDUP(VLOOKUP($B1660,calc_data,K$14+1,0),2),0),0)</f>
        <v/>
      </c>
      <c r="L1660" s="184">
        <f>IF(offer_sale_type="транзит",IFERROR(ROUNDUP(VLOOKUP($B1660,calc_data,L$14+1,0),2),0),0)</f>
        <v/>
      </c>
      <c r="M1660" s="141">
        <f>IF(offer_sale_type="транзит",IFERROR(ROUNDUP(VLOOKUP($B1660,calc_data,M$14+1,0),2),0),0)</f>
        <v/>
      </c>
      <c r="N1660" s="141">
        <f>IF(offer_sale_type="транзит",IFERROR(ROUNDUP(VLOOKUP($B1660,calc_data,N$14+1,0),2),0),0)</f>
        <v/>
      </c>
      <c r="O1660" s="147">
        <f>IF(offer_sale_type="транзит",IFERROR(ROUND(VLOOKUP($B1660,calc_data,O$14+1,1),2),0),0)</f>
        <v/>
      </c>
      <c r="P1660" s="141">
        <f>IF(offer_sale_type="транзит",IFERROR(ROUND(SUM(I1660:J1660,M1660:O1660)/E1660,2),0),0)</f>
        <v/>
      </c>
      <c r="Q1660" s="141">
        <f>E1660*P1660</f>
        <v/>
      </c>
      <c r="R1660" s="141">
        <f>ROUND(Q1660*IF(AND(offer_incoterms="DDP",seller_region="RU"),IF((TODAY()+offer_turnaround_time)&gt;=helpsheet!$L$17,rate_vatRU_from_26,rate_vatRu_till_25),0),2)</f>
        <v/>
      </c>
      <c r="S1660" s="177">
        <f>Q1660+IF(AND(offer_incoterms="DDP",seller_region="RU"),R1660,0)</f>
        <v/>
      </c>
      <c r="T1660" s="45" t="n"/>
      <c r="V1660" s="57">
        <f>IF(Q1660&gt;0,"показать","скрыть")</f>
        <v/>
      </c>
    </row>
    <row r="1661" ht="15.75" customHeight="1">
      <c r="B1661" s="809" t="n">
        <v>1645</v>
      </c>
      <c r="C1661" s="182">
        <f>IF(offer_sale_type="транзит",IFERROR(VLOOKUP($B1661,calc_data,C$14+1,0),0),0)</f>
        <v/>
      </c>
      <c r="D1661" s="280">
        <f>IF(offer_sale_type="транзит",IFERROR(VLOOKUP($B1661,calc_data,D$14+1,0),0),0)</f>
        <v/>
      </c>
      <c r="E1661" s="182">
        <f>IF(offer_sale_type="транзит",IFERROR(VLOOKUP($B1661,calc_data,E$14+1,0),0),0)</f>
        <v/>
      </c>
      <c r="F1661" s="182">
        <f>IF(offer_sale_type="транзит",IFERROR(VLOOKUP($B1661,calc_data,F$14+1,0),0),0)</f>
        <v/>
      </c>
      <c r="G1661" s="141">
        <f>IF(offer_sale_type="транзит",IFERROR(VLOOKUP($B1661,calc_data,G$14+1,0),0),0)</f>
        <v/>
      </c>
      <c r="H1661" s="141">
        <f>E1661*G1661</f>
        <v/>
      </c>
      <c r="I1661" s="141">
        <f>IF(offer_sale_type="транзит",IFERROR(ROUND(VLOOKUP($B1661,calc_data,I$14+1,0),2),0),0)</f>
        <v/>
      </c>
      <c r="J1661" s="141">
        <f>ROUND(IF(offer_sale_type="транзит",IFERROR(VLOOKUP($B1661,calc_data,J$14+1,0),0),0),2)</f>
        <v/>
      </c>
      <c r="K1661" s="142">
        <f>IF(offer_sale_type="транзит",IFERROR(ROUNDUP(VLOOKUP($B1661,calc_data,K$14+1,0),2),0),0)</f>
        <v/>
      </c>
      <c r="L1661" s="184">
        <f>IF(offer_sale_type="транзит",IFERROR(ROUNDUP(VLOOKUP($B1661,calc_data,L$14+1,0),2),0),0)</f>
        <v/>
      </c>
      <c r="M1661" s="141">
        <f>IF(offer_sale_type="транзит",IFERROR(ROUNDUP(VLOOKUP($B1661,calc_data,M$14+1,0),2),0),0)</f>
        <v/>
      </c>
      <c r="N1661" s="141">
        <f>IF(offer_sale_type="транзит",IFERROR(ROUNDUP(VLOOKUP($B1661,calc_data,N$14+1,0),2),0),0)</f>
        <v/>
      </c>
      <c r="O1661" s="147">
        <f>IF(offer_sale_type="транзит",IFERROR(ROUND(VLOOKUP($B1661,calc_data,O$14+1,1),2),0),0)</f>
        <v/>
      </c>
      <c r="P1661" s="141">
        <f>IF(offer_sale_type="транзит",IFERROR(ROUND(SUM(I1661:J1661,M1661:O1661)/E1661,2),0),0)</f>
        <v/>
      </c>
      <c r="Q1661" s="141">
        <f>E1661*P1661</f>
        <v/>
      </c>
      <c r="R1661" s="141">
        <f>ROUND(Q1661*IF(AND(offer_incoterms="DDP",seller_region="RU"),IF((TODAY()+offer_turnaround_time)&gt;=helpsheet!$L$17,rate_vatRU_from_26,rate_vatRu_till_25),0),2)</f>
        <v/>
      </c>
      <c r="S1661" s="177">
        <f>Q1661+IF(AND(offer_incoterms="DDP",seller_region="RU"),R1661,0)</f>
        <v/>
      </c>
      <c r="T1661" s="45" t="n"/>
      <c r="V1661" s="57">
        <f>IF(Q1661&gt;0,"показать","скрыть")</f>
        <v/>
      </c>
    </row>
    <row r="1662" ht="15.75" customHeight="1">
      <c r="B1662" s="809" t="n">
        <v>1646</v>
      </c>
      <c r="C1662" s="182">
        <f>IF(offer_sale_type="транзит",IFERROR(VLOOKUP($B1662,calc_data,C$14+1,0),0),0)</f>
        <v/>
      </c>
      <c r="D1662" s="280">
        <f>IF(offer_sale_type="транзит",IFERROR(VLOOKUP($B1662,calc_data,D$14+1,0),0),0)</f>
        <v/>
      </c>
      <c r="E1662" s="182">
        <f>IF(offer_sale_type="транзит",IFERROR(VLOOKUP($B1662,calc_data,E$14+1,0),0),0)</f>
        <v/>
      </c>
      <c r="F1662" s="182">
        <f>IF(offer_sale_type="транзит",IFERROR(VLOOKUP($B1662,calc_data,F$14+1,0),0),0)</f>
        <v/>
      </c>
      <c r="G1662" s="141">
        <f>IF(offer_sale_type="транзит",IFERROR(VLOOKUP($B1662,calc_data,G$14+1,0),0),0)</f>
        <v/>
      </c>
      <c r="H1662" s="141">
        <f>E1662*G1662</f>
        <v/>
      </c>
      <c r="I1662" s="141">
        <f>IF(offer_sale_type="транзит",IFERROR(ROUND(VLOOKUP($B1662,calc_data,I$14+1,0),2),0),0)</f>
        <v/>
      </c>
      <c r="J1662" s="141">
        <f>ROUND(IF(offer_sale_type="транзит",IFERROR(VLOOKUP($B1662,calc_data,J$14+1,0),0),0),2)</f>
        <v/>
      </c>
      <c r="K1662" s="142">
        <f>IF(offer_sale_type="транзит",IFERROR(ROUNDUP(VLOOKUP($B1662,calc_data,K$14+1,0),2),0),0)</f>
        <v/>
      </c>
      <c r="L1662" s="184">
        <f>IF(offer_sale_type="транзит",IFERROR(ROUNDUP(VLOOKUP($B1662,calc_data,L$14+1,0),2),0),0)</f>
        <v/>
      </c>
      <c r="M1662" s="141">
        <f>IF(offer_sale_type="транзит",IFERROR(ROUNDUP(VLOOKUP($B1662,calc_data,M$14+1,0),2),0),0)</f>
        <v/>
      </c>
      <c r="N1662" s="141">
        <f>IF(offer_sale_type="транзит",IFERROR(ROUNDUP(VLOOKUP($B1662,calc_data,N$14+1,0),2),0),0)</f>
        <v/>
      </c>
      <c r="O1662" s="147">
        <f>IF(offer_sale_type="транзит",IFERROR(ROUND(VLOOKUP($B1662,calc_data,O$14+1,1),2),0),0)</f>
        <v/>
      </c>
      <c r="P1662" s="141">
        <f>IF(offer_sale_type="транзит",IFERROR(ROUND(SUM(I1662:J1662,M1662:O1662)/E1662,2),0),0)</f>
        <v/>
      </c>
      <c r="Q1662" s="141">
        <f>E1662*P1662</f>
        <v/>
      </c>
      <c r="R1662" s="141">
        <f>ROUND(Q1662*IF(AND(offer_incoterms="DDP",seller_region="RU"),IF((TODAY()+offer_turnaround_time)&gt;=helpsheet!$L$17,rate_vatRU_from_26,rate_vatRu_till_25),0),2)</f>
        <v/>
      </c>
      <c r="S1662" s="177">
        <f>Q1662+IF(AND(offer_incoterms="DDP",seller_region="RU"),R1662,0)</f>
        <v/>
      </c>
      <c r="T1662" s="45" t="n"/>
      <c r="V1662" s="57">
        <f>IF(Q1662&gt;0,"показать","скрыть")</f>
        <v/>
      </c>
    </row>
    <row r="1663" ht="15.75" customHeight="1">
      <c r="B1663" s="809" t="n">
        <v>1647</v>
      </c>
      <c r="C1663" s="182">
        <f>IF(offer_sale_type="транзит",IFERROR(VLOOKUP($B1663,calc_data,C$14+1,0),0),0)</f>
        <v/>
      </c>
      <c r="D1663" s="280">
        <f>IF(offer_sale_type="транзит",IFERROR(VLOOKUP($B1663,calc_data,D$14+1,0),0),0)</f>
        <v/>
      </c>
      <c r="E1663" s="182">
        <f>IF(offer_sale_type="транзит",IFERROR(VLOOKUP($B1663,calc_data,E$14+1,0),0),0)</f>
        <v/>
      </c>
      <c r="F1663" s="182">
        <f>IF(offer_sale_type="транзит",IFERROR(VLOOKUP($B1663,calc_data,F$14+1,0),0),0)</f>
        <v/>
      </c>
      <c r="G1663" s="141">
        <f>IF(offer_sale_type="транзит",IFERROR(VLOOKUP($B1663,calc_data,G$14+1,0),0),0)</f>
        <v/>
      </c>
      <c r="H1663" s="141">
        <f>E1663*G1663</f>
        <v/>
      </c>
      <c r="I1663" s="141">
        <f>IF(offer_sale_type="транзит",IFERROR(ROUND(VLOOKUP($B1663,calc_data,I$14+1,0),2),0),0)</f>
        <v/>
      </c>
      <c r="J1663" s="141">
        <f>ROUND(IF(offer_sale_type="транзит",IFERROR(VLOOKUP($B1663,calc_data,J$14+1,0),0),0),2)</f>
        <v/>
      </c>
      <c r="K1663" s="142">
        <f>IF(offer_sale_type="транзит",IFERROR(ROUNDUP(VLOOKUP($B1663,calc_data,K$14+1,0),2),0),0)</f>
        <v/>
      </c>
      <c r="L1663" s="184">
        <f>IF(offer_sale_type="транзит",IFERROR(ROUNDUP(VLOOKUP($B1663,calc_data,L$14+1,0),2),0),0)</f>
        <v/>
      </c>
      <c r="M1663" s="141">
        <f>IF(offer_sale_type="транзит",IFERROR(ROUNDUP(VLOOKUP($B1663,calc_data,M$14+1,0),2),0),0)</f>
        <v/>
      </c>
      <c r="N1663" s="141">
        <f>IF(offer_sale_type="транзит",IFERROR(ROUNDUP(VLOOKUP($B1663,calc_data,N$14+1,0),2),0),0)</f>
        <v/>
      </c>
      <c r="O1663" s="147">
        <f>IF(offer_sale_type="транзит",IFERROR(ROUND(VLOOKUP($B1663,calc_data,O$14+1,1),2),0),0)</f>
        <v/>
      </c>
      <c r="P1663" s="141">
        <f>IF(offer_sale_type="транзит",IFERROR(ROUND(SUM(I1663:J1663,M1663:O1663)/E1663,2),0),0)</f>
        <v/>
      </c>
      <c r="Q1663" s="141">
        <f>E1663*P1663</f>
        <v/>
      </c>
      <c r="R1663" s="141">
        <f>ROUND(Q1663*IF(AND(offer_incoterms="DDP",seller_region="RU"),IF((TODAY()+offer_turnaround_time)&gt;=helpsheet!$L$17,rate_vatRU_from_26,rate_vatRu_till_25),0),2)</f>
        <v/>
      </c>
      <c r="S1663" s="177">
        <f>Q1663+IF(AND(offer_incoterms="DDP",seller_region="RU"),R1663,0)</f>
        <v/>
      </c>
      <c r="T1663" s="45" t="n"/>
      <c r="V1663" s="57">
        <f>IF(Q1663&gt;0,"показать","скрыть")</f>
        <v/>
      </c>
    </row>
    <row r="1664" ht="15.75" customHeight="1">
      <c r="B1664" s="809" t="n">
        <v>1648</v>
      </c>
      <c r="C1664" s="182">
        <f>IF(offer_sale_type="транзит",IFERROR(VLOOKUP($B1664,calc_data,C$14+1,0),0),0)</f>
        <v/>
      </c>
      <c r="D1664" s="280">
        <f>IF(offer_sale_type="транзит",IFERROR(VLOOKUP($B1664,calc_data,D$14+1,0),0),0)</f>
        <v/>
      </c>
      <c r="E1664" s="182">
        <f>IF(offer_sale_type="транзит",IFERROR(VLOOKUP($B1664,calc_data,E$14+1,0),0),0)</f>
        <v/>
      </c>
      <c r="F1664" s="182">
        <f>IF(offer_sale_type="транзит",IFERROR(VLOOKUP($B1664,calc_data,F$14+1,0),0),0)</f>
        <v/>
      </c>
      <c r="G1664" s="141">
        <f>IF(offer_sale_type="транзит",IFERROR(VLOOKUP($B1664,calc_data,G$14+1,0),0),0)</f>
        <v/>
      </c>
      <c r="H1664" s="141">
        <f>E1664*G1664</f>
        <v/>
      </c>
      <c r="I1664" s="141">
        <f>IF(offer_sale_type="транзит",IFERROR(ROUND(VLOOKUP($B1664,calc_data,I$14+1,0),2),0),0)</f>
        <v/>
      </c>
      <c r="J1664" s="141">
        <f>ROUND(IF(offer_sale_type="транзит",IFERROR(VLOOKUP($B1664,calc_data,J$14+1,0),0),0),2)</f>
        <v/>
      </c>
      <c r="K1664" s="142">
        <f>IF(offer_sale_type="транзит",IFERROR(ROUNDUP(VLOOKUP($B1664,calc_data,K$14+1,0),2),0),0)</f>
        <v/>
      </c>
      <c r="L1664" s="184">
        <f>IF(offer_sale_type="транзит",IFERROR(ROUNDUP(VLOOKUP($B1664,calc_data,L$14+1,0),2),0),0)</f>
        <v/>
      </c>
      <c r="M1664" s="141">
        <f>IF(offer_sale_type="транзит",IFERROR(ROUNDUP(VLOOKUP($B1664,calc_data,M$14+1,0),2),0),0)</f>
        <v/>
      </c>
      <c r="N1664" s="141">
        <f>IF(offer_sale_type="транзит",IFERROR(ROUNDUP(VLOOKUP($B1664,calc_data,N$14+1,0),2),0),0)</f>
        <v/>
      </c>
      <c r="O1664" s="147">
        <f>IF(offer_sale_type="транзит",IFERROR(ROUND(VLOOKUP($B1664,calc_data,O$14+1,1),2),0),0)</f>
        <v/>
      </c>
      <c r="P1664" s="141">
        <f>IF(offer_sale_type="транзит",IFERROR(ROUND(SUM(I1664:J1664,M1664:O1664)/E1664,2),0),0)</f>
        <v/>
      </c>
      <c r="Q1664" s="141">
        <f>E1664*P1664</f>
        <v/>
      </c>
      <c r="R1664" s="141">
        <f>ROUND(Q1664*IF(AND(offer_incoterms="DDP",seller_region="RU"),IF((TODAY()+offer_turnaround_time)&gt;=helpsheet!$L$17,rate_vatRU_from_26,rate_vatRu_till_25),0),2)</f>
        <v/>
      </c>
      <c r="S1664" s="177">
        <f>Q1664+IF(AND(offer_incoterms="DDP",seller_region="RU"),R1664,0)</f>
        <v/>
      </c>
      <c r="T1664" s="45" t="n"/>
      <c r="V1664" s="57">
        <f>IF(Q1664&gt;0,"показать","скрыть")</f>
        <v/>
      </c>
    </row>
    <row r="1665" ht="15.75" customHeight="1">
      <c r="B1665" s="809" t="n">
        <v>1649</v>
      </c>
      <c r="C1665" s="182">
        <f>IF(offer_sale_type="транзит",IFERROR(VLOOKUP($B1665,calc_data,C$14+1,0),0),0)</f>
        <v/>
      </c>
      <c r="D1665" s="280">
        <f>IF(offer_sale_type="транзит",IFERROR(VLOOKUP($B1665,calc_data,D$14+1,0),0),0)</f>
        <v/>
      </c>
      <c r="E1665" s="182">
        <f>IF(offer_sale_type="транзит",IFERROR(VLOOKUP($B1665,calc_data,E$14+1,0),0),0)</f>
        <v/>
      </c>
      <c r="F1665" s="182">
        <f>IF(offer_sale_type="транзит",IFERROR(VLOOKUP($B1665,calc_data,F$14+1,0),0),0)</f>
        <v/>
      </c>
      <c r="G1665" s="141">
        <f>IF(offer_sale_type="транзит",IFERROR(VLOOKUP($B1665,calc_data,G$14+1,0),0),0)</f>
        <v/>
      </c>
      <c r="H1665" s="141">
        <f>E1665*G1665</f>
        <v/>
      </c>
      <c r="I1665" s="141">
        <f>IF(offer_sale_type="транзит",IFERROR(ROUND(VLOOKUP($B1665,calc_data,I$14+1,0),2),0),0)</f>
        <v/>
      </c>
      <c r="J1665" s="141">
        <f>ROUND(IF(offer_sale_type="транзит",IFERROR(VLOOKUP($B1665,calc_data,J$14+1,0),0),0),2)</f>
        <v/>
      </c>
      <c r="K1665" s="142">
        <f>IF(offer_sale_type="транзит",IFERROR(ROUNDUP(VLOOKUP($B1665,calc_data,K$14+1,0),2),0),0)</f>
        <v/>
      </c>
      <c r="L1665" s="184">
        <f>IF(offer_sale_type="транзит",IFERROR(ROUNDUP(VLOOKUP($B1665,calc_data,L$14+1,0),2),0),0)</f>
        <v/>
      </c>
      <c r="M1665" s="141">
        <f>IF(offer_sale_type="транзит",IFERROR(ROUNDUP(VLOOKUP($B1665,calc_data,M$14+1,0),2),0),0)</f>
        <v/>
      </c>
      <c r="N1665" s="141">
        <f>IF(offer_sale_type="транзит",IFERROR(ROUNDUP(VLOOKUP($B1665,calc_data,N$14+1,0),2),0),0)</f>
        <v/>
      </c>
      <c r="O1665" s="147">
        <f>IF(offer_sale_type="транзит",IFERROR(ROUND(VLOOKUP($B1665,calc_data,O$14+1,1),2),0),0)</f>
        <v/>
      </c>
      <c r="P1665" s="141">
        <f>IF(offer_sale_type="транзит",IFERROR(ROUND(SUM(I1665:J1665,M1665:O1665)/E1665,2),0),0)</f>
        <v/>
      </c>
      <c r="Q1665" s="141">
        <f>E1665*P1665</f>
        <v/>
      </c>
      <c r="R1665" s="141">
        <f>ROUND(Q1665*IF(AND(offer_incoterms="DDP",seller_region="RU"),IF((TODAY()+offer_turnaround_time)&gt;=helpsheet!$L$17,rate_vatRU_from_26,rate_vatRu_till_25),0),2)</f>
        <v/>
      </c>
      <c r="S1665" s="177">
        <f>Q1665+IF(AND(offer_incoterms="DDP",seller_region="RU"),R1665,0)</f>
        <v/>
      </c>
      <c r="T1665" s="45" t="n"/>
      <c r="V1665" s="57">
        <f>IF(Q1665&gt;0,"показать","скрыть")</f>
        <v/>
      </c>
    </row>
    <row r="1666" ht="15.75" customHeight="1">
      <c r="B1666" s="809" t="n">
        <v>1650</v>
      </c>
      <c r="C1666" s="182">
        <f>IF(offer_sale_type="транзит",IFERROR(VLOOKUP($B1666,calc_data,C$14+1,0),0),0)</f>
        <v/>
      </c>
      <c r="D1666" s="280">
        <f>IF(offer_sale_type="транзит",IFERROR(VLOOKUP($B1666,calc_data,D$14+1,0),0),0)</f>
        <v/>
      </c>
      <c r="E1666" s="182">
        <f>IF(offer_sale_type="транзит",IFERROR(VLOOKUP($B1666,calc_data,E$14+1,0),0),0)</f>
        <v/>
      </c>
      <c r="F1666" s="182">
        <f>IF(offer_sale_type="транзит",IFERROR(VLOOKUP($B1666,calc_data,F$14+1,0),0),0)</f>
        <v/>
      </c>
      <c r="G1666" s="141">
        <f>IF(offer_sale_type="транзит",IFERROR(VLOOKUP($B1666,calc_data,G$14+1,0),0),0)</f>
        <v/>
      </c>
      <c r="H1666" s="141">
        <f>E1666*G1666</f>
        <v/>
      </c>
      <c r="I1666" s="141">
        <f>IF(offer_sale_type="транзит",IFERROR(ROUND(VLOOKUP($B1666,calc_data,I$14+1,0),2),0),0)</f>
        <v/>
      </c>
      <c r="J1666" s="141">
        <f>ROUND(IF(offer_sale_type="транзит",IFERROR(VLOOKUP($B1666,calc_data,J$14+1,0),0),0),2)</f>
        <v/>
      </c>
      <c r="K1666" s="142">
        <f>IF(offer_sale_type="транзит",IFERROR(ROUNDUP(VLOOKUP($B1666,calc_data,K$14+1,0),2),0),0)</f>
        <v/>
      </c>
      <c r="L1666" s="184">
        <f>IF(offer_sale_type="транзит",IFERROR(ROUNDUP(VLOOKUP($B1666,calc_data,L$14+1,0),2),0),0)</f>
        <v/>
      </c>
      <c r="M1666" s="141">
        <f>IF(offer_sale_type="транзит",IFERROR(ROUNDUP(VLOOKUP($B1666,calc_data,M$14+1,0),2),0),0)</f>
        <v/>
      </c>
      <c r="N1666" s="141">
        <f>IF(offer_sale_type="транзит",IFERROR(ROUNDUP(VLOOKUP($B1666,calc_data,N$14+1,0),2),0),0)</f>
        <v/>
      </c>
      <c r="O1666" s="147">
        <f>IF(offer_sale_type="транзит",IFERROR(ROUND(VLOOKUP($B1666,calc_data,O$14+1,1),2),0),0)</f>
        <v/>
      </c>
      <c r="P1666" s="141">
        <f>IF(offer_sale_type="транзит",IFERROR(ROUND(SUM(I1666:J1666,M1666:O1666)/E1666,2),0),0)</f>
        <v/>
      </c>
      <c r="Q1666" s="141">
        <f>E1666*P1666</f>
        <v/>
      </c>
      <c r="R1666" s="141">
        <f>ROUND(Q1666*IF(AND(offer_incoterms="DDP",seller_region="RU"),IF((TODAY()+offer_turnaround_time)&gt;=helpsheet!$L$17,rate_vatRU_from_26,rate_vatRu_till_25),0),2)</f>
        <v/>
      </c>
      <c r="S1666" s="177">
        <f>Q1666+IF(AND(offer_incoterms="DDP",seller_region="RU"),R1666,0)</f>
        <v/>
      </c>
      <c r="T1666" s="45" t="n"/>
      <c r="V1666" s="57">
        <f>IF(Q1666&gt;0,"показать","скрыть")</f>
        <v/>
      </c>
    </row>
    <row r="1667" ht="15.75" customHeight="1">
      <c r="B1667" s="809" t="n">
        <v>1651</v>
      </c>
      <c r="C1667" s="182">
        <f>IF(offer_sale_type="транзит",IFERROR(VLOOKUP($B1667,calc_data,C$14+1,0),0),0)</f>
        <v/>
      </c>
      <c r="D1667" s="280">
        <f>IF(offer_sale_type="транзит",IFERROR(VLOOKUP($B1667,calc_data,D$14+1,0),0),0)</f>
        <v/>
      </c>
      <c r="E1667" s="182">
        <f>IF(offer_sale_type="транзит",IFERROR(VLOOKUP($B1667,calc_data,E$14+1,0),0),0)</f>
        <v/>
      </c>
      <c r="F1667" s="182">
        <f>IF(offer_sale_type="транзит",IFERROR(VLOOKUP($B1667,calc_data,F$14+1,0),0),0)</f>
        <v/>
      </c>
      <c r="G1667" s="141">
        <f>IF(offer_sale_type="транзит",IFERROR(VLOOKUP($B1667,calc_data,G$14+1,0),0),0)</f>
        <v/>
      </c>
      <c r="H1667" s="141">
        <f>E1667*G1667</f>
        <v/>
      </c>
      <c r="I1667" s="141">
        <f>IF(offer_sale_type="транзит",IFERROR(ROUND(VLOOKUP($B1667,calc_data,I$14+1,0),2),0),0)</f>
        <v/>
      </c>
      <c r="J1667" s="141">
        <f>ROUND(IF(offer_sale_type="транзит",IFERROR(VLOOKUP($B1667,calc_data,J$14+1,0),0),0),2)</f>
        <v/>
      </c>
      <c r="K1667" s="142">
        <f>IF(offer_sale_type="транзит",IFERROR(ROUNDUP(VLOOKUP($B1667,calc_data,K$14+1,0),2),0),0)</f>
        <v/>
      </c>
      <c r="L1667" s="184">
        <f>IF(offer_sale_type="транзит",IFERROR(ROUNDUP(VLOOKUP($B1667,calc_data,L$14+1,0),2),0),0)</f>
        <v/>
      </c>
      <c r="M1667" s="141">
        <f>IF(offer_sale_type="транзит",IFERROR(ROUNDUP(VLOOKUP($B1667,calc_data,M$14+1,0),2),0),0)</f>
        <v/>
      </c>
      <c r="N1667" s="141">
        <f>IF(offer_sale_type="транзит",IFERROR(ROUNDUP(VLOOKUP($B1667,calc_data,N$14+1,0),2),0),0)</f>
        <v/>
      </c>
      <c r="O1667" s="147">
        <f>IF(offer_sale_type="транзит",IFERROR(ROUND(VLOOKUP($B1667,calc_data,O$14+1,1),2),0),0)</f>
        <v/>
      </c>
      <c r="P1667" s="141">
        <f>IF(offer_sale_type="транзит",IFERROR(ROUND(SUM(I1667:J1667,M1667:O1667)/E1667,2),0),0)</f>
        <v/>
      </c>
      <c r="Q1667" s="141">
        <f>E1667*P1667</f>
        <v/>
      </c>
      <c r="R1667" s="141">
        <f>ROUND(Q1667*IF(AND(offer_incoterms="DDP",seller_region="RU"),IF((TODAY()+offer_turnaround_time)&gt;=helpsheet!$L$17,rate_vatRU_from_26,rate_vatRu_till_25),0),2)</f>
        <v/>
      </c>
      <c r="S1667" s="177">
        <f>Q1667+IF(AND(offer_incoterms="DDP",seller_region="RU"),R1667,0)</f>
        <v/>
      </c>
      <c r="T1667" s="45" t="n"/>
      <c r="V1667" s="57">
        <f>IF(Q1667&gt;0,"показать","скрыть")</f>
        <v/>
      </c>
    </row>
    <row r="1668" ht="15.75" customHeight="1">
      <c r="B1668" s="809" t="n">
        <v>1652</v>
      </c>
      <c r="C1668" s="182">
        <f>IF(offer_sale_type="транзит",IFERROR(VLOOKUP($B1668,calc_data,C$14+1,0),0),0)</f>
        <v/>
      </c>
      <c r="D1668" s="280">
        <f>IF(offer_sale_type="транзит",IFERROR(VLOOKUP($B1668,calc_data,D$14+1,0),0),0)</f>
        <v/>
      </c>
      <c r="E1668" s="182">
        <f>IF(offer_sale_type="транзит",IFERROR(VLOOKUP($B1668,calc_data,E$14+1,0),0),0)</f>
        <v/>
      </c>
      <c r="F1668" s="182">
        <f>IF(offer_sale_type="транзит",IFERROR(VLOOKUP($B1668,calc_data,F$14+1,0),0),0)</f>
        <v/>
      </c>
      <c r="G1668" s="141">
        <f>IF(offer_sale_type="транзит",IFERROR(VLOOKUP($B1668,calc_data,G$14+1,0),0),0)</f>
        <v/>
      </c>
      <c r="H1668" s="141">
        <f>E1668*G1668</f>
        <v/>
      </c>
      <c r="I1668" s="141">
        <f>IF(offer_sale_type="транзит",IFERROR(ROUND(VLOOKUP($B1668,calc_data,I$14+1,0),2),0),0)</f>
        <v/>
      </c>
      <c r="J1668" s="141">
        <f>ROUND(IF(offer_sale_type="транзит",IFERROR(VLOOKUP($B1668,calc_data,J$14+1,0),0),0),2)</f>
        <v/>
      </c>
      <c r="K1668" s="142">
        <f>IF(offer_sale_type="транзит",IFERROR(ROUNDUP(VLOOKUP($B1668,calc_data,K$14+1,0),2),0),0)</f>
        <v/>
      </c>
      <c r="L1668" s="184">
        <f>IF(offer_sale_type="транзит",IFERROR(ROUNDUP(VLOOKUP($B1668,calc_data,L$14+1,0),2),0),0)</f>
        <v/>
      </c>
      <c r="M1668" s="141">
        <f>IF(offer_sale_type="транзит",IFERROR(ROUNDUP(VLOOKUP($B1668,calc_data,M$14+1,0),2),0),0)</f>
        <v/>
      </c>
      <c r="N1668" s="141">
        <f>IF(offer_sale_type="транзит",IFERROR(ROUNDUP(VLOOKUP($B1668,calc_data,N$14+1,0),2),0),0)</f>
        <v/>
      </c>
      <c r="O1668" s="147">
        <f>IF(offer_sale_type="транзит",IFERROR(ROUND(VLOOKUP($B1668,calc_data,O$14+1,1),2),0),0)</f>
        <v/>
      </c>
      <c r="P1668" s="141">
        <f>IF(offer_sale_type="транзит",IFERROR(ROUND(SUM(I1668:J1668,M1668:O1668)/E1668,2),0),0)</f>
        <v/>
      </c>
      <c r="Q1668" s="141">
        <f>E1668*P1668</f>
        <v/>
      </c>
      <c r="R1668" s="141">
        <f>ROUND(Q1668*IF(AND(offer_incoterms="DDP",seller_region="RU"),IF((TODAY()+offer_turnaround_time)&gt;=helpsheet!$L$17,rate_vatRU_from_26,rate_vatRu_till_25),0),2)</f>
        <v/>
      </c>
      <c r="S1668" s="177">
        <f>Q1668+IF(AND(offer_incoterms="DDP",seller_region="RU"),R1668,0)</f>
        <v/>
      </c>
      <c r="T1668" s="45" t="n"/>
      <c r="V1668" s="57">
        <f>IF(Q1668&gt;0,"показать","скрыть")</f>
        <v/>
      </c>
    </row>
    <row r="1669" ht="15.75" customHeight="1">
      <c r="B1669" s="809" t="n">
        <v>1653</v>
      </c>
      <c r="C1669" s="182">
        <f>IF(offer_sale_type="транзит",IFERROR(VLOOKUP($B1669,calc_data,C$14+1,0),0),0)</f>
        <v/>
      </c>
      <c r="D1669" s="280">
        <f>IF(offer_sale_type="транзит",IFERROR(VLOOKUP($B1669,calc_data,D$14+1,0),0),0)</f>
        <v/>
      </c>
      <c r="E1669" s="182">
        <f>IF(offer_sale_type="транзит",IFERROR(VLOOKUP($B1669,calc_data,E$14+1,0),0),0)</f>
        <v/>
      </c>
      <c r="F1669" s="182">
        <f>IF(offer_sale_type="транзит",IFERROR(VLOOKUP($B1669,calc_data,F$14+1,0),0),0)</f>
        <v/>
      </c>
      <c r="G1669" s="141">
        <f>IF(offer_sale_type="транзит",IFERROR(VLOOKUP($B1669,calc_data,G$14+1,0),0),0)</f>
        <v/>
      </c>
      <c r="H1669" s="141">
        <f>E1669*G1669</f>
        <v/>
      </c>
      <c r="I1669" s="141">
        <f>IF(offer_sale_type="транзит",IFERROR(ROUND(VLOOKUP($B1669,calc_data,I$14+1,0),2),0),0)</f>
        <v/>
      </c>
      <c r="J1669" s="141">
        <f>ROUND(IF(offer_sale_type="транзит",IFERROR(VLOOKUP($B1669,calc_data,J$14+1,0),0),0),2)</f>
        <v/>
      </c>
      <c r="K1669" s="142">
        <f>IF(offer_sale_type="транзит",IFERROR(ROUNDUP(VLOOKUP($B1669,calc_data,K$14+1,0),2),0),0)</f>
        <v/>
      </c>
      <c r="L1669" s="184">
        <f>IF(offer_sale_type="транзит",IFERROR(ROUNDUP(VLOOKUP($B1669,calc_data,L$14+1,0),2),0),0)</f>
        <v/>
      </c>
      <c r="M1669" s="141">
        <f>IF(offer_sale_type="транзит",IFERROR(ROUNDUP(VLOOKUP($B1669,calc_data,M$14+1,0),2),0),0)</f>
        <v/>
      </c>
      <c r="N1669" s="141">
        <f>IF(offer_sale_type="транзит",IFERROR(ROUNDUP(VLOOKUP($B1669,calc_data,N$14+1,0),2),0),0)</f>
        <v/>
      </c>
      <c r="O1669" s="147">
        <f>IF(offer_sale_type="транзит",IFERROR(ROUND(VLOOKUP($B1669,calc_data,O$14+1,1),2),0),0)</f>
        <v/>
      </c>
      <c r="P1669" s="141">
        <f>IF(offer_sale_type="транзит",IFERROR(ROUND(SUM(I1669:J1669,M1669:O1669)/E1669,2),0),0)</f>
        <v/>
      </c>
      <c r="Q1669" s="141">
        <f>E1669*P1669</f>
        <v/>
      </c>
      <c r="R1669" s="141">
        <f>ROUND(Q1669*IF(AND(offer_incoterms="DDP",seller_region="RU"),IF((TODAY()+offer_turnaround_time)&gt;=helpsheet!$L$17,rate_vatRU_from_26,rate_vatRu_till_25),0),2)</f>
        <v/>
      </c>
      <c r="S1669" s="177">
        <f>Q1669+IF(AND(offer_incoterms="DDP",seller_region="RU"),R1669,0)</f>
        <v/>
      </c>
      <c r="T1669" s="45" t="n"/>
      <c r="V1669" s="57">
        <f>IF(Q1669&gt;0,"показать","скрыть")</f>
        <v/>
      </c>
    </row>
    <row r="1670" ht="15.75" customHeight="1">
      <c r="B1670" s="809" t="n">
        <v>1654</v>
      </c>
      <c r="C1670" s="182">
        <f>IF(offer_sale_type="транзит",IFERROR(VLOOKUP($B1670,calc_data,C$14+1,0),0),0)</f>
        <v/>
      </c>
      <c r="D1670" s="280">
        <f>IF(offer_sale_type="транзит",IFERROR(VLOOKUP($B1670,calc_data,D$14+1,0),0),0)</f>
        <v/>
      </c>
      <c r="E1670" s="182">
        <f>IF(offer_sale_type="транзит",IFERROR(VLOOKUP($B1670,calc_data,E$14+1,0),0),0)</f>
        <v/>
      </c>
      <c r="F1670" s="182">
        <f>IF(offer_sale_type="транзит",IFERROR(VLOOKUP($B1670,calc_data,F$14+1,0),0),0)</f>
        <v/>
      </c>
      <c r="G1670" s="141">
        <f>IF(offer_sale_type="транзит",IFERROR(VLOOKUP($B1670,calc_data,G$14+1,0),0),0)</f>
        <v/>
      </c>
      <c r="H1670" s="141">
        <f>E1670*G1670</f>
        <v/>
      </c>
      <c r="I1670" s="141">
        <f>IF(offer_sale_type="транзит",IFERROR(ROUND(VLOOKUP($B1670,calc_data,I$14+1,0),2),0),0)</f>
        <v/>
      </c>
      <c r="J1670" s="141">
        <f>ROUND(IF(offer_sale_type="транзит",IFERROR(VLOOKUP($B1670,calc_data,J$14+1,0),0),0),2)</f>
        <v/>
      </c>
      <c r="K1670" s="142">
        <f>IF(offer_sale_type="транзит",IFERROR(ROUNDUP(VLOOKUP($B1670,calc_data,K$14+1,0),2),0),0)</f>
        <v/>
      </c>
      <c r="L1670" s="184">
        <f>IF(offer_sale_type="транзит",IFERROR(ROUNDUP(VLOOKUP($B1670,calc_data,L$14+1,0),2),0),0)</f>
        <v/>
      </c>
      <c r="M1670" s="141">
        <f>IF(offer_sale_type="транзит",IFERROR(ROUNDUP(VLOOKUP($B1670,calc_data,M$14+1,0),2),0),0)</f>
        <v/>
      </c>
      <c r="N1670" s="141">
        <f>IF(offer_sale_type="транзит",IFERROR(ROUNDUP(VLOOKUP($B1670,calc_data,N$14+1,0),2),0),0)</f>
        <v/>
      </c>
      <c r="O1670" s="147">
        <f>IF(offer_sale_type="транзит",IFERROR(ROUND(VLOOKUP($B1670,calc_data,O$14+1,1),2),0),0)</f>
        <v/>
      </c>
      <c r="P1670" s="141">
        <f>IF(offer_sale_type="транзит",IFERROR(ROUND(SUM(I1670:J1670,M1670:O1670)/E1670,2),0),0)</f>
        <v/>
      </c>
      <c r="Q1670" s="141">
        <f>E1670*P1670</f>
        <v/>
      </c>
      <c r="R1670" s="141">
        <f>ROUND(Q1670*IF(AND(offer_incoterms="DDP",seller_region="RU"),IF((TODAY()+offer_turnaround_time)&gt;=helpsheet!$L$17,rate_vatRU_from_26,rate_vatRu_till_25),0),2)</f>
        <v/>
      </c>
      <c r="S1670" s="177">
        <f>Q1670+IF(AND(offer_incoterms="DDP",seller_region="RU"),R1670,0)</f>
        <v/>
      </c>
      <c r="T1670" s="45" t="n"/>
      <c r="V1670" s="57">
        <f>IF(Q1670&gt;0,"показать","скрыть")</f>
        <v/>
      </c>
    </row>
    <row r="1671" ht="15.75" customHeight="1">
      <c r="B1671" s="809" t="n">
        <v>1655</v>
      </c>
      <c r="C1671" s="182">
        <f>IF(offer_sale_type="транзит",IFERROR(VLOOKUP($B1671,calc_data,C$14+1,0),0),0)</f>
        <v/>
      </c>
      <c r="D1671" s="280">
        <f>IF(offer_sale_type="транзит",IFERROR(VLOOKUP($B1671,calc_data,D$14+1,0),0),0)</f>
        <v/>
      </c>
      <c r="E1671" s="182">
        <f>IF(offer_sale_type="транзит",IFERROR(VLOOKUP($B1671,calc_data,E$14+1,0),0),0)</f>
        <v/>
      </c>
      <c r="F1671" s="182">
        <f>IF(offer_sale_type="транзит",IFERROR(VLOOKUP($B1671,calc_data,F$14+1,0),0),0)</f>
        <v/>
      </c>
      <c r="G1671" s="141">
        <f>IF(offer_sale_type="транзит",IFERROR(VLOOKUP($B1671,calc_data,G$14+1,0),0),0)</f>
        <v/>
      </c>
      <c r="H1671" s="141">
        <f>E1671*G1671</f>
        <v/>
      </c>
      <c r="I1671" s="141">
        <f>IF(offer_sale_type="транзит",IFERROR(ROUND(VLOOKUP($B1671,calc_data,I$14+1,0),2),0),0)</f>
        <v/>
      </c>
      <c r="J1671" s="141">
        <f>ROUND(IF(offer_sale_type="транзит",IFERROR(VLOOKUP($B1671,calc_data,J$14+1,0),0),0),2)</f>
        <v/>
      </c>
      <c r="K1671" s="142">
        <f>IF(offer_sale_type="транзит",IFERROR(ROUNDUP(VLOOKUP($B1671,calc_data,K$14+1,0),2),0),0)</f>
        <v/>
      </c>
      <c r="L1671" s="184">
        <f>IF(offer_sale_type="транзит",IFERROR(ROUNDUP(VLOOKUP($B1671,calc_data,L$14+1,0),2),0),0)</f>
        <v/>
      </c>
      <c r="M1671" s="141">
        <f>IF(offer_sale_type="транзит",IFERROR(ROUNDUP(VLOOKUP($B1671,calc_data,M$14+1,0),2),0),0)</f>
        <v/>
      </c>
      <c r="N1671" s="141">
        <f>IF(offer_sale_type="транзит",IFERROR(ROUNDUP(VLOOKUP($B1671,calc_data,N$14+1,0),2),0),0)</f>
        <v/>
      </c>
      <c r="O1671" s="147">
        <f>IF(offer_sale_type="транзит",IFERROR(ROUND(VLOOKUP($B1671,calc_data,O$14+1,1),2),0),0)</f>
        <v/>
      </c>
      <c r="P1671" s="141">
        <f>IF(offer_sale_type="транзит",IFERROR(ROUND(SUM(I1671:J1671,M1671:O1671)/E1671,2),0),0)</f>
        <v/>
      </c>
      <c r="Q1671" s="141">
        <f>E1671*P1671</f>
        <v/>
      </c>
      <c r="R1671" s="141">
        <f>ROUND(Q1671*IF(AND(offer_incoterms="DDP",seller_region="RU"),IF((TODAY()+offer_turnaround_time)&gt;=helpsheet!$L$17,rate_vatRU_from_26,rate_vatRu_till_25),0),2)</f>
        <v/>
      </c>
      <c r="S1671" s="177">
        <f>Q1671+IF(AND(offer_incoterms="DDP",seller_region="RU"),R1671,0)</f>
        <v/>
      </c>
      <c r="T1671" s="45" t="n"/>
      <c r="V1671" s="57">
        <f>IF(Q1671&gt;0,"показать","скрыть")</f>
        <v/>
      </c>
    </row>
    <row r="1672" ht="15.75" customHeight="1">
      <c r="B1672" s="809" t="n">
        <v>1656</v>
      </c>
      <c r="C1672" s="182">
        <f>IF(offer_sale_type="транзит",IFERROR(VLOOKUP($B1672,calc_data,C$14+1,0),0),0)</f>
        <v/>
      </c>
      <c r="D1672" s="280">
        <f>IF(offer_sale_type="транзит",IFERROR(VLOOKUP($B1672,calc_data,D$14+1,0),0),0)</f>
        <v/>
      </c>
      <c r="E1672" s="182">
        <f>IF(offer_sale_type="транзит",IFERROR(VLOOKUP($B1672,calc_data,E$14+1,0),0),0)</f>
        <v/>
      </c>
      <c r="F1672" s="182">
        <f>IF(offer_sale_type="транзит",IFERROR(VLOOKUP($B1672,calc_data,F$14+1,0),0),0)</f>
        <v/>
      </c>
      <c r="G1672" s="141">
        <f>IF(offer_sale_type="транзит",IFERROR(VLOOKUP($B1672,calc_data,G$14+1,0),0),0)</f>
        <v/>
      </c>
      <c r="H1672" s="141">
        <f>E1672*G1672</f>
        <v/>
      </c>
      <c r="I1672" s="141">
        <f>IF(offer_sale_type="транзит",IFERROR(ROUND(VLOOKUP($B1672,calc_data,I$14+1,0),2),0),0)</f>
        <v/>
      </c>
      <c r="J1672" s="141">
        <f>ROUND(IF(offer_sale_type="транзит",IFERROR(VLOOKUP($B1672,calc_data,J$14+1,0),0),0),2)</f>
        <v/>
      </c>
      <c r="K1672" s="142">
        <f>IF(offer_sale_type="транзит",IFERROR(ROUNDUP(VLOOKUP($B1672,calc_data,K$14+1,0),2),0),0)</f>
        <v/>
      </c>
      <c r="L1672" s="184">
        <f>IF(offer_sale_type="транзит",IFERROR(ROUNDUP(VLOOKUP($B1672,calc_data,L$14+1,0),2),0),0)</f>
        <v/>
      </c>
      <c r="M1672" s="141">
        <f>IF(offer_sale_type="транзит",IFERROR(ROUNDUP(VLOOKUP($B1672,calc_data,M$14+1,0),2),0),0)</f>
        <v/>
      </c>
      <c r="N1672" s="141">
        <f>IF(offer_sale_type="транзит",IFERROR(ROUNDUP(VLOOKUP($B1672,calc_data,N$14+1,0),2),0),0)</f>
        <v/>
      </c>
      <c r="O1672" s="147">
        <f>IF(offer_sale_type="транзит",IFERROR(ROUND(VLOOKUP($B1672,calc_data,O$14+1,1),2),0),0)</f>
        <v/>
      </c>
      <c r="P1672" s="141">
        <f>IF(offer_sale_type="транзит",IFERROR(ROUND(SUM(I1672:J1672,M1672:O1672)/E1672,2),0),0)</f>
        <v/>
      </c>
      <c r="Q1672" s="141">
        <f>E1672*P1672</f>
        <v/>
      </c>
      <c r="R1672" s="141">
        <f>ROUND(Q1672*IF(AND(offer_incoterms="DDP",seller_region="RU"),IF((TODAY()+offer_turnaround_time)&gt;=helpsheet!$L$17,rate_vatRU_from_26,rate_vatRu_till_25),0),2)</f>
        <v/>
      </c>
      <c r="S1672" s="177">
        <f>Q1672+IF(AND(offer_incoterms="DDP",seller_region="RU"),R1672,0)</f>
        <v/>
      </c>
      <c r="T1672" s="45" t="n"/>
      <c r="V1672" s="57">
        <f>IF(Q1672&gt;0,"показать","скрыть")</f>
        <v/>
      </c>
    </row>
    <row r="1673" ht="15.75" customHeight="1">
      <c r="B1673" s="809" t="n">
        <v>1657</v>
      </c>
      <c r="C1673" s="182">
        <f>IF(offer_sale_type="транзит",IFERROR(VLOOKUP($B1673,calc_data,C$14+1,0),0),0)</f>
        <v/>
      </c>
      <c r="D1673" s="280">
        <f>IF(offer_sale_type="транзит",IFERROR(VLOOKUP($B1673,calc_data,D$14+1,0),0),0)</f>
        <v/>
      </c>
      <c r="E1673" s="182">
        <f>IF(offer_sale_type="транзит",IFERROR(VLOOKUP($B1673,calc_data,E$14+1,0),0),0)</f>
        <v/>
      </c>
      <c r="F1673" s="182">
        <f>IF(offer_sale_type="транзит",IFERROR(VLOOKUP($B1673,calc_data,F$14+1,0),0),0)</f>
        <v/>
      </c>
      <c r="G1673" s="141">
        <f>IF(offer_sale_type="транзит",IFERROR(VLOOKUP($B1673,calc_data,G$14+1,0),0),0)</f>
        <v/>
      </c>
      <c r="H1673" s="141">
        <f>E1673*G1673</f>
        <v/>
      </c>
      <c r="I1673" s="141">
        <f>IF(offer_sale_type="транзит",IFERROR(ROUND(VLOOKUP($B1673,calc_data,I$14+1,0),2),0),0)</f>
        <v/>
      </c>
      <c r="J1673" s="141">
        <f>ROUND(IF(offer_sale_type="транзит",IFERROR(VLOOKUP($B1673,calc_data,J$14+1,0),0),0),2)</f>
        <v/>
      </c>
      <c r="K1673" s="142">
        <f>IF(offer_sale_type="транзит",IFERROR(ROUNDUP(VLOOKUP($B1673,calc_data,K$14+1,0),2),0),0)</f>
        <v/>
      </c>
      <c r="L1673" s="184">
        <f>IF(offer_sale_type="транзит",IFERROR(ROUNDUP(VLOOKUP($B1673,calc_data,L$14+1,0),2),0),0)</f>
        <v/>
      </c>
      <c r="M1673" s="141">
        <f>IF(offer_sale_type="транзит",IFERROR(ROUNDUP(VLOOKUP($B1673,calc_data,M$14+1,0),2),0),0)</f>
        <v/>
      </c>
      <c r="N1673" s="141">
        <f>IF(offer_sale_type="транзит",IFERROR(ROUNDUP(VLOOKUP($B1673,calc_data,N$14+1,0),2),0),0)</f>
        <v/>
      </c>
      <c r="O1673" s="147">
        <f>IF(offer_sale_type="транзит",IFERROR(ROUND(VLOOKUP($B1673,calc_data,O$14+1,1),2),0),0)</f>
        <v/>
      </c>
      <c r="P1673" s="141">
        <f>IF(offer_sale_type="транзит",IFERROR(ROUND(SUM(I1673:J1673,M1673:O1673)/E1673,2),0),0)</f>
        <v/>
      </c>
      <c r="Q1673" s="141">
        <f>E1673*P1673</f>
        <v/>
      </c>
      <c r="R1673" s="141">
        <f>ROUND(Q1673*IF(AND(offer_incoterms="DDP",seller_region="RU"),IF((TODAY()+offer_turnaround_time)&gt;=helpsheet!$L$17,rate_vatRU_from_26,rate_vatRu_till_25),0),2)</f>
        <v/>
      </c>
      <c r="S1673" s="177">
        <f>Q1673+IF(AND(offer_incoterms="DDP",seller_region="RU"),R1673,0)</f>
        <v/>
      </c>
      <c r="T1673" s="45" t="n"/>
      <c r="V1673" s="57">
        <f>IF(Q1673&gt;0,"показать","скрыть")</f>
        <v/>
      </c>
    </row>
    <row r="1674" ht="15.75" customHeight="1">
      <c r="B1674" s="809" t="n">
        <v>1658</v>
      </c>
      <c r="C1674" s="182">
        <f>IF(offer_sale_type="транзит",IFERROR(VLOOKUP($B1674,calc_data,C$14+1,0),0),0)</f>
        <v/>
      </c>
      <c r="D1674" s="280">
        <f>IF(offer_sale_type="транзит",IFERROR(VLOOKUP($B1674,calc_data,D$14+1,0),0),0)</f>
        <v/>
      </c>
      <c r="E1674" s="182">
        <f>IF(offer_sale_type="транзит",IFERROR(VLOOKUP($B1674,calc_data,E$14+1,0),0),0)</f>
        <v/>
      </c>
      <c r="F1674" s="182">
        <f>IF(offer_sale_type="транзит",IFERROR(VLOOKUP($B1674,calc_data,F$14+1,0),0),0)</f>
        <v/>
      </c>
      <c r="G1674" s="141">
        <f>IF(offer_sale_type="транзит",IFERROR(VLOOKUP($B1674,calc_data,G$14+1,0),0),0)</f>
        <v/>
      </c>
      <c r="H1674" s="141">
        <f>E1674*G1674</f>
        <v/>
      </c>
      <c r="I1674" s="141">
        <f>IF(offer_sale_type="транзит",IFERROR(ROUND(VLOOKUP($B1674,calc_data,I$14+1,0),2),0),0)</f>
        <v/>
      </c>
      <c r="J1674" s="141">
        <f>ROUND(IF(offer_sale_type="транзит",IFERROR(VLOOKUP($B1674,calc_data,J$14+1,0),0),0),2)</f>
        <v/>
      </c>
      <c r="K1674" s="142">
        <f>IF(offer_sale_type="транзит",IFERROR(ROUNDUP(VLOOKUP($B1674,calc_data,K$14+1,0),2),0),0)</f>
        <v/>
      </c>
      <c r="L1674" s="184">
        <f>IF(offer_sale_type="транзит",IFERROR(ROUNDUP(VLOOKUP($B1674,calc_data,L$14+1,0),2),0),0)</f>
        <v/>
      </c>
      <c r="M1674" s="141">
        <f>IF(offer_sale_type="транзит",IFERROR(ROUNDUP(VLOOKUP($B1674,calc_data,M$14+1,0),2),0),0)</f>
        <v/>
      </c>
      <c r="N1674" s="141">
        <f>IF(offer_sale_type="транзит",IFERROR(ROUNDUP(VLOOKUP($B1674,calc_data,N$14+1,0),2),0),0)</f>
        <v/>
      </c>
      <c r="O1674" s="147">
        <f>IF(offer_sale_type="транзит",IFERROR(ROUND(VLOOKUP($B1674,calc_data,O$14+1,1),2),0),0)</f>
        <v/>
      </c>
      <c r="P1674" s="141">
        <f>IF(offer_sale_type="транзит",IFERROR(ROUND(SUM(I1674:J1674,M1674:O1674)/E1674,2),0),0)</f>
        <v/>
      </c>
      <c r="Q1674" s="141">
        <f>E1674*P1674</f>
        <v/>
      </c>
      <c r="R1674" s="141">
        <f>ROUND(Q1674*IF(AND(offer_incoterms="DDP",seller_region="RU"),IF((TODAY()+offer_turnaround_time)&gt;=helpsheet!$L$17,rate_vatRU_from_26,rate_vatRu_till_25),0),2)</f>
        <v/>
      </c>
      <c r="S1674" s="177">
        <f>Q1674+IF(AND(offer_incoterms="DDP",seller_region="RU"),R1674,0)</f>
        <v/>
      </c>
      <c r="T1674" s="45" t="n"/>
      <c r="V1674" s="57">
        <f>IF(Q1674&gt;0,"показать","скрыть")</f>
        <v/>
      </c>
    </row>
    <row r="1675" ht="15.75" customHeight="1">
      <c r="B1675" s="809" t="n">
        <v>1659</v>
      </c>
      <c r="C1675" s="182">
        <f>IF(offer_sale_type="транзит",IFERROR(VLOOKUP($B1675,calc_data,C$14+1,0),0),0)</f>
        <v/>
      </c>
      <c r="D1675" s="280">
        <f>IF(offer_sale_type="транзит",IFERROR(VLOOKUP($B1675,calc_data,D$14+1,0),0),0)</f>
        <v/>
      </c>
      <c r="E1675" s="182">
        <f>IF(offer_sale_type="транзит",IFERROR(VLOOKUP($B1675,calc_data,E$14+1,0),0),0)</f>
        <v/>
      </c>
      <c r="F1675" s="182">
        <f>IF(offer_sale_type="транзит",IFERROR(VLOOKUP($B1675,calc_data,F$14+1,0),0),0)</f>
        <v/>
      </c>
      <c r="G1675" s="141">
        <f>IF(offer_sale_type="транзит",IFERROR(VLOOKUP($B1675,calc_data,G$14+1,0),0),0)</f>
        <v/>
      </c>
      <c r="H1675" s="141">
        <f>E1675*G1675</f>
        <v/>
      </c>
      <c r="I1675" s="141">
        <f>IF(offer_sale_type="транзит",IFERROR(ROUND(VLOOKUP($B1675,calc_data,I$14+1,0),2),0),0)</f>
        <v/>
      </c>
      <c r="J1675" s="141">
        <f>ROUND(IF(offer_sale_type="транзит",IFERROR(VLOOKUP($B1675,calc_data,J$14+1,0),0),0),2)</f>
        <v/>
      </c>
      <c r="K1675" s="142">
        <f>IF(offer_sale_type="транзит",IFERROR(ROUNDUP(VLOOKUP($B1675,calc_data,K$14+1,0),2),0),0)</f>
        <v/>
      </c>
      <c r="L1675" s="184">
        <f>IF(offer_sale_type="транзит",IFERROR(ROUNDUP(VLOOKUP($B1675,calc_data,L$14+1,0),2),0),0)</f>
        <v/>
      </c>
      <c r="M1675" s="141">
        <f>IF(offer_sale_type="транзит",IFERROR(ROUNDUP(VLOOKUP($B1675,calc_data,M$14+1,0),2),0),0)</f>
        <v/>
      </c>
      <c r="N1675" s="141">
        <f>IF(offer_sale_type="транзит",IFERROR(ROUNDUP(VLOOKUP($B1675,calc_data,N$14+1,0),2),0),0)</f>
        <v/>
      </c>
      <c r="O1675" s="147">
        <f>IF(offer_sale_type="транзит",IFERROR(ROUND(VLOOKUP($B1675,calc_data,O$14+1,1),2),0),0)</f>
        <v/>
      </c>
      <c r="P1675" s="141">
        <f>IF(offer_sale_type="транзит",IFERROR(ROUND(SUM(I1675:J1675,M1675:O1675)/E1675,2),0),0)</f>
        <v/>
      </c>
      <c r="Q1675" s="141">
        <f>E1675*P1675</f>
        <v/>
      </c>
      <c r="R1675" s="141">
        <f>ROUND(Q1675*IF(AND(offer_incoterms="DDP",seller_region="RU"),IF((TODAY()+offer_turnaround_time)&gt;=helpsheet!$L$17,rate_vatRU_from_26,rate_vatRu_till_25),0),2)</f>
        <v/>
      </c>
      <c r="S1675" s="177">
        <f>Q1675+IF(AND(offer_incoterms="DDP",seller_region="RU"),R1675,0)</f>
        <v/>
      </c>
      <c r="T1675" s="45" t="n"/>
      <c r="V1675" s="57">
        <f>IF(Q1675&gt;0,"показать","скрыть")</f>
        <v/>
      </c>
    </row>
    <row r="1676" ht="15.75" customHeight="1">
      <c r="B1676" s="809" t="n">
        <v>1660</v>
      </c>
      <c r="C1676" s="182">
        <f>IF(offer_sale_type="транзит",IFERROR(VLOOKUP($B1676,calc_data,C$14+1,0),0),0)</f>
        <v/>
      </c>
      <c r="D1676" s="280">
        <f>IF(offer_sale_type="транзит",IFERROR(VLOOKUP($B1676,calc_data,D$14+1,0),0),0)</f>
        <v/>
      </c>
      <c r="E1676" s="182">
        <f>IF(offer_sale_type="транзит",IFERROR(VLOOKUP($B1676,calc_data,E$14+1,0),0),0)</f>
        <v/>
      </c>
      <c r="F1676" s="182">
        <f>IF(offer_sale_type="транзит",IFERROR(VLOOKUP($B1676,calc_data,F$14+1,0),0),0)</f>
        <v/>
      </c>
      <c r="G1676" s="141">
        <f>IF(offer_sale_type="транзит",IFERROR(VLOOKUP($B1676,calc_data,G$14+1,0),0),0)</f>
        <v/>
      </c>
      <c r="H1676" s="141">
        <f>E1676*G1676</f>
        <v/>
      </c>
      <c r="I1676" s="141">
        <f>IF(offer_sale_type="транзит",IFERROR(ROUND(VLOOKUP($B1676,calc_data,I$14+1,0),2),0),0)</f>
        <v/>
      </c>
      <c r="J1676" s="141">
        <f>ROUND(IF(offer_sale_type="транзит",IFERROR(VLOOKUP($B1676,calc_data,J$14+1,0),0),0),2)</f>
        <v/>
      </c>
      <c r="K1676" s="142">
        <f>IF(offer_sale_type="транзит",IFERROR(ROUNDUP(VLOOKUP($B1676,calc_data,K$14+1,0),2),0),0)</f>
        <v/>
      </c>
      <c r="L1676" s="184">
        <f>IF(offer_sale_type="транзит",IFERROR(ROUNDUP(VLOOKUP($B1676,calc_data,L$14+1,0),2),0),0)</f>
        <v/>
      </c>
      <c r="M1676" s="141">
        <f>IF(offer_sale_type="транзит",IFERROR(ROUNDUP(VLOOKUP($B1676,calc_data,M$14+1,0),2),0),0)</f>
        <v/>
      </c>
      <c r="N1676" s="141">
        <f>IF(offer_sale_type="транзит",IFERROR(ROUNDUP(VLOOKUP($B1676,calc_data,N$14+1,0),2),0),0)</f>
        <v/>
      </c>
      <c r="O1676" s="147">
        <f>IF(offer_sale_type="транзит",IFERROR(ROUND(VLOOKUP($B1676,calc_data,O$14+1,1),2),0),0)</f>
        <v/>
      </c>
      <c r="P1676" s="141">
        <f>IF(offer_sale_type="транзит",IFERROR(ROUND(SUM(I1676:J1676,M1676:O1676)/E1676,2),0),0)</f>
        <v/>
      </c>
      <c r="Q1676" s="141">
        <f>E1676*P1676</f>
        <v/>
      </c>
      <c r="R1676" s="141">
        <f>ROUND(Q1676*IF(AND(offer_incoterms="DDP",seller_region="RU"),IF((TODAY()+offer_turnaround_time)&gt;=helpsheet!$L$17,rate_vatRU_from_26,rate_vatRu_till_25),0),2)</f>
        <v/>
      </c>
      <c r="S1676" s="177">
        <f>Q1676+IF(AND(offer_incoterms="DDP",seller_region="RU"),R1676,0)</f>
        <v/>
      </c>
      <c r="T1676" s="45" t="n"/>
      <c r="V1676" s="57">
        <f>IF(Q1676&gt;0,"показать","скрыть")</f>
        <v/>
      </c>
    </row>
    <row r="1677" ht="15.75" customHeight="1">
      <c r="B1677" s="809" t="n">
        <v>1661</v>
      </c>
      <c r="C1677" s="182">
        <f>IF(offer_sale_type="транзит",IFERROR(VLOOKUP($B1677,calc_data,C$14+1,0),0),0)</f>
        <v/>
      </c>
      <c r="D1677" s="280">
        <f>IF(offer_sale_type="транзит",IFERROR(VLOOKUP($B1677,calc_data,D$14+1,0),0),0)</f>
        <v/>
      </c>
      <c r="E1677" s="182">
        <f>IF(offer_sale_type="транзит",IFERROR(VLOOKUP($B1677,calc_data,E$14+1,0),0),0)</f>
        <v/>
      </c>
      <c r="F1677" s="182">
        <f>IF(offer_sale_type="транзит",IFERROR(VLOOKUP($B1677,calc_data,F$14+1,0),0),0)</f>
        <v/>
      </c>
      <c r="G1677" s="141">
        <f>IF(offer_sale_type="транзит",IFERROR(VLOOKUP($B1677,calc_data,G$14+1,0),0),0)</f>
        <v/>
      </c>
      <c r="H1677" s="141">
        <f>E1677*G1677</f>
        <v/>
      </c>
      <c r="I1677" s="141">
        <f>IF(offer_sale_type="транзит",IFERROR(ROUND(VLOOKUP($B1677,calc_data,I$14+1,0),2),0),0)</f>
        <v/>
      </c>
      <c r="J1677" s="141">
        <f>ROUND(IF(offer_sale_type="транзит",IFERROR(VLOOKUP($B1677,calc_data,J$14+1,0),0),0),2)</f>
        <v/>
      </c>
      <c r="K1677" s="142">
        <f>IF(offer_sale_type="транзит",IFERROR(ROUNDUP(VLOOKUP($B1677,calc_data,K$14+1,0),2),0),0)</f>
        <v/>
      </c>
      <c r="L1677" s="184">
        <f>IF(offer_sale_type="транзит",IFERROR(ROUNDUP(VLOOKUP($B1677,calc_data,L$14+1,0),2),0),0)</f>
        <v/>
      </c>
      <c r="M1677" s="141">
        <f>IF(offer_sale_type="транзит",IFERROR(ROUNDUP(VLOOKUP($B1677,calc_data,M$14+1,0),2),0),0)</f>
        <v/>
      </c>
      <c r="N1677" s="141">
        <f>IF(offer_sale_type="транзит",IFERROR(ROUNDUP(VLOOKUP($B1677,calc_data,N$14+1,0),2),0),0)</f>
        <v/>
      </c>
      <c r="O1677" s="147">
        <f>IF(offer_sale_type="транзит",IFERROR(ROUND(VLOOKUP($B1677,calc_data,O$14+1,1),2),0),0)</f>
        <v/>
      </c>
      <c r="P1677" s="141">
        <f>IF(offer_sale_type="транзит",IFERROR(ROUND(SUM(I1677:J1677,M1677:O1677)/E1677,2),0),0)</f>
        <v/>
      </c>
      <c r="Q1677" s="141">
        <f>E1677*P1677</f>
        <v/>
      </c>
      <c r="R1677" s="141">
        <f>ROUND(Q1677*IF(AND(offer_incoterms="DDP",seller_region="RU"),IF((TODAY()+offer_turnaround_time)&gt;=helpsheet!$L$17,rate_vatRU_from_26,rate_vatRu_till_25),0),2)</f>
        <v/>
      </c>
      <c r="S1677" s="177">
        <f>Q1677+IF(AND(offer_incoterms="DDP",seller_region="RU"),R1677,0)</f>
        <v/>
      </c>
      <c r="T1677" s="45" t="n"/>
      <c r="V1677" s="57">
        <f>IF(Q1677&gt;0,"показать","скрыть")</f>
        <v/>
      </c>
    </row>
    <row r="1678" ht="15.75" customHeight="1">
      <c r="B1678" s="809" t="n">
        <v>1662</v>
      </c>
      <c r="C1678" s="182">
        <f>IF(offer_sale_type="транзит",IFERROR(VLOOKUP($B1678,calc_data,C$14+1,0),0),0)</f>
        <v/>
      </c>
      <c r="D1678" s="280">
        <f>IF(offer_sale_type="транзит",IFERROR(VLOOKUP($B1678,calc_data,D$14+1,0),0),0)</f>
        <v/>
      </c>
      <c r="E1678" s="182">
        <f>IF(offer_sale_type="транзит",IFERROR(VLOOKUP($B1678,calc_data,E$14+1,0),0),0)</f>
        <v/>
      </c>
      <c r="F1678" s="182">
        <f>IF(offer_sale_type="транзит",IFERROR(VLOOKUP($B1678,calc_data,F$14+1,0),0),0)</f>
        <v/>
      </c>
      <c r="G1678" s="141">
        <f>IF(offer_sale_type="транзит",IFERROR(VLOOKUP($B1678,calc_data,G$14+1,0),0),0)</f>
        <v/>
      </c>
      <c r="H1678" s="141">
        <f>E1678*G1678</f>
        <v/>
      </c>
      <c r="I1678" s="141">
        <f>IF(offer_sale_type="транзит",IFERROR(ROUND(VLOOKUP($B1678,calc_data,I$14+1,0),2),0),0)</f>
        <v/>
      </c>
      <c r="J1678" s="141">
        <f>ROUND(IF(offer_sale_type="транзит",IFERROR(VLOOKUP($B1678,calc_data,J$14+1,0),0),0),2)</f>
        <v/>
      </c>
      <c r="K1678" s="142">
        <f>IF(offer_sale_type="транзит",IFERROR(ROUNDUP(VLOOKUP($B1678,calc_data,K$14+1,0),2),0),0)</f>
        <v/>
      </c>
      <c r="L1678" s="184">
        <f>IF(offer_sale_type="транзит",IFERROR(ROUNDUP(VLOOKUP($B1678,calc_data,L$14+1,0),2),0),0)</f>
        <v/>
      </c>
      <c r="M1678" s="141">
        <f>IF(offer_sale_type="транзит",IFERROR(ROUNDUP(VLOOKUP($B1678,calc_data,M$14+1,0),2),0),0)</f>
        <v/>
      </c>
      <c r="N1678" s="141">
        <f>IF(offer_sale_type="транзит",IFERROR(ROUNDUP(VLOOKUP($B1678,calc_data,N$14+1,0),2),0),0)</f>
        <v/>
      </c>
      <c r="O1678" s="147">
        <f>IF(offer_sale_type="транзит",IFERROR(ROUND(VLOOKUP($B1678,calc_data,O$14+1,1),2),0),0)</f>
        <v/>
      </c>
      <c r="P1678" s="141">
        <f>IF(offer_sale_type="транзит",IFERROR(ROUND(SUM(I1678:J1678,M1678:O1678)/E1678,2),0),0)</f>
        <v/>
      </c>
      <c r="Q1678" s="141">
        <f>E1678*P1678</f>
        <v/>
      </c>
      <c r="R1678" s="141">
        <f>ROUND(Q1678*IF(AND(offer_incoterms="DDP",seller_region="RU"),IF((TODAY()+offer_turnaround_time)&gt;=helpsheet!$L$17,rate_vatRU_from_26,rate_vatRu_till_25),0),2)</f>
        <v/>
      </c>
      <c r="S1678" s="177">
        <f>Q1678+IF(AND(offer_incoterms="DDP",seller_region="RU"),R1678,0)</f>
        <v/>
      </c>
      <c r="T1678" s="45" t="n"/>
      <c r="V1678" s="57">
        <f>IF(Q1678&gt;0,"показать","скрыть")</f>
        <v/>
      </c>
    </row>
    <row r="1679" ht="15.75" customHeight="1">
      <c r="B1679" s="809" t="n">
        <v>1663</v>
      </c>
      <c r="C1679" s="182">
        <f>IF(offer_sale_type="транзит",IFERROR(VLOOKUP($B1679,calc_data,C$14+1,0),0),0)</f>
        <v/>
      </c>
      <c r="D1679" s="280">
        <f>IF(offer_sale_type="транзит",IFERROR(VLOOKUP($B1679,calc_data,D$14+1,0),0),0)</f>
        <v/>
      </c>
      <c r="E1679" s="182">
        <f>IF(offer_sale_type="транзит",IFERROR(VLOOKUP($B1679,calc_data,E$14+1,0),0),0)</f>
        <v/>
      </c>
      <c r="F1679" s="182">
        <f>IF(offer_sale_type="транзит",IFERROR(VLOOKUP($B1679,calc_data,F$14+1,0),0),0)</f>
        <v/>
      </c>
      <c r="G1679" s="141">
        <f>IF(offer_sale_type="транзит",IFERROR(VLOOKUP($B1679,calc_data,G$14+1,0),0),0)</f>
        <v/>
      </c>
      <c r="H1679" s="141">
        <f>E1679*G1679</f>
        <v/>
      </c>
      <c r="I1679" s="141">
        <f>IF(offer_sale_type="транзит",IFERROR(ROUND(VLOOKUP($B1679,calc_data,I$14+1,0),2),0),0)</f>
        <v/>
      </c>
      <c r="J1679" s="141">
        <f>ROUND(IF(offer_sale_type="транзит",IFERROR(VLOOKUP($B1679,calc_data,J$14+1,0),0),0),2)</f>
        <v/>
      </c>
      <c r="K1679" s="142">
        <f>IF(offer_sale_type="транзит",IFERROR(ROUNDUP(VLOOKUP($B1679,calc_data,K$14+1,0),2),0),0)</f>
        <v/>
      </c>
      <c r="L1679" s="184">
        <f>IF(offer_sale_type="транзит",IFERROR(ROUNDUP(VLOOKUP($B1679,calc_data,L$14+1,0),2),0),0)</f>
        <v/>
      </c>
      <c r="M1679" s="141">
        <f>IF(offer_sale_type="транзит",IFERROR(ROUNDUP(VLOOKUP($B1679,calc_data,M$14+1,0),2),0),0)</f>
        <v/>
      </c>
      <c r="N1679" s="141">
        <f>IF(offer_sale_type="транзит",IFERROR(ROUNDUP(VLOOKUP($B1679,calc_data,N$14+1,0),2),0),0)</f>
        <v/>
      </c>
      <c r="O1679" s="147">
        <f>IF(offer_sale_type="транзит",IFERROR(ROUND(VLOOKUP($B1679,calc_data,O$14+1,1),2),0),0)</f>
        <v/>
      </c>
      <c r="P1679" s="141">
        <f>IF(offer_sale_type="транзит",IFERROR(ROUND(SUM(I1679:J1679,M1679:O1679)/E1679,2),0),0)</f>
        <v/>
      </c>
      <c r="Q1679" s="141">
        <f>E1679*P1679</f>
        <v/>
      </c>
      <c r="R1679" s="141">
        <f>ROUND(Q1679*IF(AND(offer_incoterms="DDP",seller_region="RU"),IF((TODAY()+offer_turnaround_time)&gt;=helpsheet!$L$17,rate_vatRU_from_26,rate_vatRu_till_25),0),2)</f>
        <v/>
      </c>
      <c r="S1679" s="177">
        <f>Q1679+IF(AND(offer_incoterms="DDP",seller_region="RU"),R1679,0)</f>
        <v/>
      </c>
      <c r="T1679" s="45" t="n"/>
      <c r="V1679" s="57">
        <f>IF(Q1679&gt;0,"показать","скрыть")</f>
        <v/>
      </c>
    </row>
    <row r="1680" ht="15.75" customHeight="1">
      <c r="B1680" s="809" t="n">
        <v>1664</v>
      </c>
      <c r="C1680" s="182">
        <f>IF(offer_sale_type="транзит",IFERROR(VLOOKUP($B1680,calc_data,C$14+1,0),0),0)</f>
        <v/>
      </c>
      <c r="D1680" s="280">
        <f>IF(offer_sale_type="транзит",IFERROR(VLOOKUP($B1680,calc_data,D$14+1,0),0),0)</f>
        <v/>
      </c>
      <c r="E1680" s="182">
        <f>IF(offer_sale_type="транзит",IFERROR(VLOOKUP($B1680,calc_data,E$14+1,0),0),0)</f>
        <v/>
      </c>
      <c r="F1680" s="182">
        <f>IF(offer_sale_type="транзит",IFERROR(VLOOKUP($B1680,calc_data,F$14+1,0),0),0)</f>
        <v/>
      </c>
      <c r="G1680" s="141">
        <f>IF(offer_sale_type="транзит",IFERROR(VLOOKUP($B1680,calc_data,G$14+1,0),0),0)</f>
        <v/>
      </c>
      <c r="H1680" s="141">
        <f>E1680*G1680</f>
        <v/>
      </c>
      <c r="I1680" s="141">
        <f>IF(offer_sale_type="транзит",IFERROR(ROUND(VLOOKUP($B1680,calc_data,I$14+1,0),2),0),0)</f>
        <v/>
      </c>
      <c r="J1680" s="141">
        <f>ROUND(IF(offer_sale_type="транзит",IFERROR(VLOOKUP($B1680,calc_data,J$14+1,0),0),0),2)</f>
        <v/>
      </c>
      <c r="K1680" s="142">
        <f>IF(offer_sale_type="транзит",IFERROR(ROUNDUP(VLOOKUP($B1680,calc_data,K$14+1,0),2),0),0)</f>
        <v/>
      </c>
      <c r="L1680" s="184">
        <f>IF(offer_sale_type="транзит",IFERROR(ROUNDUP(VLOOKUP($B1680,calc_data,L$14+1,0),2),0),0)</f>
        <v/>
      </c>
      <c r="M1680" s="141">
        <f>IF(offer_sale_type="транзит",IFERROR(ROUNDUP(VLOOKUP($B1680,calc_data,M$14+1,0),2),0),0)</f>
        <v/>
      </c>
      <c r="N1680" s="141">
        <f>IF(offer_sale_type="транзит",IFERROR(ROUNDUP(VLOOKUP($B1680,calc_data,N$14+1,0),2),0),0)</f>
        <v/>
      </c>
      <c r="O1680" s="147">
        <f>IF(offer_sale_type="транзит",IFERROR(ROUND(VLOOKUP($B1680,calc_data,O$14+1,1),2),0),0)</f>
        <v/>
      </c>
      <c r="P1680" s="141">
        <f>IF(offer_sale_type="транзит",IFERROR(ROUND(SUM(I1680:J1680,M1680:O1680)/E1680,2),0),0)</f>
        <v/>
      </c>
      <c r="Q1680" s="141">
        <f>E1680*P1680</f>
        <v/>
      </c>
      <c r="R1680" s="141">
        <f>ROUND(Q1680*IF(AND(offer_incoterms="DDP",seller_region="RU"),IF((TODAY()+offer_turnaround_time)&gt;=helpsheet!$L$17,rate_vatRU_from_26,rate_vatRu_till_25),0),2)</f>
        <v/>
      </c>
      <c r="S1680" s="177">
        <f>Q1680+IF(AND(offer_incoterms="DDP",seller_region="RU"),R1680,0)</f>
        <v/>
      </c>
      <c r="T1680" s="45" t="n"/>
      <c r="V1680" s="57">
        <f>IF(Q1680&gt;0,"показать","скрыть")</f>
        <v/>
      </c>
    </row>
    <row r="1681" ht="15.75" customHeight="1">
      <c r="B1681" s="809" t="n">
        <v>1665</v>
      </c>
      <c r="C1681" s="182">
        <f>IF(offer_sale_type="транзит",IFERROR(VLOOKUP($B1681,calc_data,C$14+1,0),0),0)</f>
        <v/>
      </c>
      <c r="D1681" s="280">
        <f>IF(offer_sale_type="транзит",IFERROR(VLOOKUP($B1681,calc_data,D$14+1,0),0),0)</f>
        <v/>
      </c>
      <c r="E1681" s="182">
        <f>IF(offer_sale_type="транзит",IFERROR(VLOOKUP($B1681,calc_data,E$14+1,0),0),0)</f>
        <v/>
      </c>
      <c r="F1681" s="182">
        <f>IF(offer_sale_type="транзит",IFERROR(VLOOKUP($B1681,calc_data,F$14+1,0),0),0)</f>
        <v/>
      </c>
      <c r="G1681" s="141">
        <f>IF(offer_sale_type="транзит",IFERROR(VLOOKUP($B1681,calc_data,G$14+1,0),0),0)</f>
        <v/>
      </c>
      <c r="H1681" s="141">
        <f>E1681*G1681</f>
        <v/>
      </c>
      <c r="I1681" s="141">
        <f>IF(offer_sale_type="транзит",IFERROR(ROUND(VLOOKUP($B1681,calc_data,I$14+1,0),2),0),0)</f>
        <v/>
      </c>
      <c r="J1681" s="141">
        <f>ROUND(IF(offer_sale_type="транзит",IFERROR(VLOOKUP($B1681,calc_data,J$14+1,0),0),0),2)</f>
        <v/>
      </c>
      <c r="K1681" s="142">
        <f>IF(offer_sale_type="транзит",IFERROR(ROUNDUP(VLOOKUP($B1681,calc_data,K$14+1,0),2),0),0)</f>
        <v/>
      </c>
      <c r="L1681" s="184">
        <f>IF(offer_sale_type="транзит",IFERROR(ROUNDUP(VLOOKUP($B1681,calc_data,L$14+1,0),2),0),0)</f>
        <v/>
      </c>
      <c r="M1681" s="141">
        <f>IF(offer_sale_type="транзит",IFERROR(ROUNDUP(VLOOKUP($B1681,calc_data,M$14+1,0),2),0),0)</f>
        <v/>
      </c>
      <c r="N1681" s="141">
        <f>IF(offer_sale_type="транзит",IFERROR(ROUNDUP(VLOOKUP($B1681,calc_data,N$14+1,0),2),0),0)</f>
        <v/>
      </c>
      <c r="O1681" s="147">
        <f>IF(offer_sale_type="транзит",IFERROR(ROUND(VLOOKUP($B1681,calc_data,O$14+1,1),2),0),0)</f>
        <v/>
      </c>
      <c r="P1681" s="141">
        <f>IF(offer_sale_type="транзит",IFERROR(ROUND(SUM(I1681:J1681,M1681:O1681)/E1681,2),0),0)</f>
        <v/>
      </c>
      <c r="Q1681" s="141">
        <f>E1681*P1681</f>
        <v/>
      </c>
      <c r="R1681" s="141">
        <f>ROUND(Q1681*IF(AND(offer_incoterms="DDP",seller_region="RU"),IF((TODAY()+offer_turnaround_time)&gt;=helpsheet!$L$17,rate_vatRU_from_26,rate_vatRu_till_25),0),2)</f>
        <v/>
      </c>
      <c r="S1681" s="177">
        <f>Q1681+IF(AND(offer_incoterms="DDP",seller_region="RU"),R1681,0)</f>
        <v/>
      </c>
      <c r="T1681" s="45" t="n"/>
      <c r="V1681" s="57">
        <f>IF(Q1681&gt;0,"показать","скрыть")</f>
        <v/>
      </c>
    </row>
    <row r="1682" ht="15.75" customHeight="1">
      <c r="B1682" s="809" t="n">
        <v>1666</v>
      </c>
      <c r="C1682" s="182">
        <f>IF(offer_sale_type="транзит",IFERROR(VLOOKUP($B1682,calc_data,C$14+1,0),0),0)</f>
        <v/>
      </c>
      <c r="D1682" s="280">
        <f>IF(offer_sale_type="транзит",IFERROR(VLOOKUP($B1682,calc_data,D$14+1,0),0),0)</f>
        <v/>
      </c>
      <c r="E1682" s="182">
        <f>IF(offer_sale_type="транзит",IFERROR(VLOOKUP($B1682,calc_data,E$14+1,0),0),0)</f>
        <v/>
      </c>
      <c r="F1682" s="182">
        <f>IF(offer_sale_type="транзит",IFERROR(VLOOKUP($B1682,calc_data,F$14+1,0),0),0)</f>
        <v/>
      </c>
      <c r="G1682" s="141">
        <f>IF(offer_sale_type="транзит",IFERROR(VLOOKUP($B1682,calc_data,G$14+1,0),0),0)</f>
        <v/>
      </c>
      <c r="H1682" s="141">
        <f>E1682*G1682</f>
        <v/>
      </c>
      <c r="I1682" s="141">
        <f>IF(offer_sale_type="транзит",IFERROR(ROUND(VLOOKUP($B1682,calc_data,I$14+1,0),2),0),0)</f>
        <v/>
      </c>
      <c r="J1682" s="141">
        <f>ROUND(IF(offer_sale_type="транзит",IFERROR(VLOOKUP($B1682,calc_data,J$14+1,0),0),0),2)</f>
        <v/>
      </c>
      <c r="K1682" s="142">
        <f>IF(offer_sale_type="транзит",IFERROR(ROUNDUP(VLOOKUP($B1682,calc_data,K$14+1,0),2),0),0)</f>
        <v/>
      </c>
      <c r="L1682" s="184">
        <f>IF(offer_sale_type="транзит",IFERROR(ROUNDUP(VLOOKUP($B1682,calc_data,L$14+1,0),2),0),0)</f>
        <v/>
      </c>
      <c r="M1682" s="141">
        <f>IF(offer_sale_type="транзит",IFERROR(ROUNDUP(VLOOKUP($B1682,calc_data,M$14+1,0),2),0),0)</f>
        <v/>
      </c>
      <c r="N1682" s="141">
        <f>IF(offer_sale_type="транзит",IFERROR(ROUNDUP(VLOOKUP($B1682,calc_data,N$14+1,0),2),0),0)</f>
        <v/>
      </c>
      <c r="O1682" s="147">
        <f>IF(offer_sale_type="транзит",IFERROR(ROUND(VLOOKUP($B1682,calc_data,O$14+1,1),2),0),0)</f>
        <v/>
      </c>
      <c r="P1682" s="141">
        <f>IF(offer_sale_type="транзит",IFERROR(ROUND(SUM(I1682:J1682,M1682:O1682)/E1682,2),0),0)</f>
        <v/>
      </c>
      <c r="Q1682" s="141">
        <f>E1682*P1682</f>
        <v/>
      </c>
      <c r="R1682" s="141">
        <f>ROUND(Q1682*IF(AND(offer_incoterms="DDP",seller_region="RU"),IF((TODAY()+offer_turnaround_time)&gt;=helpsheet!$L$17,rate_vatRU_from_26,rate_vatRu_till_25),0),2)</f>
        <v/>
      </c>
      <c r="S1682" s="177">
        <f>Q1682+IF(AND(offer_incoterms="DDP",seller_region="RU"),R1682,0)</f>
        <v/>
      </c>
      <c r="T1682" s="45" t="n"/>
      <c r="V1682" s="57">
        <f>IF(Q1682&gt;0,"показать","скрыть")</f>
        <v/>
      </c>
    </row>
    <row r="1683" ht="15.75" customHeight="1">
      <c r="B1683" s="809" t="n">
        <v>1667</v>
      </c>
      <c r="C1683" s="182">
        <f>IF(offer_sale_type="транзит",IFERROR(VLOOKUP($B1683,calc_data,C$14+1,0),0),0)</f>
        <v/>
      </c>
      <c r="D1683" s="280">
        <f>IF(offer_sale_type="транзит",IFERROR(VLOOKUP($B1683,calc_data,D$14+1,0),0),0)</f>
        <v/>
      </c>
      <c r="E1683" s="182">
        <f>IF(offer_sale_type="транзит",IFERROR(VLOOKUP($B1683,calc_data,E$14+1,0),0),0)</f>
        <v/>
      </c>
      <c r="F1683" s="182">
        <f>IF(offer_sale_type="транзит",IFERROR(VLOOKUP($B1683,calc_data,F$14+1,0),0),0)</f>
        <v/>
      </c>
      <c r="G1683" s="141">
        <f>IF(offer_sale_type="транзит",IFERROR(VLOOKUP($B1683,calc_data,G$14+1,0),0),0)</f>
        <v/>
      </c>
      <c r="H1683" s="141">
        <f>E1683*G1683</f>
        <v/>
      </c>
      <c r="I1683" s="141">
        <f>IF(offer_sale_type="транзит",IFERROR(ROUND(VLOOKUP($B1683,calc_data,I$14+1,0),2),0),0)</f>
        <v/>
      </c>
      <c r="J1683" s="141">
        <f>ROUND(IF(offer_sale_type="транзит",IFERROR(VLOOKUP($B1683,calc_data,J$14+1,0),0),0),2)</f>
        <v/>
      </c>
      <c r="K1683" s="142">
        <f>IF(offer_sale_type="транзит",IFERROR(ROUNDUP(VLOOKUP($B1683,calc_data,K$14+1,0),2),0),0)</f>
        <v/>
      </c>
      <c r="L1683" s="184">
        <f>IF(offer_sale_type="транзит",IFERROR(ROUNDUP(VLOOKUP($B1683,calc_data,L$14+1,0),2),0),0)</f>
        <v/>
      </c>
      <c r="M1683" s="141">
        <f>IF(offer_sale_type="транзит",IFERROR(ROUNDUP(VLOOKUP($B1683,calc_data,M$14+1,0),2),0),0)</f>
        <v/>
      </c>
      <c r="N1683" s="141">
        <f>IF(offer_sale_type="транзит",IFERROR(ROUNDUP(VLOOKUP($B1683,calc_data,N$14+1,0),2),0),0)</f>
        <v/>
      </c>
      <c r="O1683" s="147">
        <f>IF(offer_sale_type="транзит",IFERROR(ROUND(VLOOKUP($B1683,calc_data,O$14+1,1),2),0),0)</f>
        <v/>
      </c>
      <c r="P1683" s="141">
        <f>IF(offer_sale_type="транзит",IFERROR(ROUND(SUM(I1683:J1683,M1683:O1683)/E1683,2),0),0)</f>
        <v/>
      </c>
      <c r="Q1683" s="141">
        <f>E1683*P1683</f>
        <v/>
      </c>
      <c r="R1683" s="141">
        <f>ROUND(Q1683*IF(AND(offer_incoterms="DDP",seller_region="RU"),IF((TODAY()+offer_turnaround_time)&gt;=helpsheet!$L$17,rate_vatRU_from_26,rate_vatRu_till_25),0),2)</f>
        <v/>
      </c>
      <c r="S1683" s="177">
        <f>Q1683+IF(AND(offer_incoterms="DDP",seller_region="RU"),R1683,0)</f>
        <v/>
      </c>
      <c r="T1683" s="45" t="n"/>
      <c r="V1683" s="57">
        <f>IF(Q1683&gt;0,"показать","скрыть")</f>
        <v/>
      </c>
    </row>
    <row r="1684" ht="15.75" customHeight="1">
      <c r="B1684" s="809" t="n">
        <v>1668</v>
      </c>
      <c r="C1684" s="182">
        <f>IF(offer_sale_type="транзит",IFERROR(VLOOKUP($B1684,calc_data,C$14+1,0),0),0)</f>
        <v/>
      </c>
      <c r="D1684" s="280">
        <f>IF(offer_sale_type="транзит",IFERROR(VLOOKUP($B1684,calc_data,D$14+1,0),0),0)</f>
        <v/>
      </c>
      <c r="E1684" s="182">
        <f>IF(offer_sale_type="транзит",IFERROR(VLOOKUP($B1684,calc_data,E$14+1,0),0),0)</f>
        <v/>
      </c>
      <c r="F1684" s="182">
        <f>IF(offer_sale_type="транзит",IFERROR(VLOOKUP($B1684,calc_data,F$14+1,0),0),0)</f>
        <v/>
      </c>
      <c r="G1684" s="141">
        <f>IF(offer_sale_type="транзит",IFERROR(VLOOKUP($B1684,calc_data,G$14+1,0),0),0)</f>
        <v/>
      </c>
      <c r="H1684" s="141">
        <f>E1684*G1684</f>
        <v/>
      </c>
      <c r="I1684" s="141">
        <f>IF(offer_sale_type="транзит",IFERROR(ROUND(VLOOKUP($B1684,calc_data,I$14+1,0),2),0),0)</f>
        <v/>
      </c>
      <c r="J1684" s="141">
        <f>ROUND(IF(offer_sale_type="транзит",IFERROR(VLOOKUP($B1684,calc_data,J$14+1,0),0),0),2)</f>
        <v/>
      </c>
      <c r="K1684" s="142">
        <f>IF(offer_sale_type="транзит",IFERROR(ROUNDUP(VLOOKUP($B1684,calc_data,K$14+1,0),2),0),0)</f>
        <v/>
      </c>
      <c r="L1684" s="184">
        <f>IF(offer_sale_type="транзит",IFERROR(ROUNDUP(VLOOKUP($B1684,calc_data,L$14+1,0),2),0),0)</f>
        <v/>
      </c>
      <c r="M1684" s="141">
        <f>IF(offer_sale_type="транзит",IFERROR(ROUNDUP(VLOOKUP($B1684,calc_data,M$14+1,0),2),0),0)</f>
        <v/>
      </c>
      <c r="N1684" s="141">
        <f>IF(offer_sale_type="транзит",IFERROR(ROUNDUP(VLOOKUP($B1684,calc_data,N$14+1,0),2),0),0)</f>
        <v/>
      </c>
      <c r="O1684" s="147">
        <f>IF(offer_sale_type="транзит",IFERROR(ROUND(VLOOKUP($B1684,calc_data,O$14+1,1),2),0),0)</f>
        <v/>
      </c>
      <c r="P1684" s="141">
        <f>IF(offer_sale_type="транзит",IFERROR(ROUND(SUM(I1684:J1684,M1684:O1684)/E1684,2),0),0)</f>
        <v/>
      </c>
      <c r="Q1684" s="141">
        <f>E1684*P1684</f>
        <v/>
      </c>
      <c r="R1684" s="141">
        <f>ROUND(Q1684*IF(AND(offer_incoterms="DDP",seller_region="RU"),IF((TODAY()+offer_turnaround_time)&gt;=helpsheet!$L$17,rate_vatRU_from_26,rate_vatRu_till_25),0),2)</f>
        <v/>
      </c>
      <c r="S1684" s="177">
        <f>Q1684+IF(AND(offer_incoterms="DDP",seller_region="RU"),R1684,0)</f>
        <v/>
      </c>
      <c r="T1684" s="45" t="n"/>
      <c r="V1684" s="57">
        <f>IF(Q1684&gt;0,"показать","скрыть")</f>
        <v/>
      </c>
    </row>
    <row r="1685" ht="15.75" customHeight="1">
      <c r="B1685" s="809" t="n">
        <v>1669</v>
      </c>
      <c r="C1685" s="182">
        <f>IF(offer_sale_type="транзит",IFERROR(VLOOKUP($B1685,calc_data,C$14+1,0),0),0)</f>
        <v/>
      </c>
      <c r="D1685" s="280">
        <f>IF(offer_sale_type="транзит",IFERROR(VLOOKUP($B1685,calc_data,D$14+1,0),0),0)</f>
        <v/>
      </c>
      <c r="E1685" s="182">
        <f>IF(offer_sale_type="транзит",IFERROR(VLOOKUP($B1685,calc_data,E$14+1,0),0),0)</f>
        <v/>
      </c>
      <c r="F1685" s="182">
        <f>IF(offer_sale_type="транзит",IFERROR(VLOOKUP($B1685,calc_data,F$14+1,0),0),0)</f>
        <v/>
      </c>
      <c r="G1685" s="141">
        <f>IF(offer_sale_type="транзит",IFERROR(VLOOKUP($B1685,calc_data,G$14+1,0),0),0)</f>
        <v/>
      </c>
      <c r="H1685" s="141">
        <f>E1685*G1685</f>
        <v/>
      </c>
      <c r="I1685" s="141">
        <f>IF(offer_sale_type="транзит",IFERROR(ROUND(VLOOKUP($B1685,calc_data,I$14+1,0),2),0),0)</f>
        <v/>
      </c>
      <c r="J1685" s="141">
        <f>ROUND(IF(offer_sale_type="транзит",IFERROR(VLOOKUP($B1685,calc_data,J$14+1,0),0),0),2)</f>
        <v/>
      </c>
      <c r="K1685" s="142">
        <f>IF(offer_sale_type="транзит",IFERROR(ROUNDUP(VLOOKUP($B1685,calc_data,K$14+1,0),2),0),0)</f>
        <v/>
      </c>
      <c r="L1685" s="184">
        <f>IF(offer_sale_type="транзит",IFERROR(ROUNDUP(VLOOKUP($B1685,calc_data,L$14+1,0),2),0),0)</f>
        <v/>
      </c>
      <c r="M1685" s="141">
        <f>IF(offer_sale_type="транзит",IFERROR(ROUNDUP(VLOOKUP($B1685,calc_data,M$14+1,0),2),0),0)</f>
        <v/>
      </c>
      <c r="N1685" s="141">
        <f>IF(offer_sale_type="транзит",IFERROR(ROUNDUP(VLOOKUP($B1685,calc_data,N$14+1,0),2),0),0)</f>
        <v/>
      </c>
      <c r="O1685" s="147">
        <f>IF(offer_sale_type="транзит",IFERROR(ROUND(VLOOKUP($B1685,calc_data,O$14+1,1),2),0),0)</f>
        <v/>
      </c>
      <c r="P1685" s="141">
        <f>IF(offer_sale_type="транзит",IFERROR(ROUND(SUM(I1685:J1685,M1685:O1685)/E1685,2),0),0)</f>
        <v/>
      </c>
      <c r="Q1685" s="141">
        <f>E1685*P1685</f>
        <v/>
      </c>
      <c r="R1685" s="141">
        <f>ROUND(Q1685*IF(AND(offer_incoterms="DDP",seller_region="RU"),IF((TODAY()+offer_turnaround_time)&gt;=helpsheet!$L$17,rate_vatRU_from_26,rate_vatRu_till_25),0),2)</f>
        <v/>
      </c>
      <c r="S1685" s="177">
        <f>Q1685+IF(AND(offer_incoterms="DDP",seller_region="RU"),R1685,0)</f>
        <v/>
      </c>
      <c r="T1685" s="45" t="n"/>
      <c r="V1685" s="57">
        <f>IF(Q1685&gt;0,"показать","скрыть")</f>
        <v/>
      </c>
    </row>
    <row r="1686" ht="15.75" customHeight="1">
      <c r="B1686" s="809" t="n">
        <v>1670</v>
      </c>
      <c r="C1686" s="182">
        <f>IF(offer_sale_type="транзит",IFERROR(VLOOKUP($B1686,calc_data,C$14+1,0),0),0)</f>
        <v/>
      </c>
      <c r="D1686" s="280">
        <f>IF(offer_sale_type="транзит",IFERROR(VLOOKUP($B1686,calc_data,D$14+1,0),0),0)</f>
        <v/>
      </c>
      <c r="E1686" s="182">
        <f>IF(offer_sale_type="транзит",IFERROR(VLOOKUP($B1686,calc_data,E$14+1,0),0),0)</f>
        <v/>
      </c>
      <c r="F1686" s="182">
        <f>IF(offer_sale_type="транзит",IFERROR(VLOOKUP($B1686,calc_data,F$14+1,0),0),0)</f>
        <v/>
      </c>
      <c r="G1686" s="141">
        <f>IF(offer_sale_type="транзит",IFERROR(VLOOKUP($B1686,calc_data,G$14+1,0),0),0)</f>
        <v/>
      </c>
      <c r="H1686" s="141">
        <f>E1686*G1686</f>
        <v/>
      </c>
      <c r="I1686" s="141">
        <f>IF(offer_sale_type="транзит",IFERROR(ROUND(VLOOKUP($B1686,calc_data,I$14+1,0),2),0),0)</f>
        <v/>
      </c>
      <c r="J1686" s="141">
        <f>ROUND(IF(offer_sale_type="транзит",IFERROR(VLOOKUP($B1686,calc_data,J$14+1,0),0),0),2)</f>
        <v/>
      </c>
      <c r="K1686" s="142">
        <f>IF(offer_sale_type="транзит",IFERROR(ROUNDUP(VLOOKUP($B1686,calc_data,K$14+1,0),2),0),0)</f>
        <v/>
      </c>
      <c r="L1686" s="184">
        <f>IF(offer_sale_type="транзит",IFERROR(ROUNDUP(VLOOKUP($B1686,calc_data,L$14+1,0),2),0),0)</f>
        <v/>
      </c>
      <c r="M1686" s="141">
        <f>IF(offer_sale_type="транзит",IFERROR(ROUNDUP(VLOOKUP($B1686,calc_data,M$14+1,0),2),0),0)</f>
        <v/>
      </c>
      <c r="N1686" s="141">
        <f>IF(offer_sale_type="транзит",IFERROR(ROUNDUP(VLOOKUP($B1686,calc_data,N$14+1,0),2),0),0)</f>
        <v/>
      </c>
      <c r="O1686" s="147">
        <f>IF(offer_sale_type="транзит",IFERROR(ROUND(VLOOKUP($B1686,calc_data,O$14+1,1),2),0),0)</f>
        <v/>
      </c>
      <c r="P1686" s="141">
        <f>IF(offer_sale_type="транзит",IFERROR(ROUND(SUM(I1686:J1686,M1686:O1686)/E1686,2),0),0)</f>
        <v/>
      </c>
      <c r="Q1686" s="141">
        <f>E1686*P1686</f>
        <v/>
      </c>
      <c r="R1686" s="141">
        <f>ROUND(Q1686*IF(AND(offer_incoterms="DDP",seller_region="RU"),IF((TODAY()+offer_turnaround_time)&gt;=helpsheet!$L$17,rate_vatRU_from_26,rate_vatRu_till_25),0),2)</f>
        <v/>
      </c>
      <c r="S1686" s="177">
        <f>Q1686+IF(AND(offer_incoterms="DDP",seller_region="RU"),R1686,0)</f>
        <v/>
      </c>
      <c r="T1686" s="45" t="n"/>
      <c r="V1686" s="57">
        <f>IF(Q1686&gt;0,"показать","скрыть")</f>
        <v/>
      </c>
    </row>
    <row r="1687" ht="15.75" customHeight="1">
      <c r="B1687" s="809" t="n">
        <v>1671</v>
      </c>
      <c r="C1687" s="182">
        <f>IF(offer_sale_type="транзит",IFERROR(VLOOKUP($B1687,calc_data,C$14+1,0),0),0)</f>
        <v/>
      </c>
      <c r="D1687" s="280">
        <f>IF(offer_sale_type="транзит",IFERROR(VLOOKUP($B1687,calc_data,D$14+1,0),0),0)</f>
        <v/>
      </c>
      <c r="E1687" s="182">
        <f>IF(offer_sale_type="транзит",IFERROR(VLOOKUP($B1687,calc_data,E$14+1,0),0),0)</f>
        <v/>
      </c>
      <c r="F1687" s="182">
        <f>IF(offer_sale_type="транзит",IFERROR(VLOOKUP($B1687,calc_data,F$14+1,0),0),0)</f>
        <v/>
      </c>
      <c r="G1687" s="141">
        <f>IF(offer_sale_type="транзит",IFERROR(VLOOKUP($B1687,calc_data,G$14+1,0),0),0)</f>
        <v/>
      </c>
      <c r="H1687" s="141">
        <f>E1687*G1687</f>
        <v/>
      </c>
      <c r="I1687" s="141">
        <f>IF(offer_sale_type="транзит",IFERROR(ROUND(VLOOKUP($B1687,calc_data,I$14+1,0),2),0),0)</f>
        <v/>
      </c>
      <c r="J1687" s="141">
        <f>ROUND(IF(offer_sale_type="транзит",IFERROR(VLOOKUP($B1687,calc_data,J$14+1,0),0),0),2)</f>
        <v/>
      </c>
      <c r="K1687" s="142">
        <f>IF(offer_sale_type="транзит",IFERROR(ROUNDUP(VLOOKUP($B1687,calc_data,K$14+1,0),2),0),0)</f>
        <v/>
      </c>
      <c r="L1687" s="184">
        <f>IF(offer_sale_type="транзит",IFERROR(ROUNDUP(VLOOKUP($B1687,calc_data,L$14+1,0),2),0),0)</f>
        <v/>
      </c>
      <c r="M1687" s="141">
        <f>IF(offer_sale_type="транзит",IFERROR(ROUNDUP(VLOOKUP($B1687,calc_data,M$14+1,0),2),0),0)</f>
        <v/>
      </c>
      <c r="N1687" s="141">
        <f>IF(offer_sale_type="транзит",IFERROR(ROUNDUP(VLOOKUP($B1687,calc_data,N$14+1,0),2),0),0)</f>
        <v/>
      </c>
      <c r="O1687" s="147">
        <f>IF(offer_sale_type="транзит",IFERROR(ROUND(VLOOKUP($B1687,calc_data,O$14+1,1),2),0),0)</f>
        <v/>
      </c>
      <c r="P1687" s="141">
        <f>IF(offer_sale_type="транзит",IFERROR(ROUND(SUM(I1687:J1687,M1687:O1687)/E1687,2),0),0)</f>
        <v/>
      </c>
      <c r="Q1687" s="141">
        <f>E1687*P1687</f>
        <v/>
      </c>
      <c r="R1687" s="141">
        <f>ROUND(Q1687*IF(AND(offer_incoterms="DDP",seller_region="RU"),IF((TODAY()+offer_turnaround_time)&gt;=helpsheet!$L$17,rate_vatRU_from_26,rate_vatRu_till_25),0),2)</f>
        <v/>
      </c>
      <c r="S1687" s="177">
        <f>Q1687+IF(AND(offer_incoterms="DDP",seller_region="RU"),R1687,0)</f>
        <v/>
      </c>
      <c r="T1687" s="45" t="n"/>
      <c r="V1687" s="57">
        <f>IF(Q1687&gt;0,"показать","скрыть")</f>
        <v/>
      </c>
    </row>
    <row r="1688" ht="15.75" customHeight="1">
      <c r="B1688" s="809" t="n">
        <v>1672</v>
      </c>
      <c r="C1688" s="182">
        <f>IF(offer_sale_type="транзит",IFERROR(VLOOKUP($B1688,calc_data,C$14+1,0),0),0)</f>
        <v/>
      </c>
      <c r="D1688" s="280">
        <f>IF(offer_sale_type="транзит",IFERROR(VLOOKUP($B1688,calc_data,D$14+1,0),0),0)</f>
        <v/>
      </c>
      <c r="E1688" s="182">
        <f>IF(offer_sale_type="транзит",IFERROR(VLOOKUP($B1688,calc_data,E$14+1,0),0),0)</f>
        <v/>
      </c>
      <c r="F1688" s="182">
        <f>IF(offer_sale_type="транзит",IFERROR(VLOOKUP($B1688,calc_data,F$14+1,0),0),0)</f>
        <v/>
      </c>
      <c r="G1688" s="141">
        <f>IF(offer_sale_type="транзит",IFERROR(VLOOKUP($B1688,calc_data,G$14+1,0),0),0)</f>
        <v/>
      </c>
      <c r="H1688" s="141">
        <f>E1688*G1688</f>
        <v/>
      </c>
      <c r="I1688" s="141">
        <f>IF(offer_sale_type="транзит",IFERROR(ROUND(VLOOKUP($B1688,calc_data,I$14+1,0),2),0),0)</f>
        <v/>
      </c>
      <c r="J1688" s="141">
        <f>ROUND(IF(offer_sale_type="транзит",IFERROR(VLOOKUP($B1688,calc_data,J$14+1,0),0),0),2)</f>
        <v/>
      </c>
      <c r="K1688" s="142">
        <f>IF(offer_sale_type="транзит",IFERROR(ROUNDUP(VLOOKUP($B1688,calc_data,K$14+1,0),2),0),0)</f>
        <v/>
      </c>
      <c r="L1688" s="184">
        <f>IF(offer_sale_type="транзит",IFERROR(ROUNDUP(VLOOKUP($B1688,calc_data,L$14+1,0),2),0),0)</f>
        <v/>
      </c>
      <c r="M1688" s="141">
        <f>IF(offer_sale_type="транзит",IFERROR(ROUNDUP(VLOOKUP($B1688,calc_data,M$14+1,0),2),0),0)</f>
        <v/>
      </c>
      <c r="N1688" s="141">
        <f>IF(offer_sale_type="транзит",IFERROR(ROUNDUP(VLOOKUP($B1688,calc_data,N$14+1,0),2),0),0)</f>
        <v/>
      </c>
      <c r="O1688" s="147">
        <f>IF(offer_sale_type="транзит",IFERROR(ROUND(VLOOKUP($B1688,calc_data,O$14+1,1),2),0),0)</f>
        <v/>
      </c>
      <c r="P1688" s="141">
        <f>IF(offer_sale_type="транзит",IFERROR(ROUND(SUM(I1688:J1688,M1688:O1688)/E1688,2),0),0)</f>
        <v/>
      </c>
      <c r="Q1688" s="141">
        <f>E1688*P1688</f>
        <v/>
      </c>
      <c r="R1688" s="141">
        <f>ROUND(Q1688*IF(AND(offer_incoterms="DDP",seller_region="RU"),IF((TODAY()+offer_turnaround_time)&gt;=helpsheet!$L$17,rate_vatRU_from_26,rate_vatRu_till_25),0),2)</f>
        <v/>
      </c>
      <c r="S1688" s="177">
        <f>Q1688+IF(AND(offer_incoterms="DDP",seller_region="RU"),R1688,0)</f>
        <v/>
      </c>
      <c r="T1688" s="45" t="n"/>
      <c r="V1688" s="57">
        <f>IF(Q1688&gt;0,"показать","скрыть")</f>
        <v/>
      </c>
    </row>
    <row r="1689" ht="15.75" customHeight="1">
      <c r="B1689" s="809" t="n">
        <v>1673</v>
      </c>
      <c r="C1689" s="182">
        <f>IF(offer_sale_type="транзит",IFERROR(VLOOKUP($B1689,calc_data,C$14+1,0),0),0)</f>
        <v/>
      </c>
      <c r="D1689" s="280">
        <f>IF(offer_sale_type="транзит",IFERROR(VLOOKUP($B1689,calc_data,D$14+1,0),0),0)</f>
        <v/>
      </c>
      <c r="E1689" s="182">
        <f>IF(offer_sale_type="транзит",IFERROR(VLOOKUP($B1689,calc_data,E$14+1,0),0),0)</f>
        <v/>
      </c>
      <c r="F1689" s="182">
        <f>IF(offer_sale_type="транзит",IFERROR(VLOOKUP($B1689,calc_data,F$14+1,0),0),0)</f>
        <v/>
      </c>
      <c r="G1689" s="141">
        <f>IF(offer_sale_type="транзит",IFERROR(VLOOKUP($B1689,calc_data,G$14+1,0),0),0)</f>
        <v/>
      </c>
      <c r="H1689" s="141">
        <f>E1689*G1689</f>
        <v/>
      </c>
      <c r="I1689" s="141">
        <f>IF(offer_sale_type="транзит",IFERROR(ROUND(VLOOKUP($B1689,calc_data,I$14+1,0),2),0),0)</f>
        <v/>
      </c>
      <c r="J1689" s="141">
        <f>ROUND(IF(offer_sale_type="транзит",IFERROR(VLOOKUP($B1689,calc_data,J$14+1,0),0),0),2)</f>
        <v/>
      </c>
      <c r="K1689" s="142">
        <f>IF(offer_sale_type="транзит",IFERROR(ROUNDUP(VLOOKUP($B1689,calc_data,K$14+1,0),2),0),0)</f>
        <v/>
      </c>
      <c r="L1689" s="184">
        <f>IF(offer_sale_type="транзит",IFERROR(ROUNDUP(VLOOKUP($B1689,calc_data,L$14+1,0),2),0),0)</f>
        <v/>
      </c>
      <c r="M1689" s="141">
        <f>IF(offer_sale_type="транзит",IFERROR(ROUNDUP(VLOOKUP($B1689,calc_data,M$14+1,0),2),0),0)</f>
        <v/>
      </c>
      <c r="N1689" s="141">
        <f>IF(offer_sale_type="транзит",IFERROR(ROUNDUP(VLOOKUP($B1689,calc_data,N$14+1,0),2),0),0)</f>
        <v/>
      </c>
      <c r="O1689" s="147">
        <f>IF(offer_sale_type="транзит",IFERROR(ROUND(VLOOKUP($B1689,calc_data,O$14+1,1),2),0),0)</f>
        <v/>
      </c>
      <c r="P1689" s="141">
        <f>IF(offer_sale_type="транзит",IFERROR(ROUND(SUM(I1689:J1689,M1689:O1689)/E1689,2),0),0)</f>
        <v/>
      </c>
      <c r="Q1689" s="141">
        <f>E1689*P1689</f>
        <v/>
      </c>
      <c r="R1689" s="141">
        <f>ROUND(Q1689*IF(AND(offer_incoterms="DDP",seller_region="RU"),IF((TODAY()+offer_turnaround_time)&gt;=helpsheet!$L$17,rate_vatRU_from_26,rate_vatRu_till_25),0),2)</f>
        <v/>
      </c>
      <c r="S1689" s="177">
        <f>Q1689+IF(AND(offer_incoterms="DDP",seller_region="RU"),R1689,0)</f>
        <v/>
      </c>
      <c r="T1689" s="45" t="n"/>
      <c r="V1689" s="57">
        <f>IF(Q1689&gt;0,"показать","скрыть")</f>
        <v/>
      </c>
    </row>
    <row r="1690" ht="15.75" customHeight="1">
      <c r="B1690" s="809" t="n">
        <v>1674</v>
      </c>
      <c r="C1690" s="182">
        <f>IF(offer_sale_type="транзит",IFERROR(VLOOKUP($B1690,calc_data,C$14+1,0),0),0)</f>
        <v/>
      </c>
      <c r="D1690" s="280">
        <f>IF(offer_sale_type="транзит",IFERROR(VLOOKUP($B1690,calc_data,D$14+1,0),0),0)</f>
        <v/>
      </c>
      <c r="E1690" s="182">
        <f>IF(offer_sale_type="транзит",IFERROR(VLOOKUP($B1690,calc_data,E$14+1,0),0),0)</f>
        <v/>
      </c>
      <c r="F1690" s="182">
        <f>IF(offer_sale_type="транзит",IFERROR(VLOOKUP($B1690,calc_data,F$14+1,0),0),0)</f>
        <v/>
      </c>
      <c r="G1690" s="141">
        <f>IF(offer_sale_type="транзит",IFERROR(VLOOKUP($B1690,calc_data,G$14+1,0),0),0)</f>
        <v/>
      </c>
      <c r="H1690" s="141">
        <f>E1690*G1690</f>
        <v/>
      </c>
      <c r="I1690" s="141">
        <f>IF(offer_sale_type="транзит",IFERROR(ROUND(VLOOKUP($B1690,calc_data,I$14+1,0),2),0),0)</f>
        <v/>
      </c>
      <c r="J1690" s="141">
        <f>ROUND(IF(offer_sale_type="транзит",IFERROR(VLOOKUP($B1690,calc_data,J$14+1,0),0),0),2)</f>
        <v/>
      </c>
      <c r="K1690" s="142">
        <f>IF(offer_sale_type="транзит",IFERROR(ROUNDUP(VLOOKUP($B1690,calc_data,K$14+1,0),2),0),0)</f>
        <v/>
      </c>
      <c r="L1690" s="184">
        <f>IF(offer_sale_type="транзит",IFERROR(ROUNDUP(VLOOKUP($B1690,calc_data,L$14+1,0),2),0),0)</f>
        <v/>
      </c>
      <c r="M1690" s="141">
        <f>IF(offer_sale_type="транзит",IFERROR(ROUNDUP(VLOOKUP($B1690,calc_data,M$14+1,0),2),0),0)</f>
        <v/>
      </c>
      <c r="N1690" s="141">
        <f>IF(offer_sale_type="транзит",IFERROR(ROUNDUP(VLOOKUP($B1690,calc_data,N$14+1,0),2),0),0)</f>
        <v/>
      </c>
      <c r="O1690" s="147">
        <f>IF(offer_sale_type="транзит",IFERROR(ROUND(VLOOKUP($B1690,calc_data,O$14+1,1),2),0),0)</f>
        <v/>
      </c>
      <c r="P1690" s="141">
        <f>IF(offer_sale_type="транзит",IFERROR(ROUND(SUM(I1690:J1690,M1690:O1690)/E1690,2),0),0)</f>
        <v/>
      </c>
      <c r="Q1690" s="141">
        <f>E1690*P1690</f>
        <v/>
      </c>
      <c r="R1690" s="141">
        <f>ROUND(Q1690*IF(AND(offer_incoterms="DDP",seller_region="RU"),IF((TODAY()+offer_turnaround_time)&gt;=helpsheet!$L$17,rate_vatRU_from_26,rate_vatRu_till_25),0),2)</f>
        <v/>
      </c>
      <c r="S1690" s="177">
        <f>Q1690+IF(AND(offer_incoterms="DDP",seller_region="RU"),R1690,0)</f>
        <v/>
      </c>
      <c r="T1690" s="45" t="n"/>
      <c r="V1690" s="57">
        <f>IF(Q1690&gt;0,"показать","скрыть")</f>
        <v/>
      </c>
    </row>
    <row r="1691" ht="15.75" customHeight="1">
      <c r="B1691" s="809" t="n">
        <v>1675</v>
      </c>
      <c r="C1691" s="182">
        <f>IF(offer_sale_type="транзит",IFERROR(VLOOKUP($B1691,calc_data,C$14+1,0),0),0)</f>
        <v/>
      </c>
      <c r="D1691" s="280">
        <f>IF(offer_sale_type="транзит",IFERROR(VLOOKUP($B1691,calc_data,D$14+1,0),0),0)</f>
        <v/>
      </c>
      <c r="E1691" s="182">
        <f>IF(offer_sale_type="транзит",IFERROR(VLOOKUP($B1691,calc_data,E$14+1,0),0),0)</f>
        <v/>
      </c>
      <c r="F1691" s="182">
        <f>IF(offer_sale_type="транзит",IFERROR(VLOOKUP($B1691,calc_data,F$14+1,0),0),0)</f>
        <v/>
      </c>
      <c r="G1691" s="141">
        <f>IF(offer_sale_type="транзит",IFERROR(VLOOKUP($B1691,calc_data,G$14+1,0),0),0)</f>
        <v/>
      </c>
      <c r="H1691" s="141">
        <f>E1691*G1691</f>
        <v/>
      </c>
      <c r="I1691" s="141">
        <f>IF(offer_sale_type="транзит",IFERROR(ROUND(VLOOKUP($B1691,calc_data,I$14+1,0),2),0),0)</f>
        <v/>
      </c>
      <c r="J1691" s="141">
        <f>ROUND(IF(offer_sale_type="транзит",IFERROR(VLOOKUP($B1691,calc_data,J$14+1,0),0),0),2)</f>
        <v/>
      </c>
      <c r="K1691" s="142">
        <f>IF(offer_sale_type="транзит",IFERROR(ROUNDUP(VLOOKUP($B1691,calc_data,K$14+1,0),2),0),0)</f>
        <v/>
      </c>
      <c r="L1691" s="184">
        <f>IF(offer_sale_type="транзит",IFERROR(ROUNDUP(VLOOKUP($B1691,calc_data,L$14+1,0),2),0),0)</f>
        <v/>
      </c>
      <c r="M1691" s="141">
        <f>IF(offer_sale_type="транзит",IFERROR(ROUNDUP(VLOOKUP($B1691,calc_data,M$14+1,0),2),0),0)</f>
        <v/>
      </c>
      <c r="N1691" s="141">
        <f>IF(offer_sale_type="транзит",IFERROR(ROUNDUP(VLOOKUP($B1691,calc_data,N$14+1,0),2),0),0)</f>
        <v/>
      </c>
      <c r="O1691" s="147">
        <f>IF(offer_sale_type="транзит",IFERROR(ROUND(VLOOKUP($B1691,calc_data,O$14+1,1),2),0),0)</f>
        <v/>
      </c>
      <c r="P1691" s="141">
        <f>IF(offer_sale_type="транзит",IFERROR(ROUND(SUM(I1691:J1691,M1691:O1691)/E1691,2),0),0)</f>
        <v/>
      </c>
      <c r="Q1691" s="141">
        <f>E1691*P1691</f>
        <v/>
      </c>
      <c r="R1691" s="141">
        <f>ROUND(Q1691*IF(AND(offer_incoterms="DDP",seller_region="RU"),IF((TODAY()+offer_turnaround_time)&gt;=helpsheet!$L$17,rate_vatRU_from_26,rate_vatRu_till_25),0),2)</f>
        <v/>
      </c>
      <c r="S1691" s="177">
        <f>Q1691+IF(AND(offer_incoterms="DDP",seller_region="RU"),R1691,0)</f>
        <v/>
      </c>
      <c r="T1691" s="45" t="n"/>
      <c r="V1691" s="57">
        <f>IF(Q1691&gt;0,"показать","скрыть")</f>
        <v/>
      </c>
    </row>
    <row r="1692" ht="15.75" customHeight="1">
      <c r="B1692" s="809" t="n">
        <v>1676</v>
      </c>
      <c r="C1692" s="182">
        <f>IF(offer_sale_type="транзит",IFERROR(VLOOKUP($B1692,calc_data,C$14+1,0),0),0)</f>
        <v/>
      </c>
      <c r="D1692" s="280">
        <f>IF(offer_sale_type="транзит",IFERROR(VLOOKUP($B1692,calc_data,D$14+1,0),0),0)</f>
        <v/>
      </c>
      <c r="E1692" s="182">
        <f>IF(offer_sale_type="транзит",IFERROR(VLOOKUP($B1692,calc_data,E$14+1,0),0),0)</f>
        <v/>
      </c>
      <c r="F1692" s="182">
        <f>IF(offer_sale_type="транзит",IFERROR(VLOOKUP($B1692,calc_data,F$14+1,0),0),0)</f>
        <v/>
      </c>
      <c r="G1692" s="141">
        <f>IF(offer_sale_type="транзит",IFERROR(VLOOKUP($B1692,calc_data,G$14+1,0),0),0)</f>
        <v/>
      </c>
      <c r="H1692" s="141">
        <f>E1692*G1692</f>
        <v/>
      </c>
      <c r="I1692" s="141">
        <f>IF(offer_sale_type="транзит",IFERROR(ROUND(VLOOKUP($B1692,calc_data,I$14+1,0),2),0),0)</f>
        <v/>
      </c>
      <c r="J1692" s="141">
        <f>ROUND(IF(offer_sale_type="транзит",IFERROR(VLOOKUP($B1692,calc_data,J$14+1,0),0),0),2)</f>
        <v/>
      </c>
      <c r="K1692" s="142">
        <f>IF(offer_sale_type="транзит",IFERROR(ROUNDUP(VLOOKUP($B1692,calc_data,K$14+1,0),2),0),0)</f>
        <v/>
      </c>
      <c r="L1692" s="184">
        <f>IF(offer_sale_type="транзит",IFERROR(ROUNDUP(VLOOKUP($B1692,calc_data,L$14+1,0),2),0),0)</f>
        <v/>
      </c>
      <c r="M1692" s="141">
        <f>IF(offer_sale_type="транзит",IFERROR(ROUNDUP(VLOOKUP($B1692,calc_data,M$14+1,0),2),0),0)</f>
        <v/>
      </c>
      <c r="N1692" s="141">
        <f>IF(offer_sale_type="транзит",IFERROR(ROUNDUP(VLOOKUP($B1692,calc_data,N$14+1,0),2),0),0)</f>
        <v/>
      </c>
      <c r="O1692" s="147">
        <f>IF(offer_sale_type="транзит",IFERROR(ROUND(VLOOKUP($B1692,calc_data,O$14+1,1),2),0),0)</f>
        <v/>
      </c>
      <c r="P1692" s="141">
        <f>IF(offer_sale_type="транзит",IFERROR(ROUND(SUM(I1692:J1692,M1692:O1692)/E1692,2),0),0)</f>
        <v/>
      </c>
      <c r="Q1692" s="141">
        <f>E1692*P1692</f>
        <v/>
      </c>
      <c r="R1692" s="141">
        <f>ROUND(Q1692*IF(AND(offer_incoterms="DDP",seller_region="RU"),IF((TODAY()+offer_turnaround_time)&gt;=helpsheet!$L$17,rate_vatRU_from_26,rate_vatRu_till_25),0),2)</f>
        <v/>
      </c>
      <c r="S1692" s="177">
        <f>Q1692+IF(AND(offer_incoterms="DDP",seller_region="RU"),R1692,0)</f>
        <v/>
      </c>
      <c r="T1692" s="45" t="n"/>
      <c r="V1692" s="57">
        <f>IF(Q1692&gt;0,"показать","скрыть")</f>
        <v/>
      </c>
    </row>
    <row r="1693" ht="15.75" customHeight="1">
      <c r="B1693" s="809" t="n">
        <v>1677</v>
      </c>
      <c r="C1693" s="182">
        <f>IF(offer_sale_type="транзит",IFERROR(VLOOKUP($B1693,calc_data,C$14+1,0),0),0)</f>
        <v/>
      </c>
      <c r="D1693" s="280">
        <f>IF(offer_sale_type="транзит",IFERROR(VLOOKUP($B1693,calc_data,D$14+1,0),0),0)</f>
        <v/>
      </c>
      <c r="E1693" s="182">
        <f>IF(offer_sale_type="транзит",IFERROR(VLOOKUP($B1693,calc_data,E$14+1,0),0),0)</f>
        <v/>
      </c>
      <c r="F1693" s="182">
        <f>IF(offer_sale_type="транзит",IFERROR(VLOOKUP($B1693,calc_data,F$14+1,0),0),0)</f>
        <v/>
      </c>
      <c r="G1693" s="141">
        <f>IF(offer_sale_type="транзит",IFERROR(VLOOKUP($B1693,calc_data,G$14+1,0),0),0)</f>
        <v/>
      </c>
      <c r="H1693" s="141">
        <f>E1693*G1693</f>
        <v/>
      </c>
      <c r="I1693" s="141">
        <f>IF(offer_sale_type="транзит",IFERROR(ROUND(VLOOKUP($B1693,calc_data,I$14+1,0),2),0),0)</f>
        <v/>
      </c>
      <c r="J1693" s="141">
        <f>ROUND(IF(offer_sale_type="транзит",IFERROR(VLOOKUP($B1693,calc_data,J$14+1,0),0),0),2)</f>
        <v/>
      </c>
      <c r="K1693" s="142">
        <f>IF(offer_sale_type="транзит",IFERROR(ROUNDUP(VLOOKUP($B1693,calc_data,K$14+1,0),2),0),0)</f>
        <v/>
      </c>
      <c r="L1693" s="184">
        <f>IF(offer_sale_type="транзит",IFERROR(ROUNDUP(VLOOKUP($B1693,calc_data,L$14+1,0),2),0),0)</f>
        <v/>
      </c>
      <c r="M1693" s="141">
        <f>IF(offer_sale_type="транзит",IFERROR(ROUNDUP(VLOOKUP($B1693,calc_data,M$14+1,0),2),0),0)</f>
        <v/>
      </c>
      <c r="N1693" s="141">
        <f>IF(offer_sale_type="транзит",IFERROR(ROUNDUP(VLOOKUP($B1693,calc_data,N$14+1,0),2),0),0)</f>
        <v/>
      </c>
      <c r="O1693" s="147">
        <f>IF(offer_sale_type="транзит",IFERROR(ROUND(VLOOKUP($B1693,calc_data,O$14+1,1),2),0),0)</f>
        <v/>
      </c>
      <c r="P1693" s="141">
        <f>IF(offer_sale_type="транзит",IFERROR(ROUND(SUM(I1693:J1693,M1693:O1693)/E1693,2),0),0)</f>
        <v/>
      </c>
      <c r="Q1693" s="141">
        <f>E1693*P1693</f>
        <v/>
      </c>
      <c r="R1693" s="141">
        <f>ROUND(Q1693*IF(AND(offer_incoterms="DDP",seller_region="RU"),IF((TODAY()+offer_turnaround_time)&gt;=helpsheet!$L$17,rate_vatRU_from_26,rate_vatRu_till_25),0),2)</f>
        <v/>
      </c>
      <c r="S1693" s="177">
        <f>Q1693+IF(AND(offer_incoterms="DDP",seller_region="RU"),R1693,0)</f>
        <v/>
      </c>
      <c r="T1693" s="45" t="n"/>
      <c r="V1693" s="57">
        <f>IF(Q1693&gt;0,"показать","скрыть")</f>
        <v/>
      </c>
    </row>
    <row r="1694" ht="15.75" customHeight="1">
      <c r="B1694" s="809" t="n">
        <v>1678</v>
      </c>
      <c r="C1694" s="182">
        <f>IF(offer_sale_type="транзит",IFERROR(VLOOKUP($B1694,calc_data,C$14+1,0),0),0)</f>
        <v/>
      </c>
      <c r="D1694" s="280">
        <f>IF(offer_sale_type="транзит",IFERROR(VLOOKUP($B1694,calc_data,D$14+1,0),0),0)</f>
        <v/>
      </c>
      <c r="E1694" s="182">
        <f>IF(offer_sale_type="транзит",IFERROR(VLOOKUP($B1694,calc_data,E$14+1,0),0),0)</f>
        <v/>
      </c>
      <c r="F1694" s="182">
        <f>IF(offer_sale_type="транзит",IFERROR(VLOOKUP($B1694,calc_data,F$14+1,0),0),0)</f>
        <v/>
      </c>
      <c r="G1694" s="141">
        <f>IF(offer_sale_type="транзит",IFERROR(VLOOKUP($B1694,calc_data,G$14+1,0),0),0)</f>
        <v/>
      </c>
      <c r="H1694" s="141">
        <f>E1694*G1694</f>
        <v/>
      </c>
      <c r="I1694" s="141">
        <f>IF(offer_sale_type="транзит",IFERROR(ROUND(VLOOKUP($B1694,calc_data,I$14+1,0),2),0),0)</f>
        <v/>
      </c>
      <c r="J1694" s="141">
        <f>ROUND(IF(offer_sale_type="транзит",IFERROR(VLOOKUP($B1694,calc_data,J$14+1,0),0),0),2)</f>
        <v/>
      </c>
      <c r="K1694" s="142">
        <f>IF(offer_sale_type="транзит",IFERROR(ROUNDUP(VLOOKUP($B1694,calc_data,K$14+1,0),2),0),0)</f>
        <v/>
      </c>
      <c r="L1694" s="184">
        <f>IF(offer_sale_type="транзит",IFERROR(ROUNDUP(VLOOKUP($B1694,calc_data,L$14+1,0),2),0),0)</f>
        <v/>
      </c>
      <c r="M1694" s="141">
        <f>IF(offer_sale_type="транзит",IFERROR(ROUNDUP(VLOOKUP($B1694,calc_data,M$14+1,0),2),0),0)</f>
        <v/>
      </c>
      <c r="N1694" s="141">
        <f>IF(offer_sale_type="транзит",IFERROR(ROUNDUP(VLOOKUP($B1694,calc_data,N$14+1,0),2),0),0)</f>
        <v/>
      </c>
      <c r="O1694" s="147">
        <f>IF(offer_sale_type="транзит",IFERROR(ROUND(VLOOKUP($B1694,calc_data,O$14+1,1),2),0),0)</f>
        <v/>
      </c>
      <c r="P1694" s="141">
        <f>IF(offer_sale_type="транзит",IFERROR(ROUND(SUM(I1694:J1694,M1694:O1694)/E1694,2),0),0)</f>
        <v/>
      </c>
      <c r="Q1694" s="141">
        <f>E1694*P1694</f>
        <v/>
      </c>
      <c r="R1694" s="141">
        <f>ROUND(Q1694*IF(AND(offer_incoterms="DDP",seller_region="RU"),IF((TODAY()+offer_turnaround_time)&gt;=helpsheet!$L$17,rate_vatRU_from_26,rate_vatRu_till_25),0),2)</f>
        <v/>
      </c>
      <c r="S1694" s="177">
        <f>Q1694+IF(AND(offer_incoterms="DDP",seller_region="RU"),R1694,0)</f>
        <v/>
      </c>
      <c r="T1694" s="45" t="n"/>
      <c r="V1694" s="57">
        <f>IF(Q1694&gt;0,"показать","скрыть")</f>
        <v/>
      </c>
    </row>
    <row r="1695" ht="15.75" customHeight="1">
      <c r="B1695" s="809" t="n">
        <v>1679</v>
      </c>
      <c r="C1695" s="182">
        <f>IF(offer_sale_type="транзит",IFERROR(VLOOKUP($B1695,calc_data,C$14+1,0),0),0)</f>
        <v/>
      </c>
      <c r="D1695" s="280">
        <f>IF(offer_sale_type="транзит",IFERROR(VLOOKUP($B1695,calc_data,D$14+1,0),0),0)</f>
        <v/>
      </c>
      <c r="E1695" s="182">
        <f>IF(offer_sale_type="транзит",IFERROR(VLOOKUP($B1695,calc_data,E$14+1,0),0),0)</f>
        <v/>
      </c>
      <c r="F1695" s="182">
        <f>IF(offer_sale_type="транзит",IFERROR(VLOOKUP($B1695,calc_data,F$14+1,0),0),0)</f>
        <v/>
      </c>
      <c r="G1695" s="141">
        <f>IF(offer_sale_type="транзит",IFERROR(VLOOKUP($B1695,calc_data,G$14+1,0),0),0)</f>
        <v/>
      </c>
      <c r="H1695" s="141">
        <f>E1695*G1695</f>
        <v/>
      </c>
      <c r="I1695" s="141">
        <f>IF(offer_sale_type="транзит",IFERROR(ROUND(VLOOKUP($B1695,calc_data,I$14+1,0),2),0),0)</f>
        <v/>
      </c>
      <c r="J1695" s="141">
        <f>ROUND(IF(offer_sale_type="транзит",IFERROR(VLOOKUP($B1695,calc_data,J$14+1,0),0),0),2)</f>
        <v/>
      </c>
      <c r="K1695" s="142">
        <f>IF(offer_sale_type="транзит",IFERROR(ROUNDUP(VLOOKUP($B1695,calc_data,K$14+1,0),2),0),0)</f>
        <v/>
      </c>
      <c r="L1695" s="184">
        <f>IF(offer_sale_type="транзит",IFERROR(ROUNDUP(VLOOKUP($B1695,calc_data,L$14+1,0),2),0),0)</f>
        <v/>
      </c>
      <c r="M1695" s="141">
        <f>IF(offer_sale_type="транзит",IFERROR(ROUNDUP(VLOOKUP($B1695,calc_data,M$14+1,0),2),0),0)</f>
        <v/>
      </c>
      <c r="N1695" s="141">
        <f>IF(offer_sale_type="транзит",IFERROR(ROUNDUP(VLOOKUP($B1695,calc_data,N$14+1,0),2),0),0)</f>
        <v/>
      </c>
      <c r="O1695" s="147">
        <f>IF(offer_sale_type="транзит",IFERROR(ROUND(VLOOKUP($B1695,calc_data,O$14+1,1),2),0),0)</f>
        <v/>
      </c>
      <c r="P1695" s="141">
        <f>IF(offer_sale_type="транзит",IFERROR(ROUND(SUM(I1695:J1695,M1695:O1695)/E1695,2),0),0)</f>
        <v/>
      </c>
      <c r="Q1695" s="141">
        <f>E1695*P1695</f>
        <v/>
      </c>
      <c r="R1695" s="141">
        <f>ROUND(Q1695*IF(AND(offer_incoterms="DDP",seller_region="RU"),IF((TODAY()+offer_turnaround_time)&gt;=helpsheet!$L$17,rate_vatRU_from_26,rate_vatRu_till_25),0),2)</f>
        <v/>
      </c>
      <c r="S1695" s="177">
        <f>Q1695+IF(AND(offer_incoterms="DDP",seller_region="RU"),R1695,0)</f>
        <v/>
      </c>
      <c r="T1695" s="45" t="n"/>
      <c r="V1695" s="57">
        <f>IF(Q1695&gt;0,"показать","скрыть")</f>
        <v/>
      </c>
    </row>
    <row r="1696" ht="15.75" customHeight="1">
      <c r="B1696" s="809" t="n">
        <v>1680</v>
      </c>
      <c r="C1696" s="182">
        <f>IF(offer_sale_type="транзит",IFERROR(VLOOKUP($B1696,calc_data,C$14+1,0),0),0)</f>
        <v/>
      </c>
      <c r="D1696" s="280">
        <f>IF(offer_sale_type="транзит",IFERROR(VLOOKUP($B1696,calc_data,D$14+1,0),0),0)</f>
        <v/>
      </c>
      <c r="E1696" s="182">
        <f>IF(offer_sale_type="транзит",IFERROR(VLOOKUP($B1696,calc_data,E$14+1,0),0),0)</f>
        <v/>
      </c>
      <c r="F1696" s="182">
        <f>IF(offer_sale_type="транзит",IFERROR(VLOOKUP($B1696,calc_data,F$14+1,0),0),0)</f>
        <v/>
      </c>
      <c r="G1696" s="141">
        <f>IF(offer_sale_type="транзит",IFERROR(VLOOKUP($B1696,calc_data,G$14+1,0),0),0)</f>
        <v/>
      </c>
      <c r="H1696" s="141">
        <f>E1696*G1696</f>
        <v/>
      </c>
      <c r="I1696" s="141">
        <f>IF(offer_sale_type="транзит",IFERROR(ROUND(VLOOKUP($B1696,calc_data,I$14+1,0),2),0),0)</f>
        <v/>
      </c>
      <c r="J1696" s="141">
        <f>ROUND(IF(offer_sale_type="транзит",IFERROR(VLOOKUP($B1696,calc_data,J$14+1,0),0),0),2)</f>
        <v/>
      </c>
      <c r="K1696" s="142">
        <f>IF(offer_sale_type="транзит",IFERROR(ROUNDUP(VLOOKUP($B1696,calc_data,K$14+1,0),2),0),0)</f>
        <v/>
      </c>
      <c r="L1696" s="184">
        <f>IF(offer_sale_type="транзит",IFERROR(ROUNDUP(VLOOKUP($B1696,calc_data,L$14+1,0),2),0),0)</f>
        <v/>
      </c>
      <c r="M1696" s="141">
        <f>IF(offer_sale_type="транзит",IFERROR(ROUNDUP(VLOOKUP($B1696,calc_data,M$14+1,0),2),0),0)</f>
        <v/>
      </c>
      <c r="N1696" s="141">
        <f>IF(offer_sale_type="транзит",IFERROR(ROUNDUP(VLOOKUP($B1696,calc_data,N$14+1,0),2),0),0)</f>
        <v/>
      </c>
      <c r="O1696" s="147">
        <f>IF(offer_sale_type="транзит",IFERROR(ROUND(VLOOKUP($B1696,calc_data,O$14+1,1),2),0),0)</f>
        <v/>
      </c>
      <c r="P1696" s="141">
        <f>IF(offer_sale_type="транзит",IFERROR(ROUND(SUM(I1696:J1696,M1696:O1696)/E1696,2),0),0)</f>
        <v/>
      </c>
      <c r="Q1696" s="141">
        <f>E1696*P1696</f>
        <v/>
      </c>
      <c r="R1696" s="141">
        <f>ROUND(Q1696*IF(AND(offer_incoterms="DDP",seller_region="RU"),IF((TODAY()+offer_turnaround_time)&gt;=helpsheet!$L$17,rate_vatRU_from_26,rate_vatRu_till_25),0),2)</f>
        <v/>
      </c>
      <c r="S1696" s="177">
        <f>Q1696+IF(AND(offer_incoterms="DDP",seller_region="RU"),R1696,0)</f>
        <v/>
      </c>
      <c r="T1696" s="45" t="n"/>
      <c r="V1696" s="57">
        <f>IF(Q1696&gt;0,"показать","скрыть")</f>
        <v/>
      </c>
    </row>
    <row r="1697" ht="15.75" customHeight="1">
      <c r="B1697" s="809" t="n">
        <v>1681</v>
      </c>
      <c r="C1697" s="182">
        <f>IF(offer_sale_type="транзит",IFERROR(VLOOKUP($B1697,calc_data,C$14+1,0),0),0)</f>
        <v/>
      </c>
      <c r="D1697" s="280">
        <f>IF(offer_sale_type="транзит",IFERROR(VLOOKUP($B1697,calc_data,D$14+1,0),0),0)</f>
        <v/>
      </c>
      <c r="E1697" s="182">
        <f>IF(offer_sale_type="транзит",IFERROR(VLOOKUP($B1697,calc_data,E$14+1,0),0),0)</f>
        <v/>
      </c>
      <c r="F1697" s="182">
        <f>IF(offer_sale_type="транзит",IFERROR(VLOOKUP($B1697,calc_data,F$14+1,0),0),0)</f>
        <v/>
      </c>
      <c r="G1697" s="141">
        <f>IF(offer_sale_type="транзит",IFERROR(VLOOKUP($B1697,calc_data,G$14+1,0),0),0)</f>
        <v/>
      </c>
      <c r="H1697" s="141">
        <f>E1697*G1697</f>
        <v/>
      </c>
      <c r="I1697" s="141">
        <f>IF(offer_sale_type="транзит",IFERROR(ROUND(VLOOKUP($B1697,calc_data,I$14+1,0),2),0),0)</f>
        <v/>
      </c>
      <c r="J1697" s="141">
        <f>ROUND(IF(offer_sale_type="транзит",IFERROR(VLOOKUP($B1697,calc_data,J$14+1,0),0),0),2)</f>
        <v/>
      </c>
      <c r="K1697" s="142">
        <f>IF(offer_sale_type="транзит",IFERROR(ROUNDUP(VLOOKUP($B1697,calc_data,K$14+1,0),2),0),0)</f>
        <v/>
      </c>
      <c r="L1697" s="184">
        <f>IF(offer_sale_type="транзит",IFERROR(ROUNDUP(VLOOKUP($B1697,calc_data,L$14+1,0),2),0),0)</f>
        <v/>
      </c>
      <c r="M1697" s="141">
        <f>IF(offer_sale_type="транзит",IFERROR(ROUNDUP(VLOOKUP($B1697,calc_data,M$14+1,0),2),0),0)</f>
        <v/>
      </c>
      <c r="N1697" s="141">
        <f>IF(offer_sale_type="транзит",IFERROR(ROUNDUP(VLOOKUP($B1697,calc_data,N$14+1,0),2),0),0)</f>
        <v/>
      </c>
      <c r="O1697" s="147">
        <f>IF(offer_sale_type="транзит",IFERROR(ROUND(VLOOKUP($B1697,calc_data,O$14+1,1),2),0),0)</f>
        <v/>
      </c>
      <c r="P1697" s="141">
        <f>IF(offer_sale_type="транзит",IFERROR(ROUND(SUM(I1697:J1697,M1697:O1697)/E1697,2),0),0)</f>
        <v/>
      </c>
      <c r="Q1697" s="141">
        <f>E1697*P1697</f>
        <v/>
      </c>
      <c r="R1697" s="141">
        <f>ROUND(Q1697*IF(AND(offer_incoterms="DDP",seller_region="RU"),IF((TODAY()+offer_turnaround_time)&gt;=helpsheet!$L$17,rate_vatRU_from_26,rate_vatRu_till_25),0),2)</f>
        <v/>
      </c>
      <c r="S1697" s="177">
        <f>Q1697+IF(AND(offer_incoterms="DDP",seller_region="RU"),R1697,0)</f>
        <v/>
      </c>
      <c r="T1697" s="45" t="n"/>
      <c r="V1697" s="57">
        <f>IF(Q1697&gt;0,"показать","скрыть")</f>
        <v/>
      </c>
    </row>
    <row r="1698" ht="15.75" customHeight="1">
      <c r="B1698" s="809" t="n">
        <v>1682</v>
      </c>
      <c r="C1698" s="182">
        <f>IF(offer_sale_type="транзит",IFERROR(VLOOKUP($B1698,calc_data,C$14+1,0),0),0)</f>
        <v/>
      </c>
      <c r="D1698" s="280">
        <f>IF(offer_sale_type="транзит",IFERROR(VLOOKUP($B1698,calc_data,D$14+1,0),0),0)</f>
        <v/>
      </c>
      <c r="E1698" s="182">
        <f>IF(offer_sale_type="транзит",IFERROR(VLOOKUP($B1698,calc_data,E$14+1,0),0),0)</f>
        <v/>
      </c>
      <c r="F1698" s="182">
        <f>IF(offer_sale_type="транзит",IFERROR(VLOOKUP($B1698,calc_data,F$14+1,0),0),0)</f>
        <v/>
      </c>
      <c r="G1698" s="141">
        <f>IF(offer_sale_type="транзит",IFERROR(VLOOKUP($B1698,calc_data,G$14+1,0),0),0)</f>
        <v/>
      </c>
      <c r="H1698" s="141">
        <f>E1698*G1698</f>
        <v/>
      </c>
      <c r="I1698" s="141">
        <f>IF(offer_sale_type="транзит",IFERROR(ROUND(VLOOKUP($B1698,calc_data,I$14+1,0),2),0),0)</f>
        <v/>
      </c>
      <c r="J1698" s="141">
        <f>ROUND(IF(offer_sale_type="транзит",IFERROR(VLOOKUP($B1698,calc_data,J$14+1,0),0),0),2)</f>
        <v/>
      </c>
      <c r="K1698" s="142">
        <f>IF(offer_sale_type="транзит",IFERROR(ROUNDUP(VLOOKUP($B1698,calc_data,K$14+1,0),2),0),0)</f>
        <v/>
      </c>
      <c r="L1698" s="184">
        <f>IF(offer_sale_type="транзит",IFERROR(ROUNDUP(VLOOKUP($B1698,calc_data,L$14+1,0),2),0),0)</f>
        <v/>
      </c>
      <c r="M1698" s="141">
        <f>IF(offer_sale_type="транзит",IFERROR(ROUNDUP(VLOOKUP($B1698,calc_data,M$14+1,0),2),0),0)</f>
        <v/>
      </c>
      <c r="N1698" s="141">
        <f>IF(offer_sale_type="транзит",IFERROR(ROUNDUP(VLOOKUP($B1698,calc_data,N$14+1,0),2),0),0)</f>
        <v/>
      </c>
      <c r="O1698" s="147">
        <f>IF(offer_sale_type="транзит",IFERROR(ROUND(VLOOKUP($B1698,calc_data,O$14+1,1),2),0),0)</f>
        <v/>
      </c>
      <c r="P1698" s="141">
        <f>IF(offer_sale_type="транзит",IFERROR(ROUND(SUM(I1698:J1698,M1698:O1698)/E1698,2),0),0)</f>
        <v/>
      </c>
      <c r="Q1698" s="141">
        <f>E1698*P1698</f>
        <v/>
      </c>
      <c r="R1698" s="141">
        <f>ROUND(Q1698*IF(AND(offer_incoterms="DDP",seller_region="RU"),IF((TODAY()+offer_turnaround_time)&gt;=helpsheet!$L$17,rate_vatRU_from_26,rate_vatRu_till_25),0),2)</f>
        <v/>
      </c>
      <c r="S1698" s="177">
        <f>Q1698+IF(AND(offer_incoterms="DDP",seller_region="RU"),R1698,0)</f>
        <v/>
      </c>
      <c r="T1698" s="45" t="n"/>
      <c r="V1698" s="57">
        <f>IF(Q1698&gt;0,"показать","скрыть")</f>
        <v/>
      </c>
    </row>
    <row r="1699" ht="15.75" customHeight="1">
      <c r="B1699" s="809" t="n">
        <v>1683</v>
      </c>
      <c r="C1699" s="182">
        <f>IF(offer_sale_type="транзит",IFERROR(VLOOKUP($B1699,calc_data,C$14+1,0),0),0)</f>
        <v/>
      </c>
      <c r="D1699" s="280">
        <f>IF(offer_sale_type="транзит",IFERROR(VLOOKUP($B1699,calc_data,D$14+1,0),0),0)</f>
        <v/>
      </c>
      <c r="E1699" s="182">
        <f>IF(offer_sale_type="транзит",IFERROR(VLOOKUP($B1699,calc_data,E$14+1,0),0),0)</f>
        <v/>
      </c>
      <c r="F1699" s="182">
        <f>IF(offer_sale_type="транзит",IFERROR(VLOOKUP($B1699,calc_data,F$14+1,0),0),0)</f>
        <v/>
      </c>
      <c r="G1699" s="141">
        <f>IF(offer_sale_type="транзит",IFERROR(VLOOKUP($B1699,calc_data,G$14+1,0),0),0)</f>
        <v/>
      </c>
      <c r="H1699" s="141">
        <f>E1699*G1699</f>
        <v/>
      </c>
      <c r="I1699" s="141">
        <f>IF(offer_sale_type="транзит",IFERROR(ROUND(VLOOKUP($B1699,calc_data,I$14+1,0),2),0),0)</f>
        <v/>
      </c>
      <c r="J1699" s="141">
        <f>ROUND(IF(offer_sale_type="транзит",IFERROR(VLOOKUP($B1699,calc_data,J$14+1,0),0),0),2)</f>
        <v/>
      </c>
      <c r="K1699" s="142">
        <f>IF(offer_sale_type="транзит",IFERROR(ROUNDUP(VLOOKUP($B1699,calc_data,K$14+1,0),2),0),0)</f>
        <v/>
      </c>
      <c r="L1699" s="184">
        <f>IF(offer_sale_type="транзит",IFERROR(ROUNDUP(VLOOKUP($B1699,calc_data,L$14+1,0),2),0),0)</f>
        <v/>
      </c>
      <c r="M1699" s="141">
        <f>IF(offer_sale_type="транзит",IFERROR(ROUNDUP(VLOOKUP($B1699,calc_data,M$14+1,0),2),0),0)</f>
        <v/>
      </c>
      <c r="N1699" s="141">
        <f>IF(offer_sale_type="транзит",IFERROR(ROUNDUP(VLOOKUP($B1699,calc_data,N$14+1,0),2),0),0)</f>
        <v/>
      </c>
      <c r="O1699" s="147">
        <f>IF(offer_sale_type="транзит",IFERROR(ROUND(VLOOKUP($B1699,calc_data,O$14+1,1),2),0),0)</f>
        <v/>
      </c>
      <c r="P1699" s="141">
        <f>IF(offer_sale_type="транзит",IFERROR(ROUND(SUM(I1699:J1699,M1699:O1699)/E1699,2),0),0)</f>
        <v/>
      </c>
      <c r="Q1699" s="141">
        <f>E1699*P1699</f>
        <v/>
      </c>
      <c r="R1699" s="141">
        <f>ROUND(Q1699*IF(AND(offer_incoterms="DDP",seller_region="RU"),IF((TODAY()+offer_turnaround_time)&gt;=helpsheet!$L$17,rate_vatRU_from_26,rate_vatRu_till_25),0),2)</f>
        <v/>
      </c>
      <c r="S1699" s="177">
        <f>Q1699+IF(AND(offer_incoterms="DDP",seller_region="RU"),R1699,0)</f>
        <v/>
      </c>
      <c r="T1699" s="45" t="n"/>
      <c r="V1699" s="57">
        <f>IF(Q1699&gt;0,"показать","скрыть")</f>
        <v/>
      </c>
    </row>
    <row r="1700" ht="15.75" customHeight="1">
      <c r="B1700" s="809" t="n">
        <v>1684</v>
      </c>
      <c r="C1700" s="182">
        <f>IF(offer_sale_type="транзит",IFERROR(VLOOKUP($B1700,calc_data,C$14+1,0),0),0)</f>
        <v/>
      </c>
      <c r="D1700" s="280">
        <f>IF(offer_sale_type="транзит",IFERROR(VLOOKUP($B1700,calc_data,D$14+1,0),0),0)</f>
        <v/>
      </c>
      <c r="E1700" s="182">
        <f>IF(offer_sale_type="транзит",IFERROR(VLOOKUP($B1700,calc_data,E$14+1,0),0),0)</f>
        <v/>
      </c>
      <c r="F1700" s="182">
        <f>IF(offer_sale_type="транзит",IFERROR(VLOOKUP($B1700,calc_data,F$14+1,0),0),0)</f>
        <v/>
      </c>
      <c r="G1700" s="141">
        <f>IF(offer_sale_type="транзит",IFERROR(VLOOKUP($B1700,calc_data,G$14+1,0),0),0)</f>
        <v/>
      </c>
      <c r="H1700" s="141">
        <f>E1700*G1700</f>
        <v/>
      </c>
      <c r="I1700" s="141">
        <f>IF(offer_sale_type="транзит",IFERROR(ROUND(VLOOKUP($B1700,calc_data,I$14+1,0),2),0),0)</f>
        <v/>
      </c>
      <c r="J1700" s="141">
        <f>ROUND(IF(offer_sale_type="транзит",IFERROR(VLOOKUP($B1700,calc_data,J$14+1,0),0),0),2)</f>
        <v/>
      </c>
      <c r="K1700" s="142">
        <f>IF(offer_sale_type="транзит",IFERROR(ROUNDUP(VLOOKUP($B1700,calc_data,K$14+1,0),2),0),0)</f>
        <v/>
      </c>
      <c r="L1700" s="184">
        <f>IF(offer_sale_type="транзит",IFERROR(ROUNDUP(VLOOKUP($B1700,calc_data,L$14+1,0),2),0),0)</f>
        <v/>
      </c>
      <c r="M1700" s="141">
        <f>IF(offer_sale_type="транзит",IFERROR(ROUNDUP(VLOOKUP($B1700,calc_data,M$14+1,0),2),0),0)</f>
        <v/>
      </c>
      <c r="N1700" s="141">
        <f>IF(offer_sale_type="транзит",IFERROR(ROUNDUP(VLOOKUP($B1700,calc_data,N$14+1,0),2),0),0)</f>
        <v/>
      </c>
      <c r="O1700" s="147">
        <f>IF(offer_sale_type="транзит",IFERROR(ROUND(VLOOKUP($B1700,calc_data,O$14+1,1),2),0),0)</f>
        <v/>
      </c>
      <c r="P1700" s="141">
        <f>IF(offer_sale_type="транзит",IFERROR(ROUND(SUM(I1700:J1700,M1700:O1700)/E1700,2),0),0)</f>
        <v/>
      </c>
      <c r="Q1700" s="141">
        <f>E1700*P1700</f>
        <v/>
      </c>
      <c r="R1700" s="141">
        <f>ROUND(Q1700*IF(AND(offer_incoterms="DDP",seller_region="RU"),IF((TODAY()+offer_turnaround_time)&gt;=helpsheet!$L$17,rate_vatRU_from_26,rate_vatRu_till_25),0),2)</f>
        <v/>
      </c>
      <c r="S1700" s="177">
        <f>Q1700+IF(AND(offer_incoterms="DDP",seller_region="RU"),R1700,0)</f>
        <v/>
      </c>
      <c r="T1700" s="45" t="n"/>
      <c r="V1700" s="57">
        <f>IF(Q1700&gt;0,"показать","скрыть")</f>
        <v/>
      </c>
    </row>
    <row r="1701" ht="15.75" customHeight="1">
      <c r="B1701" s="809" t="n">
        <v>1685</v>
      </c>
      <c r="C1701" s="182">
        <f>IF(offer_sale_type="транзит",IFERROR(VLOOKUP($B1701,calc_data,C$14+1,0),0),0)</f>
        <v/>
      </c>
      <c r="D1701" s="280">
        <f>IF(offer_sale_type="транзит",IFERROR(VLOOKUP($B1701,calc_data,D$14+1,0),0),0)</f>
        <v/>
      </c>
      <c r="E1701" s="182">
        <f>IF(offer_sale_type="транзит",IFERROR(VLOOKUP($B1701,calc_data,E$14+1,0),0),0)</f>
        <v/>
      </c>
      <c r="F1701" s="182">
        <f>IF(offer_sale_type="транзит",IFERROR(VLOOKUP($B1701,calc_data,F$14+1,0),0),0)</f>
        <v/>
      </c>
      <c r="G1701" s="141">
        <f>IF(offer_sale_type="транзит",IFERROR(VLOOKUP($B1701,calc_data,G$14+1,0),0),0)</f>
        <v/>
      </c>
      <c r="H1701" s="141">
        <f>E1701*G1701</f>
        <v/>
      </c>
      <c r="I1701" s="141">
        <f>IF(offer_sale_type="транзит",IFERROR(ROUND(VLOOKUP($B1701,calc_data,I$14+1,0),2),0),0)</f>
        <v/>
      </c>
      <c r="J1701" s="141">
        <f>ROUND(IF(offer_sale_type="транзит",IFERROR(VLOOKUP($B1701,calc_data,J$14+1,0),0),0),2)</f>
        <v/>
      </c>
      <c r="K1701" s="142">
        <f>IF(offer_sale_type="транзит",IFERROR(ROUNDUP(VLOOKUP($B1701,calc_data,K$14+1,0),2),0),0)</f>
        <v/>
      </c>
      <c r="L1701" s="184">
        <f>IF(offer_sale_type="транзит",IFERROR(ROUNDUP(VLOOKUP($B1701,calc_data,L$14+1,0),2),0),0)</f>
        <v/>
      </c>
      <c r="M1701" s="141">
        <f>IF(offer_sale_type="транзит",IFERROR(ROUNDUP(VLOOKUP($B1701,calc_data,M$14+1,0),2),0),0)</f>
        <v/>
      </c>
      <c r="N1701" s="141">
        <f>IF(offer_sale_type="транзит",IFERROR(ROUNDUP(VLOOKUP($B1701,calc_data,N$14+1,0),2),0),0)</f>
        <v/>
      </c>
      <c r="O1701" s="147">
        <f>IF(offer_sale_type="транзит",IFERROR(ROUND(VLOOKUP($B1701,calc_data,O$14+1,1),2),0),0)</f>
        <v/>
      </c>
      <c r="P1701" s="141">
        <f>IF(offer_sale_type="транзит",IFERROR(ROUND(SUM(I1701:J1701,M1701:O1701)/E1701,2),0),0)</f>
        <v/>
      </c>
      <c r="Q1701" s="141">
        <f>E1701*P1701</f>
        <v/>
      </c>
      <c r="R1701" s="141">
        <f>ROUND(Q1701*IF(AND(offer_incoterms="DDP",seller_region="RU"),IF((TODAY()+offer_turnaround_time)&gt;=helpsheet!$L$17,rate_vatRU_from_26,rate_vatRu_till_25),0),2)</f>
        <v/>
      </c>
      <c r="S1701" s="177">
        <f>Q1701+IF(AND(offer_incoterms="DDP",seller_region="RU"),R1701,0)</f>
        <v/>
      </c>
      <c r="T1701" s="45" t="n"/>
      <c r="V1701" s="57">
        <f>IF(Q1701&gt;0,"показать","скрыть")</f>
        <v/>
      </c>
    </row>
    <row r="1702" ht="15.75" customHeight="1">
      <c r="B1702" s="809" t="n">
        <v>1686</v>
      </c>
      <c r="C1702" s="182">
        <f>IF(offer_sale_type="транзит",IFERROR(VLOOKUP($B1702,calc_data,C$14+1,0),0),0)</f>
        <v/>
      </c>
      <c r="D1702" s="280">
        <f>IF(offer_sale_type="транзит",IFERROR(VLOOKUP($B1702,calc_data,D$14+1,0),0),0)</f>
        <v/>
      </c>
      <c r="E1702" s="182">
        <f>IF(offer_sale_type="транзит",IFERROR(VLOOKUP($B1702,calc_data,E$14+1,0),0),0)</f>
        <v/>
      </c>
      <c r="F1702" s="182">
        <f>IF(offer_sale_type="транзит",IFERROR(VLOOKUP($B1702,calc_data,F$14+1,0),0),0)</f>
        <v/>
      </c>
      <c r="G1702" s="141">
        <f>IF(offer_sale_type="транзит",IFERROR(VLOOKUP($B1702,calc_data,G$14+1,0),0),0)</f>
        <v/>
      </c>
      <c r="H1702" s="141">
        <f>E1702*G1702</f>
        <v/>
      </c>
      <c r="I1702" s="141">
        <f>IF(offer_sale_type="транзит",IFERROR(ROUND(VLOOKUP($B1702,calc_data,I$14+1,0),2),0),0)</f>
        <v/>
      </c>
      <c r="J1702" s="141">
        <f>ROUND(IF(offer_sale_type="транзит",IFERROR(VLOOKUP($B1702,calc_data,J$14+1,0),0),0),2)</f>
        <v/>
      </c>
      <c r="K1702" s="142">
        <f>IF(offer_sale_type="транзит",IFERROR(ROUNDUP(VLOOKUP($B1702,calc_data,K$14+1,0),2),0),0)</f>
        <v/>
      </c>
      <c r="L1702" s="184">
        <f>IF(offer_sale_type="транзит",IFERROR(ROUNDUP(VLOOKUP($B1702,calc_data,L$14+1,0),2),0),0)</f>
        <v/>
      </c>
      <c r="M1702" s="141">
        <f>IF(offer_sale_type="транзит",IFERROR(ROUNDUP(VLOOKUP($B1702,calc_data,M$14+1,0),2),0),0)</f>
        <v/>
      </c>
      <c r="N1702" s="141">
        <f>IF(offer_sale_type="транзит",IFERROR(ROUNDUP(VLOOKUP($B1702,calc_data,N$14+1,0),2),0),0)</f>
        <v/>
      </c>
      <c r="O1702" s="147">
        <f>IF(offer_sale_type="транзит",IFERROR(ROUND(VLOOKUP($B1702,calc_data,O$14+1,1),2),0),0)</f>
        <v/>
      </c>
      <c r="P1702" s="141">
        <f>IF(offer_sale_type="транзит",IFERROR(ROUND(SUM(I1702:J1702,M1702:O1702)/E1702,2),0),0)</f>
        <v/>
      </c>
      <c r="Q1702" s="141">
        <f>E1702*P1702</f>
        <v/>
      </c>
      <c r="R1702" s="141">
        <f>ROUND(Q1702*IF(AND(offer_incoterms="DDP",seller_region="RU"),IF((TODAY()+offer_turnaround_time)&gt;=helpsheet!$L$17,rate_vatRU_from_26,rate_vatRu_till_25),0),2)</f>
        <v/>
      </c>
      <c r="S1702" s="177">
        <f>Q1702+IF(AND(offer_incoterms="DDP",seller_region="RU"),R1702,0)</f>
        <v/>
      </c>
      <c r="T1702" s="45" t="n"/>
      <c r="V1702" s="57">
        <f>IF(Q1702&gt;0,"показать","скрыть")</f>
        <v/>
      </c>
    </row>
    <row r="1703" ht="15.75" customHeight="1">
      <c r="B1703" s="809" t="n">
        <v>1687</v>
      </c>
      <c r="C1703" s="182">
        <f>IF(offer_sale_type="транзит",IFERROR(VLOOKUP($B1703,calc_data,C$14+1,0),0),0)</f>
        <v/>
      </c>
      <c r="D1703" s="280">
        <f>IF(offer_sale_type="транзит",IFERROR(VLOOKUP($B1703,calc_data,D$14+1,0),0),0)</f>
        <v/>
      </c>
      <c r="E1703" s="182">
        <f>IF(offer_sale_type="транзит",IFERROR(VLOOKUP($B1703,calc_data,E$14+1,0),0),0)</f>
        <v/>
      </c>
      <c r="F1703" s="182">
        <f>IF(offer_sale_type="транзит",IFERROR(VLOOKUP($B1703,calc_data,F$14+1,0),0),0)</f>
        <v/>
      </c>
      <c r="G1703" s="141">
        <f>IF(offer_sale_type="транзит",IFERROR(VLOOKUP($B1703,calc_data,G$14+1,0),0),0)</f>
        <v/>
      </c>
      <c r="H1703" s="141">
        <f>E1703*G1703</f>
        <v/>
      </c>
      <c r="I1703" s="141">
        <f>IF(offer_sale_type="транзит",IFERROR(ROUND(VLOOKUP($B1703,calc_data,I$14+1,0),2),0),0)</f>
        <v/>
      </c>
      <c r="J1703" s="141">
        <f>ROUND(IF(offer_sale_type="транзит",IFERROR(VLOOKUP($B1703,calc_data,J$14+1,0),0),0),2)</f>
        <v/>
      </c>
      <c r="K1703" s="142">
        <f>IF(offer_sale_type="транзит",IFERROR(ROUNDUP(VLOOKUP($B1703,calc_data,K$14+1,0),2),0),0)</f>
        <v/>
      </c>
      <c r="L1703" s="184">
        <f>IF(offer_sale_type="транзит",IFERROR(ROUNDUP(VLOOKUP($B1703,calc_data,L$14+1,0),2),0),0)</f>
        <v/>
      </c>
      <c r="M1703" s="141">
        <f>IF(offer_sale_type="транзит",IFERROR(ROUNDUP(VLOOKUP($B1703,calc_data,M$14+1,0),2),0),0)</f>
        <v/>
      </c>
      <c r="N1703" s="141">
        <f>IF(offer_sale_type="транзит",IFERROR(ROUNDUP(VLOOKUP($B1703,calc_data,N$14+1,0),2),0),0)</f>
        <v/>
      </c>
      <c r="O1703" s="147">
        <f>IF(offer_sale_type="транзит",IFERROR(ROUND(VLOOKUP($B1703,calc_data,O$14+1,1),2),0),0)</f>
        <v/>
      </c>
      <c r="P1703" s="141">
        <f>IF(offer_sale_type="транзит",IFERROR(ROUND(SUM(I1703:J1703,M1703:O1703)/E1703,2),0),0)</f>
        <v/>
      </c>
      <c r="Q1703" s="141">
        <f>E1703*P1703</f>
        <v/>
      </c>
      <c r="R1703" s="141">
        <f>ROUND(Q1703*IF(AND(offer_incoterms="DDP",seller_region="RU"),IF((TODAY()+offer_turnaround_time)&gt;=helpsheet!$L$17,rate_vatRU_from_26,rate_vatRu_till_25),0),2)</f>
        <v/>
      </c>
      <c r="S1703" s="177">
        <f>Q1703+IF(AND(offer_incoterms="DDP",seller_region="RU"),R1703,0)</f>
        <v/>
      </c>
      <c r="T1703" s="45" t="n"/>
      <c r="V1703" s="57">
        <f>IF(Q1703&gt;0,"показать","скрыть")</f>
        <v/>
      </c>
    </row>
    <row r="1704" ht="15.75" customHeight="1">
      <c r="B1704" s="809" t="n">
        <v>1688</v>
      </c>
      <c r="C1704" s="182">
        <f>IF(offer_sale_type="транзит",IFERROR(VLOOKUP($B1704,calc_data,C$14+1,0),0),0)</f>
        <v/>
      </c>
      <c r="D1704" s="280">
        <f>IF(offer_sale_type="транзит",IFERROR(VLOOKUP($B1704,calc_data,D$14+1,0),0),0)</f>
        <v/>
      </c>
      <c r="E1704" s="182">
        <f>IF(offer_sale_type="транзит",IFERROR(VLOOKUP($B1704,calc_data,E$14+1,0),0),0)</f>
        <v/>
      </c>
      <c r="F1704" s="182">
        <f>IF(offer_sale_type="транзит",IFERROR(VLOOKUP($B1704,calc_data,F$14+1,0),0),0)</f>
        <v/>
      </c>
      <c r="G1704" s="141">
        <f>IF(offer_sale_type="транзит",IFERROR(VLOOKUP($B1704,calc_data,G$14+1,0),0),0)</f>
        <v/>
      </c>
      <c r="H1704" s="141">
        <f>E1704*G1704</f>
        <v/>
      </c>
      <c r="I1704" s="141">
        <f>IF(offer_sale_type="транзит",IFERROR(ROUND(VLOOKUP($B1704,calc_data,I$14+1,0),2),0),0)</f>
        <v/>
      </c>
      <c r="J1704" s="141">
        <f>ROUND(IF(offer_sale_type="транзит",IFERROR(VLOOKUP($B1704,calc_data,J$14+1,0),0),0),2)</f>
        <v/>
      </c>
      <c r="K1704" s="142">
        <f>IF(offer_sale_type="транзит",IFERROR(ROUNDUP(VLOOKUP($B1704,calc_data,K$14+1,0),2),0),0)</f>
        <v/>
      </c>
      <c r="L1704" s="184">
        <f>IF(offer_sale_type="транзит",IFERROR(ROUNDUP(VLOOKUP($B1704,calc_data,L$14+1,0),2),0),0)</f>
        <v/>
      </c>
      <c r="M1704" s="141">
        <f>IF(offer_sale_type="транзит",IFERROR(ROUNDUP(VLOOKUP($B1704,calc_data,M$14+1,0),2),0),0)</f>
        <v/>
      </c>
      <c r="N1704" s="141">
        <f>IF(offer_sale_type="транзит",IFERROR(ROUNDUP(VLOOKUP($B1704,calc_data,N$14+1,0),2),0),0)</f>
        <v/>
      </c>
      <c r="O1704" s="147">
        <f>IF(offer_sale_type="транзит",IFERROR(ROUND(VLOOKUP($B1704,calc_data,O$14+1,1),2),0),0)</f>
        <v/>
      </c>
      <c r="P1704" s="141">
        <f>IF(offer_sale_type="транзит",IFERROR(ROUND(SUM(I1704:J1704,M1704:O1704)/E1704,2),0),0)</f>
        <v/>
      </c>
      <c r="Q1704" s="141">
        <f>E1704*P1704</f>
        <v/>
      </c>
      <c r="R1704" s="141">
        <f>ROUND(Q1704*IF(AND(offer_incoterms="DDP",seller_region="RU"),IF((TODAY()+offer_turnaround_time)&gt;=helpsheet!$L$17,rate_vatRU_from_26,rate_vatRu_till_25),0),2)</f>
        <v/>
      </c>
      <c r="S1704" s="177">
        <f>Q1704+IF(AND(offer_incoterms="DDP",seller_region="RU"),R1704,0)</f>
        <v/>
      </c>
      <c r="T1704" s="45" t="n"/>
      <c r="V1704" s="57">
        <f>IF(Q1704&gt;0,"показать","скрыть")</f>
        <v/>
      </c>
    </row>
    <row r="1705" ht="15.75" customHeight="1">
      <c r="B1705" s="809" t="n">
        <v>1689</v>
      </c>
      <c r="C1705" s="182">
        <f>IF(offer_sale_type="транзит",IFERROR(VLOOKUP($B1705,calc_data,C$14+1,0),0),0)</f>
        <v/>
      </c>
      <c r="D1705" s="280">
        <f>IF(offer_sale_type="транзит",IFERROR(VLOOKUP($B1705,calc_data,D$14+1,0),0),0)</f>
        <v/>
      </c>
      <c r="E1705" s="182">
        <f>IF(offer_sale_type="транзит",IFERROR(VLOOKUP($B1705,calc_data,E$14+1,0),0),0)</f>
        <v/>
      </c>
      <c r="F1705" s="182">
        <f>IF(offer_sale_type="транзит",IFERROR(VLOOKUP($B1705,calc_data,F$14+1,0),0),0)</f>
        <v/>
      </c>
      <c r="G1705" s="141">
        <f>IF(offer_sale_type="транзит",IFERROR(VLOOKUP($B1705,calc_data,G$14+1,0),0),0)</f>
        <v/>
      </c>
      <c r="H1705" s="141">
        <f>E1705*G1705</f>
        <v/>
      </c>
      <c r="I1705" s="141">
        <f>IF(offer_sale_type="транзит",IFERROR(ROUND(VLOOKUP($B1705,calc_data,I$14+1,0),2),0),0)</f>
        <v/>
      </c>
      <c r="J1705" s="141">
        <f>ROUND(IF(offer_sale_type="транзит",IFERROR(VLOOKUP($B1705,calc_data,J$14+1,0),0),0),2)</f>
        <v/>
      </c>
      <c r="K1705" s="142">
        <f>IF(offer_sale_type="транзит",IFERROR(ROUNDUP(VLOOKUP($B1705,calc_data,K$14+1,0),2),0),0)</f>
        <v/>
      </c>
      <c r="L1705" s="184">
        <f>IF(offer_sale_type="транзит",IFERROR(ROUNDUP(VLOOKUP($B1705,calc_data,L$14+1,0),2),0),0)</f>
        <v/>
      </c>
      <c r="M1705" s="141">
        <f>IF(offer_sale_type="транзит",IFERROR(ROUNDUP(VLOOKUP($B1705,calc_data,M$14+1,0),2),0),0)</f>
        <v/>
      </c>
      <c r="N1705" s="141">
        <f>IF(offer_sale_type="транзит",IFERROR(ROUNDUP(VLOOKUP($B1705,calc_data,N$14+1,0),2),0),0)</f>
        <v/>
      </c>
      <c r="O1705" s="147">
        <f>IF(offer_sale_type="транзит",IFERROR(ROUND(VLOOKUP($B1705,calc_data,O$14+1,1),2),0),0)</f>
        <v/>
      </c>
      <c r="P1705" s="141">
        <f>IF(offer_sale_type="транзит",IFERROR(ROUND(SUM(I1705:J1705,M1705:O1705)/E1705,2),0),0)</f>
        <v/>
      </c>
      <c r="Q1705" s="141">
        <f>E1705*P1705</f>
        <v/>
      </c>
      <c r="R1705" s="141">
        <f>ROUND(Q1705*IF(AND(offer_incoterms="DDP",seller_region="RU"),IF((TODAY()+offer_turnaround_time)&gt;=helpsheet!$L$17,rate_vatRU_from_26,rate_vatRu_till_25),0),2)</f>
        <v/>
      </c>
      <c r="S1705" s="177">
        <f>Q1705+IF(AND(offer_incoterms="DDP",seller_region="RU"),R1705,0)</f>
        <v/>
      </c>
      <c r="T1705" s="45" t="n"/>
      <c r="V1705" s="57">
        <f>IF(Q1705&gt;0,"показать","скрыть")</f>
        <v/>
      </c>
    </row>
    <row r="1706" ht="15.75" customHeight="1">
      <c r="B1706" s="809" t="n">
        <v>1690</v>
      </c>
      <c r="C1706" s="182">
        <f>IF(offer_sale_type="транзит",IFERROR(VLOOKUP($B1706,calc_data,C$14+1,0),0),0)</f>
        <v/>
      </c>
      <c r="D1706" s="280">
        <f>IF(offer_sale_type="транзит",IFERROR(VLOOKUP($B1706,calc_data,D$14+1,0),0),0)</f>
        <v/>
      </c>
      <c r="E1706" s="182">
        <f>IF(offer_sale_type="транзит",IFERROR(VLOOKUP($B1706,calc_data,E$14+1,0),0),0)</f>
        <v/>
      </c>
      <c r="F1706" s="182">
        <f>IF(offer_sale_type="транзит",IFERROR(VLOOKUP($B1706,calc_data,F$14+1,0),0),0)</f>
        <v/>
      </c>
      <c r="G1706" s="141">
        <f>IF(offer_sale_type="транзит",IFERROR(VLOOKUP($B1706,calc_data,G$14+1,0),0),0)</f>
        <v/>
      </c>
      <c r="H1706" s="141">
        <f>E1706*G1706</f>
        <v/>
      </c>
      <c r="I1706" s="141">
        <f>IF(offer_sale_type="транзит",IFERROR(ROUND(VLOOKUP($B1706,calc_data,I$14+1,0),2),0),0)</f>
        <v/>
      </c>
      <c r="J1706" s="141">
        <f>ROUND(IF(offer_sale_type="транзит",IFERROR(VLOOKUP($B1706,calc_data,J$14+1,0),0),0),2)</f>
        <v/>
      </c>
      <c r="K1706" s="142">
        <f>IF(offer_sale_type="транзит",IFERROR(ROUNDUP(VLOOKUP($B1706,calc_data,K$14+1,0),2),0),0)</f>
        <v/>
      </c>
      <c r="L1706" s="184">
        <f>IF(offer_sale_type="транзит",IFERROR(ROUNDUP(VLOOKUP($B1706,calc_data,L$14+1,0),2),0),0)</f>
        <v/>
      </c>
      <c r="M1706" s="141">
        <f>IF(offer_sale_type="транзит",IFERROR(ROUNDUP(VLOOKUP($B1706,calc_data,M$14+1,0),2),0),0)</f>
        <v/>
      </c>
      <c r="N1706" s="141">
        <f>IF(offer_sale_type="транзит",IFERROR(ROUNDUP(VLOOKUP($B1706,calc_data,N$14+1,0),2),0),0)</f>
        <v/>
      </c>
      <c r="O1706" s="147">
        <f>IF(offer_sale_type="транзит",IFERROR(ROUND(VLOOKUP($B1706,calc_data,O$14+1,1),2),0),0)</f>
        <v/>
      </c>
      <c r="P1706" s="141">
        <f>IF(offer_sale_type="транзит",IFERROR(ROUND(SUM(I1706:J1706,M1706:O1706)/E1706,2),0),0)</f>
        <v/>
      </c>
      <c r="Q1706" s="141">
        <f>E1706*P1706</f>
        <v/>
      </c>
      <c r="R1706" s="141">
        <f>ROUND(Q1706*IF(AND(offer_incoterms="DDP",seller_region="RU"),IF((TODAY()+offer_turnaround_time)&gt;=helpsheet!$L$17,rate_vatRU_from_26,rate_vatRu_till_25),0),2)</f>
        <v/>
      </c>
      <c r="S1706" s="177">
        <f>Q1706+IF(AND(offer_incoterms="DDP",seller_region="RU"),R1706,0)</f>
        <v/>
      </c>
      <c r="T1706" s="45" t="n"/>
      <c r="V1706" s="57">
        <f>IF(Q1706&gt;0,"показать","скрыть")</f>
        <v/>
      </c>
    </row>
    <row r="1707" ht="15.75" customHeight="1">
      <c r="B1707" s="809" t="n">
        <v>1691</v>
      </c>
      <c r="C1707" s="182">
        <f>IF(offer_sale_type="транзит",IFERROR(VLOOKUP($B1707,calc_data,C$14+1,0),0),0)</f>
        <v/>
      </c>
      <c r="D1707" s="280">
        <f>IF(offer_sale_type="транзит",IFERROR(VLOOKUP($B1707,calc_data,D$14+1,0),0),0)</f>
        <v/>
      </c>
      <c r="E1707" s="182">
        <f>IF(offer_sale_type="транзит",IFERROR(VLOOKUP($B1707,calc_data,E$14+1,0),0),0)</f>
        <v/>
      </c>
      <c r="F1707" s="182">
        <f>IF(offer_sale_type="транзит",IFERROR(VLOOKUP($B1707,calc_data,F$14+1,0),0),0)</f>
        <v/>
      </c>
      <c r="G1707" s="141">
        <f>IF(offer_sale_type="транзит",IFERROR(VLOOKUP($B1707,calc_data,G$14+1,0),0),0)</f>
        <v/>
      </c>
      <c r="H1707" s="141">
        <f>E1707*G1707</f>
        <v/>
      </c>
      <c r="I1707" s="141">
        <f>IF(offer_sale_type="транзит",IFERROR(ROUND(VLOOKUP($B1707,calc_data,I$14+1,0),2),0),0)</f>
        <v/>
      </c>
      <c r="J1707" s="141">
        <f>ROUND(IF(offer_sale_type="транзит",IFERROR(VLOOKUP($B1707,calc_data,J$14+1,0),0),0),2)</f>
        <v/>
      </c>
      <c r="K1707" s="142">
        <f>IF(offer_sale_type="транзит",IFERROR(ROUNDUP(VLOOKUP($B1707,calc_data,K$14+1,0),2),0),0)</f>
        <v/>
      </c>
      <c r="L1707" s="184">
        <f>IF(offer_sale_type="транзит",IFERROR(ROUNDUP(VLOOKUP($B1707,calc_data,L$14+1,0),2),0),0)</f>
        <v/>
      </c>
      <c r="M1707" s="141">
        <f>IF(offer_sale_type="транзит",IFERROR(ROUNDUP(VLOOKUP($B1707,calc_data,M$14+1,0),2),0),0)</f>
        <v/>
      </c>
      <c r="N1707" s="141">
        <f>IF(offer_sale_type="транзит",IFERROR(ROUNDUP(VLOOKUP($B1707,calc_data,N$14+1,0),2),0),0)</f>
        <v/>
      </c>
      <c r="O1707" s="147">
        <f>IF(offer_sale_type="транзит",IFERROR(ROUND(VLOOKUP($B1707,calc_data,O$14+1,1),2),0),0)</f>
        <v/>
      </c>
      <c r="P1707" s="141">
        <f>IF(offer_sale_type="транзит",IFERROR(ROUND(SUM(I1707:J1707,M1707:O1707)/E1707,2),0),0)</f>
        <v/>
      </c>
      <c r="Q1707" s="141">
        <f>E1707*P1707</f>
        <v/>
      </c>
      <c r="R1707" s="141">
        <f>ROUND(Q1707*IF(AND(offer_incoterms="DDP",seller_region="RU"),IF((TODAY()+offer_turnaround_time)&gt;=helpsheet!$L$17,rate_vatRU_from_26,rate_vatRu_till_25),0),2)</f>
        <v/>
      </c>
      <c r="S1707" s="177">
        <f>Q1707+IF(AND(offer_incoterms="DDP",seller_region="RU"),R1707,0)</f>
        <v/>
      </c>
      <c r="T1707" s="45" t="n"/>
      <c r="V1707" s="57">
        <f>IF(Q1707&gt;0,"показать","скрыть")</f>
        <v/>
      </c>
    </row>
    <row r="1708" ht="15.75" customHeight="1">
      <c r="B1708" s="809" t="n">
        <v>1692</v>
      </c>
      <c r="C1708" s="182">
        <f>IF(offer_sale_type="транзит",IFERROR(VLOOKUP($B1708,calc_data,C$14+1,0),0),0)</f>
        <v/>
      </c>
      <c r="D1708" s="280">
        <f>IF(offer_sale_type="транзит",IFERROR(VLOOKUP($B1708,calc_data,D$14+1,0),0),0)</f>
        <v/>
      </c>
      <c r="E1708" s="182">
        <f>IF(offer_sale_type="транзит",IFERROR(VLOOKUP($B1708,calc_data,E$14+1,0),0),0)</f>
        <v/>
      </c>
      <c r="F1708" s="182">
        <f>IF(offer_sale_type="транзит",IFERROR(VLOOKUP($B1708,calc_data,F$14+1,0),0),0)</f>
        <v/>
      </c>
      <c r="G1708" s="141">
        <f>IF(offer_sale_type="транзит",IFERROR(VLOOKUP($B1708,calc_data,G$14+1,0),0),0)</f>
        <v/>
      </c>
      <c r="H1708" s="141">
        <f>E1708*G1708</f>
        <v/>
      </c>
      <c r="I1708" s="141">
        <f>IF(offer_sale_type="транзит",IFERROR(ROUND(VLOOKUP($B1708,calc_data,I$14+1,0),2),0),0)</f>
        <v/>
      </c>
      <c r="J1708" s="141">
        <f>ROUND(IF(offer_sale_type="транзит",IFERROR(VLOOKUP($B1708,calc_data,J$14+1,0),0),0),2)</f>
        <v/>
      </c>
      <c r="K1708" s="142">
        <f>IF(offer_sale_type="транзит",IFERROR(ROUNDUP(VLOOKUP($B1708,calc_data,K$14+1,0),2),0),0)</f>
        <v/>
      </c>
      <c r="L1708" s="184">
        <f>IF(offer_sale_type="транзит",IFERROR(ROUNDUP(VLOOKUP($B1708,calc_data,L$14+1,0),2),0),0)</f>
        <v/>
      </c>
      <c r="M1708" s="141">
        <f>IF(offer_sale_type="транзит",IFERROR(ROUNDUP(VLOOKUP($B1708,calc_data,M$14+1,0),2),0),0)</f>
        <v/>
      </c>
      <c r="N1708" s="141">
        <f>IF(offer_sale_type="транзит",IFERROR(ROUNDUP(VLOOKUP($B1708,calc_data,N$14+1,0),2),0),0)</f>
        <v/>
      </c>
      <c r="O1708" s="147">
        <f>IF(offer_sale_type="транзит",IFERROR(ROUND(VLOOKUP($B1708,calc_data,O$14+1,1),2),0),0)</f>
        <v/>
      </c>
      <c r="P1708" s="141">
        <f>IF(offer_sale_type="транзит",IFERROR(ROUND(SUM(I1708:J1708,M1708:O1708)/E1708,2),0),0)</f>
        <v/>
      </c>
      <c r="Q1708" s="141">
        <f>E1708*P1708</f>
        <v/>
      </c>
      <c r="R1708" s="141">
        <f>ROUND(Q1708*IF(AND(offer_incoterms="DDP",seller_region="RU"),IF((TODAY()+offer_turnaround_time)&gt;=helpsheet!$L$17,rate_vatRU_from_26,rate_vatRu_till_25),0),2)</f>
        <v/>
      </c>
      <c r="S1708" s="177">
        <f>Q1708+IF(AND(offer_incoterms="DDP",seller_region="RU"),R1708,0)</f>
        <v/>
      </c>
      <c r="T1708" s="45" t="n"/>
      <c r="V1708" s="57">
        <f>IF(Q1708&gt;0,"показать","скрыть")</f>
        <v/>
      </c>
    </row>
    <row r="1709" ht="15.75" customHeight="1">
      <c r="B1709" s="809" t="n">
        <v>1693</v>
      </c>
      <c r="C1709" s="182">
        <f>IF(offer_sale_type="транзит",IFERROR(VLOOKUP($B1709,calc_data,C$14+1,0),0),0)</f>
        <v/>
      </c>
      <c r="D1709" s="280">
        <f>IF(offer_sale_type="транзит",IFERROR(VLOOKUP($B1709,calc_data,D$14+1,0),0),0)</f>
        <v/>
      </c>
      <c r="E1709" s="182">
        <f>IF(offer_sale_type="транзит",IFERROR(VLOOKUP($B1709,calc_data,E$14+1,0),0),0)</f>
        <v/>
      </c>
      <c r="F1709" s="182">
        <f>IF(offer_sale_type="транзит",IFERROR(VLOOKUP($B1709,calc_data,F$14+1,0),0),0)</f>
        <v/>
      </c>
      <c r="G1709" s="141">
        <f>IF(offer_sale_type="транзит",IFERROR(VLOOKUP($B1709,calc_data,G$14+1,0),0),0)</f>
        <v/>
      </c>
      <c r="H1709" s="141">
        <f>E1709*G1709</f>
        <v/>
      </c>
      <c r="I1709" s="141">
        <f>IF(offer_sale_type="транзит",IFERROR(ROUND(VLOOKUP($B1709,calc_data,I$14+1,0),2),0),0)</f>
        <v/>
      </c>
      <c r="J1709" s="141">
        <f>ROUND(IF(offer_sale_type="транзит",IFERROR(VLOOKUP($B1709,calc_data,J$14+1,0),0),0),2)</f>
        <v/>
      </c>
      <c r="K1709" s="142">
        <f>IF(offer_sale_type="транзит",IFERROR(ROUNDUP(VLOOKUP($B1709,calc_data,K$14+1,0),2),0),0)</f>
        <v/>
      </c>
      <c r="L1709" s="184">
        <f>IF(offer_sale_type="транзит",IFERROR(ROUNDUP(VLOOKUP($B1709,calc_data,L$14+1,0),2),0),0)</f>
        <v/>
      </c>
      <c r="M1709" s="141">
        <f>IF(offer_sale_type="транзит",IFERROR(ROUNDUP(VLOOKUP($B1709,calc_data,M$14+1,0),2),0),0)</f>
        <v/>
      </c>
      <c r="N1709" s="141">
        <f>IF(offer_sale_type="транзит",IFERROR(ROUNDUP(VLOOKUP($B1709,calc_data,N$14+1,0),2),0),0)</f>
        <v/>
      </c>
      <c r="O1709" s="147">
        <f>IF(offer_sale_type="транзит",IFERROR(ROUND(VLOOKUP($B1709,calc_data,O$14+1,1),2),0),0)</f>
        <v/>
      </c>
      <c r="P1709" s="141">
        <f>IF(offer_sale_type="транзит",IFERROR(ROUND(SUM(I1709:J1709,M1709:O1709)/E1709,2),0),0)</f>
        <v/>
      </c>
      <c r="Q1709" s="141">
        <f>E1709*P1709</f>
        <v/>
      </c>
      <c r="R1709" s="141">
        <f>ROUND(Q1709*IF(AND(offer_incoterms="DDP",seller_region="RU"),IF((TODAY()+offer_turnaround_time)&gt;=helpsheet!$L$17,rate_vatRU_from_26,rate_vatRu_till_25),0),2)</f>
        <v/>
      </c>
      <c r="S1709" s="177">
        <f>Q1709+IF(AND(offer_incoterms="DDP",seller_region="RU"),R1709,0)</f>
        <v/>
      </c>
      <c r="T1709" s="45" t="n"/>
      <c r="V1709" s="57">
        <f>IF(Q1709&gt;0,"показать","скрыть")</f>
        <v/>
      </c>
    </row>
    <row r="1710" ht="15.75" customHeight="1">
      <c r="B1710" s="809" t="n">
        <v>1694</v>
      </c>
      <c r="C1710" s="182">
        <f>IF(offer_sale_type="транзит",IFERROR(VLOOKUP($B1710,calc_data,C$14+1,0),0),0)</f>
        <v/>
      </c>
      <c r="D1710" s="280">
        <f>IF(offer_sale_type="транзит",IFERROR(VLOOKUP($B1710,calc_data,D$14+1,0),0),0)</f>
        <v/>
      </c>
      <c r="E1710" s="182">
        <f>IF(offer_sale_type="транзит",IFERROR(VLOOKUP($B1710,calc_data,E$14+1,0),0),0)</f>
        <v/>
      </c>
      <c r="F1710" s="182">
        <f>IF(offer_sale_type="транзит",IFERROR(VLOOKUP($B1710,calc_data,F$14+1,0),0),0)</f>
        <v/>
      </c>
      <c r="G1710" s="141">
        <f>IF(offer_sale_type="транзит",IFERROR(VLOOKUP($B1710,calc_data,G$14+1,0),0),0)</f>
        <v/>
      </c>
      <c r="H1710" s="141">
        <f>E1710*G1710</f>
        <v/>
      </c>
      <c r="I1710" s="141">
        <f>IF(offer_sale_type="транзит",IFERROR(ROUND(VLOOKUP($B1710,calc_data,I$14+1,0),2),0),0)</f>
        <v/>
      </c>
      <c r="J1710" s="141">
        <f>ROUND(IF(offer_sale_type="транзит",IFERROR(VLOOKUP($B1710,calc_data,J$14+1,0),0),0),2)</f>
        <v/>
      </c>
      <c r="K1710" s="142">
        <f>IF(offer_sale_type="транзит",IFERROR(ROUNDUP(VLOOKUP($B1710,calc_data,K$14+1,0),2),0),0)</f>
        <v/>
      </c>
      <c r="L1710" s="184">
        <f>IF(offer_sale_type="транзит",IFERROR(ROUNDUP(VLOOKUP($B1710,calc_data,L$14+1,0),2),0),0)</f>
        <v/>
      </c>
      <c r="M1710" s="141">
        <f>IF(offer_sale_type="транзит",IFERROR(ROUNDUP(VLOOKUP($B1710,calc_data,M$14+1,0),2),0),0)</f>
        <v/>
      </c>
      <c r="N1710" s="141">
        <f>IF(offer_sale_type="транзит",IFERROR(ROUNDUP(VLOOKUP($B1710,calc_data,N$14+1,0),2),0),0)</f>
        <v/>
      </c>
      <c r="O1710" s="147">
        <f>IF(offer_sale_type="транзит",IFERROR(ROUND(VLOOKUP($B1710,calc_data,O$14+1,1),2),0),0)</f>
        <v/>
      </c>
      <c r="P1710" s="141">
        <f>IF(offer_sale_type="транзит",IFERROR(ROUND(SUM(I1710:J1710,M1710:O1710)/E1710,2),0),0)</f>
        <v/>
      </c>
      <c r="Q1710" s="141">
        <f>E1710*P1710</f>
        <v/>
      </c>
      <c r="R1710" s="141">
        <f>ROUND(Q1710*IF(AND(offer_incoterms="DDP",seller_region="RU"),IF((TODAY()+offer_turnaround_time)&gt;=helpsheet!$L$17,rate_vatRU_from_26,rate_vatRu_till_25),0),2)</f>
        <v/>
      </c>
      <c r="S1710" s="177">
        <f>Q1710+IF(AND(offer_incoterms="DDP",seller_region="RU"),R1710,0)</f>
        <v/>
      </c>
      <c r="T1710" s="45" t="n"/>
      <c r="V1710" s="57">
        <f>IF(Q1710&gt;0,"показать","скрыть")</f>
        <v/>
      </c>
    </row>
    <row r="1711" ht="15.75" customHeight="1">
      <c r="B1711" s="809" t="n">
        <v>1695</v>
      </c>
      <c r="C1711" s="182">
        <f>IF(offer_sale_type="транзит",IFERROR(VLOOKUP($B1711,calc_data,C$14+1,0),0),0)</f>
        <v/>
      </c>
      <c r="D1711" s="280">
        <f>IF(offer_sale_type="транзит",IFERROR(VLOOKUP($B1711,calc_data,D$14+1,0),0),0)</f>
        <v/>
      </c>
      <c r="E1711" s="182">
        <f>IF(offer_sale_type="транзит",IFERROR(VLOOKUP($B1711,calc_data,E$14+1,0),0),0)</f>
        <v/>
      </c>
      <c r="F1711" s="182">
        <f>IF(offer_sale_type="транзит",IFERROR(VLOOKUP($B1711,calc_data,F$14+1,0),0),0)</f>
        <v/>
      </c>
      <c r="G1711" s="141">
        <f>IF(offer_sale_type="транзит",IFERROR(VLOOKUP($B1711,calc_data,G$14+1,0),0),0)</f>
        <v/>
      </c>
      <c r="H1711" s="141">
        <f>E1711*G1711</f>
        <v/>
      </c>
      <c r="I1711" s="141">
        <f>IF(offer_sale_type="транзит",IFERROR(ROUND(VLOOKUP($B1711,calc_data,I$14+1,0),2),0),0)</f>
        <v/>
      </c>
      <c r="J1711" s="141">
        <f>ROUND(IF(offer_sale_type="транзит",IFERROR(VLOOKUP($B1711,calc_data,J$14+1,0),0),0),2)</f>
        <v/>
      </c>
      <c r="K1711" s="142">
        <f>IF(offer_sale_type="транзит",IFERROR(ROUNDUP(VLOOKUP($B1711,calc_data,K$14+1,0),2),0),0)</f>
        <v/>
      </c>
      <c r="L1711" s="184">
        <f>IF(offer_sale_type="транзит",IFERROR(ROUNDUP(VLOOKUP($B1711,calc_data,L$14+1,0),2),0),0)</f>
        <v/>
      </c>
      <c r="M1711" s="141">
        <f>IF(offer_sale_type="транзит",IFERROR(ROUNDUP(VLOOKUP($B1711,calc_data,M$14+1,0),2),0),0)</f>
        <v/>
      </c>
      <c r="N1711" s="141">
        <f>IF(offer_sale_type="транзит",IFERROR(ROUNDUP(VLOOKUP($B1711,calc_data,N$14+1,0),2),0),0)</f>
        <v/>
      </c>
      <c r="O1711" s="147">
        <f>IF(offer_sale_type="транзит",IFERROR(ROUND(VLOOKUP($B1711,calc_data,O$14+1,1),2),0),0)</f>
        <v/>
      </c>
      <c r="P1711" s="141">
        <f>IF(offer_sale_type="транзит",IFERROR(ROUND(SUM(I1711:J1711,M1711:O1711)/E1711,2),0),0)</f>
        <v/>
      </c>
      <c r="Q1711" s="141">
        <f>E1711*P1711</f>
        <v/>
      </c>
      <c r="R1711" s="141">
        <f>ROUND(Q1711*IF(AND(offer_incoterms="DDP",seller_region="RU"),IF((TODAY()+offer_turnaround_time)&gt;=helpsheet!$L$17,rate_vatRU_from_26,rate_vatRu_till_25),0),2)</f>
        <v/>
      </c>
      <c r="S1711" s="177">
        <f>Q1711+IF(AND(offer_incoterms="DDP",seller_region="RU"),R1711,0)</f>
        <v/>
      </c>
      <c r="T1711" s="45" t="n"/>
      <c r="V1711" s="57">
        <f>IF(Q1711&gt;0,"показать","скрыть")</f>
        <v/>
      </c>
    </row>
    <row r="1712" ht="15.75" customHeight="1">
      <c r="B1712" s="809" t="n">
        <v>1696</v>
      </c>
      <c r="C1712" s="182">
        <f>IF(offer_sale_type="транзит",IFERROR(VLOOKUP($B1712,calc_data,C$14+1,0),0),0)</f>
        <v/>
      </c>
      <c r="D1712" s="280">
        <f>IF(offer_sale_type="транзит",IFERROR(VLOOKUP($B1712,calc_data,D$14+1,0),0),0)</f>
        <v/>
      </c>
      <c r="E1712" s="182">
        <f>IF(offer_sale_type="транзит",IFERROR(VLOOKUP($B1712,calc_data,E$14+1,0),0),0)</f>
        <v/>
      </c>
      <c r="F1712" s="182">
        <f>IF(offer_sale_type="транзит",IFERROR(VLOOKUP($B1712,calc_data,F$14+1,0),0),0)</f>
        <v/>
      </c>
      <c r="G1712" s="141">
        <f>IF(offer_sale_type="транзит",IFERROR(VLOOKUP($B1712,calc_data,G$14+1,0),0),0)</f>
        <v/>
      </c>
      <c r="H1712" s="141">
        <f>E1712*G1712</f>
        <v/>
      </c>
      <c r="I1712" s="141">
        <f>IF(offer_sale_type="транзит",IFERROR(ROUND(VLOOKUP($B1712,calc_data,I$14+1,0),2),0),0)</f>
        <v/>
      </c>
      <c r="J1712" s="141">
        <f>ROUND(IF(offer_sale_type="транзит",IFERROR(VLOOKUP($B1712,calc_data,J$14+1,0),0),0),2)</f>
        <v/>
      </c>
      <c r="K1712" s="142">
        <f>IF(offer_sale_type="транзит",IFERROR(ROUNDUP(VLOOKUP($B1712,calc_data,K$14+1,0),2),0),0)</f>
        <v/>
      </c>
      <c r="L1712" s="184">
        <f>IF(offer_sale_type="транзит",IFERROR(ROUNDUP(VLOOKUP($B1712,calc_data,L$14+1,0),2),0),0)</f>
        <v/>
      </c>
      <c r="M1712" s="141">
        <f>IF(offer_sale_type="транзит",IFERROR(ROUNDUP(VLOOKUP($B1712,calc_data,M$14+1,0),2),0),0)</f>
        <v/>
      </c>
      <c r="N1712" s="141">
        <f>IF(offer_sale_type="транзит",IFERROR(ROUNDUP(VLOOKUP($B1712,calc_data,N$14+1,0),2),0),0)</f>
        <v/>
      </c>
      <c r="O1712" s="147">
        <f>IF(offer_sale_type="транзит",IFERROR(ROUND(VLOOKUP($B1712,calc_data,O$14+1,1),2),0),0)</f>
        <v/>
      </c>
      <c r="P1712" s="141">
        <f>IF(offer_sale_type="транзит",IFERROR(ROUND(SUM(I1712:J1712,M1712:O1712)/E1712,2),0),0)</f>
        <v/>
      </c>
      <c r="Q1712" s="141">
        <f>E1712*P1712</f>
        <v/>
      </c>
      <c r="R1712" s="141">
        <f>ROUND(Q1712*IF(AND(offer_incoterms="DDP",seller_region="RU"),IF((TODAY()+offer_turnaround_time)&gt;=helpsheet!$L$17,rate_vatRU_from_26,rate_vatRu_till_25),0),2)</f>
        <v/>
      </c>
      <c r="S1712" s="177">
        <f>Q1712+IF(AND(offer_incoterms="DDP",seller_region="RU"),R1712,0)</f>
        <v/>
      </c>
      <c r="T1712" s="45" t="n"/>
      <c r="V1712" s="57">
        <f>IF(Q1712&gt;0,"показать","скрыть")</f>
        <v/>
      </c>
    </row>
    <row r="1713" ht="15.75" customHeight="1">
      <c r="B1713" s="809" t="n">
        <v>1697</v>
      </c>
      <c r="C1713" s="182">
        <f>IF(offer_sale_type="транзит",IFERROR(VLOOKUP($B1713,calc_data,C$14+1,0),0),0)</f>
        <v/>
      </c>
      <c r="D1713" s="280">
        <f>IF(offer_sale_type="транзит",IFERROR(VLOOKUP($B1713,calc_data,D$14+1,0),0),0)</f>
        <v/>
      </c>
      <c r="E1713" s="182">
        <f>IF(offer_sale_type="транзит",IFERROR(VLOOKUP($B1713,calc_data,E$14+1,0),0),0)</f>
        <v/>
      </c>
      <c r="F1713" s="182">
        <f>IF(offer_sale_type="транзит",IFERROR(VLOOKUP($B1713,calc_data,F$14+1,0),0),0)</f>
        <v/>
      </c>
      <c r="G1713" s="141">
        <f>IF(offer_sale_type="транзит",IFERROR(VLOOKUP($B1713,calc_data,G$14+1,0),0),0)</f>
        <v/>
      </c>
      <c r="H1713" s="141">
        <f>E1713*G1713</f>
        <v/>
      </c>
      <c r="I1713" s="141">
        <f>IF(offer_sale_type="транзит",IFERROR(ROUND(VLOOKUP($B1713,calc_data,I$14+1,0),2),0),0)</f>
        <v/>
      </c>
      <c r="J1713" s="141">
        <f>ROUND(IF(offer_sale_type="транзит",IFERROR(VLOOKUP($B1713,calc_data,J$14+1,0),0),0),2)</f>
        <v/>
      </c>
      <c r="K1713" s="142">
        <f>IF(offer_sale_type="транзит",IFERROR(ROUNDUP(VLOOKUP($B1713,calc_data,K$14+1,0),2),0),0)</f>
        <v/>
      </c>
      <c r="L1713" s="184">
        <f>IF(offer_sale_type="транзит",IFERROR(ROUNDUP(VLOOKUP($B1713,calc_data,L$14+1,0),2),0),0)</f>
        <v/>
      </c>
      <c r="M1713" s="141">
        <f>IF(offer_sale_type="транзит",IFERROR(ROUNDUP(VLOOKUP($B1713,calc_data,M$14+1,0),2),0),0)</f>
        <v/>
      </c>
      <c r="N1713" s="141">
        <f>IF(offer_sale_type="транзит",IFERROR(ROUNDUP(VLOOKUP($B1713,calc_data,N$14+1,0),2),0),0)</f>
        <v/>
      </c>
      <c r="O1713" s="147">
        <f>IF(offer_sale_type="транзит",IFERROR(ROUND(VLOOKUP($B1713,calc_data,O$14+1,1),2),0),0)</f>
        <v/>
      </c>
      <c r="P1713" s="141">
        <f>IF(offer_sale_type="транзит",IFERROR(ROUND(SUM(I1713:J1713,M1713:O1713)/E1713,2),0),0)</f>
        <v/>
      </c>
      <c r="Q1713" s="141">
        <f>E1713*P1713</f>
        <v/>
      </c>
      <c r="R1713" s="141">
        <f>ROUND(Q1713*IF(AND(offer_incoterms="DDP",seller_region="RU"),IF((TODAY()+offer_turnaround_time)&gt;=helpsheet!$L$17,rate_vatRU_from_26,rate_vatRu_till_25),0),2)</f>
        <v/>
      </c>
      <c r="S1713" s="177">
        <f>Q1713+IF(AND(offer_incoterms="DDP",seller_region="RU"),R1713,0)</f>
        <v/>
      </c>
      <c r="T1713" s="45" t="n"/>
      <c r="V1713" s="57">
        <f>IF(Q1713&gt;0,"показать","скрыть")</f>
        <v/>
      </c>
    </row>
    <row r="1714" ht="15.75" customHeight="1">
      <c r="B1714" s="809" t="n">
        <v>1698</v>
      </c>
      <c r="C1714" s="182">
        <f>IF(offer_sale_type="транзит",IFERROR(VLOOKUP($B1714,calc_data,C$14+1,0),0),0)</f>
        <v/>
      </c>
      <c r="D1714" s="280">
        <f>IF(offer_sale_type="транзит",IFERROR(VLOOKUP($B1714,calc_data,D$14+1,0),0),0)</f>
        <v/>
      </c>
      <c r="E1714" s="182">
        <f>IF(offer_sale_type="транзит",IFERROR(VLOOKUP($B1714,calc_data,E$14+1,0),0),0)</f>
        <v/>
      </c>
      <c r="F1714" s="182">
        <f>IF(offer_sale_type="транзит",IFERROR(VLOOKUP($B1714,calc_data,F$14+1,0),0),0)</f>
        <v/>
      </c>
      <c r="G1714" s="141">
        <f>IF(offer_sale_type="транзит",IFERROR(VLOOKUP($B1714,calc_data,G$14+1,0),0),0)</f>
        <v/>
      </c>
      <c r="H1714" s="141">
        <f>E1714*G1714</f>
        <v/>
      </c>
      <c r="I1714" s="141">
        <f>IF(offer_sale_type="транзит",IFERROR(ROUND(VLOOKUP($B1714,calc_data,I$14+1,0),2),0),0)</f>
        <v/>
      </c>
      <c r="J1714" s="141">
        <f>ROUND(IF(offer_sale_type="транзит",IFERROR(VLOOKUP($B1714,calc_data,J$14+1,0),0),0),2)</f>
        <v/>
      </c>
      <c r="K1714" s="142">
        <f>IF(offer_sale_type="транзит",IFERROR(ROUNDUP(VLOOKUP($B1714,calc_data,K$14+1,0),2),0),0)</f>
        <v/>
      </c>
      <c r="L1714" s="184">
        <f>IF(offer_sale_type="транзит",IFERROR(ROUNDUP(VLOOKUP($B1714,calc_data,L$14+1,0),2),0),0)</f>
        <v/>
      </c>
      <c r="M1714" s="141">
        <f>IF(offer_sale_type="транзит",IFERROR(ROUNDUP(VLOOKUP($B1714,calc_data,M$14+1,0),2),0),0)</f>
        <v/>
      </c>
      <c r="N1714" s="141">
        <f>IF(offer_sale_type="транзит",IFERROR(ROUNDUP(VLOOKUP($B1714,calc_data,N$14+1,0),2),0),0)</f>
        <v/>
      </c>
      <c r="O1714" s="147">
        <f>IF(offer_sale_type="транзит",IFERROR(ROUND(VLOOKUP($B1714,calc_data,O$14+1,1),2),0),0)</f>
        <v/>
      </c>
      <c r="P1714" s="141">
        <f>IF(offer_sale_type="транзит",IFERROR(ROUND(SUM(I1714:J1714,M1714:O1714)/E1714,2),0),0)</f>
        <v/>
      </c>
      <c r="Q1714" s="141">
        <f>E1714*P1714</f>
        <v/>
      </c>
      <c r="R1714" s="141">
        <f>ROUND(Q1714*IF(AND(offer_incoterms="DDP",seller_region="RU"),IF((TODAY()+offer_turnaround_time)&gt;=helpsheet!$L$17,rate_vatRU_from_26,rate_vatRu_till_25),0),2)</f>
        <v/>
      </c>
      <c r="S1714" s="177">
        <f>Q1714+IF(AND(offer_incoterms="DDP",seller_region="RU"),R1714,0)</f>
        <v/>
      </c>
      <c r="T1714" s="45" t="n"/>
      <c r="V1714" s="57">
        <f>IF(Q1714&gt;0,"показать","скрыть")</f>
        <v/>
      </c>
    </row>
    <row r="1715" ht="15.75" customHeight="1">
      <c r="B1715" s="809" t="n">
        <v>1699</v>
      </c>
      <c r="C1715" s="182">
        <f>IF(offer_sale_type="транзит",IFERROR(VLOOKUP($B1715,calc_data,C$14+1,0),0),0)</f>
        <v/>
      </c>
      <c r="D1715" s="280">
        <f>IF(offer_sale_type="транзит",IFERROR(VLOOKUP($B1715,calc_data,D$14+1,0),0),0)</f>
        <v/>
      </c>
      <c r="E1715" s="182">
        <f>IF(offer_sale_type="транзит",IFERROR(VLOOKUP($B1715,calc_data,E$14+1,0),0),0)</f>
        <v/>
      </c>
      <c r="F1715" s="182">
        <f>IF(offer_sale_type="транзит",IFERROR(VLOOKUP($B1715,calc_data,F$14+1,0),0),0)</f>
        <v/>
      </c>
      <c r="G1715" s="141">
        <f>IF(offer_sale_type="транзит",IFERROR(VLOOKUP($B1715,calc_data,G$14+1,0),0),0)</f>
        <v/>
      </c>
      <c r="H1715" s="141">
        <f>E1715*G1715</f>
        <v/>
      </c>
      <c r="I1715" s="141">
        <f>IF(offer_sale_type="транзит",IFERROR(ROUND(VLOOKUP($B1715,calc_data,I$14+1,0),2),0),0)</f>
        <v/>
      </c>
      <c r="J1715" s="141">
        <f>ROUND(IF(offer_sale_type="транзит",IFERROR(VLOOKUP($B1715,calc_data,J$14+1,0),0),0),2)</f>
        <v/>
      </c>
      <c r="K1715" s="142">
        <f>IF(offer_sale_type="транзит",IFERROR(ROUNDUP(VLOOKUP($B1715,calc_data,K$14+1,0),2),0),0)</f>
        <v/>
      </c>
      <c r="L1715" s="184">
        <f>IF(offer_sale_type="транзит",IFERROR(ROUNDUP(VLOOKUP($B1715,calc_data,L$14+1,0),2),0),0)</f>
        <v/>
      </c>
      <c r="M1715" s="141">
        <f>IF(offer_sale_type="транзит",IFERROR(ROUNDUP(VLOOKUP($B1715,calc_data,M$14+1,0),2),0),0)</f>
        <v/>
      </c>
      <c r="N1715" s="141">
        <f>IF(offer_sale_type="транзит",IFERROR(ROUNDUP(VLOOKUP($B1715,calc_data,N$14+1,0),2),0),0)</f>
        <v/>
      </c>
      <c r="O1715" s="147">
        <f>IF(offer_sale_type="транзит",IFERROR(ROUND(VLOOKUP($B1715,calc_data,O$14+1,1),2),0),0)</f>
        <v/>
      </c>
      <c r="P1715" s="141">
        <f>IF(offer_sale_type="транзит",IFERROR(ROUND(SUM(I1715:J1715,M1715:O1715)/E1715,2),0),0)</f>
        <v/>
      </c>
      <c r="Q1715" s="141">
        <f>E1715*P1715</f>
        <v/>
      </c>
      <c r="R1715" s="141">
        <f>ROUND(Q1715*IF(AND(offer_incoterms="DDP",seller_region="RU"),IF((TODAY()+offer_turnaround_time)&gt;=helpsheet!$L$17,rate_vatRU_from_26,rate_vatRu_till_25),0),2)</f>
        <v/>
      </c>
      <c r="S1715" s="177">
        <f>Q1715+IF(AND(offer_incoterms="DDP",seller_region="RU"),R1715,0)</f>
        <v/>
      </c>
      <c r="T1715" s="45" t="n"/>
      <c r="V1715" s="57">
        <f>IF(Q1715&gt;0,"показать","скрыть")</f>
        <v/>
      </c>
    </row>
    <row r="1716" ht="15.75" customHeight="1">
      <c r="B1716" s="809" t="n">
        <v>1700</v>
      </c>
      <c r="C1716" s="182">
        <f>IF(offer_sale_type="транзит",IFERROR(VLOOKUP($B1716,calc_data,C$14+1,0),0),0)</f>
        <v/>
      </c>
      <c r="D1716" s="280">
        <f>IF(offer_sale_type="транзит",IFERROR(VLOOKUP($B1716,calc_data,D$14+1,0),0),0)</f>
        <v/>
      </c>
      <c r="E1716" s="182">
        <f>IF(offer_sale_type="транзит",IFERROR(VLOOKUP($B1716,calc_data,E$14+1,0),0),0)</f>
        <v/>
      </c>
      <c r="F1716" s="182">
        <f>IF(offer_sale_type="транзит",IFERROR(VLOOKUP($B1716,calc_data,F$14+1,0),0),0)</f>
        <v/>
      </c>
      <c r="G1716" s="141">
        <f>IF(offer_sale_type="транзит",IFERROR(VLOOKUP($B1716,calc_data,G$14+1,0),0),0)</f>
        <v/>
      </c>
      <c r="H1716" s="141">
        <f>E1716*G1716</f>
        <v/>
      </c>
      <c r="I1716" s="141">
        <f>IF(offer_sale_type="транзит",IFERROR(ROUND(VLOOKUP($B1716,calc_data,I$14+1,0),2),0),0)</f>
        <v/>
      </c>
      <c r="J1716" s="141">
        <f>ROUND(IF(offer_sale_type="транзит",IFERROR(VLOOKUP($B1716,calc_data,J$14+1,0),0),0),2)</f>
        <v/>
      </c>
      <c r="K1716" s="142">
        <f>IF(offer_sale_type="транзит",IFERROR(ROUNDUP(VLOOKUP($B1716,calc_data,K$14+1,0),2),0),0)</f>
        <v/>
      </c>
      <c r="L1716" s="184">
        <f>IF(offer_sale_type="транзит",IFERROR(ROUNDUP(VLOOKUP($B1716,calc_data,L$14+1,0),2),0),0)</f>
        <v/>
      </c>
      <c r="M1716" s="141">
        <f>IF(offer_sale_type="транзит",IFERROR(ROUNDUP(VLOOKUP($B1716,calc_data,M$14+1,0),2),0),0)</f>
        <v/>
      </c>
      <c r="N1716" s="141">
        <f>IF(offer_sale_type="транзит",IFERROR(ROUNDUP(VLOOKUP($B1716,calc_data,N$14+1,0),2),0),0)</f>
        <v/>
      </c>
      <c r="O1716" s="147">
        <f>IF(offer_sale_type="транзит",IFERROR(ROUND(VLOOKUP($B1716,calc_data,O$14+1,1),2),0),0)</f>
        <v/>
      </c>
      <c r="P1716" s="141">
        <f>IF(offer_sale_type="транзит",IFERROR(ROUND(SUM(I1716:J1716,M1716:O1716)/E1716,2),0),0)</f>
        <v/>
      </c>
      <c r="Q1716" s="141">
        <f>E1716*P1716</f>
        <v/>
      </c>
      <c r="R1716" s="141">
        <f>ROUND(Q1716*IF(AND(offer_incoterms="DDP",seller_region="RU"),IF((TODAY()+offer_turnaround_time)&gt;=helpsheet!$L$17,rate_vatRU_from_26,rate_vatRu_till_25),0),2)</f>
        <v/>
      </c>
      <c r="S1716" s="177">
        <f>Q1716+IF(AND(offer_incoterms="DDP",seller_region="RU"),R1716,0)</f>
        <v/>
      </c>
      <c r="T1716" s="45" t="n"/>
      <c r="V1716" s="57">
        <f>IF(Q1716&gt;0,"показать","скрыть")</f>
        <v/>
      </c>
    </row>
    <row r="1717" ht="15.75" customHeight="1">
      <c r="B1717" s="809" t="n">
        <v>1701</v>
      </c>
      <c r="C1717" s="182">
        <f>IF(offer_sale_type="транзит",IFERROR(VLOOKUP($B1717,calc_data,C$14+1,0),0),0)</f>
        <v/>
      </c>
      <c r="D1717" s="280">
        <f>IF(offer_sale_type="транзит",IFERROR(VLOOKUP($B1717,calc_data,D$14+1,0),0),0)</f>
        <v/>
      </c>
      <c r="E1717" s="182">
        <f>IF(offer_sale_type="транзит",IFERROR(VLOOKUP($B1717,calc_data,E$14+1,0),0),0)</f>
        <v/>
      </c>
      <c r="F1717" s="182">
        <f>IF(offer_sale_type="транзит",IFERROR(VLOOKUP($B1717,calc_data,F$14+1,0),0),0)</f>
        <v/>
      </c>
      <c r="G1717" s="141">
        <f>IF(offer_sale_type="транзит",IFERROR(VLOOKUP($B1717,calc_data,G$14+1,0),0),0)</f>
        <v/>
      </c>
      <c r="H1717" s="141">
        <f>E1717*G1717</f>
        <v/>
      </c>
      <c r="I1717" s="141">
        <f>IF(offer_sale_type="транзит",IFERROR(ROUND(VLOOKUP($B1717,calc_data,I$14+1,0),2),0),0)</f>
        <v/>
      </c>
      <c r="J1717" s="141">
        <f>ROUND(IF(offer_sale_type="транзит",IFERROR(VLOOKUP($B1717,calc_data,J$14+1,0),0),0),2)</f>
        <v/>
      </c>
      <c r="K1717" s="142">
        <f>IF(offer_sale_type="транзит",IFERROR(ROUNDUP(VLOOKUP($B1717,calc_data,K$14+1,0),2),0),0)</f>
        <v/>
      </c>
      <c r="L1717" s="184">
        <f>IF(offer_sale_type="транзит",IFERROR(ROUNDUP(VLOOKUP($B1717,calc_data,L$14+1,0),2),0),0)</f>
        <v/>
      </c>
      <c r="M1717" s="141">
        <f>IF(offer_sale_type="транзит",IFERROR(ROUNDUP(VLOOKUP($B1717,calc_data,M$14+1,0),2),0),0)</f>
        <v/>
      </c>
      <c r="N1717" s="141">
        <f>IF(offer_sale_type="транзит",IFERROR(ROUNDUP(VLOOKUP($B1717,calc_data,N$14+1,0),2),0),0)</f>
        <v/>
      </c>
      <c r="O1717" s="147">
        <f>IF(offer_sale_type="транзит",IFERROR(ROUND(VLOOKUP($B1717,calc_data,O$14+1,1),2),0),0)</f>
        <v/>
      </c>
      <c r="P1717" s="141">
        <f>IF(offer_sale_type="транзит",IFERROR(ROUND(SUM(I1717:J1717,M1717:O1717)/E1717,2),0),0)</f>
        <v/>
      </c>
      <c r="Q1717" s="141">
        <f>E1717*P1717</f>
        <v/>
      </c>
      <c r="R1717" s="141">
        <f>ROUND(Q1717*IF(AND(offer_incoterms="DDP",seller_region="RU"),IF((TODAY()+offer_turnaround_time)&gt;=helpsheet!$L$17,rate_vatRU_from_26,rate_vatRu_till_25),0),2)</f>
        <v/>
      </c>
      <c r="S1717" s="177">
        <f>Q1717+IF(AND(offer_incoterms="DDP",seller_region="RU"),R1717,0)</f>
        <v/>
      </c>
      <c r="T1717" s="45" t="n"/>
      <c r="V1717" s="57">
        <f>IF(Q1717&gt;0,"показать","скрыть")</f>
        <v/>
      </c>
    </row>
    <row r="1718" ht="15.75" customHeight="1">
      <c r="B1718" s="809" t="n">
        <v>1702</v>
      </c>
      <c r="C1718" s="182">
        <f>IF(offer_sale_type="транзит",IFERROR(VLOOKUP($B1718,calc_data,C$14+1,0),0),0)</f>
        <v/>
      </c>
      <c r="D1718" s="280">
        <f>IF(offer_sale_type="транзит",IFERROR(VLOOKUP($B1718,calc_data,D$14+1,0),0),0)</f>
        <v/>
      </c>
      <c r="E1718" s="182">
        <f>IF(offer_sale_type="транзит",IFERROR(VLOOKUP($B1718,calc_data,E$14+1,0),0),0)</f>
        <v/>
      </c>
      <c r="F1718" s="182">
        <f>IF(offer_sale_type="транзит",IFERROR(VLOOKUP($B1718,calc_data,F$14+1,0),0),0)</f>
        <v/>
      </c>
      <c r="G1718" s="141">
        <f>IF(offer_sale_type="транзит",IFERROR(VLOOKUP($B1718,calc_data,G$14+1,0),0),0)</f>
        <v/>
      </c>
      <c r="H1718" s="141">
        <f>E1718*G1718</f>
        <v/>
      </c>
      <c r="I1718" s="141">
        <f>IF(offer_sale_type="транзит",IFERROR(ROUND(VLOOKUP($B1718,calc_data,I$14+1,0),2),0),0)</f>
        <v/>
      </c>
      <c r="J1718" s="141">
        <f>ROUND(IF(offer_sale_type="транзит",IFERROR(VLOOKUP($B1718,calc_data,J$14+1,0),0),0),2)</f>
        <v/>
      </c>
      <c r="K1718" s="142">
        <f>IF(offer_sale_type="транзит",IFERROR(ROUNDUP(VLOOKUP($B1718,calc_data,K$14+1,0),2),0),0)</f>
        <v/>
      </c>
      <c r="L1718" s="184">
        <f>IF(offer_sale_type="транзит",IFERROR(ROUNDUP(VLOOKUP($B1718,calc_data,L$14+1,0),2),0),0)</f>
        <v/>
      </c>
      <c r="M1718" s="141">
        <f>IF(offer_sale_type="транзит",IFERROR(ROUNDUP(VLOOKUP($B1718,calc_data,M$14+1,0),2),0),0)</f>
        <v/>
      </c>
      <c r="N1718" s="141">
        <f>IF(offer_sale_type="транзит",IFERROR(ROUNDUP(VLOOKUP($B1718,calc_data,N$14+1,0),2),0),0)</f>
        <v/>
      </c>
      <c r="O1718" s="147">
        <f>IF(offer_sale_type="транзит",IFERROR(ROUND(VLOOKUP($B1718,calc_data,O$14+1,1),2),0),0)</f>
        <v/>
      </c>
      <c r="P1718" s="141">
        <f>IF(offer_sale_type="транзит",IFERROR(ROUND(SUM(I1718:J1718,M1718:O1718)/E1718,2),0),0)</f>
        <v/>
      </c>
      <c r="Q1718" s="141">
        <f>E1718*P1718</f>
        <v/>
      </c>
      <c r="R1718" s="141">
        <f>ROUND(Q1718*IF(AND(offer_incoterms="DDP",seller_region="RU"),IF((TODAY()+offer_turnaround_time)&gt;=helpsheet!$L$17,rate_vatRU_from_26,rate_vatRu_till_25),0),2)</f>
        <v/>
      </c>
      <c r="S1718" s="177">
        <f>Q1718+IF(AND(offer_incoterms="DDP",seller_region="RU"),R1718,0)</f>
        <v/>
      </c>
      <c r="T1718" s="45" t="n"/>
      <c r="V1718" s="57">
        <f>IF(Q1718&gt;0,"показать","скрыть")</f>
        <v/>
      </c>
    </row>
    <row r="1719" ht="15.75" customHeight="1">
      <c r="B1719" s="809" t="n">
        <v>1703</v>
      </c>
      <c r="C1719" s="182">
        <f>IF(offer_sale_type="транзит",IFERROR(VLOOKUP($B1719,calc_data,C$14+1,0),0),0)</f>
        <v/>
      </c>
      <c r="D1719" s="280">
        <f>IF(offer_sale_type="транзит",IFERROR(VLOOKUP($B1719,calc_data,D$14+1,0),0),0)</f>
        <v/>
      </c>
      <c r="E1719" s="182">
        <f>IF(offer_sale_type="транзит",IFERROR(VLOOKUP($B1719,calc_data,E$14+1,0),0),0)</f>
        <v/>
      </c>
      <c r="F1719" s="182">
        <f>IF(offer_sale_type="транзит",IFERROR(VLOOKUP($B1719,calc_data,F$14+1,0),0),0)</f>
        <v/>
      </c>
      <c r="G1719" s="141">
        <f>IF(offer_sale_type="транзит",IFERROR(VLOOKUP($B1719,calc_data,G$14+1,0),0),0)</f>
        <v/>
      </c>
      <c r="H1719" s="141">
        <f>E1719*G1719</f>
        <v/>
      </c>
      <c r="I1719" s="141">
        <f>IF(offer_sale_type="транзит",IFERROR(ROUND(VLOOKUP($B1719,calc_data,I$14+1,0),2),0),0)</f>
        <v/>
      </c>
      <c r="J1719" s="141">
        <f>ROUND(IF(offer_sale_type="транзит",IFERROR(VLOOKUP($B1719,calc_data,J$14+1,0),0),0),2)</f>
        <v/>
      </c>
      <c r="K1719" s="142">
        <f>IF(offer_sale_type="транзит",IFERROR(ROUNDUP(VLOOKUP($B1719,calc_data,K$14+1,0),2),0),0)</f>
        <v/>
      </c>
      <c r="L1719" s="184">
        <f>IF(offer_sale_type="транзит",IFERROR(ROUNDUP(VLOOKUP($B1719,calc_data,L$14+1,0),2),0),0)</f>
        <v/>
      </c>
      <c r="M1719" s="141">
        <f>IF(offer_sale_type="транзит",IFERROR(ROUNDUP(VLOOKUP($B1719,calc_data,M$14+1,0),2),0),0)</f>
        <v/>
      </c>
      <c r="N1719" s="141">
        <f>IF(offer_sale_type="транзит",IFERROR(ROUNDUP(VLOOKUP($B1719,calc_data,N$14+1,0),2),0),0)</f>
        <v/>
      </c>
      <c r="O1719" s="147">
        <f>IF(offer_sale_type="транзит",IFERROR(ROUND(VLOOKUP($B1719,calc_data,O$14+1,1),2),0),0)</f>
        <v/>
      </c>
      <c r="P1719" s="141">
        <f>IF(offer_sale_type="транзит",IFERROR(ROUND(SUM(I1719:J1719,M1719:O1719)/E1719,2),0),0)</f>
        <v/>
      </c>
      <c r="Q1719" s="141">
        <f>E1719*P1719</f>
        <v/>
      </c>
      <c r="R1719" s="141">
        <f>ROUND(Q1719*IF(AND(offer_incoterms="DDP",seller_region="RU"),IF((TODAY()+offer_turnaround_time)&gt;=helpsheet!$L$17,rate_vatRU_from_26,rate_vatRu_till_25),0),2)</f>
        <v/>
      </c>
      <c r="S1719" s="177">
        <f>Q1719+IF(AND(offer_incoterms="DDP",seller_region="RU"),R1719,0)</f>
        <v/>
      </c>
      <c r="T1719" s="45" t="n"/>
      <c r="V1719" s="57">
        <f>IF(Q1719&gt;0,"показать","скрыть")</f>
        <v/>
      </c>
    </row>
    <row r="1720" ht="15.75" customHeight="1">
      <c r="B1720" s="809" t="n">
        <v>1704</v>
      </c>
      <c r="C1720" s="182">
        <f>IF(offer_sale_type="транзит",IFERROR(VLOOKUP($B1720,calc_data,C$14+1,0),0),0)</f>
        <v/>
      </c>
      <c r="D1720" s="280">
        <f>IF(offer_sale_type="транзит",IFERROR(VLOOKUP($B1720,calc_data,D$14+1,0),0),0)</f>
        <v/>
      </c>
      <c r="E1720" s="182">
        <f>IF(offer_sale_type="транзит",IFERROR(VLOOKUP($B1720,calc_data,E$14+1,0),0),0)</f>
        <v/>
      </c>
      <c r="F1720" s="182">
        <f>IF(offer_sale_type="транзит",IFERROR(VLOOKUP($B1720,calc_data,F$14+1,0),0),0)</f>
        <v/>
      </c>
      <c r="G1720" s="141">
        <f>IF(offer_sale_type="транзит",IFERROR(VLOOKUP($B1720,calc_data,G$14+1,0),0),0)</f>
        <v/>
      </c>
      <c r="H1720" s="141">
        <f>E1720*G1720</f>
        <v/>
      </c>
      <c r="I1720" s="141">
        <f>IF(offer_sale_type="транзит",IFERROR(ROUND(VLOOKUP($B1720,calc_data,I$14+1,0),2),0),0)</f>
        <v/>
      </c>
      <c r="J1720" s="141">
        <f>ROUND(IF(offer_sale_type="транзит",IFERROR(VLOOKUP($B1720,calc_data,J$14+1,0),0),0),2)</f>
        <v/>
      </c>
      <c r="K1720" s="142">
        <f>IF(offer_sale_type="транзит",IFERROR(ROUNDUP(VLOOKUP($B1720,calc_data,K$14+1,0),2),0),0)</f>
        <v/>
      </c>
      <c r="L1720" s="184">
        <f>IF(offer_sale_type="транзит",IFERROR(ROUNDUP(VLOOKUP($B1720,calc_data,L$14+1,0),2),0),0)</f>
        <v/>
      </c>
      <c r="M1720" s="141">
        <f>IF(offer_sale_type="транзит",IFERROR(ROUNDUP(VLOOKUP($B1720,calc_data,M$14+1,0),2),0),0)</f>
        <v/>
      </c>
      <c r="N1720" s="141">
        <f>IF(offer_sale_type="транзит",IFERROR(ROUNDUP(VLOOKUP($B1720,calc_data,N$14+1,0),2),0),0)</f>
        <v/>
      </c>
      <c r="O1720" s="147">
        <f>IF(offer_sale_type="транзит",IFERROR(ROUND(VLOOKUP($B1720,calc_data,O$14+1,1),2),0),0)</f>
        <v/>
      </c>
      <c r="P1720" s="141">
        <f>IF(offer_sale_type="транзит",IFERROR(ROUND(SUM(I1720:J1720,M1720:O1720)/E1720,2),0),0)</f>
        <v/>
      </c>
      <c r="Q1720" s="141">
        <f>E1720*P1720</f>
        <v/>
      </c>
      <c r="R1720" s="141">
        <f>ROUND(Q1720*IF(AND(offer_incoterms="DDP",seller_region="RU"),IF((TODAY()+offer_turnaround_time)&gt;=helpsheet!$L$17,rate_vatRU_from_26,rate_vatRu_till_25),0),2)</f>
        <v/>
      </c>
      <c r="S1720" s="177">
        <f>Q1720+IF(AND(offer_incoterms="DDP",seller_region="RU"),R1720,0)</f>
        <v/>
      </c>
      <c r="T1720" s="45" t="n"/>
      <c r="V1720" s="57">
        <f>IF(Q1720&gt;0,"показать","скрыть")</f>
        <v/>
      </c>
    </row>
    <row r="1721" ht="15.75" customHeight="1">
      <c r="B1721" s="809" t="n">
        <v>1705</v>
      </c>
      <c r="C1721" s="182">
        <f>IF(offer_sale_type="транзит",IFERROR(VLOOKUP($B1721,calc_data,C$14+1,0),0),0)</f>
        <v/>
      </c>
      <c r="D1721" s="280">
        <f>IF(offer_sale_type="транзит",IFERROR(VLOOKUP($B1721,calc_data,D$14+1,0),0),0)</f>
        <v/>
      </c>
      <c r="E1721" s="182">
        <f>IF(offer_sale_type="транзит",IFERROR(VLOOKUP($B1721,calc_data,E$14+1,0),0),0)</f>
        <v/>
      </c>
      <c r="F1721" s="182">
        <f>IF(offer_sale_type="транзит",IFERROR(VLOOKUP($B1721,calc_data,F$14+1,0),0),0)</f>
        <v/>
      </c>
      <c r="G1721" s="141">
        <f>IF(offer_sale_type="транзит",IFERROR(VLOOKUP($B1721,calc_data,G$14+1,0),0),0)</f>
        <v/>
      </c>
      <c r="H1721" s="141">
        <f>E1721*G1721</f>
        <v/>
      </c>
      <c r="I1721" s="141">
        <f>IF(offer_sale_type="транзит",IFERROR(ROUND(VLOOKUP($B1721,calc_data,I$14+1,0),2),0),0)</f>
        <v/>
      </c>
      <c r="J1721" s="141">
        <f>ROUND(IF(offer_sale_type="транзит",IFERROR(VLOOKUP($B1721,calc_data,J$14+1,0),0),0),2)</f>
        <v/>
      </c>
      <c r="K1721" s="142">
        <f>IF(offer_sale_type="транзит",IFERROR(ROUNDUP(VLOOKUP($B1721,calc_data,K$14+1,0),2),0),0)</f>
        <v/>
      </c>
      <c r="L1721" s="184">
        <f>IF(offer_sale_type="транзит",IFERROR(ROUNDUP(VLOOKUP($B1721,calc_data,L$14+1,0),2),0),0)</f>
        <v/>
      </c>
      <c r="M1721" s="141">
        <f>IF(offer_sale_type="транзит",IFERROR(ROUNDUP(VLOOKUP($B1721,calc_data,M$14+1,0),2),0),0)</f>
        <v/>
      </c>
      <c r="N1721" s="141">
        <f>IF(offer_sale_type="транзит",IFERROR(ROUNDUP(VLOOKUP($B1721,calc_data,N$14+1,0),2),0),0)</f>
        <v/>
      </c>
      <c r="O1721" s="147">
        <f>IF(offer_sale_type="транзит",IFERROR(ROUND(VLOOKUP($B1721,calc_data,O$14+1,1),2),0),0)</f>
        <v/>
      </c>
      <c r="P1721" s="141">
        <f>IF(offer_sale_type="транзит",IFERROR(ROUND(SUM(I1721:J1721,M1721:O1721)/E1721,2),0),0)</f>
        <v/>
      </c>
      <c r="Q1721" s="141">
        <f>E1721*P1721</f>
        <v/>
      </c>
      <c r="R1721" s="141">
        <f>ROUND(Q1721*IF(AND(offer_incoterms="DDP",seller_region="RU"),IF((TODAY()+offer_turnaround_time)&gt;=helpsheet!$L$17,rate_vatRU_from_26,rate_vatRu_till_25),0),2)</f>
        <v/>
      </c>
      <c r="S1721" s="177">
        <f>Q1721+IF(AND(offer_incoterms="DDP",seller_region="RU"),R1721,0)</f>
        <v/>
      </c>
      <c r="T1721" s="45" t="n"/>
      <c r="V1721" s="57">
        <f>IF(Q1721&gt;0,"показать","скрыть")</f>
        <v/>
      </c>
    </row>
    <row r="1722" ht="15.75" customHeight="1">
      <c r="B1722" s="809" t="n">
        <v>1706</v>
      </c>
      <c r="C1722" s="182">
        <f>IF(offer_sale_type="транзит",IFERROR(VLOOKUP($B1722,calc_data,C$14+1,0),0),0)</f>
        <v/>
      </c>
      <c r="D1722" s="280">
        <f>IF(offer_sale_type="транзит",IFERROR(VLOOKUP($B1722,calc_data,D$14+1,0),0),0)</f>
        <v/>
      </c>
      <c r="E1722" s="182">
        <f>IF(offer_sale_type="транзит",IFERROR(VLOOKUP($B1722,calc_data,E$14+1,0),0),0)</f>
        <v/>
      </c>
      <c r="F1722" s="182">
        <f>IF(offer_sale_type="транзит",IFERROR(VLOOKUP($B1722,calc_data,F$14+1,0),0),0)</f>
        <v/>
      </c>
      <c r="G1722" s="141">
        <f>IF(offer_sale_type="транзит",IFERROR(VLOOKUP($B1722,calc_data,G$14+1,0),0),0)</f>
        <v/>
      </c>
      <c r="H1722" s="141">
        <f>E1722*G1722</f>
        <v/>
      </c>
      <c r="I1722" s="141">
        <f>IF(offer_sale_type="транзит",IFERROR(ROUND(VLOOKUP($B1722,calc_data,I$14+1,0),2),0),0)</f>
        <v/>
      </c>
      <c r="J1722" s="141">
        <f>ROUND(IF(offer_sale_type="транзит",IFERROR(VLOOKUP($B1722,calc_data,J$14+1,0),0),0),2)</f>
        <v/>
      </c>
      <c r="K1722" s="142">
        <f>IF(offer_sale_type="транзит",IFERROR(ROUNDUP(VLOOKUP($B1722,calc_data,K$14+1,0),2),0),0)</f>
        <v/>
      </c>
      <c r="L1722" s="184">
        <f>IF(offer_sale_type="транзит",IFERROR(ROUNDUP(VLOOKUP($B1722,calc_data,L$14+1,0),2),0),0)</f>
        <v/>
      </c>
      <c r="M1722" s="141">
        <f>IF(offer_sale_type="транзит",IFERROR(ROUNDUP(VLOOKUP($B1722,calc_data,M$14+1,0),2),0),0)</f>
        <v/>
      </c>
      <c r="N1722" s="141">
        <f>IF(offer_sale_type="транзит",IFERROR(ROUNDUP(VLOOKUP($B1722,calc_data,N$14+1,0),2),0),0)</f>
        <v/>
      </c>
      <c r="O1722" s="147">
        <f>IF(offer_sale_type="транзит",IFERROR(ROUND(VLOOKUP($B1722,calc_data,O$14+1,1),2),0),0)</f>
        <v/>
      </c>
      <c r="P1722" s="141">
        <f>IF(offer_sale_type="транзит",IFERROR(ROUND(SUM(I1722:J1722,M1722:O1722)/E1722,2),0),0)</f>
        <v/>
      </c>
      <c r="Q1722" s="141">
        <f>E1722*P1722</f>
        <v/>
      </c>
      <c r="R1722" s="141">
        <f>ROUND(Q1722*IF(AND(offer_incoterms="DDP",seller_region="RU"),IF((TODAY()+offer_turnaround_time)&gt;=helpsheet!$L$17,rate_vatRU_from_26,rate_vatRu_till_25),0),2)</f>
        <v/>
      </c>
      <c r="S1722" s="177">
        <f>Q1722+IF(AND(offer_incoterms="DDP",seller_region="RU"),R1722,0)</f>
        <v/>
      </c>
      <c r="T1722" s="45" t="n"/>
      <c r="V1722" s="57">
        <f>IF(Q1722&gt;0,"показать","скрыть")</f>
        <v/>
      </c>
    </row>
    <row r="1723" ht="15.75" customHeight="1">
      <c r="B1723" s="809" t="n">
        <v>1707</v>
      </c>
      <c r="C1723" s="182">
        <f>IF(offer_sale_type="транзит",IFERROR(VLOOKUP($B1723,calc_data,C$14+1,0),0),0)</f>
        <v/>
      </c>
      <c r="D1723" s="280">
        <f>IF(offer_sale_type="транзит",IFERROR(VLOOKUP($B1723,calc_data,D$14+1,0),0),0)</f>
        <v/>
      </c>
      <c r="E1723" s="182">
        <f>IF(offer_sale_type="транзит",IFERROR(VLOOKUP($B1723,calc_data,E$14+1,0),0),0)</f>
        <v/>
      </c>
      <c r="F1723" s="182">
        <f>IF(offer_sale_type="транзит",IFERROR(VLOOKUP($B1723,calc_data,F$14+1,0),0),0)</f>
        <v/>
      </c>
      <c r="G1723" s="141">
        <f>IF(offer_sale_type="транзит",IFERROR(VLOOKUP($B1723,calc_data,G$14+1,0),0),0)</f>
        <v/>
      </c>
      <c r="H1723" s="141">
        <f>E1723*G1723</f>
        <v/>
      </c>
      <c r="I1723" s="141">
        <f>IF(offer_sale_type="транзит",IFERROR(ROUND(VLOOKUP($B1723,calc_data,I$14+1,0),2),0),0)</f>
        <v/>
      </c>
      <c r="J1723" s="141">
        <f>ROUND(IF(offer_sale_type="транзит",IFERROR(VLOOKUP($B1723,calc_data,J$14+1,0),0),0),2)</f>
        <v/>
      </c>
      <c r="K1723" s="142">
        <f>IF(offer_sale_type="транзит",IFERROR(ROUNDUP(VLOOKUP($B1723,calc_data,K$14+1,0),2),0),0)</f>
        <v/>
      </c>
      <c r="L1723" s="184">
        <f>IF(offer_sale_type="транзит",IFERROR(ROUNDUP(VLOOKUP($B1723,calc_data,L$14+1,0),2),0),0)</f>
        <v/>
      </c>
      <c r="M1723" s="141">
        <f>IF(offer_sale_type="транзит",IFERROR(ROUNDUP(VLOOKUP($B1723,calc_data,M$14+1,0),2),0),0)</f>
        <v/>
      </c>
      <c r="N1723" s="141">
        <f>IF(offer_sale_type="транзит",IFERROR(ROUNDUP(VLOOKUP($B1723,calc_data,N$14+1,0),2),0),0)</f>
        <v/>
      </c>
      <c r="O1723" s="147">
        <f>IF(offer_sale_type="транзит",IFERROR(ROUND(VLOOKUP($B1723,calc_data,O$14+1,1),2),0),0)</f>
        <v/>
      </c>
      <c r="P1723" s="141">
        <f>IF(offer_sale_type="транзит",IFERROR(ROUND(SUM(I1723:J1723,M1723:O1723)/E1723,2),0),0)</f>
        <v/>
      </c>
      <c r="Q1723" s="141">
        <f>E1723*P1723</f>
        <v/>
      </c>
      <c r="R1723" s="141">
        <f>ROUND(Q1723*IF(AND(offer_incoterms="DDP",seller_region="RU"),IF((TODAY()+offer_turnaround_time)&gt;=helpsheet!$L$17,rate_vatRU_from_26,rate_vatRu_till_25),0),2)</f>
        <v/>
      </c>
      <c r="S1723" s="177">
        <f>Q1723+IF(AND(offer_incoterms="DDP",seller_region="RU"),R1723,0)</f>
        <v/>
      </c>
      <c r="T1723" s="45" t="n"/>
      <c r="V1723" s="57">
        <f>IF(Q1723&gt;0,"показать","скрыть")</f>
        <v/>
      </c>
    </row>
    <row r="1724" ht="15.75" customHeight="1">
      <c r="B1724" s="809" t="n">
        <v>1708</v>
      </c>
      <c r="C1724" s="182">
        <f>IF(offer_sale_type="транзит",IFERROR(VLOOKUP($B1724,calc_data,C$14+1,0),0),0)</f>
        <v/>
      </c>
      <c r="D1724" s="280">
        <f>IF(offer_sale_type="транзит",IFERROR(VLOOKUP($B1724,calc_data,D$14+1,0),0),0)</f>
        <v/>
      </c>
      <c r="E1724" s="182">
        <f>IF(offer_sale_type="транзит",IFERROR(VLOOKUP($B1724,calc_data,E$14+1,0),0),0)</f>
        <v/>
      </c>
      <c r="F1724" s="182">
        <f>IF(offer_sale_type="транзит",IFERROR(VLOOKUP($B1724,calc_data,F$14+1,0),0),0)</f>
        <v/>
      </c>
      <c r="G1724" s="141">
        <f>IF(offer_sale_type="транзит",IFERROR(VLOOKUP($B1724,calc_data,G$14+1,0),0),0)</f>
        <v/>
      </c>
      <c r="H1724" s="141">
        <f>E1724*G1724</f>
        <v/>
      </c>
      <c r="I1724" s="141">
        <f>IF(offer_sale_type="транзит",IFERROR(ROUND(VLOOKUP($B1724,calc_data,I$14+1,0),2),0),0)</f>
        <v/>
      </c>
      <c r="J1724" s="141">
        <f>ROUND(IF(offer_sale_type="транзит",IFERROR(VLOOKUP($B1724,calc_data,J$14+1,0),0),0),2)</f>
        <v/>
      </c>
      <c r="K1724" s="142">
        <f>IF(offer_sale_type="транзит",IFERROR(ROUNDUP(VLOOKUP($B1724,calc_data,K$14+1,0),2),0),0)</f>
        <v/>
      </c>
      <c r="L1724" s="184">
        <f>IF(offer_sale_type="транзит",IFERROR(ROUNDUP(VLOOKUP($B1724,calc_data,L$14+1,0),2),0),0)</f>
        <v/>
      </c>
      <c r="M1724" s="141">
        <f>IF(offer_sale_type="транзит",IFERROR(ROUNDUP(VLOOKUP($B1724,calc_data,M$14+1,0),2),0),0)</f>
        <v/>
      </c>
      <c r="N1724" s="141">
        <f>IF(offer_sale_type="транзит",IFERROR(ROUNDUP(VLOOKUP($B1724,calc_data,N$14+1,0),2),0),0)</f>
        <v/>
      </c>
      <c r="O1724" s="147">
        <f>IF(offer_sale_type="транзит",IFERROR(ROUND(VLOOKUP($B1724,calc_data,O$14+1,1),2),0),0)</f>
        <v/>
      </c>
      <c r="P1724" s="141">
        <f>IF(offer_sale_type="транзит",IFERROR(ROUND(SUM(I1724:J1724,M1724:O1724)/E1724,2),0),0)</f>
        <v/>
      </c>
      <c r="Q1724" s="141">
        <f>E1724*P1724</f>
        <v/>
      </c>
      <c r="R1724" s="141">
        <f>ROUND(Q1724*IF(AND(offer_incoterms="DDP",seller_region="RU"),IF((TODAY()+offer_turnaround_time)&gt;=helpsheet!$L$17,rate_vatRU_from_26,rate_vatRu_till_25),0),2)</f>
        <v/>
      </c>
      <c r="S1724" s="177">
        <f>Q1724+IF(AND(offer_incoterms="DDP",seller_region="RU"),R1724,0)</f>
        <v/>
      </c>
      <c r="T1724" s="45" t="n"/>
      <c r="V1724" s="57">
        <f>IF(Q1724&gt;0,"показать","скрыть")</f>
        <v/>
      </c>
    </row>
    <row r="1725" ht="15.75" customHeight="1">
      <c r="B1725" s="809" t="n">
        <v>1709</v>
      </c>
      <c r="C1725" s="182">
        <f>IF(offer_sale_type="транзит",IFERROR(VLOOKUP($B1725,calc_data,C$14+1,0),0),0)</f>
        <v/>
      </c>
      <c r="D1725" s="280">
        <f>IF(offer_sale_type="транзит",IFERROR(VLOOKUP($B1725,calc_data,D$14+1,0),0),0)</f>
        <v/>
      </c>
      <c r="E1725" s="182">
        <f>IF(offer_sale_type="транзит",IFERROR(VLOOKUP($B1725,calc_data,E$14+1,0),0),0)</f>
        <v/>
      </c>
      <c r="F1725" s="182">
        <f>IF(offer_sale_type="транзит",IFERROR(VLOOKUP($B1725,calc_data,F$14+1,0),0),0)</f>
        <v/>
      </c>
      <c r="G1725" s="141">
        <f>IF(offer_sale_type="транзит",IFERROR(VLOOKUP($B1725,calc_data,G$14+1,0),0),0)</f>
        <v/>
      </c>
      <c r="H1725" s="141">
        <f>E1725*G1725</f>
        <v/>
      </c>
      <c r="I1725" s="141">
        <f>IF(offer_sale_type="транзит",IFERROR(ROUND(VLOOKUP($B1725,calc_data,I$14+1,0),2),0),0)</f>
        <v/>
      </c>
      <c r="J1725" s="141">
        <f>ROUND(IF(offer_sale_type="транзит",IFERROR(VLOOKUP($B1725,calc_data,J$14+1,0),0),0),2)</f>
        <v/>
      </c>
      <c r="K1725" s="142">
        <f>IF(offer_sale_type="транзит",IFERROR(ROUNDUP(VLOOKUP($B1725,calc_data,K$14+1,0),2),0),0)</f>
        <v/>
      </c>
      <c r="L1725" s="184">
        <f>IF(offer_sale_type="транзит",IFERROR(ROUNDUP(VLOOKUP($B1725,calc_data,L$14+1,0),2),0),0)</f>
        <v/>
      </c>
      <c r="M1725" s="141">
        <f>IF(offer_sale_type="транзит",IFERROR(ROUNDUP(VLOOKUP($B1725,calc_data,M$14+1,0),2),0),0)</f>
        <v/>
      </c>
      <c r="N1725" s="141">
        <f>IF(offer_sale_type="транзит",IFERROR(ROUNDUP(VLOOKUP($B1725,calc_data,N$14+1,0),2),0),0)</f>
        <v/>
      </c>
      <c r="O1725" s="147">
        <f>IF(offer_sale_type="транзит",IFERROR(ROUND(VLOOKUP($B1725,calc_data,O$14+1,1),2),0),0)</f>
        <v/>
      </c>
      <c r="P1725" s="141">
        <f>IF(offer_sale_type="транзит",IFERROR(ROUND(SUM(I1725:J1725,M1725:O1725)/E1725,2),0),0)</f>
        <v/>
      </c>
      <c r="Q1725" s="141">
        <f>E1725*P1725</f>
        <v/>
      </c>
      <c r="R1725" s="141">
        <f>ROUND(Q1725*IF(AND(offer_incoterms="DDP",seller_region="RU"),IF((TODAY()+offer_turnaround_time)&gt;=helpsheet!$L$17,rate_vatRU_from_26,rate_vatRu_till_25),0),2)</f>
        <v/>
      </c>
      <c r="S1725" s="177">
        <f>Q1725+IF(AND(offer_incoterms="DDP",seller_region="RU"),R1725,0)</f>
        <v/>
      </c>
      <c r="T1725" s="45" t="n"/>
      <c r="V1725" s="57">
        <f>IF(Q1725&gt;0,"показать","скрыть")</f>
        <v/>
      </c>
    </row>
    <row r="1726" ht="15.75" customHeight="1">
      <c r="B1726" s="809" t="n">
        <v>1710</v>
      </c>
      <c r="C1726" s="182">
        <f>IF(offer_sale_type="транзит",IFERROR(VLOOKUP($B1726,calc_data,C$14+1,0),0),0)</f>
        <v/>
      </c>
      <c r="D1726" s="280">
        <f>IF(offer_sale_type="транзит",IFERROR(VLOOKUP($B1726,calc_data,D$14+1,0),0),0)</f>
        <v/>
      </c>
      <c r="E1726" s="182">
        <f>IF(offer_sale_type="транзит",IFERROR(VLOOKUP($B1726,calc_data,E$14+1,0),0),0)</f>
        <v/>
      </c>
      <c r="F1726" s="182">
        <f>IF(offer_sale_type="транзит",IFERROR(VLOOKUP($B1726,calc_data,F$14+1,0),0),0)</f>
        <v/>
      </c>
      <c r="G1726" s="141">
        <f>IF(offer_sale_type="транзит",IFERROR(VLOOKUP($B1726,calc_data,G$14+1,0),0),0)</f>
        <v/>
      </c>
      <c r="H1726" s="141">
        <f>E1726*G1726</f>
        <v/>
      </c>
      <c r="I1726" s="141">
        <f>IF(offer_sale_type="транзит",IFERROR(ROUND(VLOOKUP($B1726,calc_data,I$14+1,0),2),0),0)</f>
        <v/>
      </c>
      <c r="J1726" s="141">
        <f>ROUND(IF(offer_sale_type="транзит",IFERROR(VLOOKUP($B1726,calc_data,J$14+1,0),0),0),2)</f>
        <v/>
      </c>
      <c r="K1726" s="142">
        <f>IF(offer_sale_type="транзит",IFERROR(ROUNDUP(VLOOKUP($B1726,calc_data,K$14+1,0),2),0),0)</f>
        <v/>
      </c>
      <c r="L1726" s="184">
        <f>IF(offer_sale_type="транзит",IFERROR(ROUNDUP(VLOOKUP($B1726,calc_data,L$14+1,0),2),0),0)</f>
        <v/>
      </c>
      <c r="M1726" s="141">
        <f>IF(offer_sale_type="транзит",IFERROR(ROUNDUP(VLOOKUP($B1726,calc_data,M$14+1,0),2),0),0)</f>
        <v/>
      </c>
      <c r="N1726" s="141">
        <f>IF(offer_sale_type="транзит",IFERROR(ROUNDUP(VLOOKUP($B1726,calc_data,N$14+1,0),2),0),0)</f>
        <v/>
      </c>
      <c r="O1726" s="147">
        <f>IF(offer_sale_type="транзит",IFERROR(ROUND(VLOOKUP($B1726,calc_data,O$14+1,1),2),0),0)</f>
        <v/>
      </c>
      <c r="P1726" s="141">
        <f>IF(offer_sale_type="транзит",IFERROR(ROUND(SUM(I1726:J1726,M1726:O1726)/E1726,2),0),0)</f>
        <v/>
      </c>
      <c r="Q1726" s="141">
        <f>E1726*P1726</f>
        <v/>
      </c>
      <c r="R1726" s="141">
        <f>ROUND(Q1726*IF(AND(offer_incoterms="DDP",seller_region="RU"),IF((TODAY()+offer_turnaround_time)&gt;=helpsheet!$L$17,rate_vatRU_from_26,rate_vatRu_till_25),0),2)</f>
        <v/>
      </c>
      <c r="S1726" s="177">
        <f>Q1726+IF(AND(offer_incoterms="DDP",seller_region="RU"),R1726,0)</f>
        <v/>
      </c>
      <c r="T1726" s="45" t="n"/>
      <c r="V1726" s="57">
        <f>IF(Q1726&gt;0,"показать","скрыть")</f>
        <v/>
      </c>
    </row>
    <row r="1727" ht="15.75" customHeight="1">
      <c r="B1727" s="809" t="n">
        <v>1711</v>
      </c>
      <c r="C1727" s="182">
        <f>IF(offer_sale_type="транзит",IFERROR(VLOOKUP($B1727,calc_data,C$14+1,0),0),0)</f>
        <v/>
      </c>
      <c r="D1727" s="280">
        <f>IF(offer_sale_type="транзит",IFERROR(VLOOKUP($B1727,calc_data,D$14+1,0),0),0)</f>
        <v/>
      </c>
      <c r="E1727" s="182">
        <f>IF(offer_sale_type="транзит",IFERROR(VLOOKUP($B1727,calc_data,E$14+1,0),0),0)</f>
        <v/>
      </c>
      <c r="F1727" s="182">
        <f>IF(offer_sale_type="транзит",IFERROR(VLOOKUP($B1727,calc_data,F$14+1,0),0),0)</f>
        <v/>
      </c>
      <c r="G1727" s="141">
        <f>IF(offer_sale_type="транзит",IFERROR(VLOOKUP($B1727,calc_data,G$14+1,0),0),0)</f>
        <v/>
      </c>
      <c r="H1727" s="141">
        <f>E1727*G1727</f>
        <v/>
      </c>
      <c r="I1727" s="141">
        <f>IF(offer_sale_type="транзит",IFERROR(ROUND(VLOOKUP($B1727,calc_data,I$14+1,0),2),0),0)</f>
        <v/>
      </c>
      <c r="J1727" s="141">
        <f>ROUND(IF(offer_sale_type="транзит",IFERROR(VLOOKUP($B1727,calc_data,J$14+1,0),0),0),2)</f>
        <v/>
      </c>
      <c r="K1727" s="142">
        <f>IF(offer_sale_type="транзит",IFERROR(ROUNDUP(VLOOKUP($B1727,calc_data,K$14+1,0),2),0),0)</f>
        <v/>
      </c>
      <c r="L1727" s="184">
        <f>IF(offer_sale_type="транзит",IFERROR(ROUNDUP(VLOOKUP($B1727,calc_data,L$14+1,0),2),0),0)</f>
        <v/>
      </c>
      <c r="M1727" s="141">
        <f>IF(offer_sale_type="транзит",IFERROR(ROUNDUP(VLOOKUP($B1727,calc_data,M$14+1,0),2),0),0)</f>
        <v/>
      </c>
      <c r="N1727" s="141">
        <f>IF(offer_sale_type="транзит",IFERROR(ROUNDUP(VLOOKUP($B1727,calc_data,N$14+1,0),2),0),0)</f>
        <v/>
      </c>
      <c r="O1727" s="147">
        <f>IF(offer_sale_type="транзит",IFERROR(ROUND(VLOOKUP($B1727,calc_data,O$14+1,1),2),0),0)</f>
        <v/>
      </c>
      <c r="P1727" s="141">
        <f>IF(offer_sale_type="транзит",IFERROR(ROUND(SUM(I1727:J1727,M1727:O1727)/E1727,2),0),0)</f>
        <v/>
      </c>
      <c r="Q1727" s="141">
        <f>E1727*P1727</f>
        <v/>
      </c>
      <c r="R1727" s="141">
        <f>ROUND(Q1727*IF(AND(offer_incoterms="DDP",seller_region="RU"),IF((TODAY()+offer_turnaround_time)&gt;=helpsheet!$L$17,rate_vatRU_from_26,rate_vatRu_till_25),0),2)</f>
        <v/>
      </c>
      <c r="S1727" s="177">
        <f>Q1727+IF(AND(offer_incoterms="DDP",seller_region="RU"),R1727,0)</f>
        <v/>
      </c>
      <c r="T1727" s="45" t="n"/>
      <c r="V1727" s="57">
        <f>IF(Q1727&gt;0,"показать","скрыть")</f>
        <v/>
      </c>
    </row>
    <row r="1728" ht="15.75" customHeight="1">
      <c r="B1728" s="809" t="n">
        <v>1712</v>
      </c>
      <c r="C1728" s="182">
        <f>IF(offer_sale_type="транзит",IFERROR(VLOOKUP($B1728,calc_data,C$14+1,0),0),0)</f>
        <v/>
      </c>
      <c r="D1728" s="280">
        <f>IF(offer_sale_type="транзит",IFERROR(VLOOKUP($B1728,calc_data,D$14+1,0),0),0)</f>
        <v/>
      </c>
      <c r="E1728" s="182">
        <f>IF(offer_sale_type="транзит",IFERROR(VLOOKUP($B1728,calc_data,E$14+1,0),0),0)</f>
        <v/>
      </c>
      <c r="F1728" s="182">
        <f>IF(offer_sale_type="транзит",IFERROR(VLOOKUP($B1728,calc_data,F$14+1,0),0),0)</f>
        <v/>
      </c>
      <c r="G1728" s="141">
        <f>IF(offer_sale_type="транзит",IFERROR(VLOOKUP($B1728,calc_data,G$14+1,0),0),0)</f>
        <v/>
      </c>
      <c r="H1728" s="141">
        <f>E1728*G1728</f>
        <v/>
      </c>
      <c r="I1728" s="141">
        <f>IF(offer_sale_type="транзит",IFERROR(ROUND(VLOOKUP($B1728,calc_data,I$14+1,0),2),0),0)</f>
        <v/>
      </c>
      <c r="J1728" s="141">
        <f>ROUND(IF(offer_sale_type="транзит",IFERROR(VLOOKUP($B1728,calc_data,J$14+1,0),0),0),2)</f>
        <v/>
      </c>
      <c r="K1728" s="142">
        <f>IF(offer_sale_type="транзит",IFERROR(ROUNDUP(VLOOKUP($B1728,calc_data,K$14+1,0),2),0),0)</f>
        <v/>
      </c>
      <c r="L1728" s="184">
        <f>IF(offer_sale_type="транзит",IFERROR(ROUNDUP(VLOOKUP($B1728,calc_data,L$14+1,0),2),0),0)</f>
        <v/>
      </c>
      <c r="M1728" s="141">
        <f>IF(offer_sale_type="транзит",IFERROR(ROUNDUP(VLOOKUP($B1728,calc_data,M$14+1,0),2),0),0)</f>
        <v/>
      </c>
      <c r="N1728" s="141">
        <f>IF(offer_sale_type="транзит",IFERROR(ROUNDUP(VLOOKUP($B1728,calc_data,N$14+1,0),2),0),0)</f>
        <v/>
      </c>
      <c r="O1728" s="147">
        <f>IF(offer_sale_type="транзит",IFERROR(ROUND(VLOOKUP($B1728,calc_data,O$14+1,1),2),0),0)</f>
        <v/>
      </c>
      <c r="P1728" s="141">
        <f>IF(offer_sale_type="транзит",IFERROR(ROUND(SUM(I1728:J1728,M1728:O1728)/E1728,2),0),0)</f>
        <v/>
      </c>
      <c r="Q1728" s="141">
        <f>E1728*P1728</f>
        <v/>
      </c>
      <c r="R1728" s="141">
        <f>ROUND(Q1728*IF(AND(offer_incoterms="DDP",seller_region="RU"),IF((TODAY()+offer_turnaround_time)&gt;=helpsheet!$L$17,rate_vatRU_from_26,rate_vatRu_till_25),0),2)</f>
        <v/>
      </c>
      <c r="S1728" s="177">
        <f>Q1728+IF(AND(offer_incoterms="DDP",seller_region="RU"),R1728,0)</f>
        <v/>
      </c>
      <c r="T1728" s="45" t="n"/>
      <c r="V1728" s="57">
        <f>IF(Q1728&gt;0,"показать","скрыть")</f>
        <v/>
      </c>
    </row>
    <row r="1729" ht="15.75" customHeight="1">
      <c r="B1729" s="809" t="n">
        <v>1713</v>
      </c>
      <c r="C1729" s="182">
        <f>IF(offer_sale_type="транзит",IFERROR(VLOOKUP($B1729,calc_data,C$14+1,0),0),0)</f>
        <v/>
      </c>
      <c r="D1729" s="280">
        <f>IF(offer_sale_type="транзит",IFERROR(VLOOKUP($B1729,calc_data,D$14+1,0),0),0)</f>
        <v/>
      </c>
      <c r="E1729" s="182">
        <f>IF(offer_sale_type="транзит",IFERROR(VLOOKUP($B1729,calc_data,E$14+1,0),0),0)</f>
        <v/>
      </c>
      <c r="F1729" s="182">
        <f>IF(offer_sale_type="транзит",IFERROR(VLOOKUP($B1729,calc_data,F$14+1,0),0),0)</f>
        <v/>
      </c>
      <c r="G1729" s="141">
        <f>IF(offer_sale_type="транзит",IFERROR(VLOOKUP($B1729,calc_data,G$14+1,0),0),0)</f>
        <v/>
      </c>
      <c r="H1729" s="141">
        <f>E1729*G1729</f>
        <v/>
      </c>
      <c r="I1729" s="141">
        <f>IF(offer_sale_type="транзит",IFERROR(ROUND(VLOOKUP($B1729,calc_data,I$14+1,0),2),0),0)</f>
        <v/>
      </c>
      <c r="J1729" s="141">
        <f>ROUND(IF(offer_sale_type="транзит",IFERROR(VLOOKUP($B1729,calc_data,J$14+1,0),0),0),2)</f>
        <v/>
      </c>
      <c r="K1729" s="142">
        <f>IF(offer_sale_type="транзит",IFERROR(ROUNDUP(VLOOKUP($B1729,calc_data,K$14+1,0),2),0),0)</f>
        <v/>
      </c>
      <c r="L1729" s="184">
        <f>IF(offer_sale_type="транзит",IFERROR(ROUNDUP(VLOOKUP($B1729,calc_data,L$14+1,0),2),0),0)</f>
        <v/>
      </c>
      <c r="M1729" s="141">
        <f>IF(offer_sale_type="транзит",IFERROR(ROUNDUP(VLOOKUP($B1729,calc_data,M$14+1,0),2),0),0)</f>
        <v/>
      </c>
      <c r="N1729" s="141">
        <f>IF(offer_sale_type="транзит",IFERROR(ROUNDUP(VLOOKUP($B1729,calc_data,N$14+1,0),2),0),0)</f>
        <v/>
      </c>
      <c r="O1729" s="147">
        <f>IF(offer_sale_type="транзит",IFERROR(ROUND(VLOOKUP($B1729,calc_data,O$14+1,1),2),0),0)</f>
        <v/>
      </c>
      <c r="P1729" s="141">
        <f>IF(offer_sale_type="транзит",IFERROR(ROUND(SUM(I1729:J1729,M1729:O1729)/E1729,2),0),0)</f>
        <v/>
      </c>
      <c r="Q1729" s="141">
        <f>E1729*P1729</f>
        <v/>
      </c>
      <c r="R1729" s="141">
        <f>ROUND(Q1729*IF(AND(offer_incoterms="DDP",seller_region="RU"),IF((TODAY()+offer_turnaround_time)&gt;=helpsheet!$L$17,rate_vatRU_from_26,rate_vatRu_till_25),0),2)</f>
        <v/>
      </c>
      <c r="S1729" s="177">
        <f>Q1729+IF(AND(offer_incoterms="DDP",seller_region="RU"),R1729,0)</f>
        <v/>
      </c>
      <c r="T1729" s="45" t="n"/>
      <c r="V1729" s="57">
        <f>IF(Q1729&gt;0,"показать","скрыть")</f>
        <v/>
      </c>
    </row>
    <row r="1730" ht="15.75" customHeight="1">
      <c r="B1730" s="809" t="n">
        <v>1714</v>
      </c>
      <c r="C1730" s="182">
        <f>IF(offer_sale_type="транзит",IFERROR(VLOOKUP($B1730,calc_data,C$14+1,0),0),0)</f>
        <v/>
      </c>
      <c r="D1730" s="280">
        <f>IF(offer_sale_type="транзит",IFERROR(VLOOKUP($B1730,calc_data,D$14+1,0),0),0)</f>
        <v/>
      </c>
      <c r="E1730" s="182">
        <f>IF(offer_sale_type="транзит",IFERROR(VLOOKUP($B1730,calc_data,E$14+1,0),0),0)</f>
        <v/>
      </c>
      <c r="F1730" s="182">
        <f>IF(offer_sale_type="транзит",IFERROR(VLOOKUP($B1730,calc_data,F$14+1,0),0),0)</f>
        <v/>
      </c>
      <c r="G1730" s="141">
        <f>IF(offer_sale_type="транзит",IFERROR(VLOOKUP($B1730,calc_data,G$14+1,0),0),0)</f>
        <v/>
      </c>
      <c r="H1730" s="141">
        <f>E1730*G1730</f>
        <v/>
      </c>
      <c r="I1730" s="141">
        <f>IF(offer_sale_type="транзит",IFERROR(ROUND(VLOOKUP($B1730,calc_data,I$14+1,0),2),0),0)</f>
        <v/>
      </c>
      <c r="J1730" s="141">
        <f>ROUND(IF(offer_sale_type="транзит",IFERROR(VLOOKUP($B1730,calc_data,J$14+1,0),0),0),2)</f>
        <v/>
      </c>
      <c r="K1730" s="142">
        <f>IF(offer_sale_type="транзит",IFERROR(ROUNDUP(VLOOKUP($B1730,calc_data,K$14+1,0),2),0),0)</f>
        <v/>
      </c>
      <c r="L1730" s="184">
        <f>IF(offer_sale_type="транзит",IFERROR(ROUNDUP(VLOOKUP($B1730,calc_data,L$14+1,0),2),0),0)</f>
        <v/>
      </c>
      <c r="M1730" s="141">
        <f>IF(offer_sale_type="транзит",IFERROR(ROUNDUP(VLOOKUP($B1730,calc_data,M$14+1,0),2),0),0)</f>
        <v/>
      </c>
      <c r="N1730" s="141">
        <f>IF(offer_sale_type="транзит",IFERROR(ROUNDUP(VLOOKUP($B1730,calc_data,N$14+1,0),2),0),0)</f>
        <v/>
      </c>
      <c r="O1730" s="147">
        <f>IF(offer_sale_type="транзит",IFERROR(ROUND(VLOOKUP($B1730,calc_data,O$14+1,1),2),0),0)</f>
        <v/>
      </c>
      <c r="P1730" s="141">
        <f>IF(offer_sale_type="транзит",IFERROR(ROUND(SUM(I1730:J1730,M1730:O1730)/E1730,2),0),0)</f>
        <v/>
      </c>
      <c r="Q1730" s="141">
        <f>E1730*P1730</f>
        <v/>
      </c>
      <c r="R1730" s="141">
        <f>ROUND(Q1730*IF(AND(offer_incoterms="DDP",seller_region="RU"),IF((TODAY()+offer_turnaround_time)&gt;=helpsheet!$L$17,rate_vatRU_from_26,rate_vatRu_till_25),0),2)</f>
        <v/>
      </c>
      <c r="S1730" s="177">
        <f>Q1730+IF(AND(offer_incoterms="DDP",seller_region="RU"),R1730,0)</f>
        <v/>
      </c>
      <c r="T1730" s="45" t="n"/>
      <c r="V1730" s="57">
        <f>IF(Q1730&gt;0,"показать","скрыть")</f>
        <v/>
      </c>
    </row>
    <row r="1731" ht="15.75" customHeight="1">
      <c r="B1731" s="809" t="n">
        <v>1715</v>
      </c>
      <c r="C1731" s="182">
        <f>IF(offer_sale_type="транзит",IFERROR(VLOOKUP($B1731,calc_data,C$14+1,0),0),0)</f>
        <v/>
      </c>
      <c r="D1731" s="280">
        <f>IF(offer_sale_type="транзит",IFERROR(VLOOKUP($B1731,calc_data,D$14+1,0),0),0)</f>
        <v/>
      </c>
      <c r="E1731" s="182">
        <f>IF(offer_sale_type="транзит",IFERROR(VLOOKUP($B1731,calc_data,E$14+1,0),0),0)</f>
        <v/>
      </c>
      <c r="F1731" s="182">
        <f>IF(offer_sale_type="транзит",IFERROR(VLOOKUP($B1731,calc_data,F$14+1,0),0),0)</f>
        <v/>
      </c>
      <c r="G1731" s="141">
        <f>IF(offer_sale_type="транзит",IFERROR(VLOOKUP($B1731,calc_data,G$14+1,0),0),0)</f>
        <v/>
      </c>
      <c r="H1731" s="141">
        <f>E1731*G1731</f>
        <v/>
      </c>
      <c r="I1731" s="141">
        <f>IF(offer_sale_type="транзит",IFERROR(ROUND(VLOOKUP($B1731,calc_data,I$14+1,0),2),0),0)</f>
        <v/>
      </c>
      <c r="J1731" s="141">
        <f>ROUND(IF(offer_sale_type="транзит",IFERROR(VLOOKUP($B1731,calc_data,J$14+1,0),0),0),2)</f>
        <v/>
      </c>
      <c r="K1731" s="142">
        <f>IF(offer_sale_type="транзит",IFERROR(ROUNDUP(VLOOKUP($B1731,calc_data,K$14+1,0),2),0),0)</f>
        <v/>
      </c>
      <c r="L1731" s="184">
        <f>IF(offer_sale_type="транзит",IFERROR(ROUNDUP(VLOOKUP($B1731,calc_data,L$14+1,0),2),0),0)</f>
        <v/>
      </c>
      <c r="M1731" s="141">
        <f>IF(offer_sale_type="транзит",IFERROR(ROUNDUP(VLOOKUP($B1731,calc_data,M$14+1,0),2),0),0)</f>
        <v/>
      </c>
      <c r="N1731" s="141">
        <f>IF(offer_sale_type="транзит",IFERROR(ROUNDUP(VLOOKUP($B1731,calc_data,N$14+1,0),2),0),0)</f>
        <v/>
      </c>
      <c r="O1731" s="147">
        <f>IF(offer_sale_type="транзит",IFERROR(ROUND(VLOOKUP($B1731,calc_data,O$14+1,1),2),0),0)</f>
        <v/>
      </c>
      <c r="P1731" s="141">
        <f>IF(offer_sale_type="транзит",IFERROR(ROUND(SUM(I1731:J1731,M1731:O1731)/E1731,2),0),0)</f>
        <v/>
      </c>
      <c r="Q1731" s="141">
        <f>E1731*P1731</f>
        <v/>
      </c>
      <c r="R1731" s="141">
        <f>ROUND(Q1731*IF(AND(offer_incoterms="DDP",seller_region="RU"),IF((TODAY()+offer_turnaround_time)&gt;=helpsheet!$L$17,rate_vatRU_from_26,rate_vatRu_till_25),0),2)</f>
        <v/>
      </c>
      <c r="S1731" s="177">
        <f>Q1731+IF(AND(offer_incoterms="DDP",seller_region="RU"),R1731,0)</f>
        <v/>
      </c>
      <c r="T1731" s="45" t="n"/>
      <c r="V1731" s="57">
        <f>IF(Q1731&gt;0,"показать","скрыть")</f>
        <v/>
      </c>
    </row>
    <row r="1732" ht="15.75" customHeight="1">
      <c r="B1732" s="809" t="n">
        <v>1716</v>
      </c>
      <c r="C1732" s="182">
        <f>IF(offer_sale_type="транзит",IFERROR(VLOOKUP($B1732,calc_data,C$14+1,0),0),0)</f>
        <v/>
      </c>
      <c r="D1732" s="280">
        <f>IF(offer_sale_type="транзит",IFERROR(VLOOKUP($B1732,calc_data,D$14+1,0),0),0)</f>
        <v/>
      </c>
      <c r="E1732" s="182">
        <f>IF(offer_sale_type="транзит",IFERROR(VLOOKUP($B1732,calc_data,E$14+1,0),0),0)</f>
        <v/>
      </c>
      <c r="F1732" s="182">
        <f>IF(offer_sale_type="транзит",IFERROR(VLOOKUP($B1732,calc_data,F$14+1,0),0),0)</f>
        <v/>
      </c>
      <c r="G1732" s="141">
        <f>IF(offer_sale_type="транзит",IFERROR(VLOOKUP($B1732,calc_data,G$14+1,0),0),0)</f>
        <v/>
      </c>
      <c r="H1732" s="141">
        <f>E1732*G1732</f>
        <v/>
      </c>
      <c r="I1732" s="141">
        <f>IF(offer_sale_type="транзит",IFERROR(ROUND(VLOOKUP($B1732,calc_data,I$14+1,0),2),0),0)</f>
        <v/>
      </c>
      <c r="J1732" s="141">
        <f>ROUND(IF(offer_sale_type="транзит",IFERROR(VLOOKUP($B1732,calc_data,J$14+1,0),0),0),2)</f>
        <v/>
      </c>
      <c r="K1732" s="142">
        <f>IF(offer_sale_type="транзит",IFERROR(ROUNDUP(VLOOKUP($B1732,calc_data,K$14+1,0),2),0),0)</f>
        <v/>
      </c>
      <c r="L1732" s="184">
        <f>IF(offer_sale_type="транзит",IFERROR(ROUNDUP(VLOOKUP($B1732,calc_data,L$14+1,0),2),0),0)</f>
        <v/>
      </c>
      <c r="M1732" s="141">
        <f>IF(offer_sale_type="транзит",IFERROR(ROUNDUP(VLOOKUP($B1732,calc_data,M$14+1,0),2),0),0)</f>
        <v/>
      </c>
      <c r="N1732" s="141">
        <f>IF(offer_sale_type="транзит",IFERROR(ROUNDUP(VLOOKUP($B1732,calc_data,N$14+1,0),2),0),0)</f>
        <v/>
      </c>
      <c r="O1732" s="147">
        <f>IF(offer_sale_type="транзит",IFERROR(ROUND(VLOOKUP($B1732,calc_data,O$14+1,1),2),0),0)</f>
        <v/>
      </c>
      <c r="P1732" s="141">
        <f>IF(offer_sale_type="транзит",IFERROR(ROUND(SUM(I1732:J1732,M1732:O1732)/E1732,2),0),0)</f>
        <v/>
      </c>
      <c r="Q1732" s="141">
        <f>E1732*P1732</f>
        <v/>
      </c>
      <c r="R1732" s="141">
        <f>ROUND(Q1732*IF(AND(offer_incoterms="DDP",seller_region="RU"),IF((TODAY()+offer_turnaround_time)&gt;=helpsheet!$L$17,rate_vatRU_from_26,rate_vatRu_till_25),0),2)</f>
        <v/>
      </c>
      <c r="S1732" s="177">
        <f>Q1732+IF(AND(offer_incoterms="DDP",seller_region="RU"),R1732,0)</f>
        <v/>
      </c>
      <c r="T1732" s="45" t="n"/>
      <c r="V1732" s="57">
        <f>IF(Q1732&gt;0,"показать","скрыть")</f>
        <v/>
      </c>
    </row>
    <row r="1733" ht="15.75" customHeight="1">
      <c r="B1733" s="809" t="n">
        <v>1717</v>
      </c>
      <c r="C1733" s="182">
        <f>IF(offer_sale_type="транзит",IFERROR(VLOOKUP($B1733,calc_data,C$14+1,0),0),0)</f>
        <v/>
      </c>
      <c r="D1733" s="280">
        <f>IF(offer_sale_type="транзит",IFERROR(VLOOKUP($B1733,calc_data,D$14+1,0),0),0)</f>
        <v/>
      </c>
      <c r="E1733" s="182">
        <f>IF(offer_sale_type="транзит",IFERROR(VLOOKUP($B1733,calc_data,E$14+1,0),0),0)</f>
        <v/>
      </c>
      <c r="F1733" s="182">
        <f>IF(offer_sale_type="транзит",IFERROR(VLOOKUP($B1733,calc_data,F$14+1,0),0),0)</f>
        <v/>
      </c>
      <c r="G1733" s="141">
        <f>IF(offer_sale_type="транзит",IFERROR(VLOOKUP($B1733,calc_data,G$14+1,0),0),0)</f>
        <v/>
      </c>
      <c r="H1733" s="141">
        <f>E1733*G1733</f>
        <v/>
      </c>
      <c r="I1733" s="141">
        <f>IF(offer_sale_type="транзит",IFERROR(ROUND(VLOOKUP($B1733,calc_data,I$14+1,0),2),0),0)</f>
        <v/>
      </c>
      <c r="J1733" s="141">
        <f>ROUND(IF(offer_sale_type="транзит",IFERROR(VLOOKUP($B1733,calc_data,J$14+1,0),0),0),2)</f>
        <v/>
      </c>
      <c r="K1733" s="142">
        <f>IF(offer_sale_type="транзит",IFERROR(ROUNDUP(VLOOKUP($B1733,calc_data,K$14+1,0),2),0),0)</f>
        <v/>
      </c>
      <c r="L1733" s="184">
        <f>IF(offer_sale_type="транзит",IFERROR(ROUNDUP(VLOOKUP($B1733,calc_data,L$14+1,0),2),0),0)</f>
        <v/>
      </c>
      <c r="M1733" s="141">
        <f>IF(offer_sale_type="транзит",IFERROR(ROUNDUP(VLOOKUP($B1733,calc_data,M$14+1,0),2),0),0)</f>
        <v/>
      </c>
      <c r="N1733" s="141">
        <f>IF(offer_sale_type="транзит",IFERROR(ROUNDUP(VLOOKUP($B1733,calc_data,N$14+1,0),2),0),0)</f>
        <v/>
      </c>
      <c r="O1733" s="147">
        <f>IF(offer_sale_type="транзит",IFERROR(ROUND(VLOOKUP($B1733,calc_data,O$14+1,1),2),0),0)</f>
        <v/>
      </c>
      <c r="P1733" s="141">
        <f>IF(offer_sale_type="транзит",IFERROR(ROUND(SUM(I1733:J1733,M1733:O1733)/E1733,2),0),0)</f>
        <v/>
      </c>
      <c r="Q1733" s="141">
        <f>E1733*P1733</f>
        <v/>
      </c>
      <c r="R1733" s="141">
        <f>ROUND(Q1733*IF(AND(offer_incoterms="DDP",seller_region="RU"),IF((TODAY()+offer_turnaround_time)&gt;=helpsheet!$L$17,rate_vatRU_from_26,rate_vatRu_till_25),0),2)</f>
        <v/>
      </c>
      <c r="S1733" s="177">
        <f>Q1733+IF(AND(offer_incoterms="DDP",seller_region="RU"),R1733,0)</f>
        <v/>
      </c>
      <c r="T1733" s="45" t="n"/>
      <c r="V1733" s="57">
        <f>IF(Q1733&gt;0,"показать","скрыть")</f>
        <v/>
      </c>
    </row>
    <row r="1734" ht="15.75" customHeight="1">
      <c r="B1734" s="809" t="n">
        <v>1718</v>
      </c>
      <c r="C1734" s="182">
        <f>IF(offer_sale_type="транзит",IFERROR(VLOOKUP($B1734,calc_data,C$14+1,0),0),0)</f>
        <v/>
      </c>
      <c r="D1734" s="280">
        <f>IF(offer_sale_type="транзит",IFERROR(VLOOKUP($B1734,calc_data,D$14+1,0),0),0)</f>
        <v/>
      </c>
      <c r="E1734" s="182">
        <f>IF(offer_sale_type="транзит",IFERROR(VLOOKUP($B1734,calc_data,E$14+1,0),0),0)</f>
        <v/>
      </c>
      <c r="F1734" s="182">
        <f>IF(offer_sale_type="транзит",IFERROR(VLOOKUP($B1734,calc_data,F$14+1,0),0),0)</f>
        <v/>
      </c>
      <c r="G1734" s="141">
        <f>IF(offer_sale_type="транзит",IFERROR(VLOOKUP($B1734,calc_data,G$14+1,0),0),0)</f>
        <v/>
      </c>
      <c r="H1734" s="141">
        <f>E1734*G1734</f>
        <v/>
      </c>
      <c r="I1734" s="141">
        <f>IF(offer_sale_type="транзит",IFERROR(ROUND(VLOOKUP($B1734,calc_data,I$14+1,0),2),0),0)</f>
        <v/>
      </c>
      <c r="J1734" s="141">
        <f>ROUND(IF(offer_sale_type="транзит",IFERROR(VLOOKUP($B1734,calc_data,J$14+1,0),0),0),2)</f>
        <v/>
      </c>
      <c r="K1734" s="142">
        <f>IF(offer_sale_type="транзит",IFERROR(ROUNDUP(VLOOKUP($B1734,calc_data,K$14+1,0),2),0),0)</f>
        <v/>
      </c>
      <c r="L1734" s="184">
        <f>IF(offer_sale_type="транзит",IFERROR(ROUNDUP(VLOOKUP($B1734,calc_data,L$14+1,0),2),0),0)</f>
        <v/>
      </c>
      <c r="M1734" s="141">
        <f>IF(offer_sale_type="транзит",IFERROR(ROUNDUP(VLOOKUP($B1734,calc_data,M$14+1,0),2),0),0)</f>
        <v/>
      </c>
      <c r="N1734" s="141">
        <f>IF(offer_sale_type="транзит",IFERROR(ROUNDUP(VLOOKUP($B1734,calc_data,N$14+1,0),2),0),0)</f>
        <v/>
      </c>
      <c r="O1734" s="147">
        <f>IF(offer_sale_type="транзит",IFERROR(ROUND(VLOOKUP($B1734,calc_data,O$14+1,1),2),0),0)</f>
        <v/>
      </c>
      <c r="P1734" s="141">
        <f>IF(offer_sale_type="транзит",IFERROR(ROUND(SUM(I1734:J1734,M1734:O1734)/E1734,2),0),0)</f>
        <v/>
      </c>
      <c r="Q1734" s="141">
        <f>E1734*P1734</f>
        <v/>
      </c>
      <c r="R1734" s="141">
        <f>ROUND(Q1734*IF(AND(offer_incoterms="DDP",seller_region="RU"),IF((TODAY()+offer_turnaround_time)&gt;=helpsheet!$L$17,rate_vatRU_from_26,rate_vatRu_till_25),0),2)</f>
        <v/>
      </c>
      <c r="S1734" s="177">
        <f>Q1734+IF(AND(offer_incoterms="DDP",seller_region="RU"),R1734,0)</f>
        <v/>
      </c>
      <c r="T1734" s="45" t="n"/>
      <c r="V1734" s="57">
        <f>IF(Q1734&gt;0,"показать","скрыть")</f>
        <v/>
      </c>
    </row>
    <row r="1735" ht="15.75" customHeight="1">
      <c r="B1735" s="809" t="n">
        <v>1719</v>
      </c>
      <c r="C1735" s="182">
        <f>IF(offer_sale_type="транзит",IFERROR(VLOOKUP($B1735,calc_data,C$14+1,0),0),0)</f>
        <v/>
      </c>
      <c r="D1735" s="280">
        <f>IF(offer_sale_type="транзит",IFERROR(VLOOKUP($B1735,calc_data,D$14+1,0),0),0)</f>
        <v/>
      </c>
      <c r="E1735" s="182">
        <f>IF(offer_sale_type="транзит",IFERROR(VLOOKUP($B1735,calc_data,E$14+1,0),0),0)</f>
        <v/>
      </c>
      <c r="F1735" s="182">
        <f>IF(offer_sale_type="транзит",IFERROR(VLOOKUP($B1735,calc_data,F$14+1,0),0),0)</f>
        <v/>
      </c>
      <c r="G1735" s="141">
        <f>IF(offer_sale_type="транзит",IFERROR(VLOOKUP($B1735,calc_data,G$14+1,0),0),0)</f>
        <v/>
      </c>
      <c r="H1735" s="141">
        <f>E1735*G1735</f>
        <v/>
      </c>
      <c r="I1735" s="141">
        <f>IF(offer_sale_type="транзит",IFERROR(ROUND(VLOOKUP($B1735,calc_data,I$14+1,0),2),0),0)</f>
        <v/>
      </c>
      <c r="J1735" s="141">
        <f>ROUND(IF(offer_sale_type="транзит",IFERROR(VLOOKUP($B1735,calc_data,J$14+1,0),0),0),2)</f>
        <v/>
      </c>
      <c r="K1735" s="142">
        <f>IF(offer_sale_type="транзит",IFERROR(ROUNDUP(VLOOKUP($B1735,calc_data,K$14+1,0),2),0),0)</f>
        <v/>
      </c>
      <c r="L1735" s="184">
        <f>IF(offer_sale_type="транзит",IFERROR(ROUNDUP(VLOOKUP($B1735,calc_data,L$14+1,0),2),0),0)</f>
        <v/>
      </c>
      <c r="M1735" s="141">
        <f>IF(offer_sale_type="транзит",IFERROR(ROUNDUP(VLOOKUP($B1735,calc_data,M$14+1,0),2),0),0)</f>
        <v/>
      </c>
      <c r="N1735" s="141">
        <f>IF(offer_sale_type="транзит",IFERROR(ROUNDUP(VLOOKUP($B1735,calc_data,N$14+1,0),2),0),0)</f>
        <v/>
      </c>
      <c r="O1735" s="147">
        <f>IF(offer_sale_type="транзит",IFERROR(ROUND(VLOOKUP($B1735,calc_data,O$14+1,1),2),0),0)</f>
        <v/>
      </c>
      <c r="P1735" s="141">
        <f>IF(offer_sale_type="транзит",IFERROR(ROUND(SUM(I1735:J1735,M1735:O1735)/E1735,2),0),0)</f>
        <v/>
      </c>
      <c r="Q1735" s="141">
        <f>E1735*P1735</f>
        <v/>
      </c>
      <c r="R1735" s="141">
        <f>ROUND(Q1735*IF(AND(offer_incoterms="DDP",seller_region="RU"),IF((TODAY()+offer_turnaround_time)&gt;=helpsheet!$L$17,rate_vatRU_from_26,rate_vatRu_till_25),0),2)</f>
        <v/>
      </c>
      <c r="S1735" s="177">
        <f>Q1735+IF(AND(offer_incoterms="DDP",seller_region="RU"),R1735,0)</f>
        <v/>
      </c>
      <c r="T1735" s="45" t="n"/>
      <c r="V1735" s="57">
        <f>IF(Q1735&gt;0,"показать","скрыть")</f>
        <v/>
      </c>
    </row>
    <row r="1736" ht="15.75" customHeight="1">
      <c r="B1736" s="809" t="n">
        <v>1720</v>
      </c>
      <c r="C1736" s="182">
        <f>IF(offer_sale_type="транзит",IFERROR(VLOOKUP($B1736,calc_data,C$14+1,0),0),0)</f>
        <v/>
      </c>
      <c r="D1736" s="280">
        <f>IF(offer_sale_type="транзит",IFERROR(VLOOKUP($B1736,calc_data,D$14+1,0),0),0)</f>
        <v/>
      </c>
      <c r="E1736" s="182">
        <f>IF(offer_sale_type="транзит",IFERROR(VLOOKUP($B1736,calc_data,E$14+1,0),0),0)</f>
        <v/>
      </c>
      <c r="F1736" s="182">
        <f>IF(offer_sale_type="транзит",IFERROR(VLOOKUP($B1736,calc_data,F$14+1,0),0),0)</f>
        <v/>
      </c>
      <c r="G1736" s="141">
        <f>IF(offer_sale_type="транзит",IFERROR(VLOOKUP($B1736,calc_data,G$14+1,0),0),0)</f>
        <v/>
      </c>
      <c r="H1736" s="141">
        <f>E1736*G1736</f>
        <v/>
      </c>
      <c r="I1736" s="141">
        <f>IF(offer_sale_type="транзит",IFERROR(ROUND(VLOOKUP($B1736,calc_data,I$14+1,0),2),0),0)</f>
        <v/>
      </c>
      <c r="J1736" s="141">
        <f>ROUND(IF(offer_sale_type="транзит",IFERROR(VLOOKUP($B1736,calc_data,J$14+1,0),0),0),2)</f>
        <v/>
      </c>
      <c r="K1736" s="142">
        <f>IF(offer_sale_type="транзит",IFERROR(ROUNDUP(VLOOKUP($B1736,calc_data,K$14+1,0),2),0),0)</f>
        <v/>
      </c>
      <c r="L1736" s="184">
        <f>IF(offer_sale_type="транзит",IFERROR(ROUNDUP(VLOOKUP($B1736,calc_data,L$14+1,0),2),0),0)</f>
        <v/>
      </c>
      <c r="M1736" s="141">
        <f>IF(offer_sale_type="транзит",IFERROR(ROUNDUP(VLOOKUP($B1736,calc_data,M$14+1,0),2),0),0)</f>
        <v/>
      </c>
      <c r="N1736" s="141">
        <f>IF(offer_sale_type="транзит",IFERROR(ROUNDUP(VLOOKUP($B1736,calc_data,N$14+1,0),2),0),0)</f>
        <v/>
      </c>
      <c r="O1736" s="147">
        <f>IF(offer_sale_type="транзит",IFERROR(ROUND(VLOOKUP($B1736,calc_data,O$14+1,1),2),0),0)</f>
        <v/>
      </c>
      <c r="P1736" s="141">
        <f>IF(offer_sale_type="транзит",IFERROR(ROUND(SUM(I1736:J1736,M1736:O1736)/E1736,2),0),0)</f>
        <v/>
      </c>
      <c r="Q1736" s="141">
        <f>E1736*P1736</f>
        <v/>
      </c>
      <c r="R1736" s="141">
        <f>ROUND(Q1736*IF(AND(offer_incoterms="DDP",seller_region="RU"),IF((TODAY()+offer_turnaround_time)&gt;=helpsheet!$L$17,rate_vatRU_from_26,rate_vatRu_till_25),0),2)</f>
        <v/>
      </c>
      <c r="S1736" s="177">
        <f>Q1736+IF(AND(offer_incoterms="DDP",seller_region="RU"),R1736,0)</f>
        <v/>
      </c>
      <c r="T1736" s="45" t="n"/>
      <c r="V1736" s="57">
        <f>IF(Q1736&gt;0,"показать","скрыть")</f>
        <v/>
      </c>
    </row>
    <row r="1737" ht="15.75" customHeight="1">
      <c r="B1737" s="809" t="n">
        <v>1721</v>
      </c>
      <c r="C1737" s="182">
        <f>IF(offer_sale_type="транзит",IFERROR(VLOOKUP($B1737,calc_data,C$14+1,0),0),0)</f>
        <v/>
      </c>
      <c r="D1737" s="280">
        <f>IF(offer_sale_type="транзит",IFERROR(VLOOKUP($B1737,calc_data,D$14+1,0),0),0)</f>
        <v/>
      </c>
      <c r="E1737" s="182">
        <f>IF(offer_sale_type="транзит",IFERROR(VLOOKUP($B1737,calc_data,E$14+1,0),0),0)</f>
        <v/>
      </c>
      <c r="F1737" s="182">
        <f>IF(offer_sale_type="транзит",IFERROR(VLOOKUP($B1737,calc_data,F$14+1,0),0),0)</f>
        <v/>
      </c>
      <c r="G1737" s="141">
        <f>IF(offer_sale_type="транзит",IFERROR(VLOOKUP($B1737,calc_data,G$14+1,0),0),0)</f>
        <v/>
      </c>
      <c r="H1737" s="141">
        <f>E1737*G1737</f>
        <v/>
      </c>
      <c r="I1737" s="141">
        <f>IF(offer_sale_type="транзит",IFERROR(ROUND(VLOOKUP($B1737,calc_data,I$14+1,0),2),0),0)</f>
        <v/>
      </c>
      <c r="J1737" s="141">
        <f>ROUND(IF(offer_sale_type="транзит",IFERROR(VLOOKUP($B1737,calc_data,J$14+1,0),0),0),2)</f>
        <v/>
      </c>
      <c r="K1737" s="142">
        <f>IF(offer_sale_type="транзит",IFERROR(ROUNDUP(VLOOKUP($B1737,calc_data,K$14+1,0),2),0),0)</f>
        <v/>
      </c>
      <c r="L1737" s="184">
        <f>IF(offer_sale_type="транзит",IFERROR(ROUNDUP(VLOOKUP($B1737,calc_data,L$14+1,0),2),0),0)</f>
        <v/>
      </c>
      <c r="M1737" s="141">
        <f>IF(offer_sale_type="транзит",IFERROR(ROUNDUP(VLOOKUP($B1737,calc_data,M$14+1,0),2),0),0)</f>
        <v/>
      </c>
      <c r="N1737" s="141">
        <f>IF(offer_sale_type="транзит",IFERROR(ROUNDUP(VLOOKUP($B1737,calc_data,N$14+1,0),2),0),0)</f>
        <v/>
      </c>
      <c r="O1737" s="147">
        <f>IF(offer_sale_type="транзит",IFERROR(ROUND(VLOOKUP($B1737,calc_data,O$14+1,1),2),0),0)</f>
        <v/>
      </c>
      <c r="P1737" s="141">
        <f>IF(offer_sale_type="транзит",IFERROR(ROUND(SUM(I1737:J1737,M1737:O1737)/E1737,2),0),0)</f>
        <v/>
      </c>
      <c r="Q1737" s="141">
        <f>E1737*P1737</f>
        <v/>
      </c>
      <c r="R1737" s="141">
        <f>ROUND(Q1737*IF(AND(offer_incoterms="DDP",seller_region="RU"),IF((TODAY()+offer_turnaround_time)&gt;=helpsheet!$L$17,rate_vatRU_from_26,rate_vatRu_till_25),0),2)</f>
        <v/>
      </c>
      <c r="S1737" s="177">
        <f>Q1737+IF(AND(offer_incoterms="DDP",seller_region="RU"),R1737,0)</f>
        <v/>
      </c>
      <c r="T1737" s="45" t="n"/>
      <c r="V1737" s="57">
        <f>IF(Q1737&gt;0,"показать","скрыть")</f>
        <v/>
      </c>
    </row>
    <row r="1738" ht="15.75" customHeight="1">
      <c r="B1738" s="809" t="n">
        <v>1722</v>
      </c>
      <c r="C1738" s="182">
        <f>IF(offer_sale_type="транзит",IFERROR(VLOOKUP($B1738,calc_data,C$14+1,0),0),0)</f>
        <v/>
      </c>
      <c r="D1738" s="280">
        <f>IF(offer_sale_type="транзит",IFERROR(VLOOKUP($B1738,calc_data,D$14+1,0),0),0)</f>
        <v/>
      </c>
      <c r="E1738" s="182">
        <f>IF(offer_sale_type="транзит",IFERROR(VLOOKUP($B1738,calc_data,E$14+1,0),0),0)</f>
        <v/>
      </c>
      <c r="F1738" s="182">
        <f>IF(offer_sale_type="транзит",IFERROR(VLOOKUP($B1738,calc_data,F$14+1,0),0),0)</f>
        <v/>
      </c>
      <c r="G1738" s="141">
        <f>IF(offer_sale_type="транзит",IFERROR(VLOOKUP($B1738,calc_data,G$14+1,0),0),0)</f>
        <v/>
      </c>
      <c r="H1738" s="141">
        <f>E1738*G1738</f>
        <v/>
      </c>
      <c r="I1738" s="141">
        <f>IF(offer_sale_type="транзит",IFERROR(ROUND(VLOOKUP($B1738,calc_data,I$14+1,0),2),0),0)</f>
        <v/>
      </c>
      <c r="J1738" s="141">
        <f>ROUND(IF(offer_sale_type="транзит",IFERROR(VLOOKUP($B1738,calc_data,J$14+1,0),0),0),2)</f>
        <v/>
      </c>
      <c r="K1738" s="142">
        <f>IF(offer_sale_type="транзит",IFERROR(ROUNDUP(VLOOKUP($B1738,calc_data,K$14+1,0),2),0),0)</f>
        <v/>
      </c>
      <c r="L1738" s="184">
        <f>IF(offer_sale_type="транзит",IFERROR(ROUNDUP(VLOOKUP($B1738,calc_data,L$14+1,0),2),0),0)</f>
        <v/>
      </c>
      <c r="M1738" s="141">
        <f>IF(offer_sale_type="транзит",IFERROR(ROUNDUP(VLOOKUP($B1738,calc_data,M$14+1,0),2),0),0)</f>
        <v/>
      </c>
      <c r="N1738" s="141">
        <f>IF(offer_sale_type="транзит",IFERROR(ROUNDUP(VLOOKUP($B1738,calc_data,N$14+1,0),2),0),0)</f>
        <v/>
      </c>
      <c r="O1738" s="147">
        <f>IF(offer_sale_type="транзит",IFERROR(ROUND(VLOOKUP($B1738,calc_data,O$14+1,1),2),0),0)</f>
        <v/>
      </c>
      <c r="P1738" s="141">
        <f>IF(offer_sale_type="транзит",IFERROR(ROUND(SUM(I1738:J1738,M1738:O1738)/E1738,2),0),0)</f>
        <v/>
      </c>
      <c r="Q1738" s="141">
        <f>E1738*P1738</f>
        <v/>
      </c>
      <c r="R1738" s="141">
        <f>ROUND(Q1738*IF(AND(offer_incoterms="DDP",seller_region="RU"),IF((TODAY()+offer_turnaround_time)&gt;=helpsheet!$L$17,rate_vatRU_from_26,rate_vatRu_till_25),0),2)</f>
        <v/>
      </c>
      <c r="S1738" s="177">
        <f>Q1738+IF(AND(offer_incoterms="DDP",seller_region="RU"),R1738,0)</f>
        <v/>
      </c>
      <c r="T1738" s="45" t="n"/>
      <c r="V1738" s="57">
        <f>IF(Q1738&gt;0,"показать","скрыть")</f>
        <v/>
      </c>
    </row>
    <row r="1739" ht="15.75" customHeight="1">
      <c r="B1739" s="809" t="n">
        <v>1723</v>
      </c>
      <c r="C1739" s="182">
        <f>IF(offer_sale_type="транзит",IFERROR(VLOOKUP($B1739,calc_data,C$14+1,0),0),0)</f>
        <v/>
      </c>
      <c r="D1739" s="280">
        <f>IF(offer_sale_type="транзит",IFERROR(VLOOKUP($B1739,calc_data,D$14+1,0),0),0)</f>
        <v/>
      </c>
      <c r="E1739" s="182">
        <f>IF(offer_sale_type="транзит",IFERROR(VLOOKUP($B1739,calc_data,E$14+1,0),0),0)</f>
        <v/>
      </c>
      <c r="F1739" s="182">
        <f>IF(offer_sale_type="транзит",IFERROR(VLOOKUP($B1739,calc_data,F$14+1,0),0),0)</f>
        <v/>
      </c>
      <c r="G1739" s="141">
        <f>IF(offer_sale_type="транзит",IFERROR(VLOOKUP($B1739,calc_data,G$14+1,0),0),0)</f>
        <v/>
      </c>
      <c r="H1739" s="141">
        <f>E1739*G1739</f>
        <v/>
      </c>
      <c r="I1739" s="141">
        <f>IF(offer_sale_type="транзит",IFERROR(ROUND(VLOOKUP($B1739,calc_data,I$14+1,0),2),0),0)</f>
        <v/>
      </c>
      <c r="J1739" s="141">
        <f>ROUND(IF(offer_sale_type="транзит",IFERROR(VLOOKUP($B1739,calc_data,J$14+1,0),0),0),2)</f>
        <v/>
      </c>
      <c r="K1739" s="142">
        <f>IF(offer_sale_type="транзит",IFERROR(ROUNDUP(VLOOKUP($B1739,calc_data,K$14+1,0),2),0),0)</f>
        <v/>
      </c>
      <c r="L1739" s="184">
        <f>IF(offer_sale_type="транзит",IFERROR(ROUNDUP(VLOOKUP($B1739,calc_data,L$14+1,0),2),0),0)</f>
        <v/>
      </c>
      <c r="M1739" s="141">
        <f>IF(offer_sale_type="транзит",IFERROR(ROUNDUP(VLOOKUP($B1739,calc_data,M$14+1,0),2),0),0)</f>
        <v/>
      </c>
      <c r="N1739" s="141">
        <f>IF(offer_sale_type="транзит",IFERROR(ROUNDUP(VLOOKUP($B1739,calc_data,N$14+1,0),2),0),0)</f>
        <v/>
      </c>
      <c r="O1739" s="147">
        <f>IF(offer_sale_type="транзит",IFERROR(ROUND(VLOOKUP($B1739,calc_data,O$14+1,1),2),0),0)</f>
        <v/>
      </c>
      <c r="P1739" s="141">
        <f>IF(offer_sale_type="транзит",IFERROR(ROUND(SUM(I1739:J1739,M1739:O1739)/E1739,2),0),0)</f>
        <v/>
      </c>
      <c r="Q1739" s="141">
        <f>E1739*P1739</f>
        <v/>
      </c>
      <c r="R1739" s="141">
        <f>ROUND(Q1739*IF(AND(offer_incoterms="DDP",seller_region="RU"),IF((TODAY()+offer_turnaround_time)&gt;=helpsheet!$L$17,rate_vatRU_from_26,rate_vatRu_till_25),0),2)</f>
        <v/>
      </c>
      <c r="S1739" s="177">
        <f>Q1739+IF(AND(offer_incoterms="DDP",seller_region="RU"),R1739,0)</f>
        <v/>
      </c>
      <c r="T1739" s="45" t="n"/>
      <c r="V1739" s="57">
        <f>IF(Q1739&gt;0,"показать","скрыть")</f>
        <v/>
      </c>
    </row>
    <row r="1740" ht="15.75" customHeight="1">
      <c r="B1740" s="809" t="n">
        <v>1724</v>
      </c>
      <c r="C1740" s="182">
        <f>IF(offer_sale_type="транзит",IFERROR(VLOOKUP($B1740,calc_data,C$14+1,0),0),0)</f>
        <v/>
      </c>
      <c r="D1740" s="280">
        <f>IF(offer_sale_type="транзит",IFERROR(VLOOKUP($B1740,calc_data,D$14+1,0),0),0)</f>
        <v/>
      </c>
      <c r="E1740" s="182">
        <f>IF(offer_sale_type="транзит",IFERROR(VLOOKUP($B1740,calc_data,E$14+1,0),0),0)</f>
        <v/>
      </c>
      <c r="F1740" s="182">
        <f>IF(offer_sale_type="транзит",IFERROR(VLOOKUP($B1740,calc_data,F$14+1,0),0),0)</f>
        <v/>
      </c>
      <c r="G1740" s="141">
        <f>IF(offer_sale_type="транзит",IFERROR(VLOOKUP($B1740,calc_data,G$14+1,0),0),0)</f>
        <v/>
      </c>
      <c r="H1740" s="141">
        <f>E1740*G1740</f>
        <v/>
      </c>
      <c r="I1740" s="141">
        <f>IF(offer_sale_type="транзит",IFERROR(ROUND(VLOOKUP($B1740,calc_data,I$14+1,0),2),0),0)</f>
        <v/>
      </c>
      <c r="J1740" s="141">
        <f>ROUND(IF(offer_sale_type="транзит",IFERROR(VLOOKUP($B1740,calc_data,J$14+1,0),0),0),2)</f>
        <v/>
      </c>
      <c r="K1740" s="142">
        <f>IF(offer_sale_type="транзит",IFERROR(ROUNDUP(VLOOKUP($B1740,calc_data,K$14+1,0),2),0),0)</f>
        <v/>
      </c>
      <c r="L1740" s="184">
        <f>IF(offer_sale_type="транзит",IFERROR(ROUNDUP(VLOOKUP($B1740,calc_data,L$14+1,0),2),0),0)</f>
        <v/>
      </c>
      <c r="M1740" s="141">
        <f>IF(offer_sale_type="транзит",IFERROR(ROUNDUP(VLOOKUP($B1740,calc_data,M$14+1,0),2),0),0)</f>
        <v/>
      </c>
      <c r="N1740" s="141">
        <f>IF(offer_sale_type="транзит",IFERROR(ROUNDUP(VLOOKUP($B1740,calc_data,N$14+1,0),2),0),0)</f>
        <v/>
      </c>
      <c r="O1740" s="147">
        <f>IF(offer_sale_type="транзит",IFERROR(ROUND(VLOOKUP($B1740,calc_data,O$14+1,1),2),0),0)</f>
        <v/>
      </c>
      <c r="P1740" s="141">
        <f>IF(offer_sale_type="транзит",IFERROR(ROUND(SUM(I1740:J1740,M1740:O1740)/E1740,2),0),0)</f>
        <v/>
      </c>
      <c r="Q1740" s="141">
        <f>E1740*P1740</f>
        <v/>
      </c>
      <c r="R1740" s="141">
        <f>ROUND(Q1740*IF(AND(offer_incoterms="DDP",seller_region="RU"),IF((TODAY()+offer_turnaround_time)&gt;=helpsheet!$L$17,rate_vatRU_from_26,rate_vatRu_till_25),0),2)</f>
        <v/>
      </c>
      <c r="S1740" s="177">
        <f>Q1740+IF(AND(offer_incoterms="DDP",seller_region="RU"),R1740,0)</f>
        <v/>
      </c>
      <c r="T1740" s="45" t="n"/>
      <c r="V1740" s="57">
        <f>IF(Q1740&gt;0,"показать","скрыть")</f>
        <v/>
      </c>
    </row>
    <row r="1741" ht="15.75" customHeight="1">
      <c r="B1741" s="809" t="n">
        <v>1725</v>
      </c>
      <c r="C1741" s="182">
        <f>IF(offer_sale_type="транзит",IFERROR(VLOOKUP($B1741,calc_data,C$14+1,0),0),0)</f>
        <v/>
      </c>
      <c r="D1741" s="280">
        <f>IF(offer_sale_type="транзит",IFERROR(VLOOKUP($B1741,calc_data,D$14+1,0),0),0)</f>
        <v/>
      </c>
      <c r="E1741" s="182">
        <f>IF(offer_sale_type="транзит",IFERROR(VLOOKUP($B1741,calc_data,E$14+1,0),0),0)</f>
        <v/>
      </c>
      <c r="F1741" s="182">
        <f>IF(offer_sale_type="транзит",IFERROR(VLOOKUP($B1741,calc_data,F$14+1,0),0),0)</f>
        <v/>
      </c>
      <c r="G1741" s="141">
        <f>IF(offer_sale_type="транзит",IFERROR(VLOOKUP($B1741,calc_data,G$14+1,0),0),0)</f>
        <v/>
      </c>
      <c r="H1741" s="141">
        <f>E1741*G1741</f>
        <v/>
      </c>
      <c r="I1741" s="141">
        <f>IF(offer_sale_type="транзит",IFERROR(ROUND(VLOOKUP($B1741,calc_data,I$14+1,0),2),0),0)</f>
        <v/>
      </c>
      <c r="J1741" s="141">
        <f>ROUND(IF(offer_sale_type="транзит",IFERROR(VLOOKUP($B1741,calc_data,J$14+1,0),0),0),2)</f>
        <v/>
      </c>
      <c r="K1741" s="142">
        <f>IF(offer_sale_type="транзит",IFERROR(ROUNDUP(VLOOKUP($B1741,calc_data,K$14+1,0),2),0),0)</f>
        <v/>
      </c>
      <c r="L1741" s="184">
        <f>IF(offer_sale_type="транзит",IFERROR(ROUNDUP(VLOOKUP($B1741,calc_data,L$14+1,0),2),0),0)</f>
        <v/>
      </c>
      <c r="M1741" s="141">
        <f>IF(offer_sale_type="транзит",IFERROR(ROUNDUP(VLOOKUP($B1741,calc_data,M$14+1,0),2),0),0)</f>
        <v/>
      </c>
      <c r="N1741" s="141">
        <f>IF(offer_sale_type="транзит",IFERROR(ROUNDUP(VLOOKUP($B1741,calc_data,N$14+1,0),2),0),0)</f>
        <v/>
      </c>
      <c r="O1741" s="147">
        <f>IF(offer_sale_type="транзит",IFERROR(ROUND(VLOOKUP($B1741,calc_data,O$14+1,1),2),0),0)</f>
        <v/>
      </c>
      <c r="P1741" s="141">
        <f>IF(offer_sale_type="транзит",IFERROR(ROUND(SUM(I1741:J1741,M1741:O1741)/E1741,2),0),0)</f>
        <v/>
      </c>
      <c r="Q1741" s="141">
        <f>E1741*P1741</f>
        <v/>
      </c>
      <c r="R1741" s="141">
        <f>ROUND(Q1741*IF(AND(offer_incoterms="DDP",seller_region="RU"),IF((TODAY()+offer_turnaround_time)&gt;=helpsheet!$L$17,rate_vatRU_from_26,rate_vatRu_till_25),0),2)</f>
        <v/>
      </c>
      <c r="S1741" s="177">
        <f>Q1741+IF(AND(offer_incoterms="DDP",seller_region="RU"),R1741,0)</f>
        <v/>
      </c>
      <c r="T1741" s="45" t="n"/>
      <c r="V1741" s="57">
        <f>IF(Q1741&gt;0,"показать","скрыть")</f>
        <v/>
      </c>
    </row>
    <row r="1742" ht="15.75" customHeight="1">
      <c r="B1742" s="809" t="n">
        <v>1726</v>
      </c>
      <c r="C1742" s="182">
        <f>IF(offer_sale_type="транзит",IFERROR(VLOOKUP($B1742,calc_data,C$14+1,0),0),0)</f>
        <v/>
      </c>
      <c r="D1742" s="280">
        <f>IF(offer_sale_type="транзит",IFERROR(VLOOKUP($B1742,calc_data,D$14+1,0),0),0)</f>
        <v/>
      </c>
      <c r="E1742" s="182">
        <f>IF(offer_sale_type="транзит",IFERROR(VLOOKUP($B1742,calc_data,E$14+1,0),0),0)</f>
        <v/>
      </c>
      <c r="F1742" s="182">
        <f>IF(offer_sale_type="транзит",IFERROR(VLOOKUP($B1742,calc_data,F$14+1,0),0),0)</f>
        <v/>
      </c>
      <c r="G1742" s="141">
        <f>IF(offer_sale_type="транзит",IFERROR(VLOOKUP($B1742,calc_data,G$14+1,0),0),0)</f>
        <v/>
      </c>
      <c r="H1742" s="141">
        <f>E1742*G1742</f>
        <v/>
      </c>
      <c r="I1742" s="141">
        <f>IF(offer_sale_type="транзит",IFERROR(ROUND(VLOOKUP($B1742,calc_data,I$14+1,0),2),0),0)</f>
        <v/>
      </c>
      <c r="J1742" s="141">
        <f>ROUND(IF(offer_sale_type="транзит",IFERROR(VLOOKUP($B1742,calc_data,J$14+1,0),0),0),2)</f>
        <v/>
      </c>
      <c r="K1742" s="142">
        <f>IF(offer_sale_type="транзит",IFERROR(ROUNDUP(VLOOKUP($B1742,calc_data,K$14+1,0),2),0),0)</f>
        <v/>
      </c>
      <c r="L1742" s="184">
        <f>IF(offer_sale_type="транзит",IFERROR(ROUNDUP(VLOOKUP($B1742,calc_data,L$14+1,0),2),0),0)</f>
        <v/>
      </c>
      <c r="M1742" s="141">
        <f>IF(offer_sale_type="транзит",IFERROR(ROUNDUP(VLOOKUP($B1742,calc_data,M$14+1,0),2),0),0)</f>
        <v/>
      </c>
      <c r="N1742" s="141">
        <f>IF(offer_sale_type="транзит",IFERROR(ROUNDUP(VLOOKUP($B1742,calc_data,N$14+1,0),2),0),0)</f>
        <v/>
      </c>
      <c r="O1742" s="147">
        <f>IF(offer_sale_type="транзит",IFERROR(ROUND(VLOOKUP($B1742,calc_data,O$14+1,1),2),0),0)</f>
        <v/>
      </c>
      <c r="P1742" s="141">
        <f>IF(offer_sale_type="транзит",IFERROR(ROUND(SUM(I1742:J1742,M1742:O1742)/E1742,2),0),0)</f>
        <v/>
      </c>
      <c r="Q1742" s="141">
        <f>E1742*P1742</f>
        <v/>
      </c>
      <c r="R1742" s="141">
        <f>ROUND(Q1742*IF(AND(offer_incoterms="DDP",seller_region="RU"),IF((TODAY()+offer_turnaround_time)&gt;=helpsheet!$L$17,rate_vatRU_from_26,rate_vatRu_till_25),0),2)</f>
        <v/>
      </c>
      <c r="S1742" s="177">
        <f>Q1742+IF(AND(offer_incoterms="DDP",seller_region="RU"),R1742,0)</f>
        <v/>
      </c>
      <c r="T1742" s="45" t="n"/>
      <c r="V1742" s="57">
        <f>IF(Q1742&gt;0,"показать","скрыть")</f>
        <v/>
      </c>
    </row>
    <row r="1743" ht="15.75" customHeight="1">
      <c r="B1743" s="809" t="n">
        <v>1727</v>
      </c>
      <c r="C1743" s="182">
        <f>IF(offer_sale_type="транзит",IFERROR(VLOOKUP($B1743,calc_data,C$14+1,0),0),0)</f>
        <v/>
      </c>
      <c r="D1743" s="280">
        <f>IF(offer_sale_type="транзит",IFERROR(VLOOKUP($B1743,calc_data,D$14+1,0),0),0)</f>
        <v/>
      </c>
      <c r="E1743" s="182">
        <f>IF(offer_sale_type="транзит",IFERROR(VLOOKUP($B1743,calc_data,E$14+1,0),0),0)</f>
        <v/>
      </c>
      <c r="F1743" s="182">
        <f>IF(offer_sale_type="транзит",IFERROR(VLOOKUP($B1743,calc_data,F$14+1,0),0),0)</f>
        <v/>
      </c>
      <c r="G1743" s="141">
        <f>IF(offer_sale_type="транзит",IFERROR(VLOOKUP($B1743,calc_data,G$14+1,0),0),0)</f>
        <v/>
      </c>
      <c r="H1743" s="141">
        <f>E1743*G1743</f>
        <v/>
      </c>
      <c r="I1743" s="141">
        <f>IF(offer_sale_type="транзит",IFERROR(ROUND(VLOOKUP($B1743,calc_data,I$14+1,0),2),0),0)</f>
        <v/>
      </c>
      <c r="J1743" s="141">
        <f>ROUND(IF(offer_sale_type="транзит",IFERROR(VLOOKUP($B1743,calc_data,J$14+1,0),0),0),2)</f>
        <v/>
      </c>
      <c r="K1743" s="142">
        <f>IF(offer_sale_type="транзит",IFERROR(ROUNDUP(VLOOKUP($B1743,calc_data,K$14+1,0),2),0),0)</f>
        <v/>
      </c>
      <c r="L1743" s="184">
        <f>IF(offer_sale_type="транзит",IFERROR(ROUNDUP(VLOOKUP($B1743,calc_data,L$14+1,0),2),0),0)</f>
        <v/>
      </c>
      <c r="M1743" s="141">
        <f>IF(offer_sale_type="транзит",IFERROR(ROUNDUP(VLOOKUP($B1743,calc_data,M$14+1,0),2),0),0)</f>
        <v/>
      </c>
      <c r="N1743" s="141">
        <f>IF(offer_sale_type="транзит",IFERROR(ROUNDUP(VLOOKUP($B1743,calc_data,N$14+1,0),2),0),0)</f>
        <v/>
      </c>
      <c r="O1743" s="147">
        <f>IF(offer_sale_type="транзит",IFERROR(ROUND(VLOOKUP($B1743,calc_data,O$14+1,1),2),0),0)</f>
        <v/>
      </c>
      <c r="P1743" s="141">
        <f>IF(offer_sale_type="транзит",IFERROR(ROUND(SUM(I1743:J1743,M1743:O1743)/E1743,2),0),0)</f>
        <v/>
      </c>
      <c r="Q1743" s="141">
        <f>E1743*P1743</f>
        <v/>
      </c>
      <c r="R1743" s="141">
        <f>ROUND(Q1743*IF(AND(offer_incoterms="DDP",seller_region="RU"),IF((TODAY()+offer_turnaround_time)&gt;=helpsheet!$L$17,rate_vatRU_from_26,rate_vatRu_till_25),0),2)</f>
        <v/>
      </c>
      <c r="S1743" s="177">
        <f>Q1743+IF(AND(offer_incoterms="DDP",seller_region="RU"),R1743,0)</f>
        <v/>
      </c>
      <c r="T1743" s="45" t="n"/>
      <c r="V1743" s="57">
        <f>IF(Q1743&gt;0,"показать","скрыть")</f>
        <v/>
      </c>
    </row>
    <row r="1744" ht="15.75" customHeight="1">
      <c r="B1744" s="809" t="n">
        <v>1728</v>
      </c>
      <c r="C1744" s="182">
        <f>IF(offer_sale_type="транзит",IFERROR(VLOOKUP($B1744,calc_data,C$14+1,0),0),0)</f>
        <v/>
      </c>
      <c r="D1744" s="280">
        <f>IF(offer_sale_type="транзит",IFERROR(VLOOKUP($B1744,calc_data,D$14+1,0),0),0)</f>
        <v/>
      </c>
      <c r="E1744" s="182">
        <f>IF(offer_sale_type="транзит",IFERROR(VLOOKUP($B1744,calc_data,E$14+1,0),0),0)</f>
        <v/>
      </c>
      <c r="F1744" s="182">
        <f>IF(offer_sale_type="транзит",IFERROR(VLOOKUP($B1744,calc_data,F$14+1,0),0),0)</f>
        <v/>
      </c>
      <c r="G1744" s="141">
        <f>IF(offer_sale_type="транзит",IFERROR(VLOOKUP($B1744,calc_data,G$14+1,0),0),0)</f>
        <v/>
      </c>
      <c r="H1744" s="141">
        <f>E1744*G1744</f>
        <v/>
      </c>
      <c r="I1744" s="141">
        <f>IF(offer_sale_type="транзит",IFERROR(ROUND(VLOOKUP($B1744,calc_data,I$14+1,0),2),0),0)</f>
        <v/>
      </c>
      <c r="J1744" s="141">
        <f>ROUND(IF(offer_sale_type="транзит",IFERROR(VLOOKUP($B1744,calc_data,J$14+1,0),0),0),2)</f>
        <v/>
      </c>
      <c r="K1744" s="142">
        <f>IF(offer_sale_type="транзит",IFERROR(ROUNDUP(VLOOKUP($B1744,calc_data,K$14+1,0),2),0),0)</f>
        <v/>
      </c>
      <c r="L1744" s="184">
        <f>IF(offer_sale_type="транзит",IFERROR(ROUNDUP(VLOOKUP($B1744,calc_data,L$14+1,0),2),0),0)</f>
        <v/>
      </c>
      <c r="M1744" s="141">
        <f>IF(offer_sale_type="транзит",IFERROR(ROUNDUP(VLOOKUP($B1744,calc_data,M$14+1,0),2),0),0)</f>
        <v/>
      </c>
      <c r="N1744" s="141">
        <f>IF(offer_sale_type="транзит",IFERROR(ROUNDUP(VLOOKUP($B1744,calc_data,N$14+1,0),2),0),0)</f>
        <v/>
      </c>
      <c r="O1744" s="147">
        <f>IF(offer_sale_type="транзит",IFERROR(ROUND(VLOOKUP($B1744,calc_data,O$14+1,1),2),0),0)</f>
        <v/>
      </c>
      <c r="P1744" s="141">
        <f>IF(offer_sale_type="транзит",IFERROR(ROUND(SUM(I1744:J1744,M1744:O1744)/E1744,2),0),0)</f>
        <v/>
      </c>
      <c r="Q1744" s="141">
        <f>E1744*P1744</f>
        <v/>
      </c>
      <c r="R1744" s="141">
        <f>ROUND(Q1744*IF(AND(offer_incoterms="DDP",seller_region="RU"),IF((TODAY()+offer_turnaround_time)&gt;=helpsheet!$L$17,rate_vatRU_from_26,rate_vatRu_till_25),0),2)</f>
        <v/>
      </c>
      <c r="S1744" s="177">
        <f>Q1744+IF(AND(offer_incoterms="DDP",seller_region="RU"),R1744,0)</f>
        <v/>
      </c>
      <c r="T1744" s="45" t="n"/>
      <c r="V1744" s="57">
        <f>IF(Q1744&gt;0,"показать","скрыть")</f>
        <v/>
      </c>
    </row>
    <row r="1745" ht="15.75" customHeight="1">
      <c r="B1745" s="809" t="n">
        <v>1729</v>
      </c>
      <c r="C1745" s="182">
        <f>IF(offer_sale_type="транзит",IFERROR(VLOOKUP($B1745,calc_data,C$14+1,0),0),0)</f>
        <v/>
      </c>
      <c r="D1745" s="280">
        <f>IF(offer_sale_type="транзит",IFERROR(VLOOKUP($B1745,calc_data,D$14+1,0),0),0)</f>
        <v/>
      </c>
      <c r="E1745" s="182">
        <f>IF(offer_sale_type="транзит",IFERROR(VLOOKUP($B1745,calc_data,E$14+1,0),0),0)</f>
        <v/>
      </c>
      <c r="F1745" s="182">
        <f>IF(offer_sale_type="транзит",IFERROR(VLOOKUP($B1745,calc_data,F$14+1,0),0),0)</f>
        <v/>
      </c>
      <c r="G1745" s="141">
        <f>IF(offer_sale_type="транзит",IFERROR(VLOOKUP($B1745,calc_data,G$14+1,0),0),0)</f>
        <v/>
      </c>
      <c r="H1745" s="141">
        <f>E1745*G1745</f>
        <v/>
      </c>
      <c r="I1745" s="141">
        <f>IF(offer_sale_type="транзит",IFERROR(ROUND(VLOOKUP($B1745,calc_data,I$14+1,0),2),0),0)</f>
        <v/>
      </c>
      <c r="J1745" s="141">
        <f>ROUND(IF(offer_sale_type="транзит",IFERROR(VLOOKUP($B1745,calc_data,J$14+1,0),0),0),2)</f>
        <v/>
      </c>
      <c r="K1745" s="142">
        <f>IF(offer_sale_type="транзит",IFERROR(ROUNDUP(VLOOKUP($B1745,calc_data,K$14+1,0),2),0),0)</f>
        <v/>
      </c>
      <c r="L1745" s="184">
        <f>IF(offer_sale_type="транзит",IFERROR(ROUNDUP(VLOOKUP($B1745,calc_data,L$14+1,0),2),0),0)</f>
        <v/>
      </c>
      <c r="M1745" s="141">
        <f>IF(offer_sale_type="транзит",IFERROR(ROUNDUP(VLOOKUP($B1745,calc_data,M$14+1,0),2),0),0)</f>
        <v/>
      </c>
      <c r="N1745" s="141">
        <f>IF(offer_sale_type="транзит",IFERROR(ROUNDUP(VLOOKUP($B1745,calc_data,N$14+1,0),2),0),0)</f>
        <v/>
      </c>
      <c r="O1745" s="147">
        <f>IF(offer_sale_type="транзит",IFERROR(ROUND(VLOOKUP($B1745,calc_data,O$14+1,1),2),0),0)</f>
        <v/>
      </c>
      <c r="P1745" s="141">
        <f>IF(offer_sale_type="транзит",IFERROR(ROUND(SUM(I1745:J1745,M1745:O1745)/E1745,2),0),0)</f>
        <v/>
      </c>
      <c r="Q1745" s="141">
        <f>E1745*P1745</f>
        <v/>
      </c>
      <c r="R1745" s="141">
        <f>ROUND(Q1745*IF(AND(offer_incoterms="DDP",seller_region="RU"),IF((TODAY()+offer_turnaround_time)&gt;=helpsheet!$L$17,rate_vatRU_from_26,rate_vatRu_till_25),0),2)</f>
        <v/>
      </c>
      <c r="S1745" s="177">
        <f>Q1745+IF(AND(offer_incoterms="DDP",seller_region="RU"),R1745,0)</f>
        <v/>
      </c>
      <c r="T1745" s="45" t="n"/>
      <c r="V1745" s="57">
        <f>IF(Q1745&gt;0,"показать","скрыть")</f>
        <v/>
      </c>
    </row>
    <row r="1746" ht="15.75" customHeight="1">
      <c r="B1746" s="809" t="n">
        <v>1730</v>
      </c>
      <c r="C1746" s="182">
        <f>IF(offer_sale_type="транзит",IFERROR(VLOOKUP($B1746,calc_data,C$14+1,0),0),0)</f>
        <v/>
      </c>
      <c r="D1746" s="280">
        <f>IF(offer_sale_type="транзит",IFERROR(VLOOKUP($B1746,calc_data,D$14+1,0),0),0)</f>
        <v/>
      </c>
      <c r="E1746" s="182">
        <f>IF(offer_sale_type="транзит",IFERROR(VLOOKUP($B1746,calc_data,E$14+1,0),0),0)</f>
        <v/>
      </c>
      <c r="F1746" s="182">
        <f>IF(offer_sale_type="транзит",IFERROR(VLOOKUP($B1746,calc_data,F$14+1,0),0),0)</f>
        <v/>
      </c>
      <c r="G1746" s="141">
        <f>IF(offer_sale_type="транзит",IFERROR(VLOOKUP($B1746,calc_data,G$14+1,0),0),0)</f>
        <v/>
      </c>
      <c r="H1746" s="141">
        <f>E1746*G1746</f>
        <v/>
      </c>
      <c r="I1746" s="141">
        <f>IF(offer_sale_type="транзит",IFERROR(ROUND(VLOOKUP($B1746,calc_data,I$14+1,0),2),0),0)</f>
        <v/>
      </c>
      <c r="J1746" s="141">
        <f>ROUND(IF(offer_sale_type="транзит",IFERROR(VLOOKUP($B1746,calc_data,J$14+1,0),0),0),2)</f>
        <v/>
      </c>
      <c r="K1746" s="142">
        <f>IF(offer_sale_type="транзит",IFERROR(ROUNDUP(VLOOKUP($B1746,calc_data,K$14+1,0),2),0),0)</f>
        <v/>
      </c>
      <c r="L1746" s="184">
        <f>IF(offer_sale_type="транзит",IFERROR(ROUNDUP(VLOOKUP($B1746,calc_data,L$14+1,0),2),0),0)</f>
        <v/>
      </c>
      <c r="M1746" s="141">
        <f>IF(offer_sale_type="транзит",IFERROR(ROUNDUP(VLOOKUP($B1746,calc_data,M$14+1,0),2),0),0)</f>
        <v/>
      </c>
      <c r="N1746" s="141">
        <f>IF(offer_sale_type="транзит",IFERROR(ROUNDUP(VLOOKUP($B1746,calc_data,N$14+1,0),2),0),0)</f>
        <v/>
      </c>
      <c r="O1746" s="147">
        <f>IF(offer_sale_type="транзит",IFERROR(ROUND(VLOOKUP($B1746,calc_data,O$14+1,1),2),0),0)</f>
        <v/>
      </c>
      <c r="P1746" s="141">
        <f>IF(offer_sale_type="транзит",IFERROR(ROUND(SUM(I1746:J1746,M1746:O1746)/E1746,2),0),0)</f>
        <v/>
      </c>
      <c r="Q1746" s="141">
        <f>E1746*P1746</f>
        <v/>
      </c>
      <c r="R1746" s="141">
        <f>ROUND(Q1746*IF(AND(offer_incoterms="DDP",seller_region="RU"),IF((TODAY()+offer_turnaround_time)&gt;=helpsheet!$L$17,rate_vatRU_from_26,rate_vatRu_till_25),0),2)</f>
        <v/>
      </c>
      <c r="S1746" s="177">
        <f>Q1746+IF(AND(offer_incoterms="DDP",seller_region="RU"),R1746,0)</f>
        <v/>
      </c>
      <c r="T1746" s="45" t="n"/>
      <c r="V1746" s="57">
        <f>IF(Q1746&gt;0,"показать","скрыть")</f>
        <v/>
      </c>
    </row>
    <row r="1747" ht="15.75" customHeight="1">
      <c r="B1747" s="809" t="n">
        <v>1731</v>
      </c>
      <c r="C1747" s="182">
        <f>IF(offer_sale_type="транзит",IFERROR(VLOOKUP($B1747,calc_data,C$14+1,0),0),0)</f>
        <v/>
      </c>
      <c r="D1747" s="280">
        <f>IF(offer_sale_type="транзит",IFERROR(VLOOKUP($B1747,calc_data,D$14+1,0),0),0)</f>
        <v/>
      </c>
      <c r="E1747" s="182">
        <f>IF(offer_sale_type="транзит",IFERROR(VLOOKUP($B1747,calc_data,E$14+1,0),0),0)</f>
        <v/>
      </c>
      <c r="F1747" s="182">
        <f>IF(offer_sale_type="транзит",IFERROR(VLOOKUP($B1747,calc_data,F$14+1,0),0),0)</f>
        <v/>
      </c>
      <c r="G1747" s="141">
        <f>IF(offer_sale_type="транзит",IFERROR(VLOOKUP($B1747,calc_data,G$14+1,0),0),0)</f>
        <v/>
      </c>
      <c r="H1747" s="141">
        <f>E1747*G1747</f>
        <v/>
      </c>
      <c r="I1747" s="141">
        <f>IF(offer_sale_type="транзит",IFERROR(ROUND(VLOOKUP($B1747,calc_data,I$14+1,0),2),0),0)</f>
        <v/>
      </c>
      <c r="J1747" s="141">
        <f>ROUND(IF(offer_sale_type="транзит",IFERROR(VLOOKUP($B1747,calc_data,J$14+1,0),0),0),2)</f>
        <v/>
      </c>
      <c r="K1747" s="142">
        <f>IF(offer_sale_type="транзит",IFERROR(ROUNDUP(VLOOKUP($B1747,calc_data,K$14+1,0),2),0),0)</f>
        <v/>
      </c>
      <c r="L1747" s="184">
        <f>IF(offer_sale_type="транзит",IFERROR(ROUNDUP(VLOOKUP($B1747,calc_data,L$14+1,0),2),0),0)</f>
        <v/>
      </c>
      <c r="M1747" s="141">
        <f>IF(offer_sale_type="транзит",IFERROR(ROUNDUP(VLOOKUP($B1747,calc_data,M$14+1,0),2),0),0)</f>
        <v/>
      </c>
      <c r="N1747" s="141">
        <f>IF(offer_sale_type="транзит",IFERROR(ROUNDUP(VLOOKUP($B1747,calc_data,N$14+1,0),2),0),0)</f>
        <v/>
      </c>
      <c r="O1747" s="147">
        <f>IF(offer_sale_type="транзит",IFERROR(ROUND(VLOOKUP($B1747,calc_data,O$14+1,1),2),0),0)</f>
        <v/>
      </c>
      <c r="P1747" s="141">
        <f>IF(offer_sale_type="транзит",IFERROR(ROUND(SUM(I1747:J1747,M1747:O1747)/E1747,2),0),0)</f>
        <v/>
      </c>
      <c r="Q1747" s="141">
        <f>E1747*P1747</f>
        <v/>
      </c>
      <c r="R1747" s="141">
        <f>ROUND(Q1747*IF(AND(offer_incoterms="DDP",seller_region="RU"),IF((TODAY()+offer_turnaround_time)&gt;=helpsheet!$L$17,rate_vatRU_from_26,rate_vatRu_till_25),0),2)</f>
        <v/>
      </c>
      <c r="S1747" s="177">
        <f>Q1747+IF(AND(offer_incoterms="DDP",seller_region="RU"),R1747,0)</f>
        <v/>
      </c>
      <c r="T1747" s="45" t="n"/>
      <c r="V1747" s="57">
        <f>IF(Q1747&gt;0,"показать","скрыть")</f>
        <v/>
      </c>
    </row>
    <row r="1748" ht="15.75" customHeight="1">
      <c r="B1748" s="809" t="n">
        <v>1732</v>
      </c>
      <c r="C1748" s="182">
        <f>IF(offer_sale_type="транзит",IFERROR(VLOOKUP($B1748,calc_data,C$14+1,0),0),0)</f>
        <v/>
      </c>
      <c r="D1748" s="280">
        <f>IF(offer_sale_type="транзит",IFERROR(VLOOKUP($B1748,calc_data,D$14+1,0),0),0)</f>
        <v/>
      </c>
      <c r="E1748" s="182">
        <f>IF(offer_sale_type="транзит",IFERROR(VLOOKUP($B1748,calc_data,E$14+1,0),0),0)</f>
        <v/>
      </c>
      <c r="F1748" s="182">
        <f>IF(offer_sale_type="транзит",IFERROR(VLOOKUP($B1748,calc_data,F$14+1,0),0),0)</f>
        <v/>
      </c>
      <c r="G1748" s="141">
        <f>IF(offer_sale_type="транзит",IFERROR(VLOOKUP($B1748,calc_data,G$14+1,0),0),0)</f>
        <v/>
      </c>
      <c r="H1748" s="141">
        <f>E1748*G1748</f>
        <v/>
      </c>
      <c r="I1748" s="141">
        <f>IF(offer_sale_type="транзит",IFERROR(ROUND(VLOOKUP($B1748,calc_data,I$14+1,0),2),0),0)</f>
        <v/>
      </c>
      <c r="J1748" s="141">
        <f>ROUND(IF(offer_sale_type="транзит",IFERROR(VLOOKUP($B1748,calc_data,J$14+1,0),0),0),2)</f>
        <v/>
      </c>
      <c r="K1748" s="142">
        <f>IF(offer_sale_type="транзит",IFERROR(ROUNDUP(VLOOKUP($B1748,calc_data,K$14+1,0),2),0),0)</f>
        <v/>
      </c>
      <c r="L1748" s="184">
        <f>IF(offer_sale_type="транзит",IFERROR(ROUNDUP(VLOOKUP($B1748,calc_data,L$14+1,0),2),0),0)</f>
        <v/>
      </c>
      <c r="M1748" s="141">
        <f>IF(offer_sale_type="транзит",IFERROR(ROUNDUP(VLOOKUP($B1748,calc_data,M$14+1,0),2),0),0)</f>
        <v/>
      </c>
      <c r="N1748" s="141">
        <f>IF(offer_sale_type="транзит",IFERROR(ROUNDUP(VLOOKUP($B1748,calc_data,N$14+1,0),2),0),0)</f>
        <v/>
      </c>
      <c r="O1748" s="147">
        <f>IF(offer_sale_type="транзит",IFERROR(ROUND(VLOOKUP($B1748,calc_data,O$14+1,1),2),0),0)</f>
        <v/>
      </c>
      <c r="P1748" s="141">
        <f>IF(offer_sale_type="транзит",IFERROR(ROUND(SUM(I1748:J1748,M1748:O1748)/E1748,2),0),0)</f>
        <v/>
      </c>
      <c r="Q1748" s="141">
        <f>E1748*P1748</f>
        <v/>
      </c>
      <c r="R1748" s="141">
        <f>ROUND(Q1748*IF(AND(offer_incoterms="DDP",seller_region="RU"),IF((TODAY()+offer_turnaround_time)&gt;=helpsheet!$L$17,rate_vatRU_from_26,rate_vatRu_till_25),0),2)</f>
        <v/>
      </c>
      <c r="S1748" s="177">
        <f>Q1748+IF(AND(offer_incoterms="DDP",seller_region="RU"),R1748,0)</f>
        <v/>
      </c>
      <c r="T1748" s="45" t="n"/>
      <c r="V1748" s="57">
        <f>IF(Q1748&gt;0,"показать","скрыть")</f>
        <v/>
      </c>
    </row>
    <row r="1749" ht="15.75" customHeight="1">
      <c r="B1749" s="809" t="n">
        <v>1733</v>
      </c>
      <c r="C1749" s="182">
        <f>IF(offer_sale_type="транзит",IFERROR(VLOOKUP($B1749,calc_data,C$14+1,0),0),0)</f>
        <v/>
      </c>
      <c r="D1749" s="280">
        <f>IF(offer_sale_type="транзит",IFERROR(VLOOKUP($B1749,calc_data,D$14+1,0),0),0)</f>
        <v/>
      </c>
      <c r="E1749" s="182">
        <f>IF(offer_sale_type="транзит",IFERROR(VLOOKUP($B1749,calc_data,E$14+1,0),0),0)</f>
        <v/>
      </c>
      <c r="F1749" s="182">
        <f>IF(offer_sale_type="транзит",IFERROR(VLOOKUP($B1749,calc_data,F$14+1,0),0),0)</f>
        <v/>
      </c>
      <c r="G1749" s="141">
        <f>IF(offer_sale_type="транзит",IFERROR(VLOOKUP($B1749,calc_data,G$14+1,0),0),0)</f>
        <v/>
      </c>
      <c r="H1749" s="141">
        <f>E1749*G1749</f>
        <v/>
      </c>
      <c r="I1749" s="141">
        <f>IF(offer_sale_type="транзит",IFERROR(ROUND(VLOOKUP($B1749,calc_data,I$14+1,0),2),0),0)</f>
        <v/>
      </c>
      <c r="J1749" s="141">
        <f>ROUND(IF(offer_sale_type="транзит",IFERROR(VLOOKUP($B1749,calc_data,J$14+1,0),0),0),2)</f>
        <v/>
      </c>
      <c r="K1749" s="142">
        <f>IF(offer_sale_type="транзит",IFERROR(ROUNDUP(VLOOKUP($B1749,calc_data,K$14+1,0),2),0),0)</f>
        <v/>
      </c>
      <c r="L1749" s="184">
        <f>IF(offer_sale_type="транзит",IFERROR(ROUNDUP(VLOOKUP($B1749,calc_data,L$14+1,0),2),0),0)</f>
        <v/>
      </c>
      <c r="M1749" s="141">
        <f>IF(offer_sale_type="транзит",IFERROR(ROUNDUP(VLOOKUP($B1749,calc_data,M$14+1,0),2),0),0)</f>
        <v/>
      </c>
      <c r="N1749" s="141">
        <f>IF(offer_sale_type="транзит",IFERROR(ROUNDUP(VLOOKUP($B1749,calc_data,N$14+1,0),2),0),0)</f>
        <v/>
      </c>
      <c r="O1749" s="147">
        <f>IF(offer_sale_type="транзит",IFERROR(ROUND(VLOOKUP($B1749,calc_data,O$14+1,1),2),0),0)</f>
        <v/>
      </c>
      <c r="P1749" s="141">
        <f>IF(offer_sale_type="транзит",IFERROR(ROUND(SUM(I1749:J1749,M1749:O1749)/E1749,2),0),0)</f>
        <v/>
      </c>
      <c r="Q1749" s="141">
        <f>E1749*P1749</f>
        <v/>
      </c>
      <c r="R1749" s="141">
        <f>ROUND(Q1749*IF(AND(offer_incoterms="DDP",seller_region="RU"),IF((TODAY()+offer_turnaround_time)&gt;=helpsheet!$L$17,rate_vatRU_from_26,rate_vatRu_till_25),0),2)</f>
        <v/>
      </c>
      <c r="S1749" s="177">
        <f>Q1749+IF(AND(offer_incoterms="DDP",seller_region="RU"),R1749,0)</f>
        <v/>
      </c>
      <c r="T1749" s="45" t="n"/>
      <c r="V1749" s="57">
        <f>IF(Q1749&gt;0,"показать","скрыть")</f>
        <v/>
      </c>
    </row>
    <row r="1750" ht="15.75" customHeight="1">
      <c r="B1750" s="809" t="n">
        <v>1734</v>
      </c>
      <c r="C1750" s="182">
        <f>IF(offer_sale_type="транзит",IFERROR(VLOOKUP($B1750,calc_data,C$14+1,0),0),0)</f>
        <v/>
      </c>
      <c r="D1750" s="280">
        <f>IF(offer_sale_type="транзит",IFERROR(VLOOKUP($B1750,calc_data,D$14+1,0),0),0)</f>
        <v/>
      </c>
      <c r="E1750" s="182">
        <f>IF(offer_sale_type="транзит",IFERROR(VLOOKUP($B1750,calc_data,E$14+1,0),0),0)</f>
        <v/>
      </c>
      <c r="F1750" s="182">
        <f>IF(offer_sale_type="транзит",IFERROR(VLOOKUP($B1750,calc_data,F$14+1,0),0),0)</f>
        <v/>
      </c>
      <c r="G1750" s="141">
        <f>IF(offer_sale_type="транзит",IFERROR(VLOOKUP($B1750,calc_data,G$14+1,0),0),0)</f>
        <v/>
      </c>
      <c r="H1750" s="141">
        <f>E1750*G1750</f>
        <v/>
      </c>
      <c r="I1750" s="141">
        <f>IF(offer_sale_type="транзит",IFERROR(ROUND(VLOOKUP($B1750,calc_data,I$14+1,0),2),0),0)</f>
        <v/>
      </c>
      <c r="J1750" s="141">
        <f>ROUND(IF(offer_sale_type="транзит",IFERROR(VLOOKUP($B1750,calc_data,J$14+1,0),0),0),2)</f>
        <v/>
      </c>
      <c r="K1750" s="142">
        <f>IF(offer_sale_type="транзит",IFERROR(ROUNDUP(VLOOKUP($B1750,calc_data,K$14+1,0),2),0),0)</f>
        <v/>
      </c>
      <c r="L1750" s="184">
        <f>IF(offer_sale_type="транзит",IFERROR(ROUNDUP(VLOOKUP($B1750,calc_data,L$14+1,0),2),0),0)</f>
        <v/>
      </c>
      <c r="M1750" s="141">
        <f>IF(offer_sale_type="транзит",IFERROR(ROUNDUP(VLOOKUP($B1750,calc_data,M$14+1,0),2),0),0)</f>
        <v/>
      </c>
      <c r="N1750" s="141">
        <f>IF(offer_sale_type="транзит",IFERROR(ROUNDUP(VLOOKUP($B1750,calc_data,N$14+1,0),2),0),0)</f>
        <v/>
      </c>
      <c r="O1750" s="147">
        <f>IF(offer_sale_type="транзит",IFERROR(ROUND(VLOOKUP($B1750,calc_data,O$14+1,1),2),0),0)</f>
        <v/>
      </c>
      <c r="P1750" s="141">
        <f>IF(offer_sale_type="транзит",IFERROR(ROUND(SUM(I1750:J1750,M1750:O1750)/E1750,2),0),0)</f>
        <v/>
      </c>
      <c r="Q1750" s="141">
        <f>E1750*P1750</f>
        <v/>
      </c>
      <c r="R1750" s="141">
        <f>ROUND(Q1750*IF(AND(offer_incoterms="DDP",seller_region="RU"),IF((TODAY()+offer_turnaround_time)&gt;=helpsheet!$L$17,rate_vatRU_from_26,rate_vatRu_till_25),0),2)</f>
        <v/>
      </c>
      <c r="S1750" s="177">
        <f>Q1750+IF(AND(offer_incoterms="DDP",seller_region="RU"),R1750,0)</f>
        <v/>
      </c>
      <c r="T1750" s="45" t="n"/>
      <c r="V1750" s="57">
        <f>IF(Q1750&gt;0,"показать","скрыть")</f>
        <v/>
      </c>
    </row>
    <row r="1751" ht="15.75" customHeight="1">
      <c r="B1751" s="809" t="n">
        <v>1735</v>
      </c>
      <c r="C1751" s="182">
        <f>IF(offer_sale_type="транзит",IFERROR(VLOOKUP($B1751,calc_data,C$14+1,0),0),0)</f>
        <v/>
      </c>
      <c r="D1751" s="280">
        <f>IF(offer_sale_type="транзит",IFERROR(VLOOKUP($B1751,calc_data,D$14+1,0),0),0)</f>
        <v/>
      </c>
      <c r="E1751" s="182">
        <f>IF(offer_sale_type="транзит",IFERROR(VLOOKUP($B1751,calc_data,E$14+1,0),0),0)</f>
        <v/>
      </c>
      <c r="F1751" s="182">
        <f>IF(offer_sale_type="транзит",IFERROR(VLOOKUP($B1751,calc_data,F$14+1,0),0),0)</f>
        <v/>
      </c>
      <c r="G1751" s="141">
        <f>IF(offer_sale_type="транзит",IFERROR(VLOOKUP($B1751,calc_data,G$14+1,0),0),0)</f>
        <v/>
      </c>
      <c r="H1751" s="141">
        <f>E1751*G1751</f>
        <v/>
      </c>
      <c r="I1751" s="141">
        <f>IF(offer_sale_type="транзит",IFERROR(ROUND(VLOOKUP($B1751,calc_data,I$14+1,0),2),0),0)</f>
        <v/>
      </c>
      <c r="J1751" s="141">
        <f>ROUND(IF(offer_sale_type="транзит",IFERROR(VLOOKUP($B1751,calc_data,J$14+1,0),0),0),2)</f>
        <v/>
      </c>
      <c r="K1751" s="142">
        <f>IF(offer_sale_type="транзит",IFERROR(ROUNDUP(VLOOKUP($B1751,calc_data,K$14+1,0),2),0),0)</f>
        <v/>
      </c>
      <c r="L1751" s="184">
        <f>IF(offer_sale_type="транзит",IFERROR(ROUNDUP(VLOOKUP($B1751,calc_data,L$14+1,0),2),0),0)</f>
        <v/>
      </c>
      <c r="M1751" s="141">
        <f>IF(offer_sale_type="транзит",IFERROR(ROUNDUP(VLOOKUP($B1751,calc_data,M$14+1,0),2),0),0)</f>
        <v/>
      </c>
      <c r="N1751" s="141">
        <f>IF(offer_sale_type="транзит",IFERROR(ROUNDUP(VLOOKUP($B1751,calc_data,N$14+1,0),2),0),0)</f>
        <v/>
      </c>
      <c r="O1751" s="147">
        <f>IF(offer_sale_type="транзит",IFERROR(ROUND(VLOOKUP($B1751,calc_data,O$14+1,1),2),0),0)</f>
        <v/>
      </c>
      <c r="P1751" s="141">
        <f>IF(offer_sale_type="транзит",IFERROR(ROUND(SUM(I1751:J1751,M1751:O1751)/E1751,2),0),0)</f>
        <v/>
      </c>
      <c r="Q1751" s="141">
        <f>E1751*P1751</f>
        <v/>
      </c>
      <c r="R1751" s="141">
        <f>ROUND(Q1751*IF(AND(offer_incoterms="DDP",seller_region="RU"),IF((TODAY()+offer_turnaround_time)&gt;=helpsheet!$L$17,rate_vatRU_from_26,rate_vatRu_till_25),0),2)</f>
        <v/>
      </c>
      <c r="S1751" s="177">
        <f>Q1751+IF(AND(offer_incoterms="DDP",seller_region="RU"),R1751,0)</f>
        <v/>
      </c>
      <c r="T1751" s="45" t="n"/>
      <c r="V1751" s="57">
        <f>IF(Q1751&gt;0,"показать","скрыть")</f>
        <v/>
      </c>
    </row>
    <row r="1752" ht="15.75" customHeight="1">
      <c r="B1752" s="809" t="n">
        <v>1736</v>
      </c>
      <c r="C1752" s="182">
        <f>IF(offer_sale_type="транзит",IFERROR(VLOOKUP($B1752,calc_data,C$14+1,0),0),0)</f>
        <v/>
      </c>
      <c r="D1752" s="280">
        <f>IF(offer_sale_type="транзит",IFERROR(VLOOKUP($B1752,calc_data,D$14+1,0),0),0)</f>
        <v/>
      </c>
      <c r="E1752" s="182">
        <f>IF(offer_sale_type="транзит",IFERROR(VLOOKUP($B1752,calc_data,E$14+1,0),0),0)</f>
        <v/>
      </c>
      <c r="F1752" s="182">
        <f>IF(offer_sale_type="транзит",IFERROR(VLOOKUP($B1752,calc_data,F$14+1,0),0),0)</f>
        <v/>
      </c>
      <c r="G1752" s="141">
        <f>IF(offer_sale_type="транзит",IFERROR(VLOOKUP($B1752,calc_data,G$14+1,0),0),0)</f>
        <v/>
      </c>
      <c r="H1752" s="141">
        <f>E1752*G1752</f>
        <v/>
      </c>
      <c r="I1752" s="141">
        <f>IF(offer_sale_type="транзит",IFERROR(ROUND(VLOOKUP($B1752,calc_data,I$14+1,0),2),0),0)</f>
        <v/>
      </c>
      <c r="J1752" s="141">
        <f>ROUND(IF(offer_sale_type="транзит",IFERROR(VLOOKUP($B1752,calc_data,J$14+1,0),0),0),2)</f>
        <v/>
      </c>
      <c r="K1752" s="142">
        <f>IF(offer_sale_type="транзит",IFERROR(ROUNDUP(VLOOKUP($B1752,calc_data,K$14+1,0),2),0),0)</f>
        <v/>
      </c>
      <c r="L1752" s="184">
        <f>IF(offer_sale_type="транзит",IFERROR(ROUNDUP(VLOOKUP($B1752,calc_data,L$14+1,0),2),0),0)</f>
        <v/>
      </c>
      <c r="M1752" s="141">
        <f>IF(offer_sale_type="транзит",IFERROR(ROUNDUP(VLOOKUP($B1752,calc_data,M$14+1,0),2),0),0)</f>
        <v/>
      </c>
      <c r="N1752" s="141">
        <f>IF(offer_sale_type="транзит",IFERROR(ROUNDUP(VLOOKUP($B1752,calc_data,N$14+1,0),2),0),0)</f>
        <v/>
      </c>
      <c r="O1752" s="147">
        <f>IF(offer_sale_type="транзит",IFERROR(ROUND(VLOOKUP($B1752,calc_data,O$14+1,1),2),0),0)</f>
        <v/>
      </c>
      <c r="P1752" s="141">
        <f>IF(offer_sale_type="транзит",IFERROR(ROUND(SUM(I1752:J1752,M1752:O1752)/E1752,2),0),0)</f>
        <v/>
      </c>
      <c r="Q1752" s="141">
        <f>E1752*P1752</f>
        <v/>
      </c>
      <c r="R1752" s="141">
        <f>ROUND(Q1752*IF(AND(offer_incoterms="DDP",seller_region="RU"),IF((TODAY()+offer_turnaround_time)&gt;=helpsheet!$L$17,rate_vatRU_from_26,rate_vatRu_till_25),0),2)</f>
        <v/>
      </c>
      <c r="S1752" s="177">
        <f>Q1752+IF(AND(offer_incoterms="DDP",seller_region="RU"),R1752,0)</f>
        <v/>
      </c>
      <c r="T1752" s="45" t="n"/>
      <c r="V1752" s="57">
        <f>IF(Q1752&gt;0,"показать","скрыть")</f>
        <v/>
      </c>
    </row>
    <row r="1753" ht="15.75" customHeight="1">
      <c r="B1753" s="809" t="n">
        <v>1737</v>
      </c>
      <c r="C1753" s="182">
        <f>IF(offer_sale_type="транзит",IFERROR(VLOOKUP($B1753,calc_data,C$14+1,0),0),0)</f>
        <v/>
      </c>
      <c r="D1753" s="280">
        <f>IF(offer_sale_type="транзит",IFERROR(VLOOKUP($B1753,calc_data,D$14+1,0),0),0)</f>
        <v/>
      </c>
      <c r="E1753" s="182">
        <f>IF(offer_sale_type="транзит",IFERROR(VLOOKUP($B1753,calc_data,E$14+1,0),0),0)</f>
        <v/>
      </c>
      <c r="F1753" s="182">
        <f>IF(offer_sale_type="транзит",IFERROR(VLOOKUP($B1753,calc_data,F$14+1,0),0),0)</f>
        <v/>
      </c>
      <c r="G1753" s="141">
        <f>IF(offer_sale_type="транзит",IFERROR(VLOOKUP($B1753,calc_data,G$14+1,0),0),0)</f>
        <v/>
      </c>
      <c r="H1753" s="141">
        <f>E1753*G1753</f>
        <v/>
      </c>
      <c r="I1753" s="141">
        <f>IF(offer_sale_type="транзит",IFERROR(ROUND(VLOOKUP($B1753,calc_data,I$14+1,0),2),0),0)</f>
        <v/>
      </c>
      <c r="J1753" s="141">
        <f>ROUND(IF(offer_sale_type="транзит",IFERROR(VLOOKUP($B1753,calc_data,J$14+1,0),0),0),2)</f>
        <v/>
      </c>
      <c r="K1753" s="142">
        <f>IF(offer_sale_type="транзит",IFERROR(ROUNDUP(VLOOKUP($B1753,calc_data,K$14+1,0),2),0),0)</f>
        <v/>
      </c>
      <c r="L1753" s="184">
        <f>IF(offer_sale_type="транзит",IFERROR(ROUNDUP(VLOOKUP($B1753,calc_data,L$14+1,0),2),0),0)</f>
        <v/>
      </c>
      <c r="M1753" s="141">
        <f>IF(offer_sale_type="транзит",IFERROR(ROUNDUP(VLOOKUP($B1753,calc_data,M$14+1,0),2),0),0)</f>
        <v/>
      </c>
      <c r="N1753" s="141">
        <f>IF(offer_sale_type="транзит",IFERROR(ROUNDUP(VLOOKUP($B1753,calc_data,N$14+1,0),2),0),0)</f>
        <v/>
      </c>
      <c r="O1753" s="147">
        <f>IF(offer_sale_type="транзит",IFERROR(ROUND(VLOOKUP($B1753,calc_data,O$14+1,1),2),0),0)</f>
        <v/>
      </c>
      <c r="P1753" s="141">
        <f>IF(offer_sale_type="транзит",IFERROR(ROUND(SUM(I1753:J1753,M1753:O1753)/E1753,2),0),0)</f>
        <v/>
      </c>
      <c r="Q1753" s="141">
        <f>E1753*P1753</f>
        <v/>
      </c>
      <c r="R1753" s="141">
        <f>ROUND(Q1753*IF(AND(offer_incoterms="DDP",seller_region="RU"),IF((TODAY()+offer_turnaround_time)&gt;=helpsheet!$L$17,rate_vatRU_from_26,rate_vatRu_till_25),0),2)</f>
        <v/>
      </c>
      <c r="S1753" s="177">
        <f>Q1753+IF(AND(offer_incoterms="DDP",seller_region="RU"),R1753,0)</f>
        <v/>
      </c>
      <c r="T1753" s="45" t="n"/>
      <c r="V1753" s="57">
        <f>IF(Q1753&gt;0,"показать","скрыть")</f>
        <v/>
      </c>
    </row>
    <row r="1754" ht="15.75" customHeight="1">
      <c r="B1754" s="809" t="n">
        <v>1738</v>
      </c>
      <c r="C1754" s="182">
        <f>IF(offer_sale_type="транзит",IFERROR(VLOOKUP($B1754,calc_data,C$14+1,0),0),0)</f>
        <v/>
      </c>
      <c r="D1754" s="280">
        <f>IF(offer_sale_type="транзит",IFERROR(VLOOKUP($B1754,calc_data,D$14+1,0),0),0)</f>
        <v/>
      </c>
      <c r="E1754" s="182">
        <f>IF(offer_sale_type="транзит",IFERROR(VLOOKUP($B1754,calc_data,E$14+1,0),0),0)</f>
        <v/>
      </c>
      <c r="F1754" s="182">
        <f>IF(offer_sale_type="транзит",IFERROR(VLOOKUP($B1754,calc_data,F$14+1,0),0),0)</f>
        <v/>
      </c>
      <c r="G1754" s="141">
        <f>IF(offer_sale_type="транзит",IFERROR(VLOOKUP($B1754,calc_data,G$14+1,0),0),0)</f>
        <v/>
      </c>
      <c r="H1754" s="141">
        <f>E1754*G1754</f>
        <v/>
      </c>
      <c r="I1754" s="141">
        <f>IF(offer_sale_type="транзит",IFERROR(ROUND(VLOOKUP($B1754,calc_data,I$14+1,0),2),0),0)</f>
        <v/>
      </c>
      <c r="J1754" s="141">
        <f>ROUND(IF(offer_sale_type="транзит",IFERROR(VLOOKUP($B1754,calc_data,J$14+1,0),0),0),2)</f>
        <v/>
      </c>
      <c r="K1754" s="142">
        <f>IF(offer_sale_type="транзит",IFERROR(ROUNDUP(VLOOKUP($B1754,calc_data,K$14+1,0),2),0),0)</f>
        <v/>
      </c>
      <c r="L1754" s="184">
        <f>IF(offer_sale_type="транзит",IFERROR(ROUNDUP(VLOOKUP($B1754,calc_data,L$14+1,0),2),0),0)</f>
        <v/>
      </c>
      <c r="M1754" s="141">
        <f>IF(offer_sale_type="транзит",IFERROR(ROUNDUP(VLOOKUP($B1754,calc_data,M$14+1,0),2),0),0)</f>
        <v/>
      </c>
      <c r="N1754" s="141">
        <f>IF(offer_sale_type="транзит",IFERROR(ROUNDUP(VLOOKUP($B1754,calc_data,N$14+1,0),2),0),0)</f>
        <v/>
      </c>
      <c r="O1754" s="147">
        <f>IF(offer_sale_type="транзит",IFERROR(ROUND(VLOOKUP($B1754,calc_data,O$14+1,1),2),0),0)</f>
        <v/>
      </c>
      <c r="P1754" s="141">
        <f>IF(offer_sale_type="транзит",IFERROR(ROUND(SUM(I1754:J1754,M1754:O1754)/E1754,2),0),0)</f>
        <v/>
      </c>
      <c r="Q1754" s="141">
        <f>E1754*P1754</f>
        <v/>
      </c>
      <c r="R1754" s="141">
        <f>ROUND(Q1754*IF(AND(offer_incoterms="DDP",seller_region="RU"),IF((TODAY()+offer_turnaround_time)&gt;=helpsheet!$L$17,rate_vatRU_from_26,rate_vatRu_till_25),0),2)</f>
        <v/>
      </c>
      <c r="S1754" s="177">
        <f>Q1754+IF(AND(offer_incoterms="DDP",seller_region="RU"),R1754,0)</f>
        <v/>
      </c>
      <c r="T1754" s="45" t="n"/>
      <c r="V1754" s="57">
        <f>IF(Q1754&gt;0,"показать","скрыть")</f>
        <v/>
      </c>
    </row>
    <row r="1755" ht="15.75" customHeight="1">
      <c r="B1755" s="809" t="n">
        <v>1739</v>
      </c>
      <c r="C1755" s="182">
        <f>IF(offer_sale_type="транзит",IFERROR(VLOOKUP($B1755,calc_data,C$14+1,0),0),0)</f>
        <v/>
      </c>
      <c r="D1755" s="280">
        <f>IF(offer_sale_type="транзит",IFERROR(VLOOKUP($B1755,calc_data,D$14+1,0),0),0)</f>
        <v/>
      </c>
      <c r="E1755" s="182">
        <f>IF(offer_sale_type="транзит",IFERROR(VLOOKUP($B1755,calc_data,E$14+1,0),0),0)</f>
        <v/>
      </c>
      <c r="F1755" s="182">
        <f>IF(offer_sale_type="транзит",IFERROR(VLOOKUP($B1755,calc_data,F$14+1,0),0),0)</f>
        <v/>
      </c>
      <c r="G1755" s="141">
        <f>IF(offer_sale_type="транзит",IFERROR(VLOOKUP($B1755,calc_data,G$14+1,0),0),0)</f>
        <v/>
      </c>
      <c r="H1755" s="141">
        <f>E1755*G1755</f>
        <v/>
      </c>
      <c r="I1755" s="141">
        <f>IF(offer_sale_type="транзит",IFERROR(ROUND(VLOOKUP($B1755,calc_data,I$14+1,0),2),0),0)</f>
        <v/>
      </c>
      <c r="J1755" s="141">
        <f>ROUND(IF(offer_sale_type="транзит",IFERROR(VLOOKUP($B1755,calc_data,J$14+1,0),0),0),2)</f>
        <v/>
      </c>
      <c r="K1755" s="142">
        <f>IF(offer_sale_type="транзит",IFERROR(ROUNDUP(VLOOKUP($B1755,calc_data,K$14+1,0),2),0),0)</f>
        <v/>
      </c>
      <c r="L1755" s="184">
        <f>IF(offer_sale_type="транзит",IFERROR(ROUNDUP(VLOOKUP($B1755,calc_data,L$14+1,0),2),0),0)</f>
        <v/>
      </c>
      <c r="M1755" s="141">
        <f>IF(offer_sale_type="транзит",IFERROR(ROUNDUP(VLOOKUP($B1755,calc_data,M$14+1,0),2),0),0)</f>
        <v/>
      </c>
      <c r="N1755" s="141">
        <f>IF(offer_sale_type="транзит",IFERROR(ROUNDUP(VLOOKUP($B1755,calc_data,N$14+1,0),2),0),0)</f>
        <v/>
      </c>
      <c r="O1755" s="147">
        <f>IF(offer_sale_type="транзит",IFERROR(ROUND(VLOOKUP($B1755,calc_data,O$14+1,1),2),0),0)</f>
        <v/>
      </c>
      <c r="P1755" s="141">
        <f>IF(offer_sale_type="транзит",IFERROR(ROUND(SUM(I1755:J1755,M1755:O1755)/E1755,2),0),0)</f>
        <v/>
      </c>
      <c r="Q1755" s="141">
        <f>E1755*P1755</f>
        <v/>
      </c>
      <c r="R1755" s="141">
        <f>ROUND(Q1755*IF(AND(offer_incoterms="DDP",seller_region="RU"),IF((TODAY()+offer_turnaround_time)&gt;=helpsheet!$L$17,rate_vatRU_from_26,rate_vatRu_till_25),0),2)</f>
        <v/>
      </c>
      <c r="S1755" s="177">
        <f>Q1755+IF(AND(offer_incoterms="DDP",seller_region="RU"),R1755,0)</f>
        <v/>
      </c>
      <c r="T1755" s="45" t="n"/>
      <c r="V1755" s="57">
        <f>IF(Q1755&gt;0,"показать","скрыть")</f>
        <v/>
      </c>
    </row>
    <row r="1756" ht="15.75" customHeight="1">
      <c r="B1756" s="809" t="n">
        <v>1740</v>
      </c>
      <c r="C1756" s="182">
        <f>IF(offer_sale_type="транзит",IFERROR(VLOOKUP($B1756,calc_data,C$14+1,0),0),0)</f>
        <v/>
      </c>
      <c r="D1756" s="280">
        <f>IF(offer_sale_type="транзит",IFERROR(VLOOKUP($B1756,calc_data,D$14+1,0),0),0)</f>
        <v/>
      </c>
      <c r="E1756" s="182">
        <f>IF(offer_sale_type="транзит",IFERROR(VLOOKUP($B1756,calc_data,E$14+1,0),0),0)</f>
        <v/>
      </c>
      <c r="F1756" s="182">
        <f>IF(offer_sale_type="транзит",IFERROR(VLOOKUP($B1756,calc_data,F$14+1,0),0),0)</f>
        <v/>
      </c>
      <c r="G1756" s="141">
        <f>IF(offer_sale_type="транзит",IFERROR(VLOOKUP($B1756,calc_data,G$14+1,0),0),0)</f>
        <v/>
      </c>
      <c r="H1756" s="141">
        <f>E1756*G1756</f>
        <v/>
      </c>
      <c r="I1756" s="141">
        <f>IF(offer_sale_type="транзит",IFERROR(ROUND(VLOOKUP($B1756,calc_data,I$14+1,0),2),0),0)</f>
        <v/>
      </c>
      <c r="J1756" s="141">
        <f>ROUND(IF(offer_sale_type="транзит",IFERROR(VLOOKUP($B1756,calc_data,J$14+1,0),0),0),2)</f>
        <v/>
      </c>
      <c r="K1756" s="142">
        <f>IF(offer_sale_type="транзит",IFERROR(ROUNDUP(VLOOKUP($B1756,calc_data,K$14+1,0),2),0),0)</f>
        <v/>
      </c>
      <c r="L1756" s="184">
        <f>IF(offer_sale_type="транзит",IFERROR(ROUNDUP(VLOOKUP($B1756,calc_data,L$14+1,0),2),0),0)</f>
        <v/>
      </c>
      <c r="M1756" s="141">
        <f>IF(offer_sale_type="транзит",IFERROR(ROUNDUP(VLOOKUP($B1756,calc_data,M$14+1,0),2),0),0)</f>
        <v/>
      </c>
      <c r="N1756" s="141">
        <f>IF(offer_sale_type="транзит",IFERROR(ROUNDUP(VLOOKUP($B1756,calc_data,N$14+1,0),2),0),0)</f>
        <v/>
      </c>
      <c r="O1756" s="147">
        <f>IF(offer_sale_type="транзит",IFERROR(ROUND(VLOOKUP($B1756,calc_data,O$14+1,1),2),0),0)</f>
        <v/>
      </c>
      <c r="P1756" s="141">
        <f>IF(offer_sale_type="транзит",IFERROR(ROUND(SUM(I1756:J1756,M1756:O1756)/E1756,2),0),0)</f>
        <v/>
      </c>
      <c r="Q1756" s="141">
        <f>E1756*P1756</f>
        <v/>
      </c>
      <c r="R1756" s="141">
        <f>ROUND(Q1756*IF(AND(offer_incoterms="DDP",seller_region="RU"),IF((TODAY()+offer_turnaround_time)&gt;=helpsheet!$L$17,rate_vatRU_from_26,rate_vatRu_till_25),0),2)</f>
        <v/>
      </c>
      <c r="S1756" s="177">
        <f>Q1756+IF(AND(offer_incoterms="DDP",seller_region="RU"),R1756,0)</f>
        <v/>
      </c>
      <c r="T1756" s="45" t="n"/>
      <c r="V1756" s="57">
        <f>IF(Q1756&gt;0,"показать","скрыть")</f>
        <v/>
      </c>
    </row>
    <row r="1757" ht="15.75" customHeight="1">
      <c r="B1757" s="809" t="n">
        <v>1741</v>
      </c>
      <c r="C1757" s="182">
        <f>IF(offer_sale_type="транзит",IFERROR(VLOOKUP($B1757,calc_data,C$14+1,0),0),0)</f>
        <v/>
      </c>
      <c r="D1757" s="280">
        <f>IF(offer_sale_type="транзит",IFERROR(VLOOKUP($B1757,calc_data,D$14+1,0),0),0)</f>
        <v/>
      </c>
      <c r="E1757" s="182">
        <f>IF(offer_sale_type="транзит",IFERROR(VLOOKUP($B1757,calc_data,E$14+1,0),0),0)</f>
        <v/>
      </c>
      <c r="F1757" s="182">
        <f>IF(offer_sale_type="транзит",IFERROR(VLOOKUP($B1757,calc_data,F$14+1,0),0),0)</f>
        <v/>
      </c>
      <c r="G1757" s="141">
        <f>IF(offer_sale_type="транзит",IFERROR(VLOOKUP($B1757,calc_data,G$14+1,0),0),0)</f>
        <v/>
      </c>
      <c r="H1757" s="141">
        <f>E1757*G1757</f>
        <v/>
      </c>
      <c r="I1757" s="141">
        <f>IF(offer_sale_type="транзит",IFERROR(ROUND(VLOOKUP($B1757,calc_data,I$14+1,0),2),0),0)</f>
        <v/>
      </c>
      <c r="J1757" s="141">
        <f>ROUND(IF(offer_sale_type="транзит",IFERROR(VLOOKUP($B1757,calc_data,J$14+1,0),0),0),2)</f>
        <v/>
      </c>
      <c r="K1757" s="142">
        <f>IF(offer_sale_type="транзит",IFERROR(ROUNDUP(VLOOKUP($B1757,calc_data,K$14+1,0),2),0),0)</f>
        <v/>
      </c>
      <c r="L1757" s="184">
        <f>IF(offer_sale_type="транзит",IFERROR(ROUNDUP(VLOOKUP($B1757,calc_data,L$14+1,0),2),0),0)</f>
        <v/>
      </c>
      <c r="M1757" s="141">
        <f>IF(offer_sale_type="транзит",IFERROR(ROUNDUP(VLOOKUP($B1757,calc_data,M$14+1,0),2),0),0)</f>
        <v/>
      </c>
      <c r="N1757" s="141">
        <f>IF(offer_sale_type="транзит",IFERROR(ROUNDUP(VLOOKUP($B1757,calc_data,N$14+1,0),2),0),0)</f>
        <v/>
      </c>
      <c r="O1757" s="147">
        <f>IF(offer_sale_type="транзит",IFERROR(ROUND(VLOOKUP($B1757,calc_data,O$14+1,1),2),0),0)</f>
        <v/>
      </c>
      <c r="P1757" s="141">
        <f>IF(offer_sale_type="транзит",IFERROR(ROUND(SUM(I1757:J1757,M1757:O1757)/E1757,2),0),0)</f>
        <v/>
      </c>
      <c r="Q1757" s="141">
        <f>E1757*P1757</f>
        <v/>
      </c>
      <c r="R1757" s="141">
        <f>ROUND(Q1757*IF(AND(offer_incoterms="DDP",seller_region="RU"),IF((TODAY()+offer_turnaround_time)&gt;=helpsheet!$L$17,rate_vatRU_from_26,rate_vatRu_till_25),0),2)</f>
        <v/>
      </c>
      <c r="S1757" s="177">
        <f>Q1757+IF(AND(offer_incoterms="DDP",seller_region="RU"),R1757,0)</f>
        <v/>
      </c>
      <c r="T1757" s="45" t="n"/>
      <c r="V1757" s="57">
        <f>IF(Q1757&gt;0,"показать","скрыть")</f>
        <v/>
      </c>
    </row>
    <row r="1758" ht="15.75" customHeight="1">
      <c r="B1758" s="809" t="n">
        <v>1742</v>
      </c>
      <c r="C1758" s="182">
        <f>IF(offer_sale_type="транзит",IFERROR(VLOOKUP($B1758,calc_data,C$14+1,0),0),0)</f>
        <v/>
      </c>
      <c r="D1758" s="280">
        <f>IF(offer_sale_type="транзит",IFERROR(VLOOKUP($B1758,calc_data,D$14+1,0),0),0)</f>
        <v/>
      </c>
      <c r="E1758" s="182">
        <f>IF(offer_sale_type="транзит",IFERROR(VLOOKUP($B1758,calc_data,E$14+1,0),0),0)</f>
        <v/>
      </c>
      <c r="F1758" s="182">
        <f>IF(offer_sale_type="транзит",IFERROR(VLOOKUP($B1758,calc_data,F$14+1,0),0),0)</f>
        <v/>
      </c>
      <c r="G1758" s="141">
        <f>IF(offer_sale_type="транзит",IFERROR(VLOOKUP($B1758,calc_data,G$14+1,0),0),0)</f>
        <v/>
      </c>
      <c r="H1758" s="141">
        <f>E1758*G1758</f>
        <v/>
      </c>
      <c r="I1758" s="141">
        <f>IF(offer_sale_type="транзит",IFERROR(ROUND(VLOOKUP($B1758,calc_data,I$14+1,0),2),0),0)</f>
        <v/>
      </c>
      <c r="J1758" s="141">
        <f>ROUND(IF(offer_sale_type="транзит",IFERROR(VLOOKUP($B1758,calc_data,J$14+1,0),0),0),2)</f>
        <v/>
      </c>
      <c r="K1758" s="142">
        <f>IF(offer_sale_type="транзит",IFERROR(ROUNDUP(VLOOKUP($B1758,calc_data,K$14+1,0),2),0),0)</f>
        <v/>
      </c>
      <c r="L1758" s="184">
        <f>IF(offer_sale_type="транзит",IFERROR(ROUNDUP(VLOOKUP($B1758,calc_data,L$14+1,0),2),0),0)</f>
        <v/>
      </c>
      <c r="M1758" s="141">
        <f>IF(offer_sale_type="транзит",IFERROR(ROUNDUP(VLOOKUP($B1758,calc_data,M$14+1,0),2),0),0)</f>
        <v/>
      </c>
      <c r="N1758" s="141">
        <f>IF(offer_sale_type="транзит",IFERROR(ROUNDUP(VLOOKUP($B1758,calc_data,N$14+1,0),2),0),0)</f>
        <v/>
      </c>
      <c r="O1758" s="147">
        <f>IF(offer_sale_type="транзит",IFERROR(ROUND(VLOOKUP($B1758,calc_data,O$14+1,1),2),0),0)</f>
        <v/>
      </c>
      <c r="P1758" s="141">
        <f>IF(offer_sale_type="транзит",IFERROR(ROUND(SUM(I1758:J1758,M1758:O1758)/E1758,2),0),0)</f>
        <v/>
      </c>
      <c r="Q1758" s="141">
        <f>E1758*P1758</f>
        <v/>
      </c>
      <c r="R1758" s="141">
        <f>ROUND(Q1758*IF(AND(offer_incoterms="DDP",seller_region="RU"),IF((TODAY()+offer_turnaround_time)&gt;=helpsheet!$L$17,rate_vatRU_from_26,rate_vatRu_till_25),0),2)</f>
        <v/>
      </c>
      <c r="S1758" s="177">
        <f>Q1758+IF(AND(offer_incoterms="DDP",seller_region="RU"),R1758,0)</f>
        <v/>
      </c>
      <c r="T1758" s="45" t="n"/>
      <c r="V1758" s="57">
        <f>IF(Q1758&gt;0,"показать","скрыть")</f>
        <v/>
      </c>
    </row>
    <row r="1759" ht="15.75" customHeight="1">
      <c r="B1759" s="809" t="n">
        <v>1743</v>
      </c>
      <c r="C1759" s="182">
        <f>IF(offer_sale_type="транзит",IFERROR(VLOOKUP($B1759,calc_data,C$14+1,0),0),0)</f>
        <v/>
      </c>
      <c r="D1759" s="280">
        <f>IF(offer_sale_type="транзит",IFERROR(VLOOKUP($B1759,calc_data,D$14+1,0),0),0)</f>
        <v/>
      </c>
      <c r="E1759" s="182">
        <f>IF(offer_sale_type="транзит",IFERROR(VLOOKUP($B1759,calc_data,E$14+1,0),0),0)</f>
        <v/>
      </c>
      <c r="F1759" s="182">
        <f>IF(offer_sale_type="транзит",IFERROR(VLOOKUP($B1759,calc_data,F$14+1,0),0),0)</f>
        <v/>
      </c>
      <c r="G1759" s="141">
        <f>IF(offer_sale_type="транзит",IFERROR(VLOOKUP($B1759,calc_data,G$14+1,0),0),0)</f>
        <v/>
      </c>
      <c r="H1759" s="141">
        <f>E1759*G1759</f>
        <v/>
      </c>
      <c r="I1759" s="141">
        <f>IF(offer_sale_type="транзит",IFERROR(ROUND(VLOOKUP($B1759,calc_data,I$14+1,0),2),0),0)</f>
        <v/>
      </c>
      <c r="J1759" s="141">
        <f>ROUND(IF(offer_sale_type="транзит",IFERROR(VLOOKUP($B1759,calc_data,J$14+1,0),0),0),2)</f>
        <v/>
      </c>
      <c r="K1759" s="142">
        <f>IF(offer_sale_type="транзит",IFERROR(ROUNDUP(VLOOKUP($B1759,calc_data,K$14+1,0),2),0),0)</f>
        <v/>
      </c>
      <c r="L1759" s="184">
        <f>IF(offer_sale_type="транзит",IFERROR(ROUNDUP(VLOOKUP($B1759,calc_data,L$14+1,0),2),0),0)</f>
        <v/>
      </c>
      <c r="M1759" s="141">
        <f>IF(offer_sale_type="транзит",IFERROR(ROUNDUP(VLOOKUP($B1759,calc_data,M$14+1,0),2),0),0)</f>
        <v/>
      </c>
      <c r="N1759" s="141">
        <f>IF(offer_sale_type="транзит",IFERROR(ROUNDUP(VLOOKUP($B1759,calc_data,N$14+1,0),2),0),0)</f>
        <v/>
      </c>
      <c r="O1759" s="147">
        <f>IF(offer_sale_type="транзит",IFERROR(ROUND(VLOOKUP($B1759,calc_data,O$14+1,1),2),0),0)</f>
        <v/>
      </c>
      <c r="P1759" s="141">
        <f>IF(offer_sale_type="транзит",IFERROR(ROUND(SUM(I1759:J1759,M1759:O1759)/E1759,2),0),0)</f>
        <v/>
      </c>
      <c r="Q1759" s="141">
        <f>E1759*P1759</f>
        <v/>
      </c>
      <c r="R1759" s="141">
        <f>ROUND(Q1759*IF(AND(offer_incoterms="DDP",seller_region="RU"),IF((TODAY()+offer_turnaround_time)&gt;=helpsheet!$L$17,rate_vatRU_from_26,rate_vatRu_till_25),0),2)</f>
        <v/>
      </c>
      <c r="S1759" s="177">
        <f>Q1759+IF(AND(offer_incoterms="DDP",seller_region="RU"),R1759,0)</f>
        <v/>
      </c>
      <c r="T1759" s="45" t="n"/>
      <c r="V1759" s="57">
        <f>IF(Q1759&gt;0,"показать","скрыть")</f>
        <v/>
      </c>
    </row>
    <row r="1760" ht="15.75" customHeight="1">
      <c r="B1760" s="809" t="n">
        <v>1744</v>
      </c>
      <c r="C1760" s="182">
        <f>IF(offer_sale_type="транзит",IFERROR(VLOOKUP($B1760,calc_data,C$14+1,0),0),0)</f>
        <v/>
      </c>
      <c r="D1760" s="280">
        <f>IF(offer_sale_type="транзит",IFERROR(VLOOKUP($B1760,calc_data,D$14+1,0),0),0)</f>
        <v/>
      </c>
      <c r="E1760" s="182">
        <f>IF(offer_sale_type="транзит",IFERROR(VLOOKUP($B1760,calc_data,E$14+1,0),0),0)</f>
        <v/>
      </c>
      <c r="F1760" s="182">
        <f>IF(offer_sale_type="транзит",IFERROR(VLOOKUP($B1760,calc_data,F$14+1,0),0),0)</f>
        <v/>
      </c>
      <c r="G1760" s="141">
        <f>IF(offer_sale_type="транзит",IFERROR(VLOOKUP($B1760,calc_data,G$14+1,0),0),0)</f>
        <v/>
      </c>
      <c r="H1760" s="141">
        <f>E1760*G1760</f>
        <v/>
      </c>
      <c r="I1760" s="141">
        <f>IF(offer_sale_type="транзит",IFERROR(ROUND(VLOOKUP($B1760,calc_data,I$14+1,0),2),0),0)</f>
        <v/>
      </c>
      <c r="J1760" s="141">
        <f>ROUND(IF(offer_sale_type="транзит",IFERROR(VLOOKUP($B1760,calc_data,J$14+1,0),0),0),2)</f>
        <v/>
      </c>
      <c r="K1760" s="142">
        <f>IF(offer_sale_type="транзит",IFERROR(ROUNDUP(VLOOKUP($B1760,calc_data,K$14+1,0),2),0),0)</f>
        <v/>
      </c>
      <c r="L1760" s="184">
        <f>IF(offer_sale_type="транзит",IFERROR(ROUNDUP(VLOOKUP($B1760,calc_data,L$14+1,0),2),0),0)</f>
        <v/>
      </c>
      <c r="M1760" s="141">
        <f>IF(offer_sale_type="транзит",IFERROR(ROUNDUP(VLOOKUP($B1760,calc_data,M$14+1,0),2),0),0)</f>
        <v/>
      </c>
      <c r="N1760" s="141">
        <f>IF(offer_sale_type="транзит",IFERROR(ROUNDUP(VLOOKUP($B1760,calc_data,N$14+1,0),2),0),0)</f>
        <v/>
      </c>
      <c r="O1760" s="147">
        <f>IF(offer_sale_type="транзит",IFERROR(ROUND(VLOOKUP($B1760,calc_data,O$14+1,1),2),0),0)</f>
        <v/>
      </c>
      <c r="P1760" s="141">
        <f>IF(offer_sale_type="транзит",IFERROR(ROUND(SUM(I1760:J1760,M1760:O1760)/E1760,2),0),0)</f>
        <v/>
      </c>
      <c r="Q1760" s="141">
        <f>E1760*P1760</f>
        <v/>
      </c>
      <c r="R1760" s="141">
        <f>ROUND(Q1760*IF(AND(offer_incoterms="DDP",seller_region="RU"),IF((TODAY()+offer_turnaround_time)&gt;=helpsheet!$L$17,rate_vatRU_from_26,rate_vatRu_till_25),0),2)</f>
        <v/>
      </c>
      <c r="S1760" s="177">
        <f>Q1760+IF(AND(offer_incoterms="DDP",seller_region="RU"),R1760,0)</f>
        <v/>
      </c>
      <c r="T1760" s="45" t="n"/>
      <c r="V1760" s="57">
        <f>IF(Q1760&gt;0,"показать","скрыть")</f>
        <v/>
      </c>
    </row>
    <row r="1761" ht="15.75" customHeight="1">
      <c r="B1761" s="809" t="n">
        <v>1745</v>
      </c>
      <c r="C1761" s="182">
        <f>IF(offer_sale_type="транзит",IFERROR(VLOOKUP($B1761,calc_data,C$14+1,0),0),0)</f>
        <v/>
      </c>
      <c r="D1761" s="280">
        <f>IF(offer_sale_type="транзит",IFERROR(VLOOKUP($B1761,calc_data,D$14+1,0),0),0)</f>
        <v/>
      </c>
      <c r="E1761" s="182">
        <f>IF(offer_sale_type="транзит",IFERROR(VLOOKUP($B1761,calc_data,E$14+1,0),0),0)</f>
        <v/>
      </c>
      <c r="F1761" s="182">
        <f>IF(offer_sale_type="транзит",IFERROR(VLOOKUP($B1761,calc_data,F$14+1,0),0),0)</f>
        <v/>
      </c>
      <c r="G1761" s="141">
        <f>IF(offer_sale_type="транзит",IFERROR(VLOOKUP($B1761,calc_data,G$14+1,0),0),0)</f>
        <v/>
      </c>
      <c r="H1761" s="141">
        <f>E1761*G1761</f>
        <v/>
      </c>
      <c r="I1761" s="141">
        <f>IF(offer_sale_type="транзит",IFERROR(ROUND(VLOOKUP($B1761,calc_data,I$14+1,0),2),0),0)</f>
        <v/>
      </c>
      <c r="J1761" s="141">
        <f>ROUND(IF(offer_sale_type="транзит",IFERROR(VLOOKUP($B1761,calc_data,J$14+1,0),0),0),2)</f>
        <v/>
      </c>
      <c r="K1761" s="142">
        <f>IF(offer_sale_type="транзит",IFERROR(ROUNDUP(VLOOKUP($B1761,calc_data,K$14+1,0),2),0),0)</f>
        <v/>
      </c>
      <c r="L1761" s="184">
        <f>IF(offer_sale_type="транзит",IFERROR(ROUNDUP(VLOOKUP($B1761,calc_data,L$14+1,0),2),0),0)</f>
        <v/>
      </c>
      <c r="M1761" s="141">
        <f>IF(offer_sale_type="транзит",IFERROR(ROUNDUP(VLOOKUP($B1761,calc_data,M$14+1,0),2),0),0)</f>
        <v/>
      </c>
      <c r="N1761" s="141">
        <f>IF(offer_sale_type="транзит",IFERROR(ROUNDUP(VLOOKUP($B1761,calc_data,N$14+1,0),2),0),0)</f>
        <v/>
      </c>
      <c r="O1761" s="147">
        <f>IF(offer_sale_type="транзит",IFERROR(ROUND(VLOOKUP($B1761,calc_data,O$14+1,1),2),0),0)</f>
        <v/>
      </c>
      <c r="P1761" s="141">
        <f>IF(offer_sale_type="транзит",IFERROR(ROUND(SUM(I1761:J1761,M1761:O1761)/E1761,2),0),0)</f>
        <v/>
      </c>
      <c r="Q1761" s="141">
        <f>E1761*P1761</f>
        <v/>
      </c>
      <c r="R1761" s="141">
        <f>ROUND(Q1761*IF(AND(offer_incoterms="DDP",seller_region="RU"),IF((TODAY()+offer_turnaround_time)&gt;=helpsheet!$L$17,rate_vatRU_from_26,rate_vatRu_till_25),0),2)</f>
        <v/>
      </c>
      <c r="S1761" s="177">
        <f>Q1761+IF(AND(offer_incoterms="DDP",seller_region="RU"),R1761,0)</f>
        <v/>
      </c>
      <c r="T1761" s="45" t="n"/>
      <c r="V1761" s="57">
        <f>IF(Q1761&gt;0,"показать","скрыть")</f>
        <v/>
      </c>
    </row>
    <row r="1762" ht="15.75" customHeight="1">
      <c r="B1762" s="809" t="n">
        <v>1746</v>
      </c>
      <c r="C1762" s="182">
        <f>IF(offer_sale_type="транзит",IFERROR(VLOOKUP($B1762,calc_data,C$14+1,0),0),0)</f>
        <v/>
      </c>
      <c r="D1762" s="280">
        <f>IF(offer_sale_type="транзит",IFERROR(VLOOKUP($B1762,calc_data,D$14+1,0),0),0)</f>
        <v/>
      </c>
      <c r="E1762" s="182">
        <f>IF(offer_sale_type="транзит",IFERROR(VLOOKUP($B1762,calc_data,E$14+1,0),0),0)</f>
        <v/>
      </c>
      <c r="F1762" s="182">
        <f>IF(offer_sale_type="транзит",IFERROR(VLOOKUP($B1762,calc_data,F$14+1,0),0),0)</f>
        <v/>
      </c>
      <c r="G1762" s="141">
        <f>IF(offer_sale_type="транзит",IFERROR(VLOOKUP($B1762,calc_data,G$14+1,0),0),0)</f>
        <v/>
      </c>
      <c r="H1762" s="141">
        <f>E1762*G1762</f>
        <v/>
      </c>
      <c r="I1762" s="141">
        <f>IF(offer_sale_type="транзит",IFERROR(ROUND(VLOOKUP($B1762,calc_data,I$14+1,0),2),0),0)</f>
        <v/>
      </c>
      <c r="J1762" s="141">
        <f>ROUND(IF(offer_sale_type="транзит",IFERROR(VLOOKUP($B1762,calc_data,J$14+1,0),0),0),2)</f>
        <v/>
      </c>
      <c r="K1762" s="142">
        <f>IF(offer_sale_type="транзит",IFERROR(ROUNDUP(VLOOKUP($B1762,calc_data,K$14+1,0),2),0),0)</f>
        <v/>
      </c>
      <c r="L1762" s="184">
        <f>IF(offer_sale_type="транзит",IFERROR(ROUNDUP(VLOOKUP($B1762,calc_data,L$14+1,0),2),0),0)</f>
        <v/>
      </c>
      <c r="M1762" s="141">
        <f>IF(offer_sale_type="транзит",IFERROR(ROUNDUP(VLOOKUP($B1762,calc_data,M$14+1,0),2),0),0)</f>
        <v/>
      </c>
      <c r="N1762" s="141">
        <f>IF(offer_sale_type="транзит",IFERROR(ROUNDUP(VLOOKUP($B1762,calc_data,N$14+1,0),2),0),0)</f>
        <v/>
      </c>
      <c r="O1762" s="147">
        <f>IF(offer_sale_type="транзит",IFERROR(ROUND(VLOOKUP($B1762,calc_data,O$14+1,1),2),0),0)</f>
        <v/>
      </c>
      <c r="P1762" s="141">
        <f>IF(offer_sale_type="транзит",IFERROR(ROUND(SUM(I1762:J1762,M1762:O1762)/E1762,2),0),0)</f>
        <v/>
      </c>
      <c r="Q1762" s="141">
        <f>E1762*P1762</f>
        <v/>
      </c>
      <c r="R1762" s="141">
        <f>ROUND(Q1762*IF(AND(offer_incoterms="DDP",seller_region="RU"),IF((TODAY()+offer_turnaround_time)&gt;=helpsheet!$L$17,rate_vatRU_from_26,rate_vatRu_till_25),0),2)</f>
        <v/>
      </c>
      <c r="S1762" s="177">
        <f>Q1762+IF(AND(offer_incoterms="DDP",seller_region="RU"),R1762,0)</f>
        <v/>
      </c>
      <c r="T1762" s="45" t="n"/>
      <c r="V1762" s="57">
        <f>IF(Q1762&gt;0,"показать","скрыть")</f>
        <v/>
      </c>
    </row>
    <row r="1763" ht="15.75" customHeight="1">
      <c r="B1763" s="809" t="n">
        <v>1747</v>
      </c>
      <c r="C1763" s="182">
        <f>IF(offer_sale_type="транзит",IFERROR(VLOOKUP($B1763,calc_data,C$14+1,0),0),0)</f>
        <v/>
      </c>
      <c r="D1763" s="280">
        <f>IF(offer_sale_type="транзит",IFERROR(VLOOKUP($B1763,calc_data,D$14+1,0),0),0)</f>
        <v/>
      </c>
      <c r="E1763" s="182">
        <f>IF(offer_sale_type="транзит",IFERROR(VLOOKUP($B1763,calc_data,E$14+1,0),0),0)</f>
        <v/>
      </c>
      <c r="F1763" s="182">
        <f>IF(offer_sale_type="транзит",IFERROR(VLOOKUP($B1763,calc_data,F$14+1,0),0),0)</f>
        <v/>
      </c>
      <c r="G1763" s="141">
        <f>IF(offer_sale_type="транзит",IFERROR(VLOOKUP($B1763,calc_data,G$14+1,0),0),0)</f>
        <v/>
      </c>
      <c r="H1763" s="141">
        <f>E1763*G1763</f>
        <v/>
      </c>
      <c r="I1763" s="141">
        <f>IF(offer_sale_type="транзит",IFERROR(ROUND(VLOOKUP($B1763,calc_data,I$14+1,0),2),0),0)</f>
        <v/>
      </c>
      <c r="J1763" s="141">
        <f>ROUND(IF(offer_sale_type="транзит",IFERROR(VLOOKUP($B1763,calc_data,J$14+1,0),0),0),2)</f>
        <v/>
      </c>
      <c r="K1763" s="142">
        <f>IF(offer_sale_type="транзит",IFERROR(ROUNDUP(VLOOKUP($B1763,calc_data,K$14+1,0),2),0),0)</f>
        <v/>
      </c>
      <c r="L1763" s="184">
        <f>IF(offer_sale_type="транзит",IFERROR(ROUNDUP(VLOOKUP($B1763,calc_data,L$14+1,0),2),0),0)</f>
        <v/>
      </c>
      <c r="M1763" s="141">
        <f>IF(offer_sale_type="транзит",IFERROR(ROUNDUP(VLOOKUP($B1763,calc_data,M$14+1,0),2),0),0)</f>
        <v/>
      </c>
      <c r="N1763" s="141">
        <f>IF(offer_sale_type="транзит",IFERROR(ROUNDUP(VLOOKUP($B1763,calc_data,N$14+1,0),2),0),0)</f>
        <v/>
      </c>
      <c r="O1763" s="147">
        <f>IF(offer_sale_type="транзит",IFERROR(ROUND(VLOOKUP($B1763,calc_data,O$14+1,1),2),0),0)</f>
        <v/>
      </c>
      <c r="P1763" s="141">
        <f>IF(offer_sale_type="транзит",IFERROR(ROUND(SUM(I1763:J1763,M1763:O1763)/E1763,2),0),0)</f>
        <v/>
      </c>
      <c r="Q1763" s="141">
        <f>E1763*P1763</f>
        <v/>
      </c>
      <c r="R1763" s="141">
        <f>ROUND(Q1763*IF(AND(offer_incoterms="DDP",seller_region="RU"),IF((TODAY()+offer_turnaround_time)&gt;=helpsheet!$L$17,rate_vatRU_from_26,rate_vatRu_till_25),0),2)</f>
        <v/>
      </c>
      <c r="S1763" s="177">
        <f>Q1763+IF(AND(offer_incoterms="DDP",seller_region="RU"),R1763,0)</f>
        <v/>
      </c>
      <c r="T1763" s="45" t="n"/>
      <c r="V1763" s="57">
        <f>IF(Q1763&gt;0,"показать","скрыть")</f>
        <v/>
      </c>
    </row>
    <row r="1764" ht="15.75" customHeight="1">
      <c r="B1764" s="809" t="n">
        <v>1748</v>
      </c>
      <c r="C1764" s="182">
        <f>IF(offer_sale_type="транзит",IFERROR(VLOOKUP($B1764,calc_data,C$14+1,0),0),0)</f>
        <v/>
      </c>
      <c r="D1764" s="280">
        <f>IF(offer_sale_type="транзит",IFERROR(VLOOKUP($B1764,calc_data,D$14+1,0),0),0)</f>
        <v/>
      </c>
      <c r="E1764" s="182">
        <f>IF(offer_sale_type="транзит",IFERROR(VLOOKUP($B1764,calc_data,E$14+1,0),0),0)</f>
        <v/>
      </c>
      <c r="F1764" s="182">
        <f>IF(offer_sale_type="транзит",IFERROR(VLOOKUP($B1764,calc_data,F$14+1,0),0),0)</f>
        <v/>
      </c>
      <c r="G1764" s="141">
        <f>IF(offer_sale_type="транзит",IFERROR(VLOOKUP($B1764,calc_data,G$14+1,0),0),0)</f>
        <v/>
      </c>
      <c r="H1764" s="141">
        <f>E1764*G1764</f>
        <v/>
      </c>
      <c r="I1764" s="141">
        <f>IF(offer_sale_type="транзит",IFERROR(ROUND(VLOOKUP($B1764,calc_data,I$14+1,0),2),0),0)</f>
        <v/>
      </c>
      <c r="J1764" s="141">
        <f>ROUND(IF(offer_sale_type="транзит",IFERROR(VLOOKUP($B1764,calc_data,J$14+1,0),0),0),2)</f>
        <v/>
      </c>
      <c r="K1764" s="142">
        <f>IF(offer_sale_type="транзит",IFERROR(ROUNDUP(VLOOKUP($B1764,calc_data,K$14+1,0),2),0),0)</f>
        <v/>
      </c>
      <c r="L1764" s="184">
        <f>IF(offer_sale_type="транзит",IFERROR(ROUNDUP(VLOOKUP($B1764,calc_data,L$14+1,0),2),0),0)</f>
        <v/>
      </c>
      <c r="M1764" s="141">
        <f>IF(offer_sale_type="транзит",IFERROR(ROUNDUP(VLOOKUP($B1764,calc_data,M$14+1,0),2),0),0)</f>
        <v/>
      </c>
      <c r="N1764" s="141">
        <f>IF(offer_sale_type="транзит",IFERROR(ROUNDUP(VLOOKUP($B1764,calc_data,N$14+1,0),2),0),0)</f>
        <v/>
      </c>
      <c r="O1764" s="147">
        <f>IF(offer_sale_type="транзит",IFERROR(ROUND(VLOOKUP($B1764,calc_data,O$14+1,1),2),0),0)</f>
        <v/>
      </c>
      <c r="P1764" s="141">
        <f>IF(offer_sale_type="транзит",IFERROR(ROUND(SUM(I1764:J1764,M1764:O1764)/E1764,2),0),0)</f>
        <v/>
      </c>
      <c r="Q1764" s="141">
        <f>E1764*P1764</f>
        <v/>
      </c>
      <c r="R1764" s="141">
        <f>ROUND(Q1764*IF(AND(offer_incoterms="DDP",seller_region="RU"),IF((TODAY()+offer_turnaround_time)&gt;=helpsheet!$L$17,rate_vatRU_from_26,rate_vatRu_till_25),0),2)</f>
        <v/>
      </c>
      <c r="S1764" s="177">
        <f>Q1764+IF(AND(offer_incoterms="DDP",seller_region="RU"),R1764,0)</f>
        <v/>
      </c>
      <c r="T1764" s="45" t="n"/>
      <c r="V1764" s="57">
        <f>IF(Q1764&gt;0,"показать","скрыть")</f>
        <v/>
      </c>
    </row>
    <row r="1765" ht="15.75" customHeight="1">
      <c r="B1765" s="809" t="n">
        <v>1749</v>
      </c>
      <c r="C1765" s="182">
        <f>IF(offer_sale_type="транзит",IFERROR(VLOOKUP($B1765,calc_data,C$14+1,0),0),0)</f>
        <v/>
      </c>
      <c r="D1765" s="280">
        <f>IF(offer_sale_type="транзит",IFERROR(VLOOKUP($B1765,calc_data,D$14+1,0),0),0)</f>
        <v/>
      </c>
      <c r="E1765" s="182">
        <f>IF(offer_sale_type="транзит",IFERROR(VLOOKUP($B1765,calc_data,E$14+1,0),0),0)</f>
        <v/>
      </c>
      <c r="F1765" s="182">
        <f>IF(offer_sale_type="транзит",IFERROR(VLOOKUP($B1765,calc_data,F$14+1,0),0),0)</f>
        <v/>
      </c>
      <c r="G1765" s="141">
        <f>IF(offer_sale_type="транзит",IFERROR(VLOOKUP($B1765,calc_data,G$14+1,0),0),0)</f>
        <v/>
      </c>
      <c r="H1765" s="141">
        <f>E1765*G1765</f>
        <v/>
      </c>
      <c r="I1765" s="141">
        <f>IF(offer_sale_type="транзит",IFERROR(ROUND(VLOOKUP($B1765,calc_data,I$14+1,0),2),0),0)</f>
        <v/>
      </c>
      <c r="J1765" s="141">
        <f>ROUND(IF(offer_sale_type="транзит",IFERROR(VLOOKUP($B1765,calc_data,J$14+1,0),0),0),2)</f>
        <v/>
      </c>
      <c r="K1765" s="142">
        <f>IF(offer_sale_type="транзит",IFERROR(ROUNDUP(VLOOKUP($B1765,calc_data,K$14+1,0),2),0),0)</f>
        <v/>
      </c>
      <c r="L1765" s="184">
        <f>IF(offer_sale_type="транзит",IFERROR(ROUNDUP(VLOOKUP($B1765,calc_data,L$14+1,0),2),0),0)</f>
        <v/>
      </c>
      <c r="M1765" s="141">
        <f>IF(offer_sale_type="транзит",IFERROR(ROUNDUP(VLOOKUP($B1765,calc_data,M$14+1,0),2),0),0)</f>
        <v/>
      </c>
      <c r="N1765" s="141">
        <f>IF(offer_sale_type="транзит",IFERROR(ROUNDUP(VLOOKUP($B1765,calc_data,N$14+1,0),2),0),0)</f>
        <v/>
      </c>
      <c r="O1765" s="147">
        <f>IF(offer_sale_type="транзит",IFERROR(ROUND(VLOOKUP($B1765,calc_data,O$14+1,1),2),0),0)</f>
        <v/>
      </c>
      <c r="P1765" s="141">
        <f>IF(offer_sale_type="транзит",IFERROR(ROUND(SUM(I1765:J1765,M1765:O1765)/E1765,2),0),0)</f>
        <v/>
      </c>
      <c r="Q1765" s="141">
        <f>E1765*P1765</f>
        <v/>
      </c>
      <c r="R1765" s="141">
        <f>ROUND(Q1765*IF(AND(offer_incoterms="DDP",seller_region="RU"),IF((TODAY()+offer_turnaround_time)&gt;=helpsheet!$L$17,rate_vatRU_from_26,rate_vatRu_till_25),0),2)</f>
        <v/>
      </c>
      <c r="S1765" s="177">
        <f>Q1765+IF(AND(offer_incoterms="DDP",seller_region="RU"),R1765,0)</f>
        <v/>
      </c>
      <c r="T1765" s="45" t="n"/>
      <c r="V1765" s="57">
        <f>IF(Q1765&gt;0,"показать","скрыть")</f>
        <v/>
      </c>
    </row>
    <row r="1766" ht="15.75" customHeight="1">
      <c r="B1766" s="809" t="n">
        <v>1750</v>
      </c>
      <c r="C1766" s="182">
        <f>IF(offer_sale_type="транзит",IFERROR(VLOOKUP($B1766,calc_data,C$14+1,0),0),0)</f>
        <v/>
      </c>
      <c r="D1766" s="280">
        <f>IF(offer_sale_type="транзит",IFERROR(VLOOKUP($B1766,calc_data,D$14+1,0),0),0)</f>
        <v/>
      </c>
      <c r="E1766" s="182">
        <f>IF(offer_sale_type="транзит",IFERROR(VLOOKUP($B1766,calc_data,E$14+1,0),0),0)</f>
        <v/>
      </c>
      <c r="F1766" s="182">
        <f>IF(offer_sale_type="транзит",IFERROR(VLOOKUP($B1766,calc_data,F$14+1,0),0),0)</f>
        <v/>
      </c>
      <c r="G1766" s="141">
        <f>IF(offer_sale_type="транзит",IFERROR(VLOOKUP($B1766,calc_data,G$14+1,0),0),0)</f>
        <v/>
      </c>
      <c r="H1766" s="141">
        <f>E1766*G1766</f>
        <v/>
      </c>
      <c r="I1766" s="141">
        <f>IF(offer_sale_type="транзит",IFERROR(ROUND(VLOOKUP($B1766,calc_data,I$14+1,0),2),0),0)</f>
        <v/>
      </c>
      <c r="J1766" s="141">
        <f>ROUND(IF(offer_sale_type="транзит",IFERROR(VLOOKUP($B1766,calc_data,J$14+1,0),0),0),2)</f>
        <v/>
      </c>
      <c r="K1766" s="142">
        <f>IF(offer_sale_type="транзит",IFERROR(ROUNDUP(VLOOKUP($B1766,calc_data,K$14+1,0),2),0),0)</f>
        <v/>
      </c>
      <c r="L1766" s="184">
        <f>IF(offer_sale_type="транзит",IFERROR(ROUNDUP(VLOOKUP($B1766,calc_data,L$14+1,0),2),0),0)</f>
        <v/>
      </c>
      <c r="M1766" s="141">
        <f>IF(offer_sale_type="транзит",IFERROR(ROUNDUP(VLOOKUP($B1766,calc_data,M$14+1,0),2),0),0)</f>
        <v/>
      </c>
      <c r="N1766" s="141">
        <f>IF(offer_sale_type="транзит",IFERROR(ROUNDUP(VLOOKUP($B1766,calc_data,N$14+1,0),2),0),0)</f>
        <v/>
      </c>
      <c r="O1766" s="147">
        <f>IF(offer_sale_type="транзит",IFERROR(ROUND(VLOOKUP($B1766,calc_data,O$14+1,1),2),0),0)</f>
        <v/>
      </c>
      <c r="P1766" s="141">
        <f>IF(offer_sale_type="транзит",IFERROR(ROUND(SUM(I1766:J1766,M1766:O1766)/E1766,2),0),0)</f>
        <v/>
      </c>
      <c r="Q1766" s="141">
        <f>E1766*P1766</f>
        <v/>
      </c>
      <c r="R1766" s="141">
        <f>ROUND(Q1766*IF(AND(offer_incoterms="DDP",seller_region="RU"),IF((TODAY()+offer_turnaround_time)&gt;=helpsheet!$L$17,rate_vatRU_from_26,rate_vatRu_till_25),0),2)</f>
        <v/>
      </c>
      <c r="S1766" s="177">
        <f>Q1766+IF(AND(offer_incoterms="DDP",seller_region="RU"),R1766,0)</f>
        <v/>
      </c>
      <c r="T1766" s="45" t="n"/>
      <c r="V1766" s="57">
        <f>IF(Q1766&gt;0,"показать","скрыть")</f>
        <v/>
      </c>
    </row>
    <row r="1767" ht="15.75" customHeight="1">
      <c r="B1767" s="809" t="n">
        <v>1751</v>
      </c>
      <c r="C1767" s="182">
        <f>IF(offer_sale_type="транзит",IFERROR(VLOOKUP($B1767,calc_data,C$14+1,0),0),0)</f>
        <v/>
      </c>
      <c r="D1767" s="280">
        <f>IF(offer_sale_type="транзит",IFERROR(VLOOKUP($B1767,calc_data,D$14+1,0),0),0)</f>
        <v/>
      </c>
      <c r="E1767" s="182">
        <f>IF(offer_sale_type="транзит",IFERROR(VLOOKUP($B1767,calc_data,E$14+1,0),0),0)</f>
        <v/>
      </c>
      <c r="F1767" s="182">
        <f>IF(offer_sale_type="транзит",IFERROR(VLOOKUP($B1767,calc_data,F$14+1,0),0),0)</f>
        <v/>
      </c>
      <c r="G1767" s="141">
        <f>IF(offer_sale_type="транзит",IFERROR(VLOOKUP($B1767,calc_data,G$14+1,0),0),0)</f>
        <v/>
      </c>
      <c r="H1767" s="141">
        <f>E1767*G1767</f>
        <v/>
      </c>
      <c r="I1767" s="141">
        <f>IF(offer_sale_type="транзит",IFERROR(ROUND(VLOOKUP($B1767,calc_data,I$14+1,0),2),0),0)</f>
        <v/>
      </c>
      <c r="J1767" s="141">
        <f>ROUND(IF(offer_sale_type="транзит",IFERROR(VLOOKUP($B1767,calc_data,J$14+1,0),0),0),2)</f>
        <v/>
      </c>
      <c r="K1767" s="142">
        <f>IF(offer_sale_type="транзит",IFERROR(ROUNDUP(VLOOKUP($B1767,calc_data,K$14+1,0),2),0),0)</f>
        <v/>
      </c>
      <c r="L1767" s="184">
        <f>IF(offer_sale_type="транзит",IFERROR(ROUNDUP(VLOOKUP($B1767,calc_data,L$14+1,0),2),0),0)</f>
        <v/>
      </c>
      <c r="M1767" s="141">
        <f>IF(offer_sale_type="транзит",IFERROR(ROUNDUP(VLOOKUP($B1767,calc_data,M$14+1,0),2),0),0)</f>
        <v/>
      </c>
      <c r="N1767" s="141">
        <f>IF(offer_sale_type="транзит",IFERROR(ROUNDUP(VLOOKUP($B1767,calc_data,N$14+1,0),2),0),0)</f>
        <v/>
      </c>
      <c r="O1767" s="147">
        <f>IF(offer_sale_type="транзит",IFERROR(ROUND(VLOOKUP($B1767,calc_data,O$14+1,1),2),0),0)</f>
        <v/>
      </c>
      <c r="P1767" s="141">
        <f>IF(offer_sale_type="транзит",IFERROR(ROUND(SUM(I1767:J1767,M1767:O1767)/E1767,2),0),0)</f>
        <v/>
      </c>
      <c r="Q1767" s="141">
        <f>E1767*P1767</f>
        <v/>
      </c>
      <c r="R1767" s="141">
        <f>ROUND(Q1767*IF(AND(offer_incoterms="DDP",seller_region="RU"),IF((TODAY()+offer_turnaround_time)&gt;=helpsheet!$L$17,rate_vatRU_from_26,rate_vatRu_till_25),0),2)</f>
        <v/>
      </c>
      <c r="S1767" s="177">
        <f>Q1767+IF(AND(offer_incoterms="DDP",seller_region="RU"),R1767,0)</f>
        <v/>
      </c>
      <c r="T1767" s="45" t="n"/>
      <c r="V1767" s="57">
        <f>IF(Q1767&gt;0,"показать","скрыть")</f>
        <v/>
      </c>
    </row>
    <row r="1768" ht="15.75" customHeight="1">
      <c r="B1768" s="809" t="n">
        <v>1752</v>
      </c>
      <c r="C1768" s="182">
        <f>IF(offer_sale_type="транзит",IFERROR(VLOOKUP($B1768,calc_data,C$14+1,0),0),0)</f>
        <v/>
      </c>
      <c r="D1768" s="280">
        <f>IF(offer_sale_type="транзит",IFERROR(VLOOKUP($B1768,calc_data,D$14+1,0),0),0)</f>
        <v/>
      </c>
      <c r="E1768" s="182">
        <f>IF(offer_sale_type="транзит",IFERROR(VLOOKUP($B1768,calc_data,E$14+1,0),0),0)</f>
        <v/>
      </c>
      <c r="F1768" s="182">
        <f>IF(offer_sale_type="транзит",IFERROR(VLOOKUP($B1768,calc_data,F$14+1,0),0),0)</f>
        <v/>
      </c>
      <c r="G1768" s="141">
        <f>IF(offer_sale_type="транзит",IFERROR(VLOOKUP($B1768,calc_data,G$14+1,0),0),0)</f>
        <v/>
      </c>
      <c r="H1768" s="141">
        <f>E1768*G1768</f>
        <v/>
      </c>
      <c r="I1768" s="141">
        <f>IF(offer_sale_type="транзит",IFERROR(ROUND(VLOOKUP($B1768,calc_data,I$14+1,0),2),0),0)</f>
        <v/>
      </c>
      <c r="J1768" s="141">
        <f>ROUND(IF(offer_sale_type="транзит",IFERROR(VLOOKUP($B1768,calc_data,J$14+1,0),0),0),2)</f>
        <v/>
      </c>
      <c r="K1768" s="142">
        <f>IF(offer_sale_type="транзит",IFERROR(ROUNDUP(VLOOKUP($B1768,calc_data,K$14+1,0),2),0),0)</f>
        <v/>
      </c>
      <c r="L1768" s="184">
        <f>IF(offer_sale_type="транзит",IFERROR(ROUNDUP(VLOOKUP($B1768,calc_data,L$14+1,0),2),0),0)</f>
        <v/>
      </c>
      <c r="M1768" s="141">
        <f>IF(offer_sale_type="транзит",IFERROR(ROUNDUP(VLOOKUP($B1768,calc_data,M$14+1,0),2),0),0)</f>
        <v/>
      </c>
      <c r="N1768" s="141">
        <f>IF(offer_sale_type="транзит",IFERROR(ROUNDUP(VLOOKUP($B1768,calc_data,N$14+1,0),2),0),0)</f>
        <v/>
      </c>
      <c r="O1768" s="147">
        <f>IF(offer_sale_type="транзит",IFERROR(ROUND(VLOOKUP($B1768,calc_data,O$14+1,1),2),0),0)</f>
        <v/>
      </c>
      <c r="P1768" s="141">
        <f>IF(offer_sale_type="транзит",IFERROR(ROUND(SUM(I1768:J1768,M1768:O1768)/E1768,2),0),0)</f>
        <v/>
      </c>
      <c r="Q1768" s="141">
        <f>E1768*P1768</f>
        <v/>
      </c>
      <c r="R1768" s="141">
        <f>ROUND(Q1768*IF(AND(offer_incoterms="DDP",seller_region="RU"),IF((TODAY()+offer_turnaround_time)&gt;=helpsheet!$L$17,rate_vatRU_from_26,rate_vatRu_till_25),0),2)</f>
        <v/>
      </c>
      <c r="S1768" s="177">
        <f>Q1768+IF(AND(offer_incoterms="DDP",seller_region="RU"),R1768,0)</f>
        <v/>
      </c>
      <c r="T1768" s="45" t="n"/>
      <c r="V1768" s="57">
        <f>IF(Q1768&gt;0,"показать","скрыть")</f>
        <v/>
      </c>
    </row>
    <row r="1769" ht="15.75" customHeight="1">
      <c r="B1769" s="809" t="n">
        <v>1753</v>
      </c>
      <c r="C1769" s="182">
        <f>IF(offer_sale_type="транзит",IFERROR(VLOOKUP($B1769,calc_data,C$14+1,0),0),0)</f>
        <v/>
      </c>
      <c r="D1769" s="280">
        <f>IF(offer_sale_type="транзит",IFERROR(VLOOKUP($B1769,calc_data,D$14+1,0),0),0)</f>
        <v/>
      </c>
      <c r="E1769" s="182">
        <f>IF(offer_sale_type="транзит",IFERROR(VLOOKUP($B1769,calc_data,E$14+1,0),0),0)</f>
        <v/>
      </c>
      <c r="F1769" s="182">
        <f>IF(offer_sale_type="транзит",IFERROR(VLOOKUP($B1769,calc_data,F$14+1,0),0),0)</f>
        <v/>
      </c>
      <c r="G1769" s="141">
        <f>IF(offer_sale_type="транзит",IFERROR(VLOOKUP($B1769,calc_data,G$14+1,0),0),0)</f>
        <v/>
      </c>
      <c r="H1769" s="141">
        <f>E1769*G1769</f>
        <v/>
      </c>
      <c r="I1769" s="141">
        <f>IF(offer_sale_type="транзит",IFERROR(ROUND(VLOOKUP($B1769,calc_data,I$14+1,0),2),0),0)</f>
        <v/>
      </c>
      <c r="J1769" s="141">
        <f>ROUND(IF(offer_sale_type="транзит",IFERROR(VLOOKUP($B1769,calc_data,J$14+1,0),0),0),2)</f>
        <v/>
      </c>
      <c r="K1769" s="142">
        <f>IF(offer_sale_type="транзит",IFERROR(ROUNDUP(VLOOKUP($B1769,calc_data,K$14+1,0),2),0),0)</f>
        <v/>
      </c>
      <c r="L1769" s="184">
        <f>IF(offer_sale_type="транзит",IFERROR(ROUNDUP(VLOOKUP($B1769,calc_data,L$14+1,0),2),0),0)</f>
        <v/>
      </c>
      <c r="M1769" s="141">
        <f>IF(offer_sale_type="транзит",IFERROR(ROUNDUP(VLOOKUP($B1769,calc_data,M$14+1,0),2),0),0)</f>
        <v/>
      </c>
      <c r="N1769" s="141">
        <f>IF(offer_sale_type="транзит",IFERROR(ROUNDUP(VLOOKUP($B1769,calc_data,N$14+1,0),2),0),0)</f>
        <v/>
      </c>
      <c r="O1769" s="147">
        <f>IF(offer_sale_type="транзит",IFERROR(ROUND(VLOOKUP($B1769,calc_data,O$14+1,1),2),0),0)</f>
        <v/>
      </c>
      <c r="P1769" s="141">
        <f>IF(offer_sale_type="транзит",IFERROR(ROUND(SUM(I1769:J1769,M1769:O1769)/E1769,2),0),0)</f>
        <v/>
      </c>
      <c r="Q1769" s="141">
        <f>E1769*P1769</f>
        <v/>
      </c>
      <c r="R1769" s="141">
        <f>ROUND(Q1769*IF(AND(offer_incoterms="DDP",seller_region="RU"),IF((TODAY()+offer_turnaround_time)&gt;=helpsheet!$L$17,rate_vatRU_from_26,rate_vatRu_till_25),0),2)</f>
        <v/>
      </c>
      <c r="S1769" s="177">
        <f>Q1769+IF(AND(offer_incoterms="DDP",seller_region="RU"),R1769,0)</f>
        <v/>
      </c>
      <c r="T1769" s="45" t="n"/>
      <c r="V1769" s="57">
        <f>IF(Q1769&gt;0,"показать","скрыть")</f>
        <v/>
      </c>
    </row>
    <row r="1770" ht="15.75" customHeight="1">
      <c r="B1770" s="809" t="n">
        <v>1754</v>
      </c>
      <c r="C1770" s="182">
        <f>IF(offer_sale_type="транзит",IFERROR(VLOOKUP($B1770,calc_data,C$14+1,0),0),0)</f>
        <v/>
      </c>
      <c r="D1770" s="280">
        <f>IF(offer_sale_type="транзит",IFERROR(VLOOKUP($B1770,calc_data,D$14+1,0),0),0)</f>
        <v/>
      </c>
      <c r="E1770" s="182">
        <f>IF(offer_sale_type="транзит",IFERROR(VLOOKUP($B1770,calc_data,E$14+1,0),0),0)</f>
        <v/>
      </c>
      <c r="F1770" s="182">
        <f>IF(offer_sale_type="транзит",IFERROR(VLOOKUP($B1770,calc_data,F$14+1,0),0),0)</f>
        <v/>
      </c>
      <c r="G1770" s="141">
        <f>IF(offer_sale_type="транзит",IFERROR(VLOOKUP($B1770,calc_data,G$14+1,0),0),0)</f>
        <v/>
      </c>
      <c r="H1770" s="141">
        <f>E1770*G1770</f>
        <v/>
      </c>
      <c r="I1770" s="141">
        <f>IF(offer_sale_type="транзит",IFERROR(ROUND(VLOOKUP($B1770,calc_data,I$14+1,0),2),0),0)</f>
        <v/>
      </c>
      <c r="J1770" s="141">
        <f>ROUND(IF(offer_sale_type="транзит",IFERROR(VLOOKUP($B1770,calc_data,J$14+1,0),0),0),2)</f>
        <v/>
      </c>
      <c r="K1770" s="142">
        <f>IF(offer_sale_type="транзит",IFERROR(ROUNDUP(VLOOKUP($B1770,calc_data,K$14+1,0),2),0),0)</f>
        <v/>
      </c>
      <c r="L1770" s="184">
        <f>IF(offer_sale_type="транзит",IFERROR(ROUNDUP(VLOOKUP($B1770,calc_data,L$14+1,0),2),0),0)</f>
        <v/>
      </c>
      <c r="M1770" s="141">
        <f>IF(offer_sale_type="транзит",IFERROR(ROUNDUP(VLOOKUP($B1770,calc_data,M$14+1,0),2),0),0)</f>
        <v/>
      </c>
      <c r="N1770" s="141">
        <f>IF(offer_sale_type="транзит",IFERROR(ROUNDUP(VLOOKUP($B1770,calc_data,N$14+1,0),2),0),0)</f>
        <v/>
      </c>
      <c r="O1770" s="147">
        <f>IF(offer_sale_type="транзит",IFERROR(ROUND(VLOOKUP($B1770,calc_data,O$14+1,1),2),0),0)</f>
        <v/>
      </c>
      <c r="P1770" s="141">
        <f>IF(offer_sale_type="транзит",IFERROR(ROUND(SUM(I1770:J1770,M1770:O1770)/E1770,2),0),0)</f>
        <v/>
      </c>
      <c r="Q1770" s="141">
        <f>E1770*P1770</f>
        <v/>
      </c>
      <c r="R1770" s="141">
        <f>ROUND(Q1770*IF(AND(offer_incoterms="DDP",seller_region="RU"),IF((TODAY()+offer_turnaround_time)&gt;=helpsheet!$L$17,rate_vatRU_from_26,rate_vatRu_till_25),0),2)</f>
        <v/>
      </c>
      <c r="S1770" s="177">
        <f>Q1770+IF(AND(offer_incoterms="DDP",seller_region="RU"),R1770,0)</f>
        <v/>
      </c>
      <c r="T1770" s="45" t="n"/>
      <c r="V1770" s="57">
        <f>IF(Q1770&gt;0,"показать","скрыть")</f>
        <v/>
      </c>
    </row>
    <row r="1771" ht="15.75" customHeight="1">
      <c r="B1771" s="809" t="n">
        <v>1755</v>
      </c>
      <c r="C1771" s="182">
        <f>IF(offer_sale_type="транзит",IFERROR(VLOOKUP($B1771,calc_data,C$14+1,0),0),0)</f>
        <v/>
      </c>
      <c r="D1771" s="280">
        <f>IF(offer_sale_type="транзит",IFERROR(VLOOKUP($B1771,calc_data,D$14+1,0),0),0)</f>
        <v/>
      </c>
      <c r="E1771" s="182">
        <f>IF(offer_sale_type="транзит",IFERROR(VLOOKUP($B1771,calc_data,E$14+1,0),0),0)</f>
        <v/>
      </c>
      <c r="F1771" s="182">
        <f>IF(offer_sale_type="транзит",IFERROR(VLOOKUP($B1771,calc_data,F$14+1,0),0),0)</f>
        <v/>
      </c>
      <c r="G1771" s="141">
        <f>IF(offer_sale_type="транзит",IFERROR(VLOOKUP($B1771,calc_data,G$14+1,0),0),0)</f>
        <v/>
      </c>
      <c r="H1771" s="141">
        <f>E1771*G1771</f>
        <v/>
      </c>
      <c r="I1771" s="141">
        <f>IF(offer_sale_type="транзит",IFERROR(ROUND(VLOOKUP($B1771,calc_data,I$14+1,0),2),0),0)</f>
        <v/>
      </c>
      <c r="J1771" s="141">
        <f>ROUND(IF(offer_sale_type="транзит",IFERROR(VLOOKUP($B1771,calc_data,J$14+1,0),0),0),2)</f>
        <v/>
      </c>
      <c r="K1771" s="142">
        <f>IF(offer_sale_type="транзит",IFERROR(ROUNDUP(VLOOKUP($B1771,calc_data,K$14+1,0),2),0),0)</f>
        <v/>
      </c>
      <c r="L1771" s="184">
        <f>IF(offer_sale_type="транзит",IFERROR(ROUNDUP(VLOOKUP($B1771,calc_data,L$14+1,0),2),0),0)</f>
        <v/>
      </c>
      <c r="M1771" s="141">
        <f>IF(offer_sale_type="транзит",IFERROR(ROUNDUP(VLOOKUP($B1771,calc_data,M$14+1,0),2),0),0)</f>
        <v/>
      </c>
      <c r="N1771" s="141">
        <f>IF(offer_sale_type="транзит",IFERROR(ROUNDUP(VLOOKUP($B1771,calc_data,N$14+1,0),2),0),0)</f>
        <v/>
      </c>
      <c r="O1771" s="147">
        <f>IF(offer_sale_type="транзит",IFERROR(ROUND(VLOOKUP($B1771,calc_data,O$14+1,1),2),0),0)</f>
        <v/>
      </c>
      <c r="P1771" s="141">
        <f>IF(offer_sale_type="транзит",IFERROR(ROUND(SUM(I1771:J1771,M1771:O1771)/E1771,2),0),0)</f>
        <v/>
      </c>
      <c r="Q1771" s="141">
        <f>E1771*P1771</f>
        <v/>
      </c>
      <c r="R1771" s="141">
        <f>ROUND(Q1771*IF(AND(offer_incoterms="DDP",seller_region="RU"),IF((TODAY()+offer_turnaround_time)&gt;=helpsheet!$L$17,rate_vatRU_from_26,rate_vatRu_till_25),0),2)</f>
        <v/>
      </c>
      <c r="S1771" s="177">
        <f>Q1771+IF(AND(offer_incoterms="DDP",seller_region="RU"),R1771,0)</f>
        <v/>
      </c>
      <c r="T1771" s="45" t="n"/>
      <c r="V1771" s="57">
        <f>IF(Q1771&gt;0,"показать","скрыть")</f>
        <v/>
      </c>
    </row>
    <row r="1772" ht="15.75" customHeight="1">
      <c r="B1772" s="809" t="n">
        <v>1756</v>
      </c>
      <c r="C1772" s="182">
        <f>IF(offer_sale_type="транзит",IFERROR(VLOOKUP($B1772,calc_data,C$14+1,0),0),0)</f>
        <v/>
      </c>
      <c r="D1772" s="280">
        <f>IF(offer_sale_type="транзит",IFERROR(VLOOKUP($B1772,calc_data,D$14+1,0),0),0)</f>
        <v/>
      </c>
      <c r="E1772" s="182">
        <f>IF(offer_sale_type="транзит",IFERROR(VLOOKUP($B1772,calc_data,E$14+1,0),0),0)</f>
        <v/>
      </c>
      <c r="F1772" s="182">
        <f>IF(offer_sale_type="транзит",IFERROR(VLOOKUP($B1772,calc_data,F$14+1,0),0),0)</f>
        <v/>
      </c>
      <c r="G1772" s="141">
        <f>IF(offer_sale_type="транзит",IFERROR(VLOOKUP($B1772,calc_data,G$14+1,0),0),0)</f>
        <v/>
      </c>
      <c r="H1772" s="141">
        <f>E1772*G1772</f>
        <v/>
      </c>
      <c r="I1772" s="141">
        <f>IF(offer_sale_type="транзит",IFERROR(ROUND(VLOOKUP($B1772,calc_data,I$14+1,0),2),0),0)</f>
        <v/>
      </c>
      <c r="J1772" s="141">
        <f>ROUND(IF(offer_sale_type="транзит",IFERROR(VLOOKUP($B1772,calc_data,J$14+1,0),0),0),2)</f>
        <v/>
      </c>
      <c r="K1772" s="142">
        <f>IF(offer_sale_type="транзит",IFERROR(ROUNDUP(VLOOKUP($B1772,calc_data,K$14+1,0),2),0),0)</f>
        <v/>
      </c>
      <c r="L1772" s="184">
        <f>IF(offer_sale_type="транзит",IFERROR(ROUNDUP(VLOOKUP($B1772,calc_data,L$14+1,0),2),0),0)</f>
        <v/>
      </c>
      <c r="M1772" s="141">
        <f>IF(offer_sale_type="транзит",IFERROR(ROUNDUP(VLOOKUP($B1772,calc_data,M$14+1,0),2),0),0)</f>
        <v/>
      </c>
      <c r="N1772" s="141">
        <f>IF(offer_sale_type="транзит",IFERROR(ROUNDUP(VLOOKUP($B1772,calc_data,N$14+1,0),2),0),0)</f>
        <v/>
      </c>
      <c r="O1772" s="147">
        <f>IF(offer_sale_type="транзит",IFERROR(ROUND(VLOOKUP($B1772,calc_data,O$14+1,1),2),0),0)</f>
        <v/>
      </c>
      <c r="P1772" s="141">
        <f>IF(offer_sale_type="транзит",IFERROR(ROUND(SUM(I1772:J1772,M1772:O1772)/E1772,2),0),0)</f>
        <v/>
      </c>
      <c r="Q1772" s="141">
        <f>E1772*P1772</f>
        <v/>
      </c>
      <c r="R1772" s="141">
        <f>ROUND(Q1772*IF(AND(offer_incoterms="DDP",seller_region="RU"),IF((TODAY()+offer_turnaround_time)&gt;=helpsheet!$L$17,rate_vatRU_from_26,rate_vatRu_till_25),0),2)</f>
        <v/>
      </c>
      <c r="S1772" s="177">
        <f>Q1772+IF(AND(offer_incoterms="DDP",seller_region="RU"),R1772,0)</f>
        <v/>
      </c>
      <c r="T1772" s="45" t="n"/>
      <c r="V1772" s="57">
        <f>IF(Q1772&gt;0,"показать","скрыть")</f>
        <v/>
      </c>
    </row>
    <row r="1773" ht="15.75" customHeight="1">
      <c r="B1773" s="809" t="n">
        <v>1757</v>
      </c>
      <c r="C1773" s="182">
        <f>IF(offer_sale_type="транзит",IFERROR(VLOOKUP($B1773,calc_data,C$14+1,0),0),0)</f>
        <v/>
      </c>
      <c r="D1773" s="280">
        <f>IF(offer_sale_type="транзит",IFERROR(VLOOKUP($B1773,calc_data,D$14+1,0),0),0)</f>
        <v/>
      </c>
      <c r="E1773" s="182">
        <f>IF(offer_sale_type="транзит",IFERROR(VLOOKUP($B1773,calc_data,E$14+1,0),0),0)</f>
        <v/>
      </c>
      <c r="F1773" s="182">
        <f>IF(offer_sale_type="транзит",IFERROR(VLOOKUP($B1773,calc_data,F$14+1,0),0),0)</f>
        <v/>
      </c>
      <c r="G1773" s="141">
        <f>IF(offer_sale_type="транзит",IFERROR(VLOOKUP($B1773,calc_data,G$14+1,0),0),0)</f>
        <v/>
      </c>
      <c r="H1773" s="141">
        <f>E1773*G1773</f>
        <v/>
      </c>
      <c r="I1773" s="141">
        <f>IF(offer_sale_type="транзит",IFERROR(ROUND(VLOOKUP($B1773,calc_data,I$14+1,0),2),0),0)</f>
        <v/>
      </c>
      <c r="J1773" s="141">
        <f>ROUND(IF(offer_sale_type="транзит",IFERROR(VLOOKUP($B1773,calc_data,J$14+1,0),0),0),2)</f>
        <v/>
      </c>
      <c r="K1773" s="142">
        <f>IF(offer_sale_type="транзит",IFERROR(ROUNDUP(VLOOKUP($B1773,calc_data,K$14+1,0),2),0),0)</f>
        <v/>
      </c>
      <c r="L1773" s="184">
        <f>IF(offer_sale_type="транзит",IFERROR(ROUNDUP(VLOOKUP($B1773,calc_data,L$14+1,0),2),0),0)</f>
        <v/>
      </c>
      <c r="M1773" s="141">
        <f>IF(offer_sale_type="транзит",IFERROR(ROUNDUP(VLOOKUP($B1773,calc_data,M$14+1,0),2),0),0)</f>
        <v/>
      </c>
      <c r="N1773" s="141">
        <f>IF(offer_sale_type="транзит",IFERROR(ROUNDUP(VLOOKUP($B1773,calc_data,N$14+1,0),2),0),0)</f>
        <v/>
      </c>
      <c r="O1773" s="147">
        <f>IF(offer_sale_type="транзит",IFERROR(ROUND(VLOOKUP($B1773,calc_data,O$14+1,1),2),0),0)</f>
        <v/>
      </c>
      <c r="P1773" s="141">
        <f>IF(offer_sale_type="транзит",IFERROR(ROUND(SUM(I1773:J1773,M1773:O1773)/E1773,2),0),0)</f>
        <v/>
      </c>
      <c r="Q1773" s="141">
        <f>E1773*P1773</f>
        <v/>
      </c>
      <c r="R1773" s="141">
        <f>ROUND(Q1773*IF(AND(offer_incoterms="DDP",seller_region="RU"),IF((TODAY()+offer_turnaround_time)&gt;=helpsheet!$L$17,rate_vatRU_from_26,rate_vatRu_till_25),0),2)</f>
        <v/>
      </c>
      <c r="S1773" s="177">
        <f>Q1773+IF(AND(offer_incoterms="DDP",seller_region="RU"),R1773,0)</f>
        <v/>
      </c>
      <c r="T1773" s="45" t="n"/>
      <c r="V1773" s="57">
        <f>IF(Q1773&gt;0,"показать","скрыть")</f>
        <v/>
      </c>
    </row>
    <row r="1774" ht="15.75" customHeight="1">
      <c r="B1774" s="809" t="n">
        <v>1758</v>
      </c>
      <c r="C1774" s="182">
        <f>IF(offer_sale_type="транзит",IFERROR(VLOOKUP($B1774,calc_data,C$14+1,0),0),0)</f>
        <v/>
      </c>
      <c r="D1774" s="280">
        <f>IF(offer_sale_type="транзит",IFERROR(VLOOKUP($B1774,calc_data,D$14+1,0),0),0)</f>
        <v/>
      </c>
      <c r="E1774" s="182">
        <f>IF(offer_sale_type="транзит",IFERROR(VLOOKUP($B1774,calc_data,E$14+1,0),0),0)</f>
        <v/>
      </c>
      <c r="F1774" s="182">
        <f>IF(offer_sale_type="транзит",IFERROR(VLOOKUP($B1774,calc_data,F$14+1,0),0),0)</f>
        <v/>
      </c>
      <c r="G1774" s="141">
        <f>IF(offer_sale_type="транзит",IFERROR(VLOOKUP($B1774,calc_data,G$14+1,0),0),0)</f>
        <v/>
      </c>
      <c r="H1774" s="141">
        <f>E1774*G1774</f>
        <v/>
      </c>
      <c r="I1774" s="141">
        <f>IF(offer_sale_type="транзит",IFERROR(ROUND(VLOOKUP($B1774,calc_data,I$14+1,0),2),0),0)</f>
        <v/>
      </c>
      <c r="J1774" s="141">
        <f>ROUND(IF(offer_sale_type="транзит",IFERROR(VLOOKUP($B1774,calc_data,J$14+1,0),0),0),2)</f>
        <v/>
      </c>
      <c r="K1774" s="142">
        <f>IF(offer_sale_type="транзит",IFERROR(ROUNDUP(VLOOKUP($B1774,calc_data,K$14+1,0),2),0),0)</f>
        <v/>
      </c>
      <c r="L1774" s="184">
        <f>IF(offer_sale_type="транзит",IFERROR(ROUNDUP(VLOOKUP($B1774,calc_data,L$14+1,0),2),0),0)</f>
        <v/>
      </c>
      <c r="M1774" s="141">
        <f>IF(offer_sale_type="транзит",IFERROR(ROUNDUP(VLOOKUP($B1774,calc_data,M$14+1,0),2),0),0)</f>
        <v/>
      </c>
      <c r="N1774" s="141">
        <f>IF(offer_sale_type="транзит",IFERROR(ROUNDUP(VLOOKUP($B1774,calc_data,N$14+1,0),2),0),0)</f>
        <v/>
      </c>
      <c r="O1774" s="147">
        <f>IF(offer_sale_type="транзит",IFERROR(ROUND(VLOOKUP($B1774,calc_data,O$14+1,1),2),0),0)</f>
        <v/>
      </c>
      <c r="P1774" s="141">
        <f>IF(offer_sale_type="транзит",IFERROR(ROUND(SUM(I1774:J1774,M1774:O1774)/E1774,2),0),0)</f>
        <v/>
      </c>
      <c r="Q1774" s="141">
        <f>E1774*P1774</f>
        <v/>
      </c>
      <c r="R1774" s="141">
        <f>ROUND(Q1774*IF(AND(offer_incoterms="DDP",seller_region="RU"),IF((TODAY()+offer_turnaround_time)&gt;=helpsheet!$L$17,rate_vatRU_from_26,rate_vatRu_till_25),0),2)</f>
        <v/>
      </c>
      <c r="S1774" s="177">
        <f>Q1774+IF(AND(offer_incoterms="DDP",seller_region="RU"),R1774,0)</f>
        <v/>
      </c>
      <c r="T1774" s="45" t="n"/>
      <c r="V1774" s="57">
        <f>IF(Q1774&gt;0,"показать","скрыть")</f>
        <v/>
      </c>
    </row>
    <row r="1775" ht="15.75" customHeight="1">
      <c r="B1775" s="809" t="n">
        <v>1759</v>
      </c>
      <c r="C1775" s="182">
        <f>IF(offer_sale_type="транзит",IFERROR(VLOOKUP($B1775,calc_data,C$14+1,0),0),0)</f>
        <v/>
      </c>
      <c r="D1775" s="280">
        <f>IF(offer_sale_type="транзит",IFERROR(VLOOKUP($B1775,calc_data,D$14+1,0),0),0)</f>
        <v/>
      </c>
      <c r="E1775" s="182">
        <f>IF(offer_sale_type="транзит",IFERROR(VLOOKUP($B1775,calc_data,E$14+1,0),0),0)</f>
        <v/>
      </c>
      <c r="F1775" s="182">
        <f>IF(offer_sale_type="транзит",IFERROR(VLOOKUP($B1775,calc_data,F$14+1,0),0),0)</f>
        <v/>
      </c>
      <c r="G1775" s="141">
        <f>IF(offer_sale_type="транзит",IFERROR(VLOOKUP($B1775,calc_data,G$14+1,0),0),0)</f>
        <v/>
      </c>
      <c r="H1775" s="141">
        <f>E1775*G1775</f>
        <v/>
      </c>
      <c r="I1775" s="141">
        <f>IF(offer_sale_type="транзит",IFERROR(ROUND(VLOOKUP($B1775,calc_data,I$14+1,0),2),0),0)</f>
        <v/>
      </c>
      <c r="J1775" s="141">
        <f>ROUND(IF(offer_sale_type="транзит",IFERROR(VLOOKUP($B1775,calc_data,J$14+1,0),0),0),2)</f>
        <v/>
      </c>
      <c r="K1775" s="142">
        <f>IF(offer_sale_type="транзит",IFERROR(ROUNDUP(VLOOKUP($B1775,calc_data,K$14+1,0),2),0),0)</f>
        <v/>
      </c>
      <c r="L1775" s="184">
        <f>IF(offer_sale_type="транзит",IFERROR(ROUNDUP(VLOOKUP($B1775,calc_data,L$14+1,0),2),0),0)</f>
        <v/>
      </c>
      <c r="M1775" s="141">
        <f>IF(offer_sale_type="транзит",IFERROR(ROUNDUP(VLOOKUP($B1775,calc_data,M$14+1,0),2),0),0)</f>
        <v/>
      </c>
      <c r="N1775" s="141">
        <f>IF(offer_sale_type="транзит",IFERROR(ROUNDUP(VLOOKUP($B1775,calc_data,N$14+1,0),2),0),0)</f>
        <v/>
      </c>
      <c r="O1775" s="147">
        <f>IF(offer_sale_type="транзит",IFERROR(ROUND(VLOOKUP($B1775,calc_data,O$14+1,1),2),0),0)</f>
        <v/>
      </c>
      <c r="P1775" s="141">
        <f>IF(offer_sale_type="транзит",IFERROR(ROUND(SUM(I1775:J1775,M1775:O1775)/E1775,2),0),0)</f>
        <v/>
      </c>
      <c r="Q1775" s="141">
        <f>E1775*P1775</f>
        <v/>
      </c>
      <c r="R1775" s="141">
        <f>ROUND(Q1775*IF(AND(offer_incoterms="DDP",seller_region="RU"),IF((TODAY()+offer_turnaround_time)&gt;=helpsheet!$L$17,rate_vatRU_from_26,rate_vatRu_till_25),0),2)</f>
        <v/>
      </c>
      <c r="S1775" s="177">
        <f>Q1775+IF(AND(offer_incoterms="DDP",seller_region="RU"),R1775,0)</f>
        <v/>
      </c>
      <c r="T1775" s="45" t="n"/>
      <c r="V1775" s="57">
        <f>IF(Q1775&gt;0,"показать","скрыть")</f>
        <v/>
      </c>
    </row>
    <row r="1776" ht="15.75" customHeight="1">
      <c r="B1776" s="809" t="n">
        <v>1760</v>
      </c>
      <c r="C1776" s="182">
        <f>IF(offer_sale_type="транзит",IFERROR(VLOOKUP($B1776,calc_data,C$14+1,0),0),0)</f>
        <v/>
      </c>
      <c r="D1776" s="280">
        <f>IF(offer_sale_type="транзит",IFERROR(VLOOKUP($B1776,calc_data,D$14+1,0),0),0)</f>
        <v/>
      </c>
      <c r="E1776" s="182">
        <f>IF(offer_sale_type="транзит",IFERROR(VLOOKUP($B1776,calc_data,E$14+1,0),0),0)</f>
        <v/>
      </c>
      <c r="F1776" s="182">
        <f>IF(offer_sale_type="транзит",IFERROR(VLOOKUP($B1776,calc_data,F$14+1,0),0),0)</f>
        <v/>
      </c>
      <c r="G1776" s="141">
        <f>IF(offer_sale_type="транзит",IFERROR(VLOOKUP($B1776,calc_data,G$14+1,0),0),0)</f>
        <v/>
      </c>
      <c r="H1776" s="141">
        <f>E1776*G1776</f>
        <v/>
      </c>
      <c r="I1776" s="141">
        <f>IF(offer_sale_type="транзит",IFERROR(ROUND(VLOOKUP($B1776,calc_data,I$14+1,0),2),0),0)</f>
        <v/>
      </c>
      <c r="J1776" s="141">
        <f>ROUND(IF(offer_sale_type="транзит",IFERROR(VLOOKUP($B1776,calc_data,J$14+1,0),0),0),2)</f>
        <v/>
      </c>
      <c r="K1776" s="142">
        <f>IF(offer_sale_type="транзит",IFERROR(ROUNDUP(VLOOKUP($B1776,calc_data,K$14+1,0),2),0),0)</f>
        <v/>
      </c>
      <c r="L1776" s="184">
        <f>IF(offer_sale_type="транзит",IFERROR(ROUNDUP(VLOOKUP($B1776,calc_data,L$14+1,0),2),0),0)</f>
        <v/>
      </c>
      <c r="M1776" s="141">
        <f>IF(offer_sale_type="транзит",IFERROR(ROUNDUP(VLOOKUP($B1776,calc_data,M$14+1,0),2),0),0)</f>
        <v/>
      </c>
      <c r="N1776" s="141">
        <f>IF(offer_sale_type="транзит",IFERROR(ROUNDUP(VLOOKUP($B1776,calc_data,N$14+1,0),2),0),0)</f>
        <v/>
      </c>
      <c r="O1776" s="147">
        <f>IF(offer_sale_type="транзит",IFERROR(ROUND(VLOOKUP($B1776,calc_data,O$14+1,1),2),0),0)</f>
        <v/>
      </c>
      <c r="P1776" s="141">
        <f>IF(offer_sale_type="транзит",IFERROR(ROUND(SUM(I1776:J1776,M1776:O1776)/E1776,2),0),0)</f>
        <v/>
      </c>
      <c r="Q1776" s="141">
        <f>E1776*P1776</f>
        <v/>
      </c>
      <c r="R1776" s="141">
        <f>ROUND(Q1776*IF(AND(offer_incoterms="DDP",seller_region="RU"),IF((TODAY()+offer_turnaround_time)&gt;=helpsheet!$L$17,rate_vatRU_from_26,rate_vatRu_till_25),0),2)</f>
        <v/>
      </c>
      <c r="S1776" s="177">
        <f>Q1776+IF(AND(offer_incoterms="DDP",seller_region="RU"),R1776,0)</f>
        <v/>
      </c>
      <c r="T1776" s="45" t="n"/>
      <c r="V1776" s="57">
        <f>IF(Q1776&gt;0,"показать","скрыть")</f>
        <v/>
      </c>
    </row>
    <row r="1777" ht="15.75" customHeight="1">
      <c r="B1777" s="809" t="n">
        <v>1761</v>
      </c>
      <c r="C1777" s="182">
        <f>IF(offer_sale_type="транзит",IFERROR(VLOOKUP($B1777,calc_data,C$14+1,0),0),0)</f>
        <v/>
      </c>
      <c r="D1777" s="280">
        <f>IF(offer_sale_type="транзит",IFERROR(VLOOKUP($B1777,calc_data,D$14+1,0),0),0)</f>
        <v/>
      </c>
      <c r="E1777" s="182">
        <f>IF(offer_sale_type="транзит",IFERROR(VLOOKUP($B1777,calc_data,E$14+1,0),0),0)</f>
        <v/>
      </c>
      <c r="F1777" s="182">
        <f>IF(offer_sale_type="транзит",IFERROR(VLOOKUP($B1777,calc_data,F$14+1,0),0),0)</f>
        <v/>
      </c>
      <c r="G1777" s="141">
        <f>IF(offer_sale_type="транзит",IFERROR(VLOOKUP($B1777,calc_data,G$14+1,0),0),0)</f>
        <v/>
      </c>
      <c r="H1777" s="141">
        <f>E1777*G1777</f>
        <v/>
      </c>
      <c r="I1777" s="141">
        <f>IF(offer_sale_type="транзит",IFERROR(ROUND(VLOOKUP($B1777,calc_data,I$14+1,0),2),0),0)</f>
        <v/>
      </c>
      <c r="J1777" s="141">
        <f>ROUND(IF(offer_sale_type="транзит",IFERROR(VLOOKUP($B1777,calc_data,J$14+1,0),0),0),2)</f>
        <v/>
      </c>
      <c r="K1777" s="142">
        <f>IF(offer_sale_type="транзит",IFERROR(ROUNDUP(VLOOKUP($B1777,calc_data,K$14+1,0),2),0),0)</f>
        <v/>
      </c>
      <c r="L1777" s="184">
        <f>IF(offer_sale_type="транзит",IFERROR(ROUNDUP(VLOOKUP($B1777,calc_data,L$14+1,0),2),0),0)</f>
        <v/>
      </c>
      <c r="M1777" s="141">
        <f>IF(offer_sale_type="транзит",IFERROR(ROUNDUP(VLOOKUP($B1777,calc_data,M$14+1,0),2),0),0)</f>
        <v/>
      </c>
      <c r="N1777" s="141">
        <f>IF(offer_sale_type="транзит",IFERROR(ROUNDUP(VLOOKUP($B1777,calc_data,N$14+1,0),2),0),0)</f>
        <v/>
      </c>
      <c r="O1777" s="147">
        <f>IF(offer_sale_type="транзит",IFERROR(ROUND(VLOOKUP($B1777,calc_data,O$14+1,1),2),0),0)</f>
        <v/>
      </c>
      <c r="P1777" s="141">
        <f>IF(offer_sale_type="транзит",IFERROR(ROUND(SUM(I1777:J1777,M1777:O1777)/E1777,2),0),0)</f>
        <v/>
      </c>
      <c r="Q1777" s="141">
        <f>E1777*P1777</f>
        <v/>
      </c>
      <c r="R1777" s="141">
        <f>ROUND(Q1777*IF(AND(offer_incoterms="DDP",seller_region="RU"),IF((TODAY()+offer_turnaround_time)&gt;=helpsheet!$L$17,rate_vatRU_from_26,rate_vatRu_till_25),0),2)</f>
        <v/>
      </c>
      <c r="S1777" s="177">
        <f>Q1777+IF(AND(offer_incoterms="DDP",seller_region="RU"),R1777,0)</f>
        <v/>
      </c>
      <c r="T1777" s="45" t="n"/>
      <c r="V1777" s="57">
        <f>IF(Q1777&gt;0,"показать","скрыть")</f>
        <v/>
      </c>
    </row>
    <row r="1778" ht="15.75" customHeight="1">
      <c r="B1778" s="809" t="n">
        <v>1762</v>
      </c>
      <c r="C1778" s="182">
        <f>IF(offer_sale_type="транзит",IFERROR(VLOOKUP($B1778,calc_data,C$14+1,0),0),0)</f>
        <v/>
      </c>
      <c r="D1778" s="280">
        <f>IF(offer_sale_type="транзит",IFERROR(VLOOKUP($B1778,calc_data,D$14+1,0),0),0)</f>
        <v/>
      </c>
      <c r="E1778" s="182">
        <f>IF(offer_sale_type="транзит",IFERROR(VLOOKUP($B1778,calc_data,E$14+1,0),0),0)</f>
        <v/>
      </c>
      <c r="F1778" s="182">
        <f>IF(offer_sale_type="транзит",IFERROR(VLOOKUP($B1778,calc_data,F$14+1,0),0),0)</f>
        <v/>
      </c>
      <c r="G1778" s="141">
        <f>IF(offer_sale_type="транзит",IFERROR(VLOOKUP($B1778,calc_data,G$14+1,0),0),0)</f>
        <v/>
      </c>
      <c r="H1778" s="141">
        <f>E1778*G1778</f>
        <v/>
      </c>
      <c r="I1778" s="141">
        <f>IF(offer_sale_type="транзит",IFERROR(ROUND(VLOOKUP($B1778,calc_data,I$14+1,0),2),0),0)</f>
        <v/>
      </c>
      <c r="J1778" s="141">
        <f>ROUND(IF(offer_sale_type="транзит",IFERROR(VLOOKUP($B1778,calc_data,J$14+1,0),0),0),2)</f>
        <v/>
      </c>
      <c r="K1778" s="142">
        <f>IF(offer_sale_type="транзит",IFERROR(ROUNDUP(VLOOKUP($B1778,calc_data,K$14+1,0),2),0),0)</f>
        <v/>
      </c>
      <c r="L1778" s="184">
        <f>IF(offer_sale_type="транзит",IFERROR(ROUNDUP(VLOOKUP($B1778,calc_data,L$14+1,0),2),0),0)</f>
        <v/>
      </c>
      <c r="M1778" s="141">
        <f>IF(offer_sale_type="транзит",IFERROR(ROUNDUP(VLOOKUP($B1778,calc_data,M$14+1,0),2),0),0)</f>
        <v/>
      </c>
      <c r="N1778" s="141">
        <f>IF(offer_sale_type="транзит",IFERROR(ROUNDUP(VLOOKUP($B1778,calc_data,N$14+1,0),2),0),0)</f>
        <v/>
      </c>
      <c r="O1778" s="147">
        <f>IF(offer_sale_type="транзит",IFERROR(ROUND(VLOOKUP($B1778,calc_data,O$14+1,1),2),0),0)</f>
        <v/>
      </c>
      <c r="P1778" s="141">
        <f>IF(offer_sale_type="транзит",IFERROR(ROUND(SUM(I1778:J1778,M1778:O1778)/E1778,2),0),0)</f>
        <v/>
      </c>
      <c r="Q1778" s="141">
        <f>E1778*P1778</f>
        <v/>
      </c>
      <c r="R1778" s="141">
        <f>ROUND(Q1778*IF(AND(offer_incoterms="DDP",seller_region="RU"),IF((TODAY()+offer_turnaround_time)&gt;=helpsheet!$L$17,rate_vatRU_from_26,rate_vatRu_till_25),0),2)</f>
        <v/>
      </c>
      <c r="S1778" s="177">
        <f>Q1778+IF(AND(offer_incoterms="DDP",seller_region="RU"),R1778,0)</f>
        <v/>
      </c>
      <c r="T1778" s="45" t="n"/>
      <c r="V1778" s="57">
        <f>IF(Q1778&gt;0,"показать","скрыть")</f>
        <v/>
      </c>
    </row>
    <row r="1779" ht="15.75" customHeight="1">
      <c r="B1779" s="809" t="n">
        <v>1763</v>
      </c>
      <c r="C1779" s="182">
        <f>IF(offer_sale_type="транзит",IFERROR(VLOOKUP($B1779,calc_data,C$14+1,0),0),0)</f>
        <v/>
      </c>
      <c r="D1779" s="280">
        <f>IF(offer_sale_type="транзит",IFERROR(VLOOKUP($B1779,calc_data,D$14+1,0),0),0)</f>
        <v/>
      </c>
      <c r="E1779" s="182">
        <f>IF(offer_sale_type="транзит",IFERROR(VLOOKUP($B1779,calc_data,E$14+1,0),0),0)</f>
        <v/>
      </c>
      <c r="F1779" s="182">
        <f>IF(offer_sale_type="транзит",IFERROR(VLOOKUP($B1779,calc_data,F$14+1,0),0),0)</f>
        <v/>
      </c>
      <c r="G1779" s="141">
        <f>IF(offer_sale_type="транзит",IFERROR(VLOOKUP($B1779,calc_data,G$14+1,0),0),0)</f>
        <v/>
      </c>
      <c r="H1779" s="141">
        <f>E1779*G1779</f>
        <v/>
      </c>
      <c r="I1779" s="141">
        <f>IF(offer_sale_type="транзит",IFERROR(ROUND(VLOOKUP($B1779,calc_data,I$14+1,0),2),0),0)</f>
        <v/>
      </c>
      <c r="J1779" s="141">
        <f>ROUND(IF(offer_sale_type="транзит",IFERROR(VLOOKUP($B1779,calc_data,J$14+1,0),0),0),2)</f>
        <v/>
      </c>
      <c r="K1779" s="142">
        <f>IF(offer_sale_type="транзит",IFERROR(ROUNDUP(VLOOKUP($B1779,calc_data,K$14+1,0),2),0),0)</f>
        <v/>
      </c>
      <c r="L1779" s="184">
        <f>IF(offer_sale_type="транзит",IFERROR(ROUNDUP(VLOOKUP($B1779,calc_data,L$14+1,0),2),0),0)</f>
        <v/>
      </c>
      <c r="M1779" s="141">
        <f>IF(offer_sale_type="транзит",IFERROR(ROUNDUP(VLOOKUP($B1779,calc_data,M$14+1,0),2),0),0)</f>
        <v/>
      </c>
      <c r="N1779" s="141">
        <f>IF(offer_sale_type="транзит",IFERROR(ROUNDUP(VLOOKUP($B1779,calc_data,N$14+1,0),2),0),0)</f>
        <v/>
      </c>
      <c r="O1779" s="147">
        <f>IF(offer_sale_type="транзит",IFERROR(ROUND(VLOOKUP($B1779,calc_data,O$14+1,1),2),0),0)</f>
        <v/>
      </c>
      <c r="P1779" s="141">
        <f>IF(offer_sale_type="транзит",IFERROR(ROUND(SUM(I1779:J1779,M1779:O1779)/E1779,2),0),0)</f>
        <v/>
      </c>
      <c r="Q1779" s="141">
        <f>E1779*P1779</f>
        <v/>
      </c>
      <c r="R1779" s="141">
        <f>ROUND(Q1779*IF(AND(offer_incoterms="DDP",seller_region="RU"),IF((TODAY()+offer_turnaround_time)&gt;=helpsheet!$L$17,rate_vatRU_from_26,rate_vatRu_till_25),0),2)</f>
        <v/>
      </c>
      <c r="S1779" s="177">
        <f>Q1779+IF(AND(offer_incoterms="DDP",seller_region="RU"),R1779,0)</f>
        <v/>
      </c>
      <c r="T1779" s="45" t="n"/>
      <c r="V1779" s="57">
        <f>IF(Q1779&gt;0,"показать","скрыть")</f>
        <v/>
      </c>
    </row>
    <row r="1780" ht="15.75" customHeight="1">
      <c r="B1780" s="809" t="n">
        <v>1764</v>
      </c>
      <c r="C1780" s="182">
        <f>IF(offer_sale_type="транзит",IFERROR(VLOOKUP($B1780,calc_data,C$14+1,0),0),0)</f>
        <v/>
      </c>
      <c r="D1780" s="280">
        <f>IF(offer_sale_type="транзит",IFERROR(VLOOKUP($B1780,calc_data,D$14+1,0),0),0)</f>
        <v/>
      </c>
      <c r="E1780" s="182">
        <f>IF(offer_sale_type="транзит",IFERROR(VLOOKUP($B1780,calc_data,E$14+1,0),0),0)</f>
        <v/>
      </c>
      <c r="F1780" s="182">
        <f>IF(offer_sale_type="транзит",IFERROR(VLOOKUP($B1780,calc_data,F$14+1,0),0),0)</f>
        <v/>
      </c>
      <c r="G1780" s="141">
        <f>IF(offer_sale_type="транзит",IFERROR(VLOOKUP($B1780,calc_data,G$14+1,0),0),0)</f>
        <v/>
      </c>
      <c r="H1780" s="141">
        <f>E1780*G1780</f>
        <v/>
      </c>
      <c r="I1780" s="141">
        <f>IF(offer_sale_type="транзит",IFERROR(ROUND(VLOOKUP($B1780,calc_data,I$14+1,0),2),0),0)</f>
        <v/>
      </c>
      <c r="J1780" s="141">
        <f>ROUND(IF(offer_sale_type="транзит",IFERROR(VLOOKUP($B1780,calc_data,J$14+1,0),0),0),2)</f>
        <v/>
      </c>
      <c r="K1780" s="142">
        <f>IF(offer_sale_type="транзит",IFERROR(ROUNDUP(VLOOKUP($B1780,calc_data,K$14+1,0),2),0),0)</f>
        <v/>
      </c>
      <c r="L1780" s="184">
        <f>IF(offer_sale_type="транзит",IFERROR(ROUNDUP(VLOOKUP($B1780,calc_data,L$14+1,0),2),0),0)</f>
        <v/>
      </c>
      <c r="M1780" s="141">
        <f>IF(offer_sale_type="транзит",IFERROR(ROUNDUP(VLOOKUP($B1780,calc_data,M$14+1,0),2),0),0)</f>
        <v/>
      </c>
      <c r="N1780" s="141">
        <f>IF(offer_sale_type="транзит",IFERROR(ROUNDUP(VLOOKUP($B1780,calc_data,N$14+1,0),2),0),0)</f>
        <v/>
      </c>
      <c r="O1780" s="147">
        <f>IF(offer_sale_type="транзит",IFERROR(ROUND(VLOOKUP($B1780,calc_data,O$14+1,1),2),0),0)</f>
        <v/>
      </c>
      <c r="P1780" s="141">
        <f>IF(offer_sale_type="транзит",IFERROR(ROUND(SUM(I1780:J1780,M1780:O1780)/E1780,2),0),0)</f>
        <v/>
      </c>
      <c r="Q1780" s="141">
        <f>E1780*P1780</f>
        <v/>
      </c>
      <c r="R1780" s="141">
        <f>ROUND(Q1780*IF(AND(offer_incoterms="DDP",seller_region="RU"),IF((TODAY()+offer_turnaround_time)&gt;=helpsheet!$L$17,rate_vatRU_from_26,rate_vatRu_till_25),0),2)</f>
        <v/>
      </c>
      <c r="S1780" s="177">
        <f>Q1780+IF(AND(offer_incoterms="DDP",seller_region="RU"),R1780,0)</f>
        <v/>
      </c>
      <c r="T1780" s="45" t="n"/>
      <c r="V1780" s="57">
        <f>IF(Q1780&gt;0,"показать","скрыть")</f>
        <v/>
      </c>
    </row>
    <row r="1781" ht="15.75" customHeight="1">
      <c r="B1781" s="809" t="n">
        <v>1765</v>
      </c>
      <c r="C1781" s="182">
        <f>IF(offer_sale_type="транзит",IFERROR(VLOOKUP($B1781,calc_data,C$14+1,0),0),0)</f>
        <v/>
      </c>
      <c r="D1781" s="280">
        <f>IF(offer_sale_type="транзит",IFERROR(VLOOKUP($B1781,calc_data,D$14+1,0),0),0)</f>
        <v/>
      </c>
      <c r="E1781" s="182">
        <f>IF(offer_sale_type="транзит",IFERROR(VLOOKUP($B1781,calc_data,E$14+1,0),0),0)</f>
        <v/>
      </c>
      <c r="F1781" s="182">
        <f>IF(offer_sale_type="транзит",IFERROR(VLOOKUP($B1781,calc_data,F$14+1,0),0),0)</f>
        <v/>
      </c>
      <c r="G1781" s="141">
        <f>IF(offer_sale_type="транзит",IFERROR(VLOOKUP($B1781,calc_data,G$14+1,0),0),0)</f>
        <v/>
      </c>
      <c r="H1781" s="141">
        <f>E1781*G1781</f>
        <v/>
      </c>
      <c r="I1781" s="141">
        <f>IF(offer_sale_type="транзит",IFERROR(ROUND(VLOOKUP($B1781,calc_data,I$14+1,0),2),0),0)</f>
        <v/>
      </c>
      <c r="J1781" s="141">
        <f>ROUND(IF(offer_sale_type="транзит",IFERROR(VLOOKUP($B1781,calc_data,J$14+1,0),0),0),2)</f>
        <v/>
      </c>
      <c r="K1781" s="142">
        <f>IF(offer_sale_type="транзит",IFERROR(ROUNDUP(VLOOKUP($B1781,calc_data,K$14+1,0),2),0),0)</f>
        <v/>
      </c>
      <c r="L1781" s="184">
        <f>IF(offer_sale_type="транзит",IFERROR(ROUNDUP(VLOOKUP($B1781,calc_data,L$14+1,0),2),0),0)</f>
        <v/>
      </c>
      <c r="M1781" s="141">
        <f>IF(offer_sale_type="транзит",IFERROR(ROUNDUP(VLOOKUP($B1781,calc_data,M$14+1,0),2),0),0)</f>
        <v/>
      </c>
      <c r="N1781" s="141">
        <f>IF(offer_sale_type="транзит",IFERROR(ROUNDUP(VLOOKUP($B1781,calc_data,N$14+1,0),2),0),0)</f>
        <v/>
      </c>
      <c r="O1781" s="147">
        <f>IF(offer_sale_type="транзит",IFERROR(ROUND(VLOOKUP($B1781,calc_data,O$14+1,1),2),0),0)</f>
        <v/>
      </c>
      <c r="P1781" s="141">
        <f>IF(offer_sale_type="транзит",IFERROR(ROUND(SUM(I1781:J1781,M1781:O1781)/E1781,2),0),0)</f>
        <v/>
      </c>
      <c r="Q1781" s="141">
        <f>E1781*P1781</f>
        <v/>
      </c>
      <c r="R1781" s="141">
        <f>ROUND(Q1781*IF(AND(offer_incoterms="DDP",seller_region="RU"),IF((TODAY()+offer_turnaround_time)&gt;=helpsheet!$L$17,rate_vatRU_from_26,rate_vatRu_till_25),0),2)</f>
        <v/>
      </c>
      <c r="S1781" s="177">
        <f>Q1781+IF(AND(offer_incoterms="DDP",seller_region="RU"),R1781,0)</f>
        <v/>
      </c>
      <c r="T1781" s="45" t="n"/>
      <c r="V1781" s="57">
        <f>IF(Q1781&gt;0,"показать","скрыть")</f>
        <v/>
      </c>
    </row>
    <row r="1782" ht="15.75" customHeight="1">
      <c r="B1782" s="809" t="n">
        <v>1766</v>
      </c>
      <c r="C1782" s="182">
        <f>IF(offer_sale_type="транзит",IFERROR(VLOOKUP($B1782,calc_data,C$14+1,0),0),0)</f>
        <v/>
      </c>
      <c r="D1782" s="280">
        <f>IF(offer_sale_type="транзит",IFERROR(VLOOKUP($B1782,calc_data,D$14+1,0),0),0)</f>
        <v/>
      </c>
      <c r="E1782" s="182">
        <f>IF(offer_sale_type="транзит",IFERROR(VLOOKUP($B1782,calc_data,E$14+1,0),0),0)</f>
        <v/>
      </c>
      <c r="F1782" s="182">
        <f>IF(offer_sale_type="транзит",IFERROR(VLOOKUP($B1782,calc_data,F$14+1,0),0),0)</f>
        <v/>
      </c>
      <c r="G1782" s="141">
        <f>IF(offer_sale_type="транзит",IFERROR(VLOOKUP($B1782,calc_data,G$14+1,0),0),0)</f>
        <v/>
      </c>
      <c r="H1782" s="141">
        <f>E1782*G1782</f>
        <v/>
      </c>
      <c r="I1782" s="141">
        <f>IF(offer_sale_type="транзит",IFERROR(ROUND(VLOOKUP($B1782,calc_data,I$14+1,0),2),0),0)</f>
        <v/>
      </c>
      <c r="J1782" s="141">
        <f>ROUND(IF(offer_sale_type="транзит",IFERROR(VLOOKUP($B1782,calc_data,J$14+1,0),0),0),2)</f>
        <v/>
      </c>
      <c r="K1782" s="142">
        <f>IF(offer_sale_type="транзит",IFERROR(ROUNDUP(VLOOKUP($B1782,calc_data,K$14+1,0),2),0),0)</f>
        <v/>
      </c>
      <c r="L1782" s="184">
        <f>IF(offer_sale_type="транзит",IFERROR(ROUNDUP(VLOOKUP($B1782,calc_data,L$14+1,0),2),0),0)</f>
        <v/>
      </c>
      <c r="M1782" s="141">
        <f>IF(offer_sale_type="транзит",IFERROR(ROUNDUP(VLOOKUP($B1782,calc_data,M$14+1,0),2),0),0)</f>
        <v/>
      </c>
      <c r="N1782" s="141">
        <f>IF(offer_sale_type="транзит",IFERROR(ROUNDUP(VLOOKUP($B1782,calc_data,N$14+1,0),2),0),0)</f>
        <v/>
      </c>
      <c r="O1782" s="147">
        <f>IF(offer_sale_type="транзит",IFERROR(ROUND(VLOOKUP($B1782,calc_data,O$14+1,1),2),0),0)</f>
        <v/>
      </c>
      <c r="P1782" s="141">
        <f>IF(offer_sale_type="транзит",IFERROR(ROUND(SUM(I1782:J1782,M1782:O1782)/E1782,2),0),0)</f>
        <v/>
      </c>
      <c r="Q1782" s="141">
        <f>E1782*P1782</f>
        <v/>
      </c>
      <c r="R1782" s="141">
        <f>ROUND(Q1782*IF(AND(offer_incoterms="DDP",seller_region="RU"),IF((TODAY()+offer_turnaround_time)&gt;=helpsheet!$L$17,rate_vatRU_from_26,rate_vatRu_till_25),0),2)</f>
        <v/>
      </c>
      <c r="S1782" s="177">
        <f>Q1782+IF(AND(offer_incoterms="DDP",seller_region="RU"),R1782,0)</f>
        <v/>
      </c>
      <c r="T1782" s="45" t="n"/>
      <c r="V1782" s="57">
        <f>IF(Q1782&gt;0,"показать","скрыть")</f>
        <v/>
      </c>
    </row>
    <row r="1783" ht="15.75" customHeight="1">
      <c r="B1783" s="809" t="n">
        <v>1767</v>
      </c>
      <c r="C1783" s="182">
        <f>IF(offer_sale_type="транзит",IFERROR(VLOOKUP($B1783,calc_data,C$14+1,0),0),0)</f>
        <v/>
      </c>
      <c r="D1783" s="280">
        <f>IF(offer_sale_type="транзит",IFERROR(VLOOKUP($B1783,calc_data,D$14+1,0),0),0)</f>
        <v/>
      </c>
      <c r="E1783" s="182">
        <f>IF(offer_sale_type="транзит",IFERROR(VLOOKUP($B1783,calc_data,E$14+1,0),0),0)</f>
        <v/>
      </c>
      <c r="F1783" s="182">
        <f>IF(offer_sale_type="транзит",IFERROR(VLOOKUP($B1783,calc_data,F$14+1,0),0),0)</f>
        <v/>
      </c>
      <c r="G1783" s="141">
        <f>IF(offer_sale_type="транзит",IFERROR(VLOOKUP($B1783,calc_data,G$14+1,0),0),0)</f>
        <v/>
      </c>
      <c r="H1783" s="141">
        <f>E1783*G1783</f>
        <v/>
      </c>
      <c r="I1783" s="141">
        <f>IF(offer_sale_type="транзит",IFERROR(ROUND(VLOOKUP($B1783,calc_data,I$14+1,0),2),0),0)</f>
        <v/>
      </c>
      <c r="J1783" s="141">
        <f>ROUND(IF(offer_sale_type="транзит",IFERROR(VLOOKUP($B1783,calc_data,J$14+1,0),0),0),2)</f>
        <v/>
      </c>
      <c r="K1783" s="142">
        <f>IF(offer_sale_type="транзит",IFERROR(ROUNDUP(VLOOKUP($B1783,calc_data,K$14+1,0),2),0),0)</f>
        <v/>
      </c>
      <c r="L1783" s="184">
        <f>IF(offer_sale_type="транзит",IFERROR(ROUNDUP(VLOOKUP($B1783,calc_data,L$14+1,0),2),0),0)</f>
        <v/>
      </c>
      <c r="M1783" s="141">
        <f>IF(offer_sale_type="транзит",IFERROR(ROUNDUP(VLOOKUP($B1783,calc_data,M$14+1,0),2),0),0)</f>
        <v/>
      </c>
      <c r="N1783" s="141">
        <f>IF(offer_sale_type="транзит",IFERROR(ROUNDUP(VLOOKUP($B1783,calc_data,N$14+1,0),2),0),0)</f>
        <v/>
      </c>
      <c r="O1783" s="147">
        <f>IF(offer_sale_type="транзит",IFERROR(ROUND(VLOOKUP($B1783,calc_data,O$14+1,1),2),0),0)</f>
        <v/>
      </c>
      <c r="P1783" s="141">
        <f>IF(offer_sale_type="транзит",IFERROR(ROUND(SUM(I1783:J1783,M1783:O1783)/E1783,2),0),0)</f>
        <v/>
      </c>
      <c r="Q1783" s="141">
        <f>E1783*P1783</f>
        <v/>
      </c>
      <c r="R1783" s="141">
        <f>ROUND(Q1783*IF(AND(offer_incoterms="DDP",seller_region="RU"),IF((TODAY()+offer_turnaround_time)&gt;=helpsheet!$L$17,rate_vatRU_from_26,rate_vatRu_till_25),0),2)</f>
        <v/>
      </c>
      <c r="S1783" s="177">
        <f>Q1783+IF(AND(offer_incoterms="DDP",seller_region="RU"),R1783,0)</f>
        <v/>
      </c>
      <c r="T1783" s="45" t="n"/>
      <c r="V1783" s="57">
        <f>IF(Q1783&gt;0,"показать","скрыть")</f>
        <v/>
      </c>
    </row>
    <row r="1784" ht="15.75" customHeight="1">
      <c r="B1784" s="809" t="n">
        <v>1768</v>
      </c>
      <c r="C1784" s="182">
        <f>IF(offer_sale_type="транзит",IFERROR(VLOOKUP($B1784,calc_data,C$14+1,0),0),0)</f>
        <v/>
      </c>
      <c r="D1784" s="280">
        <f>IF(offer_sale_type="транзит",IFERROR(VLOOKUP($B1784,calc_data,D$14+1,0),0),0)</f>
        <v/>
      </c>
      <c r="E1784" s="182">
        <f>IF(offer_sale_type="транзит",IFERROR(VLOOKUP($B1784,calc_data,E$14+1,0),0),0)</f>
        <v/>
      </c>
      <c r="F1784" s="182">
        <f>IF(offer_sale_type="транзит",IFERROR(VLOOKUP($B1784,calc_data,F$14+1,0),0),0)</f>
        <v/>
      </c>
      <c r="G1784" s="141">
        <f>IF(offer_sale_type="транзит",IFERROR(VLOOKUP($B1784,calc_data,G$14+1,0),0),0)</f>
        <v/>
      </c>
      <c r="H1784" s="141">
        <f>E1784*G1784</f>
        <v/>
      </c>
      <c r="I1784" s="141">
        <f>IF(offer_sale_type="транзит",IFERROR(ROUND(VLOOKUP($B1784,calc_data,I$14+1,0),2),0),0)</f>
        <v/>
      </c>
      <c r="J1784" s="141">
        <f>ROUND(IF(offer_sale_type="транзит",IFERROR(VLOOKUP($B1784,calc_data,J$14+1,0),0),0),2)</f>
        <v/>
      </c>
      <c r="K1784" s="142">
        <f>IF(offer_sale_type="транзит",IFERROR(ROUNDUP(VLOOKUP($B1784,calc_data,K$14+1,0),2),0),0)</f>
        <v/>
      </c>
      <c r="L1784" s="184">
        <f>IF(offer_sale_type="транзит",IFERROR(ROUNDUP(VLOOKUP($B1784,calc_data,L$14+1,0),2),0),0)</f>
        <v/>
      </c>
      <c r="M1784" s="141">
        <f>IF(offer_sale_type="транзит",IFERROR(ROUNDUP(VLOOKUP($B1784,calc_data,M$14+1,0),2),0),0)</f>
        <v/>
      </c>
      <c r="N1784" s="141">
        <f>IF(offer_sale_type="транзит",IFERROR(ROUNDUP(VLOOKUP($B1784,calc_data,N$14+1,0),2),0),0)</f>
        <v/>
      </c>
      <c r="O1784" s="147">
        <f>IF(offer_sale_type="транзит",IFERROR(ROUND(VLOOKUP($B1784,calc_data,O$14+1,1),2),0),0)</f>
        <v/>
      </c>
      <c r="P1784" s="141">
        <f>IF(offer_sale_type="транзит",IFERROR(ROUND(SUM(I1784:J1784,M1784:O1784)/E1784,2),0),0)</f>
        <v/>
      </c>
      <c r="Q1784" s="141">
        <f>E1784*P1784</f>
        <v/>
      </c>
      <c r="R1784" s="141">
        <f>ROUND(Q1784*IF(AND(offer_incoterms="DDP",seller_region="RU"),IF((TODAY()+offer_turnaround_time)&gt;=helpsheet!$L$17,rate_vatRU_from_26,rate_vatRu_till_25),0),2)</f>
        <v/>
      </c>
      <c r="S1784" s="177">
        <f>Q1784+IF(AND(offer_incoterms="DDP",seller_region="RU"),R1784,0)</f>
        <v/>
      </c>
      <c r="T1784" s="45" t="n"/>
      <c r="V1784" s="57">
        <f>IF(Q1784&gt;0,"показать","скрыть")</f>
        <v/>
      </c>
    </row>
    <row r="1785" ht="15.75" customHeight="1">
      <c r="B1785" s="809" t="n">
        <v>1769</v>
      </c>
      <c r="C1785" s="182">
        <f>IF(offer_sale_type="транзит",IFERROR(VLOOKUP($B1785,calc_data,C$14+1,0),0),0)</f>
        <v/>
      </c>
      <c r="D1785" s="280">
        <f>IF(offer_sale_type="транзит",IFERROR(VLOOKUP($B1785,calc_data,D$14+1,0),0),0)</f>
        <v/>
      </c>
      <c r="E1785" s="182">
        <f>IF(offer_sale_type="транзит",IFERROR(VLOOKUP($B1785,calc_data,E$14+1,0),0),0)</f>
        <v/>
      </c>
      <c r="F1785" s="182">
        <f>IF(offer_sale_type="транзит",IFERROR(VLOOKUP($B1785,calc_data,F$14+1,0),0),0)</f>
        <v/>
      </c>
      <c r="G1785" s="141">
        <f>IF(offer_sale_type="транзит",IFERROR(VLOOKUP($B1785,calc_data,G$14+1,0),0),0)</f>
        <v/>
      </c>
      <c r="H1785" s="141">
        <f>E1785*G1785</f>
        <v/>
      </c>
      <c r="I1785" s="141">
        <f>IF(offer_sale_type="транзит",IFERROR(ROUND(VLOOKUP($B1785,calc_data,I$14+1,0),2),0),0)</f>
        <v/>
      </c>
      <c r="J1785" s="141">
        <f>ROUND(IF(offer_sale_type="транзит",IFERROR(VLOOKUP($B1785,calc_data,J$14+1,0),0),0),2)</f>
        <v/>
      </c>
      <c r="K1785" s="142">
        <f>IF(offer_sale_type="транзит",IFERROR(ROUNDUP(VLOOKUP($B1785,calc_data,K$14+1,0),2),0),0)</f>
        <v/>
      </c>
      <c r="L1785" s="184">
        <f>IF(offer_sale_type="транзит",IFERROR(ROUNDUP(VLOOKUP($B1785,calc_data,L$14+1,0),2),0),0)</f>
        <v/>
      </c>
      <c r="M1785" s="141">
        <f>IF(offer_sale_type="транзит",IFERROR(ROUNDUP(VLOOKUP($B1785,calc_data,M$14+1,0),2),0),0)</f>
        <v/>
      </c>
      <c r="N1785" s="141">
        <f>IF(offer_sale_type="транзит",IFERROR(ROUNDUP(VLOOKUP($B1785,calc_data,N$14+1,0),2),0),0)</f>
        <v/>
      </c>
      <c r="O1785" s="147">
        <f>IF(offer_sale_type="транзит",IFERROR(ROUND(VLOOKUP($B1785,calc_data,O$14+1,1),2),0),0)</f>
        <v/>
      </c>
      <c r="P1785" s="141">
        <f>IF(offer_sale_type="транзит",IFERROR(ROUND(SUM(I1785:J1785,M1785:O1785)/E1785,2),0),0)</f>
        <v/>
      </c>
      <c r="Q1785" s="141">
        <f>E1785*P1785</f>
        <v/>
      </c>
      <c r="R1785" s="141">
        <f>ROUND(Q1785*IF(AND(offer_incoterms="DDP",seller_region="RU"),IF((TODAY()+offer_turnaround_time)&gt;=helpsheet!$L$17,rate_vatRU_from_26,rate_vatRu_till_25),0),2)</f>
        <v/>
      </c>
      <c r="S1785" s="177">
        <f>Q1785+IF(AND(offer_incoterms="DDP",seller_region="RU"),R1785,0)</f>
        <v/>
      </c>
      <c r="T1785" s="45" t="n"/>
      <c r="V1785" s="57">
        <f>IF(Q1785&gt;0,"показать","скрыть")</f>
        <v/>
      </c>
    </row>
    <row r="1786" ht="15.75" customHeight="1">
      <c r="B1786" s="809" t="n">
        <v>1770</v>
      </c>
      <c r="C1786" s="182">
        <f>IF(offer_sale_type="транзит",IFERROR(VLOOKUP($B1786,calc_data,C$14+1,0),0),0)</f>
        <v/>
      </c>
      <c r="D1786" s="280">
        <f>IF(offer_sale_type="транзит",IFERROR(VLOOKUP($B1786,calc_data,D$14+1,0),0),0)</f>
        <v/>
      </c>
      <c r="E1786" s="182">
        <f>IF(offer_sale_type="транзит",IFERROR(VLOOKUP($B1786,calc_data,E$14+1,0),0),0)</f>
        <v/>
      </c>
      <c r="F1786" s="182">
        <f>IF(offer_sale_type="транзит",IFERROR(VLOOKUP($B1786,calc_data,F$14+1,0),0),0)</f>
        <v/>
      </c>
      <c r="G1786" s="141">
        <f>IF(offer_sale_type="транзит",IFERROR(VLOOKUP($B1786,calc_data,G$14+1,0),0),0)</f>
        <v/>
      </c>
      <c r="H1786" s="141">
        <f>E1786*G1786</f>
        <v/>
      </c>
      <c r="I1786" s="141">
        <f>IF(offer_sale_type="транзит",IFERROR(ROUND(VLOOKUP($B1786,calc_data,I$14+1,0),2),0),0)</f>
        <v/>
      </c>
      <c r="J1786" s="141">
        <f>ROUND(IF(offer_sale_type="транзит",IFERROR(VLOOKUP($B1786,calc_data,J$14+1,0),0),0),2)</f>
        <v/>
      </c>
      <c r="K1786" s="142">
        <f>IF(offer_sale_type="транзит",IFERROR(ROUNDUP(VLOOKUP($B1786,calc_data,K$14+1,0),2),0),0)</f>
        <v/>
      </c>
      <c r="L1786" s="184">
        <f>IF(offer_sale_type="транзит",IFERROR(ROUNDUP(VLOOKUP($B1786,calc_data,L$14+1,0),2),0),0)</f>
        <v/>
      </c>
      <c r="M1786" s="141">
        <f>IF(offer_sale_type="транзит",IFERROR(ROUNDUP(VLOOKUP($B1786,calc_data,M$14+1,0),2),0),0)</f>
        <v/>
      </c>
      <c r="N1786" s="141">
        <f>IF(offer_sale_type="транзит",IFERROR(ROUNDUP(VLOOKUP($B1786,calc_data,N$14+1,0),2),0),0)</f>
        <v/>
      </c>
      <c r="O1786" s="147">
        <f>IF(offer_sale_type="транзит",IFERROR(ROUND(VLOOKUP($B1786,calc_data,O$14+1,1),2),0),0)</f>
        <v/>
      </c>
      <c r="P1786" s="141">
        <f>IF(offer_sale_type="транзит",IFERROR(ROUND(SUM(I1786:J1786,M1786:O1786)/E1786,2),0),0)</f>
        <v/>
      </c>
      <c r="Q1786" s="141">
        <f>E1786*P1786</f>
        <v/>
      </c>
      <c r="R1786" s="141">
        <f>ROUND(Q1786*IF(AND(offer_incoterms="DDP",seller_region="RU"),IF((TODAY()+offer_turnaround_time)&gt;=helpsheet!$L$17,rate_vatRU_from_26,rate_vatRu_till_25),0),2)</f>
        <v/>
      </c>
      <c r="S1786" s="177">
        <f>Q1786+IF(AND(offer_incoterms="DDP",seller_region="RU"),R1786,0)</f>
        <v/>
      </c>
      <c r="T1786" s="45" t="n"/>
      <c r="V1786" s="57">
        <f>IF(Q1786&gt;0,"показать","скрыть")</f>
        <v/>
      </c>
    </row>
    <row r="1787" ht="15.75" customHeight="1">
      <c r="B1787" s="809" t="n">
        <v>1771</v>
      </c>
      <c r="C1787" s="182">
        <f>IF(offer_sale_type="транзит",IFERROR(VLOOKUP($B1787,calc_data,C$14+1,0),0),0)</f>
        <v/>
      </c>
      <c r="D1787" s="280">
        <f>IF(offer_sale_type="транзит",IFERROR(VLOOKUP($B1787,calc_data,D$14+1,0),0),0)</f>
        <v/>
      </c>
      <c r="E1787" s="182">
        <f>IF(offer_sale_type="транзит",IFERROR(VLOOKUP($B1787,calc_data,E$14+1,0),0),0)</f>
        <v/>
      </c>
      <c r="F1787" s="182">
        <f>IF(offer_sale_type="транзит",IFERROR(VLOOKUP($B1787,calc_data,F$14+1,0),0),0)</f>
        <v/>
      </c>
      <c r="G1787" s="141">
        <f>IF(offer_sale_type="транзит",IFERROR(VLOOKUP($B1787,calc_data,G$14+1,0),0),0)</f>
        <v/>
      </c>
      <c r="H1787" s="141">
        <f>E1787*G1787</f>
        <v/>
      </c>
      <c r="I1787" s="141">
        <f>IF(offer_sale_type="транзит",IFERROR(ROUND(VLOOKUP($B1787,calc_data,I$14+1,0),2),0),0)</f>
        <v/>
      </c>
      <c r="J1787" s="141">
        <f>ROUND(IF(offer_sale_type="транзит",IFERROR(VLOOKUP($B1787,calc_data,J$14+1,0),0),0),2)</f>
        <v/>
      </c>
      <c r="K1787" s="142">
        <f>IF(offer_sale_type="транзит",IFERROR(ROUNDUP(VLOOKUP($B1787,calc_data,K$14+1,0),2),0),0)</f>
        <v/>
      </c>
      <c r="L1787" s="184">
        <f>IF(offer_sale_type="транзит",IFERROR(ROUNDUP(VLOOKUP($B1787,calc_data,L$14+1,0),2),0),0)</f>
        <v/>
      </c>
      <c r="M1787" s="141">
        <f>IF(offer_sale_type="транзит",IFERROR(ROUNDUP(VLOOKUP($B1787,calc_data,M$14+1,0),2),0),0)</f>
        <v/>
      </c>
      <c r="N1787" s="141">
        <f>IF(offer_sale_type="транзит",IFERROR(ROUNDUP(VLOOKUP($B1787,calc_data,N$14+1,0),2),0),0)</f>
        <v/>
      </c>
      <c r="O1787" s="147">
        <f>IF(offer_sale_type="транзит",IFERROR(ROUND(VLOOKUP($B1787,calc_data,O$14+1,1),2),0),0)</f>
        <v/>
      </c>
      <c r="P1787" s="141">
        <f>IF(offer_sale_type="транзит",IFERROR(ROUND(SUM(I1787:J1787,M1787:O1787)/E1787,2),0),0)</f>
        <v/>
      </c>
      <c r="Q1787" s="141">
        <f>E1787*P1787</f>
        <v/>
      </c>
      <c r="R1787" s="141">
        <f>ROUND(Q1787*IF(AND(offer_incoterms="DDP",seller_region="RU"),IF((TODAY()+offer_turnaround_time)&gt;=helpsheet!$L$17,rate_vatRU_from_26,rate_vatRu_till_25),0),2)</f>
        <v/>
      </c>
      <c r="S1787" s="177">
        <f>Q1787+IF(AND(offer_incoterms="DDP",seller_region="RU"),R1787,0)</f>
        <v/>
      </c>
      <c r="T1787" s="45" t="n"/>
      <c r="V1787" s="57">
        <f>IF(Q1787&gt;0,"показать","скрыть")</f>
        <v/>
      </c>
    </row>
    <row r="1788" ht="15.75" customHeight="1">
      <c r="B1788" s="809" t="n">
        <v>1772</v>
      </c>
      <c r="C1788" s="182">
        <f>IF(offer_sale_type="транзит",IFERROR(VLOOKUP($B1788,calc_data,C$14+1,0),0),0)</f>
        <v/>
      </c>
      <c r="D1788" s="280">
        <f>IF(offer_sale_type="транзит",IFERROR(VLOOKUP($B1788,calc_data,D$14+1,0),0),0)</f>
        <v/>
      </c>
      <c r="E1788" s="182">
        <f>IF(offer_sale_type="транзит",IFERROR(VLOOKUP($B1788,calc_data,E$14+1,0),0),0)</f>
        <v/>
      </c>
      <c r="F1788" s="182">
        <f>IF(offer_sale_type="транзит",IFERROR(VLOOKUP($B1788,calc_data,F$14+1,0),0),0)</f>
        <v/>
      </c>
      <c r="G1788" s="141">
        <f>IF(offer_sale_type="транзит",IFERROR(VLOOKUP($B1788,calc_data,G$14+1,0),0),0)</f>
        <v/>
      </c>
      <c r="H1788" s="141">
        <f>E1788*G1788</f>
        <v/>
      </c>
      <c r="I1788" s="141">
        <f>IF(offer_sale_type="транзит",IFERROR(ROUND(VLOOKUP($B1788,calc_data,I$14+1,0),2),0),0)</f>
        <v/>
      </c>
      <c r="J1788" s="141">
        <f>ROUND(IF(offer_sale_type="транзит",IFERROR(VLOOKUP($B1788,calc_data,J$14+1,0),0),0),2)</f>
        <v/>
      </c>
      <c r="K1788" s="142">
        <f>IF(offer_sale_type="транзит",IFERROR(ROUNDUP(VLOOKUP($B1788,calc_data,K$14+1,0),2),0),0)</f>
        <v/>
      </c>
      <c r="L1788" s="184">
        <f>IF(offer_sale_type="транзит",IFERROR(ROUNDUP(VLOOKUP($B1788,calc_data,L$14+1,0),2),0),0)</f>
        <v/>
      </c>
      <c r="M1788" s="141">
        <f>IF(offer_sale_type="транзит",IFERROR(ROUNDUP(VLOOKUP($B1788,calc_data,M$14+1,0),2),0),0)</f>
        <v/>
      </c>
      <c r="N1788" s="141">
        <f>IF(offer_sale_type="транзит",IFERROR(ROUNDUP(VLOOKUP($B1788,calc_data,N$14+1,0),2),0),0)</f>
        <v/>
      </c>
      <c r="O1788" s="147">
        <f>IF(offer_sale_type="транзит",IFERROR(ROUND(VLOOKUP($B1788,calc_data,O$14+1,1),2),0),0)</f>
        <v/>
      </c>
      <c r="P1788" s="141">
        <f>IF(offer_sale_type="транзит",IFERROR(ROUND(SUM(I1788:J1788,M1788:O1788)/E1788,2),0),0)</f>
        <v/>
      </c>
      <c r="Q1788" s="141">
        <f>E1788*P1788</f>
        <v/>
      </c>
      <c r="R1788" s="141">
        <f>ROUND(Q1788*IF(AND(offer_incoterms="DDP",seller_region="RU"),IF((TODAY()+offer_turnaround_time)&gt;=helpsheet!$L$17,rate_vatRU_from_26,rate_vatRu_till_25),0),2)</f>
        <v/>
      </c>
      <c r="S1788" s="177">
        <f>Q1788+IF(AND(offer_incoterms="DDP",seller_region="RU"),R1788,0)</f>
        <v/>
      </c>
      <c r="T1788" s="45" t="n"/>
      <c r="V1788" s="57">
        <f>IF(Q1788&gt;0,"показать","скрыть")</f>
        <v/>
      </c>
    </row>
    <row r="1789" ht="15.75" customHeight="1">
      <c r="B1789" s="809" t="n">
        <v>1773</v>
      </c>
      <c r="C1789" s="182">
        <f>IF(offer_sale_type="транзит",IFERROR(VLOOKUP($B1789,calc_data,C$14+1,0),0),0)</f>
        <v/>
      </c>
      <c r="D1789" s="280">
        <f>IF(offer_sale_type="транзит",IFERROR(VLOOKUP($B1789,calc_data,D$14+1,0),0),0)</f>
        <v/>
      </c>
      <c r="E1789" s="182">
        <f>IF(offer_sale_type="транзит",IFERROR(VLOOKUP($B1789,calc_data,E$14+1,0),0),0)</f>
        <v/>
      </c>
      <c r="F1789" s="182">
        <f>IF(offer_sale_type="транзит",IFERROR(VLOOKUP($B1789,calc_data,F$14+1,0),0),0)</f>
        <v/>
      </c>
      <c r="G1789" s="141">
        <f>IF(offer_sale_type="транзит",IFERROR(VLOOKUP($B1789,calc_data,G$14+1,0),0),0)</f>
        <v/>
      </c>
      <c r="H1789" s="141">
        <f>E1789*G1789</f>
        <v/>
      </c>
      <c r="I1789" s="141">
        <f>IF(offer_sale_type="транзит",IFERROR(ROUND(VLOOKUP($B1789,calc_data,I$14+1,0),2),0),0)</f>
        <v/>
      </c>
      <c r="J1789" s="141">
        <f>ROUND(IF(offer_sale_type="транзит",IFERROR(VLOOKUP($B1789,calc_data,J$14+1,0),0),0),2)</f>
        <v/>
      </c>
      <c r="K1789" s="142">
        <f>IF(offer_sale_type="транзит",IFERROR(ROUNDUP(VLOOKUP($B1789,calc_data,K$14+1,0),2),0),0)</f>
        <v/>
      </c>
      <c r="L1789" s="184">
        <f>IF(offer_sale_type="транзит",IFERROR(ROUNDUP(VLOOKUP($B1789,calc_data,L$14+1,0),2),0),0)</f>
        <v/>
      </c>
      <c r="M1789" s="141">
        <f>IF(offer_sale_type="транзит",IFERROR(ROUNDUP(VLOOKUP($B1789,calc_data,M$14+1,0),2),0),0)</f>
        <v/>
      </c>
      <c r="N1789" s="141">
        <f>IF(offer_sale_type="транзит",IFERROR(ROUNDUP(VLOOKUP($B1789,calc_data,N$14+1,0),2),0),0)</f>
        <v/>
      </c>
      <c r="O1789" s="147">
        <f>IF(offer_sale_type="транзит",IFERROR(ROUND(VLOOKUP($B1789,calc_data,O$14+1,1),2),0),0)</f>
        <v/>
      </c>
      <c r="P1789" s="141">
        <f>IF(offer_sale_type="транзит",IFERROR(ROUND(SUM(I1789:J1789,M1789:O1789)/E1789,2),0),0)</f>
        <v/>
      </c>
      <c r="Q1789" s="141">
        <f>E1789*P1789</f>
        <v/>
      </c>
      <c r="R1789" s="141">
        <f>ROUND(Q1789*IF(AND(offer_incoterms="DDP",seller_region="RU"),IF((TODAY()+offer_turnaround_time)&gt;=helpsheet!$L$17,rate_vatRU_from_26,rate_vatRu_till_25),0),2)</f>
        <v/>
      </c>
      <c r="S1789" s="177">
        <f>Q1789+IF(AND(offer_incoterms="DDP",seller_region="RU"),R1789,0)</f>
        <v/>
      </c>
      <c r="T1789" s="45" t="n"/>
      <c r="V1789" s="57">
        <f>IF(Q1789&gt;0,"показать","скрыть")</f>
        <v/>
      </c>
    </row>
    <row r="1790" ht="15.75" customHeight="1">
      <c r="B1790" s="809" t="n">
        <v>1774</v>
      </c>
      <c r="C1790" s="182">
        <f>IF(offer_sale_type="транзит",IFERROR(VLOOKUP($B1790,calc_data,C$14+1,0),0),0)</f>
        <v/>
      </c>
      <c r="D1790" s="280">
        <f>IF(offer_sale_type="транзит",IFERROR(VLOOKUP($B1790,calc_data,D$14+1,0),0),0)</f>
        <v/>
      </c>
      <c r="E1790" s="182">
        <f>IF(offer_sale_type="транзит",IFERROR(VLOOKUP($B1790,calc_data,E$14+1,0),0),0)</f>
        <v/>
      </c>
      <c r="F1790" s="182">
        <f>IF(offer_sale_type="транзит",IFERROR(VLOOKUP($B1790,calc_data,F$14+1,0),0),0)</f>
        <v/>
      </c>
      <c r="G1790" s="141">
        <f>IF(offer_sale_type="транзит",IFERROR(VLOOKUP($B1790,calc_data,G$14+1,0),0),0)</f>
        <v/>
      </c>
      <c r="H1790" s="141">
        <f>E1790*G1790</f>
        <v/>
      </c>
      <c r="I1790" s="141">
        <f>IF(offer_sale_type="транзит",IFERROR(ROUND(VLOOKUP($B1790,calc_data,I$14+1,0),2),0),0)</f>
        <v/>
      </c>
      <c r="J1790" s="141">
        <f>ROUND(IF(offer_sale_type="транзит",IFERROR(VLOOKUP($B1790,calc_data,J$14+1,0),0),0),2)</f>
        <v/>
      </c>
      <c r="K1790" s="142">
        <f>IF(offer_sale_type="транзит",IFERROR(ROUNDUP(VLOOKUP($B1790,calc_data,K$14+1,0),2),0),0)</f>
        <v/>
      </c>
      <c r="L1790" s="184">
        <f>IF(offer_sale_type="транзит",IFERROR(ROUNDUP(VLOOKUP($B1790,calc_data,L$14+1,0),2),0),0)</f>
        <v/>
      </c>
      <c r="M1790" s="141">
        <f>IF(offer_sale_type="транзит",IFERROR(ROUNDUP(VLOOKUP($B1790,calc_data,M$14+1,0),2),0),0)</f>
        <v/>
      </c>
      <c r="N1790" s="141">
        <f>IF(offer_sale_type="транзит",IFERROR(ROUNDUP(VLOOKUP($B1790,calc_data,N$14+1,0),2),0),0)</f>
        <v/>
      </c>
      <c r="O1790" s="147">
        <f>IF(offer_sale_type="транзит",IFERROR(ROUND(VLOOKUP($B1790,calc_data,O$14+1,1),2),0),0)</f>
        <v/>
      </c>
      <c r="P1790" s="141">
        <f>IF(offer_sale_type="транзит",IFERROR(ROUND(SUM(I1790:J1790,M1790:O1790)/E1790,2),0),0)</f>
        <v/>
      </c>
      <c r="Q1790" s="141">
        <f>E1790*P1790</f>
        <v/>
      </c>
      <c r="R1790" s="141">
        <f>ROUND(Q1790*IF(AND(offer_incoterms="DDP",seller_region="RU"),IF((TODAY()+offer_turnaround_time)&gt;=helpsheet!$L$17,rate_vatRU_from_26,rate_vatRu_till_25),0),2)</f>
        <v/>
      </c>
      <c r="S1790" s="177">
        <f>Q1790+IF(AND(offer_incoterms="DDP",seller_region="RU"),R1790,0)</f>
        <v/>
      </c>
      <c r="T1790" s="45" t="n"/>
      <c r="V1790" s="57">
        <f>IF(Q1790&gt;0,"показать","скрыть")</f>
        <v/>
      </c>
    </row>
    <row r="1791" ht="15.75" customHeight="1">
      <c r="B1791" s="809" t="n">
        <v>1775</v>
      </c>
      <c r="C1791" s="182">
        <f>IF(offer_sale_type="транзит",IFERROR(VLOOKUP($B1791,calc_data,C$14+1,0),0),0)</f>
        <v/>
      </c>
      <c r="D1791" s="280">
        <f>IF(offer_sale_type="транзит",IFERROR(VLOOKUP($B1791,calc_data,D$14+1,0),0),0)</f>
        <v/>
      </c>
      <c r="E1791" s="182">
        <f>IF(offer_sale_type="транзит",IFERROR(VLOOKUP($B1791,calc_data,E$14+1,0),0),0)</f>
        <v/>
      </c>
      <c r="F1791" s="182">
        <f>IF(offer_sale_type="транзит",IFERROR(VLOOKUP($B1791,calc_data,F$14+1,0),0),0)</f>
        <v/>
      </c>
      <c r="G1791" s="141">
        <f>IF(offer_sale_type="транзит",IFERROR(VLOOKUP($B1791,calc_data,G$14+1,0),0),0)</f>
        <v/>
      </c>
      <c r="H1791" s="141">
        <f>E1791*G1791</f>
        <v/>
      </c>
      <c r="I1791" s="141">
        <f>IF(offer_sale_type="транзит",IFERROR(ROUND(VLOOKUP($B1791,calc_data,I$14+1,0),2),0),0)</f>
        <v/>
      </c>
      <c r="J1791" s="141">
        <f>ROUND(IF(offer_sale_type="транзит",IFERROR(VLOOKUP($B1791,calc_data,J$14+1,0),0),0),2)</f>
        <v/>
      </c>
      <c r="K1791" s="142">
        <f>IF(offer_sale_type="транзит",IFERROR(ROUNDUP(VLOOKUP($B1791,calc_data,K$14+1,0),2),0),0)</f>
        <v/>
      </c>
      <c r="L1791" s="184">
        <f>IF(offer_sale_type="транзит",IFERROR(ROUNDUP(VLOOKUP($B1791,calc_data,L$14+1,0),2),0),0)</f>
        <v/>
      </c>
      <c r="M1791" s="141">
        <f>IF(offer_sale_type="транзит",IFERROR(ROUNDUP(VLOOKUP($B1791,calc_data,M$14+1,0),2),0),0)</f>
        <v/>
      </c>
      <c r="N1791" s="141">
        <f>IF(offer_sale_type="транзит",IFERROR(ROUNDUP(VLOOKUP($B1791,calc_data,N$14+1,0),2),0),0)</f>
        <v/>
      </c>
      <c r="O1791" s="147">
        <f>IF(offer_sale_type="транзит",IFERROR(ROUND(VLOOKUP($B1791,calc_data,O$14+1,1),2),0),0)</f>
        <v/>
      </c>
      <c r="P1791" s="141">
        <f>IF(offer_sale_type="транзит",IFERROR(ROUND(SUM(I1791:J1791,M1791:O1791)/E1791,2),0),0)</f>
        <v/>
      </c>
      <c r="Q1791" s="141">
        <f>E1791*P1791</f>
        <v/>
      </c>
      <c r="R1791" s="141">
        <f>ROUND(Q1791*IF(AND(offer_incoterms="DDP",seller_region="RU"),IF((TODAY()+offer_turnaround_time)&gt;=helpsheet!$L$17,rate_vatRU_from_26,rate_vatRu_till_25),0),2)</f>
        <v/>
      </c>
      <c r="S1791" s="177">
        <f>Q1791+IF(AND(offer_incoterms="DDP",seller_region="RU"),R1791,0)</f>
        <v/>
      </c>
      <c r="T1791" s="45" t="n"/>
      <c r="V1791" s="57">
        <f>IF(Q1791&gt;0,"показать","скрыть")</f>
        <v/>
      </c>
    </row>
    <row r="1792" ht="15.75" customHeight="1">
      <c r="B1792" s="809" t="n">
        <v>1776</v>
      </c>
      <c r="C1792" s="182">
        <f>IF(offer_sale_type="транзит",IFERROR(VLOOKUP($B1792,calc_data,C$14+1,0),0),0)</f>
        <v/>
      </c>
      <c r="D1792" s="280">
        <f>IF(offer_sale_type="транзит",IFERROR(VLOOKUP($B1792,calc_data,D$14+1,0),0),0)</f>
        <v/>
      </c>
      <c r="E1792" s="182">
        <f>IF(offer_sale_type="транзит",IFERROR(VLOOKUP($B1792,calc_data,E$14+1,0),0),0)</f>
        <v/>
      </c>
      <c r="F1792" s="182">
        <f>IF(offer_sale_type="транзит",IFERROR(VLOOKUP($B1792,calc_data,F$14+1,0),0),0)</f>
        <v/>
      </c>
      <c r="G1792" s="141">
        <f>IF(offer_sale_type="транзит",IFERROR(VLOOKUP($B1792,calc_data,G$14+1,0),0),0)</f>
        <v/>
      </c>
      <c r="H1792" s="141">
        <f>E1792*G1792</f>
        <v/>
      </c>
      <c r="I1792" s="141">
        <f>IF(offer_sale_type="транзит",IFERROR(ROUND(VLOOKUP($B1792,calc_data,I$14+1,0),2),0),0)</f>
        <v/>
      </c>
      <c r="J1792" s="141">
        <f>ROUND(IF(offer_sale_type="транзит",IFERROR(VLOOKUP($B1792,calc_data,J$14+1,0),0),0),2)</f>
        <v/>
      </c>
      <c r="K1792" s="142">
        <f>IF(offer_sale_type="транзит",IFERROR(ROUNDUP(VLOOKUP($B1792,calc_data,K$14+1,0),2),0),0)</f>
        <v/>
      </c>
      <c r="L1792" s="184">
        <f>IF(offer_sale_type="транзит",IFERROR(ROUNDUP(VLOOKUP($B1792,calc_data,L$14+1,0),2),0),0)</f>
        <v/>
      </c>
      <c r="M1792" s="141">
        <f>IF(offer_sale_type="транзит",IFERROR(ROUNDUP(VLOOKUP($B1792,calc_data,M$14+1,0),2),0),0)</f>
        <v/>
      </c>
      <c r="N1792" s="141">
        <f>IF(offer_sale_type="транзит",IFERROR(ROUNDUP(VLOOKUP($B1792,calc_data,N$14+1,0),2),0),0)</f>
        <v/>
      </c>
      <c r="O1792" s="147">
        <f>IF(offer_sale_type="транзит",IFERROR(ROUND(VLOOKUP($B1792,calc_data,O$14+1,1),2),0),0)</f>
        <v/>
      </c>
      <c r="P1792" s="141">
        <f>IF(offer_sale_type="транзит",IFERROR(ROUND(SUM(I1792:J1792,M1792:O1792)/E1792,2),0),0)</f>
        <v/>
      </c>
      <c r="Q1792" s="141">
        <f>E1792*P1792</f>
        <v/>
      </c>
      <c r="R1792" s="141">
        <f>ROUND(Q1792*IF(AND(offer_incoterms="DDP",seller_region="RU"),IF((TODAY()+offer_turnaround_time)&gt;=helpsheet!$L$17,rate_vatRU_from_26,rate_vatRu_till_25),0),2)</f>
        <v/>
      </c>
      <c r="S1792" s="177">
        <f>Q1792+IF(AND(offer_incoterms="DDP",seller_region="RU"),R1792,0)</f>
        <v/>
      </c>
      <c r="T1792" s="45" t="n"/>
      <c r="V1792" s="57">
        <f>IF(Q1792&gt;0,"показать","скрыть")</f>
        <v/>
      </c>
    </row>
    <row r="1793" ht="15.75" customHeight="1">
      <c r="B1793" s="809" t="n">
        <v>1777</v>
      </c>
      <c r="C1793" s="182">
        <f>IF(offer_sale_type="транзит",IFERROR(VLOOKUP($B1793,calc_data,C$14+1,0),0),0)</f>
        <v/>
      </c>
      <c r="D1793" s="280">
        <f>IF(offer_sale_type="транзит",IFERROR(VLOOKUP($B1793,calc_data,D$14+1,0),0),0)</f>
        <v/>
      </c>
      <c r="E1793" s="182">
        <f>IF(offer_sale_type="транзит",IFERROR(VLOOKUP($B1793,calc_data,E$14+1,0),0),0)</f>
        <v/>
      </c>
      <c r="F1793" s="182">
        <f>IF(offer_sale_type="транзит",IFERROR(VLOOKUP($B1793,calc_data,F$14+1,0),0),0)</f>
        <v/>
      </c>
      <c r="G1793" s="141">
        <f>IF(offer_sale_type="транзит",IFERROR(VLOOKUP($B1793,calc_data,G$14+1,0),0),0)</f>
        <v/>
      </c>
      <c r="H1793" s="141">
        <f>E1793*G1793</f>
        <v/>
      </c>
      <c r="I1793" s="141">
        <f>IF(offer_sale_type="транзит",IFERROR(ROUND(VLOOKUP($B1793,calc_data,I$14+1,0),2),0),0)</f>
        <v/>
      </c>
      <c r="J1793" s="141">
        <f>ROUND(IF(offer_sale_type="транзит",IFERROR(VLOOKUP($B1793,calc_data,J$14+1,0),0),0),2)</f>
        <v/>
      </c>
      <c r="K1793" s="142">
        <f>IF(offer_sale_type="транзит",IFERROR(ROUNDUP(VLOOKUP($B1793,calc_data,K$14+1,0),2),0),0)</f>
        <v/>
      </c>
      <c r="L1793" s="184">
        <f>IF(offer_sale_type="транзит",IFERROR(ROUNDUP(VLOOKUP($B1793,calc_data,L$14+1,0),2),0),0)</f>
        <v/>
      </c>
      <c r="M1793" s="141">
        <f>IF(offer_sale_type="транзит",IFERROR(ROUNDUP(VLOOKUP($B1793,calc_data,M$14+1,0),2),0),0)</f>
        <v/>
      </c>
      <c r="N1793" s="141">
        <f>IF(offer_sale_type="транзит",IFERROR(ROUNDUP(VLOOKUP($B1793,calc_data,N$14+1,0),2),0),0)</f>
        <v/>
      </c>
      <c r="O1793" s="147">
        <f>IF(offer_sale_type="транзит",IFERROR(ROUND(VLOOKUP($B1793,calc_data,O$14+1,1),2),0),0)</f>
        <v/>
      </c>
      <c r="P1793" s="141">
        <f>IF(offer_sale_type="транзит",IFERROR(ROUND(SUM(I1793:J1793,M1793:O1793)/E1793,2),0),0)</f>
        <v/>
      </c>
      <c r="Q1793" s="141">
        <f>E1793*P1793</f>
        <v/>
      </c>
      <c r="R1793" s="141">
        <f>ROUND(Q1793*IF(AND(offer_incoterms="DDP",seller_region="RU"),IF((TODAY()+offer_turnaround_time)&gt;=helpsheet!$L$17,rate_vatRU_from_26,rate_vatRu_till_25),0),2)</f>
        <v/>
      </c>
      <c r="S1793" s="177">
        <f>Q1793+IF(AND(offer_incoterms="DDP",seller_region="RU"),R1793,0)</f>
        <v/>
      </c>
      <c r="T1793" s="45" t="n"/>
      <c r="V1793" s="57">
        <f>IF(Q1793&gt;0,"показать","скрыть")</f>
        <v/>
      </c>
    </row>
    <row r="1794" ht="15.75" customHeight="1">
      <c r="B1794" s="809" t="n">
        <v>1778</v>
      </c>
      <c r="C1794" s="182">
        <f>IF(offer_sale_type="транзит",IFERROR(VLOOKUP($B1794,calc_data,C$14+1,0),0),0)</f>
        <v/>
      </c>
      <c r="D1794" s="280">
        <f>IF(offer_sale_type="транзит",IFERROR(VLOOKUP($B1794,calc_data,D$14+1,0),0),0)</f>
        <v/>
      </c>
      <c r="E1794" s="182">
        <f>IF(offer_sale_type="транзит",IFERROR(VLOOKUP($B1794,calc_data,E$14+1,0),0),0)</f>
        <v/>
      </c>
      <c r="F1794" s="182">
        <f>IF(offer_sale_type="транзит",IFERROR(VLOOKUP($B1794,calc_data,F$14+1,0),0),0)</f>
        <v/>
      </c>
      <c r="G1794" s="141">
        <f>IF(offer_sale_type="транзит",IFERROR(VLOOKUP($B1794,calc_data,G$14+1,0),0),0)</f>
        <v/>
      </c>
      <c r="H1794" s="141">
        <f>E1794*G1794</f>
        <v/>
      </c>
      <c r="I1794" s="141">
        <f>IF(offer_sale_type="транзит",IFERROR(ROUND(VLOOKUP($B1794,calc_data,I$14+1,0),2),0),0)</f>
        <v/>
      </c>
      <c r="J1794" s="141">
        <f>ROUND(IF(offer_sale_type="транзит",IFERROR(VLOOKUP($B1794,calc_data,J$14+1,0),0),0),2)</f>
        <v/>
      </c>
      <c r="K1794" s="142">
        <f>IF(offer_sale_type="транзит",IFERROR(ROUNDUP(VLOOKUP($B1794,calc_data,K$14+1,0),2),0),0)</f>
        <v/>
      </c>
      <c r="L1794" s="184">
        <f>IF(offer_sale_type="транзит",IFERROR(ROUNDUP(VLOOKUP($B1794,calc_data,L$14+1,0),2),0),0)</f>
        <v/>
      </c>
      <c r="M1794" s="141">
        <f>IF(offer_sale_type="транзит",IFERROR(ROUNDUP(VLOOKUP($B1794,calc_data,M$14+1,0),2),0),0)</f>
        <v/>
      </c>
      <c r="N1794" s="141">
        <f>IF(offer_sale_type="транзит",IFERROR(ROUNDUP(VLOOKUP($B1794,calc_data,N$14+1,0),2),0),0)</f>
        <v/>
      </c>
      <c r="O1794" s="147">
        <f>IF(offer_sale_type="транзит",IFERROR(ROUND(VLOOKUP($B1794,calc_data,O$14+1,1),2),0),0)</f>
        <v/>
      </c>
      <c r="P1794" s="141">
        <f>IF(offer_sale_type="транзит",IFERROR(ROUND(SUM(I1794:J1794,M1794:O1794)/E1794,2),0),0)</f>
        <v/>
      </c>
      <c r="Q1794" s="141">
        <f>E1794*P1794</f>
        <v/>
      </c>
      <c r="R1794" s="141">
        <f>ROUND(Q1794*IF(AND(offer_incoterms="DDP",seller_region="RU"),IF((TODAY()+offer_turnaround_time)&gt;=helpsheet!$L$17,rate_vatRU_from_26,rate_vatRu_till_25),0),2)</f>
        <v/>
      </c>
      <c r="S1794" s="177">
        <f>Q1794+IF(AND(offer_incoterms="DDP",seller_region="RU"),R1794,0)</f>
        <v/>
      </c>
      <c r="T1794" s="45" t="n"/>
      <c r="V1794" s="57">
        <f>IF(Q1794&gt;0,"показать","скрыть")</f>
        <v/>
      </c>
    </row>
    <row r="1795" ht="15.75" customHeight="1">
      <c r="B1795" s="809" t="n">
        <v>1779</v>
      </c>
      <c r="C1795" s="182">
        <f>IF(offer_sale_type="транзит",IFERROR(VLOOKUP($B1795,calc_data,C$14+1,0),0),0)</f>
        <v/>
      </c>
      <c r="D1795" s="280">
        <f>IF(offer_sale_type="транзит",IFERROR(VLOOKUP($B1795,calc_data,D$14+1,0),0),0)</f>
        <v/>
      </c>
      <c r="E1795" s="182">
        <f>IF(offer_sale_type="транзит",IFERROR(VLOOKUP($B1795,calc_data,E$14+1,0),0),0)</f>
        <v/>
      </c>
      <c r="F1795" s="182">
        <f>IF(offer_sale_type="транзит",IFERROR(VLOOKUP($B1795,calc_data,F$14+1,0),0),0)</f>
        <v/>
      </c>
      <c r="G1795" s="141">
        <f>IF(offer_sale_type="транзит",IFERROR(VLOOKUP($B1795,calc_data,G$14+1,0),0),0)</f>
        <v/>
      </c>
      <c r="H1795" s="141">
        <f>E1795*G1795</f>
        <v/>
      </c>
      <c r="I1795" s="141">
        <f>IF(offer_sale_type="транзит",IFERROR(ROUND(VLOOKUP($B1795,calc_data,I$14+1,0),2),0),0)</f>
        <v/>
      </c>
      <c r="J1795" s="141">
        <f>ROUND(IF(offer_sale_type="транзит",IFERROR(VLOOKUP($B1795,calc_data,J$14+1,0),0),0),2)</f>
        <v/>
      </c>
      <c r="K1795" s="142">
        <f>IF(offer_sale_type="транзит",IFERROR(ROUNDUP(VLOOKUP($B1795,calc_data,K$14+1,0),2),0),0)</f>
        <v/>
      </c>
      <c r="L1795" s="184">
        <f>IF(offer_sale_type="транзит",IFERROR(ROUNDUP(VLOOKUP($B1795,calc_data,L$14+1,0),2),0),0)</f>
        <v/>
      </c>
      <c r="M1795" s="141">
        <f>IF(offer_sale_type="транзит",IFERROR(ROUNDUP(VLOOKUP($B1795,calc_data,M$14+1,0),2),0),0)</f>
        <v/>
      </c>
      <c r="N1795" s="141">
        <f>IF(offer_sale_type="транзит",IFERROR(ROUNDUP(VLOOKUP($B1795,calc_data,N$14+1,0),2),0),0)</f>
        <v/>
      </c>
      <c r="O1795" s="147">
        <f>IF(offer_sale_type="транзит",IFERROR(ROUND(VLOOKUP($B1795,calc_data,O$14+1,1),2),0),0)</f>
        <v/>
      </c>
      <c r="P1795" s="141">
        <f>IF(offer_sale_type="транзит",IFERROR(ROUND(SUM(I1795:J1795,M1795:O1795)/E1795,2),0),0)</f>
        <v/>
      </c>
      <c r="Q1795" s="141">
        <f>E1795*P1795</f>
        <v/>
      </c>
      <c r="R1795" s="141">
        <f>ROUND(Q1795*IF(AND(offer_incoterms="DDP",seller_region="RU"),IF((TODAY()+offer_turnaround_time)&gt;=helpsheet!$L$17,rate_vatRU_from_26,rate_vatRu_till_25),0),2)</f>
        <v/>
      </c>
      <c r="S1795" s="177">
        <f>Q1795+IF(AND(offer_incoterms="DDP",seller_region="RU"),R1795,0)</f>
        <v/>
      </c>
      <c r="T1795" s="45" t="n"/>
      <c r="V1795" s="57">
        <f>IF(Q1795&gt;0,"показать","скрыть")</f>
        <v/>
      </c>
    </row>
    <row r="1796" ht="15.75" customHeight="1">
      <c r="B1796" s="809" t="n">
        <v>1780</v>
      </c>
      <c r="C1796" s="182">
        <f>IF(offer_sale_type="транзит",IFERROR(VLOOKUP($B1796,calc_data,C$14+1,0),0),0)</f>
        <v/>
      </c>
      <c r="D1796" s="280">
        <f>IF(offer_sale_type="транзит",IFERROR(VLOOKUP($B1796,calc_data,D$14+1,0),0),0)</f>
        <v/>
      </c>
      <c r="E1796" s="182">
        <f>IF(offer_sale_type="транзит",IFERROR(VLOOKUP($B1796,calc_data,E$14+1,0),0),0)</f>
        <v/>
      </c>
      <c r="F1796" s="182">
        <f>IF(offer_sale_type="транзит",IFERROR(VLOOKUP($B1796,calc_data,F$14+1,0),0),0)</f>
        <v/>
      </c>
      <c r="G1796" s="141">
        <f>IF(offer_sale_type="транзит",IFERROR(VLOOKUP($B1796,calc_data,G$14+1,0),0),0)</f>
        <v/>
      </c>
      <c r="H1796" s="141">
        <f>E1796*G1796</f>
        <v/>
      </c>
      <c r="I1796" s="141">
        <f>IF(offer_sale_type="транзит",IFERROR(ROUND(VLOOKUP($B1796,calc_data,I$14+1,0),2),0),0)</f>
        <v/>
      </c>
      <c r="J1796" s="141">
        <f>ROUND(IF(offer_sale_type="транзит",IFERROR(VLOOKUP($B1796,calc_data,J$14+1,0),0),0),2)</f>
        <v/>
      </c>
      <c r="K1796" s="142">
        <f>IF(offer_sale_type="транзит",IFERROR(ROUNDUP(VLOOKUP($B1796,calc_data,K$14+1,0),2),0),0)</f>
        <v/>
      </c>
      <c r="L1796" s="184">
        <f>IF(offer_sale_type="транзит",IFERROR(ROUNDUP(VLOOKUP($B1796,calc_data,L$14+1,0),2),0),0)</f>
        <v/>
      </c>
      <c r="M1796" s="141">
        <f>IF(offer_sale_type="транзит",IFERROR(ROUNDUP(VLOOKUP($B1796,calc_data,M$14+1,0),2),0),0)</f>
        <v/>
      </c>
      <c r="N1796" s="141">
        <f>IF(offer_sale_type="транзит",IFERROR(ROUNDUP(VLOOKUP($B1796,calc_data,N$14+1,0),2),0),0)</f>
        <v/>
      </c>
      <c r="O1796" s="147">
        <f>IF(offer_sale_type="транзит",IFERROR(ROUND(VLOOKUP($B1796,calc_data,O$14+1,1),2),0),0)</f>
        <v/>
      </c>
      <c r="P1796" s="141">
        <f>IF(offer_sale_type="транзит",IFERROR(ROUND(SUM(I1796:J1796,M1796:O1796)/E1796,2),0),0)</f>
        <v/>
      </c>
      <c r="Q1796" s="141">
        <f>E1796*P1796</f>
        <v/>
      </c>
      <c r="R1796" s="141">
        <f>ROUND(Q1796*IF(AND(offer_incoterms="DDP",seller_region="RU"),IF((TODAY()+offer_turnaround_time)&gt;=helpsheet!$L$17,rate_vatRU_from_26,rate_vatRu_till_25),0),2)</f>
        <v/>
      </c>
      <c r="S1796" s="177">
        <f>Q1796+IF(AND(offer_incoterms="DDP",seller_region="RU"),R1796,0)</f>
        <v/>
      </c>
      <c r="T1796" s="45" t="n"/>
      <c r="V1796" s="57">
        <f>IF(Q1796&gt;0,"показать","скрыть")</f>
        <v/>
      </c>
    </row>
    <row r="1797" ht="15.75" customHeight="1">
      <c r="B1797" s="809" t="n">
        <v>1781</v>
      </c>
      <c r="C1797" s="182">
        <f>IF(offer_sale_type="транзит",IFERROR(VLOOKUP($B1797,calc_data,C$14+1,0),0),0)</f>
        <v/>
      </c>
      <c r="D1797" s="280">
        <f>IF(offer_sale_type="транзит",IFERROR(VLOOKUP($B1797,calc_data,D$14+1,0),0),0)</f>
        <v/>
      </c>
      <c r="E1797" s="182">
        <f>IF(offer_sale_type="транзит",IFERROR(VLOOKUP($B1797,calc_data,E$14+1,0),0),0)</f>
        <v/>
      </c>
      <c r="F1797" s="182">
        <f>IF(offer_sale_type="транзит",IFERROR(VLOOKUP($B1797,calc_data,F$14+1,0),0),0)</f>
        <v/>
      </c>
      <c r="G1797" s="141">
        <f>IF(offer_sale_type="транзит",IFERROR(VLOOKUP($B1797,calc_data,G$14+1,0),0),0)</f>
        <v/>
      </c>
      <c r="H1797" s="141">
        <f>E1797*G1797</f>
        <v/>
      </c>
      <c r="I1797" s="141">
        <f>IF(offer_sale_type="транзит",IFERROR(ROUND(VLOOKUP($B1797,calc_data,I$14+1,0),2),0),0)</f>
        <v/>
      </c>
      <c r="J1797" s="141">
        <f>ROUND(IF(offer_sale_type="транзит",IFERROR(VLOOKUP($B1797,calc_data,J$14+1,0),0),0),2)</f>
        <v/>
      </c>
      <c r="K1797" s="142">
        <f>IF(offer_sale_type="транзит",IFERROR(ROUNDUP(VLOOKUP($B1797,calc_data,K$14+1,0),2),0),0)</f>
        <v/>
      </c>
      <c r="L1797" s="184">
        <f>IF(offer_sale_type="транзит",IFERROR(ROUNDUP(VLOOKUP($B1797,calc_data,L$14+1,0),2),0),0)</f>
        <v/>
      </c>
      <c r="M1797" s="141">
        <f>IF(offer_sale_type="транзит",IFERROR(ROUNDUP(VLOOKUP($B1797,calc_data,M$14+1,0),2),0),0)</f>
        <v/>
      </c>
      <c r="N1797" s="141">
        <f>IF(offer_sale_type="транзит",IFERROR(ROUNDUP(VLOOKUP($B1797,calc_data,N$14+1,0),2),0),0)</f>
        <v/>
      </c>
      <c r="O1797" s="147">
        <f>IF(offer_sale_type="транзит",IFERROR(ROUND(VLOOKUP($B1797,calc_data,O$14+1,1),2),0),0)</f>
        <v/>
      </c>
      <c r="P1797" s="141">
        <f>IF(offer_sale_type="транзит",IFERROR(ROUND(SUM(I1797:J1797,M1797:O1797)/E1797,2),0),0)</f>
        <v/>
      </c>
      <c r="Q1797" s="141">
        <f>E1797*P1797</f>
        <v/>
      </c>
      <c r="R1797" s="141">
        <f>ROUND(Q1797*IF(AND(offer_incoterms="DDP",seller_region="RU"),IF((TODAY()+offer_turnaround_time)&gt;=helpsheet!$L$17,rate_vatRU_from_26,rate_vatRu_till_25),0),2)</f>
        <v/>
      </c>
      <c r="S1797" s="177">
        <f>Q1797+IF(AND(offer_incoterms="DDP",seller_region="RU"),R1797,0)</f>
        <v/>
      </c>
      <c r="T1797" s="45" t="n"/>
      <c r="V1797" s="57">
        <f>IF(Q1797&gt;0,"показать","скрыть")</f>
        <v/>
      </c>
    </row>
    <row r="1798" ht="15.75" customHeight="1">
      <c r="B1798" s="809" t="n">
        <v>1782</v>
      </c>
      <c r="C1798" s="182">
        <f>IF(offer_sale_type="транзит",IFERROR(VLOOKUP($B1798,calc_data,C$14+1,0),0),0)</f>
        <v/>
      </c>
      <c r="D1798" s="280">
        <f>IF(offer_sale_type="транзит",IFERROR(VLOOKUP($B1798,calc_data,D$14+1,0),0),0)</f>
        <v/>
      </c>
      <c r="E1798" s="182">
        <f>IF(offer_sale_type="транзит",IFERROR(VLOOKUP($B1798,calc_data,E$14+1,0),0),0)</f>
        <v/>
      </c>
      <c r="F1798" s="182">
        <f>IF(offer_sale_type="транзит",IFERROR(VLOOKUP($B1798,calc_data,F$14+1,0),0),0)</f>
        <v/>
      </c>
      <c r="G1798" s="141">
        <f>IF(offer_sale_type="транзит",IFERROR(VLOOKUP($B1798,calc_data,G$14+1,0),0),0)</f>
        <v/>
      </c>
      <c r="H1798" s="141">
        <f>E1798*G1798</f>
        <v/>
      </c>
      <c r="I1798" s="141">
        <f>IF(offer_sale_type="транзит",IFERROR(ROUND(VLOOKUP($B1798,calc_data,I$14+1,0),2),0),0)</f>
        <v/>
      </c>
      <c r="J1798" s="141">
        <f>ROUND(IF(offer_sale_type="транзит",IFERROR(VLOOKUP($B1798,calc_data,J$14+1,0),0),0),2)</f>
        <v/>
      </c>
      <c r="K1798" s="142">
        <f>IF(offer_sale_type="транзит",IFERROR(ROUNDUP(VLOOKUP($B1798,calc_data,K$14+1,0),2),0),0)</f>
        <v/>
      </c>
      <c r="L1798" s="184">
        <f>IF(offer_sale_type="транзит",IFERROR(ROUNDUP(VLOOKUP($B1798,calc_data,L$14+1,0),2),0),0)</f>
        <v/>
      </c>
      <c r="M1798" s="141">
        <f>IF(offer_sale_type="транзит",IFERROR(ROUNDUP(VLOOKUP($B1798,calc_data,M$14+1,0),2),0),0)</f>
        <v/>
      </c>
      <c r="N1798" s="141">
        <f>IF(offer_sale_type="транзит",IFERROR(ROUNDUP(VLOOKUP($B1798,calc_data,N$14+1,0),2),0),0)</f>
        <v/>
      </c>
      <c r="O1798" s="147">
        <f>IF(offer_sale_type="транзит",IFERROR(ROUND(VLOOKUP($B1798,calc_data,O$14+1,1),2),0),0)</f>
        <v/>
      </c>
      <c r="P1798" s="141">
        <f>IF(offer_sale_type="транзит",IFERROR(ROUND(SUM(I1798:J1798,M1798:O1798)/E1798,2),0),0)</f>
        <v/>
      </c>
      <c r="Q1798" s="141">
        <f>E1798*P1798</f>
        <v/>
      </c>
      <c r="R1798" s="141">
        <f>ROUND(Q1798*IF(AND(offer_incoterms="DDP",seller_region="RU"),IF((TODAY()+offer_turnaround_time)&gt;=helpsheet!$L$17,rate_vatRU_from_26,rate_vatRu_till_25),0),2)</f>
        <v/>
      </c>
      <c r="S1798" s="177">
        <f>Q1798+IF(AND(offer_incoterms="DDP",seller_region="RU"),R1798,0)</f>
        <v/>
      </c>
      <c r="T1798" s="45" t="n"/>
      <c r="V1798" s="57">
        <f>IF(Q1798&gt;0,"показать","скрыть")</f>
        <v/>
      </c>
    </row>
    <row r="1799" ht="15.75" customHeight="1">
      <c r="B1799" s="809" t="n">
        <v>1783</v>
      </c>
      <c r="C1799" s="182">
        <f>IF(offer_sale_type="транзит",IFERROR(VLOOKUP($B1799,calc_data,C$14+1,0),0),0)</f>
        <v/>
      </c>
      <c r="D1799" s="280">
        <f>IF(offer_sale_type="транзит",IFERROR(VLOOKUP($B1799,calc_data,D$14+1,0),0),0)</f>
        <v/>
      </c>
      <c r="E1799" s="182">
        <f>IF(offer_sale_type="транзит",IFERROR(VLOOKUP($B1799,calc_data,E$14+1,0),0),0)</f>
        <v/>
      </c>
      <c r="F1799" s="182">
        <f>IF(offer_sale_type="транзит",IFERROR(VLOOKUP($B1799,calc_data,F$14+1,0),0),0)</f>
        <v/>
      </c>
      <c r="G1799" s="141">
        <f>IF(offer_sale_type="транзит",IFERROR(VLOOKUP($B1799,calc_data,G$14+1,0),0),0)</f>
        <v/>
      </c>
      <c r="H1799" s="141">
        <f>E1799*G1799</f>
        <v/>
      </c>
      <c r="I1799" s="141">
        <f>IF(offer_sale_type="транзит",IFERROR(ROUND(VLOOKUP($B1799,calc_data,I$14+1,0),2),0),0)</f>
        <v/>
      </c>
      <c r="J1799" s="141">
        <f>ROUND(IF(offer_sale_type="транзит",IFERROR(VLOOKUP($B1799,calc_data,J$14+1,0),0),0),2)</f>
        <v/>
      </c>
      <c r="K1799" s="142">
        <f>IF(offer_sale_type="транзит",IFERROR(ROUNDUP(VLOOKUP($B1799,calc_data,K$14+1,0),2),0),0)</f>
        <v/>
      </c>
      <c r="L1799" s="184">
        <f>IF(offer_sale_type="транзит",IFERROR(ROUNDUP(VLOOKUP($B1799,calc_data,L$14+1,0),2),0),0)</f>
        <v/>
      </c>
      <c r="M1799" s="141">
        <f>IF(offer_sale_type="транзит",IFERROR(ROUNDUP(VLOOKUP($B1799,calc_data,M$14+1,0),2),0),0)</f>
        <v/>
      </c>
      <c r="N1799" s="141">
        <f>IF(offer_sale_type="транзит",IFERROR(ROUNDUP(VLOOKUP($B1799,calc_data,N$14+1,0),2),0),0)</f>
        <v/>
      </c>
      <c r="O1799" s="147">
        <f>IF(offer_sale_type="транзит",IFERROR(ROUND(VLOOKUP($B1799,calc_data,O$14+1,1),2),0),0)</f>
        <v/>
      </c>
      <c r="P1799" s="141">
        <f>IF(offer_sale_type="транзит",IFERROR(ROUND(SUM(I1799:J1799,M1799:O1799)/E1799,2),0),0)</f>
        <v/>
      </c>
      <c r="Q1799" s="141">
        <f>E1799*P1799</f>
        <v/>
      </c>
      <c r="R1799" s="141">
        <f>ROUND(Q1799*IF(AND(offer_incoterms="DDP",seller_region="RU"),IF((TODAY()+offer_turnaround_time)&gt;=helpsheet!$L$17,rate_vatRU_from_26,rate_vatRu_till_25),0),2)</f>
        <v/>
      </c>
      <c r="S1799" s="177">
        <f>Q1799+IF(AND(offer_incoterms="DDP",seller_region="RU"),R1799,0)</f>
        <v/>
      </c>
      <c r="T1799" s="45" t="n"/>
      <c r="V1799" s="57">
        <f>IF(Q1799&gt;0,"показать","скрыть")</f>
        <v/>
      </c>
    </row>
    <row r="1800" ht="15.75" customHeight="1">
      <c r="B1800" s="809" t="n">
        <v>1784</v>
      </c>
      <c r="C1800" s="182">
        <f>IF(offer_sale_type="транзит",IFERROR(VLOOKUP($B1800,calc_data,C$14+1,0),0),0)</f>
        <v/>
      </c>
      <c r="D1800" s="280">
        <f>IF(offer_sale_type="транзит",IFERROR(VLOOKUP($B1800,calc_data,D$14+1,0),0),0)</f>
        <v/>
      </c>
      <c r="E1800" s="182">
        <f>IF(offer_sale_type="транзит",IFERROR(VLOOKUP($B1800,calc_data,E$14+1,0),0),0)</f>
        <v/>
      </c>
      <c r="F1800" s="182">
        <f>IF(offer_sale_type="транзит",IFERROR(VLOOKUP($B1800,calc_data,F$14+1,0),0),0)</f>
        <v/>
      </c>
      <c r="G1800" s="141">
        <f>IF(offer_sale_type="транзит",IFERROR(VLOOKUP($B1800,calc_data,G$14+1,0),0),0)</f>
        <v/>
      </c>
      <c r="H1800" s="141">
        <f>E1800*G1800</f>
        <v/>
      </c>
      <c r="I1800" s="141">
        <f>IF(offer_sale_type="транзит",IFERROR(ROUND(VLOOKUP($B1800,calc_data,I$14+1,0),2),0),0)</f>
        <v/>
      </c>
      <c r="J1800" s="141">
        <f>ROUND(IF(offer_sale_type="транзит",IFERROR(VLOOKUP($B1800,calc_data,J$14+1,0),0),0),2)</f>
        <v/>
      </c>
      <c r="K1800" s="142">
        <f>IF(offer_sale_type="транзит",IFERROR(ROUNDUP(VLOOKUP($B1800,calc_data,K$14+1,0),2),0),0)</f>
        <v/>
      </c>
      <c r="L1800" s="184">
        <f>IF(offer_sale_type="транзит",IFERROR(ROUNDUP(VLOOKUP($B1800,calc_data,L$14+1,0),2),0),0)</f>
        <v/>
      </c>
      <c r="M1800" s="141">
        <f>IF(offer_sale_type="транзит",IFERROR(ROUNDUP(VLOOKUP($B1800,calc_data,M$14+1,0),2),0),0)</f>
        <v/>
      </c>
      <c r="N1800" s="141">
        <f>IF(offer_sale_type="транзит",IFERROR(ROUNDUP(VLOOKUP($B1800,calc_data,N$14+1,0),2),0),0)</f>
        <v/>
      </c>
      <c r="O1800" s="147">
        <f>IF(offer_sale_type="транзит",IFERROR(ROUND(VLOOKUP($B1800,calc_data,O$14+1,1),2),0),0)</f>
        <v/>
      </c>
      <c r="P1800" s="141">
        <f>IF(offer_sale_type="транзит",IFERROR(ROUND(SUM(I1800:J1800,M1800:O1800)/E1800,2),0),0)</f>
        <v/>
      </c>
      <c r="Q1800" s="141">
        <f>E1800*P1800</f>
        <v/>
      </c>
      <c r="R1800" s="141">
        <f>ROUND(Q1800*IF(AND(offer_incoterms="DDP",seller_region="RU"),IF((TODAY()+offer_turnaround_time)&gt;=helpsheet!$L$17,rate_vatRU_from_26,rate_vatRu_till_25),0),2)</f>
        <v/>
      </c>
      <c r="S1800" s="177">
        <f>Q1800+IF(AND(offer_incoterms="DDP",seller_region="RU"),R1800,0)</f>
        <v/>
      </c>
      <c r="T1800" s="45" t="n"/>
      <c r="V1800" s="57">
        <f>IF(Q1800&gt;0,"показать","скрыть")</f>
        <v/>
      </c>
    </row>
    <row r="1801" ht="15.75" customHeight="1">
      <c r="B1801" s="809" t="n">
        <v>1785</v>
      </c>
      <c r="C1801" s="182">
        <f>IF(offer_sale_type="транзит",IFERROR(VLOOKUP($B1801,calc_data,C$14+1,0),0),0)</f>
        <v/>
      </c>
      <c r="D1801" s="280">
        <f>IF(offer_sale_type="транзит",IFERROR(VLOOKUP($B1801,calc_data,D$14+1,0),0),0)</f>
        <v/>
      </c>
      <c r="E1801" s="182">
        <f>IF(offer_sale_type="транзит",IFERROR(VLOOKUP($B1801,calc_data,E$14+1,0),0),0)</f>
        <v/>
      </c>
      <c r="F1801" s="182">
        <f>IF(offer_sale_type="транзит",IFERROR(VLOOKUP($B1801,calc_data,F$14+1,0),0),0)</f>
        <v/>
      </c>
      <c r="G1801" s="141">
        <f>IF(offer_sale_type="транзит",IFERROR(VLOOKUP($B1801,calc_data,G$14+1,0),0),0)</f>
        <v/>
      </c>
      <c r="H1801" s="141">
        <f>E1801*G1801</f>
        <v/>
      </c>
      <c r="I1801" s="141">
        <f>IF(offer_sale_type="транзит",IFERROR(ROUND(VLOOKUP($B1801,calc_data,I$14+1,0),2),0),0)</f>
        <v/>
      </c>
      <c r="J1801" s="141">
        <f>ROUND(IF(offer_sale_type="транзит",IFERROR(VLOOKUP($B1801,calc_data,J$14+1,0),0),0),2)</f>
        <v/>
      </c>
      <c r="K1801" s="142">
        <f>IF(offer_sale_type="транзит",IFERROR(ROUNDUP(VLOOKUP($B1801,calc_data,K$14+1,0),2),0),0)</f>
        <v/>
      </c>
      <c r="L1801" s="184">
        <f>IF(offer_sale_type="транзит",IFERROR(ROUNDUP(VLOOKUP($B1801,calc_data,L$14+1,0),2),0),0)</f>
        <v/>
      </c>
      <c r="M1801" s="141">
        <f>IF(offer_sale_type="транзит",IFERROR(ROUNDUP(VLOOKUP($B1801,calc_data,M$14+1,0),2),0),0)</f>
        <v/>
      </c>
      <c r="N1801" s="141">
        <f>IF(offer_sale_type="транзит",IFERROR(ROUNDUP(VLOOKUP($B1801,calc_data,N$14+1,0),2),0),0)</f>
        <v/>
      </c>
      <c r="O1801" s="147">
        <f>IF(offer_sale_type="транзит",IFERROR(ROUND(VLOOKUP($B1801,calc_data,O$14+1,1),2),0),0)</f>
        <v/>
      </c>
      <c r="P1801" s="141">
        <f>IF(offer_sale_type="транзит",IFERROR(ROUND(SUM(I1801:J1801,M1801:O1801)/E1801,2),0),0)</f>
        <v/>
      </c>
      <c r="Q1801" s="141">
        <f>E1801*P1801</f>
        <v/>
      </c>
      <c r="R1801" s="141">
        <f>ROUND(Q1801*IF(AND(offer_incoterms="DDP",seller_region="RU"),IF((TODAY()+offer_turnaround_time)&gt;=helpsheet!$L$17,rate_vatRU_from_26,rate_vatRu_till_25),0),2)</f>
        <v/>
      </c>
      <c r="S1801" s="177">
        <f>Q1801+IF(AND(offer_incoterms="DDP",seller_region="RU"),R1801,0)</f>
        <v/>
      </c>
      <c r="T1801" s="45" t="n"/>
      <c r="V1801" s="57">
        <f>IF(Q1801&gt;0,"показать","скрыть")</f>
        <v/>
      </c>
    </row>
    <row r="1802" ht="15.75" customHeight="1">
      <c r="B1802" s="809" t="n">
        <v>1786</v>
      </c>
      <c r="C1802" s="182">
        <f>IF(offer_sale_type="транзит",IFERROR(VLOOKUP($B1802,calc_data,C$14+1,0),0),0)</f>
        <v/>
      </c>
      <c r="D1802" s="280">
        <f>IF(offer_sale_type="транзит",IFERROR(VLOOKUP($B1802,calc_data,D$14+1,0),0),0)</f>
        <v/>
      </c>
      <c r="E1802" s="182">
        <f>IF(offer_sale_type="транзит",IFERROR(VLOOKUP($B1802,calc_data,E$14+1,0),0),0)</f>
        <v/>
      </c>
      <c r="F1802" s="182">
        <f>IF(offer_sale_type="транзит",IFERROR(VLOOKUP($B1802,calc_data,F$14+1,0),0),0)</f>
        <v/>
      </c>
      <c r="G1802" s="141">
        <f>IF(offer_sale_type="транзит",IFERROR(VLOOKUP($B1802,calc_data,G$14+1,0),0),0)</f>
        <v/>
      </c>
      <c r="H1802" s="141">
        <f>E1802*G1802</f>
        <v/>
      </c>
      <c r="I1802" s="141">
        <f>IF(offer_sale_type="транзит",IFERROR(ROUND(VLOOKUP($B1802,calc_data,I$14+1,0),2),0),0)</f>
        <v/>
      </c>
      <c r="J1802" s="141">
        <f>ROUND(IF(offer_sale_type="транзит",IFERROR(VLOOKUP($B1802,calc_data,J$14+1,0),0),0),2)</f>
        <v/>
      </c>
      <c r="K1802" s="142">
        <f>IF(offer_sale_type="транзит",IFERROR(ROUNDUP(VLOOKUP($B1802,calc_data,K$14+1,0),2),0),0)</f>
        <v/>
      </c>
      <c r="L1802" s="184">
        <f>IF(offer_sale_type="транзит",IFERROR(ROUNDUP(VLOOKUP($B1802,calc_data,L$14+1,0),2),0),0)</f>
        <v/>
      </c>
      <c r="M1802" s="141">
        <f>IF(offer_sale_type="транзит",IFERROR(ROUNDUP(VLOOKUP($B1802,calc_data,M$14+1,0),2),0),0)</f>
        <v/>
      </c>
      <c r="N1802" s="141">
        <f>IF(offer_sale_type="транзит",IFERROR(ROUNDUP(VLOOKUP($B1802,calc_data,N$14+1,0),2),0),0)</f>
        <v/>
      </c>
      <c r="O1802" s="147">
        <f>IF(offer_sale_type="транзит",IFERROR(ROUND(VLOOKUP($B1802,calc_data,O$14+1,1),2),0),0)</f>
        <v/>
      </c>
      <c r="P1802" s="141">
        <f>IF(offer_sale_type="транзит",IFERROR(ROUND(SUM(I1802:J1802,M1802:O1802)/E1802,2),0),0)</f>
        <v/>
      </c>
      <c r="Q1802" s="141">
        <f>E1802*P1802</f>
        <v/>
      </c>
      <c r="R1802" s="141">
        <f>ROUND(Q1802*IF(AND(offer_incoterms="DDP",seller_region="RU"),IF((TODAY()+offer_turnaround_time)&gt;=helpsheet!$L$17,rate_vatRU_from_26,rate_vatRu_till_25),0),2)</f>
        <v/>
      </c>
      <c r="S1802" s="177">
        <f>Q1802+IF(AND(offer_incoterms="DDP",seller_region="RU"),R1802,0)</f>
        <v/>
      </c>
      <c r="T1802" s="45" t="n"/>
      <c r="V1802" s="57">
        <f>IF(Q1802&gt;0,"показать","скрыть")</f>
        <v/>
      </c>
    </row>
    <row r="1803" ht="15.75" customHeight="1">
      <c r="B1803" s="809" t="n">
        <v>1787</v>
      </c>
      <c r="C1803" s="182">
        <f>IF(offer_sale_type="транзит",IFERROR(VLOOKUP($B1803,calc_data,C$14+1,0),0),0)</f>
        <v/>
      </c>
      <c r="D1803" s="280">
        <f>IF(offer_sale_type="транзит",IFERROR(VLOOKUP($B1803,calc_data,D$14+1,0),0),0)</f>
        <v/>
      </c>
      <c r="E1803" s="182">
        <f>IF(offer_sale_type="транзит",IFERROR(VLOOKUP($B1803,calc_data,E$14+1,0),0),0)</f>
        <v/>
      </c>
      <c r="F1803" s="182">
        <f>IF(offer_sale_type="транзит",IFERROR(VLOOKUP($B1803,calc_data,F$14+1,0),0),0)</f>
        <v/>
      </c>
      <c r="G1803" s="141">
        <f>IF(offer_sale_type="транзит",IFERROR(VLOOKUP($B1803,calc_data,G$14+1,0),0),0)</f>
        <v/>
      </c>
      <c r="H1803" s="141">
        <f>E1803*G1803</f>
        <v/>
      </c>
      <c r="I1803" s="141">
        <f>IF(offer_sale_type="транзит",IFERROR(ROUND(VLOOKUP($B1803,calc_data,I$14+1,0),2),0),0)</f>
        <v/>
      </c>
      <c r="J1803" s="141">
        <f>ROUND(IF(offer_sale_type="транзит",IFERROR(VLOOKUP($B1803,calc_data,J$14+1,0),0),0),2)</f>
        <v/>
      </c>
      <c r="K1803" s="142">
        <f>IF(offer_sale_type="транзит",IFERROR(ROUNDUP(VLOOKUP($B1803,calc_data,K$14+1,0),2),0),0)</f>
        <v/>
      </c>
      <c r="L1803" s="184">
        <f>IF(offer_sale_type="транзит",IFERROR(ROUNDUP(VLOOKUP($B1803,calc_data,L$14+1,0),2),0),0)</f>
        <v/>
      </c>
      <c r="M1803" s="141">
        <f>IF(offer_sale_type="транзит",IFERROR(ROUNDUP(VLOOKUP($B1803,calc_data,M$14+1,0),2),0),0)</f>
        <v/>
      </c>
      <c r="N1803" s="141">
        <f>IF(offer_sale_type="транзит",IFERROR(ROUNDUP(VLOOKUP($B1803,calc_data,N$14+1,0),2),0),0)</f>
        <v/>
      </c>
      <c r="O1803" s="147">
        <f>IF(offer_sale_type="транзит",IFERROR(ROUND(VLOOKUP($B1803,calc_data,O$14+1,1),2),0),0)</f>
        <v/>
      </c>
      <c r="P1803" s="141">
        <f>IF(offer_sale_type="транзит",IFERROR(ROUND(SUM(I1803:J1803,M1803:O1803)/E1803,2),0),0)</f>
        <v/>
      </c>
      <c r="Q1803" s="141">
        <f>E1803*P1803</f>
        <v/>
      </c>
      <c r="R1803" s="141">
        <f>ROUND(Q1803*IF(AND(offer_incoterms="DDP",seller_region="RU"),IF((TODAY()+offer_turnaround_time)&gt;=helpsheet!$L$17,rate_vatRU_from_26,rate_vatRu_till_25),0),2)</f>
        <v/>
      </c>
      <c r="S1803" s="177">
        <f>Q1803+IF(AND(offer_incoterms="DDP",seller_region="RU"),R1803,0)</f>
        <v/>
      </c>
      <c r="T1803" s="45" t="n"/>
      <c r="V1803" s="57">
        <f>IF(Q1803&gt;0,"показать","скрыть")</f>
        <v/>
      </c>
    </row>
    <row r="1804" ht="15.75" customHeight="1">
      <c r="B1804" s="809" t="n">
        <v>1788</v>
      </c>
      <c r="C1804" s="182">
        <f>IF(offer_sale_type="транзит",IFERROR(VLOOKUP($B1804,calc_data,C$14+1,0),0),0)</f>
        <v/>
      </c>
      <c r="D1804" s="280">
        <f>IF(offer_sale_type="транзит",IFERROR(VLOOKUP($B1804,calc_data,D$14+1,0),0),0)</f>
        <v/>
      </c>
      <c r="E1804" s="182">
        <f>IF(offer_sale_type="транзит",IFERROR(VLOOKUP($B1804,calc_data,E$14+1,0),0),0)</f>
        <v/>
      </c>
      <c r="F1804" s="182">
        <f>IF(offer_sale_type="транзит",IFERROR(VLOOKUP($B1804,calc_data,F$14+1,0),0),0)</f>
        <v/>
      </c>
      <c r="G1804" s="141">
        <f>IF(offer_sale_type="транзит",IFERROR(VLOOKUP($B1804,calc_data,G$14+1,0),0),0)</f>
        <v/>
      </c>
      <c r="H1804" s="141">
        <f>E1804*G1804</f>
        <v/>
      </c>
      <c r="I1804" s="141">
        <f>IF(offer_sale_type="транзит",IFERROR(ROUND(VLOOKUP($B1804,calc_data,I$14+1,0),2),0),0)</f>
        <v/>
      </c>
      <c r="J1804" s="141">
        <f>ROUND(IF(offer_sale_type="транзит",IFERROR(VLOOKUP($B1804,calc_data,J$14+1,0),0),0),2)</f>
        <v/>
      </c>
      <c r="K1804" s="142">
        <f>IF(offer_sale_type="транзит",IFERROR(ROUNDUP(VLOOKUP($B1804,calc_data,K$14+1,0),2),0),0)</f>
        <v/>
      </c>
      <c r="L1804" s="184">
        <f>IF(offer_sale_type="транзит",IFERROR(ROUNDUP(VLOOKUP($B1804,calc_data,L$14+1,0),2),0),0)</f>
        <v/>
      </c>
      <c r="M1804" s="141">
        <f>IF(offer_sale_type="транзит",IFERROR(ROUNDUP(VLOOKUP($B1804,calc_data,M$14+1,0),2),0),0)</f>
        <v/>
      </c>
      <c r="N1804" s="141">
        <f>IF(offer_sale_type="транзит",IFERROR(ROUNDUP(VLOOKUP($B1804,calc_data,N$14+1,0),2),0),0)</f>
        <v/>
      </c>
      <c r="O1804" s="147">
        <f>IF(offer_sale_type="транзит",IFERROR(ROUND(VLOOKUP($B1804,calc_data,O$14+1,1),2),0),0)</f>
        <v/>
      </c>
      <c r="P1804" s="141">
        <f>IF(offer_sale_type="транзит",IFERROR(ROUND(SUM(I1804:J1804,M1804:O1804)/E1804,2),0),0)</f>
        <v/>
      </c>
      <c r="Q1804" s="141">
        <f>E1804*P1804</f>
        <v/>
      </c>
      <c r="R1804" s="141">
        <f>ROUND(Q1804*IF(AND(offer_incoterms="DDP",seller_region="RU"),IF((TODAY()+offer_turnaround_time)&gt;=helpsheet!$L$17,rate_vatRU_from_26,rate_vatRu_till_25),0),2)</f>
        <v/>
      </c>
      <c r="S1804" s="177">
        <f>Q1804+IF(AND(offer_incoterms="DDP",seller_region="RU"),R1804,0)</f>
        <v/>
      </c>
      <c r="T1804" s="45" t="n"/>
      <c r="V1804" s="57">
        <f>IF(Q1804&gt;0,"показать","скрыть")</f>
        <v/>
      </c>
    </row>
    <row r="1805" ht="15.75" customHeight="1">
      <c r="B1805" s="809" t="n">
        <v>1789</v>
      </c>
      <c r="C1805" s="182">
        <f>IF(offer_sale_type="транзит",IFERROR(VLOOKUP($B1805,calc_data,C$14+1,0),0),0)</f>
        <v/>
      </c>
      <c r="D1805" s="280">
        <f>IF(offer_sale_type="транзит",IFERROR(VLOOKUP($B1805,calc_data,D$14+1,0),0),0)</f>
        <v/>
      </c>
      <c r="E1805" s="182">
        <f>IF(offer_sale_type="транзит",IFERROR(VLOOKUP($B1805,calc_data,E$14+1,0),0),0)</f>
        <v/>
      </c>
      <c r="F1805" s="182">
        <f>IF(offer_sale_type="транзит",IFERROR(VLOOKUP($B1805,calc_data,F$14+1,0),0),0)</f>
        <v/>
      </c>
      <c r="G1805" s="141">
        <f>IF(offer_sale_type="транзит",IFERROR(VLOOKUP($B1805,calc_data,G$14+1,0),0),0)</f>
        <v/>
      </c>
      <c r="H1805" s="141">
        <f>E1805*G1805</f>
        <v/>
      </c>
      <c r="I1805" s="141">
        <f>IF(offer_sale_type="транзит",IFERROR(ROUND(VLOOKUP($B1805,calc_data,I$14+1,0),2),0),0)</f>
        <v/>
      </c>
      <c r="J1805" s="141">
        <f>ROUND(IF(offer_sale_type="транзит",IFERROR(VLOOKUP($B1805,calc_data,J$14+1,0),0),0),2)</f>
        <v/>
      </c>
      <c r="K1805" s="142">
        <f>IF(offer_sale_type="транзит",IFERROR(ROUNDUP(VLOOKUP($B1805,calc_data,K$14+1,0),2),0),0)</f>
        <v/>
      </c>
      <c r="L1805" s="184">
        <f>IF(offer_sale_type="транзит",IFERROR(ROUNDUP(VLOOKUP($B1805,calc_data,L$14+1,0),2),0),0)</f>
        <v/>
      </c>
      <c r="M1805" s="141">
        <f>IF(offer_sale_type="транзит",IFERROR(ROUNDUP(VLOOKUP($B1805,calc_data,M$14+1,0),2),0),0)</f>
        <v/>
      </c>
      <c r="N1805" s="141">
        <f>IF(offer_sale_type="транзит",IFERROR(ROUNDUP(VLOOKUP($B1805,calc_data,N$14+1,0),2),0),0)</f>
        <v/>
      </c>
      <c r="O1805" s="147">
        <f>IF(offer_sale_type="транзит",IFERROR(ROUND(VLOOKUP($B1805,calc_data,O$14+1,1),2),0),0)</f>
        <v/>
      </c>
      <c r="P1805" s="141">
        <f>IF(offer_sale_type="транзит",IFERROR(ROUND(SUM(I1805:J1805,M1805:O1805)/E1805,2),0),0)</f>
        <v/>
      </c>
      <c r="Q1805" s="141">
        <f>E1805*P1805</f>
        <v/>
      </c>
      <c r="R1805" s="141">
        <f>ROUND(Q1805*IF(AND(offer_incoterms="DDP",seller_region="RU"),IF((TODAY()+offer_turnaround_time)&gt;=helpsheet!$L$17,rate_vatRU_from_26,rate_vatRu_till_25),0),2)</f>
        <v/>
      </c>
      <c r="S1805" s="177">
        <f>Q1805+IF(AND(offer_incoterms="DDP",seller_region="RU"),R1805,0)</f>
        <v/>
      </c>
      <c r="T1805" s="45" t="n"/>
      <c r="V1805" s="57">
        <f>IF(Q1805&gt;0,"показать","скрыть")</f>
        <v/>
      </c>
    </row>
    <row r="1806" ht="15.75" customHeight="1">
      <c r="B1806" s="809" t="n">
        <v>1790</v>
      </c>
      <c r="C1806" s="182">
        <f>IF(offer_sale_type="транзит",IFERROR(VLOOKUP($B1806,calc_data,C$14+1,0),0),0)</f>
        <v/>
      </c>
      <c r="D1806" s="280">
        <f>IF(offer_sale_type="транзит",IFERROR(VLOOKUP($B1806,calc_data,D$14+1,0),0),0)</f>
        <v/>
      </c>
      <c r="E1806" s="182">
        <f>IF(offer_sale_type="транзит",IFERROR(VLOOKUP($B1806,calc_data,E$14+1,0),0),0)</f>
        <v/>
      </c>
      <c r="F1806" s="182">
        <f>IF(offer_sale_type="транзит",IFERROR(VLOOKUP($B1806,calc_data,F$14+1,0),0),0)</f>
        <v/>
      </c>
      <c r="G1806" s="141">
        <f>IF(offer_sale_type="транзит",IFERROR(VLOOKUP($B1806,calc_data,G$14+1,0),0),0)</f>
        <v/>
      </c>
      <c r="H1806" s="141">
        <f>E1806*G1806</f>
        <v/>
      </c>
      <c r="I1806" s="141">
        <f>IF(offer_sale_type="транзит",IFERROR(ROUND(VLOOKUP($B1806,calc_data,I$14+1,0),2),0),0)</f>
        <v/>
      </c>
      <c r="J1806" s="141">
        <f>ROUND(IF(offer_sale_type="транзит",IFERROR(VLOOKUP($B1806,calc_data,J$14+1,0),0),0),2)</f>
        <v/>
      </c>
      <c r="K1806" s="142">
        <f>IF(offer_sale_type="транзит",IFERROR(ROUNDUP(VLOOKUP($B1806,calc_data,K$14+1,0),2),0),0)</f>
        <v/>
      </c>
      <c r="L1806" s="184">
        <f>IF(offer_sale_type="транзит",IFERROR(ROUNDUP(VLOOKUP($B1806,calc_data,L$14+1,0),2),0),0)</f>
        <v/>
      </c>
      <c r="M1806" s="141">
        <f>IF(offer_sale_type="транзит",IFERROR(ROUNDUP(VLOOKUP($B1806,calc_data,M$14+1,0),2),0),0)</f>
        <v/>
      </c>
      <c r="N1806" s="141">
        <f>IF(offer_sale_type="транзит",IFERROR(ROUNDUP(VLOOKUP($B1806,calc_data,N$14+1,0),2),0),0)</f>
        <v/>
      </c>
      <c r="O1806" s="147">
        <f>IF(offer_sale_type="транзит",IFERROR(ROUND(VLOOKUP($B1806,calc_data,O$14+1,1),2),0),0)</f>
        <v/>
      </c>
      <c r="P1806" s="141">
        <f>IF(offer_sale_type="транзит",IFERROR(ROUND(SUM(I1806:J1806,M1806:O1806)/E1806,2),0),0)</f>
        <v/>
      </c>
      <c r="Q1806" s="141">
        <f>E1806*P1806</f>
        <v/>
      </c>
      <c r="R1806" s="141">
        <f>ROUND(Q1806*IF(AND(offer_incoterms="DDP",seller_region="RU"),IF((TODAY()+offer_turnaround_time)&gt;=helpsheet!$L$17,rate_vatRU_from_26,rate_vatRu_till_25),0),2)</f>
        <v/>
      </c>
      <c r="S1806" s="177">
        <f>Q1806+IF(AND(offer_incoterms="DDP",seller_region="RU"),R1806,0)</f>
        <v/>
      </c>
      <c r="T1806" s="45" t="n"/>
      <c r="V1806" s="57">
        <f>IF(Q1806&gt;0,"показать","скрыть")</f>
        <v/>
      </c>
    </row>
    <row r="1807" ht="15.75" customHeight="1">
      <c r="B1807" s="809" t="n">
        <v>1791</v>
      </c>
      <c r="C1807" s="182">
        <f>IF(offer_sale_type="транзит",IFERROR(VLOOKUP($B1807,calc_data,C$14+1,0),0),0)</f>
        <v/>
      </c>
      <c r="D1807" s="280">
        <f>IF(offer_sale_type="транзит",IFERROR(VLOOKUP($B1807,calc_data,D$14+1,0),0),0)</f>
        <v/>
      </c>
      <c r="E1807" s="182">
        <f>IF(offer_sale_type="транзит",IFERROR(VLOOKUP($B1807,calc_data,E$14+1,0),0),0)</f>
        <v/>
      </c>
      <c r="F1807" s="182">
        <f>IF(offer_sale_type="транзит",IFERROR(VLOOKUP($B1807,calc_data,F$14+1,0),0),0)</f>
        <v/>
      </c>
      <c r="G1807" s="141">
        <f>IF(offer_sale_type="транзит",IFERROR(VLOOKUP($B1807,calc_data,G$14+1,0),0),0)</f>
        <v/>
      </c>
      <c r="H1807" s="141">
        <f>E1807*G1807</f>
        <v/>
      </c>
      <c r="I1807" s="141">
        <f>IF(offer_sale_type="транзит",IFERROR(ROUND(VLOOKUP($B1807,calc_data,I$14+1,0),2),0),0)</f>
        <v/>
      </c>
      <c r="J1807" s="141">
        <f>ROUND(IF(offer_sale_type="транзит",IFERROR(VLOOKUP($B1807,calc_data,J$14+1,0),0),0),2)</f>
        <v/>
      </c>
      <c r="K1807" s="142">
        <f>IF(offer_sale_type="транзит",IFERROR(ROUNDUP(VLOOKUP($B1807,calc_data,K$14+1,0),2),0),0)</f>
        <v/>
      </c>
      <c r="L1807" s="184">
        <f>IF(offer_sale_type="транзит",IFERROR(ROUNDUP(VLOOKUP($B1807,calc_data,L$14+1,0),2),0),0)</f>
        <v/>
      </c>
      <c r="M1807" s="141">
        <f>IF(offer_sale_type="транзит",IFERROR(ROUNDUP(VLOOKUP($B1807,calc_data,M$14+1,0),2),0),0)</f>
        <v/>
      </c>
      <c r="N1807" s="141">
        <f>IF(offer_sale_type="транзит",IFERROR(ROUNDUP(VLOOKUP($B1807,calc_data,N$14+1,0),2),0),0)</f>
        <v/>
      </c>
      <c r="O1807" s="147">
        <f>IF(offer_sale_type="транзит",IFERROR(ROUND(VLOOKUP($B1807,calc_data,O$14+1,1),2),0),0)</f>
        <v/>
      </c>
      <c r="P1807" s="141">
        <f>IF(offer_sale_type="транзит",IFERROR(ROUND(SUM(I1807:J1807,M1807:O1807)/E1807,2),0),0)</f>
        <v/>
      </c>
      <c r="Q1807" s="141">
        <f>E1807*P1807</f>
        <v/>
      </c>
      <c r="R1807" s="141">
        <f>ROUND(Q1807*IF(AND(offer_incoterms="DDP",seller_region="RU"),IF((TODAY()+offer_turnaround_time)&gt;=helpsheet!$L$17,rate_vatRU_from_26,rate_vatRu_till_25),0),2)</f>
        <v/>
      </c>
      <c r="S1807" s="177">
        <f>Q1807+IF(AND(offer_incoterms="DDP",seller_region="RU"),R1807,0)</f>
        <v/>
      </c>
      <c r="T1807" s="45" t="n"/>
      <c r="V1807" s="57">
        <f>IF(Q1807&gt;0,"показать","скрыть")</f>
        <v/>
      </c>
    </row>
    <row r="1808" ht="15.75" customHeight="1">
      <c r="B1808" s="809" t="n">
        <v>1792</v>
      </c>
      <c r="C1808" s="182">
        <f>IF(offer_sale_type="транзит",IFERROR(VLOOKUP($B1808,calc_data,C$14+1,0),0),0)</f>
        <v/>
      </c>
      <c r="D1808" s="280">
        <f>IF(offer_sale_type="транзит",IFERROR(VLOOKUP($B1808,calc_data,D$14+1,0),0),0)</f>
        <v/>
      </c>
      <c r="E1808" s="182">
        <f>IF(offer_sale_type="транзит",IFERROR(VLOOKUP($B1808,calc_data,E$14+1,0),0),0)</f>
        <v/>
      </c>
      <c r="F1808" s="182">
        <f>IF(offer_sale_type="транзит",IFERROR(VLOOKUP($B1808,calc_data,F$14+1,0),0),0)</f>
        <v/>
      </c>
      <c r="G1808" s="141">
        <f>IF(offer_sale_type="транзит",IFERROR(VLOOKUP($B1808,calc_data,G$14+1,0),0),0)</f>
        <v/>
      </c>
      <c r="H1808" s="141">
        <f>E1808*G1808</f>
        <v/>
      </c>
      <c r="I1808" s="141">
        <f>IF(offer_sale_type="транзит",IFERROR(ROUND(VLOOKUP($B1808,calc_data,I$14+1,0),2),0),0)</f>
        <v/>
      </c>
      <c r="J1808" s="141">
        <f>ROUND(IF(offer_sale_type="транзит",IFERROR(VLOOKUP($B1808,calc_data,J$14+1,0),0),0),2)</f>
        <v/>
      </c>
      <c r="K1808" s="142">
        <f>IF(offer_sale_type="транзит",IFERROR(ROUNDUP(VLOOKUP($B1808,calc_data,K$14+1,0),2),0),0)</f>
        <v/>
      </c>
      <c r="L1808" s="184">
        <f>IF(offer_sale_type="транзит",IFERROR(ROUNDUP(VLOOKUP($B1808,calc_data,L$14+1,0),2),0),0)</f>
        <v/>
      </c>
      <c r="M1808" s="141">
        <f>IF(offer_sale_type="транзит",IFERROR(ROUNDUP(VLOOKUP($B1808,calc_data,M$14+1,0),2),0),0)</f>
        <v/>
      </c>
      <c r="N1808" s="141">
        <f>IF(offer_sale_type="транзит",IFERROR(ROUNDUP(VLOOKUP($B1808,calc_data,N$14+1,0),2),0),0)</f>
        <v/>
      </c>
      <c r="O1808" s="147">
        <f>IF(offer_sale_type="транзит",IFERROR(ROUND(VLOOKUP($B1808,calc_data,O$14+1,1),2),0),0)</f>
        <v/>
      </c>
      <c r="P1808" s="141">
        <f>IF(offer_sale_type="транзит",IFERROR(ROUND(SUM(I1808:J1808,M1808:O1808)/E1808,2),0),0)</f>
        <v/>
      </c>
      <c r="Q1808" s="141">
        <f>E1808*P1808</f>
        <v/>
      </c>
      <c r="R1808" s="141">
        <f>ROUND(Q1808*IF(AND(offer_incoterms="DDP",seller_region="RU"),IF((TODAY()+offer_turnaround_time)&gt;=helpsheet!$L$17,rate_vatRU_from_26,rate_vatRu_till_25),0),2)</f>
        <v/>
      </c>
      <c r="S1808" s="177">
        <f>Q1808+IF(AND(offer_incoterms="DDP",seller_region="RU"),R1808,0)</f>
        <v/>
      </c>
      <c r="T1808" s="45" t="n"/>
      <c r="V1808" s="57">
        <f>IF(Q1808&gt;0,"показать","скрыть")</f>
        <v/>
      </c>
    </row>
    <row r="1809" ht="15.75" customHeight="1">
      <c r="B1809" s="809" t="n">
        <v>1793</v>
      </c>
      <c r="C1809" s="182">
        <f>IF(offer_sale_type="транзит",IFERROR(VLOOKUP($B1809,calc_data,C$14+1,0),0),0)</f>
        <v/>
      </c>
      <c r="D1809" s="280">
        <f>IF(offer_sale_type="транзит",IFERROR(VLOOKUP($B1809,calc_data,D$14+1,0),0),0)</f>
        <v/>
      </c>
      <c r="E1809" s="182">
        <f>IF(offer_sale_type="транзит",IFERROR(VLOOKUP($B1809,calc_data,E$14+1,0),0),0)</f>
        <v/>
      </c>
      <c r="F1809" s="182">
        <f>IF(offer_sale_type="транзит",IFERROR(VLOOKUP($B1809,calc_data,F$14+1,0),0),0)</f>
        <v/>
      </c>
      <c r="G1809" s="141">
        <f>IF(offer_sale_type="транзит",IFERROR(VLOOKUP($B1809,calc_data,G$14+1,0),0),0)</f>
        <v/>
      </c>
      <c r="H1809" s="141">
        <f>E1809*G1809</f>
        <v/>
      </c>
      <c r="I1809" s="141">
        <f>IF(offer_sale_type="транзит",IFERROR(ROUND(VLOOKUP($B1809,calc_data,I$14+1,0),2),0),0)</f>
        <v/>
      </c>
      <c r="J1809" s="141">
        <f>ROUND(IF(offer_sale_type="транзит",IFERROR(VLOOKUP($B1809,calc_data,J$14+1,0),0),0),2)</f>
        <v/>
      </c>
      <c r="K1809" s="142">
        <f>IF(offer_sale_type="транзит",IFERROR(ROUNDUP(VLOOKUP($B1809,calc_data,K$14+1,0),2),0),0)</f>
        <v/>
      </c>
      <c r="L1809" s="184">
        <f>IF(offer_sale_type="транзит",IFERROR(ROUNDUP(VLOOKUP($B1809,calc_data,L$14+1,0),2),0),0)</f>
        <v/>
      </c>
      <c r="M1809" s="141">
        <f>IF(offer_sale_type="транзит",IFERROR(ROUNDUP(VLOOKUP($B1809,calc_data,M$14+1,0),2),0),0)</f>
        <v/>
      </c>
      <c r="N1809" s="141">
        <f>IF(offer_sale_type="транзит",IFERROR(ROUNDUP(VLOOKUP($B1809,calc_data,N$14+1,0),2),0),0)</f>
        <v/>
      </c>
      <c r="O1809" s="147">
        <f>IF(offer_sale_type="транзит",IFERROR(ROUND(VLOOKUP($B1809,calc_data,O$14+1,1),2),0),0)</f>
        <v/>
      </c>
      <c r="P1809" s="141">
        <f>IF(offer_sale_type="транзит",IFERROR(ROUND(SUM(I1809:J1809,M1809:O1809)/E1809,2),0),0)</f>
        <v/>
      </c>
      <c r="Q1809" s="141">
        <f>E1809*P1809</f>
        <v/>
      </c>
      <c r="R1809" s="141">
        <f>ROUND(Q1809*IF(AND(offer_incoterms="DDP",seller_region="RU"),IF((TODAY()+offer_turnaround_time)&gt;=helpsheet!$L$17,rate_vatRU_from_26,rate_vatRu_till_25),0),2)</f>
        <v/>
      </c>
      <c r="S1809" s="177">
        <f>Q1809+IF(AND(offer_incoterms="DDP",seller_region="RU"),R1809,0)</f>
        <v/>
      </c>
      <c r="T1809" s="45" t="n"/>
      <c r="V1809" s="57">
        <f>IF(Q1809&gt;0,"показать","скрыть")</f>
        <v/>
      </c>
    </row>
    <row r="1810" ht="15.75" customHeight="1">
      <c r="B1810" s="809" t="n">
        <v>1794</v>
      </c>
      <c r="C1810" s="182">
        <f>IF(offer_sale_type="транзит",IFERROR(VLOOKUP($B1810,calc_data,C$14+1,0),0),0)</f>
        <v/>
      </c>
      <c r="D1810" s="280">
        <f>IF(offer_sale_type="транзит",IFERROR(VLOOKUP($B1810,calc_data,D$14+1,0),0),0)</f>
        <v/>
      </c>
      <c r="E1810" s="182">
        <f>IF(offer_sale_type="транзит",IFERROR(VLOOKUP($B1810,calc_data,E$14+1,0),0),0)</f>
        <v/>
      </c>
      <c r="F1810" s="182">
        <f>IF(offer_sale_type="транзит",IFERROR(VLOOKUP($B1810,calc_data,F$14+1,0),0),0)</f>
        <v/>
      </c>
      <c r="G1810" s="141">
        <f>IF(offer_sale_type="транзит",IFERROR(VLOOKUP($B1810,calc_data,G$14+1,0),0),0)</f>
        <v/>
      </c>
      <c r="H1810" s="141">
        <f>E1810*G1810</f>
        <v/>
      </c>
      <c r="I1810" s="141">
        <f>IF(offer_sale_type="транзит",IFERROR(ROUND(VLOOKUP($B1810,calc_data,I$14+1,0),2),0),0)</f>
        <v/>
      </c>
      <c r="J1810" s="141">
        <f>ROUND(IF(offer_sale_type="транзит",IFERROR(VLOOKUP($B1810,calc_data,J$14+1,0),0),0),2)</f>
        <v/>
      </c>
      <c r="K1810" s="142">
        <f>IF(offer_sale_type="транзит",IFERROR(ROUNDUP(VLOOKUP($B1810,calc_data,K$14+1,0),2),0),0)</f>
        <v/>
      </c>
      <c r="L1810" s="184">
        <f>IF(offer_sale_type="транзит",IFERROR(ROUNDUP(VLOOKUP($B1810,calc_data,L$14+1,0),2),0),0)</f>
        <v/>
      </c>
      <c r="M1810" s="141">
        <f>IF(offer_sale_type="транзит",IFERROR(ROUNDUP(VLOOKUP($B1810,calc_data,M$14+1,0),2),0),0)</f>
        <v/>
      </c>
      <c r="N1810" s="141">
        <f>IF(offer_sale_type="транзит",IFERROR(ROUNDUP(VLOOKUP($B1810,calc_data,N$14+1,0),2),0),0)</f>
        <v/>
      </c>
      <c r="O1810" s="147">
        <f>IF(offer_sale_type="транзит",IFERROR(ROUND(VLOOKUP($B1810,calc_data,O$14+1,1),2),0),0)</f>
        <v/>
      </c>
      <c r="P1810" s="141">
        <f>IF(offer_sale_type="транзит",IFERROR(ROUND(SUM(I1810:J1810,M1810:O1810)/E1810,2),0),0)</f>
        <v/>
      </c>
      <c r="Q1810" s="141">
        <f>E1810*P1810</f>
        <v/>
      </c>
      <c r="R1810" s="141">
        <f>ROUND(Q1810*IF(AND(offer_incoterms="DDP",seller_region="RU"),IF((TODAY()+offer_turnaround_time)&gt;=helpsheet!$L$17,rate_vatRU_from_26,rate_vatRu_till_25),0),2)</f>
        <v/>
      </c>
      <c r="S1810" s="177">
        <f>Q1810+IF(AND(offer_incoterms="DDP",seller_region="RU"),R1810,0)</f>
        <v/>
      </c>
      <c r="T1810" s="45" t="n"/>
      <c r="V1810" s="57">
        <f>IF(Q1810&gt;0,"показать","скрыть")</f>
        <v/>
      </c>
    </row>
    <row r="1811" ht="15.75" customHeight="1">
      <c r="B1811" s="809" t="n">
        <v>1795</v>
      </c>
      <c r="C1811" s="182">
        <f>IF(offer_sale_type="транзит",IFERROR(VLOOKUP($B1811,calc_data,C$14+1,0),0),0)</f>
        <v/>
      </c>
      <c r="D1811" s="280">
        <f>IF(offer_sale_type="транзит",IFERROR(VLOOKUP($B1811,calc_data,D$14+1,0),0),0)</f>
        <v/>
      </c>
      <c r="E1811" s="182">
        <f>IF(offer_sale_type="транзит",IFERROR(VLOOKUP($B1811,calc_data,E$14+1,0),0),0)</f>
        <v/>
      </c>
      <c r="F1811" s="182">
        <f>IF(offer_sale_type="транзит",IFERROR(VLOOKUP($B1811,calc_data,F$14+1,0),0),0)</f>
        <v/>
      </c>
      <c r="G1811" s="141">
        <f>IF(offer_sale_type="транзит",IFERROR(VLOOKUP($B1811,calc_data,G$14+1,0),0),0)</f>
        <v/>
      </c>
      <c r="H1811" s="141">
        <f>E1811*G1811</f>
        <v/>
      </c>
      <c r="I1811" s="141">
        <f>IF(offer_sale_type="транзит",IFERROR(ROUND(VLOOKUP($B1811,calc_data,I$14+1,0),2),0),0)</f>
        <v/>
      </c>
      <c r="J1811" s="141">
        <f>ROUND(IF(offer_sale_type="транзит",IFERROR(VLOOKUP($B1811,calc_data,J$14+1,0),0),0),2)</f>
        <v/>
      </c>
      <c r="K1811" s="142">
        <f>IF(offer_sale_type="транзит",IFERROR(ROUNDUP(VLOOKUP($B1811,calc_data,K$14+1,0),2),0),0)</f>
        <v/>
      </c>
      <c r="L1811" s="184">
        <f>IF(offer_sale_type="транзит",IFERROR(ROUNDUP(VLOOKUP($B1811,calc_data,L$14+1,0),2),0),0)</f>
        <v/>
      </c>
      <c r="M1811" s="141">
        <f>IF(offer_sale_type="транзит",IFERROR(ROUNDUP(VLOOKUP($B1811,calc_data,M$14+1,0),2),0),0)</f>
        <v/>
      </c>
      <c r="N1811" s="141">
        <f>IF(offer_sale_type="транзит",IFERROR(ROUNDUP(VLOOKUP($B1811,calc_data,N$14+1,0),2),0),0)</f>
        <v/>
      </c>
      <c r="O1811" s="147">
        <f>IF(offer_sale_type="транзит",IFERROR(ROUND(VLOOKUP($B1811,calc_data,O$14+1,1),2),0),0)</f>
        <v/>
      </c>
      <c r="P1811" s="141">
        <f>IF(offer_sale_type="транзит",IFERROR(ROUND(SUM(I1811:J1811,M1811:O1811)/E1811,2),0),0)</f>
        <v/>
      </c>
      <c r="Q1811" s="141">
        <f>E1811*P1811</f>
        <v/>
      </c>
      <c r="R1811" s="141">
        <f>ROUND(Q1811*IF(AND(offer_incoterms="DDP",seller_region="RU"),IF((TODAY()+offer_turnaround_time)&gt;=helpsheet!$L$17,rate_vatRU_from_26,rate_vatRu_till_25),0),2)</f>
        <v/>
      </c>
      <c r="S1811" s="177">
        <f>Q1811+IF(AND(offer_incoterms="DDP",seller_region="RU"),R1811,0)</f>
        <v/>
      </c>
      <c r="T1811" s="45" t="n"/>
      <c r="V1811" s="57">
        <f>IF(Q1811&gt;0,"показать","скрыть")</f>
        <v/>
      </c>
    </row>
    <row r="1812" ht="15.75" customHeight="1">
      <c r="B1812" s="809" t="n">
        <v>1796</v>
      </c>
      <c r="C1812" s="182">
        <f>IF(offer_sale_type="транзит",IFERROR(VLOOKUP($B1812,calc_data,C$14+1,0),0),0)</f>
        <v/>
      </c>
      <c r="D1812" s="280">
        <f>IF(offer_sale_type="транзит",IFERROR(VLOOKUP($B1812,calc_data,D$14+1,0),0),0)</f>
        <v/>
      </c>
      <c r="E1812" s="182">
        <f>IF(offer_sale_type="транзит",IFERROR(VLOOKUP($B1812,calc_data,E$14+1,0),0),0)</f>
        <v/>
      </c>
      <c r="F1812" s="182">
        <f>IF(offer_sale_type="транзит",IFERROR(VLOOKUP($B1812,calc_data,F$14+1,0),0),0)</f>
        <v/>
      </c>
      <c r="G1812" s="141">
        <f>IF(offer_sale_type="транзит",IFERROR(VLOOKUP($B1812,calc_data,G$14+1,0),0),0)</f>
        <v/>
      </c>
      <c r="H1812" s="141">
        <f>E1812*G1812</f>
        <v/>
      </c>
      <c r="I1812" s="141">
        <f>IF(offer_sale_type="транзит",IFERROR(ROUND(VLOOKUP($B1812,calc_data,I$14+1,0),2),0),0)</f>
        <v/>
      </c>
      <c r="J1812" s="141">
        <f>ROUND(IF(offer_sale_type="транзит",IFERROR(VLOOKUP($B1812,calc_data,J$14+1,0),0),0),2)</f>
        <v/>
      </c>
      <c r="K1812" s="142">
        <f>IF(offer_sale_type="транзит",IFERROR(ROUNDUP(VLOOKUP($B1812,calc_data,K$14+1,0),2),0),0)</f>
        <v/>
      </c>
      <c r="L1812" s="184">
        <f>IF(offer_sale_type="транзит",IFERROR(ROUNDUP(VLOOKUP($B1812,calc_data,L$14+1,0),2),0),0)</f>
        <v/>
      </c>
      <c r="M1812" s="141">
        <f>IF(offer_sale_type="транзит",IFERROR(ROUNDUP(VLOOKUP($B1812,calc_data,M$14+1,0),2),0),0)</f>
        <v/>
      </c>
      <c r="N1812" s="141">
        <f>IF(offer_sale_type="транзит",IFERROR(ROUNDUP(VLOOKUP($B1812,calc_data,N$14+1,0),2),0),0)</f>
        <v/>
      </c>
      <c r="O1812" s="147">
        <f>IF(offer_sale_type="транзит",IFERROR(ROUND(VLOOKUP($B1812,calc_data,O$14+1,1),2),0),0)</f>
        <v/>
      </c>
      <c r="P1812" s="141">
        <f>IF(offer_sale_type="транзит",IFERROR(ROUND(SUM(I1812:J1812,M1812:O1812)/E1812,2),0),0)</f>
        <v/>
      </c>
      <c r="Q1812" s="141">
        <f>E1812*P1812</f>
        <v/>
      </c>
      <c r="R1812" s="141">
        <f>ROUND(Q1812*IF(AND(offer_incoterms="DDP",seller_region="RU"),IF((TODAY()+offer_turnaround_time)&gt;=helpsheet!$L$17,rate_vatRU_from_26,rate_vatRu_till_25),0),2)</f>
        <v/>
      </c>
      <c r="S1812" s="177">
        <f>Q1812+IF(AND(offer_incoterms="DDP",seller_region="RU"),R1812,0)</f>
        <v/>
      </c>
      <c r="T1812" s="45" t="n"/>
      <c r="V1812" s="57">
        <f>IF(Q1812&gt;0,"показать","скрыть")</f>
        <v/>
      </c>
    </row>
    <row r="1813" ht="15.75" customHeight="1">
      <c r="B1813" s="809" t="n">
        <v>1797</v>
      </c>
      <c r="C1813" s="182">
        <f>IF(offer_sale_type="транзит",IFERROR(VLOOKUP($B1813,calc_data,C$14+1,0),0),0)</f>
        <v/>
      </c>
      <c r="D1813" s="280">
        <f>IF(offer_sale_type="транзит",IFERROR(VLOOKUP($B1813,calc_data,D$14+1,0),0),0)</f>
        <v/>
      </c>
      <c r="E1813" s="182">
        <f>IF(offer_sale_type="транзит",IFERROR(VLOOKUP($B1813,calc_data,E$14+1,0),0),0)</f>
        <v/>
      </c>
      <c r="F1813" s="182">
        <f>IF(offer_sale_type="транзит",IFERROR(VLOOKUP($B1813,calc_data,F$14+1,0),0),0)</f>
        <v/>
      </c>
      <c r="G1813" s="141">
        <f>IF(offer_sale_type="транзит",IFERROR(VLOOKUP($B1813,calc_data,G$14+1,0),0),0)</f>
        <v/>
      </c>
      <c r="H1813" s="141">
        <f>E1813*G1813</f>
        <v/>
      </c>
      <c r="I1813" s="141">
        <f>IF(offer_sale_type="транзит",IFERROR(ROUND(VLOOKUP($B1813,calc_data,I$14+1,0),2),0),0)</f>
        <v/>
      </c>
      <c r="J1813" s="141">
        <f>ROUND(IF(offer_sale_type="транзит",IFERROR(VLOOKUP($B1813,calc_data,J$14+1,0),0),0),2)</f>
        <v/>
      </c>
      <c r="K1813" s="142">
        <f>IF(offer_sale_type="транзит",IFERROR(ROUNDUP(VLOOKUP($B1813,calc_data,K$14+1,0),2),0),0)</f>
        <v/>
      </c>
      <c r="L1813" s="184">
        <f>IF(offer_sale_type="транзит",IFERROR(ROUNDUP(VLOOKUP($B1813,calc_data,L$14+1,0),2),0),0)</f>
        <v/>
      </c>
      <c r="M1813" s="141">
        <f>IF(offer_sale_type="транзит",IFERROR(ROUNDUP(VLOOKUP($B1813,calc_data,M$14+1,0),2),0),0)</f>
        <v/>
      </c>
      <c r="N1813" s="141">
        <f>IF(offer_sale_type="транзит",IFERROR(ROUNDUP(VLOOKUP($B1813,calc_data,N$14+1,0),2),0),0)</f>
        <v/>
      </c>
      <c r="O1813" s="147">
        <f>IF(offer_sale_type="транзит",IFERROR(ROUND(VLOOKUP($B1813,calc_data,O$14+1,1),2),0),0)</f>
        <v/>
      </c>
      <c r="P1813" s="141">
        <f>IF(offer_sale_type="транзит",IFERROR(ROUND(SUM(I1813:J1813,M1813:O1813)/E1813,2),0),0)</f>
        <v/>
      </c>
      <c r="Q1813" s="141">
        <f>E1813*P1813</f>
        <v/>
      </c>
      <c r="R1813" s="141">
        <f>ROUND(Q1813*IF(AND(offer_incoterms="DDP",seller_region="RU"),IF((TODAY()+offer_turnaround_time)&gt;=helpsheet!$L$17,rate_vatRU_from_26,rate_vatRu_till_25),0),2)</f>
        <v/>
      </c>
      <c r="S1813" s="177">
        <f>Q1813+IF(AND(offer_incoterms="DDP",seller_region="RU"),R1813,0)</f>
        <v/>
      </c>
      <c r="T1813" s="45" t="n"/>
      <c r="V1813" s="57">
        <f>IF(Q1813&gt;0,"показать","скрыть")</f>
        <v/>
      </c>
    </row>
    <row r="1814" ht="15.75" customHeight="1">
      <c r="B1814" s="809" t="n">
        <v>1798</v>
      </c>
      <c r="C1814" s="182">
        <f>IF(offer_sale_type="транзит",IFERROR(VLOOKUP($B1814,calc_data,C$14+1,0),0),0)</f>
        <v/>
      </c>
      <c r="D1814" s="280">
        <f>IF(offer_sale_type="транзит",IFERROR(VLOOKUP($B1814,calc_data,D$14+1,0),0),0)</f>
        <v/>
      </c>
      <c r="E1814" s="182">
        <f>IF(offer_sale_type="транзит",IFERROR(VLOOKUP($B1814,calc_data,E$14+1,0),0),0)</f>
        <v/>
      </c>
      <c r="F1814" s="182">
        <f>IF(offer_sale_type="транзит",IFERROR(VLOOKUP($B1814,calc_data,F$14+1,0),0),0)</f>
        <v/>
      </c>
      <c r="G1814" s="141">
        <f>IF(offer_sale_type="транзит",IFERROR(VLOOKUP($B1814,calc_data,G$14+1,0),0),0)</f>
        <v/>
      </c>
      <c r="H1814" s="141">
        <f>E1814*G1814</f>
        <v/>
      </c>
      <c r="I1814" s="141">
        <f>IF(offer_sale_type="транзит",IFERROR(ROUND(VLOOKUP($B1814,calc_data,I$14+1,0),2),0),0)</f>
        <v/>
      </c>
      <c r="J1814" s="141">
        <f>ROUND(IF(offer_sale_type="транзит",IFERROR(VLOOKUP($B1814,calc_data,J$14+1,0),0),0),2)</f>
        <v/>
      </c>
      <c r="K1814" s="142">
        <f>IF(offer_sale_type="транзит",IFERROR(ROUNDUP(VLOOKUP($B1814,calc_data,K$14+1,0),2),0),0)</f>
        <v/>
      </c>
      <c r="L1814" s="184">
        <f>IF(offer_sale_type="транзит",IFERROR(ROUNDUP(VLOOKUP($B1814,calc_data,L$14+1,0),2),0),0)</f>
        <v/>
      </c>
      <c r="M1814" s="141">
        <f>IF(offer_sale_type="транзит",IFERROR(ROUNDUP(VLOOKUP($B1814,calc_data,M$14+1,0),2),0),0)</f>
        <v/>
      </c>
      <c r="N1814" s="141">
        <f>IF(offer_sale_type="транзит",IFERROR(ROUNDUP(VLOOKUP($B1814,calc_data,N$14+1,0),2),0),0)</f>
        <v/>
      </c>
      <c r="O1814" s="147">
        <f>IF(offer_sale_type="транзит",IFERROR(ROUND(VLOOKUP($B1814,calc_data,O$14+1,1),2),0),0)</f>
        <v/>
      </c>
      <c r="P1814" s="141">
        <f>IF(offer_sale_type="транзит",IFERROR(ROUND(SUM(I1814:J1814,M1814:O1814)/E1814,2),0),0)</f>
        <v/>
      </c>
      <c r="Q1814" s="141">
        <f>E1814*P1814</f>
        <v/>
      </c>
      <c r="R1814" s="141">
        <f>ROUND(Q1814*IF(AND(offer_incoterms="DDP",seller_region="RU"),IF((TODAY()+offer_turnaround_time)&gt;=helpsheet!$L$17,rate_vatRU_from_26,rate_vatRu_till_25),0),2)</f>
        <v/>
      </c>
      <c r="S1814" s="177">
        <f>Q1814+IF(AND(offer_incoterms="DDP",seller_region="RU"),R1814,0)</f>
        <v/>
      </c>
      <c r="T1814" s="45" t="n"/>
      <c r="V1814" s="57">
        <f>IF(Q1814&gt;0,"показать","скрыть")</f>
        <v/>
      </c>
    </row>
    <row r="1815" ht="15.75" customHeight="1">
      <c r="B1815" s="809" t="n">
        <v>1799</v>
      </c>
      <c r="C1815" s="182">
        <f>IF(offer_sale_type="транзит",IFERROR(VLOOKUP($B1815,calc_data,C$14+1,0),0),0)</f>
        <v/>
      </c>
      <c r="D1815" s="280">
        <f>IF(offer_sale_type="транзит",IFERROR(VLOOKUP($B1815,calc_data,D$14+1,0),0),0)</f>
        <v/>
      </c>
      <c r="E1815" s="182">
        <f>IF(offer_sale_type="транзит",IFERROR(VLOOKUP($B1815,calc_data,E$14+1,0),0),0)</f>
        <v/>
      </c>
      <c r="F1815" s="182">
        <f>IF(offer_sale_type="транзит",IFERROR(VLOOKUP($B1815,calc_data,F$14+1,0),0),0)</f>
        <v/>
      </c>
      <c r="G1815" s="141">
        <f>IF(offer_sale_type="транзит",IFERROR(VLOOKUP($B1815,calc_data,G$14+1,0),0),0)</f>
        <v/>
      </c>
      <c r="H1815" s="141">
        <f>E1815*G1815</f>
        <v/>
      </c>
      <c r="I1815" s="141">
        <f>IF(offer_sale_type="транзит",IFERROR(ROUND(VLOOKUP($B1815,calc_data,I$14+1,0),2),0),0)</f>
        <v/>
      </c>
      <c r="J1815" s="141">
        <f>ROUND(IF(offer_sale_type="транзит",IFERROR(VLOOKUP($B1815,calc_data,J$14+1,0),0),0),2)</f>
        <v/>
      </c>
      <c r="K1815" s="142">
        <f>IF(offer_sale_type="транзит",IFERROR(ROUNDUP(VLOOKUP($B1815,calc_data,K$14+1,0),2),0),0)</f>
        <v/>
      </c>
      <c r="L1815" s="184">
        <f>IF(offer_sale_type="транзит",IFERROR(ROUNDUP(VLOOKUP($B1815,calc_data,L$14+1,0),2),0),0)</f>
        <v/>
      </c>
      <c r="M1815" s="141">
        <f>IF(offer_sale_type="транзит",IFERROR(ROUNDUP(VLOOKUP($B1815,calc_data,M$14+1,0),2),0),0)</f>
        <v/>
      </c>
      <c r="N1815" s="141">
        <f>IF(offer_sale_type="транзит",IFERROR(ROUNDUP(VLOOKUP($B1815,calc_data,N$14+1,0),2),0),0)</f>
        <v/>
      </c>
      <c r="O1815" s="147">
        <f>IF(offer_sale_type="транзит",IFERROR(ROUND(VLOOKUP($B1815,calc_data,O$14+1,1),2),0),0)</f>
        <v/>
      </c>
      <c r="P1815" s="141">
        <f>IF(offer_sale_type="транзит",IFERROR(ROUND(SUM(I1815:J1815,M1815:O1815)/E1815,2),0),0)</f>
        <v/>
      </c>
      <c r="Q1815" s="141">
        <f>E1815*P1815</f>
        <v/>
      </c>
      <c r="R1815" s="141">
        <f>ROUND(Q1815*IF(AND(offer_incoterms="DDP",seller_region="RU"),IF((TODAY()+offer_turnaround_time)&gt;=helpsheet!$L$17,rate_vatRU_from_26,rate_vatRu_till_25),0),2)</f>
        <v/>
      </c>
      <c r="S1815" s="177">
        <f>Q1815+IF(AND(offer_incoterms="DDP",seller_region="RU"),R1815,0)</f>
        <v/>
      </c>
      <c r="T1815" s="45" t="n"/>
      <c r="V1815" s="57">
        <f>IF(Q1815&gt;0,"показать","скрыть")</f>
        <v/>
      </c>
    </row>
    <row r="1816" ht="15.75" customHeight="1">
      <c r="B1816" s="809" t="n">
        <v>1800</v>
      </c>
      <c r="C1816" s="182">
        <f>IF(offer_sale_type="транзит",IFERROR(VLOOKUP($B1816,calc_data,C$14+1,0),0),0)</f>
        <v/>
      </c>
      <c r="D1816" s="280">
        <f>IF(offer_sale_type="транзит",IFERROR(VLOOKUP($B1816,calc_data,D$14+1,0),0),0)</f>
        <v/>
      </c>
      <c r="E1816" s="182">
        <f>IF(offer_sale_type="транзит",IFERROR(VLOOKUP($B1816,calc_data,E$14+1,0),0),0)</f>
        <v/>
      </c>
      <c r="F1816" s="182">
        <f>IF(offer_sale_type="транзит",IFERROR(VLOOKUP($B1816,calc_data,F$14+1,0),0),0)</f>
        <v/>
      </c>
      <c r="G1816" s="141">
        <f>IF(offer_sale_type="транзит",IFERROR(VLOOKUP($B1816,calc_data,G$14+1,0),0),0)</f>
        <v/>
      </c>
      <c r="H1816" s="141">
        <f>E1816*G1816</f>
        <v/>
      </c>
      <c r="I1816" s="141">
        <f>IF(offer_sale_type="транзит",IFERROR(ROUND(VLOOKUP($B1816,calc_data,I$14+1,0),2),0),0)</f>
        <v/>
      </c>
      <c r="J1816" s="141">
        <f>ROUND(IF(offer_sale_type="транзит",IFERROR(VLOOKUP($B1816,calc_data,J$14+1,0),0),0),2)</f>
        <v/>
      </c>
      <c r="K1816" s="142">
        <f>IF(offer_sale_type="транзит",IFERROR(ROUNDUP(VLOOKUP($B1816,calc_data,K$14+1,0),2),0),0)</f>
        <v/>
      </c>
      <c r="L1816" s="184">
        <f>IF(offer_sale_type="транзит",IFERROR(ROUNDUP(VLOOKUP($B1816,calc_data,L$14+1,0),2),0),0)</f>
        <v/>
      </c>
      <c r="M1816" s="141">
        <f>IF(offer_sale_type="транзит",IFERROR(ROUNDUP(VLOOKUP($B1816,calc_data,M$14+1,0),2),0),0)</f>
        <v/>
      </c>
      <c r="N1816" s="141">
        <f>IF(offer_sale_type="транзит",IFERROR(ROUNDUP(VLOOKUP($B1816,calc_data,N$14+1,0),2),0),0)</f>
        <v/>
      </c>
      <c r="O1816" s="147">
        <f>IF(offer_sale_type="транзит",IFERROR(ROUND(VLOOKUP($B1816,calc_data,O$14+1,1),2),0),0)</f>
        <v/>
      </c>
      <c r="P1816" s="141">
        <f>IF(offer_sale_type="транзит",IFERROR(ROUND(SUM(I1816:J1816,M1816:O1816)/E1816,2),0),0)</f>
        <v/>
      </c>
      <c r="Q1816" s="141">
        <f>E1816*P1816</f>
        <v/>
      </c>
      <c r="R1816" s="141">
        <f>ROUND(Q1816*IF(AND(offer_incoterms="DDP",seller_region="RU"),IF((TODAY()+offer_turnaround_time)&gt;=helpsheet!$L$17,rate_vatRU_from_26,rate_vatRu_till_25),0),2)</f>
        <v/>
      </c>
      <c r="S1816" s="177">
        <f>Q1816+IF(AND(offer_incoterms="DDP",seller_region="RU"),R1816,0)</f>
        <v/>
      </c>
      <c r="T1816" s="45" t="n"/>
      <c r="V1816" s="57">
        <f>IF(Q1816&gt;0,"показать","скрыть")</f>
        <v/>
      </c>
    </row>
    <row r="1817" ht="15.75" customHeight="1">
      <c r="B1817" s="809" t="n">
        <v>1801</v>
      </c>
      <c r="C1817" s="182">
        <f>IF(offer_sale_type="транзит",IFERROR(VLOOKUP($B1817,calc_data,C$14+1,0),0),0)</f>
        <v/>
      </c>
      <c r="D1817" s="280">
        <f>IF(offer_sale_type="транзит",IFERROR(VLOOKUP($B1817,calc_data,D$14+1,0),0),0)</f>
        <v/>
      </c>
      <c r="E1817" s="182">
        <f>IF(offer_sale_type="транзит",IFERROR(VLOOKUP($B1817,calc_data,E$14+1,0),0),0)</f>
        <v/>
      </c>
      <c r="F1817" s="182">
        <f>IF(offer_sale_type="транзит",IFERROR(VLOOKUP($B1817,calc_data,F$14+1,0),0),0)</f>
        <v/>
      </c>
      <c r="G1817" s="141">
        <f>IF(offer_sale_type="транзит",IFERROR(VLOOKUP($B1817,calc_data,G$14+1,0),0),0)</f>
        <v/>
      </c>
      <c r="H1817" s="141">
        <f>E1817*G1817</f>
        <v/>
      </c>
      <c r="I1817" s="141">
        <f>IF(offer_sale_type="транзит",IFERROR(ROUND(VLOOKUP($B1817,calc_data,I$14+1,0),2),0),0)</f>
        <v/>
      </c>
      <c r="J1817" s="141">
        <f>ROUND(IF(offer_sale_type="транзит",IFERROR(VLOOKUP($B1817,calc_data,J$14+1,0),0),0),2)</f>
        <v/>
      </c>
      <c r="K1817" s="142">
        <f>IF(offer_sale_type="транзит",IFERROR(ROUNDUP(VLOOKUP($B1817,calc_data,K$14+1,0),2),0),0)</f>
        <v/>
      </c>
      <c r="L1817" s="184">
        <f>IF(offer_sale_type="транзит",IFERROR(ROUNDUP(VLOOKUP($B1817,calc_data,L$14+1,0),2),0),0)</f>
        <v/>
      </c>
      <c r="M1817" s="141">
        <f>IF(offer_sale_type="транзит",IFERROR(ROUNDUP(VLOOKUP($B1817,calc_data,M$14+1,0),2),0),0)</f>
        <v/>
      </c>
      <c r="N1817" s="141">
        <f>IF(offer_sale_type="транзит",IFERROR(ROUNDUP(VLOOKUP($B1817,calc_data,N$14+1,0),2),0),0)</f>
        <v/>
      </c>
      <c r="O1817" s="147">
        <f>IF(offer_sale_type="транзит",IFERROR(ROUND(VLOOKUP($B1817,calc_data,O$14+1,1),2),0),0)</f>
        <v/>
      </c>
      <c r="P1817" s="141">
        <f>IF(offer_sale_type="транзит",IFERROR(ROUND(SUM(I1817:J1817,M1817:O1817)/E1817,2),0),0)</f>
        <v/>
      </c>
      <c r="Q1817" s="141">
        <f>E1817*P1817</f>
        <v/>
      </c>
      <c r="R1817" s="141">
        <f>ROUND(Q1817*IF(AND(offer_incoterms="DDP",seller_region="RU"),IF((TODAY()+offer_turnaround_time)&gt;=helpsheet!$L$17,rate_vatRU_from_26,rate_vatRu_till_25),0),2)</f>
        <v/>
      </c>
      <c r="S1817" s="177">
        <f>Q1817+IF(AND(offer_incoterms="DDP",seller_region="RU"),R1817,0)</f>
        <v/>
      </c>
      <c r="T1817" s="45" t="n"/>
      <c r="V1817" s="57">
        <f>IF(Q1817&gt;0,"показать","скрыть")</f>
        <v/>
      </c>
    </row>
    <row r="1818" ht="15.75" customHeight="1">
      <c r="B1818" s="809" t="n">
        <v>1802</v>
      </c>
      <c r="C1818" s="182">
        <f>IF(offer_sale_type="транзит",IFERROR(VLOOKUP($B1818,calc_data,C$14+1,0),0),0)</f>
        <v/>
      </c>
      <c r="D1818" s="280">
        <f>IF(offer_sale_type="транзит",IFERROR(VLOOKUP($B1818,calc_data,D$14+1,0),0),0)</f>
        <v/>
      </c>
      <c r="E1818" s="182">
        <f>IF(offer_sale_type="транзит",IFERROR(VLOOKUP($B1818,calc_data,E$14+1,0),0),0)</f>
        <v/>
      </c>
      <c r="F1818" s="182">
        <f>IF(offer_sale_type="транзит",IFERROR(VLOOKUP($B1818,calc_data,F$14+1,0),0),0)</f>
        <v/>
      </c>
      <c r="G1818" s="141">
        <f>IF(offer_sale_type="транзит",IFERROR(VLOOKUP($B1818,calc_data,G$14+1,0),0),0)</f>
        <v/>
      </c>
      <c r="H1818" s="141">
        <f>E1818*G1818</f>
        <v/>
      </c>
      <c r="I1818" s="141">
        <f>IF(offer_sale_type="транзит",IFERROR(ROUND(VLOOKUP($B1818,calc_data,I$14+1,0),2),0),0)</f>
        <v/>
      </c>
      <c r="J1818" s="141">
        <f>ROUND(IF(offer_sale_type="транзит",IFERROR(VLOOKUP($B1818,calc_data,J$14+1,0),0),0),2)</f>
        <v/>
      </c>
      <c r="K1818" s="142">
        <f>IF(offer_sale_type="транзит",IFERROR(ROUNDUP(VLOOKUP($B1818,calc_data,K$14+1,0),2),0),0)</f>
        <v/>
      </c>
      <c r="L1818" s="184">
        <f>IF(offer_sale_type="транзит",IFERROR(ROUNDUP(VLOOKUP($B1818,calc_data,L$14+1,0),2),0),0)</f>
        <v/>
      </c>
      <c r="M1818" s="141">
        <f>IF(offer_sale_type="транзит",IFERROR(ROUNDUP(VLOOKUP($B1818,calc_data,M$14+1,0),2),0),0)</f>
        <v/>
      </c>
      <c r="N1818" s="141">
        <f>IF(offer_sale_type="транзит",IFERROR(ROUNDUP(VLOOKUP($B1818,calc_data,N$14+1,0),2),0),0)</f>
        <v/>
      </c>
      <c r="O1818" s="147">
        <f>IF(offer_sale_type="транзит",IFERROR(ROUND(VLOOKUP($B1818,calc_data,O$14+1,1),2),0),0)</f>
        <v/>
      </c>
      <c r="P1818" s="141">
        <f>IF(offer_sale_type="транзит",IFERROR(ROUND(SUM(I1818:J1818,M1818:O1818)/E1818,2),0),0)</f>
        <v/>
      </c>
      <c r="Q1818" s="141">
        <f>E1818*P1818</f>
        <v/>
      </c>
      <c r="R1818" s="141">
        <f>ROUND(Q1818*IF(AND(offer_incoterms="DDP",seller_region="RU"),IF((TODAY()+offer_turnaround_time)&gt;=helpsheet!$L$17,rate_vatRU_from_26,rate_vatRu_till_25),0),2)</f>
        <v/>
      </c>
      <c r="S1818" s="177">
        <f>Q1818+IF(AND(offer_incoterms="DDP",seller_region="RU"),R1818,0)</f>
        <v/>
      </c>
      <c r="T1818" s="45" t="n"/>
      <c r="V1818" s="57">
        <f>IF(Q1818&gt;0,"показать","скрыть")</f>
        <v/>
      </c>
    </row>
    <row r="1819" ht="15.75" customHeight="1">
      <c r="B1819" s="809" t="n">
        <v>1803</v>
      </c>
      <c r="C1819" s="182">
        <f>IF(offer_sale_type="транзит",IFERROR(VLOOKUP($B1819,calc_data,C$14+1,0),0),0)</f>
        <v/>
      </c>
      <c r="D1819" s="280">
        <f>IF(offer_sale_type="транзит",IFERROR(VLOOKUP($B1819,calc_data,D$14+1,0),0),0)</f>
        <v/>
      </c>
      <c r="E1819" s="182">
        <f>IF(offer_sale_type="транзит",IFERROR(VLOOKUP($B1819,calc_data,E$14+1,0),0),0)</f>
        <v/>
      </c>
      <c r="F1819" s="182">
        <f>IF(offer_sale_type="транзит",IFERROR(VLOOKUP($B1819,calc_data,F$14+1,0),0),0)</f>
        <v/>
      </c>
      <c r="G1819" s="141">
        <f>IF(offer_sale_type="транзит",IFERROR(VLOOKUP($B1819,calc_data,G$14+1,0),0),0)</f>
        <v/>
      </c>
      <c r="H1819" s="141">
        <f>E1819*G1819</f>
        <v/>
      </c>
      <c r="I1819" s="141">
        <f>IF(offer_sale_type="транзит",IFERROR(ROUND(VLOOKUP($B1819,calc_data,I$14+1,0),2),0),0)</f>
        <v/>
      </c>
      <c r="J1819" s="141">
        <f>ROUND(IF(offer_sale_type="транзит",IFERROR(VLOOKUP($B1819,calc_data,J$14+1,0),0),0),2)</f>
        <v/>
      </c>
      <c r="K1819" s="142">
        <f>IF(offer_sale_type="транзит",IFERROR(ROUNDUP(VLOOKUP($B1819,calc_data,K$14+1,0),2),0),0)</f>
        <v/>
      </c>
      <c r="L1819" s="184">
        <f>IF(offer_sale_type="транзит",IFERROR(ROUNDUP(VLOOKUP($B1819,calc_data,L$14+1,0),2),0),0)</f>
        <v/>
      </c>
      <c r="M1819" s="141">
        <f>IF(offer_sale_type="транзит",IFERROR(ROUNDUP(VLOOKUP($B1819,calc_data,M$14+1,0),2),0),0)</f>
        <v/>
      </c>
      <c r="N1819" s="141">
        <f>IF(offer_sale_type="транзит",IFERROR(ROUNDUP(VLOOKUP($B1819,calc_data,N$14+1,0),2),0),0)</f>
        <v/>
      </c>
      <c r="O1819" s="147">
        <f>IF(offer_sale_type="транзит",IFERROR(ROUND(VLOOKUP($B1819,calc_data,O$14+1,1),2),0),0)</f>
        <v/>
      </c>
      <c r="P1819" s="141">
        <f>IF(offer_sale_type="транзит",IFERROR(ROUND(SUM(I1819:J1819,M1819:O1819)/E1819,2),0),0)</f>
        <v/>
      </c>
      <c r="Q1819" s="141">
        <f>E1819*P1819</f>
        <v/>
      </c>
      <c r="R1819" s="141">
        <f>ROUND(Q1819*IF(AND(offer_incoterms="DDP",seller_region="RU"),IF((TODAY()+offer_turnaround_time)&gt;=helpsheet!$L$17,rate_vatRU_from_26,rate_vatRu_till_25),0),2)</f>
        <v/>
      </c>
      <c r="S1819" s="177">
        <f>Q1819+IF(AND(offer_incoterms="DDP",seller_region="RU"),R1819,0)</f>
        <v/>
      </c>
      <c r="T1819" s="45" t="n"/>
      <c r="V1819" s="57">
        <f>IF(Q1819&gt;0,"показать","скрыть")</f>
        <v/>
      </c>
    </row>
    <row r="1820" ht="15.75" customHeight="1">
      <c r="B1820" s="809" t="n">
        <v>1804</v>
      </c>
      <c r="C1820" s="182">
        <f>IF(offer_sale_type="транзит",IFERROR(VLOOKUP($B1820,calc_data,C$14+1,0),0),0)</f>
        <v/>
      </c>
      <c r="D1820" s="280">
        <f>IF(offer_sale_type="транзит",IFERROR(VLOOKUP($B1820,calc_data,D$14+1,0),0),0)</f>
        <v/>
      </c>
      <c r="E1820" s="182">
        <f>IF(offer_sale_type="транзит",IFERROR(VLOOKUP($B1820,calc_data,E$14+1,0),0),0)</f>
        <v/>
      </c>
      <c r="F1820" s="182">
        <f>IF(offer_sale_type="транзит",IFERROR(VLOOKUP($B1820,calc_data,F$14+1,0),0),0)</f>
        <v/>
      </c>
      <c r="G1820" s="141">
        <f>IF(offer_sale_type="транзит",IFERROR(VLOOKUP($B1820,calc_data,G$14+1,0),0),0)</f>
        <v/>
      </c>
      <c r="H1820" s="141">
        <f>E1820*G1820</f>
        <v/>
      </c>
      <c r="I1820" s="141">
        <f>IF(offer_sale_type="транзит",IFERROR(ROUND(VLOOKUP($B1820,calc_data,I$14+1,0),2),0),0)</f>
        <v/>
      </c>
      <c r="J1820" s="141">
        <f>ROUND(IF(offer_sale_type="транзит",IFERROR(VLOOKUP($B1820,calc_data,J$14+1,0),0),0),2)</f>
        <v/>
      </c>
      <c r="K1820" s="142">
        <f>IF(offer_sale_type="транзит",IFERROR(ROUNDUP(VLOOKUP($B1820,calc_data,K$14+1,0),2),0),0)</f>
        <v/>
      </c>
      <c r="L1820" s="184">
        <f>IF(offer_sale_type="транзит",IFERROR(ROUNDUP(VLOOKUP($B1820,calc_data,L$14+1,0),2),0),0)</f>
        <v/>
      </c>
      <c r="M1820" s="141">
        <f>IF(offer_sale_type="транзит",IFERROR(ROUNDUP(VLOOKUP($B1820,calc_data,M$14+1,0),2),0),0)</f>
        <v/>
      </c>
      <c r="N1820" s="141">
        <f>IF(offer_sale_type="транзит",IFERROR(ROUNDUP(VLOOKUP($B1820,calc_data,N$14+1,0),2),0),0)</f>
        <v/>
      </c>
      <c r="O1820" s="147">
        <f>IF(offer_sale_type="транзит",IFERROR(ROUND(VLOOKUP($B1820,calc_data,O$14+1,1),2),0),0)</f>
        <v/>
      </c>
      <c r="P1820" s="141">
        <f>IF(offer_sale_type="транзит",IFERROR(ROUND(SUM(I1820:J1820,M1820:O1820)/E1820,2),0),0)</f>
        <v/>
      </c>
      <c r="Q1820" s="141">
        <f>E1820*P1820</f>
        <v/>
      </c>
      <c r="R1820" s="141">
        <f>ROUND(Q1820*IF(AND(offer_incoterms="DDP",seller_region="RU"),IF((TODAY()+offer_turnaround_time)&gt;=helpsheet!$L$17,rate_vatRU_from_26,rate_vatRu_till_25),0),2)</f>
        <v/>
      </c>
      <c r="S1820" s="177">
        <f>Q1820+IF(AND(offer_incoterms="DDP",seller_region="RU"),R1820,0)</f>
        <v/>
      </c>
      <c r="T1820" s="45" t="n"/>
      <c r="V1820" s="57">
        <f>IF(Q1820&gt;0,"показать","скрыть")</f>
        <v/>
      </c>
    </row>
    <row r="1821" ht="15.75" customHeight="1">
      <c r="B1821" s="809" t="n">
        <v>1805</v>
      </c>
      <c r="C1821" s="182">
        <f>IF(offer_sale_type="транзит",IFERROR(VLOOKUP($B1821,calc_data,C$14+1,0),0),0)</f>
        <v/>
      </c>
      <c r="D1821" s="280">
        <f>IF(offer_sale_type="транзит",IFERROR(VLOOKUP($B1821,calc_data,D$14+1,0),0),0)</f>
        <v/>
      </c>
      <c r="E1821" s="182">
        <f>IF(offer_sale_type="транзит",IFERROR(VLOOKUP($B1821,calc_data,E$14+1,0),0),0)</f>
        <v/>
      </c>
      <c r="F1821" s="182">
        <f>IF(offer_sale_type="транзит",IFERROR(VLOOKUP($B1821,calc_data,F$14+1,0),0),0)</f>
        <v/>
      </c>
      <c r="G1821" s="141">
        <f>IF(offer_sale_type="транзит",IFERROR(VLOOKUP($B1821,calc_data,G$14+1,0),0),0)</f>
        <v/>
      </c>
      <c r="H1821" s="141">
        <f>E1821*G1821</f>
        <v/>
      </c>
      <c r="I1821" s="141">
        <f>IF(offer_sale_type="транзит",IFERROR(ROUND(VLOOKUP($B1821,calc_data,I$14+1,0),2),0),0)</f>
        <v/>
      </c>
      <c r="J1821" s="141">
        <f>ROUND(IF(offer_sale_type="транзит",IFERROR(VLOOKUP($B1821,calc_data,J$14+1,0),0),0),2)</f>
        <v/>
      </c>
      <c r="K1821" s="142">
        <f>IF(offer_sale_type="транзит",IFERROR(ROUNDUP(VLOOKUP($B1821,calc_data,K$14+1,0),2),0),0)</f>
        <v/>
      </c>
      <c r="L1821" s="184">
        <f>IF(offer_sale_type="транзит",IFERROR(ROUNDUP(VLOOKUP($B1821,calc_data,L$14+1,0),2),0),0)</f>
        <v/>
      </c>
      <c r="M1821" s="141">
        <f>IF(offer_sale_type="транзит",IFERROR(ROUNDUP(VLOOKUP($B1821,calc_data,M$14+1,0),2),0),0)</f>
        <v/>
      </c>
      <c r="N1821" s="141">
        <f>IF(offer_sale_type="транзит",IFERROR(ROUNDUP(VLOOKUP($B1821,calc_data,N$14+1,0),2),0),0)</f>
        <v/>
      </c>
      <c r="O1821" s="147">
        <f>IF(offer_sale_type="транзит",IFERROR(ROUND(VLOOKUP($B1821,calc_data,O$14+1,1),2),0),0)</f>
        <v/>
      </c>
      <c r="P1821" s="141">
        <f>IF(offer_sale_type="транзит",IFERROR(ROUND(SUM(I1821:J1821,M1821:O1821)/E1821,2),0),0)</f>
        <v/>
      </c>
      <c r="Q1821" s="141">
        <f>E1821*P1821</f>
        <v/>
      </c>
      <c r="R1821" s="141">
        <f>ROUND(Q1821*IF(AND(offer_incoterms="DDP",seller_region="RU"),IF((TODAY()+offer_turnaround_time)&gt;=helpsheet!$L$17,rate_vatRU_from_26,rate_vatRu_till_25),0),2)</f>
        <v/>
      </c>
      <c r="S1821" s="177">
        <f>Q1821+IF(AND(offer_incoterms="DDP",seller_region="RU"),R1821,0)</f>
        <v/>
      </c>
      <c r="T1821" s="45" t="n"/>
      <c r="V1821" s="57">
        <f>IF(Q1821&gt;0,"показать","скрыть")</f>
        <v/>
      </c>
    </row>
    <row r="1822" ht="15.75" customHeight="1">
      <c r="B1822" s="809" t="n">
        <v>1806</v>
      </c>
      <c r="C1822" s="182">
        <f>IF(offer_sale_type="транзит",IFERROR(VLOOKUP($B1822,calc_data,C$14+1,0),0),0)</f>
        <v/>
      </c>
      <c r="D1822" s="280">
        <f>IF(offer_sale_type="транзит",IFERROR(VLOOKUP($B1822,calc_data,D$14+1,0),0),0)</f>
        <v/>
      </c>
      <c r="E1822" s="182">
        <f>IF(offer_sale_type="транзит",IFERROR(VLOOKUP($B1822,calc_data,E$14+1,0),0),0)</f>
        <v/>
      </c>
      <c r="F1822" s="182">
        <f>IF(offer_sale_type="транзит",IFERROR(VLOOKUP($B1822,calc_data,F$14+1,0),0),0)</f>
        <v/>
      </c>
      <c r="G1822" s="141">
        <f>IF(offer_sale_type="транзит",IFERROR(VLOOKUP($B1822,calc_data,G$14+1,0),0),0)</f>
        <v/>
      </c>
      <c r="H1822" s="141">
        <f>E1822*G1822</f>
        <v/>
      </c>
      <c r="I1822" s="141">
        <f>IF(offer_sale_type="транзит",IFERROR(ROUND(VLOOKUP($B1822,calc_data,I$14+1,0),2),0),0)</f>
        <v/>
      </c>
      <c r="J1822" s="141">
        <f>ROUND(IF(offer_sale_type="транзит",IFERROR(VLOOKUP($B1822,calc_data,J$14+1,0),0),0),2)</f>
        <v/>
      </c>
      <c r="K1822" s="142">
        <f>IF(offer_sale_type="транзит",IFERROR(ROUNDUP(VLOOKUP($B1822,calc_data,K$14+1,0),2),0),0)</f>
        <v/>
      </c>
      <c r="L1822" s="184">
        <f>IF(offer_sale_type="транзит",IFERROR(ROUNDUP(VLOOKUP($B1822,calc_data,L$14+1,0),2),0),0)</f>
        <v/>
      </c>
      <c r="M1822" s="141">
        <f>IF(offer_sale_type="транзит",IFERROR(ROUNDUP(VLOOKUP($B1822,calc_data,M$14+1,0),2),0),0)</f>
        <v/>
      </c>
      <c r="N1822" s="141">
        <f>IF(offer_sale_type="транзит",IFERROR(ROUNDUP(VLOOKUP($B1822,calc_data,N$14+1,0),2),0),0)</f>
        <v/>
      </c>
      <c r="O1822" s="147">
        <f>IF(offer_sale_type="транзит",IFERROR(ROUND(VLOOKUP($B1822,calc_data,O$14+1,1),2),0),0)</f>
        <v/>
      </c>
      <c r="P1822" s="141">
        <f>IF(offer_sale_type="транзит",IFERROR(ROUND(SUM(I1822:J1822,M1822:O1822)/E1822,2),0),0)</f>
        <v/>
      </c>
      <c r="Q1822" s="141">
        <f>E1822*P1822</f>
        <v/>
      </c>
      <c r="R1822" s="141">
        <f>ROUND(Q1822*IF(AND(offer_incoterms="DDP",seller_region="RU"),IF((TODAY()+offer_turnaround_time)&gt;=helpsheet!$L$17,rate_vatRU_from_26,rate_vatRu_till_25),0),2)</f>
        <v/>
      </c>
      <c r="S1822" s="177">
        <f>Q1822+IF(AND(offer_incoterms="DDP",seller_region="RU"),R1822,0)</f>
        <v/>
      </c>
      <c r="T1822" s="45" t="n"/>
      <c r="V1822" s="57">
        <f>IF(Q1822&gt;0,"показать","скрыть")</f>
        <v/>
      </c>
    </row>
    <row r="1823" ht="15.75" customHeight="1">
      <c r="B1823" s="809" t="n">
        <v>1807</v>
      </c>
      <c r="C1823" s="182">
        <f>IF(offer_sale_type="транзит",IFERROR(VLOOKUP($B1823,calc_data,C$14+1,0),0),0)</f>
        <v/>
      </c>
      <c r="D1823" s="280">
        <f>IF(offer_sale_type="транзит",IFERROR(VLOOKUP($B1823,calc_data,D$14+1,0),0),0)</f>
        <v/>
      </c>
      <c r="E1823" s="182">
        <f>IF(offer_sale_type="транзит",IFERROR(VLOOKUP($B1823,calc_data,E$14+1,0),0),0)</f>
        <v/>
      </c>
      <c r="F1823" s="182">
        <f>IF(offer_sale_type="транзит",IFERROR(VLOOKUP($B1823,calc_data,F$14+1,0),0),0)</f>
        <v/>
      </c>
      <c r="G1823" s="141">
        <f>IF(offer_sale_type="транзит",IFERROR(VLOOKUP($B1823,calc_data,G$14+1,0),0),0)</f>
        <v/>
      </c>
      <c r="H1823" s="141">
        <f>E1823*G1823</f>
        <v/>
      </c>
      <c r="I1823" s="141">
        <f>IF(offer_sale_type="транзит",IFERROR(ROUND(VLOOKUP($B1823,calc_data,I$14+1,0),2),0),0)</f>
        <v/>
      </c>
      <c r="J1823" s="141">
        <f>ROUND(IF(offer_sale_type="транзит",IFERROR(VLOOKUP($B1823,calc_data,J$14+1,0),0),0),2)</f>
        <v/>
      </c>
      <c r="K1823" s="142">
        <f>IF(offer_sale_type="транзит",IFERROR(ROUNDUP(VLOOKUP($B1823,calc_data,K$14+1,0),2),0),0)</f>
        <v/>
      </c>
      <c r="L1823" s="184">
        <f>IF(offer_sale_type="транзит",IFERROR(ROUNDUP(VLOOKUP($B1823,calc_data,L$14+1,0),2),0),0)</f>
        <v/>
      </c>
      <c r="M1823" s="141">
        <f>IF(offer_sale_type="транзит",IFERROR(ROUNDUP(VLOOKUP($B1823,calc_data,M$14+1,0),2),0),0)</f>
        <v/>
      </c>
      <c r="N1823" s="141">
        <f>IF(offer_sale_type="транзит",IFERROR(ROUNDUP(VLOOKUP($B1823,calc_data,N$14+1,0),2),0),0)</f>
        <v/>
      </c>
      <c r="O1823" s="147">
        <f>IF(offer_sale_type="транзит",IFERROR(ROUND(VLOOKUP($B1823,calc_data,O$14+1,1),2),0),0)</f>
        <v/>
      </c>
      <c r="P1823" s="141">
        <f>IF(offer_sale_type="транзит",IFERROR(ROUND(SUM(I1823:J1823,M1823:O1823)/E1823,2),0),0)</f>
        <v/>
      </c>
      <c r="Q1823" s="141">
        <f>E1823*P1823</f>
        <v/>
      </c>
      <c r="R1823" s="141">
        <f>ROUND(Q1823*IF(AND(offer_incoterms="DDP",seller_region="RU"),IF((TODAY()+offer_turnaround_time)&gt;=helpsheet!$L$17,rate_vatRU_from_26,rate_vatRu_till_25),0),2)</f>
        <v/>
      </c>
      <c r="S1823" s="177">
        <f>Q1823+IF(AND(offer_incoterms="DDP",seller_region="RU"),R1823,0)</f>
        <v/>
      </c>
      <c r="T1823" s="45" t="n"/>
      <c r="V1823" s="57">
        <f>IF(Q1823&gt;0,"показать","скрыть")</f>
        <v/>
      </c>
    </row>
    <row r="1824" ht="15.75" customHeight="1">
      <c r="B1824" s="809" t="n">
        <v>1808</v>
      </c>
      <c r="C1824" s="182">
        <f>IF(offer_sale_type="транзит",IFERROR(VLOOKUP($B1824,calc_data,C$14+1,0),0),0)</f>
        <v/>
      </c>
      <c r="D1824" s="280">
        <f>IF(offer_sale_type="транзит",IFERROR(VLOOKUP($B1824,calc_data,D$14+1,0),0),0)</f>
        <v/>
      </c>
      <c r="E1824" s="182">
        <f>IF(offer_sale_type="транзит",IFERROR(VLOOKUP($B1824,calc_data,E$14+1,0),0),0)</f>
        <v/>
      </c>
      <c r="F1824" s="182">
        <f>IF(offer_sale_type="транзит",IFERROR(VLOOKUP($B1824,calc_data,F$14+1,0),0),0)</f>
        <v/>
      </c>
      <c r="G1824" s="141">
        <f>IF(offer_sale_type="транзит",IFERROR(VLOOKUP($B1824,calc_data,G$14+1,0),0),0)</f>
        <v/>
      </c>
      <c r="H1824" s="141">
        <f>E1824*G1824</f>
        <v/>
      </c>
      <c r="I1824" s="141">
        <f>IF(offer_sale_type="транзит",IFERROR(ROUND(VLOOKUP($B1824,calc_data,I$14+1,0),2),0),0)</f>
        <v/>
      </c>
      <c r="J1824" s="141">
        <f>ROUND(IF(offer_sale_type="транзит",IFERROR(VLOOKUP($B1824,calc_data,J$14+1,0),0),0),2)</f>
        <v/>
      </c>
      <c r="K1824" s="142">
        <f>IF(offer_sale_type="транзит",IFERROR(ROUNDUP(VLOOKUP($B1824,calc_data,K$14+1,0),2),0),0)</f>
        <v/>
      </c>
      <c r="L1824" s="184">
        <f>IF(offer_sale_type="транзит",IFERROR(ROUNDUP(VLOOKUP($B1824,calc_data,L$14+1,0),2),0),0)</f>
        <v/>
      </c>
      <c r="M1824" s="141">
        <f>IF(offer_sale_type="транзит",IFERROR(ROUNDUP(VLOOKUP($B1824,calc_data,M$14+1,0),2),0),0)</f>
        <v/>
      </c>
      <c r="N1824" s="141">
        <f>IF(offer_sale_type="транзит",IFERROR(ROUNDUP(VLOOKUP($B1824,calc_data,N$14+1,0),2),0),0)</f>
        <v/>
      </c>
      <c r="O1824" s="147">
        <f>IF(offer_sale_type="транзит",IFERROR(ROUND(VLOOKUP($B1824,calc_data,O$14+1,1),2),0),0)</f>
        <v/>
      </c>
      <c r="P1824" s="141">
        <f>IF(offer_sale_type="транзит",IFERROR(ROUND(SUM(I1824:J1824,M1824:O1824)/E1824,2),0),0)</f>
        <v/>
      </c>
      <c r="Q1824" s="141">
        <f>E1824*P1824</f>
        <v/>
      </c>
      <c r="R1824" s="141">
        <f>ROUND(Q1824*IF(AND(offer_incoterms="DDP",seller_region="RU"),IF((TODAY()+offer_turnaround_time)&gt;=helpsheet!$L$17,rate_vatRU_from_26,rate_vatRu_till_25),0),2)</f>
        <v/>
      </c>
      <c r="S1824" s="177">
        <f>Q1824+IF(AND(offer_incoterms="DDP",seller_region="RU"),R1824,0)</f>
        <v/>
      </c>
      <c r="T1824" s="45" t="n"/>
      <c r="V1824" s="57">
        <f>IF(Q1824&gt;0,"показать","скрыть")</f>
        <v/>
      </c>
    </row>
    <row r="1825" ht="15.75" customHeight="1">
      <c r="B1825" s="809" t="n">
        <v>1809</v>
      </c>
      <c r="C1825" s="182">
        <f>IF(offer_sale_type="транзит",IFERROR(VLOOKUP($B1825,calc_data,C$14+1,0),0),0)</f>
        <v/>
      </c>
      <c r="D1825" s="280">
        <f>IF(offer_sale_type="транзит",IFERROR(VLOOKUP($B1825,calc_data,D$14+1,0),0),0)</f>
        <v/>
      </c>
      <c r="E1825" s="182">
        <f>IF(offer_sale_type="транзит",IFERROR(VLOOKUP($B1825,calc_data,E$14+1,0),0),0)</f>
        <v/>
      </c>
      <c r="F1825" s="182">
        <f>IF(offer_sale_type="транзит",IFERROR(VLOOKUP($B1825,calc_data,F$14+1,0),0),0)</f>
        <v/>
      </c>
      <c r="G1825" s="141">
        <f>IF(offer_sale_type="транзит",IFERROR(VLOOKUP($B1825,calc_data,G$14+1,0),0),0)</f>
        <v/>
      </c>
      <c r="H1825" s="141">
        <f>E1825*G1825</f>
        <v/>
      </c>
      <c r="I1825" s="141">
        <f>IF(offer_sale_type="транзит",IFERROR(ROUND(VLOOKUP($B1825,calc_data,I$14+1,0),2),0),0)</f>
        <v/>
      </c>
      <c r="J1825" s="141">
        <f>ROUND(IF(offer_sale_type="транзит",IFERROR(VLOOKUP($B1825,calc_data,J$14+1,0),0),0),2)</f>
        <v/>
      </c>
      <c r="K1825" s="142">
        <f>IF(offer_sale_type="транзит",IFERROR(ROUNDUP(VLOOKUP($B1825,calc_data,K$14+1,0),2),0),0)</f>
        <v/>
      </c>
      <c r="L1825" s="184">
        <f>IF(offer_sale_type="транзит",IFERROR(ROUNDUP(VLOOKUP($B1825,calc_data,L$14+1,0),2),0),0)</f>
        <v/>
      </c>
      <c r="M1825" s="141">
        <f>IF(offer_sale_type="транзит",IFERROR(ROUNDUP(VLOOKUP($B1825,calc_data,M$14+1,0),2),0),0)</f>
        <v/>
      </c>
      <c r="N1825" s="141">
        <f>IF(offer_sale_type="транзит",IFERROR(ROUNDUP(VLOOKUP($B1825,calc_data,N$14+1,0),2),0),0)</f>
        <v/>
      </c>
      <c r="O1825" s="147">
        <f>IF(offer_sale_type="транзит",IFERROR(ROUND(VLOOKUP($B1825,calc_data,O$14+1,1),2),0),0)</f>
        <v/>
      </c>
      <c r="P1825" s="141">
        <f>IF(offer_sale_type="транзит",IFERROR(ROUND(SUM(I1825:J1825,M1825:O1825)/E1825,2),0),0)</f>
        <v/>
      </c>
      <c r="Q1825" s="141">
        <f>E1825*P1825</f>
        <v/>
      </c>
      <c r="R1825" s="141">
        <f>ROUND(Q1825*IF(AND(offer_incoterms="DDP",seller_region="RU"),IF((TODAY()+offer_turnaround_time)&gt;=helpsheet!$L$17,rate_vatRU_from_26,rate_vatRu_till_25),0),2)</f>
        <v/>
      </c>
      <c r="S1825" s="177">
        <f>Q1825+IF(AND(offer_incoterms="DDP",seller_region="RU"),R1825,0)</f>
        <v/>
      </c>
      <c r="T1825" s="45" t="n"/>
      <c r="V1825" s="57">
        <f>IF(Q1825&gt;0,"показать","скрыть")</f>
        <v/>
      </c>
    </row>
    <row r="1826" ht="15.75" customHeight="1">
      <c r="B1826" s="809" t="n">
        <v>1810</v>
      </c>
      <c r="C1826" s="182">
        <f>IF(offer_sale_type="транзит",IFERROR(VLOOKUP($B1826,calc_data,C$14+1,0),0),0)</f>
        <v/>
      </c>
      <c r="D1826" s="280">
        <f>IF(offer_sale_type="транзит",IFERROR(VLOOKUP($B1826,calc_data,D$14+1,0),0),0)</f>
        <v/>
      </c>
      <c r="E1826" s="182">
        <f>IF(offer_sale_type="транзит",IFERROR(VLOOKUP($B1826,calc_data,E$14+1,0),0),0)</f>
        <v/>
      </c>
      <c r="F1826" s="182">
        <f>IF(offer_sale_type="транзит",IFERROR(VLOOKUP($B1826,calc_data,F$14+1,0),0),0)</f>
        <v/>
      </c>
      <c r="G1826" s="141">
        <f>IF(offer_sale_type="транзит",IFERROR(VLOOKUP($B1826,calc_data,G$14+1,0),0),0)</f>
        <v/>
      </c>
      <c r="H1826" s="141">
        <f>E1826*G1826</f>
        <v/>
      </c>
      <c r="I1826" s="141">
        <f>IF(offer_sale_type="транзит",IFERROR(ROUND(VLOOKUP($B1826,calc_data,I$14+1,0),2),0),0)</f>
        <v/>
      </c>
      <c r="J1826" s="141">
        <f>ROUND(IF(offer_sale_type="транзит",IFERROR(VLOOKUP($B1826,calc_data,J$14+1,0),0),0),2)</f>
        <v/>
      </c>
      <c r="K1826" s="142">
        <f>IF(offer_sale_type="транзит",IFERROR(ROUNDUP(VLOOKUP($B1826,calc_data,K$14+1,0),2),0),0)</f>
        <v/>
      </c>
      <c r="L1826" s="184">
        <f>IF(offer_sale_type="транзит",IFERROR(ROUNDUP(VLOOKUP($B1826,calc_data,L$14+1,0),2),0),0)</f>
        <v/>
      </c>
      <c r="M1826" s="141">
        <f>IF(offer_sale_type="транзит",IFERROR(ROUNDUP(VLOOKUP($B1826,calc_data,M$14+1,0),2),0),0)</f>
        <v/>
      </c>
      <c r="N1826" s="141">
        <f>IF(offer_sale_type="транзит",IFERROR(ROUNDUP(VLOOKUP($B1826,calc_data,N$14+1,0),2),0),0)</f>
        <v/>
      </c>
      <c r="O1826" s="147">
        <f>IF(offer_sale_type="транзит",IFERROR(ROUND(VLOOKUP($B1826,calc_data,O$14+1,1),2),0),0)</f>
        <v/>
      </c>
      <c r="P1826" s="141">
        <f>IF(offer_sale_type="транзит",IFERROR(ROUND(SUM(I1826:J1826,M1826:O1826)/E1826,2),0),0)</f>
        <v/>
      </c>
      <c r="Q1826" s="141">
        <f>E1826*P1826</f>
        <v/>
      </c>
      <c r="R1826" s="141">
        <f>ROUND(Q1826*IF(AND(offer_incoterms="DDP",seller_region="RU"),IF((TODAY()+offer_turnaround_time)&gt;=helpsheet!$L$17,rate_vatRU_from_26,rate_vatRu_till_25),0),2)</f>
        <v/>
      </c>
      <c r="S1826" s="177">
        <f>Q1826+IF(AND(offer_incoterms="DDP",seller_region="RU"),R1826,0)</f>
        <v/>
      </c>
      <c r="T1826" s="45" t="n"/>
      <c r="V1826" s="57">
        <f>IF(Q1826&gt;0,"показать","скрыть")</f>
        <v/>
      </c>
    </row>
    <row r="1827" ht="15.75" customHeight="1">
      <c r="B1827" s="809" t="n">
        <v>1811</v>
      </c>
      <c r="C1827" s="182">
        <f>IF(offer_sale_type="транзит",IFERROR(VLOOKUP($B1827,calc_data,C$14+1,0),0),0)</f>
        <v/>
      </c>
      <c r="D1827" s="280">
        <f>IF(offer_sale_type="транзит",IFERROR(VLOOKUP($B1827,calc_data,D$14+1,0),0),0)</f>
        <v/>
      </c>
      <c r="E1827" s="182">
        <f>IF(offer_sale_type="транзит",IFERROR(VLOOKUP($B1827,calc_data,E$14+1,0),0),0)</f>
        <v/>
      </c>
      <c r="F1827" s="182">
        <f>IF(offer_sale_type="транзит",IFERROR(VLOOKUP($B1827,calc_data,F$14+1,0),0),0)</f>
        <v/>
      </c>
      <c r="G1827" s="141">
        <f>IF(offer_sale_type="транзит",IFERROR(VLOOKUP($B1827,calc_data,G$14+1,0),0),0)</f>
        <v/>
      </c>
      <c r="H1827" s="141">
        <f>E1827*G1827</f>
        <v/>
      </c>
      <c r="I1827" s="141">
        <f>IF(offer_sale_type="транзит",IFERROR(ROUND(VLOOKUP($B1827,calc_data,I$14+1,0),2),0),0)</f>
        <v/>
      </c>
      <c r="J1827" s="141">
        <f>ROUND(IF(offer_sale_type="транзит",IFERROR(VLOOKUP($B1827,calc_data,J$14+1,0),0),0),2)</f>
        <v/>
      </c>
      <c r="K1827" s="142">
        <f>IF(offer_sale_type="транзит",IFERROR(ROUNDUP(VLOOKUP($B1827,calc_data,K$14+1,0),2),0),0)</f>
        <v/>
      </c>
      <c r="L1827" s="184">
        <f>IF(offer_sale_type="транзит",IFERROR(ROUNDUP(VLOOKUP($B1827,calc_data,L$14+1,0),2),0),0)</f>
        <v/>
      </c>
      <c r="M1827" s="141">
        <f>IF(offer_sale_type="транзит",IFERROR(ROUNDUP(VLOOKUP($B1827,calc_data,M$14+1,0),2),0),0)</f>
        <v/>
      </c>
      <c r="N1827" s="141">
        <f>IF(offer_sale_type="транзит",IFERROR(ROUNDUP(VLOOKUP($B1827,calc_data,N$14+1,0),2),0),0)</f>
        <v/>
      </c>
      <c r="O1827" s="147">
        <f>IF(offer_sale_type="транзит",IFERROR(ROUND(VLOOKUP($B1827,calc_data,O$14+1,1),2),0),0)</f>
        <v/>
      </c>
      <c r="P1827" s="141">
        <f>IF(offer_sale_type="транзит",IFERROR(ROUND(SUM(I1827:J1827,M1827:O1827)/E1827,2),0),0)</f>
        <v/>
      </c>
      <c r="Q1827" s="141">
        <f>E1827*P1827</f>
        <v/>
      </c>
      <c r="R1827" s="141">
        <f>ROUND(Q1827*IF(AND(offer_incoterms="DDP",seller_region="RU"),IF((TODAY()+offer_turnaround_time)&gt;=helpsheet!$L$17,rate_vatRU_from_26,rate_vatRu_till_25),0),2)</f>
        <v/>
      </c>
      <c r="S1827" s="177">
        <f>Q1827+IF(AND(offer_incoterms="DDP",seller_region="RU"),R1827,0)</f>
        <v/>
      </c>
      <c r="T1827" s="45" t="n"/>
      <c r="V1827" s="57">
        <f>IF(Q1827&gt;0,"показать","скрыть")</f>
        <v/>
      </c>
    </row>
    <row r="1828" ht="15.75" customHeight="1">
      <c r="B1828" s="809" t="n">
        <v>1812</v>
      </c>
      <c r="C1828" s="182">
        <f>IF(offer_sale_type="транзит",IFERROR(VLOOKUP($B1828,calc_data,C$14+1,0),0),0)</f>
        <v/>
      </c>
      <c r="D1828" s="280">
        <f>IF(offer_sale_type="транзит",IFERROR(VLOOKUP($B1828,calc_data,D$14+1,0),0),0)</f>
        <v/>
      </c>
      <c r="E1828" s="182">
        <f>IF(offer_sale_type="транзит",IFERROR(VLOOKUP($B1828,calc_data,E$14+1,0),0),0)</f>
        <v/>
      </c>
      <c r="F1828" s="182">
        <f>IF(offer_sale_type="транзит",IFERROR(VLOOKUP($B1828,calc_data,F$14+1,0),0),0)</f>
        <v/>
      </c>
      <c r="G1828" s="141">
        <f>IF(offer_sale_type="транзит",IFERROR(VLOOKUP($B1828,calc_data,G$14+1,0),0),0)</f>
        <v/>
      </c>
      <c r="H1828" s="141">
        <f>E1828*G1828</f>
        <v/>
      </c>
      <c r="I1828" s="141">
        <f>IF(offer_sale_type="транзит",IFERROR(ROUND(VLOOKUP($B1828,calc_data,I$14+1,0),2),0),0)</f>
        <v/>
      </c>
      <c r="J1828" s="141">
        <f>ROUND(IF(offer_sale_type="транзит",IFERROR(VLOOKUP($B1828,calc_data,J$14+1,0),0),0),2)</f>
        <v/>
      </c>
      <c r="K1828" s="142">
        <f>IF(offer_sale_type="транзит",IFERROR(ROUNDUP(VLOOKUP($B1828,calc_data,K$14+1,0),2),0),0)</f>
        <v/>
      </c>
      <c r="L1828" s="184">
        <f>IF(offer_sale_type="транзит",IFERROR(ROUNDUP(VLOOKUP($B1828,calc_data,L$14+1,0),2),0),0)</f>
        <v/>
      </c>
      <c r="M1828" s="141">
        <f>IF(offer_sale_type="транзит",IFERROR(ROUNDUP(VLOOKUP($B1828,calc_data,M$14+1,0),2),0),0)</f>
        <v/>
      </c>
      <c r="N1828" s="141">
        <f>IF(offer_sale_type="транзит",IFERROR(ROUNDUP(VLOOKUP($B1828,calc_data,N$14+1,0),2),0),0)</f>
        <v/>
      </c>
      <c r="O1828" s="147">
        <f>IF(offer_sale_type="транзит",IFERROR(ROUND(VLOOKUP($B1828,calc_data,O$14+1,1),2),0),0)</f>
        <v/>
      </c>
      <c r="P1828" s="141">
        <f>IF(offer_sale_type="транзит",IFERROR(ROUND(SUM(I1828:J1828,M1828:O1828)/E1828,2),0),0)</f>
        <v/>
      </c>
      <c r="Q1828" s="141">
        <f>E1828*P1828</f>
        <v/>
      </c>
      <c r="R1828" s="141">
        <f>ROUND(Q1828*IF(AND(offer_incoterms="DDP",seller_region="RU"),IF((TODAY()+offer_turnaround_time)&gt;=helpsheet!$L$17,rate_vatRU_from_26,rate_vatRu_till_25),0),2)</f>
        <v/>
      </c>
      <c r="S1828" s="177">
        <f>Q1828+IF(AND(offer_incoterms="DDP",seller_region="RU"),R1828,0)</f>
        <v/>
      </c>
      <c r="T1828" s="45" t="n"/>
      <c r="V1828" s="57">
        <f>IF(Q1828&gt;0,"показать","скрыть")</f>
        <v/>
      </c>
    </row>
    <row r="1829" ht="15.75" customHeight="1">
      <c r="B1829" s="809" t="n">
        <v>1813</v>
      </c>
      <c r="C1829" s="182">
        <f>IF(offer_sale_type="транзит",IFERROR(VLOOKUP($B1829,calc_data,C$14+1,0),0),0)</f>
        <v/>
      </c>
      <c r="D1829" s="280">
        <f>IF(offer_sale_type="транзит",IFERROR(VLOOKUP($B1829,calc_data,D$14+1,0),0),0)</f>
        <v/>
      </c>
      <c r="E1829" s="182">
        <f>IF(offer_sale_type="транзит",IFERROR(VLOOKUP($B1829,calc_data,E$14+1,0),0),0)</f>
        <v/>
      </c>
      <c r="F1829" s="182">
        <f>IF(offer_sale_type="транзит",IFERROR(VLOOKUP($B1829,calc_data,F$14+1,0),0),0)</f>
        <v/>
      </c>
      <c r="G1829" s="141">
        <f>IF(offer_sale_type="транзит",IFERROR(VLOOKUP($B1829,calc_data,G$14+1,0),0),0)</f>
        <v/>
      </c>
      <c r="H1829" s="141">
        <f>E1829*G1829</f>
        <v/>
      </c>
      <c r="I1829" s="141">
        <f>IF(offer_sale_type="транзит",IFERROR(ROUND(VLOOKUP($B1829,calc_data,I$14+1,0),2),0),0)</f>
        <v/>
      </c>
      <c r="J1829" s="141">
        <f>ROUND(IF(offer_sale_type="транзит",IFERROR(VLOOKUP($B1829,calc_data,J$14+1,0),0),0),2)</f>
        <v/>
      </c>
      <c r="K1829" s="142">
        <f>IF(offer_sale_type="транзит",IFERROR(ROUNDUP(VLOOKUP($B1829,calc_data,K$14+1,0),2),0),0)</f>
        <v/>
      </c>
      <c r="L1829" s="184">
        <f>IF(offer_sale_type="транзит",IFERROR(ROUNDUP(VLOOKUP($B1829,calc_data,L$14+1,0),2),0),0)</f>
        <v/>
      </c>
      <c r="M1829" s="141">
        <f>IF(offer_sale_type="транзит",IFERROR(ROUNDUP(VLOOKUP($B1829,calc_data,M$14+1,0),2),0),0)</f>
        <v/>
      </c>
      <c r="N1829" s="141">
        <f>IF(offer_sale_type="транзит",IFERROR(ROUNDUP(VLOOKUP($B1829,calc_data,N$14+1,0),2),0),0)</f>
        <v/>
      </c>
      <c r="O1829" s="147">
        <f>IF(offer_sale_type="транзит",IFERROR(ROUND(VLOOKUP($B1829,calc_data,O$14+1,1),2),0),0)</f>
        <v/>
      </c>
      <c r="P1829" s="141">
        <f>IF(offer_sale_type="транзит",IFERROR(ROUND(SUM(I1829:J1829,M1829:O1829)/E1829,2),0),0)</f>
        <v/>
      </c>
      <c r="Q1829" s="141">
        <f>E1829*P1829</f>
        <v/>
      </c>
      <c r="R1829" s="141">
        <f>ROUND(Q1829*IF(AND(offer_incoterms="DDP",seller_region="RU"),IF((TODAY()+offer_turnaround_time)&gt;=helpsheet!$L$17,rate_vatRU_from_26,rate_vatRu_till_25),0),2)</f>
        <v/>
      </c>
      <c r="S1829" s="177">
        <f>Q1829+IF(AND(offer_incoterms="DDP",seller_region="RU"),R1829,0)</f>
        <v/>
      </c>
      <c r="T1829" s="45" t="n"/>
      <c r="V1829" s="57">
        <f>IF(Q1829&gt;0,"показать","скрыть")</f>
        <v/>
      </c>
    </row>
    <row r="1830" ht="15.75" customHeight="1">
      <c r="B1830" s="809" t="n">
        <v>1814</v>
      </c>
      <c r="C1830" s="182">
        <f>IF(offer_sale_type="транзит",IFERROR(VLOOKUP($B1830,calc_data,C$14+1,0),0),0)</f>
        <v/>
      </c>
      <c r="D1830" s="280">
        <f>IF(offer_sale_type="транзит",IFERROR(VLOOKUP($B1830,calc_data,D$14+1,0),0),0)</f>
        <v/>
      </c>
      <c r="E1830" s="182">
        <f>IF(offer_sale_type="транзит",IFERROR(VLOOKUP($B1830,calc_data,E$14+1,0),0),0)</f>
        <v/>
      </c>
      <c r="F1830" s="182">
        <f>IF(offer_sale_type="транзит",IFERROR(VLOOKUP($B1830,calc_data,F$14+1,0),0),0)</f>
        <v/>
      </c>
      <c r="G1830" s="141">
        <f>IF(offer_sale_type="транзит",IFERROR(VLOOKUP($B1830,calc_data,G$14+1,0),0),0)</f>
        <v/>
      </c>
      <c r="H1830" s="141">
        <f>E1830*G1830</f>
        <v/>
      </c>
      <c r="I1830" s="141">
        <f>IF(offer_sale_type="транзит",IFERROR(ROUND(VLOOKUP($B1830,calc_data,I$14+1,0),2),0),0)</f>
        <v/>
      </c>
      <c r="J1830" s="141">
        <f>ROUND(IF(offer_sale_type="транзит",IFERROR(VLOOKUP($B1830,calc_data,J$14+1,0),0),0),2)</f>
        <v/>
      </c>
      <c r="K1830" s="142">
        <f>IF(offer_sale_type="транзит",IFERROR(ROUNDUP(VLOOKUP($B1830,calc_data,K$14+1,0),2),0),0)</f>
        <v/>
      </c>
      <c r="L1830" s="184">
        <f>IF(offer_sale_type="транзит",IFERROR(ROUNDUP(VLOOKUP($B1830,calc_data,L$14+1,0),2),0),0)</f>
        <v/>
      </c>
      <c r="M1830" s="141">
        <f>IF(offer_sale_type="транзит",IFERROR(ROUNDUP(VLOOKUP($B1830,calc_data,M$14+1,0),2),0),0)</f>
        <v/>
      </c>
      <c r="N1830" s="141">
        <f>IF(offer_sale_type="транзит",IFERROR(ROUNDUP(VLOOKUP($B1830,calc_data,N$14+1,0),2),0),0)</f>
        <v/>
      </c>
      <c r="O1830" s="147">
        <f>IF(offer_sale_type="транзит",IFERROR(ROUND(VLOOKUP($B1830,calc_data,O$14+1,1),2),0),0)</f>
        <v/>
      </c>
      <c r="P1830" s="141">
        <f>IF(offer_sale_type="транзит",IFERROR(ROUND(SUM(I1830:J1830,M1830:O1830)/E1830,2),0),0)</f>
        <v/>
      </c>
      <c r="Q1830" s="141">
        <f>E1830*P1830</f>
        <v/>
      </c>
      <c r="R1830" s="141">
        <f>ROUND(Q1830*IF(AND(offer_incoterms="DDP",seller_region="RU"),IF((TODAY()+offer_turnaround_time)&gt;=helpsheet!$L$17,rate_vatRU_from_26,rate_vatRu_till_25),0),2)</f>
        <v/>
      </c>
      <c r="S1830" s="177">
        <f>Q1830+IF(AND(offer_incoterms="DDP",seller_region="RU"),R1830,0)</f>
        <v/>
      </c>
      <c r="T1830" s="45" t="n"/>
      <c r="V1830" s="57">
        <f>IF(Q1830&gt;0,"показать","скрыть")</f>
        <v/>
      </c>
    </row>
    <row r="1831" ht="15.75" customHeight="1">
      <c r="B1831" s="809" t="n">
        <v>1815</v>
      </c>
      <c r="C1831" s="182">
        <f>IF(offer_sale_type="транзит",IFERROR(VLOOKUP($B1831,calc_data,C$14+1,0),0),0)</f>
        <v/>
      </c>
      <c r="D1831" s="280">
        <f>IF(offer_sale_type="транзит",IFERROR(VLOOKUP($B1831,calc_data,D$14+1,0),0),0)</f>
        <v/>
      </c>
      <c r="E1831" s="182">
        <f>IF(offer_sale_type="транзит",IFERROR(VLOOKUP($B1831,calc_data,E$14+1,0),0),0)</f>
        <v/>
      </c>
      <c r="F1831" s="182">
        <f>IF(offer_sale_type="транзит",IFERROR(VLOOKUP($B1831,calc_data,F$14+1,0),0),0)</f>
        <v/>
      </c>
      <c r="G1831" s="141">
        <f>IF(offer_sale_type="транзит",IFERROR(VLOOKUP($B1831,calc_data,G$14+1,0),0),0)</f>
        <v/>
      </c>
      <c r="H1831" s="141">
        <f>E1831*G1831</f>
        <v/>
      </c>
      <c r="I1831" s="141">
        <f>IF(offer_sale_type="транзит",IFERROR(ROUND(VLOOKUP($B1831,calc_data,I$14+1,0),2),0),0)</f>
        <v/>
      </c>
      <c r="J1831" s="141">
        <f>ROUND(IF(offer_sale_type="транзит",IFERROR(VLOOKUP($B1831,calc_data,J$14+1,0),0),0),2)</f>
        <v/>
      </c>
      <c r="K1831" s="142">
        <f>IF(offer_sale_type="транзит",IFERROR(ROUNDUP(VLOOKUP($B1831,calc_data,K$14+1,0),2),0),0)</f>
        <v/>
      </c>
      <c r="L1831" s="184">
        <f>IF(offer_sale_type="транзит",IFERROR(ROUNDUP(VLOOKUP($B1831,calc_data,L$14+1,0),2),0),0)</f>
        <v/>
      </c>
      <c r="M1831" s="141">
        <f>IF(offer_sale_type="транзит",IFERROR(ROUNDUP(VLOOKUP($B1831,calc_data,M$14+1,0),2),0),0)</f>
        <v/>
      </c>
      <c r="N1831" s="141">
        <f>IF(offer_sale_type="транзит",IFERROR(ROUNDUP(VLOOKUP($B1831,calc_data,N$14+1,0),2),0),0)</f>
        <v/>
      </c>
      <c r="O1831" s="147">
        <f>IF(offer_sale_type="транзит",IFERROR(ROUND(VLOOKUP($B1831,calc_data,O$14+1,1),2),0),0)</f>
        <v/>
      </c>
      <c r="P1831" s="141">
        <f>IF(offer_sale_type="транзит",IFERROR(ROUND(SUM(I1831:J1831,M1831:O1831)/E1831,2),0),0)</f>
        <v/>
      </c>
      <c r="Q1831" s="141">
        <f>E1831*P1831</f>
        <v/>
      </c>
      <c r="R1831" s="141">
        <f>ROUND(Q1831*IF(AND(offer_incoterms="DDP",seller_region="RU"),IF((TODAY()+offer_turnaround_time)&gt;=helpsheet!$L$17,rate_vatRU_from_26,rate_vatRu_till_25),0),2)</f>
        <v/>
      </c>
      <c r="S1831" s="177">
        <f>Q1831+IF(AND(offer_incoterms="DDP",seller_region="RU"),R1831,0)</f>
        <v/>
      </c>
      <c r="T1831" s="45" t="n"/>
      <c r="V1831" s="57">
        <f>IF(Q1831&gt;0,"показать","скрыть")</f>
        <v/>
      </c>
    </row>
    <row r="1832" ht="15.75" customHeight="1">
      <c r="B1832" s="809" t="n">
        <v>1816</v>
      </c>
      <c r="C1832" s="182">
        <f>IF(offer_sale_type="транзит",IFERROR(VLOOKUP($B1832,calc_data,C$14+1,0),0),0)</f>
        <v/>
      </c>
      <c r="D1832" s="280">
        <f>IF(offer_sale_type="транзит",IFERROR(VLOOKUP($B1832,calc_data,D$14+1,0),0),0)</f>
        <v/>
      </c>
      <c r="E1832" s="182">
        <f>IF(offer_sale_type="транзит",IFERROR(VLOOKUP($B1832,calc_data,E$14+1,0),0),0)</f>
        <v/>
      </c>
      <c r="F1832" s="182">
        <f>IF(offer_sale_type="транзит",IFERROR(VLOOKUP($B1832,calc_data,F$14+1,0),0),0)</f>
        <v/>
      </c>
      <c r="G1832" s="141">
        <f>IF(offer_sale_type="транзит",IFERROR(VLOOKUP($B1832,calc_data,G$14+1,0),0),0)</f>
        <v/>
      </c>
      <c r="H1832" s="141">
        <f>E1832*G1832</f>
        <v/>
      </c>
      <c r="I1832" s="141">
        <f>IF(offer_sale_type="транзит",IFERROR(ROUND(VLOOKUP($B1832,calc_data,I$14+1,0),2),0),0)</f>
        <v/>
      </c>
      <c r="J1832" s="141">
        <f>ROUND(IF(offer_sale_type="транзит",IFERROR(VLOOKUP($B1832,calc_data,J$14+1,0),0),0),2)</f>
        <v/>
      </c>
      <c r="K1832" s="142">
        <f>IF(offer_sale_type="транзит",IFERROR(ROUNDUP(VLOOKUP($B1832,calc_data,K$14+1,0),2),0),0)</f>
        <v/>
      </c>
      <c r="L1832" s="184">
        <f>IF(offer_sale_type="транзит",IFERROR(ROUNDUP(VLOOKUP($B1832,calc_data,L$14+1,0),2),0),0)</f>
        <v/>
      </c>
      <c r="M1832" s="141">
        <f>IF(offer_sale_type="транзит",IFERROR(ROUNDUP(VLOOKUP($B1832,calc_data,M$14+1,0),2),0),0)</f>
        <v/>
      </c>
      <c r="N1832" s="141">
        <f>IF(offer_sale_type="транзит",IFERROR(ROUNDUP(VLOOKUP($B1832,calc_data,N$14+1,0),2),0),0)</f>
        <v/>
      </c>
      <c r="O1832" s="147">
        <f>IF(offer_sale_type="транзит",IFERROR(ROUND(VLOOKUP($B1832,calc_data,O$14+1,1),2),0),0)</f>
        <v/>
      </c>
      <c r="P1832" s="141">
        <f>IF(offer_sale_type="транзит",IFERROR(ROUND(SUM(I1832:J1832,M1832:O1832)/E1832,2),0),0)</f>
        <v/>
      </c>
      <c r="Q1832" s="141">
        <f>E1832*P1832</f>
        <v/>
      </c>
      <c r="R1832" s="141">
        <f>ROUND(Q1832*IF(AND(offer_incoterms="DDP",seller_region="RU"),IF((TODAY()+offer_turnaround_time)&gt;=helpsheet!$L$17,rate_vatRU_from_26,rate_vatRu_till_25),0),2)</f>
        <v/>
      </c>
      <c r="S1832" s="177">
        <f>Q1832+IF(AND(offer_incoterms="DDP",seller_region="RU"),R1832,0)</f>
        <v/>
      </c>
      <c r="T1832" s="45" t="n"/>
      <c r="V1832" s="57">
        <f>IF(Q1832&gt;0,"показать","скрыть")</f>
        <v/>
      </c>
    </row>
    <row r="1833" ht="15.75" customHeight="1">
      <c r="B1833" s="809" t="n">
        <v>1817</v>
      </c>
      <c r="C1833" s="182">
        <f>IF(offer_sale_type="транзит",IFERROR(VLOOKUP($B1833,calc_data,C$14+1,0),0),0)</f>
        <v/>
      </c>
      <c r="D1833" s="280">
        <f>IF(offer_sale_type="транзит",IFERROR(VLOOKUP($B1833,calc_data,D$14+1,0),0),0)</f>
        <v/>
      </c>
      <c r="E1833" s="182">
        <f>IF(offer_sale_type="транзит",IFERROR(VLOOKUP($B1833,calc_data,E$14+1,0),0),0)</f>
        <v/>
      </c>
      <c r="F1833" s="182">
        <f>IF(offer_sale_type="транзит",IFERROR(VLOOKUP($B1833,calc_data,F$14+1,0),0),0)</f>
        <v/>
      </c>
      <c r="G1833" s="141">
        <f>IF(offer_sale_type="транзит",IFERROR(VLOOKUP($B1833,calc_data,G$14+1,0),0),0)</f>
        <v/>
      </c>
      <c r="H1833" s="141">
        <f>E1833*G1833</f>
        <v/>
      </c>
      <c r="I1833" s="141">
        <f>IF(offer_sale_type="транзит",IFERROR(ROUND(VLOOKUP($B1833,calc_data,I$14+1,0),2),0),0)</f>
        <v/>
      </c>
      <c r="J1833" s="141">
        <f>ROUND(IF(offer_sale_type="транзит",IFERROR(VLOOKUP($B1833,calc_data,J$14+1,0),0),0),2)</f>
        <v/>
      </c>
      <c r="K1833" s="142">
        <f>IF(offer_sale_type="транзит",IFERROR(ROUNDUP(VLOOKUP($B1833,calc_data,K$14+1,0),2),0),0)</f>
        <v/>
      </c>
      <c r="L1833" s="184">
        <f>IF(offer_sale_type="транзит",IFERROR(ROUNDUP(VLOOKUP($B1833,calc_data,L$14+1,0),2),0),0)</f>
        <v/>
      </c>
      <c r="M1833" s="141">
        <f>IF(offer_sale_type="транзит",IFERROR(ROUNDUP(VLOOKUP($B1833,calc_data,M$14+1,0),2),0),0)</f>
        <v/>
      </c>
      <c r="N1833" s="141">
        <f>IF(offer_sale_type="транзит",IFERROR(ROUNDUP(VLOOKUP($B1833,calc_data,N$14+1,0),2),0),0)</f>
        <v/>
      </c>
      <c r="O1833" s="147">
        <f>IF(offer_sale_type="транзит",IFERROR(ROUND(VLOOKUP($B1833,calc_data,O$14+1,1),2),0),0)</f>
        <v/>
      </c>
      <c r="P1833" s="141">
        <f>IF(offer_sale_type="транзит",IFERROR(ROUND(SUM(I1833:J1833,M1833:O1833)/E1833,2),0),0)</f>
        <v/>
      </c>
      <c r="Q1833" s="141">
        <f>E1833*P1833</f>
        <v/>
      </c>
      <c r="R1833" s="141">
        <f>ROUND(Q1833*IF(AND(offer_incoterms="DDP",seller_region="RU"),IF((TODAY()+offer_turnaround_time)&gt;=helpsheet!$L$17,rate_vatRU_from_26,rate_vatRu_till_25),0),2)</f>
        <v/>
      </c>
      <c r="S1833" s="177">
        <f>Q1833+IF(AND(offer_incoterms="DDP",seller_region="RU"),R1833,0)</f>
        <v/>
      </c>
      <c r="T1833" s="45" t="n"/>
      <c r="V1833" s="57">
        <f>IF(Q1833&gt;0,"показать","скрыть")</f>
        <v/>
      </c>
    </row>
    <row r="1834" ht="15.75" customHeight="1">
      <c r="B1834" s="809" t="n">
        <v>1818</v>
      </c>
      <c r="C1834" s="182">
        <f>IF(offer_sale_type="транзит",IFERROR(VLOOKUP($B1834,calc_data,C$14+1,0),0),0)</f>
        <v/>
      </c>
      <c r="D1834" s="280">
        <f>IF(offer_sale_type="транзит",IFERROR(VLOOKUP($B1834,calc_data,D$14+1,0),0),0)</f>
        <v/>
      </c>
      <c r="E1834" s="182">
        <f>IF(offer_sale_type="транзит",IFERROR(VLOOKUP($B1834,calc_data,E$14+1,0),0),0)</f>
        <v/>
      </c>
      <c r="F1834" s="182">
        <f>IF(offer_sale_type="транзит",IFERROR(VLOOKUP($B1834,calc_data,F$14+1,0),0),0)</f>
        <v/>
      </c>
      <c r="G1834" s="141">
        <f>IF(offer_sale_type="транзит",IFERROR(VLOOKUP($B1834,calc_data,G$14+1,0),0),0)</f>
        <v/>
      </c>
      <c r="H1834" s="141">
        <f>E1834*G1834</f>
        <v/>
      </c>
      <c r="I1834" s="141">
        <f>IF(offer_sale_type="транзит",IFERROR(ROUND(VLOOKUP($B1834,calc_data,I$14+1,0),2),0),0)</f>
        <v/>
      </c>
      <c r="J1834" s="141">
        <f>ROUND(IF(offer_sale_type="транзит",IFERROR(VLOOKUP($B1834,calc_data,J$14+1,0),0),0),2)</f>
        <v/>
      </c>
      <c r="K1834" s="142">
        <f>IF(offer_sale_type="транзит",IFERROR(ROUNDUP(VLOOKUP($B1834,calc_data,K$14+1,0),2),0),0)</f>
        <v/>
      </c>
      <c r="L1834" s="184">
        <f>IF(offer_sale_type="транзит",IFERROR(ROUNDUP(VLOOKUP($B1834,calc_data,L$14+1,0),2),0),0)</f>
        <v/>
      </c>
      <c r="M1834" s="141">
        <f>IF(offer_sale_type="транзит",IFERROR(ROUNDUP(VLOOKUP($B1834,calc_data,M$14+1,0),2),0),0)</f>
        <v/>
      </c>
      <c r="N1834" s="141">
        <f>IF(offer_sale_type="транзит",IFERROR(ROUNDUP(VLOOKUP($B1834,calc_data,N$14+1,0),2),0),0)</f>
        <v/>
      </c>
      <c r="O1834" s="147">
        <f>IF(offer_sale_type="транзит",IFERROR(ROUND(VLOOKUP($B1834,calc_data,O$14+1,1),2),0),0)</f>
        <v/>
      </c>
      <c r="P1834" s="141">
        <f>IF(offer_sale_type="транзит",IFERROR(ROUND(SUM(I1834:J1834,M1834:O1834)/E1834,2),0),0)</f>
        <v/>
      </c>
      <c r="Q1834" s="141">
        <f>E1834*P1834</f>
        <v/>
      </c>
      <c r="R1834" s="141">
        <f>ROUND(Q1834*IF(AND(offer_incoterms="DDP",seller_region="RU"),IF((TODAY()+offer_turnaround_time)&gt;=helpsheet!$L$17,rate_vatRU_from_26,rate_vatRu_till_25),0),2)</f>
        <v/>
      </c>
      <c r="S1834" s="177">
        <f>Q1834+IF(AND(offer_incoterms="DDP",seller_region="RU"),R1834,0)</f>
        <v/>
      </c>
      <c r="T1834" s="45" t="n"/>
      <c r="V1834" s="57">
        <f>IF(Q1834&gt;0,"показать","скрыть")</f>
        <v/>
      </c>
    </row>
    <row r="1835" ht="15.75" customHeight="1">
      <c r="B1835" s="809" t="n">
        <v>1819</v>
      </c>
      <c r="C1835" s="182">
        <f>IF(offer_sale_type="транзит",IFERROR(VLOOKUP($B1835,calc_data,C$14+1,0),0),0)</f>
        <v/>
      </c>
      <c r="D1835" s="280">
        <f>IF(offer_sale_type="транзит",IFERROR(VLOOKUP($B1835,calc_data,D$14+1,0),0),0)</f>
        <v/>
      </c>
      <c r="E1835" s="182">
        <f>IF(offer_sale_type="транзит",IFERROR(VLOOKUP($B1835,calc_data,E$14+1,0),0),0)</f>
        <v/>
      </c>
      <c r="F1835" s="182">
        <f>IF(offer_sale_type="транзит",IFERROR(VLOOKUP($B1835,calc_data,F$14+1,0),0),0)</f>
        <v/>
      </c>
      <c r="G1835" s="141">
        <f>IF(offer_sale_type="транзит",IFERROR(VLOOKUP($B1835,calc_data,G$14+1,0),0),0)</f>
        <v/>
      </c>
      <c r="H1835" s="141">
        <f>E1835*G1835</f>
        <v/>
      </c>
      <c r="I1835" s="141">
        <f>IF(offer_sale_type="транзит",IFERROR(ROUND(VLOOKUP($B1835,calc_data,I$14+1,0),2),0),0)</f>
        <v/>
      </c>
      <c r="J1835" s="141">
        <f>ROUND(IF(offer_sale_type="транзит",IFERROR(VLOOKUP($B1835,calc_data,J$14+1,0),0),0),2)</f>
        <v/>
      </c>
      <c r="K1835" s="142">
        <f>IF(offer_sale_type="транзит",IFERROR(ROUNDUP(VLOOKUP($B1835,calc_data,K$14+1,0),2),0),0)</f>
        <v/>
      </c>
      <c r="L1835" s="184">
        <f>IF(offer_sale_type="транзит",IFERROR(ROUNDUP(VLOOKUP($B1835,calc_data,L$14+1,0),2),0),0)</f>
        <v/>
      </c>
      <c r="M1835" s="141">
        <f>IF(offer_sale_type="транзит",IFERROR(ROUNDUP(VLOOKUP($B1835,calc_data,M$14+1,0),2),0),0)</f>
        <v/>
      </c>
      <c r="N1835" s="141">
        <f>IF(offer_sale_type="транзит",IFERROR(ROUNDUP(VLOOKUP($B1835,calc_data,N$14+1,0),2),0),0)</f>
        <v/>
      </c>
      <c r="O1835" s="147">
        <f>IF(offer_sale_type="транзит",IFERROR(ROUND(VLOOKUP($B1835,calc_data,O$14+1,1),2),0),0)</f>
        <v/>
      </c>
      <c r="P1835" s="141">
        <f>IF(offer_sale_type="транзит",IFERROR(ROUND(SUM(I1835:J1835,M1835:O1835)/E1835,2),0),0)</f>
        <v/>
      </c>
      <c r="Q1835" s="141">
        <f>E1835*P1835</f>
        <v/>
      </c>
      <c r="R1835" s="141">
        <f>ROUND(Q1835*IF(AND(offer_incoterms="DDP",seller_region="RU"),IF((TODAY()+offer_turnaround_time)&gt;=helpsheet!$L$17,rate_vatRU_from_26,rate_vatRu_till_25),0),2)</f>
        <v/>
      </c>
      <c r="S1835" s="177">
        <f>Q1835+IF(AND(offer_incoterms="DDP",seller_region="RU"),R1835,0)</f>
        <v/>
      </c>
      <c r="T1835" s="45" t="n"/>
      <c r="V1835" s="57">
        <f>IF(Q1835&gt;0,"показать","скрыть")</f>
        <v/>
      </c>
    </row>
    <row r="1836" ht="15.75" customHeight="1">
      <c r="B1836" s="809" t="n">
        <v>1820</v>
      </c>
      <c r="C1836" s="182">
        <f>IF(offer_sale_type="транзит",IFERROR(VLOOKUP($B1836,calc_data,C$14+1,0),0),0)</f>
        <v/>
      </c>
      <c r="D1836" s="280">
        <f>IF(offer_sale_type="транзит",IFERROR(VLOOKUP($B1836,calc_data,D$14+1,0),0),0)</f>
        <v/>
      </c>
      <c r="E1836" s="182">
        <f>IF(offer_sale_type="транзит",IFERROR(VLOOKUP($B1836,calc_data,E$14+1,0),0),0)</f>
        <v/>
      </c>
      <c r="F1836" s="182">
        <f>IF(offer_sale_type="транзит",IFERROR(VLOOKUP($B1836,calc_data,F$14+1,0),0),0)</f>
        <v/>
      </c>
      <c r="G1836" s="141">
        <f>IF(offer_sale_type="транзит",IFERROR(VLOOKUP($B1836,calc_data,G$14+1,0),0),0)</f>
        <v/>
      </c>
      <c r="H1836" s="141">
        <f>E1836*G1836</f>
        <v/>
      </c>
      <c r="I1836" s="141">
        <f>IF(offer_sale_type="транзит",IFERROR(ROUND(VLOOKUP($B1836,calc_data,I$14+1,0),2),0),0)</f>
        <v/>
      </c>
      <c r="J1836" s="141">
        <f>ROUND(IF(offer_sale_type="транзит",IFERROR(VLOOKUP($B1836,calc_data,J$14+1,0),0),0),2)</f>
        <v/>
      </c>
      <c r="K1836" s="142">
        <f>IF(offer_sale_type="транзит",IFERROR(ROUNDUP(VLOOKUP($B1836,calc_data,K$14+1,0),2),0),0)</f>
        <v/>
      </c>
      <c r="L1836" s="184">
        <f>IF(offer_sale_type="транзит",IFERROR(ROUNDUP(VLOOKUP($B1836,calc_data,L$14+1,0),2),0),0)</f>
        <v/>
      </c>
      <c r="M1836" s="141">
        <f>IF(offer_sale_type="транзит",IFERROR(ROUNDUP(VLOOKUP($B1836,calc_data,M$14+1,0),2),0),0)</f>
        <v/>
      </c>
      <c r="N1836" s="141">
        <f>IF(offer_sale_type="транзит",IFERROR(ROUNDUP(VLOOKUP($B1836,calc_data,N$14+1,0),2),0),0)</f>
        <v/>
      </c>
      <c r="O1836" s="147">
        <f>IF(offer_sale_type="транзит",IFERROR(ROUND(VLOOKUP($B1836,calc_data,O$14+1,1),2),0),0)</f>
        <v/>
      </c>
      <c r="P1836" s="141">
        <f>IF(offer_sale_type="транзит",IFERROR(ROUND(SUM(I1836:J1836,M1836:O1836)/E1836,2),0),0)</f>
        <v/>
      </c>
      <c r="Q1836" s="141">
        <f>E1836*P1836</f>
        <v/>
      </c>
      <c r="R1836" s="141">
        <f>ROUND(Q1836*IF(AND(offer_incoterms="DDP",seller_region="RU"),IF((TODAY()+offer_turnaround_time)&gt;=helpsheet!$L$17,rate_vatRU_from_26,rate_vatRu_till_25),0),2)</f>
        <v/>
      </c>
      <c r="S1836" s="177">
        <f>Q1836+IF(AND(offer_incoterms="DDP",seller_region="RU"),R1836,0)</f>
        <v/>
      </c>
      <c r="T1836" s="45" t="n"/>
      <c r="V1836" s="57">
        <f>IF(Q1836&gt;0,"показать","скрыть")</f>
        <v/>
      </c>
    </row>
    <row r="1837" ht="15.75" customHeight="1">
      <c r="B1837" s="809" t="n">
        <v>1821</v>
      </c>
      <c r="C1837" s="182">
        <f>IF(offer_sale_type="транзит",IFERROR(VLOOKUP($B1837,calc_data,C$14+1,0),0),0)</f>
        <v/>
      </c>
      <c r="D1837" s="280">
        <f>IF(offer_sale_type="транзит",IFERROR(VLOOKUP($B1837,calc_data,D$14+1,0),0),0)</f>
        <v/>
      </c>
      <c r="E1837" s="182">
        <f>IF(offer_sale_type="транзит",IFERROR(VLOOKUP($B1837,calc_data,E$14+1,0),0),0)</f>
        <v/>
      </c>
      <c r="F1837" s="182">
        <f>IF(offer_sale_type="транзит",IFERROR(VLOOKUP($B1837,calc_data,F$14+1,0),0),0)</f>
        <v/>
      </c>
      <c r="G1837" s="141">
        <f>IF(offer_sale_type="транзит",IFERROR(VLOOKUP($B1837,calc_data,G$14+1,0),0),0)</f>
        <v/>
      </c>
      <c r="H1837" s="141">
        <f>E1837*G1837</f>
        <v/>
      </c>
      <c r="I1837" s="141">
        <f>IF(offer_sale_type="транзит",IFERROR(ROUND(VLOOKUP($B1837,calc_data,I$14+1,0),2),0),0)</f>
        <v/>
      </c>
      <c r="J1837" s="141">
        <f>ROUND(IF(offer_sale_type="транзит",IFERROR(VLOOKUP($B1837,calc_data,J$14+1,0),0),0),2)</f>
        <v/>
      </c>
      <c r="K1837" s="142">
        <f>IF(offer_sale_type="транзит",IFERROR(ROUNDUP(VLOOKUP($B1837,calc_data,K$14+1,0),2),0),0)</f>
        <v/>
      </c>
      <c r="L1837" s="184">
        <f>IF(offer_sale_type="транзит",IFERROR(ROUNDUP(VLOOKUP($B1837,calc_data,L$14+1,0),2),0),0)</f>
        <v/>
      </c>
      <c r="M1837" s="141">
        <f>IF(offer_sale_type="транзит",IFERROR(ROUNDUP(VLOOKUP($B1837,calc_data,M$14+1,0),2),0),0)</f>
        <v/>
      </c>
      <c r="N1837" s="141">
        <f>IF(offer_sale_type="транзит",IFERROR(ROUNDUP(VLOOKUP($B1837,calc_data,N$14+1,0),2),0),0)</f>
        <v/>
      </c>
      <c r="O1837" s="147">
        <f>IF(offer_sale_type="транзит",IFERROR(ROUND(VLOOKUP($B1837,calc_data,O$14+1,1),2),0),0)</f>
        <v/>
      </c>
      <c r="P1837" s="141">
        <f>IF(offer_sale_type="транзит",IFERROR(ROUND(SUM(I1837:J1837,M1837:O1837)/E1837,2),0),0)</f>
        <v/>
      </c>
      <c r="Q1837" s="141">
        <f>E1837*P1837</f>
        <v/>
      </c>
      <c r="R1837" s="141">
        <f>ROUND(Q1837*IF(AND(offer_incoterms="DDP",seller_region="RU"),IF((TODAY()+offer_turnaround_time)&gt;=helpsheet!$L$17,rate_vatRU_from_26,rate_vatRu_till_25),0),2)</f>
        <v/>
      </c>
      <c r="S1837" s="177">
        <f>Q1837+IF(AND(offer_incoterms="DDP",seller_region="RU"),R1837,0)</f>
        <v/>
      </c>
      <c r="T1837" s="45" t="n"/>
      <c r="V1837" s="57">
        <f>IF(Q1837&gt;0,"показать","скрыть")</f>
        <v/>
      </c>
    </row>
    <row r="1838" ht="15.75" customHeight="1">
      <c r="B1838" s="809" t="n">
        <v>1822</v>
      </c>
      <c r="C1838" s="182">
        <f>IF(offer_sale_type="транзит",IFERROR(VLOOKUP($B1838,calc_data,C$14+1,0),0),0)</f>
        <v/>
      </c>
      <c r="D1838" s="280">
        <f>IF(offer_sale_type="транзит",IFERROR(VLOOKUP($B1838,calc_data,D$14+1,0),0),0)</f>
        <v/>
      </c>
      <c r="E1838" s="182">
        <f>IF(offer_sale_type="транзит",IFERROR(VLOOKUP($B1838,calc_data,E$14+1,0),0),0)</f>
        <v/>
      </c>
      <c r="F1838" s="182">
        <f>IF(offer_sale_type="транзит",IFERROR(VLOOKUP($B1838,calc_data,F$14+1,0),0),0)</f>
        <v/>
      </c>
      <c r="G1838" s="141">
        <f>IF(offer_sale_type="транзит",IFERROR(VLOOKUP($B1838,calc_data,G$14+1,0),0),0)</f>
        <v/>
      </c>
      <c r="H1838" s="141">
        <f>E1838*G1838</f>
        <v/>
      </c>
      <c r="I1838" s="141">
        <f>IF(offer_sale_type="транзит",IFERROR(ROUND(VLOOKUP($B1838,calc_data,I$14+1,0),2),0),0)</f>
        <v/>
      </c>
      <c r="J1838" s="141">
        <f>ROUND(IF(offer_sale_type="транзит",IFERROR(VLOOKUP($B1838,calc_data,J$14+1,0),0),0),2)</f>
        <v/>
      </c>
      <c r="K1838" s="142">
        <f>IF(offer_sale_type="транзит",IFERROR(ROUNDUP(VLOOKUP($B1838,calc_data,K$14+1,0),2),0),0)</f>
        <v/>
      </c>
      <c r="L1838" s="184">
        <f>IF(offer_sale_type="транзит",IFERROR(ROUNDUP(VLOOKUP($B1838,calc_data,L$14+1,0),2),0),0)</f>
        <v/>
      </c>
      <c r="M1838" s="141">
        <f>IF(offer_sale_type="транзит",IFERROR(ROUNDUP(VLOOKUP($B1838,calc_data,M$14+1,0),2),0),0)</f>
        <v/>
      </c>
      <c r="N1838" s="141">
        <f>IF(offer_sale_type="транзит",IFERROR(ROUNDUP(VLOOKUP($B1838,calc_data,N$14+1,0),2),0),0)</f>
        <v/>
      </c>
      <c r="O1838" s="147">
        <f>IF(offer_sale_type="транзит",IFERROR(ROUND(VLOOKUP($B1838,calc_data,O$14+1,1),2),0),0)</f>
        <v/>
      </c>
      <c r="P1838" s="141">
        <f>IF(offer_sale_type="транзит",IFERROR(ROUND(SUM(I1838:J1838,M1838:O1838)/E1838,2),0),0)</f>
        <v/>
      </c>
      <c r="Q1838" s="141">
        <f>E1838*P1838</f>
        <v/>
      </c>
      <c r="R1838" s="141">
        <f>ROUND(Q1838*IF(AND(offer_incoterms="DDP",seller_region="RU"),IF((TODAY()+offer_turnaround_time)&gt;=helpsheet!$L$17,rate_vatRU_from_26,rate_vatRu_till_25),0),2)</f>
        <v/>
      </c>
      <c r="S1838" s="177">
        <f>Q1838+IF(AND(offer_incoterms="DDP",seller_region="RU"),R1838,0)</f>
        <v/>
      </c>
      <c r="T1838" s="45" t="n"/>
      <c r="V1838" s="57">
        <f>IF(Q1838&gt;0,"показать","скрыть")</f>
        <v/>
      </c>
    </row>
    <row r="1839" ht="15.75" customHeight="1">
      <c r="B1839" s="809" t="n">
        <v>1823</v>
      </c>
      <c r="C1839" s="182">
        <f>IF(offer_sale_type="транзит",IFERROR(VLOOKUP($B1839,calc_data,C$14+1,0),0),0)</f>
        <v/>
      </c>
      <c r="D1839" s="280">
        <f>IF(offer_sale_type="транзит",IFERROR(VLOOKUP($B1839,calc_data,D$14+1,0),0),0)</f>
        <v/>
      </c>
      <c r="E1839" s="182">
        <f>IF(offer_sale_type="транзит",IFERROR(VLOOKUP($B1839,calc_data,E$14+1,0),0),0)</f>
        <v/>
      </c>
      <c r="F1839" s="182">
        <f>IF(offer_sale_type="транзит",IFERROR(VLOOKUP($B1839,calc_data,F$14+1,0),0),0)</f>
        <v/>
      </c>
      <c r="G1839" s="141">
        <f>IF(offer_sale_type="транзит",IFERROR(VLOOKUP($B1839,calc_data,G$14+1,0),0),0)</f>
        <v/>
      </c>
      <c r="H1839" s="141">
        <f>E1839*G1839</f>
        <v/>
      </c>
      <c r="I1839" s="141">
        <f>IF(offer_sale_type="транзит",IFERROR(ROUND(VLOOKUP($B1839,calc_data,I$14+1,0),2),0),0)</f>
        <v/>
      </c>
      <c r="J1839" s="141">
        <f>ROUND(IF(offer_sale_type="транзит",IFERROR(VLOOKUP($B1839,calc_data,J$14+1,0),0),0),2)</f>
        <v/>
      </c>
      <c r="K1839" s="142">
        <f>IF(offer_sale_type="транзит",IFERROR(ROUNDUP(VLOOKUP($B1839,calc_data,K$14+1,0),2),0),0)</f>
        <v/>
      </c>
      <c r="L1839" s="184">
        <f>IF(offer_sale_type="транзит",IFERROR(ROUNDUP(VLOOKUP($B1839,calc_data,L$14+1,0),2),0),0)</f>
        <v/>
      </c>
      <c r="M1839" s="141">
        <f>IF(offer_sale_type="транзит",IFERROR(ROUNDUP(VLOOKUP($B1839,calc_data,M$14+1,0),2),0),0)</f>
        <v/>
      </c>
      <c r="N1839" s="141">
        <f>IF(offer_sale_type="транзит",IFERROR(ROUNDUP(VLOOKUP($B1839,calc_data,N$14+1,0),2),0),0)</f>
        <v/>
      </c>
      <c r="O1839" s="147">
        <f>IF(offer_sale_type="транзит",IFERROR(ROUND(VLOOKUP($B1839,calc_data,O$14+1,1),2),0),0)</f>
        <v/>
      </c>
      <c r="P1839" s="141">
        <f>IF(offer_sale_type="транзит",IFERROR(ROUND(SUM(I1839:J1839,M1839:O1839)/E1839,2),0),0)</f>
        <v/>
      </c>
      <c r="Q1839" s="141">
        <f>E1839*P1839</f>
        <v/>
      </c>
      <c r="R1839" s="141">
        <f>ROUND(Q1839*IF(AND(offer_incoterms="DDP",seller_region="RU"),IF((TODAY()+offer_turnaround_time)&gt;=helpsheet!$L$17,rate_vatRU_from_26,rate_vatRu_till_25),0),2)</f>
        <v/>
      </c>
      <c r="S1839" s="177">
        <f>Q1839+IF(AND(offer_incoterms="DDP",seller_region="RU"),R1839,0)</f>
        <v/>
      </c>
      <c r="T1839" s="45" t="n"/>
      <c r="V1839" s="57">
        <f>IF(Q1839&gt;0,"показать","скрыть")</f>
        <v/>
      </c>
    </row>
    <row r="1840" ht="15.75" customHeight="1">
      <c r="B1840" s="809" t="n">
        <v>1824</v>
      </c>
      <c r="C1840" s="182">
        <f>IF(offer_sale_type="транзит",IFERROR(VLOOKUP($B1840,calc_data,C$14+1,0),0),0)</f>
        <v/>
      </c>
      <c r="D1840" s="280">
        <f>IF(offer_sale_type="транзит",IFERROR(VLOOKUP($B1840,calc_data,D$14+1,0),0),0)</f>
        <v/>
      </c>
      <c r="E1840" s="182">
        <f>IF(offer_sale_type="транзит",IFERROR(VLOOKUP($B1840,calc_data,E$14+1,0),0),0)</f>
        <v/>
      </c>
      <c r="F1840" s="182">
        <f>IF(offer_sale_type="транзит",IFERROR(VLOOKUP($B1840,calc_data,F$14+1,0),0),0)</f>
        <v/>
      </c>
      <c r="G1840" s="141">
        <f>IF(offer_sale_type="транзит",IFERROR(VLOOKUP($B1840,calc_data,G$14+1,0),0),0)</f>
        <v/>
      </c>
      <c r="H1840" s="141">
        <f>E1840*G1840</f>
        <v/>
      </c>
      <c r="I1840" s="141">
        <f>IF(offer_sale_type="транзит",IFERROR(ROUND(VLOOKUP($B1840,calc_data,I$14+1,0),2),0),0)</f>
        <v/>
      </c>
      <c r="J1840" s="141">
        <f>ROUND(IF(offer_sale_type="транзит",IFERROR(VLOOKUP($B1840,calc_data,J$14+1,0),0),0),2)</f>
        <v/>
      </c>
      <c r="K1840" s="142">
        <f>IF(offer_sale_type="транзит",IFERROR(ROUNDUP(VLOOKUP($B1840,calc_data,K$14+1,0),2),0),0)</f>
        <v/>
      </c>
      <c r="L1840" s="184">
        <f>IF(offer_sale_type="транзит",IFERROR(ROUNDUP(VLOOKUP($B1840,calc_data,L$14+1,0),2),0),0)</f>
        <v/>
      </c>
      <c r="M1840" s="141">
        <f>IF(offer_sale_type="транзит",IFERROR(ROUNDUP(VLOOKUP($B1840,calc_data,M$14+1,0),2),0),0)</f>
        <v/>
      </c>
      <c r="N1840" s="141">
        <f>IF(offer_sale_type="транзит",IFERROR(ROUNDUP(VLOOKUP($B1840,calc_data,N$14+1,0),2),0),0)</f>
        <v/>
      </c>
      <c r="O1840" s="147">
        <f>IF(offer_sale_type="транзит",IFERROR(ROUND(VLOOKUP($B1840,calc_data,O$14+1,1),2),0),0)</f>
        <v/>
      </c>
      <c r="P1840" s="141">
        <f>IF(offer_sale_type="транзит",IFERROR(ROUND(SUM(I1840:J1840,M1840:O1840)/E1840,2),0),0)</f>
        <v/>
      </c>
      <c r="Q1840" s="141">
        <f>E1840*P1840</f>
        <v/>
      </c>
      <c r="R1840" s="141">
        <f>ROUND(Q1840*IF(AND(offer_incoterms="DDP",seller_region="RU"),IF((TODAY()+offer_turnaround_time)&gt;=helpsheet!$L$17,rate_vatRU_from_26,rate_vatRu_till_25),0),2)</f>
        <v/>
      </c>
      <c r="S1840" s="177">
        <f>Q1840+IF(AND(offer_incoterms="DDP",seller_region="RU"),R1840,0)</f>
        <v/>
      </c>
      <c r="T1840" s="45" t="n"/>
      <c r="V1840" s="57">
        <f>IF(Q1840&gt;0,"показать","скрыть")</f>
        <v/>
      </c>
    </row>
    <row r="1841" ht="15.75" customHeight="1">
      <c r="B1841" s="809" t="n">
        <v>1825</v>
      </c>
      <c r="C1841" s="182">
        <f>IF(offer_sale_type="транзит",IFERROR(VLOOKUP($B1841,calc_data,C$14+1,0),0),0)</f>
        <v/>
      </c>
      <c r="D1841" s="280">
        <f>IF(offer_sale_type="транзит",IFERROR(VLOOKUP($B1841,calc_data,D$14+1,0),0),0)</f>
        <v/>
      </c>
      <c r="E1841" s="182">
        <f>IF(offer_sale_type="транзит",IFERROR(VLOOKUP($B1841,calc_data,E$14+1,0),0),0)</f>
        <v/>
      </c>
      <c r="F1841" s="182">
        <f>IF(offer_sale_type="транзит",IFERROR(VLOOKUP($B1841,calc_data,F$14+1,0),0),0)</f>
        <v/>
      </c>
      <c r="G1841" s="141">
        <f>IF(offer_sale_type="транзит",IFERROR(VLOOKUP($B1841,calc_data,G$14+1,0),0),0)</f>
        <v/>
      </c>
      <c r="H1841" s="141">
        <f>E1841*G1841</f>
        <v/>
      </c>
      <c r="I1841" s="141">
        <f>IF(offer_sale_type="транзит",IFERROR(ROUND(VLOOKUP($B1841,calc_data,I$14+1,0),2),0),0)</f>
        <v/>
      </c>
      <c r="J1841" s="141">
        <f>ROUND(IF(offer_sale_type="транзит",IFERROR(VLOOKUP($B1841,calc_data,J$14+1,0),0),0),2)</f>
        <v/>
      </c>
      <c r="K1841" s="142">
        <f>IF(offer_sale_type="транзит",IFERROR(ROUNDUP(VLOOKUP($B1841,calc_data,K$14+1,0),2),0),0)</f>
        <v/>
      </c>
      <c r="L1841" s="184">
        <f>IF(offer_sale_type="транзит",IFERROR(ROUNDUP(VLOOKUP($B1841,calc_data,L$14+1,0),2),0),0)</f>
        <v/>
      </c>
      <c r="M1841" s="141">
        <f>IF(offer_sale_type="транзит",IFERROR(ROUNDUP(VLOOKUP($B1841,calc_data,M$14+1,0),2),0),0)</f>
        <v/>
      </c>
      <c r="N1841" s="141">
        <f>IF(offer_sale_type="транзит",IFERROR(ROUNDUP(VLOOKUP($B1841,calc_data,N$14+1,0),2),0),0)</f>
        <v/>
      </c>
      <c r="O1841" s="147">
        <f>IF(offer_sale_type="транзит",IFERROR(ROUND(VLOOKUP($B1841,calc_data,O$14+1,1),2),0),0)</f>
        <v/>
      </c>
      <c r="P1841" s="141">
        <f>IF(offer_sale_type="транзит",IFERROR(ROUND(SUM(I1841:J1841,M1841:O1841)/E1841,2),0),0)</f>
        <v/>
      </c>
      <c r="Q1841" s="141">
        <f>E1841*P1841</f>
        <v/>
      </c>
      <c r="R1841" s="141">
        <f>ROUND(Q1841*IF(AND(offer_incoterms="DDP",seller_region="RU"),IF((TODAY()+offer_turnaround_time)&gt;=helpsheet!$L$17,rate_vatRU_from_26,rate_vatRu_till_25),0),2)</f>
        <v/>
      </c>
      <c r="S1841" s="177">
        <f>Q1841+IF(AND(offer_incoterms="DDP",seller_region="RU"),R1841,0)</f>
        <v/>
      </c>
      <c r="T1841" s="45" t="n"/>
      <c r="V1841" s="57">
        <f>IF(Q1841&gt;0,"показать","скрыть")</f>
        <v/>
      </c>
    </row>
    <row r="1842" ht="15.75" customHeight="1">
      <c r="B1842" s="809" t="n">
        <v>1826</v>
      </c>
      <c r="C1842" s="182">
        <f>IF(offer_sale_type="транзит",IFERROR(VLOOKUP($B1842,calc_data,C$14+1,0),0),0)</f>
        <v/>
      </c>
      <c r="D1842" s="280">
        <f>IF(offer_sale_type="транзит",IFERROR(VLOOKUP($B1842,calc_data,D$14+1,0),0),0)</f>
        <v/>
      </c>
      <c r="E1842" s="182">
        <f>IF(offer_sale_type="транзит",IFERROR(VLOOKUP($B1842,calc_data,E$14+1,0),0),0)</f>
        <v/>
      </c>
      <c r="F1842" s="182">
        <f>IF(offer_sale_type="транзит",IFERROR(VLOOKUP($B1842,calc_data,F$14+1,0),0),0)</f>
        <v/>
      </c>
      <c r="G1842" s="141">
        <f>IF(offer_sale_type="транзит",IFERROR(VLOOKUP($B1842,calc_data,G$14+1,0),0),0)</f>
        <v/>
      </c>
      <c r="H1842" s="141">
        <f>E1842*G1842</f>
        <v/>
      </c>
      <c r="I1842" s="141">
        <f>IF(offer_sale_type="транзит",IFERROR(ROUND(VLOOKUP($B1842,calc_data,I$14+1,0),2),0),0)</f>
        <v/>
      </c>
      <c r="J1842" s="141">
        <f>ROUND(IF(offer_sale_type="транзит",IFERROR(VLOOKUP($B1842,calc_data,J$14+1,0),0),0),2)</f>
        <v/>
      </c>
      <c r="K1842" s="142">
        <f>IF(offer_sale_type="транзит",IFERROR(ROUNDUP(VLOOKUP($B1842,calc_data,K$14+1,0),2),0),0)</f>
        <v/>
      </c>
      <c r="L1842" s="184">
        <f>IF(offer_sale_type="транзит",IFERROR(ROUNDUP(VLOOKUP($B1842,calc_data,L$14+1,0),2),0),0)</f>
        <v/>
      </c>
      <c r="M1842" s="141">
        <f>IF(offer_sale_type="транзит",IFERROR(ROUNDUP(VLOOKUP($B1842,calc_data,M$14+1,0),2),0),0)</f>
        <v/>
      </c>
      <c r="N1842" s="141">
        <f>IF(offer_sale_type="транзит",IFERROR(ROUNDUP(VLOOKUP($B1842,calc_data,N$14+1,0),2),0),0)</f>
        <v/>
      </c>
      <c r="O1842" s="147">
        <f>IF(offer_sale_type="транзит",IFERROR(ROUND(VLOOKUP($B1842,calc_data,O$14+1,1),2),0),0)</f>
        <v/>
      </c>
      <c r="P1842" s="141">
        <f>IF(offer_sale_type="транзит",IFERROR(ROUND(SUM(I1842:J1842,M1842:O1842)/E1842,2),0),0)</f>
        <v/>
      </c>
      <c r="Q1842" s="141">
        <f>E1842*P1842</f>
        <v/>
      </c>
      <c r="R1842" s="141">
        <f>ROUND(Q1842*IF(AND(offer_incoterms="DDP",seller_region="RU"),IF((TODAY()+offer_turnaround_time)&gt;=helpsheet!$L$17,rate_vatRU_from_26,rate_vatRu_till_25),0),2)</f>
        <v/>
      </c>
      <c r="S1842" s="177">
        <f>Q1842+IF(AND(offer_incoterms="DDP",seller_region="RU"),R1842,0)</f>
        <v/>
      </c>
      <c r="T1842" s="45" t="n"/>
      <c r="V1842" s="57">
        <f>IF(Q1842&gt;0,"показать","скрыть")</f>
        <v/>
      </c>
    </row>
    <row r="1843" ht="15.75" customHeight="1">
      <c r="B1843" s="809" t="n">
        <v>1827</v>
      </c>
      <c r="C1843" s="182">
        <f>IF(offer_sale_type="транзит",IFERROR(VLOOKUP($B1843,calc_data,C$14+1,0),0),0)</f>
        <v/>
      </c>
      <c r="D1843" s="280">
        <f>IF(offer_sale_type="транзит",IFERROR(VLOOKUP($B1843,calc_data,D$14+1,0),0),0)</f>
        <v/>
      </c>
      <c r="E1843" s="182">
        <f>IF(offer_sale_type="транзит",IFERROR(VLOOKUP($B1843,calc_data,E$14+1,0),0),0)</f>
        <v/>
      </c>
      <c r="F1843" s="182">
        <f>IF(offer_sale_type="транзит",IFERROR(VLOOKUP($B1843,calc_data,F$14+1,0),0),0)</f>
        <v/>
      </c>
      <c r="G1843" s="141">
        <f>IF(offer_sale_type="транзит",IFERROR(VLOOKUP($B1843,calc_data,G$14+1,0),0),0)</f>
        <v/>
      </c>
      <c r="H1843" s="141">
        <f>E1843*G1843</f>
        <v/>
      </c>
      <c r="I1843" s="141">
        <f>IF(offer_sale_type="транзит",IFERROR(ROUND(VLOOKUP($B1843,calc_data,I$14+1,0),2),0),0)</f>
        <v/>
      </c>
      <c r="J1843" s="141">
        <f>ROUND(IF(offer_sale_type="транзит",IFERROR(VLOOKUP($B1843,calc_data,J$14+1,0),0),0),2)</f>
        <v/>
      </c>
      <c r="K1843" s="142">
        <f>IF(offer_sale_type="транзит",IFERROR(ROUNDUP(VLOOKUP($B1843,calc_data,K$14+1,0),2),0),0)</f>
        <v/>
      </c>
      <c r="L1843" s="184">
        <f>IF(offer_sale_type="транзит",IFERROR(ROUNDUP(VLOOKUP($B1843,calc_data,L$14+1,0),2),0),0)</f>
        <v/>
      </c>
      <c r="M1843" s="141">
        <f>IF(offer_sale_type="транзит",IFERROR(ROUNDUP(VLOOKUP($B1843,calc_data,M$14+1,0),2),0),0)</f>
        <v/>
      </c>
      <c r="N1843" s="141">
        <f>IF(offer_sale_type="транзит",IFERROR(ROUNDUP(VLOOKUP($B1843,calc_data,N$14+1,0),2),0),0)</f>
        <v/>
      </c>
      <c r="O1843" s="147">
        <f>IF(offer_sale_type="транзит",IFERROR(ROUND(VLOOKUP($B1843,calc_data,O$14+1,1),2),0),0)</f>
        <v/>
      </c>
      <c r="P1843" s="141">
        <f>IF(offer_sale_type="транзит",IFERROR(ROUND(SUM(I1843:J1843,M1843:O1843)/E1843,2),0),0)</f>
        <v/>
      </c>
      <c r="Q1843" s="141">
        <f>E1843*P1843</f>
        <v/>
      </c>
      <c r="R1843" s="141">
        <f>ROUND(Q1843*IF(AND(offer_incoterms="DDP",seller_region="RU"),IF((TODAY()+offer_turnaround_time)&gt;=helpsheet!$L$17,rate_vatRU_from_26,rate_vatRu_till_25),0),2)</f>
        <v/>
      </c>
      <c r="S1843" s="177">
        <f>Q1843+IF(AND(offer_incoterms="DDP",seller_region="RU"),R1843,0)</f>
        <v/>
      </c>
      <c r="T1843" s="45" t="n"/>
      <c r="V1843" s="57">
        <f>IF(Q1843&gt;0,"показать","скрыть")</f>
        <v/>
      </c>
    </row>
    <row r="1844" ht="15.75" customHeight="1">
      <c r="B1844" s="809" t="n">
        <v>1828</v>
      </c>
      <c r="C1844" s="182">
        <f>IF(offer_sale_type="транзит",IFERROR(VLOOKUP($B1844,calc_data,C$14+1,0),0),0)</f>
        <v/>
      </c>
      <c r="D1844" s="280">
        <f>IF(offer_sale_type="транзит",IFERROR(VLOOKUP($B1844,calc_data,D$14+1,0),0),0)</f>
        <v/>
      </c>
      <c r="E1844" s="182">
        <f>IF(offer_sale_type="транзит",IFERROR(VLOOKUP($B1844,calc_data,E$14+1,0),0),0)</f>
        <v/>
      </c>
      <c r="F1844" s="182">
        <f>IF(offer_sale_type="транзит",IFERROR(VLOOKUP($B1844,calc_data,F$14+1,0),0),0)</f>
        <v/>
      </c>
      <c r="G1844" s="141">
        <f>IF(offer_sale_type="транзит",IFERROR(VLOOKUP($B1844,calc_data,G$14+1,0),0),0)</f>
        <v/>
      </c>
      <c r="H1844" s="141">
        <f>E1844*G1844</f>
        <v/>
      </c>
      <c r="I1844" s="141">
        <f>IF(offer_sale_type="транзит",IFERROR(ROUND(VLOOKUP($B1844,calc_data,I$14+1,0),2),0),0)</f>
        <v/>
      </c>
      <c r="J1844" s="141">
        <f>ROUND(IF(offer_sale_type="транзит",IFERROR(VLOOKUP($B1844,calc_data,J$14+1,0),0),0),2)</f>
        <v/>
      </c>
      <c r="K1844" s="142">
        <f>IF(offer_sale_type="транзит",IFERROR(ROUNDUP(VLOOKUP($B1844,calc_data,K$14+1,0),2),0),0)</f>
        <v/>
      </c>
      <c r="L1844" s="184">
        <f>IF(offer_sale_type="транзит",IFERROR(ROUNDUP(VLOOKUP($B1844,calc_data,L$14+1,0),2),0),0)</f>
        <v/>
      </c>
      <c r="M1844" s="141">
        <f>IF(offer_sale_type="транзит",IFERROR(ROUNDUP(VLOOKUP($B1844,calc_data,M$14+1,0),2),0),0)</f>
        <v/>
      </c>
      <c r="N1844" s="141">
        <f>IF(offer_sale_type="транзит",IFERROR(ROUNDUP(VLOOKUP($B1844,calc_data,N$14+1,0),2),0),0)</f>
        <v/>
      </c>
      <c r="O1844" s="147">
        <f>IF(offer_sale_type="транзит",IFERROR(ROUND(VLOOKUP($B1844,calc_data,O$14+1,1),2),0),0)</f>
        <v/>
      </c>
      <c r="P1844" s="141">
        <f>IF(offer_sale_type="транзит",IFERROR(ROUND(SUM(I1844:J1844,M1844:O1844)/E1844,2),0),0)</f>
        <v/>
      </c>
      <c r="Q1844" s="141">
        <f>E1844*P1844</f>
        <v/>
      </c>
      <c r="R1844" s="141">
        <f>ROUND(Q1844*IF(AND(offer_incoterms="DDP",seller_region="RU"),IF((TODAY()+offer_turnaround_time)&gt;=helpsheet!$L$17,rate_vatRU_from_26,rate_vatRu_till_25),0),2)</f>
        <v/>
      </c>
      <c r="S1844" s="177">
        <f>Q1844+IF(AND(offer_incoterms="DDP",seller_region="RU"),R1844,0)</f>
        <v/>
      </c>
      <c r="T1844" s="45" t="n"/>
      <c r="V1844" s="57">
        <f>IF(Q1844&gt;0,"показать","скрыть")</f>
        <v/>
      </c>
    </row>
    <row r="1845" ht="15.75" customHeight="1">
      <c r="B1845" s="809" t="n">
        <v>1829</v>
      </c>
      <c r="C1845" s="182">
        <f>IF(offer_sale_type="транзит",IFERROR(VLOOKUP($B1845,calc_data,C$14+1,0),0),0)</f>
        <v/>
      </c>
      <c r="D1845" s="280">
        <f>IF(offer_sale_type="транзит",IFERROR(VLOOKUP($B1845,calc_data,D$14+1,0),0),0)</f>
        <v/>
      </c>
      <c r="E1845" s="182">
        <f>IF(offer_sale_type="транзит",IFERROR(VLOOKUP($B1845,calc_data,E$14+1,0),0),0)</f>
        <v/>
      </c>
      <c r="F1845" s="182">
        <f>IF(offer_sale_type="транзит",IFERROR(VLOOKUP($B1845,calc_data,F$14+1,0),0),0)</f>
        <v/>
      </c>
      <c r="G1845" s="141">
        <f>IF(offer_sale_type="транзит",IFERROR(VLOOKUP($B1845,calc_data,G$14+1,0),0),0)</f>
        <v/>
      </c>
      <c r="H1845" s="141">
        <f>E1845*G1845</f>
        <v/>
      </c>
      <c r="I1845" s="141">
        <f>IF(offer_sale_type="транзит",IFERROR(ROUND(VLOOKUP($B1845,calc_data,I$14+1,0),2),0),0)</f>
        <v/>
      </c>
      <c r="J1845" s="141">
        <f>ROUND(IF(offer_sale_type="транзит",IFERROR(VLOOKUP($B1845,calc_data,J$14+1,0),0),0),2)</f>
        <v/>
      </c>
      <c r="K1845" s="142">
        <f>IF(offer_sale_type="транзит",IFERROR(ROUNDUP(VLOOKUP($B1845,calc_data,K$14+1,0),2),0),0)</f>
        <v/>
      </c>
      <c r="L1845" s="184">
        <f>IF(offer_sale_type="транзит",IFERROR(ROUNDUP(VLOOKUP($B1845,calc_data,L$14+1,0),2),0),0)</f>
        <v/>
      </c>
      <c r="M1845" s="141">
        <f>IF(offer_sale_type="транзит",IFERROR(ROUNDUP(VLOOKUP($B1845,calc_data,M$14+1,0),2),0),0)</f>
        <v/>
      </c>
      <c r="N1845" s="141">
        <f>IF(offer_sale_type="транзит",IFERROR(ROUNDUP(VLOOKUP($B1845,calc_data,N$14+1,0),2),0),0)</f>
        <v/>
      </c>
      <c r="O1845" s="147">
        <f>IF(offer_sale_type="транзит",IFERROR(ROUND(VLOOKUP($B1845,calc_data,O$14+1,1),2),0),0)</f>
        <v/>
      </c>
      <c r="P1845" s="141">
        <f>IF(offer_sale_type="транзит",IFERROR(ROUND(SUM(I1845:J1845,M1845:O1845)/E1845,2),0),0)</f>
        <v/>
      </c>
      <c r="Q1845" s="141">
        <f>E1845*P1845</f>
        <v/>
      </c>
      <c r="R1845" s="141">
        <f>ROUND(Q1845*IF(AND(offer_incoterms="DDP",seller_region="RU"),IF((TODAY()+offer_turnaround_time)&gt;=helpsheet!$L$17,rate_vatRU_from_26,rate_vatRu_till_25),0),2)</f>
        <v/>
      </c>
      <c r="S1845" s="177">
        <f>Q1845+IF(AND(offer_incoterms="DDP",seller_region="RU"),R1845,0)</f>
        <v/>
      </c>
      <c r="T1845" s="45" t="n"/>
      <c r="V1845" s="57">
        <f>IF(Q1845&gt;0,"показать","скрыть")</f>
        <v/>
      </c>
    </row>
    <row r="1846" ht="15.75" customHeight="1">
      <c r="B1846" s="809" t="n">
        <v>1830</v>
      </c>
      <c r="C1846" s="182">
        <f>IF(offer_sale_type="транзит",IFERROR(VLOOKUP($B1846,calc_data,C$14+1,0),0),0)</f>
        <v/>
      </c>
      <c r="D1846" s="280">
        <f>IF(offer_sale_type="транзит",IFERROR(VLOOKUP($B1846,calc_data,D$14+1,0),0),0)</f>
        <v/>
      </c>
      <c r="E1846" s="182">
        <f>IF(offer_sale_type="транзит",IFERROR(VLOOKUP($B1846,calc_data,E$14+1,0),0),0)</f>
        <v/>
      </c>
      <c r="F1846" s="182">
        <f>IF(offer_sale_type="транзит",IFERROR(VLOOKUP($B1846,calc_data,F$14+1,0),0),0)</f>
        <v/>
      </c>
      <c r="G1846" s="141">
        <f>IF(offer_sale_type="транзит",IFERROR(VLOOKUP($B1846,calc_data,G$14+1,0),0),0)</f>
        <v/>
      </c>
      <c r="H1846" s="141">
        <f>E1846*G1846</f>
        <v/>
      </c>
      <c r="I1846" s="141">
        <f>IF(offer_sale_type="транзит",IFERROR(ROUND(VLOOKUP($B1846,calc_data,I$14+1,0),2),0),0)</f>
        <v/>
      </c>
      <c r="J1846" s="141">
        <f>ROUND(IF(offer_sale_type="транзит",IFERROR(VLOOKUP($B1846,calc_data,J$14+1,0),0),0),2)</f>
        <v/>
      </c>
      <c r="K1846" s="142">
        <f>IF(offer_sale_type="транзит",IFERROR(ROUNDUP(VLOOKUP($B1846,calc_data,K$14+1,0),2),0),0)</f>
        <v/>
      </c>
      <c r="L1846" s="184">
        <f>IF(offer_sale_type="транзит",IFERROR(ROUNDUP(VLOOKUP($B1846,calc_data,L$14+1,0),2),0),0)</f>
        <v/>
      </c>
      <c r="M1846" s="141">
        <f>IF(offer_sale_type="транзит",IFERROR(ROUNDUP(VLOOKUP($B1846,calc_data,M$14+1,0),2),0),0)</f>
        <v/>
      </c>
      <c r="N1846" s="141">
        <f>IF(offer_sale_type="транзит",IFERROR(ROUNDUP(VLOOKUP($B1846,calc_data,N$14+1,0),2),0),0)</f>
        <v/>
      </c>
      <c r="O1846" s="147">
        <f>IF(offer_sale_type="транзит",IFERROR(ROUND(VLOOKUP($B1846,calc_data,O$14+1,1),2),0),0)</f>
        <v/>
      </c>
      <c r="P1846" s="141">
        <f>IF(offer_sale_type="транзит",IFERROR(ROUND(SUM(I1846:J1846,M1846:O1846)/E1846,2),0),0)</f>
        <v/>
      </c>
      <c r="Q1846" s="141">
        <f>E1846*P1846</f>
        <v/>
      </c>
      <c r="R1846" s="141">
        <f>ROUND(Q1846*IF(AND(offer_incoterms="DDP",seller_region="RU"),IF((TODAY()+offer_turnaround_time)&gt;=helpsheet!$L$17,rate_vatRU_from_26,rate_vatRu_till_25),0),2)</f>
        <v/>
      </c>
      <c r="S1846" s="177">
        <f>Q1846+IF(AND(offer_incoterms="DDP",seller_region="RU"),R1846,0)</f>
        <v/>
      </c>
      <c r="T1846" s="45" t="n"/>
      <c r="V1846" s="57">
        <f>IF(Q1846&gt;0,"показать","скрыть")</f>
        <v/>
      </c>
    </row>
    <row r="1847" ht="15.75" customHeight="1">
      <c r="B1847" s="809" t="n">
        <v>1831</v>
      </c>
      <c r="C1847" s="182">
        <f>IF(offer_sale_type="транзит",IFERROR(VLOOKUP($B1847,calc_data,C$14+1,0),0),0)</f>
        <v/>
      </c>
      <c r="D1847" s="280">
        <f>IF(offer_sale_type="транзит",IFERROR(VLOOKUP($B1847,calc_data,D$14+1,0),0),0)</f>
        <v/>
      </c>
      <c r="E1847" s="182">
        <f>IF(offer_sale_type="транзит",IFERROR(VLOOKUP($B1847,calc_data,E$14+1,0),0),0)</f>
        <v/>
      </c>
      <c r="F1847" s="182">
        <f>IF(offer_sale_type="транзит",IFERROR(VLOOKUP($B1847,calc_data,F$14+1,0),0),0)</f>
        <v/>
      </c>
      <c r="G1847" s="141">
        <f>IF(offer_sale_type="транзит",IFERROR(VLOOKUP($B1847,calc_data,G$14+1,0),0),0)</f>
        <v/>
      </c>
      <c r="H1847" s="141">
        <f>E1847*G1847</f>
        <v/>
      </c>
      <c r="I1847" s="141">
        <f>IF(offer_sale_type="транзит",IFERROR(ROUND(VLOOKUP($B1847,calc_data,I$14+1,0),2),0),0)</f>
        <v/>
      </c>
      <c r="J1847" s="141">
        <f>ROUND(IF(offer_sale_type="транзит",IFERROR(VLOOKUP($B1847,calc_data,J$14+1,0),0),0),2)</f>
        <v/>
      </c>
      <c r="K1847" s="142">
        <f>IF(offer_sale_type="транзит",IFERROR(ROUNDUP(VLOOKUP($B1847,calc_data,K$14+1,0),2),0),0)</f>
        <v/>
      </c>
      <c r="L1847" s="184">
        <f>IF(offer_sale_type="транзит",IFERROR(ROUNDUP(VLOOKUP($B1847,calc_data,L$14+1,0),2),0),0)</f>
        <v/>
      </c>
      <c r="M1847" s="141">
        <f>IF(offer_sale_type="транзит",IFERROR(ROUNDUP(VLOOKUP($B1847,calc_data,M$14+1,0),2),0),0)</f>
        <v/>
      </c>
      <c r="N1847" s="141">
        <f>IF(offer_sale_type="транзит",IFERROR(ROUNDUP(VLOOKUP($B1847,calc_data,N$14+1,0),2),0),0)</f>
        <v/>
      </c>
      <c r="O1847" s="147">
        <f>IF(offer_sale_type="транзит",IFERROR(ROUND(VLOOKUP($B1847,calc_data,O$14+1,1),2),0),0)</f>
        <v/>
      </c>
      <c r="P1847" s="141">
        <f>IF(offer_sale_type="транзит",IFERROR(ROUND(SUM(I1847:J1847,M1847:O1847)/E1847,2),0),0)</f>
        <v/>
      </c>
      <c r="Q1847" s="141">
        <f>E1847*P1847</f>
        <v/>
      </c>
      <c r="R1847" s="141">
        <f>ROUND(Q1847*IF(AND(offer_incoterms="DDP",seller_region="RU"),IF((TODAY()+offer_turnaround_time)&gt;=helpsheet!$L$17,rate_vatRU_from_26,rate_vatRu_till_25),0),2)</f>
        <v/>
      </c>
      <c r="S1847" s="177">
        <f>Q1847+IF(AND(offer_incoterms="DDP",seller_region="RU"),R1847,0)</f>
        <v/>
      </c>
      <c r="T1847" s="45" t="n"/>
      <c r="V1847" s="57">
        <f>IF(Q1847&gt;0,"показать","скрыть")</f>
        <v/>
      </c>
    </row>
    <row r="1848" ht="15.75" customHeight="1">
      <c r="B1848" s="809" t="n">
        <v>1832</v>
      </c>
      <c r="C1848" s="182">
        <f>IF(offer_sale_type="транзит",IFERROR(VLOOKUP($B1848,calc_data,C$14+1,0),0),0)</f>
        <v/>
      </c>
      <c r="D1848" s="280">
        <f>IF(offer_sale_type="транзит",IFERROR(VLOOKUP($B1848,calc_data,D$14+1,0),0),0)</f>
        <v/>
      </c>
      <c r="E1848" s="182">
        <f>IF(offer_sale_type="транзит",IFERROR(VLOOKUP($B1848,calc_data,E$14+1,0),0),0)</f>
        <v/>
      </c>
      <c r="F1848" s="182">
        <f>IF(offer_sale_type="транзит",IFERROR(VLOOKUP($B1848,calc_data,F$14+1,0),0),0)</f>
        <v/>
      </c>
      <c r="G1848" s="141">
        <f>IF(offer_sale_type="транзит",IFERROR(VLOOKUP($B1848,calc_data,G$14+1,0),0),0)</f>
        <v/>
      </c>
      <c r="H1848" s="141">
        <f>E1848*G1848</f>
        <v/>
      </c>
      <c r="I1848" s="141">
        <f>IF(offer_sale_type="транзит",IFERROR(ROUND(VLOOKUP($B1848,calc_data,I$14+1,0),2),0),0)</f>
        <v/>
      </c>
      <c r="J1848" s="141">
        <f>ROUND(IF(offer_sale_type="транзит",IFERROR(VLOOKUP($B1848,calc_data,J$14+1,0),0),0),2)</f>
        <v/>
      </c>
      <c r="K1848" s="142">
        <f>IF(offer_sale_type="транзит",IFERROR(ROUNDUP(VLOOKUP($B1848,calc_data,K$14+1,0),2),0),0)</f>
        <v/>
      </c>
      <c r="L1848" s="184">
        <f>IF(offer_sale_type="транзит",IFERROR(ROUNDUP(VLOOKUP($B1848,calc_data,L$14+1,0),2),0),0)</f>
        <v/>
      </c>
      <c r="M1848" s="141">
        <f>IF(offer_sale_type="транзит",IFERROR(ROUNDUP(VLOOKUP($B1848,calc_data,M$14+1,0),2),0),0)</f>
        <v/>
      </c>
      <c r="N1848" s="141">
        <f>IF(offer_sale_type="транзит",IFERROR(ROUNDUP(VLOOKUP($B1848,calc_data,N$14+1,0),2),0),0)</f>
        <v/>
      </c>
      <c r="O1848" s="147">
        <f>IF(offer_sale_type="транзит",IFERROR(ROUND(VLOOKUP($B1848,calc_data,O$14+1,1),2),0),0)</f>
        <v/>
      </c>
      <c r="P1848" s="141">
        <f>IF(offer_sale_type="транзит",IFERROR(ROUND(SUM(I1848:J1848,M1848:O1848)/E1848,2),0),0)</f>
        <v/>
      </c>
      <c r="Q1848" s="141">
        <f>E1848*P1848</f>
        <v/>
      </c>
      <c r="R1848" s="141">
        <f>ROUND(Q1848*IF(AND(offer_incoterms="DDP",seller_region="RU"),IF((TODAY()+offer_turnaround_time)&gt;=helpsheet!$L$17,rate_vatRU_from_26,rate_vatRu_till_25),0),2)</f>
        <v/>
      </c>
      <c r="S1848" s="177">
        <f>Q1848+IF(AND(offer_incoterms="DDP",seller_region="RU"),R1848,0)</f>
        <v/>
      </c>
      <c r="T1848" s="45" t="n"/>
      <c r="V1848" s="57">
        <f>IF(Q1848&gt;0,"показать","скрыть")</f>
        <v/>
      </c>
    </row>
    <row r="1849" ht="15.75" customHeight="1">
      <c r="B1849" s="809" t="n">
        <v>1833</v>
      </c>
      <c r="C1849" s="182">
        <f>IF(offer_sale_type="транзит",IFERROR(VLOOKUP($B1849,calc_data,C$14+1,0),0),0)</f>
        <v/>
      </c>
      <c r="D1849" s="280">
        <f>IF(offer_sale_type="транзит",IFERROR(VLOOKUP($B1849,calc_data,D$14+1,0),0),0)</f>
        <v/>
      </c>
      <c r="E1849" s="182">
        <f>IF(offer_sale_type="транзит",IFERROR(VLOOKUP($B1849,calc_data,E$14+1,0),0),0)</f>
        <v/>
      </c>
      <c r="F1849" s="182">
        <f>IF(offer_sale_type="транзит",IFERROR(VLOOKUP($B1849,calc_data,F$14+1,0),0),0)</f>
        <v/>
      </c>
      <c r="G1849" s="141">
        <f>IF(offer_sale_type="транзит",IFERROR(VLOOKUP($B1849,calc_data,G$14+1,0),0),0)</f>
        <v/>
      </c>
      <c r="H1849" s="141">
        <f>E1849*G1849</f>
        <v/>
      </c>
      <c r="I1849" s="141">
        <f>IF(offer_sale_type="транзит",IFERROR(ROUND(VLOOKUP($B1849,calc_data,I$14+1,0),2),0),0)</f>
        <v/>
      </c>
      <c r="J1849" s="141">
        <f>ROUND(IF(offer_sale_type="транзит",IFERROR(VLOOKUP($B1849,calc_data,J$14+1,0),0),0),2)</f>
        <v/>
      </c>
      <c r="K1849" s="142">
        <f>IF(offer_sale_type="транзит",IFERROR(ROUNDUP(VLOOKUP($B1849,calc_data,K$14+1,0),2),0),0)</f>
        <v/>
      </c>
      <c r="L1849" s="184">
        <f>IF(offer_sale_type="транзит",IFERROR(ROUNDUP(VLOOKUP($B1849,calc_data,L$14+1,0),2),0),0)</f>
        <v/>
      </c>
      <c r="M1849" s="141">
        <f>IF(offer_sale_type="транзит",IFERROR(ROUNDUP(VLOOKUP($B1849,calc_data,M$14+1,0),2),0),0)</f>
        <v/>
      </c>
      <c r="N1849" s="141">
        <f>IF(offer_sale_type="транзит",IFERROR(ROUNDUP(VLOOKUP($B1849,calc_data,N$14+1,0),2),0),0)</f>
        <v/>
      </c>
      <c r="O1849" s="147">
        <f>IF(offer_sale_type="транзит",IFERROR(ROUND(VLOOKUP($B1849,calc_data,O$14+1,1),2),0),0)</f>
        <v/>
      </c>
      <c r="P1849" s="141">
        <f>IF(offer_sale_type="транзит",IFERROR(ROUND(SUM(I1849:J1849,M1849:O1849)/E1849,2),0),0)</f>
        <v/>
      </c>
      <c r="Q1849" s="141">
        <f>E1849*P1849</f>
        <v/>
      </c>
      <c r="R1849" s="141">
        <f>ROUND(Q1849*IF(AND(offer_incoterms="DDP",seller_region="RU"),IF((TODAY()+offer_turnaround_time)&gt;=helpsheet!$L$17,rate_vatRU_from_26,rate_vatRu_till_25),0),2)</f>
        <v/>
      </c>
      <c r="S1849" s="177">
        <f>Q1849+IF(AND(offer_incoterms="DDP",seller_region="RU"),R1849,0)</f>
        <v/>
      </c>
      <c r="T1849" s="45" t="n"/>
      <c r="V1849" s="57">
        <f>IF(Q1849&gt;0,"показать","скрыть")</f>
        <v/>
      </c>
    </row>
    <row r="1850" ht="15.75" customHeight="1">
      <c r="B1850" s="809" t="n">
        <v>1834</v>
      </c>
      <c r="C1850" s="182">
        <f>IF(offer_sale_type="транзит",IFERROR(VLOOKUP($B1850,calc_data,C$14+1,0),0),0)</f>
        <v/>
      </c>
      <c r="D1850" s="280">
        <f>IF(offer_sale_type="транзит",IFERROR(VLOOKUP($B1850,calc_data,D$14+1,0),0),0)</f>
        <v/>
      </c>
      <c r="E1850" s="182">
        <f>IF(offer_sale_type="транзит",IFERROR(VLOOKUP($B1850,calc_data,E$14+1,0),0),0)</f>
        <v/>
      </c>
      <c r="F1850" s="182">
        <f>IF(offer_sale_type="транзит",IFERROR(VLOOKUP($B1850,calc_data,F$14+1,0),0),0)</f>
        <v/>
      </c>
      <c r="G1850" s="141">
        <f>IF(offer_sale_type="транзит",IFERROR(VLOOKUP($B1850,calc_data,G$14+1,0),0),0)</f>
        <v/>
      </c>
      <c r="H1850" s="141">
        <f>E1850*G1850</f>
        <v/>
      </c>
      <c r="I1850" s="141">
        <f>IF(offer_sale_type="транзит",IFERROR(ROUND(VLOOKUP($B1850,calc_data,I$14+1,0),2),0),0)</f>
        <v/>
      </c>
      <c r="J1850" s="141">
        <f>ROUND(IF(offer_sale_type="транзит",IFERROR(VLOOKUP($B1850,calc_data,J$14+1,0),0),0),2)</f>
        <v/>
      </c>
      <c r="K1850" s="142">
        <f>IF(offer_sale_type="транзит",IFERROR(ROUNDUP(VLOOKUP($B1850,calc_data,K$14+1,0),2),0),0)</f>
        <v/>
      </c>
      <c r="L1850" s="184">
        <f>IF(offer_sale_type="транзит",IFERROR(ROUNDUP(VLOOKUP($B1850,calc_data,L$14+1,0),2),0),0)</f>
        <v/>
      </c>
      <c r="M1850" s="141">
        <f>IF(offer_sale_type="транзит",IFERROR(ROUNDUP(VLOOKUP($B1850,calc_data,M$14+1,0),2),0),0)</f>
        <v/>
      </c>
      <c r="N1850" s="141">
        <f>IF(offer_sale_type="транзит",IFERROR(ROUNDUP(VLOOKUP($B1850,calc_data,N$14+1,0),2),0),0)</f>
        <v/>
      </c>
      <c r="O1850" s="147">
        <f>IF(offer_sale_type="транзит",IFERROR(ROUND(VLOOKUP($B1850,calc_data,O$14+1,1),2),0),0)</f>
        <v/>
      </c>
      <c r="P1850" s="141">
        <f>IF(offer_sale_type="транзит",IFERROR(ROUND(SUM(I1850:J1850,M1850:O1850)/E1850,2),0),0)</f>
        <v/>
      </c>
      <c r="Q1850" s="141">
        <f>E1850*P1850</f>
        <v/>
      </c>
      <c r="R1850" s="141">
        <f>ROUND(Q1850*IF(AND(offer_incoterms="DDP",seller_region="RU"),IF((TODAY()+offer_turnaround_time)&gt;=helpsheet!$L$17,rate_vatRU_from_26,rate_vatRu_till_25),0),2)</f>
        <v/>
      </c>
      <c r="S1850" s="177">
        <f>Q1850+IF(AND(offer_incoterms="DDP",seller_region="RU"),R1850,0)</f>
        <v/>
      </c>
      <c r="T1850" s="45" t="n"/>
      <c r="V1850" s="57">
        <f>IF(Q1850&gt;0,"показать","скрыть")</f>
        <v/>
      </c>
    </row>
    <row r="1851" ht="15.75" customHeight="1">
      <c r="B1851" s="809" t="n">
        <v>1835</v>
      </c>
      <c r="C1851" s="182">
        <f>IF(offer_sale_type="транзит",IFERROR(VLOOKUP($B1851,calc_data,C$14+1,0),0),0)</f>
        <v/>
      </c>
      <c r="D1851" s="280">
        <f>IF(offer_sale_type="транзит",IFERROR(VLOOKUP($B1851,calc_data,D$14+1,0),0),0)</f>
        <v/>
      </c>
      <c r="E1851" s="182">
        <f>IF(offer_sale_type="транзит",IFERROR(VLOOKUP($B1851,calc_data,E$14+1,0),0),0)</f>
        <v/>
      </c>
      <c r="F1851" s="182">
        <f>IF(offer_sale_type="транзит",IFERROR(VLOOKUP($B1851,calc_data,F$14+1,0),0),0)</f>
        <v/>
      </c>
      <c r="G1851" s="141">
        <f>IF(offer_sale_type="транзит",IFERROR(VLOOKUP($B1851,calc_data,G$14+1,0),0),0)</f>
        <v/>
      </c>
      <c r="H1851" s="141">
        <f>E1851*G1851</f>
        <v/>
      </c>
      <c r="I1851" s="141">
        <f>IF(offer_sale_type="транзит",IFERROR(ROUND(VLOOKUP($B1851,calc_data,I$14+1,0),2),0),0)</f>
        <v/>
      </c>
      <c r="J1851" s="141">
        <f>ROUND(IF(offer_sale_type="транзит",IFERROR(VLOOKUP($B1851,calc_data,J$14+1,0),0),0),2)</f>
        <v/>
      </c>
      <c r="K1851" s="142">
        <f>IF(offer_sale_type="транзит",IFERROR(ROUNDUP(VLOOKUP($B1851,calc_data,K$14+1,0),2),0),0)</f>
        <v/>
      </c>
      <c r="L1851" s="184">
        <f>IF(offer_sale_type="транзит",IFERROR(ROUNDUP(VLOOKUP($B1851,calc_data,L$14+1,0),2),0),0)</f>
        <v/>
      </c>
      <c r="M1851" s="141">
        <f>IF(offer_sale_type="транзит",IFERROR(ROUNDUP(VLOOKUP($B1851,calc_data,M$14+1,0),2),0),0)</f>
        <v/>
      </c>
      <c r="N1851" s="141">
        <f>IF(offer_sale_type="транзит",IFERROR(ROUNDUP(VLOOKUP($B1851,calc_data,N$14+1,0),2),0),0)</f>
        <v/>
      </c>
      <c r="O1851" s="147">
        <f>IF(offer_sale_type="транзит",IFERROR(ROUND(VLOOKUP($B1851,calc_data,O$14+1,1),2),0),0)</f>
        <v/>
      </c>
      <c r="P1851" s="141">
        <f>IF(offer_sale_type="транзит",IFERROR(ROUND(SUM(I1851:J1851,M1851:O1851)/E1851,2),0),0)</f>
        <v/>
      </c>
      <c r="Q1851" s="141">
        <f>E1851*P1851</f>
        <v/>
      </c>
      <c r="R1851" s="141">
        <f>ROUND(Q1851*IF(AND(offer_incoterms="DDP",seller_region="RU"),IF((TODAY()+offer_turnaround_time)&gt;=helpsheet!$L$17,rate_vatRU_from_26,rate_vatRu_till_25),0),2)</f>
        <v/>
      </c>
      <c r="S1851" s="177">
        <f>Q1851+IF(AND(offer_incoterms="DDP",seller_region="RU"),R1851,0)</f>
        <v/>
      </c>
      <c r="T1851" s="45" t="n"/>
      <c r="V1851" s="57">
        <f>IF(Q1851&gt;0,"показать","скрыть")</f>
        <v/>
      </c>
    </row>
    <row r="1852" ht="15.75" customHeight="1">
      <c r="B1852" s="809" t="n">
        <v>1836</v>
      </c>
      <c r="C1852" s="182">
        <f>IF(offer_sale_type="транзит",IFERROR(VLOOKUP($B1852,calc_data,C$14+1,0),0),0)</f>
        <v/>
      </c>
      <c r="D1852" s="280">
        <f>IF(offer_sale_type="транзит",IFERROR(VLOOKUP($B1852,calc_data,D$14+1,0),0),0)</f>
        <v/>
      </c>
      <c r="E1852" s="182">
        <f>IF(offer_sale_type="транзит",IFERROR(VLOOKUP($B1852,calc_data,E$14+1,0),0),0)</f>
        <v/>
      </c>
      <c r="F1852" s="182">
        <f>IF(offer_sale_type="транзит",IFERROR(VLOOKUP($B1852,calc_data,F$14+1,0),0),0)</f>
        <v/>
      </c>
      <c r="G1852" s="141">
        <f>IF(offer_sale_type="транзит",IFERROR(VLOOKUP($B1852,calc_data,G$14+1,0),0),0)</f>
        <v/>
      </c>
      <c r="H1852" s="141">
        <f>E1852*G1852</f>
        <v/>
      </c>
      <c r="I1852" s="141">
        <f>IF(offer_sale_type="транзит",IFERROR(ROUND(VLOOKUP($B1852,calc_data,I$14+1,0),2),0),0)</f>
        <v/>
      </c>
      <c r="J1852" s="141">
        <f>ROUND(IF(offer_sale_type="транзит",IFERROR(VLOOKUP($B1852,calc_data,J$14+1,0),0),0),2)</f>
        <v/>
      </c>
      <c r="K1852" s="142">
        <f>IF(offer_sale_type="транзит",IFERROR(ROUNDUP(VLOOKUP($B1852,calc_data,K$14+1,0),2),0),0)</f>
        <v/>
      </c>
      <c r="L1852" s="184">
        <f>IF(offer_sale_type="транзит",IFERROR(ROUNDUP(VLOOKUP($B1852,calc_data,L$14+1,0),2),0),0)</f>
        <v/>
      </c>
      <c r="M1852" s="141">
        <f>IF(offer_sale_type="транзит",IFERROR(ROUNDUP(VLOOKUP($B1852,calc_data,M$14+1,0),2),0),0)</f>
        <v/>
      </c>
      <c r="N1852" s="141">
        <f>IF(offer_sale_type="транзит",IFERROR(ROUNDUP(VLOOKUP($B1852,calc_data,N$14+1,0),2),0),0)</f>
        <v/>
      </c>
      <c r="O1852" s="147">
        <f>IF(offer_sale_type="транзит",IFERROR(ROUND(VLOOKUP($B1852,calc_data,O$14+1,1),2),0),0)</f>
        <v/>
      </c>
      <c r="P1852" s="141">
        <f>IF(offer_sale_type="транзит",IFERROR(ROUND(SUM(I1852:J1852,M1852:O1852)/E1852,2),0),0)</f>
        <v/>
      </c>
      <c r="Q1852" s="141">
        <f>E1852*P1852</f>
        <v/>
      </c>
      <c r="R1852" s="141">
        <f>ROUND(Q1852*IF(AND(offer_incoterms="DDP",seller_region="RU"),IF((TODAY()+offer_turnaround_time)&gt;=helpsheet!$L$17,rate_vatRU_from_26,rate_vatRu_till_25),0),2)</f>
        <v/>
      </c>
      <c r="S1852" s="177">
        <f>Q1852+IF(AND(offer_incoterms="DDP",seller_region="RU"),R1852,0)</f>
        <v/>
      </c>
      <c r="T1852" s="45" t="n"/>
      <c r="V1852" s="57">
        <f>IF(Q1852&gt;0,"показать","скрыть")</f>
        <v/>
      </c>
    </row>
    <row r="1853" ht="15.75" customHeight="1">
      <c r="B1853" s="809" t="n">
        <v>1837</v>
      </c>
      <c r="C1853" s="182">
        <f>IF(offer_sale_type="транзит",IFERROR(VLOOKUP($B1853,calc_data,C$14+1,0),0),0)</f>
        <v/>
      </c>
      <c r="D1853" s="280">
        <f>IF(offer_sale_type="транзит",IFERROR(VLOOKUP($B1853,calc_data,D$14+1,0),0),0)</f>
        <v/>
      </c>
      <c r="E1853" s="182">
        <f>IF(offer_sale_type="транзит",IFERROR(VLOOKUP($B1853,calc_data,E$14+1,0),0),0)</f>
        <v/>
      </c>
      <c r="F1853" s="182">
        <f>IF(offer_sale_type="транзит",IFERROR(VLOOKUP($B1853,calc_data,F$14+1,0),0),0)</f>
        <v/>
      </c>
      <c r="G1853" s="141">
        <f>IF(offer_sale_type="транзит",IFERROR(VLOOKUP($B1853,calc_data,G$14+1,0),0),0)</f>
        <v/>
      </c>
      <c r="H1853" s="141">
        <f>E1853*G1853</f>
        <v/>
      </c>
      <c r="I1853" s="141">
        <f>IF(offer_sale_type="транзит",IFERROR(ROUND(VLOOKUP($B1853,calc_data,I$14+1,0),2),0),0)</f>
        <v/>
      </c>
      <c r="J1853" s="141">
        <f>ROUND(IF(offer_sale_type="транзит",IFERROR(VLOOKUP($B1853,calc_data,J$14+1,0),0),0),2)</f>
        <v/>
      </c>
      <c r="K1853" s="142">
        <f>IF(offer_sale_type="транзит",IFERROR(ROUNDUP(VLOOKUP($B1853,calc_data,K$14+1,0),2),0),0)</f>
        <v/>
      </c>
      <c r="L1853" s="184">
        <f>IF(offer_sale_type="транзит",IFERROR(ROUNDUP(VLOOKUP($B1853,calc_data,L$14+1,0),2),0),0)</f>
        <v/>
      </c>
      <c r="M1853" s="141">
        <f>IF(offer_sale_type="транзит",IFERROR(ROUNDUP(VLOOKUP($B1853,calc_data,M$14+1,0),2),0),0)</f>
        <v/>
      </c>
      <c r="N1853" s="141">
        <f>IF(offer_sale_type="транзит",IFERROR(ROUNDUP(VLOOKUP($B1853,calc_data,N$14+1,0),2),0),0)</f>
        <v/>
      </c>
      <c r="O1853" s="147">
        <f>IF(offer_sale_type="транзит",IFERROR(ROUND(VLOOKUP($B1853,calc_data,O$14+1,1),2),0),0)</f>
        <v/>
      </c>
      <c r="P1853" s="141">
        <f>IF(offer_sale_type="транзит",IFERROR(ROUND(SUM(I1853:J1853,M1853:O1853)/E1853,2),0),0)</f>
        <v/>
      </c>
      <c r="Q1853" s="141">
        <f>E1853*P1853</f>
        <v/>
      </c>
      <c r="R1853" s="141">
        <f>ROUND(Q1853*IF(AND(offer_incoterms="DDP",seller_region="RU"),IF((TODAY()+offer_turnaround_time)&gt;=helpsheet!$L$17,rate_vatRU_from_26,rate_vatRu_till_25),0),2)</f>
        <v/>
      </c>
      <c r="S1853" s="177">
        <f>Q1853+IF(AND(offer_incoterms="DDP",seller_region="RU"),R1853,0)</f>
        <v/>
      </c>
      <c r="T1853" s="45" t="n"/>
      <c r="V1853" s="57">
        <f>IF(Q1853&gt;0,"показать","скрыть")</f>
        <v/>
      </c>
    </row>
    <row r="1854" ht="15.75" customHeight="1">
      <c r="B1854" s="809" t="n">
        <v>1838</v>
      </c>
      <c r="C1854" s="182">
        <f>IF(offer_sale_type="транзит",IFERROR(VLOOKUP($B1854,calc_data,C$14+1,0),0),0)</f>
        <v/>
      </c>
      <c r="D1854" s="280">
        <f>IF(offer_sale_type="транзит",IFERROR(VLOOKUP($B1854,calc_data,D$14+1,0),0),0)</f>
        <v/>
      </c>
      <c r="E1854" s="182">
        <f>IF(offer_sale_type="транзит",IFERROR(VLOOKUP($B1854,calc_data,E$14+1,0),0),0)</f>
        <v/>
      </c>
      <c r="F1854" s="182">
        <f>IF(offer_sale_type="транзит",IFERROR(VLOOKUP($B1854,calc_data,F$14+1,0),0),0)</f>
        <v/>
      </c>
      <c r="G1854" s="141">
        <f>IF(offer_sale_type="транзит",IFERROR(VLOOKUP($B1854,calc_data,G$14+1,0),0),0)</f>
        <v/>
      </c>
      <c r="H1854" s="141">
        <f>E1854*G1854</f>
        <v/>
      </c>
      <c r="I1854" s="141">
        <f>IF(offer_sale_type="транзит",IFERROR(ROUND(VLOOKUP($B1854,calc_data,I$14+1,0),2),0),0)</f>
        <v/>
      </c>
      <c r="J1854" s="141">
        <f>ROUND(IF(offer_sale_type="транзит",IFERROR(VLOOKUP($B1854,calc_data,J$14+1,0),0),0),2)</f>
        <v/>
      </c>
      <c r="K1854" s="142">
        <f>IF(offer_sale_type="транзит",IFERROR(ROUNDUP(VLOOKUP($B1854,calc_data,K$14+1,0),2),0),0)</f>
        <v/>
      </c>
      <c r="L1854" s="184">
        <f>IF(offer_sale_type="транзит",IFERROR(ROUNDUP(VLOOKUP($B1854,calc_data,L$14+1,0),2),0),0)</f>
        <v/>
      </c>
      <c r="M1854" s="141">
        <f>IF(offer_sale_type="транзит",IFERROR(ROUNDUP(VLOOKUP($B1854,calc_data,M$14+1,0),2),0),0)</f>
        <v/>
      </c>
      <c r="N1854" s="141">
        <f>IF(offer_sale_type="транзит",IFERROR(ROUNDUP(VLOOKUP($B1854,calc_data,N$14+1,0),2),0),0)</f>
        <v/>
      </c>
      <c r="O1854" s="147">
        <f>IF(offer_sale_type="транзит",IFERROR(ROUND(VLOOKUP($B1854,calc_data,O$14+1,1),2),0),0)</f>
        <v/>
      </c>
      <c r="P1854" s="141">
        <f>IF(offer_sale_type="транзит",IFERROR(ROUND(SUM(I1854:J1854,M1854:O1854)/E1854,2),0),0)</f>
        <v/>
      </c>
      <c r="Q1854" s="141">
        <f>E1854*P1854</f>
        <v/>
      </c>
      <c r="R1854" s="141">
        <f>ROUND(Q1854*IF(AND(offer_incoterms="DDP",seller_region="RU"),IF((TODAY()+offer_turnaround_time)&gt;=helpsheet!$L$17,rate_vatRU_from_26,rate_vatRu_till_25),0),2)</f>
        <v/>
      </c>
      <c r="S1854" s="177">
        <f>Q1854+IF(AND(offer_incoterms="DDP",seller_region="RU"),R1854,0)</f>
        <v/>
      </c>
      <c r="T1854" s="45" t="n"/>
      <c r="V1854" s="57">
        <f>IF(Q1854&gt;0,"показать","скрыть")</f>
        <v/>
      </c>
    </row>
    <row r="1855" ht="15.75" customHeight="1">
      <c r="B1855" s="809" t="n">
        <v>1839</v>
      </c>
      <c r="C1855" s="182">
        <f>IF(offer_sale_type="транзит",IFERROR(VLOOKUP($B1855,calc_data,C$14+1,0),0),0)</f>
        <v/>
      </c>
      <c r="D1855" s="280">
        <f>IF(offer_sale_type="транзит",IFERROR(VLOOKUP($B1855,calc_data,D$14+1,0),0),0)</f>
        <v/>
      </c>
      <c r="E1855" s="182">
        <f>IF(offer_sale_type="транзит",IFERROR(VLOOKUP($B1855,calc_data,E$14+1,0),0),0)</f>
        <v/>
      </c>
      <c r="F1855" s="182">
        <f>IF(offer_sale_type="транзит",IFERROR(VLOOKUP($B1855,calc_data,F$14+1,0),0),0)</f>
        <v/>
      </c>
      <c r="G1855" s="141">
        <f>IF(offer_sale_type="транзит",IFERROR(VLOOKUP($B1855,calc_data,G$14+1,0),0),0)</f>
        <v/>
      </c>
      <c r="H1855" s="141">
        <f>E1855*G1855</f>
        <v/>
      </c>
      <c r="I1855" s="141">
        <f>IF(offer_sale_type="транзит",IFERROR(ROUND(VLOOKUP($B1855,calc_data,I$14+1,0),2),0),0)</f>
        <v/>
      </c>
      <c r="J1855" s="141">
        <f>ROUND(IF(offer_sale_type="транзит",IFERROR(VLOOKUP($B1855,calc_data,J$14+1,0),0),0),2)</f>
        <v/>
      </c>
      <c r="K1855" s="142">
        <f>IF(offer_sale_type="транзит",IFERROR(ROUNDUP(VLOOKUP($B1855,calc_data,K$14+1,0),2),0),0)</f>
        <v/>
      </c>
      <c r="L1855" s="184">
        <f>IF(offer_sale_type="транзит",IFERROR(ROUNDUP(VLOOKUP($B1855,calc_data,L$14+1,0),2),0),0)</f>
        <v/>
      </c>
      <c r="M1855" s="141">
        <f>IF(offer_sale_type="транзит",IFERROR(ROUNDUP(VLOOKUP($B1855,calc_data,M$14+1,0),2),0),0)</f>
        <v/>
      </c>
      <c r="N1855" s="141">
        <f>IF(offer_sale_type="транзит",IFERROR(ROUNDUP(VLOOKUP($B1855,calc_data,N$14+1,0),2),0),0)</f>
        <v/>
      </c>
      <c r="O1855" s="147">
        <f>IF(offer_sale_type="транзит",IFERROR(ROUND(VLOOKUP($B1855,calc_data,O$14+1,1),2),0),0)</f>
        <v/>
      </c>
      <c r="P1855" s="141">
        <f>IF(offer_sale_type="транзит",IFERROR(ROUND(SUM(I1855:J1855,M1855:O1855)/E1855,2),0),0)</f>
        <v/>
      </c>
      <c r="Q1855" s="141">
        <f>E1855*P1855</f>
        <v/>
      </c>
      <c r="R1855" s="141">
        <f>ROUND(Q1855*IF(AND(offer_incoterms="DDP",seller_region="RU"),IF((TODAY()+offer_turnaround_time)&gt;=helpsheet!$L$17,rate_vatRU_from_26,rate_vatRu_till_25),0),2)</f>
        <v/>
      </c>
      <c r="S1855" s="177">
        <f>Q1855+IF(AND(offer_incoterms="DDP",seller_region="RU"),R1855,0)</f>
        <v/>
      </c>
      <c r="T1855" s="45" t="n"/>
      <c r="V1855" s="57">
        <f>IF(Q1855&gt;0,"показать","скрыть")</f>
        <v/>
      </c>
    </row>
    <row r="1856" ht="15.75" customHeight="1">
      <c r="B1856" s="809" t="n">
        <v>1840</v>
      </c>
      <c r="C1856" s="182">
        <f>IF(offer_sale_type="транзит",IFERROR(VLOOKUP($B1856,calc_data,C$14+1,0),0),0)</f>
        <v/>
      </c>
      <c r="D1856" s="280">
        <f>IF(offer_sale_type="транзит",IFERROR(VLOOKUP($B1856,calc_data,D$14+1,0),0),0)</f>
        <v/>
      </c>
      <c r="E1856" s="182">
        <f>IF(offer_sale_type="транзит",IFERROR(VLOOKUP($B1856,calc_data,E$14+1,0),0),0)</f>
        <v/>
      </c>
      <c r="F1856" s="182">
        <f>IF(offer_sale_type="транзит",IFERROR(VLOOKUP($B1856,calc_data,F$14+1,0),0),0)</f>
        <v/>
      </c>
      <c r="G1856" s="141">
        <f>IF(offer_sale_type="транзит",IFERROR(VLOOKUP($B1856,calc_data,G$14+1,0),0),0)</f>
        <v/>
      </c>
      <c r="H1856" s="141">
        <f>E1856*G1856</f>
        <v/>
      </c>
      <c r="I1856" s="141">
        <f>IF(offer_sale_type="транзит",IFERROR(ROUND(VLOOKUP($B1856,calc_data,I$14+1,0),2),0),0)</f>
        <v/>
      </c>
      <c r="J1856" s="141">
        <f>ROUND(IF(offer_sale_type="транзит",IFERROR(VLOOKUP($B1856,calc_data,J$14+1,0),0),0),2)</f>
        <v/>
      </c>
      <c r="K1856" s="142">
        <f>IF(offer_sale_type="транзит",IFERROR(ROUNDUP(VLOOKUP($B1856,calc_data,K$14+1,0),2),0),0)</f>
        <v/>
      </c>
      <c r="L1856" s="184">
        <f>IF(offer_sale_type="транзит",IFERROR(ROUNDUP(VLOOKUP($B1856,calc_data,L$14+1,0),2),0),0)</f>
        <v/>
      </c>
      <c r="M1856" s="141">
        <f>IF(offer_sale_type="транзит",IFERROR(ROUNDUP(VLOOKUP($B1856,calc_data,M$14+1,0),2),0),0)</f>
        <v/>
      </c>
      <c r="N1856" s="141">
        <f>IF(offer_sale_type="транзит",IFERROR(ROUNDUP(VLOOKUP($B1856,calc_data,N$14+1,0),2),0),0)</f>
        <v/>
      </c>
      <c r="O1856" s="147">
        <f>IF(offer_sale_type="транзит",IFERROR(ROUND(VLOOKUP($B1856,calc_data,O$14+1,1),2),0),0)</f>
        <v/>
      </c>
      <c r="P1856" s="141">
        <f>IF(offer_sale_type="транзит",IFERROR(ROUND(SUM(I1856:J1856,M1856:O1856)/E1856,2),0),0)</f>
        <v/>
      </c>
      <c r="Q1856" s="141">
        <f>E1856*P1856</f>
        <v/>
      </c>
      <c r="R1856" s="141">
        <f>ROUND(Q1856*IF(AND(offer_incoterms="DDP",seller_region="RU"),IF((TODAY()+offer_turnaround_time)&gt;=helpsheet!$L$17,rate_vatRU_from_26,rate_vatRu_till_25),0),2)</f>
        <v/>
      </c>
      <c r="S1856" s="177">
        <f>Q1856+IF(AND(offer_incoterms="DDP",seller_region="RU"),R1856,0)</f>
        <v/>
      </c>
      <c r="T1856" s="45" t="n"/>
      <c r="V1856" s="57">
        <f>IF(Q1856&gt;0,"показать","скрыть")</f>
        <v/>
      </c>
    </row>
    <row r="1857" ht="15.75" customHeight="1">
      <c r="B1857" s="809" t="n">
        <v>1841</v>
      </c>
      <c r="C1857" s="182">
        <f>IF(offer_sale_type="транзит",IFERROR(VLOOKUP($B1857,calc_data,C$14+1,0),0),0)</f>
        <v/>
      </c>
      <c r="D1857" s="280">
        <f>IF(offer_sale_type="транзит",IFERROR(VLOOKUP($B1857,calc_data,D$14+1,0),0),0)</f>
        <v/>
      </c>
      <c r="E1857" s="182">
        <f>IF(offer_sale_type="транзит",IFERROR(VLOOKUP($B1857,calc_data,E$14+1,0),0),0)</f>
        <v/>
      </c>
      <c r="F1857" s="182">
        <f>IF(offer_sale_type="транзит",IFERROR(VLOOKUP($B1857,calc_data,F$14+1,0),0),0)</f>
        <v/>
      </c>
      <c r="G1857" s="141">
        <f>IF(offer_sale_type="транзит",IFERROR(VLOOKUP($B1857,calc_data,G$14+1,0),0),0)</f>
        <v/>
      </c>
      <c r="H1857" s="141">
        <f>E1857*G1857</f>
        <v/>
      </c>
      <c r="I1857" s="141">
        <f>IF(offer_sale_type="транзит",IFERROR(ROUND(VLOOKUP($B1857,calc_data,I$14+1,0),2),0),0)</f>
        <v/>
      </c>
      <c r="J1857" s="141">
        <f>ROUND(IF(offer_sale_type="транзит",IFERROR(VLOOKUP($B1857,calc_data,J$14+1,0),0),0),2)</f>
        <v/>
      </c>
      <c r="K1857" s="142">
        <f>IF(offer_sale_type="транзит",IFERROR(ROUNDUP(VLOOKUP($B1857,calc_data,K$14+1,0),2),0),0)</f>
        <v/>
      </c>
      <c r="L1857" s="184">
        <f>IF(offer_sale_type="транзит",IFERROR(ROUNDUP(VLOOKUP($B1857,calc_data,L$14+1,0),2),0),0)</f>
        <v/>
      </c>
      <c r="M1857" s="141">
        <f>IF(offer_sale_type="транзит",IFERROR(ROUNDUP(VLOOKUP($B1857,calc_data,M$14+1,0),2),0),0)</f>
        <v/>
      </c>
      <c r="N1857" s="141">
        <f>IF(offer_sale_type="транзит",IFERROR(ROUNDUP(VLOOKUP($B1857,calc_data,N$14+1,0),2),0),0)</f>
        <v/>
      </c>
      <c r="O1857" s="147">
        <f>IF(offer_sale_type="транзит",IFERROR(ROUND(VLOOKUP($B1857,calc_data,O$14+1,1),2),0),0)</f>
        <v/>
      </c>
      <c r="P1857" s="141">
        <f>IF(offer_sale_type="транзит",IFERROR(ROUND(SUM(I1857:J1857,M1857:O1857)/E1857,2),0),0)</f>
        <v/>
      </c>
      <c r="Q1857" s="141">
        <f>E1857*P1857</f>
        <v/>
      </c>
      <c r="R1857" s="141">
        <f>ROUND(Q1857*IF(AND(offer_incoterms="DDP",seller_region="RU"),IF((TODAY()+offer_turnaround_time)&gt;=helpsheet!$L$17,rate_vatRU_from_26,rate_vatRu_till_25),0),2)</f>
        <v/>
      </c>
      <c r="S1857" s="177">
        <f>Q1857+IF(AND(offer_incoterms="DDP",seller_region="RU"),R1857,0)</f>
        <v/>
      </c>
      <c r="T1857" s="45" t="n"/>
      <c r="V1857" s="57">
        <f>IF(Q1857&gt;0,"показать","скрыть")</f>
        <v/>
      </c>
    </row>
    <row r="1858" ht="15.75" customHeight="1">
      <c r="B1858" s="809" t="n">
        <v>1842</v>
      </c>
      <c r="C1858" s="182">
        <f>IF(offer_sale_type="транзит",IFERROR(VLOOKUP($B1858,calc_data,C$14+1,0),0),0)</f>
        <v/>
      </c>
      <c r="D1858" s="280">
        <f>IF(offer_sale_type="транзит",IFERROR(VLOOKUP($B1858,calc_data,D$14+1,0),0),0)</f>
        <v/>
      </c>
      <c r="E1858" s="182">
        <f>IF(offer_sale_type="транзит",IFERROR(VLOOKUP($B1858,calc_data,E$14+1,0),0),0)</f>
        <v/>
      </c>
      <c r="F1858" s="182">
        <f>IF(offer_sale_type="транзит",IFERROR(VLOOKUP($B1858,calc_data,F$14+1,0),0),0)</f>
        <v/>
      </c>
      <c r="G1858" s="141">
        <f>IF(offer_sale_type="транзит",IFERROR(VLOOKUP($B1858,calc_data,G$14+1,0),0),0)</f>
        <v/>
      </c>
      <c r="H1858" s="141">
        <f>E1858*G1858</f>
        <v/>
      </c>
      <c r="I1858" s="141">
        <f>IF(offer_sale_type="транзит",IFERROR(ROUND(VLOOKUP($B1858,calc_data,I$14+1,0),2),0),0)</f>
        <v/>
      </c>
      <c r="J1858" s="141">
        <f>ROUND(IF(offer_sale_type="транзит",IFERROR(VLOOKUP($B1858,calc_data,J$14+1,0),0),0),2)</f>
        <v/>
      </c>
      <c r="K1858" s="142">
        <f>IF(offer_sale_type="транзит",IFERROR(ROUNDUP(VLOOKUP($B1858,calc_data,K$14+1,0),2),0),0)</f>
        <v/>
      </c>
      <c r="L1858" s="184">
        <f>IF(offer_sale_type="транзит",IFERROR(ROUNDUP(VLOOKUP($B1858,calc_data,L$14+1,0),2),0),0)</f>
        <v/>
      </c>
      <c r="M1858" s="141">
        <f>IF(offer_sale_type="транзит",IFERROR(ROUNDUP(VLOOKUP($B1858,calc_data,M$14+1,0),2),0),0)</f>
        <v/>
      </c>
      <c r="N1858" s="141">
        <f>IF(offer_sale_type="транзит",IFERROR(ROUNDUP(VLOOKUP($B1858,calc_data,N$14+1,0),2),0),0)</f>
        <v/>
      </c>
      <c r="O1858" s="147">
        <f>IF(offer_sale_type="транзит",IFERROR(ROUND(VLOOKUP($B1858,calc_data,O$14+1,1),2),0),0)</f>
        <v/>
      </c>
      <c r="P1858" s="141">
        <f>IF(offer_sale_type="транзит",IFERROR(ROUND(SUM(I1858:J1858,M1858:O1858)/E1858,2),0),0)</f>
        <v/>
      </c>
      <c r="Q1858" s="141">
        <f>E1858*P1858</f>
        <v/>
      </c>
      <c r="R1858" s="141">
        <f>ROUND(Q1858*IF(AND(offer_incoterms="DDP",seller_region="RU"),IF((TODAY()+offer_turnaround_time)&gt;=helpsheet!$L$17,rate_vatRU_from_26,rate_vatRu_till_25),0),2)</f>
        <v/>
      </c>
      <c r="S1858" s="177">
        <f>Q1858+IF(AND(offer_incoterms="DDP",seller_region="RU"),R1858,0)</f>
        <v/>
      </c>
      <c r="T1858" s="45" t="n"/>
      <c r="V1858" s="57">
        <f>IF(Q1858&gt;0,"показать","скрыть")</f>
        <v/>
      </c>
    </row>
    <row r="1859" ht="15.75" customHeight="1">
      <c r="B1859" s="809" t="n">
        <v>1843</v>
      </c>
      <c r="C1859" s="182">
        <f>IF(offer_sale_type="транзит",IFERROR(VLOOKUP($B1859,calc_data,C$14+1,0),0),0)</f>
        <v/>
      </c>
      <c r="D1859" s="280">
        <f>IF(offer_sale_type="транзит",IFERROR(VLOOKUP($B1859,calc_data,D$14+1,0),0),0)</f>
        <v/>
      </c>
      <c r="E1859" s="182">
        <f>IF(offer_sale_type="транзит",IFERROR(VLOOKUP($B1859,calc_data,E$14+1,0),0),0)</f>
        <v/>
      </c>
      <c r="F1859" s="182">
        <f>IF(offer_sale_type="транзит",IFERROR(VLOOKUP($B1859,calc_data,F$14+1,0),0),0)</f>
        <v/>
      </c>
      <c r="G1859" s="141">
        <f>IF(offer_sale_type="транзит",IFERROR(VLOOKUP($B1859,calc_data,G$14+1,0),0),0)</f>
        <v/>
      </c>
      <c r="H1859" s="141">
        <f>E1859*G1859</f>
        <v/>
      </c>
      <c r="I1859" s="141">
        <f>IF(offer_sale_type="транзит",IFERROR(ROUND(VLOOKUP($B1859,calc_data,I$14+1,0),2),0),0)</f>
        <v/>
      </c>
      <c r="J1859" s="141">
        <f>ROUND(IF(offer_sale_type="транзит",IFERROR(VLOOKUP($B1859,calc_data,J$14+1,0),0),0),2)</f>
        <v/>
      </c>
      <c r="K1859" s="142">
        <f>IF(offer_sale_type="транзит",IFERROR(ROUNDUP(VLOOKUP($B1859,calc_data,K$14+1,0),2),0),0)</f>
        <v/>
      </c>
      <c r="L1859" s="184">
        <f>IF(offer_sale_type="транзит",IFERROR(ROUNDUP(VLOOKUP($B1859,calc_data,L$14+1,0),2),0),0)</f>
        <v/>
      </c>
      <c r="M1859" s="141">
        <f>IF(offer_sale_type="транзит",IFERROR(ROUNDUP(VLOOKUP($B1859,calc_data,M$14+1,0),2),0),0)</f>
        <v/>
      </c>
      <c r="N1859" s="141">
        <f>IF(offer_sale_type="транзит",IFERROR(ROUNDUP(VLOOKUP($B1859,calc_data,N$14+1,0),2),0),0)</f>
        <v/>
      </c>
      <c r="O1859" s="147">
        <f>IF(offer_sale_type="транзит",IFERROR(ROUND(VLOOKUP($B1859,calc_data,O$14+1,1),2),0),0)</f>
        <v/>
      </c>
      <c r="P1859" s="141">
        <f>IF(offer_sale_type="транзит",IFERROR(ROUND(SUM(I1859:J1859,M1859:O1859)/E1859,2),0),0)</f>
        <v/>
      </c>
      <c r="Q1859" s="141">
        <f>E1859*P1859</f>
        <v/>
      </c>
      <c r="R1859" s="141">
        <f>ROUND(Q1859*IF(AND(offer_incoterms="DDP",seller_region="RU"),IF((TODAY()+offer_turnaround_time)&gt;=helpsheet!$L$17,rate_vatRU_from_26,rate_vatRu_till_25),0),2)</f>
        <v/>
      </c>
      <c r="S1859" s="177">
        <f>Q1859+IF(AND(offer_incoterms="DDP",seller_region="RU"),R1859,0)</f>
        <v/>
      </c>
      <c r="T1859" s="45" t="n"/>
      <c r="V1859" s="57">
        <f>IF(Q1859&gt;0,"показать","скрыть")</f>
        <v/>
      </c>
    </row>
    <row r="1860" ht="15.75" customHeight="1">
      <c r="B1860" s="809" t="n">
        <v>1844</v>
      </c>
      <c r="C1860" s="182">
        <f>IF(offer_sale_type="транзит",IFERROR(VLOOKUP($B1860,calc_data,C$14+1,0),0),0)</f>
        <v/>
      </c>
      <c r="D1860" s="280">
        <f>IF(offer_sale_type="транзит",IFERROR(VLOOKUP($B1860,calc_data,D$14+1,0),0),0)</f>
        <v/>
      </c>
      <c r="E1860" s="182">
        <f>IF(offer_sale_type="транзит",IFERROR(VLOOKUP($B1860,calc_data,E$14+1,0),0),0)</f>
        <v/>
      </c>
      <c r="F1860" s="182">
        <f>IF(offer_sale_type="транзит",IFERROR(VLOOKUP($B1860,calc_data,F$14+1,0),0),0)</f>
        <v/>
      </c>
      <c r="G1860" s="141">
        <f>IF(offer_sale_type="транзит",IFERROR(VLOOKUP($B1860,calc_data,G$14+1,0),0),0)</f>
        <v/>
      </c>
      <c r="H1860" s="141">
        <f>E1860*G1860</f>
        <v/>
      </c>
      <c r="I1860" s="141">
        <f>IF(offer_sale_type="транзит",IFERROR(ROUND(VLOOKUP($B1860,calc_data,I$14+1,0),2),0),0)</f>
        <v/>
      </c>
      <c r="J1860" s="141">
        <f>ROUND(IF(offer_sale_type="транзит",IFERROR(VLOOKUP($B1860,calc_data,J$14+1,0),0),0),2)</f>
        <v/>
      </c>
      <c r="K1860" s="142">
        <f>IF(offer_sale_type="транзит",IFERROR(ROUNDUP(VLOOKUP($B1860,calc_data,K$14+1,0),2),0),0)</f>
        <v/>
      </c>
      <c r="L1860" s="184">
        <f>IF(offer_sale_type="транзит",IFERROR(ROUNDUP(VLOOKUP($B1860,calc_data,L$14+1,0),2),0),0)</f>
        <v/>
      </c>
      <c r="M1860" s="141">
        <f>IF(offer_sale_type="транзит",IFERROR(ROUNDUP(VLOOKUP($B1860,calc_data,M$14+1,0),2),0),0)</f>
        <v/>
      </c>
      <c r="N1860" s="141">
        <f>IF(offer_sale_type="транзит",IFERROR(ROUNDUP(VLOOKUP($B1860,calc_data,N$14+1,0),2),0),0)</f>
        <v/>
      </c>
      <c r="O1860" s="147">
        <f>IF(offer_sale_type="транзит",IFERROR(ROUND(VLOOKUP($B1860,calc_data,O$14+1,1),2),0),0)</f>
        <v/>
      </c>
      <c r="P1860" s="141">
        <f>IF(offer_sale_type="транзит",IFERROR(ROUND(SUM(I1860:J1860,M1860:O1860)/E1860,2),0),0)</f>
        <v/>
      </c>
      <c r="Q1860" s="141">
        <f>E1860*P1860</f>
        <v/>
      </c>
      <c r="R1860" s="141">
        <f>ROUND(Q1860*IF(AND(offer_incoterms="DDP",seller_region="RU"),IF((TODAY()+offer_turnaround_time)&gt;=helpsheet!$L$17,rate_vatRU_from_26,rate_vatRu_till_25),0),2)</f>
        <v/>
      </c>
      <c r="S1860" s="177">
        <f>Q1860+IF(AND(offer_incoterms="DDP",seller_region="RU"),R1860,0)</f>
        <v/>
      </c>
      <c r="T1860" s="45" t="n"/>
      <c r="V1860" s="57">
        <f>IF(Q1860&gt;0,"показать","скрыть")</f>
        <v/>
      </c>
    </row>
    <row r="1861" ht="15.75" customHeight="1">
      <c r="B1861" s="809" t="n">
        <v>1845</v>
      </c>
      <c r="C1861" s="182">
        <f>IF(offer_sale_type="транзит",IFERROR(VLOOKUP($B1861,calc_data,C$14+1,0),0),0)</f>
        <v/>
      </c>
      <c r="D1861" s="280">
        <f>IF(offer_sale_type="транзит",IFERROR(VLOOKUP($B1861,calc_data,D$14+1,0),0),0)</f>
        <v/>
      </c>
      <c r="E1861" s="182">
        <f>IF(offer_sale_type="транзит",IFERROR(VLOOKUP($B1861,calc_data,E$14+1,0),0),0)</f>
        <v/>
      </c>
      <c r="F1861" s="182">
        <f>IF(offer_sale_type="транзит",IFERROR(VLOOKUP($B1861,calc_data,F$14+1,0),0),0)</f>
        <v/>
      </c>
      <c r="G1861" s="141">
        <f>IF(offer_sale_type="транзит",IFERROR(VLOOKUP($B1861,calc_data,G$14+1,0),0),0)</f>
        <v/>
      </c>
      <c r="H1861" s="141">
        <f>E1861*G1861</f>
        <v/>
      </c>
      <c r="I1861" s="141">
        <f>IF(offer_sale_type="транзит",IFERROR(ROUND(VLOOKUP($B1861,calc_data,I$14+1,0),2),0),0)</f>
        <v/>
      </c>
      <c r="J1861" s="141">
        <f>ROUND(IF(offer_sale_type="транзит",IFERROR(VLOOKUP($B1861,calc_data,J$14+1,0),0),0),2)</f>
        <v/>
      </c>
      <c r="K1861" s="142">
        <f>IF(offer_sale_type="транзит",IFERROR(ROUNDUP(VLOOKUP($B1861,calc_data,K$14+1,0),2),0),0)</f>
        <v/>
      </c>
      <c r="L1861" s="184">
        <f>IF(offer_sale_type="транзит",IFERROR(ROUNDUP(VLOOKUP($B1861,calc_data,L$14+1,0),2),0),0)</f>
        <v/>
      </c>
      <c r="M1861" s="141">
        <f>IF(offer_sale_type="транзит",IFERROR(ROUNDUP(VLOOKUP($B1861,calc_data,M$14+1,0),2),0),0)</f>
        <v/>
      </c>
      <c r="N1861" s="141">
        <f>IF(offer_sale_type="транзит",IFERROR(ROUNDUP(VLOOKUP($B1861,calc_data,N$14+1,0),2),0),0)</f>
        <v/>
      </c>
      <c r="O1861" s="147">
        <f>IF(offer_sale_type="транзит",IFERROR(ROUND(VLOOKUP($B1861,calc_data,O$14+1,1),2),0),0)</f>
        <v/>
      </c>
      <c r="P1861" s="141">
        <f>IF(offer_sale_type="транзит",IFERROR(ROUND(SUM(I1861:J1861,M1861:O1861)/E1861,2),0),0)</f>
        <v/>
      </c>
      <c r="Q1861" s="141">
        <f>E1861*P1861</f>
        <v/>
      </c>
      <c r="R1861" s="141">
        <f>ROUND(Q1861*IF(AND(offer_incoterms="DDP",seller_region="RU"),IF((TODAY()+offer_turnaround_time)&gt;=helpsheet!$L$17,rate_vatRU_from_26,rate_vatRu_till_25),0),2)</f>
        <v/>
      </c>
      <c r="S1861" s="177">
        <f>Q1861+IF(AND(offer_incoterms="DDP",seller_region="RU"),R1861,0)</f>
        <v/>
      </c>
      <c r="T1861" s="45" t="n"/>
      <c r="V1861" s="57">
        <f>IF(Q1861&gt;0,"показать","скрыть")</f>
        <v/>
      </c>
    </row>
    <row r="1862" ht="15.75" customHeight="1">
      <c r="B1862" s="809" t="n">
        <v>1846</v>
      </c>
      <c r="C1862" s="182">
        <f>IF(offer_sale_type="транзит",IFERROR(VLOOKUP($B1862,calc_data,C$14+1,0),0),0)</f>
        <v/>
      </c>
      <c r="D1862" s="280">
        <f>IF(offer_sale_type="транзит",IFERROR(VLOOKUP($B1862,calc_data,D$14+1,0),0),0)</f>
        <v/>
      </c>
      <c r="E1862" s="182">
        <f>IF(offer_sale_type="транзит",IFERROR(VLOOKUP($B1862,calc_data,E$14+1,0),0),0)</f>
        <v/>
      </c>
      <c r="F1862" s="182">
        <f>IF(offer_sale_type="транзит",IFERROR(VLOOKUP($B1862,calc_data,F$14+1,0),0),0)</f>
        <v/>
      </c>
      <c r="G1862" s="141">
        <f>IF(offer_sale_type="транзит",IFERROR(VLOOKUP($B1862,calc_data,G$14+1,0),0),0)</f>
        <v/>
      </c>
      <c r="H1862" s="141">
        <f>E1862*G1862</f>
        <v/>
      </c>
      <c r="I1862" s="141">
        <f>IF(offer_sale_type="транзит",IFERROR(ROUND(VLOOKUP($B1862,calc_data,I$14+1,0),2),0),0)</f>
        <v/>
      </c>
      <c r="J1862" s="141">
        <f>ROUND(IF(offer_sale_type="транзит",IFERROR(VLOOKUP($B1862,calc_data,J$14+1,0),0),0),2)</f>
        <v/>
      </c>
      <c r="K1862" s="142">
        <f>IF(offer_sale_type="транзит",IFERROR(ROUNDUP(VLOOKUP($B1862,calc_data,K$14+1,0),2),0),0)</f>
        <v/>
      </c>
      <c r="L1862" s="184">
        <f>IF(offer_sale_type="транзит",IFERROR(ROUNDUP(VLOOKUP($B1862,calc_data,L$14+1,0),2),0),0)</f>
        <v/>
      </c>
      <c r="M1862" s="141">
        <f>IF(offer_sale_type="транзит",IFERROR(ROUNDUP(VLOOKUP($B1862,calc_data,M$14+1,0),2),0),0)</f>
        <v/>
      </c>
      <c r="N1862" s="141">
        <f>IF(offer_sale_type="транзит",IFERROR(ROUNDUP(VLOOKUP($B1862,calc_data,N$14+1,0),2),0),0)</f>
        <v/>
      </c>
      <c r="O1862" s="147">
        <f>IF(offer_sale_type="транзит",IFERROR(ROUND(VLOOKUP($B1862,calc_data,O$14+1,1),2),0),0)</f>
        <v/>
      </c>
      <c r="P1862" s="141">
        <f>IF(offer_sale_type="транзит",IFERROR(ROUND(SUM(I1862:J1862,M1862:O1862)/E1862,2),0),0)</f>
        <v/>
      </c>
      <c r="Q1862" s="141">
        <f>E1862*P1862</f>
        <v/>
      </c>
      <c r="R1862" s="141">
        <f>ROUND(Q1862*IF(AND(offer_incoterms="DDP",seller_region="RU"),IF((TODAY()+offer_turnaround_time)&gt;=helpsheet!$L$17,rate_vatRU_from_26,rate_vatRu_till_25),0),2)</f>
        <v/>
      </c>
      <c r="S1862" s="177">
        <f>Q1862+IF(AND(offer_incoterms="DDP",seller_region="RU"),R1862,0)</f>
        <v/>
      </c>
      <c r="T1862" s="45" t="n"/>
      <c r="V1862" s="57">
        <f>IF(Q1862&gt;0,"показать","скрыть")</f>
        <v/>
      </c>
    </row>
    <row r="1863" ht="15.75" customHeight="1">
      <c r="B1863" s="809" t="n">
        <v>1847</v>
      </c>
      <c r="C1863" s="182">
        <f>IF(offer_sale_type="транзит",IFERROR(VLOOKUP($B1863,calc_data,C$14+1,0),0),0)</f>
        <v/>
      </c>
      <c r="D1863" s="280">
        <f>IF(offer_sale_type="транзит",IFERROR(VLOOKUP($B1863,calc_data,D$14+1,0),0),0)</f>
        <v/>
      </c>
      <c r="E1863" s="182">
        <f>IF(offer_sale_type="транзит",IFERROR(VLOOKUP($B1863,calc_data,E$14+1,0),0),0)</f>
        <v/>
      </c>
      <c r="F1863" s="182">
        <f>IF(offer_sale_type="транзит",IFERROR(VLOOKUP($B1863,calc_data,F$14+1,0),0),0)</f>
        <v/>
      </c>
      <c r="G1863" s="141">
        <f>IF(offer_sale_type="транзит",IFERROR(VLOOKUP($B1863,calc_data,G$14+1,0),0),0)</f>
        <v/>
      </c>
      <c r="H1863" s="141">
        <f>E1863*G1863</f>
        <v/>
      </c>
      <c r="I1863" s="141">
        <f>IF(offer_sale_type="транзит",IFERROR(ROUND(VLOOKUP($B1863,calc_data,I$14+1,0),2),0),0)</f>
        <v/>
      </c>
      <c r="J1863" s="141">
        <f>ROUND(IF(offer_sale_type="транзит",IFERROR(VLOOKUP($B1863,calc_data,J$14+1,0),0),0),2)</f>
        <v/>
      </c>
      <c r="K1863" s="142">
        <f>IF(offer_sale_type="транзит",IFERROR(ROUNDUP(VLOOKUP($B1863,calc_data,K$14+1,0),2),0),0)</f>
        <v/>
      </c>
      <c r="L1863" s="184">
        <f>IF(offer_sale_type="транзит",IFERROR(ROUNDUP(VLOOKUP($B1863,calc_data,L$14+1,0),2),0),0)</f>
        <v/>
      </c>
      <c r="M1863" s="141">
        <f>IF(offer_sale_type="транзит",IFERROR(ROUNDUP(VLOOKUP($B1863,calc_data,M$14+1,0),2),0),0)</f>
        <v/>
      </c>
      <c r="N1863" s="141">
        <f>IF(offer_sale_type="транзит",IFERROR(ROUNDUP(VLOOKUP($B1863,calc_data,N$14+1,0),2),0),0)</f>
        <v/>
      </c>
      <c r="O1863" s="147">
        <f>IF(offer_sale_type="транзит",IFERROR(ROUND(VLOOKUP($B1863,calc_data,O$14+1,1),2),0),0)</f>
        <v/>
      </c>
      <c r="P1863" s="141">
        <f>IF(offer_sale_type="транзит",IFERROR(ROUND(SUM(I1863:J1863,M1863:O1863)/E1863,2),0),0)</f>
        <v/>
      </c>
      <c r="Q1863" s="141">
        <f>E1863*P1863</f>
        <v/>
      </c>
      <c r="R1863" s="141">
        <f>ROUND(Q1863*IF(AND(offer_incoterms="DDP",seller_region="RU"),IF((TODAY()+offer_turnaround_time)&gt;=helpsheet!$L$17,rate_vatRU_from_26,rate_vatRu_till_25),0),2)</f>
        <v/>
      </c>
      <c r="S1863" s="177">
        <f>Q1863+IF(AND(offer_incoterms="DDP",seller_region="RU"),R1863,0)</f>
        <v/>
      </c>
      <c r="T1863" s="45" t="n"/>
      <c r="V1863" s="57">
        <f>IF(Q1863&gt;0,"показать","скрыть")</f>
        <v/>
      </c>
    </row>
    <row r="1864" ht="15.75" customHeight="1">
      <c r="B1864" s="809" t="n">
        <v>1848</v>
      </c>
      <c r="C1864" s="182">
        <f>IF(offer_sale_type="транзит",IFERROR(VLOOKUP($B1864,calc_data,C$14+1,0),0),0)</f>
        <v/>
      </c>
      <c r="D1864" s="280">
        <f>IF(offer_sale_type="транзит",IFERROR(VLOOKUP($B1864,calc_data,D$14+1,0),0),0)</f>
        <v/>
      </c>
      <c r="E1864" s="182">
        <f>IF(offer_sale_type="транзит",IFERROR(VLOOKUP($B1864,calc_data,E$14+1,0),0),0)</f>
        <v/>
      </c>
      <c r="F1864" s="182">
        <f>IF(offer_sale_type="транзит",IFERROR(VLOOKUP($B1864,calc_data,F$14+1,0),0),0)</f>
        <v/>
      </c>
      <c r="G1864" s="141">
        <f>IF(offer_sale_type="транзит",IFERROR(VLOOKUP($B1864,calc_data,G$14+1,0),0),0)</f>
        <v/>
      </c>
      <c r="H1864" s="141">
        <f>E1864*G1864</f>
        <v/>
      </c>
      <c r="I1864" s="141">
        <f>IF(offer_sale_type="транзит",IFERROR(ROUND(VLOOKUP($B1864,calc_data,I$14+1,0),2),0),0)</f>
        <v/>
      </c>
      <c r="J1864" s="141">
        <f>ROUND(IF(offer_sale_type="транзит",IFERROR(VLOOKUP($B1864,calc_data,J$14+1,0),0),0),2)</f>
        <v/>
      </c>
      <c r="K1864" s="142">
        <f>IF(offer_sale_type="транзит",IFERROR(ROUNDUP(VLOOKUP($B1864,calc_data,K$14+1,0),2),0),0)</f>
        <v/>
      </c>
      <c r="L1864" s="184">
        <f>IF(offer_sale_type="транзит",IFERROR(ROUNDUP(VLOOKUP($B1864,calc_data,L$14+1,0),2),0),0)</f>
        <v/>
      </c>
      <c r="M1864" s="141">
        <f>IF(offer_sale_type="транзит",IFERROR(ROUNDUP(VLOOKUP($B1864,calc_data,M$14+1,0),2),0),0)</f>
        <v/>
      </c>
      <c r="N1864" s="141">
        <f>IF(offer_sale_type="транзит",IFERROR(ROUNDUP(VLOOKUP($B1864,calc_data,N$14+1,0),2),0),0)</f>
        <v/>
      </c>
      <c r="O1864" s="147">
        <f>IF(offer_sale_type="транзит",IFERROR(ROUND(VLOOKUP($B1864,calc_data,O$14+1,1),2),0),0)</f>
        <v/>
      </c>
      <c r="P1864" s="141">
        <f>IF(offer_sale_type="транзит",IFERROR(ROUND(SUM(I1864:J1864,M1864:O1864)/E1864,2),0),0)</f>
        <v/>
      </c>
      <c r="Q1864" s="141">
        <f>E1864*P1864</f>
        <v/>
      </c>
      <c r="R1864" s="141">
        <f>ROUND(Q1864*IF(AND(offer_incoterms="DDP",seller_region="RU"),IF((TODAY()+offer_turnaround_time)&gt;=helpsheet!$L$17,rate_vatRU_from_26,rate_vatRu_till_25),0),2)</f>
        <v/>
      </c>
      <c r="S1864" s="177">
        <f>Q1864+IF(AND(offer_incoterms="DDP",seller_region="RU"),R1864,0)</f>
        <v/>
      </c>
      <c r="T1864" s="45" t="n"/>
      <c r="V1864" s="57">
        <f>IF(Q1864&gt;0,"показать","скрыть")</f>
        <v/>
      </c>
    </row>
    <row r="1865" ht="15.75" customHeight="1">
      <c r="B1865" s="809" t="n">
        <v>1849</v>
      </c>
      <c r="C1865" s="182">
        <f>IF(offer_sale_type="транзит",IFERROR(VLOOKUP($B1865,calc_data,C$14+1,0),0),0)</f>
        <v/>
      </c>
      <c r="D1865" s="280">
        <f>IF(offer_sale_type="транзит",IFERROR(VLOOKUP($B1865,calc_data,D$14+1,0),0),0)</f>
        <v/>
      </c>
      <c r="E1865" s="182">
        <f>IF(offer_sale_type="транзит",IFERROR(VLOOKUP($B1865,calc_data,E$14+1,0),0),0)</f>
        <v/>
      </c>
      <c r="F1865" s="182">
        <f>IF(offer_sale_type="транзит",IFERROR(VLOOKUP($B1865,calc_data,F$14+1,0),0),0)</f>
        <v/>
      </c>
      <c r="G1865" s="141">
        <f>IF(offer_sale_type="транзит",IFERROR(VLOOKUP($B1865,calc_data,G$14+1,0),0),0)</f>
        <v/>
      </c>
      <c r="H1865" s="141">
        <f>E1865*G1865</f>
        <v/>
      </c>
      <c r="I1865" s="141">
        <f>IF(offer_sale_type="транзит",IFERROR(ROUND(VLOOKUP($B1865,calc_data,I$14+1,0),2),0),0)</f>
        <v/>
      </c>
      <c r="J1865" s="141">
        <f>ROUND(IF(offer_sale_type="транзит",IFERROR(VLOOKUP($B1865,calc_data,J$14+1,0),0),0),2)</f>
        <v/>
      </c>
      <c r="K1865" s="142">
        <f>IF(offer_sale_type="транзит",IFERROR(ROUNDUP(VLOOKUP($B1865,calc_data,K$14+1,0),2),0),0)</f>
        <v/>
      </c>
      <c r="L1865" s="184">
        <f>IF(offer_sale_type="транзит",IFERROR(ROUNDUP(VLOOKUP($B1865,calc_data,L$14+1,0),2),0),0)</f>
        <v/>
      </c>
      <c r="M1865" s="141">
        <f>IF(offer_sale_type="транзит",IFERROR(ROUNDUP(VLOOKUP($B1865,calc_data,M$14+1,0),2),0),0)</f>
        <v/>
      </c>
      <c r="N1865" s="141">
        <f>IF(offer_sale_type="транзит",IFERROR(ROUNDUP(VLOOKUP($B1865,calc_data,N$14+1,0),2),0),0)</f>
        <v/>
      </c>
      <c r="O1865" s="147">
        <f>IF(offer_sale_type="транзит",IFERROR(ROUND(VLOOKUP($B1865,calc_data,O$14+1,1),2),0),0)</f>
        <v/>
      </c>
      <c r="P1865" s="141">
        <f>IF(offer_sale_type="транзит",IFERROR(ROUND(SUM(I1865:J1865,M1865:O1865)/E1865,2),0),0)</f>
        <v/>
      </c>
      <c r="Q1865" s="141">
        <f>E1865*P1865</f>
        <v/>
      </c>
      <c r="R1865" s="141">
        <f>ROUND(Q1865*IF(AND(offer_incoterms="DDP",seller_region="RU"),IF((TODAY()+offer_turnaround_time)&gt;=helpsheet!$L$17,rate_vatRU_from_26,rate_vatRu_till_25),0),2)</f>
        <v/>
      </c>
      <c r="S1865" s="177">
        <f>Q1865+IF(AND(offer_incoterms="DDP",seller_region="RU"),R1865,0)</f>
        <v/>
      </c>
      <c r="T1865" s="45" t="n"/>
      <c r="V1865" s="57">
        <f>IF(Q1865&gt;0,"показать","скрыть")</f>
        <v/>
      </c>
    </row>
    <row r="1866" ht="15.75" customHeight="1">
      <c r="B1866" s="809" t="n">
        <v>1850</v>
      </c>
      <c r="C1866" s="182">
        <f>IF(offer_sale_type="транзит",IFERROR(VLOOKUP($B1866,calc_data,C$14+1,0),0),0)</f>
        <v/>
      </c>
      <c r="D1866" s="280">
        <f>IF(offer_sale_type="транзит",IFERROR(VLOOKUP($B1866,calc_data,D$14+1,0),0),0)</f>
        <v/>
      </c>
      <c r="E1866" s="182">
        <f>IF(offer_sale_type="транзит",IFERROR(VLOOKUP($B1866,calc_data,E$14+1,0),0),0)</f>
        <v/>
      </c>
      <c r="F1866" s="182">
        <f>IF(offer_sale_type="транзит",IFERROR(VLOOKUP($B1866,calc_data,F$14+1,0),0),0)</f>
        <v/>
      </c>
      <c r="G1866" s="141">
        <f>IF(offer_sale_type="транзит",IFERROR(VLOOKUP($B1866,calc_data,G$14+1,0),0),0)</f>
        <v/>
      </c>
      <c r="H1866" s="141">
        <f>E1866*G1866</f>
        <v/>
      </c>
      <c r="I1866" s="141">
        <f>IF(offer_sale_type="транзит",IFERROR(ROUND(VLOOKUP($B1866,calc_data,I$14+1,0),2),0),0)</f>
        <v/>
      </c>
      <c r="J1866" s="141">
        <f>ROUND(IF(offer_sale_type="транзит",IFERROR(VLOOKUP($B1866,calc_data,J$14+1,0),0),0),2)</f>
        <v/>
      </c>
      <c r="K1866" s="142">
        <f>IF(offer_sale_type="транзит",IFERROR(ROUNDUP(VLOOKUP($B1866,calc_data,K$14+1,0),2),0),0)</f>
        <v/>
      </c>
      <c r="L1866" s="184">
        <f>IF(offer_sale_type="транзит",IFERROR(ROUNDUP(VLOOKUP($B1866,calc_data,L$14+1,0),2),0),0)</f>
        <v/>
      </c>
      <c r="M1866" s="141">
        <f>IF(offer_sale_type="транзит",IFERROR(ROUNDUP(VLOOKUP($B1866,calc_data,M$14+1,0),2),0),0)</f>
        <v/>
      </c>
      <c r="N1866" s="141">
        <f>IF(offer_sale_type="транзит",IFERROR(ROUNDUP(VLOOKUP($B1866,calc_data,N$14+1,0),2),0),0)</f>
        <v/>
      </c>
      <c r="O1866" s="147">
        <f>IF(offer_sale_type="транзит",IFERROR(ROUND(VLOOKUP($B1866,calc_data,O$14+1,1),2),0),0)</f>
        <v/>
      </c>
      <c r="P1866" s="141">
        <f>IF(offer_sale_type="транзит",IFERROR(ROUND(SUM(I1866:J1866,M1866:O1866)/E1866,2),0),0)</f>
        <v/>
      </c>
      <c r="Q1866" s="141">
        <f>E1866*P1866</f>
        <v/>
      </c>
      <c r="R1866" s="141">
        <f>ROUND(Q1866*IF(AND(offer_incoterms="DDP",seller_region="RU"),IF((TODAY()+offer_turnaround_time)&gt;=helpsheet!$L$17,rate_vatRU_from_26,rate_vatRu_till_25),0),2)</f>
        <v/>
      </c>
      <c r="S1866" s="177">
        <f>Q1866+IF(AND(offer_incoterms="DDP",seller_region="RU"),R1866,0)</f>
        <v/>
      </c>
      <c r="T1866" s="45" t="n"/>
      <c r="V1866" s="57">
        <f>IF(Q1866&gt;0,"показать","скрыть")</f>
        <v/>
      </c>
    </row>
    <row r="1867" ht="15.75" customHeight="1">
      <c r="B1867" s="809" t="n">
        <v>1851</v>
      </c>
      <c r="C1867" s="182">
        <f>IF(offer_sale_type="транзит",IFERROR(VLOOKUP($B1867,calc_data,C$14+1,0),0),0)</f>
        <v/>
      </c>
      <c r="D1867" s="280">
        <f>IF(offer_sale_type="транзит",IFERROR(VLOOKUP($B1867,calc_data,D$14+1,0),0),0)</f>
        <v/>
      </c>
      <c r="E1867" s="182">
        <f>IF(offer_sale_type="транзит",IFERROR(VLOOKUP($B1867,calc_data,E$14+1,0),0),0)</f>
        <v/>
      </c>
      <c r="F1867" s="182">
        <f>IF(offer_sale_type="транзит",IFERROR(VLOOKUP($B1867,calc_data,F$14+1,0),0),0)</f>
        <v/>
      </c>
      <c r="G1867" s="141">
        <f>IF(offer_sale_type="транзит",IFERROR(VLOOKUP($B1867,calc_data,G$14+1,0),0),0)</f>
        <v/>
      </c>
      <c r="H1867" s="141">
        <f>E1867*G1867</f>
        <v/>
      </c>
      <c r="I1867" s="141">
        <f>IF(offer_sale_type="транзит",IFERROR(ROUND(VLOOKUP($B1867,calc_data,I$14+1,0),2),0),0)</f>
        <v/>
      </c>
      <c r="J1867" s="141">
        <f>ROUND(IF(offer_sale_type="транзит",IFERROR(VLOOKUP($B1867,calc_data,J$14+1,0),0),0),2)</f>
        <v/>
      </c>
      <c r="K1867" s="142">
        <f>IF(offer_sale_type="транзит",IFERROR(ROUNDUP(VLOOKUP($B1867,calc_data,K$14+1,0),2),0),0)</f>
        <v/>
      </c>
      <c r="L1867" s="184">
        <f>IF(offer_sale_type="транзит",IFERROR(ROUNDUP(VLOOKUP($B1867,calc_data,L$14+1,0),2),0),0)</f>
        <v/>
      </c>
      <c r="M1867" s="141">
        <f>IF(offer_sale_type="транзит",IFERROR(ROUNDUP(VLOOKUP($B1867,calc_data,M$14+1,0),2),0),0)</f>
        <v/>
      </c>
      <c r="N1867" s="141">
        <f>IF(offer_sale_type="транзит",IFERROR(ROUNDUP(VLOOKUP($B1867,calc_data,N$14+1,0),2),0),0)</f>
        <v/>
      </c>
      <c r="O1867" s="147">
        <f>IF(offer_sale_type="транзит",IFERROR(ROUND(VLOOKUP($B1867,calc_data,O$14+1,1),2),0),0)</f>
        <v/>
      </c>
      <c r="P1867" s="141">
        <f>IF(offer_sale_type="транзит",IFERROR(ROUND(SUM(I1867:J1867,M1867:O1867)/E1867,2),0),0)</f>
        <v/>
      </c>
      <c r="Q1867" s="141">
        <f>E1867*P1867</f>
        <v/>
      </c>
      <c r="R1867" s="141">
        <f>ROUND(Q1867*IF(AND(offer_incoterms="DDP",seller_region="RU"),IF((TODAY()+offer_turnaround_time)&gt;=helpsheet!$L$17,rate_vatRU_from_26,rate_vatRu_till_25),0),2)</f>
        <v/>
      </c>
      <c r="S1867" s="177">
        <f>Q1867+IF(AND(offer_incoterms="DDP",seller_region="RU"),R1867,0)</f>
        <v/>
      </c>
      <c r="T1867" s="45" t="n"/>
      <c r="V1867" s="57">
        <f>IF(Q1867&gt;0,"показать","скрыть")</f>
        <v/>
      </c>
    </row>
    <row r="1868" ht="15.75" customHeight="1">
      <c r="B1868" s="809" t="n">
        <v>1852</v>
      </c>
      <c r="C1868" s="182">
        <f>IF(offer_sale_type="транзит",IFERROR(VLOOKUP($B1868,calc_data,C$14+1,0),0),0)</f>
        <v/>
      </c>
      <c r="D1868" s="280">
        <f>IF(offer_sale_type="транзит",IFERROR(VLOOKUP($B1868,calc_data,D$14+1,0),0),0)</f>
        <v/>
      </c>
      <c r="E1868" s="182">
        <f>IF(offer_sale_type="транзит",IFERROR(VLOOKUP($B1868,calc_data,E$14+1,0),0),0)</f>
        <v/>
      </c>
      <c r="F1868" s="182">
        <f>IF(offer_sale_type="транзит",IFERROR(VLOOKUP($B1868,calc_data,F$14+1,0),0),0)</f>
        <v/>
      </c>
      <c r="G1868" s="141">
        <f>IF(offer_sale_type="транзит",IFERROR(VLOOKUP($B1868,calc_data,G$14+1,0),0),0)</f>
        <v/>
      </c>
      <c r="H1868" s="141">
        <f>E1868*G1868</f>
        <v/>
      </c>
      <c r="I1868" s="141">
        <f>IF(offer_sale_type="транзит",IFERROR(ROUND(VLOOKUP($B1868,calc_data,I$14+1,0),2),0),0)</f>
        <v/>
      </c>
      <c r="J1868" s="141">
        <f>ROUND(IF(offer_sale_type="транзит",IFERROR(VLOOKUP($B1868,calc_data,J$14+1,0),0),0),2)</f>
        <v/>
      </c>
      <c r="K1868" s="142">
        <f>IF(offer_sale_type="транзит",IFERROR(ROUNDUP(VLOOKUP($B1868,calc_data,K$14+1,0),2),0),0)</f>
        <v/>
      </c>
      <c r="L1868" s="184">
        <f>IF(offer_sale_type="транзит",IFERROR(ROUNDUP(VLOOKUP($B1868,calc_data,L$14+1,0),2),0),0)</f>
        <v/>
      </c>
      <c r="M1868" s="141">
        <f>IF(offer_sale_type="транзит",IFERROR(ROUNDUP(VLOOKUP($B1868,calc_data,M$14+1,0),2),0),0)</f>
        <v/>
      </c>
      <c r="N1868" s="141">
        <f>IF(offer_sale_type="транзит",IFERROR(ROUNDUP(VLOOKUP($B1868,calc_data,N$14+1,0),2),0),0)</f>
        <v/>
      </c>
      <c r="O1868" s="147">
        <f>IF(offer_sale_type="транзит",IFERROR(ROUND(VLOOKUP($B1868,calc_data,O$14+1,1),2),0),0)</f>
        <v/>
      </c>
      <c r="P1868" s="141">
        <f>IF(offer_sale_type="транзит",IFERROR(ROUND(SUM(I1868:J1868,M1868:O1868)/E1868,2),0),0)</f>
        <v/>
      </c>
      <c r="Q1868" s="141">
        <f>E1868*P1868</f>
        <v/>
      </c>
      <c r="R1868" s="141">
        <f>ROUND(Q1868*IF(AND(offer_incoterms="DDP",seller_region="RU"),IF((TODAY()+offer_turnaround_time)&gt;=helpsheet!$L$17,rate_vatRU_from_26,rate_vatRu_till_25),0),2)</f>
        <v/>
      </c>
      <c r="S1868" s="177">
        <f>Q1868+IF(AND(offer_incoterms="DDP",seller_region="RU"),R1868,0)</f>
        <v/>
      </c>
      <c r="T1868" s="45" t="n"/>
      <c r="V1868" s="57">
        <f>IF(Q1868&gt;0,"показать","скрыть")</f>
        <v/>
      </c>
    </row>
    <row r="1869" ht="15.75" customHeight="1">
      <c r="B1869" s="809" t="n">
        <v>1853</v>
      </c>
      <c r="C1869" s="182">
        <f>IF(offer_sale_type="транзит",IFERROR(VLOOKUP($B1869,calc_data,C$14+1,0),0),0)</f>
        <v/>
      </c>
      <c r="D1869" s="280">
        <f>IF(offer_sale_type="транзит",IFERROR(VLOOKUP($B1869,calc_data,D$14+1,0),0),0)</f>
        <v/>
      </c>
      <c r="E1869" s="182">
        <f>IF(offer_sale_type="транзит",IFERROR(VLOOKUP($B1869,calc_data,E$14+1,0),0),0)</f>
        <v/>
      </c>
      <c r="F1869" s="182">
        <f>IF(offer_sale_type="транзит",IFERROR(VLOOKUP($B1869,calc_data,F$14+1,0),0),0)</f>
        <v/>
      </c>
      <c r="G1869" s="141">
        <f>IF(offer_sale_type="транзит",IFERROR(VLOOKUP($B1869,calc_data,G$14+1,0),0),0)</f>
        <v/>
      </c>
      <c r="H1869" s="141">
        <f>E1869*G1869</f>
        <v/>
      </c>
      <c r="I1869" s="141">
        <f>IF(offer_sale_type="транзит",IFERROR(ROUND(VLOOKUP($B1869,calc_data,I$14+1,0),2),0),0)</f>
        <v/>
      </c>
      <c r="J1869" s="141">
        <f>ROUND(IF(offer_sale_type="транзит",IFERROR(VLOOKUP($B1869,calc_data,J$14+1,0),0),0),2)</f>
        <v/>
      </c>
      <c r="K1869" s="142">
        <f>IF(offer_sale_type="транзит",IFERROR(ROUNDUP(VLOOKUP($B1869,calc_data,K$14+1,0),2),0),0)</f>
        <v/>
      </c>
      <c r="L1869" s="184">
        <f>IF(offer_sale_type="транзит",IFERROR(ROUNDUP(VLOOKUP($B1869,calc_data,L$14+1,0),2),0),0)</f>
        <v/>
      </c>
      <c r="M1869" s="141">
        <f>IF(offer_sale_type="транзит",IFERROR(ROUNDUP(VLOOKUP($B1869,calc_data,M$14+1,0),2),0),0)</f>
        <v/>
      </c>
      <c r="N1869" s="141">
        <f>IF(offer_sale_type="транзит",IFERROR(ROUNDUP(VLOOKUP($B1869,calc_data,N$14+1,0),2),0),0)</f>
        <v/>
      </c>
      <c r="O1869" s="147">
        <f>IF(offer_sale_type="транзит",IFERROR(ROUND(VLOOKUP($B1869,calc_data,O$14+1,1),2),0),0)</f>
        <v/>
      </c>
      <c r="P1869" s="141">
        <f>IF(offer_sale_type="транзит",IFERROR(ROUND(SUM(I1869:J1869,M1869:O1869)/E1869,2),0),0)</f>
        <v/>
      </c>
      <c r="Q1869" s="141">
        <f>E1869*P1869</f>
        <v/>
      </c>
      <c r="R1869" s="141">
        <f>ROUND(Q1869*IF(AND(offer_incoterms="DDP",seller_region="RU"),IF((TODAY()+offer_turnaround_time)&gt;=helpsheet!$L$17,rate_vatRU_from_26,rate_vatRu_till_25),0),2)</f>
        <v/>
      </c>
      <c r="S1869" s="177">
        <f>Q1869+IF(AND(offer_incoterms="DDP",seller_region="RU"),R1869,0)</f>
        <v/>
      </c>
      <c r="T1869" s="45" t="n"/>
      <c r="V1869" s="57">
        <f>IF(Q1869&gt;0,"показать","скрыть")</f>
        <v/>
      </c>
    </row>
    <row r="1870" ht="15.75" customHeight="1">
      <c r="B1870" s="809" t="n">
        <v>1854</v>
      </c>
      <c r="C1870" s="182">
        <f>IF(offer_sale_type="транзит",IFERROR(VLOOKUP($B1870,calc_data,C$14+1,0),0),0)</f>
        <v/>
      </c>
      <c r="D1870" s="280">
        <f>IF(offer_sale_type="транзит",IFERROR(VLOOKUP($B1870,calc_data,D$14+1,0),0),0)</f>
        <v/>
      </c>
      <c r="E1870" s="182">
        <f>IF(offer_sale_type="транзит",IFERROR(VLOOKUP($B1870,calc_data,E$14+1,0),0),0)</f>
        <v/>
      </c>
      <c r="F1870" s="182">
        <f>IF(offer_sale_type="транзит",IFERROR(VLOOKUP($B1870,calc_data,F$14+1,0),0),0)</f>
        <v/>
      </c>
      <c r="G1870" s="141">
        <f>IF(offer_sale_type="транзит",IFERROR(VLOOKUP($B1870,calc_data,G$14+1,0),0),0)</f>
        <v/>
      </c>
      <c r="H1870" s="141">
        <f>E1870*G1870</f>
        <v/>
      </c>
      <c r="I1870" s="141">
        <f>IF(offer_sale_type="транзит",IFERROR(ROUND(VLOOKUP($B1870,calc_data,I$14+1,0),2),0),0)</f>
        <v/>
      </c>
      <c r="J1870" s="141">
        <f>ROUND(IF(offer_sale_type="транзит",IFERROR(VLOOKUP($B1870,calc_data,J$14+1,0),0),0),2)</f>
        <v/>
      </c>
      <c r="K1870" s="142">
        <f>IF(offer_sale_type="транзит",IFERROR(ROUNDUP(VLOOKUP($B1870,calc_data,K$14+1,0),2),0),0)</f>
        <v/>
      </c>
      <c r="L1870" s="184">
        <f>IF(offer_sale_type="транзит",IFERROR(ROUNDUP(VLOOKUP($B1870,calc_data,L$14+1,0),2),0),0)</f>
        <v/>
      </c>
      <c r="M1870" s="141">
        <f>IF(offer_sale_type="транзит",IFERROR(ROUNDUP(VLOOKUP($B1870,calc_data,M$14+1,0),2),0),0)</f>
        <v/>
      </c>
      <c r="N1870" s="141">
        <f>IF(offer_sale_type="транзит",IFERROR(ROUNDUP(VLOOKUP($B1870,calc_data,N$14+1,0),2),0),0)</f>
        <v/>
      </c>
      <c r="O1870" s="147">
        <f>IF(offer_sale_type="транзит",IFERROR(ROUND(VLOOKUP($B1870,calc_data,O$14+1,1),2),0),0)</f>
        <v/>
      </c>
      <c r="P1870" s="141">
        <f>IF(offer_sale_type="транзит",IFERROR(ROUND(SUM(I1870:J1870,M1870:O1870)/E1870,2),0),0)</f>
        <v/>
      </c>
      <c r="Q1870" s="141">
        <f>E1870*P1870</f>
        <v/>
      </c>
      <c r="R1870" s="141">
        <f>ROUND(Q1870*IF(AND(offer_incoterms="DDP",seller_region="RU"),IF((TODAY()+offer_turnaround_time)&gt;=helpsheet!$L$17,rate_vatRU_from_26,rate_vatRu_till_25),0),2)</f>
        <v/>
      </c>
      <c r="S1870" s="177">
        <f>Q1870+IF(AND(offer_incoterms="DDP",seller_region="RU"),R1870,0)</f>
        <v/>
      </c>
      <c r="T1870" s="45" t="n"/>
      <c r="V1870" s="57">
        <f>IF(Q1870&gt;0,"показать","скрыть")</f>
        <v/>
      </c>
    </row>
    <row r="1871" ht="15.75" customHeight="1">
      <c r="B1871" s="809" t="n">
        <v>1855</v>
      </c>
      <c r="C1871" s="182">
        <f>IF(offer_sale_type="транзит",IFERROR(VLOOKUP($B1871,calc_data,C$14+1,0),0),0)</f>
        <v/>
      </c>
      <c r="D1871" s="280">
        <f>IF(offer_sale_type="транзит",IFERROR(VLOOKUP($B1871,calc_data,D$14+1,0),0),0)</f>
        <v/>
      </c>
      <c r="E1871" s="182">
        <f>IF(offer_sale_type="транзит",IFERROR(VLOOKUP($B1871,calc_data,E$14+1,0),0),0)</f>
        <v/>
      </c>
      <c r="F1871" s="182">
        <f>IF(offer_sale_type="транзит",IFERROR(VLOOKUP($B1871,calc_data,F$14+1,0),0),0)</f>
        <v/>
      </c>
      <c r="G1871" s="141">
        <f>IF(offer_sale_type="транзит",IFERROR(VLOOKUP($B1871,calc_data,G$14+1,0),0),0)</f>
        <v/>
      </c>
      <c r="H1871" s="141">
        <f>E1871*G1871</f>
        <v/>
      </c>
      <c r="I1871" s="141">
        <f>IF(offer_sale_type="транзит",IFERROR(ROUND(VLOOKUP($B1871,calc_data,I$14+1,0),2),0),0)</f>
        <v/>
      </c>
      <c r="J1871" s="141">
        <f>ROUND(IF(offer_sale_type="транзит",IFERROR(VLOOKUP($B1871,calc_data,J$14+1,0),0),0),2)</f>
        <v/>
      </c>
      <c r="K1871" s="142">
        <f>IF(offer_sale_type="транзит",IFERROR(ROUNDUP(VLOOKUP($B1871,calc_data,K$14+1,0),2),0),0)</f>
        <v/>
      </c>
      <c r="L1871" s="184">
        <f>IF(offer_sale_type="транзит",IFERROR(ROUNDUP(VLOOKUP($B1871,calc_data,L$14+1,0),2),0),0)</f>
        <v/>
      </c>
      <c r="M1871" s="141">
        <f>IF(offer_sale_type="транзит",IFERROR(ROUNDUP(VLOOKUP($B1871,calc_data,M$14+1,0),2),0),0)</f>
        <v/>
      </c>
      <c r="N1871" s="141">
        <f>IF(offer_sale_type="транзит",IFERROR(ROUNDUP(VLOOKUP($B1871,calc_data,N$14+1,0),2),0),0)</f>
        <v/>
      </c>
      <c r="O1871" s="147">
        <f>IF(offer_sale_type="транзит",IFERROR(ROUND(VLOOKUP($B1871,calc_data,O$14+1,1),2),0),0)</f>
        <v/>
      </c>
      <c r="P1871" s="141">
        <f>IF(offer_sale_type="транзит",IFERROR(ROUND(SUM(I1871:J1871,M1871:O1871)/E1871,2),0),0)</f>
        <v/>
      </c>
      <c r="Q1871" s="141">
        <f>E1871*P1871</f>
        <v/>
      </c>
      <c r="R1871" s="141">
        <f>ROUND(Q1871*IF(AND(offer_incoterms="DDP",seller_region="RU"),IF((TODAY()+offer_turnaround_time)&gt;=helpsheet!$L$17,rate_vatRU_from_26,rate_vatRu_till_25),0),2)</f>
        <v/>
      </c>
      <c r="S1871" s="177">
        <f>Q1871+IF(AND(offer_incoterms="DDP",seller_region="RU"),R1871,0)</f>
        <v/>
      </c>
      <c r="T1871" s="45" t="n"/>
      <c r="V1871" s="57">
        <f>IF(Q1871&gt;0,"показать","скрыть")</f>
        <v/>
      </c>
    </row>
    <row r="1872" ht="15.75" customHeight="1">
      <c r="B1872" s="809" t="n">
        <v>1856</v>
      </c>
      <c r="C1872" s="182">
        <f>IF(offer_sale_type="транзит",IFERROR(VLOOKUP($B1872,calc_data,C$14+1,0),0),0)</f>
        <v/>
      </c>
      <c r="D1872" s="280">
        <f>IF(offer_sale_type="транзит",IFERROR(VLOOKUP($B1872,calc_data,D$14+1,0),0),0)</f>
        <v/>
      </c>
      <c r="E1872" s="182">
        <f>IF(offer_sale_type="транзит",IFERROR(VLOOKUP($B1872,calc_data,E$14+1,0),0),0)</f>
        <v/>
      </c>
      <c r="F1872" s="182">
        <f>IF(offer_sale_type="транзит",IFERROR(VLOOKUP($B1872,calc_data,F$14+1,0),0),0)</f>
        <v/>
      </c>
      <c r="G1872" s="141">
        <f>IF(offer_sale_type="транзит",IFERROR(VLOOKUP($B1872,calc_data,G$14+1,0),0),0)</f>
        <v/>
      </c>
      <c r="H1872" s="141">
        <f>E1872*G1872</f>
        <v/>
      </c>
      <c r="I1872" s="141">
        <f>IF(offer_sale_type="транзит",IFERROR(ROUND(VLOOKUP($B1872,calc_data,I$14+1,0),2),0),0)</f>
        <v/>
      </c>
      <c r="J1872" s="141">
        <f>ROUND(IF(offer_sale_type="транзит",IFERROR(VLOOKUP($B1872,calc_data,J$14+1,0),0),0),2)</f>
        <v/>
      </c>
      <c r="K1872" s="142">
        <f>IF(offer_sale_type="транзит",IFERROR(ROUNDUP(VLOOKUP($B1872,calc_data,K$14+1,0),2),0),0)</f>
        <v/>
      </c>
      <c r="L1872" s="184">
        <f>IF(offer_sale_type="транзит",IFERROR(ROUNDUP(VLOOKUP($B1872,calc_data,L$14+1,0),2),0),0)</f>
        <v/>
      </c>
      <c r="M1872" s="141">
        <f>IF(offer_sale_type="транзит",IFERROR(ROUNDUP(VLOOKUP($B1872,calc_data,M$14+1,0),2),0),0)</f>
        <v/>
      </c>
      <c r="N1872" s="141">
        <f>IF(offer_sale_type="транзит",IFERROR(ROUNDUP(VLOOKUP($B1872,calc_data,N$14+1,0),2),0),0)</f>
        <v/>
      </c>
      <c r="O1872" s="147">
        <f>IF(offer_sale_type="транзит",IFERROR(ROUND(VLOOKUP($B1872,calc_data,O$14+1,1),2),0),0)</f>
        <v/>
      </c>
      <c r="P1872" s="141">
        <f>IF(offer_sale_type="транзит",IFERROR(ROUND(SUM(I1872:J1872,M1872:O1872)/E1872,2),0),0)</f>
        <v/>
      </c>
      <c r="Q1872" s="141">
        <f>E1872*P1872</f>
        <v/>
      </c>
      <c r="R1872" s="141">
        <f>ROUND(Q1872*IF(AND(offer_incoterms="DDP",seller_region="RU"),IF((TODAY()+offer_turnaround_time)&gt;=helpsheet!$L$17,rate_vatRU_from_26,rate_vatRu_till_25),0),2)</f>
        <v/>
      </c>
      <c r="S1872" s="177">
        <f>Q1872+IF(AND(offer_incoterms="DDP",seller_region="RU"),R1872,0)</f>
        <v/>
      </c>
      <c r="T1872" s="45" t="n"/>
      <c r="V1872" s="57">
        <f>IF(Q1872&gt;0,"показать","скрыть")</f>
        <v/>
      </c>
    </row>
    <row r="1873" ht="15.75" customHeight="1">
      <c r="B1873" s="809" t="n">
        <v>1857</v>
      </c>
      <c r="C1873" s="182">
        <f>IF(offer_sale_type="транзит",IFERROR(VLOOKUP($B1873,calc_data,C$14+1,0),0),0)</f>
        <v/>
      </c>
      <c r="D1873" s="280">
        <f>IF(offer_sale_type="транзит",IFERROR(VLOOKUP($B1873,calc_data,D$14+1,0),0),0)</f>
        <v/>
      </c>
      <c r="E1873" s="182">
        <f>IF(offer_sale_type="транзит",IFERROR(VLOOKUP($B1873,calc_data,E$14+1,0),0),0)</f>
        <v/>
      </c>
      <c r="F1873" s="182">
        <f>IF(offer_sale_type="транзит",IFERROR(VLOOKUP($B1873,calc_data,F$14+1,0),0),0)</f>
        <v/>
      </c>
      <c r="G1873" s="141">
        <f>IF(offer_sale_type="транзит",IFERROR(VLOOKUP($B1873,calc_data,G$14+1,0),0),0)</f>
        <v/>
      </c>
      <c r="H1873" s="141">
        <f>E1873*G1873</f>
        <v/>
      </c>
      <c r="I1873" s="141">
        <f>IF(offer_sale_type="транзит",IFERROR(ROUND(VLOOKUP($B1873,calc_data,I$14+1,0),2),0),0)</f>
        <v/>
      </c>
      <c r="J1873" s="141">
        <f>ROUND(IF(offer_sale_type="транзит",IFERROR(VLOOKUP($B1873,calc_data,J$14+1,0),0),0),2)</f>
        <v/>
      </c>
      <c r="K1873" s="142">
        <f>IF(offer_sale_type="транзит",IFERROR(ROUNDUP(VLOOKUP($B1873,calc_data,K$14+1,0),2),0),0)</f>
        <v/>
      </c>
      <c r="L1873" s="184">
        <f>IF(offer_sale_type="транзит",IFERROR(ROUNDUP(VLOOKUP($B1873,calc_data,L$14+1,0),2),0),0)</f>
        <v/>
      </c>
      <c r="M1873" s="141">
        <f>IF(offer_sale_type="транзит",IFERROR(ROUNDUP(VLOOKUP($B1873,calc_data,M$14+1,0),2),0),0)</f>
        <v/>
      </c>
      <c r="N1873" s="141">
        <f>IF(offer_sale_type="транзит",IFERROR(ROUNDUP(VLOOKUP($B1873,calc_data,N$14+1,0),2),0),0)</f>
        <v/>
      </c>
      <c r="O1873" s="147">
        <f>IF(offer_sale_type="транзит",IFERROR(ROUND(VLOOKUP($B1873,calc_data,O$14+1,1),2),0),0)</f>
        <v/>
      </c>
      <c r="P1873" s="141">
        <f>IF(offer_sale_type="транзит",IFERROR(ROUND(SUM(I1873:J1873,M1873:O1873)/E1873,2),0),0)</f>
        <v/>
      </c>
      <c r="Q1873" s="141">
        <f>E1873*P1873</f>
        <v/>
      </c>
      <c r="R1873" s="141">
        <f>ROUND(Q1873*IF(AND(offer_incoterms="DDP",seller_region="RU"),IF((TODAY()+offer_turnaround_time)&gt;=helpsheet!$L$17,rate_vatRU_from_26,rate_vatRu_till_25),0),2)</f>
        <v/>
      </c>
      <c r="S1873" s="177">
        <f>Q1873+IF(AND(offer_incoterms="DDP",seller_region="RU"),R1873,0)</f>
        <v/>
      </c>
      <c r="T1873" s="45" t="n"/>
      <c r="V1873" s="57">
        <f>IF(Q1873&gt;0,"показать","скрыть")</f>
        <v/>
      </c>
    </row>
    <row r="1874" ht="15.75" customHeight="1">
      <c r="B1874" s="809" t="n">
        <v>1858</v>
      </c>
      <c r="C1874" s="182">
        <f>IF(offer_sale_type="транзит",IFERROR(VLOOKUP($B1874,calc_data,C$14+1,0),0),0)</f>
        <v/>
      </c>
      <c r="D1874" s="280">
        <f>IF(offer_sale_type="транзит",IFERROR(VLOOKUP($B1874,calc_data,D$14+1,0),0),0)</f>
        <v/>
      </c>
      <c r="E1874" s="182">
        <f>IF(offer_sale_type="транзит",IFERROR(VLOOKUP($B1874,calc_data,E$14+1,0),0),0)</f>
        <v/>
      </c>
      <c r="F1874" s="182">
        <f>IF(offer_sale_type="транзит",IFERROR(VLOOKUP($B1874,calc_data,F$14+1,0),0),0)</f>
        <v/>
      </c>
      <c r="G1874" s="141">
        <f>IF(offer_sale_type="транзит",IFERROR(VLOOKUP($B1874,calc_data,G$14+1,0),0),0)</f>
        <v/>
      </c>
      <c r="H1874" s="141">
        <f>E1874*G1874</f>
        <v/>
      </c>
      <c r="I1874" s="141">
        <f>IF(offer_sale_type="транзит",IFERROR(ROUND(VLOOKUP($B1874,calc_data,I$14+1,0),2),0),0)</f>
        <v/>
      </c>
      <c r="J1874" s="141">
        <f>ROUND(IF(offer_sale_type="транзит",IFERROR(VLOOKUP($B1874,calc_data,J$14+1,0),0),0),2)</f>
        <v/>
      </c>
      <c r="K1874" s="142">
        <f>IF(offer_sale_type="транзит",IFERROR(ROUNDUP(VLOOKUP($B1874,calc_data,K$14+1,0),2),0),0)</f>
        <v/>
      </c>
      <c r="L1874" s="184">
        <f>IF(offer_sale_type="транзит",IFERROR(ROUNDUP(VLOOKUP($B1874,calc_data,L$14+1,0),2),0),0)</f>
        <v/>
      </c>
      <c r="M1874" s="141">
        <f>IF(offer_sale_type="транзит",IFERROR(ROUNDUP(VLOOKUP($B1874,calc_data,M$14+1,0),2),0),0)</f>
        <v/>
      </c>
      <c r="N1874" s="141">
        <f>IF(offer_sale_type="транзит",IFERROR(ROUNDUP(VLOOKUP($B1874,calc_data,N$14+1,0),2),0),0)</f>
        <v/>
      </c>
      <c r="O1874" s="147">
        <f>IF(offer_sale_type="транзит",IFERROR(ROUND(VLOOKUP($B1874,calc_data,O$14+1,1),2),0),0)</f>
        <v/>
      </c>
      <c r="P1874" s="141">
        <f>IF(offer_sale_type="транзит",IFERROR(ROUND(SUM(I1874:J1874,M1874:O1874)/E1874,2),0),0)</f>
        <v/>
      </c>
      <c r="Q1874" s="141">
        <f>E1874*P1874</f>
        <v/>
      </c>
      <c r="R1874" s="141">
        <f>ROUND(Q1874*IF(AND(offer_incoterms="DDP",seller_region="RU"),IF((TODAY()+offer_turnaround_time)&gt;=helpsheet!$L$17,rate_vatRU_from_26,rate_vatRu_till_25),0),2)</f>
        <v/>
      </c>
      <c r="S1874" s="177">
        <f>Q1874+IF(AND(offer_incoterms="DDP",seller_region="RU"),R1874,0)</f>
        <v/>
      </c>
      <c r="T1874" s="45" t="n"/>
      <c r="V1874" s="57">
        <f>IF(Q1874&gt;0,"показать","скрыть")</f>
        <v/>
      </c>
    </row>
    <row r="1875" ht="15.75" customHeight="1">
      <c r="B1875" s="809" t="n">
        <v>1859</v>
      </c>
      <c r="C1875" s="182">
        <f>IF(offer_sale_type="транзит",IFERROR(VLOOKUP($B1875,calc_data,C$14+1,0),0),0)</f>
        <v/>
      </c>
      <c r="D1875" s="280">
        <f>IF(offer_sale_type="транзит",IFERROR(VLOOKUP($B1875,calc_data,D$14+1,0),0),0)</f>
        <v/>
      </c>
      <c r="E1875" s="182">
        <f>IF(offer_sale_type="транзит",IFERROR(VLOOKUP($B1875,calc_data,E$14+1,0),0),0)</f>
        <v/>
      </c>
      <c r="F1875" s="182">
        <f>IF(offer_sale_type="транзит",IFERROR(VLOOKUP($B1875,calc_data,F$14+1,0),0),0)</f>
        <v/>
      </c>
      <c r="G1875" s="141">
        <f>IF(offer_sale_type="транзит",IFERROR(VLOOKUP($B1875,calc_data,G$14+1,0),0),0)</f>
        <v/>
      </c>
      <c r="H1875" s="141">
        <f>E1875*G1875</f>
        <v/>
      </c>
      <c r="I1875" s="141">
        <f>IF(offer_sale_type="транзит",IFERROR(ROUND(VLOOKUP($B1875,calc_data,I$14+1,0),2),0),0)</f>
        <v/>
      </c>
      <c r="J1875" s="141">
        <f>ROUND(IF(offer_sale_type="транзит",IFERROR(VLOOKUP($B1875,calc_data,J$14+1,0),0),0),2)</f>
        <v/>
      </c>
      <c r="K1875" s="142">
        <f>IF(offer_sale_type="транзит",IFERROR(ROUNDUP(VLOOKUP($B1875,calc_data,K$14+1,0),2),0),0)</f>
        <v/>
      </c>
      <c r="L1875" s="184">
        <f>IF(offer_sale_type="транзит",IFERROR(ROUNDUP(VLOOKUP($B1875,calc_data,L$14+1,0),2),0),0)</f>
        <v/>
      </c>
      <c r="M1875" s="141">
        <f>IF(offer_sale_type="транзит",IFERROR(ROUNDUP(VLOOKUP($B1875,calc_data,M$14+1,0),2),0),0)</f>
        <v/>
      </c>
      <c r="N1875" s="141">
        <f>IF(offer_sale_type="транзит",IFERROR(ROUNDUP(VLOOKUP($B1875,calc_data,N$14+1,0),2),0),0)</f>
        <v/>
      </c>
      <c r="O1875" s="147">
        <f>IF(offer_sale_type="транзит",IFERROR(ROUND(VLOOKUP($B1875,calc_data,O$14+1,1),2),0),0)</f>
        <v/>
      </c>
      <c r="P1875" s="141">
        <f>IF(offer_sale_type="транзит",IFERROR(ROUND(SUM(I1875:J1875,M1875:O1875)/E1875,2),0),0)</f>
        <v/>
      </c>
      <c r="Q1875" s="141">
        <f>E1875*P1875</f>
        <v/>
      </c>
      <c r="R1875" s="141">
        <f>ROUND(Q1875*IF(AND(offer_incoterms="DDP",seller_region="RU"),IF((TODAY()+offer_turnaround_time)&gt;=helpsheet!$L$17,rate_vatRU_from_26,rate_vatRu_till_25),0),2)</f>
        <v/>
      </c>
      <c r="S1875" s="177">
        <f>Q1875+IF(AND(offer_incoterms="DDP",seller_region="RU"),R1875,0)</f>
        <v/>
      </c>
      <c r="T1875" s="45" t="n"/>
      <c r="V1875" s="57">
        <f>IF(Q1875&gt;0,"показать","скрыть")</f>
        <v/>
      </c>
    </row>
    <row r="1876" ht="15.75" customHeight="1">
      <c r="B1876" s="809" t="n">
        <v>1860</v>
      </c>
      <c r="C1876" s="182">
        <f>IF(offer_sale_type="транзит",IFERROR(VLOOKUP($B1876,calc_data,C$14+1,0),0),0)</f>
        <v/>
      </c>
      <c r="D1876" s="280">
        <f>IF(offer_sale_type="транзит",IFERROR(VLOOKUP($B1876,calc_data,D$14+1,0),0),0)</f>
        <v/>
      </c>
      <c r="E1876" s="182">
        <f>IF(offer_sale_type="транзит",IFERROR(VLOOKUP($B1876,calc_data,E$14+1,0),0),0)</f>
        <v/>
      </c>
      <c r="F1876" s="182">
        <f>IF(offer_sale_type="транзит",IFERROR(VLOOKUP($B1876,calc_data,F$14+1,0),0),0)</f>
        <v/>
      </c>
      <c r="G1876" s="141">
        <f>IF(offer_sale_type="транзит",IFERROR(VLOOKUP($B1876,calc_data,G$14+1,0),0),0)</f>
        <v/>
      </c>
      <c r="H1876" s="141">
        <f>E1876*G1876</f>
        <v/>
      </c>
      <c r="I1876" s="141">
        <f>IF(offer_sale_type="транзит",IFERROR(ROUND(VLOOKUP($B1876,calc_data,I$14+1,0),2),0),0)</f>
        <v/>
      </c>
      <c r="J1876" s="141">
        <f>ROUND(IF(offer_sale_type="транзит",IFERROR(VLOOKUP($B1876,calc_data,J$14+1,0),0),0),2)</f>
        <v/>
      </c>
      <c r="K1876" s="142">
        <f>IF(offer_sale_type="транзит",IFERROR(ROUNDUP(VLOOKUP($B1876,calc_data,K$14+1,0),2),0),0)</f>
        <v/>
      </c>
      <c r="L1876" s="184">
        <f>IF(offer_sale_type="транзит",IFERROR(ROUNDUP(VLOOKUP($B1876,calc_data,L$14+1,0),2),0),0)</f>
        <v/>
      </c>
      <c r="M1876" s="141">
        <f>IF(offer_sale_type="транзит",IFERROR(ROUNDUP(VLOOKUP($B1876,calc_data,M$14+1,0),2),0),0)</f>
        <v/>
      </c>
      <c r="N1876" s="141">
        <f>IF(offer_sale_type="транзит",IFERROR(ROUNDUP(VLOOKUP($B1876,calc_data,N$14+1,0),2),0),0)</f>
        <v/>
      </c>
      <c r="O1876" s="147">
        <f>IF(offer_sale_type="транзит",IFERROR(ROUND(VLOOKUP($B1876,calc_data,O$14+1,1),2),0),0)</f>
        <v/>
      </c>
      <c r="P1876" s="141">
        <f>IF(offer_sale_type="транзит",IFERROR(ROUND(SUM(I1876:J1876,M1876:O1876)/E1876,2),0),0)</f>
        <v/>
      </c>
      <c r="Q1876" s="141">
        <f>E1876*P1876</f>
        <v/>
      </c>
      <c r="R1876" s="141">
        <f>ROUND(Q1876*IF(AND(offer_incoterms="DDP",seller_region="RU"),IF((TODAY()+offer_turnaround_time)&gt;=helpsheet!$L$17,rate_vatRU_from_26,rate_vatRu_till_25),0),2)</f>
        <v/>
      </c>
      <c r="S1876" s="177">
        <f>Q1876+IF(AND(offer_incoterms="DDP",seller_region="RU"),R1876,0)</f>
        <v/>
      </c>
      <c r="T1876" s="45" t="n"/>
      <c r="V1876" s="57">
        <f>IF(Q1876&gt;0,"показать","скрыть")</f>
        <v/>
      </c>
    </row>
    <row r="1877" ht="15.75" customHeight="1">
      <c r="B1877" s="809" t="n">
        <v>1861</v>
      </c>
      <c r="C1877" s="182">
        <f>IF(offer_sale_type="транзит",IFERROR(VLOOKUP($B1877,calc_data,C$14+1,0),0),0)</f>
        <v/>
      </c>
      <c r="D1877" s="280">
        <f>IF(offer_sale_type="транзит",IFERROR(VLOOKUP($B1877,calc_data,D$14+1,0),0),0)</f>
        <v/>
      </c>
      <c r="E1877" s="182">
        <f>IF(offer_sale_type="транзит",IFERROR(VLOOKUP($B1877,calc_data,E$14+1,0),0),0)</f>
        <v/>
      </c>
      <c r="F1877" s="182">
        <f>IF(offer_sale_type="транзит",IFERROR(VLOOKUP($B1877,calc_data,F$14+1,0),0),0)</f>
        <v/>
      </c>
      <c r="G1877" s="141">
        <f>IF(offer_sale_type="транзит",IFERROR(VLOOKUP($B1877,calc_data,G$14+1,0),0),0)</f>
        <v/>
      </c>
      <c r="H1877" s="141">
        <f>E1877*G1877</f>
        <v/>
      </c>
      <c r="I1877" s="141">
        <f>IF(offer_sale_type="транзит",IFERROR(ROUND(VLOOKUP($B1877,calc_data,I$14+1,0),2),0),0)</f>
        <v/>
      </c>
      <c r="J1877" s="141">
        <f>ROUND(IF(offer_sale_type="транзит",IFERROR(VLOOKUP($B1877,calc_data,J$14+1,0),0),0),2)</f>
        <v/>
      </c>
      <c r="K1877" s="142">
        <f>IF(offer_sale_type="транзит",IFERROR(ROUNDUP(VLOOKUP($B1877,calc_data,K$14+1,0),2),0),0)</f>
        <v/>
      </c>
      <c r="L1877" s="184">
        <f>IF(offer_sale_type="транзит",IFERROR(ROUNDUP(VLOOKUP($B1877,calc_data,L$14+1,0),2),0),0)</f>
        <v/>
      </c>
      <c r="M1877" s="141">
        <f>IF(offer_sale_type="транзит",IFERROR(ROUNDUP(VLOOKUP($B1877,calc_data,M$14+1,0),2),0),0)</f>
        <v/>
      </c>
      <c r="N1877" s="141">
        <f>IF(offer_sale_type="транзит",IFERROR(ROUNDUP(VLOOKUP($B1877,calc_data,N$14+1,0),2),0),0)</f>
        <v/>
      </c>
      <c r="O1877" s="147">
        <f>IF(offer_sale_type="транзит",IFERROR(ROUND(VLOOKUP($B1877,calc_data,O$14+1,1),2),0),0)</f>
        <v/>
      </c>
      <c r="P1877" s="141">
        <f>IF(offer_sale_type="транзит",IFERROR(ROUND(SUM(I1877:J1877,M1877:O1877)/E1877,2),0),0)</f>
        <v/>
      </c>
      <c r="Q1877" s="141">
        <f>E1877*P1877</f>
        <v/>
      </c>
      <c r="R1877" s="141">
        <f>ROUND(Q1877*IF(AND(offer_incoterms="DDP",seller_region="RU"),IF((TODAY()+offer_turnaround_time)&gt;=helpsheet!$L$17,rate_vatRU_from_26,rate_vatRu_till_25),0),2)</f>
        <v/>
      </c>
      <c r="S1877" s="177">
        <f>Q1877+IF(AND(offer_incoterms="DDP",seller_region="RU"),R1877,0)</f>
        <v/>
      </c>
      <c r="T1877" s="45" t="n"/>
      <c r="V1877" s="57">
        <f>IF(Q1877&gt;0,"показать","скрыть")</f>
        <v/>
      </c>
    </row>
    <row r="1878" ht="15.75" customHeight="1">
      <c r="B1878" s="809" t="n">
        <v>1862</v>
      </c>
      <c r="C1878" s="182">
        <f>IF(offer_sale_type="транзит",IFERROR(VLOOKUP($B1878,calc_data,C$14+1,0),0),0)</f>
        <v/>
      </c>
      <c r="D1878" s="280">
        <f>IF(offer_sale_type="транзит",IFERROR(VLOOKUP($B1878,calc_data,D$14+1,0),0),0)</f>
        <v/>
      </c>
      <c r="E1878" s="182">
        <f>IF(offer_sale_type="транзит",IFERROR(VLOOKUP($B1878,calc_data,E$14+1,0),0),0)</f>
        <v/>
      </c>
      <c r="F1878" s="182">
        <f>IF(offer_sale_type="транзит",IFERROR(VLOOKUP($B1878,calc_data,F$14+1,0),0),0)</f>
        <v/>
      </c>
      <c r="G1878" s="141">
        <f>IF(offer_sale_type="транзит",IFERROR(VLOOKUP($B1878,calc_data,G$14+1,0),0),0)</f>
        <v/>
      </c>
      <c r="H1878" s="141">
        <f>E1878*G1878</f>
        <v/>
      </c>
      <c r="I1878" s="141">
        <f>IF(offer_sale_type="транзит",IFERROR(ROUND(VLOOKUP($B1878,calc_data,I$14+1,0),2),0),0)</f>
        <v/>
      </c>
      <c r="J1878" s="141">
        <f>ROUND(IF(offer_sale_type="транзит",IFERROR(VLOOKUP($B1878,calc_data,J$14+1,0),0),0),2)</f>
        <v/>
      </c>
      <c r="K1878" s="142">
        <f>IF(offer_sale_type="транзит",IFERROR(ROUNDUP(VLOOKUP($B1878,calc_data,K$14+1,0),2),0),0)</f>
        <v/>
      </c>
      <c r="L1878" s="184">
        <f>IF(offer_sale_type="транзит",IFERROR(ROUNDUP(VLOOKUP($B1878,calc_data,L$14+1,0),2),0),0)</f>
        <v/>
      </c>
      <c r="M1878" s="141">
        <f>IF(offer_sale_type="транзит",IFERROR(ROUNDUP(VLOOKUP($B1878,calc_data,M$14+1,0),2),0),0)</f>
        <v/>
      </c>
      <c r="N1878" s="141">
        <f>IF(offer_sale_type="транзит",IFERROR(ROUNDUP(VLOOKUP($B1878,calc_data,N$14+1,0),2),0),0)</f>
        <v/>
      </c>
      <c r="O1878" s="147">
        <f>IF(offer_sale_type="транзит",IFERROR(ROUND(VLOOKUP($B1878,calc_data,O$14+1,1),2),0),0)</f>
        <v/>
      </c>
      <c r="P1878" s="141">
        <f>IF(offer_sale_type="транзит",IFERROR(ROUND(SUM(I1878:J1878,M1878:O1878)/E1878,2),0),0)</f>
        <v/>
      </c>
      <c r="Q1878" s="141">
        <f>E1878*P1878</f>
        <v/>
      </c>
      <c r="R1878" s="141">
        <f>ROUND(Q1878*IF(AND(offer_incoterms="DDP",seller_region="RU"),IF((TODAY()+offer_turnaround_time)&gt;=helpsheet!$L$17,rate_vatRU_from_26,rate_vatRu_till_25),0),2)</f>
        <v/>
      </c>
      <c r="S1878" s="177">
        <f>Q1878+IF(AND(offer_incoterms="DDP",seller_region="RU"),R1878,0)</f>
        <v/>
      </c>
      <c r="T1878" s="45" t="n"/>
      <c r="V1878" s="57">
        <f>IF(Q1878&gt;0,"показать","скрыть")</f>
        <v/>
      </c>
    </row>
    <row r="1879" ht="15.75" customHeight="1">
      <c r="B1879" s="809" t="n">
        <v>1863</v>
      </c>
      <c r="C1879" s="182">
        <f>IF(offer_sale_type="транзит",IFERROR(VLOOKUP($B1879,calc_data,C$14+1,0),0),0)</f>
        <v/>
      </c>
      <c r="D1879" s="280">
        <f>IF(offer_sale_type="транзит",IFERROR(VLOOKUP($B1879,calc_data,D$14+1,0),0),0)</f>
        <v/>
      </c>
      <c r="E1879" s="182">
        <f>IF(offer_sale_type="транзит",IFERROR(VLOOKUP($B1879,calc_data,E$14+1,0),0),0)</f>
        <v/>
      </c>
      <c r="F1879" s="182">
        <f>IF(offer_sale_type="транзит",IFERROR(VLOOKUP($B1879,calc_data,F$14+1,0),0),0)</f>
        <v/>
      </c>
      <c r="G1879" s="141">
        <f>IF(offer_sale_type="транзит",IFERROR(VLOOKUP($B1879,calc_data,G$14+1,0),0),0)</f>
        <v/>
      </c>
      <c r="H1879" s="141">
        <f>E1879*G1879</f>
        <v/>
      </c>
      <c r="I1879" s="141">
        <f>IF(offer_sale_type="транзит",IFERROR(ROUND(VLOOKUP($B1879,calc_data,I$14+1,0),2),0),0)</f>
        <v/>
      </c>
      <c r="J1879" s="141">
        <f>ROUND(IF(offer_sale_type="транзит",IFERROR(VLOOKUP($B1879,calc_data,J$14+1,0),0),0),2)</f>
        <v/>
      </c>
      <c r="K1879" s="142">
        <f>IF(offer_sale_type="транзит",IFERROR(ROUNDUP(VLOOKUP($B1879,calc_data,K$14+1,0),2),0),0)</f>
        <v/>
      </c>
      <c r="L1879" s="184">
        <f>IF(offer_sale_type="транзит",IFERROR(ROUNDUP(VLOOKUP($B1879,calc_data,L$14+1,0),2),0),0)</f>
        <v/>
      </c>
      <c r="M1879" s="141">
        <f>IF(offer_sale_type="транзит",IFERROR(ROUNDUP(VLOOKUP($B1879,calc_data,M$14+1,0),2),0),0)</f>
        <v/>
      </c>
      <c r="N1879" s="141">
        <f>IF(offer_sale_type="транзит",IFERROR(ROUNDUP(VLOOKUP($B1879,calc_data,N$14+1,0),2),0),0)</f>
        <v/>
      </c>
      <c r="O1879" s="147">
        <f>IF(offer_sale_type="транзит",IFERROR(ROUND(VLOOKUP($B1879,calc_data,O$14+1,1),2),0),0)</f>
        <v/>
      </c>
      <c r="P1879" s="141">
        <f>IF(offer_sale_type="транзит",IFERROR(ROUND(SUM(I1879:J1879,M1879:O1879)/E1879,2),0),0)</f>
        <v/>
      </c>
      <c r="Q1879" s="141">
        <f>E1879*P1879</f>
        <v/>
      </c>
      <c r="R1879" s="141">
        <f>ROUND(Q1879*IF(AND(offer_incoterms="DDP",seller_region="RU"),IF((TODAY()+offer_turnaround_time)&gt;=helpsheet!$L$17,rate_vatRU_from_26,rate_vatRu_till_25),0),2)</f>
        <v/>
      </c>
      <c r="S1879" s="177">
        <f>Q1879+IF(AND(offer_incoterms="DDP",seller_region="RU"),R1879,0)</f>
        <v/>
      </c>
      <c r="T1879" s="45" t="n"/>
      <c r="V1879" s="57">
        <f>IF(Q1879&gt;0,"показать","скрыть")</f>
        <v/>
      </c>
    </row>
    <row r="1880" ht="15.75" customHeight="1">
      <c r="B1880" s="809" t="n">
        <v>1864</v>
      </c>
      <c r="C1880" s="182">
        <f>IF(offer_sale_type="транзит",IFERROR(VLOOKUP($B1880,calc_data,C$14+1,0),0),0)</f>
        <v/>
      </c>
      <c r="D1880" s="280">
        <f>IF(offer_sale_type="транзит",IFERROR(VLOOKUP($B1880,calc_data,D$14+1,0),0),0)</f>
        <v/>
      </c>
      <c r="E1880" s="182">
        <f>IF(offer_sale_type="транзит",IFERROR(VLOOKUP($B1880,calc_data,E$14+1,0),0),0)</f>
        <v/>
      </c>
      <c r="F1880" s="182">
        <f>IF(offer_sale_type="транзит",IFERROR(VLOOKUP($B1880,calc_data,F$14+1,0),0),0)</f>
        <v/>
      </c>
      <c r="G1880" s="141">
        <f>IF(offer_sale_type="транзит",IFERROR(VLOOKUP($B1880,calc_data,G$14+1,0),0),0)</f>
        <v/>
      </c>
      <c r="H1880" s="141">
        <f>E1880*G1880</f>
        <v/>
      </c>
      <c r="I1880" s="141">
        <f>IF(offer_sale_type="транзит",IFERROR(ROUND(VLOOKUP($B1880,calc_data,I$14+1,0),2),0),0)</f>
        <v/>
      </c>
      <c r="J1880" s="141">
        <f>ROUND(IF(offer_sale_type="транзит",IFERROR(VLOOKUP($B1880,calc_data,J$14+1,0),0),0),2)</f>
        <v/>
      </c>
      <c r="K1880" s="142">
        <f>IF(offer_sale_type="транзит",IFERROR(ROUNDUP(VLOOKUP($B1880,calc_data,K$14+1,0),2),0),0)</f>
        <v/>
      </c>
      <c r="L1880" s="184">
        <f>IF(offer_sale_type="транзит",IFERROR(ROUNDUP(VLOOKUP($B1880,calc_data,L$14+1,0),2),0),0)</f>
        <v/>
      </c>
      <c r="M1880" s="141">
        <f>IF(offer_sale_type="транзит",IFERROR(ROUNDUP(VLOOKUP($B1880,calc_data,M$14+1,0),2),0),0)</f>
        <v/>
      </c>
      <c r="N1880" s="141">
        <f>IF(offer_sale_type="транзит",IFERROR(ROUNDUP(VLOOKUP($B1880,calc_data,N$14+1,0),2),0),0)</f>
        <v/>
      </c>
      <c r="O1880" s="147">
        <f>IF(offer_sale_type="транзит",IFERROR(ROUND(VLOOKUP($B1880,calc_data,O$14+1,1),2),0),0)</f>
        <v/>
      </c>
      <c r="P1880" s="141">
        <f>IF(offer_sale_type="транзит",IFERROR(ROUND(SUM(I1880:J1880,M1880:O1880)/E1880,2),0),0)</f>
        <v/>
      </c>
      <c r="Q1880" s="141">
        <f>E1880*P1880</f>
        <v/>
      </c>
      <c r="R1880" s="141">
        <f>ROUND(Q1880*IF(AND(offer_incoterms="DDP",seller_region="RU"),IF((TODAY()+offer_turnaround_time)&gt;=helpsheet!$L$17,rate_vatRU_from_26,rate_vatRu_till_25),0),2)</f>
        <v/>
      </c>
      <c r="S1880" s="177">
        <f>Q1880+IF(AND(offer_incoterms="DDP",seller_region="RU"),R1880,0)</f>
        <v/>
      </c>
      <c r="T1880" s="45" t="n"/>
      <c r="V1880" s="57">
        <f>IF(Q1880&gt;0,"показать","скрыть")</f>
        <v/>
      </c>
    </row>
    <row r="1881" ht="15.75" customHeight="1">
      <c r="B1881" s="809" t="n">
        <v>1865</v>
      </c>
      <c r="C1881" s="182">
        <f>IF(offer_sale_type="транзит",IFERROR(VLOOKUP($B1881,calc_data,C$14+1,0),0),0)</f>
        <v/>
      </c>
      <c r="D1881" s="280">
        <f>IF(offer_sale_type="транзит",IFERROR(VLOOKUP($B1881,calc_data,D$14+1,0),0),0)</f>
        <v/>
      </c>
      <c r="E1881" s="182">
        <f>IF(offer_sale_type="транзит",IFERROR(VLOOKUP($B1881,calc_data,E$14+1,0),0),0)</f>
        <v/>
      </c>
      <c r="F1881" s="182">
        <f>IF(offer_sale_type="транзит",IFERROR(VLOOKUP($B1881,calc_data,F$14+1,0),0),0)</f>
        <v/>
      </c>
      <c r="G1881" s="141">
        <f>IF(offer_sale_type="транзит",IFERROR(VLOOKUP($B1881,calc_data,G$14+1,0),0),0)</f>
        <v/>
      </c>
      <c r="H1881" s="141">
        <f>E1881*G1881</f>
        <v/>
      </c>
      <c r="I1881" s="141">
        <f>IF(offer_sale_type="транзит",IFERROR(ROUND(VLOOKUP($B1881,calc_data,I$14+1,0),2),0),0)</f>
        <v/>
      </c>
      <c r="J1881" s="141">
        <f>ROUND(IF(offer_sale_type="транзит",IFERROR(VLOOKUP($B1881,calc_data,J$14+1,0),0),0),2)</f>
        <v/>
      </c>
      <c r="K1881" s="142">
        <f>IF(offer_sale_type="транзит",IFERROR(ROUNDUP(VLOOKUP($B1881,calc_data,K$14+1,0),2),0),0)</f>
        <v/>
      </c>
      <c r="L1881" s="184">
        <f>IF(offer_sale_type="транзит",IFERROR(ROUNDUP(VLOOKUP($B1881,calc_data,L$14+1,0),2),0),0)</f>
        <v/>
      </c>
      <c r="M1881" s="141">
        <f>IF(offer_sale_type="транзит",IFERROR(ROUNDUP(VLOOKUP($B1881,calc_data,M$14+1,0),2),0),0)</f>
        <v/>
      </c>
      <c r="N1881" s="141">
        <f>IF(offer_sale_type="транзит",IFERROR(ROUNDUP(VLOOKUP($B1881,calc_data,N$14+1,0),2),0),0)</f>
        <v/>
      </c>
      <c r="O1881" s="147">
        <f>IF(offer_sale_type="транзит",IFERROR(ROUND(VLOOKUP($B1881,calc_data,O$14+1,1),2),0),0)</f>
        <v/>
      </c>
      <c r="P1881" s="141">
        <f>IF(offer_sale_type="транзит",IFERROR(ROUND(SUM(I1881:J1881,M1881:O1881)/E1881,2),0),0)</f>
        <v/>
      </c>
      <c r="Q1881" s="141">
        <f>E1881*P1881</f>
        <v/>
      </c>
      <c r="R1881" s="141">
        <f>ROUND(Q1881*IF(AND(offer_incoterms="DDP",seller_region="RU"),IF((TODAY()+offer_turnaround_time)&gt;=helpsheet!$L$17,rate_vatRU_from_26,rate_vatRu_till_25),0),2)</f>
        <v/>
      </c>
      <c r="S1881" s="177">
        <f>Q1881+IF(AND(offer_incoterms="DDP",seller_region="RU"),R1881,0)</f>
        <v/>
      </c>
      <c r="T1881" s="45" t="n"/>
      <c r="V1881" s="57">
        <f>IF(Q1881&gt;0,"показать","скрыть")</f>
        <v/>
      </c>
    </row>
    <row r="1882" ht="15.75" customHeight="1">
      <c r="B1882" s="809" t="n">
        <v>1866</v>
      </c>
      <c r="C1882" s="182">
        <f>IF(offer_sale_type="транзит",IFERROR(VLOOKUP($B1882,calc_data,C$14+1,0),0),0)</f>
        <v/>
      </c>
      <c r="D1882" s="280">
        <f>IF(offer_sale_type="транзит",IFERROR(VLOOKUP($B1882,calc_data,D$14+1,0),0),0)</f>
        <v/>
      </c>
      <c r="E1882" s="182">
        <f>IF(offer_sale_type="транзит",IFERROR(VLOOKUP($B1882,calc_data,E$14+1,0),0),0)</f>
        <v/>
      </c>
      <c r="F1882" s="182">
        <f>IF(offer_sale_type="транзит",IFERROR(VLOOKUP($B1882,calc_data,F$14+1,0),0),0)</f>
        <v/>
      </c>
      <c r="G1882" s="141">
        <f>IF(offer_sale_type="транзит",IFERROR(VLOOKUP($B1882,calc_data,G$14+1,0),0),0)</f>
        <v/>
      </c>
      <c r="H1882" s="141">
        <f>E1882*G1882</f>
        <v/>
      </c>
      <c r="I1882" s="141">
        <f>IF(offer_sale_type="транзит",IFERROR(ROUND(VLOOKUP($B1882,calc_data,I$14+1,0),2),0),0)</f>
        <v/>
      </c>
      <c r="J1882" s="141">
        <f>ROUND(IF(offer_sale_type="транзит",IFERROR(VLOOKUP($B1882,calc_data,J$14+1,0),0),0),2)</f>
        <v/>
      </c>
      <c r="K1882" s="142">
        <f>IF(offer_sale_type="транзит",IFERROR(ROUNDUP(VLOOKUP($B1882,calc_data,K$14+1,0),2),0),0)</f>
        <v/>
      </c>
      <c r="L1882" s="184">
        <f>IF(offer_sale_type="транзит",IFERROR(ROUNDUP(VLOOKUP($B1882,calc_data,L$14+1,0),2),0),0)</f>
        <v/>
      </c>
      <c r="M1882" s="141">
        <f>IF(offer_sale_type="транзит",IFERROR(ROUNDUP(VLOOKUP($B1882,calc_data,M$14+1,0),2),0),0)</f>
        <v/>
      </c>
      <c r="N1882" s="141">
        <f>IF(offer_sale_type="транзит",IFERROR(ROUNDUP(VLOOKUP($B1882,calc_data,N$14+1,0),2),0),0)</f>
        <v/>
      </c>
      <c r="O1882" s="147">
        <f>IF(offer_sale_type="транзит",IFERROR(ROUND(VLOOKUP($B1882,calc_data,O$14+1,1),2),0),0)</f>
        <v/>
      </c>
      <c r="P1882" s="141">
        <f>IF(offer_sale_type="транзит",IFERROR(ROUND(SUM(I1882:J1882,M1882:O1882)/E1882,2),0),0)</f>
        <v/>
      </c>
      <c r="Q1882" s="141">
        <f>E1882*P1882</f>
        <v/>
      </c>
      <c r="R1882" s="141">
        <f>ROUND(Q1882*IF(AND(offer_incoterms="DDP",seller_region="RU"),IF((TODAY()+offer_turnaround_time)&gt;=helpsheet!$L$17,rate_vatRU_from_26,rate_vatRu_till_25),0),2)</f>
        <v/>
      </c>
      <c r="S1882" s="177">
        <f>Q1882+IF(AND(offer_incoterms="DDP",seller_region="RU"),R1882,0)</f>
        <v/>
      </c>
      <c r="T1882" s="45" t="n"/>
      <c r="V1882" s="57">
        <f>IF(Q1882&gt;0,"показать","скрыть")</f>
        <v/>
      </c>
    </row>
    <row r="1883" ht="15.75" customHeight="1">
      <c r="B1883" s="809" t="n">
        <v>1867</v>
      </c>
      <c r="C1883" s="182">
        <f>IF(offer_sale_type="транзит",IFERROR(VLOOKUP($B1883,calc_data,C$14+1,0),0),0)</f>
        <v/>
      </c>
      <c r="D1883" s="280">
        <f>IF(offer_sale_type="транзит",IFERROR(VLOOKUP($B1883,calc_data,D$14+1,0),0),0)</f>
        <v/>
      </c>
      <c r="E1883" s="182">
        <f>IF(offer_sale_type="транзит",IFERROR(VLOOKUP($B1883,calc_data,E$14+1,0),0),0)</f>
        <v/>
      </c>
      <c r="F1883" s="182">
        <f>IF(offer_sale_type="транзит",IFERROR(VLOOKUP($B1883,calc_data,F$14+1,0),0),0)</f>
        <v/>
      </c>
      <c r="G1883" s="141">
        <f>IF(offer_sale_type="транзит",IFERROR(VLOOKUP($B1883,calc_data,G$14+1,0),0),0)</f>
        <v/>
      </c>
      <c r="H1883" s="141">
        <f>E1883*G1883</f>
        <v/>
      </c>
      <c r="I1883" s="141">
        <f>IF(offer_sale_type="транзит",IFERROR(ROUND(VLOOKUP($B1883,calc_data,I$14+1,0),2),0),0)</f>
        <v/>
      </c>
      <c r="J1883" s="141">
        <f>ROUND(IF(offer_sale_type="транзит",IFERROR(VLOOKUP($B1883,calc_data,J$14+1,0),0),0),2)</f>
        <v/>
      </c>
      <c r="K1883" s="142">
        <f>IF(offer_sale_type="транзит",IFERROR(ROUNDUP(VLOOKUP($B1883,calc_data,K$14+1,0),2),0),0)</f>
        <v/>
      </c>
      <c r="L1883" s="184">
        <f>IF(offer_sale_type="транзит",IFERROR(ROUNDUP(VLOOKUP($B1883,calc_data,L$14+1,0),2),0),0)</f>
        <v/>
      </c>
      <c r="M1883" s="141">
        <f>IF(offer_sale_type="транзит",IFERROR(ROUNDUP(VLOOKUP($B1883,calc_data,M$14+1,0),2),0),0)</f>
        <v/>
      </c>
      <c r="N1883" s="141">
        <f>IF(offer_sale_type="транзит",IFERROR(ROUNDUP(VLOOKUP($B1883,calc_data,N$14+1,0),2),0),0)</f>
        <v/>
      </c>
      <c r="O1883" s="147">
        <f>IF(offer_sale_type="транзит",IFERROR(ROUND(VLOOKUP($B1883,calc_data,O$14+1,1),2),0),0)</f>
        <v/>
      </c>
      <c r="P1883" s="141">
        <f>IF(offer_sale_type="транзит",IFERROR(ROUND(SUM(I1883:J1883,M1883:O1883)/E1883,2),0),0)</f>
        <v/>
      </c>
      <c r="Q1883" s="141">
        <f>E1883*P1883</f>
        <v/>
      </c>
      <c r="R1883" s="141">
        <f>ROUND(Q1883*IF(AND(offer_incoterms="DDP",seller_region="RU"),IF((TODAY()+offer_turnaround_time)&gt;=helpsheet!$L$17,rate_vatRU_from_26,rate_vatRu_till_25),0),2)</f>
        <v/>
      </c>
      <c r="S1883" s="177">
        <f>Q1883+IF(AND(offer_incoterms="DDP",seller_region="RU"),R1883,0)</f>
        <v/>
      </c>
      <c r="T1883" s="45" t="n"/>
      <c r="V1883" s="57">
        <f>IF(Q1883&gt;0,"показать","скрыть")</f>
        <v/>
      </c>
    </row>
    <row r="1884" ht="15.75" customHeight="1">
      <c r="B1884" s="809" t="n">
        <v>1868</v>
      </c>
      <c r="C1884" s="182">
        <f>IF(offer_sale_type="транзит",IFERROR(VLOOKUP($B1884,calc_data,C$14+1,0),0),0)</f>
        <v/>
      </c>
      <c r="D1884" s="280">
        <f>IF(offer_sale_type="транзит",IFERROR(VLOOKUP($B1884,calc_data,D$14+1,0),0),0)</f>
        <v/>
      </c>
      <c r="E1884" s="182">
        <f>IF(offer_sale_type="транзит",IFERROR(VLOOKUP($B1884,calc_data,E$14+1,0),0),0)</f>
        <v/>
      </c>
      <c r="F1884" s="182">
        <f>IF(offer_sale_type="транзит",IFERROR(VLOOKUP($B1884,calc_data,F$14+1,0),0),0)</f>
        <v/>
      </c>
      <c r="G1884" s="141">
        <f>IF(offer_sale_type="транзит",IFERROR(VLOOKUP($B1884,calc_data,G$14+1,0),0),0)</f>
        <v/>
      </c>
      <c r="H1884" s="141">
        <f>E1884*G1884</f>
        <v/>
      </c>
      <c r="I1884" s="141">
        <f>IF(offer_sale_type="транзит",IFERROR(ROUND(VLOOKUP($B1884,calc_data,I$14+1,0),2),0),0)</f>
        <v/>
      </c>
      <c r="J1884" s="141">
        <f>ROUND(IF(offer_sale_type="транзит",IFERROR(VLOOKUP($B1884,calc_data,J$14+1,0),0),0),2)</f>
        <v/>
      </c>
      <c r="K1884" s="142">
        <f>IF(offer_sale_type="транзит",IFERROR(ROUNDUP(VLOOKUP($B1884,calc_data,K$14+1,0),2),0),0)</f>
        <v/>
      </c>
      <c r="L1884" s="184">
        <f>IF(offer_sale_type="транзит",IFERROR(ROUNDUP(VLOOKUP($B1884,calc_data,L$14+1,0),2),0),0)</f>
        <v/>
      </c>
      <c r="M1884" s="141">
        <f>IF(offer_sale_type="транзит",IFERROR(ROUNDUP(VLOOKUP($B1884,calc_data,M$14+1,0),2),0),0)</f>
        <v/>
      </c>
      <c r="N1884" s="141">
        <f>IF(offer_sale_type="транзит",IFERROR(ROUNDUP(VLOOKUP($B1884,calc_data,N$14+1,0),2),0),0)</f>
        <v/>
      </c>
      <c r="O1884" s="147">
        <f>IF(offer_sale_type="транзит",IFERROR(ROUND(VLOOKUP($B1884,calc_data,O$14+1,1),2),0),0)</f>
        <v/>
      </c>
      <c r="P1884" s="141">
        <f>IF(offer_sale_type="транзит",IFERROR(ROUND(SUM(I1884:J1884,M1884:O1884)/E1884,2),0),0)</f>
        <v/>
      </c>
      <c r="Q1884" s="141">
        <f>E1884*P1884</f>
        <v/>
      </c>
      <c r="R1884" s="141">
        <f>ROUND(Q1884*IF(AND(offer_incoterms="DDP",seller_region="RU"),IF((TODAY()+offer_turnaround_time)&gt;=helpsheet!$L$17,rate_vatRU_from_26,rate_vatRu_till_25),0),2)</f>
        <v/>
      </c>
      <c r="S1884" s="177">
        <f>Q1884+IF(AND(offer_incoterms="DDP",seller_region="RU"),R1884,0)</f>
        <v/>
      </c>
      <c r="T1884" s="45" t="n"/>
      <c r="V1884" s="57">
        <f>IF(Q1884&gt;0,"показать","скрыть")</f>
        <v/>
      </c>
    </row>
    <row r="1885" ht="15.75" customHeight="1">
      <c r="B1885" s="809" t="n">
        <v>1869</v>
      </c>
      <c r="C1885" s="182">
        <f>IF(offer_sale_type="транзит",IFERROR(VLOOKUP($B1885,calc_data,C$14+1,0),0),0)</f>
        <v/>
      </c>
      <c r="D1885" s="280">
        <f>IF(offer_sale_type="транзит",IFERROR(VLOOKUP($B1885,calc_data,D$14+1,0),0),0)</f>
        <v/>
      </c>
      <c r="E1885" s="182">
        <f>IF(offer_sale_type="транзит",IFERROR(VLOOKUP($B1885,calc_data,E$14+1,0),0),0)</f>
        <v/>
      </c>
      <c r="F1885" s="182">
        <f>IF(offer_sale_type="транзит",IFERROR(VLOOKUP($B1885,calc_data,F$14+1,0),0),0)</f>
        <v/>
      </c>
      <c r="G1885" s="141">
        <f>IF(offer_sale_type="транзит",IFERROR(VLOOKUP($B1885,calc_data,G$14+1,0),0),0)</f>
        <v/>
      </c>
      <c r="H1885" s="141">
        <f>E1885*G1885</f>
        <v/>
      </c>
      <c r="I1885" s="141">
        <f>IF(offer_sale_type="транзит",IFERROR(ROUND(VLOOKUP($B1885,calc_data,I$14+1,0),2),0),0)</f>
        <v/>
      </c>
      <c r="J1885" s="141">
        <f>ROUND(IF(offer_sale_type="транзит",IFERROR(VLOOKUP($B1885,calc_data,J$14+1,0),0),0),2)</f>
        <v/>
      </c>
      <c r="K1885" s="142">
        <f>IF(offer_sale_type="транзит",IFERROR(ROUNDUP(VLOOKUP($B1885,calc_data,K$14+1,0),2),0),0)</f>
        <v/>
      </c>
      <c r="L1885" s="184">
        <f>IF(offer_sale_type="транзит",IFERROR(ROUNDUP(VLOOKUP($B1885,calc_data,L$14+1,0),2),0),0)</f>
        <v/>
      </c>
      <c r="M1885" s="141">
        <f>IF(offer_sale_type="транзит",IFERROR(ROUNDUP(VLOOKUP($B1885,calc_data,M$14+1,0),2),0),0)</f>
        <v/>
      </c>
      <c r="N1885" s="141">
        <f>IF(offer_sale_type="транзит",IFERROR(ROUNDUP(VLOOKUP($B1885,calc_data,N$14+1,0),2),0),0)</f>
        <v/>
      </c>
      <c r="O1885" s="147">
        <f>IF(offer_sale_type="транзит",IFERROR(ROUND(VLOOKUP($B1885,calc_data,O$14+1,1),2),0),0)</f>
        <v/>
      </c>
      <c r="P1885" s="141">
        <f>IF(offer_sale_type="транзит",IFERROR(ROUND(SUM(I1885:J1885,M1885:O1885)/E1885,2),0),0)</f>
        <v/>
      </c>
      <c r="Q1885" s="141">
        <f>E1885*P1885</f>
        <v/>
      </c>
      <c r="R1885" s="141">
        <f>ROUND(Q1885*IF(AND(offer_incoterms="DDP",seller_region="RU"),IF((TODAY()+offer_turnaround_time)&gt;=helpsheet!$L$17,rate_vatRU_from_26,rate_vatRu_till_25),0),2)</f>
        <v/>
      </c>
      <c r="S1885" s="177">
        <f>Q1885+IF(AND(offer_incoterms="DDP",seller_region="RU"),R1885,0)</f>
        <v/>
      </c>
      <c r="T1885" s="45" t="n"/>
      <c r="V1885" s="57">
        <f>IF(Q1885&gt;0,"показать","скрыть")</f>
        <v/>
      </c>
    </row>
    <row r="1886" ht="15.75" customHeight="1">
      <c r="B1886" s="809" t="n">
        <v>1870</v>
      </c>
      <c r="C1886" s="182">
        <f>IF(offer_sale_type="транзит",IFERROR(VLOOKUP($B1886,calc_data,C$14+1,0),0),0)</f>
        <v/>
      </c>
      <c r="D1886" s="280">
        <f>IF(offer_sale_type="транзит",IFERROR(VLOOKUP($B1886,calc_data,D$14+1,0),0),0)</f>
        <v/>
      </c>
      <c r="E1886" s="182">
        <f>IF(offer_sale_type="транзит",IFERROR(VLOOKUP($B1886,calc_data,E$14+1,0),0),0)</f>
        <v/>
      </c>
      <c r="F1886" s="182">
        <f>IF(offer_sale_type="транзит",IFERROR(VLOOKUP($B1886,calc_data,F$14+1,0),0),0)</f>
        <v/>
      </c>
      <c r="G1886" s="141">
        <f>IF(offer_sale_type="транзит",IFERROR(VLOOKUP($B1886,calc_data,G$14+1,0),0),0)</f>
        <v/>
      </c>
      <c r="H1886" s="141">
        <f>E1886*G1886</f>
        <v/>
      </c>
      <c r="I1886" s="141">
        <f>IF(offer_sale_type="транзит",IFERROR(ROUND(VLOOKUP($B1886,calc_data,I$14+1,0),2),0),0)</f>
        <v/>
      </c>
      <c r="J1886" s="141">
        <f>ROUND(IF(offer_sale_type="транзит",IFERROR(VLOOKUP($B1886,calc_data,J$14+1,0),0),0),2)</f>
        <v/>
      </c>
      <c r="K1886" s="142">
        <f>IF(offer_sale_type="транзит",IFERROR(ROUNDUP(VLOOKUP($B1886,calc_data,K$14+1,0),2),0),0)</f>
        <v/>
      </c>
      <c r="L1886" s="184">
        <f>IF(offer_sale_type="транзит",IFERROR(ROUNDUP(VLOOKUP($B1886,calc_data,L$14+1,0),2),0),0)</f>
        <v/>
      </c>
      <c r="M1886" s="141">
        <f>IF(offer_sale_type="транзит",IFERROR(ROUNDUP(VLOOKUP($B1886,calc_data,M$14+1,0),2),0),0)</f>
        <v/>
      </c>
      <c r="N1886" s="141">
        <f>IF(offer_sale_type="транзит",IFERROR(ROUNDUP(VLOOKUP($B1886,calc_data,N$14+1,0),2),0),0)</f>
        <v/>
      </c>
      <c r="O1886" s="147">
        <f>IF(offer_sale_type="транзит",IFERROR(ROUND(VLOOKUP($B1886,calc_data,O$14+1,1),2),0),0)</f>
        <v/>
      </c>
      <c r="P1886" s="141">
        <f>IF(offer_sale_type="транзит",IFERROR(ROUND(SUM(I1886:J1886,M1886:O1886)/E1886,2),0),0)</f>
        <v/>
      </c>
      <c r="Q1886" s="141">
        <f>E1886*P1886</f>
        <v/>
      </c>
      <c r="R1886" s="141">
        <f>ROUND(Q1886*IF(AND(offer_incoterms="DDP",seller_region="RU"),IF((TODAY()+offer_turnaround_time)&gt;=helpsheet!$L$17,rate_vatRU_from_26,rate_vatRu_till_25),0),2)</f>
        <v/>
      </c>
      <c r="S1886" s="177">
        <f>Q1886+IF(AND(offer_incoterms="DDP",seller_region="RU"),R1886,0)</f>
        <v/>
      </c>
      <c r="T1886" s="45" t="n"/>
      <c r="V1886" s="57">
        <f>IF(Q1886&gt;0,"показать","скрыть")</f>
        <v/>
      </c>
    </row>
    <row r="1887" ht="15.75" customHeight="1">
      <c r="B1887" s="809" t="n">
        <v>1871</v>
      </c>
      <c r="C1887" s="182">
        <f>IF(offer_sale_type="транзит",IFERROR(VLOOKUP($B1887,calc_data,C$14+1,0),0),0)</f>
        <v/>
      </c>
      <c r="D1887" s="280">
        <f>IF(offer_sale_type="транзит",IFERROR(VLOOKUP($B1887,calc_data,D$14+1,0),0),0)</f>
        <v/>
      </c>
      <c r="E1887" s="182">
        <f>IF(offer_sale_type="транзит",IFERROR(VLOOKUP($B1887,calc_data,E$14+1,0),0),0)</f>
        <v/>
      </c>
      <c r="F1887" s="182">
        <f>IF(offer_sale_type="транзит",IFERROR(VLOOKUP($B1887,calc_data,F$14+1,0),0),0)</f>
        <v/>
      </c>
      <c r="G1887" s="141">
        <f>IF(offer_sale_type="транзит",IFERROR(VLOOKUP($B1887,calc_data,G$14+1,0),0),0)</f>
        <v/>
      </c>
      <c r="H1887" s="141">
        <f>E1887*G1887</f>
        <v/>
      </c>
      <c r="I1887" s="141">
        <f>IF(offer_sale_type="транзит",IFERROR(ROUND(VLOOKUP($B1887,calc_data,I$14+1,0),2),0),0)</f>
        <v/>
      </c>
      <c r="J1887" s="141">
        <f>ROUND(IF(offer_sale_type="транзит",IFERROR(VLOOKUP($B1887,calc_data,J$14+1,0),0),0),2)</f>
        <v/>
      </c>
      <c r="K1887" s="142">
        <f>IF(offer_sale_type="транзит",IFERROR(ROUNDUP(VLOOKUP($B1887,calc_data,K$14+1,0),2),0),0)</f>
        <v/>
      </c>
      <c r="L1887" s="184">
        <f>IF(offer_sale_type="транзит",IFERROR(ROUNDUP(VLOOKUP($B1887,calc_data,L$14+1,0),2),0),0)</f>
        <v/>
      </c>
      <c r="M1887" s="141">
        <f>IF(offer_sale_type="транзит",IFERROR(ROUNDUP(VLOOKUP($B1887,calc_data,M$14+1,0),2),0),0)</f>
        <v/>
      </c>
      <c r="N1887" s="141">
        <f>IF(offer_sale_type="транзит",IFERROR(ROUNDUP(VLOOKUP($B1887,calc_data,N$14+1,0),2),0),0)</f>
        <v/>
      </c>
      <c r="O1887" s="147">
        <f>IF(offer_sale_type="транзит",IFERROR(ROUND(VLOOKUP($B1887,calc_data,O$14+1,1),2),0),0)</f>
        <v/>
      </c>
      <c r="P1887" s="141">
        <f>IF(offer_sale_type="транзит",IFERROR(ROUND(SUM(I1887:J1887,M1887:O1887)/E1887,2),0),0)</f>
        <v/>
      </c>
      <c r="Q1887" s="141">
        <f>E1887*P1887</f>
        <v/>
      </c>
      <c r="R1887" s="141">
        <f>ROUND(Q1887*IF(AND(offer_incoterms="DDP",seller_region="RU"),IF((TODAY()+offer_turnaround_time)&gt;=helpsheet!$L$17,rate_vatRU_from_26,rate_vatRu_till_25),0),2)</f>
        <v/>
      </c>
      <c r="S1887" s="177">
        <f>Q1887+IF(AND(offer_incoterms="DDP",seller_region="RU"),R1887,0)</f>
        <v/>
      </c>
      <c r="T1887" s="45" t="n"/>
      <c r="V1887" s="57">
        <f>IF(Q1887&gt;0,"показать","скрыть")</f>
        <v/>
      </c>
    </row>
    <row r="1888" ht="15.75" customHeight="1">
      <c r="B1888" s="809" t="n">
        <v>1872</v>
      </c>
      <c r="C1888" s="182">
        <f>IF(offer_sale_type="транзит",IFERROR(VLOOKUP($B1888,calc_data,C$14+1,0),0),0)</f>
        <v/>
      </c>
      <c r="D1888" s="280">
        <f>IF(offer_sale_type="транзит",IFERROR(VLOOKUP($B1888,calc_data,D$14+1,0),0),0)</f>
        <v/>
      </c>
      <c r="E1888" s="182">
        <f>IF(offer_sale_type="транзит",IFERROR(VLOOKUP($B1888,calc_data,E$14+1,0),0),0)</f>
        <v/>
      </c>
      <c r="F1888" s="182">
        <f>IF(offer_sale_type="транзит",IFERROR(VLOOKUP($B1888,calc_data,F$14+1,0),0),0)</f>
        <v/>
      </c>
      <c r="G1888" s="141">
        <f>IF(offer_sale_type="транзит",IFERROR(VLOOKUP($B1888,calc_data,G$14+1,0),0),0)</f>
        <v/>
      </c>
      <c r="H1888" s="141">
        <f>E1888*G1888</f>
        <v/>
      </c>
      <c r="I1888" s="141">
        <f>IF(offer_sale_type="транзит",IFERROR(ROUND(VLOOKUP($B1888,calc_data,I$14+1,0),2),0),0)</f>
        <v/>
      </c>
      <c r="J1888" s="141">
        <f>ROUND(IF(offer_sale_type="транзит",IFERROR(VLOOKUP($B1888,calc_data,J$14+1,0),0),0),2)</f>
        <v/>
      </c>
      <c r="K1888" s="142">
        <f>IF(offer_sale_type="транзит",IFERROR(ROUNDUP(VLOOKUP($B1888,calc_data,K$14+1,0),2),0),0)</f>
        <v/>
      </c>
      <c r="L1888" s="184">
        <f>IF(offer_sale_type="транзит",IFERROR(ROUNDUP(VLOOKUP($B1888,calc_data,L$14+1,0),2),0),0)</f>
        <v/>
      </c>
      <c r="M1888" s="141">
        <f>IF(offer_sale_type="транзит",IFERROR(ROUNDUP(VLOOKUP($B1888,calc_data,M$14+1,0),2),0),0)</f>
        <v/>
      </c>
      <c r="N1888" s="141">
        <f>IF(offer_sale_type="транзит",IFERROR(ROUNDUP(VLOOKUP($B1888,calc_data,N$14+1,0),2),0),0)</f>
        <v/>
      </c>
      <c r="O1888" s="147">
        <f>IF(offer_sale_type="транзит",IFERROR(ROUND(VLOOKUP($B1888,calc_data,O$14+1,1),2),0),0)</f>
        <v/>
      </c>
      <c r="P1888" s="141">
        <f>IF(offer_sale_type="транзит",IFERROR(ROUND(SUM(I1888:J1888,M1888:O1888)/E1888,2),0),0)</f>
        <v/>
      </c>
      <c r="Q1888" s="141">
        <f>E1888*P1888</f>
        <v/>
      </c>
      <c r="R1888" s="141">
        <f>ROUND(Q1888*IF(AND(offer_incoterms="DDP",seller_region="RU"),IF((TODAY()+offer_turnaround_time)&gt;=helpsheet!$L$17,rate_vatRU_from_26,rate_vatRu_till_25),0),2)</f>
        <v/>
      </c>
      <c r="S1888" s="177">
        <f>Q1888+IF(AND(offer_incoterms="DDP",seller_region="RU"),R1888,0)</f>
        <v/>
      </c>
      <c r="T1888" s="45" t="n"/>
      <c r="V1888" s="57">
        <f>IF(Q1888&gt;0,"показать","скрыть")</f>
        <v/>
      </c>
    </row>
    <row r="1889" ht="15.75" customHeight="1">
      <c r="B1889" s="809" t="n">
        <v>1873</v>
      </c>
      <c r="C1889" s="182">
        <f>IF(offer_sale_type="транзит",IFERROR(VLOOKUP($B1889,calc_data,C$14+1,0),0),0)</f>
        <v/>
      </c>
      <c r="D1889" s="280">
        <f>IF(offer_sale_type="транзит",IFERROR(VLOOKUP($B1889,calc_data,D$14+1,0),0),0)</f>
        <v/>
      </c>
      <c r="E1889" s="182">
        <f>IF(offer_sale_type="транзит",IFERROR(VLOOKUP($B1889,calc_data,E$14+1,0),0),0)</f>
        <v/>
      </c>
      <c r="F1889" s="182">
        <f>IF(offer_sale_type="транзит",IFERROR(VLOOKUP($B1889,calc_data,F$14+1,0),0),0)</f>
        <v/>
      </c>
      <c r="G1889" s="141">
        <f>IF(offer_sale_type="транзит",IFERROR(VLOOKUP($B1889,calc_data,G$14+1,0),0),0)</f>
        <v/>
      </c>
      <c r="H1889" s="141">
        <f>E1889*G1889</f>
        <v/>
      </c>
      <c r="I1889" s="141">
        <f>IF(offer_sale_type="транзит",IFERROR(ROUND(VLOOKUP($B1889,calc_data,I$14+1,0),2),0),0)</f>
        <v/>
      </c>
      <c r="J1889" s="141">
        <f>ROUND(IF(offer_sale_type="транзит",IFERROR(VLOOKUP($B1889,calc_data,J$14+1,0),0),0),2)</f>
        <v/>
      </c>
      <c r="K1889" s="142">
        <f>IF(offer_sale_type="транзит",IFERROR(ROUNDUP(VLOOKUP($B1889,calc_data,K$14+1,0),2),0),0)</f>
        <v/>
      </c>
      <c r="L1889" s="184">
        <f>IF(offer_sale_type="транзит",IFERROR(ROUNDUP(VLOOKUP($B1889,calc_data,L$14+1,0),2),0),0)</f>
        <v/>
      </c>
      <c r="M1889" s="141">
        <f>IF(offer_sale_type="транзит",IFERROR(ROUNDUP(VLOOKUP($B1889,calc_data,M$14+1,0),2),0),0)</f>
        <v/>
      </c>
      <c r="N1889" s="141">
        <f>IF(offer_sale_type="транзит",IFERROR(ROUNDUP(VLOOKUP($B1889,calc_data,N$14+1,0),2),0),0)</f>
        <v/>
      </c>
      <c r="O1889" s="147">
        <f>IF(offer_sale_type="транзит",IFERROR(ROUND(VLOOKUP($B1889,calc_data,O$14+1,1),2),0),0)</f>
        <v/>
      </c>
      <c r="P1889" s="141">
        <f>IF(offer_sale_type="транзит",IFERROR(ROUND(SUM(I1889:J1889,M1889:O1889)/E1889,2),0),0)</f>
        <v/>
      </c>
      <c r="Q1889" s="141">
        <f>E1889*P1889</f>
        <v/>
      </c>
      <c r="R1889" s="141">
        <f>ROUND(Q1889*IF(AND(offer_incoterms="DDP",seller_region="RU"),IF((TODAY()+offer_turnaround_time)&gt;=helpsheet!$L$17,rate_vatRU_from_26,rate_vatRu_till_25),0),2)</f>
        <v/>
      </c>
      <c r="S1889" s="177">
        <f>Q1889+IF(AND(offer_incoterms="DDP",seller_region="RU"),R1889,0)</f>
        <v/>
      </c>
      <c r="T1889" s="45" t="n"/>
      <c r="V1889" s="57">
        <f>IF(Q1889&gt;0,"показать","скрыть")</f>
        <v/>
      </c>
    </row>
    <row r="1890" ht="15.75" customHeight="1">
      <c r="B1890" s="809" t="n">
        <v>1874</v>
      </c>
      <c r="C1890" s="182">
        <f>IF(offer_sale_type="транзит",IFERROR(VLOOKUP($B1890,calc_data,C$14+1,0),0),0)</f>
        <v/>
      </c>
      <c r="D1890" s="280">
        <f>IF(offer_sale_type="транзит",IFERROR(VLOOKUP($B1890,calc_data,D$14+1,0),0),0)</f>
        <v/>
      </c>
      <c r="E1890" s="182">
        <f>IF(offer_sale_type="транзит",IFERROR(VLOOKUP($B1890,calc_data,E$14+1,0),0),0)</f>
        <v/>
      </c>
      <c r="F1890" s="182">
        <f>IF(offer_sale_type="транзит",IFERROR(VLOOKUP($B1890,calc_data,F$14+1,0),0),0)</f>
        <v/>
      </c>
      <c r="G1890" s="141">
        <f>IF(offer_sale_type="транзит",IFERROR(VLOOKUP($B1890,calc_data,G$14+1,0),0),0)</f>
        <v/>
      </c>
      <c r="H1890" s="141">
        <f>E1890*G1890</f>
        <v/>
      </c>
      <c r="I1890" s="141">
        <f>IF(offer_sale_type="транзит",IFERROR(ROUND(VLOOKUP($B1890,calc_data,I$14+1,0),2),0),0)</f>
        <v/>
      </c>
      <c r="J1890" s="141">
        <f>ROUND(IF(offer_sale_type="транзит",IFERROR(VLOOKUP($B1890,calc_data,J$14+1,0),0),0),2)</f>
        <v/>
      </c>
      <c r="K1890" s="142">
        <f>IF(offer_sale_type="транзит",IFERROR(ROUNDUP(VLOOKUP($B1890,calc_data,K$14+1,0),2),0),0)</f>
        <v/>
      </c>
      <c r="L1890" s="184">
        <f>IF(offer_sale_type="транзит",IFERROR(ROUNDUP(VLOOKUP($B1890,calc_data,L$14+1,0),2),0),0)</f>
        <v/>
      </c>
      <c r="M1890" s="141">
        <f>IF(offer_sale_type="транзит",IFERROR(ROUNDUP(VLOOKUP($B1890,calc_data,M$14+1,0),2),0),0)</f>
        <v/>
      </c>
      <c r="N1890" s="141">
        <f>IF(offer_sale_type="транзит",IFERROR(ROUNDUP(VLOOKUP($B1890,calc_data,N$14+1,0),2),0),0)</f>
        <v/>
      </c>
      <c r="O1890" s="147">
        <f>IF(offer_sale_type="транзит",IFERROR(ROUND(VLOOKUP($B1890,calc_data,O$14+1,1),2),0),0)</f>
        <v/>
      </c>
      <c r="P1890" s="141">
        <f>IF(offer_sale_type="транзит",IFERROR(ROUND(SUM(I1890:J1890,M1890:O1890)/E1890,2),0),0)</f>
        <v/>
      </c>
      <c r="Q1890" s="141">
        <f>E1890*P1890</f>
        <v/>
      </c>
      <c r="R1890" s="141">
        <f>ROUND(Q1890*IF(AND(offer_incoterms="DDP",seller_region="RU"),IF((TODAY()+offer_turnaround_time)&gt;=helpsheet!$L$17,rate_vatRU_from_26,rate_vatRu_till_25),0),2)</f>
        <v/>
      </c>
      <c r="S1890" s="177">
        <f>Q1890+IF(AND(offer_incoterms="DDP",seller_region="RU"),R1890,0)</f>
        <v/>
      </c>
      <c r="T1890" s="45" t="n"/>
      <c r="V1890" s="57">
        <f>IF(Q1890&gt;0,"показать","скрыть")</f>
        <v/>
      </c>
    </row>
    <row r="1891" ht="15.75" customHeight="1">
      <c r="B1891" s="809" t="n">
        <v>1875</v>
      </c>
      <c r="C1891" s="182">
        <f>IF(offer_sale_type="транзит",IFERROR(VLOOKUP($B1891,calc_data,C$14+1,0),0),0)</f>
        <v/>
      </c>
      <c r="D1891" s="280">
        <f>IF(offer_sale_type="транзит",IFERROR(VLOOKUP($B1891,calc_data,D$14+1,0),0),0)</f>
        <v/>
      </c>
      <c r="E1891" s="182">
        <f>IF(offer_sale_type="транзит",IFERROR(VLOOKUP($B1891,calc_data,E$14+1,0),0),0)</f>
        <v/>
      </c>
      <c r="F1891" s="182">
        <f>IF(offer_sale_type="транзит",IFERROR(VLOOKUP($B1891,calc_data,F$14+1,0),0),0)</f>
        <v/>
      </c>
      <c r="G1891" s="141">
        <f>IF(offer_sale_type="транзит",IFERROR(VLOOKUP($B1891,calc_data,G$14+1,0),0),0)</f>
        <v/>
      </c>
      <c r="H1891" s="141">
        <f>E1891*G1891</f>
        <v/>
      </c>
      <c r="I1891" s="141">
        <f>IF(offer_sale_type="транзит",IFERROR(ROUND(VLOOKUP($B1891,calc_data,I$14+1,0),2),0),0)</f>
        <v/>
      </c>
      <c r="J1891" s="141">
        <f>ROUND(IF(offer_sale_type="транзит",IFERROR(VLOOKUP($B1891,calc_data,J$14+1,0),0),0),2)</f>
        <v/>
      </c>
      <c r="K1891" s="142">
        <f>IF(offer_sale_type="транзит",IFERROR(ROUNDUP(VLOOKUP($B1891,calc_data,K$14+1,0),2),0),0)</f>
        <v/>
      </c>
      <c r="L1891" s="184">
        <f>IF(offer_sale_type="транзит",IFERROR(ROUNDUP(VLOOKUP($B1891,calc_data,L$14+1,0),2),0),0)</f>
        <v/>
      </c>
      <c r="M1891" s="141">
        <f>IF(offer_sale_type="транзит",IFERROR(ROUNDUP(VLOOKUP($B1891,calc_data,M$14+1,0),2),0),0)</f>
        <v/>
      </c>
      <c r="N1891" s="141">
        <f>IF(offer_sale_type="транзит",IFERROR(ROUNDUP(VLOOKUP($B1891,calc_data,N$14+1,0),2),0),0)</f>
        <v/>
      </c>
      <c r="O1891" s="147">
        <f>IF(offer_sale_type="транзит",IFERROR(ROUND(VLOOKUP($B1891,calc_data,O$14+1,1),2),0),0)</f>
        <v/>
      </c>
      <c r="P1891" s="141">
        <f>IF(offer_sale_type="транзит",IFERROR(ROUND(SUM(I1891:J1891,M1891:O1891)/E1891,2),0),0)</f>
        <v/>
      </c>
      <c r="Q1891" s="141">
        <f>E1891*P1891</f>
        <v/>
      </c>
      <c r="R1891" s="141">
        <f>ROUND(Q1891*IF(AND(offer_incoterms="DDP",seller_region="RU"),IF((TODAY()+offer_turnaround_time)&gt;=helpsheet!$L$17,rate_vatRU_from_26,rate_vatRu_till_25),0),2)</f>
        <v/>
      </c>
      <c r="S1891" s="177">
        <f>Q1891+IF(AND(offer_incoterms="DDP",seller_region="RU"),R1891,0)</f>
        <v/>
      </c>
      <c r="T1891" s="45" t="n"/>
      <c r="V1891" s="57">
        <f>IF(Q1891&gt;0,"показать","скрыть")</f>
        <v/>
      </c>
    </row>
    <row r="1892" ht="15.75" customHeight="1">
      <c r="B1892" s="809" t="n">
        <v>1876</v>
      </c>
      <c r="C1892" s="182">
        <f>IF(offer_sale_type="транзит",IFERROR(VLOOKUP($B1892,calc_data,C$14+1,0),0),0)</f>
        <v/>
      </c>
      <c r="D1892" s="280">
        <f>IF(offer_sale_type="транзит",IFERROR(VLOOKUP($B1892,calc_data,D$14+1,0),0),0)</f>
        <v/>
      </c>
      <c r="E1892" s="182">
        <f>IF(offer_sale_type="транзит",IFERROR(VLOOKUP($B1892,calc_data,E$14+1,0),0),0)</f>
        <v/>
      </c>
      <c r="F1892" s="182">
        <f>IF(offer_sale_type="транзит",IFERROR(VLOOKUP($B1892,calc_data,F$14+1,0),0),0)</f>
        <v/>
      </c>
      <c r="G1892" s="141">
        <f>IF(offer_sale_type="транзит",IFERROR(VLOOKUP($B1892,calc_data,G$14+1,0),0),0)</f>
        <v/>
      </c>
      <c r="H1892" s="141">
        <f>E1892*G1892</f>
        <v/>
      </c>
      <c r="I1892" s="141">
        <f>IF(offer_sale_type="транзит",IFERROR(ROUND(VLOOKUP($B1892,calc_data,I$14+1,0),2),0),0)</f>
        <v/>
      </c>
      <c r="J1892" s="141">
        <f>ROUND(IF(offer_sale_type="транзит",IFERROR(VLOOKUP($B1892,calc_data,J$14+1,0),0),0),2)</f>
        <v/>
      </c>
      <c r="K1892" s="142">
        <f>IF(offer_sale_type="транзит",IFERROR(ROUNDUP(VLOOKUP($B1892,calc_data,K$14+1,0),2),0),0)</f>
        <v/>
      </c>
      <c r="L1892" s="184">
        <f>IF(offer_sale_type="транзит",IFERROR(ROUNDUP(VLOOKUP($B1892,calc_data,L$14+1,0),2),0),0)</f>
        <v/>
      </c>
      <c r="M1892" s="141">
        <f>IF(offer_sale_type="транзит",IFERROR(ROUNDUP(VLOOKUP($B1892,calc_data,M$14+1,0),2),0),0)</f>
        <v/>
      </c>
      <c r="N1892" s="141">
        <f>IF(offer_sale_type="транзит",IFERROR(ROUNDUP(VLOOKUP($B1892,calc_data,N$14+1,0),2),0),0)</f>
        <v/>
      </c>
      <c r="O1892" s="147">
        <f>IF(offer_sale_type="транзит",IFERROR(ROUND(VLOOKUP($B1892,calc_data,O$14+1,1),2),0),0)</f>
        <v/>
      </c>
      <c r="P1892" s="141">
        <f>IF(offer_sale_type="транзит",IFERROR(ROUND(SUM(I1892:J1892,M1892:O1892)/E1892,2),0),0)</f>
        <v/>
      </c>
      <c r="Q1892" s="141">
        <f>E1892*P1892</f>
        <v/>
      </c>
      <c r="R1892" s="141">
        <f>ROUND(Q1892*IF(AND(offer_incoterms="DDP",seller_region="RU"),IF((TODAY()+offer_turnaround_time)&gt;=helpsheet!$L$17,rate_vatRU_from_26,rate_vatRu_till_25),0),2)</f>
        <v/>
      </c>
      <c r="S1892" s="177">
        <f>Q1892+IF(AND(offer_incoterms="DDP",seller_region="RU"),R1892,0)</f>
        <v/>
      </c>
      <c r="T1892" s="45" t="n"/>
      <c r="V1892" s="57">
        <f>IF(Q1892&gt;0,"показать","скрыть")</f>
        <v/>
      </c>
    </row>
    <row r="1893" ht="15.75" customHeight="1">
      <c r="B1893" s="809" t="n">
        <v>1877</v>
      </c>
      <c r="C1893" s="182">
        <f>IF(offer_sale_type="транзит",IFERROR(VLOOKUP($B1893,calc_data,C$14+1,0),0),0)</f>
        <v/>
      </c>
      <c r="D1893" s="280">
        <f>IF(offer_sale_type="транзит",IFERROR(VLOOKUP($B1893,calc_data,D$14+1,0),0),0)</f>
        <v/>
      </c>
      <c r="E1893" s="182">
        <f>IF(offer_sale_type="транзит",IFERROR(VLOOKUP($B1893,calc_data,E$14+1,0),0),0)</f>
        <v/>
      </c>
      <c r="F1893" s="182">
        <f>IF(offer_sale_type="транзит",IFERROR(VLOOKUP($B1893,calc_data,F$14+1,0),0),0)</f>
        <v/>
      </c>
      <c r="G1893" s="141">
        <f>IF(offer_sale_type="транзит",IFERROR(VLOOKUP($B1893,calc_data,G$14+1,0),0),0)</f>
        <v/>
      </c>
      <c r="H1893" s="141">
        <f>E1893*G1893</f>
        <v/>
      </c>
      <c r="I1893" s="141">
        <f>IF(offer_sale_type="транзит",IFERROR(ROUND(VLOOKUP($B1893,calc_data,I$14+1,0),2),0),0)</f>
        <v/>
      </c>
      <c r="J1893" s="141">
        <f>ROUND(IF(offer_sale_type="транзит",IFERROR(VLOOKUP($B1893,calc_data,J$14+1,0),0),0),2)</f>
        <v/>
      </c>
      <c r="K1893" s="142">
        <f>IF(offer_sale_type="транзит",IFERROR(ROUNDUP(VLOOKUP($B1893,calc_data,K$14+1,0),2),0),0)</f>
        <v/>
      </c>
      <c r="L1893" s="184">
        <f>IF(offer_sale_type="транзит",IFERROR(ROUNDUP(VLOOKUP($B1893,calc_data,L$14+1,0),2),0),0)</f>
        <v/>
      </c>
      <c r="M1893" s="141">
        <f>IF(offer_sale_type="транзит",IFERROR(ROUNDUP(VLOOKUP($B1893,calc_data,M$14+1,0),2),0),0)</f>
        <v/>
      </c>
      <c r="N1893" s="141">
        <f>IF(offer_sale_type="транзит",IFERROR(ROUNDUP(VLOOKUP($B1893,calc_data,N$14+1,0),2),0),0)</f>
        <v/>
      </c>
      <c r="O1893" s="147">
        <f>IF(offer_sale_type="транзит",IFERROR(ROUND(VLOOKUP($B1893,calc_data,O$14+1,1),2),0),0)</f>
        <v/>
      </c>
      <c r="P1893" s="141">
        <f>IF(offer_sale_type="транзит",IFERROR(ROUND(SUM(I1893:J1893,M1893:O1893)/E1893,2),0),0)</f>
        <v/>
      </c>
      <c r="Q1893" s="141">
        <f>E1893*P1893</f>
        <v/>
      </c>
      <c r="R1893" s="141">
        <f>ROUND(Q1893*IF(AND(offer_incoterms="DDP",seller_region="RU"),IF((TODAY()+offer_turnaround_time)&gt;=helpsheet!$L$17,rate_vatRU_from_26,rate_vatRu_till_25),0),2)</f>
        <v/>
      </c>
      <c r="S1893" s="177">
        <f>Q1893+IF(AND(offer_incoterms="DDP",seller_region="RU"),R1893,0)</f>
        <v/>
      </c>
      <c r="T1893" s="45" t="n"/>
      <c r="V1893" s="57">
        <f>IF(Q1893&gt;0,"показать","скрыть")</f>
        <v/>
      </c>
    </row>
    <row r="1894" ht="15.75" customHeight="1">
      <c r="B1894" s="809" t="n">
        <v>1878</v>
      </c>
      <c r="C1894" s="182">
        <f>IF(offer_sale_type="транзит",IFERROR(VLOOKUP($B1894,calc_data,C$14+1,0),0),0)</f>
        <v/>
      </c>
      <c r="D1894" s="280">
        <f>IF(offer_sale_type="транзит",IFERROR(VLOOKUP($B1894,calc_data,D$14+1,0),0),0)</f>
        <v/>
      </c>
      <c r="E1894" s="182">
        <f>IF(offer_sale_type="транзит",IFERROR(VLOOKUP($B1894,calc_data,E$14+1,0),0),0)</f>
        <v/>
      </c>
      <c r="F1894" s="182">
        <f>IF(offer_sale_type="транзит",IFERROR(VLOOKUP($B1894,calc_data,F$14+1,0),0),0)</f>
        <v/>
      </c>
      <c r="G1894" s="141">
        <f>IF(offer_sale_type="транзит",IFERROR(VLOOKUP($B1894,calc_data,G$14+1,0),0),0)</f>
        <v/>
      </c>
      <c r="H1894" s="141">
        <f>E1894*G1894</f>
        <v/>
      </c>
      <c r="I1894" s="141">
        <f>IF(offer_sale_type="транзит",IFERROR(ROUND(VLOOKUP($B1894,calc_data,I$14+1,0),2),0),0)</f>
        <v/>
      </c>
      <c r="J1894" s="141">
        <f>ROUND(IF(offer_sale_type="транзит",IFERROR(VLOOKUP($B1894,calc_data,J$14+1,0),0),0),2)</f>
        <v/>
      </c>
      <c r="K1894" s="142">
        <f>IF(offer_sale_type="транзит",IFERROR(ROUNDUP(VLOOKUP($B1894,calc_data,K$14+1,0),2),0),0)</f>
        <v/>
      </c>
      <c r="L1894" s="184">
        <f>IF(offer_sale_type="транзит",IFERROR(ROUNDUP(VLOOKUP($B1894,calc_data,L$14+1,0),2),0),0)</f>
        <v/>
      </c>
      <c r="M1894" s="141">
        <f>IF(offer_sale_type="транзит",IFERROR(ROUNDUP(VLOOKUP($B1894,calc_data,M$14+1,0),2),0),0)</f>
        <v/>
      </c>
      <c r="N1894" s="141">
        <f>IF(offer_sale_type="транзит",IFERROR(ROUNDUP(VLOOKUP($B1894,calc_data,N$14+1,0),2),0),0)</f>
        <v/>
      </c>
      <c r="O1894" s="147">
        <f>IF(offer_sale_type="транзит",IFERROR(ROUND(VLOOKUP($B1894,calc_data,O$14+1,1),2),0),0)</f>
        <v/>
      </c>
      <c r="P1894" s="141">
        <f>IF(offer_sale_type="транзит",IFERROR(ROUND(SUM(I1894:J1894,M1894:O1894)/E1894,2),0),0)</f>
        <v/>
      </c>
      <c r="Q1894" s="141">
        <f>E1894*P1894</f>
        <v/>
      </c>
      <c r="R1894" s="141">
        <f>ROUND(Q1894*IF(AND(offer_incoterms="DDP",seller_region="RU"),IF((TODAY()+offer_turnaround_time)&gt;=helpsheet!$L$17,rate_vatRU_from_26,rate_vatRu_till_25),0),2)</f>
        <v/>
      </c>
      <c r="S1894" s="177">
        <f>Q1894+IF(AND(offer_incoterms="DDP",seller_region="RU"),R1894,0)</f>
        <v/>
      </c>
      <c r="T1894" s="45" t="n"/>
      <c r="V1894" s="57">
        <f>IF(Q1894&gt;0,"показать","скрыть")</f>
        <v/>
      </c>
    </row>
    <row r="1895" ht="15.75" customHeight="1">
      <c r="B1895" s="809" t="n">
        <v>1879</v>
      </c>
      <c r="C1895" s="182">
        <f>IF(offer_sale_type="транзит",IFERROR(VLOOKUP($B1895,calc_data,C$14+1,0),0),0)</f>
        <v/>
      </c>
      <c r="D1895" s="280">
        <f>IF(offer_sale_type="транзит",IFERROR(VLOOKUP($B1895,calc_data,D$14+1,0),0),0)</f>
        <v/>
      </c>
      <c r="E1895" s="182">
        <f>IF(offer_sale_type="транзит",IFERROR(VLOOKUP($B1895,calc_data,E$14+1,0),0),0)</f>
        <v/>
      </c>
      <c r="F1895" s="182">
        <f>IF(offer_sale_type="транзит",IFERROR(VLOOKUP($B1895,calc_data,F$14+1,0),0),0)</f>
        <v/>
      </c>
      <c r="G1895" s="141">
        <f>IF(offer_sale_type="транзит",IFERROR(VLOOKUP($B1895,calc_data,G$14+1,0),0),0)</f>
        <v/>
      </c>
      <c r="H1895" s="141">
        <f>E1895*G1895</f>
        <v/>
      </c>
      <c r="I1895" s="141">
        <f>IF(offer_sale_type="транзит",IFERROR(ROUND(VLOOKUP($B1895,calc_data,I$14+1,0),2),0),0)</f>
        <v/>
      </c>
      <c r="J1895" s="141">
        <f>ROUND(IF(offer_sale_type="транзит",IFERROR(VLOOKUP($B1895,calc_data,J$14+1,0),0),0),2)</f>
        <v/>
      </c>
      <c r="K1895" s="142">
        <f>IF(offer_sale_type="транзит",IFERROR(ROUNDUP(VLOOKUP($B1895,calc_data,K$14+1,0),2),0),0)</f>
        <v/>
      </c>
      <c r="L1895" s="184">
        <f>IF(offer_sale_type="транзит",IFERROR(ROUNDUP(VLOOKUP($B1895,calc_data,L$14+1,0),2),0),0)</f>
        <v/>
      </c>
      <c r="M1895" s="141">
        <f>IF(offer_sale_type="транзит",IFERROR(ROUNDUP(VLOOKUP($B1895,calc_data,M$14+1,0),2),0),0)</f>
        <v/>
      </c>
      <c r="N1895" s="141">
        <f>IF(offer_sale_type="транзит",IFERROR(ROUNDUP(VLOOKUP($B1895,calc_data,N$14+1,0),2),0),0)</f>
        <v/>
      </c>
      <c r="O1895" s="147">
        <f>IF(offer_sale_type="транзит",IFERROR(ROUND(VLOOKUP($B1895,calc_data,O$14+1,1),2),0),0)</f>
        <v/>
      </c>
      <c r="P1895" s="141">
        <f>IF(offer_sale_type="транзит",IFERROR(ROUND(SUM(I1895:J1895,M1895:O1895)/E1895,2),0),0)</f>
        <v/>
      </c>
      <c r="Q1895" s="141">
        <f>E1895*P1895</f>
        <v/>
      </c>
      <c r="R1895" s="141">
        <f>ROUND(Q1895*IF(AND(offer_incoterms="DDP",seller_region="RU"),IF((TODAY()+offer_turnaround_time)&gt;=helpsheet!$L$17,rate_vatRU_from_26,rate_vatRu_till_25),0),2)</f>
        <v/>
      </c>
      <c r="S1895" s="177">
        <f>Q1895+IF(AND(offer_incoterms="DDP",seller_region="RU"),R1895,0)</f>
        <v/>
      </c>
      <c r="T1895" s="45" t="n"/>
      <c r="V1895" s="57">
        <f>IF(Q1895&gt;0,"показать","скрыть")</f>
        <v/>
      </c>
    </row>
    <row r="1896" ht="15.75" customHeight="1">
      <c r="B1896" s="809" t="n">
        <v>1880</v>
      </c>
      <c r="C1896" s="182">
        <f>IF(offer_sale_type="транзит",IFERROR(VLOOKUP($B1896,calc_data,C$14+1,0),0),0)</f>
        <v/>
      </c>
      <c r="D1896" s="280">
        <f>IF(offer_sale_type="транзит",IFERROR(VLOOKUP($B1896,calc_data,D$14+1,0),0),0)</f>
        <v/>
      </c>
      <c r="E1896" s="182">
        <f>IF(offer_sale_type="транзит",IFERROR(VLOOKUP($B1896,calc_data,E$14+1,0),0),0)</f>
        <v/>
      </c>
      <c r="F1896" s="182">
        <f>IF(offer_sale_type="транзит",IFERROR(VLOOKUP($B1896,calc_data,F$14+1,0),0),0)</f>
        <v/>
      </c>
      <c r="G1896" s="141">
        <f>IF(offer_sale_type="транзит",IFERROR(VLOOKUP($B1896,calc_data,G$14+1,0),0),0)</f>
        <v/>
      </c>
      <c r="H1896" s="141">
        <f>E1896*G1896</f>
        <v/>
      </c>
      <c r="I1896" s="141">
        <f>IF(offer_sale_type="транзит",IFERROR(ROUND(VLOOKUP($B1896,calc_data,I$14+1,0),2),0),0)</f>
        <v/>
      </c>
      <c r="J1896" s="141">
        <f>ROUND(IF(offer_sale_type="транзит",IFERROR(VLOOKUP($B1896,calc_data,J$14+1,0),0),0),2)</f>
        <v/>
      </c>
      <c r="K1896" s="142">
        <f>IF(offer_sale_type="транзит",IFERROR(ROUNDUP(VLOOKUP($B1896,calc_data,K$14+1,0),2),0),0)</f>
        <v/>
      </c>
      <c r="L1896" s="184">
        <f>IF(offer_sale_type="транзит",IFERROR(ROUNDUP(VLOOKUP($B1896,calc_data,L$14+1,0),2),0),0)</f>
        <v/>
      </c>
      <c r="M1896" s="141">
        <f>IF(offer_sale_type="транзит",IFERROR(ROUNDUP(VLOOKUP($B1896,calc_data,M$14+1,0),2),0),0)</f>
        <v/>
      </c>
      <c r="N1896" s="141">
        <f>IF(offer_sale_type="транзит",IFERROR(ROUNDUP(VLOOKUP($B1896,calc_data,N$14+1,0),2),0),0)</f>
        <v/>
      </c>
      <c r="O1896" s="147">
        <f>IF(offer_sale_type="транзит",IFERROR(ROUND(VLOOKUP($B1896,calc_data,O$14+1,1),2),0),0)</f>
        <v/>
      </c>
      <c r="P1896" s="141">
        <f>IF(offer_sale_type="транзит",IFERROR(ROUND(SUM(I1896:J1896,M1896:O1896)/E1896,2),0),0)</f>
        <v/>
      </c>
      <c r="Q1896" s="141">
        <f>E1896*P1896</f>
        <v/>
      </c>
      <c r="R1896" s="141">
        <f>ROUND(Q1896*IF(AND(offer_incoterms="DDP",seller_region="RU"),IF((TODAY()+offer_turnaround_time)&gt;=helpsheet!$L$17,rate_vatRU_from_26,rate_vatRu_till_25),0),2)</f>
        <v/>
      </c>
      <c r="S1896" s="177">
        <f>Q1896+IF(AND(offer_incoterms="DDP",seller_region="RU"),R1896,0)</f>
        <v/>
      </c>
      <c r="T1896" s="45" t="n"/>
      <c r="V1896" s="57">
        <f>IF(Q1896&gt;0,"показать","скрыть")</f>
        <v/>
      </c>
    </row>
    <row r="1897" ht="15.75" customHeight="1">
      <c r="B1897" s="809" t="n">
        <v>1881</v>
      </c>
      <c r="C1897" s="182">
        <f>IF(offer_sale_type="транзит",IFERROR(VLOOKUP($B1897,calc_data,C$14+1,0),0),0)</f>
        <v/>
      </c>
      <c r="D1897" s="280">
        <f>IF(offer_sale_type="транзит",IFERROR(VLOOKUP($B1897,calc_data,D$14+1,0),0),0)</f>
        <v/>
      </c>
      <c r="E1897" s="182">
        <f>IF(offer_sale_type="транзит",IFERROR(VLOOKUP($B1897,calc_data,E$14+1,0),0),0)</f>
        <v/>
      </c>
      <c r="F1897" s="182">
        <f>IF(offer_sale_type="транзит",IFERROR(VLOOKUP($B1897,calc_data,F$14+1,0),0),0)</f>
        <v/>
      </c>
      <c r="G1897" s="141">
        <f>IF(offer_sale_type="транзит",IFERROR(VLOOKUP($B1897,calc_data,G$14+1,0),0),0)</f>
        <v/>
      </c>
      <c r="H1897" s="141">
        <f>E1897*G1897</f>
        <v/>
      </c>
      <c r="I1897" s="141">
        <f>IF(offer_sale_type="транзит",IFERROR(ROUND(VLOOKUP($B1897,calc_data,I$14+1,0),2),0),0)</f>
        <v/>
      </c>
      <c r="J1897" s="141">
        <f>ROUND(IF(offer_sale_type="транзит",IFERROR(VLOOKUP($B1897,calc_data,J$14+1,0),0),0),2)</f>
        <v/>
      </c>
      <c r="K1897" s="142">
        <f>IF(offer_sale_type="транзит",IFERROR(ROUNDUP(VLOOKUP($B1897,calc_data,K$14+1,0),2),0),0)</f>
        <v/>
      </c>
      <c r="L1897" s="184">
        <f>IF(offer_sale_type="транзит",IFERROR(ROUNDUP(VLOOKUP($B1897,calc_data,L$14+1,0),2),0),0)</f>
        <v/>
      </c>
      <c r="M1897" s="141">
        <f>IF(offer_sale_type="транзит",IFERROR(ROUNDUP(VLOOKUP($B1897,calc_data,M$14+1,0),2),0),0)</f>
        <v/>
      </c>
      <c r="N1897" s="141">
        <f>IF(offer_sale_type="транзит",IFERROR(ROUNDUP(VLOOKUP($B1897,calc_data,N$14+1,0),2),0),0)</f>
        <v/>
      </c>
      <c r="O1897" s="147">
        <f>IF(offer_sale_type="транзит",IFERROR(ROUND(VLOOKUP($B1897,calc_data,O$14+1,1),2),0),0)</f>
        <v/>
      </c>
      <c r="P1897" s="141">
        <f>IF(offer_sale_type="транзит",IFERROR(ROUND(SUM(I1897:J1897,M1897:O1897)/E1897,2),0),0)</f>
        <v/>
      </c>
      <c r="Q1897" s="141">
        <f>E1897*P1897</f>
        <v/>
      </c>
      <c r="R1897" s="141">
        <f>ROUND(Q1897*IF(AND(offer_incoterms="DDP",seller_region="RU"),IF((TODAY()+offer_turnaround_time)&gt;=helpsheet!$L$17,rate_vatRU_from_26,rate_vatRu_till_25),0),2)</f>
        <v/>
      </c>
      <c r="S1897" s="177">
        <f>Q1897+IF(AND(offer_incoterms="DDP",seller_region="RU"),R1897,0)</f>
        <v/>
      </c>
      <c r="T1897" s="45" t="n"/>
      <c r="V1897" s="57">
        <f>IF(Q1897&gt;0,"показать","скрыть")</f>
        <v/>
      </c>
    </row>
    <row r="1898" ht="15.75" customHeight="1">
      <c r="B1898" s="809" t="n">
        <v>1882</v>
      </c>
      <c r="C1898" s="182">
        <f>IF(offer_sale_type="транзит",IFERROR(VLOOKUP($B1898,calc_data,C$14+1,0),0),0)</f>
        <v/>
      </c>
      <c r="D1898" s="280">
        <f>IF(offer_sale_type="транзит",IFERROR(VLOOKUP($B1898,calc_data,D$14+1,0),0),0)</f>
        <v/>
      </c>
      <c r="E1898" s="182">
        <f>IF(offer_sale_type="транзит",IFERROR(VLOOKUP($B1898,calc_data,E$14+1,0),0),0)</f>
        <v/>
      </c>
      <c r="F1898" s="182">
        <f>IF(offer_sale_type="транзит",IFERROR(VLOOKUP($B1898,calc_data,F$14+1,0),0),0)</f>
        <v/>
      </c>
      <c r="G1898" s="141">
        <f>IF(offer_sale_type="транзит",IFERROR(VLOOKUP($B1898,calc_data,G$14+1,0),0),0)</f>
        <v/>
      </c>
      <c r="H1898" s="141">
        <f>E1898*G1898</f>
        <v/>
      </c>
      <c r="I1898" s="141">
        <f>IF(offer_sale_type="транзит",IFERROR(ROUND(VLOOKUP($B1898,calc_data,I$14+1,0),2),0),0)</f>
        <v/>
      </c>
      <c r="J1898" s="141">
        <f>ROUND(IF(offer_sale_type="транзит",IFERROR(VLOOKUP($B1898,calc_data,J$14+1,0),0),0),2)</f>
        <v/>
      </c>
      <c r="K1898" s="142">
        <f>IF(offer_sale_type="транзит",IFERROR(ROUNDUP(VLOOKUP($B1898,calc_data,K$14+1,0),2),0),0)</f>
        <v/>
      </c>
      <c r="L1898" s="184">
        <f>IF(offer_sale_type="транзит",IFERROR(ROUNDUP(VLOOKUP($B1898,calc_data,L$14+1,0),2),0),0)</f>
        <v/>
      </c>
      <c r="M1898" s="141">
        <f>IF(offer_sale_type="транзит",IFERROR(ROUNDUP(VLOOKUP($B1898,calc_data,M$14+1,0),2),0),0)</f>
        <v/>
      </c>
      <c r="N1898" s="141">
        <f>IF(offer_sale_type="транзит",IFERROR(ROUNDUP(VLOOKUP($B1898,calc_data,N$14+1,0),2),0),0)</f>
        <v/>
      </c>
      <c r="O1898" s="147">
        <f>IF(offer_sale_type="транзит",IFERROR(ROUND(VLOOKUP($B1898,calc_data,O$14+1,1),2),0),0)</f>
        <v/>
      </c>
      <c r="P1898" s="141">
        <f>IF(offer_sale_type="транзит",IFERROR(ROUND(SUM(I1898:J1898,M1898:O1898)/E1898,2),0),0)</f>
        <v/>
      </c>
      <c r="Q1898" s="141">
        <f>E1898*P1898</f>
        <v/>
      </c>
      <c r="R1898" s="141">
        <f>ROUND(Q1898*IF(AND(offer_incoterms="DDP",seller_region="RU"),IF((TODAY()+offer_turnaround_time)&gt;=helpsheet!$L$17,rate_vatRU_from_26,rate_vatRu_till_25),0),2)</f>
        <v/>
      </c>
      <c r="S1898" s="177">
        <f>Q1898+IF(AND(offer_incoterms="DDP",seller_region="RU"),R1898,0)</f>
        <v/>
      </c>
      <c r="T1898" s="45" t="n"/>
      <c r="V1898" s="57">
        <f>IF(Q1898&gt;0,"показать","скрыть")</f>
        <v/>
      </c>
    </row>
    <row r="1899" ht="15.75" customHeight="1">
      <c r="B1899" s="809" t="n">
        <v>1883</v>
      </c>
      <c r="C1899" s="182">
        <f>IF(offer_sale_type="транзит",IFERROR(VLOOKUP($B1899,calc_data,C$14+1,0),0),0)</f>
        <v/>
      </c>
      <c r="D1899" s="280">
        <f>IF(offer_sale_type="транзит",IFERROR(VLOOKUP($B1899,calc_data,D$14+1,0),0),0)</f>
        <v/>
      </c>
      <c r="E1899" s="182">
        <f>IF(offer_sale_type="транзит",IFERROR(VLOOKUP($B1899,calc_data,E$14+1,0),0),0)</f>
        <v/>
      </c>
      <c r="F1899" s="182">
        <f>IF(offer_sale_type="транзит",IFERROR(VLOOKUP($B1899,calc_data,F$14+1,0),0),0)</f>
        <v/>
      </c>
      <c r="G1899" s="141">
        <f>IF(offer_sale_type="транзит",IFERROR(VLOOKUP($B1899,calc_data,G$14+1,0),0),0)</f>
        <v/>
      </c>
      <c r="H1899" s="141">
        <f>E1899*G1899</f>
        <v/>
      </c>
      <c r="I1899" s="141">
        <f>IF(offer_sale_type="транзит",IFERROR(ROUND(VLOOKUP($B1899,calc_data,I$14+1,0),2),0),0)</f>
        <v/>
      </c>
      <c r="J1899" s="141">
        <f>ROUND(IF(offer_sale_type="транзит",IFERROR(VLOOKUP($B1899,calc_data,J$14+1,0),0),0),2)</f>
        <v/>
      </c>
      <c r="K1899" s="142">
        <f>IF(offer_sale_type="транзит",IFERROR(ROUNDUP(VLOOKUP($B1899,calc_data,K$14+1,0),2),0),0)</f>
        <v/>
      </c>
      <c r="L1899" s="184">
        <f>IF(offer_sale_type="транзит",IFERROR(ROUNDUP(VLOOKUP($B1899,calc_data,L$14+1,0),2),0),0)</f>
        <v/>
      </c>
      <c r="M1899" s="141">
        <f>IF(offer_sale_type="транзит",IFERROR(ROUNDUP(VLOOKUP($B1899,calc_data,M$14+1,0),2),0),0)</f>
        <v/>
      </c>
      <c r="N1899" s="141">
        <f>IF(offer_sale_type="транзит",IFERROR(ROUNDUP(VLOOKUP($B1899,calc_data,N$14+1,0),2),0),0)</f>
        <v/>
      </c>
      <c r="O1899" s="147">
        <f>IF(offer_sale_type="транзит",IFERROR(ROUND(VLOOKUP($B1899,calc_data,O$14+1,1),2),0),0)</f>
        <v/>
      </c>
      <c r="P1899" s="141">
        <f>IF(offer_sale_type="транзит",IFERROR(ROUND(SUM(I1899:J1899,M1899:O1899)/E1899,2),0),0)</f>
        <v/>
      </c>
      <c r="Q1899" s="141">
        <f>E1899*P1899</f>
        <v/>
      </c>
      <c r="R1899" s="141">
        <f>ROUND(Q1899*IF(AND(offer_incoterms="DDP",seller_region="RU"),IF((TODAY()+offer_turnaround_time)&gt;=helpsheet!$L$17,rate_vatRU_from_26,rate_vatRu_till_25),0),2)</f>
        <v/>
      </c>
      <c r="S1899" s="177">
        <f>Q1899+IF(AND(offer_incoterms="DDP",seller_region="RU"),R1899,0)</f>
        <v/>
      </c>
      <c r="T1899" s="45" t="n"/>
      <c r="V1899" s="57">
        <f>IF(Q1899&gt;0,"показать","скрыть")</f>
        <v/>
      </c>
    </row>
    <row r="1900" ht="15.75" customHeight="1">
      <c r="B1900" s="809" t="n">
        <v>1884</v>
      </c>
      <c r="C1900" s="182">
        <f>IF(offer_sale_type="транзит",IFERROR(VLOOKUP($B1900,calc_data,C$14+1,0),0),0)</f>
        <v/>
      </c>
      <c r="D1900" s="280">
        <f>IF(offer_sale_type="транзит",IFERROR(VLOOKUP($B1900,calc_data,D$14+1,0),0),0)</f>
        <v/>
      </c>
      <c r="E1900" s="182">
        <f>IF(offer_sale_type="транзит",IFERROR(VLOOKUP($B1900,calc_data,E$14+1,0),0),0)</f>
        <v/>
      </c>
      <c r="F1900" s="182">
        <f>IF(offer_sale_type="транзит",IFERROR(VLOOKUP($B1900,calc_data,F$14+1,0),0),0)</f>
        <v/>
      </c>
      <c r="G1900" s="141">
        <f>IF(offer_sale_type="транзит",IFERROR(VLOOKUP($B1900,calc_data,G$14+1,0),0),0)</f>
        <v/>
      </c>
      <c r="H1900" s="141">
        <f>E1900*G1900</f>
        <v/>
      </c>
      <c r="I1900" s="141">
        <f>IF(offer_sale_type="транзит",IFERROR(ROUND(VLOOKUP($B1900,calc_data,I$14+1,0),2),0),0)</f>
        <v/>
      </c>
      <c r="J1900" s="141">
        <f>ROUND(IF(offer_sale_type="транзит",IFERROR(VLOOKUP($B1900,calc_data,J$14+1,0),0),0),2)</f>
        <v/>
      </c>
      <c r="K1900" s="142">
        <f>IF(offer_sale_type="транзит",IFERROR(ROUNDUP(VLOOKUP($B1900,calc_data,K$14+1,0),2),0),0)</f>
        <v/>
      </c>
      <c r="L1900" s="184">
        <f>IF(offer_sale_type="транзит",IFERROR(ROUNDUP(VLOOKUP($B1900,calc_data,L$14+1,0),2),0),0)</f>
        <v/>
      </c>
      <c r="M1900" s="141">
        <f>IF(offer_sale_type="транзит",IFERROR(ROUNDUP(VLOOKUP($B1900,calc_data,M$14+1,0),2),0),0)</f>
        <v/>
      </c>
      <c r="N1900" s="141">
        <f>IF(offer_sale_type="транзит",IFERROR(ROUNDUP(VLOOKUP($B1900,calc_data,N$14+1,0),2),0),0)</f>
        <v/>
      </c>
      <c r="O1900" s="147">
        <f>IF(offer_sale_type="транзит",IFERROR(ROUND(VLOOKUP($B1900,calc_data,O$14+1,1),2),0),0)</f>
        <v/>
      </c>
      <c r="P1900" s="141">
        <f>IF(offer_sale_type="транзит",IFERROR(ROUND(SUM(I1900:J1900,M1900:O1900)/E1900,2),0),0)</f>
        <v/>
      </c>
      <c r="Q1900" s="141">
        <f>E1900*P1900</f>
        <v/>
      </c>
      <c r="R1900" s="141">
        <f>ROUND(Q1900*IF(AND(offer_incoterms="DDP",seller_region="RU"),IF((TODAY()+offer_turnaround_time)&gt;=helpsheet!$L$17,rate_vatRU_from_26,rate_vatRu_till_25),0),2)</f>
        <v/>
      </c>
      <c r="S1900" s="177">
        <f>Q1900+IF(AND(offer_incoterms="DDP",seller_region="RU"),R1900,0)</f>
        <v/>
      </c>
      <c r="T1900" s="45" t="n"/>
      <c r="V1900" s="57">
        <f>IF(Q1900&gt;0,"показать","скрыть")</f>
        <v/>
      </c>
    </row>
    <row r="1901" ht="15.75" customHeight="1">
      <c r="B1901" s="809" t="n">
        <v>1885</v>
      </c>
      <c r="C1901" s="182">
        <f>IF(offer_sale_type="транзит",IFERROR(VLOOKUP($B1901,calc_data,C$14+1,0),0),0)</f>
        <v/>
      </c>
      <c r="D1901" s="280">
        <f>IF(offer_sale_type="транзит",IFERROR(VLOOKUP($B1901,calc_data,D$14+1,0),0),0)</f>
        <v/>
      </c>
      <c r="E1901" s="182">
        <f>IF(offer_sale_type="транзит",IFERROR(VLOOKUP($B1901,calc_data,E$14+1,0),0),0)</f>
        <v/>
      </c>
      <c r="F1901" s="182">
        <f>IF(offer_sale_type="транзит",IFERROR(VLOOKUP($B1901,calc_data,F$14+1,0),0),0)</f>
        <v/>
      </c>
      <c r="G1901" s="141">
        <f>IF(offer_sale_type="транзит",IFERROR(VLOOKUP($B1901,calc_data,G$14+1,0),0),0)</f>
        <v/>
      </c>
      <c r="H1901" s="141">
        <f>E1901*G1901</f>
        <v/>
      </c>
      <c r="I1901" s="141">
        <f>IF(offer_sale_type="транзит",IFERROR(ROUND(VLOOKUP($B1901,calc_data,I$14+1,0),2),0),0)</f>
        <v/>
      </c>
      <c r="J1901" s="141">
        <f>ROUND(IF(offer_sale_type="транзит",IFERROR(VLOOKUP($B1901,calc_data,J$14+1,0),0),0),2)</f>
        <v/>
      </c>
      <c r="K1901" s="142">
        <f>IF(offer_sale_type="транзит",IFERROR(ROUNDUP(VLOOKUP($B1901,calc_data,K$14+1,0),2),0),0)</f>
        <v/>
      </c>
      <c r="L1901" s="184">
        <f>IF(offer_sale_type="транзит",IFERROR(ROUNDUP(VLOOKUP($B1901,calc_data,L$14+1,0),2),0),0)</f>
        <v/>
      </c>
      <c r="M1901" s="141">
        <f>IF(offer_sale_type="транзит",IFERROR(ROUNDUP(VLOOKUP($B1901,calc_data,M$14+1,0),2),0),0)</f>
        <v/>
      </c>
      <c r="N1901" s="141">
        <f>IF(offer_sale_type="транзит",IFERROR(ROUNDUP(VLOOKUP($B1901,calc_data,N$14+1,0),2),0),0)</f>
        <v/>
      </c>
      <c r="O1901" s="147">
        <f>IF(offer_sale_type="транзит",IFERROR(ROUND(VLOOKUP($B1901,calc_data,O$14+1,1),2),0),0)</f>
        <v/>
      </c>
      <c r="P1901" s="141">
        <f>IF(offer_sale_type="транзит",IFERROR(ROUND(SUM(I1901:J1901,M1901:O1901)/E1901,2),0),0)</f>
        <v/>
      </c>
      <c r="Q1901" s="141">
        <f>E1901*P1901</f>
        <v/>
      </c>
      <c r="R1901" s="141">
        <f>ROUND(Q1901*IF(AND(offer_incoterms="DDP",seller_region="RU"),IF((TODAY()+offer_turnaround_time)&gt;=helpsheet!$L$17,rate_vatRU_from_26,rate_vatRu_till_25),0),2)</f>
        <v/>
      </c>
      <c r="S1901" s="177">
        <f>Q1901+IF(AND(offer_incoterms="DDP",seller_region="RU"),R1901,0)</f>
        <v/>
      </c>
      <c r="T1901" s="45" t="n"/>
      <c r="V1901" s="57">
        <f>IF(Q1901&gt;0,"показать","скрыть")</f>
        <v/>
      </c>
    </row>
    <row r="1902" ht="15.75" customHeight="1">
      <c r="B1902" s="809" t="n">
        <v>1886</v>
      </c>
      <c r="C1902" s="182">
        <f>IF(offer_sale_type="транзит",IFERROR(VLOOKUP($B1902,calc_data,C$14+1,0),0),0)</f>
        <v/>
      </c>
      <c r="D1902" s="280">
        <f>IF(offer_sale_type="транзит",IFERROR(VLOOKUP($B1902,calc_data,D$14+1,0),0),0)</f>
        <v/>
      </c>
      <c r="E1902" s="182">
        <f>IF(offer_sale_type="транзит",IFERROR(VLOOKUP($B1902,calc_data,E$14+1,0),0),0)</f>
        <v/>
      </c>
      <c r="F1902" s="182">
        <f>IF(offer_sale_type="транзит",IFERROR(VLOOKUP($B1902,calc_data,F$14+1,0),0),0)</f>
        <v/>
      </c>
      <c r="G1902" s="141">
        <f>IF(offer_sale_type="транзит",IFERROR(VLOOKUP($B1902,calc_data,G$14+1,0),0),0)</f>
        <v/>
      </c>
      <c r="H1902" s="141">
        <f>E1902*G1902</f>
        <v/>
      </c>
      <c r="I1902" s="141">
        <f>IF(offer_sale_type="транзит",IFERROR(ROUND(VLOOKUP($B1902,calc_data,I$14+1,0),2),0),0)</f>
        <v/>
      </c>
      <c r="J1902" s="141">
        <f>ROUND(IF(offer_sale_type="транзит",IFERROR(VLOOKUP($B1902,calc_data,J$14+1,0),0),0),2)</f>
        <v/>
      </c>
      <c r="K1902" s="142">
        <f>IF(offer_sale_type="транзит",IFERROR(ROUNDUP(VLOOKUP($B1902,calc_data,K$14+1,0),2),0),0)</f>
        <v/>
      </c>
      <c r="L1902" s="184">
        <f>IF(offer_sale_type="транзит",IFERROR(ROUNDUP(VLOOKUP($B1902,calc_data,L$14+1,0),2),0),0)</f>
        <v/>
      </c>
      <c r="M1902" s="141">
        <f>IF(offer_sale_type="транзит",IFERROR(ROUNDUP(VLOOKUP($B1902,calc_data,M$14+1,0),2),0),0)</f>
        <v/>
      </c>
      <c r="N1902" s="141">
        <f>IF(offer_sale_type="транзит",IFERROR(ROUNDUP(VLOOKUP($B1902,calc_data,N$14+1,0),2),0),0)</f>
        <v/>
      </c>
      <c r="O1902" s="147">
        <f>IF(offer_sale_type="транзит",IFERROR(ROUND(VLOOKUP($B1902,calc_data,O$14+1,1),2),0),0)</f>
        <v/>
      </c>
      <c r="P1902" s="141">
        <f>IF(offer_sale_type="транзит",IFERROR(ROUND(SUM(I1902:J1902,M1902:O1902)/E1902,2),0),0)</f>
        <v/>
      </c>
      <c r="Q1902" s="141">
        <f>E1902*P1902</f>
        <v/>
      </c>
      <c r="R1902" s="141">
        <f>ROUND(Q1902*IF(AND(offer_incoterms="DDP",seller_region="RU"),IF((TODAY()+offer_turnaround_time)&gt;=helpsheet!$L$17,rate_vatRU_from_26,rate_vatRu_till_25),0),2)</f>
        <v/>
      </c>
      <c r="S1902" s="177">
        <f>Q1902+IF(AND(offer_incoterms="DDP",seller_region="RU"),R1902,0)</f>
        <v/>
      </c>
      <c r="T1902" s="45" t="n"/>
      <c r="V1902" s="57">
        <f>IF(Q1902&gt;0,"показать","скрыть")</f>
        <v/>
      </c>
    </row>
    <row r="1903" ht="15.75" customHeight="1">
      <c r="B1903" s="809" t="n">
        <v>1887</v>
      </c>
      <c r="C1903" s="182">
        <f>IF(offer_sale_type="транзит",IFERROR(VLOOKUP($B1903,calc_data,C$14+1,0),0),0)</f>
        <v/>
      </c>
      <c r="D1903" s="280">
        <f>IF(offer_sale_type="транзит",IFERROR(VLOOKUP($B1903,calc_data,D$14+1,0),0),0)</f>
        <v/>
      </c>
      <c r="E1903" s="182">
        <f>IF(offer_sale_type="транзит",IFERROR(VLOOKUP($B1903,calc_data,E$14+1,0),0),0)</f>
        <v/>
      </c>
      <c r="F1903" s="182">
        <f>IF(offer_sale_type="транзит",IFERROR(VLOOKUP($B1903,calc_data,F$14+1,0),0),0)</f>
        <v/>
      </c>
      <c r="G1903" s="141">
        <f>IF(offer_sale_type="транзит",IFERROR(VLOOKUP($B1903,calc_data,G$14+1,0),0),0)</f>
        <v/>
      </c>
      <c r="H1903" s="141">
        <f>E1903*G1903</f>
        <v/>
      </c>
      <c r="I1903" s="141">
        <f>IF(offer_sale_type="транзит",IFERROR(ROUND(VLOOKUP($B1903,calc_data,I$14+1,0),2),0),0)</f>
        <v/>
      </c>
      <c r="J1903" s="141">
        <f>ROUND(IF(offer_sale_type="транзит",IFERROR(VLOOKUP($B1903,calc_data,J$14+1,0),0),0),2)</f>
        <v/>
      </c>
      <c r="K1903" s="142">
        <f>IF(offer_sale_type="транзит",IFERROR(ROUNDUP(VLOOKUP($B1903,calc_data,K$14+1,0),2),0),0)</f>
        <v/>
      </c>
      <c r="L1903" s="184">
        <f>IF(offer_sale_type="транзит",IFERROR(ROUNDUP(VLOOKUP($B1903,calc_data,L$14+1,0),2),0),0)</f>
        <v/>
      </c>
      <c r="M1903" s="141">
        <f>IF(offer_sale_type="транзит",IFERROR(ROUNDUP(VLOOKUP($B1903,calc_data,M$14+1,0),2),0),0)</f>
        <v/>
      </c>
      <c r="N1903" s="141">
        <f>IF(offer_sale_type="транзит",IFERROR(ROUNDUP(VLOOKUP($B1903,calc_data,N$14+1,0),2),0),0)</f>
        <v/>
      </c>
      <c r="O1903" s="147">
        <f>IF(offer_sale_type="транзит",IFERROR(ROUND(VLOOKUP($B1903,calc_data,O$14+1,1),2),0),0)</f>
        <v/>
      </c>
      <c r="P1903" s="141">
        <f>IF(offer_sale_type="транзит",IFERROR(ROUND(SUM(I1903:J1903,M1903:O1903)/E1903,2),0),0)</f>
        <v/>
      </c>
      <c r="Q1903" s="141">
        <f>E1903*P1903</f>
        <v/>
      </c>
      <c r="R1903" s="141">
        <f>ROUND(Q1903*IF(AND(offer_incoterms="DDP",seller_region="RU"),IF((TODAY()+offer_turnaround_time)&gt;=helpsheet!$L$17,rate_vatRU_from_26,rate_vatRu_till_25),0),2)</f>
        <v/>
      </c>
      <c r="S1903" s="177">
        <f>Q1903+IF(AND(offer_incoterms="DDP",seller_region="RU"),R1903,0)</f>
        <v/>
      </c>
      <c r="T1903" s="45" t="n"/>
      <c r="V1903" s="57">
        <f>IF(Q1903&gt;0,"показать","скрыть")</f>
        <v/>
      </c>
    </row>
    <row r="1904" ht="15.75" customHeight="1">
      <c r="B1904" s="809" t="n">
        <v>1888</v>
      </c>
      <c r="C1904" s="182">
        <f>IF(offer_sale_type="транзит",IFERROR(VLOOKUP($B1904,calc_data,C$14+1,0),0),0)</f>
        <v/>
      </c>
      <c r="D1904" s="280">
        <f>IF(offer_sale_type="транзит",IFERROR(VLOOKUP($B1904,calc_data,D$14+1,0),0),0)</f>
        <v/>
      </c>
      <c r="E1904" s="182">
        <f>IF(offer_sale_type="транзит",IFERROR(VLOOKUP($B1904,calc_data,E$14+1,0),0),0)</f>
        <v/>
      </c>
      <c r="F1904" s="182">
        <f>IF(offer_sale_type="транзит",IFERROR(VLOOKUP($B1904,calc_data,F$14+1,0),0),0)</f>
        <v/>
      </c>
      <c r="G1904" s="141">
        <f>IF(offer_sale_type="транзит",IFERROR(VLOOKUP($B1904,calc_data,G$14+1,0),0),0)</f>
        <v/>
      </c>
      <c r="H1904" s="141">
        <f>E1904*G1904</f>
        <v/>
      </c>
      <c r="I1904" s="141">
        <f>IF(offer_sale_type="транзит",IFERROR(ROUND(VLOOKUP($B1904,calc_data,I$14+1,0),2),0),0)</f>
        <v/>
      </c>
      <c r="J1904" s="141">
        <f>ROUND(IF(offer_sale_type="транзит",IFERROR(VLOOKUP($B1904,calc_data,J$14+1,0),0),0),2)</f>
        <v/>
      </c>
      <c r="K1904" s="142">
        <f>IF(offer_sale_type="транзит",IFERROR(ROUNDUP(VLOOKUP($B1904,calc_data,K$14+1,0),2),0),0)</f>
        <v/>
      </c>
      <c r="L1904" s="184">
        <f>IF(offer_sale_type="транзит",IFERROR(ROUNDUP(VLOOKUP($B1904,calc_data,L$14+1,0),2),0),0)</f>
        <v/>
      </c>
      <c r="M1904" s="141">
        <f>IF(offer_sale_type="транзит",IFERROR(ROUNDUP(VLOOKUP($B1904,calc_data,M$14+1,0),2),0),0)</f>
        <v/>
      </c>
      <c r="N1904" s="141">
        <f>IF(offer_sale_type="транзит",IFERROR(ROUNDUP(VLOOKUP($B1904,calc_data,N$14+1,0),2),0),0)</f>
        <v/>
      </c>
      <c r="O1904" s="147">
        <f>IF(offer_sale_type="транзит",IFERROR(ROUND(VLOOKUP($B1904,calc_data,O$14+1,1),2),0),0)</f>
        <v/>
      </c>
      <c r="P1904" s="141">
        <f>IF(offer_sale_type="транзит",IFERROR(ROUND(SUM(I1904:J1904,M1904:O1904)/E1904,2),0),0)</f>
        <v/>
      </c>
      <c r="Q1904" s="141">
        <f>E1904*P1904</f>
        <v/>
      </c>
      <c r="R1904" s="141">
        <f>ROUND(Q1904*IF(AND(offer_incoterms="DDP",seller_region="RU"),IF((TODAY()+offer_turnaround_time)&gt;=helpsheet!$L$17,rate_vatRU_from_26,rate_vatRu_till_25),0),2)</f>
        <v/>
      </c>
      <c r="S1904" s="177">
        <f>Q1904+IF(AND(offer_incoterms="DDP",seller_region="RU"),R1904,0)</f>
        <v/>
      </c>
      <c r="T1904" s="45" t="n"/>
      <c r="V1904" s="57">
        <f>IF(Q1904&gt;0,"показать","скрыть")</f>
        <v/>
      </c>
    </row>
    <row r="1905" ht="15.75" customHeight="1">
      <c r="B1905" s="809" t="n">
        <v>1889</v>
      </c>
      <c r="C1905" s="182">
        <f>IF(offer_sale_type="транзит",IFERROR(VLOOKUP($B1905,calc_data,C$14+1,0),0),0)</f>
        <v/>
      </c>
      <c r="D1905" s="280">
        <f>IF(offer_sale_type="транзит",IFERROR(VLOOKUP($B1905,calc_data,D$14+1,0),0),0)</f>
        <v/>
      </c>
      <c r="E1905" s="182">
        <f>IF(offer_sale_type="транзит",IFERROR(VLOOKUP($B1905,calc_data,E$14+1,0),0),0)</f>
        <v/>
      </c>
      <c r="F1905" s="182">
        <f>IF(offer_sale_type="транзит",IFERROR(VLOOKUP($B1905,calc_data,F$14+1,0),0),0)</f>
        <v/>
      </c>
      <c r="G1905" s="141">
        <f>IF(offer_sale_type="транзит",IFERROR(VLOOKUP($B1905,calc_data,G$14+1,0),0),0)</f>
        <v/>
      </c>
      <c r="H1905" s="141">
        <f>E1905*G1905</f>
        <v/>
      </c>
      <c r="I1905" s="141">
        <f>IF(offer_sale_type="транзит",IFERROR(ROUND(VLOOKUP($B1905,calc_data,I$14+1,0),2),0),0)</f>
        <v/>
      </c>
      <c r="J1905" s="141">
        <f>ROUND(IF(offer_sale_type="транзит",IFERROR(VLOOKUP($B1905,calc_data,J$14+1,0),0),0),2)</f>
        <v/>
      </c>
      <c r="K1905" s="142">
        <f>IF(offer_sale_type="транзит",IFERROR(ROUNDUP(VLOOKUP($B1905,calc_data,K$14+1,0),2),0),0)</f>
        <v/>
      </c>
      <c r="L1905" s="184">
        <f>IF(offer_sale_type="транзит",IFERROR(ROUNDUP(VLOOKUP($B1905,calc_data,L$14+1,0),2),0),0)</f>
        <v/>
      </c>
      <c r="M1905" s="141">
        <f>IF(offer_sale_type="транзит",IFERROR(ROUNDUP(VLOOKUP($B1905,calc_data,M$14+1,0),2),0),0)</f>
        <v/>
      </c>
      <c r="N1905" s="141">
        <f>IF(offer_sale_type="транзит",IFERROR(ROUNDUP(VLOOKUP($B1905,calc_data,N$14+1,0),2),0),0)</f>
        <v/>
      </c>
      <c r="O1905" s="147">
        <f>IF(offer_sale_type="транзит",IFERROR(ROUND(VLOOKUP($B1905,calc_data,O$14+1,1),2),0),0)</f>
        <v/>
      </c>
      <c r="P1905" s="141">
        <f>IF(offer_sale_type="транзит",IFERROR(ROUND(SUM(I1905:J1905,M1905:O1905)/E1905,2),0),0)</f>
        <v/>
      </c>
      <c r="Q1905" s="141">
        <f>E1905*P1905</f>
        <v/>
      </c>
      <c r="R1905" s="141">
        <f>ROUND(Q1905*IF(AND(offer_incoterms="DDP",seller_region="RU"),IF((TODAY()+offer_turnaround_time)&gt;=helpsheet!$L$17,rate_vatRU_from_26,rate_vatRu_till_25),0),2)</f>
        <v/>
      </c>
      <c r="S1905" s="177">
        <f>Q1905+IF(AND(offer_incoterms="DDP",seller_region="RU"),R1905,0)</f>
        <v/>
      </c>
      <c r="T1905" s="45" t="n"/>
      <c r="V1905" s="57">
        <f>IF(Q1905&gt;0,"показать","скрыть")</f>
        <v/>
      </c>
    </row>
    <row r="1906" ht="15.75" customHeight="1">
      <c r="B1906" s="809" t="n">
        <v>1890</v>
      </c>
      <c r="C1906" s="182">
        <f>IF(offer_sale_type="транзит",IFERROR(VLOOKUP($B1906,calc_data,C$14+1,0),0),0)</f>
        <v/>
      </c>
      <c r="D1906" s="280">
        <f>IF(offer_sale_type="транзит",IFERROR(VLOOKUP($B1906,calc_data,D$14+1,0),0),0)</f>
        <v/>
      </c>
      <c r="E1906" s="182">
        <f>IF(offer_sale_type="транзит",IFERROR(VLOOKUP($B1906,calc_data,E$14+1,0),0),0)</f>
        <v/>
      </c>
      <c r="F1906" s="182">
        <f>IF(offer_sale_type="транзит",IFERROR(VLOOKUP($B1906,calc_data,F$14+1,0),0),0)</f>
        <v/>
      </c>
      <c r="G1906" s="141">
        <f>IF(offer_sale_type="транзит",IFERROR(VLOOKUP($B1906,calc_data,G$14+1,0),0),0)</f>
        <v/>
      </c>
      <c r="H1906" s="141">
        <f>E1906*G1906</f>
        <v/>
      </c>
      <c r="I1906" s="141">
        <f>IF(offer_sale_type="транзит",IFERROR(ROUND(VLOOKUP($B1906,calc_data,I$14+1,0),2),0),0)</f>
        <v/>
      </c>
      <c r="J1906" s="141">
        <f>ROUND(IF(offer_sale_type="транзит",IFERROR(VLOOKUP($B1906,calc_data,J$14+1,0),0),0),2)</f>
        <v/>
      </c>
      <c r="K1906" s="142">
        <f>IF(offer_sale_type="транзит",IFERROR(ROUNDUP(VLOOKUP($B1906,calc_data,K$14+1,0),2),0),0)</f>
        <v/>
      </c>
      <c r="L1906" s="184">
        <f>IF(offer_sale_type="транзит",IFERROR(ROUNDUP(VLOOKUP($B1906,calc_data,L$14+1,0),2),0),0)</f>
        <v/>
      </c>
      <c r="M1906" s="141">
        <f>IF(offer_sale_type="транзит",IFERROR(ROUNDUP(VLOOKUP($B1906,calc_data,M$14+1,0),2),0),0)</f>
        <v/>
      </c>
      <c r="N1906" s="141">
        <f>IF(offer_sale_type="транзит",IFERROR(ROUNDUP(VLOOKUP($B1906,calc_data,N$14+1,0),2),0),0)</f>
        <v/>
      </c>
      <c r="O1906" s="147">
        <f>IF(offer_sale_type="транзит",IFERROR(ROUND(VLOOKUP($B1906,calc_data,O$14+1,1),2),0),0)</f>
        <v/>
      </c>
      <c r="P1906" s="141">
        <f>IF(offer_sale_type="транзит",IFERROR(ROUND(SUM(I1906:J1906,M1906:O1906)/E1906,2),0),0)</f>
        <v/>
      </c>
      <c r="Q1906" s="141">
        <f>E1906*P1906</f>
        <v/>
      </c>
      <c r="R1906" s="141">
        <f>ROUND(Q1906*IF(AND(offer_incoterms="DDP",seller_region="RU"),IF((TODAY()+offer_turnaround_time)&gt;=helpsheet!$L$17,rate_vatRU_from_26,rate_vatRu_till_25),0),2)</f>
        <v/>
      </c>
      <c r="S1906" s="177">
        <f>Q1906+IF(AND(offer_incoterms="DDP",seller_region="RU"),R1906,0)</f>
        <v/>
      </c>
      <c r="T1906" s="45" t="n"/>
      <c r="V1906" s="57">
        <f>IF(Q1906&gt;0,"показать","скрыть")</f>
        <v/>
      </c>
    </row>
    <row r="1907" ht="15.75" customHeight="1">
      <c r="B1907" s="809" t="n">
        <v>1891</v>
      </c>
      <c r="C1907" s="182">
        <f>IF(offer_sale_type="транзит",IFERROR(VLOOKUP($B1907,calc_data,C$14+1,0),0),0)</f>
        <v/>
      </c>
      <c r="D1907" s="280">
        <f>IF(offer_sale_type="транзит",IFERROR(VLOOKUP($B1907,calc_data,D$14+1,0),0),0)</f>
        <v/>
      </c>
      <c r="E1907" s="182">
        <f>IF(offer_sale_type="транзит",IFERROR(VLOOKUP($B1907,calc_data,E$14+1,0),0),0)</f>
        <v/>
      </c>
      <c r="F1907" s="182">
        <f>IF(offer_sale_type="транзит",IFERROR(VLOOKUP($B1907,calc_data,F$14+1,0),0),0)</f>
        <v/>
      </c>
      <c r="G1907" s="141">
        <f>IF(offer_sale_type="транзит",IFERROR(VLOOKUP($B1907,calc_data,G$14+1,0),0),0)</f>
        <v/>
      </c>
      <c r="H1907" s="141">
        <f>E1907*G1907</f>
        <v/>
      </c>
      <c r="I1907" s="141">
        <f>IF(offer_sale_type="транзит",IFERROR(ROUND(VLOOKUP($B1907,calc_data,I$14+1,0),2),0),0)</f>
        <v/>
      </c>
      <c r="J1907" s="141">
        <f>ROUND(IF(offer_sale_type="транзит",IFERROR(VLOOKUP($B1907,calc_data,J$14+1,0),0),0),2)</f>
        <v/>
      </c>
      <c r="K1907" s="142">
        <f>IF(offer_sale_type="транзит",IFERROR(ROUNDUP(VLOOKUP($B1907,calc_data,K$14+1,0),2),0),0)</f>
        <v/>
      </c>
      <c r="L1907" s="184">
        <f>IF(offer_sale_type="транзит",IFERROR(ROUNDUP(VLOOKUP($B1907,calc_data,L$14+1,0),2),0),0)</f>
        <v/>
      </c>
      <c r="M1907" s="141">
        <f>IF(offer_sale_type="транзит",IFERROR(ROUNDUP(VLOOKUP($B1907,calc_data,M$14+1,0),2),0),0)</f>
        <v/>
      </c>
      <c r="N1907" s="141">
        <f>IF(offer_sale_type="транзит",IFERROR(ROUNDUP(VLOOKUP($B1907,calc_data,N$14+1,0),2),0),0)</f>
        <v/>
      </c>
      <c r="O1907" s="147">
        <f>IF(offer_sale_type="транзит",IFERROR(ROUND(VLOOKUP($B1907,calc_data,O$14+1,1),2),0),0)</f>
        <v/>
      </c>
      <c r="P1907" s="141">
        <f>IF(offer_sale_type="транзит",IFERROR(ROUND(SUM(I1907:J1907,M1907:O1907)/E1907,2),0),0)</f>
        <v/>
      </c>
      <c r="Q1907" s="141">
        <f>E1907*P1907</f>
        <v/>
      </c>
      <c r="R1907" s="141">
        <f>ROUND(Q1907*IF(AND(offer_incoterms="DDP",seller_region="RU"),IF((TODAY()+offer_turnaround_time)&gt;=helpsheet!$L$17,rate_vatRU_from_26,rate_vatRu_till_25),0),2)</f>
        <v/>
      </c>
      <c r="S1907" s="177">
        <f>Q1907+IF(AND(offer_incoterms="DDP",seller_region="RU"),R1907,0)</f>
        <v/>
      </c>
      <c r="T1907" s="45" t="n"/>
      <c r="V1907" s="57">
        <f>IF(Q1907&gt;0,"показать","скрыть")</f>
        <v/>
      </c>
    </row>
    <row r="1908" ht="15.75" customHeight="1">
      <c r="B1908" s="809" t="n">
        <v>1892</v>
      </c>
      <c r="C1908" s="182">
        <f>IF(offer_sale_type="транзит",IFERROR(VLOOKUP($B1908,calc_data,C$14+1,0),0),0)</f>
        <v/>
      </c>
      <c r="D1908" s="280">
        <f>IF(offer_sale_type="транзит",IFERROR(VLOOKUP($B1908,calc_data,D$14+1,0),0),0)</f>
        <v/>
      </c>
      <c r="E1908" s="182">
        <f>IF(offer_sale_type="транзит",IFERROR(VLOOKUP($B1908,calc_data,E$14+1,0),0),0)</f>
        <v/>
      </c>
      <c r="F1908" s="182">
        <f>IF(offer_sale_type="транзит",IFERROR(VLOOKUP($B1908,calc_data,F$14+1,0),0),0)</f>
        <v/>
      </c>
      <c r="G1908" s="141">
        <f>IF(offer_sale_type="транзит",IFERROR(VLOOKUP($B1908,calc_data,G$14+1,0),0),0)</f>
        <v/>
      </c>
      <c r="H1908" s="141">
        <f>E1908*G1908</f>
        <v/>
      </c>
      <c r="I1908" s="141">
        <f>IF(offer_sale_type="транзит",IFERROR(ROUND(VLOOKUP($B1908,calc_data,I$14+1,0),2),0),0)</f>
        <v/>
      </c>
      <c r="J1908" s="141">
        <f>ROUND(IF(offer_sale_type="транзит",IFERROR(VLOOKUP($B1908,calc_data,J$14+1,0),0),0),2)</f>
        <v/>
      </c>
      <c r="K1908" s="142">
        <f>IF(offer_sale_type="транзит",IFERROR(ROUNDUP(VLOOKUP($B1908,calc_data,K$14+1,0),2),0),0)</f>
        <v/>
      </c>
      <c r="L1908" s="184">
        <f>IF(offer_sale_type="транзит",IFERROR(ROUNDUP(VLOOKUP($B1908,calc_data,L$14+1,0),2),0),0)</f>
        <v/>
      </c>
      <c r="M1908" s="141">
        <f>IF(offer_sale_type="транзит",IFERROR(ROUNDUP(VLOOKUP($B1908,calc_data,M$14+1,0),2),0),0)</f>
        <v/>
      </c>
      <c r="N1908" s="141">
        <f>IF(offer_sale_type="транзит",IFERROR(ROUNDUP(VLOOKUP($B1908,calc_data,N$14+1,0),2),0),0)</f>
        <v/>
      </c>
      <c r="O1908" s="147">
        <f>IF(offer_sale_type="транзит",IFERROR(ROUND(VLOOKUP($B1908,calc_data,O$14+1,1),2),0),0)</f>
        <v/>
      </c>
      <c r="P1908" s="141">
        <f>IF(offer_sale_type="транзит",IFERROR(ROUND(SUM(I1908:J1908,M1908:O1908)/E1908,2),0),0)</f>
        <v/>
      </c>
      <c r="Q1908" s="141">
        <f>E1908*P1908</f>
        <v/>
      </c>
      <c r="R1908" s="141">
        <f>ROUND(Q1908*IF(AND(offer_incoterms="DDP",seller_region="RU"),IF((TODAY()+offer_turnaround_time)&gt;=helpsheet!$L$17,rate_vatRU_from_26,rate_vatRu_till_25),0),2)</f>
        <v/>
      </c>
      <c r="S1908" s="177">
        <f>Q1908+IF(AND(offer_incoterms="DDP",seller_region="RU"),R1908,0)</f>
        <v/>
      </c>
      <c r="T1908" s="45" t="n"/>
      <c r="V1908" s="57">
        <f>IF(Q1908&gt;0,"показать","скрыть")</f>
        <v/>
      </c>
    </row>
    <row r="1909" ht="15.75" customHeight="1">
      <c r="B1909" s="809" t="n">
        <v>1893</v>
      </c>
      <c r="C1909" s="182">
        <f>IF(offer_sale_type="транзит",IFERROR(VLOOKUP($B1909,calc_data,C$14+1,0),0),0)</f>
        <v/>
      </c>
      <c r="D1909" s="280">
        <f>IF(offer_sale_type="транзит",IFERROR(VLOOKUP($B1909,calc_data,D$14+1,0),0),0)</f>
        <v/>
      </c>
      <c r="E1909" s="182">
        <f>IF(offer_sale_type="транзит",IFERROR(VLOOKUP($B1909,calc_data,E$14+1,0),0),0)</f>
        <v/>
      </c>
      <c r="F1909" s="182">
        <f>IF(offer_sale_type="транзит",IFERROR(VLOOKUP($B1909,calc_data,F$14+1,0),0),0)</f>
        <v/>
      </c>
      <c r="G1909" s="141">
        <f>IF(offer_sale_type="транзит",IFERROR(VLOOKUP($B1909,calc_data,G$14+1,0),0),0)</f>
        <v/>
      </c>
      <c r="H1909" s="141">
        <f>E1909*G1909</f>
        <v/>
      </c>
      <c r="I1909" s="141">
        <f>IF(offer_sale_type="транзит",IFERROR(ROUND(VLOOKUP($B1909,calc_data,I$14+1,0),2),0),0)</f>
        <v/>
      </c>
      <c r="J1909" s="141">
        <f>ROUND(IF(offer_sale_type="транзит",IFERROR(VLOOKUP($B1909,calc_data,J$14+1,0),0),0),2)</f>
        <v/>
      </c>
      <c r="K1909" s="142">
        <f>IF(offer_sale_type="транзит",IFERROR(ROUNDUP(VLOOKUP($B1909,calc_data,K$14+1,0),2),0),0)</f>
        <v/>
      </c>
      <c r="L1909" s="184">
        <f>IF(offer_sale_type="транзит",IFERROR(ROUNDUP(VLOOKUP($B1909,calc_data,L$14+1,0),2),0),0)</f>
        <v/>
      </c>
      <c r="M1909" s="141">
        <f>IF(offer_sale_type="транзит",IFERROR(ROUNDUP(VLOOKUP($B1909,calc_data,M$14+1,0),2),0),0)</f>
        <v/>
      </c>
      <c r="N1909" s="141">
        <f>IF(offer_sale_type="транзит",IFERROR(ROUNDUP(VLOOKUP($B1909,calc_data,N$14+1,0),2),0),0)</f>
        <v/>
      </c>
      <c r="O1909" s="147">
        <f>IF(offer_sale_type="транзит",IFERROR(ROUND(VLOOKUP($B1909,calc_data,O$14+1,1),2),0),0)</f>
        <v/>
      </c>
      <c r="P1909" s="141">
        <f>IF(offer_sale_type="транзит",IFERROR(ROUND(SUM(I1909:J1909,M1909:O1909)/E1909,2),0),0)</f>
        <v/>
      </c>
      <c r="Q1909" s="141">
        <f>E1909*P1909</f>
        <v/>
      </c>
      <c r="R1909" s="141">
        <f>ROUND(Q1909*IF(AND(offer_incoterms="DDP",seller_region="RU"),IF((TODAY()+offer_turnaround_time)&gt;=helpsheet!$L$17,rate_vatRU_from_26,rate_vatRu_till_25),0),2)</f>
        <v/>
      </c>
      <c r="S1909" s="177">
        <f>Q1909+IF(AND(offer_incoterms="DDP",seller_region="RU"),R1909,0)</f>
        <v/>
      </c>
      <c r="T1909" s="45" t="n"/>
      <c r="V1909" s="57">
        <f>IF(Q1909&gt;0,"показать","скрыть")</f>
        <v/>
      </c>
    </row>
    <row r="1910" ht="15.75" customHeight="1">
      <c r="B1910" s="809" t="n">
        <v>1894</v>
      </c>
      <c r="C1910" s="182">
        <f>IF(offer_sale_type="транзит",IFERROR(VLOOKUP($B1910,calc_data,C$14+1,0),0),0)</f>
        <v/>
      </c>
      <c r="D1910" s="280">
        <f>IF(offer_sale_type="транзит",IFERROR(VLOOKUP($B1910,calc_data,D$14+1,0),0),0)</f>
        <v/>
      </c>
      <c r="E1910" s="182">
        <f>IF(offer_sale_type="транзит",IFERROR(VLOOKUP($B1910,calc_data,E$14+1,0),0),0)</f>
        <v/>
      </c>
      <c r="F1910" s="182">
        <f>IF(offer_sale_type="транзит",IFERROR(VLOOKUP($B1910,calc_data,F$14+1,0),0),0)</f>
        <v/>
      </c>
      <c r="G1910" s="141">
        <f>IF(offer_sale_type="транзит",IFERROR(VLOOKUP($B1910,calc_data,G$14+1,0),0),0)</f>
        <v/>
      </c>
      <c r="H1910" s="141">
        <f>E1910*G1910</f>
        <v/>
      </c>
      <c r="I1910" s="141">
        <f>IF(offer_sale_type="транзит",IFERROR(ROUND(VLOOKUP($B1910,calc_data,I$14+1,0),2),0),0)</f>
        <v/>
      </c>
      <c r="J1910" s="141">
        <f>ROUND(IF(offer_sale_type="транзит",IFERROR(VLOOKUP($B1910,calc_data,J$14+1,0),0),0),2)</f>
        <v/>
      </c>
      <c r="K1910" s="142">
        <f>IF(offer_sale_type="транзит",IFERROR(ROUNDUP(VLOOKUP($B1910,calc_data,K$14+1,0),2),0),0)</f>
        <v/>
      </c>
      <c r="L1910" s="184">
        <f>IF(offer_sale_type="транзит",IFERROR(ROUNDUP(VLOOKUP($B1910,calc_data,L$14+1,0),2),0),0)</f>
        <v/>
      </c>
      <c r="M1910" s="141">
        <f>IF(offer_sale_type="транзит",IFERROR(ROUNDUP(VLOOKUP($B1910,calc_data,M$14+1,0),2),0),0)</f>
        <v/>
      </c>
      <c r="N1910" s="141">
        <f>IF(offer_sale_type="транзит",IFERROR(ROUNDUP(VLOOKUP($B1910,calc_data,N$14+1,0),2),0),0)</f>
        <v/>
      </c>
      <c r="O1910" s="147">
        <f>IF(offer_sale_type="транзит",IFERROR(ROUND(VLOOKUP($B1910,calc_data,O$14+1,1),2),0),0)</f>
        <v/>
      </c>
      <c r="P1910" s="141">
        <f>IF(offer_sale_type="транзит",IFERROR(ROUND(SUM(I1910:J1910,M1910:O1910)/E1910,2),0),0)</f>
        <v/>
      </c>
      <c r="Q1910" s="141">
        <f>E1910*P1910</f>
        <v/>
      </c>
      <c r="R1910" s="141">
        <f>ROUND(Q1910*IF(AND(offer_incoterms="DDP",seller_region="RU"),IF((TODAY()+offer_turnaround_time)&gt;=helpsheet!$L$17,rate_vatRU_from_26,rate_vatRu_till_25),0),2)</f>
        <v/>
      </c>
      <c r="S1910" s="177">
        <f>Q1910+IF(AND(offer_incoterms="DDP",seller_region="RU"),R1910,0)</f>
        <v/>
      </c>
      <c r="T1910" s="45" t="n"/>
      <c r="V1910" s="57">
        <f>IF(Q1910&gt;0,"показать","скрыть")</f>
        <v/>
      </c>
    </row>
    <row r="1911" ht="15.75" customHeight="1">
      <c r="B1911" s="809" t="n">
        <v>1895</v>
      </c>
      <c r="C1911" s="182">
        <f>IF(offer_sale_type="транзит",IFERROR(VLOOKUP($B1911,calc_data,C$14+1,0),0),0)</f>
        <v/>
      </c>
      <c r="D1911" s="280">
        <f>IF(offer_sale_type="транзит",IFERROR(VLOOKUP($B1911,calc_data,D$14+1,0),0),0)</f>
        <v/>
      </c>
      <c r="E1911" s="182">
        <f>IF(offer_sale_type="транзит",IFERROR(VLOOKUP($B1911,calc_data,E$14+1,0),0),0)</f>
        <v/>
      </c>
      <c r="F1911" s="182">
        <f>IF(offer_sale_type="транзит",IFERROR(VLOOKUP($B1911,calc_data,F$14+1,0),0),0)</f>
        <v/>
      </c>
      <c r="G1911" s="141">
        <f>IF(offer_sale_type="транзит",IFERROR(VLOOKUP($B1911,calc_data,G$14+1,0),0),0)</f>
        <v/>
      </c>
      <c r="H1911" s="141">
        <f>E1911*G1911</f>
        <v/>
      </c>
      <c r="I1911" s="141">
        <f>IF(offer_sale_type="транзит",IFERROR(ROUND(VLOOKUP($B1911,calc_data,I$14+1,0),2),0),0)</f>
        <v/>
      </c>
      <c r="J1911" s="141">
        <f>ROUND(IF(offer_sale_type="транзит",IFERROR(VLOOKUP($B1911,calc_data,J$14+1,0),0),0),2)</f>
        <v/>
      </c>
      <c r="K1911" s="142">
        <f>IF(offer_sale_type="транзит",IFERROR(ROUNDUP(VLOOKUP($B1911,calc_data,K$14+1,0),2),0),0)</f>
        <v/>
      </c>
      <c r="L1911" s="184">
        <f>IF(offer_sale_type="транзит",IFERROR(ROUNDUP(VLOOKUP($B1911,calc_data,L$14+1,0),2),0),0)</f>
        <v/>
      </c>
      <c r="M1911" s="141">
        <f>IF(offer_sale_type="транзит",IFERROR(ROUNDUP(VLOOKUP($B1911,calc_data,M$14+1,0),2),0),0)</f>
        <v/>
      </c>
      <c r="N1911" s="141">
        <f>IF(offer_sale_type="транзит",IFERROR(ROUNDUP(VLOOKUP($B1911,calc_data,N$14+1,0),2),0),0)</f>
        <v/>
      </c>
      <c r="O1911" s="147">
        <f>IF(offer_sale_type="транзит",IFERROR(ROUND(VLOOKUP($B1911,calc_data,O$14+1,1),2),0),0)</f>
        <v/>
      </c>
      <c r="P1911" s="141">
        <f>IF(offer_sale_type="транзит",IFERROR(ROUND(SUM(I1911:J1911,M1911:O1911)/E1911,2),0),0)</f>
        <v/>
      </c>
      <c r="Q1911" s="141">
        <f>E1911*P1911</f>
        <v/>
      </c>
      <c r="R1911" s="141">
        <f>ROUND(Q1911*IF(AND(offer_incoterms="DDP",seller_region="RU"),IF((TODAY()+offer_turnaround_time)&gt;=helpsheet!$L$17,rate_vatRU_from_26,rate_vatRu_till_25),0),2)</f>
        <v/>
      </c>
      <c r="S1911" s="177">
        <f>Q1911+IF(AND(offer_incoterms="DDP",seller_region="RU"),R1911,0)</f>
        <v/>
      </c>
      <c r="T1911" s="45" t="n"/>
      <c r="V1911" s="57">
        <f>IF(Q1911&gt;0,"показать","скрыть")</f>
        <v/>
      </c>
    </row>
    <row r="1912" ht="15.75" customHeight="1">
      <c r="B1912" s="809" t="n">
        <v>1896</v>
      </c>
      <c r="C1912" s="182">
        <f>IF(offer_sale_type="транзит",IFERROR(VLOOKUP($B1912,calc_data,C$14+1,0),0),0)</f>
        <v/>
      </c>
      <c r="D1912" s="280">
        <f>IF(offer_sale_type="транзит",IFERROR(VLOOKUP($B1912,calc_data,D$14+1,0),0),0)</f>
        <v/>
      </c>
      <c r="E1912" s="182">
        <f>IF(offer_sale_type="транзит",IFERROR(VLOOKUP($B1912,calc_data,E$14+1,0),0),0)</f>
        <v/>
      </c>
      <c r="F1912" s="182">
        <f>IF(offer_sale_type="транзит",IFERROR(VLOOKUP($B1912,calc_data,F$14+1,0),0),0)</f>
        <v/>
      </c>
      <c r="G1912" s="141">
        <f>IF(offer_sale_type="транзит",IFERROR(VLOOKUP($B1912,calc_data,G$14+1,0),0),0)</f>
        <v/>
      </c>
      <c r="H1912" s="141">
        <f>E1912*G1912</f>
        <v/>
      </c>
      <c r="I1912" s="141">
        <f>IF(offer_sale_type="транзит",IFERROR(ROUND(VLOOKUP($B1912,calc_data,I$14+1,0),2),0),0)</f>
        <v/>
      </c>
      <c r="J1912" s="141">
        <f>ROUND(IF(offer_sale_type="транзит",IFERROR(VLOOKUP($B1912,calc_data,J$14+1,0),0),0),2)</f>
        <v/>
      </c>
      <c r="K1912" s="142">
        <f>IF(offer_sale_type="транзит",IFERROR(ROUNDUP(VLOOKUP($B1912,calc_data,K$14+1,0),2),0),0)</f>
        <v/>
      </c>
      <c r="L1912" s="184">
        <f>IF(offer_sale_type="транзит",IFERROR(ROUNDUP(VLOOKUP($B1912,calc_data,L$14+1,0),2),0),0)</f>
        <v/>
      </c>
      <c r="M1912" s="141">
        <f>IF(offer_sale_type="транзит",IFERROR(ROUNDUP(VLOOKUP($B1912,calc_data,M$14+1,0),2),0),0)</f>
        <v/>
      </c>
      <c r="N1912" s="141">
        <f>IF(offer_sale_type="транзит",IFERROR(ROUNDUP(VLOOKUP($B1912,calc_data,N$14+1,0),2),0),0)</f>
        <v/>
      </c>
      <c r="O1912" s="147">
        <f>IF(offer_sale_type="транзит",IFERROR(ROUND(VLOOKUP($B1912,calc_data,O$14+1,1),2),0),0)</f>
        <v/>
      </c>
      <c r="P1912" s="141">
        <f>IF(offer_sale_type="транзит",IFERROR(ROUND(SUM(I1912:J1912,M1912:O1912)/E1912,2),0),0)</f>
        <v/>
      </c>
      <c r="Q1912" s="141">
        <f>E1912*P1912</f>
        <v/>
      </c>
      <c r="R1912" s="141">
        <f>ROUND(Q1912*IF(AND(offer_incoterms="DDP",seller_region="RU"),IF((TODAY()+offer_turnaround_time)&gt;=helpsheet!$L$17,rate_vatRU_from_26,rate_vatRu_till_25),0),2)</f>
        <v/>
      </c>
      <c r="S1912" s="177">
        <f>Q1912+IF(AND(offer_incoterms="DDP",seller_region="RU"),R1912,0)</f>
        <v/>
      </c>
      <c r="T1912" s="45" t="n"/>
      <c r="V1912" s="57">
        <f>IF(Q1912&gt;0,"показать","скрыть")</f>
        <v/>
      </c>
    </row>
    <row r="1913" ht="15.75" customHeight="1">
      <c r="B1913" s="809" t="n">
        <v>1897</v>
      </c>
      <c r="C1913" s="182">
        <f>IF(offer_sale_type="транзит",IFERROR(VLOOKUP($B1913,calc_data,C$14+1,0),0),0)</f>
        <v/>
      </c>
      <c r="D1913" s="280">
        <f>IF(offer_sale_type="транзит",IFERROR(VLOOKUP($B1913,calc_data,D$14+1,0),0),0)</f>
        <v/>
      </c>
      <c r="E1913" s="182">
        <f>IF(offer_sale_type="транзит",IFERROR(VLOOKUP($B1913,calc_data,E$14+1,0),0),0)</f>
        <v/>
      </c>
      <c r="F1913" s="182">
        <f>IF(offer_sale_type="транзит",IFERROR(VLOOKUP($B1913,calc_data,F$14+1,0),0),0)</f>
        <v/>
      </c>
      <c r="G1913" s="141">
        <f>IF(offer_sale_type="транзит",IFERROR(VLOOKUP($B1913,calc_data,G$14+1,0),0),0)</f>
        <v/>
      </c>
      <c r="H1913" s="141">
        <f>E1913*G1913</f>
        <v/>
      </c>
      <c r="I1913" s="141">
        <f>IF(offer_sale_type="транзит",IFERROR(ROUND(VLOOKUP($B1913,calc_data,I$14+1,0),2),0),0)</f>
        <v/>
      </c>
      <c r="J1913" s="141">
        <f>ROUND(IF(offer_sale_type="транзит",IFERROR(VLOOKUP($B1913,calc_data,J$14+1,0),0),0),2)</f>
        <v/>
      </c>
      <c r="K1913" s="142">
        <f>IF(offer_sale_type="транзит",IFERROR(ROUNDUP(VLOOKUP($B1913,calc_data,K$14+1,0),2),0),0)</f>
        <v/>
      </c>
      <c r="L1913" s="184">
        <f>IF(offer_sale_type="транзит",IFERROR(ROUNDUP(VLOOKUP($B1913,calc_data,L$14+1,0),2),0),0)</f>
        <v/>
      </c>
      <c r="M1913" s="141">
        <f>IF(offer_sale_type="транзит",IFERROR(ROUNDUP(VLOOKUP($B1913,calc_data,M$14+1,0),2),0),0)</f>
        <v/>
      </c>
      <c r="N1913" s="141">
        <f>IF(offer_sale_type="транзит",IFERROR(ROUNDUP(VLOOKUP($B1913,calc_data,N$14+1,0),2),0),0)</f>
        <v/>
      </c>
      <c r="O1913" s="147">
        <f>IF(offer_sale_type="транзит",IFERROR(ROUND(VLOOKUP($B1913,calc_data,O$14+1,1),2),0),0)</f>
        <v/>
      </c>
      <c r="P1913" s="141">
        <f>IF(offer_sale_type="транзит",IFERROR(ROUND(SUM(I1913:J1913,M1913:O1913)/E1913,2),0),0)</f>
        <v/>
      </c>
      <c r="Q1913" s="141">
        <f>E1913*P1913</f>
        <v/>
      </c>
      <c r="R1913" s="141">
        <f>ROUND(Q1913*IF(AND(offer_incoterms="DDP",seller_region="RU"),IF((TODAY()+offer_turnaround_time)&gt;=helpsheet!$L$17,rate_vatRU_from_26,rate_vatRu_till_25),0),2)</f>
        <v/>
      </c>
      <c r="S1913" s="177">
        <f>Q1913+IF(AND(offer_incoterms="DDP",seller_region="RU"),R1913,0)</f>
        <v/>
      </c>
      <c r="T1913" s="45" t="n"/>
      <c r="V1913" s="57">
        <f>IF(Q1913&gt;0,"показать","скрыть")</f>
        <v/>
      </c>
    </row>
    <row r="1914" ht="15.75" customHeight="1">
      <c r="B1914" s="809" t="n">
        <v>1898</v>
      </c>
      <c r="C1914" s="182">
        <f>IF(offer_sale_type="транзит",IFERROR(VLOOKUP($B1914,calc_data,C$14+1,0),0),0)</f>
        <v/>
      </c>
      <c r="D1914" s="280">
        <f>IF(offer_sale_type="транзит",IFERROR(VLOOKUP($B1914,calc_data,D$14+1,0),0),0)</f>
        <v/>
      </c>
      <c r="E1914" s="182">
        <f>IF(offer_sale_type="транзит",IFERROR(VLOOKUP($B1914,calc_data,E$14+1,0),0),0)</f>
        <v/>
      </c>
      <c r="F1914" s="182">
        <f>IF(offer_sale_type="транзит",IFERROR(VLOOKUP($B1914,calc_data,F$14+1,0),0),0)</f>
        <v/>
      </c>
      <c r="G1914" s="141">
        <f>IF(offer_sale_type="транзит",IFERROR(VLOOKUP($B1914,calc_data,G$14+1,0),0),0)</f>
        <v/>
      </c>
      <c r="H1914" s="141">
        <f>E1914*G1914</f>
        <v/>
      </c>
      <c r="I1914" s="141">
        <f>IF(offer_sale_type="транзит",IFERROR(ROUND(VLOOKUP($B1914,calc_data,I$14+1,0),2),0),0)</f>
        <v/>
      </c>
      <c r="J1914" s="141">
        <f>ROUND(IF(offer_sale_type="транзит",IFERROR(VLOOKUP($B1914,calc_data,J$14+1,0),0),0),2)</f>
        <v/>
      </c>
      <c r="K1914" s="142">
        <f>IF(offer_sale_type="транзит",IFERROR(ROUNDUP(VLOOKUP($B1914,calc_data,K$14+1,0),2),0),0)</f>
        <v/>
      </c>
      <c r="L1914" s="184">
        <f>IF(offer_sale_type="транзит",IFERROR(ROUNDUP(VLOOKUP($B1914,calc_data,L$14+1,0),2),0),0)</f>
        <v/>
      </c>
      <c r="M1914" s="141">
        <f>IF(offer_sale_type="транзит",IFERROR(ROUNDUP(VLOOKUP($B1914,calc_data,M$14+1,0),2),0),0)</f>
        <v/>
      </c>
      <c r="N1914" s="141">
        <f>IF(offer_sale_type="транзит",IFERROR(ROUNDUP(VLOOKUP($B1914,calc_data,N$14+1,0),2),0),0)</f>
        <v/>
      </c>
      <c r="O1914" s="147">
        <f>IF(offer_sale_type="транзит",IFERROR(ROUND(VLOOKUP($B1914,calc_data,O$14+1,1),2),0),0)</f>
        <v/>
      </c>
      <c r="P1914" s="141">
        <f>IF(offer_sale_type="транзит",IFERROR(ROUND(SUM(I1914:J1914,M1914:O1914)/E1914,2),0),0)</f>
        <v/>
      </c>
      <c r="Q1914" s="141">
        <f>E1914*P1914</f>
        <v/>
      </c>
      <c r="R1914" s="141">
        <f>ROUND(Q1914*IF(AND(offer_incoterms="DDP",seller_region="RU"),IF((TODAY()+offer_turnaround_time)&gt;=helpsheet!$L$17,rate_vatRU_from_26,rate_vatRu_till_25),0),2)</f>
        <v/>
      </c>
      <c r="S1914" s="177">
        <f>Q1914+IF(AND(offer_incoterms="DDP",seller_region="RU"),R1914,0)</f>
        <v/>
      </c>
      <c r="T1914" s="45" t="n"/>
      <c r="V1914" s="57">
        <f>IF(Q1914&gt;0,"показать","скрыть")</f>
        <v/>
      </c>
    </row>
    <row r="1915" ht="15.75" customHeight="1">
      <c r="B1915" s="809" t="n">
        <v>1899</v>
      </c>
      <c r="C1915" s="182">
        <f>IF(offer_sale_type="транзит",IFERROR(VLOOKUP($B1915,calc_data,C$14+1,0),0),0)</f>
        <v/>
      </c>
      <c r="D1915" s="280">
        <f>IF(offer_sale_type="транзит",IFERROR(VLOOKUP($B1915,calc_data,D$14+1,0),0),0)</f>
        <v/>
      </c>
      <c r="E1915" s="182">
        <f>IF(offer_sale_type="транзит",IFERROR(VLOOKUP($B1915,calc_data,E$14+1,0),0),0)</f>
        <v/>
      </c>
      <c r="F1915" s="182">
        <f>IF(offer_sale_type="транзит",IFERROR(VLOOKUP($B1915,calc_data,F$14+1,0),0),0)</f>
        <v/>
      </c>
      <c r="G1915" s="141">
        <f>IF(offer_sale_type="транзит",IFERROR(VLOOKUP($B1915,calc_data,G$14+1,0),0),0)</f>
        <v/>
      </c>
      <c r="H1915" s="141">
        <f>E1915*G1915</f>
        <v/>
      </c>
      <c r="I1915" s="141">
        <f>IF(offer_sale_type="транзит",IFERROR(ROUND(VLOOKUP($B1915,calc_data,I$14+1,0),2),0),0)</f>
        <v/>
      </c>
      <c r="J1915" s="141">
        <f>ROUND(IF(offer_sale_type="транзит",IFERROR(VLOOKUP($B1915,calc_data,J$14+1,0),0),0),2)</f>
        <v/>
      </c>
      <c r="K1915" s="142">
        <f>IF(offer_sale_type="транзит",IFERROR(ROUNDUP(VLOOKUP($B1915,calc_data,K$14+1,0),2),0),0)</f>
        <v/>
      </c>
      <c r="L1915" s="184">
        <f>IF(offer_sale_type="транзит",IFERROR(ROUNDUP(VLOOKUP($B1915,calc_data,L$14+1,0),2),0),0)</f>
        <v/>
      </c>
      <c r="M1915" s="141">
        <f>IF(offer_sale_type="транзит",IFERROR(ROUNDUP(VLOOKUP($B1915,calc_data,M$14+1,0),2),0),0)</f>
        <v/>
      </c>
      <c r="N1915" s="141">
        <f>IF(offer_sale_type="транзит",IFERROR(ROUNDUP(VLOOKUP($B1915,calc_data,N$14+1,0),2),0),0)</f>
        <v/>
      </c>
      <c r="O1915" s="147">
        <f>IF(offer_sale_type="транзит",IFERROR(ROUND(VLOOKUP($B1915,calc_data,O$14+1,1),2),0),0)</f>
        <v/>
      </c>
      <c r="P1915" s="141">
        <f>IF(offer_sale_type="транзит",IFERROR(ROUND(SUM(I1915:J1915,M1915:O1915)/E1915,2),0),0)</f>
        <v/>
      </c>
      <c r="Q1915" s="141">
        <f>E1915*P1915</f>
        <v/>
      </c>
      <c r="R1915" s="141">
        <f>ROUND(Q1915*IF(AND(offer_incoterms="DDP",seller_region="RU"),IF((TODAY()+offer_turnaround_time)&gt;=helpsheet!$L$17,rate_vatRU_from_26,rate_vatRu_till_25),0),2)</f>
        <v/>
      </c>
      <c r="S1915" s="177">
        <f>Q1915+IF(AND(offer_incoterms="DDP",seller_region="RU"),R1915,0)</f>
        <v/>
      </c>
      <c r="T1915" s="45" t="n"/>
      <c r="V1915" s="57">
        <f>IF(Q1915&gt;0,"показать","скрыть")</f>
        <v/>
      </c>
    </row>
    <row r="1916" ht="15.75" customHeight="1">
      <c r="B1916" s="809" t="n">
        <v>1900</v>
      </c>
      <c r="C1916" s="182">
        <f>IF(offer_sale_type="транзит",IFERROR(VLOOKUP($B1916,calc_data,C$14+1,0),0),0)</f>
        <v/>
      </c>
      <c r="D1916" s="280">
        <f>IF(offer_sale_type="транзит",IFERROR(VLOOKUP($B1916,calc_data,D$14+1,0),0),0)</f>
        <v/>
      </c>
      <c r="E1916" s="182">
        <f>IF(offer_sale_type="транзит",IFERROR(VLOOKUP($B1916,calc_data,E$14+1,0),0),0)</f>
        <v/>
      </c>
      <c r="F1916" s="182">
        <f>IF(offer_sale_type="транзит",IFERROR(VLOOKUP($B1916,calc_data,F$14+1,0),0),0)</f>
        <v/>
      </c>
      <c r="G1916" s="141">
        <f>IF(offer_sale_type="транзит",IFERROR(VLOOKUP($B1916,calc_data,G$14+1,0),0),0)</f>
        <v/>
      </c>
      <c r="H1916" s="141">
        <f>E1916*G1916</f>
        <v/>
      </c>
      <c r="I1916" s="141">
        <f>IF(offer_sale_type="транзит",IFERROR(ROUND(VLOOKUP($B1916,calc_data,I$14+1,0),2),0),0)</f>
        <v/>
      </c>
      <c r="J1916" s="141">
        <f>ROUND(IF(offer_sale_type="транзит",IFERROR(VLOOKUP($B1916,calc_data,J$14+1,0),0),0),2)</f>
        <v/>
      </c>
      <c r="K1916" s="142">
        <f>IF(offer_sale_type="транзит",IFERROR(ROUNDUP(VLOOKUP($B1916,calc_data,K$14+1,0),2),0),0)</f>
        <v/>
      </c>
      <c r="L1916" s="184">
        <f>IF(offer_sale_type="транзит",IFERROR(ROUNDUP(VLOOKUP($B1916,calc_data,L$14+1,0),2),0),0)</f>
        <v/>
      </c>
      <c r="M1916" s="141">
        <f>IF(offer_sale_type="транзит",IFERROR(ROUNDUP(VLOOKUP($B1916,calc_data,M$14+1,0),2),0),0)</f>
        <v/>
      </c>
      <c r="N1916" s="141">
        <f>IF(offer_sale_type="транзит",IFERROR(ROUNDUP(VLOOKUP($B1916,calc_data,N$14+1,0),2),0),0)</f>
        <v/>
      </c>
      <c r="O1916" s="147">
        <f>IF(offer_sale_type="транзит",IFERROR(ROUND(VLOOKUP($B1916,calc_data,O$14+1,1),2),0),0)</f>
        <v/>
      </c>
      <c r="P1916" s="141">
        <f>IF(offer_sale_type="транзит",IFERROR(ROUND(SUM(I1916:J1916,M1916:O1916)/E1916,2),0),0)</f>
        <v/>
      </c>
      <c r="Q1916" s="141">
        <f>E1916*P1916</f>
        <v/>
      </c>
      <c r="R1916" s="141">
        <f>ROUND(Q1916*IF(AND(offer_incoterms="DDP",seller_region="RU"),IF((TODAY()+offer_turnaround_time)&gt;=helpsheet!$L$17,rate_vatRU_from_26,rate_vatRu_till_25),0),2)</f>
        <v/>
      </c>
      <c r="S1916" s="177">
        <f>Q1916+IF(AND(offer_incoterms="DDP",seller_region="RU"),R1916,0)</f>
        <v/>
      </c>
      <c r="T1916" s="45" t="n"/>
      <c r="V1916" s="57">
        <f>IF(Q1916&gt;0,"показать","скрыть")</f>
        <v/>
      </c>
    </row>
    <row r="1917" ht="15.75" customHeight="1">
      <c r="B1917" s="809" t="n">
        <v>1901</v>
      </c>
      <c r="C1917" s="182">
        <f>IF(offer_sale_type="транзит",IFERROR(VLOOKUP($B1917,calc_data,C$14+1,0),0),0)</f>
        <v/>
      </c>
      <c r="D1917" s="280">
        <f>IF(offer_sale_type="транзит",IFERROR(VLOOKUP($B1917,calc_data,D$14+1,0),0),0)</f>
        <v/>
      </c>
      <c r="E1917" s="182">
        <f>IF(offer_sale_type="транзит",IFERROR(VLOOKUP($B1917,calc_data,E$14+1,0),0),0)</f>
        <v/>
      </c>
      <c r="F1917" s="182">
        <f>IF(offer_sale_type="транзит",IFERROR(VLOOKUP($B1917,calc_data,F$14+1,0),0),0)</f>
        <v/>
      </c>
      <c r="G1917" s="141">
        <f>IF(offer_sale_type="транзит",IFERROR(VLOOKUP($B1917,calc_data,G$14+1,0),0),0)</f>
        <v/>
      </c>
      <c r="H1917" s="141">
        <f>E1917*G1917</f>
        <v/>
      </c>
      <c r="I1917" s="141">
        <f>IF(offer_sale_type="транзит",IFERROR(ROUND(VLOOKUP($B1917,calc_data,I$14+1,0),2),0),0)</f>
        <v/>
      </c>
      <c r="J1917" s="141">
        <f>ROUND(IF(offer_sale_type="транзит",IFERROR(VLOOKUP($B1917,calc_data,J$14+1,0),0),0),2)</f>
        <v/>
      </c>
      <c r="K1917" s="142">
        <f>IF(offer_sale_type="транзит",IFERROR(ROUNDUP(VLOOKUP($B1917,calc_data,K$14+1,0),2),0),0)</f>
        <v/>
      </c>
      <c r="L1917" s="184">
        <f>IF(offer_sale_type="транзит",IFERROR(ROUNDUP(VLOOKUP($B1917,calc_data,L$14+1,0),2),0),0)</f>
        <v/>
      </c>
      <c r="M1917" s="141">
        <f>IF(offer_sale_type="транзит",IFERROR(ROUNDUP(VLOOKUP($B1917,calc_data,M$14+1,0),2),0),0)</f>
        <v/>
      </c>
      <c r="N1917" s="141">
        <f>IF(offer_sale_type="транзит",IFERROR(ROUNDUP(VLOOKUP($B1917,calc_data,N$14+1,0),2),0),0)</f>
        <v/>
      </c>
      <c r="O1917" s="147">
        <f>IF(offer_sale_type="транзит",IFERROR(ROUND(VLOOKUP($B1917,calc_data,O$14+1,1),2),0),0)</f>
        <v/>
      </c>
      <c r="P1917" s="141">
        <f>IF(offer_sale_type="транзит",IFERROR(ROUND(SUM(I1917:J1917,M1917:O1917)/E1917,2),0),0)</f>
        <v/>
      </c>
      <c r="Q1917" s="141">
        <f>E1917*P1917</f>
        <v/>
      </c>
      <c r="R1917" s="141">
        <f>ROUND(Q1917*IF(AND(offer_incoterms="DDP",seller_region="RU"),IF((TODAY()+offer_turnaround_time)&gt;=helpsheet!$L$17,rate_vatRU_from_26,rate_vatRu_till_25),0),2)</f>
        <v/>
      </c>
      <c r="S1917" s="177">
        <f>Q1917+IF(AND(offer_incoterms="DDP",seller_region="RU"),R1917,0)</f>
        <v/>
      </c>
      <c r="T1917" s="45" t="n"/>
      <c r="V1917" s="57">
        <f>IF(Q1917&gt;0,"показать","скрыть")</f>
        <v/>
      </c>
    </row>
    <row r="1918" ht="15.75" customHeight="1">
      <c r="B1918" s="809" t="n">
        <v>1902</v>
      </c>
      <c r="C1918" s="182">
        <f>IF(offer_sale_type="транзит",IFERROR(VLOOKUP($B1918,calc_data,C$14+1,0),0),0)</f>
        <v/>
      </c>
      <c r="D1918" s="280">
        <f>IF(offer_sale_type="транзит",IFERROR(VLOOKUP($B1918,calc_data,D$14+1,0),0),0)</f>
        <v/>
      </c>
      <c r="E1918" s="182">
        <f>IF(offer_sale_type="транзит",IFERROR(VLOOKUP($B1918,calc_data,E$14+1,0),0),0)</f>
        <v/>
      </c>
      <c r="F1918" s="182">
        <f>IF(offer_sale_type="транзит",IFERROR(VLOOKUP($B1918,calc_data,F$14+1,0),0),0)</f>
        <v/>
      </c>
      <c r="G1918" s="141">
        <f>IF(offer_sale_type="транзит",IFERROR(VLOOKUP($B1918,calc_data,G$14+1,0),0),0)</f>
        <v/>
      </c>
      <c r="H1918" s="141">
        <f>E1918*G1918</f>
        <v/>
      </c>
      <c r="I1918" s="141">
        <f>IF(offer_sale_type="транзит",IFERROR(ROUND(VLOOKUP($B1918,calc_data,I$14+1,0),2),0),0)</f>
        <v/>
      </c>
      <c r="J1918" s="141">
        <f>ROUND(IF(offer_sale_type="транзит",IFERROR(VLOOKUP($B1918,calc_data,J$14+1,0),0),0),2)</f>
        <v/>
      </c>
      <c r="K1918" s="142">
        <f>IF(offer_sale_type="транзит",IFERROR(ROUNDUP(VLOOKUP($B1918,calc_data,K$14+1,0),2),0),0)</f>
        <v/>
      </c>
      <c r="L1918" s="184">
        <f>IF(offer_sale_type="транзит",IFERROR(ROUNDUP(VLOOKUP($B1918,calc_data,L$14+1,0),2),0),0)</f>
        <v/>
      </c>
      <c r="M1918" s="141">
        <f>IF(offer_sale_type="транзит",IFERROR(ROUNDUP(VLOOKUP($B1918,calc_data,M$14+1,0),2),0),0)</f>
        <v/>
      </c>
      <c r="N1918" s="141">
        <f>IF(offer_sale_type="транзит",IFERROR(ROUNDUP(VLOOKUP($B1918,calc_data,N$14+1,0),2),0),0)</f>
        <v/>
      </c>
      <c r="O1918" s="147">
        <f>IF(offer_sale_type="транзит",IFERROR(ROUND(VLOOKUP($B1918,calc_data,O$14+1,1),2),0),0)</f>
        <v/>
      </c>
      <c r="P1918" s="141">
        <f>IF(offer_sale_type="транзит",IFERROR(ROUND(SUM(I1918:J1918,M1918:O1918)/E1918,2),0),0)</f>
        <v/>
      </c>
      <c r="Q1918" s="141">
        <f>E1918*P1918</f>
        <v/>
      </c>
      <c r="R1918" s="141">
        <f>ROUND(Q1918*IF(AND(offer_incoterms="DDP",seller_region="RU"),IF((TODAY()+offer_turnaround_time)&gt;=helpsheet!$L$17,rate_vatRU_from_26,rate_vatRu_till_25),0),2)</f>
        <v/>
      </c>
      <c r="S1918" s="177">
        <f>Q1918+IF(AND(offer_incoterms="DDP",seller_region="RU"),R1918,0)</f>
        <v/>
      </c>
      <c r="T1918" s="45" t="n"/>
      <c r="V1918" s="57">
        <f>IF(Q1918&gt;0,"показать","скрыть")</f>
        <v/>
      </c>
    </row>
    <row r="1919" ht="15.75" customHeight="1">
      <c r="B1919" s="809" t="n">
        <v>1903</v>
      </c>
      <c r="C1919" s="182">
        <f>IF(offer_sale_type="транзит",IFERROR(VLOOKUP($B1919,calc_data,C$14+1,0),0),0)</f>
        <v/>
      </c>
      <c r="D1919" s="280">
        <f>IF(offer_sale_type="транзит",IFERROR(VLOOKUP($B1919,calc_data,D$14+1,0),0),0)</f>
        <v/>
      </c>
      <c r="E1919" s="182">
        <f>IF(offer_sale_type="транзит",IFERROR(VLOOKUP($B1919,calc_data,E$14+1,0),0),0)</f>
        <v/>
      </c>
      <c r="F1919" s="182">
        <f>IF(offer_sale_type="транзит",IFERROR(VLOOKUP($B1919,calc_data,F$14+1,0),0),0)</f>
        <v/>
      </c>
      <c r="G1919" s="141">
        <f>IF(offer_sale_type="транзит",IFERROR(VLOOKUP($B1919,calc_data,G$14+1,0),0),0)</f>
        <v/>
      </c>
      <c r="H1919" s="141">
        <f>E1919*G1919</f>
        <v/>
      </c>
      <c r="I1919" s="141">
        <f>IF(offer_sale_type="транзит",IFERROR(ROUND(VLOOKUP($B1919,calc_data,I$14+1,0),2),0),0)</f>
        <v/>
      </c>
      <c r="J1919" s="141">
        <f>ROUND(IF(offer_sale_type="транзит",IFERROR(VLOOKUP($B1919,calc_data,J$14+1,0),0),0),2)</f>
        <v/>
      </c>
      <c r="K1919" s="142">
        <f>IF(offer_sale_type="транзит",IFERROR(ROUNDUP(VLOOKUP($B1919,calc_data,K$14+1,0),2),0),0)</f>
        <v/>
      </c>
      <c r="L1919" s="184">
        <f>IF(offer_sale_type="транзит",IFERROR(ROUNDUP(VLOOKUP($B1919,calc_data,L$14+1,0),2),0),0)</f>
        <v/>
      </c>
      <c r="M1919" s="141">
        <f>IF(offer_sale_type="транзит",IFERROR(ROUNDUP(VLOOKUP($B1919,calc_data,M$14+1,0),2),0),0)</f>
        <v/>
      </c>
      <c r="N1919" s="141">
        <f>IF(offer_sale_type="транзит",IFERROR(ROUNDUP(VLOOKUP($B1919,calc_data,N$14+1,0),2),0),0)</f>
        <v/>
      </c>
      <c r="O1919" s="147">
        <f>IF(offer_sale_type="транзит",IFERROR(ROUND(VLOOKUP($B1919,calc_data,O$14+1,1),2),0),0)</f>
        <v/>
      </c>
      <c r="P1919" s="141">
        <f>IF(offer_sale_type="транзит",IFERROR(ROUND(SUM(I1919:J1919,M1919:O1919)/E1919,2),0),0)</f>
        <v/>
      </c>
      <c r="Q1919" s="141">
        <f>E1919*P1919</f>
        <v/>
      </c>
      <c r="R1919" s="141">
        <f>ROUND(Q1919*IF(AND(offer_incoterms="DDP",seller_region="RU"),IF((TODAY()+offer_turnaround_time)&gt;=helpsheet!$L$17,rate_vatRU_from_26,rate_vatRu_till_25),0),2)</f>
        <v/>
      </c>
      <c r="S1919" s="177">
        <f>Q1919+IF(AND(offer_incoterms="DDP",seller_region="RU"),R1919,0)</f>
        <v/>
      </c>
      <c r="T1919" s="45" t="n"/>
      <c r="V1919" s="57">
        <f>IF(Q1919&gt;0,"показать","скрыть")</f>
        <v/>
      </c>
    </row>
    <row r="1920" ht="15.75" customHeight="1">
      <c r="B1920" s="809" t="n">
        <v>1904</v>
      </c>
      <c r="C1920" s="182">
        <f>IF(offer_sale_type="транзит",IFERROR(VLOOKUP($B1920,calc_data,C$14+1,0),0),0)</f>
        <v/>
      </c>
      <c r="D1920" s="280">
        <f>IF(offer_sale_type="транзит",IFERROR(VLOOKUP($B1920,calc_data,D$14+1,0),0),0)</f>
        <v/>
      </c>
      <c r="E1920" s="182">
        <f>IF(offer_sale_type="транзит",IFERROR(VLOOKUP($B1920,calc_data,E$14+1,0),0),0)</f>
        <v/>
      </c>
      <c r="F1920" s="182">
        <f>IF(offer_sale_type="транзит",IFERROR(VLOOKUP($B1920,calc_data,F$14+1,0),0),0)</f>
        <v/>
      </c>
      <c r="G1920" s="141">
        <f>IF(offer_sale_type="транзит",IFERROR(VLOOKUP($B1920,calc_data,G$14+1,0),0),0)</f>
        <v/>
      </c>
      <c r="H1920" s="141">
        <f>E1920*G1920</f>
        <v/>
      </c>
      <c r="I1920" s="141">
        <f>IF(offer_sale_type="транзит",IFERROR(ROUND(VLOOKUP($B1920,calc_data,I$14+1,0),2),0),0)</f>
        <v/>
      </c>
      <c r="J1920" s="141">
        <f>ROUND(IF(offer_sale_type="транзит",IFERROR(VLOOKUP($B1920,calc_data,J$14+1,0),0),0),2)</f>
        <v/>
      </c>
      <c r="K1920" s="142">
        <f>IF(offer_sale_type="транзит",IFERROR(ROUNDUP(VLOOKUP($B1920,calc_data,K$14+1,0),2),0),0)</f>
        <v/>
      </c>
      <c r="L1920" s="184">
        <f>IF(offer_sale_type="транзит",IFERROR(ROUNDUP(VLOOKUP($B1920,calc_data,L$14+1,0),2),0),0)</f>
        <v/>
      </c>
      <c r="M1920" s="141">
        <f>IF(offer_sale_type="транзит",IFERROR(ROUNDUP(VLOOKUP($B1920,calc_data,M$14+1,0),2),0),0)</f>
        <v/>
      </c>
      <c r="N1920" s="141">
        <f>IF(offer_sale_type="транзит",IFERROR(ROUNDUP(VLOOKUP($B1920,calc_data,N$14+1,0),2),0),0)</f>
        <v/>
      </c>
      <c r="O1920" s="147">
        <f>IF(offer_sale_type="транзит",IFERROR(ROUND(VLOOKUP($B1920,calc_data,O$14+1,1),2),0),0)</f>
        <v/>
      </c>
      <c r="P1920" s="141">
        <f>IF(offer_sale_type="транзит",IFERROR(ROUND(SUM(I1920:J1920,M1920:O1920)/E1920,2),0),0)</f>
        <v/>
      </c>
      <c r="Q1920" s="141">
        <f>E1920*P1920</f>
        <v/>
      </c>
      <c r="R1920" s="141">
        <f>ROUND(Q1920*IF(AND(offer_incoterms="DDP",seller_region="RU"),IF((TODAY()+offer_turnaround_time)&gt;=helpsheet!$L$17,rate_vatRU_from_26,rate_vatRu_till_25),0),2)</f>
        <v/>
      </c>
      <c r="S1920" s="177">
        <f>Q1920+IF(AND(offer_incoterms="DDP",seller_region="RU"),R1920,0)</f>
        <v/>
      </c>
      <c r="T1920" s="45" t="n"/>
      <c r="V1920" s="57">
        <f>IF(Q1920&gt;0,"показать","скрыть")</f>
        <v/>
      </c>
    </row>
    <row r="1921" ht="15.75" customHeight="1">
      <c r="B1921" s="809" t="n">
        <v>1905</v>
      </c>
      <c r="C1921" s="182">
        <f>IF(offer_sale_type="транзит",IFERROR(VLOOKUP($B1921,calc_data,C$14+1,0),0),0)</f>
        <v/>
      </c>
      <c r="D1921" s="280">
        <f>IF(offer_sale_type="транзит",IFERROR(VLOOKUP($B1921,calc_data,D$14+1,0),0),0)</f>
        <v/>
      </c>
      <c r="E1921" s="182">
        <f>IF(offer_sale_type="транзит",IFERROR(VLOOKUP($B1921,calc_data,E$14+1,0),0),0)</f>
        <v/>
      </c>
      <c r="F1921" s="182">
        <f>IF(offer_sale_type="транзит",IFERROR(VLOOKUP($B1921,calc_data,F$14+1,0),0),0)</f>
        <v/>
      </c>
      <c r="G1921" s="141">
        <f>IF(offer_sale_type="транзит",IFERROR(VLOOKUP($B1921,calc_data,G$14+1,0),0),0)</f>
        <v/>
      </c>
      <c r="H1921" s="141">
        <f>E1921*G1921</f>
        <v/>
      </c>
      <c r="I1921" s="141">
        <f>IF(offer_sale_type="транзит",IFERROR(ROUND(VLOOKUP($B1921,calc_data,I$14+1,0),2),0),0)</f>
        <v/>
      </c>
      <c r="J1921" s="141">
        <f>ROUND(IF(offer_sale_type="транзит",IFERROR(VLOOKUP($B1921,calc_data,J$14+1,0),0),0),2)</f>
        <v/>
      </c>
      <c r="K1921" s="142">
        <f>IF(offer_sale_type="транзит",IFERROR(ROUNDUP(VLOOKUP($B1921,calc_data,K$14+1,0),2),0),0)</f>
        <v/>
      </c>
      <c r="L1921" s="184">
        <f>IF(offer_sale_type="транзит",IFERROR(ROUNDUP(VLOOKUP($B1921,calc_data,L$14+1,0),2),0),0)</f>
        <v/>
      </c>
      <c r="M1921" s="141">
        <f>IF(offer_sale_type="транзит",IFERROR(ROUNDUP(VLOOKUP($B1921,calc_data,M$14+1,0),2),0),0)</f>
        <v/>
      </c>
      <c r="N1921" s="141">
        <f>IF(offer_sale_type="транзит",IFERROR(ROUNDUP(VLOOKUP($B1921,calc_data,N$14+1,0),2),0),0)</f>
        <v/>
      </c>
      <c r="O1921" s="147">
        <f>IF(offer_sale_type="транзит",IFERROR(ROUND(VLOOKUP($B1921,calc_data,O$14+1,1),2),0),0)</f>
        <v/>
      </c>
      <c r="P1921" s="141">
        <f>IF(offer_sale_type="транзит",IFERROR(ROUND(SUM(I1921:J1921,M1921:O1921)/E1921,2),0),0)</f>
        <v/>
      </c>
      <c r="Q1921" s="141">
        <f>E1921*P1921</f>
        <v/>
      </c>
      <c r="R1921" s="141">
        <f>ROUND(Q1921*IF(AND(offer_incoterms="DDP",seller_region="RU"),IF((TODAY()+offer_turnaround_time)&gt;=helpsheet!$L$17,rate_vatRU_from_26,rate_vatRu_till_25),0),2)</f>
        <v/>
      </c>
      <c r="S1921" s="177">
        <f>Q1921+IF(AND(offer_incoterms="DDP",seller_region="RU"),R1921,0)</f>
        <v/>
      </c>
      <c r="T1921" s="45" t="n"/>
      <c r="V1921" s="57">
        <f>IF(Q1921&gt;0,"показать","скрыть")</f>
        <v/>
      </c>
    </row>
    <row r="1922" ht="15.75" customHeight="1">
      <c r="B1922" s="809" t="n">
        <v>1906</v>
      </c>
      <c r="C1922" s="182">
        <f>IF(offer_sale_type="транзит",IFERROR(VLOOKUP($B1922,calc_data,C$14+1,0),0),0)</f>
        <v/>
      </c>
      <c r="D1922" s="280">
        <f>IF(offer_sale_type="транзит",IFERROR(VLOOKUP($B1922,calc_data,D$14+1,0),0),0)</f>
        <v/>
      </c>
      <c r="E1922" s="182">
        <f>IF(offer_sale_type="транзит",IFERROR(VLOOKUP($B1922,calc_data,E$14+1,0),0),0)</f>
        <v/>
      </c>
      <c r="F1922" s="182">
        <f>IF(offer_sale_type="транзит",IFERROR(VLOOKUP($B1922,calc_data,F$14+1,0),0),0)</f>
        <v/>
      </c>
      <c r="G1922" s="141">
        <f>IF(offer_sale_type="транзит",IFERROR(VLOOKUP($B1922,calc_data,G$14+1,0),0),0)</f>
        <v/>
      </c>
      <c r="H1922" s="141">
        <f>E1922*G1922</f>
        <v/>
      </c>
      <c r="I1922" s="141">
        <f>IF(offer_sale_type="транзит",IFERROR(ROUND(VLOOKUP($B1922,calc_data,I$14+1,0),2),0),0)</f>
        <v/>
      </c>
      <c r="J1922" s="141">
        <f>ROUND(IF(offer_sale_type="транзит",IFERROR(VLOOKUP($B1922,calc_data,J$14+1,0),0),0),2)</f>
        <v/>
      </c>
      <c r="K1922" s="142">
        <f>IF(offer_sale_type="транзит",IFERROR(ROUNDUP(VLOOKUP($B1922,calc_data,K$14+1,0),2),0),0)</f>
        <v/>
      </c>
      <c r="L1922" s="184">
        <f>IF(offer_sale_type="транзит",IFERROR(ROUNDUP(VLOOKUP($B1922,calc_data,L$14+1,0),2),0),0)</f>
        <v/>
      </c>
      <c r="M1922" s="141">
        <f>IF(offer_sale_type="транзит",IFERROR(ROUNDUP(VLOOKUP($B1922,calc_data,M$14+1,0),2),0),0)</f>
        <v/>
      </c>
      <c r="N1922" s="141">
        <f>IF(offer_sale_type="транзит",IFERROR(ROUNDUP(VLOOKUP($B1922,calc_data,N$14+1,0),2),0),0)</f>
        <v/>
      </c>
      <c r="O1922" s="147">
        <f>IF(offer_sale_type="транзит",IFERROR(ROUND(VLOOKUP($B1922,calc_data,O$14+1,1),2),0),0)</f>
        <v/>
      </c>
      <c r="P1922" s="141">
        <f>IF(offer_sale_type="транзит",IFERROR(ROUND(SUM(I1922:J1922,M1922:O1922)/E1922,2),0),0)</f>
        <v/>
      </c>
      <c r="Q1922" s="141">
        <f>E1922*P1922</f>
        <v/>
      </c>
      <c r="R1922" s="141">
        <f>ROUND(Q1922*IF(AND(offer_incoterms="DDP",seller_region="RU"),IF((TODAY()+offer_turnaround_time)&gt;=helpsheet!$L$17,rate_vatRU_from_26,rate_vatRu_till_25),0),2)</f>
        <v/>
      </c>
      <c r="S1922" s="177">
        <f>Q1922+IF(AND(offer_incoterms="DDP",seller_region="RU"),R1922,0)</f>
        <v/>
      </c>
      <c r="T1922" s="45" t="n"/>
      <c r="V1922" s="57">
        <f>IF(Q1922&gt;0,"показать","скрыть")</f>
        <v/>
      </c>
    </row>
    <row r="1923" ht="15.75" customHeight="1">
      <c r="B1923" s="809" t="n">
        <v>1907</v>
      </c>
      <c r="C1923" s="182">
        <f>IF(offer_sale_type="транзит",IFERROR(VLOOKUP($B1923,calc_data,C$14+1,0),0),0)</f>
        <v/>
      </c>
      <c r="D1923" s="280">
        <f>IF(offer_sale_type="транзит",IFERROR(VLOOKUP($B1923,calc_data,D$14+1,0),0),0)</f>
        <v/>
      </c>
      <c r="E1923" s="182">
        <f>IF(offer_sale_type="транзит",IFERROR(VLOOKUP($B1923,calc_data,E$14+1,0),0),0)</f>
        <v/>
      </c>
      <c r="F1923" s="182">
        <f>IF(offer_sale_type="транзит",IFERROR(VLOOKUP($B1923,calc_data,F$14+1,0),0),0)</f>
        <v/>
      </c>
      <c r="G1923" s="141">
        <f>IF(offer_sale_type="транзит",IFERROR(VLOOKUP($B1923,calc_data,G$14+1,0),0),0)</f>
        <v/>
      </c>
      <c r="H1923" s="141">
        <f>E1923*G1923</f>
        <v/>
      </c>
      <c r="I1923" s="141">
        <f>IF(offer_sale_type="транзит",IFERROR(ROUND(VLOOKUP($B1923,calc_data,I$14+1,0),2),0),0)</f>
        <v/>
      </c>
      <c r="J1923" s="141">
        <f>ROUND(IF(offer_sale_type="транзит",IFERROR(VLOOKUP($B1923,calc_data,J$14+1,0),0),0),2)</f>
        <v/>
      </c>
      <c r="K1923" s="142">
        <f>IF(offer_sale_type="транзит",IFERROR(ROUNDUP(VLOOKUP($B1923,calc_data,K$14+1,0),2),0),0)</f>
        <v/>
      </c>
      <c r="L1923" s="184">
        <f>IF(offer_sale_type="транзит",IFERROR(ROUNDUP(VLOOKUP($B1923,calc_data,L$14+1,0),2),0),0)</f>
        <v/>
      </c>
      <c r="M1923" s="141">
        <f>IF(offer_sale_type="транзит",IFERROR(ROUNDUP(VLOOKUP($B1923,calc_data,M$14+1,0),2),0),0)</f>
        <v/>
      </c>
      <c r="N1923" s="141">
        <f>IF(offer_sale_type="транзит",IFERROR(ROUNDUP(VLOOKUP($B1923,calc_data,N$14+1,0),2),0),0)</f>
        <v/>
      </c>
      <c r="O1923" s="147">
        <f>IF(offer_sale_type="транзит",IFERROR(ROUND(VLOOKUP($B1923,calc_data,O$14+1,1),2),0),0)</f>
        <v/>
      </c>
      <c r="P1923" s="141">
        <f>IF(offer_sale_type="транзит",IFERROR(ROUND(SUM(I1923:J1923,M1923:O1923)/E1923,2),0),0)</f>
        <v/>
      </c>
      <c r="Q1923" s="141">
        <f>E1923*P1923</f>
        <v/>
      </c>
      <c r="R1923" s="141">
        <f>ROUND(Q1923*IF(AND(offer_incoterms="DDP",seller_region="RU"),IF((TODAY()+offer_turnaround_time)&gt;=helpsheet!$L$17,rate_vatRU_from_26,rate_vatRu_till_25),0),2)</f>
        <v/>
      </c>
      <c r="S1923" s="177">
        <f>Q1923+IF(AND(offer_incoterms="DDP",seller_region="RU"),R1923,0)</f>
        <v/>
      </c>
      <c r="T1923" s="45" t="n"/>
      <c r="V1923" s="57">
        <f>IF(Q1923&gt;0,"показать","скрыть")</f>
        <v/>
      </c>
    </row>
    <row r="1924" ht="15.75" customHeight="1">
      <c r="B1924" s="809" t="n">
        <v>1908</v>
      </c>
      <c r="C1924" s="182">
        <f>IF(offer_sale_type="транзит",IFERROR(VLOOKUP($B1924,calc_data,C$14+1,0),0),0)</f>
        <v/>
      </c>
      <c r="D1924" s="280">
        <f>IF(offer_sale_type="транзит",IFERROR(VLOOKUP($B1924,calc_data,D$14+1,0),0),0)</f>
        <v/>
      </c>
      <c r="E1924" s="182">
        <f>IF(offer_sale_type="транзит",IFERROR(VLOOKUP($B1924,calc_data,E$14+1,0),0),0)</f>
        <v/>
      </c>
      <c r="F1924" s="182">
        <f>IF(offer_sale_type="транзит",IFERROR(VLOOKUP($B1924,calc_data,F$14+1,0),0),0)</f>
        <v/>
      </c>
      <c r="G1924" s="141">
        <f>IF(offer_sale_type="транзит",IFERROR(VLOOKUP($B1924,calc_data,G$14+1,0),0),0)</f>
        <v/>
      </c>
      <c r="H1924" s="141">
        <f>E1924*G1924</f>
        <v/>
      </c>
      <c r="I1924" s="141">
        <f>IF(offer_sale_type="транзит",IFERROR(ROUND(VLOOKUP($B1924,calc_data,I$14+1,0),2),0),0)</f>
        <v/>
      </c>
      <c r="J1924" s="141">
        <f>ROUND(IF(offer_sale_type="транзит",IFERROR(VLOOKUP($B1924,calc_data,J$14+1,0),0),0),2)</f>
        <v/>
      </c>
      <c r="K1924" s="142">
        <f>IF(offer_sale_type="транзит",IFERROR(ROUNDUP(VLOOKUP($B1924,calc_data,K$14+1,0),2),0),0)</f>
        <v/>
      </c>
      <c r="L1924" s="184">
        <f>IF(offer_sale_type="транзит",IFERROR(ROUNDUP(VLOOKUP($B1924,calc_data,L$14+1,0),2),0),0)</f>
        <v/>
      </c>
      <c r="M1924" s="141">
        <f>IF(offer_sale_type="транзит",IFERROR(ROUNDUP(VLOOKUP($B1924,calc_data,M$14+1,0),2),0),0)</f>
        <v/>
      </c>
      <c r="N1924" s="141">
        <f>IF(offer_sale_type="транзит",IFERROR(ROUNDUP(VLOOKUP($B1924,calc_data,N$14+1,0),2),0),0)</f>
        <v/>
      </c>
      <c r="O1924" s="147">
        <f>IF(offer_sale_type="транзит",IFERROR(ROUND(VLOOKUP($B1924,calc_data,O$14+1,1),2),0),0)</f>
        <v/>
      </c>
      <c r="P1924" s="141">
        <f>IF(offer_sale_type="транзит",IFERROR(ROUND(SUM(I1924:J1924,M1924:O1924)/E1924,2),0),0)</f>
        <v/>
      </c>
      <c r="Q1924" s="141">
        <f>E1924*P1924</f>
        <v/>
      </c>
      <c r="R1924" s="141">
        <f>ROUND(Q1924*IF(AND(offer_incoterms="DDP",seller_region="RU"),IF((TODAY()+offer_turnaround_time)&gt;=helpsheet!$L$17,rate_vatRU_from_26,rate_vatRu_till_25),0),2)</f>
        <v/>
      </c>
      <c r="S1924" s="177">
        <f>Q1924+IF(AND(offer_incoterms="DDP",seller_region="RU"),R1924,0)</f>
        <v/>
      </c>
      <c r="T1924" s="45" t="n"/>
      <c r="V1924" s="57">
        <f>IF(Q1924&gt;0,"показать","скрыть")</f>
        <v/>
      </c>
    </row>
    <row r="1925" ht="15.75" customHeight="1">
      <c r="B1925" s="809" t="n">
        <v>1909</v>
      </c>
      <c r="C1925" s="182">
        <f>IF(offer_sale_type="транзит",IFERROR(VLOOKUP($B1925,calc_data,C$14+1,0),0),0)</f>
        <v/>
      </c>
      <c r="D1925" s="280">
        <f>IF(offer_sale_type="транзит",IFERROR(VLOOKUP($B1925,calc_data,D$14+1,0),0),0)</f>
        <v/>
      </c>
      <c r="E1925" s="182">
        <f>IF(offer_sale_type="транзит",IFERROR(VLOOKUP($B1925,calc_data,E$14+1,0),0),0)</f>
        <v/>
      </c>
      <c r="F1925" s="182">
        <f>IF(offer_sale_type="транзит",IFERROR(VLOOKUP($B1925,calc_data,F$14+1,0),0),0)</f>
        <v/>
      </c>
      <c r="G1925" s="141">
        <f>IF(offer_sale_type="транзит",IFERROR(VLOOKUP($B1925,calc_data,G$14+1,0),0),0)</f>
        <v/>
      </c>
      <c r="H1925" s="141">
        <f>E1925*G1925</f>
        <v/>
      </c>
      <c r="I1925" s="141">
        <f>IF(offer_sale_type="транзит",IFERROR(ROUND(VLOOKUP($B1925,calc_data,I$14+1,0),2),0),0)</f>
        <v/>
      </c>
      <c r="J1925" s="141">
        <f>ROUND(IF(offer_sale_type="транзит",IFERROR(VLOOKUP($B1925,calc_data,J$14+1,0),0),0),2)</f>
        <v/>
      </c>
      <c r="K1925" s="142">
        <f>IF(offer_sale_type="транзит",IFERROR(ROUNDUP(VLOOKUP($B1925,calc_data,K$14+1,0),2),0),0)</f>
        <v/>
      </c>
      <c r="L1925" s="184">
        <f>IF(offer_sale_type="транзит",IFERROR(ROUNDUP(VLOOKUP($B1925,calc_data,L$14+1,0),2),0),0)</f>
        <v/>
      </c>
      <c r="M1925" s="141">
        <f>IF(offer_sale_type="транзит",IFERROR(ROUNDUP(VLOOKUP($B1925,calc_data,M$14+1,0),2),0),0)</f>
        <v/>
      </c>
      <c r="N1925" s="141">
        <f>IF(offer_sale_type="транзит",IFERROR(ROUNDUP(VLOOKUP($B1925,calc_data,N$14+1,0),2),0),0)</f>
        <v/>
      </c>
      <c r="O1925" s="147">
        <f>IF(offer_sale_type="транзит",IFERROR(ROUND(VLOOKUP($B1925,calc_data,O$14+1,1),2),0),0)</f>
        <v/>
      </c>
      <c r="P1925" s="141">
        <f>IF(offer_sale_type="транзит",IFERROR(ROUND(SUM(I1925:J1925,M1925:O1925)/E1925,2),0),0)</f>
        <v/>
      </c>
      <c r="Q1925" s="141">
        <f>E1925*P1925</f>
        <v/>
      </c>
      <c r="R1925" s="141">
        <f>ROUND(Q1925*IF(AND(offer_incoterms="DDP",seller_region="RU"),IF((TODAY()+offer_turnaround_time)&gt;=helpsheet!$L$17,rate_vatRU_from_26,rate_vatRu_till_25),0),2)</f>
        <v/>
      </c>
      <c r="S1925" s="177">
        <f>Q1925+IF(AND(offer_incoterms="DDP",seller_region="RU"),R1925,0)</f>
        <v/>
      </c>
      <c r="T1925" s="45" t="n"/>
      <c r="V1925" s="57">
        <f>IF(Q1925&gt;0,"показать","скрыть")</f>
        <v/>
      </c>
    </row>
    <row r="1926" ht="15.75" customHeight="1">
      <c r="B1926" s="809" t="n">
        <v>1910</v>
      </c>
      <c r="C1926" s="182">
        <f>IF(offer_sale_type="транзит",IFERROR(VLOOKUP($B1926,calc_data,C$14+1,0),0),0)</f>
        <v/>
      </c>
      <c r="D1926" s="280">
        <f>IF(offer_sale_type="транзит",IFERROR(VLOOKUP($B1926,calc_data,D$14+1,0),0),0)</f>
        <v/>
      </c>
      <c r="E1926" s="182">
        <f>IF(offer_sale_type="транзит",IFERROR(VLOOKUP($B1926,calc_data,E$14+1,0),0),0)</f>
        <v/>
      </c>
      <c r="F1926" s="182">
        <f>IF(offer_sale_type="транзит",IFERROR(VLOOKUP($B1926,calc_data,F$14+1,0),0),0)</f>
        <v/>
      </c>
      <c r="G1926" s="141">
        <f>IF(offer_sale_type="транзит",IFERROR(VLOOKUP($B1926,calc_data,G$14+1,0),0),0)</f>
        <v/>
      </c>
      <c r="H1926" s="141">
        <f>E1926*G1926</f>
        <v/>
      </c>
      <c r="I1926" s="141">
        <f>IF(offer_sale_type="транзит",IFERROR(ROUND(VLOOKUP($B1926,calc_data,I$14+1,0),2),0),0)</f>
        <v/>
      </c>
      <c r="J1926" s="141">
        <f>ROUND(IF(offer_sale_type="транзит",IFERROR(VLOOKUP($B1926,calc_data,J$14+1,0),0),0),2)</f>
        <v/>
      </c>
      <c r="K1926" s="142">
        <f>IF(offer_sale_type="транзит",IFERROR(ROUNDUP(VLOOKUP($B1926,calc_data,K$14+1,0),2),0),0)</f>
        <v/>
      </c>
      <c r="L1926" s="184">
        <f>IF(offer_sale_type="транзит",IFERROR(ROUNDUP(VLOOKUP($B1926,calc_data,L$14+1,0),2),0),0)</f>
        <v/>
      </c>
      <c r="M1926" s="141">
        <f>IF(offer_sale_type="транзит",IFERROR(ROUNDUP(VLOOKUP($B1926,calc_data,M$14+1,0),2),0),0)</f>
        <v/>
      </c>
      <c r="N1926" s="141">
        <f>IF(offer_sale_type="транзит",IFERROR(ROUNDUP(VLOOKUP($B1926,calc_data,N$14+1,0),2),0),0)</f>
        <v/>
      </c>
      <c r="O1926" s="147">
        <f>IF(offer_sale_type="транзит",IFERROR(ROUND(VLOOKUP($B1926,calc_data,O$14+1,1),2),0),0)</f>
        <v/>
      </c>
      <c r="P1926" s="141">
        <f>IF(offer_sale_type="транзит",IFERROR(ROUND(SUM(I1926:J1926,M1926:O1926)/E1926,2),0),0)</f>
        <v/>
      </c>
      <c r="Q1926" s="141">
        <f>E1926*P1926</f>
        <v/>
      </c>
      <c r="R1926" s="141">
        <f>ROUND(Q1926*IF(AND(offer_incoterms="DDP",seller_region="RU"),IF((TODAY()+offer_turnaround_time)&gt;=helpsheet!$L$17,rate_vatRU_from_26,rate_vatRu_till_25),0),2)</f>
        <v/>
      </c>
      <c r="S1926" s="177">
        <f>Q1926+IF(AND(offer_incoterms="DDP",seller_region="RU"),R1926,0)</f>
        <v/>
      </c>
      <c r="T1926" s="45" t="n"/>
      <c r="V1926" s="57">
        <f>IF(Q1926&gt;0,"показать","скрыть")</f>
        <v/>
      </c>
    </row>
    <row r="1927" ht="15.75" customHeight="1">
      <c r="B1927" s="809" t="n">
        <v>1911</v>
      </c>
      <c r="C1927" s="182">
        <f>IF(offer_sale_type="транзит",IFERROR(VLOOKUP($B1927,calc_data,C$14+1,0),0),0)</f>
        <v/>
      </c>
      <c r="D1927" s="280">
        <f>IF(offer_sale_type="транзит",IFERROR(VLOOKUP($B1927,calc_data,D$14+1,0),0),0)</f>
        <v/>
      </c>
      <c r="E1927" s="182">
        <f>IF(offer_sale_type="транзит",IFERROR(VLOOKUP($B1927,calc_data,E$14+1,0),0),0)</f>
        <v/>
      </c>
      <c r="F1927" s="182">
        <f>IF(offer_sale_type="транзит",IFERROR(VLOOKUP($B1927,calc_data,F$14+1,0),0),0)</f>
        <v/>
      </c>
      <c r="G1927" s="141">
        <f>IF(offer_sale_type="транзит",IFERROR(VLOOKUP($B1927,calc_data,G$14+1,0),0),0)</f>
        <v/>
      </c>
      <c r="H1927" s="141">
        <f>E1927*G1927</f>
        <v/>
      </c>
      <c r="I1927" s="141">
        <f>IF(offer_sale_type="транзит",IFERROR(ROUND(VLOOKUP($B1927,calc_data,I$14+1,0),2),0),0)</f>
        <v/>
      </c>
      <c r="J1927" s="141">
        <f>ROUND(IF(offer_sale_type="транзит",IFERROR(VLOOKUP($B1927,calc_data,J$14+1,0),0),0),2)</f>
        <v/>
      </c>
      <c r="K1927" s="142">
        <f>IF(offer_sale_type="транзит",IFERROR(ROUNDUP(VLOOKUP($B1927,calc_data,K$14+1,0),2),0),0)</f>
        <v/>
      </c>
      <c r="L1927" s="184">
        <f>IF(offer_sale_type="транзит",IFERROR(ROUNDUP(VLOOKUP($B1927,calc_data,L$14+1,0),2),0),0)</f>
        <v/>
      </c>
      <c r="M1927" s="141">
        <f>IF(offer_sale_type="транзит",IFERROR(ROUNDUP(VLOOKUP($B1927,calc_data,M$14+1,0),2),0),0)</f>
        <v/>
      </c>
      <c r="N1927" s="141">
        <f>IF(offer_sale_type="транзит",IFERROR(ROUNDUP(VLOOKUP($B1927,calc_data,N$14+1,0),2),0),0)</f>
        <v/>
      </c>
      <c r="O1927" s="147">
        <f>IF(offer_sale_type="транзит",IFERROR(ROUND(VLOOKUP($B1927,calc_data,O$14+1,1),2),0),0)</f>
        <v/>
      </c>
      <c r="P1927" s="141">
        <f>IF(offer_sale_type="транзит",IFERROR(ROUND(SUM(I1927:J1927,M1927:O1927)/E1927,2),0),0)</f>
        <v/>
      </c>
      <c r="Q1927" s="141">
        <f>E1927*P1927</f>
        <v/>
      </c>
      <c r="R1927" s="141">
        <f>ROUND(Q1927*IF(AND(offer_incoterms="DDP",seller_region="RU"),IF((TODAY()+offer_turnaround_time)&gt;=helpsheet!$L$17,rate_vatRU_from_26,rate_vatRu_till_25),0),2)</f>
        <v/>
      </c>
      <c r="S1927" s="177">
        <f>Q1927+IF(AND(offer_incoterms="DDP",seller_region="RU"),R1927,0)</f>
        <v/>
      </c>
      <c r="T1927" s="45" t="n"/>
      <c r="V1927" s="57">
        <f>IF(Q1927&gt;0,"показать","скрыть")</f>
        <v/>
      </c>
    </row>
    <row r="1928" ht="15.75" customHeight="1">
      <c r="B1928" s="809" t="n">
        <v>1912</v>
      </c>
      <c r="C1928" s="182">
        <f>IF(offer_sale_type="транзит",IFERROR(VLOOKUP($B1928,calc_data,C$14+1,0),0),0)</f>
        <v/>
      </c>
      <c r="D1928" s="280">
        <f>IF(offer_sale_type="транзит",IFERROR(VLOOKUP($B1928,calc_data,D$14+1,0),0),0)</f>
        <v/>
      </c>
      <c r="E1928" s="182">
        <f>IF(offer_sale_type="транзит",IFERROR(VLOOKUP($B1928,calc_data,E$14+1,0),0),0)</f>
        <v/>
      </c>
      <c r="F1928" s="182">
        <f>IF(offer_sale_type="транзит",IFERROR(VLOOKUP($B1928,calc_data,F$14+1,0),0),0)</f>
        <v/>
      </c>
      <c r="G1928" s="141">
        <f>IF(offer_sale_type="транзит",IFERROR(VLOOKUP($B1928,calc_data,G$14+1,0),0),0)</f>
        <v/>
      </c>
      <c r="H1928" s="141">
        <f>E1928*G1928</f>
        <v/>
      </c>
      <c r="I1928" s="141">
        <f>IF(offer_sale_type="транзит",IFERROR(ROUND(VLOOKUP($B1928,calc_data,I$14+1,0),2),0),0)</f>
        <v/>
      </c>
      <c r="J1928" s="141">
        <f>ROUND(IF(offer_sale_type="транзит",IFERROR(VLOOKUP($B1928,calc_data,J$14+1,0),0),0),2)</f>
        <v/>
      </c>
      <c r="K1928" s="142">
        <f>IF(offer_sale_type="транзит",IFERROR(ROUNDUP(VLOOKUP($B1928,calc_data,K$14+1,0),2),0),0)</f>
        <v/>
      </c>
      <c r="L1928" s="184">
        <f>IF(offer_sale_type="транзит",IFERROR(ROUNDUP(VLOOKUP($B1928,calc_data,L$14+1,0),2),0),0)</f>
        <v/>
      </c>
      <c r="M1928" s="141">
        <f>IF(offer_sale_type="транзит",IFERROR(ROUNDUP(VLOOKUP($B1928,calc_data,M$14+1,0),2),0),0)</f>
        <v/>
      </c>
      <c r="N1928" s="141">
        <f>IF(offer_sale_type="транзит",IFERROR(ROUNDUP(VLOOKUP($B1928,calc_data,N$14+1,0),2),0),0)</f>
        <v/>
      </c>
      <c r="O1928" s="147">
        <f>IF(offer_sale_type="транзит",IFERROR(ROUND(VLOOKUP($B1928,calc_data,O$14+1,1),2),0),0)</f>
        <v/>
      </c>
      <c r="P1928" s="141">
        <f>IF(offer_sale_type="транзит",IFERROR(ROUND(SUM(I1928:J1928,M1928:O1928)/E1928,2),0),0)</f>
        <v/>
      </c>
      <c r="Q1928" s="141">
        <f>E1928*P1928</f>
        <v/>
      </c>
      <c r="R1928" s="141">
        <f>ROUND(Q1928*IF(AND(offer_incoterms="DDP",seller_region="RU"),IF((TODAY()+offer_turnaround_time)&gt;=helpsheet!$L$17,rate_vatRU_from_26,rate_vatRu_till_25),0),2)</f>
        <v/>
      </c>
      <c r="S1928" s="177">
        <f>Q1928+IF(AND(offer_incoterms="DDP",seller_region="RU"),R1928,0)</f>
        <v/>
      </c>
      <c r="T1928" s="45" t="n"/>
      <c r="V1928" s="57">
        <f>IF(Q1928&gt;0,"показать","скрыть")</f>
        <v/>
      </c>
    </row>
    <row r="1929" ht="15.75" customHeight="1">
      <c r="B1929" s="809" t="n">
        <v>1913</v>
      </c>
      <c r="C1929" s="182">
        <f>IF(offer_sale_type="транзит",IFERROR(VLOOKUP($B1929,calc_data,C$14+1,0),0),0)</f>
        <v/>
      </c>
      <c r="D1929" s="280">
        <f>IF(offer_sale_type="транзит",IFERROR(VLOOKUP($B1929,calc_data,D$14+1,0),0),0)</f>
        <v/>
      </c>
      <c r="E1929" s="182">
        <f>IF(offer_sale_type="транзит",IFERROR(VLOOKUP($B1929,calc_data,E$14+1,0),0),0)</f>
        <v/>
      </c>
      <c r="F1929" s="182">
        <f>IF(offer_sale_type="транзит",IFERROR(VLOOKUP($B1929,calc_data,F$14+1,0),0),0)</f>
        <v/>
      </c>
      <c r="G1929" s="141">
        <f>IF(offer_sale_type="транзит",IFERROR(VLOOKUP($B1929,calc_data,G$14+1,0),0),0)</f>
        <v/>
      </c>
      <c r="H1929" s="141">
        <f>E1929*G1929</f>
        <v/>
      </c>
      <c r="I1929" s="141">
        <f>IF(offer_sale_type="транзит",IFERROR(ROUND(VLOOKUP($B1929,calc_data,I$14+1,0),2),0),0)</f>
        <v/>
      </c>
      <c r="J1929" s="141">
        <f>ROUND(IF(offer_sale_type="транзит",IFERROR(VLOOKUP($B1929,calc_data,J$14+1,0),0),0),2)</f>
        <v/>
      </c>
      <c r="K1929" s="142">
        <f>IF(offer_sale_type="транзит",IFERROR(ROUNDUP(VLOOKUP($B1929,calc_data,K$14+1,0),2),0),0)</f>
        <v/>
      </c>
      <c r="L1929" s="184">
        <f>IF(offer_sale_type="транзит",IFERROR(ROUNDUP(VLOOKUP($B1929,calc_data,L$14+1,0),2),0),0)</f>
        <v/>
      </c>
      <c r="M1929" s="141">
        <f>IF(offer_sale_type="транзит",IFERROR(ROUNDUP(VLOOKUP($B1929,calc_data,M$14+1,0),2),0),0)</f>
        <v/>
      </c>
      <c r="N1929" s="141">
        <f>IF(offer_sale_type="транзит",IFERROR(ROUNDUP(VLOOKUP($B1929,calc_data,N$14+1,0),2),0),0)</f>
        <v/>
      </c>
      <c r="O1929" s="147">
        <f>IF(offer_sale_type="транзит",IFERROR(ROUND(VLOOKUP($B1929,calc_data,O$14+1,1),2),0),0)</f>
        <v/>
      </c>
      <c r="P1929" s="141">
        <f>IF(offer_sale_type="транзит",IFERROR(ROUND(SUM(I1929:J1929,M1929:O1929)/E1929,2),0),0)</f>
        <v/>
      </c>
      <c r="Q1929" s="141">
        <f>E1929*P1929</f>
        <v/>
      </c>
      <c r="R1929" s="141">
        <f>ROUND(Q1929*IF(AND(offer_incoterms="DDP",seller_region="RU"),IF((TODAY()+offer_turnaround_time)&gt;=helpsheet!$L$17,rate_vatRU_from_26,rate_vatRu_till_25),0),2)</f>
        <v/>
      </c>
      <c r="S1929" s="177">
        <f>Q1929+IF(AND(offer_incoterms="DDP",seller_region="RU"),R1929,0)</f>
        <v/>
      </c>
      <c r="T1929" s="45" t="n"/>
      <c r="V1929" s="57">
        <f>IF(Q1929&gt;0,"показать","скрыть")</f>
        <v/>
      </c>
    </row>
    <row r="1930" ht="15.75" customHeight="1">
      <c r="B1930" s="809" t="n">
        <v>1914</v>
      </c>
      <c r="C1930" s="182">
        <f>IF(offer_sale_type="транзит",IFERROR(VLOOKUP($B1930,calc_data,C$14+1,0),0),0)</f>
        <v/>
      </c>
      <c r="D1930" s="280">
        <f>IF(offer_sale_type="транзит",IFERROR(VLOOKUP($B1930,calc_data,D$14+1,0),0),0)</f>
        <v/>
      </c>
      <c r="E1930" s="182">
        <f>IF(offer_sale_type="транзит",IFERROR(VLOOKUP($B1930,calc_data,E$14+1,0),0),0)</f>
        <v/>
      </c>
      <c r="F1930" s="182">
        <f>IF(offer_sale_type="транзит",IFERROR(VLOOKUP($B1930,calc_data,F$14+1,0),0),0)</f>
        <v/>
      </c>
      <c r="G1930" s="141">
        <f>IF(offer_sale_type="транзит",IFERROR(VLOOKUP($B1930,calc_data,G$14+1,0),0),0)</f>
        <v/>
      </c>
      <c r="H1930" s="141">
        <f>E1930*G1930</f>
        <v/>
      </c>
      <c r="I1930" s="141">
        <f>IF(offer_sale_type="транзит",IFERROR(ROUND(VLOOKUP($B1930,calc_data,I$14+1,0),2),0),0)</f>
        <v/>
      </c>
      <c r="J1930" s="141">
        <f>ROUND(IF(offer_sale_type="транзит",IFERROR(VLOOKUP($B1930,calc_data,J$14+1,0),0),0),2)</f>
        <v/>
      </c>
      <c r="K1930" s="142">
        <f>IF(offer_sale_type="транзит",IFERROR(ROUNDUP(VLOOKUP($B1930,calc_data,K$14+1,0),2),0),0)</f>
        <v/>
      </c>
      <c r="L1930" s="184">
        <f>IF(offer_sale_type="транзит",IFERROR(ROUNDUP(VLOOKUP($B1930,calc_data,L$14+1,0),2),0),0)</f>
        <v/>
      </c>
      <c r="M1930" s="141">
        <f>IF(offer_sale_type="транзит",IFERROR(ROUNDUP(VLOOKUP($B1930,calc_data,M$14+1,0),2),0),0)</f>
        <v/>
      </c>
      <c r="N1930" s="141">
        <f>IF(offer_sale_type="транзит",IFERROR(ROUNDUP(VLOOKUP($B1930,calc_data,N$14+1,0),2),0),0)</f>
        <v/>
      </c>
      <c r="O1930" s="147">
        <f>IF(offer_sale_type="транзит",IFERROR(ROUND(VLOOKUP($B1930,calc_data,O$14+1,1),2),0),0)</f>
        <v/>
      </c>
      <c r="P1930" s="141">
        <f>IF(offer_sale_type="транзит",IFERROR(ROUND(SUM(I1930:J1930,M1930:O1930)/E1930,2),0),0)</f>
        <v/>
      </c>
      <c r="Q1930" s="141">
        <f>E1930*P1930</f>
        <v/>
      </c>
      <c r="R1930" s="141">
        <f>ROUND(Q1930*IF(AND(offer_incoterms="DDP",seller_region="RU"),IF((TODAY()+offer_turnaround_time)&gt;=helpsheet!$L$17,rate_vatRU_from_26,rate_vatRu_till_25),0),2)</f>
        <v/>
      </c>
      <c r="S1930" s="177">
        <f>Q1930+IF(AND(offer_incoterms="DDP",seller_region="RU"),R1930,0)</f>
        <v/>
      </c>
      <c r="T1930" s="45" t="n"/>
      <c r="V1930" s="57">
        <f>IF(Q1930&gt;0,"показать","скрыть")</f>
        <v/>
      </c>
    </row>
    <row r="1931" ht="15.75" customHeight="1">
      <c r="B1931" s="809" t="n">
        <v>1915</v>
      </c>
      <c r="C1931" s="182">
        <f>IF(offer_sale_type="транзит",IFERROR(VLOOKUP($B1931,calc_data,C$14+1,0),0),0)</f>
        <v/>
      </c>
      <c r="D1931" s="280">
        <f>IF(offer_sale_type="транзит",IFERROR(VLOOKUP($B1931,calc_data,D$14+1,0),0),0)</f>
        <v/>
      </c>
      <c r="E1931" s="182">
        <f>IF(offer_sale_type="транзит",IFERROR(VLOOKUP($B1931,calc_data,E$14+1,0),0),0)</f>
        <v/>
      </c>
      <c r="F1931" s="182">
        <f>IF(offer_sale_type="транзит",IFERROR(VLOOKUP($B1931,calc_data,F$14+1,0),0),0)</f>
        <v/>
      </c>
      <c r="G1931" s="141">
        <f>IF(offer_sale_type="транзит",IFERROR(VLOOKUP($B1931,calc_data,G$14+1,0),0),0)</f>
        <v/>
      </c>
      <c r="H1931" s="141">
        <f>E1931*G1931</f>
        <v/>
      </c>
      <c r="I1931" s="141">
        <f>IF(offer_sale_type="транзит",IFERROR(ROUND(VLOOKUP($B1931,calc_data,I$14+1,0),2),0),0)</f>
        <v/>
      </c>
      <c r="J1931" s="141">
        <f>ROUND(IF(offer_sale_type="транзит",IFERROR(VLOOKUP($B1931,calc_data,J$14+1,0),0),0),2)</f>
        <v/>
      </c>
      <c r="K1931" s="142">
        <f>IF(offer_sale_type="транзит",IFERROR(ROUNDUP(VLOOKUP($B1931,calc_data,K$14+1,0),2),0),0)</f>
        <v/>
      </c>
      <c r="L1931" s="184">
        <f>IF(offer_sale_type="транзит",IFERROR(ROUNDUP(VLOOKUP($B1931,calc_data,L$14+1,0),2),0),0)</f>
        <v/>
      </c>
      <c r="M1931" s="141">
        <f>IF(offer_sale_type="транзит",IFERROR(ROUNDUP(VLOOKUP($B1931,calc_data,M$14+1,0),2),0),0)</f>
        <v/>
      </c>
      <c r="N1931" s="141">
        <f>IF(offer_sale_type="транзит",IFERROR(ROUNDUP(VLOOKUP($B1931,calc_data,N$14+1,0),2),0),0)</f>
        <v/>
      </c>
      <c r="O1931" s="147">
        <f>IF(offer_sale_type="транзит",IFERROR(ROUND(VLOOKUP($B1931,calc_data,O$14+1,1),2),0),0)</f>
        <v/>
      </c>
      <c r="P1931" s="141">
        <f>IF(offer_sale_type="транзит",IFERROR(ROUND(SUM(I1931:J1931,M1931:O1931)/E1931,2),0),0)</f>
        <v/>
      </c>
      <c r="Q1931" s="141">
        <f>E1931*P1931</f>
        <v/>
      </c>
      <c r="R1931" s="141">
        <f>ROUND(Q1931*IF(AND(offer_incoterms="DDP",seller_region="RU"),IF((TODAY()+offer_turnaround_time)&gt;=helpsheet!$L$17,rate_vatRU_from_26,rate_vatRu_till_25),0),2)</f>
        <v/>
      </c>
      <c r="S1931" s="177">
        <f>Q1931+IF(AND(offer_incoterms="DDP",seller_region="RU"),R1931,0)</f>
        <v/>
      </c>
      <c r="T1931" s="45" t="n"/>
      <c r="V1931" s="57">
        <f>IF(Q1931&gt;0,"показать","скрыть")</f>
        <v/>
      </c>
    </row>
    <row r="1932" ht="15.75" customHeight="1">
      <c r="B1932" s="809" t="n">
        <v>1916</v>
      </c>
      <c r="C1932" s="182">
        <f>IF(offer_sale_type="транзит",IFERROR(VLOOKUP($B1932,calc_data,C$14+1,0),0),0)</f>
        <v/>
      </c>
      <c r="D1932" s="280">
        <f>IF(offer_sale_type="транзит",IFERROR(VLOOKUP($B1932,calc_data,D$14+1,0),0),0)</f>
        <v/>
      </c>
      <c r="E1932" s="182">
        <f>IF(offer_sale_type="транзит",IFERROR(VLOOKUP($B1932,calc_data,E$14+1,0),0),0)</f>
        <v/>
      </c>
      <c r="F1932" s="182">
        <f>IF(offer_sale_type="транзит",IFERROR(VLOOKUP($B1932,calc_data,F$14+1,0),0),0)</f>
        <v/>
      </c>
      <c r="G1932" s="141">
        <f>IF(offer_sale_type="транзит",IFERROR(VLOOKUP($B1932,calc_data,G$14+1,0),0),0)</f>
        <v/>
      </c>
      <c r="H1932" s="141">
        <f>E1932*G1932</f>
        <v/>
      </c>
      <c r="I1932" s="141">
        <f>IF(offer_sale_type="транзит",IFERROR(ROUND(VLOOKUP($B1932,calc_data,I$14+1,0),2),0),0)</f>
        <v/>
      </c>
      <c r="J1932" s="141">
        <f>ROUND(IF(offer_sale_type="транзит",IFERROR(VLOOKUP($B1932,calc_data,J$14+1,0),0),0),2)</f>
        <v/>
      </c>
      <c r="K1932" s="142">
        <f>IF(offer_sale_type="транзит",IFERROR(ROUNDUP(VLOOKUP($B1932,calc_data,K$14+1,0),2),0),0)</f>
        <v/>
      </c>
      <c r="L1932" s="184">
        <f>IF(offer_sale_type="транзит",IFERROR(ROUNDUP(VLOOKUP($B1932,calc_data,L$14+1,0),2),0),0)</f>
        <v/>
      </c>
      <c r="M1932" s="141">
        <f>IF(offer_sale_type="транзит",IFERROR(ROUNDUP(VLOOKUP($B1932,calc_data,M$14+1,0),2),0),0)</f>
        <v/>
      </c>
      <c r="N1932" s="141">
        <f>IF(offer_sale_type="транзит",IFERROR(ROUNDUP(VLOOKUP($B1932,calc_data,N$14+1,0),2),0),0)</f>
        <v/>
      </c>
      <c r="O1932" s="147">
        <f>IF(offer_sale_type="транзит",IFERROR(ROUND(VLOOKUP($B1932,calc_data,O$14+1,1),2),0),0)</f>
        <v/>
      </c>
      <c r="P1932" s="141">
        <f>IF(offer_sale_type="транзит",IFERROR(ROUND(SUM(I1932:J1932,M1932:O1932)/E1932,2),0),0)</f>
        <v/>
      </c>
      <c r="Q1932" s="141">
        <f>E1932*P1932</f>
        <v/>
      </c>
      <c r="R1932" s="141">
        <f>ROUND(Q1932*IF(AND(offer_incoterms="DDP",seller_region="RU"),IF((TODAY()+offer_turnaround_time)&gt;=helpsheet!$L$17,rate_vatRU_from_26,rate_vatRu_till_25),0),2)</f>
        <v/>
      </c>
      <c r="S1932" s="177">
        <f>Q1932+IF(AND(offer_incoterms="DDP",seller_region="RU"),R1932,0)</f>
        <v/>
      </c>
      <c r="T1932" s="45" t="n"/>
      <c r="V1932" s="57">
        <f>IF(Q1932&gt;0,"показать","скрыть")</f>
        <v/>
      </c>
    </row>
    <row r="1933" ht="15.75" customHeight="1">
      <c r="B1933" s="809" t="n">
        <v>1917</v>
      </c>
      <c r="C1933" s="182">
        <f>IF(offer_sale_type="транзит",IFERROR(VLOOKUP($B1933,calc_data,C$14+1,0),0),0)</f>
        <v/>
      </c>
      <c r="D1933" s="280">
        <f>IF(offer_sale_type="транзит",IFERROR(VLOOKUP($B1933,calc_data,D$14+1,0),0),0)</f>
        <v/>
      </c>
      <c r="E1933" s="182">
        <f>IF(offer_sale_type="транзит",IFERROR(VLOOKUP($B1933,calc_data,E$14+1,0),0),0)</f>
        <v/>
      </c>
      <c r="F1933" s="182">
        <f>IF(offer_sale_type="транзит",IFERROR(VLOOKUP($B1933,calc_data,F$14+1,0),0),0)</f>
        <v/>
      </c>
      <c r="G1933" s="141">
        <f>IF(offer_sale_type="транзит",IFERROR(VLOOKUP($B1933,calc_data,G$14+1,0),0),0)</f>
        <v/>
      </c>
      <c r="H1933" s="141">
        <f>E1933*G1933</f>
        <v/>
      </c>
      <c r="I1933" s="141">
        <f>IF(offer_sale_type="транзит",IFERROR(ROUND(VLOOKUP($B1933,calc_data,I$14+1,0),2),0),0)</f>
        <v/>
      </c>
      <c r="J1933" s="141">
        <f>ROUND(IF(offer_sale_type="транзит",IFERROR(VLOOKUP($B1933,calc_data,J$14+1,0),0),0),2)</f>
        <v/>
      </c>
      <c r="K1933" s="142">
        <f>IF(offer_sale_type="транзит",IFERROR(ROUNDUP(VLOOKUP($B1933,calc_data,K$14+1,0),2),0),0)</f>
        <v/>
      </c>
      <c r="L1933" s="184">
        <f>IF(offer_sale_type="транзит",IFERROR(ROUNDUP(VLOOKUP($B1933,calc_data,L$14+1,0),2),0),0)</f>
        <v/>
      </c>
      <c r="M1933" s="141">
        <f>IF(offer_sale_type="транзит",IFERROR(ROUNDUP(VLOOKUP($B1933,calc_data,M$14+1,0),2),0),0)</f>
        <v/>
      </c>
      <c r="N1933" s="141">
        <f>IF(offer_sale_type="транзит",IFERROR(ROUNDUP(VLOOKUP($B1933,calc_data,N$14+1,0),2),0),0)</f>
        <v/>
      </c>
      <c r="O1933" s="147">
        <f>IF(offer_sale_type="транзит",IFERROR(ROUND(VLOOKUP($B1933,calc_data,O$14+1,1),2),0),0)</f>
        <v/>
      </c>
      <c r="P1933" s="141">
        <f>IF(offer_sale_type="транзит",IFERROR(ROUND(SUM(I1933:J1933,M1933:O1933)/E1933,2),0),0)</f>
        <v/>
      </c>
      <c r="Q1933" s="141">
        <f>E1933*P1933</f>
        <v/>
      </c>
      <c r="R1933" s="141">
        <f>ROUND(Q1933*IF(AND(offer_incoterms="DDP",seller_region="RU"),IF((TODAY()+offer_turnaround_time)&gt;=helpsheet!$L$17,rate_vatRU_from_26,rate_vatRu_till_25),0),2)</f>
        <v/>
      </c>
      <c r="S1933" s="177">
        <f>Q1933+IF(AND(offer_incoterms="DDP",seller_region="RU"),R1933,0)</f>
        <v/>
      </c>
      <c r="T1933" s="45" t="n"/>
      <c r="V1933" s="57">
        <f>IF(Q1933&gt;0,"показать","скрыть")</f>
        <v/>
      </c>
    </row>
    <row r="1934" ht="15.75" customHeight="1">
      <c r="B1934" s="809" t="n">
        <v>1918</v>
      </c>
      <c r="C1934" s="182">
        <f>IF(offer_sale_type="транзит",IFERROR(VLOOKUP($B1934,calc_data,C$14+1,0),0),0)</f>
        <v/>
      </c>
      <c r="D1934" s="280">
        <f>IF(offer_sale_type="транзит",IFERROR(VLOOKUP($B1934,calc_data,D$14+1,0),0),0)</f>
        <v/>
      </c>
      <c r="E1934" s="182">
        <f>IF(offer_sale_type="транзит",IFERROR(VLOOKUP($B1934,calc_data,E$14+1,0),0),0)</f>
        <v/>
      </c>
      <c r="F1934" s="182">
        <f>IF(offer_sale_type="транзит",IFERROR(VLOOKUP($B1934,calc_data,F$14+1,0),0),0)</f>
        <v/>
      </c>
      <c r="G1934" s="141">
        <f>IF(offer_sale_type="транзит",IFERROR(VLOOKUP($B1934,calc_data,G$14+1,0),0),0)</f>
        <v/>
      </c>
      <c r="H1934" s="141">
        <f>E1934*G1934</f>
        <v/>
      </c>
      <c r="I1934" s="141">
        <f>IF(offer_sale_type="транзит",IFERROR(ROUND(VLOOKUP($B1934,calc_data,I$14+1,0),2),0),0)</f>
        <v/>
      </c>
      <c r="J1934" s="141">
        <f>ROUND(IF(offer_sale_type="транзит",IFERROR(VLOOKUP($B1934,calc_data,J$14+1,0),0),0),2)</f>
        <v/>
      </c>
      <c r="K1934" s="142">
        <f>IF(offer_sale_type="транзит",IFERROR(ROUNDUP(VLOOKUP($B1934,calc_data,K$14+1,0),2),0),0)</f>
        <v/>
      </c>
      <c r="L1934" s="184">
        <f>IF(offer_sale_type="транзит",IFERROR(ROUNDUP(VLOOKUP($B1934,calc_data,L$14+1,0),2),0),0)</f>
        <v/>
      </c>
      <c r="M1934" s="141">
        <f>IF(offer_sale_type="транзит",IFERROR(ROUNDUP(VLOOKUP($B1934,calc_data,M$14+1,0),2),0),0)</f>
        <v/>
      </c>
      <c r="N1934" s="141">
        <f>IF(offer_sale_type="транзит",IFERROR(ROUNDUP(VLOOKUP($B1934,calc_data,N$14+1,0),2),0),0)</f>
        <v/>
      </c>
      <c r="O1934" s="147">
        <f>IF(offer_sale_type="транзит",IFERROR(ROUND(VLOOKUP($B1934,calc_data,O$14+1,1),2),0),0)</f>
        <v/>
      </c>
      <c r="P1934" s="141">
        <f>IF(offer_sale_type="транзит",IFERROR(ROUND(SUM(I1934:J1934,M1934:O1934)/E1934,2),0),0)</f>
        <v/>
      </c>
      <c r="Q1934" s="141">
        <f>E1934*P1934</f>
        <v/>
      </c>
      <c r="R1934" s="141">
        <f>ROUND(Q1934*IF(AND(offer_incoterms="DDP",seller_region="RU"),IF((TODAY()+offer_turnaround_time)&gt;=helpsheet!$L$17,rate_vatRU_from_26,rate_vatRu_till_25),0),2)</f>
        <v/>
      </c>
      <c r="S1934" s="177">
        <f>Q1934+IF(AND(offer_incoterms="DDP",seller_region="RU"),R1934,0)</f>
        <v/>
      </c>
      <c r="T1934" s="45" t="n"/>
      <c r="V1934" s="57">
        <f>IF(Q1934&gt;0,"показать","скрыть")</f>
        <v/>
      </c>
    </row>
    <row r="1935" ht="15.75" customHeight="1">
      <c r="B1935" s="809" t="n">
        <v>1919</v>
      </c>
      <c r="C1935" s="182">
        <f>IF(offer_sale_type="транзит",IFERROR(VLOOKUP($B1935,calc_data,C$14+1,0),0),0)</f>
        <v/>
      </c>
      <c r="D1935" s="280">
        <f>IF(offer_sale_type="транзит",IFERROR(VLOOKUP($B1935,calc_data,D$14+1,0),0),0)</f>
        <v/>
      </c>
      <c r="E1935" s="182">
        <f>IF(offer_sale_type="транзит",IFERROR(VLOOKUP($B1935,calc_data,E$14+1,0),0),0)</f>
        <v/>
      </c>
      <c r="F1935" s="182">
        <f>IF(offer_sale_type="транзит",IFERROR(VLOOKUP($B1935,calc_data,F$14+1,0),0),0)</f>
        <v/>
      </c>
      <c r="G1935" s="141">
        <f>IF(offer_sale_type="транзит",IFERROR(VLOOKUP($B1935,calc_data,G$14+1,0),0),0)</f>
        <v/>
      </c>
      <c r="H1935" s="141">
        <f>E1935*G1935</f>
        <v/>
      </c>
      <c r="I1935" s="141">
        <f>IF(offer_sale_type="транзит",IFERROR(ROUND(VLOOKUP($B1935,calc_data,I$14+1,0),2),0),0)</f>
        <v/>
      </c>
      <c r="J1935" s="141">
        <f>ROUND(IF(offer_sale_type="транзит",IFERROR(VLOOKUP($B1935,calc_data,J$14+1,0),0),0),2)</f>
        <v/>
      </c>
      <c r="K1935" s="142">
        <f>IF(offer_sale_type="транзит",IFERROR(ROUNDUP(VLOOKUP($B1935,calc_data,K$14+1,0),2),0),0)</f>
        <v/>
      </c>
      <c r="L1935" s="184">
        <f>IF(offer_sale_type="транзит",IFERROR(ROUNDUP(VLOOKUP($B1935,calc_data,L$14+1,0),2),0),0)</f>
        <v/>
      </c>
      <c r="M1935" s="141">
        <f>IF(offer_sale_type="транзит",IFERROR(ROUNDUP(VLOOKUP($B1935,calc_data,M$14+1,0),2),0),0)</f>
        <v/>
      </c>
      <c r="N1935" s="141">
        <f>IF(offer_sale_type="транзит",IFERROR(ROUNDUP(VLOOKUP($B1935,calc_data,N$14+1,0),2),0),0)</f>
        <v/>
      </c>
      <c r="O1935" s="147">
        <f>IF(offer_sale_type="транзит",IFERROR(ROUND(VLOOKUP($B1935,calc_data,O$14+1,1),2),0),0)</f>
        <v/>
      </c>
      <c r="P1935" s="141">
        <f>IF(offer_sale_type="транзит",IFERROR(ROUND(SUM(I1935:J1935,M1935:O1935)/E1935,2),0),0)</f>
        <v/>
      </c>
      <c r="Q1935" s="141">
        <f>E1935*P1935</f>
        <v/>
      </c>
      <c r="R1935" s="141">
        <f>ROUND(Q1935*IF(AND(offer_incoterms="DDP",seller_region="RU"),IF((TODAY()+offer_turnaround_time)&gt;=helpsheet!$L$17,rate_vatRU_from_26,rate_vatRu_till_25),0),2)</f>
        <v/>
      </c>
      <c r="S1935" s="177">
        <f>Q1935+IF(AND(offer_incoterms="DDP",seller_region="RU"),R1935,0)</f>
        <v/>
      </c>
      <c r="T1935" s="45" t="n"/>
      <c r="V1935" s="57">
        <f>IF(Q1935&gt;0,"показать","скрыть")</f>
        <v/>
      </c>
    </row>
    <row r="1936" ht="15.75" customHeight="1">
      <c r="B1936" s="809" t="n">
        <v>1920</v>
      </c>
      <c r="C1936" s="182">
        <f>IF(offer_sale_type="транзит",IFERROR(VLOOKUP($B1936,calc_data,C$14+1,0),0),0)</f>
        <v/>
      </c>
      <c r="D1936" s="280">
        <f>IF(offer_sale_type="транзит",IFERROR(VLOOKUP($B1936,calc_data,D$14+1,0),0),0)</f>
        <v/>
      </c>
      <c r="E1936" s="182">
        <f>IF(offer_sale_type="транзит",IFERROR(VLOOKUP($B1936,calc_data,E$14+1,0),0),0)</f>
        <v/>
      </c>
      <c r="F1936" s="182">
        <f>IF(offer_sale_type="транзит",IFERROR(VLOOKUP($B1936,calc_data,F$14+1,0),0),0)</f>
        <v/>
      </c>
      <c r="G1936" s="141">
        <f>IF(offer_sale_type="транзит",IFERROR(VLOOKUP($B1936,calc_data,G$14+1,0),0),0)</f>
        <v/>
      </c>
      <c r="H1936" s="141">
        <f>E1936*G1936</f>
        <v/>
      </c>
      <c r="I1936" s="141">
        <f>IF(offer_sale_type="транзит",IFERROR(ROUND(VLOOKUP($B1936,calc_data,I$14+1,0),2),0),0)</f>
        <v/>
      </c>
      <c r="J1936" s="141">
        <f>ROUND(IF(offer_sale_type="транзит",IFERROR(VLOOKUP($B1936,calc_data,J$14+1,0),0),0),2)</f>
        <v/>
      </c>
      <c r="K1936" s="142">
        <f>IF(offer_sale_type="транзит",IFERROR(ROUNDUP(VLOOKUP($B1936,calc_data,K$14+1,0),2),0),0)</f>
        <v/>
      </c>
      <c r="L1936" s="184">
        <f>IF(offer_sale_type="транзит",IFERROR(ROUNDUP(VLOOKUP($B1936,calc_data,L$14+1,0),2),0),0)</f>
        <v/>
      </c>
      <c r="M1936" s="141">
        <f>IF(offer_sale_type="транзит",IFERROR(ROUNDUP(VLOOKUP($B1936,calc_data,M$14+1,0),2),0),0)</f>
        <v/>
      </c>
      <c r="N1936" s="141">
        <f>IF(offer_sale_type="транзит",IFERROR(ROUNDUP(VLOOKUP($B1936,calc_data,N$14+1,0),2),0),0)</f>
        <v/>
      </c>
      <c r="O1936" s="147">
        <f>IF(offer_sale_type="транзит",IFERROR(ROUND(VLOOKUP($B1936,calc_data,O$14+1,1),2),0),0)</f>
        <v/>
      </c>
      <c r="P1936" s="141">
        <f>IF(offer_sale_type="транзит",IFERROR(ROUND(SUM(I1936:J1936,M1936:O1936)/E1936,2),0),0)</f>
        <v/>
      </c>
      <c r="Q1936" s="141">
        <f>E1936*P1936</f>
        <v/>
      </c>
      <c r="R1936" s="141">
        <f>ROUND(Q1936*IF(AND(offer_incoterms="DDP",seller_region="RU"),IF((TODAY()+offer_turnaround_time)&gt;=helpsheet!$L$17,rate_vatRU_from_26,rate_vatRu_till_25),0),2)</f>
        <v/>
      </c>
      <c r="S1936" s="177">
        <f>Q1936+IF(AND(offer_incoterms="DDP",seller_region="RU"),R1936,0)</f>
        <v/>
      </c>
      <c r="T1936" s="45" t="n"/>
      <c r="V1936" s="57">
        <f>IF(Q1936&gt;0,"показать","скрыть")</f>
        <v/>
      </c>
    </row>
    <row r="1937" ht="15.75" customHeight="1">
      <c r="B1937" s="809" t="n">
        <v>1921</v>
      </c>
      <c r="C1937" s="182">
        <f>IF(offer_sale_type="транзит",IFERROR(VLOOKUP($B1937,calc_data,C$14+1,0),0),0)</f>
        <v/>
      </c>
      <c r="D1937" s="280">
        <f>IF(offer_sale_type="транзит",IFERROR(VLOOKUP($B1937,calc_data,D$14+1,0),0),0)</f>
        <v/>
      </c>
      <c r="E1937" s="182">
        <f>IF(offer_sale_type="транзит",IFERROR(VLOOKUP($B1937,calc_data,E$14+1,0),0),0)</f>
        <v/>
      </c>
      <c r="F1937" s="182">
        <f>IF(offer_sale_type="транзит",IFERROR(VLOOKUP($B1937,calc_data,F$14+1,0),0),0)</f>
        <v/>
      </c>
      <c r="G1937" s="141">
        <f>IF(offer_sale_type="транзит",IFERROR(VLOOKUP($B1937,calc_data,G$14+1,0),0),0)</f>
        <v/>
      </c>
      <c r="H1937" s="141">
        <f>E1937*G1937</f>
        <v/>
      </c>
      <c r="I1937" s="141">
        <f>IF(offer_sale_type="транзит",IFERROR(ROUND(VLOOKUP($B1937,calc_data,I$14+1,0),2),0),0)</f>
        <v/>
      </c>
      <c r="J1937" s="141">
        <f>ROUND(IF(offer_sale_type="транзит",IFERROR(VLOOKUP($B1937,calc_data,J$14+1,0),0),0),2)</f>
        <v/>
      </c>
      <c r="K1937" s="142">
        <f>IF(offer_sale_type="транзит",IFERROR(ROUNDUP(VLOOKUP($B1937,calc_data,K$14+1,0),2),0),0)</f>
        <v/>
      </c>
      <c r="L1937" s="184">
        <f>IF(offer_sale_type="транзит",IFERROR(ROUNDUP(VLOOKUP($B1937,calc_data,L$14+1,0),2),0),0)</f>
        <v/>
      </c>
      <c r="M1937" s="141">
        <f>IF(offer_sale_type="транзит",IFERROR(ROUNDUP(VLOOKUP($B1937,calc_data,M$14+1,0),2),0),0)</f>
        <v/>
      </c>
      <c r="N1937" s="141">
        <f>IF(offer_sale_type="транзит",IFERROR(ROUNDUP(VLOOKUP($B1937,calc_data,N$14+1,0),2),0),0)</f>
        <v/>
      </c>
      <c r="O1937" s="147">
        <f>IF(offer_sale_type="транзит",IFERROR(ROUND(VLOOKUP($B1937,calc_data,O$14+1,1),2),0),0)</f>
        <v/>
      </c>
      <c r="P1937" s="141">
        <f>IF(offer_sale_type="транзит",IFERROR(ROUND(SUM(I1937:J1937,M1937:O1937)/E1937,2),0),0)</f>
        <v/>
      </c>
      <c r="Q1937" s="141">
        <f>E1937*P1937</f>
        <v/>
      </c>
      <c r="R1937" s="141">
        <f>ROUND(Q1937*IF(AND(offer_incoterms="DDP",seller_region="RU"),IF((TODAY()+offer_turnaround_time)&gt;=helpsheet!$L$17,rate_vatRU_from_26,rate_vatRu_till_25),0),2)</f>
        <v/>
      </c>
      <c r="S1937" s="177">
        <f>Q1937+IF(AND(offer_incoterms="DDP",seller_region="RU"),R1937,0)</f>
        <v/>
      </c>
      <c r="T1937" s="45" t="n"/>
      <c r="V1937" s="57">
        <f>IF(Q1937&gt;0,"показать","скрыть")</f>
        <v/>
      </c>
    </row>
    <row r="1938" ht="15.75" customHeight="1">
      <c r="B1938" s="809" t="n">
        <v>1922</v>
      </c>
      <c r="C1938" s="182">
        <f>IF(offer_sale_type="транзит",IFERROR(VLOOKUP($B1938,calc_data,C$14+1,0),0),0)</f>
        <v/>
      </c>
      <c r="D1938" s="280">
        <f>IF(offer_sale_type="транзит",IFERROR(VLOOKUP($B1938,calc_data,D$14+1,0),0),0)</f>
        <v/>
      </c>
      <c r="E1938" s="182">
        <f>IF(offer_sale_type="транзит",IFERROR(VLOOKUP($B1938,calc_data,E$14+1,0),0),0)</f>
        <v/>
      </c>
      <c r="F1938" s="182">
        <f>IF(offer_sale_type="транзит",IFERROR(VLOOKUP($B1938,calc_data,F$14+1,0),0),0)</f>
        <v/>
      </c>
      <c r="G1938" s="141">
        <f>IF(offer_sale_type="транзит",IFERROR(VLOOKUP($B1938,calc_data,G$14+1,0),0),0)</f>
        <v/>
      </c>
      <c r="H1938" s="141">
        <f>E1938*G1938</f>
        <v/>
      </c>
      <c r="I1938" s="141">
        <f>IF(offer_sale_type="транзит",IFERROR(ROUND(VLOOKUP($B1938,calc_data,I$14+1,0),2),0),0)</f>
        <v/>
      </c>
      <c r="J1938" s="141">
        <f>ROUND(IF(offer_sale_type="транзит",IFERROR(VLOOKUP($B1938,calc_data,J$14+1,0),0),0),2)</f>
        <v/>
      </c>
      <c r="K1938" s="142">
        <f>IF(offer_sale_type="транзит",IFERROR(ROUNDUP(VLOOKUP($B1938,calc_data,K$14+1,0),2),0),0)</f>
        <v/>
      </c>
      <c r="L1938" s="184">
        <f>IF(offer_sale_type="транзит",IFERROR(ROUNDUP(VLOOKUP($B1938,calc_data,L$14+1,0),2),0),0)</f>
        <v/>
      </c>
      <c r="M1938" s="141">
        <f>IF(offer_sale_type="транзит",IFERROR(ROUNDUP(VLOOKUP($B1938,calc_data,M$14+1,0),2),0),0)</f>
        <v/>
      </c>
      <c r="N1938" s="141">
        <f>IF(offer_sale_type="транзит",IFERROR(ROUNDUP(VLOOKUP($B1938,calc_data,N$14+1,0),2),0),0)</f>
        <v/>
      </c>
      <c r="O1938" s="147">
        <f>IF(offer_sale_type="транзит",IFERROR(ROUND(VLOOKUP($B1938,calc_data,O$14+1,1),2),0),0)</f>
        <v/>
      </c>
      <c r="P1938" s="141">
        <f>IF(offer_sale_type="транзит",IFERROR(ROUND(SUM(I1938:J1938,M1938:O1938)/E1938,2),0),0)</f>
        <v/>
      </c>
      <c r="Q1938" s="141">
        <f>E1938*P1938</f>
        <v/>
      </c>
      <c r="R1938" s="141">
        <f>ROUND(Q1938*IF(AND(offer_incoterms="DDP",seller_region="RU"),IF((TODAY()+offer_turnaround_time)&gt;=helpsheet!$L$17,rate_vatRU_from_26,rate_vatRu_till_25),0),2)</f>
        <v/>
      </c>
      <c r="S1938" s="177">
        <f>Q1938+IF(AND(offer_incoterms="DDP",seller_region="RU"),R1938,0)</f>
        <v/>
      </c>
      <c r="T1938" s="45" t="n"/>
      <c r="V1938" s="57">
        <f>IF(Q1938&gt;0,"показать","скрыть")</f>
        <v/>
      </c>
    </row>
    <row r="1939" ht="15.75" customHeight="1">
      <c r="B1939" s="809" t="n">
        <v>1923</v>
      </c>
      <c r="C1939" s="182">
        <f>IF(offer_sale_type="транзит",IFERROR(VLOOKUP($B1939,calc_data,C$14+1,0),0),0)</f>
        <v/>
      </c>
      <c r="D1939" s="280">
        <f>IF(offer_sale_type="транзит",IFERROR(VLOOKUP($B1939,calc_data,D$14+1,0),0),0)</f>
        <v/>
      </c>
      <c r="E1939" s="182">
        <f>IF(offer_sale_type="транзит",IFERROR(VLOOKUP($B1939,calc_data,E$14+1,0),0),0)</f>
        <v/>
      </c>
      <c r="F1939" s="182">
        <f>IF(offer_sale_type="транзит",IFERROR(VLOOKUP($B1939,calc_data,F$14+1,0),0),0)</f>
        <v/>
      </c>
      <c r="G1939" s="141">
        <f>IF(offer_sale_type="транзит",IFERROR(VLOOKUP($B1939,calc_data,G$14+1,0),0),0)</f>
        <v/>
      </c>
      <c r="H1939" s="141">
        <f>E1939*G1939</f>
        <v/>
      </c>
      <c r="I1939" s="141">
        <f>IF(offer_sale_type="транзит",IFERROR(ROUND(VLOOKUP($B1939,calc_data,I$14+1,0),2),0),0)</f>
        <v/>
      </c>
      <c r="J1939" s="141">
        <f>ROUND(IF(offer_sale_type="транзит",IFERROR(VLOOKUP($B1939,calc_data,J$14+1,0),0),0),2)</f>
        <v/>
      </c>
      <c r="K1939" s="142">
        <f>IF(offer_sale_type="транзит",IFERROR(ROUNDUP(VLOOKUP($B1939,calc_data,K$14+1,0),2),0),0)</f>
        <v/>
      </c>
      <c r="L1939" s="184">
        <f>IF(offer_sale_type="транзит",IFERROR(ROUNDUP(VLOOKUP($B1939,calc_data,L$14+1,0),2),0),0)</f>
        <v/>
      </c>
      <c r="M1939" s="141">
        <f>IF(offer_sale_type="транзит",IFERROR(ROUNDUP(VLOOKUP($B1939,calc_data,M$14+1,0),2),0),0)</f>
        <v/>
      </c>
      <c r="N1939" s="141">
        <f>IF(offer_sale_type="транзит",IFERROR(ROUNDUP(VLOOKUP($B1939,calc_data,N$14+1,0),2),0),0)</f>
        <v/>
      </c>
      <c r="O1939" s="147">
        <f>IF(offer_sale_type="транзит",IFERROR(ROUND(VLOOKUP($B1939,calc_data,O$14+1,1),2),0),0)</f>
        <v/>
      </c>
      <c r="P1939" s="141">
        <f>IF(offer_sale_type="транзит",IFERROR(ROUND(SUM(I1939:J1939,M1939:O1939)/E1939,2),0),0)</f>
        <v/>
      </c>
      <c r="Q1939" s="141">
        <f>E1939*P1939</f>
        <v/>
      </c>
      <c r="R1939" s="141">
        <f>ROUND(Q1939*IF(AND(offer_incoterms="DDP",seller_region="RU"),IF((TODAY()+offer_turnaround_time)&gt;=helpsheet!$L$17,rate_vatRU_from_26,rate_vatRu_till_25),0),2)</f>
        <v/>
      </c>
      <c r="S1939" s="177">
        <f>Q1939+IF(AND(offer_incoterms="DDP",seller_region="RU"),R1939,0)</f>
        <v/>
      </c>
      <c r="T1939" s="45" t="n"/>
      <c r="V1939" s="57">
        <f>IF(Q1939&gt;0,"показать","скрыть")</f>
        <v/>
      </c>
    </row>
    <row r="1940" ht="15.75" customHeight="1">
      <c r="B1940" s="809" t="n">
        <v>1924</v>
      </c>
      <c r="C1940" s="182">
        <f>IF(offer_sale_type="транзит",IFERROR(VLOOKUP($B1940,calc_data,C$14+1,0),0),0)</f>
        <v/>
      </c>
      <c r="D1940" s="280">
        <f>IF(offer_sale_type="транзит",IFERROR(VLOOKUP($B1940,calc_data,D$14+1,0),0),0)</f>
        <v/>
      </c>
      <c r="E1940" s="182">
        <f>IF(offer_sale_type="транзит",IFERROR(VLOOKUP($B1940,calc_data,E$14+1,0),0),0)</f>
        <v/>
      </c>
      <c r="F1940" s="182">
        <f>IF(offer_sale_type="транзит",IFERROR(VLOOKUP($B1940,calc_data,F$14+1,0),0),0)</f>
        <v/>
      </c>
      <c r="G1940" s="141">
        <f>IF(offer_sale_type="транзит",IFERROR(VLOOKUP($B1940,calc_data,G$14+1,0),0),0)</f>
        <v/>
      </c>
      <c r="H1940" s="141">
        <f>E1940*G1940</f>
        <v/>
      </c>
      <c r="I1940" s="141">
        <f>IF(offer_sale_type="транзит",IFERROR(ROUND(VLOOKUP($B1940,calc_data,I$14+1,0),2),0),0)</f>
        <v/>
      </c>
      <c r="J1940" s="141">
        <f>ROUND(IF(offer_sale_type="транзит",IFERROR(VLOOKUP($B1940,calc_data,J$14+1,0),0),0),2)</f>
        <v/>
      </c>
      <c r="K1940" s="142">
        <f>IF(offer_sale_type="транзит",IFERROR(ROUNDUP(VLOOKUP($B1940,calc_data,K$14+1,0),2),0),0)</f>
        <v/>
      </c>
      <c r="L1940" s="184">
        <f>IF(offer_sale_type="транзит",IFERROR(ROUNDUP(VLOOKUP($B1940,calc_data,L$14+1,0),2),0),0)</f>
        <v/>
      </c>
      <c r="M1940" s="141">
        <f>IF(offer_sale_type="транзит",IFERROR(ROUNDUP(VLOOKUP($B1940,calc_data,M$14+1,0),2),0),0)</f>
        <v/>
      </c>
      <c r="N1940" s="141">
        <f>IF(offer_sale_type="транзит",IFERROR(ROUNDUP(VLOOKUP($B1940,calc_data,N$14+1,0),2),0),0)</f>
        <v/>
      </c>
      <c r="O1940" s="147">
        <f>IF(offer_sale_type="транзит",IFERROR(ROUND(VLOOKUP($B1940,calc_data,O$14+1,1),2),0),0)</f>
        <v/>
      </c>
      <c r="P1940" s="141">
        <f>IF(offer_sale_type="транзит",IFERROR(ROUND(SUM(I1940:J1940,M1940:O1940)/E1940,2),0),0)</f>
        <v/>
      </c>
      <c r="Q1940" s="141">
        <f>E1940*P1940</f>
        <v/>
      </c>
      <c r="R1940" s="141">
        <f>ROUND(Q1940*IF(AND(offer_incoterms="DDP",seller_region="RU"),IF((TODAY()+offer_turnaround_time)&gt;=helpsheet!$L$17,rate_vatRU_from_26,rate_vatRu_till_25),0),2)</f>
        <v/>
      </c>
      <c r="S1940" s="177">
        <f>Q1940+IF(AND(offer_incoterms="DDP",seller_region="RU"),R1940,0)</f>
        <v/>
      </c>
      <c r="T1940" s="45" t="n"/>
      <c r="V1940" s="57">
        <f>IF(Q1940&gt;0,"показать","скрыть")</f>
        <v/>
      </c>
    </row>
    <row r="1941" ht="15.75" customHeight="1">
      <c r="B1941" s="809" t="n">
        <v>1925</v>
      </c>
      <c r="C1941" s="182">
        <f>IF(offer_sale_type="транзит",IFERROR(VLOOKUP($B1941,calc_data,C$14+1,0),0),0)</f>
        <v/>
      </c>
      <c r="D1941" s="280">
        <f>IF(offer_sale_type="транзит",IFERROR(VLOOKUP($B1941,calc_data,D$14+1,0),0),0)</f>
        <v/>
      </c>
      <c r="E1941" s="182">
        <f>IF(offer_sale_type="транзит",IFERROR(VLOOKUP($B1941,calc_data,E$14+1,0),0),0)</f>
        <v/>
      </c>
      <c r="F1941" s="182">
        <f>IF(offer_sale_type="транзит",IFERROR(VLOOKUP($B1941,calc_data,F$14+1,0),0),0)</f>
        <v/>
      </c>
      <c r="G1941" s="141">
        <f>IF(offer_sale_type="транзит",IFERROR(VLOOKUP($B1941,calc_data,G$14+1,0),0),0)</f>
        <v/>
      </c>
      <c r="H1941" s="141">
        <f>E1941*G1941</f>
        <v/>
      </c>
      <c r="I1941" s="141">
        <f>IF(offer_sale_type="транзит",IFERROR(ROUND(VLOOKUP($B1941,calc_data,I$14+1,0),2),0),0)</f>
        <v/>
      </c>
      <c r="J1941" s="141">
        <f>ROUND(IF(offer_sale_type="транзит",IFERROR(VLOOKUP($B1941,calc_data,J$14+1,0),0),0),2)</f>
        <v/>
      </c>
      <c r="K1941" s="142">
        <f>IF(offer_sale_type="транзит",IFERROR(ROUNDUP(VLOOKUP($B1941,calc_data,K$14+1,0),2),0),0)</f>
        <v/>
      </c>
      <c r="L1941" s="184">
        <f>IF(offer_sale_type="транзит",IFERROR(ROUNDUP(VLOOKUP($B1941,calc_data,L$14+1,0),2),0),0)</f>
        <v/>
      </c>
      <c r="M1941" s="141">
        <f>IF(offer_sale_type="транзит",IFERROR(ROUNDUP(VLOOKUP($B1941,calc_data,M$14+1,0),2),0),0)</f>
        <v/>
      </c>
      <c r="N1941" s="141">
        <f>IF(offer_sale_type="транзит",IFERROR(ROUNDUP(VLOOKUP($B1941,calc_data,N$14+1,0),2),0),0)</f>
        <v/>
      </c>
      <c r="O1941" s="147">
        <f>IF(offer_sale_type="транзит",IFERROR(ROUND(VLOOKUP($B1941,calc_data,O$14+1,1),2),0),0)</f>
        <v/>
      </c>
      <c r="P1941" s="141">
        <f>IF(offer_sale_type="транзит",IFERROR(ROUND(SUM(I1941:J1941,M1941:O1941)/E1941,2),0),0)</f>
        <v/>
      </c>
      <c r="Q1941" s="141">
        <f>E1941*P1941</f>
        <v/>
      </c>
      <c r="R1941" s="141">
        <f>ROUND(Q1941*IF(AND(offer_incoterms="DDP",seller_region="RU"),IF((TODAY()+offer_turnaround_time)&gt;=helpsheet!$L$17,rate_vatRU_from_26,rate_vatRu_till_25),0),2)</f>
        <v/>
      </c>
      <c r="S1941" s="177">
        <f>Q1941+IF(AND(offer_incoterms="DDP",seller_region="RU"),R1941,0)</f>
        <v/>
      </c>
      <c r="T1941" s="45" t="n"/>
      <c r="V1941" s="57">
        <f>IF(Q1941&gt;0,"показать","скрыть")</f>
        <v/>
      </c>
    </row>
    <row r="1942" ht="15.75" customHeight="1">
      <c r="B1942" s="809" t="n">
        <v>1926</v>
      </c>
      <c r="C1942" s="182">
        <f>IF(offer_sale_type="транзит",IFERROR(VLOOKUP($B1942,calc_data,C$14+1,0),0),0)</f>
        <v/>
      </c>
      <c r="D1942" s="280">
        <f>IF(offer_sale_type="транзит",IFERROR(VLOOKUP($B1942,calc_data,D$14+1,0),0),0)</f>
        <v/>
      </c>
      <c r="E1942" s="182">
        <f>IF(offer_sale_type="транзит",IFERROR(VLOOKUP($B1942,calc_data,E$14+1,0),0),0)</f>
        <v/>
      </c>
      <c r="F1942" s="182">
        <f>IF(offer_sale_type="транзит",IFERROR(VLOOKUP($B1942,calc_data,F$14+1,0),0),0)</f>
        <v/>
      </c>
      <c r="G1942" s="141">
        <f>IF(offer_sale_type="транзит",IFERROR(VLOOKUP($B1942,calc_data,G$14+1,0),0),0)</f>
        <v/>
      </c>
      <c r="H1942" s="141">
        <f>E1942*G1942</f>
        <v/>
      </c>
      <c r="I1942" s="141">
        <f>IF(offer_sale_type="транзит",IFERROR(ROUND(VLOOKUP($B1942,calc_data,I$14+1,0),2),0),0)</f>
        <v/>
      </c>
      <c r="J1942" s="141">
        <f>ROUND(IF(offer_sale_type="транзит",IFERROR(VLOOKUP($B1942,calc_data,J$14+1,0),0),0),2)</f>
        <v/>
      </c>
      <c r="K1942" s="142">
        <f>IF(offer_sale_type="транзит",IFERROR(ROUNDUP(VLOOKUP($B1942,calc_data,K$14+1,0),2),0),0)</f>
        <v/>
      </c>
      <c r="L1942" s="184">
        <f>IF(offer_sale_type="транзит",IFERROR(ROUNDUP(VLOOKUP($B1942,calc_data,L$14+1,0),2),0),0)</f>
        <v/>
      </c>
      <c r="M1942" s="141">
        <f>IF(offer_sale_type="транзит",IFERROR(ROUNDUP(VLOOKUP($B1942,calc_data,M$14+1,0),2),0),0)</f>
        <v/>
      </c>
      <c r="N1942" s="141">
        <f>IF(offer_sale_type="транзит",IFERROR(ROUNDUP(VLOOKUP($B1942,calc_data,N$14+1,0),2),0),0)</f>
        <v/>
      </c>
      <c r="O1942" s="147">
        <f>IF(offer_sale_type="транзит",IFERROR(ROUND(VLOOKUP($B1942,calc_data,O$14+1,1),2),0),0)</f>
        <v/>
      </c>
      <c r="P1942" s="141">
        <f>IF(offer_sale_type="транзит",IFERROR(ROUND(SUM(I1942:J1942,M1942:O1942)/E1942,2),0),0)</f>
        <v/>
      </c>
      <c r="Q1942" s="141">
        <f>E1942*P1942</f>
        <v/>
      </c>
      <c r="R1942" s="141">
        <f>ROUND(Q1942*IF(AND(offer_incoterms="DDP",seller_region="RU"),IF((TODAY()+offer_turnaround_time)&gt;=helpsheet!$L$17,rate_vatRU_from_26,rate_vatRu_till_25),0),2)</f>
        <v/>
      </c>
      <c r="S1942" s="177">
        <f>Q1942+IF(AND(offer_incoterms="DDP",seller_region="RU"),R1942,0)</f>
        <v/>
      </c>
      <c r="T1942" s="45" t="n"/>
      <c r="V1942" s="57">
        <f>IF(Q1942&gt;0,"показать","скрыть")</f>
        <v/>
      </c>
    </row>
    <row r="1943" ht="15.75" customHeight="1">
      <c r="B1943" s="809" t="n">
        <v>1927</v>
      </c>
      <c r="C1943" s="182">
        <f>IF(offer_sale_type="транзит",IFERROR(VLOOKUP($B1943,calc_data,C$14+1,0),0),0)</f>
        <v/>
      </c>
      <c r="D1943" s="280">
        <f>IF(offer_sale_type="транзит",IFERROR(VLOOKUP($B1943,calc_data,D$14+1,0),0),0)</f>
        <v/>
      </c>
      <c r="E1943" s="182">
        <f>IF(offer_sale_type="транзит",IFERROR(VLOOKUP($B1943,calc_data,E$14+1,0),0),0)</f>
        <v/>
      </c>
      <c r="F1943" s="182">
        <f>IF(offer_sale_type="транзит",IFERROR(VLOOKUP($B1943,calc_data,F$14+1,0),0),0)</f>
        <v/>
      </c>
      <c r="G1943" s="141">
        <f>IF(offer_sale_type="транзит",IFERROR(VLOOKUP($B1943,calc_data,G$14+1,0),0),0)</f>
        <v/>
      </c>
      <c r="H1943" s="141">
        <f>E1943*G1943</f>
        <v/>
      </c>
      <c r="I1943" s="141">
        <f>IF(offer_sale_type="транзит",IFERROR(ROUND(VLOOKUP($B1943,calc_data,I$14+1,0),2),0),0)</f>
        <v/>
      </c>
      <c r="J1943" s="141">
        <f>ROUND(IF(offer_sale_type="транзит",IFERROR(VLOOKUP($B1943,calc_data,J$14+1,0),0),0),2)</f>
        <v/>
      </c>
      <c r="K1943" s="142">
        <f>IF(offer_sale_type="транзит",IFERROR(ROUNDUP(VLOOKUP($B1943,calc_data,K$14+1,0),2),0),0)</f>
        <v/>
      </c>
      <c r="L1943" s="184">
        <f>IF(offer_sale_type="транзит",IFERROR(ROUNDUP(VLOOKUP($B1943,calc_data,L$14+1,0),2),0),0)</f>
        <v/>
      </c>
      <c r="M1943" s="141">
        <f>IF(offer_sale_type="транзит",IFERROR(ROUNDUP(VLOOKUP($B1943,calc_data,M$14+1,0),2),0),0)</f>
        <v/>
      </c>
      <c r="N1943" s="141">
        <f>IF(offer_sale_type="транзит",IFERROR(ROUNDUP(VLOOKUP($B1943,calc_data,N$14+1,0),2),0),0)</f>
        <v/>
      </c>
      <c r="O1943" s="147">
        <f>IF(offer_sale_type="транзит",IFERROR(ROUND(VLOOKUP($B1943,calc_data,O$14+1,1),2),0),0)</f>
        <v/>
      </c>
      <c r="P1943" s="141">
        <f>IF(offer_sale_type="транзит",IFERROR(ROUND(SUM(I1943:J1943,M1943:O1943)/E1943,2),0),0)</f>
        <v/>
      </c>
      <c r="Q1943" s="141">
        <f>E1943*P1943</f>
        <v/>
      </c>
      <c r="R1943" s="141">
        <f>ROUND(Q1943*IF(AND(offer_incoterms="DDP",seller_region="RU"),IF((TODAY()+offer_turnaround_time)&gt;=helpsheet!$L$17,rate_vatRU_from_26,rate_vatRu_till_25),0),2)</f>
        <v/>
      </c>
      <c r="S1943" s="177">
        <f>Q1943+IF(AND(offer_incoterms="DDP",seller_region="RU"),R1943,0)</f>
        <v/>
      </c>
      <c r="T1943" s="45" t="n"/>
      <c r="V1943" s="57">
        <f>IF(Q1943&gt;0,"показать","скрыть")</f>
        <v/>
      </c>
    </row>
    <row r="1944" ht="15.75" customHeight="1">
      <c r="B1944" s="809" t="n">
        <v>1928</v>
      </c>
      <c r="C1944" s="182">
        <f>IF(offer_sale_type="транзит",IFERROR(VLOOKUP($B1944,calc_data,C$14+1,0),0),0)</f>
        <v/>
      </c>
      <c r="D1944" s="280">
        <f>IF(offer_sale_type="транзит",IFERROR(VLOOKUP($B1944,calc_data,D$14+1,0),0),0)</f>
        <v/>
      </c>
      <c r="E1944" s="182">
        <f>IF(offer_sale_type="транзит",IFERROR(VLOOKUP($B1944,calc_data,E$14+1,0),0),0)</f>
        <v/>
      </c>
      <c r="F1944" s="182">
        <f>IF(offer_sale_type="транзит",IFERROR(VLOOKUP($B1944,calc_data,F$14+1,0),0),0)</f>
        <v/>
      </c>
      <c r="G1944" s="141">
        <f>IF(offer_sale_type="транзит",IFERROR(VLOOKUP($B1944,calc_data,G$14+1,0),0),0)</f>
        <v/>
      </c>
      <c r="H1944" s="141">
        <f>E1944*G1944</f>
        <v/>
      </c>
      <c r="I1944" s="141">
        <f>IF(offer_sale_type="транзит",IFERROR(ROUND(VLOOKUP($B1944,calc_data,I$14+1,0),2),0),0)</f>
        <v/>
      </c>
      <c r="J1944" s="141">
        <f>ROUND(IF(offer_sale_type="транзит",IFERROR(VLOOKUP($B1944,calc_data,J$14+1,0),0),0),2)</f>
        <v/>
      </c>
      <c r="K1944" s="142">
        <f>IF(offer_sale_type="транзит",IFERROR(ROUNDUP(VLOOKUP($B1944,calc_data,K$14+1,0),2),0),0)</f>
        <v/>
      </c>
      <c r="L1944" s="184">
        <f>IF(offer_sale_type="транзит",IFERROR(ROUNDUP(VLOOKUP($B1944,calc_data,L$14+1,0),2),0),0)</f>
        <v/>
      </c>
      <c r="M1944" s="141">
        <f>IF(offer_sale_type="транзит",IFERROR(ROUNDUP(VLOOKUP($B1944,calc_data,M$14+1,0),2),0),0)</f>
        <v/>
      </c>
      <c r="N1944" s="141">
        <f>IF(offer_sale_type="транзит",IFERROR(ROUNDUP(VLOOKUP($B1944,calc_data,N$14+1,0),2),0),0)</f>
        <v/>
      </c>
      <c r="O1944" s="147">
        <f>IF(offer_sale_type="транзит",IFERROR(ROUND(VLOOKUP($B1944,calc_data,O$14+1,1),2),0),0)</f>
        <v/>
      </c>
      <c r="P1944" s="141">
        <f>IF(offer_sale_type="транзит",IFERROR(ROUND(SUM(I1944:J1944,M1944:O1944)/E1944,2),0),0)</f>
        <v/>
      </c>
      <c r="Q1944" s="141">
        <f>E1944*P1944</f>
        <v/>
      </c>
      <c r="R1944" s="141">
        <f>ROUND(Q1944*IF(AND(offer_incoterms="DDP",seller_region="RU"),IF((TODAY()+offer_turnaround_time)&gt;=helpsheet!$L$17,rate_vatRU_from_26,rate_vatRu_till_25),0),2)</f>
        <v/>
      </c>
      <c r="S1944" s="177">
        <f>Q1944+IF(AND(offer_incoterms="DDP",seller_region="RU"),R1944,0)</f>
        <v/>
      </c>
      <c r="T1944" s="45" t="n"/>
      <c r="V1944" s="57">
        <f>IF(Q1944&gt;0,"показать","скрыть")</f>
        <v/>
      </c>
    </row>
    <row r="1945" ht="15.75" customHeight="1">
      <c r="B1945" s="809" t="n">
        <v>1929</v>
      </c>
      <c r="C1945" s="182">
        <f>IF(offer_sale_type="транзит",IFERROR(VLOOKUP($B1945,calc_data,C$14+1,0),0),0)</f>
        <v/>
      </c>
      <c r="D1945" s="280">
        <f>IF(offer_sale_type="транзит",IFERROR(VLOOKUP($B1945,calc_data,D$14+1,0),0),0)</f>
        <v/>
      </c>
      <c r="E1945" s="182">
        <f>IF(offer_sale_type="транзит",IFERROR(VLOOKUP($B1945,calc_data,E$14+1,0),0),0)</f>
        <v/>
      </c>
      <c r="F1945" s="182">
        <f>IF(offer_sale_type="транзит",IFERROR(VLOOKUP($B1945,calc_data,F$14+1,0),0),0)</f>
        <v/>
      </c>
      <c r="G1945" s="141">
        <f>IF(offer_sale_type="транзит",IFERROR(VLOOKUP($B1945,calc_data,G$14+1,0),0),0)</f>
        <v/>
      </c>
      <c r="H1945" s="141">
        <f>E1945*G1945</f>
        <v/>
      </c>
      <c r="I1945" s="141">
        <f>IF(offer_sale_type="транзит",IFERROR(ROUND(VLOOKUP($B1945,calc_data,I$14+1,0),2),0),0)</f>
        <v/>
      </c>
      <c r="J1945" s="141">
        <f>ROUND(IF(offer_sale_type="транзит",IFERROR(VLOOKUP($B1945,calc_data,J$14+1,0),0),0),2)</f>
        <v/>
      </c>
      <c r="K1945" s="142">
        <f>IF(offer_sale_type="транзит",IFERROR(ROUNDUP(VLOOKUP($B1945,calc_data,K$14+1,0),2),0),0)</f>
        <v/>
      </c>
      <c r="L1945" s="184">
        <f>IF(offer_sale_type="транзит",IFERROR(ROUNDUP(VLOOKUP($B1945,calc_data,L$14+1,0),2),0),0)</f>
        <v/>
      </c>
      <c r="M1945" s="141">
        <f>IF(offer_sale_type="транзит",IFERROR(ROUNDUP(VLOOKUP($B1945,calc_data,M$14+1,0),2),0),0)</f>
        <v/>
      </c>
      <c r="N1945" s="141">
        <f>IF(offer_sale_type="транзит",IFERROR(ROUNDUP(VLOOKUP($B1945,calc_data,N$14+1,0),2),0),0)</f>
        <v/>
      </c>
      <c r="O1945" s="147">
        <f>IF(offer_sale_type="транзит",IFERROR(ROUND(VLOOKUP($B1945,calc_data,O$14+1,1),2),0),0)</f>
        <v/>
      </c>
      <c r="P1945" s="141">
        <f>IF(offer_sale_type="транзит",IFERROR(ROUND(SUM(I1945:J1945,M1945:O1945)/E1945,2),0),0)</f>
        <v/>
      </c>
      <c r="Q1945" s="141">
        <f>E1945*P1945</f>
        <v/>
      </c>
      <c r="R1945" s="141">
        <f>ROUND(Q1945*IF(AND(offer_incoterms="DDP",seller_region="RU"),IF((TODAY()+offer_turnaround_time)&gt;=helpsheet!$L$17,rate_vatRU_from_26,rate_vatRu_till_25),0),2)</f>
        <v/>
      </c>
      <c r="S1945" s="177">
        <f>Q1945+IF(AND(offer_incoterms="DDP",seller_region="RU"),R1945,0)</f>
        <v/>
      </c>
      <c r="T1945" s="45" t="n"/>
      <c r="V1945" s="57">
        <f>IF(Q1945&gt;0,"показать","скрыть")</f>
        <v/>
      </c>
    </row>
    <row r="1946" ht="15.75" customHeight="1">
      <c r="B1946" s="809" t="n">
        <v>1930</v>
      </c>
      <c r="C1946" s="182">
        <f>IF(offer_sale_type="транзит",IFERROR(VLOOKUP($B1946,calc_data,C$14+1,0),0),0)</f>
        <v/>
      </c>
      <c r="D1946" s="280">
        <f>IF(offer_sale_type="транзит",IFERROR(VLOOKUP($B1946,calc_data,D$14+1,0),0),0)</f>
        <v/>
      </c>
      <c r="E1946" s="182">
        <f>IF(offer_sale_type="транзит",IFERROR(VLOOKUP($B1946,calc_data,E$14+1,0),0),0)</f>
        <v/>
      </c>
      <c r="F1946" s="182">
        <f>IF(offer_sale_type="транзит",IFERROR(VLOOKUP($B1946,calc_data,F$14+1,0),0),0)</f>
        <v/>
      </c>
      <c r="G1946" s="141">
        <f>IF(offer_sale_type="транзит",IFERROR(VLOOKUP($B1946,calc_data,G$14+1,0),0),0)</f>
        <v/>
      </c>
      <c r="H1946" s="141">
        <f>E1946*G1946</f>
        <v/>
      </c>
      <c r="I1946" s="141">
        <f>IF(offer_sale_type="транзит",IFERROR(ROUND(VLOOKUP($B1946,calc_data,I$14+1,0),2),0),0)</f>
        <v/>
      </c>
      <c r="J1946" s="141">
        <f>ROUND(IF(offer_sale_type="транзит",IFERROR(VLOOKUP($B1946,calc_data,J$14+1,0),0),0),2)</f>
        <v/>
      </c>
      <c r="K1946" s="142">
        <f>IF(offer_sale_type="транзит",IFERROR(ROUNDUP(VLOOKUP($B1946,calc_data,K$14+1,0),2),0),0)</f>
        <v/>
      </c>
      <c r="L1946" s="184">
        <f>IF(offer_sale_type="транзит",IFERROR(ROUNDUP(VLOOKUP($B1946,calc_data,L$14+1,0),2),0),0)</f>
        <v/>
      </c>
      <c r="M1946" s="141">
        <f>IF(offer_sale_type="транзит",IFERROR(ROUNDUP(VLOOKUP($B1946,calc_data,M$14+1,0),2),0),0)</f>
        <v/>
      </c>
      <c r="N1946" s="141">
        <f>IF(offer_sale_type="транзит",IFERROR(ROUNDUP(VLOOKUP($B1946,calc_data,N$14+1,0),2),0),0)</f>
        <v/>
      </c>
      <c r="O1946" s="147">
        <f>IF(offer_sale_type="транзит",IFERROR(ROUND(VLOOKUP($B1946,calc_data,O$14+1,1),2),0),0)</f>
        <v/>
      </c>
      <c r="P1946" s="141">
        <f>IF(offer_sale_type="транзит",IFERROR(ROUND(SUM(I1946:J1946,M1946:O1946)/E1946,2),0),0)</f>
        <v/>
      </c>
      <c r="Q1946" s="141">
        <f>E1946*P1946</f>
        <v/>
      </c>
      <c r="R1946" s="141">
        <f>ROUND(Q1946*IF(AND(offer_incoterms="DDP",seller_region="RU"),IF((TODAY()+offer_turnaround_time)&gt;=helpsheet!$L$17,rate_vatRU_from_26,rate_vatRu_till_25),0),2)</f>
        <v/>
      </c>
      <c r="S1946" s="177">
        <f>Q1946+IF(AND(offer_incoterms="DDP",seller_region="RU"),R1946,0)</f>
        <v/>
      </c>
      <c r="T1946" s="45" t="n"/>
      <c r="V1946" s="57">
        <f>IF(Q1946&gt;0,"показать","скрыть")</f>
        <v/>
      </c>
    </row>
    <row r="1947" ht="15.75" customHeight="1">
      <c r="B1947" s="809" t="n">
        <v>1931</v>
      </c>
      <c r="C1947" s="182">
        <f>IF(offer_sale_type="транзит",IFERROR(VLOOKUP($B1947,calc_data,C$14+1,0),0),0)</f>
        <v/>
      </c>
      <c r="D1947" s="280">
        <f>IF(offer_sale_type="транзит",IFERROR(VLOOKUP($B1947,calc_data,D$14+1,0),0),0)</f>
        <v/>
      </c>
      <c r="E1947" s="182">
        <f>IF(offer_sale_type="транзит",IFERROR(VLOOKUP($B1947,calc_data,E$14+1,0),0),0)</f>
        <v/>
      </c>
      <c r="F1947" s="182">
        <f>IF(offer_sale_type="транзит",IFERROR(VLOOKUP($B1947,calc_data,F$14+1,0),0),0)</f>
        <v/>
      </c>
      <c r="G1947" s="141">
        <f>IF(offer_sale_type="транзит",IFERROR(VLOOKUP($B1947,calc_data,G$14+1,0),0),0)</f>
        <v/>
      </c>
      <c r="H1947" s="141">
        <f>E1947*G1947</f>
        <v/>
      </c>
      <c r="I1947" s="141">
        <f>IF(offer_sale_type="транзит",IFERROR(ROUND(VLOOKUP($B1947,calc_data,I$14+1,0),2),0),0)</f>
        <v/>
      </c>
      <c r="J1947" s="141">
        <f>ROUND(IF(offer_sale_type="транзит",IFERROR(VLOOKUP($B1947,calc_data,J$14+1,0),0),0),2)</f>
        <v/>
      </c>
      <c r="K1947" s="142">
        <f>IF(offer_sale_type="транзит",IFERROR(ROUNDUP(VLOOKUP($B1947,calc_data,K$14+1,0),2),0),0)</f>
        <v/>
      </c>
      <c r="L1947" s="184">
        <f>IF(offer_sale_type="транзит",IFERROR(ROUNDUP(VLOOKUP($B1947,calc_data,L$14+1,0),2),0),0)</f>
        <v/>
      </c>
      <c r="M1947" s="141">
        <f>IF(offer_sale_type="транзит",IFERROR(ROUNDUP(VLOOKUP($B1947,calc_data,M$14+1,0),2),0),0)</f>
        <v/>
      </c>
      <c r="N1947" s="141">
        <f>IF(offer_sale_type="транзит",IFERROR(ROUNDUP(VLOOKUP($B1947,calc_data,N$14+1,0),2),0),0)</f>
        <v/>
      </c>
      <c r="O1947" s="147">
        <f>IF(offer_sale_type="транзит",IFERROR(ROUND(VLOOKUP($B1947,calc_data,O$14+1,1),2),0),0)</f>
        <v/>
      </c>
      <c r="P1947" s="141">
        <f>IF(offer_sale_type="транзит",IFERROR(ROUND(SUM(I1947:J1947,M1947:O1947)/E1947,2),0),0)</f>
        <v/>
      </c>
      <c r="Q1947" s="141">
        <f>E1947*P1947</f>
        <v/>
      </c>
      <c r="R1947" s="141">
        <f>ROUND(Q1947*IF(AND(offer_incoterms="DDP",seller_region="RU"),IF((TODAY()+offer_turnaround_time)&gt;=helpsheet!$L$17,rate_vatRU_from_26,rate_vatRu_till_25),0),2)</f>
        <v/>
      </c>
      <c r="S1947" s="177">
        <f>Q1947+IF(AND(offer_incoterms="DDP",seller_region="RU"),R1947,0)</f>
        <v/>
      </c>
      <c r="T1947" s="45" t="n"/>
      <c r="V1947" s="57">
        <f>IF(Q1947&gt;0,"показать","скрыть")</f>
        <v/>
      </c>
    </row>
    <row r="1948" ht="15.75" customHeight="1">
      <c r="B1948" s="809" t="n">
        <v>1932</v>
      </c>
      <c r="C1948" s="182">
        <f>IF(offer_sale_type="транзит",IFERROR(VLOOKUP($B1948,calc_data,C$14+1,0),0),0)</f>
        <v/>
      </c>
      <c r="D1948" s="280">
        <f>IF(offer_sale_type="транзит",IFERROR(VLOOKUP($B1948,calc_data,D$14+1,0),0),0)</f>
        <v/>
      </c>
      <c r="E1948" s="182">
        <f>IF(offer_sale_type="транзит",IFERROR(VLOOKUP($B1948,calc_data,E$14+1,0),0),0)</f>
        <v/>
      </c>
      <c r="F1948" s="182">
        <f>IF(offer_sale_type="транзит",IFERROR(VLOOKUP($B1948,calc_data,F$14+1,0),0),0)</f>
        <v/>
      </c>
      <c r="G1948" s="141">
        <f>IF(offer_sale_type="транзит",IFERROR(VLOOKUP($B1948,calc_data,G$14+1,0),0),0)</f>
        <v/>
      </c>
      <c r="H1948" s="141">
        <f>E1948*G1948</f>
        <v/>
      </c>
      <c r="I1948" s="141">
        <f>IF(offer_sale_type="транзит",IFERROR(ROUND(VLOOKUP($B1948,calc_data,I$14+1,0),2),0),0)</f>
        <v/>
      </c>
      <c r="J1948" s="141">
        <f>ROUND(IF(offer_sale_type="транзит",IFERROR(VLOOKUP($B1948,calc_data,J$14+1,0),0),0),2)</f>
        <v/>
      </c>
      <c r="K1948" s="142">
        <f>IF(offer_sale_type="транзит",IFERROR(ROUNDUP(VLOOKUP($B1948,calc_data,K$14+1,0),2),0),0)</f>
        <v/>
      </c>
      <c r="L1948" s="184">
        <f>IF(offer_sale_type="транзит",IFERROR(ROUNDUP(VLOOKUP($B1948,calc_data,L$14+1,0),2),0),0)</f>
        <v/>
      </c>
      <c r="M1948" s="141">
        <f>IF(offer_sale_type="транзит",IFERROR(ROUNDUP(VLOOKUP($B1948,calc_data,M$14+1,0),2),0),0)</f>
        <v/>
      </c>
      <c r="N1948" s="141">
        <f>IF(offer_sale_type="транзит",IFERROR(ROUNDUP(VLOOKUP($B1948,calc_data,N$14+1,0),2),0),0)</f>
        <v/>
      </c>
      <c r="O1948" s="147">
        <f>IF(offer_sale_type="транзит",IFERROR(ROUND(VLOOKUP($B1948,calc_data,O$14+1,1),2),0),0)</f>
        <v/>
      </c>
      <c r="P1948" s="141">
        <f>IF(offer_sale_type="транзит",IFERROR(ROUND(SUM(I1948:J1948,M1948:O1948)/E1948,2),0),0)</f>
        <v/>
      </c>
      <c r="Q1948" s="141">
        <f>E1948*P1948</f>
        <v/>
      </c>
      <c r="R1948" s="141">
        <f>ROUND(Q1948*IF(AND(offer_incoterms="DDP",seller_region="RU"),IF((TODAY()+offer_turnaround_time)&gt;=helpsheet!$L$17,rate_vatRU_from_26,rate_vatRu_till_25),0),2)</f>
        <v/>
      </c>
      <c r="S1948" s="177">
        <f>Q1948+IF(AND(offer_incoterms="DDP",seller_region="RU"),R1948,0)</f>
        <v/>
      </c>
      <c r="T1948" s="45" t="n"/>
      <c r="V1948" s="57">
        <f>IF(Q1948&gt;0,"показать","скрыть")</f>
        <v/>
      </c>
    </row>
    <row r="1949" ht="15.75" customHeight="1">
      <c r="B1949" s="809" t="n">
        <v>1933</v>
      </c>
      <c r="C1949" s="182">
        <f>IF(offer_sale_type="транзит",IFERROR(VLOOKUP($B1949,calc_data,C$14+1,0),0),0)</f>
        <v/>
      </c>
      <c r="D1949" s="280">
        <f>IF(offer_sale_type="транзит",IFERROR(VLOOKUP($B1949,calc_data,D$14+1,0),0),0)</f>
        <v/>
      </c>
      <c r="E1949" s="182">
        <f>IF(offer_sale_type="транзит",IFERROR(VLOOKUP($B1949,calc_data,E$14+1,0),0),0)</f>
        <v/>
      </c>
      <c r="F1949" s="182">
        <f>IF(offer_sale_type="транзит",IFERROR(VLOOKUP($B1949,calc_data,F$14+1,0),0),0)</f>
        <v/>
      </c>
      <c r="G1949" s="141">
        <f>IF(offer_sale_type="транзит",IFERROR(VLOOKUP($B1949,calc_data,G$14+1,0),0),0)</f>
        <v/>
      </c>
      <c r="H1949" s="141">
        <f>E1949*G1949</f>
        <v/>
      </c>
      <c r="I1949" s="141">
        <f>IF(offer_sale_type="транзит",IFERROR(ROUND(VLOOKUP($B1949,calc_data,I$14+1,0),2),0),0)</f>
        <v/>
      </c>
      <c r="J1949" s="141">
        <f>ROUND(IF(offer_sale_type="транзит",IFERROR(VLOOKUP($B1949,calc_data,J$14+1,0),0),0),2)</f>
        <v/>
      </c>
      <c r="K1949" s="142">
        <f>IF(offer_sale_type="транзит",IFERROR(ROUNDUP(VLOOKUP($B1949,calc_data,K$14+1,0),2),0),0)</f>
        <v/>
      </c>
      <c r="L1949" s="184">
        <f>IF(offer_sale_type="транзит",IFERROR(ROUNDUP(VLOOKUP($B1949,calc_data,L$14+1,0),2),0),0)</f>
        <v/>
      </c>
      <c r="M1949" s="141">
        <f>IF(offer_sale_type="транзит",IFERROR(ROUNDUP(VLOOKUP($B1949,calc_data,M$14+1,0),2),0),0)</f>
        <v/>
      </c>
      <c r="N1949" s="141">
        <f>IF(offer_sale_type="транзит",IFERROR(ROUNDUP(VLOOKUP($B1949,calc_data,N$14+1,0),2),0),0)</f>
        <v/>
      </c>
      <c r="O1949" s="147">
        <f>IF(offer_sale_type="транзит",IFERROR(ROUND(VLOOKUP($B1949,calc_data,O$14+1,1),2),0),0)</f>
        <v/>
      </c>
      <c r="P1949" s="141">
        <f>IF(offer_sale_type="транзит",IFERROR(ROUND(SUM(I1949:J1949,M1949:O1949)/E1949,2),0),0)</f>
        <v/>
      </c>
      <c r="Q1949" s="141">
        <f>E1949*P1949</f>
        <v/>
      </c>
      <c r="R1949" s="141">
        <f>ROUND(Q1949*IF(AND(offer_incoterms="DDP",seller_region="RU"),IF((TODAY()+offer_turnaround_time)&gt;=helpsheet!$L$17,rate_vatRU_from_26,rate_vatRu_till_25),0),2)</f>
        <v/>
      </c>
      <c r="S1949" s="177">
        <f>Q1949+IF(AND(offer_incoterms="DDP",seller_region="RU"),R1949,0)</f>
        <v/>
      </c>
      <c r="T1949" s="45" t="n"/>
      <c r="V1949" s="57">
        <f>IF(Q1949&gt;0,"показать","скрыть")</f>
        <v/>
      </c>
    </row>
    <row r="1950" ht="15.75" customHeight="1">
      <c r="B1950" s="809" t="n">
        <v>1934</v>
      </c>
      <c r="C1950" s="182">
        <f>IF(offer_sale_type="транзит",IFERROR(VLOOKUP($B1950,calc_data,C$14+1,0),0),0)</f>
        <v/>
      </c>
      <c r="D1950" s="280">
        <f>IF(offer_sale_type="транзит",IFERROR(VLOOKUP($B1950,calc_data,D$14+1,0),0),0)</f>
        <v/>
      </c>
      <c r="E1950" s="182">
        <f>IF(offer_sale_type="транзит",IFERROR(VLOOKUP($B1950,calc_data,E$14+1,0),0),0)</f>
        <v/>
      </c>
      <c r="F1950" s="182">
        <f>IF(offer_sale_type="транзит",IFERROR(VLOOKUP($B1950,calc_data,F$14+1,0),0),0)</f>
        <v/>
      </c>
      <c r="G1950" s="141">
        <f>IF(offer_sale_type="транзит",IFERROR(VLOOKUP($B1950,calc_data,G$14+1,0),0),0)</f>
        <v/>
      </c>
      <c r="H1950" s="141">
        <f>E1950*G1950</f>
        <v/>
      </c>
      <c r="I1950" s="141">
        <f>IF(offer_sale_type="транзит",IFERROR(ROUND(VLOOKUP($B1950,calc_data,I$14+1,0),2),0),0)</f>
        <v/>
      </c>
      <c r="J1950" s="141">
        <f>ROUND(IF(offer_sale_type="транзит",IFERROR(VLOOKUP($B1950,calc_data,J$14+1,0),0),0),2)</f>
        <v/>
      </c>
      <c r="K1950" s="142">
        <f>IF(offer_sale_type="транзит",IFERROR(ROUNDUP(VLOOKUP($B1950,calc_data,K$14+1,0),2),0),0)</f>
        <v/>
      </c>
      <c r="L1950" s="184">
        <f>IF(offer_sale_type="транзит",IFERROR(ROUNDUP(VLOOKUP($B1950,calc_data,L$14+1,0),2),0),0)</f>
        <v/>
      </c>
      <c r="M1950" s="141">
        <f>IF(offer_sale_type="транзит",IFERROR(ROUNDUP(VLOOKUP($B1950,calc_data,M$14+1,0),2),0),0)</f>
        <v/>
      </c>
      <c r="N1950" s="141">
        <f>IF(offer_sale_type="транзит",IFERROR(ROUNDUP(VLOOKUP($B1950,calc_data,N$14+1,0),2),0),0)</f>
        <v/>
      </c>
      <c r="O1950" s="147">
        <f>IF(offer_sale_type="транзит",IFERROR(ROUND(VLOOKUP($B1950,calc_data,O$14+1,1),2),0),0)</f>
        <v/>
      </c>
      <c r="P1950" s="141">
        <f>IF(offer_sale_type="транзит",IFERROR(ROUND(SUM(I1950:J1950,M1950:O1950)/E1950,2),0),0)</f>
        <v/>
      </c>
      <c r="Q1950" s="141">
        <f>E1950*P1950</f>
        <v/>
      </c>
      <c r="R1950" s="141">
        <f>ROUND(Q1950*IF(AND(offer_incoterms="DDP",seller_region="RU"),IF((TODAY()+offer_turnaround_time)&gt;=helpsheet!$L$17,rate_vatRU_from_26,rate_vatRu_till_25),0),2)</f>
        <v/>
      </c>
      <c r="S1950" s="177">
        <f>Q1950+IF(AND(offer_incoterms="DDP",seller_region="RU"),R1950,0)</f>
        <v/>
      </c>
      <c r="T1950" s="45" t="n"/>
      <c r="V1950" s="57">
        <f>IF(Q1950&gt;0,"показать","скрыть")</f>
        <v/>
      </c>
    </row>
    <row r="1951" ht="15.75" customHeight="1">
      <c r="B1951" s="809" t="n">
        <v>1935</v>
      </c>
      <c r="C1951" s="182">
        <f>IF(offer_sale_type="транзит",IFERROR(VLOOKUP($B1951,calc_data,C$14+1,0),0),0)</f>
        <v/>
      </c>
      <c r="D1951" s="280">
        <f>IF(offer_sale_type="транзит",IFERROR(VLOOKUP($B1951,calc_data,D$14+1,0),0),0)</f>
        <v/>
      </c>
      <c r="E1951" s="182">
        <f>IF(offer_sale_type="транзит",IFERROR(VLOOKUP($B1951,calc_data,E$14+1,0),0),0)</f>
        <v/>
      </c>
      <c r="F1951" s="182">
        <f>IF(offer_sale_type="транзит",IFERROR(VLOOKUP($B1951,calc_data,F$14+1,0),0),0)</f>
        <v/>
      </c>
      <c r="G1951" s="141">
        <f>IF(offer_sale_type="транзит",IFERROR(VLOOKUP($B1951,calc_data,G$14+1,0),0),0)</f>
        <v/>
      </c>
      <c r="H1951" s="141">
        <f>E1951*G1951</f>
        <v/>
      </c>
      <c r="I1951" s="141">
        <f>IF(offer_sale_type="транзит",IFERROR(ROUND(VLOOKUP($B1951,calc_data,I$14+1,0),2),0),0)</f>
        <v/>
      </c>
      <c r="J1951" s="141">
        <f>ROUND(IF(offer_sale_type="транзит",IFERROR(VLOOKUP($B1951,calc_data,J$14+1,0),0),0),2)</f>
        <v/>
      </c>
      <c r="K1951" s="142">
        <f>IF(offer_sale_type="транзит",IFERROR(ROUNDUP(VLOOKUP($B1951,calc_data,K$14+1,0),2),0),0)</f>
        <v/>
      </c>
      <c r="L1951" s="184">
        <f>IF(offer_sale_type="транзит",IFERROR(ROUNDUP(VLOOKUP($B1951,calc_data,L$14+1,0),2),0),0)</f>
        <v/>
      </c>
      <c r="M1951" s="141">
        <f>IF(offer_sale_type="транзит",IFERROR(ROUNDUP(VLOOKUP($B1951,calc_data,M$14+1,0),2),0),0)</f>
        <v/>
      </c>
      <c r="N1951" s="141">
        <f>IF(offer_sale_type="транзит",IFERROR(ROUNDUP(VLOOKUP($B1951,calc_data,N$14+1,0),2),0),0)</f>
        <v/>
      </c>
      <c r="O1951" s="147">
        <f>IF(offer_sale_type="транзит",IFERROR(ROUND(VLOOKUP($B1951,calc_data,O$14+1,1),2),0),0)</f>
        <v/>
      </c>
      <c r="P1951" s="141">
        <f>IF(offer_sale_type="транзит",IFERROR(ROUND(SUM(I1951:J1951,M1951:O1951)/E1951,2),0),0)</f>
        <v/>
      </c>
      <c r="Q1951" s="141">
        <f>E1951*P1951</f>
        <v/>
      </c>
      <c r="R1951" s="141">
        <f>ROUND(Q1951*IF(AND(offer_incoterms="DDP",seller_region="RU"),IF((TODAY()+offer_turnaround_time)&gt;=helpsheet!$L$17,rate_vatRU_from_26,rate_vatRu_till_25),0),2)</f>
        <v/>
      </c>
      <c r="S1951" s="177">
        <f>Q1951+IF(AND(offer_incoterms="DDP",seller_region="RU"),R1951,0)</f>
        <v/>
      </c>
      <c r="T1951" s="45" t="n"/>
      <c r="V1951" s="57">
        <f>IF(Q1951&gt;0,"показать","скрыть")</f>
        <v/>
      </c>
    </row>
    <row r="1952" ht="15.75" customHeight="1">
      <c r="B1952" s="809" t="n">
        <v>1936</v>
      </c>
      <c r="C1952" s="182">
        <f>IF(offer_sale_type="транзит",IFERROR(VLOOKUP($B1952,calc_data,C$14+1,0),0),0)</f>
        <v/>
      </c>
      <c r="D1952" s="280">
        <f>IF(offer_sale_type="транзит",IFERROR(VLOOKUP($B1952,calc_data,D$14+1,0),0),0)</f>
        <v/>
      </c>
      <c r="E1952" s="182">
        <f>IF(offer_sale_type="транзит",IFERROR(VLOOKUP($B1952,calc_data,E$14+1,0),0),0)</f>
        <v/>
      </c>
      <c r="F1952" s="182">
        <f>IF(offer_sale_type="транзит",IFERROR(VLOOKUP($B1952,calc_data,F$14+1,0),0),0)</f>
        <v/>
      </c>
      <c r="G1952" s="141">
        <f>IF(offer_sale_type="транзит",IFERROR(VLOOKUP($B1952,calc_data,G$14+1,0),0),0)</f>
        <v/>
      </c>
      <c r="H1952" s="141">
        <f>E1952*G1952</f>
        <v/>
      </c>
      <c r="I1952" s="141">
        <f>IF(offer_sale_type="транзит",IFERROR(ROUND(VLOOKUP($B1952,calc_data,I$14+1,0),2),0),0)</f>
        <v/>
      </c>
      <c r="J1952" s="141">
        <f>ROUND(IF(offer_sale_type="транзит",IFERROR(VLOOKUP($B1952,calc_data,J$14+1,0),0),0),2)</f>
        <v/>
      </c>
      <c r="K1952" s="142">
        <f>IF(offer_sale_type="транзит",IFERROR(ROUNDUP(VLOOKUP($B1952,calc_data,K$14+1,0),2),0),0)</f>
        <v/>
      </c>
      <c r="L1952" s="184">
        <f>IF(offer_sale_type="транзит",IFERROR(ROUNDUP(VLOOKUP($B1952,calc_data,L$14+1,0),2),0),0)</f>
        <v/>
      </c>
      <c r="M1952" s="141">
        <f>IF(offer_sale_type="транзит",IFERROR(ROUNDUP(VLOOKUP($B1952,calc_data,M$14+1,0),2),0),0)</f>
        <v/>
      </c>
      <c r="N1952" s="141">
        <f>IF(offer_sale_type="транзит",IFERROR(ROUNDUP(VLOOKUP($B1952,calc_data,N$14+1,0),2),0),0)</f>
        <v/>
      </c>
      <c r="O1952" s="147">
        <f>IF(offer_sale_type="транзит",IFERROR(ROUND(VLOOKUP($B1952,calc_data,O$14+1,1),2),0),0)</f>
        <v/>
      </c>
      <c r="P1952" s="141">
        <f>IF(offer_sale_type="транзит",IFERROR(ROUND(SUM(I1952:J1952,M1952:O1952)/E1952,2),0),0)</f>
        <v/>
      </c>
      <c r="Q1952" s="141">
        <f>E1952*P1952</f>
        <v/>
      </c>
      <c r="R1952" s="141">
        <f>ROUND(Q1952*IF(AND(offer_incoterms="DDP",seller_region="RU"),IF((TODAY()+offer_turnaround_time)&gt;=helpsheet!$L$17,rate_vatRU_from_26,rate_vatRu_till_25),0),2)</f>
        <v/>
      </c>
      <c r="S1952" s="177">
        <f>Q1952+IF(AND(offer_incoterms="DDP",seller_region="RU"),R1952,0)</f>
        <v/>
      </c>
      <c r="T1952" s="45" t="n"/>
      <c r="V1952" s="57">
        <f>IF(Q1952&gt;0,"показать","скрыть")</f>
        <v/>
      </c>
    </row>
    <row r="1953" ht="15.75" customHeight="1">
      <c r="B1953" s="809" t="n">
        <v>1937</v>
      </c>
      <c r="C1953" s="182">
        <f>IF(offer_sale_type="транзит",IFERROR(VLOOKUP($B1953,calc_data,C$14+1,0),0),0)</f>
        <v/>
      </c>
      <c r="D1953" s="280">
        <f>IF(offer_sale_type="транзит",IFERROR(VLOOKUP($B1953,calc_data,D$14+1,0),0),0)</f>
        <v/>
      </c>
      <c r="E1953" s="182">
        <f>IF(offer_sale_type="транзит",IFERROR(VLOOKUP($B1953,calc_data,E$14+1,0),0),0)</f>
        <v/>
      </c>
      <c r="F1953" s="182">
        <f>IF(offer_sale_type="транзит",IFERROR(VLOOKUP($B1953,calc_data,F$14+1,0),0),0)</f>
        <v/>
      </c>
      <c r="G1953" s="141">
        <f>IF(offer_sale_type="транзит",IFERROR(VLOOKUP($B1953,calc_data,G$14+1,0),0),0)</f>
        <v/>
      </c>
      <c r="H1953" s="141">
        <f>E1953*G1953</f>
        <v/>
      </c>
      <c r="I1953" s="141">
        <f>IF(offer_sale_type="транзит",IFERROR(ROUND(VLOOKUP($B1953,calc_data,I$14+1,0),2),0),0)</f>
        <v/>
      </c>
      <c r="J1953" s="141">
        <f>ROUND(IF(offer_sale_type="транзит",IFERROR(VLOOKUP($B1953,calc_data,J$14+1,0),0),0),2)</f>
        <v/>
      </c>
      <c r="K1953" s="142">
        <f>IF(offer_sale_type="транзит",IFERROR(ROUNDUP(VLOOKUP($B1953,calc_data,K$14+1,0),2),0),0)</f>
        <v/>
      </c>
      <c r="L1953" s="184">
        <f>IF(offer_sale_type="транзит",IFERROR(ROUNDUP(VLOOKUP($B1953,calc_data,L$14+1,0),2),0),0)</f>
        <v/>
      </c>
      <c r="M1953" s="141">
        <f>IF(offer_sale_type="транзит",IFERROR(ROUNDUP(VLOOKUP($B1953,calc_data,M$14+1,0),2),0),0)</f>
        <v/>
      </c>
      <c r="N1953" s="141">
        <f>IF(offer_sale_type="транзит",IFERROR(ROUNDUP(VLOOKUP($B1953,calc_data,N$14+1,0),2),0),0)</f>
        <v/>
      </c>
      <c r="O1953" s="147">
        <f>IF(offer_sale_type="транзит",IFERROR(ROUND(VLOOKUP($B1953,calc_data,O$14+1,1),2),0),0)</f>
        <v/>
      </c>
      <c r="P1953" s="141">
        <f>IF(offer_sale_type="транзит",IFERROR(ROUND(SUM(I1953:J1953,M1953:O1953)/E1953,2),0),0)</f>
        <v/>
      </c>
      <c r="Q1953" s="141">
        <f>E1953*P1953</f>
        <v/>
      </c>
      <c r="R1953" s="141">
        <f>ROUND(Q1953*IF(AND(offer_incoterms="DDP",seller_region="RU"),IF((TODAY()+offer_turnaround_time)&gt;=helpsheet!$L$17,rate_vatRU_from_26,rate_vatRu_till_25),0),2)</f>
        <v/>
      </c>
      <c r="S1953" s="177">
        <f>Q1953+IF(AND(offer_incoterms="DDP",seller_region="RU"),R1953,0)</f>
        <v/>
      </c>
      <c r="T1953" s="45" t="n"/>
      <c r="V1953" s="57">
        <f>IF(Q1953&gt;0,"показать","скрыть")</f>
        <v/>
      </c>
    </row>
    <row r="1954" ht="15.75" customHeight="1">
      <c r="B1954" s="809" t="n">
        <v>1938</v>
      </c>
      <c r="C1954" s="182">
        <f>IF(offer_sale_type="транзит",IFERROR(VLOOKUP($B1954,calc_data,C$14+1,0),0),0)</f>
        <v/>
      </c>
      <c r="D1954" s="280">
        <f>IF(offer_sale_type="транзит",IFERROR(VLOOKUP($B1954,calc_data,D$14+1,0),0),0)</f>
        <v/>
      </c>
      <c r="E1954" s="182">
        <f>IF(offer_sale_type="транзит",IFERROR(VLOOKUP($B1954,calc_data,E$14+1,0),0),0)</f>
        <v/>
      </c>
      <c r="F1954" s="182">
        <f>IF(offer_sale_type="транзит",IFERROR(VLOOKUP($B1954,calc_data,F$14+1,0),0),0)</f>
        <v/>
      </c>
      <c r="G1954" s="141">
        <f>IF(offer_sale_type="транзит",IFERROR(VLOOKUP($B1954,calc_data,G$14+1,0),0),0)</f>
        <v/>
      </c>
      <c r="H1954" s="141">
        <f>E1954*G1954</f>
        <v/>
      </c>
      <c r="I1954" s="141">
        <f>IF(offer_sale_type="транзит",IFERROR(ROUND(VLOOKUP($B1954,calc_data,I$14+1,0),2),0),0)</f>
        <v/>
      </c>
      <c r="J1954" s="141">
        <f>ROUND(IF(offer_sale_type="транзит",IFERROR(VLOOKUP($B1954,calc_data,J$14+1,0),0),0),2)</f>
        <v/>
      </c>
      <c r="K1954" s="142">
        <f>IF(offer_sale_type="транзит",IFERROR(ROUNDUP(VLOOKUP($B1954,calc_data,K$14+1,0),2),0),0)</f>
        <v/>
      </c>
      <c r="L1954" s="184">
        <f>IF(offer_sale_type="транзит",IFERROR(ROUNDUP(VLOOKUP($B1954,calc_data,L$14+1,0),2),0),0)</f>
        <v/>
      </c>
      <c r="M1954" s="141">
        <f>IF(offer_sale_type="транзит",IFERROR(ROUNDUP(VLOOKUP($B1954,calc_data,M$14+1,0),2),0),0)</f>
        <v/>
      </c>
      <c r="N1954" s="141">
        <f>IF(offer_sale_type="транзит",IFERROR(ROUNDUP(VLOOKUP($B1954,calc_data,N$14+1,0),2),0),0)</f>
        <v/>
      </c>
      <c r="O1954" s="147">
        <f>IF(offer_sale_type="транзит",IFERROR(ROUND(VLOOKUP($B1954,calc_data,O$14+1,1),2),0),0)</f>
        <v/>
      </c>
      <c r="P1954" s="141">
        <f>IF(offer_sale_type="транзит",IFERROR(ROUND(SUM(I1954:J1954,M1954:O1954)/E1954,2),0),0)</f>
        <v/>
      </c>
      <c r="Q1954" s="141">
        <f>E1954*P1954</f>
        <v/>
      </c>
      <c r="R1954" s="141">
        <f>ROUND(Q1954*IF(AND(offer_incoterms="DDP",seller_region="RU"),IF((TODAY()+offer_turnaround_time)&gt;=helpsheet!$L$17,rate_vatRU_from_26,rate_vatRu_till_25),0),2)</f>
        <v/>
      </c>
      <c r="S1954" s="177">
        <f>Q1954+IF(AND(offer_incoterms="DDP",seller_region="RU"),R1954,0)</f>
        <v/>
      </c>
      <c r="T1954" s="45" t="n"/>
      <c r="V1954" s="57">
        <f>IF(Q1954&gt;0,"показать","скрыть")</f>
        <v/>
      </c>
    </row>
    <row r="1955" ht="15.75" customHeight="1">
      <c r="B1955" s="809" t="n">
        <v>1939</v>
      </c>
      <c r="C1955" s="182">
        <f>IF(offer_sale_type="транзит",IFERROR(VLOOKUP($B1955,calc_data,C$14+1,0),0),0)</f>
        <v/>
      </c>
      <c r="D1955" s="280">
        <f>IF(offer_sale_type="транзит",IFERROR(VLOOKUP($B1955,calc_data,D$14+1,0),0),0)</f>
        <v/>
      </c>
      <c r="E1955" s="182">
        <f>IF(offer_sale_type="транзит",IFERROR(VLOOKUP($B1955,calc_data,E$14+1,0),0),0)</f>
        <v/>
      </c>
      <c r="F1955" s="182">
        <f>IF(offer_sale_type="транзит",IFERROR(VLOOKUP($B1955,calc_data,F$14+1,0),0),0)</f>
        <v/>
      </c>
      <c r="G1955" s="141">
        <f>IF(offer_sale_type="транзит",IFERROR(VLOOKUP($B1955,calc_data,G$14+1,0),0),0)</f>
        <v/>
      </c>
      <c r="H1955" s="141">
        <f>E1955*G1955</f>
        <v/>
      </c>
      <c r="I1955" s="141">
        <f>IF(offer_sale_type="транзит",IFERROR(ROUND(VLOOKUP($B1955,calc_data,I$14+1,0),2),0),0)</f>
        <v/>
      </c>
      <c r="J1955" s="141">
        <f>ROUND(IF(offer_sale_type="транзит",IFERROR(VLOOKUP($B1955,calc_data,J$14+1,0),0),0),2)</f>
        <v/>
      </c>
      <c r="K1955" s="142">
        <f>IF(offer_sale_type="транзит",IFERROR(ROUNDUP(VLOOKUP($B1955,calc_data,K$14+1,0),2),0),0)</f>
        <v/>
      </c>
      <c r="L1955" s="184">
        <f>IF(offer_sale_type="транзит",IFERROR(ROUNDUP(VLOOKUP($B1955,calc_data,L$14+1,0),2),0),0)</f>
        <v/>
      </c>
      <c r="M1955" s="141">
        <f>IF(offer_sale_type="транзит",IFERROR(ROUNDUP(VLOOKUP($B1955,calc_data,M$14+1,0),2),0),0)</f>
        <v/>
      </c>
      <c r="N1955" s="141">
        <f>IF(offer_sale_type="транзит",IFERROR(ROUNDUP(VLOOKUP($B1955,calc_data,N$14+1,0),2),0),0)</f>
        <v/>
      </c>
      <c r="O1955" s="147">
        <f>IF(offer_sale_type="транзит",IFERROR(ROUND(VLOOKUP($B1955,calc_data,O$14+1,1),2),0),0)</f>
        <v/>
      </c>
      <c r="P1955" s="141">
        <f>IF(offer_sale_type="транзит",IFERROR(ROUND(SUM(I1955:J1955,M1955:O1955)/E1955,2),0),0)</f>
        <v/>
      </c>
      <c r="Q1955" s="141">
        <f>E1955*P1955</f>
        <v/>
      </c>
      <c r="R1955" s="141">
        <f>ROUND(Q1955*IF(AND(offer_incoterms="DDP",seller_region="RU"),IF((TODAY()+offer_turnaround_time)&gt;=helpsheet!$L$17,rate_vatRU_from_26,rate_vatRu_till_25),0),2)</f>
        <v/>
      </c>
      <c r="S1955" s="177">
        <f>Q1955+IF(AND(offer_incoterms="DDP",seller_region="RU"),R1955,0)</f>
        <v/>
      </c>
      <c r="T1955" s="45" t="n"/>
      <c r="V1955" s="57">
        <f>IF(Q1955&gt;0,"показать","скрыть")</f>
        <v/>
      </c>
    </row>
    <row r="1956" ht="15.75" customHeight="1">
      <c r="B1956" s="809" t="n">
        <v>1940</v>
      </c>
      <c r="C1956" s="182">
        <f>IF(offer_sale_type="транзит",IFERROR(VLOOKUP($B1956,calc_data,C$14+1,0),0),0)</f>
        <v/>
      </c>
      <c r="D1956" s="280">
        <f>IF(offer_sale_type="транзит",IFERROR(VLOOKUP($B1956,calc_data,D$14+1,0),0),0)</f>
        <v/>
      </c>
      <c r="E1956" s="182">
        <f>IF(offer_sale_type="транзит",IFERROR(VLOOKUP($B1956,calc_data,E$14+1,0),0),0)</f>
        <v/>
      </c>
      <c r="F1956" s="182">
        <f>IF(offer_sale_type="транзит",IFERROR(VLOOKUP($B1956,calc_data,F$14+1,0),0),0)</f>
        <v/>
      </c>
      <c r="G1956" s="141">
        <f>IF(offer_sale_type="транзит",IFERROR(VLOOKUP($B1956,calc_data,G$14+1,0),0),0)</f>
        <v/>
      </c>
      <c r="H1956" s="141">
        <f>E1956*G1956</f>
        <v/>
      </c>
      <c r="I1956" s="141">
        <f>IF(offer_sale_type="транзит",IFERROR(ROUND(VLOOKUP($B1956,calc_data,I$14+1,0),2),0),0)</f>
        <v/>
      </c>
      <c r="J1956" s="141">
        <f>ROUND(IF(offer_sale_type="транзит",IFERROR(VLOOKUP($B1956,calc_data,J$14+1,0),0),0),2)</f>
        <v/>
      </c>
      <c r="K1956" s="142">
        <f>IF(offer_sale_type="транзит",IFERROR(ROUNDUP(VLOOKUP($B1956,calc_data,K$14+1,0),2),0),0)</f>
        <v/>
      </c>
      <c r="L1956" s="184">
        <f>IF(offer_sale_type="транзит",IFERROR(ROUNDUP(VLOOKUP($B1956,calc_data,L$14+1,0),2),0),0)</f>
        <v/>
      </c>
      <c r="M1956" s="141">
        <f>IF(offer_sale_type="транзит",IFERROR(ROUNDUP(VLOOKUP($B1956,calc_data,M$14+1,0),2),0),0)</f>
        <v/>
      </c>
      <c r="N1956" s="141">
        <f>IF(offer_sale_type="транзит",IFERROR(ROUNDUP(VLOOKUP($B1956,calc_data,N$14+1,0),2),0),0)</f>
        <v/>
      </c>
      <c r="O1956" s="147">
        <f>IF(offer_sale_type="транзит",IFERROR(ROUND(VLOOKUP($B1956,calc_data,O$14+1,1),2),0),0)</f>
        <v/>
      </c>
      <c r="P1956" s="141">
        <f>IF(offer_sale_type="транзит",IFERROR(ROUND(SUM(I1956:J1956,M1956:O1956)/E1956,2),0),0)</f>
        <v/>
      </c>
      <c r="Q1956" s="141">
        <f>E1956*P1956</f>
        <v/>
      </c>
      <c r="R1956" s="141">
        <f>ROUND(Q1956*IF(AND(offer_incoterms="DDP",seller_region="RU"),IF((TODAY()+offer_turnaround_time)&gt;=helpsheet!$L$17,rate_vatRU_from_26,rate_vatRu_till_25),0),2)</f>
        <v/>
      </c>
      <c r="S1956" s="177">
        <f>Q1956+IF(AND(offer_incoterms="DDP",seller_region="RU"),R1956,0)</f>
        <v/>
      </c>
      <c r="T1956" s="45" t="n"/>
      <c r="V1956" s="57">
        <f>IF(Q1956&gt;0,"показать","скрыть")</f>
        <v/>
      </c>
    </row>
    <row r="1957" ht="15.75" customHeight="1">
      <c r="B1957" s="809" t="n">
        <v>1941</v>
      </c>
      <c r="C1957" s="182">
        <f>IF(offer_sale_type="транзит",IFERROR(VLOOKUP($B1957,calc_data,C$14+1,0),0),0)</f>
        <v/>
      </c>
      <c r="D1957" s="280">
        <f>IF(offer_sale_type="транзит",IFERROR(VLOOKUP($B1957,calc_data,D$14+1,0),0),0)</f>
        <v/>
      </c>
      <c r="E1957" s="182">
        <f>IF(offer_sale_type="транзит",IFERROR(VLOOKUP($B1957,calc_data,E$14+1,0),0),0)</f>
        <v/>
      </c>
      <c r="F1957" s="182">
        <f>IF(offer_sale_type="транзит",IFERROR(VLOOKUP($B1957,calc_data,F$14+1,0),0),0)</f>
        <v/>
      </c>
      <c r="G1957" s="141">
        <f>IF(offer_sale_type="транзит",IFERROR(VLOOKUP($B1957,calc_data,G$14+1,0),0),0)</f>
        <v/>
      </c>
      <c r="H1957" s="141">
        <f>E1957*G1957</f>
        <v/>
      </c>
      <c r="I1957" s="141">
        <f>IF(offer_sale_type="транзит",IFERROR(ROUND(VLOOKUP($B1957,calc_data,I$14+1,0),2),0),0)</f>
        <v/>
      </c>
      <c r="J1957" s="141">
        <f>ROUND(IF(offer_sale_type="транзит",IFERROR(VLOOKUP($B1957,calc_data,J$14+1,0),0),0),2)</f>
        <v/>
      </c>
      <c r="K1957" s="142">
        <f>IF(offer_sale_type="транзит",IFERROR(ROUNDUP(VLOOKUP($B1957,calc_data,K$14+1,0),2),0),0)</f>
        <v/>
      </c>
      <c r="L1957" s="184">
        <f>IF(offer_sale_type="транзит",IFERROR(ROUNDUP(VLOOKUP($B1957,calc_data,L$14+1,0),2),0),0)</f>
        <v/>
      </c>
      <c r="M1957" s="141">
        <f>IF(offer_sale_type="транзит",IFERROR(ROUNDUP(VLOOKUP($B1957,calc_data,M$14+1,0),2),0),0)</f>
        <v/>
      </c>
      <c r="N1957" s="141">
        <f>IF(offer_sale_type="транзит",IFERROR(ROUNDUP(VLOOKUP($B1957,calc_data,N$14+1,0),2),0),0)</f>
        <v/>
      </c>
      <c r="O1957" s="147">
        <f>IF(offer_sale_type="транзит",IFERROR(ROUND(VLOOKUP($B1957,calc_data,O$14+1,1),2),0),0)</f>
        <v/>
      </c>
      <c r="P1957" s="141">
        <f>IF(offer_sale_type="транзит",IFERROR(ROUND(SUM(I1957:J1957,M1957:O1957)/E1957,2),0),0)</f>
        <v/>
      </c>
      <c r="Q1957" s="141">
        <f>E1957*P1957</f>
        <v/>
      </c>
      <c r="R1957" s="141">
        <f>ROUND(Q1957*IF(AND(offer_incoterms="DDP",seller_region="RU"),IF((TODAY()+offer_turnaround_time)&gt;=helpsheet!$L$17,rate_vatRU_from_26,rate_vatRu_till_25),0),2)</f>
        <v/>
      </c>
      <c r="S1957" s="177">
        <f>Q1957+IF(AND(offer_incoterms="DDP",seller_region="RU"),R1957,0)</f>
        <v/>
      </c>
      <c r="T1957" s="45" t="n"/>
      <c r="V1957" s="57">
        <f>IF(Q1957&gt;0,"показать","скрыть")</f>
        <v/>
      </c>
    </row>
    <row r="1958" ht="15.75" customHeight="1">
      <c r="B1958" s="809" t="n">
        <v>1942</v>
      </c>
      <c r="C1958" s="182">
        <f>IF(offer_sale_type="транзит",IFERROR(VLOOKUP($B1958,calc_data,C$14+1,0),0),0)</f>
        <v/>
      </c>
      <c r="D1958" s="280">
        <f>IF(offer_sale_type="транзит",IFERROR(VLOOKUP($B1958,calc_data,D$14+1,0),0),0)</f>
        <v/>
      </c>
      <c r="E1958" s="182">
        <f>IF(offer_sale_type="транзит",IFERROR(VLOOKUP($B1958,calc_data,E$14+1,0),0),0)</f>
        <v/>
      </c>
      <c r="F1958" s="182">
        <f>IF(offer_sale_type="транзит",IFERROR(VLOOKUP($B1958,calc_data,F$14+1,0),0),0)</f>
        <v/>
      </c>
      <c r="G1958" s="141">
        <f>IF(offer_sale_type="транзит",IFERROR(VLOOKUP($B1958,calc_data,G$14+1,0),0),0)</f>
        <v/>
      </c>
      <c r="H1958" s="141">
        <f>E1958*G1958</f>
        <v/>
      </c>
      <c r="I1958" s="141">
        <f>IF(offer_sale_type="транзит",IFERROR(ROUND(VLOOKUP($B1958,calc_data,I$14+1,0),2),0),0)</f>
        <v/>
      </c>
      <c r="J1958" s="141">
        <f>ROUND(IF(offer_sale_type="транзит",IFERROR(VLOOKUP($B1958,calc_data,J$14+1,0),0),0),2)</f>
        <v/>
      </c>
      <c r="K1958" s="142">
        <f>IF(offer_sale_type="транзит",IFERROR(ROUNDUP(VLOOKUP($B1958,calc_data,K$14+1,0),2),0),0)</f>
        <v/>
      </c>
      <c r="L1958" s="184">
        <f>IF(offer_sale_type="транзит",IFERROR(ROUNDUP(VLOOKUP($B1958,calc_data,L$14+1,0),2),0),0)</f>
        <v/>
      </c>
      <c r="M1958" s="141">
        <f>IF(offer_sale_type="транзит",IFERROR(ROUNDUP(VLOOKUP($B1958,calc_data,M$14+1,0),2),0),0)</f>
        <v/>
      </c>
      <c r="N1958" s="141">
        <f>IF(offer_sale_type="транзит",IFERROR(ROUNDUP(VLOOKUP($B1958,calc_data,N$14+1,0),2),0),0)</f>
        <v/>
      </c>
      <c r="O1958" s="147">
        <f>IF(offer_sale_type="транзит",IFERROR(ROUND(VLOOKUP($B1958,calc_data,O$14+1,1),2),0),0)</f>
        <v/>
      </c>
      <c r="P1958" s="141">
        <f>IF(offer_sale_type="транзит",IFERROR(ROUND(SUM(I1958:J1958,M1958:O1958)/E1958,2),0),0)</f>
        <v/>
      </c>
      <c r="Q1958" s="141">
        <f>E1958*P1958</f>
        <v/>
      </c>
      <c r="R1958" s="141">
        <f>ROUND(Q1958*IF(AND(offer_incoterms="DDP",seller_region="RU"),IF((TODAY()+offer_turnaround_time)&gt;=helpsheet!$L$17,rate_vatRU_from_26,rate_vatRu_till_25),0),2)</f>
        <v/>
      </c>
      <c r="S1958" s="177">
        <f>Q1958+IF(AND(offer_incoterms="DDP",seller_region="RU"),R1958,0)</f>
        <v/>
      </c>
      <c r="T1958" s="45" t="n"/>
      <c r="V1958" s="57">
        <f>IF(Q1958&gt;0,"показать","скрыть")</f>
        <v/>
      </c>
    </row>
    <row r="1959" ht="15.75" customHeight="1">
      <c r="B1959" s="809" t="n">
        <v>1943</v>
      </c>
      <c r="C1959" s="182">
        <f>IF(offer_sale_type="транзит",IFERROR(VLOOKUP($B1959,calc_data,C$14+1,0),0),0)</f>
        <v/>
      </c>
      <c r="D1959" s="280">
        <f>IF(offer_sale_type="транзит",IFERROR(VLOOKUP($B1959,calc_data,D$14+1,0),0),0)</f>
        <v/>
      </c>
      <c r="E1959" s="182">
        <f>IF(offer_sale_type="транзит",IFERROR(VLOOKUP($B1959,calc_data,E$14+1,0),0),0)</f>
        <v/>
      </c>
      <c r="F1959" s="182">
        <f>IF(offer_sale_type="транзит",IFERROR(VLOOKUP($B1959,calc_data,F$14+1,0),0),0)</f>
        <v/>
      </c>
      <c r="G1959" s="141">
        <f>IF(offer_sale_type="транзит",IFERROR(VLOOKUP($B1959,calc_data,G$14+1,0),0),0)</f>
        <v/>
      </c>
      <c r="H1959" s="141">
        <f>E1959*G1959</f>
        <v/>
      </c>
      <c r="I1959" s="141">
        <f>IF(offer_sale_type="транзит",IFERROR(ROUND(VLOOKUP($B1959,calc_data,I$14+1,0),2),0),0)</f>
        <v/>
      </c>
      <c r="J1959" s="141">
        <f>ROUND(IF(offer_sale_type="транзит",IFERROR(VLOOKUP($B1959,calc_data,J$14+1,0),0),0),2)</f>
        <v/>
      </c>
      <c r="K1959" s="142">
        <f>IF(offer_sale_type="транзит",IFERROR(ROUNDUP(VLOOKUP($B1959,calc_data,K$14+1,0),2),0),0)</f>
        <v/>
      </c>
      <c r="L1959" s="184">
        <f>IF(offer_sale_type="транзит",IFERROR(ROUNDUP(VLOOKUP($B1959,calc_data,L$14+1,0),2),0),0)</f>
        <v/>
      </c>
      <c r="M1959" s="141">
        <f>IF(offer_sale_type="транзит",IFERROR(ROUNDUP(VLOOKUP($B1959,calc_data,M$14+1,0),2),0),0)</f>
        <v/>
      </c>
      <c r="N1959" s="141">
        <f>IF(offer_sale_type="транзит",IFERROR(ROUNDUP(VLOOKUP($B1959,calc_data,N$14+1,0),2),0),0)</f>
        <v/>
      </c>
      <c r="O1959" s="147">
        <f>IF(offer_sale_type="транзит",IFERROR(ROUND(VLOOKUP($B1959,calc_data,O$14+1,1),2),0),0)</f>
        <v/>
      </c>
      <c r="P1959" s="141">
        <f>IF(offer_sale_type="транзит",IFERROR(ROUND(SUM(I1959:J1959,M1959:O1959)/E1959,2),0),0)</f>
        <v/>
      </c>
      <c r="Q1959" s="141">
        <f>E1959*P1959</f>
        <v/>
      </c>
      <c r="R1959" s="141">
        <f>ROUND(Q1959*IF(AND(offer_incoterms="DDP",seller_region="RU"),IF((TODAY()+offer_turnaround_time)&gt;=helpsheet!$L$17,rate_vatRU_from_26,rate_vatRu_till_25),0),2)</f>
        <v/>
      </c>
      <c r="S1959" s="177">
        <f>Q1959+IF(AND(offer_incoterms="DDP",seller_region="RU"),R1959,0)</f>
        <v/>
      </c>
      <c r="T1959" s="45" t="n"/>
      <c r="V1959" s="57">
        <f>IF(Q1959&gt;0,"показать","скрыть")</f>
        <v/>
      </c>
    </row>
    <row r="1960" ht="15.75" customHeight="1">
      <c r="B1960" s="809" t="n">
        <v>1944</v>
      </c>
      <c r="C1960" s="182">
        <f>IF(offer_sale_type="транзит",IFERROR(VLOOKUP($B1960,calc_data,C$14+1,0),0),0)</f>
        <v/>
      </c>
      <c r="D1960" s="280">
        <f>IF(offer_sale_type="транзит",IFERROR(VLOOKUP($B1960,calc_data,D$14+1,0),0),0)</f>
        <v/>
      </c>
      <c r="E1960" s="182">
        <f>IF(offer_sale_type="транзит",IFERROR(VLOOKUP($B1960,calc_data,E$14+1,0),0),0)</f>
        <v/>
      </c>
      <c r="F1960" s="182">
        <f>IF(offer_sale_type="транзит",IFERROR(VLOOKUP($B1960,calc_data,F$14+1,0),0),0)</f>
        <v/>
      </c>
      <c r="G1960" s="141">
        <f>IF(offer_sale_type="транзит",IFERROR(VLOOKUP($B1960,calc_data,G$14+1,0),0),0)</f>
        <v/>
      </c>
      <c r="H1960" s="141">
        <f>E1960*G1960</f>
        <v/>
      </c>
      <c r="I1960" s="141">
        <f>IF(offer_sale_type="транзит",IFERROR(ROUND(VLOOKUP($B1960,calc_data,I$14+1,0),2),0),0)</f>
        <v/>
      </c>
      <c r="J1960" s="141">
        <f>ROUND(IF(offer_sale_type="транзит",IFERROR(VLOOKUP($B1960,calc_data,J$14+1,0),0),0),2)</f>
        <v/>
      </c>
      <c r="K1960" s="142">
        <f>IF(offer_sale_type="транзит",IFERROR(ROUNDUP(VLOOKUP($B1960,calc_data,K$14+1,0),2),0),0)</f>
        <v/>
      </c>
      <c r="L1960" s="184">
        <f>IF(offer_sale_type="транзит",IFERROR(ROUNDUP(VLOOKUP($B1960,calc_data,L$14+1,0),2),0),0)</f>
        <v/>
      </c>
      <c r="M1960" s="141">
        <f>IF(offer_sale_type="транзит",IFERROR(ROUNDUP(VLOOKUP($B1960,calc_data,M$14+1,0),2),0),0)</f>
        <v/>
      </c>
      <c r="N1960" s="141">
        <f>IF(offer_sale_type="транзит",IFERROR(ROUNDUP(VLOOKUP($B1960,calc_data,N$14+1,0),2),0),0)</f>
        <v/>
      </c>
      <c r="O1960" s="147">
        <f>IF(offer_sale_type="транзит",IFERROR(ROUND(VLOOKUP($B1960,calc_data,O$14+1,1),2),0),0)</f>
        <v/>
      </c>
      <c r="P1960" s="141">
        <f>IF(offer_sale_type="транзит",IFERROR(ROUND(SUM(I1960:J1960,M1960:O1960)/E1960,2),0),0)</f>
        <v/>
      </c>
      <c r="Q1960" s="141">
        <f>E1960*P1960</f>
        <v/>
      </c>
      <c r="R1960" s="141">
        <f>ROUND(Q1960*IF(AND(offer_incoterms="DDP",seller_region="RU"),IF((TODAY()+offer_turnaround_time)&gt;=helpsheet!$L$17,rate_vatRU_from_26,rate_vatRu_till_25),0),2)</f>
        <v/>
      </c>
      <c r="S1960" s="177">
        <f>Q1960+IF(AND(offer_incoterms="DDP",seller_region="RU"),R1960,0)</f>
        <v/>
      </c>
      <c r="T1960" s="45" t="n"/>
      <c r="V1960" s="57">
        <f>IF(Q1960&gt;0,"показать","скрыть")</f>
        <v/>
      </c>
    </row>
    <row r="1961" ht="15.75" customHeight="1">
      <c r="B1961" s="809" t="n">
        <v>1945</v>
      </c>
      <c r="C1961" s="182">
        <f>IF(offer_sale_type="транзит",IFERROR(VLOOKUP($B1961,calc_data,C$14+1,0),0),0)</f>
        <v/>
      </c>
      <c r="D1961" s="280">
        <f>IF(offer_sale_type="транзит",IFERROR(VLOOKUP($B1961,calc_data,D$14+1,0),0),0)</f>
        <v/>
      </c>
      <c r="E1961" s="182">
        <f>IF(offer_sale_type="транзит",IFERROR(VLOOKUP($B1961,calc_data,E$14+1,0),0),0)</f>
        <v/>
      </c>
      <c r="F1961" s="182">
        <f>IF(offer_sale_type="транзит",IFERROR(VLOOKUP($B1961,calc_data,F$14+1,0),0),0)</f>
        <v/>
      </c>
      <c r="G1961" s="141">
        <f>IF(offer_sale_type="транзит",IFERROR(VLOOKUP($B1961,calc_data,G$14+1,0),0),0)</f>
        <v/>
      </c>
      <c r="H1961" s="141">
        <f>E1961*G1961</f>
        <v/>
      </c>
      <c r="I1961" s="141">
        <f>IF(offer_sale_type="транзит",IFERROR(ROUND(VLOOKUP($B1961,calc_data,I$14+1,0),2),0),0)</f>
        <v/>
      </c>
      <c r="J1961" s="141">
        <f>ROUND(IF(offer_sale_type="транзит",IFERROR(VLOOKUP($B1961,calc_data,J$14+1,0),0),0),2)</f>
        <v/>
      </c>
      <c r="K1961" s="142">
        <f>IF(offer_sale_type="транзит",IFERROR(ROUNDUP(VLOOKUP($B1961,calc_data,K$14+1,0),2),0),0)</f>
        <v/>
      </c>
      <c r="L1961" s="184">
        <f>IF(offer_sale_type="транзит",IFERROR(ROUNDUP(VLOOKUP($B1961,calc_data,L$14+1,0),2),0),0)</f>
        <v/>
      </c>
      <c r="M1961" s="141">
        <f>IF(offer_sale_type="транзит",IFERROR(ROUNDUP(VLOOKUP($B1961,calc_data,M$14+1,0),2),0),0)</f>
        <v/>
      </c>
      <c r="N1961" s="141">
        <f>IF(offer_sale_type="транзит",IFERROR(ROUNDUP(VLOOKUP($B1961,calc_data,N$14+1,0),2),0),0)</f>
        <v/>
      </c>
      <c r="O1961" s="147">
        <f>IF(offer_sale_type="транзит",IFERROR(ROUND(VLOOKUP($B1961,calc_data,O$14+1,1),2),0),0)</f>
        <v/>
      </c>
      <c r="P1961" s="141">
        <f>IF(offer_sale_type="транзит",IFERROR(ROUND(SUM(I1961:J1961,M1961:O1961)/E1961,2),0),0)</f>
        <v/>
      </c>
      <c r="Q1961" s="141">
        <f>E1961*P1961</f>
        <v/>
      </c>
      <c r="R1961" s="141">
        <f>ROUND(Q1961*IF(AND(offer_incoterms="DDP",seller_region="RU"),IF((TODAY()+offer_turnaround_time)&gt;=helpsheet!$L$17,rate_vatRU_from_26,rate_vatRu_till_25),0),2)</f>
        <v/>
      </c>
      <c r="S1961" s="177">
        <f>Q1961+IF(AND(offer_incoterms="DDP",seller_region="RU"),R1961,0)</f>
        <v/>
      </c>
      <c r="T1961" s="45" t="n"/>
      <c r="V1961" s="57">
        <f>IF(Q1961&gt;0,"показать","скрыть")</f>
        <v/>
      </c>
    </row>
    <row r="1962" ht="15.75" customHeight="1">
      <c r="B1962" s="809" t="n">
        <v>1946</v>
      </c>
      <c r="C1962" s="182">
        <f>IF(offer_sale_type="транзит",IFERROR(VLOOKUP($B1962,calc_data,C$14+1,0),0),0)</f>
        <v/>
      </c>
      <c r="D1962" s="280">
        <f>IF(offer_sale_type="транзит",IFERROR(VLOOKUP($B1962,calc_data,D$14+1,0),0),0)</f>
        <v/>
      </c>
      <c r="E1962" s="182">
        <f>IF(offer_sale_type="транзит",IFERROR(VLOOKUP($B1962,calc_data,E$14+1,0),0),0)</f>
        <v/>
      </c>
      <c r="F1962" s="182">
        <f>IF(offer_sale_type="транзит",IFERROR(VLOOKUP($B1962,calc_data,F$14+1,0),0),0)</f>
        <v/>
      </c>
      <c r="G1962" s="141">
        <f>IF(offer_sale_type="транзит",IFERROR(VLOOKUP($B1962,calc_data,G$14+1,0),0),0)</f>
        <v/>
      </c>
      <c r="H1962" s="141">
        <f>E1962*G1962</f>
        <v/>
      </c>
      <c r="I1962" s="141">
        <f>IF(offer_sale_type="транзит",IFERROR(ROUND(VLOOKUP($B1962,calc_data,I$14+1,0),2),0),0)</f>
        <v/>
      </c>
      <c r="J1962" s="141">
        <f>ROUND(IF(offer_sale_type="транзит",IFERROR(VLOOKUP($B1962,calc_data,J$14+1,0),0),0),2)</f>
        <v/>
      </c>
      <c r="K1962" s="142">
        <f>IF(offer_sale_type="транзит",IFERROR(ROUNDUP(VLOOKUP($B1962,calc_data,K$14+1,0),2),0),0)</f>
        <v/>
      </c>
      <c r="L1962" s="184">
        <f>IF(offer_sale_type="транзит",IFERROR(ROUNDUP(VLOOKUP($B1962,calc_data,L$14+1,0),2),0),0)</f>
        <v/>
      </c>
      <c r="M1962" s="141">
        <f>IF(offer_sale_type="транзит",IFERROR(ROUNDUP(VLOOKUP($B1962,calc_data,M$14+1,0),2),0),0)</f>
        <v/>
      </c>
      <c r="N1962" s="141">
        <f>IF(offer_sale_type="транзит",IFERROR(ROUNDUP(VLOOKUP($B1962,calc_data,N$14+1,0),2),0),0)</f>
        <v/>
      </c>
      <c r="O1962" s="147">
        <f>IF(offer_sale_type="транзит",IFERROR(ROUND(VLOOKUP($B1962,calc_data,O$14+1,1),2),0),0)</f>
        <v/>
      </c>
      <c r="P1962" s="141">
        <f>IF(offer_sale_type="транзит",IFERROR(ROUND(SUM(I1962:J1962,M1962:O1962)/E1962,2),0),0)</f>
        <v/>
      </c>
      <c r="Q1962" s="141">
        <f>E1962*P1962</f>
        <v/>
      </c>
      <c r="R1962" s="141">
        <f>ROUND(Q1962*IF(AND(offer_incoterms="DDP",seller_region="RU"),IF((TODAY()+offer_turnaround_time)&gt;=helpsheet!$L$17,rate_vatRU_from_26,rate_vatRu_till_25),0),2)</f>
        <v/>
      </c>
      <c r="S1962" s="177">
        <f>Q1962+IF(AND(offer_incoterms="DDP",seller_region="RU"),R1962,0)</f>
        <v/>
      </c>
      <c r="T1962" s="45" t="n"/>
      <c r="V1962" s="57">
        <f>IF(Q1962&gt;0,"показать","скрыть")</f>
        <v/>
      </c>
    </row>
    <row r="1963" ht="15.75" customHeight="1">
      <c r="B1963" s="809" t="n">
        <v>1947</v>
      </c>
      <c r="C1963" s="182">
        <f>IF(offer_sale_type="транзит",IFERROR(VLOOKUP($B1963,calc_data,C$14+1,0),0),0)</f>
        <v/>
      </c>
      <c r="D1963" s="280">
        <f>IF(offer_sale_type="транзит",IFERROR(VLOOKUP($B1963,calc_data,D$14+1,0),0),0)</f>
        <v/>
      </c>
      <c r="E1963" s="182">
        <f>IF(offer_sale_type="транзит",IFERROR(VLOOKUP($B1963,calc_data,E$14+1,0),0),0)</f>
        <v/>
      </c>
      <c r="F1963" s="182">
        <f>IF(offer_sale_type="транзит",IFERROR(VLOOKUP($B1963,calc_data,F$14+1,0),0),0)</f>
        <v/>
      </c>
      <c r="G1963" s="141">
        <f>IF(offer_sale_type="транзит",IFERROR(VLOOKUP($B1963,calc_data,G$14+1,0),0),0)</f>
        <v/>
      </c>
      <c r="H1963" s="141">
        <f>E1963*G1963</f>
        <v/>
      </c>
      <c r="I1963" s="141">
        <f>IF(offer_sale_type="транзит",IFERROR(ROUND(VLOOKUP($B1963,calc_data,I$14+1,0),2),0),0)</f>
        <v/>
      </c>
      <c r="J1963" s="141">
        <f>ROUND(IF(offer_sale_type="транзит",IFERROR(VLOOKUP($B1963,calc_data,J$14+1,0),0),0),2)</f>
        <v/>
      </c>
      <c r="K1963" s="142">
        <f>IF(offer_sale_type="транзит",IFERROR(ROUNDUP(VLOOKUP($B1963,calc_data,K$14+1,0),2),0),0)</f>
        <v/>
      </c>
      <c r="L1963" s="184">
        <f>IF(offer_sale_type="транзит",IFERROR(ROUNDUP(VLOOKUP($B1963,calc_data,L$14+1,0),2),0),0)</f>
        <v/>
      </c>
      <c r="M1963" s="141">
        <f>IF(offer_sale_type="транзит",IFERROR(ROUNDUP(VLOOKUP($B1963,calc_data,M$14+1,0),2),0),0)</f>
        <v/>
      </c>
      <c r="N1963" s="141">
        <f>IF(offer_sale_type="транзит",IFERROR(ROUNDUP(VLOOKUP($B1963,calc_data,N$14+1,0),2),0),0)</f>
        <v/>
      </c>
      <c r="O1963" s="147">
        <f>IF(offer_sale_type="транзит",IFERROR(ROUND(VLOOKUP($B1963,calc_data,O$14+1,1),2),0),0)</f>
        <v/>
      </c>
      <c r="P1963" s="141">
        <f>IF(offer_sale_type="транзит",IFERROR(ROUND(SUM(I1963:J1963,M1963:O1963)/E1963,2),0),0)</f>
        <v/>
      </c>
      <c r="Q1963" s="141">
        <f>E1963*P1963</f>
        <v/>
      </c>
      <c r="R1963" s="141">
        <f>ROUND(Q1963*IF(AND(offer_incoterms="DDP",seller_region="RU"),IF((TODAY()+offer_turnaround_time)&gt;=helpsheet!$L$17,rate_vatRU_from_26,rate_vatRu_till_25),0),2)</f>
        <v/>
      </c>
      <c r="S1963" s="177">
        <f>Q1963+IF(AND(offer_incoterms="DDP",seller_region="RU"),R1963,0)</f>
        <v/>
      </c>
      <c r="T1963" s="45" t="n"/>
      <c r="V1963" s="57">
        <f>IF(Q1963&gt;0,"показать","скрыть")</f>
        <v/>
      </c>
    </row>
    <row r="1964" ht="15.75" customHeight="1">
      <c r="B1964" s="809" t="n">
        <v>1948</v>
      </c>
      <c r="C1964" s="182">
        <f>IF(offer_sale_type="транзит",IFERROR(VLOOKUP($B1964,calc_data,C$14+1,0),0),0)</f>
        <v/>
      </c>
      <c r="D1964" s="280">
        <f>IF(offer_sale_type="транзит",IFERROR(VLOOKUP($B1964,calc_data,D$14+1,0),0),0)</f>
        <v/>
      </c>
      <c r="E1964" s="182">
        <f>IF(offer_sale_type="транзит",IFERROR(VLOOKUP($B1964,calc_data,E$14+1,0),0),0)</f>
        <v/>
      </c>
      <c r="F1964" s="182">
        <f>IF(offer_sale_type="транзит",IFERROR(VLOOKUP($B1964,calc_data,F$14+1,0),0),0)</f>
        <v/>
      </c>
      <c r="G1964" s="141">
        <f>IF(offer_sale_type="транзит",IFERROR(VLOOKUP($B1964,calc_data,G$14+1,0),0),0)</f>
        <v/>
      </c>
      <c r="H1964" s="141">
        <f>E1964*G1964</f>
        <v/>
      </c>
      <c r="I1964" s="141">
        <f>IF(offer_sale_type="транзит",IFERROR(ROUND(VLOOKUP($B1964,calc_data,I$14+1,0),2),0),0)</f>
        <v/>
      </c>
      <c r="J1964" s="141">
        <f>ROUND(IF(offer_sale_type="транзит",IFERROR(VLOOKUP($B1964,calc_data,J$14+1,0),0),0),2)</f>
        <v/>
      </c>
      <c r="K1964" s="142">
        <f>IF(offer_sale_type="транзит",IFERROR(ROUNDUP(VLOOKUP($B1964,calc_data,K$14+1,0),2),0),0)</f>
        <v/>
      </c>
      <c r="L1964" s="184">
        <f>IF(offer_sale_type="транзит",IFERROR(ROUNDUP(VLOOKUP($B1964,calc_data,L$14+1,0),2),0),0)</f>
        <v/>
      </c>
      <c r="M1964" s="141">
        <f>IF(offer_sale_type="транзит",IFERROR(ROUNDUP(VLOOKUP($B1964,calc_data,M$14+1,0),2),0),0)</f>
        <v/>
      </c>
      <c r="N1964" s="141">
        <f>IF(offer_sale_type="транзит",IFERROR(ROUNDUP(VLOOKUP($B1964,calc_data,N$14+1,0),2),0),0)</f>
        <v/>
      </c>
      <c r="O1964" s="147">
        <f>IF(offer_sale_type="транзит",IFERROR(ROUND(VLOOKUP($B1964,calc_data,O$14+1,1),2),0),0)</f>
        <v/>
      </c>
      <c r="P1964" s="141">
        <f>IF(offer_sale_type="транзит",IFERROR(ROUND(SUM(I1964:J1964,M1964:O1964)/E1964,2),0),0)</f>
        <v/>
      </c>
      <c r="Q1964" s="141">
        <f>E1964*P1964</f>
        <v/>
      </c>
      <c r="R1964" s="141">
        <f>ROUND(Q1964*IF(AND(offer_incoterms="DDP",seller_region="RU"),IF((TODAY()+offer_turnaround_time)&gt;=helpsheet!$L$17,rate_vatRU_from_26,rate_vatRu_till_25),0),2)</f>
        <v/>
      </c>
      <c r="S1964" s="177">
        <f>Q1964+IF(AND(offer_incoterms="DDP",seller_region="RU"),R1964,0)</f>
        <v/>
      </c>
      <c r="T1964" s="45" t="n"/>
      <c r="V1964" s="57">
        <f>IF(Q1964&gt;0,"показать","скрыть")</f>
        <v/>
      </c>
    </row>
    <row r="1965" ht="15.75" customHeight="1">
      <c r="B1965" s="809" t="n">
        <v>1949</v>
      </c>
      <c r="C1965" s="182">
        <f>IF(offer_sale_type="транзит",IFERROR(VLOOKUP($B1965,calc_data,C$14+1,0),0),0)</f>
        <v/>
      </c>
      <c r="D1965" s="280">
        <f>IF(offer_sale_type="транзит",IFERROR(VLOOKUP($B1965,calc_data,D$14+1,0),0),0)</f>
        <v/>
      </c>
      <c r="E1965" s="182">
        <f>IF(offer_sale_type="транзит",IFERROR(VLOOKUP($B1965,calc_data,E$14+1,0),0),0)</f>
        <v/>
      </c>
      <c r="F1965" s="182">
        <f>IF(offer_sale_type="транзит",IFERROR(VLOOKUP($B1965,calc_data,F$14+1,0),0),0)</f>
        <v/>
      </c>
      <c r="G1965" s="141">
        <f>IF(offer_sale_type="транзит",IFERROR(VLOOKUP($B1965,calc_data,G$14+1,0),0),0)</f>
        <v/>
      </c>
      <c r="H1965" s="141">
        <f>E1965*G1965</f>
        <v/>
      </c>
      <c r="I1965" s="141">
        <f>IF(offer_sale_type="транзит",IFERROR(ROUND(VLOOKUP($B1965,calc_data,I$14+1,0),2),0),0)</f>
        <v/>
      </c>
      <c r="J1965" s="141">
        <f>ROUND(IF(offer_sale_type="транзит",IFERROR(VLOOKUP($B1965,calc_data,J$14+1,0),0),0),2)</f>
        <v/>
      </c>
      <c r="K1965" s="142">
        <f>IF(offer_sale_type="транзит",IFERROR(ROUNDUP(VLOOKUP($B1965,calc_data,K$14+1,0),2),0),0)</f>
        <v/>
      </c>
      <c r="L1965" s="184">
        <f>IF(offer_sale_type="транзит",IFERROR(ROUNDUP(VLOOKUP($B1965,calc_data,L$14+1,0),2),0),0)</f>
        <v/>
      </c>
      <c r="M1965" s="141">
        <f>IF(offer_sale_type="транзит",IFERROR(ROUNDUP(VLOOKUP($B1965,calc_data,M$14+1,0),2),0),0)</f>
        <v/>
      </c>
      <c r="N1965" s="141">
        <f>IF(offer_sale_type="транзит",IFERROR(ROUNDUP(VLOOKUP($B1965,calc_data,N$14+1,0),2),0),0)</f>
        <v/>
      </c>
      <c r="O1965" s="147">
        <f>IF(offer_sale_type="транзит",IFERROR(ROUND(VLOOKUP($B1965,calc_data,O$14+1,1),2),0),0)</f>
        <v/>
      </c>
      <c r="P1965" s="141">
        <f>IF(offer_sale_type="транзит",IFERROR(ROUND(SUM(I1965:J1965,M1965:O1965)/E1965,2),0),0)</f>
        <v/>
      </c>
      <c r="Q1965" s="141">
        <f>E1965*P1965</f>
        <v/>
      </c>
      <c r="R1965" s="141">
        <f>ROUND(Q1965*IF(AND(offer_incoterms="DDP",seller_region="RU"),IF((TODAY()+offer_turnaround_time)&gt;=helpsheet!$L$17,rate_vatRU_from_26,rate_vatRu_till_25),0),2)</f>
        <v/>
      </c>
      <c r="S1965" s="177">
        <f>Q1965+IF(AND(offer_incoterms="DDP",seller_region="RU"),R1965,0)</f>
        <v/>
      </c>
      <c r="T1965" s="45" t="n"/>
      <c r="V1965" s="57">
        <f>IF(Q1965&gt;0,"показать","скрыть")</f>
        <v/>
      </c>
    </row>
    <row r="1966" ht="15.75" customHeight="1">
      <c r="B1966" s="809" t="n">
        <v>1950</v>
      </c>
      <c r="C1966" s="182">
        <f>IF(offer_sale_type="транзит",IFERROR(VLOOKUP($B1966,calc_data,C$14+1,0),0),0)</f>
        <v/>
      </c>
      <c r="D1966" s="280">
        <f>IF(offer_sale_type="транзит",IFERROR(VLOOKUP($B1966,calc_data,D$14+1,0),0),0)</f>
        <v/>
      </c>
      <c r="E1966" s="182">
        <f>IF(offer_sale_type="транзит",IFERROR(VLOOKUP($B1966,calc_data,E$14+1,0),0),0)</f>
        <v/>
      </c>
      <c r="F1966" s="182">
        <f>IF(offer_sale_type="транзит",IFERROR(VLOOKUP($B1966,calc_data,F$14+1,0),0),0)</f>
        <v/>
      </c>
      <c r="G1966" s="141">
        <f>IF(offer_sale_type="транзит",IFERROR(VLOOKUP($B1966,calc_data,G$14+1,0),0),0)</f>
        <v/>
      </c>
      <c r="H1966" s="141">
        <f>E1966*G1966</f>
        <v/>
      </c>
      <c r="I1966" s="141">
        <f>IF(offer_sale_type="транзит",IFERROR(ROUND(VLOOKUP($B1966,calc_data,I$14+1,0),2),0),0)</f>
        <v/>
      </c>
      <c r="J1966" s="141">
        <f>ROUND(IF(offer_sale_type="транзит",IFERROR(VLOOKUP($B1966,calc_data,J$14+1,0),0),0),2)</f>
        <v/>
      </c>
      <c r="K1966" s="142">
        <f>IF(offer_sale_type="транзит",IFERROR(ROUNDUP(VLOOKUP($B1966,calc_data,K$14+1,0),2),0),0)</f>
        <v/>
      </c>
      <c r="L1966" s="184">
        <f>IF(offer_sale_type="транзит",IFERROR(ROUNDUP(VLOOKUP($B1966,calc_data,L$14+1,0),2),0),0)</f>
        <v/>
      </c>
      <c r="M1966" s="141">
        <f>IF(offer_sale_type="транзит",IFERROR(ROUNDUP(VLOOKUP($B1966,calc_data,M$14+1,0),2),0),0)</f>
        <v/>
      </c>
      <c r="N1966" s="141">
        <f>IF(offer_sale_type="транзит",IFERROR(ROUNDUP(VLOOKUP($B1966,calc_data,N$14+1,0),2),0),0)</f>
        <v/>
      </c>
      <c r="O1966" s="147">
        <f>IF(offer_sale_type="транзит",IFERROR(ROUND(VLOOKUP($B1966,calc_data,O$14+1,1),2),0),0)</f>
        <v/>
      </c>
      <c r="P1966" s="141">
        <f>IF(offer_sale_type="транзит",IFERROR(ROUND(SUM(I1966:J1966,M1966:O1966)/E1966,2),0),0)</f>
        <v/>
      </c>
      <c r="Q1966" s="141">
        <f>E1966*P1966</f>
        <v/>
      </c>
      <c r="R1966" s="141">
        <f>ROUND(Q1966*IF(AND(offer_incoterms="DDP",seller_region="RU"),IF((TODAY()+offer_turnaround_time)&gt;=helpsheet!$L$17,rate_vatRU_from_26,rate_vatRu_till_25),0),2)</f>
        <v/>
      </c>
      <c r="S1966" s="177">
        <f>Q1966+IF(AND(offer_incoterms="DDP",seller_region="RU"),R1966,0)</f>
        <v/>
      </c>
      <c r="T1966" s="45" t="n"/>
      <c r="V1966" s="57">
        <f>IF(Q1966&gt;0,"показать","скрыть")</f>
        <v/>
      </c>
    </row>
    <row r="1967" ht="15.75" customHeight="1">
      <c r="B1967" s="809" t="n">
        <v>1951</v>
      </c>
      <c r="C1967" s="182">
        <f>IF(offer_sale_type="транзит",IFERROR(VLOOKUP($B1967,calc_data,C$14+1,0),0),0)</f>
        <v/>
      </c>
      <c r="D1967" s="280">
        <f>IF(offer_sale_type="транзит",IFERROR(VLOOKUP($B1967,calc_data,D$14+1,0),0),0)</f>
        <v/>
      </c>
      <c r="E1967" s="182">
        <f>IF(offer_sale_type="транзит",IFERROR(VLOOKUP($B1967,calc_data,E$14+1,0),0),0)</f>
        <v/>
      </c>
      <c r="F1967" s="182">
        <f>IF(offer_sale_type="транзит",IFERROR(VLOOKUP($B1967,calc_data,F$14+1,0),0),0)</f>
        <v/>
      </c>
      <c r="G1967" s="141">
        <f>IF(offer_sale_type="транзит",IFERROR(VLOOKUP($B1967,calc_data,G$14+1,0),0),0)</f>
        <v/>
      </c>
      <c r="H1967" s="141">
        <f>E1967*G1967</f>
        <v/>
      </c>
      <c r="I1967" s="141">
        <f>IF(offer_sale_type="транзит",IFERROR(ROUND(VLOOKUP($B1967,calc_data,I$14+1,0),2),0),0)</f>
        <v/>
      </c>
      <c r="J1967" s="141">
        <f>ROUND(IF(offer_sale_type="транзит",IFERROR(VLOOKUP($B1967,calc_data,J$14+1,0),0),0),2)</f>
        <v/>
      </c>
      <c r="K1967" s="142">
        <f>IF(offer_sale_type="транзит",IFERROR(ROUNDUP(VLOOKUP($B1967,calc_data,K$14+1,0),2),0),0)</f>
        <v/>
      </c>
      <c r="L1967" s="184">
        <f>IF(offer_sale_type="транзит",IFERROR(ROUNDUP(VLOOKUP($B1967,calc_data,L$14+1,0),2),0),0)</f>
        <v/>
      </c>
      <c r="M1967" s="141">
        <f>IF(offer_sale_type="транзит",IFERROR(ROUNDUP(VLOOKUP($B1967,calc_data,M$14+1,0),2),0),0)</f>
        <v/>
      </c>
      <c r="N1967" s="141">
        <f>IF(offer_sale_type="транзит",IFERROR(ROUNDUP(VLOOKUP($B1967,calc_data,N$14+1,0),2),0),0)</f>
        <v/>
      </c>
      <c r="O1967" s="147">
        <f>IF(offer_sale_type="транзит",IFERROR(ROUND(VLOOKUP($B1967,calc_data,O$14+1,1),2),0),0)</f>
        <v/>
      </c>
      <c r="P1967" s="141">
        <f>IF(offer_sale_type="транзит",IFERROR(ROUND(SUM(I1967:J1967,M1967:O1967)/E1967,2),0),0)</f>
        <v/>
      </c>
      <c r="Q1967" s="141">
        <f>E1967*P1967</f>
        <v/>
      </c>
      <c r="R1967" s="141">
        <f>ROUND(Q1967*IF(AND(offer_incoterms="DDP",seller_region="RU"),IF((TODAY()+offer_turnaround_time)&gt;=helpsheet!$L$17,rate_vatRU_from_26,rate_vatRu_till_25),0),2)</f>
        <v/>
      </c>
      <c r="S1967" s="177">
        <f>Q1967+IF(AND(offer_incoterms="DDP",seller_region="RU"),R1967,0)</f>
        <v/>
      </c>
      <c r="T1967" s="45" t="n"/>
      <c r="V1967" s="57">
        <f>IF(Q1967&gt;0,"показать","скрыть")</f>
        <v/>
      </c>
    </row>
    <row r="1968" ht="15.75" customHeight="1">
      <c r="B1968" s="809" t="n">
        <v>1952</v>
      </c>
      <c r="C1968" s="182">
        <f>IF(offer_sale_type="транзит",IFERROR(VLOOKUP($B1968,calc_data,C$14+1,0),0),0)</f>
        <v/>
      </c>
      <c r="D1968" s="280">
        <f>IF(offer_sale_type="транзит",IFERROR(VLOOKUP($B1968,calc_data,D$14+1,0),0),0)</f>
        <v/>
      </c>
      <c r="E1968" s="182">
        <f>IF(offer_sale_type="транзит",IFERROR(VLOOKUP($B1968,calc_data,E$14+1,0),0),0)</f>
        <v/>
      </c>
      <c r="F1968" s="182">
        <f>IF(offer_sale_type="транзит",IFERROR(VLOOKUP($B1968,calc_data,F$14+1,0),0),0)</f>
        <v/>
      </c>
      <c r="G1968" s="141">
        <f>IF(offer_sale_type="транзит",IFERROR(VLOOKUP($B1968,calc_data,G$14+1,0),0),0)</f>
        <v/>
      </c>
      <c r="H1968" s="141">
        <f>E1968*G1968</f>
        <v/>
      </c>
      <c r="I1968" s="141">
        <f>IF(offer_sale_type="транзит",IFERROR(ROUND(VLOOKUP($B1968,calc_data,I$14+1,0),2),0),0)</f>
        <v/>
      </c>
      <c r="J1968" s="141">
        <f>ROUND(IF(offer_sale_type="транзит",IFERROR(VLOOKUP($B1968,calc_data,J$14+1,0),0),0),2)</f>
        <v/>
      </c>
      <c r="K1968" s="142">
        <f>IF(offer_sale_type="транзит",IFERROR(ROUNDUP(VLOOKUP($B1968,calc_data,K$14+1,0),2),0),0)</f>
        <v/>
      </c>
      <c r="L1968" s="184">
        <f>IF(offer_sale_type="транзит",IFERROR(ROUNDUP(VLOOKUP($B1968,calc_data,L$14+1,0),2),0),0)</f>
        <v/>
      </c>
      <c r="M1968" s="141">
        <f>IF(offer_sale_type="транзит",IFERROR(ROUNDUP(VLOOKUP($B1968,calc_data,M$14+1,0),2),0),0)</f>
        <v/>
      </c>
      <c r="N1968" s="141">
        <f>IF(offer_sale_type="транзит",IFERROR(ROUNDUP(VLOOKUP($B1968,calc_data,N$14+1,0),2),0),0)</f>
        <v/>
      </c>
      <c r="O1968" s="147">
        <f>IF(offer_sale_type="транзит",IFERROR(ROUND(VLOOKUP($B1968,calc_data,O$14+1,1),2),0),0)</f>
        <v/>
      </c>
      <c r="P1968" s="141">
        <f>IF(offer_sale_type="транзит",IFERROR(ROUND(SUM(I1968:J1968,M1968:O1968)/E1968,2),0),0)</f>
        <v/>
      </c>
      <c r="Q1968" s="141">
        <f>E1968*P1968</f>
        <v/>
      </c>
      <c r="R1968" s="141">
        <f>ROUND(Q1968*IF(AND(offer_incoterms="DDP",seller_region="RU"),IF((TODAY()+offer_turnaround_time)&gt;=helpsheet!$L$17,rate_vatRU_from_26,rate_vatRu_till_25),0),2)</f>
        <v/>
      </c>
      <c r="S1968" s="177">
        <f>Q1968+IF(AND(offer_incoterms="DDP",seller_region="RU"),R1968,0)</f>
        <v/>
      </c>
      <c r="T1968" s="45" t="n"/>
      <c r="V1968" s="57">
        <f>IF(Q1968&gt;0,"показать","скрыть")</f>
        <v/>
      </c>
    </row>
    <row r="1969" ht="15.75" customHeight="1">
      <c r="B1969" s="809" t="n">
        <v>1953</v>
      </c>
      <c r="C1969" s="182">
        <f>IF(offer_sale_type="транзит",IFERROR(VLOOKUP($B1969,calc_data,C$14+1,0),0),0)</f>
        <v/>
      </c>
      <c r="D1969" s="280">
        <f>IF(offer_sale_type="транзит",IFERROR(VLOOKUP($B1969,calc_data,D$14+1,0),0),0)</f>
        <v/>
      </c>
      <c r="E1969" s="182">
        <f>IF(offer_sale_type="транзит",IFERROR(VLOOKUP($B1969,calc_data,E$14+1,0),0),0)</f>
        <v/>
      </c>
      <c r="F1969" s="182">
        <f>IF(offer_sale_type="транзит",IFERROR(VLOOKUP($B1969,calc_data,F$14+1,0),0),0)</f>
        <v/>
      </c>
      <c r="G1969" s="141">
        <f>IF(offer_sale_type="транзит",IFERROR(VLOOKUP($B1969,calc_data,G$14+1,0),0),0)</f>
        <v/>
      </c>
      <c r="H1969" s="141">
        <f>E1969*G1969</f>
        <v/>
      </c>
      <c r="I1969" s="141">
        <f>IF(offer_sale_type="транзит",IFERROR(ROUND(VLOOKUP($B1969,calc_data,I$14+1,0),2),0),0)</f>
        <v/>
      </c>
      <c r="J1969" s="141">
        <f>ROUND(IF(offer_sale_type="транзит",IFERROR(VLOOKUP($B1969,calc_data,J$14+1,0),0),0),2)</f>
        <v/>
      </c>
      <c r="K1969" s="142">
        <f>IF(offer_sale_type="транзит",IFERROR(ROUNDUP(VLOOKUP($B1969,calc_data,K$14+1,0),2),0),0)</f>
        <v/>
      </c>
      <c r="L1969" s="184">
        <f>IF(offer_sale_type="транзит",IFERROR(ROUNDUP(VLOOKUP($B1969,calc_data,L$14+1,0),2),0),0)</f>
        <v/>
      </c>
      <c r="M1969" s="141">
        <f>IF(offer_sale_type="транзит",IFERROR(ROUNDUP(VLOOKUP($B1969,calc_data,M$14+1,0),2),0),0)</f>
        <v/>
      </c>
      <c r="N1969" s="141">
        <f>IF(offer_sale_type="транзит",IFERROR(ROUNDUP(VLOOKUP($B1969,calc_data,N$14+1,0),2),0),0)</f>
        <v/>
      </c>
      <c r="O1969" s="147">
        <f>IF(offer_sale_type="транзит",IFERROR(ROUND(VLOOKUP($B1969,calc_data,O$14+1,1),2),0),0)</f>
        <v/>
      </c>
      <c r="P1969" s="141">
        <f>IF(offer_sale_type="транзит",IFERROR(ROUND(SUM(I1969:J1969,M1969:O1969)/E1969,2),0),0)</f>
        <v/>
      </c>
      <c r="Q1969" s="141">
        <f>E1969*P1969</f>
        <v/>
      </c>
      <c r="R1969" s="141">
        <f>ROUND(Q1969*IF(AND(offer_incoterms="DDP",seller_region="RU"),IF((TODAY()+offer_turnaround_time)&gt;=helpsheet!$L$17,rate_vatRU_from_26,rate_vatRu_till_25),0),2)</f>
        <v/>
      </c>
      <c r="S1969" s="177">
        <f>Q1969+IF(AND(offer_incoterms="DDP",seller_region="RU"),R1969,0)</f>
        <v/>
      </c>
      <c r="T1969" s="45" t="n"/>
      <c r="V1969" s="57">
        <f>IF(Q1969&gt;0,"показать","скрыть")</f>
        <v/>
      </c>
    </row>
    <row r="1970" ht="15.75" customHeight="1">
      <c r="B1970" s="809" t="n">
        <v>1954</v>
      </c>
      <c r="C1970" s="182">
        <f>IF(offer_sale_type="транзит",IFERROR(VLOOKUP($B1970,calc_data,C$14+1,0),0),0)</f>
        <v/>
      </c>
      <c r="D1970" s="280">
        <f>IF(offer_sale_type="транзит",IFERROR(VLOOKUP($B1970,calc_data,D$14+1,0),0),0)</f>
        <v/>
      </c>
      <c r="E1970" s="182">
        <f>IF(offer_sale_type="транзит",IFERROR(VLOOKUP($B1970,calc_data,E$14+1,0),0),0)</f>
        <v/>
      </c>
      <c r="F1970" s="182">
        <f>IF(offer_sale_type="транзит",IFERROR(VLOOKUP($B1970,calc_data,F$14+1,0),0),0)</f>
        <v/>
      </c>
      <c r="G1970" s="141">
        <f>IF(offer_sale_type="транзит",IFERROR(VLOOKUP($B1970,calc_data,G$14+1,0),0),0)</f>
        <v/>
      </c>
      <c r="H1970" s="141">
        <f>E1970*G1970</f>
        <v/>
      </c>
      <c r="I1970" s="141">
        <f>IF(offer_sale_type="транзит",IFERROR(ROUND(VLOOKUP($B1970,calc_data,I$14+1,0),2),0),0)</f>
        <v/>
      </c>
      <c r="J1970" s="141">
        <f>ROUND(IF(offer_sale_type="транзит",IFERROR(VLOOKUP($B1970,calc_data,J$14+1,0),0),0),2)</f>
        <v/>
      </c>
      <c r="K1970" s="142">
        <f>IF(offer_sale_type="транзит",IFERROR(ROUNDUP(VLOOKUP($B1970,calc_data,K$14+1,0),2),0),0)</f>
        <v/>
      </c>
      <c r="L1970" s="184">
        <f>IF(offer_sale_type="транзит",IFERROR(ROUNDUP(VLOOKUP($B1970,calc_data,L$14+1,0),2),0),0)</f>
        <v/>
      </c>
      <c r="M1970" s="141">
        <f>IF(offer_sale_type="транзит",IFERROR(ROUNDUP(VLOOKUP($B1970,calc_data,M$14+1,0),2),0),0)</f>
        <v/>
      </c>
      <c r="N1970" s="141">
        <f>IF(offer_sale_type="транзит",IFERROR(ROUNDUP(VLOOKUP($B1970,calc_data,N$14+1,0),2),0),0)</f>
        <v/>
      </c>
      <c r="O1970" s="147">
        <f>IF(offer_sale_type="транзит",IFERROR(ROUND(VLOOKUP($B1970,calc_data,O$14+1,1),2),0),0)</f>
        <v/>
      </c>
      <c r="P1970" s="141">
        <f>IF(offer_sale_type="транзит",IFERROR(ROUND(SUM(I1970:J1970,M1970:O1970)/E1970,2),0),0)</f>
        <v/>
      </c>
      <c r="Q1970" s="141">
        <f>E1970*P1970</f>
        <v/>
      </c>
      <c r="R1970" s="141">
        <f>ROUND(Q1970*IF(AND(offer_incoterms="DDP",seller_region="RU"),IF((TODAY()+offer_turnaround_time)&gt;=helpsheet!$L$17,rate_vatRU_from_26,rate_vatRu_till_25),0),2)</f>
        <v/>
      </c>
      <c r="S1970" s="177">
        <f>Q1970+IF(AND(offer_incoterms="DDP",seller_region="RU"),R1970,0)</f>
        <v/>
      </c>
      <c r="T1970" s="45" t="n"/>
      <c r="V1970" s="57">
        <f>IF(Q1970&gt;0,"показать","скрыть")</f>
        <v/>
      </c>
    </row>
    <row r="1971" ht="15.75" customHeight="1">
      <c r="B1971" s="809" t="n">
        <v>1955</v>
      </c>
      <c r="C1971" s="182">
        <f>IF(offer_sale_type="транзит",IFERROR(VLOOKUP($B1971,calc_data,C$14+1,0),0),0)</f>
        <v/>
      </c>
      <c r="D1971" s="280">
        <f>IF(offer_sale_type="транзит",IFERROR(VLOOKUP($B1971,calc_data,D$14+1,0),0),0)</f>
        <v/>
      </c>
      <c r="E1971" s="182">
        <f>IF(offer_sale_type="транзит",IFERROR(VLOOKUP($B1971,calc_data,E$14+1,0),0),0)</f>
        <v/>
      </c>
      <c r="F1971" s="182">
        <f>IF(offer_sale_type="транзит",IFERROR(VLOOKUP($B1971,calc_data,F$14+1,0),0),0)</f>
        <v/>
      </c>
      <c r="G1971" s="141">
        <f>IF(offer_sale_type="транзит",IFERROR(VLOOKUP($B1971,calc_data,G$14+1,0),0),0)</f>
        <v/>
      </c>
      <c r="H1971" s="141">
        <f>E1971*G1971</f>
        <v/>
      </c>
      <c r="I1971" s="141">
        <f>IF(offer_sale_type="транзит",IFERROR(ROUND(VLOOKUP($B1971,calc_data,I$14+1,0),2),0),0)</f>
        <v/>
      </c>
      <c r="J1971" s="141">
        <f>ROUND(IF(offer_sale_type="транзит",IFERROR(VLOOKUP($B1971,calc_data,J$14+1,0),0),0),2)</f>
        <v/>
      </c>
      <c r="K1971" s="142">
        <f>IF(offer_sale_type="транзит",IFERROR(ROUNDUP(VLOOKUP($B1971,calc_data,K$14+1,0),2),0),0)</f>
        <v/>
      </c>
      <c r="L1971" s="184">
        <f>IF(offer_sale_type="транзит",IFERROR(ROUNDUP(VLOOKUP($B1971,calc_data,L$14+1,0),2),0),0)</f>
        <v/>
      </c>
      <c r="M1971" s="141">
        <f>IF(offer_sale_type="транзит",IFERROR(ROUNDUP(VLOOKUP($B1971,calc_data,M$14+1,0),2),0),0)</f>
        <v/>
      </c>
      <c r="N1971" s="141">
        <f>IF(offer_sale_type="транзит",IFERROR(ROUNDUP(VLOOKUP($B1971,calc_data,N$14+1,0),2),0),0)</f>
        <v/>
      </c>
      <c r="O1971" s="147">
        <f>IF(offer_sale_type="транзит",IFERROR(ROUND(VLOOKUP($B1971,calc_data,O$14+1,1),2),0),0)</f>
        <v/>
      </c>
      <c r="P1971" s="141">
        <f>IF(offer_sale_type="транзит",IFERROR(ROUND(SUM(I1971:J1971,M1971:O1971)/E1971,2),0),0)</f>
        <v/>
      </c>
      <c r="Q1971" s="141">
        <f>E1971*P1971</f>
        <v/>
      </c>
      <c r="R1971" s="141">
        <f>ROUND(Q1971*IF(AND(offer_incoterms="DDP",seller_region="RU"),IF((TODAY()+offer_turnaround_time)&gt;=helpsheet!$L$17,rate_vatRU_from_26,rate_vatRu_till_25),0),2)</f>
        <v/>
      </c>
      <c r="S1971" s="177">
        <f>Q1971+IF(AND(offer_incoterms="DDP",seller_region="RU"),R1971,0)</f>
        <v/>
      </c>
      <c r="T1971" s="45" t="n"/>
      <c r="V1971" s="57">
        <f>IF(Q1971&gt;0,"показать","скрыть")</f>
        <v/>
      </c>
    </row>
    <row r="1972" ht="15.75" customHeight="1">
      <c r="B1972" s="809" t="n">
        <v>1956</v>
      </c>
      <c r="C1972" s="182">
        <f>IF(offer_sale_type="транзит",IFERROR(VLOOKUP($B1972,calc_data,C$14+1,0),0),0)</f>
        <v/>
      </c>
      <c r="D1972" s="280">
        <f>IF(offer_sale_type="транзит",IFERROR(VLOOKUP($B1972,calc_data,D$14+1,0),0),0)</f>
        <v/>
      </c>
      <c r="E1972" s="182">
        <f>IF(offer_sale_type="транзит",IFERROR(VLOOKUP($B1972,calc_data,E$14+1,0),0),0)</f>
        <v/>
      </c>
      <c r="F1972" s="182">
        <f>IF(offer_sale_type="транзит",IFERROR(VLOOKUP($B1972,calc_data,F$14+1,0),0),0)</f>
        <v/>
      </c>
      <c r="G1972" s="141">
        <f>IF(offer_sale_type="транзит",IFERROR(VLOOKUP($B1972,calc_data,G$14+1,0),0),0)</f>
        <v/>
      </c>
      <c r="H1972" s="141">
        <f>E1972*G1972</f>
        <v/>
      </c>
      <c r="I1972" s="141">
        <f>IF(offer_sale_type="транзит",IFERROR(ROUND(VLOOKUP($B1972,calc_data,I$14+1,0),2),0),0)</f>
        <v/>
      </c>
      <c r="J1972" s="141">
        <f>ROUND(IF(offer_sale_type="транзит",IFERROR(VLOOKUP($B1972,calc_data,J$14+1,0),0),0),2)</f>
        <v/>
      </c>
      <c r="K1972" s="142">
        <f>IF(offer_sale_type="транзит",IFERROR(ROUNDUP(VLOOKUP($B1972,calc_data,K$14+1,0),2),0),0)</f>
        <v/>
      </c>
      <c r="L1972" s="184">
        <f>IF(offer_sale_type="транзит",IFERROR(ROUNDUP(VLOOKUP($B1972,calc_data,L$14+1,0),2),0),0)</f>
        <v/>
      </c>
      <c r="M1972" s="141">
        <f>IF(offer_sale_type="транзит",IFERROR(ROUNDUP(VLOOKUP($B1972,calc_data,M$14+1,0),2),0),0)</f>
        <v/>
      </c>
      <c r="N1972" s="141">
        <f>IF(offer_sale_type="транзит",IFERROR(ROUNDUP(VLOOKUP($B1972,calc_data,N$14+1,0),2),0),0)</f>
        <v/>
      </c>
      <c r="O1972" s="147">
        <f>IF(offer_sale_type="транзит",IFERROR(ROUND(VLOOKUP($B1972,calc_data,O$14+1,1),2),0),0)</f>
        <v/>
      </c>
      <c r="P1972" s="141">
        <f>IF(offer_sale_type="транзит",IFERROR(ROUND(SUM(I1972:J1972,M1972:O1972)/E1972,2),0),0)</f>
        <v/>
      </c>
      <c r="Q1972" s="141">
        <f>E1972*P1972</f>
        <v/>
      </c>
      <c r="R1972" s="141">
        <f>ROUND(Q1972*IF(AND(offer_incoterms="DDP",seller_region="RU"),IF((TODAY()+offer_turnaround_time)&gt;=helpsheet!$L$17,rate_vatRU_from_26,rate_vatRu_till_25),0),2)</f>
        <v/>
      </c>
      <c r="S1972" s="177">
        <f>Q1972+IF(AND(offer_incoterms="DDP",seller_region="RU"),R1972,0)</f>
        <v/>
      </c>
      <c r="T1972" s="45" t="n"/>
      <c r="V1972" s="57">
        <f>IF(Q1972&gt;0,"показать","скрыть")</f>
        <v/>
      </c>
    </row>
    <row r="1973" ht="15.75" customHeight="1">
      <c r="B1973" s="809" t="n">
        <v>1957</v>
      </c>
      <c r="C1973" s="182">
        <f>IF(offer_sale_type="транзит",IFERROR(VLOOKUP($B1973,calc_data,C$14+1,0),0),0)</f>
        <v/>
      </c>
      <c r="D1973" s="280">
        <f>IF(offer_sale_type="транзит",IFERROR(VLOOKUP($B1973,calc_data,D$14+1,0),0),0)</f>
        <v/>
      </c>
      <c r="E1973" s="182">
        <f>IF(offer_sale_type="транзит",IFERROR(VLOOKUP($B1973,calc_data,E$14+1,0),0),0)</f>
        <v/>
      </c>
      <c r="F1973" s="182">
        <f>IF(offer_sale_type="транзит",IFERROR(VLOOKUP($B1973,calc_data,F$14+1,0),0),0)</f>
        <v/>
      </c>
      <c r="G1973" s="141">
        <f>IF(offer_sale_type="транзит",IFERROR(VLOOKUP($B1973,calc_data,G$14+1,0),0),0)</f>
        <v/>
      </c>
      <c r="H1973" s="141">
        <f>E1973*G1973</f>
        <v/>
      </c>
      <c r="I1973" s="141">
        <f>IF(offer_sale_type="транзит",IFERROR(ROUND(VLOOKUP($B1973,calc_data,I$14+1,0),2),0),0)</f>
        <v/>
      </c>
      <c r="J1973" s="141">
        <f>ROUND(IF(offer_sale_type="транзит",IFERROR(VLOOKUP($B1973,calc_data,J$14+1,0),0),0),2)</f>
        <v/>
      </c>
      <c r="K1973" s="142">
        <f>IF(offer_sale_type="транзит",IFERROR(ROUNDUP(VLOOKUP($B1973,calc_data,K$14+1,0),2),0),0)</f>
        <v/>
      </c>
      <c r="L1973" s="184">
        <f>IF(offer_sale_type="транзит",IFERROR(ROUNDUP(VLOOKUP($B1973,calc_data,L$14+1,0),2),0),0)</f>
        <v/>
      </c>
      <c r="M1973" s="141">
        <f>IF(offer_sale_type="транзит",IFERROR(ROUNDUP(VLOOKUP($B1973,calc_data,M$14+1,0),2),0),0)</f>
        <v/>
      </c>
      <c r="N1973" s="141">
        <f>IF(offer_sale_type="транзит",IFERROR(ROUNDUP(VLOOKUP($B1973,calc_data,N$14+1,0),2),0),0)</f>
        <v/>
      </c>
      <c r="O1973" s="147">
        <f>IF(offer_sale_type="транзит",IFERROR(ROUND(VLOOKUP($B1973,calc_data,O$14+1,1),2),0),0)</f>
        <v/>
      </c>
      <c r="P1973" s="141">
        <f>IF(offer_sale_type="транзит",IFERROR(ROUND(SUM(I1973:J1973,M1973:O1973)/E1973,2),0),0)</f>
        <v/>
      </c>
      <c r="Q1973" s="141">
        <f>E1973*P1973</f>
        <v/>
      </c>
      <c r="R1973" s="141">
        <f>ROUND(Q1973*IF(AND(offer_incoterms="DDP",seller_region="RU"),IF((TODAY()+offer_turnaround_time)&gt;=helpsheet!$L$17,rate_vatRU_from_26,rate_vatRu_till_25),0),2)</f>
        <v/>
      </c>
      <c r="S1973" s="177">
        <f>Q1973+IF(AND(offer_incoterms="DDP",seller_region="RU"),R1973,0)</f>
        <v/>
      </c>
      <c r="T1973" s="45" t="n"/>
      <c r="V1973" s="57">
        <f>IF(Q1973&gt;0,"показать","скрыть")</f>
        <v/>
      </c>
    </row>
    <row r="1974" ht="15.75" customHeight="1">
      <c r="B1974" s="809" t="n">
        <v>1958</v>
      </c>
      <c r="C1974" s="182">
        <f>IF(offer_sale_type="транзит",IFERROR(VLOOKUP($B1974,calc_data,C$14+1,0),0),0)</f>
        <v/>
      </c>
      <c r="D1974" s="280">
        <f>IF(offer_sale_type="транзит",IFERROR(VLOOKUP($B1974,calc_data,D$14+1,0),0),0)</f>
        <v/>
      </c>
      <c r="E1974" s="182">
        <f>IF(offer_sale_type="транзит",IFERROR(VLOOKUP($B1974,calc_data,E$14+1,0),0),0)</f>
        <v/>
      </c>
      <c r="F1974" s="182">
        <f>IF(offer_sale_type="транзит",IFERROR(VLOOKUP($B1974,calc_data,F$14+1,0),0),0)</f>
        <v/>
      </c>
      <c r="G1974" s="141">
        <f>IF(offer_sale_type="транзит",IFERROR(VLOOKUP($B1974,calc_data,G$14+1,0),0),0)</f>
        <v/>
      </c>
      <c r="H1974" s="141">
        <f>E1974*G1974</f>
        <v/>
      </c>
      <c r="I1974" s="141">
        <f>IF(offer_sale_type="транзит",IFERROR(ROUND(VLOOKUP($B1974,calc_data,I$14+1,0),2),0),0)</f>
        <v/>
      </c>
      <c r="J1974" s="141">
        <f>ROUND(IF(offer_sale_type="транзит",IFERROR(VLOOKUP($B1974,calc_data,J$14+1,0),0),0),2)</f>
        <v/>
      </c>
      <c r="K1974" s="142">
        <f>IF(offer_sale_type="транзит",IFERROR(ROUNDUP(VLOOKUP($B1974,calc_data,K$14+1,0),2),0),0)</f>
        <v/>
      </c>
      <c r="L1974" s="184">
        <f>IF(offer_sale_type="транзит",IFERROR(ROUNDUP(VLOOKUP($B1974,calc_data,L$14+1,0),2),0),0)</f>
        <v/>
      </c>
      <c r="M1974" s="141">
        <f>IF(offer_sale_type="транзит",IFERROR(ROUNDUP(VLOOKUP($B1974,calc_data,M$14+1,0),2),0),0)</f>
        <v/>
      </c>
      <c r="N1974" s="141">
        <f>IF(offer_sale_type="транзит",IFERROR(ROUNDUP(VLOOKUP($B1974,calc_data,N$14+1,0),2),0),0)</f>
        <v/>
      </c>
      <c r="O1974" s="147">
        <f>IF(offer_sale_type="транзит",IFERROR(ROUND(VLOOKUP($B1974,calc_data,O$14+1,1),2),0),0)</f>
        <v/>
      </c>
      <c r="P1974" s="141">
        <f>IF(offer_sale_type="транзит",IFERROR(ROUND(SUM(I1974:J1974,M1974:O1974)/E1974,2),0),0)</f>
        <v/>
      </c>
      <c r="Q1974" s="141">
        <f>E1974*P1974</f>
        <v/>
      </c>
      <c r="R1974" s="141">
        <f>ROUND(Q1974*IF(AND(offer_incoterms="DDP",seller_region="RU"),IF((TODAY()+offer_turnaround_time)&gt;=helpsheet!$L$17,rate_vatRU_from_26,rate_vatRu_till_25),0),2)</f>
        <v/>
      </c>
      <c r="S1974" s="177">
        <f>Q1974+IF(AND(offer_incoterms="DDP",seller_region="RU"),R1974,0)</f>
        <v/>
      </c>
      <c r="T1974" s="45" t="n"/>
      <c r="V1974" s="57">
        <f>IF(Q1974&gt;0,"показать","скрыть")</f>
        <v/>
      </c>
    </row>
    <row r="1975" ht="15.75" customHeight="1">
      <c r="B1975" s="809" t="n">
        <v>1959</v>
      </c>
      <c r="C1975" s="182">
        <f>IF(offer_sale_type="транзит",IFERROR(VLOOKUP($B1975,calc_data,C$14+1,0),0),0)</f>
        <v/>
      </c>
      <c r="D1975" s="280">
        <f>IF(offer_sale_type="транзит",IFERROR(VLOOKUP($B1975,calc_data,D$14+1,0),0),0)</f>
        <v/>
      </c>
      <c r="E1975" s="182">
        <f>IF(offer_sale_type="транзит",IFERROR(VLOOKUP($B1975,calc_data,E$14+1,0),0),0)</f>
        <v/>
      </c>
      <c r="F1975" s="182">
        <f>IF(offer_sale_type="транзит",IFERROR(VLOOKUP($B1975,calc_data,F$14+1,0),0),0)</f>
        <v/>
      </c>
      <c r="G1975" s="141">
        <f>IF(offer_sale_type="транзит",IFERROR(VLOOKUP($B1975,calc_data,G$14+1,0),0),0)</f>
        <v/>
      </c>
      <c r="H1975" s="141">
        <f>E1975*G1975</f>
        <v/>
      </c>
      <c r="I1975" s="141">
        <f>IF(offer_sale_type="транзит",IFERROR(ROUND(VLOOKUP($B1975,calc_data,I$14+1,0),2),0),0)</f>
        <v/>
      </c>
      <c r="J1975" s="141">
        <f>ROUND(IF(offer_sale_type="транзит",IFERROR(VLOOKUP($B1975,calc_data,J$14+1,0),0),0),2)</f>
        <v/>
      </c>
      <c r="K1975" s="142">
        <f>IF(offer_sale_type="транзит",IFERROR(ROUNDUP(VLOOKUP($B1975,calc_data,K$14+1,0),2),0),0)</f>
        <v/>
      </c>
      <c r="L1975" s="184">
        <f>IF(offer_sale_type="транзит",IFERROR(ROUNDUP(VLOOKUP($B1975,calc_data,L$14+1,0),2),0),0)</f>
        <v/>
      </c>
      <c r="M1975" s="141">
        <f>IF(offer_sale_type="транзит",IFERROR(ROUNDUP(VLOOKUP($B1975,calc_data,M$14+1,0),2),0),0)</f>
        <v/>
      </c>
      <c r="N1975" s="141">
        <f>IF(offer_sale_type="транзит",IFERROR(ROUNDUP(VLOOKUP($B1975,calc_data,N$14+1,0),2),0),0)</f>
        <v/>
      </c>
      <c r="O1975" s="147">
        <f>IF(offer_sale_type="транзит",IFERROR(ROUND(VLOOKUP($B1975,calc_data,O$14+1,1),2),0),0)</f>
        <v/>
      </c>
      <c r="P1975" s="141">
        <f>IF(offer_sale_type="транзит",IFERROR(ROUND(SUM(I1975:J1975,M1975:O1975)/E1975,2),0),0)</f>
        <v/>
      </c>
      <c r="Q1975" s="141">
        <f>E1975*P1975</f>
        <v/>
      </c>
      <c r="R1975" s="141">
        <f>ROUND(Q1975*IF(AND(offer_incoterms="DDP",seller_region="RU"),IF((TODAY()+offer_turnaround_time)&gt;=helpsheet!$L$17,rate_vatRU_from_26,rate_vatRu_till_25),0),2)</f>
        <v/>
      </c>
      <c r="S1975" s="177">
        <f>Q1975+IF(AND(offer_incoterms="DDP",seller_region="RU"),R1975,0)</f>
        <v/>
      </c>
      <c r="T1975" s="45" t="n"/>
      <c r="V1975" s="57">
        <f>IF(Q1975&gt;0,"показать","скрыть")</f>
        <v/>
      </c>
    </row>
    <row r="1976" ht="15.75" customHeight="1">
      <c r="B1976" s="809" t="n">
        <v>1960</v>
      </c>
      <c r="C1976" s="182">
        <f>IF(offer_sale_type="транзит",IFERROR(VLOOKUP($B1976,calc_data,C$14+1,0),0),0)</f>
        <v/>
      </c>
      <c r="D1976" s="280">
        <f>IF(offer_sale_type="транзит",IFERROR(VLOOKUP($B1976,calc_data,D$14+1,0),0),0)</f>
        <v/>
      </c>
      <c r="E1976" s="182">
        <f>IF(offer_sale_type="транзит",IFERROR(VLOOKUP($B1976,calc_data,E$14+1,0),0),0)</f>
        <v/>
      </c>
      <c r="F1976" s="182">
        <f>IF(offer_sale_type="транзит",IFERROR(VLOOKUP($B1976,calc_data,F$14+1,0),0),0)</f>
        <v/>
      </c>
      <c r="G1976" s="141">
        <f>IF(offer_sale_type="транзит",IFERROR(VLOOKUP($B1976,calc_data,G$14+1,0),0),0)</f>
        <v/>
      </c>
      <c r="H1976" s="141">
        <f>E1976*G1976</f>
        <v/>
      </c>
      <c r="I1976" s="141">
        <f>IF(offer_sale_type="транзит",IFERROR(ROUND(VLOOKUP($B1976,calc_data,I$14+1,0),2),0),0)</f>
        <v/>
      </c>
      <c r="J1976" s="141">
        <f>ROUND(IF(offer_sale_type="транзит",IFERROR(VLOOKUP($B1976,calc_data,J$14+1,0),0),0),2)</f>
        <v/>
      </c>
      <c r="K1976" s="142">
        <f>IF(offer_sale_type="транзит",IFERROR(ROUNDUP(VLOOKUP($B1976,calc_data,K$14+1,0),2),0),0)</f>
        <v/>
      </c>
      <c r="L1976" s="184">
        <f>IF(offer_sale_type="транзит",IFERROR(ROUNDUP(VLOOKUP($B1976,calc_data,L$14+1,0),2),0),0)</f>
        <v/>
      </c>
      <c r="M1976" s="141">
        <f>IF(offer_sale_type="транзит",IFERROR(ROUNDUP(VLOOKUP($B1976,calc_data,M$14+1,0),2),0),0)</f>
        <v/>
      </c>
      <c r="N1976" s="141">
        <f>IF(offer_sale_type="транзит",IFERROR(ROUNDUP(VLOOKUP($B1976,calc_data,N$14+1,0),2),0),0)</f>
        <v/>
      </c>
      <c r="O1976" s="147">
        <f>IF(offer_sale_type="транзит",IFERROR(ROUND(VLOOKUP($B1976,calc_data,O$14+1,1),2),0),0)</f>
        <v/>
      </c>
      <c r="P1976" s="141">
        <f>IF(offer_sale_type="транзит",IFERROR(ROUND(SUM(I1976:J1976,M1976:O1976)/E1976,2),0),0)</f>
        <v/>
      </c>
      <c r="Q1976" s="141">
        <f>E1976*P1976</f>
        <v/>
      </c>
      <c r="R1976" s="141">
        <f>ROUND(Q1976*IF(AND(offer_incoterms="DDP",seller_region="RU"),IF((TODAY()+offer_turnaround_time)&gt;=helpsheet!$L$17,rate_vatRU_from_26,rate_vatRu_till_25),0),2)</f>
        <v/>
      </c>
      <c r="S1976" s="177">
        <f>Q1976+IF(AND(offer_incoterms="DDP",seller_region="RU"),R1976,0)</f>
        <v/>
      </c>
      <c r="T1976" s="45" t="n"/>
      <c r="V1976" s="57">
        <f>IF(Q1976&gt;0,"показать","скрыть")</f>
        <v/>
      </c>
    </row>
    <row r="1977" ht="15.75" customHeight="1">
      <c r="B1977" s="809" t="n">
        <v>1961</v>
      </c>
      <c r="C1977" s="182">
        <f>IF(offer_sale_type="транзит",IFERROR(VLOOKUP($B1977,calc_data,C$14+1,0),0),0)</f>
        <v/>
      </c>
      <c r="D1977" s="280">
        <f>IF(offer_sale_type="транзит",IFERROR(VLOOKUP($B1977,calc_data,D$14+1,0),0),0)</f>
        <v/>
      </c>
      <c r="E1977" s="182">
        <f>IF(offer_sale_type="транзит",IFERROR(VLOOKUP($B1977,calc_data,E$14+1,0),0),0)</f>
        <v/>
      </c>
      <c r="F1977" s="182">
        <f>IF(offer_sale_type="транзит",IFERROR(VLOOKUP($B1977,calc_data,F$14+1,0),0),0)</f>
        <v/>
      </c>
      <c r="G1977" s="141">
        <f>IF(offer_sale_type="транзит",IFERROR(VLOOKUP($B1977,calc_data,G$14+1,0),0),0)</f>
        <v/>
      </c>
      <c r="H1977" s="141">
        <f>E1977*G1977</f>
        <v/>
      </c>
      <c r="I1977" s="141">
        <f>IF(offer_sale_type="транзит",IFERROR(ROUND(VLOOKUP($B1977,calc_data,I$14+1,0),2),0),0)</f>
        <v/>
      </c>
      <c r="J1977" s="141">
        <f>ROUND(IF(offer_sale_type="транзит",IFERROR(VLOOKUP($B1977,calc_data,J$14+1,0),0),0),2)</f>
        <v/>
      </c>
      <c r="K1977" s="142">
        <f>IF(offer_sale_type="транзит",IFERROR(ROUNDUP(VLOOKUP($B1977,calc_data,K$14+1,0),2),0),0)</f>
        <v/>
      </c>
      <c r="L1977" s="184">
        <f>IF(offer_sale_type="транзит",IFERROR(ROUNDUP(VLOOKUP($B1977,calc_data,L$14+1,0),2),0),0)</f>
        <v/>
      </c>
      <c r="M1977" s="141">
        <f>IF(offer_sale_type="транзит",IFERROR(ROUNDUP(VLOOKUP($B1977,calc_data,M$14+1,0),2),0),0)</f>
        <v/>
      </c>
      <c r="N1977" s="141">
        <f>IF(offer_sale_type="транзит",IFERROR(ROUNDUP(VLOOKUP($B1977,calc_data,N$14+1,0),2),0),0)</f>
        <v/>
      </c>
      <c r="O1977" s="147">
        <f>IF(offer_sale_type="транзит",IFERROR(ROUND(VLOOKUP($B1977,calc_data,O$14+1,1),2),0),0)</f>
        <v/>
      </c>
      <c r="P1977" s="141">
        <f>IF(offer_sale_type="транзит",IFERROR(ROUND(SUM(I1977:J1977,M1977:O1977)/E1977,2),0),0)</f>
        <v/>
      </c>
      <c r="Q1977" s="141">
        <f>E1977*P1977</f>
        <v/>
      </c>
      <c r="R1977" s="141">
        <f>ROUND(Q1977*IF(AND(offer_incoterms="DDP",seller_region="RU"),IF((TODAY()+offer_turnaround_time)&gt;=helpsheet!$L$17,rate_vatRU_from_26,rate_vatRu_till_25),0),2)</f>
        <v/>
      </c>
      <c r="S1977" s="177">
        <f>Q1977+IF(AND(offer_incoterms="DDP",seller_region="RU"),R1977,0)</f>
        <v/>
      </c>
      <c r="T1977" s="45" t="n"/>
      <c r="V1977" s="57">
        <f>IF(Q1977&gt;0,"показать","скрыть")</f>
        <v/>
      </c>
    </row>
    <row r="1978" ht="15.75" customHeight="1">
      <c r="B1978" s="809" t="n">
        <v>1962</v>
      </c>
      <c r="C1978" s="182">
        <f>IF(offer_sale_type="транзит",IFERROR(VLOOKUP($B1978,calc_data,C$14+1,0),0),0)</f>
        <v/>
      </c>
      <c r="D1978" s="280">
        <f>IF(offer_sale_type="транзит",IFERROR(VLOOKUP($B1978,calc_data,D$14+1,0),0),0)</f>
        <v/>
      </c>
      <c r="E1978" s="182">
        <f>IF(offer_sale_type="транзит",IFERROR(VLOOKUP($B1978,calc_data,E$14+1,0),0),0)</f>
        <v/>
      </c>
      <c r="F1978" s="182">
        <f>IF(offer_sale_type="транзит",IFERROR(VLOOKUP($B1978,calc_data,F$14+1,0),0),0)</f>
        <v/>
      </c>
      <c r="G1978" s="141">
        <f>IF(offer_sale_type="транзит",IFERROR(VLOOKUP($B1978,calc_data,G$14+1,0),0),0)</f>
        <v/>
      </c>
      <c r="H1978" s="141">
        <f>E1978*G1978</f>
        <v/>
      </c>
      <c r="I1978" s="141">
        <f>IF(offer_sale_type="транзит",IFERROR(ROUND(VLOOKUP($B1978,calc_data,I$14+1,0),2),0),0)</f>
        <v/>
      </c>
      <c r="J1978" s="141">
        <f>ROUND(IF(offer_sale_type="транзит",IFERROR(VLOOKUP($B1978,calc_data,J$14+1,0),0),0),2)</f>
        <v/>
      </c>
      <c r="K1978" s="142">
        <f>IF(offer_sale_type="транзит",IFERROR(ROUNDUP(VLOOKUP($B1978,calc_data,K$14+1,0),2),0),0)</f>
        <v/>
      </c>
      <c r="L1978" s="184">
        <f>IF(offer_sale_type="транзит",IFERROR(ROUNDUP(VLOOKUP($B1978,calc_data,L$14+1,0),2),0),0)</f>
        <v/>
      </c>
      <c r="M1978" s="141">
        <f>IF(offer_sale_type="транзит",IFERROR(ROUNDUP(VLOOKUP($B1978,calc_data,M$14+1,0),2),0),0)</f>
        <v/>
      </c>
      <c r="N1978" s="141">
        <f>IF(offer_sale_type="транзит",IFERROR(ROUNDUP(VLOOKUP($B1978,calc_data,N$14+1,0),2),0),0)</f>
        <v/>
      </c>
      <c r="O1978" s="147">
        <f>IF(offer_sale_type="транзит",IFERROR(ROUND(VLOOKUP($B1978,calc_data,O$14+1,1),2),0),0)</f>
        <v/>
      </c>
      <c r="P1978" s="141">
        <f>IF(offer_sale_type="транзит",IFERROR(ROUND(SUM(I1978:J1978,M1978:O1978)/E1978,2),0),0)</f>
        <v/>
      </c>
      <c r="Q1978" s="141">
        <f>E1978*P1978</f>
        <v/>
      </c>
      <c r="R1978" s="141">
        <f>ROUND(Q1978*IF(AND(offer_incoterms="DDP",seller_region="RU"),IF((TODAY()+offer_turnaround_time)&gt;=helpsheet!$L$17,rate_vatRU_from_26,rate_vatRu_till_25),0),2)</f>
        <v/>
      </c>
      <c r="S1978" s="177">
        <f>Q1978+IF(AND(offer_incoterms="DDP",seller_region="RU"),R1978,0)</f>
        <v/>
      </c>
      <c r="T1978" s="45" t="n"/>
      <c r="V1978" s="57">
        <f>IF(Q1978&gt;0,"показать","скрыть")</f>
        <v/>
      </c>
    </row>
    <row r="1979" ht="15.75" customHeight="1">
      <c r="B1979" s="809" t="n">
        <v>1963</v>
      </c>
      <c r="C1979" s="182">
        <f>IF(offer_sale_type="транзит",IFERROR(VLOOKUP($B1979,calc_data,C$14+1,0),0),0)</f>
        <v/>
      </c>
      <c r="D1979" s="280">
        <f>IF(offer_sale_type="транзит",IFERROR(VLOOKUP($B1979,calc_data,D$14+1,0),0),0)</f>
        <v/>
      </c>
      <c r="E1979" s="182">
        <f>IF(offer_sale_type="транзит",IFERROR(VLOOKUP($B1979,calc_data,E$14+1,0),0),0)</f>
        <v/>
      </c>
      <c r="F1979" s="182">
        <f>IF(offer_sale_type="транзит",IFERROR(VLOOKUP($B1979,calc_data,F$14+1,0),0),0)</f>
        <v/>
      </c>
      <c r="G1979" s="141">
        <f>IF(offer_sale_type="транзит",IFERROR(VLOOKUP($B1979,calc_data,G$14+1,0),0),0)</f>
        <v/>
      </c>
      <c r="H1979" s="141">
        <f>E1979*G1979</f>
        <v/>
      </c>
      <c r="I1979" s="141">
        <f>IF(offer_sale_type="транзит",IFERROR(ROUND(VLOOKUP($B1979,calc_data,I$14+1,0),2),0),0)</f>
        <v/>
      </c>
      <c r="J1979" s="141">
        <f>ROUND(IF(offer_sale_type="транзит",IFERROR(VLOOKUP($B1979,calc_data,J$14+1,0),0),0),2)</f>
        <v/>
      </c>
      <c r="K1979" s="142">
        <f>IF(offer_sale_type="транзит",IFERROR(ROUNDUP(VLOOKUP($B1979,calc_data,K$14+1,0),2),0),0)</f>
        <v/>
      </c>
      <c r="L1979" s="184">
        <f>IF(offer_sale_type="транзит",IFERROR(ROUNDUP(VLOOKUP($B1979,calc_data,L$14+1,0),2),0),0)</f>
        <v/>
      </c>
      <c r="M1979" s="141">
        <f>IF(offer_sale_type="транзит",IFERROR(ROUNDUP(VLOOKUP($B1979,calc_data,M$14+1,0),2),0),0)</f>
        <v/>
      </c>
      <c r="N1979" s="141">
        <f>IF(offer_sale_type="транзит",IFERROR(ROUNDUP(VLOOKUP($B1979,calc_data,N$14+1,0),2),0),0)</f>
        <v/>
      </c>
      <c r="O1979" s="147">
        <f>IF(offer_sale_type="транзит",IFERROR(ROUND(VLOOKUP($B1979,calc_data,O$14+1,1),2),0),0)</f>
        <v/>
      </c>
      <c r="P1979" s="141">
        <f>IF(offer_sale_type="транзит",IFERROR(ROUND(SUM(I1979:J1979,M1979:O1979)/E1979,2),0),0)</f>
        <v/>
      </c>
      <c r="Q1979" s="141">
        <f>E1979*P1979</f>
        <v/>
      </c>
      <c r="R1979" s="141">
        <f>ROUND(Q1979*IF(AND(offer_incoterms="DDP",seller_region="RU"),IF((TODAY()+offer_turnaround_time)&gt;=helpsheet!$L$17,rate_vatRU_from_26,rate_vatRu_till_25),0),2)</f>
        <v/>
      </c>
      <c r="S1979" s="177">
        <f>Q1979+IF(AND(offer_incoterms="DDP",seller_region="RU"),R1979,0)</f>
        <v/>
      </c>
      <c r="T1979" s="45" t="n"/>
      <c r="V1979" s="57">
        <f>IF(Q1979&gt;0,"показать","скрыть")</f>
        <v/>
      </c>
    </row>
    <row r="1980" ht="15.75" customHeight="1">
      <c r="B1980" s="809" t="n">
        <v>1964</v>
      </c>
      <c r="C1980" s="182">
        <f>IF(offer_sale_type="транзит",IFERROR(VLOOKUP($B1980,calc_data,C$14+1,0),0),0)</f>
        <v/>
      </c>
      <c r="D1980" s="280">
        <f>IF(offer_sale_type="транзит",IFERROR(VLOOKUP($B1980,calc_data,D$14+1,0),0),0)</f>
        <v/>
      </c>
      <c r="E1980" s="182">
        <f>IF(offer_sale_type="транзит",IFERROR(VLOOKUP($B1980,calc_data,E$14+1,0),0),0)</f>
        <v/>
      </c>
      <c r="F1980" s="182">
        <f>IF(offer_sale_type="транзит",IFERROR(VLOOKUP($B1980,calc_data,F$14+1,0),0),0)</f>
        <v/>
      </c>
      <c r="G1980" s="141">
        <f>IF(offer_sale_type="транзит",IFERROR(VLOOKUP($B1980,calc_data,G$14+1,0),0),0)</f>
        <v/>
      </c>
      <c r="H1980" s="141">
        <f>E1980*G1980</f>
        <v/>
      </c>
      <c r="I1980" s="141">
        <f>IF(offer_sale_type="транзит",IFERROR(ROUND(VLOOKUP($B1980,calc_data,I$14+1,0),2),0),0)</f>
        <v/>
      </c>
      <c r="J1980" s="141">
        <f>ROUND(IF(offer_sale_type="транзит",IFERROR(VLOOKUP($B1980,calc_data,J$14+1,0),0),0),2)</f>
        <v/>
      </c>
      <c r="K1980" s="142">
        <f>IF(offer_sale_type="транзит",IFERROR(ROUNDUP(VLOOKUP($B1980,calc_data,K$14+1,0),2),0),0)</f>
        <v/>
      </c>
      <c r="L1980" s="184">
        <f>IF(offer_sale_type="транзит",IFERROR(ROUNDUP(VLOOKUP($B1980,calc_data,L$14+1,0),2),0),0)</f>
        <v/>
      </c>
      <c r="M1980" s="141">
        <f>IF(offer_sale_type="транзит",IFERROR(ROUNDUP(VLOOKUP($B1980,calc_data,M$14+1,0),2),0),0)</f>
        <v/>
      </c>
      <c r="N1980" s="141">
        <f>IF(offer_sale_type="транзит",IFERROR(ROUNDUP(VLOOKUP($B1980,calc_data,N$14+1,0),2),0),0)</f>
        <v/>
      </c>
      <c r="O1980" s="147">
        <f>IF(offer_sale_type="транзит",IFERROR(ROUND(VLOOKUP($B1980,calc_data,O$14+1,1),2),0),0)</f>
        <v/>
      </c>
      <c r="P1980" s="141">
        <f>IF(offer_sale_type="транзит",IFERROR(ROUND(SUM(I1980:J1980,M1980:O1980)/E1980,2),0),0)</f>
        <v/>
      </c>
      <c r="Q1980" s="141">
        <f>E1980*P1980</f>
        <v/>
      </c>
      <c r="R1980" s="141">
        <f>ROUND(Q1980*IF(AND(offer_incoterms="DDP",seller_region="RU"),IF((TODAY()+offer_turnaround_time)&gt;=helpsheet!$L$17,rate_vatRU_from_26,rate_vatRu_till_25),0),2)</f>
        <v/>
      </c>
      <c r="S1980" s="177">
        <f>Q1980+IF(AND(offer_incoterms="DDP",seller_region="RU"),R1980,0)</f>
        <v/>
      </c>
      <c r="T1980" s="45" t="n"/>
      <c r="V1980" s="57">
        <f>IF(Q1980&gt;0,"показать","скрыть")</f>
        <v/>
      </c>
    </row>
    <row r="1981" ht="15.75" customHeight="1">
      <c r="B1981" s="809" t="n">
        <v>1965</v>
      </c>
      <c r="C1981" s="182">
        <f>IF(offer_sale_type="транзит",IFERROR(VLOOKUP($B1981,calc_data,C$14+1,0),0),0)</f>
        <v/>
      </c>
      <c r="D1981" s="280">
        <f>IF(offer_sale_type="транзит",IFERROR(VLOOKUP($B1981,calc_data,D$14+1,0),0),0)</f>
        <v/>
      </c>
      <c r="E1981" s="182">
        <f>IF(offer_sale_type="транзит",IFERROR(VLOOKUP($B1981,calc_data,E$14+1,0),0),0)</f>
        <v/>
      </c>
      <c r="F1981" s="182">
        <f>IF(offer_sale_type="транзит",IFERROR(VLOOKUP($B1981,calc_data,F$14+1,0),0),0)</f>
        <v/>
      </c>
      <c r="G1981" s="141">
        <f>IF(offer_sale_type="транзит",IFERROR(VLOOKUP($B1981,calc_data,G$14+1,0),0),0)</f>
        <v/>
      </c>
      <c r="H1981" s="141">
        <f>E1981*G1981</f>
        <v/>
      </c>
      <c r="I1981" s="141">
        <f>IF(offer_sale_type="транзит",IFERROR(ROUND(VLOOKUP($B1981,calc_data,I$14+1,0),2),0),0)</f>
        <v/>
      </c>
      <c r="J1981" s="141">
        <f>ROUND(IF(offer_sale_type="транзит",IFERROR(VLOOKUP($B1981,calc_data,J$14+1,0),0),0),2)</f>
        <v/>
      </c>
      <c r="K1981" s="142">
        <f>IF(offer_sale_type="транзит",IFERROR(ROUNDUP(VLOOKUP($B1981,calc_data,K$14+1,0),2),0),0)</f>
        <v/>
      </c>
      <c r="L1981" s="184">
        <f>IF(offer_sale_type="транзит",IFERROR(ROUNDUP(VLOOKUP($B1981,calc_data,L$14+1,0),2),0),0)</f>
        <v/>
      </c>
      <c r="M1981" s="141">
        <f>IF(offer_sale_type="транзит",IFERROR(ROUNDUP(VLOOKUP($B1981,calc_data,M$14+1,0),2),0),0)</f>
        <v/>
      </c>
      <c r="N1981" s="141">
        <f>IF(offer_sale_type="транзит",IFERROR(ROUNDUP(VLOOKUP($B1981,calc_data,N$14+1,0),2),0),0)</f>
        <v/>
      </c>
      <c r="O1981" s="147">
        <f>IF(offer_sale_type="транзит",IFERROR(ROUND(VLOOKUP($B1981,calc_data,O$14+1,1),2),0),0)</f>
        <v/>
      </c>
      <c r="P1981" s="141">
        <f>IF(offer_sale_type="транзит",IFERROR(ROUND(SUM(I1981:J1981,M1981:O1981)/E1981,2),0),0)</f>
        <v/>
      </c>
      <c r="Q1981" s="141">
        <f>E1981*P1981</f>
        <v/>
      </c>
      <c r="R1981" s="141">
        <f>ROUND(Q1981*IF(AND(offer_incoterms="DDP",seller_region="RU"),IF((TODAY()+offer_turnaround_time)&gt;=helpsheet!$L$17,rate_vatRU_from_26,rate_vatRu_till_25),0),2)</f>
        <v/>
      </c>
      <c r="S1981" s="177">
        <f>Q1981+IF(AND(offer_incoterms="DDP",seller_region="RU"),R1981,0)</f>
        <v/>
      </c>
      <c r="T1981" s="45" t="n"/>
      <c r="V1981" s="57">
        <f>IF(Q1981&gt;0,"показать","скрыть")</f>
        <v/>
      </c>
    </row>
    <row r="1982" ht="15.75" customHeight="1">
      <c r="B1982" s="809" t="n">
        <v>1966</v>
      </c>
      <c r="C1982" s="182">
        <f>IF(offer_sale_type="транзит",IFERROR(VLOOKUP($B1982,calc_data,C$14+1,0),0),0)</f>
        <v/>
      </c>
      <c r="D1982" s="280">
        <f>IF(offer_sale_type="транзит",IFERROR(VLOOKUP($B1982,calc_data,D$14+1,0),0),0)</f>
        <v/>
      </c>
      <c r="E1982" s="182">
        <f>IF(offer_sale_type="транзит",IFERROR(VLOOKUP($B1982,calc_data,E$14+1,0),0),0)</f>
        <v/>
      </c>
      <c r="F1982" s="182">
        <f>IF(offer_sale_type="транзит",IFERROR(VLOOKUP($B1982,calc_data,F$14+1,0),0),0)</f>
        <v/>
      </c>
      <c r="G1982" s="141">
        <f>IF(offer_sale_type="транзит",IFERROR(VLOOKUP($B1982,calc_data,G$14+1,0),0),0)</f>
        <v/>
      </c>
      <c r="H1982" s="141">
        <f>E1982*G1982</f>
        <v/>
      </c>
      <c r="I1982" s="141">
        <f>IF(offer_sale_type="транзит",IFERROR(ROUND(VLOOKUP($B1982,calc_data,I$14+1,0),2),0),0)</f>
        <v/>
      </c>
      <c r="J1982" s="141">
        <f>ROUND(IF(offer_sale_type="транзит",IFERROR(VLOOKUP($B1982,calc_data,J$14+1,0),0),0),2)</f>
        <v/>
      </c>
      <c r="K1982" s="142">
        <f>IF(offer_sale_type="транзит",IFERROR(ROUNDUP(VLOOKUP($B1982,calc_data,K$14+1,0),2),0),0)</f>
        <v/>
      </c>
      <c r="L1982" s="184">
        <f>IF(offer_sale_type="транзит",IFERROR(ROUNDUP(VLOOKUP($B1982,calc_data,L$14+1,0),2),0),0)</f>
        <v/>
      </c>
      <c r="M1982" s="141">
        <f>IF(offer_sale_type="транзит",IFERROR(ROUNDUP(VLOOKUP($B1982,calc_data,M$14+1,0),2),0),0)</f>
        <v/>
      </c>
      <c r="N1982" s="141">
        <f>IF(offer_sale_type="транзит",IFERROR(ROUNDUP(VLOOKUP($B1982,calc_data,N$14+1,0),2),0),0)</f>
        <v/>
      </c>
      <c r="O1982" s="147">
        <f>IF(offer_sale_type="транзит",IFERROR(ROUND(VLOOKUP($B1982,calc_data,O$14+1,1),2),0),0)</f>
        <v/>
      </c>
      <c r="P1982" s="141">
        <f>IF(offer_sale_type="транзит",IFERROR(ROUND(SUM(I1982:J1982,M1982:O1982)/E1982,2),0),0)</f>
        <v/>
      </c>
      <c r="Q1982" s="141">
        <f>E1982*P1982</f>
        <v/>
      </c>
      <c r="R1982" s="141">
        <f>ROUND(Q1982*IF(AND(offer_incoterms="DDP",seller_region="RU"),IF((TODAY()+offer_turnaround_time)&gt;=helpsheet!$L$17,rate_vatRU_from_26,rate_vatRu_till_25),0),2)</f>
        <v/>
      </c>
      <c r="S1982" s="177">
        <f>Q1982+IF(AND(offer_incoterms="DDP",seller_region="RU"),R1982,0)</f>
        <v/>
      </c>
      <c r="T1982" s="45" t="n"/>
      <c r="V1982" s="57">
        <f>IF(Q1982&gt;0,"показать","скрыть")</f>
        <v/>
      </c>
    </row>
    <row r="1983" ht="15.75" customHeight="1">
      <c r="B1983" s="809" t="n">
        <v>1967</v>
      </c>
      <c r="C1983" s="182">
        <f>IF(offer_sale_type="транзит",IFERROR(VLOOKUP($B1983,calc_data,C$14+1,0),0),0)</f>
        <v/>
      </c>
      <c r="D1983" s="280">
        <f>IF(offer_sale_type="транзит",IFERROR(VLOOKUP($B1983,calc_data,D$14+1,0),0),0)</f>
        <v/>
      </c>
      <c r="E1983" s="182">
        <f>IF(offer_sale_type="транзит",IFERROR(VLOOKUP($B1983,calc_data,E$14+1,0),0),0)</f>
        <v/>
      </c>
      <c r="F1983" s="182">
        <f>IF(offer_sale_type="транзит",IFERROR(VLOOKUP($B1983,calc_data,F$14+1,0),0),0)</f>
        <v/>
      </c>
      <c r="G1983" s="141">
        <f>IF(offer_sale_type="транзит",IFERROR(VLOOKUP($B1983,calc_data,G$14+1,0),0),0)</f>
        <v/>
      </c>
      <c r="H1983" s="141">
        <f>E1983*G1983</f>
        <v/>
      </c>
      <c r="I1983" s="141">
        <f>IF(offer_sale_type="транзит",IFERROR(ROUND(VLOOKUP($B1983,calc_data,I$14+1,0),2),0),0)</f>
        <v/>
      </c>
      <c r="J1983" s="141">
        <f>ROUND(IF(offer_sale_type="транзит",IFERROR(VLOOKUP($B1983,calc_data,J$14+1,0),0),0),2)</f>
        <v/>
      </c>
      <c r="K1983" s="142">
        <f>IF(offer_sale_type="транзит",IFERROR(ROUNDUP(VLOOKUP($B1983,calc_data,K$14+1,0),2),0),0)</f>
        <v/>
      </c>
      <c r="L1983" s="184">
        <f>IF(offer_sale_type="транзит",IFERROR(ROUNDUP(VLOOKUP($B1983,calc_data,L$14+1,0),2),0),0)</f>
        <v/>
      </c>
      <c r="M1983" s="141">
        <f>IF(offer_sale_type="транзит",IFERROR(ROUNDUP(VLOOKUP($B1983,calc_data,M$14+1,0),2),0),0)</f>
        <v/>
      </c>
      <c r="N1983" s="141">
        <f>IF(offer_sale_type="транзит",IFERROR(ROUNDUP(VLOOKUP($B1983,calc_data,N$14+1,0),2),0),0)</f>
        <v/>
      </c>
      <c r="O1983" s="147">
        <f>IF(offer_sale_type="транзит",IFERROR(ROUND(VLOOKUP($B1983,calc_data,O$14+1,1),2),0),0)</f>
        <v/>
      </c>
      <c r="P1983" s="141">
        <f>IF(offer_sale_type="транзит",IFERROR(ROUND(SUM(I1983:J1983,M1983:O1983)/E1983,2),0),0)</f>
        <v/>
      </c>
      <c r="Q1983" s="141">
        <f>E1983*P1983</f>
        <v/>
      </c>
      <c r="R1983" s="141">
        <f>ROUND(Q1983*IF(AND(offer_incoterms="DDP",seller_region="RU"),IF((TODAY()+offer_turnaround_time)&gt;=helpsheet!$L$17,rate_vatRU_from_26,rate_vatRu_till_25),0),2)</f>
        <v/>
      </c>
      <c r="S1983" s="177">
        <f>Q1983+IF(AND(offer_incoterms="DDP",seller_region="RU"),R1983,0)</f>
        <v/>
      </c>
      <c r="T1983" s="45" t="n"/>
      <c r="V1983" s="57">
        <f>IF(Q1983&gt;0,"показать","скрыть")</f>
        <v/>
      </c>
    </row>
    <row r="1984" ht="15.75" customHeight="1">
      <c r="B1984" s="809" t="n">
        <v>1968</v>
      </c>
      <c r="C1984" s="182">
        <f>IF(offer_sale_type="транзит",IFERROR(VLOOKUP($B1984,calc_data,C$14+1,0),0),0)</f>
        <v/>
      </c>
      <c r="D1984" s="280">
        <f>IF(offer_sale_type="транзит",IFERROR(VLOOKUP($B1984,calc_data,D$14+1,0),0),0)</f>
        <v/>
      </c>
      <c r="E1984" s="182">
        <f>IF(offer_sale_type="транзит",IFERROR(VLOOKUP($B1984,calc_data,E$14+1,0),0),0)</f>
        <v/>
      </c>
      <c r="F1984" s="182">
        <f>IF(offer_sale_type="транзит",IFERROR(VLOOKUP($B1984,calc_data,F$14+1,0),0),0)</f>
        <v/>
      </c>
      <c r="G1984" s="141">
        <f>IF(offer_sale_type="транзит",IFERROR(VLOOKUP($B1984,calc_data,G$14+1,0),0),0)</f>
        <v/>
      </c>
      <c r="H1984" s="141">
        <f>E1984*G1984</f>
        <v/>
      </c>
      <c r="I1984" s="141">
        <f>IF(offer_sale_type="транзит",IFERROR(ROUND(VLOOKUP($B1984,calc_data,I$14+1,0),2),0),0)</f>
        <v/>
      </c>
      <c r="J1984" s="141">
        <f>ROUND(IF(offer_sale_type="транзит",IFERROR(VLOOKUP($B1984,calc_data,J$14+1,0),0),0),2)</f>
        <v/>
      </c>
      <c r="K1984" s="142">
        <f>IF(offer_sale_type="транзит",IFERROR(ROUNDUP(VLOOKUP($B1984,calc_data,K$14+1,0),2),0),0)</f>
        <v/>
      </c>
      <c r="L1984" s="184">
        <f>IF(offer_sale_type="транзит",IFERROR(ROUNDUP(VLOOKUP($B1984,calc_data,L$14+1,0),2),0),0)</f>
        <v/>
      </c>
      <c r="M1984" s="141">
        <f>IF(offer_sale_type="транзит",IFERROR(ROUNDUP(VLOOKUP($B1984,calc_data,M$14+1,0),2),0),0)</f>
        <v/>
      </c>
      <c r="N1984" s="141">
        <f>IF(offer_sale_type="транзит",IFERROR(ROUNDUP(VLOOKUP($B1984,calc_data,N$14+1,0),2),0),0)</f>
        <v/>
      </c>
      <c r="O1984" s="147">
        <f>IF(offer_sale_type="транзит",IFERROR(ROUND(VLOOKUP($B1984,calc_data,O$14+1,1),2),0),0)</f>
        <v/>
      </c>
      <c r="P1984" s="141">
        <f>IF(offer_sale_type="транзит",IFERROR(ROUND(SUM(I1984:J1984,M1984:O1984)/E1984,2),0),0)</f>
        <v/>
      </c>
      <c r="Q1984" s="141">
        <f>E1984*P1984</f>
        <v/>
      </c>
      <c r="R1984" s="141">
        <f>ROUND(Q1984*IF(AND(offer_incoterms="DDP",seller_region="RU"),IF((TODAY()+offer_turnaround_time)&gt;=helpsheet!$L$17,rate_vatRU_from_26,rate_vatRu_till_25),0),2)</f>
        <v/>
      </c>
      <c r="S1984" s="177">
        <f>Q1984+IF(AND(offer_incoterms="DDP",seller_region="RU"),R1984,0)</f>
        <v/>
      </c>
      <c r="T1984" s="45" t="n"/>
      <c r="V1984" s="57">
        <f>IF(Q1984&gt;0,"показать","скрыть")</f>
        <v/>
      </c>
    </row>
    <row r="1985" ht="15.75" customHeight="1">
      <c r="B1985" s="809" t="n">
        <v>1969</v>
      </c>
      <c r="C1985" s="182">
        <f>IF(offer_sale_type="транзит",IFERROR(VLOOKUP($B1985,calc_data,C$14+1,0),0),0)</f>
        <v/>
      </c>
      <c r="D1985" s="280">
        <f>IF(offer_sale_type="транзит",IFERROR(VLOOKUP($B1985,calc_data,D$14+1,0),0),0)</f>
        <v/>
      </c>
      <c r="E1985" s="182">
        <f>IF(offer_sale_type="транзит",IFERROR(VLOOKUP($B1985,calc_data,E$14+1,0),0),0)</f>
        <v/>
      </c>
      <c r="F1985" s="182">
        <f>IF(offer_sale_type="транзит",IFERROR(VLOOKUP($B1985,calc_data,F$14+1,0),0),0)</f>
        <v/>
      </c>
      <c r="G1985" s="141">
        <f>IF(offer_sale_type="транзит",IFERROR(VLOOKUP($B1985,calc_data,G$14+1,0),0),0)</f>
        <v/>
      </c>
      <c r="H1985" s="141">
        <f>E1985*G1985</f>
        <v/>
      </c>
      <c r="I1985" s="141">
        <f>IF(offer_sale_type="транзит",IFERROR(ROUND(VLOOKUP($B1985,calc_data,I$14+1,0),2),0),0)</f>
        <v/>
      </c>
      <c r="J1985" s="141">
        <f>ROUND(IF(offer_sale_type="транзит",IFERROR(VLOOKUP($B1985,calc_data,J$14+1,0),0),0),2)</f>
        <v/>
      </c>
      <c r="K1985" s="142">
        <f>IF(offer_sale_type="транзит",IFERROR(ROUNDUP(VLOOKUP($B1985,calc_data,K$14+1,0),2),0),0)</f>
        <v/>
      </c>
      <c r="L1985" s="184">
        <f>IF(offer_sale_type="транзит",IFERROR(ROUNDUP(VLOOKUP($B1985,calc_data,L$14+1,0),2),0),0)</f>
        <v/>
      </c>
      <c r="M1985" s="141">
        <f>IF(offer_sale_type="транзит",IFERROR(ROUNDUP(VLOOKUP($B1985,calc_data,M$14+1,0),2),0),0)</f>
        <v/>
      </c>
      <c r="N1985" s="141">
        <f>IF(offer_sale_type="транзит",IFERROR(ROUNDUP(VLOOKUP($B1985,calc_data,N$14+1,0),2),0),0)</f>
        <v/>
      </c>
      <c r="O1985" s="147">
        <f>IF(offer_sale_type="транзит",IFERROR(ROUND(VLOOKUP($B1985,calc_data,O$14+1,1),2),0),0)</f>
        <v/>
      </c>
      <c r="P1985" s="141">
        <f>IF(offer_sale_type="транзит",IFERROR(ROUND(SUM(I1985:J1985,M1985:O1985)/E1985,2),0),0)</f>
        <v/>
      </c>
      <c r="Q1985" s="141">
        <f>E1985*P1985</f>
        <v/>
      </c>
      <c r="R1985" s="141">
        <f>ROUND(Q1985*IF(AND(offer_incoterms="DDP",seller_region="RU"),IF((TODAY()+offer_turnaround_time)&gt;=helpsheet!$L$17,rate_vatRU_from_26,rate_vatRu_till_25),0),2)</f>
        <v/>
      </c>
      <c r="S1985" s="177">
        <f>Q1985+IF(AND(offer_incoterms="DDP",seller_region="RU"),R1985,0)</f>
        <v/>
      </c>
      <c r="T1985" s="45" t="n"/>
      <c r="V1985" s="57">
        <f>IF(Q1985&gt;0,"показать","скрыть")</f>
        <v/>
      </c>
    </row>
    <row r="1986" ht="15.75" customHeight="1">
      <c r="B1986" s="809" t="n">
        <v>1970</v>
      </c>
      <c r="C1986" s="182">
        <f>IF(offer_sale_type="транзит",IFERROR(VLOOKUP($B1986,calc_data,C$14+1,0),0),0)</f>
        <v/>
      </c>
      <c r="D1986" s="280">
        <f>IF(offer_sale_type="транзит",IFERROR(VLOOKUP($B1986,calc_data,D$14+1,0),0),0)</f>
        <v/>
      </c>
      <c r="E1986" s="182">
        <f>IF(offer_sale_type="транзит",IFERROR(VLOOKUP($B1986,calc_data,E$14+1,0),0),0)</f>
        <v/>
      </c>
      <c r="F1986" s="182">
        <f>IF(offer_sale_type="транзит",IFERROR(VLOOKUP($B1986,calc_data,F$14+1,0),0),0)</f>
        <v/>
      </c>
      <c r="G1986" s="141">
        <f>IF(offer_sale_type="транзит",IFERROR(VLOOKUP($B1986,calc_data,G$14+1,0),0),0)</f>
        <v/>
      </c>
      <c r="H1986" s="141">
        <f>E1986*G1986</f>
        <v/>
      </c>
      <c r="I1986" s="141">
        <f>IF(offer_sale_type="транзит",IFERROR(ROUND(VLOOKUP($B1986,calc_data,I$14+1,0),2),0),0)</f>
        <v/>
      </c>
      <c r="J1986" s="141">
        <f>ROUND(IF(offer_sale_type="транзит",IFERROR(VLOOKUP($B1986,calc_data,J$14+1,0),0),0),2)</f>
        <v/>
      </c>
      <c r="K1986" s="142">
        <f>IF(offer_sale_type="транзит",IFERROR(ROUNDUP(VLOOKUP($B1986,calc_data,K$14+1,0),2),0),0)</f>
        <v/>
      </c>
      <c r="L1986" s="184">
        <f>IF(offer_sale_type="транзит",IFERROR(ROUNDUP(VLOOKUP($B1986,calc_data,L$14+1,0),2),0),0)</f>
        <v/>
      </c>
      <c r="M1986" s="141">
        <f>IF(offer_sale_type="транзит",IFERROR(ROUNDUP(VLOOKUP($B1986,calc_data,M$14+1,0),2),0),0)</f>
        <v/>
      </c>
      <c r="N1986" s="141">
        <f>IF(offer_sale_type="транзит",IFERROR(ROUNDUP(VLOOKUP($B1986,calc_data,N$14+1,0),2),0),0)</f>
        <v/>
      </c>
      <c r="O1986" s="147">
        <f>IF(offer_sale_type="транзит",IFERROR(ROUND(VLOOKUP($B1986,calc_data,O$14+1,1),2),0),0)</f>
        <v/>
      </c>
      <c r="P1986" s="141">
        <f>IF(offer_sale_type="транзит",IFERROR(ROUND(SUM(I1986:J1986,M1986:O1986)/E1986,2),0),0)</f>
        <v/>
      </c>
      <c r="Q1986" s="141">
        <f>E1986*P1986</f>
        <v/>
      </c>
      <c r="R1986" s="141">
        <f>ROUND(Q1986*IF(AND(offer_incoterms="DDP",seller_region="RU"),IF((TODAY()+offer_turnaround_time)&gt;=helpsheet!$L$17,rate_vatRU_from_26,rate_vatRu_till_25),0),2)</f>
        <v/>
      </c>
      <c r="S1986" s="177">
        <f>Q1986+IF(AND(offer_incoterms="DDP",seller_region="RU"),R1986,0)</f>
        <v/>
      </c>
      <c r="T1986" s="45" t="n"/>
      <c r="V1986" s="57">
        <f>IF(Q1986&gt;0,"показать","скрыть")</f>
        <v/>
      </c>
    </row>
    <row r="1987" ht="15.75" customHeight="1">
      <c r="B1987" s="809" t="n">
        <v>1971</v>
      </c>
      <c r="C1987" s="182">
        <f>IF(offer_sale_type="транзит",IFERROR(VLOOKUP($B1987,calc_data,C$14+1,0),0),0)</f>
        <v/>
      </c>
      <c r="D1987" s="280">
        <f>IF(offer_sale_type="транзит",IFERROR(VLOOKUP($B1987,calc_data,D$14+1,0),0),0)</f>
        <v/>
      </c>
      <c r="E1987" s="182">
        <f>IF(offer_sale_type="транзит",IFERROR(VLOOKUP($B1987,calc_data,E$14+1,0),0),0)</f>
        <v/>
      </c>
      <c r="F1987" s="182">
        <f>IF(offer_sale_type="транзит",IFERROR(VLOOKUP($B1987,calc_data,F$14+1,0),0),0)</f>
        <v/>
      </c>
      <c r="G1987" s="141">
        <f>IF(offer_sale_type="транзит",IFERROR(VLOOKUP($B1987,calc_data,G$14+1,0),0),0)</f>
        <v/>
      </c>
      <c r="H1987" s="141">
        <f>E1987*G1987</f>
        <v/>
      </c>
      <c r="I1987" s="141">
        <f>IF(offer_sale_type="транзит",IFERROR(ROUND(VLOOKUP($B1987,calc_data,I$14+1,0),2),0),0)</f>
        <v/>
      </c>
      <c r="J1987" s="141">
        <f>ROUND(IF(offer_sale_type="транзит",IFERROR(VLOOKUP($B1987,calc_data,J$14+1,0),0),0),2)</f>
        <v/>
      </c>
      <c r="K1987" s="142">
        <f>IF(offer_sale_type="транзит",IFERROR(ROUNDUP(VLOOKUP($B1987,calc_data,K$14+1,0),2),0),0)</f>
        <v/>
      </c>
      <c r="L1987" s="184">
        <f>IF(offer_sale_type="транзит",IFERROR(ROUNDUP(VLOOKUP($B1987,calc_data,L$14+1,0),2),0),0)</f>
        <v/>
      </c>
      <c r="M1987" s="141">
        <f>IF(offer_sale_type="транзит",IFERROR(ROUNDUP(VLOOKUP($B1987,calc_data,M$14+1,0),2),0),0)</f>
        <v/>
      </c>
      <c r="N1987" s="141">
        <f>IF(offer_sale_type="транзит",IFERROR(ROUNDUP(VLOOKUP($B1987,calc_data,N$14+1,0),2),0),0)</f>
        <v/>
      </c>
      <c r="O1987" s="147">
        <f>IF(offer_sale_type="транзит",IFERROR(ROUND(VLOOKUP($B1987,calc_data,O$14+1,1),2),0),0)</f>
        <v/>
      </c>
      <c r="P1987" s="141">
        <f>IF(offer_sale_type="транзит",IFERROR(ROUND(SUM(I1987:J1987,M1987:O1987)/E1987,2),0),0)</f>
        <v/>
      </c>
      <c r="Q1987" s="141">
        <f>E1987*P1987</f>
        <v/>
      </c>
      <c r="R1987" s="141">
        <f>ROUND(Q1987*IF(AND(offer_incoterms="DDP",seller_region="RU"),IF((TODAY()+offer_turnaround_time)&gt;=helpsheet!$L$17,rate_vatRU_from_26,rate_vatRu_till_25),0),2)</f>
        <v/>
      </c>
      <c r="S1987" s="177">
        <f>Q1987+IF(AND(offer_incoterms="DDP",seller_region="RU"),R1987,0)</f>
        <v/>
      </c>
      <c r="T1987" s="45" t="n"/>
      <c r="V1987" s="57">
        <f>IF(Q1987&gt;0,"показать","скрыть")</f>
        <v/>
      </c>
    </row>
    <row r="1988" ht="15.75" customHeight="1">
      <c r="B1988" s="809" t="n">
        <v>1972</v>
      </c>
      <c r="C1988" s="182">
        <f>IF(offer_sale_type="транзит",IFERROR(VLOOKUP($B1988,calc_data,C$14+1,0),0),0)</f>
        <v/>
      </c>
      <c r="D1988" s="280">
        <f>IF(offer_sale_type="транзит",IFERROR(VLOOKUP($B1988,calc_data,D$14+1,0),0),0)</f>
        <v/>
      </c>
      <c r="E1988" s="182">
        <f>IF(offer_sale_type="транзит",IFERROR(VLOOKUP($B1988,calc_data,E$14+1,0),0),0)</f>
        <v/>
      </c>
      <c r="F1988" s="182">
        <f>IF(offer_sale_type="транзит",IFERROR(VLOOKUP($B1988,calc_data,F$14+1,0),0),0)</f>
        <v/>
      </c>
      <c r="G1988" s="141">
        <f>IF(offer_sale_type="транзит",IFERROR(VLOOKUP($B1988,calc_data,G$14+1,0),0),0)</f>
        <v/>
      </c>
      <c r="H1988" s="141">
        <f>E1988*G1988</f>
        <v/>
      </c>
      <c r="I1988" s="141">
        <f>IF(offer_sale_type="транзит",IFERROR(ROUND(VLOOKUP($B1988,calc_data,I$14+1,0),2),0),0)</f>
        <v/>
      </c>
      <c r="J1988" s="141">
        <f>ROUND(IF(offer_sale_type="транзит",IFERROR(VLOOKUP($B1988,calc_data,J$14+1,0),0),0),2)</f>
        <v/>
      </c>
      <c r="K1988" s="142">
        <f>IF(offer_sale_type="транзит",IFERROR(ROUNDUP(VLOOKUP($B1988,calc_data,K$14+1,0),2),0),0)</f>
        <v/>
      </c>
      <c r="L1988" s="184">
        <f>IF(offer_sale_type="транзит",IFERROR(ROUNDUP(VLOOKUP($B1988,calc_data,L$14+1,0),2),0),0)</f>
        <v/>
      </c>
      <c r="M1988" s="141">
        <f>IF(offer_sale_type="транзит",IFERROR(ROUNDUP(VLOOKUP($B1988,calc_data,M$14+1,0),2),0),0)</f>
        <v/>
      </c>
      <c r="N1988" s="141">
        <f>IF(offer_sale_type="транзит",IFERROR(ROUNDUP(VLOOKUP($B1988,calc_data,N$14+1,0),2),0),0)</f>
        <v/>
      </c>
      <c r="O1988" s="147">
        <f>IF(offer_sale_type="транзит",IFERROR(ROUND(VLOOKUP($B1988,calc_data,O$14+1,1),2),0),0)</f>
        <v/>
      </c>
      <c r="P1988" s="141">
        <f>IF(offer_sale_type="транзит",IFERROR(ROUND(SUM(I1988:J1988,M1988:O1988)/E1988,2),0),0)</f>
        <v/>
      </c>
      <c r="Q1988" s="141">
        <f>E1988*P1988</f>
        <v/>
      </c>
      <c r="R1988" s="141">
        <f>ROUND(Q1988*IF(AND(offer_incoterms="DDP",seller_region="RU"),IF((TODAY()+offer_turnaround_time)&gt;=helpsheet!$L$17,rate_vatRU_from_26,rate_vatRu_till_25),0),2)</f>
        <v/>
      </c>
      <c r="S1988" s="177">
        <f>Q1988+IF(AND(offer_incoterms="DDP",seller_region="RU"),R1988,0)</f>
        <v/>
      </c>
      <c r="T1988" s="45" t="n"/>
      <c r="V1988" s="57">
        <f>IF(Q1988&gt;0,"показать","скрыть")</f>
        <v/>
      </c>
    </row>
    <row r="1989" ht="15.75" customHeight="1">
      <c r="B1989" s="809" t="n">
        <v>1973</v>
      </c>
      <c r="C1989" s="182">
        <f>IF(offer_sale_type="транзит",IFERROR(VLOOKUP($B1989,calc_data,C$14+1,0),0),0)</f>
        <v/>
      </c>
      <c r="D1989" s="280">
        <f>IF(offer_sale_type="транзит",IFERROR(VLOOKUP($B1989,calc_data,D$14+1,0),0),0)</f>
        <v/>
      </c>
      <c r="E1989" s="182">
        <f>IF(offer_sale_type="транзит",IFERROR(VLOOKUP($B1989,calc_data,E$14+1,0),0),0)</f>
        <v/>
      </c>
      <c r="F1989" s="182">
        <f>IF(offer_sale_type="транзит",IFERROR(VLOOKUP($B1989,calc_data,F$14+1,0),0),0)</f>
        <v/>
      </c>
      <c r="G1989" s="141">
        <f>IF(offer_sale_type="транзит",IFERROR(VLOOKUP($B1989,calc_data,G$14+1,0),0),0)</f>
        <v/>
      </c>
      <c r="H1989" s="141">
        <f>E1989*G1989</f>
        <v/>
      </c>
      <c r="I1989" s="141">
        <f>IF(offer_sale_type="транзит",IFERROR(ROUND(VLOOKUP($B1989,calc_data,I$14+1,0),2),0),0)</f>
        <v/>
      </c>
      <c r="J1989" s="141">
        <f>ROUND(IF(offer_sale_type="транзит",IFERROR(VLOOKUP($B1989,calc_data,J$14+1,0),0),0),2)</f>
        <v/>
      </c>
      <c r="K1989" s="142">
        <f>IF(offer_sale_type="транзит",IFERROR(ROUNDUP(VLOOKUP($B1989,calc_data,K$14+1,0),2),0),0)</f>
        <v/>
      </c>
      <c r="L1989" s="184">
        <f>IF(offer_sale_type="транзит",IFERROR(ROUNDUP(VLOOKUP($B1989,calc_data,L$14+1,0),2),0),0)</f>
        <v/>
      </c>
      <c r="M1989" s="141">
        <f>IF(offer_sale_type="транзит",IFERROR(ROUNDUP(VLOOKUP($B1989,calc_data,M$14+1,0),2),0),0)</f>
        <v/>
      </c>
      <c r="N1989" s="141">
        <f>IF(offer_sale_type="транзит",IFERROR(ROUNDUP(VLOOKUP($B1989,calc_data,N$14+1,0),2),0),0)</f>
        <v/>
      </c>
      <c r="O1989" s="147">
        <f>IF(offer_sale_type="транзит",IFERROR(ROUND(VLOOKUP($B1989,calc_data,O$14+1,1),2),0),0)</f>
        <v/>
      </c>
      <c r="P1989" s="141">
        <f>IF(offer_sale_type="транзит",IFERROR(ROUND(SUM(I1989:J1989,M1989:O1989)/E1989,2),0),0)</f>
        <v/>
      </c>
      <c r="Q1989" s="141">
        <f>E1989*P1989</f>
        <v/>
      </c>
      <c r="R1989" s="141">
        <f>ROUND(Q1989*IF(AND(offer_incoterms="DDP",seller_region="RU"),IF((TODAY()+offer_turnaround_time)&gt;=helpsheet!$L$17,rate_vatRU_from_26,rate_vatRu_till_25),0),2)</f>
        <v/>
      </c>
      <c r="S1989" s="177">
        <f>Q1989+IF(AND(offer_incoterms="DDP",seller_region="RU"),R1989,0)</f>
        <v/>
      </c>
      <c r="T1989" s="45" t="n"/>
      <c r="V1989" s="57">
        <f>IF(Q1989&gt;0,"показать","скрыть")</f>
        <v/>
      </c>
    </row>
    <row r="1990" ht="15.75" customHeight="1">
      <c r="B1990" s="809" t="n">
        <v>1974</v>
      </c>
      <c r="C1990" s="182">
        <f>IF(offer_sale_type="транзит",IFERROR(VLOOKUP($B1990,calc_data,C$14+1,0),0),0)</f>
        <v/>
      </c>
      <c r="D1990" s="280">
        <f>IF(offer_sale_type="транзит",IFERROR(VLOOKUP($B1990,calc_data,D$14+1,0),0),0)</f>
        <v/>
      </c>
      <c r="E1990" s="182">
        <f>IF(offer_sale_type="транзит",IFERROR(VLOOKUP($B1990,calc_data,E$14+1,0),0),0)</f>
        <v/>
      </c>
      <c r="F1990" s="182">
        <f>IF(offer_sale_type="транзит",IFERROR(VLOOKUP($B1990,calc_data,F$14+1,0),0),0)</f>
        <v/>
      </c>
      <c r="G1990" s="141">
        <f>IF(offer_sale_type="транзит",IFERROR(VLOOKUP($B1990,calc_data,G$14+1,0),0),0)</f>
        <v/>
      </c>
      <c r="H1990" s="141">
        <f>E1990*G1990</f>
        <v/>
      </c>
      <c r="I1990" s="141">
        <f>IF(offer_sale_type="транзит",IFERROR(ROUND(VLOOKUP($B1990,calc_data,I$14+1,0),2),0),0)</f>
        <v/>
      </c>
      <c r="J1990" s="141">
        <f>ROUND(IF(offer_sale_type="транзит",IFERROR(VLOOKUP($B1990,calc_data,J$14+1,0),0),0),2)</f>
        <v/>
      </c>
      <c r="K1990" s="142">
        <f>IF(offer_sale_type="транзит",IFERROR(ROUNDUP(VLOOKUP($B1990,calc_data,K$14+1,0),2),0),0)</f>
        <v/>
      </c>
      <c r="L1990" s="184">
        <f>IF(offer_sale_type="транзит",IFERROR(ROUNDUP(VLOOKUP($B1990,calc_data,L$14+1,0),2),0),0)</f>
        <v/>
      </c>
      <c r="M1990" s="141">
        <f>IF(offer_sale_type="транзит",IFERROR(ROUNDUP(VLOOKUP($B1990,calc_data,M$14+1,0),2),0),0)</f>
        <v/>
      </c>
      <c r="N1990" s="141">
        <f>IF(offer_sale_type="транзит",IFERROR(ROUNDUP(VLOOKUP($B1990,calc_data,N$14+1,0),2),0),0)</f>
        <v/>
      </c>
      <c r="O1990" s="147">
        <f>IF(offer_sale_type="транзит",IFERROR(ROUND(VLOOKUP($B1990,calc_data,O$14+1,1),2),0),0)</f>
        <v/>
      </c>
      <c r="P1990" s="141">
        <f>IF(offer_sale_type="транзит",IFERROR(ROUND(SUM(I1990:J1990,M1990:O1990)/E1990,2),0),0)</f>
        <v/>
      </c>
      <c r="Q1990" s="141">
        <f>E1990*P1990</f>
        <v/>
      </c>
      <c r="R1990" s="141">
        <f>ROUND(Q1990*IF(AND(offer_incoterms="DDP",seller_region="RU"),IF((TODAY()+offer_turnaround_time)&gt;=helpsheet!$L$17,rate_vatRU_from_26,rate_vatRu_till_25),0),2)</f>
        <v/>
      </c>
      <c r="S1990" s="177">
        <f>Q1990+IF(AND(offer_incoterms="DDP",seller_region="RU"),R1990,0)</f>
        <v/>
      </c>
      <c r="T1990" s="45" t="n"/>
      <c r="V1990" s="57">
        <f>IF(Q1990&gt;0,"показать","скрыть")</f>
        <v/>
      </c>
    </row>
    <row r="1991" ht="15.75" customHeight="1">
      <c r="B1991" s="809" t="n">
        <v>1975</v>
      </c>
      <c r="C1991" s="182">
        <f>IF(offer_sale_type="транзит",IFERROR(VLOOKUP($B1991,calc_data,C$14+1,0),0),0)</f>
        <v/>
      </c>
      <c r="D1991" s="280">
        <f>IF(offer_sale_type="транзит",IFERROR(VLOOKUP($B1991,calc_data,D$14+1,0),0),0)</f>
        <v/>
      </c>
      <c r="E1991" s="182">
        <f>IF(offer_sale_type="транзит",IFERROR(VLOOKUP($B1991,calc_data,E$14+1,0),0),0)</f>
        <v/>
      </c>
      <c r="F1991" s="182">
        <f>IF(offer_sale_type="транзит",IFERROR(VLOOKUP($B1991,calc_data,F$14+1,0),0),0)</f>
        <v/>
      </c>
      <c r="G1991" s="141">
        <f>IF(offer_sale_type="транзит",IFERROR(VLOOKUP($B1991,calc_data,G$14+1,0),0),0)</f>
        <v/>
      </c>
      <c r="H1991" s="141">
        <f>E1991*G1991</f>
        <v/>
      </c>
      <c r="I1991" s="141">
        <f>IF(offer_sale_type="транзит",IFERROR(ROUND(VLOOKUP($B1991,calc_data,I$14+1,0),2),0),0)</f>
        <v/>
      </c>
      <c r="J1991" s="141">
        <f>ROUND(IF(offer_sale_type="транзит",IFERROR(VLOOKUP($B1991,calc_data,J$14+1,0),0),0),2)</f>
        <v/>
      </c>
      <c r="K1991" s="142">
        <f>IF(offer_sale_type="транзит",IFERROR(ROUNDUP(VLOOKUP($B1991,calc_data,K$14+1,0),2),0),0)</f>
        <v/>
      </c>
      <c r="L1991" s="184">
        <f>IF(offer_sale_type="транзит",IFERROR(ROUNDUP(VLOOKUP($B1991,calc_data,L$14+1,0),2),0),0)</f>
        <v/>
      </c>
      <c r="M1991" s="141">
        <f>IF(offer_sale_type="транзит",IFERROR(ROUNDUP(VLOOKUP($B1991,calc_data,M$14+1,0),2),0),0)</f>
        <v/>
      </c>
      <c r="N1991" s="141">
        <f>IF(offer_sale_type="транзит",IFERROR(ROUNDUP(VLOOKUP($B1991,calc_data,N$14+1,0),2),0),0)</f>
        <v/>
      </c>
      <c r="O1991" s="147">
        <f>IF(offer_sale_type="транзит",IFERROR(ROUND(VLOOKUP($B1991,calc_data,O$14+1,1),2),0),0)</f>
        <v/>
      </c>
      <c r="P1991" s="141">
        <f>IF(offer_sale_type="транзит",IFERROR(ROUND(SUM(I1991:J1991,M1991:O1991)/E1991,2),0),0)</f>
        <v/>
      </c>
      <c r="Q1991" s="141">
        <f>E1991*P1991</f>
        <v/>
      </c>
      <c r="R1991" s="141">
        <f>ROUND(Q1991*IF(AND(offer_incoterms="DDP",seller_region="RU"),IF((TODAY()+offer_turnaround_time)&gt;=helpsheet!$L$17,rate_vatRU_from_26,rate_vatRu_till_25),0),2)</f>
        <v/>
      </c>
      <c r="S1991" s="177">
        <f>Q1991+IF(AND(offer_incoterms="DDP",seller_region="RU"),R1991,0)</f>
        <v/>
      </c>
      <c r="T1991" s="45" t="n"/>
      <c r="V1991" s="57">
        <f>IF(Q1991&gt;0,"показать","скрыть")</f>
        <v/>
      </c>
    </row>
    <row r="1992" ht="15.75" customHeight="1">
      <c r="B1992" s="809" t="n">
        <v>1976</v>
      </c>
      <c r="C1992" s="182">
        <f>IF(offer_sale_type="транзит",IFERROR(VLOOKUP($B1992,calc_data,C$14+1,0),0),0)</f>
        <v/>
      </c>
      <c r="D1992" s="280">
        <f>IF(offer_sale_type="транзит",IFERROR(VLOOKUP($B1992,calc_data,D$14+1,0),0),0)</f>
        <v/>
      </c>
      <c r="E1992" s="182">
        <f>IF(offer_sale_type="транзит",IFERROR(VLOOKUP($B1992,calc_data,E$14+1,0),0),0)</f>
        <v/>
      </c>
      <c r="F1992" s="182">
        <f>IF(offer_sale_type="транзит",IFERROR(VLOOKUP($B1992,calc_data,F$14+1,0),0),0)</f>
        <v/>
      </c>
      <c r="G1992" s="141">
        <f>IF(offer_sale_type="транзит",IFERROR(VLOOKUP($B1992,calc_data,G$14+1,0),0),0)</f>
        <v/>
      </c>
      <c r="H1992" s="141">
        <f>E1992*G1992</f>
        <v/>
      </c>
      <c r="I1992" s="141">
        <f>IF(offer_sale_type="транзит",IFERROR(ROUND(VLOOKUP($B1992,calc_data,I$14+1,0),2),0),0)</f>
        <v/>
      </c>
      <c r="J1992" s="141">
        <f>ROUND(IF(offer_sale_type="транзит",IFERROR(VLOOKUP($B1992,calc_data,J$14+1,0),0),0),2)</f>
        <v/>
      </c>
      <c r="K1992" s="142">
        <f>IF(offer_sale_type="транзит",IFERROR(ROUNDUP(VLOOKUP($B1992,calc_data,K$14+1,0),2),0),0)</f>
        <v/>
      </c>
      <c r="L1992" s="184">
        <f>IF(offer_sale_type="транзит",IFERROR(ROUNDUP(VLOOKUP($B1992,calc_data,L$14+1,0),2),0),0)</f>
        <v/>
      </c>
      <c r="M1992" s="141">
        <f>IF(offer_sale_type="транзит",IFERROR(ROUNDUP(VLOOKUP($B1992,calc_data,M$14+1,0),2),0),0)</f>
        <v/>
      </c>
      <c r="N1992" s="141">
        <f>IF(offer_sale_type="транзит",IFERROR(ROUNDUP(VLOOKUP($B1992,calc_data,N$14+1,0),2),0),0)</f>
        <v/>
      </c>
      <c r="O1992" s="147">
        <f>IF(offer_sale_type="транзит",IFERROR(ROUND(VLOOKUP($B1992,calc_data,O$14+1,1),2),0),0)</f>
        <v/>
      </c>
      <c r="P1992" s="141">
        <f>IF(offer_sale_type="транзит",IFERROR(ROUND(SUM(I1992:J1992,M1992:O1992)/E1992,2),0),0)</f>
        <v/>
      </c>
      <c r="Q1992" s="141">
        <f>E1992*P1992</f>
        <v/>
      </c>
      <c r="R1992" s="141">
        <f>ROUND(Q1992*IF(AND(offer_incoterms="DDP",seller_region="RU"),IF((TODAY()+offer_turnaround_time)&gt;=helpsheet!$L$17,rate_vatRU_from_26,rate_vatRu_till_25),0),2)</f>
        <v/>
      </c>
      <c r="S1992" s="177">
        <f>Q1992+IF(AND(offer_incoterms="DDP",seller_region="RU"),R1992,0)</f>
        <v/>
      </c>
      <c r="T1992" s="45" t="n"/>
      <c r="V1992" s="57">
        <f>IF(Q1992&gt;0,"показать","скрыть")</f>
        <v/>
      </c>
    </row>
    <row r="1993" ht="15.75" customHeight="1">
      <c r="B1993" s="809" t="n">
        <v>1977</v>
      </c>
      <c r="C1993" s="182">
        <f>IF(offer_sale_type="транзит",IFERROR(VLOOKUP($B1993,calc_data,C$14+1,0),0),0)</f>
        <v/>
      </c>
      <c r="D1993" s="280">
        <f>IF(offer_sale_type="транзит",IFERROR(VLOOKUP($B1993,calc_data,D$14+1,0),0),0)</f>
        <v/>
      </c>
      <c r="E1993" s="182">
        <f>IF(offer_sale_type="транзит",IFERROR(VLOOKUP($B1993,calc_data,E$14+1,0),0),0)</f>
        <v/>
      </c>
      <c r="F1993" s="182">
        <f>IF(offer_sale_type="транзит",IFERROR(VLOOKUP($B1993,calc_data,F$14+1,0),0),0)</f>
        <v/>
      </c>
      <c r="G1993" s="141">
        <f>IF(offer_sale_type="транзит",IFERROR(VLOOKUP($B1993,calc_data,G$14+1,0),0),0)</f>
        <v/>
      </c>
      <c r="H1993" s="141">
        <f>E1993*G1993</f>
        <v/>
      </c>
      <c r="I1993" s="141">
        <f>IF(offer_sale_type="транзит",IFERROR(ROUND(VLOOKUP($B1993,calc_data,I$14+1,0),2),0),0)</f>
        <v/>
      </c>
      <c r="J1993" s="141">
        <f>ROUND(IF(offer_sale_type="транзит",IFERROR(VLOOKUP($B1993,calc_data,J$14+1,0),0),0),2)</f>
        <v/>
      </c>
      <c r="K1993" s="142">
        <f>IF(offer_sale_type="транзит",IFERROR(ROUNDUP(VLOOKUP($B1993,calc_data,K$14+1,0),2),0),0)</f>
        <v/>
      </c>
      <c r="L1993" s="184">
        <f>IF(offer_sale_type="транзит",IFERROR(ROUNDUP(VLOOKUP($B1993,calc_data,L$14+1,0),2),0),0)</f>
        <v/>
      </c>
      <c r="M1993" s="141">
        <f>IF(offer_sale_type="транзит",IFERROR(ROUNDUP(VLOOKUP($B1993,calc_data,M$14+1,0),2),0),0)</f>
        <v/>
      </c>
      <c r="N1993" s="141">
        <f>IF(offer_sale_type="транзит",IFERROR(ROUNDUP(VLOOKUP($B1993,calc_data,N$14+1,0),2),0),0)</f>
        <v/>
      </c>
      <c r="O1993" s="147">
        <f>IF(offer_sale_type="транзит",IFERROR(ROUND(VLOOKUP($B1993,calc_data,O$14+1,1),2),0),0)</f>
        <v/>
      </c>
      <c r="P1993" s="141">
        <f>IF(offer_sale_type="транзит",IFERROR(ROUND(SUM(I1993:J1993,M1993:O1993)/E1993,2),0),0)</f>
        <v/>
      </c>
      <c r="Q1993" s="141">
        <f>E1993*P1993</f>
        <v/>
      </c>
      <c r="R1993" s="141">
        <f>ROUND(Q1993*IF(AND(offer_incoterms="DDP",seller_region="RU"),IF((TODAY()+offer_turnaround_time)&gt;=helpsheet!$L$17,rate_vatRU_from_26,rate_vatRu_till_25),0),2)</f>
        <v/>
      </c>
      <c r="S1993" s="177">
        <f>Q1993+IF(AND(offer_incoterms="DDP",seller_region="RU"),R1993,0)</f>
        <v/>
      </c>
      <c r="T1993" s="45" t="n"/>
      <c r="V1993" s="57">
        <f>IF(Q1993&gt;0,"показать","скрыть")</f>
        <v/>
      </c>
    </row>
    <row r="1994" ht="15.75" customHeight="1">
      <c r="B1994" s="809" t="n">
        <v>1978</v>
      </c>
      <c r="C1994" s="182">
        <f>IF(offer_sale_type="транзит",IFERROR(VLOOKUP($B1994,calc_data,C$14+1,0),0),0)</f>
        <v/>
      </c>
      <c r="D1994" s="280">
        <f>IF(offer_sale_type="транзит",IFERROR(VLOOKUP($B1994,calc_data,D$14+1,0),0),0)</f>
        <v/>
      </c>
      <c r="E1994" s="182">
        <f>IF(offer_sale_type="транзит",IFERROR(VLOOKUP($B1994,calc_data,E$14+1,0),0),0)</f>
        <v/>
      </c>
      <c r="F1994" s="182">
        <f>IF(offer_sale_type="транзит",IFERROR(VLOOKUP($B1994,calc_data,F$14+1,0),0),0)</f>
        <v/>
      </c>
      <c r="G1994" s="141">
        <f>IF(offer_sale_type="транзит",IFERROR(VLOOKUP($B1994,calc_data,G$14+1,0),0),0)</f>
        <v/>
      </c>
      <c r="H1994" s="141">
        <f>E1994*G1994</f>
        <v/>
      </c>
      <c r="I1994" s="141">
        <f>IF(offer_sale_type="транзит",IFERROR(ROUND(VLOOKUP($B1994,calc_data,I$14+1,0),2),0),0)</f>
        <v/>
      </c>
      <c r="J1994" s="141">
        <f>ROUND(IF(offer_sale_type="транзит",IFERROR(VLOOKUP($B1994,calc_data,J$14+1,0),0),0),2)</f>
        <v/>
      </c>
      <c r="K1994" s="142">
        <f>IF(offer_sale_type="транзит",IFERROR(ROUNDUP(VLOOKUP($B1994,calc_data,K$14+1,0),2),0),0)</f>
        <v/>
      </c>
      <c r="L1994" s="184">
        <f>IF(offer_sale_type="транзит",IFERROR(ROUNDUP(VLOOKUP($B1994,calc_data,L$14+1,0),2),0),0)</f>
        <v/>
      </c>
      <c r="M1994" s="141">
        <f>IF(offer_sale_type="транзит",IFERROR(ROUNDUP(VLOOKUP($B1994,calc_data,M$14+1,0),2),0),0)</f>
        <v/>
      </c>
      <c r="N1994" s="141">
        <f>IF(offer_sale_type="транзит",IFERROR(ROUNDUP(VLOOKUP($B1994,calc_data,N$14+1,0),2),0),0)</f>
        <v/>
      </c>
      <c r="O1994" s="147">
        <f>IF(offer_sale_type="транзит",IFERROR(ROUND(VLOOKUP($B1994,calc_data,O$14+1,1),2),0),0)</f>
        <v/>
      </c>
      <c r="P1994" s="141">
        <f>IF(offer_sale_type="транзит",IFERROR(ROUND(SUM(I1994:J1994,M1994:O1994)/E1994,2),0),0)</f>
        <v/>
      </c>
      <c r="Q1994" s="141">
        <f>E1994*P1994</f>
        <v/>
      </c>
      <c r="R1994" s="141">
        <f>ROUND(Q1994*IF(AND(offer_incoterms="DDP",seller_region="RU"),IF((TODAY()+offer_turnaround_time)&gt;=helpsheet!$L$17,rate_vatRU_from_26,rate_vatRu_till_25),0),2)</f>
        <v/>
      </c>
      <c r="S1994" s="177">
        <f>Q1994+IF(AND(offer_incoterms="DDP",seller_region="RU"),R1994,0)</f>
        <v/>
      </c>
      <c r="T1994" s="45" t="n"/>
      <c r="V1994" s="57">
        <f>IF(Q1994&gt;0,"показать","скрыть")</f>
        <v/>
      </c>
    </row>
    <row r="1995" ht="15.75" customHeight="1">
      <c r="B1995" s="809" t="n">
        <v>1979</v>
      </c>
      <c r="C1995" s="182">
        <f>IF(offer_sale_type="транзит",IFERROR(VLOOKUP($B1995,calc_data,C$14+1,0),0),0)</f>
        <v/>
      </c>
      <c r="D1995" s="280">
        <f>IF(offer_sale_type="транзит",IFERROR(VLOOKUP($B1995,calc_data,D$14+1,0),0),0)</f>
        <v/>
      </c>
      <c r="E1995" s="182">
        <f>IF(offer_sale_type="транзит",IFERROR(VLOOKUP($B1995,calc_data,E$14+1,0),0),0)</f>
        <v/>
      </c>
      <c r="F1995" s="182">
        <f>IF(offer_sale_type="транзит",IFERROR(VLOOKUP($B1995,calc_data,F$14+1,0),0),0)</f>
        <v/>
      </c>
      <c r="G1995" s="141">
        <f>IF(offer_sale_type="транзит",IFERROR(VLOOKUP($B1995,calc_data,G$14+1,0),0),0)</f>
        <v/>
      </c>
      <c r="H1995" s="141">
        <f>E1995*G1995</f>
        <v/>
      </c>
      <c r="I1995" s="141">
        <f>IF(offer_sale_type="транзит",IFERROR(ROUND(VLOOKUP($B1995,calc_data,I$14+1,0),2),0),0)</f>
        <v/>
      </c>
      <c r="J1995" s="141">
        <f>ROUND(IF(offer_sale_type="транзит",IFERROR(VLOOKUP($B1995,calc_data,J$14+1,0),0),0),2)</f>
        <v/>
      </c>
      <c r="K1995" s="142">
        <f>IF(offer_sale_type="транзит",IFERROR(ROUNDUP(VLOOKUP($B1995,calc_data,K$14+1,0),2),0),0)</f>
        <v/>
      </c>
      <c r="L1995" s="184">
        <f>IF(offer_sale_type="транзит",IFERROR(ROUNDUP(VLOOKUP($B1995,calc_data,L$14+1,0),2),0),0)</f>
        <v/>
      </c>
      <c r="M1995" s="141">
        <f>IF(offer_sale_type="транзит",IFERROR(ROUNDUP(VLOOKUP($B1995,calc_data,M$14+1,0),2),0),0)</f>
        <v/>
      </c>
      <c r="N1995" s="141">
        <f>IF(offer_sale_type="транзит",IFERROR(ROUNDUP(VLOOKUP($B1995,calc_data,N$14+1,0),2),0),0)</f>
        <v/>
      </c>
      <c r="O1995" s="147">
        <f>IF(offer_sale_type="транзит",IFERROR(ROUND(VLOOKUP($B1995,calc_data,O$14+1,1),2),0),0)</f>
        <v/>
      </c>
      <c r="P1995" s="141">
        <f>IF(offer_sale_type="транзит",IFERROR(ROUND(SUM(I1995:J1995,M1995:O1995)/E1995,2),0),0)</f>
        <v/>
      </c>
      <c r="Q1995" s="141">
        <f>E1995*P1995</f>
        <v/>
      </c>
      <c r="R1995" s="141">
        <f>ROUND(Q1995*IF(AND(offer_incoterms="DDP",seller_region="RU"),IF((TODAY()+offer_turnaround_time)&gt;=helpsheet!$L$17,rate_vatRU_from_26,rate_vatRu_till_25),0),2)</f>
        <v/>
      </c>
      <c r="S1995" s="177">
        <f>Q1995+IF(AND(offer_incoterms="DDP",seller_region="RU"),R1995,0)</f>
        <v/>
      </c>
      <c r="T1995" s="45" t="n"/>
      <c r="V1995" s="57">
        <f>IF(Q1995&gt;0,"показать","скрыть")</f>
        <v/>
      </c>
    </row>
    <row r="1996" ht="15.75" customHeight="1">
      <c r="B1996" s="809" t="n">
        <v>1980</v>
      </c>
      <c r="C1996" s="182">
        <f>IF(offer_sale_type="транзит",IFERROR(VLOOKUP($B1996,calc_data,C$14+1,0),0),0)</f>
        <v/>
      </c>
      <c r="D1996" s="280">
        <f>IF(offer_sale_type="транзит",IFERROR(VLOOKUP($B1996,calc_data,D$14+1,0),0),0)</f>
        <v/>
      </c>
      <c r="E1996" s="182">
        <f>IF(offer_sale_type="транзит",IFERROR(VLOOKUP($B1996,calc_data,E$14+1,0),0),0)</f>
        <v/>
      </c>
      <c r="F1996" s="182">
        <f>IF(offer_sale_type="транзит",IFERROR(VLOOKUP($B1996,calc_data,F$14+1,0),0),0)</f>
        <v/>
      </c>
      <c r="G1996" s="141">
        <f>IF(offer_sale_type="транзит",IFERROR(VLOOKUP($B1996,calc_data,G$14+1,0),0),0)</f>
        <v/>
      </c>
      <c r="H1996" s="141">
        <f>E1996*G1996</f>
        <v/>
      </c>
      <c r="I1996" s="141">
        <f>IF(offer_sale_type="транзит",IFERROR(ROUND(VLOOKUP($B1996,calc_data,I$14+1,0),2),0),0)</f>
        <v/>
      </c>
      <c r="J1996" s="141">
        <f>ROUND(IF(offer_sale_type="транзит",IFERROR(VLOOKUP($B1996,calc_data,J$14+1,0),0),0),2)</f>
        <v/>
      </c>
      <c r="K1996" s="142">
        <f>IF(offer_sale_type="транзит",IFERROR(ROUNDUP(VLOOKUP($B1996,calc_data,K$14+1,0),2),0),0)</f>
        <v/>
      </c>
      <c r="L1996" s="184">
        <f>IF(offer_sale_type="транзит",IFERROR(ROUNDUP(VLOOKUP($B1996,calc_data,L$14+1,0),2),0),0)</f>
        <v/>
      </c>
      <c r="M1996" s="141">
        <f>IF(offer_sale_type="транзит",IFERROR(ROUNDUP(VLOOKUP($B1996,calc_data,M$14+1,0),2),0),0)</f>
        <v/>
      </c>
      <c r="N1996" s="141">
        <f>IF(offer_sale_type="транзит",IFERROR(ROUNDUP(VLOOKUP($B1996,calc_data,N$14+1,0),2),0),0)</f>
        <v/>
      </c>
      <c r="O1996" s="147">
        <f>IF(offer_sale_type="транзит",IFERROR(ROUND(VLOOKUP($B1996,calc_data,O$14+1,1),2),0),0)</f>
        <v/>
      </c>
      <c r="P1996" s="141">
        <f>IF(offer_sale_type="транзит",IFERROR(ROUND(SUM(I1996:J1996,M1996:O1996)/E1996,2),0),0)</f>
        <v/>
      </c>
      <c r="Q1996" s="141">
        <f>E1996*P1996</f>
        <v/>
      </c>
      <c r="R1996" s="141">
        <f>ROUND(Q1996*IF(AND(offer_incoterms="DDP",seller_region="RU"),IF((TODAY()+offer_turnaround_time)&gt;=helpsheet!$L$17,rate_vatRU_from_26,rate_vatRu_till_25),0),2)</f>
        <v/>
      </c>
      <c r="S1996" s="177">
        <f>Q1996+IF(AND(offer_incoterms="DDP",seller_region="RU"),R1996,0)</f>
        <v/>
      </c>
      <c r="T1996" s="45" t="n"/>
      <c r="V1996" s="57">
        <f>IF(Q1996&gt;0,"показать","скрыть")</f>
        <v/>
      </c>
    </row>
    <row r="1997" ht="15.75" customHeight="1">
      <c r="B1997" s="809" t="n">
        <v>1981</v>
      </c>
      <c r="C1997" s="182">
        <f>IF(offer_sale_type="транзит",IFERROR(VLOOKUP($B1997,calc_data,C$14+1,0),0),0)</f>
        <v/>
      </c>
      <c r="D1997" s="280">
        <f>IF(offer_sale_type="транзит",IFERROR(VLOOKUP($B1997,calc_data,D$14+1,0),0),0)</f>
        <v/>
      </c>
      <c r="E1997" s="182">
        <f>IF(offer_sale_type="транзит",IFERROR(VLOOKUP($B1997,calc_data,E$14+1,0),0),0)</f>
        <v/>
      </c>
      <c r="F1997" s="182">
        <f>IF(offer_sale_type="транзит",IFERROR(VLOOKUP($B1997,calc_data,F$14+1,0),0),0)</f>
        <v/>
      </c>
      <c r="G1997" s="141">
        <f>IF(offer_sale_type="транзит",IFERROR(VLOOKUP($B1997,calc_data,G$14+1,0),0),0)</f>
        <v/>
      </c>
      <c r="H1997" s="141">
        <f>E1997*G1997</f>
        <v/>
      </c>
      <c r="I1997" s="141">
        <f>IF(offer_sale_type="транзит",IFERROR(ROUND(VLOOKUP($B1997,calc_data,I$14+1,0),2),0),0)</f>
        <v/>
      </c>
      <c r="J1997" s="141">
        <f>ROUND(IF(offer_sale_type="транзит",IFERROR(VLOOKUP($B1997,calc_data,J$14+1,0),0),0),2)</f>
        <v/>
      </c>
      <c r="K1997" s="142">
        <f>IF(offer_sale_type="транзит",IFERROR(ROUNDUP(VLOOKUP($B1997,calc_data,K$14+1,0),2),0),0)</f>
        <v/>
      </c>
      <c r="L1997" s="184">
        <f>IF(offer_sale_type="транзит",IFERROR(ROUNDUP(VLOOKUP($B1997,calc_data,L$14+1,0),2),0),0)</f>
        <v/>
      </c>
      <c r="M1997" s="141">
        <f>IF(offer_sale_type="транзит",IFERROR(ROUNDUP(VLOOKUP($B1997,calc_data,M$14+1,0),2),0),0)</f>
        <v/>
      </c>
      <c r="N1997" s="141">
        <f>IF(offer_sale_type="транзит",IFERROR(ROUNDUP(VLOOKUP($B1997,calc_data,N$14+1,0),2),0),0)</f>
        <v/>
      </c>
      <c r="O1997" s="147">
        <f>IF(offer_sale_type="транзит",IFERROR(ROUND(VLOOKUP($B1997,calc_data,O$14+1,1),2),0),0)</f>
        <v/>
      </c>
      <c r="P1997" s="141">
        <f>IF(offer_sale_type="транзит",IFERROR(ROUND(SUM(I1997:J1997,M1997:O1997)/E1997,2),0),0)</f>
        <v/>
      </c>
      <c r="Q1997" s="141">
        <f>E1997*P1997</f>
        <v/>
      </c>
      <c r="R1997" s="141">
        <f>ROUND(Q1997*IF(AND(offer_incoterms="DDP",seller_region="RU"),IF((TODAY()+offer_turnaround_time)&gt;=helpsheet!$L$17,rate_vatRU_from_26,rate_vatRu_till_25),0),2)</f>
        <v/>
      </c>
      <c r="S1997" s="177">
        <f>Q1997+IF(AND(offer_incoterms="DDP",seller_region="RU"),R1997,0)</f>
        <v/>
      </c>
      <c r="T1997" s="45" t="n"/>
      <c r="V1997" s="57">
        <f>IF(Q1997&gt;0,"показать","скрыть")</f>
        <v/>
      </c>
    </row>
    <row r="1998" ht="15.75" customHeight="1">
      <c r="B1998" s="809" t="n">
        <v>1982</v>
      </c>
      <c r="C1998" s="182">
        <f>IF(offer_sale_type="транзит",IFERROR(VLOOKUP($B1998,calc_data,C$14+1,0),0),0)</f>
        <v/>
      </c>
      <c r="D1998" s="280">
        <f>IF(offer_sale_type="транзит",IFERROR(VLOOKUP($B1998,calc_data,D$14+1,0),0),0)</f>
        <v/>
      </c>
      <c r="E1998" s="182">
        <f>IF(offer_sale_type="транзит",IFERROR(VLOOKUP($B1998,calc_data,E$14+1,0),0),0)</f>
        <v/>
      </c>
      <c r="F1998" s="182">
        <f>IF(offer_sale_type="транзит",IFERROR(VLOOKUP($B1998,calc_data,F$14+1,0),0),0)</f>
        <v/>
      </c>
      <c r="G1998" s="141">
        <f>IF(offer_sale_type="транзит",IFERROR(VLOOKUP($B1998,calc_data,G$14+1,0),0),0)</f>
        <v/>
      </c>
      <c r="H1998" s="141">
        <f>E1998*G1998</f>
        <v/>
      </c>
      <c r="I1998" s="141">
        <f>IF(offer_sale_type="транзит",IFERROR(ROUND(VLOOKUP($B1998,calc_data,I$14+1,0),2),0),0)</f>
        <v/>
      </c>
      <c r="J1998" s="141">
        <f>ROUND(IF(offer_sale_type="транзит",IFERROR(VLOOKUP($B1998,calc_data,J$14+1,0),0),0),2)</f>
        <v/>
      </c>
      <c r="K1998" s="142">
        <f>IF(offer_sale_type="транзит",IFERROR(ROUNDUP(VLOOKUP($B1998,calc_data,K$14+1,0),2),0),0)</f>
        <v/>
      </c>
      <c r="L1998" s="184">
        <f>IF(offer_sale_type="транзит",IFERROR(ROUNDUP(VLOOKUP($B1998,calc_data,L$14+1,0),2),0),0)</f>
        <v/>
      </c>
      <c r="M1998" s="141">
        <f>IF(offer_sale_type="транзит",IFERROR(ROUNDUP(VLOOKUP($B1998,calc_data,M$14+1,0),2),0),0)</f>
        <v/>
      </c>
      <c r="N1998" s="141">
        <f>IF(offer_sale_type="транзит",IFERROR(ROUNDUP(VLOOKUP($B1998,calc_data,N$14+1,0),2),0),0)</f>
        <v/>
      </c>
      <c r="O1998" s="147">
        <f>IF(offer_sale_type="транзит",IFERROR(ROUND(VLOOKUP($B1998,calc_data,O$14+1,1),2),0),0)</f>
        <v/>
      </c>
      <c r="P1998" s="141">
        <f>IF(offer_sale_type="транзит",IFERROR(ROUND(SUM(I1998:J1998,M1998:O1998)/E1998,2),0),0)</f>
        <v/>
      </c>
      <c r="Q1998" s="141">
        <f>E1998*P1998</f>
        <v/>
      </c>
      <c r="R1998" s="141">
        <f>ROUND(Q1998*IF(AND(offer_incoterms="DDP",seller_region="RU"),IF((TODAY()+offer_turnaround_time)&gt;=helpsheet!$L$17,rate_vatRU_from_26,rate_vatRu_till_25),0),2)</f>
        <v/>
      </c>
      <c r="S1998" s="177">
        <f>Q1998+IF(AND(offer_incoterms="DDP",seller_region="RU"),R1998,0)</f>
        <v/>
      </c>
      <c r="T1998" s="45" t="n"/>
      <c r="V1998" s="57">
        <f>IF(Q1998&gt;0,"показать","скрыть")</f>
        <v/>
      </c>
    </row>
    <row r="1999" ht="15.75" customHeight="1">
      <c r="B1999" s="809" t="n">
        <v>1983</v>
      </c>
      <c r="C1999" s="182">
        <f>IF(offer_sale_type="транзит",IFERROR(VLOOKUP($B1999,calc_data,C$14+1,0),0),0)</f>
        <v/>
      </c>
      <c r="D1999" s="280">
        <f>IF(offer_sale_type="транзит",IFERROR(VLOOKUP($B1999,calc_data,D$14+1,0),0),0)</f>
        <v/>
      </c>
      <c r="E1999" s="182">
        <f>IF(offer_sale_type="транзит",IFERROR(VLOOKUP($B1999,calc_data,E$14+1,0),0),0)</f>
        <v/>
      </c>
      <c r="F1999" s="182">
        <f>IF(offer_sale_type="транзит",IFERROR(VLOOKUP($B1999,calc_data,F$14+1,0),0),0)</f>
        <v/>
      </c>
      <c r="G1999" s="141">
        <f>IF(offer_sale_type="транзит",IFERROR(VLOOKUP($B1999,calc_data,G$14+1,0),0),0)</f>
        <v/>
      </c>
      <c r="H1999" s="141">
        <f>E1999*G1999</f>
        <v/>
      </c>
      <c r="I1999" s="141">
        <f>IF(offer_sale_type="транзит",IFERROR(ROUND(VLOOKUP($B1999,calc_data,I$14+1,0),2),0),0)</f>
        <v/>
      </c>
      <c r="J1999" s="141">
        <f>ROUND(IF(offer_sale_type="транзит",IFERROR(VLOOKUP($B1999,calc_data,J$14+1,0),0),0),2)</f>
        <v/>
      </c>
      <c r="K1999" s="142">
        <f>IF(offer_sale_type="транзит",IFERROR(ROUNDUP(VLOOKUP($B1999,calc_data,K$14+1,0),2),0),0)</f>
        <v/>
      </c>
      <c r="L1999" s="184">
        <f>IF(offer_sale_type="транзит",IFERROR(ROUNDUP(VLOOKUP($B1999,calc_data,L$14+1,0),2),0),0)</f>
        <v/>
      </c>
      <c r="M1999" s="141">
        <f>IF(offer_sale_type="транзит",IFERROR(ROUNDUP(VLOOKUP($B1999,calc_data,M$14+1,0),2),0),0)</f>
        <v/>
      </c>
      <c r="N1999" s="141">
        <f>IF(offer_sale_type="транзит",IFERROR(ROUNDUP(VLOOKUP($B1999,calc_data,N$14+1,0),2),0),0)</f>
        <v/>
      </c>
      <c r="O1999" s="147">
        <f>IF(offer_sale_type="транзит",IFERROR(ROUND(VLOOKUP($B1999,calc_data,O$14+1,1),2),0),0)</f>
        <v/>
      </c>
      <c r="P1999" s="141">
        <f>IF(offer_sale_type="транзит",IFERROR(ROUND(SUM(I1999:J1999,M1999:O1999)/E1999,2),0),0)</f>
        <v/>
      </c>
      <c r="Q1999" s="141">
        <f>E1999*P1999</f>
        <v/>
      </c>
      <c r="R1999" s="141">
        <f>ROUND(Q1999*IF(AND(offer_incoterms="DDP",seller_region="RU"),IF((TODAY()+offer_turnaround_time)&gt;=helpsheet!$L$17,rate_vatRU_from_26,rate_vatRu_till_25),0),2)</f>
        <v/>
      </c>
      <c r="S1999" s="177">
        <f>Q1999+IF(AND(offer_incoterms="DDP",seller_region="RU"),R1999,0)</f>
        <v/>
      </c>
      <c r="T1999" s="45" t="n"/>
      <c r="V1999" s="57">
        <f>IF(Q1999&gt;0,"показать","скрыть")</f>
        <v/>
      </c>
    </row>
    <row r="2000" ht="15.75" customHeight="1">
      <c r="B2000" s="809" t="n">
        <v>1984</v>
      </c>
      <c r="C2000" s="182">
        <f>IF(offer_sale_type="транзит",IFERROR(VLOOKUP($B2000,calc_data,C$14+1,0),0),0)</f>
        <v/>
      </c>
      <c r="D2000" s="280">
        <f>IF(offer_sale_type="транзит",IFERROR(VLOOKUP($B2000,calc_data,D$14+1,0),0),0)</f>
        <v/>
      </c>
      <c r="E2000" s="182">
        <f>IF(offer_sale_type="транзит",IFERROR(VLOOKUP($B2000,calc_data,E$14+1,0),0),0)</f>
        <v/>
      </c>
      <c r="F2000" s="182">
        <f>IF(offer_sale_type="транзит",IFERROR(VLOOKUP($B2000,calc_data,F$14+1,0),0),0)</f>
        <v/>
      </c>
      <c r="G2000" s="141">
        <f>IF(offer_sale_type="транзит",IFERROR(VLOOKUP($B2000,calc_data,G$14+1,0),0),0)</f>
        <v/>
      </c>
      <c r="H2000" s="141">
        <f>E2000*G2000</f>
        <v/>
      </c>
      <c r="I2000" s="141">
        <f>IF(offer_sale_type="транзит",IFERROR(ROUND(VLOOKUP($B2000,calc_data,I$14+1,0),2),0),0)</f>
        <v/>
      </c>
      <c r="J2000" s="141">
        <f>ROUND(IF(offer_sale_type="транзит",IFERROR(VLOOKUP($B2000,calc_data,J$14+1,0),0),0),2)</f>
        <v/>
      </c>
      <c r="K2000" s="142">
        <f>IF(offer_sale_type="транзит",IFERROR(ROUNDUP(VLOOKUP($B2000,calc_data,K$14+1,0),2),0),0)</f>
        <v/>
      </c>
      <c r="L2000" s="184">
        <f>IF(offer_sale_type="транзит",IFERROR(ROUNDUP(VLOOKUP($B2000,calc_data,L$14+1,0),2),0),0)</f>
        <v/>
      </c>
      <c r="M2000" s="141">
        <f>IF(offer_sale_type="транзит",IFERROR(ROUNDUP(VLOOKUP($B2000,calc_data,M$14+1,0),2),0),0)</f>
        <v/>
      </c>
      <c r="N2000" s="141">
        <f>IF(offer_sale_type="транзит",IFERROR(ROUNDUP(VLOOKUP($B2000,calc_data,N$14+1,0),2),0),0)</f>
        <v/>
      </c>
      <c r="O2000" s="147">
        <f>IF(offer_sale_type="транзит",IFERROR(ROUND(VLOOKUP($B2000,calc_data,O$14+1,1),2),0),0)</f>
        <v/>
      </c>
      <c r="P2000" s="141">
        <f>IF(offer_sale_type="транзит",IFERROR(ROUND(SUM(I2000:J2000,M2000:O2000)/E2000,2),0),0)</f>
        <v/>
      </c>
      <c r="Q2000" s="141">
        <f>E2000*P2000</f>
        <v/>
      </c>
      <c r="R2000" s="141">
        <f>ROUND(Q2000*IF(AND(offer_incoterms="DDP",seller_region="RU"),IF((TODAY()+offer_turnaround_time)&gt;=helpsheet!$L$17,rate_vatRU_from_26,rate_vatRu_till_25),0),2)</f>
        <v/>
      </c>
      <c r="S2000" s="177">
        <f>Q2000+IF(AND(offer_incoterms="DDP",seller_region="RU"),R2000,0)</f>
        <v/>
      </c>
      <c r="T2000" s="45" t="n"/>
      <c r="V2000" s="57">
        <f>IF(Q2000&gt;0,"показать","скрыть")</f>
        <v/>
      </c>
    </row>
    <row r="2001" ht="15.75" customHeight="1">
      <c r="B2001" s="809" t="n">
        <v>1985</v>
      </c>
      <c r="C2001" s="182">
        <f>IF(offer_sale_type="транзит",IFERROR(VLOOKUP($B2001,calc_data,C$14+1,0),0),0)</f>
        <v/>
      </c>
      <c r="D2001" s="280">
        <f>IF(offer_sale_type="транзит",IFERROR(VLOOKUP($B2001,calc_data,D$14+1,0),0),0)</f>
        <v/>
      </c>
      <c r="E2001" s="182">
        <f>IF(offer_sale_type="транзит",IFERROR(VLOOKUP($B2001,calc_data,E$14+1,0),0),0)</f>
        <v/>
      </c>
      <c r="F2001" s="182">
        <f>IF(offer_sale_type="транзит",IFERROR(VLOOKUP($B2001,calc_data,F$14+1,0),0),0)</f>
        <v/>
      </c>
      <c r="G2001" s="141">
        <f>IF(offer_sale_type="транзит",IFERROR(VLOOKUP($B2001,calc_data,G$14+1,0),0),0)</f>
        <v/>
      </c>
      <c r="H2001" s="141">
        <f>E2001*G2001</f>
        <v/>
      </c>
      <c r="I2001" s="141">
        <f>IF(offer_sale_type="транзит",IFERROR(ROUND(VLOOKUP($B2001,calc_data,I$14+1,0),2),0),0)</f>
        <v/>
      </c>
      <c r="J2001" s="141">
        <f>ROUND(IF(offer_sale_type="транзит",IFERROR(VLOOKUP($B2001,calc_data,J$14+1,0),0),0),2)</f>
        <v/>
      </c>
      <c r="K2001" s="142">
        <f>IF(offer_sale_type="транзит",IFERROR(ROUNDUP(VLOOKUP($B2001,calc_data,K$14+1,0),2),0),0)</f>
        <v/>
      </c>
      <c r="L2001" s="184">
        <f>IF(offer_sale_type="транзит",IFERROR(ROUNDUP(VLOOKUP($B2001,calc_data,L$14+1,0),2),0),0)</f>
        <v/>
      </c>
      <c r="M2001" s="141">
        <f>IF(offer_sale_type="транзит",IFERROR(ROUNDUP(VLOOKUP($B2001,calc_data,M$14+1,0),2),0),0)</f>
        <v/>
      </c>
      <c r="N2001" s="141">
        <f>IF(offer_sale_type="транзит",IFERROR(ROUNDUP(VLOOKUP($B2001,calc_data,N$14+1,0),2),0),0)</f>
        <v/>
      </c>
      <c r="O2001" s="147">
        <f>IF(offer_sale_type="транзит",IFERROR(ROUND(VLOOKUP($B2001,calc_data,O$14+1,1),2),0),0)</f>
        <v/>
      </c>
      <c r="P2001" s="141">
        <f>IF(offer_sale_type="транзит",IFERROR(ROUND(SUM(I2001:J2001,M2001:O2001)/E2001,2),0),0)</f>
        <v/>
      </c>
      <c r="Q2001" s="141">
        <f>E2001*P2001</f>
        <v/>
      </c>
      <c r="R2001" s="141">
        <f>ROUND(Q2001*IF(AND(offer_incoterms="DDP",seller_region="RU"),IF((TODAY()+offer_turnaround_time)&gt;=helpsheet!$L$17,rate_vatRU_from_26,rate_vatRu_till_25),0),2)</f>
        <v/>
      </c>
      <c r="S2001" s="177">
        <f>Q2001+IF(AND(offer_incoterms="DDP",seller_region="RU"),R2001,0)</f>
        <v/>
      </c>
      <c r="T2001" s="45" t="n"/>
      <c r="V2001" s="57">
        <f>IF(Q2001&gt;0,"показать","скрыть")</f>
        <v/>
      </c>
    </row>
    <row r="2002" ht="15.75" customHeight="1">
      <c r="B2002" s="809" t="n">
        <v>1986</v>
      </c>
      <c r="C2002" s="182">
        <f>IF(offer_sale_type="транзит",IFERROR(VLOOKUP($B2002,calc_data,C$14+1,0),0),0)</f>
        <v/>
      </c>
      <c r="D2002" s="280">
        <f>IF(offer_sale_type="транзит",IFERROR(VLOOKUP($B2002,calc_data,D$14+1,0),0),0)</f>
        <v/>
      </c>
      <c r="E2002" s="182">
        <f>IF(offer_sale_type="транзит",IFERROR(VLOOKUP($B2002,calc_data,E$14+1,0),0),0)</f>
        <v/>
      </c>
      <c r="F2002" s="182">
        <f>IF(offer_sale_type="транзит",IFERROR(VLOOKUP($B2002,calc_data,F$14+1,0),0),0)</f>
        <v/>
      </c>
      <c r="G2002" s="141">
        <f>IF(offer_sale_type="транзит",IFERROR(VLOOKUP($B2002,calc_data,G$14+1,0),0),0)</f>
        <v/>
      </c>
      <c r="H2002" s="141">
        <f>E2002*G2002</f>
        <v/>
      </c>
      <c r="I2002" s="141">
        <f>IF(offer_sale_type="транзит",IFERROR(ROUND(VLOOKUP($B2002,calc_data,I$14+1,0),2),0),0)</f>
        <v/>
      </c>
      <c r="J2002" s="141">
        <f>ROUND(IF(offer_sale_type="транзит",IFERROR(VLOOKUP($B2002,calc_data,J$14+1,0),0),0),2)</f>
        <v/>
      </c>
      <c r="K2002" s="142">
        <f>IF(offer_sale_type="транзит",IFERROR(ROUNDUP(VLOOKUP($B2002,calc_data,K$14+1,0),2),0),0)</f>
        <v/>
      </c>
      <c r="L2002" s="184">
        <f>IF(offer_sale_type="транзит",IFERROR(ROUNDUP(VLOOKUP($B2002,calc_data,L$14+1,0),2),0),0)</f>
        <v/>
      </c>
      <c r="M2002" s="141">
        <f>IF(offer_sale_type="транзит",IFERROR(ROUNDUP(VLOOKUP($B2002,calc_data,M$14+1,0),2),0),0)</f>
        <v/>
      </c>
      <c r="N2002" s="141">
        <f>IF(offer_sale_type="транзит",IFERROR(ROUNDUP(VLOOKUP($B2002,calc_data,N$14+1,0),2),0),0)</f>
        <v/>
      </c>
      <c r="O2002" s="147">
        <f>IF(offer_sale_type="транзит",IFERROR(ROUND(VLOOKUP($B2002,calc_data,O$14+1,1),2),0),0)</f>
        <v/>
      </c>
      <c r="P2002" s="141">
        <f>IF(offer_sale_type="транзит",IFERROR(ROUND(SUM(I2002:J2002,M2002:O2002)/E2002,2),0),0)</f>
        <v/>
      </c>
      <c r="Q2002" s="141">
        <f>E2002*P2002</f>
        <v/>
      </c>
      <c r="R2002" s="141">
        <f>ROUND(Q2002*IF(AND(offer_incoterms="DDP",seller_region="RU"),IF((TODAY()+offer_turnaround_time)&gt;=helpsheet!$L$17,rate_vatRU_from_26,rate_vatRu_till_25),0),2)</f>
        <v/>
      </c>
      <c r="S2002" s="177">
        <f>Q2002+IF(AND(offer_incoterms="DDP",seller_region="RU"),R2002,0)</f>
        <v/>
      </c>
      <c r="T2002" s="45" t="n"/>
      <c r="V2002" s="57">
        <f>IF(Q2002&gt;0,"показать","скрыть")</f>
        <v/>
      </c>
    </row>
    <row r="2003" ht="15.75" customHeight="1">
      <c r="B2003" s="809" t="n">
        <v>1987</v>
      </c>
      <c r="C2003" s="182">
        <f>IF(offer_sale_type="транзит",IFERROR(VLOOKUP($B2003,calc_data,C$14+1,0),0),0)</f>
        <v/>
      </c>
      <c r="D2003" s="280">
        <f>IF(offer_sale_type="транзит",IFERROR(VLOOKUP($B2003,calc_data,D$14+1,0),0),0)</f>
        <v/>
      </c>
      <c r="E2003" s="182">
        <f>IF(offer_sale_type="транзит",IFERROR(VLOOKUP($B2003,calc_data,E$14+1,0),0),0)</f>
        <v/>
      </c>
      <c r="F2003" s="182">
        <f>IF(offer_sale_type="транзит",IFERROR(VLOOKUP($B2003,calc_data,F$14+1,0),0),0)</f>
        <v/>
      </c>
      <c r="G2003" s="141">
        <f>IF(offer_sale_type="транзит",IFERROR(VLOOKUP($B2003,calc_data,G$14+1,0),0),0)</f>
        <v/>
      </c>
      <c r="H2003" s="141">
        <f>E2003*G2003</f>
        <v/>
      </c>
      <c r="I2003" s="141">
        <f>IF(offer_sale_type="транзит",IFERROR(ROUND(VLOOKUP($B2003,calc_data,I$14+1,0),2),0),0)</f>
        <v/>
      </c>
      <c r="J2003" s="141">
        <f>ROUND(IF(offer_sale_type="транзит",IFERROR(VLOOKUP($B2003,calc_data,J$14+1,0),0),0),2)</f>
        <v/>
      </c>
      <c r="K2003" s="142">
        <f>IF(offer_sale_type="транзит",IFERROR(ROUNDUP(VLOOKUP($B2003,calc_data,K$14+1,0),2),0),0)</f>
        <v/>
      </c>
      <c r="L2003" s="184">
        <f>IF(offer_sale_type="транзит",IFERROR(ROUNDUP(VLOOKUP($B2003,calc_data,L$14+1,0),2),0),0)</f>
        <v/>
      </c>
      <c r="M2003" s="141">
        <f>IF(offer_sale_type="транзит",IFERROR(ROUNDUP(VLOOKUP($B2003,calc_data,M$14+1,0),2),0),0)</f>
        <v/>
      </c>
      <c r="N2003" s="141">
        <f>IF(offer_sale_type="транзит",IFERROR(ROUNDUP(VLOOKUP($B2003,calc_data,N$14+1,0),2),0),0)</f>
        <v/>
      </c>
      <c r="O2003" s="147">
        <f>IF(offer_sale_type="транзит",IFERROR(ROUND(VLOOKUP($B2003,calc_data,O$14+1,1),2),0),0)</f>
        <v/>
      </c>
      <c r="P2003" s="141">
        <f>IF(offer_sale_type="транзит",IFERROR(ROUND(SUM(I2003:J2003,M2003:O2003)/E2003,2),0),0)</f>
        <v/>
      </c>
      <c r="Q2003" s="141">
        <f>E2003*P2003</f>
        <v/>
      </c>
      <c r="R2003" s="141">
        <f>ROUND(Q2003*IF(AND(offer_incoterms="DDP",seller_region="RU"),IF((TODAY()+offer_turnaround_time)&gt;=helpsheet!$L$17,rate_vatRU_from_26,rate_vatRu_till_25),0),2)</f>
        <v/>
      </c>
      <c r="S2003" s="177">
        <f>Q2003+IF(AND(offer_incoterms="DDP",seller_region="RU"),R2003,0)</f>
        <v/>
      </c>
      <c r="T2003" s="45" t="n"/>
      <c r="V2003" s="57">
        <f>IF(Q2003&gt;0,"показать","скрыть")</f>
        <v/>
      </c>
    </row>
    <row r="2004" ht="15.75" customHeight="1">
      <c r="B2004" s="809" t="n">
        <v>1988</v>
      </c>
      <c r="C2004" s="182">
        <f>IF(offer_sale_type="транзит",IFERROR(VLOOKUP($B2004,calc_data,C$14+1,0),0),0)</f>
        <v/>
      </c>
      <c r="D2004" s="280">
        <f>IF(offer_sale_type="транзит",IFERROR(VLOOKUP($B2004,calc_data,D$14+1,0),0),0)</f>
        <v/>
      </c>
      <c r="E2004" s="182">
        <f>IF(offer_sale_type="транзит",IFERROR(VLOOKUP($B2004,calc_data,E$14+1,0),0),0)</f>
        <v/>
      </c>
      <c r="F2004" s="182">
        <f>IF(offer_sale_type="транзит",IFERROR(VLOOKUP($B2004,calc_data,F$14+1,0),0),0)</f>
        <v/>
      </c>
      <c r="G2004" s="141">
        <f>IF(offer_sale_type="транзит",IFERROR(VLOOKUP($B2004,calc_data,G$14+1,0),0),0)</f>
        <v/>
      </c>
      <c r="H2004" s="141">
        <f>E2004*G2004</f>
        <v/>
      </c>
      <c r="I2004" s="141">
        <f>IF(offer_sale_type="транзит",IFERROR(ROUND(VLOOKUP($B2004,calc_data,I$14+1,0),2),0),0)</f>
        <v/>
      </c>
      <c r="J2004" s="141">
        <f>ROUND(IF(offer_sale_type="транзит",IFERROR(VLOOKUP($B2004,calc_data,J$14+1,0),0),0),2)</f>
        <v/>
      </c>
      <c r="K2004" s="142">
        <f>IF(offer_sale_type="транзит",IFERROR(ROUNDUP(VLOOKUP($B2004,calc_data,K$14+1,0),2),0),0)</f>
        <v/>
      </c>
      <c r="L2004" s="184">
        <f>IF(offer_sale_type="транзит",IFERROR(ROUNDUP(VLOOKUP($B2004,calc_data,L$14+1,0),2),0),0)</f>
        <v/>
      </c>
      <c r="M2004" s="141">
        <f>IF(offer_sale_type="транзит",IFERROR(ROUNDUP(VLOOKUP($B2004,calc_data,M$14+1,0),2),0),0)</f>
        <v/>
      </c>
      <c r="N2004" s="141">
        <f>IF(offer_sale_type="транзит",IFERROR(ROUNDUP(VLOOKUP($B2004,calc_data,N$14+1,0),2),0),0)</f>
        <v/>
      </c>
      <c r="O2004" s="147">
        <f>IF(offer_sale_type="транзит",IFERROR(ROUND(VLOOKUP($B2004,calc_data,O$14+1,1),2),0),0)</f>
        <v/>
      </c>
      <c r="P2004" s="141">
        <f>IF(offer_sale_type="транзит",IFERROR(ROUND(SUM(I2004:J2004,M2004:O2004)/E2004,2),0),0)</f>
        <v/>
      </c>
      <c r="Q2004" s="141">
        <f>E2004*P2004</f>
        <v/>
      </c>
      <c r="R2004" s="141">
        <f>ROUND(Q2004*IF(AND(offer_incoterms="DDP",seller_region="RU"),IF((TODAY()+offer_turnaround_time)&gt;=helpsheet!$L$17,rate_vatRU_from_26,rate_vatRu_till_25),0),2)</f>
        <v/>
      </c>
      <c r="S2004" s="177">
        <f>Q2004+IF(AND(offer_incoterms="DDP",seller_region="RU"),R2004,0)</f>
        <v/>
      </c>
      <c r="T2004" s="45" t="n"/>
      <c r="V2004" s="57">
        <f>IF(Q2004&gt;0,"показать","скрыть")</f>
        <v/>
      </c>
    </row>
    <row r="2005" ht="15.75" customHeight="1">
      <c r="B2005" s="809" t="n">
        <v>1989</v>
      </c>
      <c r="C2005" s="182">
        <f>IF(offer_sale_type="транзит",IFERROR(VLOOKUP($B2005,calc_data,C$14+1,0),0),0)</f>
        <v/>
      </c>
      <c r="D2005" s="280">
        <f>IF(offer_sale_type="транзит",IFERROR(VLOOKUP($B2005,calc_data,D$14+1,0),0),0)</f>
        <v/>
      </c>
      <c r="E2005" s="182">
        <f>IF(offer_sale_type="транзит",IFERROR(VLOOKUP($B2005,calc_data,E$14+1,0),0),0)</f>
        <v/>
      </c>
      <c r="F2005" s="182">
        <f>IF(offer_sale_type="транзит",IFERROR(VLOOKUP($B2005,calc_data,F$14+1,0),0),0)</f>
        <v/>
      </c>
      <c r="G2005" s="141">
        <f>IF(offer_sale_type="транзит",IFERROR(VLOOKUP($B2005,calc_data,G$14+1,0),0),0)</f>
        <v/>
      </c>
      <c r="H2005" s="141">
        <f>E2005*G2005</f>
        <v/>
      </c>
      <c r="I2005" s="141">
        <f>IF(offer_sale_type="транзит",IFERROR(ROUND(VLOOKUP($B2005,calc_data,I$14+1,0),2),0),0)</f>
        <v/>
      </c>
      <c r="J2005" s="141">
        <f>ROUND(IF(offer_sale_type="транзит",IFERROR(VLOOKUP($B2005,calc_data,J$14+1,0),0),0),2)</f>
        <v/>
      </c>
      <c r="K2005" s="142">
        <f>IF(offer_sale_type="транзит",IFERROR(ROUNDUP(VLOOKUP($B2005,calc_data,K$14+1,0),2),0),0)</f>
        <v/>
      </c>
      <c r="L2005" s="184">
        <f>IF(offer_sale_type="транзит",IFERROR(ROUNDUP(VLOOKUP($B2005,calc_data,L$14+1,0),2),0),0)</f>
        <v/>
      </c>
      <c r="M2005" s="141">
        <f>IF(offer_sale_type="транзит",IFERROR(ROUNDUP(VLOOKUP($B2005,calc_data,M$14+1,0),2),0),0)</f>
        <v/>
      </c>
      <c r="N2005" s="141">
        <f>IF(offer_sale_type="транзит",IFERROR(ROUNDUP(VLOOKUP($B2005,calc_data,N$14+1,0),2),0),0)</f>
        <v/>
      </c>
      <c r="O2005" s="147">
        <f>IF(offer_sale_type="транзит",IFERROR(ROUND(VLOOKUP($B2005,calc_data,O$14+1,1),2),0),0)</f>
        <v/>
      </c>
      <c r="P2005" s="141">
        <f>IF(offer_sale_type="транзит",IFERROR(ROUND(SUM(I2005:J2005,M2005:O2005)/E2005,2),0),0)</f>
        <v/>
      </c>
      <c r="Q2005" s="141">
        <f>E2005*P2005</f>
        <v/>
      </c>
      <c r="R2005" s="141">
        <f>ROUND(Q2005*IF(AND(offer_incoterms="DDP",seller_region="RU"),IF((TODAY()+offer_turnaround_time)&gt;=helpsheet!$L$17,rate_vatRU_from_26,rate_vatRu_till_25),0),2)</f>
        <v/>
      </c>
      <c r="S2005" s="177">
        <f>Q2005+IF(AND(offer_incoterms="DDP",seller_region="RU"),R2005,0)</f>
        <v/>
      </c>
      <c r="T2005" s="45" t="n"/>
      <c r="V2005" s="57">
        <f>IF(Q2005&gt;0,"показать","скрыть")</f>
        <v/>
      </c>
    </row>
    <row r="2006" ht="15.75" customHeight="1">
      <c r="B2006" s="809" t="n">
        <v>1990</v>
      </c>
      <c r="C2006" s="182">
        <f>IF(offer_sale_type="транзит",IFERROR(VLOOKUP($B2006,calc_data,C$14+1,0),0),0)</f>
        <v/>
      </c>
      <c r="D2006" s="280">
        <f>IF(offer_sale_type="транзит",IFERROR(VLOOKUP($B2006,calc_data,D$14+1,0),0),0)</f>
        <v/>
      </c>
      <c r="E2006" s="182">
        <f>IF(offer_sale_type="транзит",IFERROR(VLOOKUP($B2006,calc_data,E$14+1,0),0),0)</f>
        <v/>
      </c>
      <c r="F2006" s="182">
        <f>IF(offer_sale_type="транзит",IFERROR(VLOOKUP($B2006,calc_data,F$14+1,0),0),0)</f>
        <v/>
      </c>
      <c r="G2006" s="141">
        <f>IF(offer_sale_type="транзит",IFERROR(VLOOKUP($B2006,calc_data,G$14+1,0),0),0)</f>
        <v/>
      </c>
      <c r="H2006" s="141">
        <f>E2006*G2006</f>
        <v/>
      </c>
      <c r="I2006" s="141">
        <f>IF(offer_sale_type="транзит",IFERROR(ROUND(VLOOKUP($B2006,calc_data,I$14+1,0),2),0),0)</f>
        <v/>
      </c>
      <c r="J2006" s="141">
        <f>ROUND(IF(offer_sale_type="транзит",IFERROR(VLOOKUP($B2006,calc_data,J$14+1,0),0),0),2)</f>
        <v/>
      </c>
      <c r="K2006" s="142">
        <f>IF(offer_sale_type="транзит",IFERROR(ROUNDUP(VLOOKUP($B2006,calc_data,K$14+1,0),2),0),0)</f>
        <v/>
      </c>
      <c r="L2006" s="184">
        <f>IF(offer_sale_type="транзит",IFERROR(ROUNDUP(VLOOKUP($B2006,calc_data,L$14+1,0),2),0),0)</f>
        <v/>
      </c>
      <c r="M2006" s="141">
        <f>IF(offer_sale_type="транзит",IFERROR(ROUNDUP(VLOOKUP($B2006,calc_data,M$14+1,0),2),0),0)</f>
        <v/>
      </c>
      <c r="N2006" s="141">
        <f>IF(offer_sale_type="транзит",IFERROR(ROUNDUP(VLOOKUP($B2006,calc_data,N$14+1,0),2),0),0)</f>
        <v/>
      </c>
      <c r="O2006" s="147">
        <f>IF(offer_sale_type="транзит",IFERROR(ROUND(VLOOKUP($B2006,calc_data,O$14+1,1),2),0),0)</f>
        <v/>
      </c>
      <c r="P2006" s="141">
        <f>IF(offer_sale_type="транзит",IFERROR(ROUND(SUM(I2006:J2006,M2006:O2006)/E2006,2),0),0)</f>
        <v/>
      </c>
      <c r="Q2006" s="141">
        <f>E2006*P2006</f>
        <v/>
      </c>
      <c r="R2006" s="141">
        <f>ROUND(Q2006*IF(AND(offer_incoterms="DDP",seller_region="RU"),IF((TODAY()+offer_turnaround_time)&gt;=helpsheet!$L$17,rate_vatRU_from_26,rate_vatRu_till_25),0),2)</f>
        <v/>
      </c>
      <c r="S2006" s="177">
        <f>Q2006+IF(AND(offer_incoterms="DDP",seller_region="RU"),R2006,0)</f>
        <v/>
      </c>
      <c r="T2006" s="45" t="n"/>
      <c r="V2006" s="57">
        <f>IF(Q2006&gt;0,"показать","скрыть")</f>
        <v/>
      </c>
    </row>
    <row r="2007" ht="15.75" customHeight="1">
      <c r="B2007" s="809" t="n">
        <v>1991</v>
      </c>
      <c r="C2007" s="182">
        <f>IF(offer_sale_type="транзит",IFERROR(VLOOKUP($B2007,calc_data,C$14+1,0),0),0)</f>
        <v/>
      </c>
      <c r="D2007" s="280">
        <f>IF(offer_sale_type="транзит",IFERROR(VLOOKUP($B2007,calc_data,D$14+1,0),0),0)</f>
        <v/>
      </c>
      <c r="E2007" s="182">
        <f>IF(offer_sale_type="транзит",IFERROR(VLOOKUP($B2007,calc_data,E$14+1,0),0),0)</f>
        <v/>
      </c>
      <c r="F2007" s="182">
        <f>IF(offer_sale_type="транзит",IFERROR(VLOOKUP($B2007,calc_data,F$14+1,0),0),0)</f>
        <v/>
      </c>
      <c r="G2007" s="141">
        <f>IF(offer_sale_type="транзит",IFERROR(VLOOKUP($B2007,calc_data,G$14+1,0),0),0)</f>
        <v/>
      </c>
      <c r="H2007" s="141">
        <f>E2007*G2007</f>
        <v/>
      </c>
      <c r="I2007" s="141">
        <f>IF(offer_sale_type="транзит",IFERROR(ROUND(VLOOKUP($B2007,calc_data,I$14+1,0),2),0),0)</f>
        <v/>
      </c>
      <c r="J2007" s="141">
        <f>ROUND(IF(offer_sale_type="транзит",IFERROR(VLOOKUP($B2007,calc_data,J$14+1,0),0),0),2)</f>
        <v/>
      </c>
      <c r="K2007" s="142">
        <f>IF(offer_sale_type="транзит",IFERROR(ROUNDUP(VLOOKUP($B2007,calc_data,K$14+1,0),2),0),0)</f>
        <v/>
      </c>
      <c r="L2007" s="184">
        <f>IF(offer_sale_type="транзит",IFERROR(ROUNDUP(VLOOKUP($B2007,calc_data,L$14+1,0),2),0),0)</f>
        <v/>
      </c>
      <c r="M2007" s="141">
        <f>IF(offer_sale_type="транзит",IFERROR(ROUNDUP(VLOOKUP($B2007,calc_data,M$14+1,0),2),0),0)</f>
        <v/>
      </c>
      <c r="N2007" s="141">
        <f>IF(offer_sale_type="транзит",IFERROR(ROUNDUP(VLOOKUP($B2007,calc_data,N$14+1,0),2),0),0)</f>
        <v/>
      </c>
      <c r="O2007" s="147">
        <f>IF(offer_sale_type="транзит",IFERROR(ROUND(VLOOKUP($B2007,calc_data,O$14+1,1),2),0),0)</f>
        <v/>
      </c>
      <c r="P2007" s="141">
        <f>IF(offer_sale_type="транзит",IFERROR(ROUND(SUM(I2007:J2007,M2007:O2007)/E2007,2),0),0)</f>
        <v/>
      </c>
      <c r="Q2007" s="141">
        <f>E2007*P2007</f>
        <v/>
      </c>
      <c r="R2007" s="141">
        <f>ROUND(Q2007*IF(AND(offer_incoterms="DDP",seller_region="RU"),IF((TODAY()+offer_turnaround_time)&gt;=helpsheet!$L$17,rate_vatRU_from_26,rate_vatRu_till_25),0),2)</f>
        <v/>
      </c>
      <c r="S2007" s="177">
        <f>Q2007+IF(AND(offer_incoterms="DDP",seller_region="RU"),R2007,0)</f>
        <v/>
      </c>
      <c r="T2007" s="45" t="n"/>
      <c r="V2007" s="57">
        <f>IF(Q2007&gt;0,"показать","скрыть")</f>
        <v/>
      </c>
    </row>
    <row r="2008" ht="15.75" customHeight="1">
      <c r="B2008" s="809" t="n">
        <v>1992</v>
      </c>
      <c r="C2008" s="182">
        <f>IF(offer_sale_type="транзит",IFERROR(VLOOKUP($B2008,calc_data,C$14+1,0),0),0)</f>
        <v/>
      </c>
      <c r="D2008" s="280">
        <f>IF(offer_sale_type="транзит",IFERROR(VLOOKUP($B2008,calc_data,D$14+1,0),0),0)</f>
        <v/>
      </c>
      <c r="E2008" s="182">
        <f>IF(offer_sale_type="транзит",IFERROR(VLOOKUP($B2008,calc_data,E$14+1,0),0),0)</f>
        <v/>
      </c>
      <c r="F2008" s="182">
        <f>IF(offer_sale_type="транзит",IFERROR(VLOOKUP($B2008,calc_data,F$14+1,0),0),0)</f>
        <v/>
      </c>
      <c r="G2008" s="141">
        <f>IF(offer_sale_type="транзит",IFERROR(VLOOKUP($B2008,calc_data,G$14+1,0),0),0)</f>
        <v/>
      </c>
      <c r="H2008" s="141">
        <f>E2008*G2008</f>
        <v/>
      </c>
      <c r="I2008" s="141">
        <f>IF(offer_sale_type="транзит",IFERROR(ROUND(VLOOKUP($B2008,calc_data,I$14+1,0),2),0),0)</f>
        <v/>
      </c>
      <c r="J2008" s="141">
        <f>ROUND(IF(offer_sale_type="транзит",IFERROR(VLOOKUP($B2008,calc_data,J$14+1,0),0),0),2)</f>
        <v/>
      </c>
      <c r="K2008" s="142">
        <f>IF(offer_sale_type="транзит",IFERROR(ROUNDUP(VLOOKUP($B2008,calc_data,K$14+1,0),2),0),0)</f>
        <v/>
      </c>
      <c r="L2008" s="184">
        <f>IF(offer_sale_type="транзит",IFERROR(ROUNDUP(VLOOKUP($B2008,calc_data,L$14+1,0),2),0),0)</f>
        <v/>
      </c>
      <c r="M2008" s="141">
        <f>IF(offer_sale_type="транзит",IFERROR(ROUNDUP(VLOOKUP($B2008,calc_data,M$14+1,0),2),0),0)</f>
        <v/>
      </c>
      <c r="N2008" s="141">
        <f>IF(offer_sale_type="транзит",IFERROR(ROUNDUP(VLOOKUP($B2008,calc_data,N$14+1,0),2),0),0)</f>
        <v/>
      </c>
      <c r="O2008" s="147">
        <f>IF(offer_sale_type="транзит",IFERROR(ROUND(VLOOKUP($B2008,calc_data,O$14+1,1),2),0),0)</f>
        <v/>
      </c>
      <c r="P2008" s="141">
        <f>IF(offer_sale_type="транзит",IFERROR(ROUND(SUM(I2008:J2008,M2008:O2008)/E2008,2),0),0)</f>
        <v/>
      </c>
      <c r="Q2008" s="141">
        <f>E2008*P2008</f>
        <v/>
      </c>
      <c r="R2008" s="141">
        <f>ROUND(Q2008*IF(AND(offer_incoterms="DDP",seller_region="RU"),IF((TODAY()+offer_turnaround_time)&gt;=helpsheet!$L$17,rate_vatRU_from_26,rate_vatRu_till_25),0),2)</f>
        <v/>
      </c>
      <c r="S2008" s="177">
        <f>Q2008+IF(AND(offer_incoterms="DDP",seller_region="RU"),R2008,0)</f>
        <v/>
      </c>
      <c r="T2008" s="45" t="n"/>
      <c r="V2008" s="57">
        <f>IF(Q2008&gt;0,"показать","скрыть")</f>
        <v/>
      </c>
    </row>
    <row r="2009" ht="15.75" customHeight="1">
      <c r="B2009" s="809" t="n">
        <v>1993</v>
      </c>
      <c r="C2009" s="182">
        <f>IF(offer_sale_type="транзит",IFERROR(VLOOKUP($B2009,calc_data,C$14+1,0),0),0)</f>
        <v/>
      </c>
      <c r="D2009" s="280">
        <f>IF(offer_sale_type="транзит",IFERROR(VLOOKUP($B2009,calc_data,D$14+1,0),0),0)</f>
        <v/>
      </c>
      <c r="E2009" s="182">
        <f>IF(offer_sale_type="транзит",IFERROR(VLOOKUP($B2009,calc_data,E$14+1,0),0),0)</f>
        <v/>
      </c>
      <c r="F2009" s="182">
        <f>IF(offer_sale_type="транзит",IFERROR(VLOOKUP($B2009,calc_data,F$14+1,0),0),0)</f>
        <v/>
      </c>
      <c r="G2009" s="141">
        <f>IF(offer_sale_type="транзит",IFERROR(VLOOKUP($B2009,calc_data,G$14+1,0),0),0)</f>
        <v/>
      </c>
      <c r="H2009" s="141">
        <f>E2009*G2009</f>
        <v/>
      </c>
      <c r="I2009" s="141">
        <f>IF(offer_sale_type="транзит",IFERROR(ROUND(VLOOKUP($B2009,calc_data,I$14+1,0),2),0),0)</f>
        <v/>
      </c>
      <c r="J2009" s="141">
        <f>ROUND(IF(offer_sale_type="транзит",IFERROR(VLOOKUP($B2009,calc_data,J$14+1,0),0),0),2)</f>
        <v/>
      </c>
      <c r="K2009" s="142">
        <f>IF(offer_sale_type="транзит",IFERROR(ROUNDUP(VLOOKUP($B2009,calc_data,K$14+1,0),2),0),0)</f>
        <v/>
      </c>
      <c r="L2009" s="184">
        <f>IF(offer_sale_type="транзит",IFERROR(ROUNDUP(VLOOKUP($B2009,calc_data,L$14+1,0),2),0),0)</f>
        <v/>
      </c>
      <c r="M2009" s="141">
        <f>IF(offer_sale_type="транзит",IFERROR(ROUNDUP(VLOOKUP($B2009,calc_data,M$14+1,0),2),0),0)</f>
        <v/>
      </c>
      <c r="N2009" s="141">
        <f>IF(offer_sale_type="транзит",IFERROR(ROUNDUP(VLOOKUP($B2009,calc_data,N$14+1,0),2),0),0)</f>
        <v/>
      </c>
      <c r="O2009" s="147">
        <f>IF(offer_sale_type="транзит",IFERROR(ROUND(VLOOKUP($B2009,calc_data,O$14+1,1),2),0),0)</f>
        <v/>
      </c>
      <c r="P2009" s="141">
        <f>IF(offer_sale_type="транзит",IFERROR(ROUND(SUM(I2009:J2009,M2009:O2009)/E2009,2),0),0)</f>
        <v/>
      </c>
      <c r="Q2009" s="141">
        <f>E2009*P2009</f>
        <v/>
      </c>
      <c r="R2009" s="141">
        <f>ROUND(Q2009*IF(AND(offer_incoterms="DDP",seller_region="RU"),IF((TODAY()+offer_turnaround_time)&gt;=helpsheet!$L$17,rate_vatRU_from_26,rate_vatRu_till_25),0),2)</f>
        <v/>
      </c>
      <c r="S2009" s="177">
        <f>Q2009+IF(AND(offer_incoterms="DDP",seller_region="RU"),R2009,0)</f>
        <v/>
      </c>
      <c r="T2009" s="45" t="n"/>
      <c r="V2009" s="57">
        <f>IF(Q2009&gt;0,"показать","скрыть")</f>
        <v/>
      </c>
    </row>
    <row r="2010" ht="15.75" customHeight="1">
      <c r="B2010" s="809" t="n">
        <v>1994</v>
      </c>
      <c r="C2010" s="182">
        <f>IF(offer_sale_type="транзит",IFERROR(VLOOKUP($B2010,calc_data,C$14+1,0),0),0)</f>
        <v/>
      </c>
      <c r="D2010" s="280">
        <f>IF(offer_sale_type="транзит",IFERROR(VLOOKUP($B2010,calc_data,D$14+1,0),0),0)</f>
        <v/>
      </c>
      <c r="E2010" s="182">
        <f>IF(offer_sale_type="транзит",IFERROR(VLOOKUP($B2010,calc_data,E$14+1,0),0),0)</f>
        <v/>
      </c>
      <c r="F2010" s="182">
        <f>IF(offer_sale_type="транзит",IFERROR(VLOOKUP($B2010,calc_data,F$14+1,0),0),0)</f>
        <v/>
      </c>
      <c r="G2010" s="141">
        <f>IF(offer_sale_type="транзит",IFERROR(VLOOKUP($B2010,calc_data,G$14+1,0),0),0)</f>
        <v/>
      </c>
      <c r="H2010" s="141">
        <f>E2010*G2010</f>
        <v/>
      </c>
      <c r="I2010" s="141">
        <f>IF(offer_sale_type="транзит",IFERROR(ROUND(VLOOKUP($B2010,calc_data,I$14+1,0),2),0),0)</f>
        <v/>
      </c>
      <c r="J2010" s="141">
        <f>ROUND(IF(offer_sale_type="транзит",IFERROR(VLOOKUP($B2010,calc_data,J$14+1,0),0),0),2)</f>
        <v/>
      </c>
      <c r="K2010" s="142">
        <f>IF(offer_sale_type="транзит",IFERROR(ROUNDUP(VLOOKUP($B2010,calc_data,K$14+1,0),2),0),0)</f>
        <v/>
      </c>
      <c r="L2010" s="184">
        <f>IF(offer_sale_type="транзит",IFERROR(ROUNDUP(VLOOKUP($B2010,calc_data,L$14+1,0),2),0),0)</f>
        <v/>
      </c>
      <c r="M2010" s="141">
        <f>IF(offer_sale_type="транзит",IFERROR(ROUNDUP(VLOOKUP($B2010,calc_data,M$14+1,0),2),0),0)</f>
        <v/>
      </c>
      <c r="N2010" s="141">
        <f>IF(offer_sale_type="транзит",IFERROR(ROUNDUP(VLOOKUP($B2010,calc_data,N$14+1,0),2),0),0)</f>
        <v/>
      </c>
      <c r="O2010" s="147">
        <f>IF(offer_sale_type="транзит",IFERROR(ROUND(VLOOKUP($B2010,calc_data,O$14+1,1),2),0),0)</f>
        <v/>
      </c>
      <c r="P2010" s="141">
        <f>IF(offer_sale_type="транзит",IFERROR(ROUND(SUM(I2010:J2010,M2010:O2010)/E2010,2),0),0)</f>
        <v/>
      </c>
      <c r="Q2010" s="141">
        <f>E2010*P2010</f>
        <v/>
      </c>
      <c r="R2010" s="141">
        <f>ROUND(Q2010*IF(AND(offer_incoterms="DDP",seller_region="RU"),IF((TODAY()+offer_turnaround_time)&gt;=helpsheet!$L$17,rate_vatRU_from_26,rate_vatRu_till_25),0),2)</f>
        <v/>
      </c>
      <c r="S2010" s="177">
        <f>Q2010+IF(AND(offer_incoterms="DDP",seller_region="RU"),R2010,0)</f>
        <v/>
      </c>
      <c r="T2010" s="45" t="n"/>
      <c r="V2010" s="57">
        <f>IF(Q2010&gt;0,"показать","скрыть")</f>
        <v/>
      </c>
    </row>
    <row r="2011" ht="15.75" customHeight="1">
      <c r="B2011" s="809" t="n">
        <v>1995</v>
      </c>
      <c r="C2011" s="182">
        <f>IF(offer_sale_type="транзит",IFERROR(VLOOKUP($B2011,calc_data,C$14+1,0),0),0)</f>
        <v/>
      </c>
      <c r="D2011" s="280">
        <f>IF(offer_sale_type="транзит",IFERROR(VLOOKUP($B2011,calc_data,D$14+1,0),0),0)</f>
        <v/>
      </c>
      <c r="E2011" s="182">
        <f>IF(offer_sale_type="транзит",IFERROR(VLOOKUP($B2011,calc_data,E$14+1,0),0),0)</f>
        <v/>
      </c>
      <c r="F2011" s="182">
        <f>IF(offer_sale_type="транзит",IFERROR(VLOOKUP($B2011,calc_data,F$14+1,0),0),0)</f>
        <v/>
      </c>
      <c r="G2011" s="141">
        <f>IF(offer_sale_type="транзит",IFERROR(VLOOKUP($B2011,calc_data,G$14+1,0),0),0)</f>
        <v/>
      </c>
      <c r="H2011" s="141">
        <f>E2011*G2011</f>
        <v/>
      </c>
      <c r="I2011" s="141">
        <f>IF(offer_sale_type="транзит",IFERROR(ROUND(VLOOKUP($B2011,calc_data,I$14+1,0),2),0),0)</f>
        <v/>
      </c>
      <c r="J2011" s="141">
        <f>ROUND(IF(offer_sale_type="транзит",IFERROR(VLOOKUP($B2011,calc_data,J$14+1,0),0),0),2)</f>
        <v/>
      </c>
      <c r="K2011" s="142">
        <f>IF(offer_sale_type="транзит",IFERROR(ROUNDUP(VLOOKUP($B2011,calc_data,K$14+1,0),2),0),0)</f>
        <v/>
      </c>
      <c r="L2011" s="184">
        <f>IF(offer_sale_type="транзит",IFERROR(ROUNDUP(VLOOKUP($B2011,calc_data,L$14+1,0),2),0),0)</f>
        <v/>
      </c>
      <c r="M2011" s="141">
        <f>IF(offer_sale_type="транзит",IFERROR(ROUNDUP(VLOOKUP($B2011,calc_data,M$14+1,0),2),0),0)</f>
        <v/>
      </c>
      <c r="N2011" s="141">
        <f>IF(offer_sale_type="транзит",IFERROR(ROUNDUP(VLOOKUP($B2011,calc_data,N$14+1,0),2),0),0)</f>
        <v/>
      </c>
      <c r="O2011" s="147">
        <f>IF(offer_sale_type="транзит",IFERROR(ROUND(VLOOKUP($B2011,calc_data,O$14+1,1),2),0),0)</f>
        <v/>
      </c>
      <c r="P2011" s="141">
        <f>IF(offer_sale_type="транзит",IFERROR(ROUND(SUM(I2011:J2011,M2011:O2011)/E2011,2),0),0)</f>
        <v/>
      </c>
      <c r="Q2011" s="141">
        <f>E2011*P2011</f>
        <v/>
      </c>
      <c r="R2011" s="141">
        <f>ROUND(Q2011*IF(AND(offer_incoterms="DDP",seller_region="RU"),IF((TODAY()+offer_turnaround_time)&gt;=helpsheet!$L$17,rate_vatRU_from_26,rate_vatRu_till_25),0),2)</f>
        <v/>
      </c>
      <c r="S2011" s="177">
        <f>Q2011+IF(AND(offer_incoterms="DDP",seller_region="RU"),R2011,0)</f>
        <v/>
      </c>
      <c r="T2011" s="45" t="n"/>
      <c r="V2011" s="57">
        <f>IF(Q2011&gt;0,"показать","скрыть")</f>
        <v/>
      </c>
    </row>
    <row r="2012" ht="15.75" customHeight="1">
      <c r="B2012" s="809" t="n">
        <v>1996</v>
      </c>
      <c r="C2012" s="182">
        <f>IF(offer_sale_type="транзит",IFERROR(VLOOKUP($B2012,calc_data,C$14+1,0),0),0)</f>
        <v/>
      </c>
      <c r="D2012" s="280">
        <f>IF(offer_sale_type="транзит",IFERROR(VLOOKUP($B2012,calc_data,D$14+1,0),0),0)</f>
        <v/>
      </c>
      <c r="E2012" s="182">
        <f>IF(offer_sale_type="транзит",IFERROR(VLOOKUP($B2012,calc_data,E$14+1,0),0),0)</f>
        <v/>
      </c>
      <c r="F2012" s="182">
        <f>IF(offer_sale_type="транзит",IFERROR(VLOOKUP($B2012,calc_data,F$14+1,0),0),0)</f>
        <v/>
      </c>
      <c r="G2012" s="141">
        <f>IF(offer_sale_type="транзит",IFERROR(VLOOKUP($B2012,calc_data,G$14+1,0),0),0)</f>
        <v/>
      </c>
      <c r="H2012" s="141">
        <f>E2012*G2012</f>
        <v/>
      </c>
      <c r="I2012" s="141">
        <f>IF(offer_sale_type="транзит",IFERROR(ROUND(VLOOKUP($B2012,calc_data,I$14+1,0),2),0),0)</f>
        <v/>
      </c>
      <c r="J2012" s="141">
        <f>ROUND(IF(offer_sale_type="транзит",IFERROR(VLOOKUP($B2012,calc_data,J$14+1,0),0),0),2)</f>
        <v/>
      </c>
      <c r="K2012" s="142">
        <f>IF(offer_sale_type="транзит",IFERROR(ROUNDUP(VLOOKUP($B2012,calc_data,K$14+1,0),2),0),0)</f>
        <v/>
      </c>
      <c r="L2012" s="184">
        <f>IF(offer_sale_type="транзит",IFERROR(ROUNDUP(VLOOKUP($B2012,calc_data,L$14+1,0),2),0),0)</f>
        <v/>
      </c>
      <c r="M2012" s="141">
        <f>IF(offer_sale_type="транзит",IFERROR(ROUNDUP(VLOOKUP($B2012,calc_data,M$14+1,0),2),0),0)</f>
        <v/>
      </c>
      <c r="N2012" s="141">
        <f>IF(offer_sale_type="транзит",IFERROR(ROUNDUP(VLOOKUP($B2012,calc_data,N$14+1,0),2),0),0)</f>
        <v/>
      </c>
      <c r="O2012" s="147">
        <f>IF(offer_sale_type="транзит",IFERROR(ROUND(VLOOKUP($B2012,calc_data,O$14+1,1),2),0),0)</f>
        <v/>
      </c>
      <c r="P2012" s="141">
        <f>IF(offer_sale_type="транзит",IFERROR(ROUND(SUM(I2012:J2012,M2012:O2012)/E2012,2),0),0)</f>
        <v/>
      </c>
      <c r="Q2012" s="141">
        <f>E2012*P2012</f>
        <v/>
      </c>
      <c r="R2012" s="141">
        <f>ROUND(Q2012*IF(AND(offer_incoterms="DDP",seller_region="RU"),IF((TODAY()+offer_turnaround_time)&gt;=helpsheet!$L$17,rate_vatRU_from_26,rate_vatRu_till_25),0),2)</f>
        <v/>
      </c>
      <c r="S2012" s="177">
        <f>Q2012+IF(AND(offer_incoterms="DDP",seller_region="RU"),R2012,0)</f>
        <v/>
      </c>
      <c r="T2012" s="45" t="n"/>
      <c r="V2012" s="57">
        <f>IF(Q2012&gt;0,"показать","скрыть")</f>
        <v/>
      </c>
    </row>
    <row r="2013" ht="15.75" customHeight="1">
      <c r="B2013" s="809" t="n">
        <v>1997</v>
      </c>
      <c r="C2013" s="182">
        <f>IF(offer_sale_type="транзит",IFERROR(VLOOKUP($B2013,calc_data,C$14+1,0),0),0)</f>
        <v/>
      </c>
      <c r="D2013" s="280">
        <f>IF(offer_sale_type="транзит",IFERROR(VLOOKUP($B2013,calc_data,D$14+1,0),0),0)</f>
        <v/>
      </c>
      <c r="E2013" s="182">
        <f>IF(offer_sale_type="транзит",IFERROR(VLOOKUP($B2013,calc_data,E$14+1,0),0),0)</f>
        <v/>
      </c>
      <c r="F2013" s="182">
        <f>IF(offer_sale_type="транзит",IFERROR(VLOOKUP($B2013,calc_data,F$14+1,0),0),0)</f>
        <v/>
      </c>
      <c r="G2013" s="141">
        <f>IF(offer_sale_type="транзит",IFERROR(VLOOKUP($B2013,calc_data,G$14+1,0),0),0)</f>
        <v/>
      </c>
      <c r="H2013" s="141">
        <f>E2013*G2013</f>
        <v/>
      </c>
      <c r="I2013" s="141">
        <f>IF(offer_sale_type="транзит",IFERROR(ROUND(VLOOKUP($B2013,calc_data,I$14+1,0),2),0),0)</f>
        <v/>
      </c>
      <c r="J2013" s="141">
        <f>ROUND(IF(offer_sale_type="транзит",IFERROR(VLOOKUP($B2013,calc_data,J$14+1,0),0),0),2)</f>
        <v/>
      </c>
      <c r="K2013" s="142">
        <f>IF(offer_sale_type="транзит",IFERROR(ROUNDUP(VLOOKUP($B2013,calc_data,K$14+1,0),2),0),0)</f>
        <v/>
      </c>
      <c r="L2013" s="184">
        <f>IF(offer_sale_type="транзит",IFERROR(ROUNDUP(VLOOKUP($B2013,calc_data,L$14+1,0),2),0),0)</f>
        <v/>
      </c>
      <c r="M2013" s="141">
        <f>IF(offer_sale_type="транзит",IFERROR(ROUNDUP(VLOOKUP($B2013,calc_data,M$14+1,0),2),0),0)</f>
        <v/>
      </c>
      <c r="N2013" s="141">
        <f>IF(offer_sale_type="транзит",IFERROR(ROUNDUP(VLOOKUP($B2013,calc_data,N$14+1,0),2),0),0)</f>
        <v/>
      </c>
      <c r="O2013" s="147">
        <f>IF(offer_sale_type="транзит",IFERROR(ROUND(VLOOKUP($B2013,calc_data,O$14+1,1),2),0),0)</f>
        <v/>
      </c>
      <c r="P2013" s="141">
        <f>IF(offer_sale_type="транзит",IFERROR(ROUND(SUM(I2013:J2013,M2013:O2013)/E2013,2),0),0)</f>
        <v/>
      </c>
      <c r="Q2013" s="141">
        <f>E2013*P2013</f>
        <v/>
      </c>
      <c r="R2013" s="141">
        <f>ROUND(Q2013*IF(AND(offer_incoterms="DDP",seller_region="RU"),IF((TODAY()+offer_turnaround_time)&gt;=helpsheet!$L$17,rate_vatRU_from_26,rate_vatRu_till_25),0),2)</f>
        <v/>
      </c>
      <c r="S2013" s="177">
        <f>Q2013+IF(AND(offer_incoterms="DDP",seller_region="RU"),R2013,0)</f>
        <v/>
      </c>
      <c r="T2013" s="45" t="n"/>
      <c r="V2013" s="57">
        <f>IF(Q2013&gt;0,"показать","скрыть")</f>
        <v/>
      </c>
    </row>
    <row r="2014" ht="15.75" customHeight="1">
      <c r="B2014" s="809" t="n">
        <v>1998</v>
      </c>
      <c r="C2014" s="182">
        <f>IF(offer_sale_type="транзит",IFERROR(VLOOKUP($B2014,calc_data,C$14+1,0),0),0)</f>
        <v/>
      </c>
      <c r="D2014" s="280">
        <f>IF(offer_sale_type="транзит",IFERROR(VLOOKUP($B2014,calc_data,D$14+1,0),0),0)</f>
        <v/>
      </c>
      <c r="E2014" s="182">
        <f>IF(offer_sale_type="транзит",IFERROR(VLOOKUP($B2014,calc_data,E$14+1,0),0),0)</f>
        <v/>
      </c>
      <c r="F2014" s="182">
        <f>IF(offer_sale_type="транзит",IFERROR(VLOOKUP($B2014,calc_data,F$14+1,0),0),0)</f>
        <v/>
      </c>
      <c r="G2014" s="141">
        <f>IF(offer_sale_type="транзит",IFERROR(VLOOKUP($B2014,calc_data,G$14+1,0),0),0)</f>
        <v/>
      </c>
      <c r="H2014" s="141">
        <f>E2014*G2014</f>
        <v/>
      </c>
      <c r="I2014" s="141">
        <f>IF(offer_sale_type="транзит",IFERROR(ROUND(VLOOKUP($B2014,calc_data,I$14+1,0),2),0),0)</f>
        <v/>
      </c>
      <c r="J2014" s="141">
        <f>ROUND(IF(offer_sale_type="транзит",IFERROR(VLOOKUP($B2014,calc_data,J$14+1,0),0),0),2)</f>
        <v/>
      </c>
      <c r="K2014" s="142">
        <f>IF(offer_sale_type="транзит",IFERROR(ROUNDUP(VLOOKUP($B2014,calc_data,K$14+1,0),2),0),0)</f>
        <v/>
      </c>
      <c r="L2014" s="184">
        <f>IF(offer_sale_type="транзит",IFERROR(ROUNDUP(VLOOKUP($B2014,calc_data,L$14+1,0),2),0),0)</f>
        <v/>
      </c>
      <c r="M2014" s="141">
        <f>IF(offer_sale_type="транзит",IFERROR(ROUNDUP(VLOOKUP($B2014,calc_data,M$14+1,0),2),0),0)</f>
        <v/>
      </c>
      <c r="N2014" s="141">
        <f>IF(offer_sale_type="транзит",IFERROR(ROUNDUP(VLOOKUP($B2014,calc_data,N$14+1,0),2),0),0)</f>
        <v/>
      </c>
      <c r="O2014" s="147">
        <f>IF(offer_sale_type="транзит",IFERROR(ROUND(VLOOKUP($B2014,calc_data,O$14+1,1),2),0),0)</f>
        <v/>
      </c>
      <c r="P2014" s="141">
        <f>IF(offer_sale_type="транзит",IFERROR(ROUND(SUM(I2014:J2014,M2014:O2014)/E2014,2),0),0)</f>
        <v/>
      </c>
      <c r="Q2014" s="141">
        <f>E2014*P2014</f>
        <v/>
      </c>
      <c r="R2014" s="141">
        <f>ROUND(Q2014*IF(AND(offer_incoterms="DDP",seller_region="RU"),IF((TODAY()+offer_turnaround_time)&gt;=helpsheet!$L$17,rate_vatRU_from_26,rate_vatRu_till_25),0),2)</f>
        <v/>
      </c>
      <c r="S2014" s="177">
        <f>Q2014+IF(AND(offer_incoterms="DDP",seller_region="RU"),R2014,0)</f>
        <v/>
      </c>
      <c r="T2014" s="45" t="n"/>
      <c r="V2014" s="57">
        <f>IF(Q2014&gt;0,"показать","скрыть")</f>
        <v/>
      </c>
    </row>
    <row r="2015" ht="15.75" customHeight="1">
      <c r="B2015" s="809" t="n">
        <v>1999</v>
      </c>
      <c r="C2015" s="182">
        <f>IF(offer_sale_type="транзит",IFERROR(VLOOKUP($B2015,calc_data,C$14+1,0),0),0)</f>
        <v/>
      </c>
      <c r="D2015" s="280">
        <f>IF(offer_sale_type="транзит",IFERROR(VLOOKUP($B2015,calc_data,D$14+1,0),0),0)</f>
        <v/>
      </c>
      <c r="E2015" s="182">
        <f>IF(offer_sale_type="транзит",IFERROR(VLOOKUP($B2015,calc_data,E$14+1,0),0),0)</f>
        <v/>
      </c>
      <c r="F2015" s="182">
        <f>IF(offer_sale_type="транзит",IFERROR(VLOOKUP($B2015,calc_data,F$14+1,0),0),0)</f>
        <v/>
      </c>
      <c r="G2015" s="141">
        <f>IF(offer_sale_type="транзит",IFERROR(VLOOKUP($B2015,calc_data,G$14+1,0),0),0)</f>
        <v/>
      </c>
      <c r="H2015" s="141">
        <f>E2015*G2015</f>
        <v/>
      </c>
      <c r="I2015" s="141">
        <f>IF(offer_sale_type="транзит",IFERROR(ROUND(VLOOKUP($B2015,calc_data,I$14+1,0),2),0),0)</f>
        <v/>
      </c>
      <c r="J2015" s="141">
        <f>ROUND(IF(offer_sale_type="транзит",IFERROR(VLOOKUP($B2015,calc_data,J$14+1,0),0),0),2)</f>
        <v/>
      </c>
      <c r="K2015" s="142">
        <f>IF(offer_sale_type="транзит",IFERROR(ROUNDUP(VLOOKUP($B2015,calc_data,K$14+1,0),2),0),0)</f>
        <v/>
      </c>
      <c r="L2015" s="184">
        <f>IF(offer_sale_type="транзит",IFERROR(ROUNDUP(VLOOKUP($B2015,calc_data,L$14+1,0),2),0),0)</f>
        <v/>
      </c>
      <c r="M2015" s="141">
        <f>IF(offer_sale_type="транзит",IFERROR(ROUNDUP(VLOOKUP($B2015,calc_data,M$14+1,0),2),0),0)</f>
        <v/>
      </c>
      <c r="N2015" s="141">
        <f>IF(offer_sale_type="транзит",IFERROR(ROUNDUP(VLOOKUP($B2015,calc_data,N$14+1,0),2),0),0)</f>
        <v/>
      </c>
      <c r="O2015" s="147">
        <f>IF(offer_sale_type="транзит",IFERROR(ROUND(VLOOKUP($B2015,calc_data,O$14+1,1),2),0),0)</f>
        <v/>
      </c>
      <c r="P2015" s="141">
        <f>IF(offer_sale_type="транзит",IFERROR(ROUND(SUM(I2015:J2015,M2015:O2015)/E2015,2),0),0)</f>
        <v/>
      </c>
      <c r="Q2015" s="141">
        <f>E2015*P2015</f>
        <v/>
      </c>
      <c r="R2015" s="141">
        <f>ROUND(Q2015*IF(AND(offer_incoterms="DDP",seller_region="RU"),IF((TODAY()+offer_turnaround_time)&gt;=helpsheet!$L$17,rate_vatRU_from_26,rate_vatRu_till_25),0),2)</f>
        <v/>
      </c>
      <c r="S2015" s="177">
        <f>Q2015+IF(AND(offer_incoterms="DDP",seller_region="RU"),R2015,0)</f>
        <v/>
      </c>
      <c r="T2015" s="45" t="n"/>
      <c r="V2015" s="57">
        <f>IF(Q2015&gt;0,"показать","скрыть")</f>
        <v/>
      </c>
    </row>
    <row r="2016" ht="15.75" customHeight="1">
      <c r="B2016" s="809" t="n">
        <v>2000</v>
      </c>
      <c r="C2016" s="182">
        <f>IF(offer_sale_type="транзит",IFERROR(VLOOKUP($B2016,calc_data,C$14+1,0),0),0)</f>
        <v/>
      </c>
      <c r="D2016" s="280">
        <f>IF(offer_sale_type="транзит",IFERROR(VLOOKUP($B2016,calc_data,D$14+1,0),0),0)</f>
        <v/>
      </c>
      <c r="E2016" s="182">
        <f>IF(offer_sale_type="транзит",IFERROR(VLOOKUP($B2016,calc_data,E$14+1,0),0),0)</f>
        <v/>
      </c>
      <c r="F2016" s="182">
        <f>IF(offer_sale_type="транзит",IFERROR(VLOOKUP($B2016,calc_data,F$14+1,0),0),0)</f>
        <v/>
      </c>
      <c r="G2016" s="141">
        <f>IF(offer_sale_type="транзит",IFERROR(VLOOKUP($B2016,calc_data,G$14+1,0),0),0)</f>
        <v/>
      </c>
      <c r="H2016" s="141">
        <f>E2016*G2016</f>
        <v/>
      </c>
      <c r="I2016" s="141">
        <f>IF(offer_sale_type="транзит",IFERROR(ROUND(VLOOKUP($B2016,calc_data,I$14+1,0),2),0),0)</f>
        <v/>
      </c>
      <c r="J2016" s="141">
        <f>ROUND(IF(offer_sale_type="транзит",IFERROR(VLOOKUP($B2016,calc_data,J$14+1,0),0),0),2)</f>
        <v/>
      </c>
      <c r="K2016" s="142">
        <f>IF(offer_sale_type="транзит",IFERROR(ROUNDUP(VLOOKUP($B2016,calc_data,K$14+1,0),2),0),0)</f>
        <v/>
      </c>
      <c r="L2016" s="184">
        <f>IF(offer_sale_type="транзит",IFERROR(ROUNDUP(VLOOKUP($B2016,calc_data,L$14+1,0),2),0),0)</f>
        <v/>
      </c>
      <c r="M2016" s="141">
        <f>IF(offer_sale_type="транзит",IFERROR(ROUNDUP(VLOOKUP($B2016,calc_data,M$14+1,0),2),0),0)</f>
        <v/>
      </c>
      <c r="N2016" s="141">
        <f>IF(offer_sale_type="транзит",IFERROR(ROUNDUP(VLOOKUP($B2016,calc_data,N$14+1,0),2),0),0)</f>
        <v/>
      </c>
      <c r="O2016" s="147">
        <f>IF(offer_sale_type="транзит",IFERROR(ROUND(VLOOKUP($B2016,calc_data,O$14+1,1),2),0),0)</f>
        <v/>
      </c>
      <c r="P2016" s="141">
        <f>IF(offer_sale_type="транзит",IFERROR(ROUND(SUM(I2016:J2016,M2016:O2016)/E2016,2),0),0)</f>
        <v/>
      </c>
      <c r="Q2016" s="141">
        <f>E2016*P2016</f>
        <v/>
      </c>
      <c r="R2016" s="141">
        <f>ROUND(Q2016*IF(AND(offer_incoterms="DDP",seller_region="RU"),IF((TODAY()+offer_turnaround_time)&gt;=helpsheet!$L$17,rate_vatRU_from_26,rate_vatRu_till_25),0),2)</f>
        <v/>
      </c>
      <c r="S2016" s="177">
        <f>Q2016+IF(AND(offer_incoterms="DDP",seller_region="RU"),R2016,0)</f>
        <v/>
      </c>
      <c r="T2016" s="45" t="n"/>
      <c r="V2016" s="57">
        <f>IF(Q2016&gt;0,"показать","скрыть")</f>
        <v/>
      </c>
    </row>
    <row r="2017" ht="15" customHeight="1">
      <c r="B2017" s="811" t="inlineStr">
        <is>
          <t>ИТОГО:</t>
        </is>
      </c>
      <c r="C2017" s="812" t="n"/>
      <c r="D2017" s="812" t="n"/>
      <c r="E2017" s="143">
        <f>SUM(E17:E2016)</f>
        <v/>
      </c>
      <c r="F2017" s="143" t="n"/>
      <c r="G2017" s="144" t="n"/>
      <c r="H2017" s="144">
        <f>SUM(H17:H2016)</f>
        <v/>
      </c>
      <c r="I2017" s="144">
        <f>SUM(I17:I2016)</f>
        <v/>
      </c>
      <c r="J2017" s="144">
        <f>SUM(J17:J2016)</f>
        <v/>
      </c>
      <c r="K2017" s="145" t="n"/>
      <c r="L2017" s="813" t="n"/>
      <c r="M2017" s="144">
        <f>SUM(M17:M2016)</f>
        <v/>
      </c>
      <c r="N2017" s="144">
        <f>SUM(N17:N2016)</f>
        <v/>
      </c>
      <c r="O2017" s="144">
        <f>SUM(O17:O2016)</f>
        <v/>
      </c>
      <c r="P2017" s="144" t="n"/>
      <c r="Q2017" s="144">
        <f>SUM(Q17:Q2016)</f>
        <v/>
      </c>
      <c r="R2017" s="144">
        <f>SUM(R17:R2016)</f>
        <v/>
      </c>
      <c r="S2017" s="144">
        <f>SUM(S17:S2016)</f>
        <v/>
      </c>
      <c r="T2017" s="45" t="n"/>
      <c r="V2017" s="57">
        <f>IF(Q2017&gt;0,"показать","скрыть")</f>
        <v/>
      </c>
    </row>
    <row r="2018" ht="13.5" customHeight="1">
      <c r="B2018" s="63" t="n"/>
      <c r="E2018" s="63" t="n"/>
      <c r="F2018" s="63" t="n"/>
      <c r="G2018" s="63" t="n"/>
      <c r="H2018" s="63" t="n"/>
      <c r="I2018" s="63" t="n"/>
      <c r="J2018" s="63" t="n"/>
      <c r="K2018" s="63" t="n"/>
      <c r="L2018" s="63" t="n"/>
      <c r="M2018" s="63" t="n"/>
      <c r="N2018" s="63" t="n"/>
      <c r="O2018" s="63" t="n"/>
    </row>
    <row r="2019" ht="13.5" customHeight="1">
      <c r="B2019" s="63" t="n"/>
      <c r="E2019" s="63" t="n"/>
      <c r="F2019" s="63" t="n"/>
      <c r="G2019" s="63" t="n"/>
      <c r="H2019" s="63" t="n"/>
      <c r="I2019" s="63" t="n"/>
      <c r="J2019" s="63" t="n"/>
      <c r="K2019" s="63" t="n"/>
      <c r="L2019" s="63" t="n"/>
      <c r="M2019" s="63" t="n"/>
      <c r="N2019" s="63" t="n"/>
      <c r="O2019" s="63" t="n"/>
    </row>
    <row r="2020" ht="13.5" customHeight="1">
      <c r="B2020" s="63" t="n"/>
      <c r="E2020" s="63" t="n"/>
      <c r="F2020" s="63" t="n"/>
      <c r="G2020" s="63" t="n"/>
      <c r="H2020" s="63" t="n"/>
      <c r="I2020" s="63" t="n"/>
      <c r="J2020" s="63" t="n"/>
      <c r="K2020" s="63" t="n"/>
      <c r="L2020" s="63" t="n"/>
      <c r="M2020" s="63" t="n"/>
      <c r="N2020" s="63" t="n"/>
      <c r="O2020" s="63" t="n"/>
    </row>
    <row r="2021" ht="13.5" customHeight="1">
      <c r="B2021" s="63" t="n"/>
      <c r="E2021" s="63" t="n"/>
      <c r="F2021" s="63" t="n"/>
      <c r="G2021" s="63" t="n"/>
      <c r="H2021" s="63" t="n"/>
      <c r="I2021" s="63" t="n"/>
      <c r="J2021" s="63" t="n"/>
      <c r="K2021" s="63" t="n"/>
      <c r="L2021" s="63" t="n"/>
      <c r="M2021" s="63" t="n"/>
      <c r="N2021" s="63" t="n"/>
      <c r="O2021" s="63" t="n"/>
    </row>
    <row r="2022" ht="13.5" customHeight="1">
      <c r="B2022" s="63" t="n"/>
      <c r="E2022" s="63" t="n"/>
      <c r="F2022" s="63" t="n"/>
      <c r="G2022" s="63" t="n"/>
      <c r="H2022" s="63" t="n"/>
      <c r="I2022" s="63" t="n"/>
      <c r="J2022" s="63" t="n"/>
      <c r="K2022" s="63" t="n"/>
      <c r="L2022" s="63" t="n"/>
      <c r="M2022" s="63" t="n"/>
      <c r="N2022" s="63" t="n"/>
      <c r="O2022" s="63" t="n"/>
    </row>
    <row r="2023" ht="13.5" customHeight="1">
      <c r="B2023" s="63" t="n"/>
      <c r="E2023" s="63" t="n"/>
      <c r="F2023" s="63" t="n"/>
      <c r="G2023" s="63" t="n"/>
      <c r="H2023" s="63" t="n"/>
      <c r="I2023" s="63" t="n"/>
      <c r="J2023" s="63" t="n"/>
      <c r="K2023" s="63" t="n"/>
      <c r="L2023" s="63" t="n"/>
      <c r="M2023" s="63" t="n"/>
      <c r="N2023" s="63" t="n"/>
      <c r="O2023" s="63" t="n"/>
    </row>
    <row r="2024" ht="13.5" customHeight="1">
      <c r="B2024" s="63" t="n"/>
      <c r="E2024" s="63" t="n"/>
      <c r="F2024" s="63" t="n"/>
      <c r="G2024" s="63" t="n"/>
      <c r="H2024" s="63" t="n"/>
      <c r="I2024" s="63" t="n"/>
      <c r="J2024" s="63" t="n"/>
      <c r="K2024" s="63" t="n"/>
      <c r="L2024" s="63" t="n"/>
      <c r="M2024" s="63" t="n"/>
      <c r="N2024" s="63" t="n"/>
      <c r="O2024" s="63" t="n"/>
    </row>
    <row r="2025" ht="13.5" customHeight="1">
      <c r="B2025" s="63" t="n"/>
      <c r="E2025" s="63" t="n"/>
      <c r="F2025" s="63" t="n"/>
      <c r="G2025" s="63" t="n"/>
      <c r="H2025" s="63" t="n"/>
      <c r="I2025" s="63" t="n"/>
      <c r="J2025" s="63" t="n"/>
      <c r="K2025" s="63" t="n"/>
      <c r="L2025" s="63" t="n"/>
      <c r="M2025" s="63" t="n"/>
      <c r="N2025" s="63" t="n"/>
      <c r="O2025" s="63" t="n"/>
    </row>
    <row r="2026" ht="13.5" customHeight="1">
      <c r="B2026" s="63" t="n"/>
      <c r="E2026" s="63" t="n"/>
      <c r="F2026" s="63" t="n"/>
      <c r="G2026" s="63" t="n"/>
      <c r="H2026" s="63" t="n"/>
      <c r="I2026" s="63" t="n"/>
      <c r="J2026" s="63" t="n"/>
      <c r="K2026" s="63" t="n"/>
      <c r="L2026" s="63" t="n"/>
      <c r="M2026" s="63" t="n"/>
      <c r="N2026" s="63" t="n"/>
      <c r="O2026" s="63" t="n"/>
    </row>
    <row r="2027" ht="13.5" customHeight="1">
      <c r="B2027" s="63" t="n"/>
      <c r="E2027" s="63" t="n"/>
      <c r="F2027" s="63" t="n"/>
      <c r="G2027" s="63" t="n"/>
      <c r="H2027" s="63" t="n"/>
      <c r="I2027" s="63" t="n"/>
      <c r="J2027" s="63" t="n"/>
      <c r="K2027" s="63" t="n"/>
      <c r="L2027" s="63" t="n"/>
      <c r="M2027" s="63" t="n"/>
      <c r="N2027" s="63" t="n"/>
      <c r="O2027" s="63" t="n"/>
    </row>
    <row r="2028" ht="13.5" customHeight="1">
      <c r="B2028" s="63" t="n"/>
      <c r="E2028" s="63" t="n"/>
      <c r="F2028" s="63" t="n"/>
      <c r="G2028" s="63" t="n"/>
      <c r="H2028" s="63" t="n"/>
      <c r="I2028" s="63" t="n"/>
      <c r="J2028" s="63" t="n"/>
      <c r="K2028" s="63" t="n"/>
      <c r="L2028" s="63" t="n"/>
      <c r="M2028" s="63" t="n"/>
      <c r="N2028" s="63" t="n"/>
      <c r="O2028" s="63" t="n"/>
    </row>
    <row r="2029" ht="13.5" customHeight="1">
      <c r="B2029" s="63" t="n"/>
      <c r="E2029" s="63" t="n"/>
      <c r="F2029" s="63" t="n"/>
      <c r="G2029" s="63" t="n"/>
      <c r="H2029" s="63" t="n"/>
      <c r="I2029" s="63" t="n"/>
      <c r="J2029" s="63" t="n"/>
      <c r="K2029" s="63" t="n"/>
      <c r="L2029" s="63" t="n"/>
      <c r="M2029" s="63" t="n"/>
      <c r="N2029" s="63" t="n"/>
      <c r="O2029" s="63" t="n"/>
    </row>
    <row r="2030" ht="13.5" customHeight="1">
      <c r="B2030" s="63" t="n"/>
      <c r="E2030" s="63" t="n"/>
      <c r="F2030" s="63" t="n"/>
      <c r="G2030" s="63" t="n"/>
      <c r="H2030" s="63" t="n"/>
      <c r="I2030" s="63" t="n"/>
      <c r="J2030" s="63" t="n"/>
      <c r="K2030" s="63" t="n"/>
      <c r="L2030" s="63" t="n"/>
      <c r="M2030" s="63" t="n"/>
      <c r="N2030" s="63" t="n"/>
      <c r="O2030" s="63" t="n"/>
    </row>
    <row r="2031" ht="13.5" customHeight="1">
      <c r="B2031" s="63" t="n"/>
      <c r="E2031" s="63" t="n"/>
      <c r="F2031" s="63" t="n"/>
      <c r="G2031" s="63" t="n"/>
      <c r="H2031" s="63" t="n"/>
      <c r="I2031" s="63" t="n"/>
      <c r="J2031" s="63" t="n"/>
      <c r="K2031" s="63" t="n"/>
      <c r="L2031" s="63" t="n"/>
      <c r="M2031" s="63" t="n"/>
      <c r="N2031" s="63" t="n"/>
      <c r="O2031" s="63" t="n"/>
    </row>
    <row r="2032" ht="13.5" customHeight="1">
      <c r="B2032" s="63" t="n"/>
      <c r="E2032" s="63" t="n"/>
      <c r="F2032" s="63" t="n"/>
      <c r="G2032" s="63" t="n"/>
      <c r="H2032" s="63" t="n"/>
      <c r="I2032" s="63" t="n"/>
      <c r="J2032" s="63" t="n"/>
      <c r="K2032" s="63" t="n"/>
      <c r="L2032" s="63" t="n"/>
      <c r="M2032" s="63" t="n"/>
      <c r="N2032" s="63" t="n"/>
      <c r="O2032" s="63" t="n"/>
    </row>
    <row r="2033" ht="13.5" customHeight="1">
      <c r="B2033" s="63" t="n"/>
      <c r="E2033" s="63" t="n"/>
      <c r="F2033" s="63" t="n"/>
      <c r="G2033" s="63" t="n"/>
      <c r="H2033" s="63" t="n"/>
      <c r="I2033" s="63" t="n"/>
      <c r="J2033" s="63" t="n"/>
      <c r="K2033" s="63" t="n"/>
      <c r="L2033" s="63" t="n"/>
      <c r="M2033" s="63" t="n"/>
      <c r="N2033" s="63" t="n"/>
      <c r="O2033" s="63" t="n"/>
    </row>
    <row r="2034" ht="13.5" customHeight="1">
      <c r="B2034" s="63" t="n"/>
      <c r="E2034" s="63" t="n"/>
      <c r="F2034" s="63" t="n"/>
      <c r="G2034" s="63" t="n"/>
      <c r="H2034" s="63" t="n"/>
      <c r="I2034" s="63" t="n"/>
      <c r="J2034" s="63" t="n"/>
      <c r="K2034" s="63" t="n"/>
      <c r="L2034" s="63" t="n"/>
      <c r="M2034" s="63" t="n"/>
      <c r="N2034" s="63" t="n"/>
      <c r="O2034" s="63" t="n"/>
    </row>
    <row r="2035" ht="13.5" customHeight="1">
      <c r="B2035" s="63" t="n"/>
      <c r="E2035" s="63" t="n"/>
      <c r="F2035" s="63" t="n"/>
      <c r="G2035" s="63" t="n"/>
      <c r="H2035" s="63" t="n"/>
      <c r="I2035" s="63" t="n"/>
      <c r="J2035" s="63" t="n"/>
      <c r="K2035" s="63" t="n"/>
      <c r="L2035" s="63" t="n"/>
      <c r="M2035" s="63" t="n"/>
      <c r="N2035" s="63" t="n"/>
      <c r="O2035" s="63" t="n"/>
    </row>
    <row r="2036" ht="13.5" customHeight="1">
      <c r="B2036" s="63" t="n"/>
      <c r="E2036" s="63" t="n"/>
      <c r="F2036" s="63" t="n"/>
      <c r="G2036" s="63" t="n"/>
      <c r="H2036" s="63" t="n"/>
      <c r="I2036" s="63" t="n"/>
      <c r="J2036" s="63" t="n"/>
      <c r="K2036" s="63" t="n"/>
      <c r="L2036" s="63" t="n"/>
      <c r="M2036" s="63" t="n"/>
      <c r="N2036" s="63" t="n"/>
      <c r="O2036" s="63" t="n"/>
    </row>
    <row r="2037" ht="13.5" customHeight="1">
      <c r="B2037" s="63" t="n"/>
      <c r="E2037" s="63" t="n"/>
      <c r="F2037" s="63" t="n"/>
      <c r="G2037" s="63" t="n"/>
      <c r="H2037" s="63" t="n"/>
      <c r="I2037" s="63" t="n"/>
      <c r="J2037" s="63" t="n"/>
      <c r="K2037" s="63" t="n"/>
      <c r="L2037" s="63" t="n"/>
      <c r="M2037" s="63" t="n"/>
      <c r="N2037" s="63" t="n"/>
      <c r="O2037" s="63" t="n"/>
    </row>
    <row r="2038" ht="13.5" customHeight="1">
      <c r="B2038" s="63" t="n"/>
      <c r="E2038" s="63" t="n"/>
      <c r="F2038" s="63" t="n"/>
      <c r="G2038" s="63" t="n"/>
      <c r="H2038" s="63" t="n"/>
      <c r="I2038" s="63" t="n"/>
      <c r="J2038" s="63" t="n"/>
      <c r="K2038" s="63" t="n"/>
      <c r="L2038" s="63" t="n"/>
      <c r="M2038" s="63" t="n"/>
      <c r="N2038" s="63" t="n"/>
      <c r="O2038" s="63" t="n"/>
    </row>
    <row r="2039" ht="13.5" customHeight="1">
      <c r="B2039" s="63" t="n"/>
      <c r="E2039" s="63" t="n"/>
      <c r="F2039" s="63" t="n"/>
      <c r="G2039" s="63" t="n"/>
      <c r="H2039" s="63" t="n"/>
      <c r="I2039" s="63" t="n"/>
      <c r="J2039" s="63" t="n"/>
      <c r="K2039" s="63" t="n"/>
      <c r="L2039" s="63" t="n"/>
      <c r="M2039" s="63" t="n"/>
      <c r="N2039" s="63" t="n"/>
      <c r="O2039" s="63" t="n"/>
    </row>
    <row r="2040" ht="13.5" customHeight="1">
      <c r="B2040" s="63" t="n"/>
      <c r="E2040" s="63" t="n"/>
      <c r="F2040" s="63" t="n"/>
      <c r="G2040" s="63" t="n"/>
      <c r="H2040" s="63" t="n"/>
      <c r="I2040" s="63" t="n"/>
      <c r="J2040" s="63" t="n"/>
      <c r="K2040" s="63" t="n"/>
      <c r="L2040" s="63" t="n"/>
      <c r="M2040" s="63" t="n"/>
      <c r="N2040" s="63" t="n"/>
      <c r="O2040" s="63" t="n"/>
    </row>
    <row r="2041" ht="13.5" customHeight="1">
      <c r="B2041" s="63" t="n"/>
      <c r="E2041" s="63" t="n"/>
      <c r="F2041" s="63" t="n"/>
      <c r="G2041" s="63" t="n"/>
      <c r="H2041" s="63" t="n"/>
      <c r="I2041" s="63" t="n"/>
      <c r="J2041" s="63" t="n"/>
      <c r="K2041" s="63" t="n"/>
      <c r="L2041" s="63" t="n"/>
      <c r="M2041" s="63" t="n"/>
      <c r="N2041" s="63" t="n"/>
      <c r="O2041" s="63" t="n"/>
    </row>
    <row r="2042" ht="13.5" customHeight="1">
      <c r="B2042" s="63" t="n"/>
      <c r="E2042" s="63" t="n"/>
      <c r="F2042" s="63" t="n"/>
      <c r="G2042" s="63" t="n"/>
      <c r="H2042" s="63" t="n"/>
      <c r="I2042" s="63" t="n"/>
      <c r="J2042" s="63" t="n"/>
      <c r="K2042" s="63" t="n"/>
      <c r="L2042" s="63" t="n"/>
      <c r="M2042" s="63" t="n"/>
      <c r="N2042" s="63" t="n"/>
      <c r="O2042" s="63" t="n"/>
    </row>
    <row r="2043" ht="13.5" customHeight="1">
      <c r="B2043" s="63" t="n"/>
      <c r="E2043" s="63" t="n"/>
      <c r="F2043" s="63" t="n"/>
      <c r="G2043" s="63" t="n"/>
      <c r="H2043" s="63" t="n"/>
      <c r="I2043" s="63" t="n"/>
      <c r="J2043" s="63" t="n"/>
      <c r="K2043" s="63" t="n"/>
      <c r="L2043" s="63" t="n"/>
      <c r="M2043" s="63" t="n"/>
      <c r="N2043" s="63" t="n"/>
      <c r="O2043" s="63" t="n"/>
    </row>
    <row r="2044" ht="13.5" customHeight="1">
      <c r="B2044" s="63" t="n"/>
      <c r="E2044" s="63" t="n"/>
      <c r="F2044" s="63" t="n"/>
      <c r="G2044" s="63" t="n"/>
      <c r="H2044" s="63" t="n"/>
      <c r="I2044" s="63" t="n"/>
      <c r="J2044" s="63" t="n"/>
      <c r="K2044" s="63" t="n"/>
      <c r="L2044" s="63" t="n"/>
      <c r="M2044" s="63" t="n"/>
      <c r="N2044" s="63" t="n"/>
      <c r="O2044" s="63" t="n"/>
    </row>
    <row r="2045" ht="13.5" customHeight="1">
      <c r="B2045" s="63" t="n"/>
      <c r="E2045" s="63" t="n"/>
      <c r="F2045" s="63" t="n"/>
      <c r="G2045" s="63" t="n"/>
      <c r="H2045" s="63" t="n"/>
      <c r="I2045" s="63" t="n"/>
      <c r="J2045" s="63" t="n"/>
      <c r="K2045" s="63" t="n"/>
      <c r="L2045" s="63" t="n"/>
      <c r="M2045" s="63" t="n"/>
      <c r="N2045" s="63" t="n"/>
      <c r="O2045" s="63" t="n"/>
    </row>
    <row r="2046" ht="13.5" customHeight="1">
      <c r="B2046" s="63" t="n"/>
      <c r="E2046" s="63" t="n"/>
      <c r="F2046" s="63" t="n"/>
      <c r="G2046" s="63" t="n"/>
      <c r="H2046" s="63" t="n"/>
      <c r="I2046" s="63" t="n"/>
      <c r="J2046" s="63" t="n"/>
      <c r="K2046" s="63" t="n"/>
      <c r="L2046" s="63" t="n"/>
      <c r="M2046" s="63" t="n"/>
      <c r="N2046" s="63" t="n"/>
      <c r="O2046" s="63" t="n"/>
    </row>
    <row r="2047" ht="13.5" customHeight="1">
      <c r="B2047" s="63" t="n"/>
      <c r="E2047" s="63" t="n"/>
      <c r="F2047" s="63" t="n"/>
      <c r="G2047" s="63" t="n"/>
      <c r="H2047" s="63" t="n"/>
      <c r="I2047" s="63" t="n"/>
      <c r="J2047" s="63" t="n"/>
      <c r="K2047" s="63" t="n"/>
      <c r="L2047" s="63" t="n"/>
      <c r="M2047" s="63" t="n"/>
      <c r="N2047" s="63" t="n"/>
      <c r="O2047" s="63" t="n"/>
    </row>
    <row r="2048" ht="13.5" customHeight="1">
      <c r="B2048" s="63" t="n"/>
      <c r="E2048" s="63" t="n"/>
      <c r="F2048" s="63" t="n"/>
      <c r="G2048" s="63" t="n"/>
      <c r="H2048" s="63" t="n"/>
      <c r="I2048" s="63" t="n"/>
      <c r="J2048" s="63" t="n"/>
      <c r="K2048" s="63" t="n"/>
      <c r="L2048" s="63" t="n"/>
      <c r="M2048" s="63" t="n"/>
      <c r="N2048" s="63" t="n"/>
      <c r="O2048" s="63" t="n"/>
    </row>
    <row r="2049" ht="13.5" customHeight="1">
      <c r="B2049" s="63" t="n"/>
      <c r="E2049" s="63" t="n"/>
      <c r="F2049" s="63" t="n"/>
      <c r="G2049" s="63" t="n"/>
      <c r="H2049" s="63" t="n"/>
      <c r="I2049" s="63" t="n"/>
      <c r="J2049" s="63" t="n"/>
      <c r="K2049" s="63" t="n"/>
      <c r="L2049" s="63" t="n"/>
      <c r="M2049" s="63" t="n"/>
      <c r="N2049" s="63" t="n"/>
      <c r="O2049" s="63" t="n"/>
    </row>
    <row r="2050" ht="13.5" customHeight="1">
      <c r="B2050" s="63" t="n"/>
      <c r="E2050" s="63" t="n"/>
      <c r="F2050" s="63" t="n"/>
      <c r="G2050" s="63" t="n"/>
      <c r="H2050" s="63" t="n"/>
      <c r="I2050" s="63" t="n"/>
      <c r="J2050" s="63" t="n"/>
      <c r="K2050" s="63" t="n"/>
      <c r="L2050" s="63" t="n"/>
      <c r="M2050" s="63" t="n"/>
      <c r="N2050" s="63" t="n"/>
      <c r="O2050" s="63" t="n"/>
    </row>
    <row r="2051" ht="13.5" customHeight="1">
      <c r="B2051" s="63" t="n"/>
      <c r="E2051" s="63" t="n"/>
      <c r="F2051" s="63" t="n"/>
      <c r="G2051" s="63" t="n"/>
      <c r="H2051" s="63" t="n"/>
      <c r="I2051" s="63" t="n"/>
      <c r="J2051" s="63" t="n"/>
      <c r="K2051" s="63" t="n"/>
      <c r="L2051" s="63" t="n"/>
      <c r="M2051" s="63" t="n"/>
      <c r="N2051" s="63" t="n"/>
      <c r="O2051" s="63" t="n"/>
    </row>
    <row r="2052" ht="13.5" customHeight="1">
      <c r="B2052" s="63" t="n"/>
      <c r="E2052" s="63" t="n"/>
      <c r="F2052" s="63" t="n"/>
      <c r="G2052" s="63" t="n"/>
      <c r="H2052" s="63" t="n"/>
      <c r="I2052" s="63" t="n"/>
      <c r="J2052" s="63" t="n"/>
      <c r="K2052" s="63" t="n"/>
      <c r="L2052" s="63" t="n"/>
      <c r="M2052" s="63" t="n"/>
      <c r="N2052" s="63" t="n"/>
      <c r="O2052" s="63" t="n"/>
    </row>
    <row r="2053" ht="13.5" customHeight="1">
      <c r="B2053" s="63" t="n"/>
      <c r="E2053" s="63" t="n"/>
      <c r="F2053" s="63" t="n"/>
      <c r="G2053" s="63" t="n"/>
      <c r="H2053" s="63" t="n"/>
      <c r="I2053" s="63" t="n"/>
      <c r="J2053" s="63" t="n"/>
      <c r="K2053" s="63" t="n"/>
      <c r="L2053" s="63" t="n"/>
      <c r="M2053" s="63" t="n"/>
      <c r="N2053" s="63" t="n"/>
      <c r="O2053" s="63" t="n"/>
    </row>
    <row r="2054" ht="13.5" customHeight="1">
      <c r="B2054" s="63" t="n"/>
      <c r="E2054" s="63" t="n"/>
      <c r="F2054" s="63" t="n"/>
      <c r="G2054" s="63" t="n"/>
      <c r="H2054" s="63" t="n"/>
      <c r="I2054" s="63" t="n"/>
      <c r="J2054" s="63" t="n"/>
      <c r="K2054" s="63" t="n"/>
      <c r="L2054" s="63" t="n"/>
      <c r="M2054" s="63" t="n"/>
      <c r="N2054" s="63" t="n"/>
      <c r="O2054" s="63" t="n"/>
    </row>
    <row r="2055" ht="13.5" customHeight="1">
      <c r="B2055" s="63" t="n"/>
      <c r="E2055" s="63" t="n"/>
      <c r="F2055" s="63" t="n"/>
      <c r="G2055" s="63" t="n"/>
      <c r="H2055" s="63" t="n"/>
      <c r="I2055" s="63" t="n"/>
      <c r="J2055" s="63" t="n"/>
      <c r="K2055" s="63" t="n"/>
      <c r="L2055" s="63" t="n"/>
      <c r="M2055" s="63" t="n"/>
      <c r="N2055" s="63" t="n"/>
      <c r="O2055" s="63" t="n"/>
    </row>
    <row r="2056" ht="13.5" customHeight="1">
      <c r="B2056" s="63" t="n"/>
      <c r="E2056" s="63" t="n"/>
      <c r="F2056" s="63" t="n"/>
      <c r="G2056" s="63" t="n"/>
      <c r="H2056" s="63" t="n"/>
      <c r="I2056" s="63" t="n"/>
      <c r="J2056" s="63" t="n"/>
      <c r="K2056" s="63" t="n"/>
      <c r="L2056" s="63" t="n"/>
      <c r="M2056" s="63" t="n"/>
      <c r="N2056" s="63" t="n"/>
      <c r="O2056" s="63" t="n"/>
    </row>
    <row r="2057" ht="13.5" customHeight="1">
      <c r="B2057" s="63" t="n"/>
      <c r="E2057" s="63" t="n"/>
      <c r="F2057" s="63" t="n"/>
      <c r="G2057" s="63" t="n"/>
      <c r="H2057" s="63" t="n"/>
      <c r="I2057" s="63" t="n"/>
      <c r="J2057" s="63" t="n"/>
      <c r="K2057" s="63" t="n"/>
      <c r="L2057" s="63" t="n"/>
      <c r="M2057" s="63" t="n"/>
      <c r="N2057" s="63" t="n"/>
      <c r="O2057" s="63" t="n"/>
    </row>
    <row r="2058" ht="13.5" customHeight="1">
      <c r="B2058" s="63" t="n"/>
      <c r="E2058" s="63" t="n"/>
      <c r="F2058" s="63" t="n"/>
      <c r="G2058" s="63" t="n"/>
      <c r="H2058" s="63" t="n"/>
      <c r="I2058" s="63" t="n"/>
      <c r="J2058" s="63" t="n"/>
      <c r="K2058" s="63" t="n"/>
      <c r="L2058" s="63" t="n"/>
      <c r="M2058" s="63" t="n"/>
      <c r="N2058" s="63" t="n"/>
      <c r="O2058" s="63" t="n"/>
    </row>
    <row r="2059" ht="13.5" customHeight="1">
      <c r="B2059" s="63" t="n"/>
      <c r="E2059" s="63" t="n"/>
      <c r="F2059" s="63" t="n"/>
      <c r="G2059" s="63" t="n"/>
      <c r="H2059" s="63" t="n"/>
      <c r="I2059" s="63" t="n"/>
      <c r="J2059" s="63" t="n"/>
      <c r="K2059" s="63" t="n"/>
      <c r="L2059" s="63" t="n"/>
      <c r="M2059" s="63" t="n"/>
      <c r="N2059" s="63" t="n"/>
      <c r="O2059" s="63" t="n"/>
    </row>
    <row r="2060" ht="13.5" customHeight="1">
      <c r="B2060" s="63" t="n"/>
      <c r="E2060" s="63" t="n"/>
      <c r="F2060" s="63" t="n"/>
      <c r="G2060" s="63" t="n"/>
      <c r="H2060" s="63" t="n"/>
      <c r="I2060" s="63" t="n"/>
      <c r="J2060" s="63" t="n"/>
      <c r="K2060" s="63" t="n"/>
      <c r="L2060" s="63" t="n"/>
      <c r="M2060" s="63" t="n"/>
      <c r="N2060" s="63" t="n"/>
      <c r="O2060" s="63" t="n"/>
    </row>
    <row r="2061" ht="13.5" customHeight="1">
      <c r="B2061" s="63" t="n"/>
      <c r="E2061" s="63" t="n"/>
      <c r="F2061" s="63" t="n"/>
      <c r="G2061" s="63" t="n"/>
      <c r="H2061" s="63" t="n"/>
      <c r="I2061" s="63" t="n"/>
      <c r="J2061" s="63" t="n"/>
      <c r="K2061" s="63" t="n"/>
      <c r="L2061" s="63" t="n"/>
      <c r="M2061" s="63" t="n"/>
      <c r="N2061" s="63" t="n"/>
      <c r="O2061" s="63" t="n"/>
    </row>
    <row r="2062" ht="13.5" customHeight="1">
      <c r="B2062" s="63" t="n"/>
      <c r="E2062" s="63" t="n"/>
      <c r="F2062" s="63" t="n"/>
      <c r="G2062" s="63" t="n"/>
      <c r="H2062" s="63" t="n"/>
      <c r="I2062" s="63" t="n"/>
      <c r="J2062" s="63" t="n"/>
      <c r="K2062" s="63" t="n"/>
      <c r="L2062" s="63" t="n"/>
      <c r="M2062" s="63" t="n"/>
      <c r="N2062" s="63" t="n"/>
      <c r="O2062" s="63" t="n"/>
    </row>
    <row r="2063" ht="13.5" customHeight="1">
      <c r="B2063" s="63" t="n"/>
      <c r="E2063" s="63" t="n"/>
      <c r="F2063" s="63" t="n"/>
      <c r="G2063" s="63" t="n"/>
      <c r="H2063" s="63" t="n"/>
      <c r="I2063" s="63" t="n"/>
      <c r="J2063" s="63" t="n"/>
      <c r="K2063" s="63" t="n"/>
      <c r="L2063" s="63" t="n"/>
      <c r="M2063" s="63" t="n"/>
      <c r="N2063" s="63" t="n"/>
      <c r="O2063" s="63" t="n"/>
    </row>
    <row r="2064" ht="13.5" customHeight="1">
      <c r="B2064" s="63" t="n"/>
      <c r="E2064" s="63" t="n"/>
      <c r="F2064" s="63" t="n"/>
      <c r="G2064" s="63" t="n"/>
      <c r="H2064" s="63" t="n"/>
      <c r="I2064" s="63" t="n"/>
      <c r="J2064" s="63" t="n"/>
      <c r="K2064" s="63" t="n"/>
      <c r="L2064" s="63" t="n"/>
      <c r="M2064" s="63" t="n"/>
      <c r="N2064" s="63" t="n"/>
      <c r="O2064" s="63" t="n"/>
    </row>
    <row r="2065" ht="13.5" customHeight="1">
      <c r="B2065" s="63" t="n"/>
      <c r="E2065" s="63" t="n"/>
      <c r="F2065" s="63" t="n"/>
      <c r="G2065" s="63" t="n"/>
      <c r="H2065" s="63" t="n"/>
      <c r="I2065" s="63" t="n"/>
      <c r="J2065" s="63" t="n"/>
      <c r="K2065" s="63" t="n"/>
      <c r="L2065" s="63" t="n"/>
      <c r="M2065" s="63" t="n"/>
      <c r="N2065" s="63" t="n"/>
      <c r="O2065" s="63" t="n"/>
    </row>
    <row r="2066" ht="13.5" customHeight="1">
      <c r="B2066" s="63" t="n"/>
      <c r="E2066" s="63" t="n"/>
      <c r="F2066" s="63" t="n"/>
      <c r="G2066" s="63" t="n"/>
      <c r="H2066" s="63" t="n"/>
      <c r="I2066" s="63" t="n"/>
      <c r="J2066" s="63" t="n"/>
      <c r="K2066" s="63" t="n"/>
      <c r="L2066" s="63" t="n"/>
      <c r="M2066" s="63" t="n"/>
      <c r="N2066" s="63" t="n"/>
      <c r="O2066" s="63" t="n"/>
    </row>
    <row r="2067" ht="13.5" customHeight="1">
      <c r="B2067" s="63" t="n"/>
      <c r="E2067" s="63" t="n"/>
      <c r="F2067" s="63" t="n"/>
      <c r="G2067" s="63" t="n"/>
      <c r="H2067" s="63" t="n"/>
      <c r="I2067" s="63" t="n"/>
      <c r="J2067" s="63" t="n"/>
      <c r="K2067" s="63" t="n"/>
      <c r="L2067" s="63" t="n"/>
      <c r="M2067" s="63" t="n"/>
      <c r="N2067" s="63" t="n"/>
      <c r="O2067" s="63" t="n"/>
    </row>
    <row r="2068" ht="13.5" customHeight="1">
      <c r="B2068" s="63" t="n"/>
      <c r="E2068" s="63" t="n"/>
      <c r="F2068" s="63" t="n"/>
      <c r="G2068" s="63" t="n"/>
      <c r="H2068" s="63" t="n"/>
      <c r="I2068" s="63" t="n"/>
      <c r="J2068" s="63" t="n"/>
      <c r="K2068" s="63" t="n"/>
      <c r="L2068" s="63" t="n"/>
      <c r="M2068" s="63" t="n"/>
      <c r="N2068" s="63" t="n"/>
      <c r="O2068" s="63" t="n"/>
    </row>
    <row r="2069" ht="13.5" customHeight="1">
      <c r="B2069" s="63" t="n"/>
      <c r="E2069" s="63" t="n"/>
      <c r="F2069" s="63" t="n"/>
      <c r="G2069" s="63" t="n"/>
      <c r="H2069" s="63" t="n"/>
      <c r="I2069" s="63" t="n"/>
      <c r="J2069" s="63" t="n"/>
      <c r="K2069" s="63" t="n"/>
      <c r="L2069" s="63" t="n"/>
      <c r="M2069" s="63" t="n"/>
      <c r="N2069" s="63" t="n"/>
      <c r="O2069" s="63" t="n"/>
    </row>
    <row r="2070" ht="13.5" customHeight="1">
      <c r="B2070" s="63" t="n"/>
      <c r="E2070" s="63" t="n"/>
      <c r="F2070" s="63" t="n"/>
      <c r="G2070" s="63" t="n"/>
      <c r="H2070" s="63" t="n"/>
      <c r="I2070" s="63" t="n"/>
      <c r="J2070" s="63" t="n"/>
      <c r="K2070" s="63" t="n"/>
      <c r="L2070" s="63" t="n"/>
      <c r="M2070" s="63" t="n"/>
      <c r="N2070" s="63" t="n"/>
      <c r="O2070" s="63" t="n"/>
    </row>
    <row r="2071" ht="13.5" customHeight="1">
      <c r="B2071" s="63" t="n"/>
      <c r="E2071" s="63" t="n"/>
      <c r="F2071" s="63" t="n"/>
      <c r="G2071" s="63" t="n"/>
      <c r="H2071" s="63" t="n"/>
      <c r="I2071" s="63" t="n"/>
      <c r="J2071" s="63" t="n"/>
      <c r="K2071" s="63" t="n"/>
      <c r="L2071" s="63" t="n"/>
      <c r="M2071" s="63" t="n"/>
      <c r="N2071" s="63" t="n"/>
      <c r="O2071" s="63" t="n"/>
    </row>
    <row r="2072" ht="13.5" customHeight="1">
      <c r="B2072" s="63" t="n"/>
      <c r="E2072" s="63" t="n"/>
      <c r="F2072" s="63" t="n"/>
      <c r="G2072" s="63" t="n"/>
      <c r="H2072" s="63" t="n"/>
      <c r="I2072" s="63" t="n"/>
      <c r="J2072" s="63" t="n"/>
      <c r="K2072" s="63" t="n"/>
      <c r="L2072" s="63" t="n"/>
      <c r="M2072" s="63" t="n"/>
      <c r="N2072" s="63" t="n"/>
      <c r="O2072" s="63" t="n"/>
    </row>
    <row r="2073" ht="13.5" customHeight="1">
      <c r="B2073" s="63" t="n"/>
      <c r="E2073" s="63" t="n"/>
      <c r="F2073" s="63" t="n"/>
      <c r="G2073" s="63" t="n"/>
      <c r="H2073" s="63" t="n"/>
      <c r="I2073" s="63" t="n"/>
      <c r="J2073" s="63" t="n"/>
      <c r="K2073" s="63" t="n"/>
      <c r="L2073" s="63" t="n"/>
      <c r="M2073" s="63" t="n"/>
      <c r="N2073" s="63" t="n"/>
      <c r="O2073" s="63" t="n"/>
    </row>
    <row r="2074" ht="13.5" customHeight="1">
      <c r="B2074" s="63" t="n"/>
      <c r="E2074" s="63" t="n"/>
      <c r="F2074" s="63" t="n"/>
      <c r="G2074" s="63" t="n"/>
      <c r="H2074" s="63" t="n"/>
      <c r="I2074" s="63" t="n"/>
      <c r="J2074" s="63" t="n"/>
      <c r="K2074" s="63" t="n"/>
      <c r="L2074" s="63" t="n"/>
      <c r="M2074" s="63" t="n"/>
      <c r="N2074" s="63" t="n"/>
      <c r="O2074" s="63" t="n"/>
    </row>
    <row r="2075" ht="13.5" customHeight="1">
      <c r="B2075" s="63" t="n"/>
      <c r="E2075" s="63" t="n"/>
      <c r="F2075" s="63" t="n"/>
      <c r="G2075" s="63" t="n"/>
      <c r="H2075" s="63" t="n"/>
      <c r="I2075" s="63" t="n"/>
      <c r="J2075" s="63" t="n"/>
      <c r="K2075" s="63" t="n"/>
      <c r="L2075" s="63" t="n"/>
      <c r="M2075" s="63" t="n"/>
      <c r="N2075" s="63" t="n"/>
      <c r="O2075" s="63" t="n"/>
    </row>
    <row r="2076" ht="13.5" customHeight="1">
      <c r="B2076" s="63" t="n"/>
      <c r="E2076" s="63" t="n"/>
      <c r="F2076" s="63" t="n"/>
      <c r="G2076" s="63" t="n"/>
      <c r="H2076" s="63" t="n"/>
      <c r="I2076" s="63" t="n"/>
      <c r="J2076" s="63" t="n"/>
      <c r="K2076" s="63" t="n"/>
      <c r="L2076" s="63" t="n"/>
      <c r="M2076" s="63" t="n"/>
      <c r="N2076" s="63" t="n"/>
      <c r="O2076" s="63" t="n"/>
    </row>
    <row r="2077" ht="13.5" customHeight="1">
      <c r="B2077" s="63" t="n"/>
      <c r="E2077" s="63" t="n"/>
      <c r="F2077" s="63" t="n"/>
      <c r="G2077" s="63" t="n"/>
      <c r="H2077" s="63" t="n"/>
      <c r="I2077" s="63" t="n"/>
      <c r="J2077" s="63" t="n"/>
      <c r="K2077" s="63" t="n"/>
      <c r="L2077" s="63" t="n"/>
      <c r="M2077" s="63" t="n"/>
      <c r="N2077" s="63" t="n"/>
      <c r="O2077" s="63" t="n"/>
    </row>
    <row r="2078" ht="13.5" customHeight="1">
      <c r="B2078" s="63" t="n"/>
      <c r="E2078" s="63" t="n"/>
      <c r="F2078" s="63" t="n"/>
      <c r="G2078" s="63" t="n"/>
      <c r="H2078" s="63" t="n"/>
      <c r="I2078" s="63" t="n"/>
      <c r="J2078" s="63" t="n"/>
      <c r="K2078" s="63" t="n"/>
      <c r="L2078" s="63" t="n"/>
      <c r="M2078" s="63" t="n"/>
      <c r="N2078" s="63" t="n"/>
      <c r="O2078" s="63" t="n"/>
    </row>
    <row r="2079" ht="13.5" customHeight="1">
      <c r="B2079" s="63" t="n"/>
      <c r="E2079" s="63" t="n"/>
      <c r="F2079" s="63" t="n"/>
      <c r="G2079" s="63" t="n"/>
      <c r="H2079" s="63" t="n"/>
      <c r="I2079" s="63" t="n"/>
      <c r="J2079" s="63" t="n"/>
      <c r="K2079" s="63" t="n"/>
      <c r="L2079" s="63" t="n"/>
      <c r="M2079" s="63" t="n"/>
      <c r="N2079" s="63" t="n"/>
      <c r="O2079" s="63" t="n"/>
    </row>
    <row r="2080" ht="13.5" customHeight="1">
      <c r="B2080" s="63" t="n"/>
      <c r="E2080" s="63" t="n"/>
      <c r="F2080" s="63" t="n"/>
      <c r="G2080" s="63" t="n"/>
      <c r="H2080" s="63" t="n"/>
      <c r="I2080" s="63" t="n"/>
      <c r="J2080" s="63" t="n"/>
      <c r="K2080" s="63" t="n"/>
      <c r="L2080" s="63" t="n"/>
      <c r="M2080" s="63" t="n"/>
      <c r="N2080" s="63" t="n"/>
      <c r="O2080" s="63" t="n"/>
    </row>
    <row r="2081" ht="13.5" customHeight="1">
      <c r="B2081" s="63" t="n"/>
      <c r="E2081" s="63" t="n"/>
      <c r="F2081" s="63" t="n"/>
      <c r="G2081" s="63" t="n"/>
      <c r="H2081" s="63" t="n"/>
      <c r="I2081" s="63" t="n"/>
      <c r="J2081" s="63" t="n"/>
      <c r="K2081" s="63" t="n"/>
      <c r="L2081" s="63" t="n"/>
      <c r="M2081" s="63" t="n"/>
      <c r="N2081" s="63" t="n"/>
      <c r="O2081" s="63" t="n"/>
    </row>
    <row r="2082" ht="13.5" customHeight="1">
      <c r="B2082" s="63" t="n"/>
      <c r="E2082" s="63" t="n"/>
      <c r="F2082" s="63" t="n"/>
      <c r="G2082" s="63" t="n"/>
      <c r="H2082" s="63" t="n"/>
      <c r="I2082" s="63" t="n"/>
      <c r="J2082" s="63" t="n"/>
      <c r="K2082" s="63" t="n"/>
      <c r="L2082" s="63" t="n"/>
      <c r="M2082" s="63" t="n"/>
      <c r="N2082" s="63" t="n"/>
      <c r="O2082" s="63" t="n"/>
    </row>
    <row r="2083" ht="13.5" customHeight="1">
      <c r="B2083" s="63" t="n"/>
      <c r="E2083" s="63" t="n"/>
      <c r="F2083" s="63" t="n"/>
      <c r="G2083" s="63" t="n"/>
      <c r="H2083" s="63" t="n"/>
      <c r="I2083" s="63" t="n"/>
      <c r="J2083" s="63" t="n"/>
      <c r="K2083" s="63" t="n"/>
      <c r="L2083" s="63" t="n"/>
      <c r="M2083" s="63" t="n"/>
      <c r="N2083" s="63" t="n"/>
      <c r="O2083" s="63" t="n"/>
    </row>
    <row r="2084" ht="13.5" customHeight="1">
      <c r="B2084" s="63" t="n"/>
      <c r="E2084" s="63" t="n"/>
      <c r="F2084" s="63" t="n"/>
      <c r="G2084" s="63" t="n"/>
      <c r="H2084" s="63" t="n"/>
      <c r="I2084" s="63" t="n"/>
      <c r="J2084" s="63" t="n"/>
      <c r="K2084" s="63" t="n"/>
      <c r="L2084" s="63" t="n"/>
      <c r="M2084" s="63" t="n"/>
      <c r="N2084" s="63" t="n"/>
      <c r="O2084" s="63" t="n"/>
    </row>
    <row r="2085" ht="13.5" customHeight="1">
      <c r="B2085" s="63" t="n"/>
      <c r="E2085" s="63" t="n"/>
      <c r="F2085" s="63" t="n"/>
      <c r="G2085" s="63" t="n"/>
      <c r="H2085" s="63" t="n"/>
      <c r="I2085" s="63" t="n"/>
      <c r="J2085" s="63" t="n"/>
      <c r="K2085" s="63" t="n"/>
      <c r="L2085" s="63" t="n"/>
      <c r="M2085" s="63" t="n"/>
      <c r="N2085" s="63" t="n"/>
      <c r="O2085" s="63" t="n"/>
    </row>
    <row r="2086" ht="13.5" customHeight="1">
      <c r="B2086" s="63" t="n"/>
      <c r="E2086" s="63" t="n"/>
      <c r="F2086" s="63" t="n"/>
      <c r="G2086" s="63" t="n"/>
      <c r="H2086" s="63" t="n"/>
      <c r="I2086" s="63" t="n"/>
      <c r="J2086" s="63" t="n"/>
      <c r="K2086" s="63" t="n"/>
      <c r="L2086" s="63" t="n"/>
      <c r="M2086" s="63" t="n"/>
      <c r="N2086" s="63" t="n"/>
      <c r="O2086" s="63" t="n"/>
    </row>
    <row r="2087" ht="13.5" customHeight="1">
      <c r="B2087" s="63" t="n"/>
      <c r="E2087" s="63" t="n"/>
      <c r="F2087" s="63" t="n"/>
      <c r="G2087" s="63" t="n"/>
      <c r="H2087" s="63" t="n"/>
      <c r="I2087" s="63" t="n"/>
      <c r="J2087" s="63" t="n"/>
      <c r="K2087" s="63" t="n"/>
      <c r="L2087" s="63" t="n"/>
      <c r="M2087" s="63" t="n"/>
      <c r="N2087" s="63" t="n"/>
      <c r="O2087" s="63" t="n"/>
    </row>
    <row r="2088" ht="13.5" customHeight="1">
      <c r="B2088" s="63" t="n"/>
      <c r="E2088" s="63" t="n"/>
      <c r="F2088" s="63" t="n"/>
      <c r="G2088" s="63" t="n"/>
      <c r="H2088" s="63" t="n"/>
      <c r="I2088" s="63" t="n"/>
      <c r="J2088" s="63" t="n"/>
      <c r="K2088" s="63" t="n"/>
      <c r="L2088" s="63" t="n"/>
      <c r="M2088" s="63" t="n"/>
      <c r="N2088" s="63" t="n"/>
      <c r="O2088" s="63" t="n"/>
    </row>
    <row r="2089" ht="13.5" customHeight="1">
      <c r="B2089" s="63" t="n"/>
      <c r="E2089" s="63" t="n"/>
      <c r="F2089" s="63" t="n"/>
      <c r="G2089" s="63" t="n"/>
      <c r="H2089" s="63" t="n"/>
      <c r="I2089" s="63" t="n"/>
      <c r="J2089" s="63" t="n"/>
      <c r="K2089" s="63" t="n"/>
      <c r="L2089" s="63" t="n"/>
      <c r="M2089" s="63" t="n"/>
      <c r="N2089" s="63" t="n"/>
      <c r="O2089" s="63" t="n"/>
    </row>
    <row r="2090" ht="13.5" customHeight="1">
      <c r="B2090" s="63" t="n"/>
      <c r="E2090" s="63" t="n"/>
      <c r="F2090" s="63" t="n"/>
      <c r="G2090" s="63" t="n"/>
      <c r="H2090" s="63" t="n"/>
      <c r="I2090" s="63" t="n"/>
      <c r="J2090" s="63" t="n"/>
      <c r="K2090" s="63" t="n"/>
      <c r="L2090" s="63" t="n"/>
      <c r="M2090" s="63" t="n"/>
      <c r="N2090" s="63" t="n"/>
      <c r="O2090" s="63" t="n"/>
    </row>
    <row r="2091" ht="13.5" customHeight="1">
      <c r="B2091" s="63" t="n"/>
      <c r="E2091" s="63" t="n"/>
      <c r="F2091" s="63" t="n"/>
      <c r="G2091" s="63" t="n"/>
      <c r="H2091" s="63" t="n"/>
      <c r="I2091" s="63" t="n"/>
      <c r="J2091" s="63" t="n"/>
      <c r="K2091" s="63" t="n"/>
      <c r="L2091" s="63" t="n"/>
      <c r="M2091" s="63" t="n"/>
      <c r="N2091" s="63" t="n"/>
      <c r="O2091" s="63" t="n"/>
    </row>
    <row r="2092" ht="13.5" customHeight="1">
      <c r="B2092" s="63" t="n"/>
      <c r="E2092" s="63" t="n"/>
      <c r="F2092" s="63" t="n"/>
      <c r="G2092" s="63" t="n"/>
      <c r="H2092" s="63" t="n"/>
      <c r="I2092" s="63" t="n"/>
      <c r="J2092" s="63" t="n"/>
      <c r="K2092" s="63" t="n"/>
      <c r="L2092" s="63" t="n"/>
      <c r="M2092" s="63" t="n"/>
      <c r="N2092" s="63" t="n"/>
      <c r="O2092" s="63" t="n"/>
    </row>
    <row r="2093" ht="13.5" customHeight="1">
      <c r="B2093" s="63" t="n"/>
      <c r="E2093" s="63" t="n"/>
      <c r="F2093" s="63" t="n"/>
      <c r="G2093" s="63" t="n"/>
      <c r="H2093" s="63" t="n"/>
      <c r="I2093" s="63" t="n"/>
      <c r="J2093" s="63" t="n"/>
      <c r="K2093" s="63" t="n"/>
      <c r="L2093" s="63" t="n"/>
      <c r="M2093" s="63" t="n"/>
      <c r="N2093" s="63" t="n"/>
      <c r="O2093" s="63" t="n"/>
    </row>
    <row r="2094" ht="13.5" customHeight="1">
      <c r="B2094" s="63" t="n"/>
      <c r="E2094" s="63" t="n"/>
      <c r="F2094" s="63" t="n"/>
      <c r="G2094" s="63" t="n"/>
      <c r="H2094" s="63" t="n"/>
      <c r="I2094" s="63" t="n"/>
      <c r="J2094" s="63" t="n"/>
      <c r="K2094" s="63" t="n"/>
      <c r="L2094" s="63" t="n"/>
      <c r="M2094" s="63" t="n"/>
      <c r="N2094" s="63" t="n"/>
      <c r="O2094" s="63" t="n"/>
    </row>
    <row r="2095" ht="13.5" customHeight="1">
      <c r="B2095" s="63" t="n"/>
      <c r="E2095" s="63" t="n"/>
      <c r="F2095" s="63" t="n"/>
      <c r="G2095" s="63" t="n"/>
      <c r="H2095" s="63" t="n"/>
      <c r="I2095" s="63" t="n"/>
      <c r="J2095" s="63" t="n"/>
      <c r="K2095" s="63" t="n"/>
      <c r="L2095" s="63" t="n"/>
      <c r="M2095" s="63" t="n"/>
      <c r="N2095" s="63" t="n"/>
      <c r="O2095" s="63" t="n"/>
    </row>
    <row r="2096" ht="13.5" customHeight="1">
      <c r="B2096" s="63" t="n"/>
      <c r="E2096" s="63" t="n"/>
      <c r="F2096" s="63" t="n"/>
      <c r="G2096" s="63" t="n"/>
      <c r="H2096" s="63" t="n"/>
      <c r="I2096" s="63" t="n"/>
      <c r="J2096" s="63" t="n"/>
      <c r="K2096" s="63" t="n"/>
      <c r="L2096" s="63" t="n"/>
      <c r="M2096" s="63" t="n"/>
      <c r="N2096" s="63" t="n"/>
      <c r="O2096" s="63" t="n"/>
    </row>
    <row r="2097" ht="13.5" customHeight="1">
      <c r="B2097" s="63" t="n"/>
      <c r="E2097" s="63" t="n"/>
      <c r="F2097" s="63" t="n"/>
      <c r="G2097" s="63" t="n"/>
      <c r="H2097" s="63" t="n"/>
      <c r="I2097" s="63" t="n"/>
      <c r="J2097" s="63" t="n"/>
      <c r="K2097" s="63" t="n"/>
      <c r="L2097" s="63" t="n"/>
      <c r="M2097" s="63" t="n"/>
      <c r="N2097" s="63" t="n"/>
      <c r="O2097" s="63" t="n"/>
    </row>
    <row r="2098" ht="13.5" customHeight="1">
      <c r="B2098" s="63" t="n"/>
      <c r="E2098" s="63" t="n"/>
      <c r="F2098" s="63" t="n"/>
      <c r="G2098" s="63" t="n"/>
      <c r="H2098" s="63" t="n"/>
      <c r="I2098" s="63" t="n"/>
      <c r="J2098" s="63" t="n"/>
      <c r="K2098" s="63" t="n"/>
      <c r="L2098" s="63" t="n"/>
      <c r="M2098" s="63" t="n"/>
      <c r="N2098" s="63" t="n"/>
      <c r="O2098" s="63" t="n"/>
    </row>
    <row r="2099" ht="13.5" customHeight="1">
      <c r="B2099" s="63" t="n"/>
      <c r="E2099" s="63" t="n"/>
      <c r="F2099" s="63" t="n"/>
      <c r="G2099" s="63" t="n"/>
      <c r="H2099" s="63" t="n"/>
      <c r="I2099" s="63" t="n"/>
      <c r="J2099" s="63" t="n"/>
      <c r="K2099" s="63" t="n"/>
      <c r="L2099" s="63" t="n"/>
      <c r="M2099" s="63" t="n"/>
      <c r="N2099" s="63" t="n"/>
      <c r="O2099" s="63" t="n"/>
    </row>
    <row r="2100" ht="13.5" customHeight="1">
      <c r="B2100" s="63" t="n"/>
      <c r="E2100" s="63" t="n"/>
      <c r="F2100" s="63" t="n"/>
      <c r="G2100" s="63" t="n"/>
      <c r="H2100" s="63" t="n"/>
      <c r="I2100" s="63" t="n"/>
      <c r="J2100" s="63" t="n"/>
      <c r="K2100" s="63" t="n"/>
      <c r="L2100" s="63" t="n"/>
      <c r="M2100" s="63" t="n"/>
      <c r="N2100" s="63" t="n"/>
      <c r="O2100" s="63" t="n"/>
    </row>
    <row r="2101" ht="13.5" customHeight="1">
      <c r="B2101" s="63" t="n"/>
      <c r="E2101" s="63" t="n"/>
      <c r="F2101" s="63" t="n"/>
      <c r="G2101" s="63" t="n"/>
      <c r="H2101" s="63" t="n"/>
      <c r="I2101" s="63" t="n"/>
      <c r="J2101" s="63" t="n"/>
      <c r="K2101" s="63" t="n"/>
      <c r="L2101" s="63" t="n"/>
      <c r="M2101" s="63" t="n"/>
      <c r="N2101" s="63" t="n"/>
      <c r="O2101" s="63" t="n"/>
    </row>
    <row r="2102" ht="13.5" customHeight="1">
      <c r="B2102" s="63" t="n"/>
      <c r="E2102" s="63" t="n"/>
      <c r="F2102" s="63" t="n"/>
      <c r="G2102" s="63" t="n"/>
      <c r="H2102" s="63" t="n"/>
      <c r="I2102" s="63" t="n"/>
      <c r="J2102" s="63" t="n"/>
      <c r="K2102" s="63" t="n"/>
      <c r="L2102" s="63" t="n"/>
      <c r="M2102" s="63" t="n"/>
      <c r="N2102" s="63" t="n"/>
      <c r="O2102" s="63" t="n"/>
    </row>
    <row r="2103" ht="13.5" customHeight="1">
      <c r="B2103" s="63" t="n"/>
      <c r="E2103" s="63" t="n"/>
      <c r="F2103" s="63" t="n"/>
      <c r="G2103" s="63" t="n"/>
      <c r="H2103" s="63" t="n"/>
      <c r="I2103" s="63" t="n"/>
      <c r="J2103" s="63" t="n"/>
      <c r="K2103" s="63" t="n"/>
      <c r="L2103" s="63" t="n"/>
      <c r="M2103" s="63" t="n"/>
      <c r="N2103" s="63" t="n"/>
      <c r="O2103" s="63" t="n"/>
    </row>
    <row r="2104" ht="13.5" customHeight="1">
      <c r="B2104" s="63" t="n"/>
      <c r="E2104" s="63" t="n"/>
      <c r="F2104" s="63" t="n"/>
      <c r="G2104" s="63" t="n"/>
      <c r="H2104" s="63" t="n"/>
      <c r="I2104" s="63" t="n"/>
      <c r="J2104" s="63" t="n"/>
      <c r="K2104" s="63" t="n"/>
      <c r="L2104" s="63" t="n"/>
      <c r="M2104" s="63" t="n"/>
      <c r="N2104" s="63" t="n"/>
      <c r="O2104" s="63" t="n"/>
    </row>
    <row r="2105" ht="13.5" customHeight="1">
      <c r="B2105" s="63" t="n"/>
      <c r="E2105" s="63" t="n"/>
      <c r="F2105" s="63" t="n"/>
      <c r="G2105" s="63" t="n"/>
      <c r="H2105" s="63" t="n"/>
      <c r="I2105" s="63" t="n"/>
      <c r="J2105" s="63" t="n"/>
      <c r="K2105" s="63" t="n"/>
      <c r="L2105" s="63" t="n"/>
      <c r="M2105" s="63" t="n"/>
      <c r="N2105" s="63" t="n"/>
      <c r="O2105" s="63" t="n"/>
    </row>
    <row r="2106" ht="13.5" customHeight="1">
      <c r="B2106" s="63" t="n"/>
      <c r="E2106" s="63" t="n"/>
      <c r="F2106" s="63" t="n"/>
      <c r="G2106" s="63" t="n"/>
      <c r="H2106" s="63" t="n"/>
      <c r="I2106" s="63" t="n"/>
      <c r="J2106" s="63" t="n"/>
      <c r="K2106" s="63" t="n"/>
      <c r="L2106" s="63" t="n"/>
      <c r="M2106" s="63" t="n"/>
      <c r="N2106" s="63" t="n"/>
      <c r="O2106" s="63" t="n"/>
    </row>
    <row r="2107" ht="13.5" customHeight="1">
      <c r="B2107" s="63" t="n"/>
      <c r="E2107" s="63" t="n"/>
      <c r="F2107" s="63" t="n"/>
      <c r="G2107" s="63" t="n"/>
      <c r="H2107" s="63" t="n"/>
      <c r="I2107" s="63" t="n"/>
      <c r="J2107" s="63" t="n"/>
      <c r="K2107" s="63" t="n"/>
      <c r="L2107" s="63" t="n"/>
      <c r="M2107" s="63" t="n"/>
      <c r="N2107" s="63" t="n"/>
      <c r="O2107" s="63" t="n"/>
    </row>
    <row r="2108" ht="13.5" customHeight="1">
      <c r="B2108" s="63" t="n"/>
      <c r="E2108" s="63" t="n"/>
      <c r="F2108" s="63" t="n"/>
      <c r="G2108" s="63" t="n"/>
      <c r="H2108" s="63" t="n"/>
      <c r="I2108" s="63" t="n"/>
      <c r="J2108" s="63" t="n"/>
      <c r="K2108" s="63" t="n"/>
      <c r="L2108" s="63" t="n"/>
      <c r="M2108" s="63" t="n"/>
      <c r="N2108" s="63" t="n"/>
      <c r="O2108" s="63" t="n"/>
    </row>
    <row r="2109" ht="13.5" customHeight="1">
      <c r="B2109" s="63" t="n"/>
      <c r="E2109" s="63" t="n"/>
      <c r="F2109" s="63" t="n"/>
      <c r="G2109" s="63" t="n"/>
      <c r="H2109" s="63" t="n"/>
      <c r="I2109" s="63" t="n"/>
      <c r="J2109" s="63" t="n"/>
      <c r="K2109" s="63" t="n"/>
      <c r="L2109" s="63" t="n"/>
      <c r="M2109" s="63" t="n"/>
      <c r="N2109" s="63" t="n"/>
      <c r="O2109" s="63" t="n"/>
    </row>
    <row r="2110" ht="13.5" customHeight="1">
      <c r="B2110" s="63" t="n"/>
      <c r="E2110" s="63" t="n"/>
      <c r="F2110" s="63" t="n"/>
      <c r="G2110" s="63" t="n"/>
      <c r="H2110" s="63" t="n"/>
      <c r="I2110" s="63" t="n"/>
      <c r="J2110" s="63" t="n"/>
      <c r="K2110" s="63" t="n"/>
      <c r="L2110" s="63" t="n"/>
      <c r="M2110" s="63" t="n"/>
      <c r="N2110" s="63" t="n"/>
      <c r="O2110" s="63" t="n"/>
    </row>
    <row r="2111" ht="13.5" customHeight="1">
      <c r="B2111" s="63" t="n"/>
      <c r="E2111" s="63" t="n"/>
      <c r="F2111" s="63" t="n"/>
      <c r="G2111" s="63" t="n"/>
      <c r="H2111" s="63" t="n"/>
      <c r="I2111" s="63" t="n"/>
      <c r="J2111" s="63" t="n"/>
      <c r="K2111" s="63" t="n"/>
      <c r="L2111" s="63" t="n"/>
      <c r="M2111" s="63" t="n"/>
      <c r="N2111" s="63" t="n"/>
      <c r="O2111" s="63" t="n"/>
    </row>
    <row r="2112" ht="13.5" customHeight="1">
      <c r="B2112" s="63" t="n"/>
      <c r="E2112" s="63" t="n"/>
      <c r="F2112" s="63" t="n"/>
      <c r="G2112" s="63" t="n"/>
      <c r="H2112" s="63" t="n"/>
      <c r="I2112" s="63" t="n"/>
      <c r="J2112" s="63" t="n"/>
      <c r="K2112" s="63" t="n"/>
      <c r="L2112" s="63" t="n"/>
      <c r="M2112" s="63" t="n"/>
      <c r="N2112" s="63" t="n"/>
      <c r="O2112" s="63" t="n"/>
    </row>
    <row r="2113" ht="13.5" customHeight="1">
      <c r="B2113" s="63" t="n"/>
      <c r="E2113" s="63" t="n"/>
      <c r="F2113" s="63" t="n"/>
      <c r="G2113" s="63" t="n"/>
      <c r="H2113" s="63" t="n"/>
      <c r="I2113" s="63" t="n"/>
      <c r="J2113" s="63" t="n"/>
      <c r="K2113" s="63" t="n"/>
      <c r="L2113" s="63" t="n"/>
      <c r="M2113" s="63" t="n"/>
      <c r="N2113" s="63" t="n"/>
      <c r="O2113" s="63" t="n"/>
    </row>
    <row r="2114" ht="13.5" customHeight="1">
      <c r="B2114" s="63" t="n"/>
      <c r="E2114" s="63" t="n"/>
      <c r="F2114" s="63" t="n"/>
      <c r="G2114" s="63" t="n"/>
      <c r="H2114" s="63" t="n"/>
      <c r="I2114" s="63" t="n"/>
      <c r="J2114" s="63" t="n"/>
      <c r="K2114" s="63" t="n"/>
      <c r="L2114" s="63" t="n"/>
      <c r="M2114" s="63" t="n"/>
      <c r="N2114" s="63" t="n"/>
      <c r="O2114" s="63" t="n"/>
    </row>
    <row r="2115" ht="13.5" customHeight="1">
      <c r="B2115" s="63" t="n"/>
      <c r="E2115" s="63" t="n"/>
      <c r="F2115" s="63" t="n"/>
      <c r="G2115" s="63" t="n"/>
      <c r="H2115" s="63" t="n"/>
      <c r="I2115" s="63" t="n"/>
      <c r="J2115" s="63" t="n"/>
      <c r="K2115" s="63" t="n"/>
      <c r="L2115" s="63" t="n"/>
      <c r="M2115" s="63" t="n"/>
      <c r="N2115" s="63" t="n"/>
      <c r="O2115" s="63" t="n"/>
    </row>
    <row r="2116" ht="13.5" customHeight="1">
      <c r="B2116" s="63" t="n"/>
      <c r="E2116" s="63" t="n"/>
      <c r="F2116" s="63" t="n"/>
      <c r="G2116" s="63" t="n"/>
      <c r="H2116" s="63" t="n"/>
      <c r="I2116" s="63" t="n"/>
      <c r="J2116" s="63" t="n"/>
      <c r="K2116" s="63" t="n"/>
      <c r="L2116" s="63" t="n"/>
      <c r="M2116" s="63" t="n"/>
      <c r="N2116" s="63" t="n"/>
      <c r="O2116" s="63" t="n"/>
    </row>
    <row r="2117" ht="13.5" customHeight="1">
      <c r="B2117" s="63" t="n"/>
      <c r="E2117" s="63" t="n"/>
      <c r="F2117" s="63" t="n"/>
      <c r="G2117" s="63" t="n"/>
      <c r="H2117" s="63" t="n"/>
      <c r="I2117" s="63" t="n"/>
      <c r="J2117" s="63" t="n"/>
      <c r="K2117" s="63" t="n"/>
      <c r="L2117" s="63" t="n"/>
      <c r="M2117" s="63" t="n"/>
      <c r="N2117" s="63" t="n"/>
      <c r="O2117" s="63" t="n"/>
    </row>
    <row r="2118" ht="13.5" customHeight="1">
      <c r="B2118" s="63" t="n"/>
      <c r="E2118" s="63" t="n"/>
      <c r="F2118" s="63" t="n"/>
      <c r="G2118" s="63" t="n"/>
      <c r="H2118" s="63" t="n"/>
      <c r="I2118" s="63" t="n"/>
      <c r="J2118" s="63" t="n"/>
      <c r="K2118" s="63" t="n"/>
      <c r="L2118" s="63" t="n"/>
      <c r="M2118" s="63" t="n"/>
      <c r="N2118" s="63" t="n"/>
      <c r="O2118" s="63" t="n"/>
    </row>
    <row r="2119" ht="13.5" customHeight="1">
      <c r="B2119" s="63" t="n"/>
      <c r="E2119" s="63" t="n"/>
      <c r="F2119" s="63" t="n"/>
      <c r="G2119" s="63" t="n"/>
      <c r="H2119" s="63" t="n"/>
      <c r="I2119" s="63" t="n"/>
      <c r="J2119" s="63" t="n"/>
      <c r="K2119" s="63" t="n"/>
      <c r="L2119" s="63" t="n"/>
      <c r="M2119" s="63" t="n"/>
      <c r="N2119" s="63" t="n"/>
      <c r="O2119" s="63" t="n"/>
    </row>
    <row r="2120" ht="13.5" customHeight="1">
      <c r="B2120" s="63" t="n"/>
      <c r="E2120" s="63" t="n"/>
      <c r="F2120" s="63" t="n"/>
      <c r="G2120" s="63" t="n"/>
      <c r="H2120" s="63" t="n"/>
      <c r="I2120" s="63" t="n"/>
      <c r="J2120" s="63" t="n"/>
      <c r="K2120" s="63" t="n"/>
      <c r="L2120" s="63" t="n"/>
      <c r="M2120" s="63" t="n"/>
      <c r="N2120" s="63" t="n"/>
      <c r="O2120" s="63" t="n"/>
    </row>
    <row r="2121" ht="13.5" customHeight="1">
      <c r="B2121" s="63" t="n"/>
      <c r="E2121" s="63" t="n"/>
      <c r="F2121" s="63" t="n"/>
      <c r="G2121" s="63" t="n"/>
      <c r="H2121" s="63" t="n"/>
      <c r="I2121" s="63" t="n"/>
      <c r="J2121" s="63" t="n"/>
      <c r="K2121" s="63" t="n"/>
      <c r="L2121" s="63" t="n"/>
      <c r="M2121" s="63" t="n"/>
      <c r="N2121" s="63" t="n"/>
      <c r="O2121" s="63" t="n"/>
    </row>
    <row r="2122" ht="13.5" customHeight="1">
      <c r="B2122" s="63" t="n"/>
      <c r="E2122" s="63" t="n"/>
      <c r="F2122" s="63" t="n"/>
      <c r="G2122" s="63" t="n"/>
      <c r="H2122" s="63" t="n"/>
      <c r="I2122" s="63" t="n"/>
      <c r="J2122" s="63" t="n"/>
      <c r="K2122" s="63" t="n"/>
      <c r="L2122" s="63" t="n"/>
      <c r="M2122" s="63" t="n"/>
      <c r="N2122" s="63" t="n"/>
      <c r="O2122" s="63" t="n"/>
    </row>
    <row r="2123" ht="13.5" customHeight="1">
      <c r="B2123" s="63" t="n"/>
      <c r="E2123" s="63" t="n"/>
      <c r="F2123" s="63" t="n"/>
      <c r="G2123" s="63" t="n"/>
      <c r="H2123" s="63" t="n"/>
      <c r="I2123" s="63" t="n"/>
      <c r="J2123" s="63" t="n"/>
      <c r="K2123" s="63" t="n"/>
      <c r="L2123" s="63" t="n"/>
      <c r="M2123" s="63" t="n"/>
      <c r="N2123" s="63" t="n"/>
      <c r="O2123" s="63" t="n"/>
    </row>
    <row r="2124" ht="13.5" customHeight="1">
      <c r="B2124" s="63" t="n"/>
      <c r="E2124" s="63" t="n"/>
      <c r="F2124" s="63" t="n"/>
      <c r="G2124" s="63" t="n"/>
      <c r="H2124" s="63" t="n"/>
      <c r="I2124" s="63" t="n"/>
      <c r="J2124" s="63" t="n"/>
      <c r="K2124" s="63" t="n"/>
      <c r="L2124" s="63" t="n"/>
      <c r="M2124" s="63" t="n"/>
      <c r="N2124" s="63" t="n"/>
      <c r="O2124" s="63" t="n"/>
    </row>
    <row r="2125" ht="13.5" customHeight="1">
      <c r="B2125" s="63" t="n"/>
      <c r="E2125" s="63" t="n"/>
      <c r="F2125" s="63" t="n"/>
      <c r="G2125" s="63" t="n"/>
      <c r="H2125" s="63" t="n"/>
      <c r="I2125" s="63" t="n"/>
      <c r="J2125" s="63" t="n"/>
      <c r="K2125" s="63" t="n"/>
      <c r="L2125" s="63" t="n"/>
      <c r="M2125" s="63" t="n"/>
      <c r="N2125" s="63" t="n"/>
      <c r="O2125" s="63" t="n"/>
    </row>
    <row r="2126" ht="13.5" customHeight="1">
      <c r="B2126" s="63" t="n"/>
      <c r="E2126" s="63" t="n"/>
      <c r="F2126" s="63" t="n"/>
      <c r="G2126" s="63" t="n"/>
      <c r="H2126" s="63" t="n"/>
      <c r="I2126" s="63" t="n"/>
      <c r="J2126" s="63" t="n"/>
      <c r="K2126" s="63" t="n"/>
      <c r="L2126" s="63" t="n"/>
      <c r="M2126" s="63" t="n"/>
      <c r="N2126" s="63" t="n"/>
      <c r="O2126" s="63" t="n"/>
    </row>
    <row r="2127" ht="13.5" customHeight="1">
      <c r="B2127" s="63" t="n"/>
      <c r="E2127" s="63" t="n"/>
      <c r="F2127" s="63" t="n"/>
      <c r="G2127" s="63" t="n"/>
      <c r="H2127" s="63" t="n"/>
      <c r="I2127" s="63" t="n"/>
      <c r="J2127" s="63" t="n"/>
      <c r="K2127" s="63" t="n"/>
      <c r="L2127" s="63" t="n"/>
      <c r="M2127" s="63" t="n"/>
      <c r="N2127" s="63" t="n"/>
      <c r="O2127" s="63" t="n"/>
    </row>
    <row r="2128" ht="13.5" customHeight="1">
      <c r="B2128" s="63" t="n"/>
      <c r="E2128" s="63" t="n"/>
      <c r="F2128" s="63" t="n"/>
      <c r="G2128" s="63" t="n"/>
      <c r="H2128" s="63" t="n"/>
      <c r="I2128" s="63" t="n"/>
      <c r="J2128" s="63" t="n"/>
      <c r="K2128" s="63" t="n"/>
      <c r="L2128" s="63" t="n"/>
      <c r="M2128" s="63" t="n"/>
      <c r="N2128" s="63" t="n"/>
      <c r="O2128" s="63" t="n"/>
    </row>
    <row r="2129" ht="13.5" customHeight="1">
      <c r="B2129" s="63" t="n"/>
      <c r="E2129" s="63" t="n"/>
      <c r="F2129" s="63" t="n"/>
      <c r="G2129" s="63" t="n"/>
      <c r="H2129" s="63" t="n"/>
      <c r="I2129" s="63" t="n"/>
      <c r="J2129" s="63" t="n"/>
      <c r="K2129" s="63" t="n"/>
      <c r="L2129" s="63" t="n"/>
      <c r="M2129" s="63" t="n"/>
      <c r="N2129" s="63" t="n"/>
      <c r="O2129" s="63" t="n"/>
    </row>
    <row r="2130" ht="13.5" customHeight="1">
      <c r="B2130" s="63" t="n"/>
      <c r="E2130" s="63" t="n"/>
      <c r="F2130" s="63" t="n"/>
      <c r="G2130" s="63" t="n"/>
      <c r="H2130" s="63" t="n"/>
      <c r="I2130" s="63" t="n"/>
      <c r="J2130" s="63" t="n"/>
      <c r="K2130" s="63" t="n"/>
      <c r="L2130" s="63" t="n"/>
      <c r="M2130" s="63" t="n"/>
      <c r="N2130" s="63" t="n"/>
      <c r="O2130" s="63" t="n"/>
    </row>
    <row r="2131" ht="13.5" customHeight="1">
      <c r="B2131" s="63" t="n"/>
      <c r="E2131" s="63" t="n"/>
      <c r="F2131" s="63" t="n"/>
      <c r="G2131" s="63" t="n"/>
      <c r="H2131" s="63" t="n"/>
      <c r="I2131" s="63" t="n"/>
      <c r="J2131" s="63" t="n"/>
      <c r="K2131" s="63" t="n"/>
      <c r="L2131" s="63" t="n"/>
      <c r="M2131" s="63" t="n"/>
      <c r="N2131" s="63" t="n"/>
      <c r="O2131" s="63" t="n"/>
    </row>
    <row r="2132" ht="13.5" customHeight="1">
      <c r="B2132" s="63" t="n"/>
      <c r="E2132" s="63" t="n"/>
      <c r="F2132" s="63" t="n"/>
      <c r="G2132" s="63" t="n"/>
      <c r="H2132" s="63" t="n"/>
      <c r="I2132" s="63" t="n"/>
      <c r="J2132" s="63" t="n"/>
      <c r="K2132" s="63" t="n"/>
      <c r="L2132" s="63" t="n"/>
      <c r="M2132" s="63" t="n"/>
      <c r="N2132" s="63" t="n"/>
      <c r="O2132" s="63" t="n"/>
    </row>
    <row r="2133" ht="13.5" customHeight="1">
      <c r="B2133" s="63" t="n"/>
      <c r="E2133" s="63" t="n"/>
      <c r="F2133" s="63" t="n"/>
      <c r="G2133" s="63" t="n"/>
      <c r="H2133" s="63" t="n"/>
      <c r="I2133" s="63" t="n"/>
      <c r="J2133" s="63" t="n"/>
      <c r="K2133" s="63" t="n"/>
      <c r="L2133" s="63" t="n"/>
      <c r="M2133" s="63" t="n"/>
      <c r="N2133" s="63" t="n"/>
      <c r="O2133" s="63" t="n"/>
    </row>
    <row r="2134" ht="13.5" customHeight="1">
      <c r="B2134" s="63" t="n"/>
      <c r="E2134" s="63" t="n"/>
      <c r="F2134" s="63" t="n"/>
      <c r="G2134" s="63" t="n"/>
      <c r="H2134" s="63" t="n"/>
      <c r="I2134" s="63" t="n"/>
      <c r="J2134" s="63" t="n"/>
      <c r="K2134" s="63" t="n"/>
      <c r="L2134" s="63" t="n"/>
      <c r="M2134" s="63" t="n"/>
      <c r="N2134" s="63" t="n"/>
      <c r="O2134" s="63" t="n"/>
    </row>
    <row r="2135" ht="13.5" customHeight="1">
      <c r="B2135" s="63" t="n"/>
      <c r="E2135" s="63" t="n"/>
      <c r="F2135" s="63" t="n"/>
      <c r="G2135" s="63" t="n"/>
      <c r="H2135" s="63" t="n"/>
      <c r="I2135" s="63" t="n"/>
      <c r="J2135" s="63" t="n"/>
      <c r="K2135" s="63" t="n"/>
      <c r="L2135" s="63" t="n"/>
      <c r="M2135" s="63" t="n"/>
      <c r="N2135" s="63" t="n"/>
      <c r="O2135" s="63" t="n"/>
    </row>
    <row r="2136" ht="13.5" customHeight="1">
      <c r="B2136" s="63" t="n"/>
      <c r="E2136" s="63" t="n"/>
      <c r="F2136" s="63" t="n"/>
      <c r="G2136" s="63" t="n"/>
      <c r="H2136" s="63" t="n"/>
      <c r="I2136" s="63" t="n"/>
      <c r="J2136" s="63" t="n"/>
      <c r="K2136" s="63" t="n"/>
      <c r="L2136" s="63" t="n"/>
      <c r="M2136" s="63" t="n"/>
      <c r="N2136" s="63" t="n"/>
      <c r="O2136" s="63" t="n"/>
    </row>
    <row r="2137" ht="13.5" customHeight="1">
      <c r="B2137" s="63" t="n"/>
      <c r="E2137" s="63" t="n"/>
      <c r="F2137" s="63" t="n"/>
      <c r="G2137" s="63" t="n"/>
      <c r="H2137" s="63" t="n"/>
      <c r="I2137" s="63" t="n"/>
      <c r="J2137" s="63" t="n"/>
      <c r="K2137" s="63" t="n"/>
      <c r="L2137" s="63" t="n"/>
      <c r="M2137" s="63" t="n"/>
      <c r="N2137" s="63" t="n"/>
      <c r="O2137" s="63" t="n"/>
    </row>
    <row r="2138" ht="13.5" customHeight="1">
      <c r="B2138" s="63" t="n"/>
      <c r="E2138" s="63" t="n"/>
      <c r="F2138" s="63" t="n"/>
      <c r="G2138" s="63" t="n"/>
      <c r="H2138" s="63" t="n"/>
      <c r="I2138" s="63" t="n"/>
      <c r="J2138" s="63" t="n"/>
      <c r="K2138" s="63" t="n"/>
      <c r="L2138" s="63" t="n"/>
      <c r="M2138" s="63" t="n"/>
      <c r="N2138" s="63" t="n"/>
      <c r="O2138" s="63" t="n"/>
    </row>
    <row r="2139" ht="13.5" customHeight="1">
      <c r="B2139" s="63" t="n"/>
      <c r="E2139" s="63" t="n"/>
      <c r="F2139" s="63" t="n"/>
      <c r="G2139" s="63" t="n"/>
      <c r="H2139" s="63" t="n"/>
      <c r="I2139" s="63" t="n"/>
      <c r="J2139" s="63" t="n"/>
      <c r="K2139" s="63" t="n"/>
      <c r="L2139" s="63" t="n"/>
      <c r="M2139" s="63" t="n"/>
      <c r="N2139" s="63" t="n"/>
      <c r="O2139" s="63" t="n"/>
    </row>
    <row r="2140" ht="13.5" customHeight="1">
      <c r="B2140" s="63" t="n"/>
      <c r="E2140" s="63" t="n"/>
      <c r="F2140" s="63" t="n"/>
      <c r="G2140" s="63" t="n"/>
      <c r="H2140" s="63" t="n"/>
      <c r="I2140" s="63" t="n"/>
      <c r="J2140" s="63" t="n"/>
      <c r="K2140" s="63" t="n"/>
      <c r="L2140" s="63" t="n"/>
      <c r="M2140" s="63" t="n"/>
      <c r="N2140" s="63" t="n"/>
      <c r="O2140" s="63" t="n"/>
    </row>
    <row r="2141" ht="13.5" customHeight="1">
      <c r="B2141" s="63" t="n"/>
      <c r="E2141" s="63" t="n"/>
      <c r="F2141" s="63" t="n"/>
      <c r="G2141" s="63" t="n"/>
      <c r="H2141" s="63" t="n"/>
      <c r="I2141" s="63" t="n"/>
      <c r="J2141" s="63" t="n"/>
      <c r="K2141" s="63" t="n"/>
      <c r="L2141" s="63" t="n"/>
      <c r="M2141" s="63" t="n"/>
      <c r="N2141" s="63" t="n"/>
      <c r="O2141" s="63" t="n"/>
    </row>
    <row r="2142" ht="13.5" customHeight="1">
      <c r="B2142" s="63" t="n"/>
      <c r="E2142" s="63" t="n"/>
      <c r="F2142" s="63" t="n"/>
      <c r="G2142" s="63" t="n"/>
      <c r="H2142" s="63" t="n"/>
      <c r="I2142" s="63" t="n"/>
      <c r="J2142" s="63" t="n"/>
      <c r="K2142" s="63" t="n"/>
      <c r="L2142" s="63" t="n"/>
      <c r="M2142" s="63" t="n"/>
      <c r="N2142" s="63" t="n"/>
      <c r="O2142" s="63" t="n"/>
    </row>
    <row r="2143" ht="13.5" customHeight="1">
      <c r="B2143" s="63" t="n"/>
      <c r="E2143" s="63" t="n"/>
      <c r="F2143" s="63" t="n"/>
      <c r="G2143" s="63" t="n"/>
      <c r="H2143" s="63" t="n"/>
      <c r="I2143" s="63" t="n"/>
      <c r="J2143" s="63" t="n"/>
      <c r="K2143" s="63" t="n"/>
      <c r="L2143" s="63" t="n"/>
      <c r="M2143" s="63" t="n"/>
      <c r="N2143" s="63" t="n"/>
      <c r="O2143" s="63" t="n"/>
    </row>
    <row r="2144" ht="13.5" customHeight="1">
      <c r="B2144" s="63" t="n"/>
      <c r="E2144" s="63" t="n"/>
      <c r="F2144" s="63" t="n"/>
      <c r="G2144" s="63" t="n"/>
      <c r="H2144" s="63" t="n"/>
      <c r="I2144" s="63" t="n"/>
      <c r="J2144" s="63" t="n"/>
      <c r="K2144" s="63" t="n"/>
      <c r="L2144" s="63" t="n"/>
      <c r="M2144" s="63" t="n"/>
      <c r="N2144" s="63" t="n"/>
      <c r="O2144" s="63" t="n"/>
    </row>
    <row r="2145" ht="13.5" customHeight="1">
      <c r="B2145" s="63" t="n"/>
      <c r="E2145" s="63" t="n"/>
      <c r="F2145" s="63" t="n"/>
      <c r="G2145" s="63" t="n"/>
      <c r="H2145" s="63" t="n"/>
      <c r="I2145" s="63" t="n"/>
      <c r="J2145" s="63" t="n"/>
      <c r="K2145" s="63" t="n"/>
      <c r="L2145" s="63" t="n"/>
      <c r="M2145" s="63" t="n"/>
      <c r="N2145" s="63" t="n"/>
      <c r="O2145" s="63" t="n"/>
    </row>
    <row r="2146" ht="13.5" customHeight="1">
      <c r="B2146" s="63" t="n"/>
      <c r="E2146" s="63" t="n"/>
      <c r="F2146" s="63" t="n"/>
      <c r="G2146" s="63" t="n"/>
      <c r="H2146" s="63" t="n"/>
      <c r="I2146" s="63" t="n"/>
      <c r="J2146" s="63" t="n"/>
      <c r="K2146" s="63" t="n"/>
      <c r="L2146" s="63" t="n"/>
      <c r="M2146" s="63" t="n"/>
      <c r="N2146" s="63" t="n"/>
      <c r="O2146" s="63" t="n"/>
    </row>
    <row r="2147" ht="13.5" customHeight="1">
      <c r="B2147" s="63" t="n"/>
      <c r="E2147" s="63" t="n"/>
      <c r="F2147" s="63" t="n"/>
      <c r="G2147" s="63" t="n"/>
      <c r="H2147" s="63" t="n"/>
      <c r="I2147" s="63" t="n"/>
      <c r="J2147" s="63" t="n"/>
      <c r="K2147" s="63" t="n"/>
      <c r="L2147" s="63" t="n"/>
      <c r="M2147" s="63" t="n"/>
      <c r="N2147" s="63" t="n"/>
      <c r="O2147" s="63" t="n"/>
    </row>
    <row r="2148" ht="13.5" customHeight="1">
      <c r="B2148" s="63" t="n"/>
      <c r="E2148" s="63" t="n"/>
      <c r="F2148" s="63" t="n"/>
      <c r="G2148" s="63" t="n"/>
      <c r="H2148" s="63" t="n"/>
      <c r="I2148" s="63" t="n"/>
      <c r="J2148" s="63" t="n"/>
      <c r="K2148" s="63" t="n"/>
      <c r="L2148" s="63" t="n"/>
      <c r="M2148" s="63" t="n"/>
      <c r="N2148" s="63" t="n"/>
      <c r="O2148" s="63" t="n"/>
    </row>
    <row r="2149" ht="13.5" customHeight="1">
      <c r="B2149" s="63" t="n"/>
      <c r="E2149" s="63" t="n"/>
      <c r="F2149" s="63" t="n"/>
      <c r="G2149" s="63" t="n"/>
      <c r="H2149" s="63" t="n"/>
      <c r="I2149" s="63" t="n"/>
      <c r="J2149" s="63" t="n"/>
      <c r="K2149" s="63" t="n"/>
      <c r="L2149" s="63" t="n"/>
      <c r="M2149" s="63" t="n"/>
      <c r="N2149" s="63" t="n"/>
      <c r="O2149" s="63" t="n"/>
    </row>
    <row r="2150" ht="13.5" customHeight="1">
      <c r="B2150" s="63" t="n"/>
      <c r="E2150" s="63" t="n"/>
      <c r="F2150" s="63" t="n"/>
      <c r="G2150" s="63" t="n"/>
      <c r="H2150" s="63" t="n"/>
      <c r="I2150" s="63" t="n"/>
      <c r="J2150" s="63" t="n"/>
      <c r="K2150" s="63" t="n"/>
      <c r="L2150" s="63" t="n"/>
      <c r="M2150" s="63" t="n"/>
      <c r="N2150" s="63" t="n"/>
      <c r="O2150" s="63" t="n"/>
    </row>
    <row r="2151" ht="13.5" customHeight="1">
      <c r="B2151" s="63" t="n"/>
      <c r="E2151" s="63" t="n"/>
      <c r="F2151" s="63" t="n"/>
      <c r="G2151" s="63" t="n"/>
      <c r="H2151" s="63" t="n"/>
      <c r="I2151" s="63" t="n"/>
      <c r="J2151" s="63" t="n"/>
      <c r="K2151" s="63" t="n"/>
      <c r="L2151" s="63" t="n"/>
      <c r="M2151" s="63" t="n"/>
      <c r="N2151" s="63" t="n"/>
      <c r="O2151" s="63" t="n"/>
    </row>
    <row r="2152" ht="13.5" customHeight="1">
      <c r="B2152" s="63" t="n"/>
      <c r="E2152" s="63" t="n"/>
      <c r="F2152" s="63" t="n"/>
      <c r="G2152" s="63" t="n"/>
      <c r="H2152" s="63" t="n"/>
      <c r="I2152" s="63" t="n"/>
      <c r="J2152" s="63" t="n"/>
      <c r="K2152" s="63" t="n"/>
      <c r="L2152" s="63" t="n"/>
      <c r="M2152" s="63" t="n"/>
      <c r="N2152" s="63" t="n"/>
      <c r="O2152" s="63" t="n"/>
    </row>
    <row r="2153" ht="13.5" customHeight="1">
      <c r="B2153" s="63" t="n"/>
      <c r="E2153" s="63" t="n"/>
      <c r="F2153" s="63" t="n"/>
      <c r="G2153" s="63" t="n"/>
      <c r="H2153" s="63" t="n"/>
      <c r="I2153" s="63" t="n"/>
      <c r="J2153" s="63" t="n"/>
      <c r="K2153" s="63" t="n"/>
      <c r="L2153" s="63" t="n"/>
      <c r="M2153" s="63" t="n"/>
      <c r="N2153" s="63" t="n"/>
      <c r="O2153" s="63" t="n"/>
    </row>
    <row r="2154" ht="13.5" customHeight="1">
      <c r="B2154" s="63" t="n"/>
      <c r="E2154" s="63" t="n"/>
      <c r="F2154" s="63" t="n"/>
      <c r="G2154" s="63" t="n"/>
      <c r="H2154" s="63" t="n"/>
      <c r="I2154" s="63" t="n"/>
      <c r="J2154" s="63" t="n"/>
      <c r="K2154" s="63" t="n"/>
      <c r="L2154" s="63" t="n"/>
      <c r="M2154" s="63" t="n"/>
      <c r="N2154" s="63" t="n"/>
      <c r="O2154" s="63" t="n"/>
    </row>
    <row r="2155" ht="13.5" customHeight="1">
      <c r="B2155" s="63" t="n"/>
      <c r="E2155" s="63" t="n"/>
      <c r="F2155" s="63" t="n"/>
      <c r="G2155" s="63" t="n"/>
      <c r="H2155" s="63" t="n"/>
      <c r="I2155" s="63" t="n"/>
      <c r="J2155" s="63" t="n"/>
      <c r="K2155" s="63" t="n"/>
      <c r="L2155" s="63" t="n"/>
      <c r="M2155" s="63" t="n"/>
      <c r="N2155" s="63" t="n"/>
      <c r="O2155" s="63" t="n"/>
    </row>
    <row r="2156" ht="13.5" customHeight="1">
      <c r="B2156" s="63" t="n"/>
      <c r="E2156" s="63" t="n"/>
      <c r="F2156" s="63" t="n"/>
      <c r="G2156" s="63" t="n"/>
      <c r="H2156" s="63" t="n"/>
      <c r="I2156" s="63" t="n"/>
      <c r="J2156" s="63" t="n"/>
      <c r="K2156" s="63" t="n"/>
      <c r="L2156" s="63" t="n"/>
      <c r="M2156" s="63" t="n"/>
      <c r="N2156" s="63" t="n"/>
      <c r="O2156" s="63" t="n"/>
    </row>
    <row r="2157" ht="13.5" customHeight="1">
      <c r="B2157" s="63" t="n"/>
      <c r="E2157" s="63" t="n"/>
      <c r="F2157" s="63" t="n"/>
      <c r="G2157" s="63" t="n"/>
      <c r="H2157" s="63" t="n"/>
      <c r="I2157" s="63" t="n"/>
      <c r="J2157" s="63" t="n"/>
      <c r="K2157" s="63" t="n"/>
      <c r="L2157" s="63" t="n"/>
      <c r="M2157" s="63" t="n"/>
      <c r="N2157" s="63" t="n"/>
      <c r="O2157" s="63" t="n"/>
    </row>
    <row r="2158" ht="13.5" customHeight="1">
      <c r="B2158" s="63" t="n"/>
      <c r="E2158" s="63" t="n"/>
      <c r="F2158" s="63" t="n"/>
      <c r="G2158" s="63" t="n"/>
      <c r="H2158" s="63" t="n"/>
      <c r="I2158" s="63" t="n"/>
      <c r="J2158" s="63" t="n"/>
      <c r="K2158" s="63" t="n"/>
      <c r="L2158" s="63" t="n"/>
      <c r="M2158" s="63" t="n"/>
      <c r="N2158" s="63" t="n"/>
      <c r="O2158" s="63" t="n"/>
    </row>
    <row r="2159" ht="13.5" customHeight="1">
      <c r="B2159" s="63" t="n"/>
      <c r="E2159" s="63" t="n"/>
      <c r="F2159" s="63" t="n"/>
      <c r="G2159" s="63" t="n"/>
      <c r="H2159" s="63" t="n"/>
      <c r="I2159" s="63" t="n"/>
      <c r="J2159" s="63" t="n"/>
      <c r="K2159" s="63" t="n"/>
      <c r="L2159" s="63" t="n"/>
      <c r="M2159" s="63" t="n"/>
      <c r="N2159" s="63" t="n"/>
      <c r="O2159" s="63" t="n"/>
    </row>
    <row r="2160" ht="13.5" customHeight="1">
      <c r="B2160" s="63" t="n"/>
      <c r="E2160" s="63" t="n"/>
      <c r="F2160" s="63" t="n"/>
      <c r="G2160" s="63" t="n"/>
      <c r="H2160" s="63" t="n"/>
      <c r="I2160" s="63" t="n"/>
      <c r="J2160" s="63" t="n"/>
      <c r="K2160" s="63" t="n"/>
      <c r="L2160" s="63" t="n"/>
      <c r="M2160" s="63" t="n"/>
      <c r="N2160" s="63" t="n"/>
      <c r="O2160" s="63" t="n"/>
    </row>
    <row r="2161" ht="13.5" customHeight="1">
      <c r="B2161" s="63" t="n"/>
      <c r="E2161" s="63" t="n"/>
      <c r="F2161" s="63" t="n"/>
      <c r="G2161" s="63" t="n"/>
      <c r="H2161" s="63" t="n"/>
      <c r="I2161" s="63" t="n"/>
      <c r="J2161" s="63" t="n"/>
      <c r="K2161" s="63" t="n"/>
      <c r="L2161" s="63" t="n"/>
      <c r="M2161" s="63" t="n"/>
      <c r="N2161" s="63" t="n"/>
      <c r="O2161" s="63" t="n"/>
    </row>
    <row r="2162" ht="13.5" customHeight="1">
      <c r="B2162" s="63" t="n"/>
      <c r="E2162" s="63" t="n"/>
      <c r="F2162" s="63" t="n"/>
      <c r="G2162" s="63" t="n"/>
      <c r="H2162" s="63" t="n"/>
      <c r="I2162" s="63" t="n"/>
      <c r="J2162" s="63" t="n"/>
      <c r="K2162" s="63" t="n"/>
      <c r="L2162" s="63" t="n"/>
      <c r="M2162" s="63" t="n"/>
      <c r="N2162" s="63" t="n"/>
      <c r="O2162" s="63" t="n"/>
    </row>
    <row r="2163" ht="13.5" customHeight="1">
      <c r="B2163" s="63" t="n"/>
      <c r="E2163" s="63" t="n"/>
      <c r="F2163" s="63" t="n"/>
      <c r="G2163" s="63" t="n"/>
      <c r="H2163" s="63" t="n"/>
      <c r="I2163" s="63" t="n"/>
      <c r="J2163" s="63" t="n"/>
      <c r="K2163" s="63" t="n"/>
      <c r="L2163" s="63" t="n"/>
      <c r="M2163" s="63" t="n"/>
      <c r="N2163" s="63" t="n"/>
      <c r="O2163" s="63" t="n"/>
    </row>
    <row r="2164" ht="13.5" customHeight="1">
      <c r="B2164" s="63" t="n"/>
      <c r="E2164" s="63" t="n"/>
      <c r="F2164" s="63" t="n"/>
      <c r="G2164" s="63" t="n"/>
      <c r="H2164" s="63" t="n"/>
      <c r="I2164" s="63" t="n"/>
      <c r="J2164" s="63" t="n"/>
      <c r="K2164" s="63" t="n"/>
      <c r="L2164" s="63" t="n"/>
      <c r="M2164" s="63" t="n"/>
      <c r="N2164" s="63" t="n"/>
      <c r="O2164" s="63" t="n"/>
    </row>
    <row r="2165" ht="13.5" customHeight="1">
      <c r="B2165" s="63" t="n"/>
      <c r="E2165" s="63" t="n"/>
      <c r="F2165" s="63" t="n"/>
      <c r="G2165" s="63" t="n"/>
      <c r="H2165" s="63" t="n"/>
      <c r="I2165" s="63" t="n"/>
      <c r="J2165" s="63" t="n"/>
      <c r="K2165" s="63" t="n"/>
      <c r="L2165" s="63" t="n"/>
      <c r="M2165" s="63" t="n"/>
      <c r="N2165" s="63" t="n"/>
      <c r="O2165" s="63" t="n"/>
    </row>
    <row r="2166" ht="13.5" customHeight="1">
      <c r="B2166" s="63" t="n"/>
      <c r="E2166" s="63" t="n"/>
      <c r="F2166" s="63" t="n"/>
      <c r="G2166" s="63" t="n"/>
      <c r="H2166" s="63" t="n"/>
      <c r="I2166" s="63" t="n"/>
      <c r="J2166" s="63" t="n"/>
      <c r="K2166" s="63" t="n"/>
      <c r="L2166" s="63" t="n"/>
      <c r="M2166" s="63" t="n"/>
      <c r="N2166" s="63" t="n"/>
      <c r="O2166" s="63" t="n"/>
    </row>
    <row r="2167" ht="13.5" customHeight="1">
      <c r="B2167" s="63" t="n"/>
      <c r="E2167" s="63" t="n"/>
      <c r="F2167" s="63" t="n"/>
      <c r="G2167" s="63" t="n"/>
      <c r="H2167" s="63" t="n"/>
      <c r="I2167" s="63" t="n"/>
      <c r="J2167" s="63" t="n"/>
      <c r="K2167" s="63" t="n"/>
      <c r="L2167" s="63" t="n"/>
      <c r="M2167" s="63" t="n"/>
      <c r="N2167" s="63" t="n"/>
      <c r="O2167" s="63" t="n"/>
    </row>
    <row r="2168" ht="13.5" customHeight="1">
      <c r="B2168" s="63" t="n"/>
      <c r="E2168" s="63" t="n"/>
      <c r="F2168" s="63" t="n"/>
      <c r="G2168" s="63" t="n"/>
      <c r="H2168" s="63" t="n"/>
      <c r="I2168" s="63" t="n"/>
      <c r="J2168" s="63" t="n"/>
      <c r="K2168" s="63" t="n"/>
      <c r="L2168" s="63" t="n"/>
      <c r="M2168" s="63" t="n"/>
      <c r="N2168" s="63" t="n"/>
      <c r="O2168" s="63" t="n"/>
    </row>
    <row r="2169" ht="13.5" customHeight="1">
      <c r="B2169" s="63" t="n"/>
      <c r="E2169" s="63" t="n"/>
      <c r="F2169" s="63" t="n"/>
      <c r="G2169" s="63" t="n"/>
      <c r="H2169" s="63" t="n"/>
      <c r="I2169" s="63" t="n"/>
      <c r="J2169" s="63" t="n"/>
      <c r="K2169" s="63" t="n"/>
      <c r="L2169" s="63" t="n"/>
      <c r="M2169" s="63" t="n"/>
      <c r="N2169" s="63" t="n"/>
      <c r="O2169" s="63" t="n"/>
    </row>
    <row r="2170" ht="13.5" customHeight="1">
      <c r="B2170" s="63" t="n"/>
      <c r="E2170" s="63" t="n"/>
      <c r="F2170" s="63" t="n"/>
      <c r="G2170" s="63" t="n"/>
      <c r="H2170" s="63" t="n"/>
      <c r="I2170" s="63" t="n"/>
      <c r="J2170" s="63" t="n"/>
      <c r="K2170" s="63" t="n"/>
      <c r="L2170" s="63" t="n"/>
      <c r="M2170" s="63" t="n"/>
      <c r="N2170" s="63" t="n"/>
      <c r="O2170" s="63" t="n"/>
    </row>
    <row r="2171" ht="13.5" customHeight="1">
      <c r="B2171" s="63" t="n"/>
      <c r="E2171" s="63" t="n"/>
      <c r="F2171" s="63" t="n"/>
      <c r="G2171" s="63" t="n"/>
      <c r="H2171" s="63" t="n"/>
      <c r="I2171" s="63" t="n"/>
      <c r="J2171" s="63" t="n"/>
      <c r="K2171" s="63" t="n"/>
      <c r="L2171" s="63" t="n"/>
      <c r="M2171" s="63" t="n"/>
      <c r="N2171" s="63" t="n"/>
      <c r="O2171" s="63" t="n"/>
    </row>
    <row r="2172" ht="13.5" customHeight="1">
      <c r="B2172" s="63" t="n"/>
      <c r="E2172" s="63" t="n"/>
      <c r="F2172" s="63" t="n"/>
      <c r="G2172" s="63" t="n"/>
      <c r="H2172" s="63" t="n"/>
      <c r="I2172" s="63" t="n"/>
      <c r="J2172" s="63" t="n"/>
      <c r="K2172" s="63" t="n"/>
      <c r="L2172" s="63" t="n"/>
      <c r="M2172" s="63" t="n"/>
      <c r="N2172" s="63" t="n"/>
      <c r="O2172" s="63" t="n"/>
    </row>
    <row r="2173" ht="13.5" customHeight="1">
      <c r="B2173" s="63" t="n"/>
      <c r="E2173" s="63" t="n"/>
      <c r="F2173" s="63" t="n"/>
      <c r="G2173" s="63" t="n"/>
      <c r="H2173" s="63" t="n"/>
      <c r="I2173" s="63" t="n"/>
      <c r="J2173" s="63" t="n"/>
      <c r="K2173" s="63" t="n"/>
      <c r="L2173" s="63" t="n"/>
      <c r="M2173" s="63" t="n"/>
      <c r="N2173" s="63" t="n"/>
      <c r="O2173" s="63" t="n"/>
    </row>
    <row r="2174" ht="13.5" customHeight="1">
      <c r="B2174" s="63" t="n"/>
      <c r="E2174" s="63" t="n"/>
      <c r="F2174" s="63" t="n"/>
      <c r="G2174" s="63" t="n"/>
      <c r="H2174" s="63" t="n"/>
      <c r="I2174" s="63" t="n"/>
      <c r="J2174" s="63" t="n"/>
      <c r="K2174" s="63" t="n"/>
      <c r="L2174" s="63" t="n"/>
      <c r="M2174" s="63" t="n"/>
      <c r="N2174" s="63" t="n"/>
      <c r="O2174" s="63" t="n"/>
    </row>
    <row r="2175" ht="13.5" customHeight="1">
      <c r="B2175" s="63" t="n"/>
      <c r="E2175" s="63" t="n"/>
      <c r="F2175" s="63" t="n"/>
      <c r="G2175" s="63" t="n"/>
      <c r="H2175" s="63" t="n"/>
      <c r="I2175" s="63" t="n"/>
      <c r="J2175" s="63" t="n"/>
      <c r="K2175" s="63" t="n"/>
      <c r="L2175" s="63" t="n"/>
      <c r="M2175" s="63" t="n"/>
      <c r="N2175" s="63" t="n"/>
      <c r="O2175" s="63" t="n"/>
    </row>
    <row r="2176" ht="13.5" customHeight="1">
      <c r="B2176" s="63" t="n"/>
      <c r="E2176" s="63" t="n"/>
      <c r="F2176" s="63" t="n"/>
      <c r="G2176" s="63" t="n"/>
      <c r="H2176" s="63" t="n"/>
      <c r="I2176" s="63" t="n"/>
      <c r="J2176" s="63" t="n"/>
      <c r="K2176" s="63" t="n"/>
      <c r="L2176" s="63" t="n"/>
      <c r="M2176" s="63" t="n"/>
      <c r="N2176" s="63" t="n"/>
      <c r="O2176" s="63" t="n"/>
    </row>
    <row r="2177" ht="13.5" customHeight="1">
      <c r="B2177" s="63" t="n"/>
      <c r="E2177" s="63" t="n"/>
      <c r="F2177" s="63" t="n"/>
      <c r="G2177" s="63" t="n"/>
      <c r="H2177" s="63" t="n"/>
      <c r="I2177" s="63" t="n"/>
      <c r="J2177" s="63" t="n"/>
      <c r="K2177" s="63" t="n"/>
      <c r="L2177" s="63" t="n"/>
      <c r="M2177" s="63" t="n"/>
      <c r="N2177" s="63" t="n"/>
      <c r="O2177" s="63" t="n"/>
    </row>
    <row r="2178" ht="13.5" customHeight="1">
      <c r="B2178" s="63" t="n"/>
      <c r="E2178" s="63" t="n"/>
      <c r="F2178" s="63" t="n"/>
      <c r="G2178" s="63" t="n"/>
      <c r="H2178" s="63" t="n"/>
      <c r="I2178" s="63" t="n"/>
      <c r="J2178" s="63" t="n"/>
      <c r="K2178" s="63" t="n"/>
      <c r="L2178" s="63" t="n"/>
      <c r="M2178" s="63" t="n"/>
      <c r="N2178" s="63" t="n"/>
      <c r="O2178" s="63" t="n"/>
    </row>
    <row r="2179" ht="13.5" customHeight="1">
      <c r="B2179" s="63" t="n"/>
      <c r="E2179" s="63" t="n"/>
      <c r="F2179" s="63" t="n"/>
      <c r="G2179" s="63" t="n"/>
      <c r="H2179" s="63" t="n"/>
      <c r="I2179" s="63" t="n"/>
      <c r="J2179" s="63" t="n"/>
      <c r="K2179" s="63" t="n"/>
      <c r="L2179" s="63" t="n"/>
      <c r="M2179" s="63" t="n"/>
      <c r="N2179" s="63" t="n"/>
      <c r="O2179" s="63" t="n"/>
    </row>
    <row r="2180" ht="13.5" customHeight="1">
      <c r="B2180" s="63" t="n"/>
      <c r="E2180" s="63" t="n"/>
      <c r="F2180" s="63" t="n"/>
      <c r="G2180" s="63" t="n"/>
      <c r="H2180" s="63" t="n"/>
      <c r="I2180" s="63" t="n"/>
      <c r="J2180" s="63" t="n"/>
      <c r="K2180" s="63" t="n"/>
      <c r="L2180" s="63" t="n"/>
      <c r="M2180" s="63" t="n"/>
      <c r="N2180" s="63" t="n"/>
      <c r="O2180" s="63" t="n"/>
    </row>
    <row r="2181" ht="13.5" customHeight="1">
      <c r="B2181" s="63" t="n"/>
      <c r="E2181" s="63" t="n"/>
      <c r="F2181" s="63" t="n"/>
      <c r="G2181" s="63" t="n"/>
      <c r="H2181" s="63" t="n"/>
      <c r="I2181" s="63" t="n"/>
      <c r="J2181" s="63" t="n"/>
      <c r="K2181" s="63" t="n"/>
      <c r="L2181" s="63" t="n"/>
      <c r="M2181" s="63" t="n"/>
      <c r="N2181" s="63" t="n"/>
      <c r="O2181" s="63" t="n"/>
    </row>
    <row r="2182" ht="13.5" customHeight="1">
      <c r="B2182" s="63" t="n"/>
      <c r="E2182" s="63" t="n"/>
      <c r="F2182" s="63" t="n"/>
      <c r="G2182" s="63" t="n"/>
      <c r="H2182" s="63" t="n"/>
      <c r="I2182" s="63" t="n"/>
      <c r="J2182" s="63" t="n"/>
      <c r="K2182" s="63" t="n"/>
      <c r="L2182" s="63" t="n"/>
      <c r="M2182" s="63" t="n"/>
      <c r="N2182" s="63" t="n"/>
      <c r="O2182" s="63" t="n"/>
    </row>
    <row r="2183" ht="13.5" customHeight="1">
      <c r="B2183" s="63" t="n"/>
      <c r="E2183" s="63" t="n"/>
      <c r="F2183" s="63" t="n"/>
      <c r="G2183" s="63" t="n"/>
      <c r="H2183" s="63" t="n"/>
      <c r="I2183" s="63" t="n"/>
      <c r="J2183" s="63" t="n"/>
      <c r="K2183" s="63" t="n"/>
      <c r="L2183" s="63" t="n"/>
      <c r="M2183" s="63" t="n"/>
      <c r="N2183" s="63" t="n"/>
      <c r="O2183" s="63" t="n"/>
    </row>
    <row r="2184" ht="13.5" customHeight="1">
      <c r="B2184" s="63" t="n"/>
      <c r="E2184" s="63" t="n"/>
      <c r="F2184" s="63" t="n"/>
      <c r="G2184" s="63" t="n"/>
      <c r="H2184" s="63" t="n"/>
      <c r="I2184" s="63" t="n"/>
      <c r="J2184" s="63" t="n"/>
      <c r="K2184" s="63" t="n"/>
      <c r="L2184" s="63" t="n"/>
      <c r="M2184" s="63" t="n"/>
      <c r="N2184" s="63" t="n"/>
      <c r="O2184" s="63" t="n"/>
    </row>
    <row r="2185" ht="13.5" customHeight="1">
      <c r="B2185" s="63" t="n"/>
      <c r="E2185" s="63" t="n"/>
      <c r="F2185" s="63" t="n"/>
      <c r="G2185" s="63" t="n"/>
      <c r="H2185" s="63" t="n"/>
      <c r="I2185" s="63" t="n"/>
      <c r="J2185" s="63" t="n"/>
      <c r="K2185" s="63" t="n"/>
      <c r="L2185" s="63" t="n"/>
      <c r="M2185" s="63" t="n"/>
      <c r="N2185" s="63" t="n"/>
      <c r="O2185" s="63" t="n"/>
    </row>
    <row r="2186" ht="13.5" customHeight="1">
      <c r="B2186" s="63" t="n"/>
      <c r="E2186" s="63" t="n"/>
      <c r="F2186" s="63" t="n"/>
      <c r="G2186" s="63" t="n"/>
      <c r="H2186" s="63" t="n"/>
      <c r="I2186" s="63" t="n"/>
      <c r="J2186" s="63" t="n"/>
      <c r="K2186" s="63" t="n"/>
      <c r="L2186" s="63" t="n"/>
      <c r="M2186" s="63" t="n"/>
      <c r="N2186" s="63" t="n"/>
      <c r="O2186" s="63" t="n"/>
    </row>
    <row r="2187" ht="13.5" customHeight="1">
      <c r="B2187" s="63" t="n"/>
      <c r="E2187" s="63" t="n"/>
      <c r="F2187" s="63" t="n"/>
      <c r="G2187" s="63" t="n"/>
      <c r="H2187" s="63" t="n"/>
      <c r="I2187" s="63" t="n"/>
      <c r="J2187" s="63" t="n"/>
      <c r="K2187" s="63" t="n"/>
      <c r="L2187" s="63" t="n"/>
      <c r="M2187" s="63" t="n"/>
      <c r="N2187" s="63" t="n"/>
      <c r="O2187" s="63" t="n"/>
    </row>
    <row r="2188" ht="13.5" customHeight="1">
      <c r="B2188" s="63" t="n"/>
      <c r="E2188" s="63" t="n"/>
      <c r="F2188" s="63" t="n"/>
      <c r="G2188" s="63" t="n"/>
      <c r="H2188" s="63" t="n"/>
      <c r="I2188" s="63" t="n"/>
      <c r="J2188" s="63" t="n"/>
      <c r="K2188" s="63" t="n"/>
      <c r="L2188" s="63" t="n"/>
      <c r="M2188" s="63" t="n"/>
      <c r="N2188" s="63" t="n"/>
      <c r="O2188" s="63" t="n"/>
    </row>
    <row r="2189" ht="13.5" customHeight="1">
      <c r="B2189" s="63" t="n"/>
      <c r="E2189" s="63" t="n"/>
      <c r="F2189" s="63" t="n"/>
      <c r="G2189" s="63" t="n"/>
      <c r="H2189" s="63" t="n"/>
      <c r="I2189" s="63" t="n"/>
      <c r="J2189" s="63" t="n"/>
      <c r="K2189" s="63" t="n"/>
      <c r="L2189" s="63" t="n"/>
      <c r="M2189" s="63" t="n"/>
      <c r="N2189" s="63" t="n"/>
      <c r="O2189" s="63" t="n"/>
    </row>
    <row r="2190" ht="13.5" customHeight="1">
      <c r="B2190" s="63" t="n"/>
      <c r="E2190" s="63" t="n"/>
      <c r="F2190" s="63" t="n"/>
      <c r="G2190" s="63" t="n"/>
      <c r="H2190" s="63" t="n"/>
      <c r="I2190" s="63" t="n"/>
      <c r="J2190" s="63" t="n"/>
      <c r="K2190" s="63" t="n"/>
      <c r="L2190" s="63" t="n"/>
      <c r="M2190" s="63" t="n"/>
      <c r="N2190" s="63" t="n"/>
      <c r="O2190" s="63" t="n"/>
    </row>
    <row r="2191" ht="13.5" customHeight="1">
      <c r="B2191" s="63" t="n"/>
      <c r="E2191" s="63" t="n"/>
      <c r="F2191" s="63" t="n"/>
      <c r="G2191" s="63" t="n"/>
      <c r="H2191" s="63" t="n"/>
      <c r="I2191" s="63" t="n"/>
      <c r="J2191" s="63" t="n"/>
      <c r="K2191" s="63" t="n"/>
      <c r="L2191" s="63" t="n"/>
      <c r="M2191" s="63" t="n"/>
      <c r="N2191" s="63" t="n"/>
      <c r="O2191" s="63" t="n"/>
    </row>
    <row r="2192" ht="13.5" customHeight="1">
      <c r="B2192" s="63" t="n"/>
      <c r="E2192" s="63" t="n"/>
      <c r="F2192" s="63" t="n"/>
      <c r="G2192" s="63" t="n"/>
      <c r="H2192" s="63" t="n"/>
      <c r="I2192" s="63" t="n"/>
      <c r="J2192" s="63" t="n"/>
      <c r="K2192" s="63" t="n"/>
      <c r="L2192" s="63" t="n"/>
      <c r="M2192" s="63" t="n"/>
      <c r="N2192" s="63" t="n"/>
      <c r="O2192" s="63" t="n"/>
    </row>
    <row r="2193" ht="13.5" customHeight="1">
      <c r="B2193" s="63" t="n"/>
      <c r="E2193" s="63" t="n"/>
      <c r="F2193" s="63" t="n"/>
      <c r="G2193" s="63" t="n"/>
      <c r="H2193" s="63" t="n"/>
      <c r="I2193" s="63" t="n"/>
      <c r="J2193" s="63" t="n"/>
      <c r="K2193" s="63" t="n"/>
      <c r="L2193" s="63" t="n"/>
      <c r="M2193" s="63" t="n"/>
      <c r="N2193" s="63" t="n"/>
      <c r="O2193" s="63" t="n"/>
    </row>
    <row r="2194" ht="13.5" customHeight="1">
      <c r="B2194" s="63" t="n"/>
      <c r="E2194" s="63" t="n"/>
      <c r="F2194" s="63" t="n"/>
      <c r="G2194" s="63" t="n"/>
      <c r="H2194" s="63" t="n"/>
      <c r="I2194" s="63" t="n"/>
      <c r="J2194" s="63" t="n"/>
      <c r="K2194" s="63" t="n"/>
      <c r="L2194" s="63" t="n"/>
      <c r="M2194" s="63" t="n"/>
      <c r="N2194" s="63" t="n"/>
      <c r="O2194" s="63" t="n"/>
    </row>
    <row r="2195" ht="13.5" customHeight="1">
      <c r="B2195" s="63" t="n"/>
      <c r="E2195" s="63" t="n"/>
      <c r="F2195" s="63" t="n"/>
      <c r="G2195" s="63" t="n"/>
      <c r="H2195" s="63" t="n"/>
      <c r="I2195" s="63" t="n"/>
      <c r="J2195" s="63" t="n"/>
      <c r="K2195" s="63" t="n"/>
      <c r="L2195" s="63" t="n"/>
      <c r="M2195" s="63" t="n"/>
      <c r="N2195" s="63" t="n"/>
      <c r="O2195" s="63" t="n"/>
    </row>
    <row r="2196" ht="13.5" customHeight="1">
      <c r="B2196" s="63" t="n"/>
      <c r="E2196" s="63" t="n"/>
      <c r="F2196" s="63" t="n"/>
      <c r="G2196" s="63" t="n"/>
      <c r="H2196" s="63" t="n"/>
      <c r="I2196" s="63" t="n"/>
      <c r="J2196" s="63" t="n"/>
      <c r="K2196" s="63" t="n"/>
      <c r="L2196" s="63" t="n"/>
      <c r="M2196" s="63" t="n"/>
      <c r="N2196" s="63" t="n"/>
      <c r="O2196" s="63" t="n"/>
    </row>
    <row r="2197" ht="13.5" customHeight="1">
      <c r="B2197" s="63" t="n"/>
      <c r="E2197" s="63" t="n"/>
      <c r="F2197" s="63" t="n"/>
      <c r="G2197" s="63" t="n"/>
      <c r="H2197" s="63" t="n"/>
      <c r="I2197" s="63" t="n"/>
      <c r="J2197" s="63" t="n"/>
      <c r="K2197" s="63" t="n"/>
      <c r="L2197" s="63" t="n"/>
      <c r="M2197" s="63" t="n"/>
      <c r="N2197" s="63" t="n"/>
      <c r="O2197" s="63" t="n"/>
    </row>
    <row r="2198" ht="13.5" customHeight="1">
      <c r="B2198" s="63" t="n"/>
      <c r="E2198" s="63" t="n"/>
      <c r="F2198" s="63" t="n"/>
      <c r="G2198" s="63" t="n"/>
      <c r="H2198" s="63" t="n"/>
      <c r="I2198" s="63" t="n"/>
      <c r="J2198" s="63" t="n"/>
      <c r="K2198" s="63" t="n"/>
      <c r="L2198" s="63" t="n"/>
      <c r="M2198" s="63" t="n"/>
      <c r="N2198" s="63" t="n"/>
      <c r="O2198" s="63" t="n"/>
    </row>
    <row r="2199" ht="13.5" customHeight="1">
      <c r="B2199" s="63" t="n"/>
      <c r="E2199" s="63" t="n"/>
      <c r="F2199" s="63" t="n"/>
      <c r="G2199" s="63" t="n"/>
      <c r="H2199" s="63" t="n"/>
      <c r="I2199" s="63" t="n"/>
      <c r="J2199" s="63" t="n"/>
      <c r="K2199" s="63" t="n"/>
      <c r="L2199" s="63" t="n"/>
      <c r="M2199" s="63" t="n"/>
      <c r="N2199" s="63" t="n"/>
      <c r="O2199" s="63" t="n"/>
    </row>
    <row r="2200" ht="13.5" customHeight="1">
      <c r="B2200" s="63" t="n"/>
      <c r="E2200" s="63" t="n"/>
      <c r="F2200" s="63" t="n"/>
      <c r="G2200" s="63" t="n"/>
      <c r="H2200" s="63" t="n"/>
      <c r="I2200" s="63" t="n"/>
      <c r="J2200" s="63" t="n"/>
      <c r="K2200" s="63" t="n"/>
      <c r="L2200" s="63" t="n"/>
      <c r="M2200" s="63" t="n"/>
      <c r="N2200" s="63" t="n"/>
      <c r="O2200" s="63" t="n"/>
    </row>
    <row r="2201" ht="13.5" customHeight="1">
      <c r="B2201" s="63" t="n"/>
      <c r="E2201" s="63" t="n"/>
      <c r="F2201" s="63" t="n"/>
      <c r="G2201" s="63" t="n"/>
      <c r="H2201" s="63" t="n"/>
      <c r="I2201" s="63" t="n"/>
      <c r="J2201" s="63" t="n"/>
      <c r="K2201" s="63" t="n"/>
      <c r="L2201" s="63" t="n"/>
      <c r="M2201" s="63" t="n"/>
      <c r="N2201" s="63" t="n"/>
      <c r="O2201" s="63" t="n"/>
    </row>
    <row r="2202" ht="13.5" customHeight="1">
      <c r="B2202" s="63" t="n"/>
      <c r="E2202" s="63" t="n"/>
      <c r="F2202" s="63" t="n"/>
      <c r="G2202" s="63" t="n"/>
      <c r="H2202" s="63" t="n"/>
      <c r="I2202" s="63" t="n"/>
      <c r="J2202" s="63" t="n"/>
      <c r="K2202" s="63" t="n"/>
      <c r="L2202" s="63" t="n"/>
      <c r="M2202" s="63" t="n"/>
      <c r="N2202" s="63" t="n"/>
      <c r="O2202" s="63" t="n"/>
    </row>
    <row r="2203" ht="13.5" customHeight="1">
      <c r="B2203" s="63" t="n"/>
      <c r="E2203" s="63" t="n"/>
      <c r="F2203" s="63" t="n"/>
      <c r="G2203" s="63" t="n"/>
      <c r="H2203" s="63" t="n"/>
      <c r="I2203" s="63" t="n"/>
      <c r="J2203" s="63" t="n"/>
      <c r="K2203" s="63" t="n"/>
      <c r="L2203" s="63" t="n"/>
      <c r="M2203" s="63" t="n"/>
      <c r="N2203" s="63" t="n"/>
      <c r="O2203" s="63" t="n"/>
    </row>
    <row r="2204" ht="13.5" customHeight="1">
      <c r="B2204" s="63" t="n"/>
      <c r="E2204" s="63" t="n"/>
      <c r="F2204" s="63" t="n"/>
      <c r="G2204" s="63" t="n"/>
      <c r="H2204" s="63" t="n"/>
      <c r="I2204" s="63" t="n"/>
      <c r="J2204" s="63" t="n"/>
      <c r="K2204" s="63" t="n"/>
      <c r="L2204" s="63" t="n"/>
      <c r="M2204" s="63" t="n"/>
      <c r="N2204" s="63" t="n"/>
      <c r="O2204" s="63" t="n"/>
    </row>
    <row r="2205" ht="13.5" customHeight="1">
      <c r="B2205" s="63" t="n"/>
      <c r="E2205" s="63" t="n"/>
      <c r="F2205" s="63" t="n"/>
      <c r="G2205" s="63" t="n"/>
      <c r="H2205" s="63" t="n"/>
      <c r="I2205" s="63" t="n"/>
      <c r="J2205" s="63" t="n"/>
      <c r="K2205" s="63" t="n"/>
      <c r="L2205" s="63" t="n"/>
      <c r="M2205" s="63" t="n"/>
      <c r="N2205" s="63" t="n"/>
      <c r="O2205" s="63" t="n"/>
    </row>
    <row r="2206" ht="13.5" customHeight="1">
      <c r="B2206" s="63" t="n"/>
      <c r="E2206" s="63" t="n"/>
      <c r="F2206" s="63" t="n"/>
      <c r="G2206" s="63" t="n"/>
      <c r="H2206" s="63" t="n"/>
      <c r="I2206" s="63" t="n"/>
      <c r="J2206" s="63" t="n"/>
      <c r="K2206" s="63" t="n"/>
      <c r="L2206" s="63" t="n"/>
      <c r="M2206" s="63" t="n"/>
      <c r="N2206" s="63" t="n"/>
      <c r="O2206" s="63" t="n"/>
    </row>
    <row r="2207" ht="13.5" customHeight="1">
      <c r="B2207" s="63" t="n"/>
      <c r="E2207" s="63" t="n"/>
      <c r="F2207" s="63" t="n"/>
      <c r="G2207" s="63" t="n"/>
      <c r="H2207" s="63" t="n"/>
      <c r="I2207" s="63" t="n"/>
      <c r="J2207" s="63" t="n"/>
      <c r="K2207" s="63" t="n"/>
      <c r="L2207" s="63" t="n"/>
      <c r="M2207" s="63" t="n"/>
      <c r="N2207" s="63" t="n"/>
      <c r="O2207" s="63" t="n"/>
    </row>
    <row r="2208" ht="13.5" customHeight="1">
      <c r="B2208" s="63" t="n"/>
      <c r="E2208" s="63" t="n"/>
      <c r="F2208" s="63" t="n"/>
      <c r="G2208" s="63" t="n"/>
      <c r="H2208" s="63" t="n"/>
      <c r="I2208" s="63" t="n"/>
      <c r="J2208" s="63" t="n"/>
      <c r="K2208" s="63" t="n"/>
      <c r="L2208" s="63" t="n"/>
      <c r="M2208" s="63" t="n"/>
      <c r="N2208" s="63" t="n"/>
      <c r="O2208" s="63" t="n"/>
    </row>
    <row r="2209" ht="13.5" customHeight="1">
      <c r="B2209" s="63" t="n"/>
      <c r="E2209" s="63" t="n"/>
      <c r="F2209" s="63" t="n"/>
      <c r="G2209" s="63" t="n"/>
      <c r="H2209" s="63" t="n"/>
      <c r="I2209" s="63" t="n"/>
      <c r="J2209" s="63" t="n"/>
      <c r="K2209" s="63" t="n"/>
      <c r="L2209" s="63" t="n"/>
      <c r="M2209" s="63" t="n"/>
      <c r="N2209" s="63" t="n"/>
      <c r="O2209" s="63" t="n"/>
    </row>
    <row r="2210" ht="13.5" customHeight="1">
      <c r="B2210" s="63" t="n"/>
      <c r="E2210" s="63" t="n"/>
      <c r="F2210" s="63" t="n"/>
      <c r="G2210" s="63" t="n"/>
      <c r="H2210" s="63" t="n"/>
      <c r="I2210" s="63" t="n"/>
      <c r="J2210" s="63" t="n"/>
      <c r="K2210" s="63" t="n"/>
      <c r="L2210" s="63" t="n"/>
      <c r="M2210" s="63" t="n"/>
      <c r="N2210" s="63" t="n"/>
      <c r="O2210" s="63" t="n"/>
    </row>
    <row r="2211" ht="13.5" customHeight="1">
      <c r="B2211" s="63" t="n"/>
      <c r="E2211" s="63" t="n"/>
      <c r="F2211" s="63" t="n"/>
      <c r="G2211" s="63" t="n"/>
      <c r="H2211" s="63" t="n"/>
      <c r="I2211" s="63" t="n"/>
      <c r="J2211" s="63" t="n"/>
      <c r="K2211" s="63" t="n"/>
      <c r="L2211" s="63" t="n"/>
      <c r="M2211" s="63" t="n"/>
      <c r="N2211" s="63" t="n"/>
      <c r="O2211" s="63" t="n"/>
    </row>
    <row r="2212" ht="13.5" customHeight="1">
      <c r="B2212" s="63" t="n"/>
      <c r="E2212" s="63" t="n"/>
      <c r="F2212" s="63" t="n"/>
      <c r="G2212" s="63" t="n"/>
      <c r="H2212" s="63" t="n"/>
      <c r="I2212" s="63" t="n"/>
      <c r="J2212" s="63" t="n"/>
      <c r="K2212" s="63" t="n"/>
      <c r="L2212" s="63" t="n"/>
      <c r="M2212" s="63" t="n"/>
      <c r="N2212" s="63" t="n"/>
      <c r="O2212" s="63" t="n"/>
    </row>
    <row r="2213" ht="13.5" customHeight="1">
      <c r="B2213" s="63" t="n"/>
      <c r="E2213" s="63" t="n"/>
      <c r="F2213" s="63" t="n"/>
      <c r="G2213" s="63" t="n"/>
      <c r="H2213" s="63" t="n"/>
      <c r="I2213" s="63" t="n"/>
      <c r="J2213" s="63" t="n"/>
      <c r="K2213" s="63" t="n"/>
      <c r="L2213" s="63" t="n"/>
      <c r="M2213" s="63" t="n"/>
      <c r="N2213" s="63" t="n"/>
      <c r="O2213" s="63" t="n"/>
    </row>
    <row r="2214" ht="13.5" customHeight="1">
      <c r="B2214" s="63" t="n"/>
      <c r="E2214" s="63" t="n"/>
      <c r="F2214" s="63" t="n"/>
      <c r="G2214" s="63" t="n"/>
      <c r="H2214" s="63" t="n"/>
      <c r="I2214" s="63" t="n"/>
      <c r="J2214" s="63" t="n"/>
      <c r="K2214" s="63" t="n"/>
      <c r="L2214" s="63" t="n"/>
      <c r="M2214" s="63" t="n"/>
      <c r="N2214" s="63" t="n"/>
      <c r="O2214" s="63" t="n"/>
    </row>
    <row r="2215" ht="13.5" customHeight="1">
      <c r="B2215" s="63" t="n"/>
      <c r="E2215" s="63" t="n"/>
      <c r="F2215" s="63" t="n"/>
      <c r="G2215" s="63" t="n"/>
      <c r="H2215" s="63" t="n"/>
      <c r="I2215" s="63" t="n"/>
      <c r="J2215" s="63" t="n"/>
      <c r="K2215" s="63" t="n"/>
      <c r="L2215" s="63" t="n"/>
      <c r="M2215" s="63" t="n"/>
      <c r="N2215" s="63" t="n"/>
      <c r="O2215" s="63" t="n"/>
    </row>
    <row r="2216" ht="13.5" customHeight="1">
      <c r="B2216" s="63" t="n"/>
      <c r="E2216" s="63" t="n"/>
      <c r="F2216" s="63" t="n"/>
      <c r="G2216" s="63" t="n"/>
      <c r="H2216" s="63" t="n"/>
      <c r="I2216" s="63" t="n"/>
      <c r="J2216" s="63" t="n"/>
      <c r="K2216" s="63" t="n"/>
      <c r="L2216" s="63" t="n"/>
      <c r="M2216" s="63" t="n"/>
      <c r="N2216" s="63" t="n"/>
      <c r="O2216" s="63" t="n"/>
    </row>
    <row r="2217" ht="13.5" customHeight="1">
      <c r="B2217" s="63" t="n"/>
      <c r="E2217" s="63" t="n"/>
      <c r="F2217" s="63" t="n"/>
      <c r="G2217" s="63" t="n"/>
      <c r="H2217" s="63" t="n"/>
      <c r="I2217" s="63" t="n"/>
      <c r="J2217" s="63" t="n"/>
      <c r="K2217" s="63" t="n"/>
      <c r="L2217" s="63" t="n"/>
      <c r="M2217" s="63" t="n"/>
      <c r="N2217" s="63" t="n"/>
      <c r="O2217" s="63" t="n"/>
    </row>
    <row r="2218" ht="13.5" customHeight="1">
      <c r="B2218" s="63" t="n"/>
      <c r="E2218" s="63" t="n"/>
      <c r="F2218" s="63" t="n"/>
      <c r="G2218" s="63" t="n"/>
      <c r="H2218" s="63" t="n"/>
      <c r="I2218" s="63" t="n"/>
      <c r="J2218" s="63" t="n"/>
      <c r="K2218" s="63" t="n"/>
      <c r="L2218" s="63" t="n"/>
      <c r="M2218" s="63" t="n"/>
      <c r="N2218" s="63" t="n"/>
      <c r="O2218" s="63" t="n"/>
    </row>
    <row r="2219" ht="13.5" customHeight="1">
      <c r="B2219" s="63" t="n"/>
      <c r="E2219" s="63" t="n"/>
      <c r="F2219" s="63" t="n"/>
      <c r="G2219" s="63" t="n"/>
      <c r="H2219" s="63" t="n"/>
      <c r="I2219" s="63" t="n"/>
      <c r="J2219" s="63" t="n"/>
      <c r="K2219" s="63" t="n"/>
      <c r="L2219" s="63" t="n"/>
      <c r="M2219" s="63" t="n"/>
      <c r="N2219" s="63" t="n"/>
      <c r="O2219" s="63" t="n"/>
    </row>
    <row r="2220" ht="13.5" customHeight="1">
      <c r="B2220" s="63" t="n"/>
      <c r="E2220" s="63" t="n"/>
      <c r="F2220" s="63" t="n"/>
      <c r="G2220" s="63" t="n"/>
      <c r="H2220" s="63" t="n"/>
      <c r="I2220" s="63" t="n"/>
      <c r="J2220" s="63" t="n"/>
      <c r="K2220" s="63" t="n"/>
      <c r="L2220" s="63" t="n"/>
      <c r="M2220" s="63" t="n"/>
      <c r="N2220" s="63" t="n"/>
      <c r="O2220" s="63" t="n"/>
    </row>
    <row r="2221" ht="13.5" customHeight="1">
      <c r="B2221" s="63" t="n"/>
      <c r="E2221" s="63" t="n"/>
      <c r="F2221" s="63" t="n"/>
      <c r="G2221" s="63" t="n"/>
      <c r="H2221" s="63" t="n"/>
      <c r="I2221" s="63" t="n"/>
      <c r="J2221" s="63" t="n"/>
      <c r="K2221" s="63" t="n"/>
      <c r="L2221" s="63" t="n"/>
      <c r="M2221" s="63" t="n"/>
      <c r="N2221" s="63" t="n"/>
      <c r="O2221" s="63" t="n"/>
    </row>
    <row r="2222" ht="13.5" customHeight="1">
      <c r="B2222" s="63" t="n"/>
      <c r="E2222" s="63" t="n"/>
      <c r="F2222" s="63" t="n"/>
      <c r="G2222" s="63" t="n"/>
      <c r="H2222" s="63" t="n"/>
      <c r="I2222" s="63" t="n"/>
      <c r="J2222" s="63" t="n"/>
      <c r="K2222" s="63" t="n"/>
      <c r="L2222" s="63" t="n"/>
      <c r="M2222" s="63" t="n"/>
      <c r="N2222" s="63" t="n"/>
      <c r="O2222" s="63" t="n"/>
    </row>
    <row r="2223" ht="13.5" customHeight="1">
      <c r="B2223" s="63" t="n"/>
      <c r="E2223" s="63" t="n"/>
      <c r="F2223" s="63" t="n"/>
      <c r="G2223" s="63" t="n"/>
      <c r="H2223" s="63" t="n"/>
      <c r="I2223" s="63" t="n"/>
      <c r="J2223" s="63" t="n"/>
      <c r="K2223" s="63" t="n"/>
      <c r="L2223" s="63" t="n"/>
      <c r="M2223" s="63" t="n"/>
      <c r="N2223" s="63" t="n"/>
      <c r="O2223" s="63" t="n"/>
    </row>
    <row r="2224" ht="13.5" customHeight="1">
      <c r="B2224" s="63" t="n"/>
      <c r="E2224" s="63" t="n"/>
      <c r="F2224" s="63" t="n"/>
      <c r="G2224" s="63" t="n"/>
      <c r="H2224" s="63" t="n"/>
      <c r="I2224" s="63" t="n"/>
      <c r="J2224" s="63" t="n"/>
      <c r="K2224" s="63" t="n"/>
      <c r="L2224" s="63" t="n"/>
      <c r="M2224" s="63" t="n"/>
      <c r="N2224" s="63" t="n"/>
      <c r="O2224" s="63" t="n"/>
    </row>
    <row r="2225" ht="13.5" customHeight="1">
      <c r="B2225" s="63" t="n"/>
      <c r="E2225" s="63" t="n"/>
      <c r="F2225" s="63" t="n"/>
      <c r="G2225" s="63" t="n"/>
      <c r="H2225" s="63" t="n"/>
      <c r="I2225" s="63" t="n"/>
      <c r="J2225" s="63" t="n"/>
      <c r="K2225" s="63" t="n"/>
      <c r="L2225" s="63" t="n"/>
      <c r="M2225" s="63" t="n"/>
      <c r="N2225" s="63" t="n"/>
      <c r="O2225" s="63" t="n"/>
    </row>
    <row r="2226" ht="13.5" customHeight="1">
      <c r="B2226" s="63" t="n"/>
      <c r="E2226" s="63" t="n"/>
      <c r="F2226" s="63" t="n"/>
      <c r="G2226" s="63" t="n"/>
      <c r="H2226" s="63" t="n"/>
      <c r="I2226" s="63" t="n"/>
      <c r="J2226" s="63" t="n"/>
      <c r="K2226" s="63" t="n"/>
      <c r="L2226" s="63" t="n"/>
      <c r="M2226" s="63" t="n"/>
      <c r="N2226" s="63" t="n"/>
      <c r="O2226" s="63" t="n"/>
    </row>
    <row r="2227" ht="13.5" customHeight="1">
      <c r="B2227" s="63" t="n"/>
      <c r="E2227" s="63" t="n"/>
      <c r="F2227" s="63" t="n"/>
      <c r="G2227" s="63" t="n"/>
      <c r="H2227" s="63" t="n"/>
      <c r="I2227" s="63" t="n"/>
      <c r="J2227" s="63" t="n"/>
      <c r="K2227" s="63" t="n"/>
      <c r="L2227" s="63" t="n"/>
      <c r="M2227" s="63" t="n"/>
      <c r="N2227" s="63" t="n"/>
      <c r="O2227" s="63" t="n"/>
    </row>
    <row r="2228" ht="13.5" customHeight="1">
      <c r="B2228" s="63" t="n"/>
      <c r="E2228" s="63" t="n"/>
      <c r="F2228" s="63" t="n"/>
      <c r="G2228" s="63" t="n"/>
      <c r="H2228" s="63" t="n"/>
      <c r="I2228" s="63" t="n"/>
      <c r="J2228" s="63" t="n"/>
      <c r="K2228" s="63" t="n"/>
      <c r="L2228" s="63" t="n"/>
      <c r="M2228" s="63" t="n"/>
      <c r="N2228" s="63" t="n"/>
      <c r="O2228" s="63" t="n"/>
    </row>
    <row r="2229" ht="13.5" customHeight="1">
      <c r="B2229" s="63" t="n"/>
      <c r="E2229" s="63" t="n"/>
      <c r="F2229" s="63" t="n"/>
      <c r="G2229" s="63" t="n"/>
      <c r="H2229" s="63" t="n"/>
      <c r="I2229" s="63" t="n"/>
      <c r="J2229" s="63" t="n"/>
      <c r="K2229" s="63" t="n"/>
      <c r="L2229" s="63" t="n"/>
      <c r="M2229" s="63" t="n"/>
      <c r="N2229" s="63" t="n"/>
      <c r="O2229" s="63" t="n"/>
    </row>
    <row r="2230" ht="13.5" customHeight="1">
      <c r="B2230" s="63" t="n"/>
      <c r="E2230" s="63" t="n"/>
      <c r="F2230" s="63" t="n"/>
      <c r="G2230" s="63" t="n"/>
      <c r="H2230" s="63" t="n"/>
      <c r="I2230" s="63" t="n"/>
      <c r="J2230" s="63" t="n"/>
      <c r="K2230" s="63" t="n"/>
      <c r="L2230" s="63" t="n"/>
      <c r="M2230" s="63" t="n"/>
      <c r="N2230" s="63" t="n"/>
      <c r="O2230" s="63" t="n"/>
    </row>
    <row r="2231" ht="13.5" customHeight="1">
      <c r="B2231" s="63" t="n"/>
      <c r="E2231" s="63" t="n"/>
      <c r="F2231" s="63" t="n"/>
      <c r="G2231" s="63" t="n"/>
      <c r="H2231" s="63" t="n"/>
      <c r="I2231" s="63" t="n"/>
      <c r="J2231" s="63" t="n"/>
      <c r="K2231" s="63" t="n"/>
      <c r="L2231" s="63" t="n"/>
      <c r="M2231" s="63" t="n"/>
      <c r="N2231" s="63" t="n"/>
      <c r="O2231" s="63" t="n"/>
    </row>
    <row r="2232" ht="13.5" customHeight="1">
      <c r="B2232" s="63" t="n"/>
      <c r="E2232" s="63" t="n"/>
      <c r="F2232" s="63" t="n"/>
      <c r="G2232" s="63" t="n"/>
      <c r="H2232" s="63" t="n"/>
      <c r="I2232" s="63" t="n"/>
      <c r="J2232" s="63" t="n"/>
      <c r="K2232" s="63" t="n"/>
      <c r="L2232" s="63" t="n"/>
      <c r="M2232" s="63" t="n"/>
      <c r="N2232" s="63" t="n"/>
      <c r="O2232" s="63" t="n"/>
    </row>
    <row r="2233" ht="13.5" customHeight="1">
      <c r="B2233" s="63" t="n"/>
      <c r="E2233" s="63" t="n"/>
      <c r="F2233" s="63" t="n"/>
      <c r="G2233" s="63" t="n"/>
      <c r="H2233" s="63" t="n"/>
      <c r="I2233" s="63" t="n"/>
      <c r="J2233" s="63" t="n"/>
      <c r="K2233" s="63" t="n"/>
      <c r="L2233" s="63" t="n"/>
      <c r="M2233" s="63" t="n"/>
      <c r="N2233" s="63" t="n"/>
      <c r="O2233" s="63" t="n"/>
    </row>
    <row r="2234" ht="13.5" customHeight="1">
      <c r="B2234" s="63" t="n"/>
      <c r="E2234" s="63" t="n"/>
      <c r="F2234" s="63" t="n"/>
      <c r="G2234" s="63" t="n"/>
      <c r="H2234" s="63" t="n"/>
      <c r="I2234" s="63" t="n"/>
      <c r="J2234" s="63" t="n"/>
      <c r="K2234" s="63" t="n"/>
      <c r="L2234" s="63" t="n"/>
      <c r="M2234" s="63" t="n"/>
      <c r="N2234" s="63" t="n"/>
      <c r="O2234" s="63" t="n"/>
    </row>
    <row r="2235" ht="13.5" customHeight="1">
      <c r="B2235" s="63" t="n"/>
      <c r="E2235" s="63" t="n"/>
      <c r="F2235" s="63" t="n"/>
      <c r="G2235" s="63" t="n"/>
      <c r="H2235" s="63" t="n"/>
      <c r="I2235" s="63" t="n"/>
      <c r="J2235" s="63" t="n"/>
      <c r="K2235" s="63" t="n"/>
      <c r="L2235" s="63" t="n"/>
      <c r="M2235" s="63" t="n"/>
      <c r="N2235" s="63" t="n"/>
      <c r="O2235" s="63" t="n"/>
    </row>
    <row r="2236" ht="13.5" customHeight="1">
      <c r="B2236" s="63" t="n"/>
      <c r="E2236" s="63" t="n"/>
      <c r="F2236" s="63" t="n"/>
      <c r="G2236" s="63" t="n"/>
      <c r="H2236" s="63" t="n"/>
      <c r="I2236" s="63" t="n"/>
      <c r="J2236" s="63" t="n"/>
      <c r="K2236" s="63" t="n"/>
      <c r="L2236" s="63" t="n"/>
      <c r="M2236" s="63" t="n"/>
      <c r="N2236" s="63" t="n"/>
      <c r="O2236" s="63" t="n"/>
    </row>
    <row r="2237" ht="13.5" customHeight="1">
      <c r="B2237" s="63" t="n"/>
      <c r="E2237" s="63" t="n"/>
      <c r="F2237" s="63" t="n"/>
      <c r="G2237" s="63" t="n"/>
      <c r="H2237" s="63" t="n"/>
      <c r="I2237" s="63" t="n"/>
      <c r="J2237" s="63" t="n"/>
      <c r="K2237" s="63" t="n"/>
      <c r="L2237" s="63" t="n"/>
      <c r="M2237" s="63" t="n"/>
      <c r="N2237" s="63" t="n"/>
      <c r="O2237" s="63" t="n"/>
    </row>
    <row r="2238" ht="13.5" customHeight="1">
      <c r="B2238" s="63" t="n"/>
      <c r="E2238" s="63" t="n"/>
      <c r="F2238" s="63" t="n"/>
      <c r="G2238" s="63" t="n"/>
      <c r="H2238" s="63" t="n"/>
      <c r="I2238" s="63" t="n"/>
      <c r="J2238" s="63" t="n"/>
      <c r="K2238" s="63" t="n"/>
      <c r="L2238" s="63" t="n"/>
      <c r="M2238" s="63" t="n"/>
      <c r="N2238" s="63" t="n"/>
      <c r="O2238" s="63" t="n"/>
    </row>
    <row r="2239" ht="13.5" customHeight="1">
      <c r="B2239" s="63" t="n"/>
      <c r="E2239" s="63" t="n"/>
      <c r="F2239" s="63" t="n"/>
      <c r="G2239" s="63" t="n"/>
      <c r="H2239" s="63" t="n"/>
      <c r="I2239" s="63" t="n"/>
      <c r="J2239" s="63" t="n"/>
      <c r="K2239" s="63" t="n"/>
      <c r="L2239" s="63" t="n"/>
      <c r="M2239" s="63" t="n"/>
      <c r="N2239" s="63" t="n"/>
      <c r="O2239" s="63" t="n"/>
    </row>
    <row r="2240" ht="13.5" customHeight="1">
      <c r="B2240" s="63" t="n"/>
      <c r="E2240" s="63" t="n"/>
      <c r="F2240" s="63" t="n"/>
      <c r="G2240" s="63" t="n"/>
      <c r="H2240" s="63" t="n"/>
      <c r="I2240" s="63" t="n"/>
      <c r="J2240" s="63" t="n"/>
      <c r="K2240" s="63" t="n"/>
      <c r="L2240" s="63" t="n"/>
      <c r="M2240" s="63" t="n"/>
      <c r="N2240" s="63" t="n"/>
      <c r="O2240" s="63" t="n"/>
    </row>
    <row r="2241" ht="13.5" customHeight="1">
      <c r="B2241" s="63" t="n"/>
      <c r="E2241" s="63" t="n"/>
      <c r="F2241" s="63" t="n"/>
      <c r="G2241" s="63" t="n"/>
      <c r="H2241" s="63" t="n"/>
      <c r="I2241" s="63" t="n"/>
      <c r="J2241" s="63" t="n"/>
      <c r="K2241" s="63" t="n"/>
      <c r="L2241" s="63" t="n"/>
      <c r="M2241" s="63" t="n"/>
      <c r="N2241" s="63" t="n"/>
      <c r="O2241" s="63" t="n"/>
    </row>
    <row r="2242" ht="13.5" customHeight="1">
      <c r="B2242" s="63" t="n"/>
      <c r="E2242" s="63" t="n"/>
      <c r="F2242" s="63" t="n"/>
      <c r="G2242" s="63" t="n"/>
      <c r="H2242" s="63" t="n"/>
      <c r="I2242" s="63" t="n"/>
      <c r="J2242" s="63" t="n"/>
      <c r="K2242" s="63" t="n"/>
      <c r="L2242" s="63" t="n"/>
      <c r="M2242" s="63" t="n"/>
      <c r="N2242" s="63" t="n"/>
      <c r="O2242" s="63" t="n"/>
    </row>
    <row r="2243" ht="13.5" customHeight="1">
      <c r="B2243" s="63" t="n"/>
      <c r="E2243" s="63" t="n"/>
      <c r="F2243" s="63" t="n"/>
      <c r="G2243" s="63" t="n"/>
      <c r="H2243" s="63" t="n"/>
      <c r="I2243" s="63" t="n"/>
      <c r="J2243" s="63" t="n"/>
      <c r="K2243" s="63" t="n"/>
      <c r="L2243" s="63" t="n"/>
      <c r="M2243" s="63" t="n"/>
      <c r="N2243" s="63" t="n"/>
      <c r="O2243" s="63" t="n"/>
    </row>
    <row r="2244" ht="13.5" customHeight="1">
      <c r="B2244" s="63" t="n"/>
      <c r="E2244" s="63" t="n"/>
      <c r="F2244" s="63" t="n"/>
      <c r="G2244" s="63" t="n"/>
      <c r="H2244" s="63" t="n"/>
      <c r="I2244" s="63" t="n"/>
      <c r="J2244" s="63" t="n"/>
      <c r="K2244" s="63" t="n"/>
      <c r="L2244" s="63" t="n"/>
      <c r="M2244" s="63" t="n"/>
      <c r="N2244" s="63" t="n"/>
      <c r="O2244" s="63" t="n"/>
    </row>
    <row r="2245" ht="13.5" customHeight="1">
      <c r="B2245" s="63" t="n"/>
      <c r="E2245" s="63" t="n"/>
      <c r="F2245" s="63" t="n"/>
      <c r="G2245" s="63" t="n"/>
      <c r="H2245" s="63" t="n"/>
      <c r="I2245" s="63" t="n"/>
      <c r="J2245" s="63" t="n"/>
      <c r="K2245" s="63" t="n"/>
      <c r="L2245" s="63" t="n"/>
      <c r="M2245" s="63" t="n"/>
      <c r="N2245" s="63" t="n"/>
      <c r="O2245" s="63" t="n"/>
    </row>
    <row r="2246" ht="13.5" customHeight="1">
      <c r="B2246" s="63" t="n"/>
      <c r="E2246" s="63" t="n"/>
      <c r="F2246" s="63" t="n"/>
      <c r="G2246" s="63" t="n"/>
      <c r="H2246" s="63" t="n"/>
      <c r="I2246" s="63" t="n"/>
      <c r="J2246" s="63" t="n"/>
      <c r="K2246" s="63" t="n"/>
      <c r="L2246" s="63" t="n"/>
      <c r="M2246" s="63" t="n"/>
      <c r="N2246" s="63" t="n"/>
      <c r="O2246" s="63" t="n"/>
    </row>
    <row r="2247" ht="13.5" customHeight="1">
      <c r="B2247" s="63" t="n"/>
      <c r="E2247" s="63" t="n"/>
      <c r="F2247" s="63" t="n"/>
      <c r="G2247" s="63" t="n"/>
      <c r="H2247" s="63" t="n"/>
      <c r="I2247" s="63" t="n"/>
      <c r="J2247" s="63" t="n"/>
      <c r="K2247" s="63" t="n"/>
      <c r="L2247" s="63" t="n"/>
      <c r="M2247" s="63" t="n"/>
      <c r="N2247" s="63" t="n"/>
      <c r="O2247" s="63" t="n"/>
    </row>
    <row r="2248" ht="13.5" customHeight="1">
      <c r="B2248" s="63" t="n"/>
      <c r="E2248" s="63" t="n"/>
      <c r="F2248" s="63" t="n"/>
      <c r="G2248" s="63" t="n"/>
      <c r="H2248" s="63" t="n"/>
      <c r="I2248" s="63" t="n"/>
      <c r="J2248" s="63" t="n"/>
      <c r="K2248" s="63" t="n"/>
      <c r="L2248" s="63" t="n"/>
      <c r="M2248" s="63" t="n"/>
      <c r="N2248" s="63" t="n"/>
      <c r="O2248" s="63" t="n"/>
    </row>
    <row r="2249" ht="13.5" customHeight="1">
      <c r="B2249" s="63" t="n"/>
      <c r="E2249" s="63" t="n"/>
      <c r="F2249" s="63" t="n"/>
      <c r="G2249" s="63" t="n"/>
      <c r="H2249" s="63" t="n"/>
      <c r="I2249" s="63" t="n"/>
      <c r="J2249" s="63" t="n"/>
      <c r="K2249" s="63" t="n"/>
      <c r="L2249" s="63" t="n"/>
      <c r="M2249" s="63" t="n"/>
      <c r="N2249" s="63" t="n"/>
      <c r="O2249" s="63" t="n"/>
    </row>
    <row r="2250" ht="13.5" customHeight="1">
      <c r="B2250" s="63" t="n"/>
      <c r="E2250" s="63" t="n"/>
      <c r="F2250" s="63" t="n"/>
      <c r="G2250" s="63" t="n"/>
      <c r="H2250" s="63" t="n"/>
      <c r="I2250" s="63" t="n"/>
      <c r="J2250" s="63" t="n"/>
      <c r="K2250" s="63" t="n"/>
      <c r="L2250" s="63" t="n"/>
      <c r="M2250" s="63" t="n"/>
      <c r="N2250" s="63" t="n"/>
      <c r="O2250" s="63" t="n"/>
    </row>
    <row r="2251" ht="13.5" customHeight="1">
      <c r="B2251" s="63" t="n"/>
      <c r="E2251" s="63" t="n"/>
      <c r="F2251" s="63" t="n"/>
      <c r="G2251" s="63" t="n"/>
      <c r="H2251" s="63" t="n"/>
      <c r="I2251" s="63" t="n"/>
      <c r="J2251" s="63" t="n"/>
      <c r="K2251" s="63" t="n"/>
      <c r="L2251" s="63" t="n"/>
      <c r="M2251" s="63" t="n"/>
      <c r="N2251" s="63" t="n"/>
      <c r="O2251" s="63" t="n"/>
    </row>
    <row r="2252" ht="13.5" customHeight="1">
      <c r="B2252" s="63" t="n"/>
      <c r="E2252" s="63" t="n"/>
      <c r="F2252" s="63" t="n"/>
      <c r="G2252" s="63" t="n"/>
      <c r="H2252" s="63" t="n"/>
      <c r="I2252" s="63" t="n"/>
      <c r="J2252" s="63" t="n"/>
      <c r="K2252" s="63" t="n"/>
      <c r="L2252" s="63" t="n"/>
      <c r="M2252" s="63" t="n"/>
      <c r="N2252" s="63" t="n"/>
      <c r="O2252" s="63" t="n"/>
    </row>
    <row r="2253" ht="13.5" customHeight="1">
      <c r="B2253" s="63" t="n"/>
      <c r="E2253" s="63" t="n"/>
      <c r="F2253" s="63" t="n"/>
      <c r="G2253" s="63" t="n"/>
      <c r="H2253" s="63" t="n"/>
      <c r="I2253" s="63" t="n"/>
      <c r="J2253" s="63" t="n"/>
      <c r="K2253" s="63" t="n"/>
      <c r="L2253" s="63" t="n"/>
      <c r="M2253" s="63" t="n"/>
      <c r="N2253" s="63" t="n"/>
      <c r="O2253" s="63" t="n"/>
    </row>
    <row r="2254" ht="13.5" customHeight="1">
      <c r="B2254" s="63" t="n"/>
      <c r="E2254" s="63" t="n"/>
      <c r="F2254" s="63" t="n"/>
      <c r="G2254" s="63" t="n"/>
      <c r="H2254" s="63" t="n"/>
      <c r="I2254" s="63" t="n"/>
      <c r="J2254" s="63" t="n"/>
      <c r="K2254" s="63" t="n"/>
      <c r="L2254" s="63" t="n"/>
      <c r="M2254" s="63" t="n"/>
      <c r="N2254" s="63" t="n"/>
      <c r="O2254" s="63" t="n"/>
    </row>
    <row r="2255" ht="13.5" customHeight="1">
      <c r="B2255" s="63" t="n"/>
      <c r="E2255" s="63" t="n"/>
      <c r="F2255" s="63" t="n"/>
      <c r="G2255" s="63" t="n"/>
      <c r="H2255" s="63" t="n"/>
      <c r="I2255" s="63" t="n"/>
      <c r="J2255" s="63" t="n"/>
      <c r="K2255" s="63" t="n"/>
      <c r="L2255" s="63" t="n"/>
      <c r="M2255" s="63" t="n"/>
      <c r="N2255" s="63" t="n"/>
      <c r="O2255" s="63" t="n"/>
    </row>
    <row r="2256" ht="13.5" customHeight="1">
      <c r="B2256" s="63" t="n"/>
      <c r="E2256" s="63" t="n"/>
      <c r="F2256" s="63" t="n"/>
      <c r="G2256" s="63" t="n"/>
      <c r="H2256" s="63" t="n"/>
      <c r="I2256" s="63" t="n"/>
      <c r="J2256" s="63" t="n"/>
      <c r="K2256" s="63" t="n"/>
      <c r="L2256" s="63" t="n"/>
      <c r="M2256" s="63" t="n"/>
      <c r="N2256" s="63" t="n"/>
      <c r="O2256" s="63" t="n"/>
    </row>
    <row r="2257" ht="13.5" customHeight="1">
      <c r="B2257" s="63" t="n"/>
      <c r="E2257" s="63" t="n"/>
      <c r="F2257" s="63" t="n"/>
      <c r="G2257" s="63" t="n"/>
      <c r="H2257" s="63" t="n"/>
      <c r="I2257" s="63" t="n"/>
      <c r="J2257" s="63" t="n"/>
      <c r="K2257" s="63" t="n"/>
      <c r="L2257" s="63" t="n"/>
      <c r="M2257" s="63" t="n"/>
      <c r="N2257" s="63" t="n"/>
      <c r="O2257" s="63" t="n"/>
    </row>
    <row r="2258" ht="13.5" customHeight="1">
      <c r="B2258" s="63" t="n"/>
      <c r="E2258" s="63" t="n"/>
      <c r="F2258" s="63" t="n"/>
      <c r="G2258" s="63" t="n"/>
      <c r="H2258" s="63" t="n"/>
      <c r="I2258" s="63" t="n"/>
      <c r="J2258" s="63" t="n"/>
      <c r="K2258" s="63" t="n"/>
      <c r="L2258" s="63" t="n"/>
      <c r="M2258" s="63" t="n"/>
      <c r="N2258" s="63" t="n"/>
      <c r="O2258" s="63" t="n"/>
    </row>
    <row r="2259" ht="13.5" customHeight="1">
      <c r="B2259" s="63" t="n"/>
      <c r="E2259" s="63" t="n"/>
      <c r="F2259" s="63" t="n"/>
      <c r="G2259" s="63" t="n"/>
      <c r="H2259" s="63" t="n"/>
      <c r="I2259" s="63" t="n"/>
      <c r="J2259" s="63" t="n"/>
      <c r="K2259" s="63" t="n"/>
      <c r="L2259" s="63" t="n"/>
      <c r="M2259" s="63" t="n"/>
      <c r="N2259" s="63" t="n"/>
      <c r="O2259" s="63" t="n"/>
    </row>
    <row r="2260" ht="13.5" customHeight="1">
      <c r="B2260" s="63" t="n"/>
      <c r="E2260" s="63" t="n"/>
      <c r="F2260" s="63" t="n"/>
      <c r="G2260" s="63" t="n"/>
      <c r="H2260" s="63" t="n"/>
      <c r="I2260" s="63" t="n"/>
      <c r="J2260" s="63" t="n"/>
      <c r="K2260" s="63" t="n"/>
      <c r="L2260" s="63" t="n"/>
      <c r="M2260" s="63" t="n"/>
      <c r="N2260" s="63" t="n"/>
      <c r="O2260" s="63" t="n"/>
    </row>
    <row r="2261" ht="13.5" customHeight="1">
      <c r="B2261" s="63" t="n"/>
      <c r="E2261" s="63" t="n"/>
      <c r="F2261" s="63" t="n"/>
      <c r="G2261" s="63" t="n"/>
      <c r="H2261" s="63" t="n"/>
      <c r="I2261" s="63" t="n"/>
      <c r="J2261" s="63" t="n"/>
      <c r="K2261" s="63" t="n"/>
      <c r="L2261" s="63" t="n"/>
      <c r="M2261" s="63" t="n"/>
      <c r="N2261" s="63" t="n"/>
      <c r="O2261" s="63" t="n"/>
    </row>
    <row r="2262" ht="13.5" customHeight="1">
      <c r="B2262" s="63" t="n"/>
      <c r="E2262" s="63" t="n"/>
      <c r="F2262" s="63" t="n"/>
      <c r="G2262" s="63" t="n"/>
      <c r="H2262" s="63" t="n"/>
      <c r="I2262" s="63" t="n"/>
      <c r="J2262" s="63" t="n"/>
      <c r="K2262" s="63" t="n"/>
      <c r="L2262" s="63" t="n"/>
      <c r="M2262" s="63" t="n"/>
      <c r="N2262" s="63" t="n"/>
      <c r="O2262" s="63" t="n"/>
    </row>
    <row r="2263" ht="13.5" customHeight="1">
      <c r="B2263" s="63" t="n"/>
      <c r="E2263" s="63" t="n"/>
      <c r="F2263" s="63" t="n"/>
      <c r="G2263" s="63" t="n"/>
      <c r="H2263" s="63" t="n"/>
      <c r="I2263" s="63" t="n"/>
      <c r="J2263" s="63" t="n"/>
      <c r="K2263" s="63" t="n"/>
      <c r="L2263" s="63" t="n"/>
      <c r="M2263" s="63" t="n"/>
      <c r="N2263" s="63" t="n"/>
      <c r="O2263" s="63" t="n"/>
    </row>
    <row r="2264" ht="13.5" customHeight="1">
      <c r="B2264" s="63" t="n"/>
      <c r="E2264" s="63" t="n"/>
      <c r="F2264" s="63" t="n"/>
      <c r="G2264" s="63" t="n"/>
      <c r="H2264" s="63" t="n"/>
      <c r="I2264" s="63" t="n"/>
      <c r="J2264" s="63" t="n"/>
      <c r="K2264" s="63" t="n"/>
      <c r="L2264" s="63" t="n"/>
      <c r="M2264" s="63" t="n"/>
      <c r="N2264" s="63" t="n"/>
      <c r="O2264" s="63" t="n"/>
    </row>
    <row r="2265" ht="13.5" customHeight="1">
      <c r="B2265" s="63" t="n"/>
      <c r="E2265" s="63" t="n"/>
      <c r="F2265" s="63" t="n"/>
      <c r="G2265" s="63" t="n"/>
      <c r="H2265" s="63" t="n"/>
      <c r="I2265" s="63" t="n"/>
      <c r="J2265" s="63" t="n"/>
      <c r="K2265" s="63" t="n"/>
      <c r="L2265" s="63" t="n"/>
      <c r="M2265" s="63" t="n"/>
      <c r="N2265" s="63" t="n"/>
      <c r="O2265" s="63" t="n"/>
    </row>
    <row r="2266" ht="13.5" customHeight="1">
      <c r="B2266" s="63" t="n"/>
      <c r="E2266" s="63" t="n"/>
      <c r="F2266" s="63" t="n"/>
      <c r="G2266" s="63" t="n"/>
      <c r="H2266" s="63" t="n"/>
      <c r="I2266" s="63" t="n"/>
      <c r="J2266" s="63" t="n"/>
      <c r="K2266" s="63" t="n"/>
      <c r="L2266" s="63" t="n"/>
      <c r="M2266" s="63" t="n"/>
      <c r="N2266" s="63" t="n"/>
      <c r="O2266" s="63" t="n"/>
    </row>
    <row r="2267" ht="13.5" customHeight="1">
      <c r="B2267" s="63" t="n"/>
      <c r="E2267" s="63" t="n"/>
      <c r="F2267" s="63" t="n"/>
      <c r="G2267" s="63" t="n"/>
      <c r="H2267" s="63" t="n"/>
      <c r="I2267" s="63" t="n"/>
      <c r="J2267" s="63" t="n"/>
      <c r="K2267" s="63" t="n"/>
      <c r="L2267" s="63" t="n"/>
      <c r="M2267" s="63" t="n"/>
      <c r="N2267" s="63" t="n"/>
      <c r="O2267" s="63" t="n"/>
    </row>
    <row r="2268" ht="13.5" customHeight="1">
      <c r="B2268" s="63" t="n"/>
      <c r="E2268" s="63" t="n"/>
      <c r="F2268" s="63" t="n"/>
      <c r="G2268" s="63" t="n"/>
      <c r="H2268" s="63" t="n"/>
      <c r="I2268" s="63" t="n"/>
      <c r="J2268" s="63" t="n"/>
      <c r="K2268" s="63" t="n"/>
      <c r="L2268" s="63" t="n"/>
      <c r="M2268" s="63" t="n"/>
      <c r="N2268" s="63" t="n"/>
      <c r="O2268" s="63" t="n"/>
    </row>
    <row r="2269" ht="13.5" customHeight="1">
      <c r="B2269" s="63" t="n"/>
      <c r="E2269" s="63" t="n"/>
      <c r="F2269" s="63" t="n"/>
      <c r="G2269" s="63" t="n"/>
      <c r="H2269" s="63" t="n"/>
      <c r="I2269" s="63" t="n"/>
      <c r="J2269" s="63" t="n"/>
      <c r="K2269" s="63" t="n"/>
      <c r="L2269" s="63" t="n"/>
      <c r="M2269" s="63" t="n"/>
      <c r="N2269" s="63" t="n"/>
      <c r="O2269" s="63" t="n"/>
    </row>
    <row r="2270" ht="13.5" customHeight="1">
      <c r="B2270" s="63" t="n"/>
      <c r="E2270" s="63" t="n"/>
      <c r="F2270" s="63" t="n"/>
      <c r="G2270" s="63" t="n"/>
      <c r="H2270" s="63" t="n"/>
      <c r="I2270" s="63" t="n"/>
      <c r="J2270" s="63" t="n"/>
      <c r="K2270" s="63" t="n"/>
      <c r="L2270" s="63" t="n"/>
      <c r="M2270" s="63" t="n"/>
      <c r="N2270" s="63" t="n"/>
      <c r="O2270" s="63" t="n"/>
    </row>
    <row r="2271" ht="13.5" customHeight="1">
      <c r="B2271" s="63" t="n"/>
      <c r="E2271" s="63" t="n"/>
      <c r="F2271" s="63" t="n"/>
      <c r="G2271" s="63" t="n"/>
      <c r="H2271" s="63" t="n"/>
      <c r="I2271" s="63" t="n"/>
      <c r="J2271" s="63" t="n"/>
      <c r="K2271" s="63" t="n"/>
      <c r="L2271" s="63" t="n"/>
      <c r="M2271" s="63" t="n"/>
      <c r="N2271" s="63" t="n"/>
      <c r="O2271" s="63" t="n"/>
    </row>
    <row r="2272" ht="13.5" customHeight="1">
      <c r="B2272" s="63" t="n"/>
      <c r="E2272" s="63" t="n"/>
      <c r="F2272" s="63" t="n"/>
      <c r="G2272" s="63" t="n"/>
      <c r="H2272" s="63" t="n"/>
      <c r="I2272" s="63" t="n"/>
      <c r="J2272" s="63" t="n"/>
      <c r="K2272" s="63" t="n"/>
      <c r="L2272" s="63" t="n"/>
      <c r="M2272" s="63" t="n"/>
      <c r="N2272" s="63" t="n"/>
      <c r="O2272" s="63" t="n"/>
    </row>
    <row r="2273" ht="13.5" customHeight="1">
      <c r="B2273" s="63" t="n"/>
      <c r="E2273" s="63" t="n"/>
      <c r="F2273" s="63" t="n"/>
      <c r="G2273" s="63" t="n"/>
      <c r="H2273" s="63" t="n"/>
      <c r="I2273" s="63" t="n"/>
      <c r="J2273" s="63" t="n"/>
      <c r="K2273" s="63" t="n"/>
      <c r="L2273" s="63" t="n"/>
      <c r="M2273" s="63" t="n"/>
      <c r="N2273" s="63" t="n"/>
      <c r="O2273" s="63" t="n"/>
    </row>
    <row r="2274" ht="13.5" customHeight="1">
      <c r="B2274" s="63" t="n"/>
      <c r="E2274" s="63" t="n"/>
      <c r="F2274" s="63" t="n"/>
      <c r="G2274" s="63" t="n"/>
      <c r="H2274" s="63" t="n"/>
      <c r="I2274" s="63" t="n"/>
      <c r="J2274" s="63" t="n"/>
      <c r="K2274" s="63" t="n"/>
      <c r="L2274" s="63" t="n"/>
      <c r="M2274" s="63" t="n"/>
      <c r="N2274" s="63" t="n"/>
      <c r="O2274" s="63" t="n"/>
    </row>
    <row r="2275" ht="13.5" customHeight="1">
      <c r="B2275" s="63" t="n"/>
      <c r="E2275" s="63" t="n"/>
      <c r="F2275" s="63" t="n"/>
      <c r="G2275" s="63" t="n"/>
      <c r="H2275" s="63" t="n"/>
      <c r="I2275" s="63" t="n"/>
      <c r="J2275" s="63" t="n"/>
      <c r="K2275" s="63" t="n"/>
      <c r="L2275" s="63" t="n"/>
      <c r="M2275" s="63" t="n"/>
      <c r="N2275" s="63" t="n"/>
      <c r="O2275" s="63" t="n"/>
    </row>
    <row r="2276" ht="13.5" customHeight="1">
      <c r="B2276" s="63" t="n"/>
      <c r="E2276" s="63" t="n"/>
      <c r="F2276" s="63" t="n"/>
      <c r="G2276" s="63" t="n"/>
      <c r="H2276" s="63" t="n"/>
      <c r="I2276" s="63" t="n"/>
      <c r="J2276" s="63" t="n"/>
      <c r="K2276" s="63" t="n"/>
      <c r="L2276" s="63" t="n"/>
      <c r="M2276" s="63" t="n"/>
      <c r="N2276" s="63" t="n"/>
      <c r="O2276" s="63" t="n"/>
    </row>
    <row r="2277" ht="13.5" customHeight="1">
      <c r="B2277" s="63" t="n"/>
      <c r="E2277" s="63" t="n"/>
      <c r="F2277" s="63" t="n"/>
      <c r="G2277" s="63" t="n"/>
      <c r="H2277" s="63" t="n"/>
      <c r="I2277" s="63" t="n"/>
      <c r="J2277" s="63" t="n"/>
      <c r="K2277" s="63" t="n"/>
      <c r="L2277" s="63" t="n"/>
      <c r="M2277" s="63" t="n"/>
      <c r="N2277" s="63" t="n"/>
      <c r="O2277" s="63" t="n"/>
    </row>
    <row r="2278" ht="13.5" customHeight="1">
      <c r="B2278" s="63" t="n"/>
      <c r="E2278" s="63" t="n"/>
      <c r="F2278" s="63" t="n"/>
      <c r="G2278" s="63" t="n"/>
      <c r="H2278" s="63" t="n"/>
      <c r="I2278" s="63" t="n"/>
      <c r="J2278" s="63" t="n"/>
      <c r="K2278" s="63" t="n"/>
      <c r="L2278" s="63" t="n"/>
      <c r="M2278" s="63" t="n"/>
      <c r="N2278" s="63" t="n"/>
      <c r="O2278" s="63" t="n"/>
    </row>
    <row r="2279" ht="13.5" customHeight="1">
      <c r="B2279" s="63" t="n"/>
      <c r="E2279" s="63" t="n"/>
      <c r="F2279" s="63" t="n"/>
      <c r="G2279" s="63" t="n"/>
      <c r="H2279" s="63" t="n"/>
      <c r="I2279" s="63" t="n"/>
      <c r="J2279" s="63" t="n"/>
      <c r="K2279" s="63" t="n"/>
      <c r="L2279" s="63" t="n"/>
      <c r="M2279" s="63" t="n"/>
      <c r="N2279" s="63" t="n"/>
      <c r="O2279" s="63" t="n"/>
    </row>
    <row r="2280" ht="13.5" customHeight="1">
      <c r="B2280" s="63" t="n"/>
      <c r="E2280" s="63" t="n"/>
      <c r="F2280" s="63" t="n"/>
      <c r="G2280" s="63" t="n"/>
      <c r="H2280" s="63" t="n"/>
      <c r="I2280" s="63" t="n"/>
      <c r="J2280" s="63" t="n"/>
      <c r="K2280" s="63" t="n"/>
      <c r="L2280" s="63" t="n"/>
      <c r="M2280" s="63" t="n"/>
      <c r="N2280" s="63" t="n"/>
      <c r="O2280" s="63" t="n"/>
    </row>
    <row r="2281" ht="13.5" customHeight="1">
      <c r="B2281" s="63" t="n"/>
      <c r="E2281" s="63" t="n"/>
      <c r="F2281" s="63" t="n"/>
      <c r="G2281" s="63" t="n"/>
      <c r="H2281" s="63" t="n"/>
      <c r="I2281" s="63" t="n"/>
      <c r="J2281" s="63" t="n"/>
      <c r="K2281" s="63" t="n"/>
      <c r="L2281" s="63" t="n"/>
      <c r="M2281" s="63" t="n"/>
      <c r="N2281" s="63" t="n"/>
      <c r="O2281" s="63" t="n"/>
    </row>
    <row r="2282" ht="13.5" customHeight="1">
      <c r="B2282" s="63" t="n"/>
      <c r="E2282" s="63" t="n"/>
      <c r="F2282" s="63" t="n"/>
      <c r="G2282" s="63" t="n"/>
      <c r="H2282" s="63" t="n"/>
      <c r="I2282" s="63" t="n"/>
      <c r="J2282" s="63" t="n"/>
      <c r="K2282" s="63" t="n"/>
      <c r="L2282" s="63" t="n"/>
      <c r="M2282" s="63" t="n"/>
      <c r="N2282" s="63" t="n"/>
      <c r="O2282" s="63" t="n"/>
    </row>
    <row r="2283" ht="13.5" customHeight="1">
      <c r="B2283" s="63" t="n"/>
      <c r="E2283" s="63" t="n"/>
      <c r="F2283" s="63" t="n"/>
      <c r="G2283" s="63" t="n"/>
      <c r="H2283" s="63" t="n"/>
      <c r="I2283" s="63" t="n"/>
      <c r="J2283" s="63" t="n"/>
      <c r="K2283" s="63" t="n"/>
      <c r="L2283" s="63" t="n"/>
      <c r="M2283" s="63" t="n"/>
      <c r="N2283" s="63" t="n"/>
      <c r="O2283" s="63" t="n"/>
    </row>
    <row r="2284" ht="13.5" customHeight="1">
      <c r="B2284" s="63" t="n"/>
      <c r="E2284" s="63" t="n"/>
      <c r="F2284" s="63" t="n"/>
      <c r="G2284" s="63" t="n"/>
      <c r="H2284" s="63" t="n"/>
      <c r="I2284" s="63" t="n"/>
      <c r="J2284" s="63" t="n"/>
      <c r="K2284" s="63" t="n"/>
      <c r="L2284" s="63" t="n"/>
      <c r="M2284" s="63" t="n"/>
      <c r="N2284" s="63" t="n"/>
      <c r="O2284" s="63" t="n"/>
    </row>
    <row r="2285" ht="13.5" customHeight="1">
      <c r="B2285" s="63" t="n"/>
      <c r="E2285" s="63" t="n"/>
      <c r="F2285" s="63" t="n"/>
      <c r="G2285" s="63" t="n"/>
      <c r="H2285" s="63" t="n"/>
      <c r="I2285" s="63" t="n"/>
      <c r="J2285" s="63" t="n"/>
      <c r="K2285" s="63" t="n"/>
      <c r="L2285" s="63" t="n"/>
      <c r="M2285" s="63" t="n"/>
      <c r="N2285" s="63" t="n"/>
      <c r="O2285" s="63" t="n"/>
    </row>
    <row r="2286" ht="13.5" customHeight="1">
      <c r="B2286" s="63" t="n"/>
      <c r="E2286" s="63" t="n"/>
      <c r="F2286" s="63" t="n"/>
      <c r="G2286" s="63" t="n"/>
      <c r="H2286" s="63" t="n"/>
      <c r="I2286" s="63" t="n"/>
      <c r="J2286" s="63" t="n"/>
      <c r="K2286" s="63" t="n"/>
      <c r="L2286" s="63" t="n"/>
      <c r="M2286" s="63" t="n"/>
      <c r="N2286" s="63" t="n"/>
      <c r="O2286" s="63" t="n"/>
    </row>
    <row r="2287" ht="13.5" customHeight="1">
      <c r="B2287" s="63" t="n"/>
      <c r="E2287" s="63" t="n"/>
      <c r="F2287" s="63" t="n"/>
      <c r="G2287" s="63" t="n"/>
      <c r="H2287" s="63" t="n"/>
      <c r="I2287" s="63" t="n"/>
      <c r="J2287" s="63" t="n"/>
      <c r="K2287" s="63" t="n"/>
      <c r="L2287" s="63" t="n"/>
      <c r="M2287" s="63" t="n"/>
      <c r="N2287" s="63" t="n"/>
      <c r="O2287" s="63" t="n"/>
    </row>
    <row r="2288" ht="13.5" customHeight="1">
      <c r="B2288" s="63" t="n"/>
      <c r="E2288" s="63" t="n"/>
      <c r="F2288" s="63" t="n"/>
      <c r="G2288" s="63" t="n"/>
      <c r="H2288" s="63" t="n"/>
      <c r="I2288" s="63" t="n"/>
      <c r="J2288" s="63" t="n"/>
      <c r="K2288" s="63" t="n"/>
      <c r="L2288" s="63" t="n"/>
      <c r="M2288" s="63" t="n"/>
      <c r="N2288" s="63" t="n"/>
      <c r="O2288" s="63" t="n"/>
    </row>
    <row r="2289" ht="13.5" customHeight="1">
      <c r="B2289" s="63" t="n"/>
      <c r="E2289" s="63" t="n"/>
      <c r="F2289" s="63" t="n"/>
      <c r="G2289" s="63" t="n"/>
      <c r="H2289" s="63" t="n"/>
      <c r="I2289" s="63" t="n"/>
      <c r="J2289" s="63" t="n"/>
      <c r="K2289" s="63" t="n"/>
      <c r="L2289" s="63" t="n"/>
      <c r="M2289" s="63" t="n"/>
      <c r="N2289" s="63" t="n"/>
      <c r="O2289" s="63" t="n"/>
    </row>
    <row r="2290" ht="13.5" customHeight="1">
      <c r="B2290" s="63" t="n"/>
      <c r="E2290" s="63" t="n"/>
      <c r="F2290" s="63" t="n"/>
      <c r="G2290" s="63" t="n"/>
      <c r="H2290" s="63" t="n"/>
      <c r="I2290" s="63" t="n"/>
      <c r="J2290" s="63" t="n"/>
      <c r="K2290" s="63" t="n"/>
      <c r="L2290" s="63" t="n"/>
      <c r="M2290" s="63" t="n"/>
      <c r="N2290" s="63" t="n"/>
      <c r="O2290" s="63" t="n"/>
    </row>
    <row r="2291" ht="13.5" customHeight="1">
      <c r="B2291" s="63" t="n"/>
      <c r="E2291" s="63" t="n"/>
      <c r="F2291" s="63" t="n"/>
      <c r="G2291" s="63" t="n"/>
      <c r="H2291" s="63" t="n"/>
      <c r="I2291" s="63" t="n"/>
      <c r="J2291" s="63" t="n"/>
      <c r="K2291" s="63" t="n"/>
      <c r="L2291" s="63" t="n"/>
      <c r="M2291" s="63" t="n"/>
      <c r="N2291" s="63" t="n"/>
      <c r="O2291" s="63" t="n"/>
    </row>
    <row r="2292" ht="13.5" customHeight="1">
      <c r="B2292" s="63" t="n"/>
      <c r="E2292" s="63" t="n"/>
      <c r="F2292" s="63" t="n"/>
      <c r="G2292" s="63" t="n"/>
      <c r="H2292" s="63" t="n"/>
      <c r="I2292" s="63" t="n"/>
      <c r="J2292" s="63" t="n"/>
      <c r="K2292" s="63" t="n"/>
      <c r="L2292" s="63" t="n"/>
      <c r="M2292" s="63" t="n"/>
      <c r="N2292" s="63" t="n"/>
      <c r="O2292" s="63" t="n"/>
    </row>
    <row r="2293" ht="13.5" customHeight="1">
      <c r="B2293" s="63" t="n"/>
      <c r="E2293" s="63" t="n"/>
      <c r="F2293" s="63" t="n"/>
      <c r="G2293" s="63" t="n"/>
      <c r="H2293" s="63" t="n"/>
      <c r="I2293" s="63" t="n"/>
      <c r="J2293" s="63" t="n"/>
      <c r="K2293" s="63" t="n"/>
      <c r="L2293" s="63" t="n"/>
      <c r="M2293" s="63" t="n"/>
      <c r="N2293" s="63" t="n"/>
      <c r="O2293" s="63" t="n"/>
    </row>
    <row r="2294" ht="13.5" customHeight="1">
      <c r="B2294" s="63" t="n"/>
      <c r="E2294" s="63" t="n"/>
      <c r="F2294" s="63" t="n"/>
      <c r="G2294" s="63" t="n"/>
      <c r="H2294" s="63" t="n"/>
      <c r="I2294" s="63" t="n"/>
      <c r="J2294" s="63" t="n"/>
      <c r="K2294" s="63" t="n"/>
      <c r="L2294" s="63" t="n"/>
      <c r="M2294" s="63" t="n"/>
      <c r="N2294" s="63" t="n"/>
      <c r="O2294" s="63" t="n"/>
    </row>
    <row r="2295" ht="13.5" customHeight="1">
      <c r="B2295" s="63" t="n"/>
      <c r="E2295" s="63" t="n"/>
      <c r="F2295" s="63" t="n"/>
      <c r="G2295" s="63" t="n"/>
      <c r="H2295" s="63" t="n"/>
      <c r="I2295" s="63" t="n"/>
      <c r="J2295" s="63" t="n"/>
      <c r="K2295" s="63" t="n"/>
      <c r="L2295" s="63" t="n"/>
      <c r="M2295" s="63" t="n"/>
      <c r="N2295" s="63" t="n"/>
      <c r="O2295" s="63" t="n"/>
    </row>
    <row r="2296" ht="13.5" customHeight="1">
      <c r="B2296" s="63" t="n"/>
      <c r="E2296" s="63" t="n"/>
      <c r="F2296" s="63" t="n"/>
      <c r="G2296" s="63" t="n"/>
      <c r="H2296" s="63" t="n"/>
      <c r="I2296" s="63" t="n"/>
      <c r="J2296" s="63" t="n"/>
      <c r="K2296" s="63" t="n"/>
      <c r="L2296" s="63" t="n"/>
      <c r="M2296" s="63" t="n"/>
      <c r="N2296" s="63" t="n"/>
      <c r="O2296" s="63" t="n"/>
    </row>
    <row r="2297" ht="13.5" customHeight="1">
      <c r="B2297" s="63" t="n"/>
      <c r="E2297" s="63" t="n"/>
      <c r="F2297" s="63" t="n"/>
      <c r="G2297" s="63" t="n"/>
      <c r="H2297" s="63" t="n"/>
      <c r="I2297" s="63" t="n"/>
      <c r="J2297" s="63" t="n"/>
      <c r="K2297" s="63" t="n"/>
      <c r="L2297" s="63" t="n"/>
      <c r="M2297" s="63" t="n"/>
      <c r="N2297" s="63" t="n"/>
      <c r="O2297" s="63" t="n"/>
    </row>
    <row r="2298" ht="13.5" customHeight="1">
      <c r="B2298" s="63" t="n"/>
      <c r="E2298" s="63" t="n"/>
      <c r="F2298" s="63" t="n"/>
      <c r="G2298" s="63" t="n"/>
      <c r="H2298" s="63" t="n"/>
      <c r="I2298" s="63" t="n"/>
      <c r="J2298" s="63" t="n"/>
      <c r="K2298" s="63" t="n"/>
      <c r="L2298" s="63" t="n"/>
      <c r="M2298" s="63" t="n"/>
      <c r="N2298" s="63" t="n"/>
      <c r="O2298" s="63" t="n"/>
    </row>
    <row r="2299" ht="13.5" customHeight="1">
      <c r="B2299" s="63" t="n"/>
      <c r="E2299" s="63" t="n"/>
      <c r="F2299" s="63" t="n"/>
      <c r="G2299" s="63" t="n"/>
      <c r="H2299" s="63" t="n"/>
      <c r="I2299" s="63" t="n"/>
      <c r="J2299" s="63" t="n"/>
      <c r="K2299" s="63" t="n"/>
      <c r="L2299" s="63" t="n"/>
      <c r="M2299" s="63" t="n"/>
      <c r="N2299" s="63" t="n"/>
      <c r="O2299" s="63" t="n"/>
    </row>
    <row r="2300" ht="13.5" customHeight="1">
      <c r="B2300" s="63" t="n"/>
      <c r="E2300" s="63" t="n"/>
      <c r="F2300" s="63" t="n"/>
      <c r="G2300" s="63" t="n"/>
      <c r="H2300" s="63" t="n"/>
      <c r="I2300" s="63" t="n"/>
      <c r="J2300" s="63" t="n"/>
      <c r="K2300" s="63" t="n"/>
      <c r="L2300" s="63" t="n"/>
      <c r="M2300" s="63" t="n"/>
      <c r="N2300" s="63" t="n"/>
      <c r="O2300" s="63" t="n"/>
    </row>
    <row r="2301" ht="13.5" customHeight="1">
      <c r="B2301" s="63" t="n"/>
      <c r="E2301" s="63" t="n"/>
      <c r="F2301" s="63" t="n"/>
      <c r="G2301" s="63" t="n"/>
      <c r="H2301" s="63" t="n"/>
      <c r="I2301" s="63" t="n"/>
      <c r="J2301" s="63" t="n"/>
      <c r="K2301" s="63" t="n"/>
      <c r="L2301" s="63" t="n"/>
      <c r="M2301" s="63" t="n"/>
      <c r="N2301" s="63" t="n"/>
      <c r="O2301" s="63" t="n"/>
    </row>
    <row r="2302" ht="13.5" customHeight="1">
      <c r="B2302" s="63" t="n"/>
      <c r="E2302" s="63" t="n"/>
      <c r="F2302" s="63" t="n"/>
      <c r="G2302" s="63" t="n"/>
      <c r="H2302" s="63" t="n"/>
      <c r="I2302" s="63" t="n"/>
      <c r="J2302" s="63" t="n"/>
      <c r="K2302" s="63" t="n"/>
      <c r="L2302" s="63" t="n"/>
      <c r="M2302" s="63" t="n"/>
      <c r="N2302" s="63" t="n"/>
      <c r="O2302" s="63" t="n"/>
    </row>
    <row r="2303" ht="13.5" customHeight="1">
      <c r="B2303" s="63" t="n"/>
      <c r="E2303" s="63" t="n"/>
      <c r="F2303" s="63" t="n"/>
      <c r="G2303" s="63" t="n"/>
      <c r="H2303" s="63" t="n"/>
      <c r="I2303" s="63" t="n"/>
      <c r="J2303" s="63" t="n"/>
      <c r="K2303" s="63" t="n"/>
      <c r="L2303" s="63" t="n"/>
      <c r="M2303" s="63" t="n"/>
      <c r="N2303" s="63" t="n"/>
      <c r="O2303" s="63" t="n"/>
    </row>
    <row r="2304" ht="13.5" customHeight="1">
      <c r="B2304" s="63" t="n"/>
      <c r="E2304" s="63" t="n"/>
      <c r="F2304" s="63" t="n"/>
      <c r="G2304" s="63" t="n"/>
      <c r="H2304" s="63" t="n"/>
      <c r="I2304" s="63" t="n"/>
      <c r="J2304" s="63" t="n"/>
      <c r="K2304" s="63" t="n"/>
      <c r="L2304" s="63" t="n"/>
      <c r="M2304" s="63" t="n"/>
      <c r="N2304" s="63" t="n"/>
      <c r="O2304" s="63" t="n"/>
    </row>
    <row r="2305" ht="13.5" customHeight="1">
      <c r="B2305" s="63" t="n"/>
      <c r="E2305" s="63" t="n"/>
      <c r="F2305" s="63" t="n"/>
      <c r="G2305" s="63" t="n"/>
      <c r="H2305" s="63" t="n"/>
      <c r="I2305" s="63" t="n"/>
      <c r="J2305" s="63" t="n"/>
      <c r="K2305" s="63" t="n"/>
      <c r="L2305" s="63" t="n"/>
      <c r="M2305" s="63" t="n"/>
      <c r="N2305" s="63" t="n"/>
      <c r="O2305" s="63" t="n"/>
    </row>
    <row r="2306" ht="13.5" customHeight="1">
      <c r="B2306" s="63" t="n"/>
      <c r="E2306" s="63" t="n"/>
      <c r="F2306" s="63" t="n"/>
      <c r="G2306" s="63" t="n"/>
      <c r="H2306" s="63" t="n"/>
      <c r="I2306" s="63" t="n"/>
      <c r="J2306" s="63" t="n"/>
      <c r="K2306" s="63" t="n"/>
      <c r="L2306" s="63" t="n"/>
      <c r="M2306" s="63" t="n"/>
      <c r="N2306" s="63" t="n"/>
      <c r="O2306" s="63" t="n"/>
    </row>
    <row r="2307" ht="13.5" customHeight="1">
      <c r="B2307" s="63" t="n"/>
      <c r="E2307" s="63" t="n"/>
      <c r="F2307" s="63" t="n"/>
      <c r="G2307" s="63" t="n"/>
      <c r="H2307" s="63" t="n"/>
      <c r="I2307" s="63" t="n"/>
      <c r="J2307" s="63" t="n"/>
      <c r="K2307" s="63" t="n"/>
      <c r="L2307" s="63" t="n"/>
      <c r="M2307" s="63" t="n"/>
      <c r="N2307" s="63" t="n"/>
      <c r="O2307" s="63" t="n"/>
    </row>
    <row r="2308" ht="13.5" customHeight="1">
      <c r="B2308" s="63" t="n"/>
      <c r="E2308" s="63" t="n"/>
      <c r="F2308" s="63" t="n"/>
      <c r="G2308" s="63" t="n"/>
      <c r="H2308" s="63" t="n"/>
      <c r="I2308" s="63" t="n"/>
      <c r="J2308" s="63" t="n"/>
      <c r="K2308" s="63" t="n"/>
      <c r="L2308" s="63" t="n"/>
      <c r="M2308" s="63" t="n"/>
      <c r="N2308" s="63" t="n"/>
      <c r="O2308" s="63" t="n"/>
    </row>
    <row r="2309" ht="13.5" customHeight="1">
      <c r="B2309" s="63" t="n"/>
      <c r="E2309" s="63" t="n"/>
      <c r="F2309" s="63" t="n"/>
      <c r="G2309" s="63" t="n"/>
      <c r="H2309" s="63" t="n"/>
      <c r="I2309" s="63" t="n"/>
      <c r="J2309" s="63" t="n"/>
      <c r="K2309" s="63" t="n"/>
      <c r="L2309" s="63" t="n"/>
      <c r="M2309" s="63" t="n"/>
      <c r="N2309" s="63" t="n"/>
      <c r="O2309" s="63" t="n"/>
    </row>
    <row r="2310" ht="13.5" customHeight="1">
      <c r="B2310" s="63" t="n"/>
      <c r="E2310" s="63" t="n"/>
      <c r="F2310" s="63" t="n"/>
      <c r="G2310" s="63" t="n"/>
      <c r="H2310" s="63" t="n"/>
      <c r="I2310" s="63" t="n"/>
      <c r="J2310" s="63" t="n"/>
      <c r="K2310" s="63" t="n"/>
      <c r="L2310" s="63" t="n"/>
      <c r="M2310" s="63" t="n"/>
      <c r="N2310" s="63" t="n"/>
      <c r="O2310" s="63" t="n"/>
    </row>
    <row r="2311" ht="13.5" customHeight="1">
      <c r="B2311" s="63" t="n"/>
      <c r="E2311" s="63" t="n"/>
      <c r="F2311" s="63" t="n"/>
      <c r="G2311" s="63" t="n"/>
      <c r="H2311" s="63" t="n"/>
      <c r="I2311" s="63" t="n"/>
      <c r="J2311" s="63" t="n"/>
      <c r="K2311" s="63" t="n"/>
      <c r="L2311" s="63" t="n"/>
      <c r="M2311" s="63" t="n"/>
      <c r="N2311" s="63" t="n"/>
      <c r="O2311" s="63" t="n"/>
    </row>
    <row r="2312" ht="13.5" customHeight="1">
      <c r="B2312" s="63" t="n"/>
      <c r="E2312" s="63" t="n"/>
      <c r="F2312" s="63" t="n"/>
      <c r="G2312" s="63" t="n"/>
      <c r="H2312" s="63" t="n"/>
      <c r="I2312" s="63" t="n"/>
      <c r="J2312" s="63" t="n"/>
      <c r="K2312" s="63" t="n"/>
      <c r="L2312" s="63" t="n"/>
      <c r="M2312" s="63" t="n"/>
      <c r="N2312" s="63" t="n"/>
      <c r="O2312" s="63" t="n"/>
    </row>
    <row r="2313" ht="13.5" customHeight="1">
      <c r="B2313" s="63" t="n"/>
      <c r="E2313" s="63" t="n"/>
      <c r="F2313" s="63" t="n"/>
      <c r="G2313" s="63" t="n"/>
      <c r="H2313" s="63" t="n"/>
      <c r="I2313" s="63" t="n"/>
      <c r="J2313" s="63" t="n"/>
      <c r="K2313" s="63" t="n"/>
      <c r="L2313" s="63" t="n"/>
      <c r="M2313" s="63" t="n"/>
      <c r="N2313" s="63" t="n"/>
      <c r="O2313" s="63" t="n"/>
    </row>
    <row r="2314" ht="13.5" customHeight="1">
      <c r="B2314" s="63" t="n"/>
      <c r="E2314" s="63" t="n"/>
      <c r="F2314" s="63" t="n"/>
      <c r="G2314" s="63" t="n"/>
      <c r="H2314" s="63" t="n"/>
      <c r="I2314" s="63" t="n"/>
      <c r="J2314" s="63" t="n"/>
      <c r="K2314" s="63" t="n"/>
      <c r="L2314" s="63" t="n"/>
      <c r="M2314" s="63" t="n"/>
      <c r="N2314" s="63" t="n"/>
      <c r="O2314" s="63" t="n"/>
    </row>
    <row r="2315" ht="13.5" customHeight="1">
      <c r="B2315" s="63" t="n"/>
      <c r="E2315" s="63" t="n"/>
      <c r="F2315" s="63" t="n"/>
      <c r="G2315" s="63" t="n"/>
      <c r="H2315" s="63" t="n"/>
      <c r="I2315" s="63" t="n"/>
      <c r="J2315" s="63" t="n"/>
      <c r="K2315" s="63" t="n"/>
      <c r="L2315" s="63" t="n"/>
      <c r="M2315" s="63" t="n"/>
      <c r="N2315" s="63" t="n"/>
      <c r="O2315" s="63" t="n"/>
    </row>
    <row r="2316" ht="13.5" customHeight="1">
      <c r="B2316" s="63" t="n"/>
      <c r="E2316" s="63" t="n"/>
      <c r="F2316" s="63" t="n"/>
      <c r="G2316" s="63" t="n"/>
      <c r="H2316" s="63" t="n"/>
      <c r="I2316" s="63" t="n"/>
      <c r="J2316" s="63" t="n"/>
      <c r="K2316" s="63" t="n"/>
      <c r="L2316" s="63" t="n"/>
      <c r="M2316" s="63" t="n"/>
      <c r="N2316" s="63" t="n"/>
      <c r="O2316" s="63" t="n"/>
    </row>
    <row r="2317" ht="13.5" customHeight="1">
      <c r="B2317" s="63" t="n"/>
      <c r="E2317" s="63" t="n"/>
      <c r="F2317" s="63" t="n"/>
      <c r="G2317" s="63" t="n"/>
      <c r="H2317" s="63" t="n"/>
      <c r="I2317" s="63" t="n"/>
      <c r="J2317" s="63" t="n"/>
      <c r="K2317" s="63" t="n"/>
      <c r="L2317" s="63" t="n"/>
      <c r="M2317" s="63" t="n"/>
      <c r="N2317" s="63" t="n"/>
      <c r="O2317" s="63" t="n"/>
    </row>
    <row r="2318" ht="13.5" customHeight="1">
      <c r="B2318" s="63" t="n"/>
      <c r="E2318" s="63" t="n"/>
      <c r="F2318" s="63" t="n"/>
      <c r="G2318" s="63" t="n"/>
      <c r="H2318" s="63" t="n"/>
      <c r="I2318" s="63" t="n"/>
      <c r="J2318" s="63" t="n"/>
      <c r="K2318" s="63" t="n"/>
      <c r="L2318" s="63" t="n"/>
      <c r="M2318" s="63" t="n"/>
      <c r="N2318" s="63" t="n"/>
      <c r="O2318" s="63" t="n"/>
    </row>
    <row r="2319" ht="13.5" customHeight="1">
      <c r="B2319" s="63" t="n"/>
      <c r="E2319" s="63" t="n"/>
      <c r="F2319" s="63" t="n"/>
      <c r="G2319" s="63" t="n"/>
      <c r="H2319" s="63" t="n"/>
      <c r="I2319" s="63" t="n"/>
      <c r="J2319" s="63" t="n"/>
      <c r="K2319" s="63" t="n"/>
      <c r="L2319" s="63" t="n"/>
      <c r="M2319" s="63" t="n"/>
      <c r="N2319" s="63" t="n"/>
      <c r="O2319" s="63" t="n"/>
    </row>
    <row r="2320" ht="13.5" customHeight="1">
      <c r="B2320" s="63" t="n"/>
      <c r="E2320" s="63" t="n"/>
      <c r="F2320" s="63" t="n"/>
      <c r="G2320" s="63" t="n"/>
      <c r="H2320" s="63" t="n"/>
      <c r="I2320" s="63" t="n"/>
      <c r="J2320" s="63" t="n"/>
      <c r="K2320" s="63" t="n"/>
      <c r="L2320" s="63" t="n"/>
      <c r="M2320" s="63" t="n"/>
      <c r="N2320" s="63" t="n"/>
      <c r="O2320" s="63" t="n"/>
    </row>
    <row r="2321" ht="13.5" customHeight="1">
      <c r="B2321" s="63" t="n"/>
      <c r="E2321" s="63" t="n"/>
      <c r="F2321" s="63" t="n"/>
      <c r="G2321" s="63" t="n"/>
      <c r="H2321" s="63" t="n"/>
      <c r="I2321" s="63" t="n"/>
      <c r="J2321" s="63" t="n"/>
      <c r="K2321" s="63" t="n"/>
      <c r="L2321" s="63" t="n"/>
      <c r="M2321" s="63" t="n"/>
      <c r="N2321" s="63" t="n"/>
      <c r="O2321" s="63" t="n"/>
    </row>
    <row r="2322" ht="13.5" customHeight="1">
      <c r="B2322" s="63" t="n"/>
      <c r="E2322" s="63" t="n"/>
      <c r="F2322" s="63" t="n"/>
      <c r="G2322" s="63" t="n"/>
      <c r="H2322" s="63" t="n"/>
      <c r="I2322" s="63" t="n"/>
      <c r="J2322" s="63" t="n"/>
      <c r="K2322" s="63" t="n"/>
      <c r="L2322" s="63" t="n"/>
      <c r="M2322" s="63" t="n"/>
      <c r="N2322" s="63" t="n"/>
      <c r="O2322" s="63" t="n"/>
    </row>
    <row r="2323" ht="13.5" customHeight="1">
      <c r="B2323" s="63" t="n"/>
      <c r="E2323" s="63" t="n"/>
      <c r="F2323" s="63" t="n"/>
      <c r="G2323" s="63" t="n"/>
      <c r="H2323" s="63" t="n"/>
      <c r="I2323" s="63" t="n"/>
      <c r="J2323" s="63" t="n"/>
      <c r="K2323" s="63" t="n"/>
      <c r="L2323" s="63" t="n"/>
      <c r="M2323" s="63" t="n"/>
      <c r="N2323" s="63" t="n"/>
      <c r="O2323" s="63" t="n"/>
    </row>
    <row r="2324" ht="13.5" customHeight="1">
      <c r="B2324" s="63" t="n"/>
      <c r="E2324" s="63" t="n"/>
      <c r="F2324" s="63" t="n"/>
      <c r="G2324" s="63" t="n"/>
      <c r="H2324" s="63" t="n"/>
      <c r="I2324" s="63" t="n"/>
      <c r="J2324" s="63" t="n"/>
      <c r="K2324" s="63" t="n"/>
      <c r="L2324" s="63" t="n"/>
      <c r="M2324" s="63" t="n"/>
      <c r="N2324" s="63" t="n"/>
      <c r="O2324" s="63" t="n"/>
    </row>
    <row r="2325" ht="13.5" customHeight="1">
      <c r="B2325" s="63" t="n"/>
      <c r="E2325" s="63" t="n"/>
      <c r="F2325" s="63" t="n"/>
      <c r="G2325" s="63" t="n"/>
      <c r="H2325" s="63" t="n"/>
      <c r="I2325" s="63" t="n"/>
      <c r="J2325" s="63" t="n"/>
      <c r="K2325" s="63" t="n"/>
      <c r="L2325" s="63" t="n"/>
      <c r="M2325" s="63" t="n"/>
      <c r="N2325" s="63" t="n"/>
      <c r="O2325" s="63" t="n"/>
    </row>
    <row r="2326" ht="13.5" customHeight="1">
      <c r="B2326" s="63" t="n"/>
      <c r="E2326" s="63" t="n"/>
      <c r="F2326" s="63" t="n"/>
      <c r="G2326" s="63" t="n"/>
      <c r="H2326" s="63" t="n"/>
      <c r="I2326" s="63" t="n"/>
      <c r="J2326" s="63" t="n"/>
      <c r="K2326" s="63" t="n"/>
      <c r="L2326" s="63" t="n"/>
      <c r="M2326" s="63" t="n"/>
      <c r="N2326" s="63" t="n"/>
      <c r="O2326" s="63" t="n"/>
    </row>
    <row r="2327" ht="13.5" customHeight="1">
      <c r="B2327" s="63" t="n"/>
      <c r="E2327" s="63" t="n"/>
      <c r="F2327" s="63" t="n"/>
      <c r="G2327" s="63" t="n"/>
      <c r="H2327" s="63" t="n"/>
      <c r="I2327" s="63" t="n"/>
      <c r="J2327" s="63" t="n"/>
      <c r="K2327" s="63" t="n"/>
      <c r="L2327" s="63" t="n"/>
      <c r="M2327" s="63" t="n"/>
      <c r="N2327" s="63" t="n"/>
      <c r="O2327" s="63" t="n"/>
    </row>
    <row r="2328" ht="13.5" customHeight="1">
      <c r="B2328" s="63" t="n"/>
      <c r="E2328" s="63" t="n"/>
      <c r="F2328" s="63" t="n"/>
      <c r="G2328" s="63" t="n"/>
      <c r="H2328" s="63" t="n"/>
      <c r="I2328" s="63" t="n"/>
      <c r="J2328" s="63" t="n"/>
      <c r="K2328" s="63" t="n"/>
      <c r="L2328" s="63" t="n"/>
      <c r="M2328" s="63" t="n"/>
      <c r="N2328" s="63" t="n"/>
      <c r="O2328" s="63" t="n"/>
    </row>
    <row r="2329" ht="13.5" customHeight="1">
      <c r="B2329" s="63" t="n"/>
      <c r="E2329" s="63" t="n"/>
      <c r="F2329" s="63" t="n"/>
      <c r="G2329" s="63" t="n"/>
      <c r="H2329" s="63" t="n"/>
      <c r="I2329" s="63" t="n"/>
      <c r="J2329" s="63" t="n"/>
      <c r="K2329" s="63" t="n"/>
      <c r="L2329" s="63" t="n"/>
      <c r="M2329" s="63" t="n"/>
      <c r="N2329" s="63" t="n"/>
      <c r="O2329" s="63" t="n"/>
    </row>
    <row r="2330" ht="13.5" customHeight="1">
      <c r="B2330" s="63" t="n"/>
      <c r="E2330" s="63" t="n"/>
      <c r="F2330" s="63" t="n"/>
      <c r="G2330" s="63" t="n"/>
      <c r="H2330" s="63" t="n"/>
      <c r="I2330" s="63" t="n"/>
      <c r="J2330" s="63" t="n"/>
      <c r="K2330" s="63" t="n"/>
      <c r="L2330" s="63" t="n"/>
      <c r="M2330" s="63" t="n"/>
      <c r="N2330" s="63" t="n"/>
      <c r="O2330" s="63" t="n"/>
    </row>
    <row r="2331" ht="13.5" customHeight="1">
      <c r="B2331" s="63" t="n"/>
      <c r="E2331" s="63" t="n"/>
      <c r="F2331" s="63" t="n"/>
      <c r="G2331" s="63" t="n"/>
      <c r="H2331" s="63" t="n"/>
      <c r="I2331" s="63" t="n"/>
      <c r="J2331" s="63" t="n"/>
      <c r="K2331" s="63" t="n"/>
      <c r="L2331" s="63" t="n"/>
      <c r="M2331" s="63" t="n"/>
      <c r="N2331" s="63" t="n"/>
      <c r="O2331" s="63" t="n"/>
    </row>
    <row r="2332" ht="13.5" customHeight="1">
      <c r="B2332" s="63" t="n"/>
      <c r="E2332" s="63" t="n"/>
      <c r="F2332" s="63" t="n"/>
      <c r="G2332" s="63" t="n"/>
      <c r="H2332" s="63" t="n"/>
      <c r="I2332" s="63" t="n"/>
      <c r="J2332" s="63" t="n"/>
      <c r="K2332" s="63" t="n"/>
      <c r="L2332" s="63" t="n"/>
      <c r="M2332" s="63" t="n"/>
      <c r="N2332" s="63" t="n"/>
      <c r="O2332" s="63" t="n"/>
    </row>
    <row r="2333" ht="13.5" customHeight="1">
      <c r="B2333" s="63" t="n"/>
      <c r="E2333" s="63" t="n"/>
      <c r="F2333" s="63" t="n"/>
      <c r="G2333" s="63" t="n"/>
      <c r="H2333" s="63" t="n"/>
      <c r="I2333" s="63" t="n"/>
      <c r="J2333" s="63" t="n"/>
      <c r="K2333" s="63" t="n"/>
      <c r="L2333" s="63" t="n"/>
      <c r="M2333" s="63" t="n"/>
      <c r="N2333" s="63" t="n"/>
      <c r="O2333" s="63" t="n"/>
    </row>
    <row r="2334" ht="13.5" customHeight="1">
      <c r="B2334" s="63" t="n"/>
      <c r="E2334" s="63" t="n"/>
      <c r="F2334" s="63" t="n"/>
      <c r="G2334" s="63" t="n"/>
      <c r="H2334" s="63" t="n"/>
      <c r="I2334" s="63" t="n"/>
      <c r="J2334" s="63" t="n"/>
      <c r="K2334" s="63" t="n"/>
      <c r="L2334" s="63" t="n"/>
      <c r="M2334" s="63" t="n"/>
      <c r="N2334" s="63" t="n"/>
      <c r="O2334" s="63" t="n"/>
    </row>
    <row r="2335" ht="13.5" customHeight="1">
      <c r="B2335" s="63" t="n"/>
      <c r="E2335" s="63" t="n"/>
      <c r="F2335" s="63" t="n"/>
      <c r="G2335" s="63" t="n"/>
      <c r="H2335" s="63" t="n"/>
      <c r="I2335" s="63" t="n"/>
      <c r="J2335" s="63" t="n"/>
      <c r="K2335" s="63" t="n"/>
      <c r="L2335" s="63" t="n"/>
      <c r="M2335" s="63" t="n"/>
      <c r="N2335" s="63" t="n"/>
      <c r="O2335" s="63" t="n"/>
    </row>
    <row r="2336" ht="13.5" customHeight="1">
      <c r="B2336" s="63" t="n"/>
      <c r="E2336" s="63" t="n"/>
      <c r="F2336" s="63" t="n"/>
      <c r="G2336" s="63" t="n"/>
      <c r="H2336" s="63" t="n"/>
      <c r="I2336" s="63" t="n"/>
      <c r="J2336" s="63" t="n"/>
      <c r="K2336" s="63" t="n"/>
      <c r="L2336" s="63" t="n"/>
      <c r="M2336" s="63" t="n"/>
      <c r="N2336" s="63" t="n"/>
      <c r="O2336" s="63" t="n"/>
    </row>
    <row r="2337" ht="13.5" customHeight="1">
      <c r="B2337" s="63" t="n"/>
      <c r="E2337" s="63" t="n"/>
      <c r="F2337" s="63" t="n"/>
      <c r="G2337" s="63" t="n"/>
      <c r="H2337" s="63" t="n"/>
      <c r="I2337" s="63" t="n"/>
      <c r="J2337" s="63" t="n"/>
      <c r="K2337" s="63" t="n"/>
      <c r="L2337" s="63" t="n"/>
      <c r="M2337" s="63" t="n"/>
      <c r="N2337" s="63" t="n"/>
      <c r="O2337" s="63" t="n"/>
    </row>
    <row r="2338" ht="13.5" customHeight="1">
      <c r="B2338" s="63" t="n"/>
      <c r="E2338" s="63" t="n"/>
      <c r="F2338" s="63" t="n"/>
      <c r="G2338" s="63" t="n"/>
      <c r="H2338" s="63" t="n"/>
      <c r="I2338" s="63" t="n"/>
      <c r="J2338" s="63" t="n"/>
      <c r="K2338" s="63" t="n"/>
      <c r="L2338" s="63" t="n"/>
      <c r="M2338" s="63" t="n"/>
      <c r="N2338" s="63" t="n"/>
      <c r="O2338" s="63" t="n"/>
    </row>
    <row r="2339" ht="13.5" customHeight="1">
      <c r="B2339" s="63" t="n"/>
      <c r="E2339" s="63" t="n"/>
      <c r="F2339" s="63" t="n"/>
      <c r="G2339" s="63" t="n"/>
      <c r="H2339" s="63" t="n"/>
      <c r="I2339" s="63" t="n"/>
      <c r="J2339" s="63" t="n"/>
      <c r="K2339" s="63" t="n"/>
      <c r="L2339" s="63" t="n"/>
      <c r="M2339" s="63" t="n"/>
      <c r="N2339" s="63" t="n"/>
      <c r="O2339" s="63" t="n"/>
    </row>
    <row r="2340" ht="13.5" customHeight="1">
      <c r="B2340" s="63" t="n"/>
      <c r="E2340" s="63" t="n"/>
      <c r="F2340" s="63" t="n"/>
      <c r="G2340" s="63" t="n"/>
      <c r="H2340" s="63" t="n"/>
      <c r="I2340" s="63" t="n"/>
      <c r="J2340" s="63" t="n"/>
      <c r="K2340" s="63" t="n"/>
      <c r="L2340" s="63" t="n"/>
      <c r="M2340" s="63" t="n"/>
      <c r="N2340" s="63" t="n"/>
      <c r="O2340" s="63" t="n"/>
    </row>
    <row r="2341" ht="13.5" customHeight="1">
      <c r="B2341" s="63" t="n"/>
      <c r="E2341" s="63" t="n"/>
      <c r="F2341" s="63" t="n"/>
      <c r="G2341" s="63" t="n"/>
      <c r="H2341" s="63" t="n"/>
      <c r="I2341" s="63" t="n"/>
      <c r="J2341" s="63" t="n"/>
      <c r="K2341" s="63" t="n"/>
      <c r="L2341" s="63" t="n"/>
      <c r="M2341" s="63" t="n"/>
      <c r="N2341" s="63" t="n"/>
      <c r="O2341" s="63" t="n"/>
    </row>
    <row r="2342" ht="13.5" customHeight="1">
      <c r="B2342" s="63" t="n"/>
      <c r="E2342" s="63" t="n"/>
      <c r="F2342" s="63" t="n"/>
      <c r="G2342" s="63" t="n"/>
      <c r="H2342" s="63" t="n"/>
      <c r="I2342" s="63" t="n"/>
      <c r="J2342" s="63" t="n"/>
      <c r="K2342" s="63" t="n"/>
      <c r="L2342" s="63" t="n"/>
      <c r="M2342" s="63" t="n"/>
      <c r="N2342" s="63" t="n"/>
      <c r="O2342" s="63" t="n"/>
    </row>
    <row r="2343" ht="13.5" customHeight="1">
      <c r="B2343" s="63" t="n"/>
      <c r="E2343" s="63" t="n"/>
      <c r="F2343" s="63" t="n"/>
      <c r="G2343" s="63" t="n"/>
      <c r="H2343" s="63" t="n"/>
      <c r="I2343" s="63" t="n"/>
      <c r="J2343" s="63" t="n"/>
      <c r="K2343" s="63" t="n"/>
      <c r="L2343" s="63" t="n"/>
      <c r="M2343" s="63" t="n"/>
      <c r="N2343" s="63" t="n"/>
      <c r="O2343" s="63" t="n"/>
    </row>
    <row r="2344" ht="13.5" customHeight="1">
      <c r="B2344" s="63" t="n"/>
      <c r="E2344" s="63" t="n"/>
      <c r="F2344" s="63" t="n"/>
      <c r="G2344" s="63" t="n"/>
      <c r="H2344" s="63" t="n"/>
      <c r="I2344" s="63" t="n"/>
      <c r="J2344" s="63" t="n"/>
      <c r="K2344" s="63" t="n"/>
      <c r="L2344" s="63" t="n"/>
      <c r="M2344" s="63" t="n"/>
      <c r="N2344" s="63" t="n"/>
      <c r="O2344" s="63" t="n"/>
    </row>
    <row r="2345" ht="13.5" customHeight="1">
      <c r="B2345" s="63" t="n"/>
      <c r="E2345" s="63" t="n"/>
      <c r="F2345" s="63" t="n"/>
      <c r="G2345" s="63" t="n"/>
      <c r="H2345" s="63" t="n"/>
      <c r="I2345" s="63" t="n"/>
      <c r="J2345" s="63" t="n"/>
      <c r="K2345" s="63" t="n"/>
      <c r="L2345" s="63" t="n"/>
      <c r="M2345" s="63" t="n"/>
      <c r="N2345" s="63" t="n"/>
      <c r="O2345" s="63" t="n"/>
    </row>
    <row r="2346" ht="13.5" customHeight="1">
      <c r="B2346" s="63" t="n"/>
      <c r="E2346" s="63" t="n"/>
      <c r="F2346" s="63" t="n"/>
      <c r="G2346" s="63" t="n"/>
      <c r="H2346" s="63" t="n"/>
      <c r="I2346" s="63" t="n"/>
      <c r="J2346" s="63" t="n"/>
      <c r="K2346" s="63" t="n"/>
      <c r="L2346" s="63" t="n"/>
      <c r="M2346" s="63" t="n"/>
      <c r="N2346" s="63" t="n"/>
      <c r="O2346" s="63" t="n"/>
    </row>
    <row r="2347" ht="13.5" customHeight="1">
      <c r="B2347" s="63" t="n"/>
      <c r="E2347" s="63" t="n"/>
      <c r="F2347" s="63" t="n"/>
      <c r="G2347" s="63" t="n"/>
      <c r="H2347" s="63" t="n"/>
      <c r="I2347" s="63" t="n"/>
      <c r="J2347" s="63" t="n"/>
      <c r="K2347" s="63" t="n"/>
      <c r="L2347" s="63" t="n"/>
      <c r="M2347" s="63" t="n"/>
      <c r="N2347" s="63" t="n"/>
      <c r="O2347" s="63" t="n"/>
    </row>
    <row r="2348" ht="13.5" customHeight="1">
      <c r="B2348" s="63" t="n"/>
      <c r="E2348" s="63" t="n"/>
      <c r="F2348" s="63" t="n"/>
      <c r="G2348" s="63" t="n"/>
      <c r="H2348" s="63" t="n"/>
      <c r="I2348" s="63" t="n"/>
      <c r="J2348" s="63" t="n"/>
      <c r="K2348" s="63" t="n"/>
      <c r="L2348" s="63" t="n"/>
      <c r="M2348" s="63" t="n"/>
      <c r="N2348" s="63" t="n"/>
      <c r="O2348" s="63" t="n"/>
    </row>
    <row r="2349" ht="13.5" customHeight="1">
      <c r="B2349" s="63" t="n"/>
      <c r="E2349" s="63" t="n"/>
      <c r="F2349" s="63" t="n"/>
      <c r="G2349" s="63" t="n"/>
      <c r="H2349" s="63" t="n"/>
      <c r="I2349" s="63" t="n"/>
      <c r="J2349" s="63" t="n"/>
      <c r="K2349" s="63" t="n"/>
      <c r="L2349" s="63" t="n"/>
      <c r="M2349" s="63" t="n"/>
      <c r="N2349" s="63" t="n"/>
      <c r="O2349" s="63" t="n"/>
    </row>
    <row r="2350" ht="13.5" customHeight="1">
      <c r="B2350" s="63" t="n"/>
      <c r="E2350" s="63" t="n"/>
      <c r="F2350" s="63" t="n"/>
      <c r="G2350" s="63" t="n"/>
      <c r="H2350" s="63" t="n"/>
      <c r="I2350" s="63" t="n"/>
      <c r="J2350" s="63" t="n"/>
      <c r="K2350" s="63" t="n"/>
      <c r="L2350" s="63" t="n"/>
      <c r="M2350" s="63" t="n"/>
      <c r="N2350" s="63" t="n"/>
      <c r="O2350" s="63" t="n"/>
    </row>
    <row r="2351" ht="13.5" customHeight="1">
      <c r="B2351" s="63" t="n"/>
      <c r="E2351" s="63" t="n"/>
      <c r="F2351" s="63" t="n"/>
      <c r="G2351" s="63" t="n"/>
      <c r="H2351" s="63" t="n"/>
      <c r="I2351" s="63" t="n"/>
      <c r="J2351" s="63" t="n"/>
      <c r="K2351" s="63" t="n"/>
      <c r="L2351" s="63" t="n"/>
      <c r="M2351" s="63" t="n"/>
      <c r="N2351" s="63" t="n"/>
      <c r="O2351" s="63" t="n"/>
    </row>
    <row r="2352" ht="13.5" customHeight="1">
      <c r="B2352" s="63" t="n"/>
      <c r="E2352" s="63" t="n"/>
      <c r="F2352" s="63" t="n"/>
      <c r="G2352" s="63" t="n"/>
      <c r="H2352" s="63" t="n"/>
      <c r="I2352" s="63" t="n"/>
      <c r="J2352" s="63" t="n"/>
      <c r="K2352" s="63" t="n"/>
      <c r="L2352" s="63" t="n"/>
      <c r="M2352" s="63" t="n"/>
      <c r="N2352" s="63" t="n"/>
      <c r="O2352" s="63" t="n"/>
    </row>
    <row r="2353" ht="13.5" customHeight="1">
      <c r="B2353" s="63" t="n"/>
      <c r="E2353" s="63" t="n"/>
      <c r="F2353" s="63" t="n"/>
      <c r="G2353" s="63" t="n"/>
      <c r="H2353" s="63" t="n"/>
      <c r="I2353" s="63" t="n"/>
      <c r="J2353" s="63" t="n"/>
      <c r="K2353" s="63" t="n"/>
      <c r="L2353" s="63" t="n"/>
      <c r="M2353" s="63" t="n"/>
      <c r="N2353" s="63" t="n"/>
      <c r="O2353" s="63" t="n"/>
    </row>
    <row r="2354" ht="13.5" customHeight="1">
      <c r="B2354" s="63" t="n"/>
      <c r="E2354" s="63" t="n"/>
      <c r="F2354" s="63" t="n"/>
      <c r="G2354" s="63" t="n"/>
      <c r="H2354" s="63" t="n"/>
      <c r="I2354" s="63" t="n"/>
      <c r="J2354" s="63" t="n"/>
      <c r="K2354" s="63" t="n"/>
      <c r="L2354" s="63" t="n"/>
      <c r="M2354" s="63" t="n"/>
      <c r="N2354" s="63" t="n"/>
      <c r="O2354" s="63" t="n"/>
    </row>
    <row r="2355" ht="13.5" customHeight="1">
      <c r="B2355" s="63" t="n"/>
      <c r="E2355" s="63" t="n"/>
      <c r="F2355" s="63" t="n"/>
      <c r="G2355" s="63" t="n"/>
      <c r="H2355" s="63" t="n"/>
      <c r="I2355" s="63" t="n"/>
      <c r="J2355" s="63" t="n"/>
      <c r="K2355" s="63" t="n"/>
      <c r="L2355" s="63" t="n"/>
      <c r="M2355" s="63" t="n"/>
      <c r="N2355" s="63" t="n"/>
      <c r="O2355" s="63" t="n"/>
    </row>
    <row r="2356" ht="13.5" customHeight="1">
      <c r="B2356" s="63" t="n"/>
      <c r="E2356" s="63" t="n"/>
      <c r="F2356" s="63" t="n"/>
      <c r="G2356" s="63" t="n"/>
      <c r="H2356" s="63" t="n"/>
      <c r="I2356" s="63" t="n"/>
      <c r="J2356" s="63" t="n"/>
      <c r="K2356" s="63" t="n"/>
      <c r="L2356" s="63" t="n"/>
      <c r="M2356" s="63" t="n"/>
      <c r="N2356" s="63" t="n"/>
      <c r="O2356" s="63" t="n"/>
    </row>
    <row r="2357" ht="13.5" customHeight="1">
      <c r="B2357" s="63" t="n"/>
      <c r="E2357" s="63" t="n"/>
      <c r="F2357" s="63" t="n"/>
      <c r="G2357" s="63" t="n"/>
      <c r="H2357" s="63" t="n"/>
      <c r="I2357" s="63" t="n"/>
      <c r="J2357" s="63" t="n"/>
      <c r="K2357" s="63" t="n"/>
      <c r="L2357" s="63" t="n"/>
      <c r="M2357" s="63" t="n"/>
      <c r="N2357" s="63" t="n"/>
      <c r="O2357" s="63" t="n"/>
    </row>
    <row r="2358" ht="13.5" customHeight="1">
      <c r="B2358" s="63" t="n"/>
      <c r="E2358" s="63" t="n"/>
      <c r="F2358" s="63" t="n"/>
      <c r="G2358" s="63" t="n"/>
      <c r="H2358" s="63" t="n"/>
      <c r="I2358" s="63" t="n"/>
      <c r="J2358" s="63" t="n"/>
      <c r="K2358" s="63" t="n"/>
      <c r="L2358" s="63" t="n"/>
      <c r="M2358" s="63" t="n"/>
      <c r="N2358" s="63" t="n"/>
      <c r="O2358" s="63" t="n"/>
    </row>
    <row r="2359" ht="13.5" customHeight="1">
      <c r="B2359" s="63" t="n"/>
      <c r="E2359" s="63" t="n"/>
      <c r="F2359" s="63" t="n"/>
      <c r="G2359" s="63" t="n"/>
      <c r="H2359" s="63" t="n"/>
      <c r="I2359" s="63" t="n"/>
      <c r="J2359" s="63" t="n"/>
      <c r="K2359" s="63" t="n"/>
      <c r="L2359" s="63" t="n"/>
      <c r="M2359" s="63" t="n"/>
      <c r="N2359" s="63" t="n"/>
      <c r="O2359" s="63" t="n"/>
    </row>
    <row r="2360" ht="13.5" customHeight="1">
      <c r="B2360" s="63" t="n"/>
      <c r="E2360" s="63" t="n"/>
      <c r="F2360" s="63" t="n"/>
      <c r="G2360" s="63" t="n"/>
      <c r="H2360" s="63" t="n"/>
      <c r="I2360" s="63" t="n"/>
      <c r="J2360" s="63" t="n"/>
      <c r="K2360" s="63" t="n"/>
      <c r="L2360" s="63" t="n"/>
      <c r="M2360" s="63" t="n"/>
      <c r="N2360" s="63" t="n"/>
      <c r="O2360" s="63" t="n"/>
    </row>
    <row r="2361" ht="13.5" customHeight="1">
      <c r="B2361" s="63" t="n"/>
      <c r="E2361" s="63" t="n"/>
      <c r="F2361" s="63" t="n"/>
      <c r="G2361" s="63" t="n"/>
      <c r="H2361" s="63" t="n"/>
      <c r="I2361" s="63" t="n"/>
      <c r="J2361" s="63" t="n"/>
      <c r="K2361" s="63" t="n"/>
      <c r="L2361" s="63" t="n"/>
      <c r="M2361" s="63" t="n"/>
      <c r="N2361" s="63" t="n"/>
      <c r="O2361" s="63" t="n"/>
    </row>
    <row r="2362" ht="13.5" customHeight="1">
      <c r="B2362" s="63" t="n"/>
      <c r="E2362" s="63" t="n"/>
      <c r="F2362" s="63" t="n"/>
      <c r="G2362" s="63" t="n"/>
      <c r="H2362" s="63" t="n"/>
      <c r="I2362" s="63" t="n"/>
      <c r="J2362" s="63" t="n"/>
      <c r="K2362" s="63" t="n"/>
      <c r="L2362" s="63" t="n"/>
      <c r="M2362" s="63" t="n"/>
      <c r="N2362" s="63" t="n"/>
      <c r="O2362" s="63" t="n"/>
    </row>
    <row r="2363" ht="13.5" customHeight="1">
      <c r="B2363" s="63" t="n"/>
      <c r="E2363" s="63" t="n"/>
      <c r="F2363" s="63" t="n"/>
      <c r="G2363" s="63" t="n"/>
      <c r="H2363" s="63" t="n"/>
      <c r="I2363" s="63" t="n"/>
      <c r="J2363" s="63" t="n"/>
      <c r="K2363" s="63" t="n"/>
      <c r="L2363" s="63" t="n"/>
      <c r="M2363" s="63" t="n"/>
      <c r="N2363" s="63" t="n"/>
      <c r="O2363" s="63" t="n"/>
    </row>
    <row r="2364" ht="13.5" customHeight="1">
      <c r="B2364" s="63" t="n"/>
      <c r="E2364" s="63" t="n"/>
      <c r="F2364" s="63" t="n"/>
      <c r="G2364" s="63" t="n"/>
      <c r="H2364" s="63" t="n"/>
      <c r="I2364" s="63" t="n"/>
      <c r="J2364" s="63" t="n"/>
      <c r="K2364" s="63" t="n"/>
      <c r="L2364" s="63" t="n"/>
      <c r="M2364" s="63" t="n"/>
      <c r="N2364" s="63" t="n"/>
      <c r="O2364" s="63" t="n"/>
    </row>
    <row r="2365" ht="13.5" customHeight="1">
      <c r="B2365" s="63" t="n"/>
      <c r="E2365" s="63" t="n"/>
      <c r="F2365" s="63" t="n"/>
      <c r="G2365" s="63" t="n"/>
      <c r="H2365" s="63" t="n"/>
      <c r="I2365" s="63" t="n"/>
      <c r="J2365" s="63" t="n"/>
      <c r="K2365" s="63" t="n"/>
      <c r="L2365" s="63" t="n"/>
      <c r="M2365" s="63" t="n"/>
      <c r="N2365" s="63" t="n"/>
      <c r="O2365" s="63" t="n"/>
    </row>
    <row r="2366" ht="13.5" customHeight="1">
      <c r="B2366" s="63" t="n"/>
      <c r="E2366" s="63" t="n"/>
      <c r="F2366" s="63" t="n"/>
      <c r="G2366" s="63" t="n"/>
      <c r="H2366" s="63" t="n"/>
      <c r="I2366" s="63" t="n"/>
      <c r="J2366" s="63" t="n"/>
      <c r="K2366" s="63" t="n"/>
      <c r="L2366" s="63" t="n"/>
      <c r="M2366" s="63" t="n"/>
      <c r="N2366" s="63" t="n"/>
      <c r="O2366" s="63" t="n"/>
    </row>
    <row r="2367" ht="13.5" customHeight="1">
      <c r="B2367" s="63" t="n"/>
      <c r="E2367" s="63" t="n"/>
      <c r="F2367" s="63" t="n"/>
      <c r="G2367" s="63" t="n"/>
      <c r="H2367" s="63" t="n"/>
      <c r="I2367" s="63" t="n"/>
      <c r="J2367" s="63" t="n"/>
      <c r="K2367" s="63" t="n"/>
      <c r="L2367" s="63" t="n"/>
      <c r="M2367" s="63" t="n"/>
      <c r="N2367" s="63" t="n"/>
      <c r="O2367" s="63" t="n"/>
    </row>
    <row r="2368" ht="13.5" customHeight="1">
      <c r="B2368" s="63" t="n"/>
      <c r="E2368" s="63" t="n"/>
      <c r="F2368" s="63" t="n"/>
      <c r="G2368" s="63" t="n"/>
      <c r="H2368" s="63" t="n"/>
      <c r="I2368" s="63" t="n"/>
      <c r="J2368" s="63" t="n"/>
      <c r="K2368" s="63" t="n"/>
      <c r="L2368" s="63" t="n"/>
      <c r="M2368" s="63" t="n"/>
      <c r="N2368" s="63" t="n"/>
      <c r="O2368" s="63" t="n"/>
    </row>
    <row r="2369" ht="13.5" customHeight="1">
      <c r="B2369" s="63" t="n"/>
      <c r="E2369" s="63" t="n"/>
      <c r="F2369" s="63" t="n"/>
      <c r="G2369" s="63" t="n"/>
      <c r="H2369" s="63" t="n"/>
      <c r="I2369" s="63" t="n"/>
      <c r="J2369" s="63" t="n"/>
      <c r="K2369" s="63" t="n"/>
      <c r="L2369" s="63" t="n"/>
      <c r="M2369" s="63" t="n"/>
      <c r="N2369" s="63" t="n"/>
      <c r="O2369" s="63" t="n"/>
    </row>
    <row r="2370" ht="13.5" customHeight="1">
      <c r="B2370" s="63" t="n"/>
      <c r="E2370" s="63" t="n"/>
      <c r="F2370" s="63" t="n"/>
      <c r="G2370" s="63" t="n"/>
      <c r="H2370" s="63" t="n"/>
      <c r="I2370" s="63" t="n"/>
      <c r="J2370" s="63" t="n"/>
      <c r="K2370" s="63" t="n"/>
      <c r="L2370" s="63" t="n"/>
      <c r="M2370" s="63" t="n"/>
      <c r="N2370" s="63" t="n"/>
      <c r="O2370" s="63" t="n"/>
    </row>
    <row r="2371" ht="13.5" customHeight="1">
      <c r="B2371" s="63" t="n"/>
      <c r="E2371" s="63" t="n"/>
      <c r="F2371" s="63" t="n"/>
      <c r="G2371" s="63" t="n"/>
      <c r="H2371" s="63" t="n"/>
      <c r="I2371" s="63" t="n"/>
      <c r="J2371" s="63" t="n"/>
      <c r="K2371" s="63" t="n"/>
      <c r="L2371" s="63" t="n"/>
      <c r="M2371" s="63" t="n"/>
      <c r="N2371" s="63" t="n"/>
      <c r="O2371" s="63" t="n"/>
    </row>
    <row r="2372" ht="13.5" customHeight="1">
      <c r="B2372" s="63" t="n"/>
      <c r="E2372" s="63" t="n"/>
      <c r="F2372" s="63" t="n"/>
      <c r="G2372" s="63" t="n"/>
      <c r="H2372" s="63" t="n"/>
      <c r="I2372" s="63" t="n"/>
      <c r="J2372" s="63" t="n"/>
      <c r="K2372" s="63" t="n"/>
      <c r="L2372" s="63" t="n"/>
      <c r="M2372" s="63" t="n"/>
      <c r="N2372" s="63" t="n"/>
      <c r="O2372" s="63" t="n"/>
    </row>
    <row r="2373" ht="13.5" customHeight="1">
      <c r="B2373" s="63" t="n"/>
      <c r="E2373" s="63" t="n"/>
      <c r="F2373" s="63" t="n"/>
      <c r="G2373" s="63" t="n"/>
      <c r="H2373" s="63" t="n"/>
      <c r="I2373" s="63" t="n"/>
      <c r="J2373" s="63" t="n"/>
      <c r="K2373" s="63" t="n"/>
      <c r="L2373" s="63" t="n"/>
      <c r="M2373" s="63" t="n"/>
      <c r="N2373" s="63" t="n"/>
      <c r="O2373" s="63" t="n"/>
    </row>
    <row r="2374" ht="13.5" customHeight="1">
      <c r="B2374" s="63" t="n"/>
      <c r="E2374" s="63" t="n"/>
      <c r="F2374" s="63" t="n"/>
      <c r="G2374" s="63" t="n"/>
      <c r="H2374" s="63" t="n"/>
      <c r="I2374" s="63" t="n"/>
      <c r="J2374" s="63" t="n"/>
      <c r="K2374" s="63" t="n"/>
      <c r="L2374" s="63" t="n"/>
      <c r="M2374" s="63" t="n"/>
      <c r="N2374" s="63" t="n"/>
      <c r="O2374" s="63" t="n"/>
    </row>
    <row r="2375" ht="13.5" customHeight="1">
      <c r="B2375" s="63" t="n"/>
      <c r="E2375" s="63" t="n"/>
      <c r="F2375" s="63" t="n"/>
      <c r="G2375" s="63" t="n"/>
      <c r="H2375" s="63" t="n"/>
      <c r="I2375" s="63" t="n"/>
      <c r="J2375" s="63" t="n"/>
      <c r="K2375" s="63" t="n"/>
      <c r="L2375" s="63" t="n"/>
      <c r="M2375" s="63" t="n"/>
      <c r="N2375" s="63" t="n"/>
      <c r="O2375" s="63" t="n"/>
    </row>
    <row r="2376" ht="13.5" customHeight="1">
      <c r="B2376" s="63" t="n"/>
      <c r="E2376" s="63" t="n"/>
      <c r="F2376" s="63" t="n"/>
      <c r="G2376" s="63" t="n"/>
      <c r="H2376" s="63" t="n"/>
      <c r="I2376" s="63" t="n"/>
      <c r="J2376" s="63" t="n"/>
      <c r="K2376" s="63" t="n"/>
      <c r="L2376" s="63" t="n"/>
      <c r="M2376" s="63" t="n"/>
      <c r="N2376" s="63" t="n"/>
      <c r="O2376" s="63" t="n"/>
    </row>
    <row r="2377" ht="13.5" customHeight="1">
      <c r="B2377" s="63" t="n"/>
      <c r="E2377" s="63" t="n"/>
      <c r="F2377" s="63" t="n"/>
      <c r="G2377" s="63" t="n"/>
      <c r="H2377" s="63" t="n"/>
      <c r="I2377" s="63" t="n"/>
      <c r="J2377" s="63" t="n"/>
      <c r="K2377" s="63" t="n"/>
      <c r="L2377" s="63" t="n"/>
      <c r="M2377" s="63" t="n"/>
      <c r="N2377" s="63" t="n"/>
      <c r="O2377" s="63" t="n"/>
    </row>
    <row r="2378" ht="13.5" customHeight="1">
      <c r="B2378" s="63" t="n"/>
      <c r="E2378" s="63" t="n"/>
      <c r="F2378" s="63" t="n"/>
      <c r="G2378" s="63" t="n"/>
      <c r="H2378" s="63" t="n"/>
      <c r="I2378" s="63" t="n"/>
      <c r="J2378" s="63" t="n"/>
      <c r="K2378" s="63" t="n"/>
      <c r="L2378" s="63" t="n"/>
      <c r="M2378" s="63" t="n"/>
      <c r="N2378" s="63" t="n"/>
      <c r="O2378" s="63" t="n"/>
    </row>
    <row r="2379" ht="13.5" customHeight="1">
      <c r="B2379" s="63" t="n"/>
      <c r="E2379" s="63" t="n"/>
      <c r="F2379" s="63" t="n"/>
      <c r="G2379" s="63" t="n"/>
      <c r="H2379" s="63" t="n"/>
      <c r="I2379" s="63" t="n"/>
      <c r="J2379" s="63" t="n"/>
      <c r="K2379" s="63" t="n"/>
      <c r="L2379" s="63" t="n"/>
      <c r="M2379" s="63" t="n"/>
      <c r="N2379" s="63" t="n"/>
      <c r="O2379" s="63" t="n"/>
    </row>
    <row r="2380" ht="13.5" customHeight="1">
      <c r="B2380" s="63" t="n"/>
      <c r="E2380" s="63" t="n"/>
      <c r="F2380" s="63" t="n"/>
      <c r="G2380" s="63" t="n"/>
      <c r="H2380" s="63" t="n"/>
      <c r="I2380" s="63" t="n"/>
      <c r="J2380" s="63" t="n"/>
      <c r="K2380" s="63" t="n"/>
      <c r="L2380" s="63" t="n"/>
      <c r="M2380" s="63" t="n"/>
      <c r="N2380" s="63" t="n"/>
      <c r="O2380" s="63" t="n"/>
    </row>
    <row r="2381" ht="13.5" customHeight="1">
      <c r="B2381" s="63" t="n"/>
      <c r="E2381" s="63" t="n"/>
      <c r="F2381" s="63" t="n"/>
      <c r="G2381" s="63" t="n"/>
      <c r="H2381" s="63" t="n"/>
      <c r="I2381" s="63" t="n"/>
      <c r="J2381" s="63" t="n"/>
      <c r="K2381" s="63" t="n"/>
      <c r="L2381" s="63" t="n"/>
      <c r="M2381" s="63" t="n"/>
      <c r="N2381" s="63" t="n"/>
      <c r="O2381" s="63" t="n"/>
    </row>
    <row r="2382" ht="13.5" customHeight="1">
      <c r="B2382" s="63" t="n"/>
      <c r="E2382" s="63" t="n"/>
      <c r="F2382" s="63" t="n"/>
      <c r="G2382" s="63" t="n"/>
      <c r="H2382" s="63" t="n"/>
      <c r="I2382" s="63" t="n"/>
      <c r="J2382" s="63" t="n"/>
      <c r="K2382" s="63" t="n"/>
      <c r="L2382" s="63" t="n"/>
      <c r="M2382" s="63" t="n"/>
      <c r="N2382" s="63" t="n"/>
      <c r="O2382" s="63" t="n"/>
    </row>
    <row r="2383" ht="13.5" customHeight="1">
      <c r="B2383" s="63" t="n"/>
      <c r="E2383" s="63" t="n"/>
      <c r="F2383" s="63" t="n"/>
      <c r="G2383" s="63" t="n"/>
      <c r="H2383" s="63" t="n"/>
      <c r="I2383" s="63" t="n"/>
      <c r="J2383" s="63" t="n"/>
      <c r="K2383" s="63" t="n"/>
      <c r="L2383" s="63" t="n"/>
      <c r="M2383" s="63" t="n"/>
      <c r="N2383" s="63" t="n"/>
      <c r="O2383" s="63" t="n"/>
    </row>
    <row r="2384" ht="13.5" customHeight="1">
      <c r="B2384" s="63" t="n"/>
      <c r="E2384" s="63" t="n"/>
      <c r="F2384" s="63" t="n"/>
      <c r="G2384" s="63" t="n"/>
      <c r="H2384" s="63" t="n"/>
      <c r="I2384" s="63" t="n"/>
      <c r="J2384" s="63" t="n"/>
      <c r="K2384" s="63" t="n"/>
      <c r="L2384" s="63" t="n"/>
      <c r="M2384" s="63" t="n"/>
      <c r="N2384" s="63" t="n"/>
      <c r="O2384" s="63" t="n"/>
    </row>
    <row r="2385" ht="13.5" customHeight="1">
      <c r="B2385" s="63" t="n"/>
      <c r="E2385" s="63" t="n"/>
      <c r="F2385" s="63" t="n"/>
      <c r="G2385" s="63" t="n"/>
      <c r="H2385" s="63" t="n"/>
      <c r="I2385" s="63" t="n"/>
      <c r="J2385" s="63" t="n"/>
      <c r="K2385" s="63" t="n"/>
      <c r="L2385" s="63" t="n"/>
      <c r="M2385" s="63" t="n"/>
      <c r="N2385" s="63" t="n"/>
      <c r="O2385" s="63" t="n"/>
    </row>
    <row r="2386" ht="13.5" customHeight="1">
      <c r="B2386" s="63" t="n"/>
      <c r="E2386" s="63" t="n"/>
      <c r="F2386" s="63" t="n"/>
      <c r="G2386" s="63" t="n"/>
      <c r="H2386" s="63" t="n"/>
      <c r="I2386" s="63" t="n"/>
      <c r="J2386" s="63" t="n"/>
      <c r="K2386" s="63" t="n"/>
      <c r="L2386" s="63" t="n"/>
      <c r="M2386" s="63" t="n"/>
      <c r="N2386" s="63" t="n"/>
      <c r="O2386" s="63" t="n"/>
    </row>
    <row r="2387" ht="13.5" customHeight="1">
      <c r="B2387" s="63" t="n"/>
      <c r="E2387" s="63" t="n"/>
      <c r="F2387" s="63" t="n"/>
      <c r="G2387" s="63" t="n"/>
      <c r="H2387" s="63" t="n"/>
      <c r="I2387" s="63" t="n"/>
      <c r="J2387" s="63" t="n"/>
      <c r="K2387" s="63" t="n"/>
      <c r="L2387" s="63" t="n"/>
      <c r="M2387" s="63" t="n"/>
      <c r="N2387" s="63" t="n"/>
      <c r="O2387" s="63" t="n"/>
    </row>
    <row r="2388" ht="13.5" customHeight="1">
      <c r="B2388" s="63" t="n"/>
      <c r="E2388" s="63" t="n"/>
      <c r="F2388" s="63" t="n"/>
      <c r="G2388" s="63" t="n"/>
      <c r="H2388" s="63" t="n"/>
      <c r="I2388" s="63" t="n"/>
      <c r="J2388" s="63" t="n"/>
      <c r="K2388" s="63" t="n"/>
      <c r="L2388" s="63" t="n"/>
      <c r="M2388" s="63" t="n"/>
      <c r="N2388" s="63" t="n"/>
      <c r="O2388" s="63" t="n"/>
    </row>
    <row r="2389" ht="13.5" customHeight="1">
      <c r="B2389" s="63" t="n"/>
      <c r="E2389" s="63" t="n"/>
      <c r="F2389" s="63" t="n"/>
      <c r="G2389" s="63" t="n"/>
      <c r="H2389" s="63" t="n"/>
      <c r="I2389" s="63" t="n"/>
      <c r="J2389" s="63" t="n"/>
      <c r="K2389" s="63" t="n"/>
      <c r="L2389" s="63" t="n"/>
      <c r="M2389" s="63" t="n"/>
      <c r="N2389" s="63" t="n"/>
      <c r="O2389" s="63" t="n"/>
    </row>
    <row r="2390" ht="13.5" customHeight="1">
      <c r="B2390" s="63" t="n"/>
      <c r="E2390" s="63" t="n"/>
      <c r="F2390" s="63" t="n"/>
      <c r="G2390" s="63" t="n"/>
      <c r="H2390" s="63" t="n"/>
      <c r="I2390" s="63" t="n"/>
      <c r="J2390" s="63" t="n"/>
      <c r="K2390" s="63" t="n"/>
      <c r="L2390" s="63" t="n"/>
      <c r="M2390" s="63" t="n"/>
      <c r="N2390" s="63" t="n"/>
      <c r="O2390" s="63" t="n"/>
    </row>
    <row r="2391" ht="13.5" customHeight="1">
      <c r="B2391" s="63" t="n"/>
      <c r="E2391" s="63" t="n"/>
      <c r="F2391" s="63" t="n"/>
      <c r="G2391" s="63" t="n"/>
      <c r="H2391" s="63" t="n"/>
      <c r="I2391" s="63" t="n"/>
      <c r="J2391" s="63" t="n"/>
      <c r="K2391" s="63" t="n"/>
      <c r="L2391" s="63" t="n"/>
      <c r="M2391" s="63" t="n"/>
      <c r="N2391" s="63" t="n"/>
      <c r="O2391" s="63" t="n"/>
    </row>
    <row r="2392" ht="13.5" customHeight="1">
      <c r="B2392" s="63" t="n"/>
      <c r="E2392" s="63" t="n"/>
      <c r="F2392" s="63" t="n"/>
      <c r="G2392" s="63" t="n"/>
      <c r="H2392" s="63" t="n"/>
      <c r="I2392" s="63" t="n"/>
      <c r="J2392" s="63" t="n"/>
      <c r="K2392" s="63" t="n"/>
      <c r="L2392" s="63" t="n"/>
      <c r="M2392" s="63" t="n"/>
      <c r="N2392" s="63" t="n"/>
      <c r="O2392" s="63" t="n"/>
    </row>
    <row r="2393" ht="13.5" customHeight="1">
      <c r="B2393" s="63" t="n"/>
      <c r="E2393" s="63" t="n"/>
      <c r="F2393" s="63" t="n"/>
      <c r="G2393" s="63" t="n"/>
      <c r="H2393" s="63" t="n"/>
      <c r="I2393" s="63" t="n"/>
      <c r="J2393" s="63" t="n"/>
      <c r="K2393" s="63" t="n"/>
      <c r="L2393" s="63" t="n"/>
      <c r="M2393" s="63" t="n"/>
      <c r="N2393" s="63" t="n"/>
      <c r="O2393" s="63" t="n"/>
    </row>
    <row r="2394" ht="13.5" customHeight="1">
      <c r="B2394" s="63" t="n"/>
      <c r="E2394" s="63" t="n"/>
      <c r="F2394" s="63" t="n"/>
      <c r="G2394" s="63" t="n"/>
      <c r="H2394" s="63" t="n"/>
      <c r="I2394" s="63" t="n"/>
      <c r="J2394" s="63" t="n"/>
      <c r="K2394" s="63" t="n"/>
      <c r="L2394" s="63" t="n"/>
      <c r="M2394" s="63" t="n"/>
      <c r="N2394" s="63" t="n"/>
      <c r="O2394" s="63" t="n"/>
    </row>
    <row r="2395" ht="13.5" customHeight="1">
      <c r="B2395" s="63" t="n"/>
      <c r="E2395" s="63" t="n"/>
      <c r="F2395" s="63" t="n"/>
      <c r="G2395" s="63" t="n"/>
      <c r="H2395" s="63" t="n"/>
      <c r="I2395" s="63" t="n"/>
      <c r="J2395" s="63" t="n"/>
      <c r="K2395" s="63" t="n"/>
      <c r="L2395" s="63" t="n"/>
      <c r="M2395" s="63" t="n"/>
      <c r="N2395" s="63" t="n"/>
      <c r="O2395" s="63" t="n"/>
    </row>
    <row r="2396" ht="13.5" customHeight="1">
      <c r="B2396" s="63" t="n"/>
      <c r="E2396" s="63" t="n"/>
      <c r="F2396" s="63" t="n"/>
      <c r="G2396" s="63" t="n"/>
      <c r="H2396" s="63" t="n"/>
      <c r="I2396" s="63" t="n"/>
      <c r="J2396" s="63" t="n"/>
      <c r="K2396" s="63" t="n"/>
      <c r="L2396" s="63" t="n"/>
      <c r="M2396" s="63" t="n"/>
      <c r="N2396" s="63" t="n"/>
      <c r="O2396" s="63" t="n"/>
    </row>
    <row r="2397" ht="13.5" customHeight="1">
      <c r="B2397" s="63" t="n"/>
      <c r="E2397" s="63" t="n"/>
      <c r="F2397" s="63" t="n"/>
      <c r="G2397" s="63" t="n"/>
      <c r="H2397" s="63" t="n"/>
      <c r="I2397" s="63" t="n"/>
      <c r="J2397" s="63" t="n"/>
      <c r="K2397" s="63" t="n"/>
      <c r="L2397" s="63" t="n"/>
      <c r="M2397" s="63" t="n"/>
      <c r="N2397" s="63" t="n"/>
      <c r="O2397" s="63" t="n"/>
    </row>
    <row r="2398" ht="13.5" customHeight="1">
      <c r="B2398" s="63" t="n"/>
      <c r="E2398" s="63" t="n"/>
      <c r="F2398" s="63" t="n"/>
      <c r="G2398" s="63" t="n"/>
      <c r="H2398" s="63" t="n"/>
      <c r="I2398" s="63" t="n"/>
      <c r="J2398" s="63" t="n"/>
      <c r="K2398" s="63" t="n"/>
      <c r="L2398" s="63" t="n"/>
      <c r="M2398" s="63" t="n"/>
      <c r="N2398" s="63" t="n"/>
      <c r="O2398" s="63" t="n"/>
    </row>
    <row r="2399" ht="13.5" customHeight="1">
      <c r="B2399" s="63" t="n"/>
      <c r="E2399" s="63" t="n"/>
      <c r="F2399" s="63" t="n"/>
      <c r="G2399" s="63" t="n"/>
      <c r="H2399" s="63" t="n"/>
      <c r="I2399" s="63" t="n"/>
      <c r="J2399" s="63" t="n"/>
      <c r="K2399" s="63" t="n"/>
      <c r="L2399" s="63" t="n"/>
      <c r="M2399" s="63" t="n"/>
      <c r="N2399" s="63" t="n"/>
      <c r="O2399" s="63" t="n"/>
    </row>
    <row r="2400" ht="13.5" customHeight="1">
      <c r="B2400" s="63" t="n"/>
      <c r="E2400" s="63" t="n"/>
      <c r="F2400" s="63" t="n"/>
      <c r="G2400" s="63" t="n"/>
      <c r="H2400" s="63" t="n"/>
      <c r="I2400" s="63" t="n"/>
      <c r="J2400" s="63" t="n"/>
      <c r="K2400" s="63" t="n"/>
      <c r="L2400" s="63" t="n"/>
      <c r="M2400" s="63" t="n"/>
      <c r="N2400" s="63" t="n"/>
      <c r="O2400" s="63" t="n"/>
    </row>
    <row r="2401" ht="13.5" customHeight="1">
      <c r="B2401" s="63" t="n"/>
      <c r="E2401" s="63" t="n"/>
      <c r="F2401" s="63" t="n"/>
      <c r="G2401" s="63" t="n"/>
      <c r="H2401" s="63" t="n"/>
      <c r="I2401" s="63" t="n"/>
      <c r="J2401" s="63" t="n"/>
      <c r="K2401" s="63" t="n"/>
      <c r="L2401" s="63" t="n"/>
      <c r="M2401" s="63" t="n"/>
      <c r="N2401" s="63" t="n"/>
      <c r="O2401" s="63" t="n"/>
    </row>
    <row r="2402" ht="13.5" customHeight="1">
      <c r="B2402" s="63" t="n"/>
      <c r="E2402" s="63" t="n"/>
      <c r="F2402" s="63" t="n"/>
      <c r="G2402" s="63" t="n"/>
      <c r="H2402" s="63" t="n"/>
      <c r="I2402" s="63" t="n"/>
      <c r="J2402" s="63" t="n"/>
      <c r="K2402" s="63" t="n"/>
      <c r="L2402" s="63" t="n"/>
      <c r="M2402" s="63" t="n"/>
      <c r="N2402" s="63" t="n"/>
      <c r="O2402" s="63" t="n"/>
    </row>
    <row r="2403" ht="13.5" customHeight="1">
      <c r="B2403" s="63" t="n"/>
      <c r="E2403" s="63" t="n"/>
      <c r="F2403" s="63" t="n"/>
      <c r="G2403" s="63" t="n"/>
      <c r="H2403" s="63" t="n"/>
      <c r="I2403" s="63" t="n"/>
      <c r="J2403" s="63" t="n"/>
      <c r="K2403" s="63" t="n"/>
      <c r="L2403" s="63" t="n"/>
      <c r="M2403" s="63" t="n"/>
      <c r="N2403" s="63" t="n"/>
      <c r="O2403" s="63" t="n"/>
    </row>
    <row r="2404" ht="13.5" customHeight="1">
      <c r="B2404" s="63" t="n"/>
      <c r="E2404" s="63" t="n"/>
      <c r="F2404" s="63" t="n"/>
      <c r="G2404" s="63" t="n"/>
      <c r="H2404" s="63" t="n"/>
      <c r="I2404" s="63" t="n"/>
      <c r="J2404" s="63" t="n"/>
      <c r="K2404" s="63" t="n"/>
      <c r="L2404" s="63" t="n"/>
      <c r="M2404" s="63" t="n"/>
      <c r="N2404" s="63" t="n"/>
      <c r="O2404" s="63" t="n"/>
    </row>
    <row r="2405" ht="13.5" customHeight="1">
      <c r="B2405" s="63" t="n"/>
      <c r="E2405" s="63" t="n"/>
      <c r="F2405" s="63" t="n"/>
      <c r="G2405" s="63" t="n"/>
      <c r="H2405" s="63" t="n"/>
      <c r="I2405" s="63" t="n"/>
      <c r="J2405" s="63" t="n"/>
      <c r="K2405" s="63" t="n"/>
      <c r="L2405" s="63" t="n"/>
      <c r="M2405" s="63" t="n"/>
      <c r="N2405" s="63" t="n"/>
      <c r="O2405" s="63" t="n"/>
    </row>
    <row r="2406" ht="13.5" customHeight="1">
      <c r="B2406" s="63" t="n"/>
      <c r="E2406" s="63" t="n"/>
      <c r="F2406" s="63" t="n"/>
      <c r="G2406" s="63" t="n"/>
      <c r="H2406" s="63" t="n"/>
      <c r="I2406" s="63" t="n"/>
      <c r="J2406" s="63" t="n"/>
      <c r="K2406" s="63" t="n"/>
      <c r="L2406" s="63" t="n"/>
      <c r="M2406" s="63" t="n"/>
      <c r="N2406" s="63" t="n"/>
      <c r="O2406" s="63" t="n"/>
    </row>
    <row r="2407" ht="13.5" customHeight="1">
      <c r="B2407" s="63" t="n"/>
      <c r="E2407" s="63" t="n"/>
      <c r="F2407" s="63" t="n"/>
      <c r="G2407" s="63" t="n"/>
      <c r="H2407" s="63" t="n"/>
      <c r="I2407" s="63" t="n"/>
      <c r="J2407" s="63" t="n"/>
      <c r="K2407" s="63" t="n"/>
      <c r="L2407" s="63" t="n"/>
      <c r="M2407" s="63" t="n"/>
      <c r="N2407" s="63" t="n"/>
      <c r="O2407" s="63" t="n"/>
    </row>
    <row r="2408" ht="13.5" customHeight="1">
      <c r="B2408" s="63" t="n"/>
      <c r="E2408" s="63" t="n"/>
      <c r="F2408" s="63" t="n"/>
      <c r="G2408" s="63" t="n"/>
      <c r="H2408" s="63" t="n"/>
      <c r="I2408" s="63" t="n"/>
      <c r="J2408" s="63" t="n"/>
      <c r="K2408" s="63" t="n"/>
      <c r="L2408" s="63" t="n"/>
      <c r="M2408" s="63" t="n"/>
      <c r="N2408" s="63" t="n"/>
      <c r="O2408" s="63" t="n"/>
    </row>
    <row r="2409" ht="13.5" customHeight="1">
      <c r="B2409" s="63" t="n"/>
      <c r="E2409" s="63" t="n"/>
      <c r="F2409" s="63" t="n"/>
      <c r="G2409" s="63" t="n"/>
      <c r="H2409" s="63" t="n"/>
      <c r="I2409" s="63" t="n"/>
      <c r="J2409" s="63" t="n"/>
      <c r="K2409" s="63" t="n"/>
      <c r="L2409" s="63" t="n"/>
      <c r="M2409" s="63" t="n"/>
      <c r="N2409" s="63" t="n"/>
      <c r="O2409" s="63" t="n"/>
    </row>
    <row r="2410" ht="13.5" customHeight="1">
      <c r="B2410" s="63" t="n"/>
      <c r="E2410" s="63" t="n"/>
      <c r="F2410" s="63" t="n"/>
      <c r="G2410" s="63" t="n"/>
      <c r="H2410" s="63" t="n"/>
      <c r="I2410" s="63" t="n"/>
      <c r="J2410" s="63" t="n"/>
      <c r="K2410" s="63" t="n"/>
      <c r="L2410" s="63" t="n"/>
      <c r="M2410" s="63" t="n"/>
      <c r="N2410" s="63" t="n"/>
      <c r="O2410" s="63" t="n"/>
    </row>
    <row r="2411" ht="13.5" customHeight="1">
      <c r="B2411" s="63" t="n"/>
      <c r="E2411" s="63" t="n"/>
      <c r="F2411" s="63" t="n"/>
      <c r="G2411" s="63" t="n"/>
      <c r="H2411" s="63" t="n"/>
      <c r="I2411" s="63" t="n"/>
      <c r="J2411" s="63" t="n"/>
      <c r="K2411" s="63" t="n"/>
      <c r="L2411" s="63" t="n"/>
      <c r="M2411" s="63" t="n"/>
      <c r="N2411" s="63" t="n"/>
      <c r="O2411" s="63" t="n"/>
    </row>
    <row r="2412" ht="13.5" customHeight="1">
      <c r="B2412" s="63" t="n"/>
      <c r="E2412" s="63" t="n"/>
      <c r="F2412" s="63" t="n"/>
      <c r="G2412" s="63" t="n"/>
      <c r="H2412" s="63" t="n"/>
      <c r="I2412" s="63" t="n"/>
      <c r="J2412" s="63" t="n"/>
      <c r="K2412" s="63" t="n"/>
      <c r="L2412" s="63" t="n"/>
      <c r="M2412" s="63" t="n"/>
      <c r="N2412" s="63" t="n"/>
      <c r="O2412" s="63" t="n"/>
    </row>
    <row r="2413" ht="13.5" customHeight="1">
      <c r="B2413" s="63" t="n"/>
      <c r="E2413" s="63" t="n"/>
      <c r="F2413" s="63" t="n"/>
      <c r="G2413" s="63" t="n"/>
      <c r="H2413" s="63" t="n"/>
      <c r="I2413" s="63" t="n"/>
      <c r="J2413" s="63" t="n"/>
      <c r="K2413" s="63" t="n"/>
      <c r="L2413" s="63" t="n"/>
      <c r="M2413" s="63" t="n"/>
      <c r="N2413" s="63" t="n"/>
      <c r="O2413" s="63" t="n"/>
    </row>
    <row r="2414" ht="13.5" customHeight="1">
      <c r="B2414" s="63" t="n"/>
      <c r="E2414" s="63" t="n"/>
      <c r="F2414" s="63" t="n"/>
      <c r="G2414" s="63" t="n"/>
      <c r="H2414" s="63" t="n"/>
      <c r="I2414" s="63" t="n"/>
      <c r="J2414" s="63" t="n"/>
      <c r="K2414" s="63" t="n"/>
      <c r="L2414" s="63" t="n"/>
      <c r="M2414" s="63" t="n"/>
      <c r="N2414" s="63" t="n"/>
      <c r="O2414" s="63" t="n"/>
    </row>
    <row r="2415" ht="13.5" customHeight="1">
      <c r="B2415" s="63" t="n"/>
      <c r="E2415" s="63" t="n"/>
      <c r="F2415" s="63" t="n"/>
      <c r="G2415" s="63" t="n"/>
      <c r="H2415" s="63" t="n"/>
      <c r="I2415" s="63" t="n"/>
      <c r="J2415" s="63" t="n"/>
      <c r="K2415" s="63" t="n"/>
      <c r="L2415" s="63" t="n"/>
      <c r="M2415" s="63" t="n"/>
      <c r="N2415" s="63" t="n"/>
      <c r="O2415" s="63" t="n"/>
    </row>
    <row r="2416" ht="13.5" customHeight="1">
      <c r="B2416" s="63" t="n"/>
      <c r="E2416" s="63" t="n"/>
      <c r="F2416" s="63" t="n"/>
      <c r="G2416" s="63" t="n"/>
      <c r="H2416" s="63" t="n"/>
      <c r="I2416" s="63" t="n"/>
      <c r="J2416" s="63" t="n"/>
      <c r="K2416" s="63" t="n"/>
      <c r="L2416" s="63" t="n"/>
      <c r="M2416" s="63" t="n"/>
      <c r="N2416" s="63" t="n"/>
      <c r="O2416" s="63" t="n"/>
    </row>
    <row r="2417" ht="13.5" customHeight="1">
      <c r="B2417" s="63" t="n"/>
      <c r="E2417" s="63" t="n"/>
      <c r="F2417" s="63" t="n"/>
      <c r="G2417" s="63" t="n"/>
      <c r="H2417" s="63" t="n"/>
      <c r="I2417" s="63" t="n"/>
      <c r="J2417" s="63" t="n"/>
      <c r="K2417" s="63" t="n"/>
      <c r="L2417" s="63" t="n"/>
      <c r="M2417" s="63" t="n"/>
      <c r="N2417" s="63" t="n"/>
      <c r="O2417" s="63" t="n"/>
    </row>
    <row r="2418" ht="13.5" customHeight="1">
      <c r="B2418" s="63" t="n"/>
      <c r="E2418" s="63" t="n"/>
      <c r="F2418" s="63" t="n"/>
      <c r="G2418" s="63" t="n"/>
      <c r="H2418" s="63" t="n"/>
      <c r="I2418" s="63" t="n"/>
      <c r="J2418" s="63" t="n"/>
      <c r="K2418" s="63" t="n"/>
      <c r="L2418" s="63" t="n"/>
      <c r="M2418" s="63" t="n"/>
      <c r="N2418" s="63" t="n"/>
      <c r="O2418" s="63" t="n"/>
    </row>
    <row r="2419" ht="13.5" customHeight="1">
      <c r="B2419" s="63" t="n"/>
      <c r="E2419" s="63" t="n"/>
      <c r="F2419" s="63" t="n"/>
      <c r="G2419" s="63" t="n"/>
      <c r="H2419" s="63" t="n"/>
      <c r="I2419" s="63" t="n"/>
      <c r="J2419" s="63" t="n"/>
      <c r="K2419" s="63" t="n"/>
      <c r="L2419" s="63" t="n"/>
      <c r="M2419" s="63" t="n"/>
      <c r="N2419" s="63" t="n"/>
      <c r="O2419" s="63" t="n"/>
    </row>
    <row r="2420" ht="13.5" customHeight="1">
      <c r="B2420" s="63" t="n"/>
      <c r="E2420" s="63" t="n"/>
      <c r="F2420" s="63" t="n"/>
      <c r="G2420" s="63" t="n"/>
      <c r="H2420" s="63" t="n"/>
      <c r="I2420" s="63" t="n"/>
      <c r="J2420" s="63" t="n"/>
      <c r="K2420" s="63" t="n"/>
      <c r="L2420" s="63" t="n"/>
      <c r="M2420" s="63" t="n"/>
      <c r="N2420" s="63" t="n"/>
      <c r="O2420" s="63" t="n"/>
    </row>
    <row r="2421" ht="13.5" customHeight="1">
      <c r="B2421" s="63" t="n"/>
      <c r="E2421" s="63" t="n"/>
      <c r="F2421" s="63" t="n"/>
      <c r="G2421" s="63" t="n"/>
      <c r="H2421" s="63" t="n"/>
      <c r="I2421" s="63" t="n"/>
      <c r="J2421" s="63" t="n"/>
      <c r="K2421" s="63" t="n"/>
      <c r="L2421" s="63" t="n"/>
      <c r="M2421" s="63" t="n"/>
      <c r="N2421" s="63" t="n"/>
      <c r="O2421" s="63" t="n"/>
    </row>
    <row r="2422" ht="13.5" customHeight="1">
      <c r="B2422" s="63" t="n"/>
      <c r="E2422" s="63" t="n"/>
      <c r="F2422" s="63" t="n"/>
      <c r="G2422" s="63" t="n"/>
      <c r="H2422" s="63" t="n"/>
      <c r="I2422" s="63" t="n"/>
      <c r="J2422" s="63" t="n"/>
      <c r="K2422" s="63" t="n"/>
      <c r="L2422" s="63" t="n"/>
      <c r="M2422" s="63" t="n"/>
      <c r="N2422" s="63" t="n"/>
      <c r="O2422" s="63" t="n"/>
    </row>
    <row r="2423" ht="13.5" customHeight="1">
      <c r="B2423" s="63" t="n"/>
      <c r="E2423" s="63" t="n"/>
      <c r="F2423" s="63" t="n"/>
      <c r="G2423" s="63" t="n"/>
      <c r="H2423" s="63" t="n"/>
      <c r="I2423" s="63" t="n"/>
      <c r="J2423" s="63" t="n"/>
      <c r="K2423" s="63" t="n"/>
      <c r="L2423" s="63" t="n"/>
      <c r="M2423" s="63" t="n"/>
      <c r="N2423" s="63" t="n"/>
      <c r="O2423" s="63" t="n"/>
    </row>
    <row r="2424" ht="13.5" customHeight="1">
      <c r="B2424" s="63" t="n"/>
      <c r="E2424" s="63" t="n"/>
      <c r="F2424" s="63" t="n"/>
      <c r="G2424" s="63" t="n"/>
      <c r="H2424" s="63" t="n"/>
      <c r="I2424" s="63" t="n"/>
      <c r="J2424" s="63" t="n"/>
      <c r="K2424" s="63" t="n"/>
      <c r="L2424" s="63" t="n"/>
      <c r="M2424" s="63" t="n"/>
      <c r="N2424" s="63" t="n"/>
      <c r="O2424" s="63" t="n"/>
    </row>
    <row r="2425" ht="13.5" customHeight="1">
      <c r="B2425" s="63" t="n"/>
      <c r="E2425" s="63" t="n"/>
      <c r="F2425" s="63" t="n"/>
      <c r="G2425" s="63" t="n"/>
      <c r="H2425" s="63" t="n"/>
      <c r="I2425" s="63" t="n"/>
      <c r="J2425" s="63" t="n"/>
      <c r="K2425" s="63" t="n"/>
      <c r="L2425" s="63" t="n"/>
      <c r="M2425" s="63" t="n"/>
      <c r="N2425" s="63" t="n"/>
      <c r="O2425" s="63" t="n"/>
    </row>
    <row r="2426" ht="13.5" customHeight="1">
      <c r="B2426" s="63" t="n"/>
      <c r="E2426" s="63" t="n"/>
      <c r="F2426" s="63" t="n"/>
      <c r="G2426" s="63" t="n"/>
      <c r="H2426" s="63" t="n"/>
      <c r="I2426" s="63" t="n"/>
      <c r="J2426" s="63" t="n"/>
      <c r="K2426" s="63" t="n"/>
      <c r="L2426" s="63" t="n"/>
      <c r="M2426" s="63" t="n"/>
      <c r="N2426" s="63" t="n"/>
      <c r="O2426" s="63" t="n"/>
    </row>
    <row r="2427" ht="13.5" customHeight="1">
      <c r="B2427" s="63" t="n"/>
      <c r="E2427" s="63" t="n"/>
      <c r="F2427" s="63" t="n"/>
      <c r="G2427" s="63" t="n"/>
      <c r="H2427" s="63" t="n"/>
      <c r="I2427" s="63" t="n"/>
      <c r="J2427" s="63" t="n"/>
      <c r="K2427" s="63" t="n"/>
      <c r="L2427" s="63" t="n"/>
      <c r="M2427" s="63" t="n"/>
      <c r="N2427" s="63" t="n"/>
      <c r="O2427" s="63" t="n"/>
    </row>
    <row r="2428" ht="13.5" customHeight="1">
      <c r="B2428" s="63" t="n"/>
      <c r="E2428" s="63" t="n"/>
      <c r="F2428" s="63" t="n"/>
      <c r="G2428" s="63" t="n"/>
      <c r="H2428" s="63" t="n"/>
      <c r="I2428" s="63" t="n"/>
      <c r="J2428" s="63" t="n"/>
      <c r="K2428" s="63" t="n"/>
      <c r="L2428" s="63" t="n"/>
      <c r="M2428" s="63" t="n"/>
      <c r="N2428" s="63" t="n"/>
      <c r="O2428" s="63" t="n"/>
    </row>
    <row r="2429" ht="13.5" customHeight="1">
      <c r="B2429" s="63" t="n"/>
      <c r="E2429" s="63" t="n"/>
      <c r="F2429" s="63" t="n"/>
      <c r="G2429" s="63" t="n"/>
      <c r="H2429" s="63" t="n"/>
      <c r="I2429" s="63" t="n"/>
      <c r="J2429" s="63" t="n"/>
      <c r="K2429" s="63" t="n"/>
      <c r="L2429" s="63" t="n"/>
      <c r="M2429" s="63" t="n"/>
      <c r="N2429" s="63" t="n"/>
      <c r="O2429" s="63" t="n"/>
    </row>
    <row r="2430" ht="13.5" customHeight="1">
      <c r="B2430" s="63" t="n"/>
      <c r="E2430" s="63" t="n"/>
      <c r="F2430" s="63" t="n"/>
      <c r="G2430" s="63" t="n"/>
      <c r="H2430" s="63" t="n"/>
      <c r="I2430" s="63" t="n"/>
      <c r="J2430" s="63" t="n"/>
      <c r="K2430" s="63" t="n"/>
      <c r="L2430" s="63" t="n"/>
      <c r="M2430" s="63" t="n"/>
      <c r="N2430" s="63" t="n"/>
      <c r="O2430" s="63" t="n"/>
    </row>
    <row r="2431" ht="13.5" customHeight="1">
      <c r="B2431" s="63" t="n"/>
      <c r="E2431" s="63" t="n"/>
      <c r="F2431" s="63" t="n"/>
      <c r="G2431" s="63" t="n"/>
      <c r="H2431" s="63" t="n"/>
      <c r="I2431" s="63" t="n"/>
      <c r="J2431" s="63" t="n"/>
      <c r="K2431" s="63" t="n"/>
      <c r="L2431" s="63" t="n"/>
      <c r="M2431" s="63" t="n"/>
      <c r="N2431" s="63" t="n"/>
      <c r="O2431" s="63" t="n"/>
    </row>
    <row r="2432" ht="13.5" customHeight="1">
      <c r="B2432" s="63" t="n"/>
      <c r="E2432" s="63" t="n"/>
      <c r="F2432" s="63" t="n"/>
      <c r="G2432" s="63" t="n"/>
      <c r="H2432" s="63" t="n"/>
      <c r="I2432" s="63" t="n"/>
      <c r="J2432" s="63" t="n"/>
      <c r="K2432" s="63" t="n"/>
      <c r="L2432" s="63" t="n"/>
      <c r="M2432" s="63" t="n"/>
      <c r="N2432" s="63" t="n"/>
      <c r="O2432" s="63" t="n"/>
    </row>
    <row r="2433" ht="13.5" customHeight="1">
      <c r="B2433" s="63" t="n"/>
      <c r="E2433" s="63" t="n"/>
      <c r="F2433" s="63" t="n"/>
      <c r="G2433" s="63" t="n"/>
      <c r="H2433" s="63" t="n"/>
      <c r="I2433" s="63" t="n"/>
      <c r="J2433" s="63" t="n"/>
      <c r="K2433" s="63" t="n"/>
      <c r="L2433" s="63" t="n"/>
      <c r="M2433" s="63" t="n"/>
      <c r="N2433" s="63" t="n"/>
      <c r="O2433" s="63" t="n"/>
    </row>
    <row r="2434" ht="13.5" customHeight="1">
      <c r="B2434" s="63" t="n"/>
      <c r="E2434" s="63" t="n"/>
      <c r="F2434" s="63" t="n"/>
      <c r="G2434" s="63" t="n"/>
      <c r="H2434" s="63" t="n"/>
      <c r="I2434" s="63" t="n"/>
      <c r="J2434" s="63" t="n"/>
      <c r="K2434" s="63" t="n"/>
      <c r="L2434" s="63" t="n"/>
      <c r="M2434" s="63" t="n"/>
      <c r="N2434" s="63" t="n"/>
      <c r="O2434" s="63" t="n"/>
    </row>
    <row r="2435" ht="13.5" customHeight="1">
      <c r="B2435" s="63" t="n"/>
      <c r="E2435" s="63" t="n"/>
      <c r="F2435" s="63" t="n"/>
      <c r="G2435" s="63" t="n"/>
      <c r="H2435" s="63" t="n"/>
      <c r="I2435" s="63" t="n"/>
      <c r="J2435" s="63" t="n"/>
      <c r="K2435" s="63" t="n"/>
      <c r="L2435" s="63" t="n"/>
      <c r="M2435" s="63" t="n"/>
      <c r="N2435" s="63" t="n"/>
      <c r="O2435" s="63" t="n"/>
    </row>
    <row r="2436" ht="13.5" customHeight="1">
      <c r="B2436" s="63" t="n"/>
      <c r="E2436" s="63" t="n"/>
      <c r="F2436" s="63" t="n"/>
      <c r="G2436" s="63" t="n"/>
      <c r="H2436" s="63" t="n"/>
      <c r="I2436" s="63" t="n"/>
      <c r="J2436" s="63" t="n"/>
      <c r="K2436" s="63" t="n"/>
      <c r="L2436" s="63" t="n"/>
      <c r="M2436" s="63" t="n"/>
      <c r="N2436" s="63" t="n"/>
      <c r="O2436" s="63" t="n"/>
    </row>
    <row r="2437" ht="13.5" customHeight="1">
      <c r="B2437" s="63" t="n"/>
      <c r="E2437" s="63" t="n"/>
      <c r="F2437" s="63" t="n"/>
      <c r="G2437" s="63" t="n"/>
      <c r="H2437" s="63" t="n"/>
      <c r="I2437" s="63" t="n"/>
      <c r="J2437" s="63" t="n"/>
      <c r="K2437" s="63" t="n"/>
      <c r="L2437" s="63" t="n"/>
      <c r="M2437" s="63" t="n"/>
      <c r="N2437" s="63" t="n"/>
      <c r="O2437" s="63" t="n"/>
    </row>
    <row r="2438" ht="13.5" customHeight="1">
      <c r="B2438" s="63" t="n"/>
      <c r="E2438" s="63" t="n"/>
      <c r="F2438" s="63" t="n"/>
      <c r="G2438" s="63" t="n"/>
      <c r="H2438" s="63" t="n"/>
      <c r="I2438" s="63" t="n"/>
      <c r="J2438" s="63" t="n"/>
      <c r="K2438" s="63" t="n"/>
      <c r="L2438" s="63" t="n"/>
      <c r="M2438" s="63" t="n"/>
      <c r="N2438" s="63" t="n"/>
      <c r="O2438" s="63" t="n"/>
    </row>
    <row r="2439" ht="13.5" customHeight="1">
      <c r="B2439" s="63" t="n"/>
      <c r="E2439" s="63" t="n"/>
      <c r="F2439" s="63" t="n"/>
      <c r="G2439" s="63" t="n"/>
      <c r="H2439" s="63" t="n"/>
      <c r="I2439" s="63" t="n"/>
      <c r="J2439" s="63" t="n"/>
      <c r="K2439" s="63" t="n"/>
      <c r="L2439" s="63" t="n"/>
      <c r="M2439" s="63" t="n"/>
      <c r="N2439" s="63" t="n"/>
      <c r="O2439" s="63" t="n"/>
    </row>
    <row r="2440" ht="13.5" customHeight="1">
      <c r="B2440" s="63" t="n"/>
      <c r="E2440" s="63" t="n"/>
      <c r="F2440" s="63" t="n"/>
      <c r="G2440" s="63" t="n"/>
      <c r="H2440" s="63" t="n"/>
      <c r="I2440" s="63" t="n"/>
      <c r="J2440" s="63" t="n"/>
      <c r="K2440" s="63" t="n"/>
      <c r="L2440" s="63" t="n"/>
      <c r="M2440" s="63" t="n"/>
      <c r="N2440" s="63" t="n"/>
      <c r="O2440" s="63" t="n"/>
    </row>
    <row r="2441" ht="13.5" customHeight="1">
      <c r="B2441" s="63" t="n"/>
      <c r="E2441" s="63" t="n"/>
      <c r="F2441" s="63" t="n"/>
      <c r="G2441" s="63" t="n"/>
      <c r="H2441" s="63" t="n"/>
      <c r="I2441" s="63" t="n"/>
      <c r="J2441" s="63" t="n"/>
      <c r="K2441" s="63" t="n"/>
      <c r="L2441" s="63" t="n"/>
      <c r="M2441" s="63" t="n"/>
      <c r="N2441" s="63" t="n"/>
      <c r="O2441" s="63" t="n"/>
    </row>
    <row r="2442" ht="13.5" customHeight="1">
      <c r="B2442" s="63" t="n"/>
      <c r="E2442" s="63" t="n"/>
      <c r="F2442" s="63" t="n"/>
      <c r="G2442" s="63" t="n"/>
      <c r="H2442" s="63" t="n"/>
      <c r="I2442" s="63" t="n"/>
      <c r="J2442" s="63" t="n"/>
      <c r="K2442" s="63" t="n"/>
      <c r="L2442" s="63" t="n"/>
      <c r="M2442" s="63" t="n"/>
      <c r="N2442" s="63" t="n"/>
      <c r="O2442" s="63" t="n"/>
    </row>
    <row r="2443" ht="13.5" customHeight="1">
      <c r="B2443" s="63" t="n"/>
      <c r="E2443" s="63" t="n"/>
      <c r="F2443" s="63" t="n"/>
      <c r="G2443" s="63" t="n"/>
      <c r="H2443" s="63" t="n"/>
      <c r="I2443" s="63" t="n"/>
      <c r="J2443" s="63" t="n"/>
      <c r="K2443" s="63" t="n"/>
      <c r="L2443" s="63" t="n"/>
      <c r="M2443" s="63" t="n"/>
      <c r="N2443" s="63" t="n"/>
      <c r="O2443" s="63" t="n"/>
    </row>
    <row r="2444" ht="13.5" customHeight="1">
      <c r="B2444" s="63" t="n"/>
      <c r="E2444" s="63" t="n"/>
      <c r="F2444" s="63" t="n"/>
      <c r="G2444" s="63" t="n"/>
      <c r="H2444" s="63" t="n"/>
      <c r="I2444" s="63" t="n"/>
      <c r="J2444" s="63" t="n"/>
      <c r="K2444" s="63" t="n"/>
      <c r="L2444" s="63" t="n"/>
      <c r="M2444" s="63" t="n"/>
      <c r="N2444" s="63" t="n"/>
      <c r="O2444" s="63" t="n"/>
    </row>
    <row r="2445" ht="13.5" customHeight="1">
      <c r="B2445" s="63" t="n"/>
      <c r="E2445" s="63" t="n"/>
      <c r="F2445" s="63" t="n"/>
      <c r="G2445" s="63" t="n"/>
      <c r="H2445" s="63" t="n"/>
      <c r="I2445" s="63" t="n"/>
      <c r="J2445" s="63" t="n"/>
      <c r="K2445" s="63" t="n"/>
      <c r="L2445" s="63" t="n"/>
      <c r="M2445" s="63" t="n"/>
      <c r="N2445" s="63" t="n"/>
      <c r="O2445" s="63" t="n"/>
    </row>
    <row r="2446" ht="13.5" customHeight="1">
      <c r="B2446" s="63" t="n"/>
      <c r="E2446" s="63" t="n"/>
      <c r="F2446" s="63" t="n"/>
      <c r="G2446" s="63" t="n"/>
      <c r="H2446" s="63" t="n"/>
      <c r="I2446" s="63" t="n"/>
      <c r="J2446" s="63" t="n"/>
      <c r="K2446" s="63" t="n"/>
      <c r="L2446" s="63" t="n"/>
      <c r="M2446" s="63" t="n"/>
      <c r="N2446" s="63" t="n"/>
      <c r="O2446" s="63" t="n"/>
    </row>
    <row r="2447" ht="13.5" customHeight="1">
      <c r="B2447" s="63" t="n"/>
      <c r="E2447" s="63" t="n"/>
      <c r="F2447" s="63" t="n"/>
      <c r="G2447" s="63" t="n"/>
      <c r="H2447" s="63" t="n"/>
      <c r="I2447" s="63" t="n"/>
      <c r="J2447" s="63" t="n"/>
      <c r="K2447" s="63" t="n"/>
      <c r="L2447" s="63" t="n"/>
      <c r="M2447" s="63" t="n"/>
      <c r="N2447" s="63" t="n"/>
      <c r="O2447" s="63" t="n"/>
    </row>
    <row r="2448" ht="13.5" customHeight="1">
      <c r="B2448" s="63" t="n"/>
      <c r="E2448" s="63" t="n"/>
      <c r="F2448" s="63" t="n"/>
      <c r="G2448" s="63" t="n"/>
      <c r="H2448" s="63" t="n"/>
      <c r="I2448" s="63" t="n"/>
      <c r="J2448" s="63" t="n"/>
      <c r="K2448" s="63" t="n"/>
      <c r="L2448" s="63" t="n"/>
      <c r="M2448" s="63" t="n"/>
      <c r="N2448" s="63" t="n"/>
      <c r="O2448" s="63" t="n"/>
    </row>
    <row r="2449" ht="13.5" customHeight="1">
      <c r="B2449" s="63" t="n"/>
      <c r="E2449" s="63" t="n"/>
      <c r="F2449" s="63" t="n"/>
      <c r="G2449" s="63" t="n"/>
      <c r="H2449" s="63" t="n"/>
      <c r="I2449" s="63" t="n"/>
      <c r="J2449" s="63" t="n"/>
      <c r="K2449" s="63" t="n"/>
      <c r="L2449" s="63" t="n"/>
      <c r="M2449" s="63" t="n"/>
      <c r="N2449" s="63" t="n"/>
      <c r="O2449" s="63" t="n"/>
    </row>
    <row r="2450" ht="13.5" customHeight="1">
      <c r="B2450" s="63" t="n"/>
      <c r="E2450" s="63" t="n"/>
      <c r="F2450" s="63" t="n"/>
      <c r="G2450" s="63" t="n"/>
      <c r="H2450" s="63" t="n"/>
      <c r="I2450" s="63" t="n"/>
      <c r="J2450" s="63" t="n"/>
      <c r="K2450" s="63" t="n"/>
      <c r="L2450" s="63" t="n"/>
      <c r="M2450" s="63" t="n"/>
      <c r="N2450" s="63" t="n"/>
      <c r="O2450" s="63" t="n"/>
    </row>
    <row r="2451" ht="13.5" customHeight="1">
      <c r="B2451" s="63" t="n"/>
      <c r="E2451" s="63" t="n"/>
      <c r="F2451" s="63" t="n"/>
      <c r="G2451" s="63" t="n"/>
      <c r="H2451" s="63" t="n"/>
      <c r="I2451" s="63" t="n"/>
      <c r="J2451" s="63" t="n"/>
      <c r="K2451" s="63" t="n"/>
      <c r="L2451" s="63" t="n"/>
      <c r="M2451" s="63" t="n"/>
      <c r="N2451" s="63" t="n"/>
      <c r="O2451" s="63" t="n"/>
    </row>
    <row r="2452" ht="13.5" customHeight="1">
      <c r="B2452" s="63" t="n"/>
      <c r="E2452" s="63" t="n"/>
      <c r="F2452" s="63" t="n"/>
      <c r="G2452" s="63" t="n"/>
      <c r="H2452" s="63" t="n"/>
      <c r="I2452" s="63" t="n"/>
      <c r="J2452" s="63" t="n"/>
      <c r="K2452" s="63" t="n"/>
      <c r="L2452" s="63" t="n"/>
      <c r="M2452" s="63" t="n"/>
      <c r="N2452" s="63" t="n"/>
      <c r="O2452" s="63" t="n"/>
    </row>
    <row r="2453" ht="13.5" customHeight="1">
      <c r="B2453" s="63" t="n"/>
      <c r="E2453" s="63" t="n"/>
      <c r="F2453" s="63" t="n"/>
      <c r="G2453" s="63" t="n"/>
      <c r="H2453" s="63" t="n"/>
      <c r="I2453" s="63" t="n"/>
      <c r="J2453" s="63" t="n"/>
      <c r="K2453" s="63" t="n"/>
      <c r="L2453" s="63" t="n"/>
      <c r="M2453" s="63" t="n"/>
      <c r="N2453" s="63" t="n"/>
      <c r="O2453" s="63" t="n"/>
    </row>
    <row r="2454" ht="13.5" customHeight="1">
      <c r="B2454" s="63" t="n"/>
      <c r="E2454" s="63" t="n"/>
      <c r="F2454" s="63" t="n"/>
      <c r="G2454" s="63" t="n"/>
      <c r="H2454" s="63" t="n"/>
      <c r="I2454" s="63" t="n"/>
      <c r="J2454" s="63" t="n"/>
      <c r="K2454" s="63" t="n"/>
      <c r="L2454" s="63" t="n"/>
      <c r="M2454" s="63" t="n"/>
      <c r="N2454" s="63" t="n"/>
      <c r="O2454" s="63" t="n"/>
    </row>
    <row r="2455" ht="13.5" customHeight="1">
      <c r="B2455" s="63" t="n"/>
      <c r="E2455" s="63" t="n"/>
      <c r="F2455" s="63" t="n"/>
      <c r="G2455" s="63" t="n"/>
      <c r="H2455" s="63" t="n"/>
      <c r="I2455" s="63" t="n"/>
      <c r="J2455" s="63" t="n"/>
      <c r="K2455" s="63" t="n"/>
      <c r="L2455" s="63" t="n"/>
      <c r="M2455" s="63" t="n"/>
      <c r="N2455" s="63" t="n"/>
      <c r="O2455" s="63" t="n"/>
    </row>
    <row r="2456" ht="13.5" customHeight="1">
      <c r="B2456" s="63" t="n"/>
      <c r="E2456" s="63" t="n"/>
      <c r="F2456" s="63" t="n"/>
      <c r="G2456" s="63" t="n"/>
      <c r="H2456" s="63" t="n"/>
      <c r="I2456" s="63" t="n"/>
      <c r="J2456" s="63" t="n"/>
      <c r="K2456" s="63" t="n"/>
      <c r="L2456" s="63" t="n"/>
      <c r="M2456" s="63" t="n"/>
      <c r="N2456" s="63" t="n"/>
      <c r="O2456" s="63" t="n"/>
    </row>
    <row r="2457" ht="13.5" customHeight="1">
      <c r="B2457" s="63" t="n"/>
      <c r="E2457" s="63" t="n"/>
      <c r="F2457" s="63" t="n"/>
      <c r="G2457" s="63" t="n"/>
      <c r="H2457" s="63" t="n"/>
      <c r="I2457" s="63" t="n"/>
      <c r="J2457" s="63" t="n"/>
      <c r="K2457" s="63" t="n"/>
      <c r="L2457" s="63" t="n"/>
      <c r="M2457" s="63" t="n"/>
      <c r="N2457" s="63" t="n"/>
      <c r="O2457" s="63" t="n"/>
    </row>
    <row r="2458" ht="13.5" customHeight="1">
      <c r="B2458" s="63" t="n"/>
      <c r="E2458" s="63" t="n"/>
      <c r="F2458" s="63" t="n"/>
      <c r="G2458" s="63" t="n"/>
      <c r="H2458" s="63" t="n"/>
      <c r="I2458" s="63" t="n"/>
      <c r="J2458" s="63" t="n"/>
      <c r="K2458" s="63" t="n"/>
      <c r="L2458" s="63" t="n"/>
      <c r="M2458" s="63" t="n"/>
      <c r="N2458" s="63" t="n"/>
      <c r="O2458" s="63" t="n"/>
    </row>
    <row r="2459" ht="13.5" customHeight="1">
      <c r="B2459" s="63" t="n"/>
      <c r="E2459" s="63" t="n"/>
      <c r="F2459" s="63" t="n"/>
      <c r="G2459" s="63" t="n"/>
      <c r="H2459" s="63" t="n"/>
      <c r="I2459" s="63" t="n"/>
      <c r="J2459" s="63" t="n"/>
      <c r="K2459" s="63" t="n"/>
      <c r="L2459" s="63" t="n"/>
      <c r="M2459" s="63" t="n"/>
      <c r="N2459" s="63" t="n"/>
      <c r="O2459" s="63" t="n"/>
    </row>
    <row r="2460" ht="13.5" customHeight="1">
      <c r="B2460" s="63" t="n"/>
      <c r="E2460" s="63" t="n"/>
      <c r="F2460" s="63" t="n"/>
      <c r="G2460" s="63" t="n"/>
      <c r="H2460" s="63" t="n"/>
      <c r="I2460" s="63" t="n"/>
      <c r="J2460" s="63" t="n"/>
      <c r="K2460" s="63" t="n"/>
      <c r="L2460" s="63" t="n"/>
      <c r="M2460" s="63" t="n"/>
      <c r="N2460" s="63" t="n"/>
      <c r="O2460" s="63" t="n"/>
    </row>
    <row r="2461" ht="13.5" customHeight="1">
      <c r="B2461" s="63" t="n"/>
      <c r="E2461" s="63" t="n"/>
      <c r="F2461" s="63" t="n"/>
      <c r="G2461" s="63" t="n"/>
      <c r="H2461" s="63" t="n"/>
      <c r="I2461" s="63" t="n"/>
      <c r="J2461" s="63" t="n"/>
      <c r="K2461" s="63" t="n"/>
      <c r="L2461" s="63" t="n"/>
      <c r="M2461" s="63" t="n"/>
      <c r="N2461" s="63" t="n"/>
      <c r="O2461" s="63" t="n"/>
    </row>
    <row r="2462" ht="13.5" customHeight="1">
      <c r="B2462" s="63" t="n"/>
      <c r="E2462" s="63" t="n"/>
      <c r="F2462" s="63" t="n"/>
      <c r="G2462" s="63" t="n"/>
      <c r="H2462" s="63" t="n"/>
      <c r="I2462" s="63" t="n"/>
      <c r="J2462" s="63" t="n"/>
      <c r="K2462" s="63" t="n"/>
      <c r="L2462" s="63" t="n"/>
      <c r="M2462" s="63" t="n"/>
      <c r="N2462" s="63" t="n"/>
      <c r="O2462" s="63" t="n"/>
    </row>
    <row r="2463" ht="13.5" customHeight="1">
      <c r="B2463" s="63" t="n"/>
      <c r="E2463" s="63" t="n"/>
      <c r="F2463" s="63" t="n"/>
      <c r="G2463" s="63" t="n"/>
      <c r="H2463" s="63" t="n"/>
      <c r="I2463" s="63" t="n"/>
      <c r="J2463" s="63" t="n"/>
      <c r="K2463" s="63" t="n"/>
      <c r="L2463" s="63" t="n"/>
      <c r="M2463" s="63" t="n"/>
      <c r="N2463" s="63" t="n"/>
      <c r="O2463" s="63" t="n"/>
    </row>
    <row r="2464" ht="13.5" customHeight="1">
      <c r="B2464" s="63" t="n"/>
      <c r="E2464" s="63" t="n"/>
      <c r="F2464" s="63" t="n"/>
      <c r="G2464" s="63" t="n"/>
      <c r="H2464" s="63" t="n"/>
      <c r="I2464" s="63" t="n"/>
      <c r="J2464" s="63" t="n"/>
      <c r="K2464" s="63" t="n"/>
      <c r="L2464" s="63" t="n"/>
      <c r="M2464" s="63" t="n"/>
      <c r="N2464" s="63" t="n"/>
      <c r="O2464" s="63" t="n"/>
    </row>
    <row r="2465" ht="13.5" customHeight="1">
      <c r="B2465" s="63" t="n"/>
      <c r="E2465" s="63" t="n"/>
      <c r="F2465" s="63" t="n"/>
      <c r="G2465" s="63" t="n"/>
      <c r="H2465" s="63" t="n"/>
      <c r="I2465" s="63" t="n"/>
      <c r="J2465" s="63" t="n"/>
      <c r="K2465" s="63" t="n"/>
      <c r="L2465" s="63" t="n"/>
      <c r="M2465" s="63" t="n"/>
      <c r="N2465" s="63" t="n"/>
      <c r="O2465" s="63" t="n"/>
    </row>
    <row r="2466" ht="13.5" customHeight="1">
      <c r="B2466" s="63" t="n"/>
      <c r="E2466" s="63" t="n"/>
      <c r="F2466" s="63" t="n"/>
      <c r="G2466" s="63" t="n"/>
      <c r="H2466" s="63" t="n"/>
      <c r="I2466" s="63" t="n"/>
      <c r="J2466" s="63" t="n"/>
      <c r="K2466" s="63" t="n"/>
      <c r="L2466" s="63" t="n"/>
      <c r="M2466" s="63" t="n"/>
      <c r="N2466" s="63" t="n"/>
      <c r="O2466" s="63" t="n"/>
    </row>
    <row r="2467" ht="13.5" customHeight="1">
      <c r="B2467" s="63" t="n"/>
      <c r="E2467" s="63" t="n"/>
      <c r="F2467" s="63" t="n"/>
      <c r="G2467" s="63" t="n"/>
      <c r="H2467" s="63" t="n"/>
      <c r="I2467" s="63" t="n"/>
      <c r="J2467" s="63" t="n"/>
      <c r="K2467" s="63" t="n"/>
      <c r="L2467" s="63" t="n"/>
      <c r="M2467" s="63" t="n"/>
      <c r="N2467" s="63" t="n"/>
      <c r="O2467" s="63" t="n"/>
    </row>
    <row r="2468" ht="13.5" customHeight="1">
      <c r="B2468" s="63" t="n"/>
      <c r="E2468" s="63" t="n"/>
      <c r="F2468" s="63" t="n"/>
      <c r="G2468" s="63" t="n"/>
      <c r="H2468" s="63" t="n"/>
      <c r="I2468" s="63" t="n"/>
      <c r="J2468" s="63" t="n"/>
      <c r="K2468" s="63" t="n"/>
      <c r="L2468" s="63" t="n"/>
      <c r="M2468" s="63" t="n"/>
      <c r="N2468" s="63" t="n"/>
      <c r="O2468" s="63" t="n"/>
    </row>
    <row r="2469" ht="13.5" customHeight="1">
      <c r="B2469" s="63" t="n"/>
      <c r="E2469" s="63" t="n"/>
      <c r="F2469" s="63" t="n"/>
      <c r="G2469" s="63" t="n"/>
      <c r="H2469" s="63" t="n"/>
      <c r="I2469" s="63" t="n"/>
      <c r="J2469" s="63" t="n"/>
      <c r="K2469" s="63" t="n"/>
      <c r="L2469" s="63" t="n"/>
      <c r="M2469" s="63" t="n"/>
      <c r="N2469" s="63" t="n"/>
      <c r="O2469" s="63" t="n"/>
    </row>
    <row r="2470" ht="13.5" customHeight="1">
      <c r="B2470" s="63" t="n"/>
      <c r="E2470" s="63" t="n"/>
      <c r="F2470" s="63" t="n"/>
      <c r="G2470" s="63" t="n"/>
      <c r="H2470" s="63" t="n"/>
      <c r="I2470" s="63" t="n"/>
      <c r="J2470" s="63" t="n"/>
      <c r="K2470" s="63" t="n"/>
      <c r="L2470" s="63" t="n"/>
      <c r="M2470" s="63" t="n"/>
      <c r="N2470" s="63" t="n"/>
      <c r="O2470" s="63" t="n"/>
    </row>
    <row r="2471" ht="13.5" customHeight="1">
      <c r="B2471" s="63" t="n"/>
      <c r="E2471" s="63" t="n"/>
      <c r="F2471" s="63" t="n"/>
      <c r="G2471" s="63" t="n"/>
      <c r="H2471" s="63" t="n"/>
      <c r="I2471" s="63" t="n"/>
      <c r="J2471" s="63" t="n"/>
      <c r="K2471" s="63" t="n"/>
      <c r="L2471" s="63" t="n"/>
      <c r="M2471" s="63" t="n"/>
      <c r="N2471" s="63" t="n"/>
      <c r="O2471" s="63" t="n"/>
    </row>
    <row r="2472" ht="13.5" customHeight="1">
      <c r="B2472" s="63" t="n"/>
      <c r="E2472" s="63" t="n"/>
      <c r="F2472" s="63" t="n"/>
      <c r="G2472" s="63" t="n"/>
      <c r="H2472" s="63" t="n"/>
      <c r="I2472" s="63" t="n"/>
      <c r="J2472" s="63" t="n"/>
      <c r="K2472" s="63" t="n"/>
      <c r="L2472" s="63" t="n"/>
      <c r="M2472" s="63" t="n"/>
      <c r="N2472" s="63" t="n"/>
      <c r="O2472" s="63" t="n"/>
    </row>
    <row r="2473" ht="13.5" customHeight="1">
      <c r="B2473" s="63" t="n"/>
      <c r="E2473" s="63" t="n"/>
      <c r="F2473" s="63" t="n"/>
      <c r="G2473" s="63" t="n"/>
      <c r="H2473" s="63" t="n"/>
      <c r="I2473" s="63" t="n"/>
      <c r="J2473" s="63" t="n"/>
      <c r="K2473" s="63" t="n"/>
      <c r="L2473" s="63" t="n"/>
      <c r="M2473" s="63" t="n"/>
      <c r="N2473" s="63" t="n"/>
      <c r="O2473" s="63" t="n"/>
    </row>
    <row r="2474" ht="13.5" customHeight="1">
      <c r="B2474" s="63" t="n"/>
      <c r="E2474" s="63" t="n"/>
      <c r="F2474" s="63" t="n"/>
      <c r="G2474" s="63" t="n"/>
      <c r="H2474" s="63" t="n"/>
      <c r="I2474" s="63" t="n"/>
      <c r="J2474" s="63" t="n"/>
      <c r="K2474" s="63" t="n"/>
      <c r="L2474" s="63" t="n"/>
      <c r="M2474" s="63" t="n"/>
      <c r="N2474" s="63" t="n"/>
      <c r="O2474" s="63" t="n"/>
    </row>
    <row r="2475" ht="13.5" customHeight="1">
      <c r="B2475" s="63" t="n"/>
      <c r="E2475" s="63" t="n"/>
      <c r="F2475" s="63" t="n"/>
      <c r="G2475" s="63" t="n"/>
      <c r="H2475" s="63" t="n"/>
      <c r="I2475" s="63" t="n"/>
      <c r="J2475" s="63" t="n"/>
      <c r="K2475" s="63" t="n"/>
      <c r="L2475" s="63" t="n"/>
      <c r="M2475" s="63" t="n"/>
      <c r="N2475" s="63" t="n"/>
      <c r="O2475" s="63" t="n"/>
    </row>
    <row r="2476" ht="13.5" customHeight="1">
      <c r="B2476" s="63" t="n"/>
      <c r="E2476" s="63" t="n"/>
      <c r="F2476" s="63" t="n"/>
      <c r="G2476" s="63" t="n"/>
      <c r="H2476" s="63" t="n"/>
      <c r="I2476" s="63" t="n"/>
      <c r="J2476" s="63" t="n"/>
      <c r="K2476" s="63" t="n"/>
      <c r="L2476" s="63" t="n"/>
      <c r="M2476" s="63" t="n"/>
      <c r="N2476" s="63" t="n"/>
      <c r="O2476" s="63" t="n"/>
    </row>
    <row r="2477" ht="13.5" customHeight="1">
      <c r="B2477" s="63" t="n"/>
      <c r="E2477" s="63" t="n"/>
      <c r="F2477" s="63" t="n"/>
      <c r="G2477" s="63" t="n"/>
      <c r="H2477" s="63" t="n"/>
      <c r="I2477" s="63" t="n"/>
      <c r="J2477" s="63" t="n"/>
      <c r="K2477" s="63" t="n"/>
      <c r="L2477" s="63" t="n"/>
      <c r="M2477" s="63" t="n"/>
      <c r="N2477" s="63" t="n"/>
      <c r="O2477" s="63" t="n"/>
    </row>
    <row r="2478" ht="13.5" customHeight="1">
      <c r="B2478" s="63" t="n"/>
      <c r="E2478" s="63" t="n"/>
      <c r="F2478" s="63" t="n"/>
      <c r="G2478" s="63" t="n"/>
      <c r="H2478" s="63" t="n"/>
      <c r="I2478" s="63" t="n"/>
      <c r="J2478" s="63" t="n"/>
      <c r="K2478" s="63" t="n"/>
      <c r="L2478" s="63" t="n"/>
      <c r="M2478" s="63" t="n"/>
      <c r="N2478" s="63" t="n"/>
      <c r="O2478" s="63" t="n"/>
    </row>
    <row r="2479" ht="13.5" customHeight="1">
      <c r="B2479" s="63" t="n"/>
      <c r="E2479" s="63" t="n"/>
      <c r="F2479" s="63" t="n"/>
      <c r="G2479" s="63" t="n"/>
      <c r="H2479" s="63" t="n"/>
      <c r="I2479" s="63" t="n"/>
      <c r="J2479" s="63" t="n"/>
      <c r="K2479" s="63" t="n"/>
      <c r="L2479" s="63" t="n"/>
      <c r="M2479" s="63" t="n"/>
      <c r="N2479" s="63" t="n"/>
      <c r="O2479" s="63" t="n"/>
    </row>
    <row r="2480" ht="13.5" customHeight="1">
      <c r="B2480" s="63" t="n"/>
      <c r="E2480" s="63" t="n"/>
      <c r="F2480" s="63" t="n"/>
      <c r="G2480" s="63" t="n"/>
      <c r="H2480" s="63" t="n"/>
      <c r="I2480" s="63" t="n"/>
      <c r="J2480" s="63" t="n"/>
      <c r="K2480" s="63" t="n"/>
      <c r="L2480" s="63" t="n"/>
      <c r="M2480" s="63" t="n"/>
      <c r="N2480" s="63" t="n"/>
      <c r="O2480" s="63" t="n"/>
    </row>
    <row r="2481" ht="13.5" customHeight="1">
      <c r="B2481" s="63" t="n"/>
      <c r="E2481" s="63" t="n"/>
      <c r="F2481" s="63" t="n"/>
      <c r="G2481" s="63" t="n"/>
      <c r="H2481" s="63" t="n"/>
      <c r="I2481" s="63" t="n"/>
      <c r="J2481" s="63" t="n"/>
      <c r="K2481" s="63" t="n"/>
      <c r="L2481" s="63" t="n"/>
      <c r="M2481" s="63" t="n"/>
      <c r="N2481" s="63" t="n"/>
      <c r="O2481" s="63" t="n"/>
    </row>
    <row r="2482" ht="13.5" customHeight="1">
      <c r="B2482" s="63" t="n"/>
      <c r="E2482" s="63" t="n"/>
      <c r="F2482" s="63" t="n"/>
      <c r="G2482" s="63" t="n"/>
      <c r="H2482" s="63" t="n"/>
      <c r="I2482" s="63" t="n"/>
      <c r="J2482" s="63" t="n"/>
      <c r="K2482" s="63" t="n"/>
      <c r="L2482" s="63" t="n"/>
      <c r="M2482" s="63" t="n"/>
      <c r="N2482" s="63" t="n"/>
      <c r="O2482" s="63" t="n"/>
    </row>
    <row r="2483" ht="13.5" customHeight="1">
      <c r="B2483" s="63" t="n"/>
      <c r="E2483" s="63" t="n"/>
      <c r="F2483" s="63" t="n"/>
      <c r="G2483" s="63" t="n"/>
      <c r="H2483" s="63" t="n"/>
      <c r="I2483" s="63" t="n"/>
      <c r="J2483" s="63" t="n"/>
      <c r="K2483" s="63" t="n"/>
      <c r="L2483" s="63" t="n"/>
      <c r="M2483" s="63" t="n"/>
      <c r="N2483" s="63" t="n"/>
      <c r="O2483" s="63" t="n"/>
    </row>
    <row r="2484" ht="13.5" customHeight="1">
      <c r="B2484" s="63" t="n"/>
      <c r="E2484" s="63" t="n"/>
      <c r="F2484" s="63" t="n"/>
      <c r="G2484" s="63" t="n"/>
      <c r="H2484" s="63" t="n"/>
      <c r="I2484" s="63" t="n"/>
      <c r="J2484" s="63" t="n"/>
      <c r="K2484" s="63" t="n"/>
      <c r="L2484" s="63" t="n"/>
      <c r="M2484" s="63" t="n"/>
      <c r="N2484" s="63" t="n"/>
      <c r="O2484" s="63" t="n"/>
    </row>
    <row r="2485" ht="13.5" customHeight="1">
      <c r="B2485" s="63" t="n"/>
      <c r="E2485" s="63" t="n"/>
      <c r="F2485" s="63" t="n"/>
      <c r="G2485" s="63" t="n"/>
      <c r="H2485" s="63" t="n"/>
      <c r="I2485" s="63" t="n"/>
      <c r="J2485" s="63" t="n"/>
      <c r="K2485" s="63" t="n"/>
      <c r="L2485" s="63" t="n"/>
      <c r="M2485" s="63" t="n"/>
      <c r="N2485" s="63" t="n"/>
      <c r="O2485" s="63" t="n"/>
    </row>
    <row r="2486" ht="13.5" customHeight="1">
      <c r="B2486" s="63" t="n"/>
      <c r="E2486" s="63" t="n"/>
      <c r="F2486" s="63" t="n"/>
      <c r="G2486" s="63" t="n"/>
      <c r="H2486" s="63" t="n"/>
      <c r="I2486" s="63" t="n"/>
      <c r="J2486" s="63" t="n"/>
      <c r="K2486" s="63" t="n"/>
      <c r="L2486" s="63" t="n"/>
      <c r="M2486" s="63" t="n"/>
      <c r="N2486" s="63" t="n"/>
      <c r="O2486" s="63" t="n"/>
    </row>
    <row r="2487" ht="13.5" customHeight="1">
      <c r="B2487" s="63" t="n"/>
      <c r="E2487" s="63" t="n"/>
      <c r="F2487" s="63" t="n"/>
      <c r="G2487" s="63" t="n"/>
      <c r="H2487" s="63" t="n"/>
      <c r="I2487" s="63" t="n"/>
      <c r="J2487" s="63" t="n"/>
      <c r="K2487" s="63" t="n"/>
      <c r="L2487" s="63" t="n"/>
      <c r="M2487" s="63" t="n"/>
      <c r="N2487" s="63" t="n"/>
      <c r="O2487" s="63" t="n"/>
    </row>
    <row r="2488" ht="13.5" customHeight="1">
      <c r="B2488" s="63" t="n"/>
      <c r="E2488" s="63" t="n"/>
      <c r="F2488" s="63" t="n"/>
      <c r="G2488" s="63" t="n"/>
      <c r="H2488" s="63" t="n"/>
      <c r="I2488" s="63" t="n"/>
      <c r="J2488" s="63" t="n"/>
      <c r="K2488" s="63" t="n"/>
      <c r="L2488" s="63" t="n"/>
      <c r="M2488" s="63" t="n"/>
      <c r="N2488" s="63" t="n"/>
      <c r="O2488" s="63" t="n"/>
    </row>
    <row r="2489" ht="13.5" customHeight="1">
      <c r="B2489" s="63" t="n"/>
      <c r="E2489" s="63" t="n"/>
      <c r="F2489" s="63" t="n"/>
      <c r="G2489" s="63" t="n"/>
      <c r="H2489" s="63" t="n"/>
      <c r="I2489" s="63" t="n"/>
      <c r="J2489" s="63" t="n"/>
      <c r="K2489" s="63" t="n"/>
      <c r="L2489" s="63" t="n"/>
      <c r="M2489" s="63" t="n"/>
      <c r="N2489" s="63" t="n"/>
      <c r="O2489" s="63" t="n"/>
    </row>
    <row r="2490" ht="13.5" customHeight="1">
      <c r="B2490" s="63" t="n"/>
      <c r="E2490" s="63" t="n"/>
      <c r="F2490" s="63" t="n"/>
      <c r="G2490" s="63" t="n"/>
      <c r="H2490" s="63" t="n"/>
      <c r="I2490" s="63" t="n"/>
      <c r="J2490" s="63" t="n"/>
      <c r="K2490" s="63" t="n"/>
      <c r="L2490" s="63" t="n"/>
      <c r="M2490" s="63" t="n"/>
      <c r="N2490" s="63" t="n"/>
      <c r="O2490" s="63" t="n"/>
    </row>
    <row r="2491" ht="13.5" customHeight="1">
      <c r="B2491" s="63" t="n"/>
      <c r="E2491" s="63" t="n"/>
      <c r="F2491" s="63" t="n"/>
      <c r="G2491" s="63" t="n"/>
      <c r="H2491" s="63" t="n"/>
      <c r="I2491" s="63" t="n"/>
      <c r="J2491" s="63" t="n"/>
      <c r="K2491" s="63" t="n"/>
      <c r="L2491" s="63" t="n"/>
      <c r="M2491" s="63" t="n"/>
      <c r="N2491" s="63" t="n"/>
      <c r="O2491" s="63" t="n"/>
    </row>
    <row r="2492" ht="13.5" customHeight="1">
      <c r="B2492" s="63" t="n"/>
      <c r="E2492" s="63" t="n"/>
      <c r="F2492" s="63" t="n"/>
      <c r="G2492" s="63" t="n"/>
      <c r="H2492" s="63" t="n"/>
      <c r="I2492" s="63" t="n"/>
      <c r="J2492" s="63" t="n"/>
      <c r="K2492" s="63" t="n"/>
      <c r="L2492" s="63" t="n"/>
      <c r="M2492" s="63" t="n"/>
      <c r="N2492" s="63" t="n"/>
      <c r="O2492" s="63" t="n"/>
    </row>
    <row r="2493" ht="13.5" customHeight="1">
      <c r="B2493" s="63" t="n"/>
      <c r="E2493" s="63" t="n"/>
      <c r="F2493" s="63" t="n"/>
      <c r="G2493" s="63" t="n"/>
      <c r="H2493" s="63" t="n"/>
      <c r="I2493" s="63" t="n"/>
      <c r="J2493" s="63" t="n"/>
      <c r="K2493" s="63" t="n"/>
      <c r="L2493" s="63" t="n"/>
      <c r="M2493" s="63" t="n"/>
      <c r="N2493" s="63" t="n"/>
      <c r="O2493" s="63" t="n"/>
    </row>
    <row r="2494" ht="13.5" customHeight="1">
      <c r="B2494" s="63" t="n"/>
      <c r="E2494" s="63" t="n"/>
      <c r="F2494" s="63" t="n"/>
      <c r="G2494" s="63" t="n"/>
      <c r="H2494" s="63" t="n"/>
      <c r="I2494" s="63" t="n"/>
      <c r="J2494" s="63" t="n"/>
      <c r="K2494" s="63" t="n"/>
      <c r="L2494" s="63" t="n"/>
      <c r="M2494" s="63" t="n"/>
      <c r="N2494" s="63" t="n"/>
      <c r="O2494" s="63" t="n"/>
    </row>
    <row r="2495" ht="13.5" customHeight="1">
      <c r="B2495" s="63" t="n"/>
      <c r="E2495" s="63" t="n"/>
      <c r="F2495" s="63" t="n"/>
      <c r="G2495" s="63" t="n"/>
      <c r="H2495" s="63" t="n"/>
      <c r="I2495" s="63" t="n"/>
      <c r="J2495" s="63" t="n"/>
      <c r="K2495" s="63" t="n"/>
      <c r="L2495" s="63" t="n"/>
      <c r="M2495" s="63" t="n"/>
      <c r="N2495" s="63" t="n"/>
      <c r="O2495" s="63" t="n"/>
    </row>
    <row r="2496" ht="13.5" customHeight="1">
      <c r="B2496" s="63" t="n"/>
      <c r="E2496" s="63" t="n"/>
      <c r="F2496" s="63" t="n"/>
      <c r="G2496" s="63" t="n"/>
      <c r="H2496" s="63" t="n"/>
      <c r="I2496" s="63" t="n"/>
      <c r="J2496" s="63" t="n"/>
      <c r="K2496" s="63" t="n"/>
      <c r="L2496" s="63" t="n"/>
      <c r="M2496" s="63" t="n"/>
      <c r="N2496" s="63" t="n"/>
      <c r="O2496" s="63" t="n"/>
    </row>
    <row r="2497" ht="13.5" customHeight="1">
      <c r="B2497" s="63" t="n"/>
      <c r="E2497" s="63" t="n"/>
      <c r="F2497" s="63" t="n"/>
      <c r="G2497" s="63" t="n"/>
      <c r="H2497" s="63" t="n"/>
      <c r="I2497" s="63" t="n"/>
      <c r="J2497" s="63" t="n"/>
      <c r="K2497" s="63" t="n"/>
      <c r="L2497" s="63" t="n"/>
      <c r="M2497" s="63" t="n"/>
      <c r="N2497" s="63" t="n"/>
      <c r="O2497" s="63" t="n"/>
    </row>
    <row r="2498" ht="13.5" customHeight="1">
      <c r="B2498" s="63" t="n"/>
      <c r="E2498" s="63" t="n"/>
      <c r="F2498" s="63" t="n"/>
      <c r="G2498" s="63" t="n"/>
      <c r="H2498" s="63" t="n"/>
      <c r="I2498" s="63" t="n"/>
      <c r="J2498" s="63" t="n"/>
      <c r="K2498" s="63" t="n"/>
      <c r="L2498" s="63" t="n"/>
      <c r="M2498" s="63" t="n"/>
      <c r="N2498" s="63" t="n"/>
      <c r="O2498" s="63" t="n"/>
    </row>
    <row r="2499" ht="13.5" customHeight="1">
      <c r="B2499" s="63" t="n"/>
      <c r="E2499" s="63" t="n"/>
      <c r="F2499" s="63" t="n"/>
      <c r="G2499" s="63" t="n"/>
      <c r="H2499" s="63" t="n"/>
      <c r="I2499" s="63" t="n"/>
      <c r="J2499" s="63" t="n"/>
      <c r="K2499" s="63" t="n"/>
      <c r="L2499" s="63" t="n"/>
      <c r="M2499" s="63" t="n"/>
      <c r="N2499" s="63" t="n"/>
      <c r="O2499" s="63" t="n"/>
    </row>
    <row r="2500" ht="13.5" customHeight="1">
      <c r="B2500" s="63" t="n"/>
      <c r="E2500" s="63" t="n"/>
      <c r="F2500" s="63" t="n"/>
      <c r="G2500" s="63" t="n"/>
      <c r="H2500" s="63" t="n"/>
      <c r="I2500" s="63" t="n"/>
      <c r="J2500" s="63" t="n"/>
      <c r="K2500" s="63" t="n"/>
      <c r="L2500" s="63" t="n"/>
      <c r="M2500" s="63" t="n"/>
      <c r="N2500" s="63" t="n"/>
      <c r="O2500" s="63" t="n"/>
    </row>
    <row r="2501" ht="13.5" customHeight="1">
      <c r="B2501" s="63" t="n"/>
      <c r="E2501" s="63" t="n"/>
      <c r="F2501" s="63" t="n"/>
      <c r="G2501" s="63" t="n"/>
      <c r="H2501" s="63" t="n"/>
      <c r="I2501" s="63" t="n"/>
      <c r="J2501" s="63" t="n"/>
      <c r="K2501" s="63" t="n"/>
      <c r="L2501" s="63" t="n"/>
      <c r="M2501" s="63" t="n"/>
      <c r="N2501" s="63" t="n"/>
      <c r="O2501" s="63" t="n"/>
    </row>
    <row r="2502" ht="13.5" customHeight="1">
      <c r="B2502" s="63" t="n"/>
      <c r="E2502" s="63" t="n"/>
      <c r="F2502" s="63" t="n"/>
      <c r="G2502" s="63" t="n"/>
      <c r="H2502" s="63" t="n"/>
      <c r="I2502" s="63" t="n"/>
      <c r="J2502" s="63" t="n"/>
      <c r="K2502" s="63" t="n"/>
      <c r="L2502" s="63" t="n"/>
      <c r="M2502" s="63" t="n"/>
      <c r="N2502" s="63" t="n"/>
      <c r="O2502" s="63" t="n"/>
    </row>
    <row r="2503" ht="13.5" customHeight="1">
      <c r="B2503" s="63" t="n"/>
      <c r="E2503" s="63" t="n"/>
      <c r="F2503" s="63" t="n"/>
      <c r="G2503" s="63" t="n"/>
      <c r="H2503" s="63" t="n"/>
      <c r="I2503" s="63" t="n"/>
      <c r="J2503" s="63" t="n"/>
      <c r="K2503" s="63" t="n"/>
      <c r="L2503" s="63" t="n"/>
      <c r="M2503" s="63" t="n"/>
      <c r="N2503" s="63" t="n"/>
      <c r="O2503" s="63" t="n"/>
    </row>
    <row r="2504" ht="13.5" customHeight="1">
      <c r="B2504" s="63" t="n"/>
      <c r="E2504" s="63" t="n"/>
      <c r="F2504" s="63" t="n"/>
      <c r="G2504" s="63" t="n"/>
      <c r="H2504" s="63" t="n"/>
      <c r="I2504" s="63" t="n"/>
      <c r="J2504" s="63" t="n"/>
      <c r="K2504" s="63" t="n"/>
      <c r="L2504" s="63" t="n"/>
      <c r="M2504" s="63" t="n"/>
      <c r="N2504" s="63" t="n"/>
      <c r="O2504" s="63" t="n"/>
    </row>
    <row r="2505" ht="13.5" customHeight="1">
      <c r="B2505" s="63" t="n"/>
      <c r="E2505" s="63" t="n"/>
      <c r="F2505" s="63" t="n"/>
      <c r="G2505" s="63" t="n"/>
      <c r="H2505" s="63" t="n"/>
      <c r="I2505" s="63" t="n"/>
      <c r="J2505" s="63" t="n"/>
      <c r="K2505" s="63" t="n"/>
      <c r="L2505" s="63" t="n"/>
      <c r="M2505" s="63" t="n"/>
      <c r="N2505" s="63" t="n"/>
      <c r="O2505" s="63" t="n"/>
    </row>
    <row r="2506" ht="13.5" customHeight="1">
      <c r="B2506" s="63" t="n"/>
      <c r="E2506" s="63" t="n"/>
      <c r="F2506" s="63" t="n"/>
      <c r="G2506" s="63" t="n"/>
      <c r="H2506" s="63" t="n"/>
      <c r="I2506" s="63" t="n"/>
      <c r="J2506" s="63" t="n"/>
      <c r="K2506" s="63" t="n"/>
      <c r="L2506" s="63" t="n"/>
      <c r="M2506" s="63" t="n"/>
      <c r="N2506" s="63" t="n"/>
      <c r="O2506" s="63" t="n"/>
    </row>
    <row r="2507" ht="13.5" customHeight="1">
      <c r="B2507" s="63" t="n"/>
      <c r="E2507" s="63" t="n"/>
      <c r="F2507" s="63" t="n"/>
      <c r="G2507" s="63" t="n"/>
      <c r="H2507" s="63" t="n"/>
      <c r="I2507" s="63" t="n"/>
      <c r="J2507" s="63" t="n"/>
      <c r="K2507" s="63" t="n"/>
      <c r="L2507" s="63" t="n"/>
      <c r="M2507" s="63" t="n"/>
      <c r="N2507" s="63" t="n"/>
      <c r="O2507" s="63" t="n"/>
    </row>
    <row r="2508" ht="13.5" customHeight="1">
      <c r="B2508" s="63" t="n"/>
      <c r="E2508" s="63" t="n"/>
      <c r="F2508" s="63" t="n"/>
      <c r="G2508" s="63" t="n"/>
      <c r="H2508" s="63" t="n"/>
      <c r="I2508" s="63" t="n"/>
      <c r="J2508" s="63" t="n"/>
      <c r="K2508" s="63" t="n"/>
      <c r="L2508" s="63" t="n"/>
      <c r="M2508" s="63" t="n"/>
      <c r="N2508" s="63" t="n"/>
      <c r="O2508" s="63" t="n"/>
    </row>
    <row r="2509" ht="13.5" customHeight="1">
      <c r="B2509" s="63" t="n"/>
      <c r="E2509" s="63" t="n"/>
      <c r="F2509" s="63" t="n"/>
      <c r="G2509" s="63" t="n"/>
      <c r="H2509" s="63" t="n"/>
      <c r="I2509" s="63" t="n"/>
      <c r="J2509" s="63" t="n"/>
      <c r="K2509" s="63" t="n"/>
      <c r="L2509" s="63" t="n"/>
      <c r="M2509" s="63" t="n"/>
      <c r="N2509" s="63" t="n"/>
      <c r="O2509" s="63" t="n"/>
    </row>
    <row r="2510" ht="13.5" customHeight="1">
      <c r="B2510" s="63" t="n"/>
      <c r="E2510" s="63" t="n"/>
      <c r="F2510" s="63" t="n"/>
      <c r="G2510" s="63" t="n"/>
      <c r="H2510" s="63" t="n"/>
      <c r="I2510" s="63" t="n"/>
      <c r="J2510" s="63" t="n"/>
      <c r="K2510" s="63" t="n"/>
      <c r="L2510" s="63" t="n"/>
      <c r="M2510" s="63" t="n"/>
      <c r="N2510" s="63" t="n"/>
      <c r="O2510" s="63" t="n"/>
    </row>
    <row r="2511" ht="13.5" customHeight="1">
      <c r="B2511" s="63" t="n"/>
      <c r="E2511" s="63" t="n"/>
      <c r="F2511" s="63" t="n"/>
      <c r="G2511" s="63" t="n"/>
      <c r="H2511" s="63" t="n"/>
      <c r="I2511" s="63" t="n"/>
      <c r="J2511" s="63" t="n"/>
      <c r="K2511" s="63" t="n"/>
      <c r="L2511" s="63" t="n"/>
      <c r="M2511" s="63" t="n"/>
      <c r="N2511" s="63" t="n"/>
      <c r="O2511" s="63" t="n"/>
    </row>
    <row r="2512" ht="13.5" customHeight="1">
      <c r="B2512" s="63" t="n"/>
      <c r="E2512" s="63" t="n"/>
      <c r="F2512" s="63" t="n"/>
      <c r="G2512" s="63" t="n"/>
      <c r="H2512" s="63" t="n"/>
      <c r="I2512" s="63" t="n"/>
      <c r="J2512" s="63" t="n"/>
      <c r="K2512" s="63" t="n"/>
      <c r="L2512" s="63" t="n"/>
      <c r="M2512" s="63" t="n"/>
      <c r="N2512" s="63" t="n"/>
      <c r="O2512" s="63" t="n"/>
    </row>
    <row r="2513" ht="13.5" customHeight="1">
      <c r="B2513" s="63" t="n"/>
      <c r="E2513" s="63" t="n"/>
      <c r="F2513" s="63" t="n"/>
      <c r="G2513" s="63" t="n"/>
      <c r="H2513" s="63" t="n"/>
      <c r="I2513" s="63" t="n"/>
      <c r="J2513" s="63" t="n"/>
      <c r="K2513" s="63" t="n"/>
      <c r="L2513" s="63" t="n"/>
      <c r="M2513" s="63" t="n"/>
      <c r="N2513" s="63" t="n"/>
      <c r="O2513" s="63" t="n"/>
    </row>
    <row r="2514" ht="13.5" customHeight="1">
      <c r="B2514" s="63" t="n"/>
      <c r="E2514" s="63" t="n"/>
      <c r="F2514" s="63" t="n"/>
      <c r="G2514" s="63" t="n"/>
      <c r="H2514" s="63" t="n"/>
      <c r="I2514" s="63" t="n"/>
      <c r="J2514" s="63" t="n"/>
      <c r="K2514" s="63" t="n"/>
      <c r="L2514" s="63" t="n"/>
      <c r="M2514" s="63" t="n"/>
      <c r="N2514" s="63" t="n"/>
      <c r="O2514" s="63" t="n"/>
    </row>
    <row r="2515" ht="13.5" customHeight="1">
      <c r="B2515" s="63" t="n"/>
      <c r="E2515" s="63" t="n"/>
      <c r="F2515" s="63" t="n"/>
      <c r="G2515" s="63" t="n"/>
      <c r="H2515" s="63" t="n"/>
      <c r="I2515" s="63" t="n"/>
      <c r="J2515" s="63" t="n"/>
      <c r="K2515" s="63" t="n"/>
      <c r="L2515" s="63" t="n"/>
      <c r="M2515" s="63" t="n"/>
      <c r="N2515" s="63" t="n"/>
      <c r="O2515" s="63" t="n"/>
    </row>
    <row r="2516" ht="13.5" customHeight="1">
      <c r="B2516" s="63" t="n"/>
      <c r="E2516" s="63" t="n"/>
      <c r="F2516" s="63" t="n"/>
      <c r="G2516" s="63" t="n"/>
      <c r="H2516" s="63" t="n"/>
      <c r="I2516" s="63" t="n"/>
      <c r="J2516" s="63" t="n"/>
      <c r="K2516" s="63" t="n"/>
      <c r="L2516" s="63" t="n"/>
      <c r="M2516" s="63" t="n"/>
      <c r="N2516" s="63" t="n"/>
      <c r="O2516" s="63" t="n"/>
    </row>
    <row r="2517" ht="13.5" customHeight="1">
      <c r="B2517" s="63" t="n"/>
      <c r="E2517" s="63" t="n"/>
      <c r="F2517" s="63" t="n"/>
      <c r="G2517" s="63" t="n"/>
      <c r="H2517" s="63" t="n"/>
      <c r="I2517" s="63" t="n"/>
      <c r="J2517" s="63" t="n"/>
      <c r="K2517" s="63" t="n"/>
      <c r="L2517" s="63" t="n"/>
      <c r="M2517" s="63" t="n"/>
      <c r="N2517" s="63" t="n"/>
      <c r="O2517" s="63" t="n"/>
    </row>
    <row r="2518" ht="13.5" customHeight="1">
      <c r="B2518" s="63" t="n"/>
      <c r="E2518" s="63" t="n"/>
      <c r="F2518" s="63" t="n"/>
      <c r="G2518" s="63" t="n"/>
      <c r="H2518" s="63" t="n"/>
      <c r="I2518" s="63" t="n"/>
      <c r="J2518" s="63" t="n"/>
      <c r="K2518" s="63" t="n"/>
      <c r="L2518" s="63" t="n"/>
      <c r="M2518" s="63" t="n"/>
      <c r="N2518" s="63" t="n"/>
      <c r="O2518" s="63" t="n"/>
    </row>
    <row r="2519" ht="13.5" customHeight="1">
      <c r="B2519" s="63" t="n"/>
      <c r="E2519" s="63" t="n"/>
      <c r="F2519" s="63" t="n"/>
      <c r="G2519" s="63" t="n"/>
      <c r="H2519" s="63" t="n"/>
      <c r="I2519" s="63" t="n"/>
      <c r="J2519" s="63" t="n"/>
      <c r="K2519" s="63" t="n"/>
      <c r="L2519" s="63" t="n"/>
      <c r="M2519" s="63" t="n"/>
      <c r="N2519" s="63" t="n"/>
      <c r="O2519" s="63" t="n"/>
    </row>
    <row r="2520" ht="13.5" customHeight="1">
      <c r="B2520" s="63" t="n"/>
      <c r="E2520" s="63" t="n"/>
      <c r="F2520" s="63" t="n"/>
      <c r="G2520" s="63" t="n"/>
      <c r="H2520" s="63" t="n"/>
      <c r="I2520" s="63" t="n"/>
      <c r="J2520" s="63" t="n"/>
      <c r="K2520" s="63" t="n"/>
      <c r="L2520" s="63" t="n"/>
      <c r="M2520" s="63" t="n"/>
      <c r="N2520" s="63" t="n"/>
      <c r="O2520" s="63" t="n"/>
    </row>
    <row r="2521" ht="13.5" customHeight="1">
      <c r="B2521" s="63" t="n"/>
      <c r="E2521" s="63" t="n"/>
      <c r="F2521" s="63" t="n"/>
      <c r="G2521" s="63" t="n"/>
      <c r="H2521" s="63" t="n"/>
      <c r="I2521" s="63" t="n"/>
      <c r="J2521" s="63" t="n"/>
      <c r="K2521" s="63" t="n"/>
      <c r="L2521" s="63" t="n"/>
      <c r="M2521" s="63" t="n"/>
      <c r="N2521" s="63" t="n"/>
      <c r="O2521" s="63" t="n"/>
    </row>
    <row r="2522" ht="13.5" customHeight="1">
      <c r="B2522" s="63" t="n"/>
      <c r="E2522" s="63" t="n"/>
      <c r="F2522" s="63" t="n"/>
      <c r="G2522" s="63" t="n"/>
      <c r="H2522" s="63" t="n"/>
      <c r="I2522" s="63" t="n"/>
      <c r="J2522" s="63" t="n"/>
      <c r="K2522" s="63" t="n"/>
      <c r="L2522" s="63" t="n"/>
      <c r="M2522" s="63" t="n"/>
      <c r="N2522" s="63" t="n"/>
      <c r="O2522" s="63" t="n"/>
    </row>
    <row r="2523" ht="13.5" customHeight="1">
      <c r="B2523" s="63" t="n"/>
      <c r="E2523" s="63" t="n"/>
      <c r="F2523" s="63" t="n"/>
      <c r="G2523" s="63" t="n"/>
      <c r="H2523" s="63" t="n"/>
      <c r="I2523" s="63" t="n"/>
      <c r="J2523" s="63" t="n"/>
      <c r="K2523" s="63" t="n"/>
      <c r="L2523" s="63" t="n"/>
      <c r="M2523" s="63" t="n"/>
      <c r="N2523" s="63" t="n"/>
      <c r="O2523" s="63" t="n"/>
    </row>
    <row r="2524" ht="13.5" customHeight="1">
      <c r="B2524" s="63" t="n"/>
      <c r="E2524" s="63" t="n"/>
      <c r="F2524" s="63" t="n"/>
      <c r="G2524" s="63" t="n"/>
      <c r="H2524" s="63" t="n"/>
      <c r="I2524" s="63" t="n"/>
      <c r="J2524" s="63" t="n"/>
      <c r="K2524" s="63" t="n"/>
      <c r="L2524" s="63" t="n"/>
      <c r="M2524" s="63" t="n"/>
      <c r="N2524" s="63" t="n"/>
      <c r="O2524" s="63" t="n"/>
    </row>
    <row r="2525" ht="13.5" customHeight="1">
      <c r="B2525" s="63" t="n"/>
      <c r="E2525" s="63" t="n"/>
      <c r="F2525" s="63" t="n"/>
      <c r="G2525" s="63" t="n"/>
      <c r="H2525" s="63" t="n"/>
      <c r="I2525" s="63" t="n"/>
      <c r="J2525" s="63" t="n"/>
      <c r="K2525" s="63" t="n"/>
      <c r="L2525" s="63" t="n"/>
      <c r="M2525" s="63" t="n"/>
      <c r="N2525" s="63" t="n"/>
      <c r="O2525" s="63" t="n"/>
    </row>
    <row r="2526" ht="13.5" customHeight="1">
      <c r="B2526" s="63" t="n"/>
      <c r="E2526" s="63" t="n"/>
      <c r="F2526" s="63" t="n"/>
      <c r="G2526" s="63" t="n"/>
      <c r="H2526" s="63" t="n"/>
      <c r="I2526" s="63" t="n"/>
      <c r="J2526" s="63" t="n"/>
      <c r="K2526" s="63" t="n"/>
      <c r="L2526" s="63" t="n"/>
      <c r="M2526" s="63" t="n"/>
      <c r="N2526" s="63" t="n"/>
      <c r="O2526" s="63" t="n"/>
    </row>
    <row r="2527" ht="13.5" customHeight="1">
      <c r="B2527" s="63" t="n"/>
      <c r="E2527" s="63" t="n"/>
      <c r="F2527" s="63" t="n"/>
      <c r="G2527" s="63" t="n"/>
      <c r="H2527" s="63" t="n"/>
      <c r="I2527" s="63" t="n"/>
      <c r="J2527" s="63" t="n"/>
      <c r="K2527" s="63" t="n"/>
      <c r="L2527" s="63" t="n"/>
      <c r="M2527" s="63" t="n"/>
      <c r="N2527" s="63" t="n"/>
      <c r="O2527" s="63" t="n"/>
    </row>
    <row r="2528" ht="13.5" customHeight="1">
      <c r="B2528" s="63" t="n"/>
      <c r="E2528" s="63" t="n"/>
      <c r="F2528" s="63" t="n"/>
      <c r="G2528" s="63" t="n"/>
      <c r="H2528" s="63" t="n"/>
      <c r="I2528" s="63" t="n"/>
      <c r="J2528" s="63" t="n"/>
      <c r="K2528" s="63" t="n"/>
      <c r="L2528" s="63" t="n"/>
      <c r="M2528" s="63" t="n"/>
      <c r="N2528" s="63" t="n"/>
      <c r="O2528" s="63" t="n"/>
    </row>
    <row r="2529" ht="13.5" customHeight="1">
      <c r="B2529" s="63" t="n"/>
      <c r="E2529" s="63" t="n"/>
      <c r="F2529" s="63" t="n"/>
      <c r="G2529" s="63" t="n"/>
      <c r="H2529" s="63" t="n"/>
      <c r="I2529" s="63" t="n"/>
      <c r="J2529" s="63" t="n"/>
      <c r="K2529" s="63" t="n"/>
      <c r="L2529" s="63" t="n"/>
      <c r="M2529" s="63" t="n"/>
      <c r="N2529" s="63" t="n"/>
      <c r="O2529" s="63" t="n"/>
    </row>
    <row r="2530" ht="13.5" customHeight="1">
      <c r="B2530" s="63" t="n"/>
      <c r="E2530" s="63" t="n"/>
      <c r="F2530" s="63" t="n"/>
      <c r="G2530" s="63" t="n"/>
      <c r="H2530" s="63" t="n"/>
      <c r="I2530" s="63" t="n"/>
      <c r="J2530" s="63" t="n"/>
      <c r="K2530" s="63" t="n"/>
      <c r="L2530" s="63" t="n"/>
      <c r="M2530" s="63" t="n"/>
      <c r="N2530" s="63" t="n"/>
      <c r="O2530" s="63" t="n"/>
    </row>
    <row r="2531" ht="13.5" customHeight="1">
      <c r="B2531" s="63" t="n"/>
      <c r="E2531" s="63" t="n"/>
      <c r="F2531" s="63" t="n"/>
      <c r="G2531" s="63" t="n"/>
      <c r="H2531" s="63" t="n"/>
      <c r="I2531" s="63" t="n"/>
      <c r="J2531" s="63" t="n"/>
      <c r="K2531" s="63" t="n"/>
      <c r="L2531" s="63" t="n"/>
      <c r="M2531" s="63" t="n"/>
      <c r="N2531" s="63" t="n"/>
      <c r="O2531" s="63" t="n"/>
    </row>
    <row r="2532" ht="13.5" customHeight="1">
      <c r="B2532" s="63" t="n"/>
      <c r="E2532" s="63" t="n"/>
      <c r="F2532" s="63" t="n"/>
      <c r="G2532" s="63" t="n"/>
      <c r="H2532" s="63" t="n"/>
      <c r="I2532" s="63" t="n"/>
      <c r="J2532" s="63" t="n"/>
      <c r="K2532" s="63" t="n"/>
      <c r="L2532" s="63" t="n"/>
      <c r="M2532" s="63" t="n"/>
      <c r="N2532" s="63" t="n"/>
      <c r="O2532" s="63" t="n"/>
    </row>
    <row r="2533" ht="13.5" customHeight="1">
      <c r="B2533" s="63" t="n"/>
      <c r="E2533" s="63" t="n"/>
      <c r="F2533" s="63" t="n"/>
      <c r="G2533" s="63" t="n"/>
      <c r="H2533" s="63" t="n"/>
      <c r="I2533" s="63" t="n"/>
      <c r="J2533" s="63" t="n"/>
      <c r="K2533" s="63" t="n"/>
      <c r="L2533" s="63" t="n"/>
      <c r="M2533" s="63" t="n"/>
      <c r="N2533" s="63" t="n"/>
      <c r="O2533" s="63" t="n"/>
    </row>
    <row r="2534" ht="13.5" customHeight="1">
      <c r="B2534" s="63" t="n"/>
      <c r="E2534" s="63" t="n"/>
      <c r="F2534" s="63" t="n"/>
      <c r="G2534" s="63" t="n"/>
      <c r="H2534" s="63" t="n"/>
      <c r="I2534" s="63" t="n"/>
      <c r="J2534" s="63" t="n"/>
      <c r="K2534" s="63" t="n"/>
      <c r="L2534" s="63" t="n"/>
      <c r="M2534" s="63" t="n"/>
      <c r="N2534" s="63" t="n"/>
      <c r="O2534" s="63" t="n"/>
    </row>
    <row r="2535" ht="13.5" customHeight="1">
      <c r="B2535" s="63" t="n"/>
      <c r="E2535" s="63" t="n"/>
      <c r="F2535" s="63" t="n"/>
      <c r="G2535" s="63" t="n"/>
      <c r="H2535" s="63" t="n"/>
      <c r="I2535" s="63" t="n"/>
      <c r="J2535" s="63" t="n"/>
      <c r="K2535" s="63" t="n"/>
      <c r="L2535" s="63" t="n"/>
      <c r="M2535" s="63" t="n"/>
      <c r="N2535" s="63" t="n"/>
      <c r="O2535" s="63" t="n"/>
    </row>
    <row r="2536" ht="13.5" customHeight="1">
      <c r="B2536" s="63" t="n"/>
      <c r="E2536" s="63" t="n"/>
      <c r="F2536" s="63" t="n"/>
      <c r="G2536" s="63" t="n"/>
      <c r="H2536" s="63" t="n"/>
      <c r="I2536" s="63" t="n"/>
      <c r="J2536" s="63" t="n"/>
      <c r="K2536" s="63" t="n"/>
      <c r="L2536" s="63" t="n"/>
      <c r="M2536" s="63" t="n"/>
      <c r="N2536" s="63" t="n"/>
      <c r="O2536" s="63" t="n"/>
    </row>
    <row r="2537" ht="13.5" customHeight="1">
      <c r="B2537" s="63" t="n"/>
      <c r="E2537" s="63" t="n"/>
      <c r="F2537" s="63" t="n"/>
      <c r="G2537" s="63" t="n"/>
      <c r="H2537" s="63" t="n"/>
      <c r="I2537" s="63" t="n"/>
      <c r="J2537" s="63" t="n"/>
      <c r="K2537" s="63" t="n"/>
      <c r="L2537" s="63" t="n"/>
      <c r="M2537" s="63" t="n"/>
      <c r="N2537" s="63" t="n"/>
      <c r="O2537" s="63" t="n"/>
    </row>
    <row r="2538" ht="13.5" customHeight="1">
      <c r="B2538" s="63" t="n"/>
      <c r="E2538" s="63" t="n"/>
      <c r="F2538" s="63" t="n"/>
      <c r="G2538" s="63" t="n"/>
      <c r="H2538" s="63" t="n"/>
      <c r="I2538" s="63" t="n"/>
      <c r="J2538" s="63" t="n"/>
      <c r="K2538" s="63" t="n"/>
      <c r="L2538" s="63" t="n"/>
      <c r="M2538" s="63" t="n"/>
      <c r="N2538" s="63" t="n"/>
      <c r="O2538" s="63" t="n"/>
    </row>
    <row r="2539" ht="13.5" customHeight="1">
      <c r="B2539" s="63" t="n"/>
      <c r="E2539" s="63" t="n"/>
      <c r="F2539" s="63" t="n"/>
      <c r="G2539" s="63" t="n"/>
      <c r="H2539" s="63" t="n"/>
      <c r="I2539" s="63" t="n"/>
      <c r="J2539" s="63" t="n"/>
      <c r="K2539" s="63" t="n"/>
      <c r="L2539" s="63" t="n"/>
      <c r="M2539" s="63" t="n"/>
      <c r="N2539" s="63" t="n"/>
      <c r="O2539" s="63" t="n"/>
    </row>
    <row r="2540" ht="13.5" customHeight="1">
      <c r="B2540" s="63" t="n"/>
      <c r="E2540" s="63" t="n"/>
      <c r="F2540" s="63" t="n"/>
      <c r="G2540" s="63" t="n"/>
      <c r="H2540" s="63" t="n"/>
      <c r="I2540" s="63" t="n"/>
      <c r="J2540" s="63" t="n"/>
      <c r="K2540" s="63" t="n"/>
      <c r="L2540" s="63" t="n"/>
      <c r="M2540" s="63" t="n"/>
      <c r="N2540" s="63" t="n"/>
      <c r="O2540" s="63" t="n"/>
    </row>
    <row r="2541" ht="13.5" customHeight="1">
      <c r="B2541" s="63" t="n"/>
      <c r="E2541" s="63" t="n"/>
      <c r="F2541" s="63" t="n"/>
      <c r="G2541" s="63" t="n"/>
      <c r="H2541" s="63" t="n"/>
      <c r="I2541" s="63" t="n"/>
      <c r="J2541" s="63" t="n"/>
      <c r="K2541" s="63" t="n"/>
      <c r="L2541" s="63" t="n"/>
      <c r="M2541" s="63" t="n"/>
      <c r="N2541" s="63" t="n"/>
      <c r="O2541" s="63" t="n"/>
    </row>
    <row r="2542" ht="13.5" customHeight="1">
      <c r="B2542" s="63" t="n"/>
      <c r="E2542" s="63" t="n"/>
      <c r="F2542" s="63" t="n"/>
      <c r="G2542" s="63" t="n"/>
      <c r="H2542" s="63" t="n"/>
      <c r="I2542" s="63" t="n"/>
      <c r="J2542" s="63" t="n"/>
      <c r="K2542" s="63" t="n"/>
      <c r="L2542" s="63" t="n"/>
      <c r="M2542" s="63" t="n"/>
      <c r="N2542" s="63" t="n"/>
      <c r="O2542" s="63" t="n"/>
    </row>
    <row r="2543" ht="13.5" customHeight="1">
      <c r="B2543" s="63" t="n"/>
      <c r="E2543" s="63" t="n"/>
      <c r="F2543" s="63" t="n"/>
      <c r="G2543" s="63" t="n"/>
      <c r="H2543" s="63" t="n"/>
      <c r="I2543" s="63" t="n"/>
      <c r="J2543" s="63" t="n"/>
      <c r="K2543" s="63" t="n"/>
      <c r="L2543" s="63" t="n"/>
      <c r="M2543" s="63" t="n"/>
      <c r="N2543" s="63" t="n"/>
      <c r="O2543" s="63" t="n"/>
    </row>
    <row r="2544" ht="13.5" customHeight="1">
      <c r="B2544" s="63" t="n"/>
      <c r="E2544" s="63" t="n"/>
      <c r="F2544" s="63" t="n"/>
      <c r="G2544" s="63" t="n"/>
      <c r="H2544" s="63" t="n"/>
      <c r="I2544" s="63" t="n"/>
      <c r="J2544" s="63" t="n"/>
      <c r="K2544" s="63" t="n"/>
      <c r="L2544" s="63" t="n"/>
      <c r="M2544" s="63" t="n"/>
      <c r="N2544" s="63" t="n"/>
      <c r="O2544" s="63" t="n"/>
    </row>
    <row r="2545" ht="13.5" customHeight="1">
      <c r="B2545" s="63" t="n"/>
      <c r="E2545" s="63" t="n"/>
      <c r="F2545" s="63" t="n"/>
      <c r="G2545" s="63" t="n"/>
      <c r="H2545" s="63" t="n"/>
      <c r="I2545" s="63" t="n"/>
      <c r="J2545" s="63" t="n"/>
      <c r="K2545" s="63" t="n"/>
      <c r="L2545" s="63" t="n"/>
      <c r="M2545" s="63" t="n"/>
      <c r="N2545" s="63" t="n"/>
      <c r="O2545" s="63" t="n"/>
    </row>
    <row r="2546" ht="13.5" customHeight="1">
      <c r="B2546" s="63" t="n"/>
      <c r="E2546" s="63" t="n"/>
      <c r="F2546" s="63" t="n"/>
      <c r="G2546" s="63" t="n"/>
      <c r="H2546" s="63" t="n"/>
      <c r="I2546" s="63" t="n"/>
      <c r="J2546" s="63" t="n"/>
      <c r="K2546" s="63" t="n"/>
      <c r="L2546" s="63" t="n"/>
      <c r="M2546" s="63" t="n"/>
      <c r="N2546" s="63" t="n"/>
      <c r="O2546" s="63" t="n"/>
    </row>
    <row r="2547" ht="13.5" customHeight="1">
      <c r="B2547" s="63" t="n"/>
      <c r="E2547" s="63" t="n"/>
      <c r="F2547" s="63" t="n"/>
      <c r="G2547" s="63" t="n"/>
      <c r="H2547" s="63" t="n"/>
      <c r="I2547" s="63" t="n"/>
      <c r="J2547" s="63" t="n"/>
      <c r="K2547" s="63" t="n"/>
      <c r="L2547" s="63" t="n"/>
      <c r="M2547" s="63" t="n"/>
      <c r="N2547" s="63" t="n"/>
      <c r="O2547" s="63" t="n"/>
    </row>
    <row r="2548" ht="13.5" customHeight="1">
      <c r="B2548" s="63" t="n"/>
      <c r="E2548" s="63" t="n"/>
      <c r="F2548" s="63" t="n"/>
      <c r="G2548" s="63" t="n"/>
      <c r="H2548" s="63" t="n"/>
      <c r="I2548" s="63" t="n"/>
      <c r="J2548" s="63" t="n"/>
      <c r="K2548" s="63" t="n"/>
      <c r="L2548" s="63" t="n"/>
      <c r="M2548" s="63" t="n"/>
      <c r="N2548" s="63" t="n"/>
      <c r="O2548" s="63" t="n"/>
    </row>
    <row r="2549" ht="13.5" customHeight="1">
      <c r="B2549" s="63" t="n"/>
      <c r="E2549" s="63" t="n"/>
      <c r="F2549" s="63" t="n"/>
      <c r="G2549" s="63" t="n"/>
      <c r="H2549" s="63" t="n"/>
      <c r="I2549" s="63" t="n"/>
      <c r="J2549" s="63" t="n"/>
      <c r="K2549" s="63" t="n"/>
      <c r="L2549" s="63" t="n"/>
      <c r="M2549" s="63" t="n"/>
      <c r="N2549" s="63" t="n"/>
      <c r="O2549" s="63" t="n"/>
    </row>
    <row r="2550" ht="13.5" customHeight="1">
      <c r="B2550" s="63" t="n"/>
      <c r="E2550" s="63" t="n"/>
      <c r="F2550" s="63" t="n"/>
      <c r="G2550" s="63" t="n"/>
      <c r="H2550" s="63" t="n"/>
      <c r="I2550" s="63" t="n"/>
      <c r="J2550" s="63" t="n"/>
      <c r="K2550" s="63" t="n"/>
      <c r="L2550" s="63" t="n"/>
      <c r="M2550" s="63" t="n"/>
      <c r="N2550" s="63" t="n"/>
      <c r="O2550" s="63" t="n"/>
    </row>
    <row r="2551" ht="13.5" customHeight="1">
      <c r="B2551" s="63" t="n"/>
      <c r="E2551" s="63" t="n"/>
      <c r="F2551" s="63" t="n"/>
      <c r="G2551" s="63" t="n"/>
      <c r="H2551" s="63" t="n"/>
      <c r="I2551" s="63" t="n"/>
      <c r="J2551" s="63" t="n"/>
      <c r="K2551" s="63" t="n"/>
      <c r="L2551" s="63" t="n"/>
      <c r="M2551" s="63" t="n"/>
      <c r="N2551" s="63" t="n"/>
      <c r="O2551" s="63" t="n"/>
    </row>
    <row r="2552" ht="13.5" customHeight="1">
      <c r="B2552" s="63" t="n"/>
      <c r="E2552" s="63" t="n"/>
      <c r="F2552" s="63" t="n"/>
      <c r="G2552" s="63" t="n"/>
      <c r="H2552" s="63" t="n"/>
      <c r="I2552" s="63" t="n"/>
      <c r="J2552" s="63" t="n"/>
      <c r="K2552" s="63" t="n"/>
      <c r="L2552" s="63" t="n"/>
      <c r="M2552" s="63" t="n"/>
      <c r="N2552" s="63" t="n"/>
      <c r="O2552" s="63" t="n"/>
    </row>
    <row r="2553" ht="13.5" customHeight="1">
      <c r="B2553" s="63" t="n"/>
      <c r="E2553" s="63" t="n"/>
      <c r="F2553" s="63" t="n"/>
      <c r="G2553" s="63" t="n"/>
      <c r="H2553" s="63" t="n"/>
      <c r="I2553" s="63" t="n"/>
      <c r="J2553" s="63" t="n"/>
      <c r="K2553" s="63" t="n"/>
      <c r="L2553" s="63" t="n"/>
      <c r="M2553" s="63" t="n"/>
      <c r="N2553" s="63" t="n"/>
      <c r="O2553" s="63" t="n"/>
    </row>
    <row r="2554" ht="13.5" customHeight="1">
      <c r="B2554" s="63" t="n"/>
      <c r="E2554" s="63" t="n"/>
      <c r="F2554" s="63" t="n"/>
      <c r="G2554" s="63" t="n"/>
      <c r="H2554" s="63" t="n"/>
      <c r="I2554" s="63" t="n"/>
      <c r="J2554" s="63" t="n"/>
      <c r="K2554" s="63" t="n"/>
      <c r="L2554" s="63" t="n"/>
      <c r="M2554" s="63" t="n"/>
      <c r="N2554" s="63" t="n"/>
      <c r="O2554" s="63" t="n"/>
    </row>
    <row r="2555" ht="13.5" customHeight="1">
      <c r="B2555" s="63" t="n"/>
      <c r="E2555" s="63" t="n"/>
      <c r="F2555" s="63" t="n"/>
      <c r="G2555" s="63" t="n"/>
      <c r="H2555" s="63" t="n"/>
      <c r="I2555" s="63" t="n"/>
      <c r="J2555" s="63" t="n"/>
      <c r="K2555" s="63" t="n"/>
      <c r="L2555" s="63" t="n"/>
      <c r="M2555" s="63" t="n"/>
      <c r="N2555" s="63" t="n"/>
      <c r="O2555" s="63" t="n"/>
    </row>
    <row r="2556" ht="13.5" customHeight="1">
      <c r="B2556" s="63" t="n"/>
      <c r="E2556" s="63" t="n"/>
      <c r="F2556" s="63" t="n"/>
      <c r="G2556" s="63" t="n"/>
      <c r="H2556" s="63" t="n"/>
      <c r="I2556" s="63" t="n"/>
      <c r="J2556" s="63" t="n"/>
      <c r="K2556" s="63" t="n"/>
      <c r="L2556" s="63" t="n"/>
      <c r="M2556" s="63" t="n"/>
      <c r="N2556" s="63" t="n"/>
      <c r="O2556" s="63" t="n"/>
    </row>
    <row r="2557" ht="13.5" customHeight="1">
      <c r="B2557" s="63" t="n"/>
      <c r="E2557" s="63" t="n"/>
      <c r="F2557" s="63" t="n"/>
      <c r="G2557" s="63" t="n"/>
      <c r="H2557" s="63" t="n"/>
      <c r="I2557" s="63" t="n"/>
      <c r="J2557" s="63" t="n"/>
      <c r="K2557" s="63" t="n"/>
      <c r="L2557" s="63" t="n"/>
      <c r="M2557" s="63" t="n"/>
      <c r="N2557" s="63" t="n"/>
      <c r="O2557" s="63" t="n"/>
    </row>
    <row r="2558" ht="13.5" customHeight="1">
      <c r="B2558" s="63" t="n"/>
      <c r="E2558" s="63" t="n"/>
      <c r="F2558" s="63" t="n"/>
      <c r="G2558" s="63" t="n"/>
      <c r="H2558" s="63" t="n"/>
      <c r="I2558" s="63" t="n"/>
      <c r="J2558" s="63" t="n"/>
      <c r="K2558" s="63" t="n"/>
      <c r="L2558" s="63" t="n"/>
      <c r="M2558" s="63" t="n"/>
      <c r="N2558" s="63" t="n"/>
      <c r="O2558" s="63" t="n"/>
    </row>
    <row r="2559" ht="13.5" customHeight="1">
      <c r="B2559" s="63" t="n"/>
      <c r="E2559" s="63" t="n"/>
      <c r="F2559" s="63" t="n"/>
      <c r="G2559" s="63" t="n"/>
      <c r="H2559" s="63" t="n"/>
      <c r="I2559" s="63" t="n"/>
      <c r="J2559" s="63" t="n"/>
      <c r="K2559" s="63" t="n"/>
      <c r="L2559" s="63" t="n"/>
      <c r="M2559" s="63" t="n"/>
      <c r="N2559" s="63" t="n"/>
      <c r="O2559" s="63" t="n"/>
    </row>
    <row r="2560" ht="13.5" customHeight="1">
      <c r="B2560" s="63" t="n"/>
      <c r="E2560" s="63" t="n"/>
      <c r="F2560" s="63" t="n"/>
      <c r="G2560" s="63" t="n"/>
      <c r="H2560" s="63" t="n"/>
      <c r="I2560" s="63" t="n"/>
      <c r="J2560" s="63" t="n"/>
      <c r="K2560" s="63" t="n"/>
      <c r="L2560" s="63" t="n"/>
      <c r="M2560" s="63" t="n"/>
      <c r="N2560" s="63" t="n"/>
      <c r="O2560" s="63" t="n"/>
    </row>
    <row r="2561" ht="13.5" customHeight="1">
      <c r="B2561" s="63" t="n"/>
      <c r="E2561" s="63" t="n"/>
      <c r="F2561" s="63" t="n"/>
      <c r="G2561" s="63" t="n"/>
      <c r="H2561" s="63" t="n"/>
      <c r="I2561" s="63" t="n"/>
      <c r="J2561" s="63" t="n"/>
      <c r="K2561" s="63" t="n"/>
      <c r="L2561" s="63" t="n"/>
      <c r="M2561" s="63" t="n"/>
      <c r="N2561" s="63" t="n"/>
      <c r="O2561" s="63" t="n"/>
    </row>
    <row r="2562" ht="13.5" customHeight="1">
      <c r="B2562" s="63" t="n"/>
      <c r="E2562" s="63" t="n"/>
      <c r="F2562" s="63" t="n"/>
      <c r="G2562" s="63" t="n"/>
      <c r="H2562" s="63" t="n"/>
      <c r="I2562" s="63" t="n"/>
      <c r="J2562" s="63" t="n"/>
      <c r="K2562" s="63" t="n"/>
      <c r="L2562" s="63" t="n"/>
      <c r="M2562" s="63" t="n"/>
      <c r="N2562" s="63" t="n"/>
      <c r="O2562" s="63" t="n"/>
    </row>
    <row r="2563" ht="13.5" customHeight="1">
      <c r="B2563" s="63" t="n"/>
      <c r="E2563" s="63" t="n"/>
      <c r="F2563" s="63" t="n"/>
      <c r="G2563" s="63" t="n"/>
      <c r="H2563" s="63" t="n"/>
      <c r="I2563" s="63" t="n"/>
      <c r="J2563" s="63" t="n"/>
      <c r="K2563" s="63" t="n"/>
      <c r="L2563" s="63" t="n"/>
      <c r="M2563" s="63" t="n"/>
      <c r="N2563" s="63" t="n"/>
      <c r="O2563" s="63" t="n"/>
    </row>
    <row r="2564" ht="13.5" customHeight="1">
      <c r="B2564" s="63" t="n"/>
      <c r="E2564" s="63" t="n"/>
      <c r="F2564" s="63" t="n"/>
      <c r="G2564" s="63" t="n"/>
      <c r="H2564" s="63" t="n"/>
      <c r="I2564" s="63" t="n"/>
      <c r="J2564" s="63" t="n"/>
      <c r="K2564" s="63" t="n"/>
      <c r="L2564" s="63" t="n"/>
      <c r="M2564" s="63" t="n"/>
      <c r="N2564" s="63" t="n"/>
      <c r="O2564" s="63" t="n"/>
    </row>
    <row r="2565" ht="13.5" customHeight="1">
      <c r="B2565" s="63" t="n"/>
      <c r="E2565" s="63" t="n"/>
      <c r="F2565" s="63" t="n"/>
      <c r="G2565" s="63" t="n"/>
      <c r="H2565" s="63" t="n"/>
      <c r="I2565" s="63" t="n"/>
      <c r="J2565" s="63" t="n"/>
      <c r="K2565" s="63" t="n"/>
      <c r="L2565" s="63" t="n"/>
      <c r="M2565" s="63" t="n"/>
      <c r="N2565" s="63" t="n"/>
      <c r="O2565" s="63" t="n"/>
    </row>
    <row r="2566" ht="13.5" customHeight="1">
      <c r="B2566" s="63" t="n"/>
      <c r="E2566" s="63" t="n"/>
      <c r="F2566" s="63" t="n"/>
      <c r="G2566" s="63" t="n"/>
      <c r="H2566" s="63" t="n"/>
      <c r="I2566" s="63" t="n"/>
      <c r="J2566" s="63" t="n"/>
      <c r="K2566" s="63" t="n"/>
      <c r="L2566" s="63" t="n"/>
      <c r="M2566" s="63" t="n"/>
      <c r="N2566" s="63" t="n"/>
      <c r="O2566" s="63" t="n"/>
    </row>
    <row r="2567" ht="13.5" customHeight="1">
      <c r="B2567" s="63" t="n"/>
      <c r="E2567" s="63" t="n"/>
      <c r="F2567" s="63" t="n"/>
      <c r="G2567" s="63" t="n"/>
      <c r="H2567" s="63" t="n"/>
      <c r="I2567" s="63" t="n"/>
      <c r="J2567" s="63" t="n"/>
      <c r="K2567" s="63" t="n"/>
      <c r="L2567" s="63" t="n"/>
      <c r="M2567" s="63" t="n"/>
      <c r="N2567" s="63" t="n"/>
      <c r="O2567" s="63" t="n"/>
    </row>
    <row r="2568" ht="13.5" customHeight="1">
      <c r="B2568" s="63" t="n"/>
      <c r="E2568" s="63" t="n"/>
      <c r="F2568" s="63" t="n"/>
      <c r="G2568" s="63" t="n"/>
      <c r="H2568" s="63" t="n"/>
      <c r="I2568" s="63" t="n"/>
      <c r="J2568" s="63" t="n"/>
      <c r="K2568" s="63" t="n"/>
      <c r="L2568" s="63" t="n"/>
      <c r="M2568" s="63" t="n"/>
      <c r="N2568" s="63" t="n"/>
      <c r="O2568" s="63" t="n"/>
    </row>
    <row r="2569" ht="13.5" customHeight="1">
      <c r="B2569" s="63" t="n"/>
      <c r="E2569" s="63" t="n"/>
      <c r="F2569" s="63" t="n"/>
      <c r="G2569" s="63" t="n"/>
      <c r="H2569" s="63" t="n"/>
      <c r="I2569" s="63" t="n"/>
      <c r="J2569" s="63" t="n"/>
      <c r="K2569" s="63" t="n"/>
      <c r="L2569" s="63" t="n"/>
      <c r="M2569" s="63" t="n"/>
      <c r="N2569" s="63" t="n"/>
      <c r="O2569" s="63" t="n"/>
    </row>
    <row r="2570" ht="13.5" customHeight="1">
      <c r="B2570" s="63" t="n"/>
      <c r="E2570" s="63" t="n"/>
      <c r="F2570" s="63" t="n"/>
      <c r="G2570" s="63" t="n"/>
      <c r="H2570" s="63" t="n"/>
      <c r="I2570" s="63" t="n"/>
      <c r="J2570" s="63" t="n"/>
      <c r="K2570" s="63" t="n"/>
      <c r="L2570" s="63" t="n"/>
      <c r="M2570" s="63" t="n"/>
      <c r="N2570" s="63" t="n"/>
      <c r="O2570" s="63" t="n"/>
    </row>
    <row r="2571" ht="13.5" customHeight="1">
      <c r="B2571" s="63" t="n"/>
      <c r="E2571" s="63" t="n"/>
      <c r="F2571" s="63" t="n"/>
      <c r="G2571" s="63" t="n"/>
      <c r="H2571" s="63" t="n"/>
      <c r="I2571" s="63" t="n"/>
      <c r="J2571" s="63" t="n"/>
      <c r="K2571" s="63" t="n"/>
      <c r="L2571" s="63" t="n"/>
      <c r="M2571" s="63" t="n"/>
      <c r="N2571" s="63" t="n"/>
      <c r="O2571" s="63" t="n"/>
    </row>
    <row r="2572" ht="13.5" customHeight="1">
      <c r="B2572" s="63" t="n"/>
      <c r="E2572" s="63" t="n"/>
      <c r="F2572" s="63" t="n"/>
      <c r="G2572" s="63" t="n"/>
      <c r="H2572" s="63" t="n"/>
      <c r="I2572" s="63" t="n"/>
      <c r="J2572" s="63" t="n"/>
      <c r="K2572" s="63" t="n"/>
      <c r="L2572" s="63" t="n"/>
      <c r="M2572" s="63" t="n"/>
      <c r="N2572" s="63" t="n"/>
      <c r="O2572" s="63" t="n"/>
    </row>
    <row r="2573" ht="13.5" customHeight="1">
      <c r="B2573" s="63" t="n"/>
      <c r="E2573" s="63" t="n"/>
      <c r="F2573" s="63" t="n"/>
      <c r="G2573" s="63" t="n"/>
      <c r="H2573" s="63" t="n"/>
      <c r="I2573" s="63" t="n"/>
      <c r="J2573" s="63" t="n"/>
      <c r="K2573" s="63" t="n"/>
      <c r="L2573" s="63" t="n"/>
      <c r="M2573" s="63" t="n"/>
      <c r="N2573" s="63" t="n"/>
      <c r="O2573" s="63" t="n"/>
    </row>
    <row r="2574" ht="13.5" customHeight="1">
      <c r="B2574" s="63" t="n"/>
      <c r="E2574" s="63" t="n"/>
      <c r="F2574" s="63" t="n"/>
      <c r="G2574" s="63" t="n"/>
      <c r="H2574" s="63" t="n"/>
      <c r="I2574" s="63" t="n"/>
      <c r="J2574" s="63" t="n"/>
      <c r="K2574" s="63" t="n"/>
      <c r="L2574" s="63" t="n"/>
      <c r="M2574" s="63" t="n"/>
      <c r="N2574" s="63" t="n"/>
      <c r="O2574" s="63" t="n"/>
    </row>
    <row r="2575" ht="13.5" customHeight="1">
      <c r="B2575" s="63" t="n"/>
      <c r="E2575" s="63" t="n"/>
      <c r="F2575" s="63" t="n"/>
      <c r="G2575" s="63" t="n"/>
      <c r="H2575" s="63" t="n"/>
      <c r="I2575" s="63" t="n"/>
      <c r="J2575" s="63" t="n"/>
      <c r="K2575" s="63" t="n"/>
      <c r="L2575" s="63" t="n"/>
      <c r="M2575" s="63" t="n"/>
      <c r="N2575" s="63" t="n"/>
      <c r="O2575" s="63" t="n"/>
    </row>
    <row r="2576" ht="13.5" customHeight="1">
      <c r="B2576" s="63" t="n"/>
      <c r="E2576" s="63" t="n"/>
      <c r="F2576" s="63" t="n"/>
      <c r="G2576" s="63" t="n"/>
      <c r="H2576" s="63" t="n"/>
      <c r="I2576" s="63" t="n"/>
      <c r="J2576" s="63" t="n"/>
      <c r="K2576" s="63" t="n"/>
      <c r="L2576" s="63" t="n"/>
      <c r="M2576" s="63" t="n"/>
      <c r="N2576" s="63" t="n"/>
      <c r="O2576" s="63" t="n"/>
    </row>
    <row r="2577" ht="13.5" customHeight="1">
      <c r="B2577" s="63" t="n"/>
      <c r="E2577" s="63" t="n"/>
      <c r="F2577" s="63" t="n"/>
      <c r="G2577" s="63" t="n"/>
      <c r="H2577" s="63" t="n"/>
      <c r="I2577" s="63" t="n"/>
      <c r="J2577" s="63" t="n"/>
      <c r="K2577" s="63" t="n"/>
      <c r="L2577" s="63" t="n"/>
      <c r="M2577" s="63" t="n"/>
      <c r="N2577" s="63" t="n"/>
      <c r="O2577" s="63" t="n"/>
    </row>
    <row r="2578" ht="13.5" customHeight="1">
      <c r="B2578" s="63" t="n"/>
      <c r="E2578" s="63" t="n"/>
      <c r="F2578" s="63" t="n"/>
      <c r="G2578" s="63" t="n"/>
      <c r="H2578" s="63" t="n"/>
      <c r="I2578" s="63" t="n"/>
      <c r="J2578" s="63" t="n"/>
      <c r="K2578" s="63" t="n"/>
      <c r="L2578" s="63" t="n"/>
      <c r="M2578" s="63" t="n"/>
      <c r="N2578" s="63" t="n"/>
      <c r="O2578" s="63" t="n"/>
    </row>
    <row r="2579" ht="13.5" customHeight="1">
      <c r="B2579" s="63" t="n"/>
      <c r="E2579" s="63" t="n"/>
      <c r="F2579" s="63" t="n"/>
      <c r="G2579" s="63" t="n"/>
      <c r="H2579" s="63" t="n"/>
      <c r="I2579" s="63" t="n"/>
      <c r="J2579" s="63" t="n"/>
      <c r="K2579" s="63" t="n"/>
      <c r="L2579" s="63" t="n"/>
      <c r="M2579" s="63" t="n"/>
      <c r="N2579" s="63" t="n"/>
      <c r="O2579" s="63" t="n"/>
    </row>
    <row r="2580" ht="13.5" customHeight="1">
      <c r="B2580" s="63" t="n"/>
      <c r="E2580" s="63" t="n"/>
      <c r="F2580" s="63" t="n"/>
      <c r="G2580" s="63" t="n"/>
      <c r="H2580" s="63" t="n"/>
      <c r="I2580" s="63" t="n"/>
      <c r="J2580" s="63" t="n"/>
      <c r="K2580" s="63" t="n"/>
      <c r="L2580" s="63" t="n"/>
      <c r="M2580" s="63" t="n"/>
      <c r="N2580" s="63" t="n"/>
      <c r="O2580" s="63" t="n"/>
    </row>
    <row r="2581" ht="13.5" customHeight="1">
      <c r="B2581" s="63" t="n"/>
      <c r="E2581" s="63" t="n"/>
      <c r="F2581" s="63" t="n"/>
      <c r="G2581" s="63" t="n"/>
      <c r="H2581" s="63" t="n"/>
      <c r="I2581" s="63" t="n"/>
      <c r="J2581" s="63" t="n"/>
      <c r="K2581" s="63" t="n"/>
      <c r="L2581" s="63" t="n"/>
      <c r="M2581" s="63" t="n"/>
      <c r="N2581" s="63" t="n"/>
      <c r="O2581" s="63" t="n"/>
    </row>
    <row r="2582" ht="13.5" customHeight="1">
      <c r="B2582" s="63" t="n"/>
      <c r="E2582" s="63" t="n"/>
      <c r="F2582" s="63" t="n"/>
      <c r="G2582" s="63" t="n"/>
      <c r="H2582" s="63" t="n"/>
      <c r="I2582" s="63" t="n"/>
      <c r="J2582" s="63" t="n"/>
      <c r="K2582" s="63" t="n"/>
      <c r="L2582" s="63" t="n"/>
      <c r="M2582" s="63" t="n"/>
      <c r="N2582" s="63" t="n"/>
      <c r="O2582" s="63" t="n"/>
    </row>
    <row r="2583" ht="13.5" customHeight="1">
      <c r="B2583" s="63" t="n"/>
      <c r="E2583" s="63" t="n"/>
      <c r="F2583" s="63" t="n"/>
      <c r="G2583" s="63" t="n"/>
      <c r="H2583" s="63" t="n"/>
      <c r="I2583" s="63" t="n"/>
      <c r="J2583" s="63" t="n"/>
      <c r="K2583" s="63" t="n"/>
      <c r="L2583" s="63" t="n"/>
      <c r="M2583" s="63" t="n"/>
      <c r="N2583" s="63" t="n"/>
      <c r="O2583" s="63" t="n"/>
    </row>
    <row r="2584" ht="13.5" customHeight="1">
      <c r="B2584" s="63" t="n"/>
      <c r="E2584" s="63" t="n"/>
      <c r="F2584" s="63" t="n"/>
      <c r="G2584" s="63" t="n"/>
      <c r="H2584" s="63" t="n"/>
      <c r="I2584" s="63" t="n"/>
      <c r="J2584" s="63" t="n"/>
      <c r="K2584" s="63" t="n"/>
      <c r="L2584" s="63" t="n"/>
      <c r="M2584" s="63" t="n"/>
      <c r="N2584" s="63" t="n"/>
      <c r="O2584" s="63" t="n"/>
    </row>
    <row r="2585" ht="13.5" customHeight="1">
      <c r="B2585" s="63" t="n"/>
      <c r="E2585" s="63" t="n"/>
      <c r="F2585" s="63" t="n"/>
      <c r="G2585" s="63" t="n"/>
      <c r="H2585" s="63" t="n"/>
      <c r="I2585" s="63" t="n"/>
      <c r="J2585" s="63" t="n"/>
      <c r="K2585" s="63" t="n"/>
      <c r="L2585" s="63" t="n"/>
      <c r="M2585" s="63" t="n"/>
      <c r="N2585" s="63" t="n"/>
      <c r="O2585" s="63" t="n"/>
    </row>
    <row r="2586" ht="13.5" customHeight="1">
      <c r="B2586" s="63" t="n"/>
      <c r="E2586" s="63" t="n"/>
      <c r="F2586" s="63" t="n"/>
      <c r="G2586" s="63" t="n"/>
      <c r="H2586" s="63" t="n"/>
      <c r="I2586" s="63" t="n"/>
      <c r="J2586" s="63" t="n"/>
      <c r="K2586" s="63" t="n"/>
      <c r="L2586" s="63" t="n"/>
      <c r="M2586" s="63" t="n"/>
      <c r="N2586" s="63" t="n"/>
      <c r="O2586" s="63" t="n"/>
    </row>
    <row r="2587" ht="13.5" customHeight="1">
      <c r="B2587" s="63" t="n"/>
      <c r="E2587" s="63" t="n"/>
      <c r="F2587" s="63" t="n"/>
      <c r="G2587" s="63" t="n"/>
      <c r="H2587" s="63" t="n"/>
      <c r="I2587" s="63" t="n"/>
      <c r="J2587" s="63" t="n"/>
      <c r="K2587" s="63" t="n"/>
      <c r="L2587" s="63" t="n"/>
      <c r="M2587" s="63" t="n"/>
      <c r="N2587" s="63" t="n"/>
      <c r="O2587" s="63" t="n"/>
    </row>
    <row r="2588" ht="13.5" customHeight="1">
      <c r="B2588" s="63" t="n"/>
      <c r="E2588" s="63" t="n"/>
      <c r="F2588" s="63" t="n"/>
      <c r="G2588" s="63" t="n"/>
      <c r="H2588" s="63" t="n"/>
      <c r="I2588" s="63" t="n"/>
      <c r="J2588" s="63" t="n"/>
      <c r="K2588" s="63" t="n"/>
      <c r="L2588" s="63" t="n"/>
      <c r="M2588" s="63" t="n"/>
      <c r="N2588" s="63" t="n"/>
      <c r="O2588" s="63" t="n"/>
    </row>
    <row r="2589" ht="13.5" customHeight="1">
      <c r="B2589" s="63" t="n"/>
      <c r="E2589" s="63" t="n"/>
      <c r="F2589" s="63" t="n"/>
      <c r="G2589" s="63" t="n"/>
      <c r="H2589" s="63" t="n"/>
      <c r="I2589" s="63" t="n"/>
      <c r="J2589" s="63" t="n"/>
      <c r="K2589" s="63" t="n"/>
      <c r="L2589" s="63" t="n"/>
      <c r="M2589" s="63" t="n"/>
      <c r="N2589" s="63" t="n"/>
      <c r="O2589" s="63" t="n"/>
    </row>
    <row r="2590" ht="13.5" customHeight="1">
      <c r="B2590" s="63" t="n"/>
      <c r="E2590" s="63" t="n"/>
      <c r="F2590" s="63" t="n"/>
      <c r="G2590" s="63" t="n"/>
      <c r="H2590" s="63" t="n"/>
      <c r="I2590" s="63" t="n"/>
      <c r="J2590" s="63" t="n"/>
      <c r="K2590" s="63" t="n"/>
      <c r="L2590" s="63" t="n"/>
      <c r="M2590" s="63" t="n"/>
      <c r="N2590" s="63" t="n"/>
      <c r="O2590" s="63" t="n"/>
    </row>
    <row r="2591" ht="13.5" customHeight="1">
      <c r="B2591" s="63" t="n"/>
      <c r="E2591" s="63" t="n"/>
      <c r="F2591" s="63" t="n"/>
      <c r="G2591" s="63" t="n"/>
      <c r="H2591" s="63" t="n"/>
      <c r="I2591" s="63" t="n"/>
      <c r="J2591" s="63" t="n"/>
      <c r="K2591" s="63" t="n"/>
      <c r="L2591" s="63" t="n"/>
      <c r="M2591" s="63" t="n"/>
      <c r="N2591" s="63" t="n"/>
      <c r="O2591" s="63" t="n"/>
    </row>
    <row r="2592" ht="13.5" customHeight="1">
      <c r="B2592" s="63" t="n"/>
      <c r="E2592" s="63" t="n"/>
      <c r="F2592" s="63" t="n"/>
      <c r="G2592" s="63" t="n"/>
      <c r="H2592" s="63" t="n"/>
      <c r="I2592" s="63" t="n"/>
      <c r="J2592" s="63" t="n"/>
      <c r="K2592" s="63" t="n"/>
      <c r="L2592" s="63" t="n"/>
      <c r="M2592" s="63" t="n"/>
      <c r="N2592" s="63" t="n"/>
      <c r="O2592" s="63" t="n"/>
    </row>
    <row r="2593" ht="13.5" customHeight="1">
      <c r="B2593" s="63" t="n"/>
      <c r="E2593" s="63" t="n"/>
      <c r="F2593" s="63" t="n"/>
      <c r="G2593" s="63" t="n"/>
      <c r="H2593" s="63" t="n"/>
      <c r="I2593" s="63" t="n"/>
      <c r="J2593" s="63" t="n"/>
      <c r="K2593" s="63" t="n"/>
      <c r="L2593" s="63" t="n"/>
      <c r="M2593" s="63" t="n"/>
      <c r="N2593" s="63" t="n"/>
      <c r="O2593" s="63" t="n"/>
    </row>
    <row r="2594" ht="13.5" customHeight="1">
      <c r="B2594" s="63" t="n"/>
      <c r="E2594" s="63" t="n"/>
      <c r="F2594" s="63" t="n"/>
      <c r="G2594" s="63" t="n"/>
      <c r="H2594" s="63" t="n"/>
      <c r="I2594" s="63" t="n"/>
      <c r="J2594" s="63" t="n"/>
      <c r="K2594" s="63" t="n"/>
      <c r="L2594" s="63" t="n"/>
      <c r="M2594" s="63" t="n"/>
      <c r="N2594" s="63" t="n"/>
      <c r="O2594" s="63" t="n"/>
    </row>
    <row r="2595" ht="13.5" customHeight="1">
      <c r="B2595" s="63" t="n"/>
      <c r="E2595" s="63" t="n"/>
      <c r="F2595" s="63" t="n"/>
      <c r="G2595" s="63" t="n"/>
      <c r="H2595" s="63" t="n"/>
      <c r="I2595" s="63" t="n"/>
      <c r="J2595" s="63" t="n"/>
      <c r="K2595" s="63" t="n"/>
      <c r="L2595" s="63" t="n"/>
      <c r="M2595" s="63" t="n"/>
      <c r="N2595" s="63" t="n"/>
      <c r="O2595" s="63" t="n"/>
    </row>
    <row r="2596" ht="13.5" customHeight="1">
      <c r="B2596" s="63" t="n"/>
      <c r="E2596" s="63" t="n"/>
      <c r="F2596" s="63" t="n"/>
      <c r="G2596" s="63" t="n"/>
      <c r="H2596" s="63" t="n"/>
      <c r="I2596" s="63" t="n"/>
      <c r="J2596" s="63" t="n"/>
      <c r="K2596" s="63" t="n"/>
      <c r="L2596" s="63" t="n"/>
      <c r="M2596" s="63" t="n"/>
      <c r="N2596" s="63" t="n"/>
      <c r="O2596" s="63" t="n"/>
    </row>
    <row r="2597" ht="13.5" customHeight="1">
      <c r="B2597" s="63" t="n"/>
      <c r="E2597" s="63" t="n"/>
      <c r="F2597" s="63" t="n"/>
      <c r="G2597" s="63" t="n"/>
      <c r="H2597" s="63" t="n"/>
      <c r="I2597" s="63" t="n"/>
      <c r="J2597" s="63" t="n"/>
      <c r="K2597" s="63" t="n"/>
      <c r="L2597" s="63" t="n"/>
      <c r="M2597" s="63" t="n"/>
      <c r="N2597" s="63" t="n"/>
      <c r="O2597" s="63" t="n"/>
    </row>
    <row r="2598" ht="13.5" customHeight="1">
      <c r="B2598" s="63" t="n"/>
      <c r="E2598" s="63" t="n"/>
      <c r="F2598" s="63" t="n"/>
      <c r="G2598" s="63" t="n"/>
      <c r="H2598" s="63" t="n"/>
      <c r="I2598" s="63" t="n"/>
      <c r="J2598" s="63" t="n"/>
      <c r="K2598" s="63" t="n"/>
      <c r="L2598" s="63" t="n"/>
      <c r="M2598" s="63" t="n"/>
      <c r="N2598" s="63" t="n"/>
      <c r="O2598" s="63" t="n"/>
    </row>
    <row r="2599" ht="13.5" customHeight="1">
      <c r="B2599" s="63" t="n"/>
      <c r="E2599" s="63" t="n"/>
      <c r="F2599" s="63" t="n"/>
      <c r="G2599" s="63" t="n"/>
      <c r="H2599" s="63" t="n"/>
      <c r="I2599" s="63" t="n"/>
      <c r="J2599" s="63" t="n"/>
      <c r="K2599" s="63" t="n"/>
      <c r="L2599" s="63" t="n"/>
      <c r="M2599" s="63" t="n"/>
      <c r="N2599" s="63" t="n"/>
      <c r="O2599" s="63" t="n"/>
    </row>
    <row r="2600" ht="13.5" customHeight="1">
      <c r="B2600" s="63" t="n"/>
      <c r="E2600" s="63" t="n"/>
      <c r="F2600" s="63" t="n"/>
      <c r="G2600" s="63" t="n"/>
      <c r="H2600" s="63" t="n"/>
      <c r="I2600" s="63" t="n"/>
      <c r="J2600" s="63" t="n"/>
      <c r="K2600" s="63" t="n"/>
      <c r="L2600" s="63" t="n"/>
      <c r="M2600" s="63" t="n"/>
      <c r="N2600" s="63" t="n"/>
      <c r="O2600" s="63" t="n"/>
    </row>
    <row r="2601" ht="13.5" customHeight="1">
      <c r="B2601" s="63" t="n"/>
      <c r="E2601" s="63" t="n"/>
      <c r="F2601" s="63" t="n"/>
      <c r="G2601" s="63" t="n"/>
      <c r="H2601" s="63" t="n"/>
      <c r="I2601" s="63" t="n"/>
      <c r="J2601" s="63" t="n"/>
      <c r="K2601" s="63" t="n"/>
      <c r="L2601" s="63" t="n"/>
      <c r="M2601" s="63" t="n"/>
      <c r="N2601" s="63" t="n"/>
      <c r="O2601" s="63" t="n"/>
    </row>
    <row r="2602" ht="13.5" customHeight="1">
      <c r="B2602" s="63" t="n"/>
      <c r="E2602" s="63" t="n"/>
      <c r="F2602" s="63" t="n"/>
      <c r="G2602" s="63" t="n"/>
      <c r="H2602" s="63" t="n"/>
      <c r="I2602" s="63" t="n"/>
      <c r="J2602" s="63" t="n"/>
      <c r="K2602" s="63" t="n"/>
      <c r="L2602" s="63" t="n"/>
      <c r="M2602" s="63" t="n"/>
      <c r="N2602" s="63" t="n"/>
      <c r="O2602" s="63" t="n"/>
    </row>
    <row r="2603" ht="13.5" customHeight="1">
      <c r="B2603" s="63" t="n"/>
      <c r="E2603" s="63" t="n"/>
      <c r="F2603" s="63" t="n"/>
      <c r="G2603" s="63" t="n"/>
      <c r="H2603" s="63" t="n"/>
      <c r="I2603" s="63" t="n"/>
      <c r="J2603" s="63" t="n"/>
      <c r="K2603" s="63" t="n"/>
      <c r="L2603" s="63" t="n"/>
      <c r="M2603" s="63" t="n"/>
      <c r="N2603" s="63" t="n"/>
      <c r="O2603" s="63" t="n"/>
    </row>
    <row r="2604" ht="13.5" customHeight="1">
      <c r="B2604" s="63" t="n"/>
      <c r="E2604" s="63" t="n"/>
      <c r="F2604" s="63" t="n"/>
      <c r="G2604" s="63" t="n"/>
      <c r="H2604" s="63" t="n"/>
      <c r="I2604" s="63" t="n"/>
      <c r="J2604" s="63" t="n"/>
      <c r="K2604" s="63" t="n"/>
      <c r="L2604" s="63" t="n"/>
      <c r="M2604" s="63" t="n"/>
      <c r="N2604" s="63" t="n"/>
      <c r="O2604" s="63" t="n"/>
    </row>
    <row r="2605" ht="13.5" customHeight="1">
      <c r="B2605" s="63" t="n"/>
      <c r="E2605" s="63" t="n"/>
      <c r="F2605" s="63" t="n"/>
      <c r="G2605" s="63" t="n"/>
      <c r="H2605" s="63" t="n"/>
      <c r="I2605" s="63" t="n"/>
      <c r="J2605" s="63" t="n"/>
      <c r="K2605" s="63" t="n"/>
      <c r="L2605" s="63" t="n"/>
      <c r="M2605" s="63" t="n"/>
      <c r="N2605" s="63" t="n"/>
      <c r="O2605" s="63" t="n"/>
    </row>
    <row r="2606" ht="13.5" customHeight="1">
      <c r="B2606" s="63" t="n"/>
      <c r="E2606" s="63" t="n"/>
      <c r="F2606" s="63" t="n"/>
      <c r="G2606" s="63" t="n"/>
      <c r="H2606" s="63" t="n"/>
      <c r="I2606" s="63" t="n"/>
      <c r="J2606" s="63" t="n"/>
      <c r="K2606" s="63" t="n"/>
      <c r="L2606" s="63" t="n"/>
      <c r="M2606" s="63" t="n"/>
      <c r="N2606" s="63" t="n"/>
      <c r="O2606" s="63" t="n"/>
    </row>
    <row r="2607" ht="13.5" customHeight="1">
      <c r="B2607" s="63" t="n"/>
      <c r="E2607" s="63" t="n"/>
      <c r="F2607" s="63" t="n"/>
      <c r="G2607" s="63" t="n"/>
      <c r="H2607" s="63" t="n"/>
      <c r="I2607" s="63" t="n"/>
      <c r="J2607" s="63" t="n"/>
      <c r="K2607" s="63" t="n"/>
      <c r="L2607" s="63" t="n"/>
      <c r="M2607" s="63" t="n"/>
      <c r="N2607" s="63" t="n"/>
      <c r="O2607" s="63" t="n"/>
    </row>
    <row r="2608" ht="13.5" customHeight="1">
      <c r="B2608" s="63" t="n"/>
      <c r="E2608" s="63" t="n"/>
      <c r="F2608" s="63" t="n"/>
      <c r="G2608" s="63" t="n"/>
      <c r="H2608" s="63" t="n"/>
      <c r="I2608" s="63" t="n"/>
      <c r="J2608" s="63" t="n"/>
      <c r="K2608" s="63" t="n"/>
      <c r="L2608" s="63" t="n"/>
      <c r="M2608" s="63" t="n"/>
      <c r="N2608" s="63" t="n"/>
      <c r="O2608" s="63" t="n"/>
    </row>
    <row r="2609" ht="13.5" customHeight="1">
      <c r="B2609" s="63" t="n"/>
      <c r="E2609" s="63" t="n"/>
      <c r="F2609" s="63" t="n"/>
      <c r="G2609" s="63" t="n"/>
      <c r="H2609" s="63" t="n"/>
      <c r="I2609" s="63" t="n"/>
      <c r="J2609" s="63" t="n"/>
      <c r="K2609" s="63" t="n"/>
      <c r="L2609" s="63" t="n"/>
      <c r="M2609" s="63" t="n"/>
      <c r="N2609" s="63" t="n"/>
      <c r="O2609" s="63" t="n"/>
    </row>
    <row r="2610" ht="13.5" customHeight="1">
      <c r="B2610" s="63" t="n"/>
      <c r="E2610" s="63" t="n"/>
      <c r="F2610" s="63" t="n"/>
      <c r="G2610" s="63" t="n"/>
      <c r="H2610" s="63" t="n"/>
      <c r="I2610" s="63" t="n"/>
      <c r="J2610" s="63" t="n"/>
      <c r="K2610" s="63" t="n"/>
      <c r="L2610" s="63" t="n"/>
      <c r="M2610" s="63" t="n"/>
      <c r="N2610" s="63" t="n"/>
      <c r="O2610" s="63" t="n"/>
    </row>
    <row r="2611" ht="13.5" customHeight="1">
      <c r="B2611" s="63" t="n"/>
      <c r="E2611" s="63" t="n"/>
      <c r="F2611" s="63" t="n"/>
      <c r="G2611" s="63" t="n"/>
      <c r="H2611" s="63" t="n"/>
      <c r="I2611" s="63" t="n"/>
      <c r="J2611" s="63" t="n"/>
      <c r="K2611" s="63" t="n"/>
      <c r="L2611" s="63" t="n"/>
      <c r="M2611" s="63" t="n"/>
      <c r="N2611" s="63" t="n"/>
      <c r="O2611" s="63" t="n"/>
    </row>
    <row r="2612" ht="13.5" customHeight="1">
      <c r="B2612" s="63" t="n"/>
      <c r="E2612" s="63" t="n"/>
      <c r="F2612" s="63" t="n"/>
      <c r="G2612" s="63" t="n"/>
      <c r="H2612" s="63" t="n"/>
      <c r="I2612" s="63" t="n"/>
      <c r="J2612" s="63" t="n"/>
      <c r="K2612" s="63" t="n"/>
      <c r="L2612" s="63" t="n"/>
      <c r="M2612" s="63" t="n"/>
      <c r="N2612" s="63" t="n"/>
      <c r="O2612" s="63" t="n"/>
    </row>
    <row r="2613" ht="13.5" customHeight="1">
      <c r="B2613" s="63" t="n"/>
      <c r="E2613" s="63" t="n"/>
      <c r="F2613" s="63" t="n"/>
      <c r="G2613" s="63" t="n"/>
      <c r="H2613" s="63" t="n"/>
      <c r="I2613" s="63" t="n"/>
      <c r="J2613" s="63" t="n"/>
      <c r="K2613" s="63" t="n"/>
      <c r="L2613" s="63" t="n"/>
      <c r="M2613" s="63" t="n"/>
      <c r="N2613" s="63" t="n"/>
      <c r="O2613" s="63" t="n"/>
    </row>
    <row r="2614" ht="13.5" customHeight="1">
      <c r="B2614" s="63" t="n"/>
      <c r="E2614" s="63" t="n"/>
      <c r="F2614" s="63" t="n"/>
      <c r="G2614" s="63" t="n"/>
      <c r="H2614" s="63" t="n"/>
      <c r="I2614" s="63" t="n"/>
      <c r="J2614" s="63" t="n"/>
      <c r="K2614" s="63" t="n"/>
      <c r="L2614" s="63" t="n"/>
      <c r="M2614" s="63" t="n"/>
      <c r="N2614" s="63" t="n"/>
      <c r="O2614" s="63" t="n"/>
    </row>
    <row r="2615" ht="13.5" customHeight="1">
      <c r="B2615" s="63" t="n"/>
      <c r="E2615" s="63" t="n"/>
      <c r="F2615" s="63" t="n"/>
      <c r="G2615" s="63" t="n"/>
      <c r="H2615" s="63" t="n"/>
      <c r="I2615" s="63" t="n"/>
      <c r="J2615" s="63" t="n"/>
      <c r="K2615" s="63" t="n"/>
      <c r="L2615" s="63" t="n"/>
      <c r="M2615" s="63" t="n"/>
      <c r="N2615" s="63" t="n"/>
      <c r="O2615" s="63" t="n"/>
    </row>
    <row r="2616" ht="13.5" customHeight="1">
      <c r="B2616" s="63" t="n"/>
      <c r="E2616" s="63" t="n"/>
      <c r="F2616" s="63" t="n"/>
      <c r="G2616" s="63" t="n"/>
      <c r="H2616" s="63" t="n"/>
      <c r="I2616" s="63" t="n"/>
      <c r="J2616" s="63" t="n"/>
      <c r="K2616" s="63" t="n"/>
      <c r="L2616" s="63" t="n"/>
      <c r="M2616" s="63" t="n"/>
      <c r="N2616" s="63" t="n"/>
      <c r="O2616" s="63" t="n"/>
    </row>
    <row r="2617" ht="13.5" customHeight="1">
      <c r="B2617" s="63" t="n"/>
      <c r="E2617" s="63" t="n"/>
      <c r="F2617" s="63" t="n"/>
      <c r="G2617" s="63" t="n"/>
      <c r="H2617" s="63" t="n"/>
      <c r="I2617" s="63" t="n"/>
      <c r="J2617" s="63" t="n"/>
      <c r="K2617" s="63" t="n"/>
      <c r="L2617" s="63" t="n"/>
      <c r="M2617" s="63" t="n"/>
      <c r="N2617" s="63" t="n"/>
      <c r="O2617" s="63" t="n"/>
    </row>
    <row r="2618" ht="13.5" customHeight="1">
      <c r="B2618" s="63" t="n"/>
      <c r="E2618" s="63" t="n"/>
      <c r="F2618" s="63" t="n"/>
      <c r="G2618" s="63" t="n"/>
      <c r="H2618" s="63" t="n"/>
      <c r="I2618" s="63" t="n"/>
      <c r="J2618" s="63" t="n"/>
      <c r="K2618" s="63" t="n"/>
      <c r="L2618" s="63" t="n"/>
      <c r="M2618" s="63" t="n"/>
      <c r="N2618" s="63" t="n"/>
      <c r="O2618" s="63" t="n"/>
    </row>
    <row r="2619" ht="13.5" customHeight="1">
      <c r="B2619" s="63" t="n"/>
      <c r="E2619" s="63" t="n"/>
      <c r="F2619" s="63" t="n"/>
      <c r="G2619" s="63" t="n"/>
      <c r="H2619" s="63" t="n"/>
      <c r="I2619" s="63" t="n"/>
      <c r="J2619" s="63" t="n"/>
      <c r="K2619" s="63" t="n"/>
      <c r="L2619" s="63" t="n"/>
      <c r="M2619" s="63" t="n"/>
      <c r="N2619" s="63" t="n"/>
      <c r="O2619" s="63" t="n"/>
    </row>
    <row r="2620" ht="13.5" customHeight="1">
      <c r="B2620" s="63" t="n"/>
      <c r="E2620" s="63" t="n"/>
      <c r="F2620" s="63" t="n"/>
      <c r="G2620" s="63" t="n"/>
      <c r="H2620" s="63" t="n"/>
      <c r="I2620" s="63" t="n"/>
      <c r="J2620" s="63" t="n"/>
      <c r="K2620" s="63" t="n"/>
      <c r="L2620" s="63" t="n"/>
      <c r="M2620" s="63" t="n"/>
      <c r="N2620" s="63" t="n"/>
      <c r="O2620" s="63" t="n"/>
    </row>
    <row r="2621" ht="13.5" customHeight="1">
      <c r="B2621" s="63" t="n"/>
      <c r="E2621" s="63" t="n"/>
      <c r="F2621" s="63" t="n"/>
      <c r="G2621" s="63" t="n"/>
      <c r="H2621" s="63" t="n"/>
      <c r="I2621" s="63" t="n"/>
      <c r="J2621" s="63" t="n"/>
      <c r="K2621" s="63" t="n"/>
      <c r="L2621" s="63" t="n"/>
      <c r="M2621" s="63" t="n"/>
      <c r="N2621" s="63" t="n"/>
      <c r="O2621" s="63" t="n"/>
    </row>
    <row r="2622" ht="13.5" customHeight="1">
      <c r="B2622" s="63" t="n"/>
      <c r="E2622" s="63" t="n"/>
      <c r="F2622" s="63" t="n"/>
      <c r="G2622" s="63" t="n"/>
      <c r="H2622" s="63" t="n"/>
      <c r="I2622" s="63" t="n"/>
      <c r="J2622" s="63" t="n"/>
      <c r="K2622" s="63" t="n"/>
      <c r="L2622" s="63" t="n"/>
      <c r="M2622" s="63" t="n"/>
      <c r="N2622" s="63" t="n"/>
      <c r="O2622" s="63" t="n"/>
    </row>
    <row r="2623" ht="13.5" customHeight="1">
      <c r="B2623" s="63" t="n"/>
      <c r="E2623" s="63" t="n"/>
      <c r="F2623" s="63" t="n"/>
      <c r="G2623" s="63" t="n"/>
      <c r="H2623" s="63" t="n"/>
      <c r="I2623" s="63" t="n"/>
      <c r="J2623" s="63" t="n"/>
      <c r="K2623" s="63" t="n"/>
      <c r="L2623" s="63" t="n"/>
      <c r="M2623" s="63" t="n"/>
      <c r="N2623" s="63" t="n"/>
      <c r="O2623" s="63" t="n"/>
    </row>
    <row r="2624" ht="13.5" customHeight="1">
      <c r="B2624" s="63" t="n"/>
      <c r="E2624" s="63" t="n"/>
      <c r="F2624" s="63" t="n"/>
      <c r="G2624" s="63" t="n"/>
      <c r="H2624" s="63" t="n"/>
      <c r="I2624" s="63" t="n"/>
      <c r="J2624" s="63" t="n"/>
      <c r="K2624" s="63" t="n"/>
      <c r="L2624" s="63" t="n"/>
      <c r="M2624" s="63" t="n"/>
      <c r="N2624" s="63" t="n"/>
      <c r="O2624" s="63" t="n"/>
    </row>
    <row r="2625" ht="13.5" customHeight="1">
      <c r="B2625" s="63" t="n"/>
      <c r="E2625" s="63" t="n"/>
      <c r="F2625" s="63" t="n"/>
      <c r="G2625" s="63" t="n"/>
      <c r="H2625" s="63" t="n"/>
      <c r="I2625" s="63" t="n"/>
      <c r="J2625" s="63" t="n"/>
      <c r="K2625" s="63" t="n"/>
      <c r="L2625" s="63" t="n"/>
      <c r="M2625" s="63" t="n"/>
      <c r="N2625" s="63" t="n"/>
      <c r="O2625" s="63" t="n"/>
    </row>
    <row r="2626" ht="13.5" customHeight="1">
      <c r="B2626" s="63" t="n"/>
      <c r="E2626" s="63" t="n"/>
      <c r="F2626" s="63" t="n"/>
      <c r="G2626" s="63" t="n"/>
      <c r="H2626" s="63" t="n"/>
      <c r="I2626" s="63" t="n"/>
      <c r="J2626" s="63" t="n"/>
      <c r="K2626" s="63" t="n"/>
      <c r="L2626" s="63" t="n"/>
      <c r="M2626" s="63" t="n"/>
      <c r="N2626" s="63" t="n"/>
      <c r="O2626" s="63" t="n"/>
    </row>
    <row r="2627" ht="13.5" customHeight="1">
      <c r="B2627" s="63" t="n"/>
      <c r="E2627" s="63" t="n"/>
      <c r="F2627" s="63" t="n"/>
      <c r="G2627" s="63" t="n"/>
      <c r="H2627" s="63" t="n"/>
      <c r="I2627" s="63" t="n"/>
      <c r="J2627" s="63" t="n"/>
      <c r="K2627" s="63" t="n"/>
      <c r="L2627" s="63" t="n"/>
      <c r="M2627" s="63" t="n"/>
      <c r="N2627" s="63" t="n"/>
      <c r="O2627" s="63" t="n"/>
    </row>
    <row r="2628" ht="13.5" customHeight="1">
      <c r="B2628" s="63" t="n"/>
      <c r="E2628" s="63" t="n"/>
      <c r="F2628" s="63" t="n"/>
      <c r="G2628" s="63" t="n"/>
      <c r="H2628" s="63" t="n"/>
      <c r="I2628" s="63" t="n"/>
      <c r="J2628" s="63" t="n"/>
      <c r="K2628" s="63" t="n"/>
      <c r="L2628" s="63" t="n"/>
      <c r="M2628" s="63" t="n"/>
      <c r="N2628" s="63" t="n"/>
      <c r="O2628" s="63" t="n"/>
    </row>
    <row r="2629" ht="13.5" customHeight="1">
      <c r="B2629" s="63" t="n"/>
      <c r="E2629" s="63" t="n"/>
      <c r="F2629" s="63" t="n"/>
      <c r="G2629" s="63" t="n"/>
      <c r="H2629" s="63" t="n"/>
      <c r="I2629" s="63" t="n"/>
      <c r="J2629" s="63" t="n"/>
      <c r="K2629" s="63" t="n"/>
      <c r="L2629" s="63" t="n"/>
      <c r="M2629" s="63" t="n"/>
      <c r="N2629" s="63" t="n"/>
      <c r="O2629" s="63" t="n"/>
    </row>
    <row r="2630" ht="13.5" customHeight="1">
      <c r="B2630" s="63" t="n"/>
      <c r="E2630" s="63" t="n"/>
      <c r="F2630" s="63" t="n"/>
      <c r="G2630" s="63" t="n"/>
      <c r="H2630" s="63" t="n"/>
      <c r="I2630" s="63" t="n"/>
      <c r="J2630" s="63" t="n"/>
      <c r="K2630" s="63" t="n"/>
      <c r="L2630" s="63" t="n"/>
      <c r="M2630" s="63" t="n"/>
      <c r="N2630" s="63" t="n"/>
      <c r="O2630" s="63" t="n"/>
    </row>
    <row r="2631" ht="13.5" customHeight="1">
      <c r="B2631" s="63" t="n"/>
      <c r="E2631" s="63" t="n"/>
      <c r="F2631" s="63" t="n"/>
      <c r="G2631" s="63" t="n"/>
      <c r="H2631" s="63" t="n"/>
      <c r="I2631" s="63" t="n"/>
      <c r="J2631" s="63" t="n"/>
      <c r="K2631" s="63" t="n"/>
      <c r="L2631" s="63" t="n"/>
      <c r="M2631" s="63" t="n"/>
      <c r="N2631" s="63" t="n"/>
      <c r="O2631" s="63" t="n"/>
    </row>
    <row r="2632" ht="13.5" customHeight="1">
      <c r="B2632" s="63" t="n"/>
      <c r="E2632" s="63" t="n"/>
      <c r="F2632" s="63" t="n"/>
      <c r="G2632" s="63" t="n"/>
      <c r="H2632" s="63" t="n"/>
      <c r="I2632" s="63" t="n"/>
      <c r="J2632" s="63" t="n"/>
      <c r="K2632" s="63" t="n"/>
      <c r="L2632" s="63" t="n"/>
      <c r="M2632" s="63" t="n"/>
      <c r="N2632" s="63" t="n"/>
      <c r="O2632" s="63" t="n"/>
    </row>
    <row r="2633" ht="13.5" customHeight="1">
      <c r="B2633" s="63" t="n"/>
      <c r="E2633" s="63" t="n"/>
      <c r="F2633" s="63" t="n"/>
      <c r="G2633" s="63" t="n"/>
      <c r="H2633" s="63" t="n"/>
      <c r="I2633" s="63" t="n"/>
      <c r="J2633" s="63" t="n"/>
      <c r="K2633" s="63" t="n"/>
      <c r="L2633" s="63" t="n"/>
      <c r="M2633" s="63" t="n"/>
      <c r="N2633" s="63" t="n"/>
      <c r="O2633" s="63" t="n"/>
    </row>
    <row r="2634" ht="13.5" customHeight="1">
      <c r="B2634" s="63" t="n"/>
      <c r="E2634" s="63" t="n"/>
      <c r="F2634" s="63" t="n"/>
      <c r="G2634" s="63" t="n"/>
      <c r="H2634" s="63" t="n"/>
      <c r="I2634" s="63" t="n"/>
      <c r="J2634" s="63" t="n"/>
      <c r="K2634" s="63" t="n"/>
      <c r="L2634" s="63" t="n"/>
      <c r="M2634" s="63" t="n"/>
      <c r="N2634" s="63" t="n"/>
      <c r="O2634" s="63" t="n"/>
    </row>
    <row r="2635" ht="13.5" customHeight="1">
      <c r="B2635" s="63" t="n"/>
      <c r="E2635" s="63" t="n"/>
      <c r="F2635" s="63" t="n"/>
      <c r="G2635" s="63" t="n"/>
      <c r="H2635" s="63" t="n"/>
      <c r="I2635" s="63" t="n"/>
      <c r="J2635" s="63" t="n"/>
      <c r="K2635" s="63" t="n"/>
      <c r="L2635" s="63" t="n"/>
      <c r="M2635" s="63" t="n"/>
      <c r="N2635" s="63" t="n"/>
      <c r="O2635" s="63" t="n"/>
    </row>
    <row r="2636" ht="13.5" customHeight="1">
      <c r="B2636" s="63" t="n"/>
      <c r="E2636" s="63" t="n"/>
      <c r="F2636" s="63" t="n"/>
      <c r="G2636" s="63" t="n"/>
      <c r="H2636" s="63" t="n"/>
      <c r="I2636" s="63" t="n"/>
      <c r="J2636" s="63" t="n"/>
      <c r="K2636" s="63" t="n"/>
      <c r="L2636" s="63" t="n"/>
      <c r="M2636" s="63" t="n"/>
      <c r="N2636" s="63" t="n"/>
      <c r="O2636" s="63" t="n"/>
    </row>
    <row r="2637" ht="13.5" customHeight="1">
      <c r="B2637" s="63" t="n"/>
      <c r="E2637" s="63" t="n"/>
      <c r="F2637" s="63" t="n"/>
      <c r="G2637" s="63" t="n"/>
      <c r="H2637" s="63" t="n"/>
      <c r="I2637" s="63" t="n"/>
      <c r="J2637" s="63" t="n"/>
      <c r="K2637" s="63" t="n"/>
      <c r="L2637" s="63" t="n"/>
      <c r="M2637" s="63" t="n"/>
      <c r="N2637" s="63" t="n"/>
      <c r="O2637" s="63" t="n"/>
    </row>
    <row r="2638" ht="13.5" customHeight="1">
      <c r="B2638" s="63" t="n"/>
      <c r="E2638" s="63" t="n"/>
      <c r="F2638" s="63" t="n"/>
      <c r="G2638" s="63" t="n"/>
      <c r="H2638" s="63" t="n"/>
      <c r="I2638" s="63" t="n"/>
      <c r="J2638" s="63" t="n"/>
      <c r="K2638" s="63" t="n"/>
      <c r="L2638" s="63" t="n"/>
      <c r="M2638" s="63" t="n"/>
      <c r="N2638" s="63" t="n"/>
      <c r="O2638" s="63" t="n"/>
    </row>
    <row r="2639" ht="13.5" customHeight="1">
      <c r="B2639" s="63" t="n"/>
      <c r="E2639" s="63" t="n"/>
      <c r="F2639" s="63" t="n"/>
      <c r="G2639" s="63" t="n"/>
      <c r="H2639" s="63" t="n"/>
      <c r="I2639" s="63" t="n"/>
      <c r="J2639" s="63" t="n"/>
      <c r="K2639" s="63" t="n"/>
      <c r="L2639" s="63" t="n"/>
      <c r="M2639" s="63" t="n"/>
      <c r="N2639" s="63" t="n"/>
      <c r="O2639" s="63" t="n"/>
    </row>
    <row r="2640" ht="13.5" customHeight="1">
      <c r="B2640" s="63" t="n"/>
      <c r="E2640" s="63" t="n"/>
      <c r="F2640" s="63" t="n"/>
      <c r="G2640" s="63" t="n"/>
      <c r="H2640" s="63" t="n"/>
      <c r="I2640" s="63" t="n"/>
      <c r="J2640" s="63" t="n"/>
      <c r="K2640" s="63" t="n"/>
      <c r="L2640" s="63" t="n"/>
      <c r="M2640" s="63" t="n"/>
      <c r="N2640" s="63" t="n"/>
      <c r="O2640" s="63" t="n"/>
    </row>
    <row r="2641" ht="13.5" customHeight="1">
      <c r="B2641" s="63" t="n"/>
      <c r="E2641" s="63" t="n"/>
      <c r="F2641" s="63" t="n"/>
      <c r="G2641" s="63" t="n"/>
      <c r="H2641" s="63" t="n"/>
      <c r="I2641" s="63" t="n"/>
      <c r="J2641" s="63" t="n"/>
      <c r="K2641" s="63" t="n"/>
      <c r="L2641" s="63" t="n"/>
      <c r="M2641" s="63" t="n"/>
      <c r="N2641" s="63" t="n"/>
      <c r="O2641" s="63" t="n"/>
    </row>
    <row r="2642" ht="13.5" customHeight="1">
      <c r="B2642" s="63" t="n"/>
      <c r="E2642" s="63" t="n"/>
      <c r="F2642" s="63" t="n"/>
      <c r="G2642" s="63" t="n"/>
      <c r="H2642" s="63" t="n"/>
      <c r="I2642" s="63" t="n"/>
      <c r="J2642" s="63" t="n"/>
      <c r="K2642" s="63" t="n"/>
      <c r="L2642" s="63" t="n"/>
      <c r="M2642" s="63" t="n"/>
      <c r="N2642" s="63" t="n"/>
      <c r="O2642" s="63" t="n"/>
    </row>
    <row r="2643" ht="13.5" customHeight="1">
      <c r="B2643" s="63" t="n"/>
      <c r="E2643" s="63" t="n"/>
      <c r="F2643" s="63" t="n"/>
      <c r="G2643" s="63" t="n"/>
      <c r="H2643" s="63" t="n"/>
      <c r="I2643" s="63" t="n"/>
      <c r="J2643" s="63" t="n"/>
      <c r="K2643" s="63" t="n"/>
      <c r="L2643" s="63" t="n"/>
      <c r="M2643" s="63" t="n"/>
      <c r="N2643" s="63" t="n"/>
      <c r="O2643" s="63" t="n"/>
    </row>
    <row r="2644" ht="13.5" customHeight="1">
      <c r="B2644" s="63" t="n"/>
      <c r="E2644" s="63" t="n"/>
      <c r="F2644" s="63" t="n"/>
      <c r="G2644" s="63" t="n"/>
      <c r="H2644" s="63" t="n"/>
      <c r="I2644" s="63" t="n"/>
      <c r="J2644" s="63" t="n"/>
      <c r="K2644" s="63" t="n"/>
      <c r="L2644" s="63" t="n"/>
      <c r="M2644" s="63" t="n"/>
      <c r="N2644" s="63" t="n"/>
      <c r="O2644" s="63" t="n"/>
    </row>
    <row r="2645" ht="13.5" customHeight="1">
      <c r="B2645" s="63" t="n"/>
      <c r="E2645" s="63" t="n"/>
      <c r="F2645" s="63" t="n"/>
      <c r="G2645" s="63" t="n"/>
      <c r="H2645" s="63" t="n"/>
      <c r="I2645" s="63" t="n"/>
      <c r="J2645" s="63" t="n"/>
      <c r="K2645" s="63" t="n"/>
      <c r="L2645" s="63" t="n"/>
      <c r="M2645" s="63" t="n"/>
      <c r="N2645" s="63" t="n"/>
      <c r="O2645" s="63" t="n"/>
    </row>
    <row r="2646" ht="13.5" customHeight="1">
      <c r="B2646" s="63" t="n"/>
      <c r="E2646" s="63" t="n"/>
      <c r="F2646" s="63" t="n"/>
      <c r="G2646" s="63" t="n"/>
      <c r="H2646" s="63" t="n"/>
      <c r="I2646" s="63" t="n"/>
      <c r="J2646" s="63" t="n"/>
      <c r="K2646" s="63" t="n"/>
      <c r="L2646" s="63" t="n"/>
      <c r="M2646" s="63" t="n"/>
      <c r="N2646" s="63" t="n"/>
      <c r="O2646" s="63" t="n"/>
    </row>
    <row r="2647" ht="13.5" customHeight="1">
      <c r="B2647" s="63" t="n"/>
      <c r="E2647" s="63" t="n"/>
      <c r="F2647" s="63" t="n"/>
      <c r="G2647" s="63" t="n"/>
      <c r="H2647" s="63" t="n"/>
      <c r="I2647" s="63" t="n"/>
      <c r="J2647" s="63" t="n"/>
      <c r="K2647" s="63" t="n"/>
      <c r="L2647" s="63" t="n"/>
      <c r="M2647" s="63" t="n"/>
      <c r="N2647" s="63" t="n"/>
      <c r="O2647" s="63" t="n"/>
    </row>
    <row r="2648" ht="13.5" customHeight="1">
      <c r="B2648" s="63" t="n"/>
      <c r="E2648" s="63" t="n"/>
      <c r="F2648" s="63" t="n"/>
      <c r="G2648" s="63" t="n"/>
      <c r="H2648" s="63" t="n"/>
      <c r="I2648" s="63" t="n"/>
      <c r="J2648" s="63" t="n"/>
      <c r="K2648" s="63" t="n"/>
      <c r="L2648" s="63" t="n"/>
      <c r="M2648" s="63" t="n"/>
      <c r="N2648" s="63" t="n"/>
      <c r="O2648" s="63" t="n"/>
    </row>
    <row r="2649" ht="13.5" customHeight="1">
      <c r="B2649" s="63" t="n"/>
      <c r="E2649" s="63" t="n"/>
      <c r="F2649" s="63" t="n"/>
      <c r="G2649" s="63" t="n"/>
      <c r="H2649" s="63" t="n"/>
      <c r="I2649" s="63" t="n"/>
      <c r="J2649" s="63" t="n"/>
      <c r="K2649" s="63" t="n"/>
      <c r="L2649" s="63" t="n"/>
      <c r="M2649" s="63" t="n"/>
      <c r="N2649" s="63" t="n"/>
      <c r="O2649" s="63" t="n"/>
    </row>
    <row r="2650" ht="13.5" customHeight="1">
      <c r="B2650" s="63" t="n"/>
      <c r="E2650" s="63" t="n"/>
      <c r="F2650" s="63" t="n"/>
      <c r="G2650" s="63" t="n"/>
      <c r="H2650" s="63" t="n"/>
      <c r="I2650" s="63" t="n"/>
      <c r="J2650" s="63" t="n"/>
      <c r="K2650" s="63" t="n"/>
      <c r="L2650" s="63" t="n"/>
      <c r="M2650" s="63" t="n"/>
      <c r="N2650" s="63" t="n"/>
      <c r="O2650" s="63" t="n"/>
    </row>
    <row r="2651" ht="13.5" customHeight="1">
      <c r="B2651" s="63" t="n"/>
      <c r="E2651" s="63" t="n"/>
      <c r="F2651" s="63" t="n"/>
      <c r="G2651" s="63" t="n"/>
      <c r="H2651" s="63" t="n"/>
      <c r="I2651" s="63" t="n"/>
      <c r="J2651" s="63" t="n"/>
      <c r="K2651" s="63" t="n"/>
      <c r="L2651" s="63" t="n"/>
      <c r="M2651" s="63" t="n"/>
      <c r="N2651" s="63" t="n"/>
      <c r="O2651" s="63" t="n"/>
    </row>
    <row r="2652" ht="13.5" customHeight="1">
      <c r="B2652" s="63" t="n"/>
      <c r="E2652" s="63" t="n"/>
      <c r="F2652" s="63" t="n"/>
      <c r="G2652" s="63" t="n"/>
      <c r="H2652" s="63" t="n"/>
      <c r="I2652" s="63" t="n"/>
      <c r="J2652" s="63" t="n"/>
      <c r="K2652" s="63" t="n"/>
      <c r="L2652" s="63" t="n"/>
      <c r="M2652" s="63" t="n"/>
      <c r="N2652" s="63" t="n"/>
      <c r="O2652" s="63" t="n"/>
    </row>
    <row r="2653" ht="13.5" customHeight="1">
      <c r="B2653" s="63" t="n"/>
      <c r="E2653" s="63" t="n"/>
      <c r="F2653" s="63" t="n"/>
      <c r="G2653" s="63" t="n"/>
      <c r="H2653" s="63" t="n"/>
      <c r="I2653" s="63" t="n"/>
      <c r="J2653" s="63" t="n"/>
      <c r="K2653" s="63" t="n"/>
      <c r="L2653" s="63" t="n"/>
      <c r="M2653" s="63" t="n"/>
      <c r="N2653" s="63" t="n"/>
      <c r="O2653" s="63" t="n"/>
    </row>
    <row r="2654" ht="13.5" customHeight="1">
      <c r="B2654" s="63" t="n"/>
      <c r="E2654" s="63" t="n"/>
      <c r="F2654" s="63" t="n"/>
      <c r="G2654" s="63" t="n"/>
      <c r="H2654" s="63" t="n"/>
      <c r="I2654" s="63" t="n"/>
      <c r="J2654" s="63" t="n"/>
      <c r="K2654" s="63" t="n"/>
      <c r="L2654" s="63" t="n"/>
      <c r="M2654" s="63" t="n"/>
      <c r="N2654" s="63" t="n"/>
      <c r="O2654" s="63" t="n"/>
    </row>
    <row r="2655" ht="13.5" customHeight="1">
      <c r="B2655" s="63" t="n"/>
      <c r="E2655" s="63" t="n"/>
      <c r="F2655" s="63" t="n"/>
      <c r="G2655" s="63" t="n"/>
      <c r="H2655" s="63" t="n"/>
      <c r="I2655" s="63" t="n"/>
      <c r="J2655" s="63" t="n"/>
      <c r="K2655" s="63" t="n"/>
      <c r="L2655" s="63" t="n"/>
      <c r="M2655" s="63" t="n"/>
      <c r="N2655" s="63" t="n"/>
      <c r="O2655" s="63" t="n"/>
    </row>
    <row r="2656" ht="13.5" customHeight="1">
      <c r="B2656" s="63" t="n"/>
      <c r="E2656" s="63" t="n"/>
      <c r="F2656" s="63" t="n"/>
      <c r="G2656" s="63" t="n"/>
      <c r="H2656" s="63" t="n"/>
      <c r="I2656" s="63" t="n"/>
      <c r="J2656" s="63" t="n"/>
      <c r="K2656" s="63" t="n"/>
      <c r="L2656" s="63" t="n"/>
      <c r="M2656" s="63" t="n"/>
      <c r="N2656" s="63" t="n"/>
      <c r="O2656" s="63" t="n"/>
    </row>
    <row r="2657" ht="13.5" customHeight="1">
      <c r="B2657" s="63" t="n"/>
      <c r="E2657" s="63" t="n"/>
      <c r="F2657" s="63" t="n"/>
      <c r="G2657" s="63" t="n"/>
      <c r="H2657" s="63" t="n"/>
      <c r="I2657" s="63" t="n"/>
      <c r="J2657" s="63" t="n"/>
      <c r="K2657" s="63" t="n"/>
      <c r="L2657" s="63" t="n"/>
      <c r="M2657" s="63" t="n"/>
      <c r="N2657" s="63" t="n"/>
      <c r="O2657" s="63" t="n"/>
    </row>
    <row r="2658" ht="13.5" customHeight="1">
      <c r="B2658" s="63" t="n"/>
      <c r="E2658" s="63" t="n"/>
      <c r="F2658" s="63" t="n"/>
      <c r="G2658" s="63" t="n"/>
      <c r="H2658" s="63" t="n"/>
      <c r="I2658" s="63" t="n"/>
      <c r="J2658" s="63" t="n"/>
      <c r="K2658" s="63" t="n"/>
      <c r="L2658" s="63" t="n"/>
      <c r="M2658" s="63" t="n"/>
      <c r="N2658" s="63" t="n"/>
      <c r="O2658" s="63" t="n"/>
    </row>
    <row r="2659" ht="13.5" customHeight="1">
      <c r="B2659" s="63" t="n"/>
      <c r="E2659" s="63" t="n"/>
      <c r="F2659" s="63" t="n"/>
      <c r="G2659" s="63" t="n"/>
      <c r="H2659" s="63" t="n"/>
      <c r="I2659" s="63" t="n"/>
      <c r="J2659" s="63" t="n"/>
      <c r="K2659" s="63" t="n"/>
      <c r="L2659" s="63" t="n"/>
      <c r="M2659" s="63" t="n"/>
      <c r="N2659" s="63" t="n"/>
      <c r="O2659" s="63" t="n"/>
    </row>
    <row r="2660" ht="13.5" customHeight="1">
      <c r="B2660" s="63" t="n"/>
      <c r="E2660" s="63" t="n"/>
      <c r="F2660" s="63" t="n"/>
      <c r="G2660" s="63" t="n"/>
      <c r="H2660" s="63" t="n"/>
      <c r="I2660" s="63" t="n"/>
      <c r="J2660" s="63" t="n"/>
      <c r="K2660" s="63" t="n"/>
      <c r="L2660" s="63" t="n"/>
      <c r="M2660" s="63" t="n"/>
      <c r="N2660" s="63" t="n"/>
      <c r="O2660" s="63" t="n"/>
    </row>
    <row r="2661" ht="13.5" customHeight="1">
      <c r="B2661" s="63" t="n"/>
      <c r="E2661" s="63" t="n"/>
      <c r="F2661" s="63" t="n"/>
      <c r="G2661" s="63" t="n"/>
      <c r="H2661" s="63" t="n"/>
      <c r="I2661" s="63" t="n"/>
      <c r="J2661" s="63" t="n"/>
      <c r="K2661" s="63" t="n"/>
      <c r="L2661" s="63" t="n"/>
      <c r="M2661" s="63" t="n"/>
      <c r="N2661" s="63" t="n"/>
      <c r="O2661" s="63" t="n"/>
    </row>
    <row r="2662" ht="13.5" customHeight="1">
      <c r="B2662" s="63" t="n"/>
      <c r="E2662" s="63" t="n"/>
      <c r="F2662" s="63" t="n"/>
      <c r="G2662" s="63" t="n"/>
      <c r="H2662" s="63" t="n"/>
      <c r="I2662" s="63" t="n"/>
      <c r="J2662" s="63" t="n"/>
      <c r="K2662" s="63" t="n"/>
      <c r="L2662" s="63" t="n"/>
      <c r="M2662" s="63" t="n"/>
      <c r="N2662" s="63" t="n"/>
      <c r="O2662" s="63" t="n"/>
    </row>
    <row r="2663" ht="13.5" customHeight="1">
      <c r="B2663" s="63" t="n"/>
      <c r="E2663" s="63" t="n"/>
      <c r="F2663" s="63" t="n"/>
      <c r="G2663" s="63" t="n"/>
      <c r="H2663" s="63" t="n"/>
      <c r="I2663" s="63" t="n"/>
      <c r="J2663" s="63" t="n"/>
      <c r="K2663" s="63" t="n"/>
      <c r="L2663" s="63" t="n"/>
      <c r="M2663" s="63" t="n"/>
      <c r="N2663" s="63" t="n"/>
      <c r="O2663" s="63" t="n"/>
    </row>
    <row r="2664" ht="13.5" customHeight="1">
      <c r="B2664" s="63" t="n"/>
      <c r="E2664" s="63" t="n"/>
      <c r="F2664" s="63" t="n"/>
      <c r="G2664" s="63" t="n"/>
      <c r="H2664" s="63" t="n"/>
      <c r="I2664" s="63" t="n"/>
      <c r="J2664" s="63" t="n"/>
      <c r="K2664" s="63" t="n"/>
      <c r="L2664" s="63" t="n"/>
      <c r="M2664" s="63" t="n"/>
      <c r="N2664" s="63" t="n"/>
      <c r="O2664" s="63" t="n"/>
    </row>
    <row r="2665" ht="13.5" customHeight="1">
      <c r="B2665" s="63" t="n"/>
      <c r="E2665" s="63" t="n"/>
      <c r="F2665" s="63" t="n"/>
      <c r="G2665" s="63" t="n"/>
      <c r="H2665" s="63" t="n"/>
      <c r="I2665" s="63" t="n"/>
      <c r="J2665" s="63" t="n"/>
      <c r="K2665" s="63" t="n"/>
      <c r="L2665" s="63" t="n"/>
      <c r="M2665" s="63" t="n"/>
      <c r="N2665" s="63" t="n"/>
      <c r="O2665" s="63" t="n"/>
    </row>
    <row r="2666" ht="13.5" customHeight="1">
      <c r="B2666" s="63" t="n"/>
      <c r="E2666" s="63" t="n"/>
      <c r="F2666" s="63" t="n"/>
      <c r="G2666" s="63" t="n"/>
      <c r="H2666" s="63" t="n"/>
      <c r="I2666" s="63" t="n"/>
      <c r="J2666" s="63" t="n"/>
      <c r="K2666" s="63" t="n"/>
      <c r="L2666" s="63" t="n"/>
      <c r="M2666" s="63" t="n"/>
      <c r="N2666" s="63" t="n"/>
      <c r="O2666" s="63" t="n"/>
    </row>
    <row r="2667" ht="13.5" customHeight="1">
      <c r="B2667" s="63" t="n"/>
      <c r="E2667" s="63" t="n"/>
      <c r="F2667" s="63" t="n"/>
      <c r="G2667" s="63" t="n"/>
      <c r="H2667" s="63" t="n"/>
      <c r="I2667" s="63" t="n"/>
      <c r="J2667" s="63" t="n"/>
      <c r="K2667" s="63" t="n"/>
      <c r="L2667" s="63" t="n"/>
      <c r="M2667" s="63" t="n"/>
      <c r="N2667" s="63" t="n"/>
      <c r="O2667" s="63" t="n"/>
    </row>
    <row r="2668" ht="13.5" customHeight="1">
      <c r="B2668" s="63" t="n"/>
      <c r="E2668" s="63" t="n"/>
      <c r="F2668" s="63" t="n"/>
      <c r="G2668" s="63" t="n"/>
      <c r="H2668" s="63" t="n"/>
      <c r="I2668" s="63" t="n"/>
      <c r="J2668" s="63" t="n"/>
      <c r="K2668" s="63" t="n"/>
      <c r="L2668" s="63" t="n"/>
      <c r="M2668" s="63" t="n"/>
      <c r="N2668" s="63" t="n"/>
      <c r="O2668" s="63" t="n"/>
    </row>
    <row r="2669" ht="13.5" customHeight="1">
      <c r="B2669" s="63" t="n"/>
      <c r="E2669" s="63" t="n"/>
      <c r="F2669" s="63" t="n"/>
      <c r="G2669" s="63" t="n"/>
      <c r="H2669" s="63" t="n"/>
      <c r="I2669" s="63" t="n"/>
      <c r="J2669" s="63" t="n"/>
      <c r="K2669" s="63" t="n"/>
      <c r="L2669" s="63" t="n"/>
      <c r="M2669" s="63" t="n"/>
      <c r="N2669" s="63" t="n"/>
      <c r="O2669" s="63" t="n"/>
    </row>
    <row r="2670" ht="13.5" customHeight="1">
      <c r="B2670" s="63" t="n"/>
      <c r="E2670" s="63" t="n"/>
      <c r="F2670" s="63" t="n"/>
      <c r="G2670" s="63" t="n"/>
      <c r="H2670" s="63" t="n"/>
      <c r="I2670" s="63" t="n"/>
      <c r="J2670" s="63" t="n"/>
      <c r="K2670" s="63" t="n"/>
      <c r="L2670" s="63" t="n"/>
      <c r="M2670" s="63" t="n"/>
      <c r="N2670" s="63" t="n"/>
      <c r="O2670" s="63" t="n"/>
    </row>
    <row r="2671" ht="13.5" customHeight="1">
      <c r="B2671" s="63" t="n"/>
      <c r="E2671" s="63" t="n"/>
      <c r="F2671" s="63" t="n"/>
      <c r="G2671" s="63" t="n"/>
      <c r="H2671" s="63" t="n"/>
      <c r="I2671" s="63" t="n"/>
      <c r="J2671" s="63" t="n"/>
      <c r="K2671" s="63" t="n"/>
      <c r="L2671" s="63" t="n"/>
      <c r="M2671" s="63" t="n"/>
      <c r="N2671" s="63" t="n"/>
      <c r="O2671" s="63" t="n"/>
    </row>
    <row r="2672" ht="13.5" customHeight="1">
      <c r="B2672" s="63" t="n"/>
      <c r="E2672" s="63" t="n"/>
      <c r="F2672" s="63" t="n"/>
      <c r="G2672" s="63" t="n"/>
      <c r="H2672" s="63" t="n"/>
      <c r="I2672" s="63" t="n"/>
      <c r="J2672" s="63" t="n"/>
      <c r="K2672" s="63" t="n"/>
      <c r="L2672" s="63" t="n"/>
      <c r="M2672" s="63" t="n"/>
      <c r="N2672" s="63" t="n"/>
      <c r="O2672" s="63" t="n"/>
    </row>
    <row r="2673" ht="13.5" customHeight="1">
      <c r="B2673" s="63" t="n"/>
      <c r="E2673" s="63" t="n"/>
      <c r="F2673" s="63" t="n"/>
      <c r="G2673" s="63" t="n"/>
      <c r="H2673" s="63" t="n"/>
      <c r="I2673" s="63" t="n"/>
      <c r="J2673" s="63" t="n"/>
      <c r="K2673" s="63" t="n"/>
      <c r="L2673" s="63" t="n"/>
      <c r="M2673" s="63" t="n"/>
      <c r="N2673" s="63" t="n"/>
      <c r="O2673" s="63" t="n"/>
    </row>
    <row r="2674" ht="13.5" customHeight="1">
      <c r="B2674" s="63" t="n"/>
      <c r="E2674" s="63" t="n"/>
      <c r="F2674" s="63" t="n"/>
      <c r="G2674" s="63" t="n"/>
      <c r="H2674" s="63" t="n"/>
      <c r="I2674" s="63" t="n"/>
      <c r="J2674" s="63" t="n"/>
      <c r="K2674" s="63" t="n"/>
      <c r="L2674" s="63" t="n"/>
      <c r="M2674" s="63" t="n"/>
      <c r="N2674" s="63" t="n"/>
      <c r="O2674" s="63" t="n"/>
    </row>
    <row r="2675" ht="13.5" customHeight="1">
      <c r="B2675" s="63" t="n"/>
      <c r="E2675" s="63" t="n"/>
      <c r="F2675" s="63" t="n"/>
      <c r="G2675" s="63" t="n"/>
      <c r="H2675" s="63" t="n"/>
      <c r="I2675" s="63" t="n"/>
      <c r="J2675" s="63" t="n"/>
      <c r="K2675" s="63" t="n"/>
      <c r="L2675" s="63" t="n"/>
      <c r="M2675" s="63" t="n"/>
      <c r="N2675" s="63" t="n"/>
      <c r="O2675" s="63" t="n"/>
    </row>
    <row r="2676" ht="13.5" customHeight="1">
      <c r="B2676" s="63" t="n"/>
      <c r="E2676" s="63" t="n"/>
      <c r="F2676" s="63" t="n"/>
      <c r="G2676" s="63" t="n"/>
      <c r="H2676" s="63" t="n"/>
      <c r="I2676" s="63" t="n"/>
      <c r="J2676" s="63" t="n"/>
      <c r="K2676" s="63" t="n"/>
      <c r="L2676" s="63" t="n"/>
      <c r="M2676" s="63" t="n"/>
      <c r="N2676" s="63" t="n"/>
      <c r="O2676" s="63" t="n"/>
    </row>
    <row r="2677" ht="13.5" customHeight="1">
      <c r="B2677" s="63" t="n"/>
      <c r="E2677" s="63" t="n"/>
      <c r="F2677" s="63" t="n"/>
      <c r="G2677" s="63" t="n"/>
      <c r="H2677" s="63" t="n"/>
      <c r="I2677" s="63" t="n"/>
      <c r="J2677" s="63" t="n"/>
      <c r="K2677" s="63" t="n"/>
      <c r="L2677" s="63" t="n"/>
      <c r="M2677" s="63" t="n"/>
      <c r="N2677" s="63" t="n"/>
      <c r="O2677" s="63" t="n"/>
    </row>
    <row r="2678" ht="13.5" customHeight="1">
      <c r="B2678" s="63" t="n"/>
      <c r="E2678" s="63" t="n"/>
      <c r="F2678" s="63" t="n"/>
      <c r="G2678" s="63" t="n"/>
      <c r="H2678" s="63" t="n"/>
      <c r="I2678" s="63" t="n"/>
      <c r="J2678" s="63" t="n"/>
      <c r="K2678" s="63" t="n"/>
      <c r="L2678" s="63" t="n"/>
      <c r="M2678" s="63" t="n"/>
      <c r="N2678" s="63" t="n"/>
      <c r="O2678" s="63" t="n"/>
    </row>
    <row r="2679" ht="13.5" customHeight="1">
      <c r="B2679" s="63" t="n"/>
      <c r="E2679" s="63" t="n"/>
      <c r="F2679" s="63" t="n"/>
      <c r="G2679" s="63" t="n"/>
      <c r="H2679" s="63" t="n"/>
      <c r="I2679" s="63" t="n"/>
      <c r="J2679" s="63" t="n"/>
      <c r="K2679" s="63" t="n"/>
      <c r="L2679" s="63" t="n"/>
      <c r="M2679" s="63" t="n"/>
      <c r="N2679" s="63" t="n"/>
      <c r="O2679" s="63" t="n"/>
    </row>
    <row r="2680" ht="13.5" customHeight="1">
      <c r="B2680" s="63" t="n"/>
      <c r="E2680" s="63" t="n"/>
      <c r="F2680" s="63" t="n"/>
      <c r="G2680" s="63" t="n"/>
      <c r="H2680" s="63" t="n"/>
      <c r="I2680" s="63" t="n"/>
      <c r="J2680" s="63" t="n"/>
      <c r="K2680" s="63" t="n"/>
      <c r="L2680" s="63" t="n"/>
      <c r="M2680" s="63" t="n"/>
      <c r="N2680" s="63" t="n"/>
      <c r="O2680" s="63" t="n"/>
    </row>
    <row r="2681" ht="13.5" customHeight="1">
      <c r="B2681" s="63" t="n"/>
      <c r="E2681" s="63" t="n"/>
      <c r="F2681" s="63" t="n"/>
      <c r="G2681" s="63" t="n"/>
      <c r="H2681" s="63" t="n"/>
      <c r="I2681" s="63" t="n"/>
      <c r="J2681" s="63" t="n"/>
      <c r="K2681" s="63" t="n"/>
      <c r="L2681" s="63" t="n"/>
      <c r="M2681" s="63" t="n"/>
      <c r="N2681" s="63" t="n"/>
      <c r="O2681" s="63" t="n"/>
    </row>
    <row r="2682" ht="13.5" customHeight="1">
      <c r="B2682" s="63" t="n"/>
      <c r="E2682" s="63" t="n"/>
      <c r="F2682" s="63" t="n"/>
      <c r="G2682" s="63" t="n"/>
      <c r="H2682" s="63" t="n"/>
      <c r="I2682" s="63" t="n"/>
      <c r="J2682" s="63" t="n"/>
      <c r="K2682" s="63" t="n"/>
      <c r="L2682" s="63" t="n"/>
      <c r="M2682" s="63" t="n"/>
      <c r="N2682" s="63" t="n"/>
      <c r="O2682" s="63" t="n"/>
    </row>
    <row r="2683" ht="13.5" customHeight="1">
      <c r="B2683" s="63" t="n"/>
      <c r="E2683" s="63" t="n"/>
      <c r="F2683" s="63" t="n"/>
      <c r="G2683" s="63" t="n"/>
      <c r="H2683" s="63" t="n"/>
      <c r="I2683" s="63" t="n"/>
      <c r="J2683" s="63" t="n"/>
      <c r="K2683" s="63" t="n"/>
      <c r="L2683" s="63" t="n"/>
      <c r="M2683" s="63" t="n"/>
      <c r="N2683" s="63" t="n"/>
      <c r="O2683" s="63" t="n"/>
    </row>
    <row r="2684" ht="13.5" customHeight="1">
      <c r="B2684" s="63" t="n"/>
      <c r="E2684" s="63" t="n"/>
      <c r="F2684" s="63" t="n"/>
      <c r="G2684" s="63" t="n"/>
      <c r="H2684" s="63" t="n"/>
      <c r="I2684" s="63" t="n"/>
      <c r="J2684" s="63" t="n"/>
      <c r="K2684" s="63" t="n"/>
      <c r="L2684" s="63" t="n"/>
      <c r="M2684" s="63" t="n"/>
      <c r="N2684" s="63" t="n"/>
      <c r="O2684" s="63" t="n"/>
    </row>
    <row r="2685" ht="13.5" customHeight="1">
      <c r="B2685" s="63" t="n"/>
      <c r="E2685" s="63" t="n"/>
      <c r="F2685" s="63" t="n"/>
      <c r="G2685" s="63" t="n"/>
      <c r="H2685" s="63" t="n"/>
      <c r="I2685" s="63" t="n"/>
      <c r="J2685" s="63" t="n"/>
      <c r="K2685" s="63" t="n"/>
      <c r="L2685" s="63" t="n"/>
      <c r="M2685" s="63" t="n"/>
      <c r="N2685" s="63" t="n"/>
      <c r="O2685" s="63" t="n"/>
    </row>
    <row r="2686" ht="13.5" customHeight="1">
      <c r="B2686" s="63" t="n"/>
      <c r="E2686" s="63" t="n"/>
      <c r="F2686" s="63" t="n"/>
      <c r="G2686" s="63" t="n"/>
      <c r="H2686" s="63" t="n"/>
      <c r="I2686" s="63" t="n"/>
      <c r="J2686" s="63" t="n"/>
      <c r="K2686" s="63" t="n"/>
      <c r="L2686" s="63" t="n"/>
      <c r="M2686" s="63" t="n"/>
      <c r="N2686" s="63" t="n"/>
      <c r="O2686" s="63" t="n"/>
    </row>
    <row r="2687" ht="13.5" customHeight="1">
      <c r="B2687" s="63" t="n"/>
      <c r="E2687" s="63" t="n"/>
      <c r="F2687" s="63" t="n"/>
      <c r="G2687" s="63" t="n"/>
      <c r="H2687" s="63" t="n"/>
      <c r="I2687" s="63" t="n"/>
      <c r="J2687" s="63" t="n"/>
      <c r="K2687" s="63" t="n"/>
      <c r="L2687" s="63" t="n"/>
      <c r="M2687" s="63" t="n"/>
      <c r="N2687" s="63" t="n"/>
      <c r="O2687" s="63" t="n"/>
    </row>
    <row r="2688" ht="13.5" customHeight="1">
      <c r="B2688" s="63" t="n"/>
      <c r="E2688" s="63" t="n"/>
      <c r="F2688" s="63" t="n"/>
      <c r="G2688" s="63" t="n"/>
      <c r="H2688" s="63" t="n"/>
      <c r="I2688" s="63" t="n"/>
      <c r="J2688" s="63" t="n"/>
      <c r="K2688" s="63" t="n"/>
      <c r="L2688" s="63" t="n"/>
      <c r="M2688" s="63" t="n"/>
      <c r="N2688" s="63" t="n"/>
      <c r="O2688" s="63" t="n"/>
    </row>
    <row r="2689" ht="13.5" customHeight="1">
      <c r="B2689" s="63" t="n"/>
      <c r="E2689" s="63" t="n"/>
      <c r="F2689" s="63" t="n"/>
      <c r="G2689" s="63" t="n"/>
      <c r="H2689" s="63" t="n"/>
      <c r="I2689" s="63" t="n"/>
      <c r="J2689" s="63" t="n"/>
      <c r="K2689" s="63" t="n"/>
      <c r="L2689" s="63" t="n"/>
      <c r="M2689" s="63" t="n"/>
      <c r="N2689" s="63" t="n"/>
      <c r="O2689" s="63" t="n"/>
    </row>
    <row r="2690" ht="13.5" customHeight="1">
      <c r="B2690" s="63" t="n"/>
      <c r="E2690" s="63" t="n"/>
      <c r="F2690" s="63" t="n"/>
      <c r="G2690" s="63" t="n"/>
      <c r="H2690" s="63" t="n"/>
      <c r="I2690" s="63" t="n"/>
      <c r="J2690" s="63" t="n"/>
      <c r="K2690" s="63" t="n"/>
      <c r="L2690" s="63" t="n"/>
      <c r="M2690" s="63" t="n"/>
      <c r="N2690" s="63" t="n"/>
      <c r="O2690" s="63" t="n"/>
    </row>
    <row r="2691" ht="13.5" customHeight="1">
      <c r="B2691" s="63" t="n"/>
      <c r="E2691" s="63" t="n"/>
      <c r="F2691" s="63" t="n"/>
      <c r="G2691" s="63" t="n"/>
      <c r="H2691" s="63" t="n"/>
      <c r="I2691" s="63" t="n"/>
      <c r="J2691" s="63" t="n"/>
      <c r="K2691" s="63" t="n"/>
      <c r="L2691" s="63" t="n"/>
      <c r="M2691" s="63" t="n"/>
      <c r="N2691" s="63" t="n"/>
      <c r="O2691" s="63" t="n"/>
    </row>
    <row r="2692" ht="13.5" customHeight="1">
      <c r="B2692" s="63" t="n"/>
      <c r="E2692" s="63" t="n"/>
      <c r="F2692" s="63" t="n"/>
      <c r="G2692" s="63" t="n"/>
      <c r="H2692" s="63" t="n"/>
      <c r="I2692" s="63" t="n"/>
      <c r="J2692" s="63" t="n"/>
      <c r="K2692" s="63" t="n"/>
      <c r="L2692" s="63" t="n"/>
      <c r="M2692" s="63" t="n"/>
      <c r="N2692" s="63" t="n"/>
      <c r="O2692" s="63" t="n"/>
    </row>
    <row r="2693" ht="13.5" customHeight="1">
      <c r="B2693" s="63" t="n"/>
      <c r="E2693" s="63" t="n"/>
      <c r="F2693" s="63" t="n"/>
      <c r="G2693" s="63" t="n"/>
      <c r="H2693" s="63" t="n"/>
      <c r="I2693" s="63" t="n"/>
      <c r="J2693" s="63" t="n"/>
      <c r="K2693" s="63" t="n"/>
      <c r="L2693" s="63" t="n"/>
      <c r="M2693" s="63" t="n"/>
      <c r="N2693" s="63" t="n"/>
      <c r="O2693" s="63" t="n"/>
    </row>
    <row r="2694" ht="13.5" customHeight="1">
      <c r="B2694" s="63" t="n"/>
      <c r="E2694" s="63" t="n"/>
      <c r="F2694" s="63" t="n"/>
      <c r="G2694" s="63" t="n"/>
      <c r="H2694" s="63" t="n"/>
      <c r="I2694" s="63" t="n"/>
      <c r="J2694" s="63" t="n"/>
      <c r="K2694" s="63" t="n"/>
      <c r="L2694" s="63" t="n"/>
      <c r="M2694" s="63" t="n"/>
      <c r="N2694" s="63" t="n"/>
      <c r="O2694" s="63" t="n"/>
    </row>
    <row r="2695" ht="13.5" customHeight="1">
      <c r="B2695" s="63" t="n"/>
      <c r="E2695" s="63" t="n"/>
      <c r="F2695" s="63" t="n"/>
      <c r="G2695" s="63" t="n"/>
      <c r="H2695" s="63" t="n"/>
      <c r="I2695" s="63" t="n"/>
      <c r="J2695" s="63" t="n"/>
      <c r="K2695" s="63" t="n"/>
      <c r="L2695" s="63" t="n"/>
      <c r="M2695" s="63" t="n"/>
      <c r="N2695" s="63" t="n"/>
      <c r="O2695" s="63" t="n"/>
    </row>
    <row r="2696" ht="13.5" customHeight="1">
      <c r="B2696" s="63" t="n"/>
      <c r="E2696" s="63" t="n"/>
      <c r="F2696" s="63" t="n"/>
      <c r="G2696" s="63" t="n"/>
      <c r="H2696" s="63" t="n"/>
      <c r="I2696" s="63" t="n"/>
      <c r="J2696" s="63" t="n"/>
      <c r="K2696" s="63" t="n"/>
      <c r="L2696" s="63" t="n"/>
      <c r="M2696" s="63" t="n"/>
      <c r="N2696" s="63" t="n"/>
      <c r="O2696" s="63" t="n"/>
    </row>
    <row r="2697" ht="13.5" customHeight="1">
      <c r="B2697" s="63" t="n"/>
      <c r="E2697" s="63" t="n"/>
      <c r="F2697" s="63" t="n"/>
      <c r="G2697" s="63" t="n"/>
      <c r="H2697" s="63" t="n"/>
      <c r="I2697" s="63" t="n"/>
      <c r="J2697" s="63" t="n"/>
      <c r="K2697" s="63" t="n"/>
      <c r="L2697" s="63" t="n"/>
      <c r="M2697" s="63" t="n"/>
      <c r="N2697" s="63" t="n"/>
      <c r="O2697" s="63" t="n"/>
    </row>
    <row r="2698" ht="13.5" customHeight="1">
      <c r="B2698" s="63" t="n"/>
      <c r="E2698" s="63" t="n"/>
      <c r="F2698" s="63" t="n"/>
      <c r="G2698" s="63" t="n"/>
      <c r="H2698" s="63" t="n"/>
      <c r="I2698" s="63" t="n"/>
      <c r="J2698" s="63" t="n"/>
      <c r="K2698" s="63" t="n"/>
      <c r="L2698" s="63" t="n"/>
      <c r="M2698" s="63" t="n"/>
      <c r="N2698" s="63" t="n"/>
      <c r="O2698" s="63" t="n"/>
    </row>
    <row r="2699" ht="13.5" customHeight="1">
      <c r="B2699" s="63" t="n"/>
      <c r="E2699" s="63" t="n"/>
      <c r="F2699" s="63" t="n"/>
      <c r="G2699" s="63" t="n"/>
      <c r="H2699" s="63" t="n"/>
      <c r="I2699" s="63" t="n"/>
      <c r="J2699" s="63" t="n"/>
      <c r="K2699" s="63" t="n"/>
      <c r="L2699" s="63" t="n"/>
      <c r="M2699" s="63" t="n"/>
      <c r="N2699" s="63" t="n"/>
      <c r="O2699" s="63" t="n"/>
    </row>
    <row r="2700" ht="13.5" customHeight="1">
      <c r="B2700" s="63" t="n"/>
      <c r="E2700" s="63" t="n"/>
      <c r="F2700" s="63" t="n"/>
      <c r="G2700" s="63" t="n"/>
      <c r="H2700" s="63" t="n"/>
      <c r="I2700" s="63" t="n"/>
      <c r="J2700" s="63" t="n"/>
      <c r="K2700" s="63" t="n"/>
      <c r="L2700" s="63" t="n"/>
      <c r="M2700" s="63" t="n"/>
      <c r="N2700" s="63" t="n"/>
      <c r="O2700" s="63" t="n"/>
    </row>
    <row r="2701" ht="13.5" customHeight="1">
      <c r="B2701" s="63" t="n"/>
      <c r="E2701" s="63" t="n"/>
      <c r="F2701" s="63" t="n"/>
      <c r="G2701" s="63" t="n"/>
      <c r="H2701" s="63" t="n"/>
      <c r="I2701" s="63" t="n"/>
      <c r="J2701" s="63" t="n"/>
      <c r="K2701" s="63" t="n"/>
      <c r="L2701" s="63" t="n"/>
      <c r="M2701" s="63" t="n"/>
      <c r="N2701" s="63" t="n"/>
      <c r="O2701" s="63" t="n"/>
    </row>
    <row r="2702" ht="13.5" customHeight="1">
      <c r="B2702" s="63" t="n"/>
      <c r="E2702" s="63" t="n"/>
      <c r="F2702" s="63" t="n"/>
      <c r="G2702" s="63" t="n"/>
      <c r="H2702" s="63" t="n"/>
      <c r="I2702" s="63" t="n"/>
      <c r="J2702" s="63" t="n"/>
      <c r="K2702" s="63" t="n"/>
      <c r="L2702" s="63" t="n"/>
      <c r="M2702" s="63" t="n"/>
      <c r="N2702" s="63" t="n"/>
      <c r="O2702" s="63" t="n"/>
    </row>
    <row r="2703" ht="13.5" customHeight="1">
      <c r="B2703" s="63" t="n"/>
      <c r="E2703" s="63" t="n"/>
      <c r="F2703" s="63" t="n"/>
      <c r="G2703" s="63" t="n"/>
      <c r="H2703" s="63" t="n"/>
      <c r="I2703" s="63" t="n"/>
      <c r="J2703" s="63" t="n"/>
      <c r="K2703" s="63" t="n"/>
      <c r="L2703" s="63" t="n"/>
      <c r="M2703" s="63" t="n"/>
      <c r="N2703" s="63" t="n"/>
      <c r="O2703" s="63" t="n"/>
    </row>
    <row r="2704" ht="13.5" customHeight="1">
      <c r="B2704" s="63" t="n"/>
      <c r="E2704" s="63" t="n"/>
      <c r="F2704" s="63" t="n"/>
      <c r="G2704" s="63" t="n"/>
      <c r="H2704" s="63" t="n"/>
      <c r="I2704" s="63" t="n"/>
      <c r="J2704" s="63" t="n"/>
      <c r="K2704" s="63" t="n"/>
      <c r="L2704" s="63" t="n"/>
      <c r="M2704" s="63" t="n"/>
      <c r="N2704" s="63" t="n"/>
      <c r="O2704" s="63" t="n"/>
    </row>
    <row r="2705" ht="13.5" customHeight="1">
      <c r="B2705" s="63" t="n"/>
      <c r="E2705" s="63" t="n"/>
      <c r="F2705" s="63" t="n"/>
      <c r="G2705" s="63" t="n"/>
      <c r="H2705" s="63" t="n"/>
      <c r="I2705" s="63" t="n"/>
      <c r="J2705" s="63" t="n"/>
      <c r="K2705" s="63" t="n"/>
      <c r="L2705" s="63" t="n"/>
      <c r="M2705" s="63" t="n"/>
      <c r="N2705" s="63" t="n"/>
      <c r="O2705" s="63" t="n"/>
    </row>
    <row r="2706" ht="13.5" customHeight="1">
      <c r="B2706" s="63" t="n"/>
      <c r="E2706" s="63" t="n"/>
      <c r="F2706" s="63" t="n"/>
      <c r="G2706" s="63" t="n"/>
      <c r="H2706" s="63" t="n"/>
      <c r="I2706" s="63" t="n"/>
      <c r="J2706" s="63" t="n"/>
      <c r="K2706" s="63" t="n"/>
      <c r="L2706" s="63" t="n"/>
      <c r="M2706" s="63" t="n"/>
      <c r="N2706" s="63" t="n"/>
      <c r="O2706" s="63" t="n"/>
    </row>
    <row r="2707" ht="13.5" customHeight="1">
      <c r="B2707" s="63" t="n"/>
      <c r="E2707" s="63" t="n"/>
      <c r="F2707" s="63" t="n"/>
      <c r="G2707" s="63" t="n"/>
      <c r="H2707" s="63" t="n"/>
      <c r="I2707" s="63" t="n"/>
      <c r="J2707" s="63" t="n"/>
      <c r="K2707" s="63" t="n"/>
      <c r="L2707" s="63" t="n"/>
      <c r="M2707" s="63" t="n"/>
      <c r="N2707" s="63" t="n"/>
      <c r="O2707" s="63" t="n"/>
    </row>
    <row r="2708" ht="13.5" customHeight="1">
      <c r="B2708" s="63" t="n"/>
      <c r="E2708" s="63" t="n"/>
      <c r="F2708" s="63" t="n"/>
      <c r="G2708" s="63" t="n"/>
      <c r="H2708" s="63" t="n"/>
      <c r="I2708" s="63" t="n"/>
      <c r="J2708" s="63" t="n"/>
      <c r="K2708" s="63" t="n"/>
      <c r="L2708" s="63" t="n"/>
      <c r="M2708" s="63" t="n"/>
      <c r="N2708" s="63" t="n"/>
      <c r="O2708" s="63" t="n"/>
    </row>
    <row r="2709" ht="13.5" customHeight="1">
      <c r="B2709" s="63" t="n"/>
      <c r="E2709" s="63" t="n"/>
      <c r="F2709" s="63" t="n"/>
      <c r="G2709" s="63" t="n"/>
      <c r="H2709" s="63" t="n"/>
      <c r="I2709" s="63" t="n"/>
      <c r="J2709" s="63" t="n"/>
      <c r="K2709" s="63" t="n"/>
      <c r="L2709" s="63" t="n"/>
      <c r="M2709" s="63" t="n"/>
      <c r="N2709" s="63" t="n"/>
      <c r="O2709" s="63" t="n"/>
    </row>
    <row r="2710" ht="13.5" customHeight="1">
      <c r="B2710" s="63" t="n"/>
      <c r="E2710" s="63" t="n"/>
      <c r="F2710" s="63" t="n"/>
      <c r="G2710" s="63" t="n"/>
      <c r="H2710" s="63" t="n"/>
      <c r="I2710" s="63" t="n"/>
      <c r="J2710" s="63" t="n"/>
      <c r="K2710" s="63" t="n"/>
      <c r="L2710" s="63" t="n"/>
      <c r="M2710" s="63" t="n"/>
      <c r="N2710" s="63" t="n"/>
      <c r="O2710" s="63" t="n"/>
    </row>
    <row r="2711" ht="13.5" customHeight="1">
      <c r="B2711" s="63" t="n"/>
      <c r="E2711" s="63" t="n"/>
      <c r="F2711" s="63" t="n"/>
      <c r="G2711" s="63" t="n"/>
      <c r="H2711" s="63" t="n"/>
      <c r="I2711" s="63" t="n"/>
      <c r="J2711" s="63" t="n"/>
      <c r="K2711" s="63" t="n"/>
      <c r="L2711" s="63" t="n"/>
      <c r="M2711" s="63" t="n"/>
      <c r="N2711" s="63" t="n"/>
      <c r="O2711" s="63" t="n"/>
    </row>
    <row r="2712" ht="13.5" customHeight="1">
      <c r="B2712" s="63" t="n"/>
      <c r="E2712" s="63" t="n"/>
      <c r="F2712" s="63" t="n"/>
      <c r="G2712" s="63" t="n"/>
      <c r="H2712" s="63" t="n"/>
      <c r="I2712" s="63" t="n"/>
      <c r="J2712" s="63" t="n"/>
      <c r="K2712" s="63" t="n"/>
      <c r="L2712" s="63" t="n"/>
      <c r="M2712" s="63" t="n"/>
      <c r="N2712" s="63" t="n"/>
      <c r="O2712" s="63" t="n"/>
    </row>
    <row r="2713" ht="13.5" customHeight="1">
      <c r="B2713" s="63" t="n"/>
      <c r="E2713" s="63" t="n"/>
      <c r="F2713" s="63" t="n"/>
      <c r="G2713" s="63" t="n"/>
      <c r="H2713" s="63" t="n"/>
      <c r="I2713" s="63" t="n"/>
      <c r="J2713" s="63" t="n"/>
      <c r="K2713" s="63" t="n"/>
      <c r="L2713" s="63" t="n"/>
      <c r="M2713" s="63" t="n"/>
      <c r="N2713" s="63" t="n"/>
      <c r="O2713" s="63" t="n"/>
    </row>
    <row r="2714" ht="13.5" customHeight="1">
      <c r="B2714" s="63" t="n"/>
      <c r="E2714" s="63" t="n"/>
      <c r="F2714" s="63" t="n"/>
      <c r="G2714" s="63" t="n"/>
      <c r="H2714" s="63" t="n"/>
      <c r="I2714" s="63" t="n"/>
      <c r="J2714" s="63" t="n"/>
      <c r="K2714" s="63" t="n"/>
      <c r="L2714" s="63" t="n"/>
      <c r="M2714" s="63" t="n"/>
      <c r="N2714" s="63" t="n"/>
      <c r="O2714" s="63" t="n"/>
    </row>
    <row r="2715" ht="13.5" customHeight="1">
      <c r="B2715" s="63" t="n"/>
      <c r="E2715" s="63" t="n"/>
      <c r="F2715" s="63" t="n"/>
      <c r="G2715" s="63" t="n"/>
      <c r="H2715" s="63" t="n"/>
      <c r="I2715" s="63" t="n"/>
      <c r="J2715" s="63" t="n"/>
      <c r="K2715" s="63" t="n"/>
      <c r="L2715" s="63" t="n"/>
      <c r="M2715" s="63" t="n"/>
      <c r="N2715" s="63" t="n"/>
      <c r="O2715" s="63" t="n"/>
    </row>
    <row r="2716" ht="13.5" customHeight="1">
      <c r="B2716" s="63" t="n"/>
      <c r="E2716" s="63" t="n"/>
      <c r="F2716" s="63" t="n"/>
      <c r="G2716" s="63" t="n"/>
      <c r="H2716" s="63" t="n"/>
      <c r="I2716" s="63" t="n"/>
      <c r="J2716" s="63" t="n"/>
      <c r="K2716" s="63" t="n"/>
      <c r="L2716" s="63" t="n"/>
      <c r="M2716" s="63" t="n"/>
      <c r="N2716" s="63" t="n"/>
      <c r="O2716" s="63" t="n"/>
    </row>
    <row r="2717" ht="13.5" customHeight="1">
      <c r="B2717" s="63" t="n"/>
      <c r="E2717" s="63" t="n"/>
      <c r="F2717" s="63" t="n"/>
      <c r="G2717" s="63" t="n"/>
      <c r="H2717" s="63" t="n"/>
      <c r="I2717" s="63" t="n"/>
      <c r="J2717" s="63" t="n"/>
      <c r="K2717" s="63" t="n"/>
      <c r="L2717" s="63" t="n"/>
      <c r="M2717" s="63" t="n"/>
      <c r="N2717" s="63" t="n"/>
      <c r="O2717" s="63" t="n"/>
    </row>
    <row r="2718" ht="13.5" customHeight="1">
      <c r="B2718" s="63" t="n"/>
      <c r="E2718" s="63" t="n"/>
      <c r="F2718" s="63" t="n"/>
      <c r="G2718" s="63" t="n"/>
      <c r="H2718" s="63" t="n"/>
      <c r="I2718" s="63" t="n"/>
      <c r="J2718" s="63" t="n"/>
      <c r="K2718" s="63" t="n"/>
      <c r="L2718" s="63" t="n"/>
      <c r="M2718" s="63" t="n"/>
      <c r="N2718" s="63" t="n"/>
      <c r="O2718" s="63" t="n"/>
    </row>
    <row r="2719" ht="13.5" customHeight="1">
      <c r="B2719" s="63" t="n"/>
      <c r="E2719" s="63" t="n"/>
      <c r="F2719" s="63" t="n"/>
      <c r="G2719" s="63" t="n"/>
      <c r="H2719" s="63" t="n"/>
      <c r="I2719" s="63" t="n"/>
      <c r="J2719" s="63" t="n"/>
      <c r="K2719" s="63" t="n"/>
      <c r="L2719" s="63" t="n"/>
      <c r="M2719" s="63" t="n"/>
      <c r="N2719" s="63" t="n"/>
      <c r="O2719" s="63" t="n"/>
    </row>
    <row r="2720" ht="13.5" customHeight="1">
      <c r="B2720" s="63" t="n"/>
      <c r="E2720" s="63" t="n"/>
      <c r="F2720" s="63" t="n"/>
      <c r="G2720" s="63" t="n"/>
      <c r="H2720" s="63" t="n"/>
      <c r="I2720" s="63" t="n"/>
      <c r="J2720" s="63" t="n"/>
      <c r="K2720" s="63" t="n"/>
      <c r="L2720" s="63" t="n"/>
      <c r="M2720" s="63" t="n"/>
      <c r="N2720" s="63" t="n"/>
      <c r="O2720" s="63" t="n"/>
    </row>
    <row r="2721" ht="13.5" customHeight="1">
      <c r="B2721" s="63" t="n"/>
      <c r="E2721" s="63" t="n"/>
      <c r="F2721" s="63" t="n"/>
      <c r="G2721" s="63" t="n"/>
      <c r="H2721" s="63" t="n"/>
      <c r="I2721" s="63" t="n"/>
      <c r="J2721" s="63" t="n"/>
      <c r="K2721" s="63" t="n"/>
      <c r="L2721" s="63" t="n"/>
      <c r="M2721" s="63" t="n"/>
      <c r="N2721" s="63" t="n"/>
      <c r="O2721" s="63" t="n"/>
    </row>
    <row r="2722" ht="13.5" customHeight="1">
      <c r="B2722" s="63" t="n"/>
      <c r="E2722" s="63" t="n"/>
      <c r="F2722" s="63" t="n"/>
      <c r="G2722" s="63" t="n"/>
      <c r="H2722" s="63" t="n"/>
      <c r="I2722" s="63" t="n"/>
      <c r="J2722" s="63" t="n"/>
      <c r="K2722" s="63" t="n"/>
      <c r="L2722" s="63" t="n"/>
      <c r="M2722" s="63" t="n"/>
      <c r="N2722" s="63" t="n"/>
      <c r="O2722" s="63" t="n"/>
    </row>
    <row r="2723" ht="13.5" customHeight="1">
      <c r="B2723" s="63" t="n"/>
      <c r="E2723" s="63" t="n"/>
      <c r="F2723" s="63" t="n"/>
      <c r="G2723" s="63" t="n"/>
      <c r="H2723" s="63" t="n"/>
      <c r="I2723" s="63" t="n"/>
      <c r="J2723" s="63" t="n"/>
      <c r="K2723" s="63" t="n"/>
      <c r="L2723" s="63" t="n"/>
      <c r="M2723" s="63" t="n"/>
      <c r="N2723" s="63" t="n"/>
      <c r="O2723" s="63" t="n"/>
    </row>
    <row r="2724" ht="13.5" customHeight="1">
      <c r="B2724" s="63" t="n"/>
      <c r="E2724" s="63" t="n"/>
      <c r="F2724" s="63" t="n"/>
      <c r="G2724" s="63" t="n"/>
      <c r="H2724" s="63" t="n"/>
      <c r="I2724" s="63" t="n"/>
      <c r="J2724" s="63" t="n"/>
      <c r="K2724" s="63" t="n"/>
      <c r="L2724" s="63" t="n"/>
      <c r="M2724" s="63" t="n"/>
      <c r="N2724" s="63" t="n"/>
      <c r="O2724" s="63" t="n"/>
    </row>
    <row r="2725" ht="13.5" customHeight="1">
      <c r="B2725" s="63" t="n"/>
      <c r="E2725" s="63" t="n"/>
      <c r="F2725" s="63" t="n"/>
      <c r="G2725" s="63" t="n"/>
      <c r="H2725" s="63" t="n"/>
      <c r="I2725" s="63" t="n"/>
      <c r="J2725" s="63" t="n"/>
      <c r="K2725" s="63" t="n"/>
      <c r="L2725" s="63" t="n"/>
      <c r="M2725" s="63" t="n"/>
      <c r="N2725" s="63" t="n"/>
      <c r="O2725" s="63" t="n"/>
    </row>
    <row r="2726" ht="13.5" customHeight="1">
      <c r="B2726" s="63" t="n"/>
      <c r="E2726" s="63" t="n"/>
      <c r="F2726" s="63" t="n"/>
      <c r="G2726" s="63" t="n"/>
      <c r="H2726" s="63" t="n"/>
      <c r="I2726" s="63" t="n"/>
      <c r="J2726" s="63" t="n"/>
      <c r="K2726" s="63" t="n"/>
      <c r="L2726" s="63" t="n"/>
      <c r="M2726" s="63" t="n"/>
      <c r="N2726" s="63" t="n"/>
      <c r="O2726" s="63" t="n"/>
    </row>
    <row r="2727" ht="13.5" customHeight="1">
      <c r="B2727" s="63" t="n"/>
      <c r="E2727" s="63" t="n"/>
      <c r="F2727" s="63" t="n"/>
      <c r="G2727" s="63" t="n"/>
      <c r="H2727" s="63" t="n"/>
      <c r="I2727" s="63" t="n"/>
      <c r="J2727" s="63" t="n"/>
      <c r="K2727" s="63" t="n"/>
      <c r="L2727" s="63" t="n"/>
      <c r="M2727" s="63" t="n"/>
      <c r="N2727" s="63" t="n"/>
      <c r="O2727" s="63" t="n"/>
    </row>
    <row r="2728" ht="13.5" customHeight="1">
      <c r="B2728" s="63" t="n"/>
      <c r="E2728" s="63" t="n"/>
      <c r="F2728" s="63" t="n"/>
      <c r="G2728" s="63" t="n"/>
      <c r="H2728" s="63" t="n"/>
      <c r="I2728" s="63" t="n"/>
      <c r="J2728" s="63" t="n"/>
      <c r="K2728" s="63" t="n"/>
      <c r="L2728" s="63" t="n"/>
      <c r="M2728" s="63" t="n"/>
      <c r="N2728" s="63" t="n"/>
      <c r="O2728" s="63" t="n"/>
    </row>
    <row r="2729" ht="13.5" customHeight="1">
      <c r="B2729" s="63" t="n"/>
      <c r="E2729" s="63" t="n"/>
      <c r="F2729" s="63" t="n"/>
      <c r="G2729" s="63" t="n"/>
      <c r="H2729" s="63" t="n"/>
      <c r="I2729" s="63" t="n"/>
      <c r="J2729" s="63" t="n"/>
      <c r="K2729" s="63" t="n"/>
      <c r="L2729" s="63" t="n"/>
      <c r="M2729" s="63" t="n"/>
      <c r="N2729" s="63" t="n"/>
      <c r="O2729" s="63" t="n"/>
    </row>
    <row r="2730" ht="13.5" customHeight="1">
      <c r="B2730" s="63" t="n"/>
      <c r="E2730" s="63" t="n"/>
      <c r="F2730" s="63" t="n"/>
      <c r="G2730" s="63" t="n"/>
      <c r="H2730" s="63" t="n"/>
      <c r="I2730" s="63" t="n"/>
      <c r="J2730" s="63" t="n"/>
      <c r="K2730" s="63" t="n"/>
      <c r="L2730" s="63" t="n"/>
      <c r="M2730" s="63" t="n"/>
      <c r="N2730" s="63" t="n"/>
      <c r="O2730" s="63" t="n"/>
    </row>
    <row r="2731" ht="13.5" customHeight="1">
      <c r="B2731" s="63" t="n"/>
      <c r="E2731" s="63" t="n"/>
      <c r="F2731" s="63" t="n"/>
      <c r="G2731" s="63" t="n"/>
      <c r="H2731" s="63" t="n"/>
      <c r="I2731" s="63" t="n"/>
      <c r="J2731" s="63" t="n"/>
      <c r="K2731" s="63" t="n"/>
      <c r="L2731" s="63" t="n"/>
      <c r="M2731" s="63" t="n"/>
      <c r="N2731" s="63" t="n"/>
      <c r="O2731" s="63" t="n"/>
    </row>
    <row r="2732" ht="13.5" customHeight="1">
      <c r="B2732" s="63" t="n"/>
      <c r="E2732" s="63" t="n"/>
      <c r="F2732" s="63" t="n"/>
      <c r="G2732" s="63" t="n"/>
      <c r="H2732" s="63" t="n"/>
      <c r="I2732" s="63" t="n"/>
      <c r="J2732" s="63" t="n"/>
      <c r="K2732" s="63" t="n"/>
      <c r="L2732" s="63" t="n"/>
      <c r="M2732" s="63" t="n"/>
      <c r="N2732" s="63" t="n"/>
      <c r="O2732" s="63" t="n"/>
    </row>
    <row r="2733" ht="13.5" customHeight="1">
      <c r="B2733" s="63" t="n"/>
      <c r="E2733" s="63" t="n"/>
      <c r="F2733" s="63" t="n"/>
      <c r="G2733" s="63" t="n"/>
      <c r="H2733" s="63" t="n"/>
      <c r="I2733" s="63" t="n"/>
      <c r="J2733" s="63" t="n"/>
      <c r="K2733" s="63" t="n"/>
      <c r="L2733" s="63" t="n"/>
      <c r="M2733" s="63" t="n"/>
      <c r="N2733" s="63" t="n"/>
      <c r="O2733" s="63" t="n"/>
    </row>
    <row r="2734" ht="13.5" customHeight="1">
      <c r="B2734" s="63" t="n"/>
      <c r="E2734" s="63" t="n"/>
      <c r="F2734" s="63" t="n"/>
      <c r="G2734" s="63" t="n"/>
      <c r="H2734" s="63" t="n"/>
      <c r="I2734" s="63" t="n"/>
      <c r="J2734" s="63" t="n"/>
      <c r="K2734" s="63" t="n"/>
      <c r="L2734" s="63" t="n"/>
      <c r="M2734" s="63" t="n"/>
      <c r="N2734" s="63" t="n"/>
      <c r="O2734" s="63" t="n"/>
    </row>
    <row r="2735" ht="13.5" customHeight="1">
      <c r="B2735" s="63" t="n"/>
      <c r="E2735" s="63" t="n"/>
      <c r="F2735" s="63" t="n"/>
      <c r="G2735" s="63" t="n"/>
      <c r="H2735" s="63" t="n"/>
      <c r="I2735" s="63" t="n"/>
      <c r="J2735" s="63" t="n"/>
      <c r="K2735" s="63" t="n"/>
      <c r="L2735" s="63" t="n"/>
      <c r="M2735" s="63" t="n"/>
      <c r="N2735" s="63" t="n"/>
      <c r="O2735" s="63" t="n"/>
    </row>
    <row r="2736" ht="13.5" customHeight="1">
      <c r="B2736" s="63" t="n"/>
      <c r="E2736" s="63" t="n"/>
      <c r="F2736" s="63" t="n"/>
      <c r="G2736" s="63" t="n"/>
      <c r="H2736" s="63" t="n"/>
      <c r="I2736" s="63" t="n"/>
      <c r="J2736" s="63" t="n"/>
      <c r="K2736" s="63" t="n"/>
      <c r="L2736" s="63" t="n"/>
      <c r="M2736" s="63" t="n"/>
      <c r="N2736" s="63" t="n"/>
      <c r="O2736" s="63" t="n"/>
    </row>
    <row r="2737" ht="13.5" customHeight="1">
      <c r="B2737" s="63" t="n"/>
      <c r="E2737" s="63" t="n"/>
      <c r="F2737" s="63" t="n"/>
      <c r="G2737" s="63" t="n"/>
      <c r="H2737" s="63" t="n"/>
      <c r="I2737" s="63" t="n"/>
      <c r="J2737" s="63" t="n"/>
      <c r="K2737" s="63" t="n"/>
      <c r="L2737" s="63" t="n"/>
      <c r="M2737" s="63" t="n"/>
      <c r="N2737" s="63" t="n"/>
      <c r="O2737" s="63" t="n"/>
    </row>
    <row r="2738" ht="13.5" customHeight="1">
      <c r="B2738" s="63" t="n"/>
      <c r="E2738" s="63" t="n"/>
      <c r="F2738" s="63" t="n"/>
      <c r="G2738" s="63" t="n"/>
      <c r="H2738" s="63" t="n"/>
      <c r="I2738" s="63" t="n"/>
      <c r="J2738" s="63" t="n"/>
      <c r="K2738" s="63" t="n"/>
      <c r="L2738" s="63" t="n"/>
      <c r="M2738" s="63" t="n"/>
      <c r="N2738" s="63" t="n"/>
      <c r="O2738" s="63" t="n"/>
    </row>
    <row r="2739" ht="13.5" customHeight="1">
      <c r="B2739" s="63" t="n"/>
      <c r="E2739" s="63" t="n"/>
      <c r="F2739" s="63" t="n"/>
      <c r="G2739" s="63" t="n"/>
      <c r="H2739" s="63" t="n"/>
      <c r="I2739" s="63" t="n"/>
      <c r="J2739" s="63" t="n"/>
      <c r="K2739" s="63" t="n"/>
      <c r="L2739" s="63" t="n"/>
      <c r="M2739" s="63" t="n"/>
      <c r="N2739" s="63" t="n"/>
      <c r="O2739" s="63" t="n"/>
    </row>
    <row r="2740" ht="13.5" customHeight="1">
      <c r="B2740" s="63" t="n"/>
      <c r="E2740" s="63" t="n"/>
      <c r="F2740" s="63" t="n"/>
      <c r="G2740" s="63" t="n"/>
      <c r="H2740" s="63" t="n"/>
      <c r="I2740" s="63" t="n"/>
      <c r="J2740" s="63" t="n"/>
      <c r="K2740" s="63" t="n"/>
      <c r="L2740" s="63" t="n"/>
      <c r="M2740" s="63" t="n"/>
      <c r="N2740" s="63" t="n"/>
      <c r="O2740" s="63" t="n"/>
    </row>
    <row r="2741" ht="13.5" customHeight="1">
      <c r="B2741" s="63" t="n"/>
      <c r="E2741" s="63" t="n"/>
      <c r="F2741" s="63" t="n"/>
      <c r="G2741" s="63" t="n"/>
      <c r="H2741" s="63" t="n"/>
      <c r="I2741" s="63" t="n"/>
      <c r="J2741" s="63" t="n"/>
      <c r="K2741" s="63" t="n"/>
      <c r="L2741" s="63" t="n"/>
      <c r="M2741" s="63" t="n"/>
      <c r="N2741" s="63" t="n"/>
      <c r="O2741" s="63" t="n"/>
    </row>
    <row r="2742" ht="13.5" customHeight="1">
      <c r="B2742" s="63" t="n"/>
      <c r="E2742" s="63" t="n"/>
      <c r="F2742" s="63" t="n"/>
      <c r="G2742" s="63" t="n"/>
      <c r="H2742" s="63" t="n"/>
      <c r="I2742" s="63" t="n"/>
      <c r="J2742" s="63" t="n"/>
      <c r="K2742" s="63" t="n"/>
      <c r="L2742" s="63" t="n"/>
      <c r="M2742" s="63" t="n"/>
      <c r="N2742" s="63" t="n"/>
      <c r="O2742" s="63" t="n"/>
    </row>
    <row r="2743" ht="13.5" customHeight="1">
      <c r="B2743" s="63" t="n"/>
      <c r="E2743" s="63" t="n"/>
      <c r="F2743" s="63" t="n"/>
      <c r="G2743" s="63" t="n"/>
      <c r="H2743" s="63" t="n"/>
      <c r="I2743" s="63" t="n"/>
      <c r="J2743" s="63" t="n"/>
      <c r="K2743" s="63" t="n"/>
      <c r="L2743" s="63" t="n"/>
      <c r="M2743" s="63" t="n"/>
      <c r="N2743" s="63" t="n"/>
      <c r="O2743" s="63" t="n"/>
    </row>
    <row r="2744" ht="13.5" customHeight="1">
      <c r="B2744" s="63" t="n"/>
      <c r="E2744" s="63" t="n"/>
      <c r="F2744" s="63" t="n"/>
      <c r="G2744" s="63" t="n"/>
      <c r="H2744" s="63" t="n"/>
      <c r="I2744" s="63" t="n"/>
      <c r="J2744" s="63" t="n"/>
      <c r="K2744" s="63" t="n"/>
      <c r="L2744" s="63" t="n"/>
      <c r="M2744" s="63" t="n"/>
      <c r="N2744" s="63" t="n"/>
      <c r="O2744" s="63" t="n"/>
    </row>
    <row r="2745" ht="13.5" customHeight="1">
      <c r="B2745" s="63" t="n"/>
      <c r="E2745" s="63" t="n"/>
      <c r="F2745" s="63" t="n"/>
      <c r="G2745" s="63" t="n"/>
      <c r="H2745" s="63" t="n"/>
      <c r="I2745" s="63" t="n"/>
      <c r="J2745" s="63" t="n"/>
      <c r="K2745" s="63" t="n"/>
      <c r="L2745" s="63" t="n"/>
      <c r="M2745" s="63" t="n"/>
      <c r="N2745" s="63" t="n"/>
      <c r="O2745" s="63" t="n"/>
    </row>
    <row r="2746" ht="13.5" customHeight="1">
      <c r="B2746" s="63" t="n"/>
      <c r="E2746" s="63" t="n"/>
      <c r="F2746" s="63" t="n"/>
      <c r="G2746" s="63" t="n"/>
      <c r="H2746" s="63" t="n"/>
      <c r="I2746" s="63" t="n"/>
      <c r="J2746" s="63" t="n"/>
      <c r="K2746" s="63" t="n"/>
      <c r="L2746" s="63" t="n"/>
      <c r="M2746" s="63" t="n"/>
      <c r="N2746" s="63" t="n"/>
      <c r="O2746" s="63" t="n"/>
    </row>
    <row r="2747" ht="13.5" customHeight="1">
      <c r="B2747" s="63" t="n"/>
      <c r="E2747" s="63" t="n"/>
      <c r="F2747" s="63" t="n"/>
      <c r="G2747" s="63" t="n"/>
      <c r="H2747" s="63" t="n"/>
      <c r="I2747" s="63" t="n"/>
      <c r="J2747" s="63" t="n"/>
      <c r="K2747" s="63" t="n"/>
      <c r="L2747" s="63" t="n"/>
      <c r="M2747" s="63" t="n"/>
      <c r="N2747" s="63" t="n"/>
      <c r="O2747" s="63" t="n"/>
    </row>
    <row r="2748" ht="13.5" customHeight="1">
      <c r="B2748" s="63" t="n"/>
      <c r="E2748" s="63" t="n"/>
      <c r="F2748" s="63" t="n"/>
      <c r="G2748" s="63" t="n"/>
      <c r="H2748" s="63" t="n"/>
      <c r="I2748" s="63" t="n"/>
      <c r="J2748" s="63" t="n"/>
      <c r="K2748" s="63" t="n"/>
      <c r="L2748" s="63" t="n"/>
      <c r="M2748" s="63" t="n"/>
      <c r="N2748" s="63" t="n"/>
      <c r="O2748" s="63" t="n"/>
    </row>
    <row r="2749" ht="13.5" customHeight="1">
      <c r="B2749" s="63" t="n"/>
      <c r="E2749" s="63" t="n"/>
      <c r="F2749" s="63" t="n"/>
      <c r="G2749" s="63" t="n"/>
      <c r="H2749" s="63" t="n"/>
      <c r="I2749" s="63" t="n"/>
      <c r="J2749" s="63" t="n"/>
      <c r="K2749" s="63" t="n"/>
      <c r="L2749" s="63" t="n"/>
      <c r="M2749" s="63" t="n"/>
      <c r="N2749" s="63" t="n"/>
      <c r="O2749" s="63" t="n"/>
    </row>
    <row r="2750" ht="13.5" customHeight="1">
      <c r="B2750" s="63" t="n"/>
      <c r="E2750" s="63" t="n"/>
      <c r="F2750" s="63" t="n"/>
      <c r="G2750" s="63" t="n"/>
      <c r="H2750" s="63" t="n"/>
      <c r="I2750" s="63" t="n"/>
      <c r="J2750" s="63" t="n"/>
      <c r="K2750" s="63" t="n"/>
      <c r="L2750" s="63" t="n"/>
      <c r="M2750" s="63" t="n"/>
      <c r="N2750" s="63" t="n"/>
      <c r="O2750" s="63" t="n"/>
    </row>
    <row r="2751" ht="13.5" customHeight="1">
      <c r="B2751" s="63" t="n"/>
      <c r="E2751" s="63" t="n"/>
      <c r="F2751" s="63" t="n"/>
      <c r="G2751" s="63" t="n"/>
      <c r="H2751" s="63" t="n"/>
      <c r="I2751" s="63" t="n"/>
      <c r="J2751" s="63" t="n"/>
      <c r="K2751" s="63" t="n"/>
      <c r="L2751" s="63" t="n"/>
      <c r="M2751" s="63" t="n"/>
      <c r="N2751" s="63" t="n"/>
      <c r="O2751" s="63" t="n"/>
    </row>
    <row r="2752" ht="13.5" customHeight="1">
      <c r="B2752" s="63" t="n"/>
      <c r="E2752" s="63" t="n"/>
      <c r="F2752" s="63" t="n"/>
      <c r="G2752" s="63" t="n"/>
      <c r="H2752" s="63" t="n"/>
      <c r="I2752" s="63" t="n"/>
      <c r="J2752" s="63" t="n"/>
      <c r="K2752" s="63" t="n"/>
      <c r="L2752" s="63" t="n"/>
      <c r="M2752" s="63" t="n"/>
      <c r="N2752" s="63" t="n"/>
      <c r="O2752" s="63" t="n"/>
    </row>
    <row r="2753" ht="13.5" customHeight="1">
      <c r="B2753" s="63" t="n"/>
      <c r="E2753" s="63" t="n"/>
      <c r="F2753" s="63" t="n"/>
      <c r="G2753" s="63" t="n"/>
      <c r="H2753" s="63" t="n"/>
      <c r="I2753" s="63" t="n"/>
      <c r="J2753" s="63" t="n"/>
      <c r="K2753" s="63" t="n"/>
      <c r="L2753" s="63" t="n"/>
      <c r="M2753" s="63" t="n"/>
      <c r="N2753" s="63" t="n"/>
      <c r="O2753" s="63" t="n"/>
    </row>
    <row r="2754" ht="13.5" customHeight="1">
      <c r="B2754" s="63" t="n"/>
      <c r="E2754" s="63" t="n"/>
      <c r="F2754" s="63" t="n"/>
      <c r="G2754" s="63" t="n"/>
      <c r="H2754" s="63" t="n"/>
      <c r="I2754" s="63" t="n"/>
      <c r="J2754" s="63" t="n"/>
      <c r="K2754" s="63" t="n"/>
      <c r="L2754" s="63" t="n"/>
      <c r="M2754" s="63" t="n"/>
      <c r="N2754" s="63" t="n"/>
      <c r="O2754" s="63" t="n"/>
    </row>
    <row r="2755" ht="13.5" customHeight="1">
      <c r="B2755" s="63" t="n"/>
      <c r="E2755" s="63" t="n"/>
      <c r="F2755" s="63" t="n"/>
      <c r="G2755" s="63" t="n"/>
      <c r="H2755" s="63" t="n"/>
      <c r="I2755" s="63" t="n"/>
      <c r="J2755" s="63" t="n"/>
      <c r="K2755" s="63" t="n"/>
      <c r="L2755" s="63" t="n"/>
      <c r="M2755" s="63" t="n"/>
      <c r="N2755" s="63" t="n"/>
      <c r="O2755" s="63" t="n"/>
    </row>
    <row r="2756" ht="13.5" customHeight="1">
      <c r="B2756" s="63" t="n"/>
      <c r="E2756" s="63" t="n"/>
      <c r="F2756" s="63" t="n"/>
      <c r="G2756" s="63" t="n"/>
      <c r="H2756" s="63" t="n"/>
      <c r="I2756" s="63" t="n"/>
      <c r="J2756" s="63" t="n"/>
      <c r="K2756" s="63" t="n"/>
      <c r="L2756" s="63" t="n"/>
      <c r="M2756" s="63" t="n"/>
      <c r="N2756" s="63" t="n"/>
      <c r="O2756" s="63" t="n"/>
    </row>
    <row r="2757" ht="13.5" customHeight="1">
      <c r="B2757" s="63" t="n"/>
      <c r="E2757" s="63" t="n"/>
      <c r="F2757" s="63" t="n"/>
      <c r="G2757" s="63" t="n"/>
      <c r="H2757" s="63" t="n"/>
      <c r="I2757" s="63" t="n"/>
      <c r="J2757" s="63" t="n"/>
      <c r="K2757" s="63" t="n"/>
      <c r="L2757" s="63" t="n"/>
      <c r="M2757" s="63" t="n"/>
      <c r="N2757" s="63" t="n"/>
      <c r="O2757" s="63" t="n"/>
    </row>
    <row r="2758" ht="13.5" customHeight="1">
      <c r="B2758" s="63" t="n"/>
      <c r="E2758" s="63" t="n"/>
      <c r="F2758" s="63" t="n"/>
      <c r="G2758" s="63" t="n"/>
      <c r="H2758" s="63" t="n"/>
      <c r="I2758" s="63" t="n"/>
      <c r="J2758" s="63" t="n"/>
      <c r="K2758" s="63" t="n"/>
      <c r="L2758" s="63" t="n"/>
      <c r="M2758" s="63" t="n"/>
      <c r="N2758" s="63" t="n"/>
      <c r="O2758" s="63" t="n"/>
    </row>
    <row r="2759" ht="13.5" customHeight="1">
      <c r="B2759" s="63" t="n"/>
      <c r="E2759" s="63" t="n"/>
      <c r="F2759" s="63" t="n"/>
      <c r="G2759" s="63" t="n"/>
      <c r="H2759" s="63" t="n"/>
      <c r="I2759" s="63" t="n"/>
      <c r="J2759" s="63" t="n"/>
      <c r="K2759" s="63" t="n"/>
      <c r="L2759" s="63" t="n"/>
      <c r="M2759" s="63" t="n"/>
      <c r="N2759" s="63" t="n"/>
      <c r="O2759" s="63" t="n"/>
    </row>
    <row r="2760" ht="13.5" customHeight="1">
      <c r="B2760" s="63" t="n"/>
      <c r="E2760" s="63" t="n"/>
      <c r="F2760" s="63" t="n"/>
      <c r="G2760" s="63" t="n"/>
      <c r="H2760" s="63" t="n"/>
      <c r="I2760" s="63" t="n"/>
      <c r="J2760" s="63" t="n"/>
      <c r="K2760" s="63" t="n"/>
      <c r="L2760" s="63" t="n"/>
      <c r="M2760" s="63" t="n"/>
      <c r="N2760" s="63" t="n"/>
      <c r="O2760" s="63" t="n"/>
    </row>
    <row r="2761" ht="13.5" customHeight="1">
      <c r="B2761" s="63" t="n"/>
      <c r="E2761" s="63" t="n"/>
      <c r="F2761" s="63" t="n"/>
      <c r="G2761" s="63" t="n"/>
      <c r="H2761" s="63" t="n"/>
      <c r="I2761" s="63" t="n"/>
      <c r="J2761" s="63" t="n"/>
      <c r="K2761" s="63" t="n"/>
      <c r="L2761" s="63" t="n"/>
      <c r="M2761" s="63" t="n"/>
      <c r="N2761" s="63" t="n"/>
      <c r="O2761" s="63" t="n"/>
    </row>
    <row r="2762" ht="13.5" customHeight="1">
      <c r="B2762" s="63" t="n"/>
      <c r="E2762" s="63" t="n"/>
      <c r="F2762" s="63" t="n"/>
      <c r="G2762" s="63" t="n"/>
      <c r="H2762" s="63" t="n"/>
      <c r="I2762" s="63" t="n"/>
      <c r="J2762" s="63" t="n"/>
      <c r="K2762" s="63" t="n"/>
      <c r="L2762" s="63" t="n"/>
      <c r="M2762" s="63" t="n"/>
      <c r="N2762" s="63" t="n"/>
      <c r="O2762" s="63" t="n"/>
    </row>
    <row r="2763" ht="13.5" customHeight="1">
      <c r="B2763" s="63" t="n"/>
      <c r="E2763" s="63" t="n"/>
      <c r="F2763" s="63" t="n"/>
      <c r="G2763" s="63" t="n"/>
      <c r="H2763" s="63" t="n"/>
      <c r="I2763" s="63" t="n"/>
      <c r="J2763" s="63" t="n"/>
      <c r="K2763" s="63" t="n"/>
      <c r="L2763" s="63" t="n"/>
      <c r="M2763" s="63" t="n"/>
      <c r="N2763" s="63" t="n"/>
      <c r="O2763" s="63" t="n"/>
    </row>
    <row r="2764" ht="13.5" customHeight="1">
      <c r="B2764" s="63" t="n"/>
      <c r="E2764" s="63" t="n"/>
      <c r="F2764" s="63" t="n"/>
      <c r="G2764" s="63" t="n"/>
      <c r="H2764" s="63" t="n"/>
      <c r="I2764" s="63" t="n"/>
      <c r="J2764" s="63" t="n"/>
      <c r="K2764" s="63" t="n"/>
      <c r="L2764" s="63" t="n"/>
      <c r="M2764" s="63" t="n"/>
      <c r="N2764" s="63" t="n"/>
      <c r="O2764" s="63" t="n"/>
    </row>
    <row r="2765" ht="13.5" customHeight="1">
      <c r="B2765" s="63" t="n"/>
      <c r="E2765" s="63" t="n"/>
      <c r="F2765" s="63" t="n"/>
      <c r="G2765" s="63" t="n"/>
      <c r="H2765" s="63" t="n"/>
      <c r="I2765" s="63" t="n"/>
      <c r="J2765" s="63" t="n"/>
      <c r="K2765" s="63" t="n"/>
      <c r="L2765" s="63" t="n"/>
      <c r="M2765" s="63" t="n"/>
      <c r="N2765" s="63" t="n"/>
      <c r="O2765" s="63" t="n"/>
    </row>
    <row r="2766" ht="13.5" customHeight="1">
      <c r="B2766" s="63" t="n"/>
      <c r="E2766" s="63" t="n"/>
      <c r="F2766" s="63" t="n"/>
      <c r="G2766" s="63" t="n"/>
      <c r="H2766" s="63" t="n"/>
      <c r="I2766" s="63" t="n"/>
      <c r="J2766" s="63" t="n"/>
      <c r="K2766" s="63" t="n"/>
      <c r="L2766" s="63" t="n"/>
      <c r="M2766" s="63" t="n"/>
      <c r="N2766" s="63" t="n"/>
      <c r="O2766" s="63" t="n"/>
    </row>
    <row r="2767" ht="13.5" customHeight="1">
      <c r="B2767" s="63" t="n"/>
      <c r="E2767" s="63" t="n"/>
      <c r="F2767" s="63" t="n"/>
      <c r="G2767" s="63" t="n"/>
      <c r="H2767" s="63" t="n"/>
      <c r="I2767" s="63" t="n"/>
      <c r="J2767" s="63" t="n"/>
      <c r="K2767" s="63" t="n"/>
      <c r="L2767" s="63" t="n"/>
      <c r="M2767" s="63" t="n"/>
      <c r="N2767" s="63" t="n"/>
      <c r="O2767" s="63" t="n"/>
    </row>
    <row r="2768" ht="13.5" customHeight="1">
      <c r="B2768" s="63" t="n"/>
      <c r="E2768" s="63" t="n"/>
      <c r="F2768" s="63" t="n"/>
      <c r="G2768" s="63" t="n"/>
      <c r="H2768" s="63" t="n"/>
      <c r="I2768" s="63" t="n"/>
      <c r="J2768" s="63" t="n"/>
      <c r="K2768" s="63" t="n"/>
      <c r="L2768" s="63" t="n"/>
      <c r="M2768" s="63" t="n"/>
      <c r="N2768" s="63" t="n"/>
      <c r="O2768" s="63" t="n"/>
    </row>
    <row r="2769" ht="13.5" customHeight="1">
      <c r="B2769" s="63" t="n"/>
      <c r="E2769" s="63" t="n"/>
      <c r="F2769" s="63" t="n"/>
      <c r="G2769" s="63" t="n"/>
      <c r="H2769" s="63" t="n"/>
      <c r="I2769" s="63" t="n"/>
      <c r="J2769" s="63" t="n"/>
      <c r="K2769" s="63" t="n"/>
      <c r="L2769" s="63" t="n"/>
      <c r="M2769" s="63" t="n"/>
      <c r="N2769" s="63" t="n"/>
      <c r="O2769" s="63" t="n"/>
    </row>
    <row r="2770" ht="13.5" customHeight="1">
      <c r="B2770" s="63" t="n"/>
      <c r="E2770" s="63" t="n"/>
      <c r="F2770" s="63" t="n"/>
      <c r="G2770" s="63" t="n"/>
      <c r="H2770" s="63" t="n"/>
      <c r="I2770" s="63" t="n"/>
      <c r="J2770" s="63" t="n"/>
      <c r="K2770" s="63" t="n"/>
      <c r="L2770" s="63" t="n"/>
      <c r="M2770" s="63" t="n"/>
      <c r="N2770" s="63" t="n"/>
      <c r="O2770" s="63" t="n"/>
    </row>
    <row r="2771" ht="13.5" customHeight="1">
      <c r="B2771" s="63" t="n"/>
      <c r="E2771" s="63" t="n"/>
      <c r="F2771" s="63" t="n"/>
      <c r="G2771" s="63" t="n"/>
      <c r="H2771" s="63" t="n"/>
      <c r="I2771" s="63" t="n"/>
      <c r="J2771" s="63" t="n"/>
      <c r="K2771" s="63" t="n"/>
      <c r="L2771" s="63" t="n"/>
      <c r="M2771" s="63" t="n"/>
      <c r="N2771" s="63" t="n"/>
      <c r="O2771" s="63" t="n"/>
    </row>
    <row r="2772" ht="13.5" customHeight="1">
      <c r="B2772" s="63" t="n"/>
      <c r="E2772" s="63" t="n"/>
      <c r="F2772" s="63" t="n"/>
      <c r="G2772" s="63" t="n"/>
      <c r="H2772" s="63" t="n"/>
      <c r="I2772" s="63" t="n"/>
      <c r="J2772" s="63" t="n"/>
      <c r="K2772" s="63" t="n"/>
      <c r="L2772" s="63" t="n"/>
      <c r="M2772" s="63" t="n"/>
      <c r="N2772" s="63" t="n"/>
      <c r="O2772" s="63" t="n"/>
    </row>
    <row r="2773" ht="13.5" customHeight="1">
      <c r="B2773" s="63" t="n"/>
      <c r="E2773" s="63" t="n"/>
      <c r="F2773" s="63" t="n"/>
      <c r="G2773" s="63" t="n"/>
      <c r="H2773" s="63" t="n"/>
      <c r="I2773" s="63" t="n"/>
      <c r="J2773" s="63" t="n"/>
      <c r="K2773" s="63" t="n"/>
      <c r="L2773" s="63" t="n"/>
      <c r="M2773" s="63" t="n"/>
      <c r="N2773" s="63" t="n"/>
      <c r="O2773" s="63" t="n"/>
    </row>
    <row r="2774" ht="13.5" customHeight="1">
      <c r="B2774" s="63" t="n"/>
      <c r="E2774" s="63" t="n"/>
      <c r="F2774" s="63" t="n"/>
      <c r="G2774" s="63" t="n"/>
      <c r="H2774" s="63" t="n"/>
      <c r="I2774" s="63" t="n"/>
      <c r="J2774" s="63" t="n"/>
      <c r="K2774" s="63" t="n"/>
      <c r="L2774" s="63" t="n"/>
      <c r="M2774" s="63" t="n"/>
      <c r="N2774" s="63" t="n"/>
      <c r="O2774" s="63" t="n"/>
    </row>
    <row r="2775" ht="13.5" customHeight="1">
      <c r="B2775" s="63" t="n"/>
      <c r="E2775" s="63" t="n"/>
      <c r="F2775" s="63" t="n"/>
      <c r="G2775" s="63" t="n"/>
      <c r="H2775" s="63" t="n"/>
      <c r="I2775" s="63" t="n"/>
      <c r="J2775" s="63" t="n"/>
      <c r="K2775" s="63" t="n"/>
      <c r="L2775" s="63" t="n"/>
      <c r="M2775" s="63" t="n"/>
      <c r="N2775" s="63" t="n"/>
      <c r="O2775" s="63" t="n"/>
    </row>
    <row r="2776" ht="13.5" customHeight="1">
      <c r="B2776" s="63" t="n"/>
      <c r="E2776" s="63" t="n"/>
      <c r="F2776" s="63" t="n"/>
      <c r="G2776" s="63" t="n"/>
      <c r="H2776" s="63" t="n"/>
      <c r="I2776" s="63" t="n"/>
      <c r="J2776" s="63" t="n"/>
      <c r="K2776" s="63" t="n"/>
      <c r="L2776" s="63" t="n"/>
      <c r="M2776" s="63" t="n"/>
      <c r="N2776" s="63" t="n"/>
      <c r="O2776" s="63" t="n"/>
    </row>
    <row r="2777" ht="13.5" customHeight="1">
      <c r="B2777" s="63" t="n"/>
      <c r="E2777" s="63" t="n"/>
      <c r="F2777" s="63" t="n"/>
      <c r="G2777" s="63" t="n"/>
      <c r="H2777" s="63" t="n"/>
      <c r="I2777" s="63" t="n"/>
      <c r="J2777" s="63" t="n"/>
      <c r="K2777" s="63" t="n"/>
      <c r="L2777" s="63" t="n"/>
      <c r="M2777" s="63" t="n"/>
      <c r="N2777" s="63" t="n"/>
      <c r="O2777" s="63" t="n"/>
    </row>
    <row r="2778" ht="13.5" customHeight="1">
      <c r="B2778" s="63" t="n"/>
      <c r="E2778" s="63" t="n"/>
      <c r="F2778" s="63" t="n"/>
      <c r="G2778" s="63" t="n"/>
      <c r="H2778" s="63" t="n"/>
      <c r="I2778" s="63" t="n"/>
      <c r="J2778" s="63" t="n"/>
      <c r="K2778" s="63" t="n"/>
      <c r="L2778" s="63" t="n"/>
      <c r="M2778" s="63" t="n"/>
      <c r="N2778" s="63" t="n"/>
      <c r="O2778" s="63" t="n"/>
    </row>
    <row r="2779" ht="13.5" customHeight="1">
      <c r="B2779" s="63" t="n"/>
      <c r="E2779" s="63" t="n"/>
      <c r="F2779" s="63" t="n"/>
      <c r="G2779" s="63" t="n"/>
      <c r="H2779" s="63" t="n"/>
      <c r="I2779" s="63" t="n"/>
      <c r="J2779" s="63" t="n"/>
      <c r="K2779" s="63" t="n"/>
      <c r="L2779" s="63" t="n"/>
      <c r="M2779" s="63" t="n"/>
      <c r="N2779" s="63" t="n"/>
      <c r="O2779" s="63" t="n"/>
    </row>
    <row r="2780" ht="13.5" customHeight="1">
      <c r="B2780" s="63" t="n"/>
      <c r="E2780" s="63" t="n"/>
      <c r="F2780" s="63" t="n"/>
      <c r="G2780" s="63" t="n"/>
      <c r="H2780" s="63" t="n"/>
      <c r="I2780" s="63" t="n"/>
      <c r="J2780" s="63" t="n"/>
      <c r="K2780" s="63" t="n"/>
      <c r="L2780" s="63" t="n"/>
      <c r="M2780" s="63" t="n"/>
      <c r="N2780" s="63" t="n"/>
      <c r="O2780" s="63" t="n"/>
    </row>
    <row r="2781" ht="13.5" customHeight="1">
      <c r="B2781" s="63" t="n"/>
      <c r="E2781" s="63" t="n"/>
      <c r="F2781" s="63" t="n"/>
      <c r="G2781" s="63" t="n"/>
      <c r="H2781" s="63" t="n"/>
      <c r="I2781" s="63" t="n"/>
      <c r="J2781" s="63" t="n"/>
      <c r="K2781" s="63" t="n"/>
      <c r="L2781" s="63" t="n"/>
      <c r="M2781" s="63" t="n"/>
      <c r="N2781" s="63" t="n"/>
      <c r="O2781" s="63" t="n"/>
    </row>
    <row r="2782" ht="13.5" customHeight="1">
      <c r="B2782" s="63" t="n"/>
      <c r="E2782" s="63" t="n"/>
      <c r="F2782" s="63" t="n"/>
      <c r="G2782" s="63" t="n"/>
      <c r="H2782" s="63" t="n"/>
      <c r="I2782" s="63" t="n"/>
      <c r="J2782" s="63" t="n"/>
      <c r="K2782" s="63" t="n"/>
      <c r="L2782" s="63" t="n"/>
      <c r="M2782" s="63" t="n"/>
      <c r="N2782" s="63" t="n"/>
      <c r="O2782" s="63" t="n"/>
    </row>
    <row r="2783" ht="13.5" customHeight="1">
      <c r="B2783" s="63" t="n"/>
      <c r="E2783" s="63" t="n"/>
      <c r="F2783" s="63" t="n"/>
      <c r="G2783" s="63" t="n"/>
      <c r="H2783" s="63" t="n"/>
      <c r="I2783" s="63" t="n"/>
      <c r="J2783" s="63" t="n"/>
      <c r="K2783" s="63" t="n"/>
      <c r="L2783" s="63" t="n"/>
      <c r="M2783" s="63" t="n"/>
      <c r="N2783" s="63" t="n"/>
      <c r="O2783" s="63" t="n"/>
    </row>
    <row r="2784" ht="13.5" customHeight="1">
      <c r="B2784" s="63" t="n"/>
      <c r="E2784" s="63" t="n"/>
      <c r="F2784" s="63" t="n"/>
      <c r="G2784" s="63" t="n"/>
      <c r="H2784" s="63" t="n"/>
      <c r="I2784" s="63" t="n"/>
      <c r="J2784" s="63" t="n"/>
      <c r="K2784" s="63" t="n"/>
      <c r="L2784" s="63" t="n"/>
      <c r="M2784" s="63" t="n"/>
      <c r="N2784" s="63" t="n"/>
      <c r="O2784" s="63" t="n"/>
    </row>
    <row r="2785" ht="13.5" customHeight="1">
      <c r="B2785" s="63" t="n"/>
      <c r="E2785" s="63" t="n"/>
      <c r="F2785" s="63" t="n"/>
      <c r="G2785" s="63" t="n"/>
      <c r="H2785" s="63" t="n"/>
      <c r="I2785" s="63" t="n"/>
      <c r="J2785" s="63" t="n"/>
      <c r="K2785" s="63" t="n"/>
      <c r="L2785" s="63" t="n"/>
      <c r="M2785" s="63" t="n"/>
      <c r="N2785" s="63" t="n"/>
      <c r="O2785" s="63" t="n"/>
    </row>
    <row r="2786" ht="13.5" customHeight="1">
      <c r="B2786" s="63" t="n"/>
      <c r="E2786" s="63" t="n"/>
      <c r="F2786" s="63" t="n"/>
      <c r="G2786" s="63" t="n"/>
      <c r="H2786" s="63" t="n"/>
      <c r="I2786" s="63" t="n"/>
      <c r="J2786" s="63" t="n"/>
      <c r="K2786" s="63" t="n"/>
      <c r="L2786" s="63" t="n"/>
      <c r="M2786" s="63" t="n"/>
      <c r="N2786" s="63" t="n"/>
      <c r="O2786" s="63" t="n"/>
    </row>
    <row r="2787" ht="13.5" customHeight="1">
      <c r="B2787" s="63" t="n"/>
      <c r="E2787" s="63" t="n"/>
      <c r="F2787" s="63" t="n"/>
      <c r="G2787" s="63" t="n"/>
      <c r="H2787" s="63" t="n"/>
      <c r="I2787" s="63" t="n"/>
      <c r="J2787" s="63" t="n"/>
      <c r="K2787" s="63" t="n"/>
      <c r="L2787" s="63" t="n"/>
      <c r="M2787" s="63" t="n"/>
      <c r="N2787" s="63" t="n"/>
      <c r="O2787" s="63" t="n"/>
    </row>
    <row r="2788" ht="13.5" customHeight="1">
      <c r="B2788" s="63" t="n"/>
      <c r="E2788" s="63" t="n"/>
      <c r="F2788" s="63" t="n"/>
      <c r="G2788" s="63" t="n"/>
      <c r="H2788" s="63" t="n"/>
      <c r="I2788" s="63" t="n"/>
      <c r="J2788" s="63" t="n"/>
      <c r="K2788" s="63" t="n"/>
      <c r="L2788" s="63" t="n"/>
      <c r="M2788" s="63" t="n"/>
      <c r="N2788" s="63" t="n"/>
      <c r="O2788" s="63" t="n"/>
    </row>
    <row r="2789" ht="13.5" customHeight="1">
      <c r="B2789" s="63" t="n"/>
      <c r="E2789" s="63" t="n"/>
      <c r="F2789" s="63" t="n"/>
      <c r="G2789" s="63" t="n"/>
      <c r="H2789" s="63" t="n"/>
      <c r="I2789" s="63" t="n"/>
      <c r="J2789" s="63" t="n"/>
      <c r="K2789" s="63" t="n"/>
      <c r="L2789" s="63" t="n"/>
      <c r="M2789" s="63" t="n"/>
      <c r="N2789" s="63" t="n"/>
      <c r="O2789" s="63" t="n"/>
    </row>
    <row r="2790" ht="13.5" customHeight="1">
      <c r="B2790" s="63" t="n"/>
      <c r="E2790" s="63" t="n"/>
      <c r="F2790" s="63" t="n"/>
      <c r="G2790" s="63" t="n"/>
      <c r="H2790" s="63" t="n"/>
      <c r="I2790" s="63" t="n"/>
      <c r="J2790" s="63" t="n"/>
      <c r="K2790" s="63" t="n"/>
      <c r="L2790" s="63" t="n"/>
      <c r="M2790" s="63" t="n"/>
      <c r="N2790" s="63" t="n"/>
      <c r="O2790" s="63" t="n"/>
    </row>
    <row r="2791" ht="13.5" customHeight="1">
      <c r="B2791" s="63" t="n"/>
      <c r="E2791" s="63" t="n"/>
      <c r="F2791" s="63" t="n"/>
      <c r="G2791" s="63" t="n"/>
      <c r="H2791" s="63" t="n"/>
      <c r="I2791" s="63" t="n"/>
      <c r="J2791" s="63" t="n"/>
      <c r="K2791" s="63" t="n"/>
      <c r="L2791" s="63" t="n"/>
      <c r="M2791" s="63" t="n"/>
      <c r="N2791" s="63" t="n"/>
      <c r="O2791" s="63" t="n"/>
    </row>
    <row r="2792" ht="13.5" customHeight="1">
      <c r="B2792" s="63" t="n"/>
      <c r="E2792" s="63" t="n"/>
      <c r="F2792" s="63" t="n"/>
      <c r="G2792" s="63" t="n"/>
      <c r="H2792" s="63" t="n"/>
      <c r="I2792" s="63" t="n"/>
      <c r="J2792" s="63" t="n"/>
      <c r="K2792" s="63" t="n"/>
      <c r="L2792" s="63" t="n"/>
      <c r="M2792" s="63" t="n"/>
      <c r="N2792" s="63" t="n"/>
      <c r="O2792" s="63" t="n"/>
    </row>
    <row r="2793" ht="13.5" customHeight="1">
      <c r="B2793" s="63" t="n"/>
      <c r="E2793" s="63" t="n"/>
      <c r="F2793" s="63" t="n"/>
      <c r="G2793" s="63" t="n"/>
      <c r="H2793" s="63" t="n"/>
      <c r="I2793" s="63" t="n"/>
      <c r="J2793" s="63" t="n"/>
      <c r="K2793" s="63" t="n"/>
      <c r="L2793" s="63" t="n"/>
      <c r="M2793" s="63" t="n"/>
      <c r="N2793" s="63" t="n"/>
      <c r="O2793" s="63" t="n"/>
    </row>
    <row r="2794" ht="13.5" customHeight="1">
      <c r="B2794" s="63" t="n"/>
      <c r="E2794" s="63" t="n"/>
      <c r="F2794" s="63" t="n"/>
      <c r="G2794" s="63" t="n"/>
      <c r="H2794" s="63" t="n"/>
      <c r="I2794" s="63" t="n"/>
      <c r="J2794" s="63" t="n"/>
      <c r="K2794" s="63" t="n"/>
      <c r="L2794" s="63" t="n"/>
      <c r="M2794" s="63" t="n"/>
      <c r="N2794" s="63" t="n"/>
      <c r="O2794" s="63" t="n"/>
    </row>
    <row r="2795" ht="13.5" customHeight="1">
      <c r="B2795" s="63" t="n"/>
      <c r="E2795" s="63" t="n"/>
      <c r="F2795" s="63" t="n"/>
      <c r="G2795" s="63" t="n"/>
      <c r="H2795" s="63" t="n"/>
      <c r="I2795" s="63" t="n"/>
      <c r="J2795" s="63" t="n"/>
      <c r="K2795" s="63" t="n"/>
      <c r="L2795" s="63" t="n"/>
      <c r="M2795" s="63" t="n"/>
      <c r="N2795" s="63" t="n"/>
      <c r="O2795" s="63" t="n"/>
    </row>
    <row r="2796" ht="13.5" customHeight="1">
      <c r="B2796" s="63" t="n"/>
      <c r="E2796" s="63" t="n"/>
      <c r="F2796" s="63" t="n"/>
      <c r="G2796" s="63" t="n"/>
      <c r="H2796" s="63" t="n"/>
      <c r="I2796" s="63" t="n"/>
      <c r="J2796" s="63" t="n"/>
      <c r="K2796" s="63" t="n"/>
      <c r="L2796" s="63" t="n"/>
      <c r="M2796" s="63" t="n"/>
      <c r="N2796" s="63" t="n"/>
      <c r="O2796" s="63" t="n"/>
    </row>
    <row r="2797" ht="13.5" customHeight="1">
      <c r="B2797" s="63" t="n"/>
      <c r="E2797" s="63" t="n"/>
      <c r="F2797" s="63" t="n"/>
      <c r="G2797" s="63" t="n"/>
      <c r="H2797" s="63" t="n"/>
      <c r="I2797" s="63" t="n"/>
      <c r="J2797" s="63" t="n"/>
      <c r="K2797" s="63" t="n"/>
      <c r="L2797" s="63" t="n"/>
      <c r="M2797" s="63" t="n"/>
      <c r="N2797" s="63" t="n"/>
      <c r="O2797" s="63" t="n"/>
    </row>
    <row r="2798" ht="13.5" customHeight="1">
      <c r="B2798" s="63" t="n"/>
      <c r="E2798" s="63" t="n"/>
      <c r="F2798" s="63" t="n"/>
      <c r="G2798" s="63" t="n"/>
      <c r="H2798" s="63" t="n"/>
      <c r="I2798" s="63" t="n"/>
      <c r="J2798" s="63" t="n"/>
      <c r="K2798" s="63" t="n"/>
      <c r="L2798" s="63" t="n"/>
      <c r="M2798" s="63" t="n"/>
      <c r="N2798" s="63" t="n"/>
      <c r="O2798" s="63" t="n"/>
    </row>
    <row r="2799" ht="13.5" customHeight="1">
      <c r="B2799" s="63" t="n"/>
      <c r="E2799" s="63" t="n"/>
      <c r="F2799" s="63" t="n"/>
      <c r="G2799" s="63" t="n"/>
      <c r="H2799" s="63" t="n"/>
      <c r="I2799" s="63" t="n"/>
      <c r="J2799" s="63" t="n"/>
      <c r="K2799" s="63" t="n"/>
      <c r="L2799" s="63" t="n"/>
      <c r="M2799" s="63" t="n"/>
      <c r="N2799" s="63" t="n"/>
      <c r="O2799" s="63" t="n"/>
    </row>
    <row r="2800" ht="13.5" customHeight="1">
      <c r="B2800" s="63" t="n"/>
      <c r="E2800" s="63" t="n"/>
      <c r="F2800" s="63" t="n"/>
      <c r="G2800" s="63" t="n"/>
      <c r="H2800" s="63" t="n"/>
      <c r="I2800" s="63" t="n"/>
      <c r="J2800" s="63" t="n"/>
      <c r="K2800" s="63" t="n"/>
      <c r="L2800" s="63" t="n"/>
      <c r="M2800" s="63" t="n"/>
      <c r="N2800" s="63" t="n"/>
      <c r="O2800" s="63" t="n"/>
    </row>
    <row r="2801" ht="13.5" customHeight="1">
      <c r="B2801" s="63" t="n"/>
      <c r="E2801" s="63" t="n"/>
      <c r="F2801" s="63" t="n"/>
      <c r="G2801" s="63" t="n"/>
      <c r="H2801" s="63" t="n"/>
      <c r="I2801" s="63" t="n"/>
      <c r="J2801" s="63" t="n"/>
      <c r="K2801" s="63" t="n"/>
      <c r="L2801" s="63" t="n"/>
      <c r="M2801" s="63" t="n"/>
      <c r="N2801" s="63" t="n"/>
      <c r="O2801" s="63" t="n"/>
    </row>
    <row r="2802" ht="13.5" customHeight="1">
      <c r="B2802" s="63" t="n"/>
      <c r="E2802" s="63" t="n"/>
      <c r="F2802" s="63" t="n"/>
      <c r="G2802" s="63" t="n"/>
      <c r="H2802" s="63" t="n"/>
      <c r="I2802" s="63" t="n"/>
      <c r="J2802" s="63" t="n"/>
      <c r="K2802" s="63" t="n"/>
      <c r="L2802" s="63" t="n"/>
      <c r="M2802" s="63" t="n"/>
      <c r="N2802" s="63" t="n"/>
      <c r="O2802" s="63" t="n"/>
    </row>
    <row r="2803" ht="13.5" customHeight="1">
      <c r="B2803" s="63" t="n"/>
      <c r="E2803" s="63" t="n"/>
      <c r="F2803" s="63" t="n"/>
      <c r="G2803" s="63" t="n"/>
      <c r="H2803" s="63" t="n"/>
      <c r="I2803" s="63" t="n"/>
      <c r="J2803" s="63" t="n"/>
      <c r="K2803" s="63" t="n"/>
      <c r="L2803" s="63" t="n"/>
      <c r="M2803" s="63" t="n"/>
      <c r="N2803" s="63" t="n"/>
      <c r="O2803" s="63" t="n"/>
    </row>
    <row r="2804" ht="13.5" customHeight="1">
      <c r="B2804" s="63" t="n"/>
      <c r="E2804" s="63" t="n"/>
      <c r="F2804" s="63" t="n"/>
      <c r="G2804" s="63" t="n"/>
      <c r="H2804" s="63" t="n"/>
      <c r="I2804" s="63" t="n"/>
      <c r="J2804" s="63" t="n"/>
      <c r="K2804" s="63" t="n"/>
      <c r="L2804" s="63" t="n"/>
      <c r="M2804" s="63" t="n"/>
      <c r="N2804" s="63" t="n"/>
      <c r="O2804" s="63" t="n"/>
    </row>
    <row r="2805" ht="13.5" customHeight="1">
      <c r="B2805" s="63" t="n"/>
      <c r="E2805" s="63" t="n"/>
      <c r="F2805" s="63" t="n"/>
      <c r="G2805" s="63" t="n"/>
      <c r="H2805" s="63" t="n"/>
      <c r="I2805" s="63" t="n"/>
      <c r="J2805" s="63" t="n"/>
      <c r="K2805" s="63" t="n"/>
      <c r="L2805" s="63" t="n"/>
      <c r="M2805" s="63" t="n"/>
      <c r="N2805" s="63" t="n"/>
      <c r="O2805" s="63" t="n"/>
    </row>
    <row r="2806" ht="13.5" customHeight="1">
      <c r="B2806" s="63" t="n"/>
      <c r="E2806" s="63" t="n"/>
      <c r="F2806" s="63" t="n"/>
      <c r="G2806" s="63" t="n"/>
      <c r="H2806" s="63" t="n"/>
      <c r="I2806" s="63" t="n"/>
      <c r="J2806" s="63" t="n"/>
      <c r="K2806" s="63" t="n"/>
      <c r="L2806" s="63" t="n"/>
      <c r="M2806" s="63" t="n"/>
      <c r="N2806" s="63" t="n"/>
      <c r="O2806" s="63" t="n"/>
    </row>
    <row r="2807" ht="13.5" customHeight="1">
      <c r="B2807" s="63" t="n"/>
      <c r="E2807" s="63" t="n"/>
      <c r="F2807" s="63" t="n"/>
      <c r="G2807" s="63" t="n"/>
      <c r="H2807" s="63" t="n"/>
      <c r="I2807" s="63" t="n"/>
      <c r="J2807" s="63" t="n"/>
      <c r="K2807" s="63" t="n"/>
      <c r="L2807" s="63" t="n"/>
      <c r="M2807" s="63" t="n"/>
      <c r="N2807" s="63" t="n"/>
      <c r="O2807" s="63" t="n"/>
    </row>
    <row r="2808" ht="13.5" customHeight="1">
      <c r="B2808" s="63" t="n"/>
      <c r="E2808" s="63" t="n"/>
      <c r="F2808" s="63" t="n"/>
      <c r="G2808" s="63" t="n"/>
      <c r="H2808" s="63" t="n"/>
      <c r="I2808" s="63" t="n"/>
      <c r="J2808" s="63" t="n"/>
      <c r="K2808" s="63" t="n"/>
      <c r="L2808" s="63" t="n"/>
      <c r="M2808" s="63" t="n"/>
      <c r="N2808" s="63" t="n"/>
      <c r="O2808" s="63" t="n"/>
    </row>
    <row r="2809" ht="13.5" customHeight="1">
      <c r="B2809" s="63" t="n"/>
      <c r="E2809" s="63" t="n"/>
      <c r="F2809" s="63" t="n"/>
      <c r="G2809" s="63" t="n"/>
      <c r="H2809" s="63" t="n"/>
      <c r="I2809" s="63" t="n"/>
      <c r="J2809" s="63" t="n"/>
      <c r="K2809" s="63" t="n"/>
      <c r="L2809" s="63" t="n"/>
      <c r="M2809" s="63" t="n"/>
      <c r="N2809" s="63" t="n"/>
      <c r="O2809" s="63" t="n"/>
    </row>
    <row r="2810" ht="13.5" customHeight="1">
      <c r="B2810" s="63" t="n"/>
      <c r="E2810" s="63" t="n"/>
      <c r="F2810" s="63" t="n"/>
      <c r="G2810" s="63" t="n"/>
      <c r="H2810" s="63" t="n"/>
      <c r="I2810" s="63" t="n"/>
      <c r="J2810" s="63" t="n"/>
      <c r="K2810" s="63" t="n"/>
      <c r="L2810" s="63" t="n"/>
      <c r="M2810" s="63" t="n"/>
      <c r="N2810" s="63" t="n"/>
      <c r="O2810" s="63" t="n"/>
    </row>
    <row r="2811" ht="13.5" customHeight="1">
      <c r="B2811" s="63" t="n"/>
      <c r="E2811" s="63" t="n"/>
      <c r="F2811" s="63" t="n"/>
      <c r="G2811" s="63" t="n"/>
      <c r="H2811" s="63" t="n"/>
      <c r="I2811" s="63" t="n"/>
      <c r="J2811" s="63" t="n"/>
      <c r="K2811" s="63" t="n"/>
      <c r="L2811" s="63" t="n"/>
      <c r="M2811" s="63" t="n"/>
      <c r="N2811" s="63" t="n"/>
      <c r="O2811" s="63" t="n"/>
    </row>
    <row r="2812" ht="13.5" customHeight="1">
      <c r="B2812" s="63" t="n"/>
      <c r="E2812" s="63" t="n"/>
      <c r="F2812" s="63" t="n"/>
      <c r="G2812" s="63" t="n"/>
      <c r="H2812" s="63" t="n"/>
      <c r="I2812" s="63" t="n"/>
      <c r="J2812" s="63" t="n"/>
      <c r="K2812" s="63" t="n"/>
      <c r="L2812" s="63" t="n"/>
      <c r="M2812" s="63" t="n"/>
      <c r="N2812" s="63" t="n"/>
      <c r="O2812" s="63" t="n"/>
    </row>
    <row r="2813" ht="13.5" customHeight="1">
      <c r="B2813" s="63" t="n"/>
      <c r="E2813" s="63" t="n"/>
      <c r="F2813" s="63" t="n"/>
      <c r="G2813" s="63" t="n"/>
      <c r="H2813" s="63" t="n"/>
      <c r="I2813" s="63" t="n"/>
      <c r="J2813" s="63" t="n"/>
      <c r="K2813" s="63" t="n"/>
      <c r="L2813" s="63" t="n"/>
      <c r="M2813" s="63" t="n"/>
      <c r="N2813" s="63" t="n"/>
      <c r="O2813" s="63" t="n"/>
    </row>
    <row r="2814" ht="13.5" customHeight="1">
      <c r="B2814" s="63" t="n"/>
      <c r="E2814" s="63" t="n"/>
      <c r="F2814" s="63" t="n"/>
      <c r="G2814" s="63" t="n"/>
      <c r="H2814" s="63" t="n"/>
      <c r="I2814" s="63" t="n"/>
      <c r="J2814" s="63" t="n"/>
      <c r="K2814" s="63" t="n"/>
      <c r="L2814" s="63" t="n"/>
      <c r="M2814" s="63" t="n"/>
      <c r="N2814" s="63" t="n"/>
      <c r="O2814" s="63" t="n"/>
    </row>
    <row r="2815" ht="13.5" customHeight="1">
      <c r="B2815" s="63" t="n"/>
      <c r="E2815" s="63" t="n"/>
      <c r="F2815" s="63" t="n"/>
      <c r="G2815" s="63" t="n"/>
      <c r="H2815" s="63" t="n"/>
      <c r="I2815" s="63" t="n"/>
      <c r="J2815" s="63" t="n"/>
      <c r="K2815" s="63" t="n"/>
      <c r="L2815" s="63" t="n"/>
      <c r="M2815" s="63" t="n"/>
      <c r="N2815" s="63" t="n"/>
      <c r="O2815" s="63" t="n"/>
    </row>
    <row r="2816" ht="13.5" customHeight="1">
      <c r="B2816" s="63" t="n"/>
      <c r="E2816" s="63" t="n"/>
      <c r="F2816" s="63" t="n"/>
      <c r="G2816" s="63" t="n"/>
      <c r="H2816" s="63" t="n"/>
      <c r="I2816" s="63" t="n"/>
      <c r="J2816" s="63" t="n"/>
      <c r="K2816" s="63" t="n"/>
      <c r="L2816" s="63" t="n"/>
      <c r="M2816" s="63" t="n"/>
      <c r="N2816" s="63" t="n"/>
      <c r="O2816" s="63" t="n"/>
    </row>
    <row r="2817" ht="13.5" customHeight="1">
      <c r="B2817" s="63" t="n"/>
      <c r="E2817" s="63" t="n"/>
      <c r="F2817" s="63" t="n"/>
      <c r="G2817" s="63" t="n"/>
      <c r="H2817" s="63" t="n"/>
      <c r="I2817" s="63" t="n"/>
      <c r="J2817" s="63" t="n"/>
      <c r="K2817" s="63" t="n"/>
      <c r="L2817" s="63" t="n"/>
      <c r="M2817" s="63" t="n"/>
      <c r="N2817" s="63" t="n"/>
      <c r="O2817" s="63" t="n"/>
    </row>
    <row r="2818" ht="13.5" customHeight="1">
      <c r="B2818" s="63" t="n"/>
      <c r="E2818" s="63" t="n"/>
      <c r="F2818" s="63" t="n"/>
      <c r="G2818" s="63" t="n"/>
      <c r="H2818" s="63" t="n"/>
      <c r="I2818" s="63" t="n"/>
      <c r="J2818" s="63" t="n"/>
      <c r="K2818" s="63" t="n"/>
      <c r="L2818" s="63" t="n"/>
      <c r="M2818" s="63" t="n"/>
      <c r="N2818" s="63" t="n"/>
      <c r="O2818" s="63" t="n"/>
    </row>
    <row r="2819" ht="13.5" customHeight="1">
      <c r="B2819" s="63" t="n"/>
      <c r="E2819" s="63" t="n"/>
      <c r="F2819" s="63" t="n"/>
      <c r="G2819" s="63" t="n"/>
      <c r="H2819" s="63" t="n"/>
      <c r="I2819" s="63" t="n"/>
      <c r="J2819" s="63" t="n"/>
      <c r="K2819" s="63" t="n"/>
      <c r="L2819" s="63" t="n"/>
      <c r="M2819" s="63" t="n"/>
      <c r="N2819" s="63" t="n"/>
      <c r="O2819" s="63" t="n"/>
    </row>
    <row r="2820" ht="13.5" customHeight="1">
      <c r="B2820" s="63" t="n"/>
      <c r="E2820" s="63" t="n"/>
      <c r="F2820" s="63" t="n"/>
      <c r="G2820" s="63" t="n"/>
      <c r="H2820" s="63" t="n"/>
      <c r="I2820" s="63" t="n"/>
      <c r="J2820" s="63" t="n"/>
      <c r="K2820" s="63" t="n"/>
      <c r="L2820" s="63" t="n"/>
      <c r="M2820" s="63" t="n"/>
      <c r="N2820" s="63" t="n"/>
      <c r="O2820" s="63" t="n"/>
    </row>
    <row r="2821" ht="13.5" customHeight="1">
      <c r="B2821" s="63" t="n"/>
      <c r="E2821" s="63" t="n"/>
      <c r="F2821" s="63" t="n"/>
      <c r="G2821" s="63" t="n"/>
      <c r="H2821" s="63" t="n"/>
      <c r="I2821" s="63" t="n"/>
      <c r="J2821" s="63" t="n"/>
      <c r="K2821" s="63" t="n"/>
      <c r="L2821" s="63" t="n"/>
      <c r="M2821" s="63" t="n"/>
      <c r="N2821" s="63" t="n"/>
      <c r="O2821" s="63" t="n"/>
    </row>
    <row r="2822" ht="13.5" customHeight="1">
      <c r="B2822" s="63" t="n"/>
      <c r="E2822" s="63" t="n"/>
      <c r="F2822" s="63" t="n"/>
      <c r="G2822" s="63" t="n"/>
      <c r="H2822" s="63" t="n"/>
      <c r="I2822" s="63" t="n"/>
      <c r="J2822" s="63" t="n"/>
      <c r="K2822" s="63" t="n"/>
      <c r="L2822" s="63" t="n"/>
      <c r="M2822" s="63" t="n"/>
      <c r="N2822" s="63" t="n"/>
      <c r="O2822" s="63" t="n"/>
    </row>
    <row r="2823" ht="13.5" customHeight="1">
      <c r="B2823" s="63" t="n"/>
      <c r="E2823" s="63" t="n"/>
      <c r="F2823" s="63" t="n"/>
      <c r="G2823" s="63" t="n"/>
      <c r="H2823" s="63" t="n"/>
      <c r="I2823" s="63" t="n"/>
      <c r="J2823" s="63" t="n"/>
      <c r="K2823" s="63" t="n"/>
      <c r="L2823" s="63" t="n"/>
      <c r="M2823" s="63" t="n"/>
      <c r="N2823" s="63" t="n"/>
      <c r="O2823" s="63" t="n"/>
    </row>
    <row r="2824" ht="13.5" customHeight="1">
      <c r="B2824" s="63" t="n"/>
      <c r="E2824" s="63" t="n"/>
      <c r="F2824" s="63" t="n"/>
      <c r="G2824" s="63" t="n"/>
      <c r="H2824" s="63" t="n"/>
      <c r="I2824" s="63" t="n"/>
      <c r="J2824" s="63" t="n"/>
      <c r="K2824" s="63" t="n"/>
      <c r="L2824" s="63" t="n"/>
      <c r="M2824" s="63" t="n"/>
      <c r="N2824" s="63" t="n"/>
      <c r="O2824" s="63" t="n"/>
    </row>
    <row r="2825" ht="13.5" customHeight="1">
      <c r="B2825" s="63" t="n"/>
      <c r="E2825" s="63" t="n"/>
      <c r="F2825" s="63" t="n"/>
      <c r="G2825" s="63" t="n"/>
      <c r="H2825" s="63" t="n"/>
      <c r="I2825" s="63" t="n"/>
      <c r="J2825" s="63" t="n"/>
      <c r="K2825" s="63" t="n"/>
      <c r="L2825" s="63" t="n"/>
      <c r="M2825" s="63" t="n"/>
      <c r="N2825" s="63" t="n"/>
      <c r="O2825" s="63" t="n"/>
    </row>
    <row r="2826" ht="13.5" customHeight="1">
      <c r="B2826" s="63" t="n"/>
      <c r="E2826" s="63" t="n"/>
      <c r="F2826" s="63" t="n"/>
      <c r="G2826" s="63" t="n"/>
      <c r="H2826" s="63" t="n"/>
      <c r="I2826" s="63" t="n"/>
      <c r="J2826" s="63" t="n"/>
      <c r="K2826" s="63" t="n"/>
      <c r="L2826" s="63" t="n"/>
      <c r="M2826" s="63" t="n"/>
      <c r="N2826" s="63" t="n"/>
      <c r="O2826" s="63" t="n"/>
    </row>
    <row r="2827" ht="13.5" customHeight="1">
      <c r="B2827" s="63" t="n"/>
      <c r="E2827" s="63" t="n"/>
      <c r="F2827" s="63" t="n"/>
      <c r="G2827" s="63" t="n"/>
      <c r="H2827" s="63" t="n"/>
      <c r="I2827" s="63" t="n"/>
      <c r="J2827" s="63" t="n"/>
      <c r="K2827" s="63" t="n"/>
      <c r="L2827" s="63" t="n"/>
      <c r="M2827" s="63" t="n"/>
      <c r="N2827" s="63" t="n"/>
      <c r="O2827" s="63" t="n"/>
    </row>
    <row r="2828" ht="13.5" customHeight="1">
      <c r="B2828" s="63" t="n"/>
      <c r="E2828" s="63" t="n"/>
      <c r="F2828" s="63" t="n"/>
      <c r="G2828" s="63" t="n"/>
      <c r="H2828" s="63" t="n"/>
      <c r="I2828" s="63" t="n"/>
      <c r="J2828" s="63" t="n"/>
      <c r="K2828" s="63" t="n"/>
      <c r="L2828" s="63" t="n"/>
      <c r="M2828" s="63" t="n"/>
      <c r="N2828" s="63" t="n"/>
      <c r="O2828" s="63" t="n"/>
    </row>
    <row r="2829" ht="13.5" customHeight="1">
      <c r="B2829" s="63" t="n"/>
      <c r="E2829" s="63" t="n"/>
      <c r="F2829" s="63" t="n"/>
      <c r="G2829" s="63" t="n"/>
      <c r="H2829" s="63" t="n"/>
      <c r="I2829" s="63" t="n"/>
      <c r="J2829" s="63" t="n"/>
      <c r="K2829" s="63" t="n"/>
      <c r="L2829" s="63" t="n"/>
      <c r="M2829" s="63" t="n"/>
      <c r="N2829" s="63" t="n"/>
      <c r="O2829" s="63" t="n"/>
    </row>
    <row r="2830" ht="13.5" customHeight="1">
      <c r="B2830" s="63" t="n"/>
      <c r="E2830" s="63" t="n"/>
      <c r="F2830" s="63" t="n"/>
      <c r="G2830" s="63" t="n"/>
      <c r="H2830" s="63" t="n"/>
      <c r="I2830" s="63" t="n"/>
      <c r="J2830" s="63" t="n"/>
      <c r="K2830" s="63" t="n"/>
      <c r="L2830" s="63" t="n"/>
      <c r="M2830" s="63" t="n"/>
      <c r="N2830" s="63" t="n"/>
      <c r="O2830" s="63" t="n"/>
    </row>
    <row r="2831" ht="13.5" customHeight="1">
      <c r="B2831" s="63" t="n"/>
      <c r="E2831" s="63" t="n"/>
      <c r="F2831" s="63" t="n"/>
      <c r="G2831" s="63" t="n"/>
      <c r="H2831" s="63" t="n"/>
      <c r="I2831" s="63" t="n"/>
      <c r="J2831" s="63" t="n"/>
      <c r="K2831" s="63" t="n"/>
      <c r="L2831" s="63" t="n"/>
      <c r="M2831" s="63" t="n"/>
      <c r="N2831" s="63" t="n"/>
      <c r="O2831" s="63" t="n"/>
    </row>
    <row r="2832" ht="13.5" customHeight="1">
      <c r="B2832" s="63" t="n"/>
      <c r="E2832" s="63" t="n"/>
      <c r="F2832" s="63" t="n"/>
      <c r="G2832" s="63" t="n"/>
      <c r="H2832" s="63" t="n"/>
      <c r="I2832" s="63" t="n"/>
      <c r="J2832" s="63" t="n"/>
      <c r="K2832" s="63" t="n"/>
      <c r="L2832" s="63" t="n"/>
      <c r="M2832" s="63" t="n"/>
      <c r="N2832" s="63" t="n"/>
      <c r="O2832" s="63" t="n"/>
    </row>
    <row r="2833" ht="13.5" customHeight="1">
      <c r="B2833" s="63" t="n"/>
      <c r="E2833" s="63" t="n"/>
      <c r="F2833" s="63" t="n"/>
      <c r="G2833" s="63" t="n"/>
      <c r="H2833" s="63" t="n"/>
      <c r="I2833" s="63" t="n"/>
      <c r="J2833" s="63" t="n"/>
      <c r="K2833" s="63" t="n"/>
      <c r="L2833" s="63" t="n"/>
      <c r="M2833" s="63" t="n"/>
      <c r="N2833" s="63" t="n"/>
      <c r="O2833" s="63" t="n"/>
    </row>
    <row r="2834" ht="13.5" customHeight="1">
      <c r="B2834" s="63" t="n"/>
      <c r="E2834" s="63" t="n"/>
      <c r="F2834" s="63" t="n"/>
      <c r="G2834" s="63" t="n"/>
      <c r="H2834" s="63" t="n"/>
      <c r="I2834" s="63" t="n"/>
      <c r="J2834" s="63" t="n"/>
      <c r="K2834" s="63" t="n"/>
      <c r="L2834" s="63" t="n"/>
      <c r="M2834" s="63" t="n"/>
      <c r="N2834" s="63" t="n"/>
      <c r="O2834" s="63" t="n"/>
    </row>
    <row r="2835" ht="13.5" customHeight="1">
      <c r="B2835" s="63" t="n"/>
      <c r="E2835" s="63" t="n"/>
      <c r="F2835" s="63" t="n"/>
      <c r="G2835" s="63" t="n"/>
      <c r="H2835" s="63" t="n"/>
      <c r="I2835" s="63" t="n"/>
      <c r="J2835" s="63" t="n"/>
      <c r="K2835" s="63" t="n"/>
      <c r="L2835" s="63" t="n"/>
      <c r="M2835" s="63" t="n"/>
      <c r="N2835" s="63" t="n"/>
      <c r="O2835" s="63" t="n"/>
    </row>
    <row r="2836" ht="13.5" customHeight="1">
      <c r="B2836" s="63" t="n"/>
      <c r="E2836" s="63" t="n"/>
      <c r="F2836" s="63" t="n"/>
      <c r="G2836" s="63" t="n"/>
      <c r="H2836" s="63" t="n"/>
      <c r="I2836" s="63" t="n"/>
      <c r="J2836" s="63" t="n"/>
      <c r="K2836" s="63" t="n"/>
      <c r="L2836" s="63" t="n"/>
      <c r="M2836" s="63" t="n"/>
      <c r="N2836" s="63" t="n"/>
      <c r="O2836" s="63" t="n"/>
    </row>
    <row r="2837" ht="13.5" customHeight="1">
      <c r="B2837" s="63" t="n"/>
      <c r="E2837" s="63" t="n"/>
      <c r="F2837" s="63" t="n"/>
      <c r="G2837" s="63" t="n"/>
      <c r="H2837" s="63" t="n"/>
      <c r="I2837" s="63" t="n"/>
      <c r="J2837" s="63" t="n"/>
      <c r="K2837" s="63" t="n"/>
      <c r="L2837" s="63" t="n"/>
      <c r="M2837" s="63" t="n"/>
      <c r="N2837" s="63" t="n"/>
      <c r="O2837" s="63" t="n"/>
    </row>
    <row r="2838" ht="13.5" customHeight="1">
      <c r="B2838" s="63" t="n"/>
      <c r="E2838" s="63" t="n"/>
      <c r="F2838" s="63" t="n"/>
      <c r="G2838" s="63" t="n"/>
      <c r="H2838" s="63" t="n"/>
      <c r="I2838" s="63" t="n"/>
      <c r="J2838" s="63" t="n"/>
      <c r="K2838" s="63" t="n"/>
      <c r="L2838" s="63" t="n"/>
      <c r="M2838" s="63" t="n"/>
      <c r="N2838" s="63" t="n"/>
      <c r="O2838" s="63" t="n"/>
    </row>
    <row r="2839" ht="13.5" customHeight="1">
      <c r="B2839" s="63" t="n"/>
      <c r="E2839" s="63" t="n"/>
      <c r="F2839" s="63" t="n"/>
      <c r="G2839" s="63" t="n"/>
      <c r="H2839" s="63" t="n"/>
      <c r="I2839" s="63" t="n"/>
      <c r="J2839" s="63" t="n"/>
      <c r="K2839" s="63" t="n"/>
      <c r="L2839" s="63" t="n"/>
      <c r="M2839" s="63" t="n"/>
      <c r="N2839" s="63" t="n"/>
      <c r="O2839" s="63" t="n"/>
    </row>
    <row r="2840" ht="13.5" customHeight="1">
      <c r="B2840" s="63" t="n"/>
      <c r="E2840" s="63" t="n"/>
      <c r="F2840" s="63" t="n"/>
      <c r="G2840" s="63" t="n"/>
      <c r="H2840" s="63" t="n"/>
      <c r="I2840" s="63" t="n"/>
      <c r="J2840" s="63" t="n"/>
      <c r="K2840" s="63" t="n"/>
      <c r="L2840" s="63" t="n"/>
      <c r="M2840" s="63" t="n"/>
      <c r="N2840" s="63" t="n"/>
      <c r="O2840" s="63" t="n"/>
    </row>
    <row r="2841" ht="13.5" customHeight="1">
      <c r="B2841" s="63" t="n"/>
      <c r="E2841" s="63" t="n"/>
      <c r="F2841" s="63" t="n"/>
      <c r="G2841" s="63" t="n"/>
      <c r="H2841" s="63" t="n"/>
      <c r="I2841" s="63" t="n"/>
      <c r="J2841" s="63" t="n"/>
      <c r="K2841" s="63" t="n"/>
      <c r="L2841" s="63" t="n"/>
      <c r="M2841" s="63" t="n"/>
      <c r="N2841" s="63" t="n"/>
      <c r="O2841" s="63" t="n"/>
    </row>
    <row r="2842" ht="13.5" customHeight="1">
      <c r="B2842" s="63" t="n"/>
      <c r="E2842" s="63" t="n"/>
      <c r="F2842" s="63" t="n"/>
      <c r="G2842" s="63" t="n"/>
      <c r="H2842" s="63" t="n"/>
      <c r="I2842" s="63" t="n"/>
      <c r="J2842" s="63" t="n"/>
      <c r="K2842" s="63" t="n"/>
      <c r="L2842" s="63" t="n"/>
      <c r="M2842" s="63" t="n"/>
      <c r="N2842" s="63" t="n"/>
      <c r="O2842" s="63" t="n"/>
    </row>
    <row r="2843" ht="13.5" customHeight="1">
      <c r="B2843" s="63" t="n"/>
      <c r="E2843" s="63" t="n"/>
      <c r="F2843" s="63" t="n"/>
      <c r="G2843" s="63" t="n"/>
      <c r="H2843" s="63" t="n"/>
      <c r="I2843" s="63" t="n"/>
      <c r="J2843" s="63" t="n"/>
      <c r="K2843" s="63" t="n"/>
      <c r="L2843" s="63" t="n"/>
      <c r="M2843" s="63" t="n"/>
      <c r="N2843" s="63" t="n"/>
      <c r="O2843" s="63" t="n"/>
    </row>
    <row r="2844" ht="13.5" customHeight="1">
      <c r="B2844" s="63" t="n"/>
      <c r="E2844" s="63" t="n"/>
      <c r="F2844" s="63" t="n"/>
      <c r="G2844" s="63" t="n"/>
      <c r="H2844" s="63" t="n"/>
      <c r="I2844" s="63" t="n"/>
      <c r="J2844" s="63" t="n"/>
      <c r="K2844" s="63" t="n"/>
      <c r="L2844" s="63" t="n"/>
      <c r="M2844" s="63" t="n"/>
      <c r="N2844" s="63" t="n"/>
      <c r="O2844" s="63" t="n"/>
    </row>
    <row r="2845" ht="13.5" customHeight="1">
      <c r="B2845" s="63" t="n"/>
      <c r="E2845" s="63" t="n"/>
      <c r="F2845" s="63" t="n"/>
      <c r="G2845" s="63" t="n"/>
      <c r="H2845" s="63" t="n"/>
      <c r="I2845" s="63" t="n"/>
      <c r="J2845" s="63" t="n"/>
      <c r="K2845" s="63" t="n"/>
      <c r="L2845" s="63" t="n"/>
      <c r="M2845" s="63" t="n"/>
      <c r="N2845" s="63" t="n"/>
      <c r="O2845" s="63" t="n"/>
    </row>
    <row r="2846" ht="13.5" customHeight="1">
      <c r="B2846" s="63" t="n"/>
      <c r="E2846" s="63" t="n"/>
      <c r="F2846" s="63" t="n"/>
      <c r="G2846" s="63" t="n"/>
      <c r="H2846" s="63" t="n"/>
      <c r="I2846" s="63" t="n"/>
      <c r="J2846" s="63" t="n"/>
      <c r="K2846" s="63" t="n"/>
      <c r="L2846" s="63" t="n"/>
      <c r="M2846" s="63" t="n"/>
      <c r="N2846" s="63" t="n"/>
      <c r="O2846" s="63" t="n"/>
    </row>
    <row r="2847" ht="13.5" customHeight="1">
      <c r="B2847" s="63" t="n"/>
      <c r="E2847" s="63" t="n"/>
      <c r="F2847" s="63" t="n"/>
      <c r="G2847" s="63" t="n"/>
      <c r="H2847" s="63" t="n"/>
      <c r="I2847" s="63" t="n"/>
      <c r="J2847" s="63" t="n"/>
      <c r="K2847" s="63" t="n"/>
      <c r="L2847" s="63" t="n"/>
      <c r="M2847" s="63" t="n"/>
      <c r="N2847" s="63" t="n"/>
      <c r="O2847" s="63" t="n"/>
    </row>
    <row r="2848" ht="13.5" customHeight="1">
      <c r="B2848" s="63" t="n"/>
      <c r="E2848" s="63" t="n"/>
      <c r="F2848" s="63" t="n"/>
      <c r="G2848" s="63" t="n"/>
      <c r="H2848" s="63" t="n"/>
      <c r="I2848" s="63" t="n"/>
      <c r="J2848" s="63" t="n"/>
      <c r="K2848" s="63" t="n"/>
      <c r="L2848" s="63" t="n"/>
      <c r="M2848" s="63" t="n"/>
      <c r="N2848" s="63" t="n"/>
      <c r="O2848" s="63" t="n"/>
    </row>
    <row r="2849" ht="13.5" customHeight="1">
      <c r="B2849" s="63" t="n"/>
      <c r="E2849" s="63" t="n"/>
      <c r="F2849" s="63" t="n"/>
      <c r="G2849" s="63" t="n"/>
      <c r="H2849" s="63" t="n"/>
      <c r="I2849" s="63" t="n"/>
      <c r="J2849" s="63" t="n"/>
      <c r="K2849" s="63" t="n"/>
      <c r="L2849" s="63" t="n"/>
      <c r="M2849" s="63" t="n"/>
      <c r="N2849" s="63" t="n"/>
      <c r="O2849" s="63" t="n"/>
    </row>
    <row r="2850" ht="13.5" customHeight="1">
      <c r="B2850" s="63" t="n"/>
      <c r="E2850" s="63" t="n"/>
      <c r="F2850" s="63" t="n"/>
      <c r="G2850" s="63" t="n"/>
      <c r="H2850" s="63" t="n"/>
      <c r="I2850" s="63" t="n"/>
      <c r="J2850" s="63" t="n"/>
      <c r="K2850" s="63" t="n"/>
      <c r="L2850" s="63" t="n"/>
      <c r="M2850" s="63" t="n"/>
      <c r="N2850" s="63" t="n"/>
      <c r="O2850" s="63" t="n"/>
    </row>
    <row r="2851" ht="13.5" customHeight="1">
      <c r="B2851" s="63" t="n"/>
      <c r="E2851" s="63" t="n"/>
      <c r="F2851" s="63" t="n"/>
      <c r="G2851" s="63" t="n"/>
      <c r="H2851" s="63" t="n"/>
      <c r="I2851" s="63" t="n"/>
      <c r="J2851" s="63" t="n"/>
      <c r="K2851" s="63" t="n"/>
      <c r="L2851" s="63" t="n"/>
      <c r="M2851" s="63" t="n"/>
      <c r="N2851" s="63" t="n"/>
      <c r="O2851" s="63" t="n"/>
    </row>
    <row r="2852" ht="13.5" customHeight="1">
      <c r="B2852" s="63" t="n"/>
      <c r="E2852" s="63" t="n"/>
      <c r="F2852" s="63" t="n"/>
      <c r="G2852" s="63" t="n"/>
      <c r="H2852" s="63" t="n"/>
      <c r="I2852" s="63" t="n"/>
      <c r="J2852" s="63" t="n"/>
      <c r="K2852" s="63" t="n"/>
      <c r="L2852" s="63" t="n"/>
      <c r="M2852" s="63" t="n"/>
      <c r="N2852" s="63" t="n"/>
      <c r="O2852" s="63" t="n"/>
    </row>
    <row r="2853" ht="13.5" customHeight="1">
      <c r="B2853" s="63" t="n"/>
      <c r="E2853" s="63" t="n"/>
      <c r="F2853" s="63" t="n"/>
      <c r="G2853" s="63" t="n"/>
      <c r="H2853" s="63" t="n"/>
      <c r="I2853" s="63" t="n"/>
      <c r="J2853" s="63" t="n"/>
      <c r="K2853" s="63" t="n"/>
      <c r="L2853" s="63" t="n"/>
      <c r="M2853" s="63" t="n"/>
      <c r="N2853" s="63" t="n"/>
      <c r="O2853" s="63" t="n"/>
    </row>
    <row r="2854" ht="13.5" customHeight="1">
      <c r="B2854" s="63" t="n"/>
      <c r="E2854" s="63" t="n"/>
      <c r="F2854" s="63" t="n"/>
      <c r="G2854" s="63" t="n"/>
      <c r="H2854" s="63" t="n"/>
      <c r="I2854" s="63" t="n"/>
      <c r="J2854" s="63" t="n"/>
      <c r="K2854" s="63" t="n"/>
      <c r="L2854" s="63" t="n"/>
      <c r="M2854" s="63" t="n"/>
      <c r="N2854" s="63" t="n"/>
      <c r="O2854" s="63" t="n"/>
    </row>
    <row r="2855" ht="13.5" customHeight="1">
      <c r="B2855" s="63" t="n"/>
      <c r="E2855" s="63" t="n"/>
      <c r="F2855" s="63" t="n"/>
      <c r="G2855" s="63" t="n"/>
      <c r="H2855" s="63" t="n"/>
      <c r="I2855" s="63" t="n"/>
      <c r="J2855" s="63" t="n"/>
      <c r="K2855" s="63" t="n"/>
      <c r="L2855" s="63" t="n"/>
      <c r="M2855" s="63" t="n"/>
      <c r="N2855" s="63" t="n"/>
      <c r="O2855" s="63" t="n"/>
    </row>
    <row r="2856" ht="13.5" customHeight="1">
      <c r="B2856" s="63" t="n"/>
      <c r="E2856" s="63" t="n"/>
      <c r="F2856" s="63" t="n"/>
      <c r="G2856" s="63" t="n"/>
      <c r="H2856" s="63" t="n"/>
      <c r="I2856" s="63" t="n"/>
      <c r="J2856" s="63" t="n"/>
      <c r="K2856" s="63" t="n"/>
      <c r="L2856" s="63" t="n"/>
      <c r="M2856" s="63" t="n"/>
      <c r="N2856" s="63" t="n"/>
      <c r="O2856" s="63" t="n"/>
    </row>
    <row r="2857" ht="13.5" customHeight="1">
      <c r="B2857" s="63" t="n"/>
      <c r="E2857" s="63" t="n"/>
      <c r="F2857" s="63" t="n"/>
      <c r="G2857" s="63" t="n"/>
      <c r="H2857" s="63" t="n"/>
      <c r="I2857" s="63" t="n"/>
      <c r="J2857" s="63" t="n"/>
      <c r="K2857" s="63" t="n"/>
      <c r="L2857" s="63" t="n"/>
      <c r="M2857" s="63" t="n"/>
      <c r="N2857" s="63" t="n"/>
      <c r="O2857" s="63" t="n"/>
    </row>
    <row r="2858" ht="13.5" customHeight="1">
      <c r="B2858" s="63" t="n"/>
      <c r="E2858" s="63" t="n"/>
      <c r="F2858" s="63" t="n"/>
      <c r="G2858" s="63" t="n"/>
      <c r="H2858" s="63" t="n"/>
      <c r="I2858" s="63" t="n"/>
      <c r="J2858" s="63" t="n"/>
      <c r="K2858" s="63" t="n"/>
      <c r="L2858" s="63" t="n"/>
      <c r="M2858" s="63" t="n"/>
      <c r="N2858" s="63" t="n"/>
      <c r="O2858" s="63" t="n"/>
    </row>
    <row r="2859" ht="13.5" customHeight="1">
      <c r="B2859" s="63" t="n"/>
      <c r="E2859" s="63" t="n"/>
      <c r="F2859" s="63" t="n"/>
      <c r="G2859" s="63" t="n"/>
      <c r="H2859" s="63" t="n"/>
      <c r="I2859" s="63" t="n"/>
      <c r="J2859" s="63" t="n"/>
      <c r="K2859" s="63" t="n"/>
      <c r="L2859" s="63" t="n"/>
      <c r="M2859" s="63" t="n"/>
      <c r="N2859" s="63" t="n"/>
      <c r="O2859" s="63" t="n"/>
    </row>
    <row r="2860" ht="13.5" customHeight="1">
      <c r="B2860" s="63" t="n"/>
      <c r="E2860" s="63" t="n"/>
      <c r="F2860" s="63" t="n"/>
      <c r="G2860" s="63" t="n"/>
      <c r="H2860" s="63" t="n"/>
      <c r="I2860" s="63" t="n"/>
      <c r="J2860" s="63" t="n"/>
      <c r="K2860" s="63" t="n"/>
      <c r="L2860" s="63" t="n"/>
      <c r="M2860" s="63" t="n"/>
      <c r="N2860" s="63" t="n"/>
      <c r="O2860" s="63" t="n"/>
    </row>
    <row r="2861" ht="13.5" customHeight="1">
      <c r="B2861" s="63" t="n"/>
      <c r="E2861" s="63" t="n"/>
      <c r="F2861" s="63" t="n"/>
      <c r="G2861" s="63" t="n"/>
      <c r="H2861" s="63" t="n"/>
      <c r="I2861" s="63" t="n"/>
      <c r="J2861" s="63" t="n"/>
      <c r="K2861" s="63" t="n"/>
      <c r="L2861" s="63" t="n"/>
      <c r="M2861" s="63" t="n"/>
      <c r="N2861" s="63" t="n"/>
      <c r="O2861" s="63" t="n"/>
    </row>
    <row r="2862" ht="13.5" customHeight="1">
      <c r="B2862" s="63" t="n"/>
      <c r="E2862" s="63" t="n"/>
      <c r="F2862" s="63" t="n"/>
      <c r="G2862" s="63" t="n"/>
      <c r="H2862" s="63" t="n"/>
      <c r="I2862" s="63" t="n"/>
      <c r="J2862" s="63" t="n"/>
      <c r="K2862" s="63" t="n"/>
      <c r="L2862" s="63" t="n"/>
      <c r="M2862" s="63" t="n"/>
      <c r="N2862" s="63" t="n"/>
      <c r="O2862" s="63" t="n"/>
    </row>
    <row r="2863" ht="13.5" customHeight="1">
      <c r="B2863" s="63" t="n"/>
      <c r="E2863" s="63" t="n"/>
      <c r="F2863" s="63" t="n"/>
      <c r="G2863" s="63" t="n"/>
      <c r="H2863" s="63" t="n"/>
      <c r="I2863" s="63" t="n"/>
      <c r="J2863" s="63" t="n"/>
      <c r="K2863" s="63" t="n"/>
      <c r="L2863" s="63" t="n"/>
      <c r="M2863" s="63" t="n"/>
      <c r="N2863" s="63" t="n"/>
      <c r="O2863" s="63" t="n"/>
    </row>
    <row r="2864" ht="13.5" customHeight="1">
      <c r="B2864" s="63" t="n"/>
      <c r="E2864" s="63" t="n"/>
      <c r="F2864" s="63" t="n"/>
      <c r="G2864" s="63" t="n"/>
      <c r="H2864" s="63" t="n"/>
      <c r="I2864" s="63" t="n"/>
      <c r="J2864" s="63" t="n"/>
      <c r="K2864" s="63" t="n"/>
      <c r="L2864" s="63" t="n"/>
      <c r="M2864" s="63" t="n"/>
      <c r="N2864" s="63" t="n"/>
      <c r="O2864" s="63" t="n"/>
    </row>
    <row r="2865" ht="13.5" customHeight="1">
      <c r="B2865" s="63" t="n"/>
      <c r="E2865" s="63" t="n"/>
      <c r="F2865" s="63" t="n"/>
      <c r="G2865" s="63" t="n"/>
      <c r="H2865" s="63" t="n"/>
      <c r="I2865" s="63" t="n"/>
      <c r="J2865" s="63" t="n"/>
      <c r="K2865" s="63" t="n"/>
      <c r="L2865" s="63" t="n"/>
      <c r="M2865" s="63" t="n"/>
      <c r="N2865" s="63" t="n"/>
      <c r="O2865" s="63" t="n"/>
    </row>
    <row r="2866" ht="13.5" customHeight="1">
      <c r="B2866" s="63" t="n"/>
      <c r="E2866" s="63" t="n"/>
      <c r="F2866" s="63" t="n"/>
      <c r="G2866" s="63" t="n"/>
      <c r="H2866" s="63" t="n"/>
      <c r="I2866" s="63" t="n"/>
      <c r="J2866" s="63" t="n"/>
      <c r="K2866" s="63" t="n"/>
      <c r="L2866" s="63" t="n"/>
      <c r="M2866" s="63" t="n"/>
      <c r="N2866" s="63" t="n"/>
      <c r="O2866" s="63" t="n"/>
    </row>
    <row r="2867" ht="13.5" customHeight="1">
      <c r="B2867" s="63" t="n"/>
      <c r="E2867" s="63" t="n"/>
      <c r="F2867" s="63" t="n"/>
      <c r="G2867" s="63" t="n"/>
      <c r="H2867" s="63" t="n"/>
      <c r="I2867" s="63" t="n"/>
      <c r="J2867" s="63" t="n"/>
      <c r="K2867" s="63" t="n"/>
      <c r="L2867" s="63" t="n"/>
      <c r="M2867" s="63" t="n"/>
      <c r="N2867" s="63" t="n"/>
      <c r="O2867" s="63" t="n"/>
    </row>
    <row r="2868" ht="13.5" customHeight="1">
      <c r="B2868" s="63" t="n"/>
      <c r="E2868" s="63" t="n"/>
      <c r="F2868" s="63" t="n"/>
      <c r="G2868" s="63" t="n"/>
      <c r="H2868" s="63" t="n"/>
      <c r="I2868" s="63" t="n"/>
      <c r="J2868" s="63" t="n"/>
      <c r="K2868" s="63" t="n"/>
      <c r="L2868" s="63" t="n"/>
      <c r="M2868" s="63" t="n"/>
      <c r="N2868" s="63" t="n"/>
      <c r="O2868" s="63" t="n"/>
    </row>
    <row r="2869" ht="13.5" customHeight="1">
      <c r="B2869" s="63" t="n"/>
      <c r="E2869" s="63" t="n"/>
      <c r="F2869" s="63" t="n"/>
      <c r="G2869" s="63" t="n"/>
      <c r="H2869" s="63" t="n"/>
      <c r="I2869" s="63" t="n"/>
      <c r="J2869" s="63" t="n"/>
      <c r="K2869" s="63" t="n"/>
      <c r="L2869" s="63" t="n"/>
      <c r="M2869" s="63" t="n"/>
      <c r="N2869" s="63" t="n"/>
      <c r="O2869" s="63" t="n"/>
    </row>
    <row r="2870" ht="13.5" customHeight="1">
      <c r="B2870" s="63" t="n"/>
      <c r="E2870" s="63" t="n"/>
      <c r="F2870" s="63" t="n"/>
      <c r="G2870" s="63" t="n"/>
      <c r="H2870" s="63" t="n"/>
      <c r="I2870" s="63" t="n"/>
      <c r="J2870" s="63" t="n"/>
      <c r="K2870" s="63" t="n"/>
      <c r="L2870" s="63" t="n"/>
      <c r="M2870" s="63" t="n"/>
      <c r="N2870" s="63" t="n"/>
      <c r="O2870" s="63" t="n"/>
    </row>
    <row r="2871" ht="13.5" customHeight="1">
      <c r="B2871" s="63" t="n"/>
      <c r="E2871" s="63" t="n"/>
      <c r="F2871" s="63" t="n"/>
      <c r="G2871" s="63" t="n"/>
      <c r="H2871" s="63" t="n"/>
      <c r="I2871" s="63" t="n"/>
      <c r="J2871" s="63" t="n"/>
      <c r="K2871" s="63" t="n"/>
      <c r="L2871" s="63" t="n"/>
      <c r="M2871" s="63" t="n"/>
      <c r="N2871" s="63" t="n"/>
      <c r="O2871" s="63" t="n"/>
    </row>
    <row r="2872" ht="13.5" customHeight="1">
      <c r="B2872" s="63" t="n"/>
      <c r="E2872" s="63" t="n"/>
      <c r="F2872" s="63" t="n"/>
      <c r="G2872" s="63" t="n"/>
      <c r="H2872" s="63" t="n"/>
      <c r="I2872" s="63" t="n"/>
      <c r="J2872" s="63" t="n"/>
      <c r="K2872" s="63" t="n"/>
      <c r="L2872" s="63" t="n"/>
      <c r="M2872" s="63" t="n"/>
      <c r="N2872" s="63" t="n"/>
      <c r="O2872" s="63" t="n"/>
    </row>
    <row r="2873" ht="13.5" customHeight="1">
      <c r="B2873" s="63" t="n"/>
      <c r="E2873" s="63" t="n"/>
      <c r="F2873" s="63" t="n"/>
      <c r="G2873" s="63" t="n"/>
      <c r="H2873" s="63" t="n"/>
      <c r="I2873" s="63" t="n"/>
      <c r="J2873" s="63" t="n"/>
      <c r="K2873" s="63" t="n"/>
      <c r="L2873" s="63" t="n"/>
      <c r="M2873" s="63" t="n"/>
      <c r="N2873" s="63" t="n"/>
      <c r="O2873" s="63" t="n"/>
    </row>
    <row r="2874" ht="13.5" customHeight="1">
      <c r="B2874" s="63" t="n"/>
      <c r="E2874" s="63" t="n"/>
      <c r="F2874" s="63" t="n"/>
      <c r="G2874" s="63" t="n"/>
      <c r="H2874" s="63" t="n"/>
      <c r="I2874" s="63" t="n"/>
      <c r="J2874" s="63" t="n"/>
      <c r="K2874" s="63" t="n"/>
      <c r="L2874" s="63" t="n"/>
      <c r="M2874" s="63" t="n"/>
      <c r="N2874" s="63" t="n"/>
      <c r="O2874" s="63" t="n"/>
    </row>
    <row r="2875" ht="13.5" customHeight="1">
      <c r="B2875" s="63" t="n"/>
      <c r="E2875" s="63" t="n"/>
      <c r="F2875" s="63" t="n"/>
      <c r="G2875" s="63" t="n"/>
      <c r="H2875" s="63" t="n"/>
      <c r="I2875" s="63" t="n"/>
      <c r="J2875" s="63" t="n"/>
      <c r="K2875" s="63" t="n"/>
      <c r="L2875" s="63" t="n"/>
      <c r="M2875" s="63" t="n"/>
      <c r="N2875" s="63" t="n"/>
      <c r="O2875" s="63" t="n"/>
    </row>
    <row r="2876" ht="13.5" customHeight="1">
      <c r="B2876" s="63" t="n"/>
      <c r="E2876" s="63" t="n"/>
      <c r="F2876" s="63" t="n"/>
      <c r="G2876" s="63" t="n"/>
      <c r="H2876" s="63" t="n"/>
      <c r="I2876" s="63" t="n"/>
      <c r="J2876" s="63" t="n"/>
      <c r="K2876" s="63" t="n"/>
      <c r="L2876" s="63" t="n"/>
      <c r="M2876" s="63" t="n"/>
      <c r="N2876" s="63" t="n"/>
      <c r="O2876" s="63" t="n"/>
    </row>
    <row r="2877" ht="13.5" customHeight="1">
      <c r="B2877" s="63" t="n"/>
      <c r="E2877" s="63" t="n"/>
      <c r="F2877" s="63" t="n"/>
      <c r="G2877" s="63" t="n"/>
      <c r="H2877" s="63" t="n"/>
      <c r="I2877" s="63" t="n"/>
      <c r="J2877" s="63" t="n"/>
      <c r="K2877" s="63" t="n"/>
      <c r="L2877" s="63" t="n"/>
      <c r="M2877" s="63" t="n"/>
      <c r="N2877" s="63" t="n"/>
      <c r="O2877" s="63" t="n"/>
    </row>
    <row r="2878" ht="13.5" customHeight="1">
      <c r="B2878" s="63" t="n"/>
      <c r="E2878" s="63" t="n"/>
      <c r="F2878" s="63" t="n"/>
      <c r="G2878" s="63" t="n"/>
      <c r="H2878" s="63" t="n"/>
      <c r="I2878" s="63" t="n"/>
      <c r="J2878" s="63" t="n"/>
      <c r="K2878" s="63" t="n"/>
      <c r="L2878" s="63" t="n"/>
      <c r="M2878" s="63" t="n"/>
      <c r="N2878" s="63" t="n"/>
      <c r="O2878" s="63" t="n"/>
    </row>
    <row r="2879" ht="13.5" customHeight="1">
      <c r="B2879" s="63" t="n"/>
      <c r="E2879" s="63" t="n"/>
      <c r="F2879" s="63" t="n"/>
      <c r="G2879" s="63" t="n"/>
      <c r="H2879" s="63" t="n"/>
      <c r="I2879" s="63" t="n"/>
      <c r="J2879" s="63" t="n"/>
      <c r="K2879" s="63" t="n"/>
      <c r="L2879" s="63" t="n"/>
      <c r="M2879" s="63" t="n"/>
      <c r="N2879" s="63" t="n"/>
      <c r="O2879" s="63" t="n"/>
    </row>
    <row r="2880" ht="13.5" customHeight="1">
      <c r="B2880" s="63" t="n"/>
      <c r="E2880" s="63" t="n"/>
      <c r="F2880" s="63" t="n"/>
      <c r="G2880" s="63" t="n"/>
      <c r="H2880" s="63" t="n"/>
      <c r="I2880" s="63" t="n"/>
      <c r="J2880" s="63" t="n"/>
      <c r="K2880" s="63" t="n"/>
      <c r="L2880" s="63" t="n"/>
      <c r="M2880" s="63" t="n"/>
      <c r="N2880" s="63" t="n"/>
      <c r="O2880" s="63" t="n"/>
    </row>
    <row r="2881" ht="13.5" customHeight="1">
      <c r="B2881" s="63" t="n"/>
      <c r="E2881" s="63" t="n"/>
      <c r="F2881" s="63" t="n"/>
      <c r="G2881" s="63" t="n"/>
      <c r="H2881" s="63" t="n"/>
      <c r="I2881" s="63" t="n"/>
      <c r="J2881" s="63" t="n"/>
      <c r="K2881" s="63" t="n"/>
      <c r="L2881" s="63" t="n"/>
      <c r="M2881" s="63" t="n"/>
      <c r="N2881" s="63" t="n"/>
      <c r="O2881" s="63" t="n"/>
    </row>
    <row r="2882" ht="13.5" customHeight="1">
      <c r="B2882" s="63" t="n"/>
      <c r="E2882" s="63" t="n"/>
      <c r="F2882" s="63" t="n"/>
      <c r="G2882" s="63" t="n"/>
      <c r="H2882" s="63" t="n"/>
      <c r="I2882" s="63" t="n"/>
      <c r="J2882" s="63" t="n"/>
      <c r="K2882" s="63" t="n"/>
      <c r="L2882" s="63" t="n"/>
      <c r="M2882" s="63" t="n"/>
      <c r="N2882" s="63" t="n"/>
      <c r="O2882" s="63" t="n"/>
    </row>
    <row r="2883" ht="13.5" customHeight="1">
      <c r="B2883" s="63" t="n"/>
      <c r="E2883" s="63" t="n"/>
      <c r="F2883" s="63" t="n"/>
      <c r="G2883" s="63" t="n"/>
      <c r="H2883" s="63" t="n"/>
      <c r="I2883" s="63" t="n"/>
      <c r="J2883" s="63" t="n"/>
      <c r="K2883" s="63" t="n"/>
      <c r="L2883" s="63" t="n"/>
      <c r="M2883" s="63" t="n"/>
      <c r="N2883" s="63" t="n"/>
      <c r="O2883" s="63" t="n"/>
    </row>
    <row r="2884" ht="13.5" customHeight="1">
      <c r="B2884" s="63" t="n"/>
      <c r="E2884" s="63" t="n"/>
      <c r="F2884" s="63" t="n"/>
      <c r="G2884" s="63" t="n"/>
      <c r="H2884" s="63" t="n"/>
      <c r="I2884" s="63" t="n"/>
      <c r="J2884" s="63" t="n"/>
      <c r="K2884" s="63" t="n"/>
      <c r="L2884" s="63" t="n"/>
      <c r="M2884" s="63" t="n"/>
      <c r="N2884" s="63" t="n"/>
      <c r="O2884" s="63" t="n"/>
    </row>
    <row r="2885" ht="13.5" customHeight="1">
      <c r="B2885" s="63" t="n"/>
      <c r="E2885" s="63" t="n"/>
      <c r="F2885" s="63" t="n"/>
      <c r="G2885" s="63" t="n"/>
      <c r="H2885" s="63" t="n"/>
      <c r="I2885" s="63" t="n"/>
      <c r="J2885" s="63" t="n"/>
      <c r="K2885" s="63" t="n"/>
      <c r="L2885" s="63" t="n"/>
      <c r="M2885" s="63" t="n"/>
      <c r="N2885" s="63" t="n"/>
      <c r="O2885" s="63" t="n"/>
    </row>
    <row r="2886" ht="13.5" customHeight="1">
      <c r="B2886" s="63" t="n"/>
      <c r="E2886" s="63" t="n"/>
      <c r="F2886" s="63" t="n"/>
      <c r="G2886" s="63" t="n"/>
      <c r="H2886" s="63" t="n"/>
      <c r="I2886" s="63" t="n"/>
      <c r="J2886" s="63" t="n"/>
      <c r="K2886" s="63" t="n"/>
      <c r="L2886" s="63" t="n"/>
      <c r="M2886" s="63" t="n"/>
      <c r="N2886" s="63" t="n"/>
      <c r="O2886" s="63" t="n"/>
    </row>
    <row r="2887" ht="13.5" customHeight="1">
      <c r="B2887" s="63" t="n"/>
      <c r="E2887" s="63" t="n"/>
      <c r="F2887" s="63" t="n"/>
      <c r="G2887" s="63" t="n"/>
      <c r="H2887" s="63" t="n"/>
      <c r="I2887" s="63" t="n"/>
      <c r="J2887" s="63" t="n"/>
      <c r="K2887" s="63" t="n"/>
      <c r="L2887" s="63" t="n"/>
      <c r="M2887" s="63" t="n"/>
      <c r="N2887" s="63" t="n"/>
      <c r="O2887" s="63" t="n"/>
    </row>
    <row r="2888" ht="13.5" customHeight="1">
      <c r="B2888" s="63" t="n"/>
      <c r="E2888" s="63" t="n"/>
      <c r="F2888" s="63" t="n"/>
      <c r="G2888" s="63" t="n"/>
      <c r="H2888" s="63" t="n"/>
      <c r="I2888" s="63" t="n"/>
      <c r="J2888" s="63" t="n"/>
      <c r="K2888" s="63" t="n"/>
      <c r="L2888" s="63" t="n"/>
      <c r="M2888" s="63" t="n"/>
      <c r="N2888" s="63" t="n"/>
      <c r="O2888" s="63" t="n"/>
    </row>
    <row r="2889" ht="13.5" customHeight="1">
      <c r="B2889" s="63" t="n"/>
      <c r="E2889" s="63" t="n"/>
      <c r="F2889" s="63" t="n"/>
      <c r="G2889" s="63" t="n"/>
      <c r="H2889" s="63" t="n"/>
      <c r="I2889" s="63" t="n"/>
      <c r="J2889" s="63" t="n"/>
      <c r="K2889" s="63" t="n"/>
      <c r="L2889" s="63" t="n"/>
      <c r="M2889" s="63" t="n"/>
      <c r="N2889" s="63" t="n"/>
      <c r="O2889" s="63" t="n"/>
    </row>
    <row r="2890" ht="13.5" customHeight="1">
      <c r="B2890" s="63" t="n"/>
      <c r="E2890" s="63" t="n"/>
      <c r="F2890" s="63" t="n"/>
      <c r="G2890" s="63" t="n"/>
      <c r="H2890" s="63" t="n"/>
      <c r="I2890" s="63" t="n"/>
      <c r="J2890" s="63" t="n"/>
      <c r="K2890" s="63" t="n"/>
      <c r="L2890" s="63" t="n"/>
      <c r="M2890" s="63" t="n"/>
      <c r="N2890" s="63" t="n"/>
      <c r="O2890" s="63" t="n"/>
    </row>
    <row r="2891" ht="13.5" customHeight="1">
      <c r="B2891" s="63" t="n"/>
      <c r="E2891" s="63" t="n"/>
      <c r="F2891" s="63" t="n"/>
      <c r="G2891" s="63" t="n"/>
      <c r="H2891" s="63" t="n"/>
      <c r="I2891" s="63" t="n"/>
      <c r="J2891" s="63" t="n"/>
      <c r="K2891" s="63" t="n"/>
      <c r="L2891" s="63" t="n"/>
      <c r="M2891" s="63" t="n"/>
      <c r="N2891" s="63" t="n"/>
      <c r="O2891" s="63" t="n"/>
    </row>
    <row r="2892" ht="13.5" customHeight="1">
      <c r="B2892" s="63" t="n"/>
      <c r="E2892" s="63" t="n"/>
      <c r="F2892" s="63" t="n"/>
      <c r="G2892" s="63" t="n"/>
      <c r="H2892" s="63" t="n"/>
      <c r="I2892" s="63" t="n"/>
      <c r="J2892" s="63" t="n"/>
      <c r="K2892" s="63" t="n"/>
      <c r="L2892" s="63" t="n"/>
      <c r="M2892" s="63" t="n"/>
      <c r="N2892" s="63" t="n"/>
      <c r="O2892" s="63" t="n"/>
    </row>
    <row r="2893" ht="13.5" customHeight="1">
      <c r="B2893" s="63" t="n"/>
      <c r="E2893" s="63" t="n"/>
      <c r="F2893" s="63" t="n"/>
      <c r="G2893" s="63" t="n"/>
      <c r="H2893" s="63" t="n"/>
      <c r="I2893" s="63" t="n"/>
      <c r="J2893" s="63" t="n"/>
      <c r="K2893" s="63" t="n"/>
      <c r="L2893" s="63" t="n"/>
      <c r="M2893" s="63" t="n"/>
      <c r="N2893" s="63" t="n"/>
      <c r="O2893" s="63" t="n"/>
    </row>
    <row r="2894" ht="13.5" customHeight="1">
      <c r="B2894" s="63" t="n"/>
      <c r="E2894" s="63" t="n"/>
      <c r="F2894" s="63" t="n"/>
      <c r="G2894" s="63" t="n"/>
      <c r="H2894" s="63" t="n"/>
      <c r="I2894" s="63" t="n"/>
      <c r="J2894" s="63" t="n"/>
      <c r="K2894" s="63" t="n"/>
      <c r="L2894" s="63" t="n"/>
      <c r="M2894" s="63" t="n"/>
      <c r="N2894" s="63" t="n"/>
      <c r="O2894" s="63" t="n"/>
    </row>
    <row r="2895" ht="13.5" customHeight="1">
      <c r="B2895" s="63" t="n"/>
      <c r="E2895" s="63" t="n"/>
      <c r="F2895" s="63" t="n"/>
      <c r="G2895" s="63" t="n"/>
      <c r="H2895" s="63" t="n"/>
      <c r="I2895" s="63" t="n"/>
      <c r="J2895" s="63" t="n"/>
      <c r="K2895" s="63" t="n"/>
      <c r="L2895" s="63" t="n"/>
      <c r="M2895" s="63" t="n"/>
      <c r="N2895" s="63" t="n"/>
      <c r="O2895" s="63" t="n"/>
    </row>
    <row r="2896" ht="13.5" customHeight="1">
      <c r="B2896" s="63" t="n"/>
      <c r="E2896" s="63" t="n"/>
      <c r="F2896" s="63" t="n"/>
      <c r="G2896" s="63" t="n"/>
      <c r="H2896" s="63" t="n"/>
      <c r="I2896" s="63" t="n"/>
      <c r="J2896" s="63" t="n"/>
      <c r="K2896" s="63" t="n"/>
      <c r="L2896" s="63" t="n"/>
      <c r="M2896" s="63" t="n"/>
      <c r="N2896" s="63" t="n"/>
      <c r="O2896" s="63" t="n"/>
    </row>
    <row r="2897" ht="13.5" customHeight="1">
      <c r="B2897" s="63" t="n"/>
      <c r="E2897" s="63" t="n"/>
      <c r="F2897" s="63" t="n"/>
      <c r="G2897" s="63" t="n"/>
      <c r="H2897" s="63" t="n"/>
      <c r="I2897" s="63" t="n"/>
      <c r="J2897" s="63" t="n"/>
      <c r="K2897" s="63" t="n"/>
      <c r="L2897" s="63" t="n"/>
      <c r="M2897" s="63" t="n"/>
      <c r="N2897" s="63" t="n"/>
      <c r="O2897" s="63" t="n"/>
    </row>
    <row r="2898" ht="13.5" customHeight="1">
      <c r="B2898" s="63" t="n"/>
      <c r="E2898" s="63" t="n"/>
      <c r="F2898" s="63" t="n"/>
      <c r="G2898" s="63" t="n"/>
      <c r="H2898" s="63" t="n"/>
      <c r="I2898" s="63" t="n"/>
      <c r="J2898" s="63" t="n"/>
      <c r="K2898" s="63" t="n"/>
      <c r="L2898" s="63" t="n"/>
      <c r="M2898" s="63" t="n"/>
      <c r="N2898" s="63" t="n"/>
      <c r="O2898" s="63" t="n"/>
    </row>
    <row r="2899" ht="13.5" customHeight="1">
      <c r="B2899" s="63" t="n"/>
      <c r="E2899" s="63" t="n"/>
      <c r="F2899" s="63" t="n"/>
      <c r="G2899" s="63" t="n"/>
      <c r="H2899" s="63" t="n"/>
      <c r="I2899" s="63" t="n"/>
      <c r="J2899" s="63" t="n"/>
      <c r="K2899" s="63" t="n"/>
      <c r="L2899" s="63" t="n"/>
      <c r="M2899" s="63" t="n"/>
      <c r="N2899" s="63" t="n"/>
      <c r="O2899" s="63" t="n"/>
    </row>
    <row r="2900" ht="13.5" customHeight="1">
      <c r="B2900" s="63" t="n"/>
      <c r="E2900" s="63" t="n"/>
      <c r="F2900" s="63" t="n"/>
      <c r="G2900" s="63" t="n"/>
      <c r="H2900" s="63" t="n"/>
      <c r="I2900" s="63" t="n"/>
      <c r="J2900" s="63" t="n"/>
      <c r="K2900" s="63" t="n"/>
      <c r="L2900" s="63" t="n"/>
      <c r="M2900" s="63" t="n"/>
      <c r="N2900" s="63" t="n"/>
      <c r="O2900" s="63" t="n"/>
    </row>
    <row r="2901" ht="13.5" customHeight="1">
      <c r="B2901" s="63" t="n"/>
      <c r="E2901" s="63" t="n"/>
      <c r="F2901" s="63" t="n"/>
      <c r="G2901" s="63" t="n"/>
      <c r="H2901" s="63" t="n"/>
      <c r="I2901" s="63" t="n"/>
      <c r="J2901" s="63" t="n"/>
      <c r="K2901" s="63" t="n"/>
      <c r="L2901" s="63" t="n"/>
      <c r="M2901" s="63" t="n"/>
      <c r="N2901" s="63" t="n"/>
      <c r="O2901" s="63" t="n"/>
    </row>
    <row r="2902" ht="13.5" customHeight="1">
      <c r="B2902" s="63" t="n"/>
      <c r="E2902" s="63" t="n"/>
      <c r="F2902" s="63" t="n"/>
      <c r="G2902" s="63" t="n"/>
      <c r="H2902" s="63" t="n"/>
      <c r="I2902" s="63" t="n"/>
      <c r="J2902" s="63" t="n"/>
      <c r="K2902" s="63" t="n"/>
      <c r="L2902" s="63" t="n"/>
      <c r="M2902" s="63" t="n"/>
      <c r="N2902" s="63" t="n"/>
      <c r="O2902" s="63" t="n"/>
    </row>
    <row r="2903" ht="13.5" customHeight="1">
      <c r="B2903" s="63" t="n"/>
      <c r="E2903" s="63" t="n"/>
      <c r="F2903" s="63" t="n"/>
      <c r="G2903" s="63" t="n"/>
      <c r="H2903" s="63" t="n"/>
      <c r="I2903" s="63" t="n"/>
      <c r="J2903" s="63" t="n"/>
      <c r="K2903" s="63" t="n"/>
      <c r="L2903" s="63" t="n"/>
      <c r="M2903" s="63" t="n"/>
      <c r="N2903" s="63" t="n"/>
      <c r="O2903" s="63" t="n"/>
    </row>
    <row r="2904" ht="13.5" customHeight="1">
      <c r="B2904" s="63" t="n"/>
      <c r="E2904" s="63" t="n"/>
      <c r="F2904" s="63" t="n"/>
      <c r="G2904" s="63" t="n"/>
      <c r="H2904" s="63" t="n"/>
      <c r="I2904" s="63" t="n"/>
      <c r="J2904" s="63" t="n"/>
      <c r="K2904" s="63" t="n"/>
      <c r="L2904" s="63" t="n"/>
      <c r="M2904" s="63" t="n"/>
      <c r="N2904" s="63" t="n"/>
      <c r="O2904" s="63" t="n"/>
    </row>
    <row r="2905" ht="13.5" customHeight="1">
      <c r="B2905" s="63" t="n"/>
      <c r="E2905" s="63" t="n"/>
      <c r="F2905" s="63" t="n"/>
      <c r="G2905" s="63" t="n"/>
      <c r="H2905" s="63" t="n"/>
      <c r="I2905" s="63" t="n"/>
      <c r="J2905" s="63" t="n"/>
      <c r="K2905" s="63" t="n"/>
      <c r="L2905" s="63" t="n"/>
      <c r="M2905" s="63" t="n"/>
      <c r="N2905" s="63" t="n"/>
      <c r="O2905" s="63" t="n"/>
    </row>
    <row r="2906" ht="13.5" customHeight="1">
      <c r="B2906" s="63" t="n"/>
      <c r="E2906" s="63" t="n"/>
      <c r="F2906" s="63" t="n"/>
      <c r="G2906" s="63" t="n"/>
      <c r="H2906" s="63" t="n"/>
      <c r="I2906" s="63" t="n"/>
      <c r="J2906" s="63" t="n"/>
      <c r="K2906" s="63" t="n"/>
      <c r="L2906" s="63" t="n"/>
      <c r="M2906" s="63" t="n"/>
      <c r="N2906" s="63" t="n"/>
      <c r="O2906" s="63" t="n"/>
    </row>
    <row r="2907" ht="13.5" customHeight="1">
      <c r="B2907" s="63" t="n"/>
      <c r="E2907" s="63" t="n"/>
      <c r="F2907" s="63" t="n"/>
      <c r="G2907" s="63" t="n"/>
      <c r="H2907" s="63" t="n"/>
      <c r="I2907" s="63" t="n"/>
      <c r="J2907" s="63" t="n"/>
      <c r="K2907" s="63" t="n"/>
      <c r="L2907" s="63" t="n"/>
      <c r="M2907" s="63" t="n"/>
      <c r="N2907" s="63" t="n"/>
      <c r="O2907" s="63" t="n"/>
    </row>
    <row r="2908" ht="13.5" customHeight="1">
      <c r="B2908" s="63" t="n"/>
      <c r="E2908" s="63" t="n"/>
      <c r="F2908" s="63" t="n"/>
      <c r="G2908" s="63" t="n"/>
      <c r="H2908" s="63" t="n"/>
      <c r="I2908" s="63" t="n"/>
      <c r="J2908" s="63" t="n"/>
      <c r="K2908" s="63" t="n"/>
      <c r="L2908" s="63" t="n"/>
      <c r="M2908" s="63" t="n"/>
      <c r="N2908" s="63" t="n"/>
      <c r="O2908" s="63" t="n"/>
    </row>
    <row r="2909" ht="13.5" customHeight="1">
      <c r="B2909" s="63" t="n"/>
      <c r="E2909" s="63" t="n"/>
      <c r="F2909" s="63" t="n"/>
      <c r="G2909" s="63" t="n"/>
      <c r="H2909" s="63" t="n"/>
      <c r="I2909" s="63" t="n"/>
      <c r="J2909" s="63" t="n"/>
      <c r="K2909" s="63" t="n"/>
      <c r="L2909" s="63" t="n"/>
      <c r="M2909" s="63" t="n"/>
      <c r="N2909" s="63" t="n"/>
      <c r="O2909" s="63" t="n"/>
    </row>
    <row r="2910" ht="13.5" customHeight="1">
      <c r="B2910" s="63" t="n"/>
      <c r="E2910" s="63" t="n"/>
      <c r="F2910" s="63" t="n"/>
      <c r="G2910" s="63" t="n"/>
      <c r="H2910" s="63" t="n"/>
      <c r="I2910" s="63" t="n"/>
      <c r="J2910" s="63" t="n"/>
      <c r="K2910" s="63" t="n"/>
      <c r="L2910" s="63" t="n"/>
      <c r="M2910" s="63" t="n"/>
      <c r="N2910" s="63" t="n"/>
      <c r="O2910" s="63" t="n"/>
    </row>
    <row r="2911" ht="13.5" customHeight="1">
      <c r="B2911" s="63" t="n"/>
      <c r="E2911" s="63" t="n"/>
      <c r="F2911" s="63" t="n"/>
      <c r="G2911" s="63" t="n"/>
      <c r="H2911" s="63" t="n"/>
      <c r="I2911" s="63" t="n"/>
      <c r="J2911" s="63" t="n"/>
      <c r="K2911" s="63" t="n"/>
      <c r="L2911" s="63" t="n"/>
      <c r="M2911" s="63" t="n"/>
      <c r="N2911" s="63" t="n"/>
      <c r="O2911" s="63" t="n"/>
    </row>
    <row r="2912" ht="13.5" customHeight="1">
      <c r="B2912" s="63" t="n"/>
      <c r="E2912" s="63" t="n"/>
      <c r="F2912" s="63" t="n"/>
      <c r="G2912" s="63" t="n"/>
      <c r="H2912" s="63" t="n"/>
      <c r="I2912" s="63" t="n"/>
      <c r="J2912" s="63" t="n"/>
      <c r="K2912" s="63" t="n"/>
      <c r="L2912" s="63" t="n"/>
      <c r="M2912" s="63" t="n"/>
      <c r="N2912" s="63" t="n"/>
      <c r="O2912" s="63" t="n"/>
    </row>
    <row r="2913" ht="13.5" customHeight="1">
      <c r="B2913" s="63" t="n"/>
      <c r="E2913" s="63" t="n"/>
      <c r="F2913" s="63" t="n"/>
      <c r="G2913" s="63" t="n"/>
      <c r="H2913" s="63" t="n"/>
      <c r="I2913" s="63" t="n"/>
      <c r="J2913" s="63" t="n"/>
      <c r="K2913" s="63" t="n"/>
      <c r="L2913" s="63" t="n"/>
      <c r="M2913" s="63" t="n"/>
      <c r="N2913" s="63" t="n"/>
      <c r="O2913" s="63" t="n"/>
    </row>
    <row r="2914" ht="13.5" customHeight="1">
      <c r="B2914" s="63" t="n"/>
      <c r="E2914" s="63" t="n"/>
      <c r="F2914" s="63" t="n"/>
      <c r="G2914" s="63" t="n"/>
      <c r="H2914" s="63" t="n"/>
      <c r="I2914" s="63" t="n"/>
      <c r="J2914" s="63" t="n"/>
      <c r="K2914" s="63" t="n"/>
      <c r="L2914" s="63" t="n"/>
      <c r="M2914" s="63" t="n"/>
      <c r="N2914" s="63" t="n"/>
      <c r="O2914" s="63" t="n"/>
    </row>
    <row r="2915" ht="13.5" customHeight="1">
      <c r="B2915" s="63" t="n"/>
      <c r="E2915" s="63" t="n"/>
      <c r="F2915" s="63" t="n"/>
      <c r="G2915" s="63" t="n"/>
      <c r="H2915" s="63" t="n"/>
      <c r="I2915" s="63" t="n"/>
      <c r="J2915" s="63" t="n"/>
      <c r="K2915" s="63" t="n"/>
      <c r="L2915" s="63" t="n"/>
      <c r="M2915" s="63" t="n"/>
      <c r="N2915" s="63" t="n"/>
      <c r="O2915" s="63" t="n"/>
    </row>
    <row r="2916" ht="13.5" customHeight="1">
      <c r="B2916" s="63" t="n"/>
      <c r="E2916" s="63" t="n"/>
      <c r="F2916" s="63" t="n"/>
      <c r="G2916" s="63" t="n"/>
      <c r="H2916" s="63" t="n"/>
      <c r="I2916" s="63" t="n"/>
      <c r="J2916" s="63" t="n"/>
      <c r="K2916" s="63" t="n"/>
      <c r="L2916" s="63" t="n"/>
      <c r="M2916" s="63" t="n"/>
      <c r="N2916" s="63" t="n"/>
      <c r="O2916" s="63" t="n"/>
    </row>
    <row r="2917" ht="13.5" customHeight="1">
      <c r="B2917" s="63" t="n"/>
      <c r="E2917" s="63" t="n"/>
      <c r="F2917" s="63" t="n"/>
      <c r="G2917" s="63" t="n"/>
      <c r="H2917" s="63" t="n"/>
      <c r="I2917" s="63" t="n"/>
      <c r="J2917" s="63" t="n"/>
      <c r="K2917" s="63" t="n"/>
      <c r="L2917" s="63" t="n"/>
      <c r="M2917" s="63" t="n"/>
      <c r="N2917" s="63" t="n"/>
      <c r="O2917" s="63" t="n"/>
    </row>
    <row r="2918" ht="13.5" customHeight="1">
      <c r="B2918" s="63" t="n"/>
      <c r="E2918" s="63" t="n"/>
      <c r="F2918" s="63" t="n"/>
      <c r="G2918" s="63" t="n"/>
      <c r="H2918" s="63" t="n"/>
      <c r="I2918" s="63" t="n"/>
      <c r="J2918" s="63" t="n"/>
      <c r="K2918" s="63" t="n"/>
      <c r="L2918" s="63" t="n"/>
      <c r="M2918" s="63" t="n"/>
      <c r="N2918" s="63" t="n"/>
      <c r="O2918" s="63" t="n"/>
    </row>
    <row r="2919" ht="13.5" customHeight="1">
      <c r="B2919" s="63" t="n"/>
      <c r="E2919" s="63" t="n"/>
      <c r="F2919" s="63" t="n"/>
      <c r="G2919" s="63" t="n"/>
      <c r="H2919" s="63" t="n"/>
      <c r="I2919" s="63" t="n"/>
      <c r="J2919" s="63" t="n"/>
      <c r="K2919" s="63" t="n"/>
      <c r="L2919" s="63" t="n"/>
      <c r="M2919" s="63" t="n"/>
      <c r="N2919" s="63" t="n"/>
      <c r="O2919" s="63" t="n"/>
    </row>
    <row r="2920" ht="13.5" customHeight="1">
      <c r="B2920" s="63" t="n"/>
      <c r="E2920" s="63" t="n"/>
      <c r="F2920" s="63" t="n"/>
      <c r="G2920" s="63" t="n"/>
      <c r="H2920" s="63" t="n"/>
      <c r="I2920" s="63" t="n"/>
      <c r="J2920" s="63" t="n"/>
      <c r="K2920" s="63" t="n"/>
      <c r="L2920" s="63" t="n"/>
      <c r="M2920" s="63" t="n"/>
      <c r="N2920" s="63" t="n"/>
      <c r="O2920" s="63" t="n"/>
    </row>
    <row r="2921" ht="13.5" customHeight="1">
      <c r="B2921" s="63" t="n"/>
      <c r="E2921" s="63" t="n"/>
      <c r="F2921" s="63" t="n"/>
      <c r="G2921" s="63" t="n"/>
      <c r="H2921" s="63" t="n"/>
      <c r="I2921" s="63" t="n"/>
      <c r="J2921" s="63" t="n"/>
      <c r="K2921" s="63" t="n"/>
      <c r="L2921" s="63" t="n"/>
      <c r="M2921" s="63" t="n"/>
      <c r="N2921" s="63" t="n"/>
      <c r="O2921" s="63" t="n"/>
    </row>
    <row r="2922" ht="13.5" customHeight="1">
      <c r="B2922" s="63" t="n"/>
      <c r="E2922" s="63" t="n"/>
      <c r="F2922" s="63" t="n"/>
      <c r="G2922" s="63" t="n"/>
      <c r="H2922" s="63" t="n"/>
      <c r="I2922" s="63" t="n"/>
      <c r="J2922" s="63" t="n"/>
      <c r="K2922" s="63" t="n"/>
      <c r="L2922" s="63" t="n"/>
      <c r="M2922" s="63" t="n"/>
      <c r="N2922" s="63" t="n"/>
      <c r="O2922" s="63" t="n"/>
    </row>
    <row r="2923" ht="13.5" customHeight="1">
      <c r="B2923" s="63" t="n"/>
      <c r="E2923" s="63" t="n"/>
      <c r="F2923" s="63" t="n"/>
      <c r="G2923" s="63" t="n"/>
      <c r="H2923" s="63" t="n"/>
      <c r="I2923" s="63" t="n"/>
      <c r="J2923" s="63" t="n"/>
      <c r="K2923" s="63" t="n"/>
      <c r="L2923" s="63" t="n"/>
      <c r="M2923" s="63" t="n"/>
      <c r="N2923" s="63" t="n"/>
      <c r="O2923" s="63" t="n"/>
    </row>
    <row r="2924" ht="13.5" customHeight="1">
      <c r="B2924" s="63" t="n"/>
      <c r="E2924" s="63" t="n"/>
      <c r="F2924" s="63" t="n"/>
      <c r="G2924" s="63" t="n"/>
      <c r="H2924" s="63" t="n"/>
      <c r="I2924" s="63" t="n"/>
      <c r="J2924" s="63" t="n"/>
      <c r="K2924" s="63" t="n"/>
      <c r="L2924" s="63" t="n"/>
      <c r="M2924" s="63" t="n"/>
      <c r="N2924" s="63" t="n"/>
      <c r="O2924" s="63" t="n"/>
    </row>
    <row r="2925" ht="13.5" customHeight="1">
      <c r="B2925" s="63" t="n"/>
      <c r="E2925" s="63" t="n"/>
      <c r="F2925" s="63" t="n"/>
      <c r="G2925" s="63" t="n"/>
      <c r="H2925" s="63" t="n"/>
      <c r="I2925" s="63" t="n"/>
      <c r="J2925" s="63" t="n"/>
      <c r="K2925" s="63" t="n"/>
      <c r="L2925" s="63" t="n"/>
      <c r="M2925" s="63" t="n"/>
      <c r="N2925" s="63" t="n"/>
      <c r="O2925" s="63" t="n"/>
    </row>
    <row r="2926" ht="13.5" customHeight="1">
      <c r="B2926" s="63" t="n"/>
      <c r="E2926" s="63" t="n"/>
      <c r="F2926" s="63" t="n"/>
      <c r="G2926" s="63" t="n"/>
      <c r="H2926" s="63" t="n"/>
      <c r="I2926" s="63" t="n"/>
      <c r="J2926" s="63" t="n"/>
      <c r="K2926" s="63" t="n"/>
      <c r="L2926" s="63" t="n"/>
      <c r="M2926" s="63" t="n"/>
      <c r="N2926" s="63" t="n"/>
      <c r="O2926" s="63" t="n"/>
    </row>
    <row r="2927" ht="13.5" customHeight="1">
      <c r="B2927" s="63" t="n"/>
      <c r="E2927" s="63" t="n"/>
      <c r="F2927" s="63" t="n"/>
      <c r="G2927" s="63" t="n"/>
      <c r="H2927" s="63" t="n"/>
      <c r="I2927" s="63" t="n"/>
      <c r="J2927" s="63" t="n"/>
      <c r="K2927" s="63" t="n"/>
      <c r="L2927" s="63" t="n"/>
      <c r="M2927" s="63" t="n"/>
      <c r="N2927" s="63" t="n"/>
      <c r="O2927" s="63" t="n"/>
    </row>
    <row r="2928" ht="13.5" customHeight="1">
      <c r="B2928" s="63" t="n"/>
      <c r="E2928" s="63" t="n"/>
      <c r="F2928" s="63" t="n"/>
      <c r="G2928" s="63" t="n"/>
      <c r="H2928" s="63" t="n"/>
      <c r="I2928" s="63" t="n"/>
      <c r="J2928" s="63" t="n"/>
      <c r="K2928" s="63" t="n"/>
      <c r="L2928" s="63" t="n"/>
      <c r="M2928" s="63" t="n"/>
      <c r="N2928" s="63" t="n"/>
      <c r="O2928" s="63" t="n"/>
    </row>
    <row r="2929" ht="13.5" customHeight="1">
      <c r="B2929" s="63" t="n"/>
      <c r="E2929" s="63" t="n"/>
      <c r="F2929" s="63" t="n"/>
      <c r="G2929" s="63" t="n"/>
      <c r="H2929" s="63" t="n"/>
      <c r="I2929" s="63" t="n"/>
      <c r="J2929" s="63" t="n"/>
      <c r="K2929" s="63" t="n"/>
      <c r="L2929" s="63" t="n"/>
      <c r="M2929" s="63" t="n"/>
      <c r="N2929" s="63" t="n"/>
      <c r="O2929" s="63" t="n"/>
    </row>
    <row r="2930" ht="13.5" customHeight="1">
      <c r="B2930" s="63" t="n"/>
      <c r="E2930" s="63" t="n"/>
      <c r="F2930" s="63" t="n"/>
      <c r="G2930" s="63" t="n"/>
      <c r="H2930" s="63" t="n"/>
      <c r="I2930" s="63" t="n"/>
      <c r="J2930" s="63" t="n"/>
      <c r="K2930" s="63" t="n"/>
      <c r="L2930" s="63" t="n"/>
      <c r="M2930" s="63" t="n"/>
      <c r="N2930" s="63" t="n"/>
      <c r="O2930" s="63" t="n"/>
    </row>
    <row r="2931" ht="13.5" customHeight="1">
      <c r="B2931" s="63" t="n"/>
      <c r="E2931" s="63" t="n"/>
      <c r="F2931" s="63" t="n"/>
      <c r="G2931" s="63" t="n"/>
      <c r="H2931" s="63" t="n"/>
      <c r="I2931" s="63" t="n"/>
      <c r="J2931" s="63" t="n"/>
      <c r="K2931" s="63" t="n"/>
      <c r="L2931" s="63" t="n"/>
      <c r="M2931" s="63" t="n"/>
      <c r="N2931" s="63" t="n"/>
      <c r="O2931" s="63" t="n"/>
    </row>
    <row r="2932" ht="13.5" customHeight="1">
      <c r="B2932" s="63" t="n"/>
      <c r="E2932" s="63" t="n"/>
      <c r="F2932" s="63" t="n"/>
      <c r="G2932" s="63" t="n"/>
      <c r="H2932" s="63" t="n"/>
      <c r="I2932" s="63" t="n"/>
      <c r="J2932" s="63" t="n"/>
      <c r="K2932" s="63" t="n"/>
      <c r="L2932" s="63" t="n"/>
      <c r="M2932" s="63" t="n"/>
      <c r="N2932" s="63" t="n"/>
      <c r="O2932" s="63" t="n"/>
    </row>
    <row r="2933" ht="13.5" customHeight="1">
      <c r="B2933" s="63" t="n"/>
      <c r="E2933" s="63" t="n"/>
      <c r="F2933" s="63" t="n"/>
      <c r="G2933" s="63" t="n"/>
      <c r="H2933" s="63" t="n"/>
      <c r="I2933" s="63" t="n"/>
      <c r="J2933" s="63" t="n"/>
      <c r="K2933" s="63" t="n"/>
      <c r="L2933" s="63" t="n"/>
      <c r="M2933" s="63" t="n"/>
      <c r="N2933" s="63" t="n"/>
      <c r="O2933" s="63" t="n"/>
    </row>
    <row r="2934" ht="13.5" customHeight="1">
      <c r="B2934" s="63" t="n"/>
      <c r="E2934" s="63" t="n"/>
      <c r="F2934" s="63" t="n"/>
      <c r="G2934" s="63" t="n"/>
      <c r="H2934" s="63" t="n"/>
      <c r="I2934" s="63" t="n"/>
      <c r="J2934" s="63" t="n"/>
      <c r="K2934" s="63" t="n"/>
      <c r="L2934" s="63" t="n"/>
      <c r="M2934" s="63" t="n"/>
      <c r="N2934" s="63" t="n"/>
      <c r="O2934" s="63" t="n"/>
    </row>
    <row r="2935" ht="13.5" customHeight="1">
      <c r="B2935" s="63" t="n"/>
      <c r="E2935" s="63" t="n"/>
      <c r="F2935" s="63" t="n"/>
      <c r="G2935" s="63" t="n"/>
      <c r="H2935" s="63" t="n"/>
      <c r="I2935" s="63" t="n"/>
      <c r="J2935" s="63" t="n"/>
      <c r="K2935" s="63" t="n"/>
      <c r="L2935" s="63" t="n"/>
      <c r="M2935" s="63" t="n"/>
      <c r="N2935" s="63" t="n"/>
      <c r="O2935" s="63" t="n"/>
    </row>
    <row r="2936" ht="13.5" customHeight="1">
      <c r="B2936" s="63" t="n"/>
      <c r="E2936" s="63" t="n"/>
      <c r="F2936" s="63" t="n"/>
      <c r="G2936" s="63" t="n"/>
      <c r="H2936" s="63" t="n"/>
      <c r="I2936" s="63" t="n"/>
      <c r="J2936" s="63" t="n"/>
      <c r="K2936" s="63" t="n"/>
      <c r="L2936" s="63" t="n"/>
      <c r="M2936" s="63" t="n"/>
      <c r="N2936" s="63" t="n"/>
      <c r="O2936" s="63" t="n"/>
    </row>
    <row r="2937" ht="13.5" customHeight="1">
      <c r="B2937" s="63" t="n"/>
      <c r="E2937" s="63" t="n"/>
      <c r="F2937" s="63" t="n"/>
      <c r="G2937" s="63" t="n"/>
      <c r="H2937" s="63" t="n"/>
      <c r="I2937" s="63" t="n"/>
      <c r="J2937" s="63" t="n"/>
      <c r="K2937" s="63" t="n"/>
      <c r="L2937" s="63" t="n"/>
      <c r="M2937" s="63" t="n"/>
      <c r="N2937" s="63" t="n"/>
      <c r="O2937" s="63" t="n"/>
    </row>
    <row r="2938" ht="13.5" customHeight="1">
      <c r="B2938" s="63" t="n"/>
      <c r="E2938" s="63" t="n"/>
      <c r="F2938" s="63" t="n"/>
      <c r="G2938" s="63" t="n"/>
      <c r="H2938" s="63" t="n"/>
      <c r="I2938" s="63" t="n"/>
      <c r="J2938" s="63" t="n"/>
      <c r="K2938" s="63" t="n"/>
      <c r="L2938" s="63" t="n"/>
      <c r="M2938" s="63" t="n"/>
      <c r="N2938" s="63" t="n"/>
      <c r="O2938" s="63" t="n"/>
    </row>
    <row r="2939" ht="13.5" customHeight="1">
      <c r="B2939" s="63" t="n"/>
      <c r="E2939" s="63" t="n"/>
      <c r="F2939" s="63" t="n"/>
      <c r="G2939" s="63" t="n"/>
      <c r="H2939" s="63" t="n"/>
      <c r="I2939" s="63" t="n"/>
      <c r="J2939" s="63" t="n"/>
      <c r="K2939" s="63" t="n"/>
      <c r="L2939" s="63" t="n"/>
      <c r="M2939" s="63" t="n"/>
      <c r="N2939" s="63" t="n"/>
      <c r="O2939" s="63" t="n"/>
    </row>
    <row r="2940" ht="13.5" customHeight="1">
      <c r="B2940" s="63" t="n"/>
      <c r="E2940" s="63" t="n"/>
      <c r="F2940" s="63" t="n"/>
      <c r="G2940" s="63" t="n"/>
      <c r="H2940" s="63" t="n"/>
      <c r="I2940" s="63" t="n"/>
      <c r="J2940" s="63" t="n"/>
      <c r="K2940" s="63" t="n"/>
      <c r="L2940" s="63" t="n"/>
      <c r="M2940" s="63" t="n"/>
      <c r="N2940" s="63" t="n"/>
      <c r="O2940" s="63" t="n"/>
    </row>
    <row r="2941" ht="13.5" customHeight="1">
      <c r="B2941" s="63" t="n"/>
      <c r="E2941" s="63" t="n"/>
      <c r="F2941" s="63" t="n"/>
      <c r="G2941" s="63" t="n"/>
      <c r="H2941" s="63" t="n"/>
      <c r="I2941" s="63" t="n"/>
      <c r="J2941" s="63" t="n"/>
      <c r="K2941" s="63" t="n"/>
      <c r="L2941" s="63" t="n"/>
      <c r="M2941" s="63" t="n"/>
      <c r="N2941" s="63" t="n"/>
      <c r="O2941" s="63" t="n"/>
    </row>
    <row r="2942" ht="13.5" customHeight="1">
      <c r="B2942" s="63" t="n"/>
      <c r="E2942" s="63" t="n"/>
      <c r="F2942" s="63" t="n"/>
      <c r="G2942" s="63" t="n"/>
      <c r="H2942" s="63" t="n"/>
      <c r="I2942" s="63" t="n"/>
      <c r="J2942" s="63" t="n"/>
      <c r="K2942" s="63" t="n"/>
      <c r="L2942" s="63" t="n"/>
      <c r="M2942" s="63" t="n"/>
      <c r="N2942" s="63" t="n"/>
      <c r="O2942" s="63" t="n"/>
    </row>
    <row r="2943" ht="13.5" customHeight="1">
      <c r="B2943" s="63" t="n"/>
      <c r="E2943" s="63" t="n"/>
      <c r="F2943" s="63" t="n"/>
      <c r="G2943" s="63" t="n"/>
      <c r="H2943" s="63" t="n"/>
      <c r="I2943" s="63" t="n"/>
      <c r="J2943" s="63" t="n"/>
      <c r="K2943" s="63" t="n"/>
      <c r="L2943" s="63" t="n"/>
      <c r="M2943" s="63" t="n"/>
      <c r="N2943" s="63" t="n"/>
      <c r="O2943" s="63" t="n"/>
    </row>
    <row r="2944" ht="13.5" customHeight="1">
      <c r="B2944" s="63" t="n"/>
      <c r="E2944" s="63" t="n"/>
      <c r="F2944" s="63" t="n"/>
      <c r="G2944" s="63" t="n"/>
      <c r="H2944" s="63" t="n"/>
      <c r="I2944" s="63" t="n"/>
      <c r="J2944" s="63" t="n"/>
      <c r="K2944" s="63" t="n"/>
      <c r="L2944" s="63" t="n"/>
      <c r="M2944" s="63" t="n"/>
      <c r="N2944" s="63" t="n"/>
      <c r="O2944" s="63" t="n"/>
    </row>
    <row r="2945" ht="13.5" customHeight="1">
      <c r="B2945" s="63" t="n"/>
      <c r="E2945" s="63" t="n"/>
      <c r="F2945" s="63" t="n"/>
      <c r="G2945" s="63" t="n"/>
      <c r="H2945" s="63" t="n"/>
      <c r="I2945" s="63" t="n"/>
      <c r="J2945" s="63" t="n"/>
      <c r="K2945" s="63" t="n"/>
      <c r="L2945" s="63" t="n"/>
      <c r="M2945" s="63" t="n"/>
      <c r="N2945" s="63" t="n"/>
      <c r="O2945" s="63" t="n"/>
    </row>
    <row r="2946" ht="13.5" customHeight="1">
      <c r="B2946" s="63" t="n"/>
      <c r="E2946" s="63" t="n"/>
      <c r="F2946" s="63" t="n"/>
      <c r="G2946" s="63" t="n"/>
      <c r="H2946" s="63" t="n"/>
      <c r="I2946" s="63" t="n"/>
      <c r="J2946" s="63" t="n"/>
      <c r="K2946" s="63" t="n"/>
      <c r="L2946" s="63" t="n"/>
      <c r="M2946" s="63" t="n"/>
      <c r="N2946" s="63" t="n"/>
      <c r="O2946" s="63" t="n"/>
    </row>
    <row r="2947" ht="13.5" customHeight="1">
      <c r="B2947" s="63" t="n"/>
      <c r="E2947" s="63" t="n"/>
      <c r="F2947" s="63" t="n"/>
      <c r="G2947" s="63" t="n"/>
      <c r="H2947" s="63" t="n"/>
      <c r="I2947" s="63" t="n"/>
      <c r="J2947" s="63" t="n"/>
      <c r="K2947" s="63" t="n"/>
      <c r="L2947" s="63" t="n"/>
      <c r="M2947" s="63" t="n"/>
      <c r="N2947" s="63" t="n"/>
      <c r="O2947" s="63" t="n"/>
    </row>
    <row r="2948" ht="13.5" customHeight="1">
      <c r="B2948" s="63" t="n"/>
      <c r="E2948" s="63" t="n"/>
      <c r="F2948" s="63" t="n"/>
      <c r="G2948" s="63" t="n"/>
      <c r="H2948" s="63" t="n"/>
      <c r="I2948" s="63" t="n"/>
      <c r="J2948" s="63" t="n"/>
      <c r="K2948" s="63" t="n"/>
      <c r="L2948" s="63" t="n"/>
      <c r="M2948" s="63" t="n"/>
      <c r="N2948" s="63" t="n"/>
      <c r="O2948" s="63" t="n"/>
    </row>
    <row r="2949" ht="13.5" customHeight="1">
      <c r="B2949" s="63" t="n"/>
      <c r="E2949" s="63" t="n"/>
      <c r="F2949" s="63" t="n"/>
      <c r="G2949" s="63" t="n"/>
      <c r="H2949" s="63" t="n"/>
      <c r="I2949" s="63" t="n"/>
      <c r="J2949" s="63" t="n"/>
      <c r="K2949" s="63" t="n"/>
      <c r="L2949" s="63" t="n"/>
      <c r="M2949" s="63" t="n"/>
      <c r="N2949" s="63" t="n"/>
      <c r="O2949" s="63" t="n"/>
    </row>
    <row r="2950" ht="13.5" customHeight="1">
      <c r="B2950" s="63" t="n"/>
      <c r="E2950" s="63" t="n"/>
      <c r="F2950" s="63" t="n"/>
      <c r="G2950" s="63" t="n"/>
      <c r="H2950" s="63" t="n"/>
      <c r="I2950" s="63" t="n"/>
      <c r="J2950" s="63" t="n"/>
      <c r="K2950" s="63" t="n"/>
      <c r="L2950" s="63" t="n"/>
      <c r="M2950" s="63" t="n"/>
      <c r="N2950" s="63" t="n"/>
      <c r="O2950" s="63" t="n"/>
    </row>
    <row r="2951" ht="13.5" customHeight="1">
      <c r="B2951" s="63" t="n"/>
      <c r="E2951" s="63" t="n"/>
      <c r="F2951" s="63" t="n"/>
      <c r="G2951" s="63" t="n"/>
      <c r="H2951" s="63" t="n"/>
      <c r="I2951" s="63" t="n"/>
      <c r="J2951" s="63" t="n"/>
      <c r="K2951" s="63" t="n"/>
      <c r="L2951" s="63" t="n"/>
      <c r="M2951" s="63" t="n"/>
      <c r="N2951" s="63" t="n"/>
      <c r="O2951" s="63" t="n"/>
    </row>
    <row r="2952" ht="13.5" customHeight="1">
      <c r="B2952" s="63" t="n"/>
      <c r="E2952" s="63" t="n"/>
      <c r="F2952" s="63" t="n"/>
      <c r="G2952" s="63" t="n"/>
      <c r="H2952" s="63" t="n"/>
      <c r="I2952" s="63" t="n"/>
      <c r="J2952" s="63" t="n"/>
      <c r="K2952" s="63" t="n"/>
      <c r="L2952" s="63" t="n"/>
      <c r="M2952" s="63" t="n"/>
      <c r="N2952" s="63" t="n"/>
      <c r="O2952" s="63" t="n"/>
    </row>
    <row r="2953" ht="13.5" customHeight="1">
      <c r="B2953" s="63" t="n"/>
      <c r="E2953" s="63" t="n"/>
      <c r="F2953" s="63" t="n"/>
      <c r="G2953" s="63" t="n"/>
      <c r="H2953" s="63" t="n"/>
      <c r="I2953" s="63" t="n"/>
      <c r="J2953" s="63" t="n"/>
      <c r="K2953" s="63" t="n"/>
      <c r="L2953" s="63" t="n"/>
      <c r="M2953" s="63" t="n"/>
      <c r="N2953" s="63" t="n"/>
      <c r="O2953" s="63" t="n"/>
    </row>
  </sheetData>
  <mergeCells count="29">
    <mergeCell ref="O7:P7"/>
    <mergeCell ref="B7:C7"/>
    <mergeCell ref="Q10:S10"/>
    <mergeCell ref="O10:P10"/>
    <mergeCell ref="O6:P6"/>
    <mergeCell ref="O9:P9"/>
    <mergeCell ref="Q6:S6"/>
    <mergeCell ref="B12:C12"/>
    <mergeCell ref="B11:C11"/>
    <mergeCell ref="O5:P5"/>
    <mergeCell ref="Q9:S9"/>
    <mergeCell ref="B8:C8"/>
    <mergeCell ref="B13:C13"/>
    <mergeCell ref="Q11:S11"/>
    <mergeCell ref="B3:T3"/>
    <mergeCell ref="B2017:D2017"/>
    <mergeCell ref="B10:C10"/>
    <mergeCell ref="Q13:S13"/>
    <mergeCell ref="Q7:S7"/>
    <mergeCell ref="Q12:S12"/>
    <mergeCell ref="O12:P12"/>
    <mergeCell ref="B2:T2"/>
    <mergeCell ref="O8:P8"/>
    <mergeCell ref="B6:C6"/>
    <mergeCell ref="O11:P11"/>
    <mergeCell ref="B5:C5"/>
    <mergeCell ref="Q8:S8"/>
    <mergeCell ref="R5:S5"/>
    <mergeCell ref="O13:P13"/>
  </mergeCells>
  <conditionalFormatting sqref="B2017">
    <cfRule type="expression" priority="14" dxfId="50">
      <formula>$X$7="USD"</formula>
    </cfRule>
    <cfRule type="expression" priority="15" dxfId="49">
      <formula>$X$7="EUR"</formula>
    </cfRule>
    <cfRule type="expression" priority="16" dxfId="48">
      <formula>$X$7="RUB"</formula>
    </cfRule>
  </conditionalFormatting>
  <conditionalFormatting sqref="C17:F2016">
    <cfRule type="cellIs" priority="1" operator="equal" dxfId="47">
      <formula>0</formula>
    </cfRule>
  </conditionalFormatting>
  <conditionalFormatting sqref="D4:D13">
    <cfRule type="containsText" priority="2" operator="containsText" dxfId="41" text="заполнить">
      <formula>NOT(ISERROR(SEARCH("заполнить",D4)))</formula>
    </cfRule>
  </conditionalFormatting>
  <conditionalFormatting sqref="G2017:S2017">
    <cfRule type="expression" priority="4" dxfId="50">
      <formula>$X$7="USD"</formula>
    </cfRule>
    <cfRule type="expression" priority="5" dxfId="49">
      <formula>$X$7="EUR"</formula>
    </cfRule>
    <cfRule type="expression" priority="6" dxfId="48">
      <formula>$X$7="RUB"</formula>
    </cfRule>
  </conditionalFormatting>
  <conditionalFormatting sqref="D5:D8 D10:D13 Q6:Q7 Q10:Q11">
    <cfRule type="containsBlanks" priority="18" dxfId="42">
      <formula>LEN(TRIM(D5))=0</formula>
    </cfRule>
  </conditionalFormatting>
  <conditionalFormatting sqref="Q5:S13">
    <cfRule type="containsText" priority="3" operator="containsText" dxfId="41" text="заполнить">
      <formula>NOT(ISERROR(SEARCH("заполнить",Q5)))</formula>
    </cfRule>
  </conditionalFormatting>
  <conditionalFormatting sqref="V17:V2017">
    <cfRule type="containsText" priority="17" operator="containsText" dxfId="34" text="скрыть">
      <formula>NOT(ISERROR(SEARCH("скрыть",V17)))</formula>
    </cfRule>
  </conditionalFormatting>
  <conditionalFormatting sqref="X10">
    <cfRule type="cellIs" priority="12" operator="equal" dxfId="34">
      <formula>FALSE</formula>
    </cfRule>
    <cfRule type="cellIs" priority="13" operator="equal" dxfId="38">
      <formula>TRUE</formula>
    </cfRule>
  </conditionalFormatting>
  <dataValidations count="1">
    <dataValidation sqref="Q10:S10" showDropDown="0" showInputMessage="1" showErrorMessage="1" allowBlank="1" type="date" operator="greaterThanOrEqual">
      <formula1>45658</formula1>
    </dataValidation>
  </dataValidations>
  <printOptions horizontalCentered="1"/>
  <pageMargins left="0.7086614173228347" right="0.7086614173228347" top="0.9055118110236221" bottom="0.7480314960629921" header="0.3149606299212598" footer="0.3149606299212598"/>
  <pageSetup orientation="landscape" paperSize="9" scale="47" fitToHeight="0"/>
  <headerFooter>
    <oddHeader>&amp;L&amp;G</oddHeader>
    <oddFooter/>
    <evenHeader/>
    <evenFooter/>
    <firstHeader/>
    <firstFooter/>
  </headerFooter>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CAEDFB"/>
    <outlinePr summaryBelow="0" summaryRight="0"/>
    <pageSetUpPr fitToPage="1"/>
  </sheetPr>
  <dimension ref="B2:U2960"/>
  <sheetViews>
    <sheetView showGridLines="0" view="pageBreakPreview" zoomScale="70" zoomScaleNormal="70" zoomScaleSheetLayoutView="70" zoomScalePageLayoutView="70" workbookViewId="0">
      <pane ySplit="16" topLeftCell="A17" activePane="bottomLeft" state="frozen"/>
      <selection pane="bottomLeft" activeCell="B20" sqref="B20 L14"/>
    </sheetView>
  </sheetViews>
  <sheetFormatPr baseColWidth="8" defaultColWidth="12.7109375" defaultRowHeight="15.75" customHeight="1"/>
  <cols>
    <col width="2" customWidth="1" style="47" min="1" max="1"/>
    <col width="6.28515625" bestFit="1" customWidth="1" style="47" min="2" max="2"/>
    <col width="13.85546875" customWidth="1" style="47" min="3" max="4"/>
    <col width="25.28515625" customWidth="1" style="47" min="5" max="5"/>
    <col width="7.7109375" customWidth="1" style="47" min="6" max="6"/>
    <col width="9.42578125" bestFit="1" customWidth="1" style="47" min="7" max="7"/>
    <col width="11" customWidth="1" style="47" min="8" max="8"/>
    <col width="9.140625" customWidth="1" style="47" min="9" max="9"/>
    <col width="11.85546875" customWidth="1" style="47" min="10" max="10"/>
    <col width="16" bestFit="1" customWidth="1" style="47" min="11" max="11"/>
    <col width="14.85546875" bestFit="1" customWidth="1" style="47" min="12" max="12"/>
    <col width="10.140625" bestFit="1" customWidth="1" style="47" min="13" max="13"/>
    <col outlineLevel="1" width="16" bestFit="1" customWidth="1" style="47" min="14" max="14"/>
    <col width="5.140625" customWidth="1" style="47" min="15" max="15"/>
    <col width="1.28515625" customWidth="1" style="47" min="16" max="16"/>
    <col width="13.42578125" customWidth="1" style="47" min="17" max="17"/>
    <col width="1.28515625" customWidth="1" style="47" min="18" max="18"/>
    <col width="24.7109375" customWidth="1" style="47" min="19" max="19"/>
    <col width="12.7109375" customWidth="1" style="47" min="20" max="16384"/>
  </cols>
  <sheetData>
    <row r="1" ht="13.5" customHeight="1"/>
    <row r="2" ht="26.25" customHeight="1">
      <c r="B2" s="711">
        <f>+UPPER("Коммерческое предложение")</f>
        <v/>
      </c>
      <c r="S2" s="176" t="n"/>
    </row>
    <row r="3" ht="20.65" customHeight="1">
      <c r="B3" s="665" t="n"/>
      <c r="Q3" s="48" t="inlineStr">
        <is>
          <t>! Заполни желтые ячейки в "шапке" КП.</t>
        </is>
      </c>
    </row>
    <row r="4" ht="9.4" customHeight="1">
      <c r="B4" s="45" t="n"/>
      <c r="C4" s="46" t="n"/>
      <c r="D4" s="46" t="n"/>
      <c r="E4" s="45" t="n"/>
      <c r="F4" s="45" t="n"/>
      <c r="G4" s="45" t="n"/>
      <c r="H4" s="45" t="n"/>
      <c r="I4" s="45" t="n"/>
      <c r="J4" s="45" t="n"/>
      <c r="K4" s="45" t="n"/>
      <c r="L4" s="45" t="n"/>
      <c r="M4" s="45" t="n"/>
      <c r="N4" s="45" t="n"/>
      <c r="O4" s="45" t="n"/>
      <c r="Q4" s="48" t="n"/>
    </row>
    <row r="5" ht="15.75" customHeight="1">
      <c r="B5" s="668" t="inlineStr">
        <is>
          <t>Заказчик:</t>
        </is>
      </c>
      <c r="C5" s="800" t="n"/>
      <c r="D5" s="713" t="inlineStr">
        <is>
          <t>заполнить</t>
        </is>
      </c>
      <c r="E5" s="814" t="n"/>
      <c r="F5" s="49" t="n"/>
      <c r="G5" s="49" t="n"/>
      <c r="H5" s="49" t="n"/>
      <c r="I5" s="672" t="n"/>
      <c r="J5" s="800" t="n"/>
      <c r="K5" s="673" t="n"/>
      <c r="L5" s="667" t="n"/>
      <c r="M5" s="800" t="n"/>
      <c r="N5" s="801" t="n"/>
      <c r="O5" s="45" t="n"/>
      <c r="Q5" s="48" t="inlineStr">
        <is>
          <t>!!! Перед отправкой КП клиенту, сохрани данный лист в формате PDF через меню "Сохранить Как".</t>
        </is>
      </c>
    </row>
    <row r="6" ht="15.75" customHeight="1">
      <c r="B6" s="680" t="inlineStr">
        <is>
          <t>Контактное лицо:</t>
        </is>
      </c>
      <c r="D6" s="701" t="inlineStr">
        <is>
          <t>заполнить</t>
        </is>
      </c>
      <c r="E6" s="803" t="n"/>
      <c r="F6" s="49" t="n"/>
      <c r="G6" s="49" t="n"/>
      <c r="H6" s="671" t="n"/>
      <c r="I6" s="670" t="inlineStr">
        <is>
          <t>Группа товаров:</t>
        </is>
      </c>
      <c r="K6" s="677" t="inlineStr">
        <is>
          <t>заполнить</t>
        </is>
      </c>
      <c r="L6" s="802" t="n"/>
      <c r="M6" s="802" t="n"/>
      <c r="N6" s="803" t="n"/>
      <c r="O6" s="45" t="n"/>
    </row>
    <row r="7" ht="15.75" customHeight="1">
      <c r="B7" s="680" t="inlineStr">
        <is>
          <t>Тел:</t>
        </is>
      </c>
      <c r="D7" s="701" t="inlineStr">
        <is>
          <t>заполнить</t>
        </is>
      </c>
      <c r="E7" s="803" t="n"/>
      <c r="F7" s="49" t="n"/>
      <c r="G7" s="49" t="n"/>
      <c r="H7" s="671" t="n"/>
      <c r="I7" s="670" t="inlineStr">
        <is>
          <t>Адрес поставки:</t>
        </is>
      </c>
      <c r="K7" s="677" t="inlineStr">
        <is>
          <t>заполнить</t>
        </is>
      </c>
      <c r="L7" s="802" t="n"/>
      <c r="M7" s="802" t="n"/>
      <c r="N7" s="803" t="n"/>
      <c r="O7" s="45" t="n"/>
      <c r="Q7" s="287" t="inlineStr">
        <is>
          <t>Валюта КП</t>
        </is>
      </c>
      <c r="R7" s="51" t="n"/>
      <c r="S7" s="52">
        <f>offer_currency</f>
        <v/>
      </c>
    </row>
    <row r="8" ht="15.75" customHeight="1">
      <c r="B8" s="682" t="inlineStr">
        <is>
          <t>Почта:</t>
        </is>
      </c>
      <c r="C8" s="804" t="n"/>
      <c r="D8" s="710" t="inlineStr">
        <is>
          <t>заполнить</t>
        </is>
      </c>
      <c r="E8" s="808" t="n"/>
      <c r="F8" s="49" t="n"/>
      <c r="G8" s="49" t="n"/>
      <c r="H8" s="671" t="n"/>
      <c r="I8" s="670" t="inlineStr">
        <is>
          <t>Базис поставки:</t>
        </is>
      </c>
      <c r="K8" s="675">
        <f>offer_incoterms</f>
        <v/>
      </c>
      <c r="N8" s="805" t="n"/>
      <c r="O8" s="45" t="n"/>
      <c r="Q8" s="287" t="inlineStr">
        <is>
          <t>Базис поставки:</t>
        </is>
      </c>
      <c r="R8" s="51" t="n"/>
      <c r="S8" s="53">
        <f>offer_incoterms</f>
        <v/>
      </c>
    </row>
    <row r="9" ht="60.6" customHeight="1">
      <c r="B9" s="139" t="n"/>
      <c r="C9" s="671" t="n"/>
      <c r="D9" s="78" t="n"/>
      <c r="E9" s="79" t="n"/>
      <c r="F9" s="49" t="n"/>
      <c r="G9" s="49" t="n"/>
      <c r="H9" s="671" t="n"/>
      <c r="I9" s="670" t="inlineStr">
        <is>
          <t>Условия оплаты:</t>
        </is>
      </c>
      <c r="K9" s="699">
        <f>offer_pmt_terms</f>
        <v/>
      </c>
      <c r="N9" s="805" t="n"/>
      <c r="O9" s="45" t="n"/>
      <c r="Q9" s="288" t="inlineStr">
        <is>
          <t>включено в стоимость</t>
        </is>
      </c>
      <c r="R9" s="54" t="n"/>
      <c r="S9" s="289">
        <f>IF(offer_incoterms="DDP","НДС, страховку, таможенную очистку и доставку товара до склада.","затраты на доставку и страховку.")</f>
        <v/>
      </c>
    </row>
    <row r="10" ht="15.75" customHeight="1">
      <c r="B10" s="668" t="inlineStr">
        <is>
          <t>Поставщик:</t>
        </is>
      </c>
      <c r="C10" s="800" t="n"/>
      <c r="D10" s="706">
        <f>seller_company</f>
        <v/>
      </c>
      <c r="E10" s="801" t="n"/>
      <c r="F10" s="49" t="n"/>
      <c r="G10" s="49" t="n"/>
      <c r="H10" s="671" t="n"/>
      <c r="I10" s="670" t="inlineStr">
        <is>
          <t>Дата предоставления:</t>
        </is>
      </c>
      <c r="K10" s="697" t="inlineStr">
        <is>
          <t>заполнить</t>
        </is>
      </c>
      <c r="L10" s="802" t="n"/>
      <c r="M10" s="802" t="n"/>
      <c r="N10" s="803" t="n"/>
      <c r="O10" s="45" t="n"/>
      <c r="Q10" s="287" t="inlineStr">
        <is>
          <t>срок поставки (дни)</t>
        </is>
      </c>
      <c r="R10" s="51" t="n"/>
      <c r="S10" s="140">
        <f>offer_turnaround_time</f>
        <v/>
      </c>
    </row>
    <row r="11" ht="30.6" customHeight="1">
      <c r="B11" s="684" t="inlineStr">
        <is>
          <t>Менеджер Отдела продаж:</t>
        </is>
      </c>
      <c r="D11" s="708" t="inlineStr">
        <is>
          <t>заполнить</t>
        </is>
      </c>
      <c r="E11" s="803" t="n"/>
      <c r="F11" s="49" t="n"/>
      <c r="G11" s="49" t="n"/>
      <c r="H11" s="49" t="n"/>
      <c r="I11" s="670" t="inlineStr">
        <is>
          <t>Срок поставки:</t>
        </is>
      </c>
      <c r="K11" s="695">
        <f>offer_turnaround_time&amp;" "&amp;расчет!L5</f>
        <v/>
      </c>
      <c r="L11" s="802" t="n"/>
      <c r="M11" s="802" t="n"/>
      <c r="N11" s="803" t="n"/>
      <c r="O11" s="45" t="n"/>
      <c r="Q11" s="55" t="n"/>
    </row>
    <row r="12" ht="15.75" customHeight="1">
      <c r="B12" s="680" t="inlineStr">
        <is>
          <t>Тел:</t>
        </is>
      </c>
      <c r="D12" s="701" t="inlineStr">
        <is>
          <t>заполнить</t>
        </is>
      </c>
      <c r="E12" s="803" t="n"/>
      <c r="F12" s="49" t="n"/>
      <c r="G12" s="49" t="n"/>
      <c r="H12" s="671" t="n"/>
      <c r="I12" s="688" t="inlineStr">
        <is>
          <t>Сумма КП:</t>
        </is>
      </c>
      <c r="K12" s="693">
        <f>TEXT(N2017,"# ##0,00")&amp;" "&amp;$S$7&amp;" (в т.ч. НДС "&amp;TEXT(L2017,"# ##0,00")&amp;" "&amp;$S$7&amp;")"</f>
        <v/>
      </c>
      <c r="N12" s="805" t="n"/>
      <c r="O12" s="45" t="n"/>
    </row>
    <row r="13" ht="34.15" customHeight="1">
      <c r="B13" s="682" t="inlineStr">
        <is>
          <t>Почта:</t>
        </is>
      </c>
      <c r="C13" s="804" t="n"/>
      <c r="D13" s="704" t="inlineStr">
        <is>
          <t>заполнить</t>
        </is>
      </c>
      <c r="E13" s="808" t="n"/>
      <c r="F13" s="49" t="n"/>
      <c r="G13" s="49" t="n"/>
      <c r="H13" s="671" t="n"/>
      <c r="I13" s="686" t="inlineStr">
        <is>
          <t>Цена включает:</t>
        </is>
      </c>
      <c r="J13" s="804" t="n"/>
      <c r="K13" s="691">
        <f>'КП price'!S9</f>
        <v/>
      </c>
      <c r="L13" s="807" t="n"/>
      <c r="M13" s="807" t="n"/>
      <c r="N13" s="808" t="n"/>
      <c r="O13" s="45" t="n"/>
    </row>
    <row r="14" ht="15.75" customFormat="1" customHeight="1" s="57">
      <c r="B14" s="290">
        <f>расчет!A15</f>
        <v/>
      </c>
      <c r="C14" s="290">
        <f>расчет!B15</f>
        <v/>
      </c>
      <c r="D14" s="290">
        <f>расчет!C15</f>
        <v/>
      </c>
      <c r="E14" s="290">
        <f>расчет!D15</f>
        <v/>
      </c>
      <c r="F14" s="290">
        <f>расчет!F15</f>
        <v/>
      </c>
      <c r="G14" s="290">
        <f>расчет!G15</f>
        <v/>
      </c>
      <c r="H14" s="290">
        <f>расчет!H15</f>
        <v/>
      </c>
      <c r="I14" s="290">
        <f>расчет!E15</f>
        <v/>
      </c>
      <c r="J14" s="290">
        <f>расчет!AJ15</f>
        <v/>
      </c>
      <c r="K14" s="290">
        <f>расчет!AK15</f>
        <v/>
      </c>
      <c r="L14" s="290">
        <f>расчет!AN15</f>
        <v/>
      </c>
      <c r="M14" s="290">
        <f>расчет!AM15</f>
        <v/>
      </c>
      <c r="N14" s="290">
        <f>расчет!AL15</f>
        <v/>
      </c>
      <c r="O14" s="56" t="n"/>
    </row>
    <row r="15" ht="15.75" customFormat="1" customHeight="1" s="57">
      <c r="B15" s="277">
        <f t="array" ref="B15">_xlfn.IFNA(OFFSET(INDIRECT(SUBSTITUTE(_xlfn.FORMULATEXT(B14),"=","")),-1,0),"")</f>
        <v/>
      </c>
      <c r="C15" s="277">
        <f t="array" ref="C15">_xlfn.IFNA(OFFSET(INDIRECT(SUBSTITUTE(_xlfn.FORMULATEXT(C14),"=","")),-1,0),"")</f>
        <v/>
      </c>
      <c r="D15" s="277">
        <f t="array" ref="D15">_xlfn.IFNA(OFFSET(INDIRECT(SUBSTITUTE(_xlfn.FORMULATEXT(D14),"=","")),-1,0),"")</f>
        <v/>
      </c>
      <c r="E15" s="277">
        <f t="array" ref="E15">_xlfn.IFNA(OFFSET(INDIRECT(SUBSTITUTE(_xlfn.FORMULATEXT(E14),"=","")),-1,0),"")</f>
        <v/>
      </c>
      <c r="F15" s="277">
        <f t="array" ref="F15">_xlfn.IFNA(OFFSET(INDIRECT(SUBSTITUTE(_xlfn.FORMULATEXT(F14),"=","")),-1,0),"")</f>
        <v/>
      </c>
      <c r="G15" s="277">
        <f t="array" ref="G15">_xlfn.IFNA(OFFSET(INDIRECT(SUBSTITUTE(_xlfn.FORMULATEXT(G14),"=","")),-1,0),"")</f>
        <v/>
      </c>
      <c r="H15" s="277">
        <f t="array" ref="H15">_xlfn.IFNA(OFFSET(INDIRECT(SUBSTITUTE(_xlfn.FORMULATEXT(H14),"=","")),-1,0),"")</f>
        <v/>
      </c>
      <c r="I15" s="277">
        <f t="array" ref="I15">_xlfn.IFNA(OFFSET(INDIRECT(SUBSTITUTE(_xlfn.FORMULATEXT(I14),"=","")),-1,0),"")</f>
        <v/>
      </c>
      <c r="J15" s="277">
        <f t="array" ref="J15">_xlfn.IFNA(OFFSET(INDIRECT(SUBSTITUTE(_xlfn.FORMULATEXT(J14),"=","")),-1,0),"")</f>
        <v/>
      </c>
      <c r="K15" s="277">
        <f t="array" ref="K15">_xlfn.IFNA(OFFSET(INDIRECT(SUBSTITUTE(_xlfn.FORMULATEXT(K14),"=","")),-1,0),"")</f>
        <v/>
      </c>
      <c r="L15" s="277">
        <f t="array" ref="L15">_xlfn.IFNA(OFFSET(INDIRECT(SUBSTITUTE(_xlfn.FORMULATEXT(L14),"=","")),-1,0),"")</f>
        <v/>
      </c>
      <c r="M15" s="277">
        <f t="array" ref="M15">_xlfn.IFNA(OFFSET(INDIRECT(SUBSTITUTE(_xlfn.FORMULATEXT(M14),"=","")),-1,0),"")</f>
        <v/>
      </c>
      <c r="N15" s="277">
        <f t="array" ref="N15">_xlfn.IFNA(OFFSET(INDIRECT(SUBSTITUTE(_xlfn.FORMULATEXT(N14),"=","")),-1,0),"")</f>
        <v/>
      </c>
      <c r="O15" s="56" t="n"/>
    </row>
    <row r="16" ht="45" customFormat="1" customHeight="1" s="59">
      <c r="B16" s="134">
        <f t="array" ref="B16">OFFSET(INDIRECT(SUBSTITUTE(_xlfn.FORMULATEXT(B14),"=","")),-1,0)</f>
        <v/>
      </c>
      <c r="C16" s="134">
        <f t="array" ref="C16">OFFSET(INDIRECT(SUBSTITUTE(_xlfn.FORMULATEXT(C14),"=","")),-1,0)</f>
        <v/>
      </c>
      <c r="D16" s="134">
        <f t="array" ref="D16">OFFSET(INDIRECT(SUBSTITUTE(_xlfn.FORMULATEXT(D14),"=","")),-1,0)</f>
        <v/>
      </c>
      <c r="E16" s="237">
        <f t="array" ref="E16">OFFSET(INDIRECT(SUBSTITUTE(_xlfn.FORMULATEXT(E14),"=","")),-1,0)</f>
        <v/>
      </c>
      <c r="F16" s="134">
        <f t="array" ref="F16">OFFSET(INDIRECT(SUBSTITUTE(_xlfn.FORMULATEXT(F14),"=","")),-1,0)</f>
        <v/>
      </c>
      <c r="G16" s="134">
        <f t="array" ref="G16">OFFSET(INDIRECT(SUBSTITUTE(_xlfn.FORMULATEXT(G14),"=","")),-1,0)</f>
        <v/>
      </c>
      <c r="H16" s="134">
        <f t="array" ref="H16">OFFSET(INDIRECT(SUBSTITUTE(_xlfn.FORMULATEXT(H14),"=","")),-1,0)</f>
        <v/>
      </c>
      <c r="I16" s="134">
        <f t="array" ref="I16">OFFSET(INDIRECT(SUBSTITUTE(_xlfn.FORMULATEXT(I14),"=","")),-1,0)</f>
        <v/>
      </c>
      <c r="J16" s="134">
        <f t="array" ref="J16">OFFSET(INDIRECT(SUBSTITUTE(_xlfn.FORMULATEXT(J14),"=","")),-1,0)</f>
        <v/>
      </c>
      <c r="K16" s="134">
        <f t="array" ref="K16">OFFSET(INDIRECT(SUBSTITUTE(_xlfn.FORMULATEXT(K14),"=","")),-1,0)</f>
        <v/>
      </c>
      <c r="L16" s="134">
        <f>"НДС "&amp;TEXT(IF(AND(offer_incoterms="DDP",seller_region="RU"),IF((TODAY()+offer_turnaround_time)&gt;=helpsheet!$L$17,rate_vatRU_from_26,rate_vatRu_till_25),0),"0%")&amp;" ("&amp;offer_currency&amp;")"</f>
        <v/>
      </c>
      <c r="M16" s="134">
        <f t="array" ref="M16">OFFSET(INDIRECT(SUBSTITUTE(_xlfn.FORMULATEXT(M14),"=","")),-1,0)</f>
        <v/>
      </c>
      <c r="N16" s="134">
        <f t="array" ref="N16">OFFSET(INDIRECT(SUBSTITUTE(_xlfn.FORMULATEXT(N14),"=","")),-1,0)</f>
        <v/>
      </c>
      <c r="O16" s="58" t="n"/>
      <c r="Q16" s="60" t="inlineStr">
        <is>
          <t>скрыть пустые</t>
        </is>
      </c>
      <c r="S16" s="61" t="inlineStr">
        <is>
          <t>!  отфильтруй строки со значением "показать"</t>
        </is>
      </c>
    </row>
    <row r="17" ht="15.75" customHeight="1">
      <c r="B17" s="182" t="n">
        <v>1</v>
      </c>
      <c r="C17" s="182">
        <f>IFERROR(VLOOKUP($B17,calc_data,C$14+1,0),0)</f>
        <v/>
      </c>
      <c r="D17" s="182">
        <f>IFERROR(VLOOKUP($B17,calc_data,D$14+1,0),0)</f>
        <v/>
      </c>
      <c r="E17" s="183">
        <f>IFERROR(VLOOKUP($B17,calc_data,E$14+1,0),0)</f>
        <v/>
      </c>
      <c r="F17" s="182">
        <f>IFERROR(VLOOKUP($B17,calc_data,F$14+1,0),0)</f>
        <v/>
      </c>
      <c r="G17" s="141">
        <f>IFERROR(VLOOKUP($B17,calc_data,G$14+1,0),0)</f>
        <v/>
      </c>
      <c r="H17" s="141">
        <f>IFERROR(VLOOKUP($B17,calc_data,H$14+1,0),0)</f>
        <v/>
      </c>
      <c r="I17" s="142">
        <f>IFERROR(VLOOKUP($B17,calc_data,I$14+1,0),0)</f>
        <v/>
      </c>
      <c r="J17" s="141">
        <f>IFERROR(VLOOKUP($B17,calc_data,J$14+1,0),0)</f>
        <v/>
      </c>
      <c r="K17" s="141">
        <f>IFERROR(VLOOKUP($B17,calc_data,K$14+1,0),0)</f>
        <v/>
      </c>
      <c r="L17" s="141">
        <f>IFERROR(VLOOKUP($B17,calc_data,L$14+1,0),0)</f>
        <v/>
      </c>
      <c r="M17" s="177">
        <f>IFERROR(VLOOKUP($B17,calc_data,M$14+1,0),0)</f>
        <v/>
      </c>
      <c r="N17" s="177">
        <f>IFERROR(VLOOKUP($B17,calc_data,N$14+1,0),0)</f>
        <v/>
      </c>
      <c r="O17" s="45" t="n"/>
      <c r="Q17" s="57">
        <f>IF(K17&gt;0,"показать","скрыть")</f>
        <v/>
      </c>
      <c r="U17" s="810" t="n"/>
    </row>
    <row r="18" ht="15.75" customHeight="1">
      <c r="B18" s="182" t="n">
        <v>2</v>
      </c>
      <c r="C18" s="182">
        <f>IFERROR(VLOOKUP($B18,calc_data,C$14+1,0),0)</f>
        <v/>
      </c>
      <c r="D18" s="182">
        <f>IFERROR(VLOOKUP($B18,calc_data,D$14+1,0),0)</f>
        <v/>
      </c>
      <c r="E18" s="183">
        <f>IFERROR(VLOOKUP($B18,calc_data,E$14+1,0),0)</f>
        <v/>
      </c>
      <c r="F18" s="182">
        <f>IFERROR(VLOOKUP($B18,calc_data,F$14+1,0),0)</f>
        <v/>
      </c>
      <c r="G18" s="141">
        <f>IFERROR(VLOOKUP($B18,calc_data,G$14+1,0),0)</f>
        <v/>
      </c>
      <c r="H18" s="141">
        <f>IFERROR(VLOOKUP($B18,calc_data,H$14+1,0),0)</f>
        <v/>
      </c>
      <c r="I18" s="142">
        <f>IFERROR(VLOOKUP($B18,calc_data,I$14+1,0),0)</f>
        <v/>
      </c>
      <c r="J18" s="141">
        <f>IFERROR(VLOOKUP($B18,calc_data,J$14+1,0),0)</f>
        <v/>
      </c>
      <c r="K18" s="141">
        <f>IFERROR(VLOOKUP($B18,calc_data,K$14+1,0),0)</f>
        <v/>
      </c>
      <c r="L18" s="141">
        <f>IFERROR(VLOOKUP($B18,calc_data,L$14+1,0),0)</f>
        <v/>
      </c>
      <c r="M18" s="177">
        <f>IFERROR(VLOOKUP($B18,calc_data,M$14+1,0),0)</f>
        <v/>
      </c>
      <c r="N18" s="177">
        <f>IFERROR(VLOOKUP($B18,calc_data,N$14+1,0),0)</f>
        <v/>
      </c>
      <c r="O18" s="45" t="n"/>
      <c r="Q18" s="57">
        <f>IF(K18&gt;0,"показать","скрыть")</f>
        <v/>
      </c>
    </row>
    <row r="19" ht="15.75" customHeight="1">
      <c r="B19" s="182" t="n">
        <v>3</v>
      </c>
      <c r="C19" s="182">
        <f>IFERROR(VLOOKUP($B19,calc_data,C$14+1,0),0)</f>
        <v/>
      </c>
      <c r="D19" s="182">
        <f>IFERROR(VLOOKUP($B19,calc_data,D$14+1,0),0)</f>
        <v/>
      </c>
      <c r="E19" s="183">
        <f>IFERROR(VLOOKUP($B19,calc_data,E$14+1,0),0)</f>
        <v/>
      </c>
      <c r="F19" s="182">
        <f>IFERROR(VLOOKUP($B19,calc_data,F$14+1,0),0)</f>
        <v/>
      </c>
      <c r="G19" s="141">
        <f>IFERROR(VLOOKUP($B19,calc_data,G$14+1,0),0)</f>
        <v/>
      </c>
      <c r="H19" s="141">
        <f>IFERROR(VLOOKUP($B19,calc_data,H$14+1,0),0)</f>
        <v/>
      </c>
      <c r="I19" s="142">
        <f>IFERROR(VLOOKUP($B19,calc_data,I$14+1,0),0)</f>
        <v/>
      </c>
      <c r="J19" s="141">
        <f>IFERROR(VLOOKUP($B19,calc_data,J$14+1,0),0)</f>
        <v/>
      </c>
      <c r="K19" s="141">
        <f>IFERROR(VLOOKUP($B19,calc_data,K$14+1,0),0)</f>
        <v/>
      </c>
      <c r="L19" s="141">
        <f>IFERROR(VLOOKUP($B19,calc_data,L$14+1,0),0)</f>
        <v/>
      </c>
      <c r="M19" s="177">
        <f>IFERROR(VLOOKUP($B19,calc_data,M$14+1,0),0)</f>
        <v/>
      </c>
      <c r="N19" s="177">
        <f>IFERROR(VLOOKUP($B19,calc_data,N$14+1,0),0)</f>
        <v/>
      </c>
      <c r="O19" s="45" t="n"/>
      <c r="Q19" s="57">
        <f>IF(K19&gt;0,"показать","скрыть")</f>
        <v/>
      </c>
    </row>
    <row r="20" ht="15.75" customHeight="1">
      <c r="B20" s="182" t="n">
        <v>4</v>
      </c>
      <c r="C20" s="182">
        <f>IFERROR(VLOOKUP($B20,calc_data,C$14+1,0),0)</f>
        <v/>
      </c>
      <c r="D20" s="182">
        <f>IFERROR(VLOOKUP($B20,calc_data,D$14+1,0),0)</f>
        <v/>
      </c>
      <c r="E20" s="183">
        <f>IFERROR(VLOOKUP($B20,calc_data,E$14+1,0),0)</f>
        <v/>
      </c>
      <c r="F20" s="182">
        <f>IFERROR(VLOOKUP($B20,calc_data,F$14+1,0),0)</f>
        <v/>
      </c>
      <c r="G20" s="141">
        <f>IFERROR(VLOOKUP($B20,calc_data,G$14+1,0),0)</f>
        <v/>
      </c>
      <c r="H20" s="141">
        <f>IFERROR(VLOOKUP($B20,calc_data,H$14+1,0),0)</f>
        <v/>
      </c>
      <c r="I20" s="142">
        <f>IFERROR(VLOOKUP($B20,calc_data,I$14+1,0),0)</f>
        <v/>
      </c>
      <c r="J20" s="141">
        <f>IFERROR(VLOOKUP($B20,calc_data,J$14+1,0),0)</f>
        <v/>
      </c>
      <c r="K20" s="141">
        <f>IFERROR(VLOOKUP($B20,calc_data,K$14+1,0),0)</f>
        <v/>
      </c>
      <c r="L20" s="141">
        <f>IFERROR(VLOOKUP($B20,calc_data,L$14+1,0),0)</f>
        <v/>
      </c>
      <c r="M20" s="177">
        <f>IFERROR(VLOOKUP($B20,calc_data,M$14+1,0),0)</f>
        <v/>
      </c>
      <c r="N20" s="177">
        <f>IFERROR(VLOOKUP($B20,calc_data,N$14+1,0),0)</f>
        <v/>
      </c>
      <c r="O20" s="45" t="n"/>
      <c r="Q20" s="57">
        <f>IF(K20&gt;0,"показать","скрыть")</f>
        <v/>
      </c>
    </row>
    <row r="21" ht="15.75" customHeight="1">
      <c r="B21" s="182" t="n">
        <v>5</v>
      </c>
      <c r="C21" s="182">
        <f>IFERROR(VLOOKUP($B21,calc_data,C$14+1,0),0)</f>
        <v/>
      </c>
      <c r="D21" s="182">
        <f>IFERROR(VLOOKUP($B21,calc_data,D$14+1,0),0)</f>
        <v/>
      </c>
      <c r="E21" s="183">
        <f>IFERROR(VLOOKUP($B21,calc_data,E$14+1,0),0)</f>
        <v/>
      </c>
      <c r="F21" s="182">
        <f>IFERROR(VLOOKUP($B21,calc_data,F$14+1,0),0)</f>
        <v/>
      </c>
      <c r="G21" s="141">
        <f>IFERROR(VLOOKUP($B21,calc_data,G$14+1,0),0)</f>
        <v/>
      </c>
      <c r="H21" s="141">
        <f>IFERROR(VLOOKUP($B21,calc_data,H$14+1,0),0)</f>
        <v/>
      </c>
      <c r="I21" s="142">
        <f>IFERROR(VLOOKUP($B21,calc_data,I$14+1,0),0)</f>
        <v/>
      </c>
      <c r="J21" s="141">
        <f>IFERROR(VLOOKUP($B21,calc_data,J$14+1,0),0)</f>
        <v/>
      </c>
      <c r="K21" s="141">
        <f>IFERROR(VLOOKUP($B21,calc_data,K$14+1,0),0)</f>
        <v/>
      </c>
      <c r="L21" s="141">
        <f>IFERROR(VLOOKUP($B21,calc_data,L$14+1,0),0)</f>
        <v/>
      </c>
      <c r="M21" s="177">
        <f>IFERROR(VLOOKUP($B21,calc_data,M$14+1,0),0)</f>
        <v/>
      </c>
      <c r="N21" s="177">
        <f>IFERROR(VLOOKUP($B21,calc_data,N$14+1,0),0)</f>
        <v/>
      </c>
      <c r="O21" s="45" t="n"/>
      <c r="Q21" s="57">
        <f>IF(K21&gt;0,"показать","скрыть")</f>
        <v/>
      </c>
    </row>
    <row r="22" ht="15.75" customHeight="1">
      <c r="B22" s="182" t="n">
        <v>6</v>
      </c>
      <c r="C22" s="182">
        <f>IFERROR(VLOOKUP($B22,calc_data,C$14+1,0),0)</f>
        <v/>
      </c>
      <c r="D22" s="182">
        <f>IFERROR(VLOOKUP($B22,calc_data,D$14+1,0),0)</f>
        <v/>
      </c>
      <c r="E22" s="183">
        <f>IFERROR(VLOOKUP($B22,calc_data,E$14+1,0),0)</f>
        <v/>
      </c>
      <c r="F22" s="182">
        <f>IFERROR(VLOOKUP($B22,calc_data,F$14+1,0),0)</f>
        <v/>
      </c>
      <c r="G22" s="141">
        <f>IFERROR(VLOOKUP($B22,calc_data,G$14+1,0),0)</f>
        <v/>
      </c>
      <c r="H22" s="141">
        <f>IFERROR(VLOOKUP($B22,calc_data,H$14+1,0),0)</f>
        <v/>
      </c>
      <c r="I22" s="142">
        <f>IFERROR(VLOOKUP($B22,calc_data,I$14+1,0),0)</f>
        <v/>
      </c>
      <c r="J22" s="141">
        <f>IFERROR(VLOOKUP($B22,calc_data,J$14+1,0),0)</f>
        <v/>
      </c>
      <c r="K22" s="141">
        <f>IFERROR(VLOOKUP($B22,calc_data,K$14+1,0),0)</f>
        <v/>
      </c>
      <c r="L22" s="141">
        <f>IFERROR(VLOOKUP($B22,calc_data,L$14+1,0),0)</f>
        <v/>
      </c>
      <c r="M22" s="177">
        <f>IFERROR(VLOOKUP($B22,calc_data,M$14+1,0),0)</f>
        <v/>
      </c>
      <c r="N22" s="177">
        <f>IFERROR(VLOOKUP($B22,calc_data,N$14+1,0),0)</f>
        <v/>
      </c>
      <c r="O22" s="45" t="n"/>
      <c r="Q22" s="57">
        <f>IF(K22&gt;0,"показать","скрыть")</f>
        <v/>
      </c>
    </row>
    <row r="23" ht="15.75" customHeight="1">
      <c r="B23" s="182" t="n">
        <v>7</v>
      </c>
      <c r="C23" s="182">
        <f>IFERROR(VLOOKUP($B23,calc_data,C$14+1,0),0)</f>
        <v/>
      </c>
      <c r="D23" s="182">
        <f>IFERROR(VLOOKUP($B23,calc_data,D$14+1,0),0)</f>
        <v/>
      </c>
      <c r="E23" s="183">
        <f>IFERROR(VLOOKUP($B23,calc_data,E$14+1,0),0)</f>
        <v/>
      </c>
      <c r="F23" s="182">
        <f>IFERROR(VLOOKUP($B23,calc_data,F$14+1,0),0)</f>
        <v/>
      </c>
      <c r="G23" s="141">
        <f>IFERROR(VLOOKUP($B23,calc_data,G$14+1,0),0)</f>
        <v/>
      </c>
      <c r="H23" s="141">
        <f>IFERROR(VLOOKUP($B23,calc_data,H$14+1,0),0)</f>
        <v/>
      </c>
      <c r="I23" s="142">
        <f>IFERROR(VLOOKUP($B23,calc_data,I$14+1,0),0)</f>
        <v/>
      </c>
      <c r="J23" s="141">
        <f>IFERROR(VLOOKUP($B23,calc_data,J$14+1,0),0)</f>
        <v/>
      </c>
      <c r="K23" s="141">
        <f>IFERROR(VLOOKUP($B23,calc_data,K$14+1,0),0)</f>
        <v/>
      </c>
      <c r="L23" s="141">
        <f>IFERROR(VLOOKUP($B23,calc_data,L$14+1,0),0)</f>
        <v/>
      </c>
      <c r="M23" s="177">
        <f>IFERROR(VLOOKUP($B23,calc_data,M$14+1,0),0)</f>
        <v/>
      </c>
      <c r="N23" s="177">
        <f>IFERROR(VLOOKUP($B23,calc_data,N$14+1,0),0)</f>
        <v/>
      </c>
      <c r="O23" s="45" t="n"/>
      <c r="Q23" s="57">
        <f>IF(K23&gt;0,"показать","скрыть")</f>
        <v/>
      </c>
    </row>
    <row r="24" ht="15.75" customHeight="1">
      <c r="B24" s="182" t="n">
        <v>8</v>
      </c>
      <c r="C24" s="182">
        <f>IFERROR(VLOOKUP($B24,calc_data,C$14+1,0),0)</f>
        <v/>
      </c>
      <c r="D24" s="182">
        <f>IFERROR(VLOOKUP($B24,calc_data,D$14+1,0),0)</f>
        <v/>
      </c>
      <c r="E24" s="183">
        <f>IFERROR(VLOOKUP($B24,calc_data,E$14+1,0),0)</f>
        <v/>
      </c>
      <c r="F24" s="182">
        <f>IFERROR(VLOOKUP($B24,calc_data,F$14+1,0),0)</f>
        <v/>
      </c>
      <c r="G24" s="141">
        <f>IFERROR(VLOOKUP($B24,calc_data,G$14+1,0),0)</f>
        <v/>
      </c>
      <c r="H24" s="141">
        <f>IFERROR(VLOOKUP($B24,calc_data,H$14+1,0),0)</f>
        <v/>
      </c>
      <c r="I24" s="142">
        <f>IFERROR(VLOOKUP($B24,calc_data,I$14+1,0),0)</f>
        <v/>
      </c>
      <c r="J24" s="141">
        <f>IFERROR(VLOOKUP($B24,calc_data,J$14+1,0),0)</f>
        <v/>
      </c>
      <c r="K24" s="141">
        <f>IFERROR(VLOOKUP($B24,calc_data,K$14+1,0),0)</f>
        <v/>
      </c>
      <c r="L24" s="141">
        <f>IFERROR(VLOOKUP($B24,calc_data,L$14+1,0),0)</f>
        <v/>
      </c>
      <c r="M24" s="177">
        <f>IFERROR(VLOOKUP($B24,calc_data,M$14+1,0),0)</f>
        <v/>
      </c>
      <c r="N24" s="177">
        <f>IFERROR(VLOOKUP($B24,calc_data,N$14+1,0),0)</f>
        <v/>
      </c>
      <c r="O24" s="45" t="n"/>
      <c r="Q24" s="57">
        <f>IF(K24&gt;0,"показать","скрыть")</f>
        <v/>
      </c>
    </row>
    <row r="25" ht="15.75" customHeight="1">
      <c r="B25" s="182" t="n">
        <v>9</v>
      </c>
      <c r="C25" s="182">
        <f>IFERROR(VLOOKUP($B25,calc_data,C$14+1,0),0)</f>
        <v/>
      </c>
      <c r="D25" s="182">
        <f>IFERROR(VLOOKUP($B25,calc_data,D$14+1,0),0)</f>
        <v/>
      </c>
      <c r="E25" s="183">
        <f>IFERROR(VLOOKUP($B25,calc_data,E$14+1,0),0)</f>
        <v/>
      </c>
      <c r="F25" s="182">
        <f>IFERROR(VLOOKUP($B25,calc_data,F$14+1,0),0)</f>
        <v/>
      </c>
      <c r="G25" s="141">
        <f>IFERROR(VLOOKUP($B25,calc_data,G$14+1,0),0)</f>
        <v/>
      </c>
      <c r="H25" s="141">
        <f>IFERROR(VLOOKUP($B25,calc_data,H$14+1,0),0)</f>
        <v/>
      </c>
      <c r="I25" s="142">
        <f>IFERROR(VLOOKUP($B25,calc_data,I$14+1,0),0)</f>
        <v/>
      </c>
      <c r="J25" s="141">
        <f>IFERROR(VLOOKUP($B25,calc_data,J$14+1,0),0)</f>
        <v/>
      </c>
      <c r="K25" s="141">
        <f>IFERROR(VLOOKUP($B25,calc_data,K$14+1,0),0)</f>
        <v/>
      </c>
      <c r="L25" s="141">
        <f>IFERROR(VLOOKUP($B25,calc_data,L$14+1,0),0)</f>
        <v/>
      </c>
      <c r="M25" s="177">
        <f>IFERROR(VLOOKUP($B25,calc_data,M$14+1,0),0)</f>
        <v/>
      </c>
      <c r="N25" s="177">
        <f>IFERROR(VLOOKUP($B25,calc_data,N$14+1,0),0)</f>
        <v/>
      </c>
      <c r="O25" s="45" t="n"/>
      <c r="Q25" s="57">
        <f>IF(K25&gt;0,"показать","скрыть")</f>
        <v/>
      </c>
    </row>
    <row r="26" ht="15.75" customHeight="1">
      <c r="B26" s="182" t="n">
        <v>10</v>
      </c>
      <c r="C26" s="182">
        <f>IFERROR(VLOOKUP($B26,calc_data,C$14+1,0),0)</f>
        <v/>
      </c>
      <c r="D26" s="182">
        <f>IFERROR(VLOOKUP($B26,calc_data,D$14+1,0),0)</f>
        <v/>
      </c>
      <c r="E26" s="183">
        <f>IFERROR(VLOOKUP($B26,calc_data,E$14+1,0),0)</f>
        <v/>
      </c>
      <c r="F26" s="182">
        <f>IFERROR(VLOOKUP($B26,calc_data,F$14+1,0),0)</f>
        <v/>
      </c>
      <c r="G26" s="141">
        <f>IFERROR(VLOOKUP($B26,calc_data,G$14+1,0),0)</f>
        <v/>
      </c>
      <c r="H26" s="141">
        <f>IFERROR(VLOOKUP($B26,calc_data,H$14+1,0),0)</f>
        <v/>
      </c>
      <c r="I26" s="142">
        <f>IFERROR(VLOOKUP($B26,calc_data,I$14+1,0),0)</f>
        <v/>
      </c>
      <c r="J26" s="141">
        <f>IFERROR(VLOOKUP($B26,calc_data,J$14+1,0),0)</f>
        <v/>
      </c>
      <c r="K26" s="141">
        <f>IFERROR(VLOOKUP($B26,calc_data,K$14+1,0),0)</f>
        <v/>
      </c>
      <c r="L26" s="141">
        <f>IFERROR(VLOOKUP($B26,calc_data,L$14+1,0),0)</f>
        <v/>
      </c>
      <c r="M26" s="177">
        <f>IFERROR(VLOOKUP($B26,calc_data,M$14+1,0),0)</f>
        <v/>
      </c>
      <c r="N26" s="177">
        <f>IFERROR(VLOOKUP($B26,calc_data,N$14+1,0),0)</f>
        <v/>
      </c>
      <c r="O26" s="45" t="n"/>
      <c r="Q26" s="57">
        <f>IF(K26&gt;0,"показать","скрыть")</f>
        <v/>
      </c>
    </row>
    <row r="27" ht="15.75" customHeight="1">
      <c r="B27" s="182" t="n">
        <v>11</v>
      </c>
      <c r="C27" s="182">
        <f>IFERROR(VLOOKUP($B27,calc_data,C$14+1,0),0)</f>
        <v/>
      </c>
      <c r="D27" s="182">
        <f>IFERROR(VLOOKUP($B27,calc_data,D$14+1,0),0)</f>
        <v/>
      </c>
      <c r="E27" s="183">
        <f>IFERROR(VLOOKUP($B27,calc_data,E$14+1,0),0)</f>
        <v/>
      </c>
      <c r="F27" s="182">
        <f>IFERROR(VLOOKUP($B27,calc_data,F$14+1,0),0)</f>
        <v/>
      </c>
      <c r="G27" s="141">
        <f>IFERROR(VLOOKUP($B27,calc_data,G$14+1,0),0)</f>
        <v/>
      </c>
      <c r="H27" s="141">
        <f>IFERROR(VLOOKUP($B27,calc_data,H$14+1,0),0)</f>
        <v/>
      </c>
      <c r="I27" s="142">
        <f>IFERROR(VLOOKUP($B27,calc_data,I$14+1,0),0)</f>
        <v/>
      </c>
      <c r="J27" s="141">
        <f>IFERROR(VLOOKUP($B27,calc_data,J$14+1,0),0)</f>
        <v/>
      </c>
      <c r="K27" s="141">
        <f>IFERROR(VLOOKUP($B27,calc_data,K$14+1,0),0)</f>
        <v/>
      </c>
      <c r="L27" s="141">
        <f>IFERROR(VLOOKUP($B27,calc_data,L$14+1,0),0)</f>
        <v/>
      </c>
      <c r="M27" s="177">
        <f>IFERROR(VLOOKUP($B27,calc_data,M$14+1,0),0)</f>
        <v/>
      </c>
      <c r="N27" s="177">
        <f>IFERROR(VLOOKUP($B27,calc_data,N$14+1,0),0)</f>
        <v/>
      </c>
      <c r="O27" s="45" t="n"/>
      <c r="Q27" s="57">
        <f>IF(K27&gt;0,"показать","скрыть")</f>
        <v/>
      </c>
    </row>
    <row r="28" ht="15.75" customHeight="1">
      <c r="B28" s="182" t="n">
        <v>12</v>
      </c>
      <c r="C28" s="182">
        <f>IFERROR(VLOOKUP($B28,calc_data,C$14+1,0),0)</f>
        <v/>
      </c>
      <c r="D28" s="182">
        <f>IFERROR(VLOOKUP($B28,calc_data,D$14+1,0),0)</f>
        <v/>
      </c>
      <c r="E28" s="183">
        <f>IFERROR(VLOOKUP($B28,calc_data,E$14+1,0),0)</f>
        <v/>
      </c>
      <c r="F28" s="182">
        <f>IFERROR(VLOOKUP($B28,calc_data,F$14+1,0),0)</f>
        <v/>
      </c>
      <c r="G28" s="141">
        <f>IFERROR(VLOOKUP($B28,calc_data,G$14+1,0),0)</f>
        <v/>
      </c>
      <c r="H28" s="141">
        <f>IFERROR(VLOOKUP($B28,calc_data,H$14+1,0),0)</f>
        <v/>
      </c>
      <c r="I28" s="142">
        <f>IFERROR(VLOOKUP($B28,calc_data,I$14+1,0),0)</f>
        <v/>
      </c>
      <c r="J28" s="141">
        <f>IFERROR(VLOOKUP($B28,calc_data,J$14+1,0),0)</f>
        <v/>
      </c>
      <c r="K28" s="141">
        <f>IFERROR(VLOOKUP($B28,calc_data,K$14+1,0),0)</f>
        <v/>
      </c>
      <c r="L28" s="141">
        <f>IFERROR(VLOOKUP($B28,calc_data,L$14+1,0),0)</f>
        <v/>
      </c>
      <c r="M28" s="177">
        <f>IFERROR(VLOOKUP($B28,calc_data,M$14+1,0),0)</f>
        <v/>
      </c>
      <c r="N28" s="177">
        <f>IFERROR(VLOOKUP($B28,calc_data,N$14+1,0),0)</f>
        <v/>
      </c>
      <c r="O28" s="45" t="n"/>
      <c r="Q28" s="57">
        <f>IF(K28&gt;0,"показать","скрыть")</f>
        <v/>
      </c>
    </row>
    <row r="29" ht="15.75" customHeight="1">
      <c r="B29" s="182" t="n">
        <v>13</v>
      </c>
      <c r="C29" s="182">
        <f>IFERROR(VLOOKUP($B29,calc_data,C$14+1,0),0)</f>
        <v/>
      </c>
      <c r="D29" s="182">
        <f>IFERROR(VLOOKUP($B29,calc_data,D$14+1,0),0)</f>
        <v/>
      </c>
      <c r="E29" s="183">
        <f>IFERROR(VLOOKUP($B29,calc_data,E$14+1,0),0)</f>
        <v/>
      </c>
      <c r="F29" s="182">
        <f>IFERROR(VLOOKUP($B29,calc_data,F$14+1,0),0)</f>
        <v/>
      </c>
      <c r="G29" s="141">
        <f>IFERROR(VLOOKUP($B29,calc_data,G$14+1,0),0)</f>
        <v/>
      </c>
      <c r="H29" s="141">
        <f>IFERROR(VLOOKUP($B29,calc_data,H$14+1,0),0)</f>
        <v/>
      </c>
      <c r="I29" s="142">
        <f>IFERROR(VLOOKUP($B29,calc_data,I$14+1,0),0)</f>
        <v/>
      </c>
      <c r="J29" s="141">
        <f>IFERROR(VLOOKUP($B29,calc_data,J$14+1,0),0)</f>
        <v/>
      </c>
      <c r="K29" s="141">
        <f>IFERROR(VLOOKUP($B29,calc_data,K$14+1,0),0)</f>
        <v/>
      </c>
      <c r="L29" s="141">
        <f>IFERROR(VLOOKUP($B29,calc_data,L$14+1,0),0)</f>
        <v/>
      </c>
      <c r="M29" s="177">
        <f>IFERROR(VLOOKUP($B29,calc_data,M$14+1,0),0)</f>
        <v/>
      </c>
      <c r="N29" s="177">
        <f>IFERROR(VLOOKUP($B29,calc_data,N$14+1,0),0)</f>
        <v/>
      </c>
      <c r="O29" s="45" t="n"/>
      <c r="Q29" s="57">
        <f>IF(K29&gt;0,"показать","скрыть")</f>
        <v/>
      </c>
    </row>
    <row r="30" ht="15.75" customHeight="1">
      <c r="B30" s="182" t="n">
        <v>14</v>
      </c>
      <c r="C30" s="182">
        <f>IFERROR(VLOOKUP($B30,calc_data,C$14+1,0),0)</f>
        <v/>
      </c>
      <c r="D30" s="182">
        <f>IFERROR(VLOOKUP($B30,calc_data,D$14+1,0),0)</f>
        <v/>
      </c>
      <c r="E30" s="183">
        <f>IFERROR(VLOOKUP($B30,calc_data,E$14+1,0),0)</f>
        <v/>
      </c>
      <c r="F30" s="182">
        <f>IFERROR(VLOOKUP($B30,calc_data,F$14+1,0),0)</f>
        <v/>
      </c>
      <c r="G30" s="141">
        <f>IFERROR(VLOOKUP($B30,calc_data,G$14+1,0),0)</f>
        <v/>
      </c>
      <c r="H30" s="141">
        <f>IFERROR(VLOOKUP($B30,calc_data,H$14+1,0),0)</f>
        <v/>
      </c>
      <c r="I30" s="142">
        <f>IFERROR(VLOOKUP($B30,calc_data,I$14+1,0),0)</f>
        <v/>
      </c>
      <c r="J30" s="141">
        <f>IFERROR(VLOOKUP($B30,calc_data,J$14+1,0),0)</f>
        <v/>
      </c>
      <c r="K30" s="141">
        <f>IFERROR(VLOOKUP($B30,calc_data,K$14+1,0),0)</f>
        <v/>
      </c>
      <c r="L30" s="141">
        <f>IFERROR(VLOOKUP($B30,calc_data,L$14+1,0),0)</f>
        <v/>
      </c>
      <c r="M30" s="177">
        <f>IFERROR(VLOOKUP($B30,calc_data,M$14+1,0),0)</f>
        <v/>
      </c>
      <c r="N30" s="177">
        <f>IFERROR(VLOOKUP($B30,calc_data,N$14+1,0),0)</f>
        <v/>
      </c>
      <c r="O30" s="45" t="n"/>
      <c r="Q30" s="57">
        <f>IF(K30&gt;0,"показать","скрыть")</f>
        <v/>
      </c>
    </row>
    <row r="31" ht="15.75" customHeight="1">
      <c r="B31" s="182" t="n">
        <v>15</v>
      </c>
      <c r="C31" s="182">
        <f>IFERROR(VLOOKUP($B31,calc_data,C$14+1,0),0)</f>
        <v/>
      </c>
      <c r="D31" s="182">
        <f>IFERROR(VLOOKUP($B31,calc_data,D$14+1,0),0)</f>
        <v/>
      </c>
      <c r="E31" s="183">
        <f>IFERROR(VLOOKUP($B31,calc_data,E$14+1,0),0)</f>
        <v/>
      </c>
      <c r="F31" s="182">
        <f>IFERROR(VLOOKUP($B31,calc_data,F$14+1,0),0)</f>
        <v/>
      </c>
      <c r="G31" s="141">
        <f>IFERROR(VLOOKUP($B31,calc_data,G$14+1,0),0)</f>
        <v/>
      </c>
      <c r="H31" s="141">
        <f>IFERROR(VLOOKUP($B31,calc_data,H$14+1,0),0)</f>
        <v/>
      </c>
      <c r="I31" s="142">
        <f>IFERROR(VLOOKUP($B31,calc_data,I$14+1,0),0)</f>
        <v/>
      </c>
      <c r="J31" s="141">
        <f>IFERROR(VLOOKUP($B31,calc_data,J$14+1,0),0)</f>
        <v/>
      </c>
      <c r="K31" s="141">
        <f>IFERROR(VLOOKUP($B31,calc_data,K$14+1,0),0)</f>
        <v/>
      </c>
      <c r="L31" s="141">
        <f>IFERROR(VLOOKUP($B31,calc_data,L$14+1,0),0)</f>
        <v/>
      </c>
      <c r="M31" s="177">
        <f>IFERROR(VLOOKUP($B31,calc_data,M$14+1,0),0)</f>
        <v/>
      </c>
      <c r="N31" s="177">
        <f>IFERROR(VLOOKUP($B31,calc_data,N$14+1,0),0)</f>
        <v/>
      </c>
      <c r="O31" s="45" t="n"/>
      <c r="Q31" s="57">
        <f>IF(K31&gt;0,"показать","скрыть")</f>
        <v/>
      </c>
    </row>
    <row r="32" ht="15.75" customHeight="1">
      <c r="B32" s="182" t="n">
        <v>16</v>
      </c>
      <c r="C32" s="182">
        <f>IFERROR(VLOOKUP($B32,calc_data,C$14+1,0),0)</f>
        <v/>
      </c>
      <c r="D32" s="182">
        <f>IFERROR(VLOOKUP($B32,calc_data,D$14+1,0),0)</f>
        <v/>
      </c>
      <c r="E32" s="183">
        <f>IFERROR(VLOOKUP($B32,calc_data,E$14+1,0),0)</f>
        <v/>
      </c>
      <c r="F32" s="182">
        <f>IFERROR(VLOOKUP($B32,calc_data,F$14+1,0),0)</f>
        <v/>
      </c>
      <c r="G32" s="141">
        <f>IFERROR(VLOOKUP($B32,calc_data,G$14+1,0),0)</f>
        <v/>
      </c>
      <c r="H32" s="141">
        <f>IFERROR(VLOOKUP($B32,calc_data,H$14+1,0),0)</f>
        <v/>
      </c>
      <c r="I32" s="142">
        <f>IFERROR(VLOOKUP($B32,calc_data,I$14+1,0),0)</f>
        <v/>
      </c>
      <c r="J32" s="141">
        <f>IFERROR(VLOOKUP($B32,calc_data,J$14+1,0),0)</f>
        <v/>
      </c>
      <c r="K32" s="141">
        <f>IFERROR(VLOOKUP($B32,calc_data,K$14+1,0),0)</f>
        <v/>
      </c>
      <c r="L32" s="141">
        <f>IFERROR(VLOOKUP($B32,calc_data,L$14+1,0),0)</f>
        <v/>
      </c>
      <c r="M32" s="177">
        <f>IFERROR(VLOOKUP($B32,calc_data,M$14+1,0),0)</f>
        <v/>
      </c>
      <c r="N32" s="177">
        <f>IFERROR(VLOOKUP($B32,calc_data,N$14+1,0),0)</f>
        <v/>
      </c>
      <c r="O32" s="45" t="n"/>
      <c r="Q32" s="57">
        <f>IF(K32&gt;0,"показать","скрыть")</f>
        <v/>
      </c>
    </row>
    <row r="33" ht="15.75" customHeight="1">
      <c r="B33" s="182" t="n">
        <v>17</v>
      </c>
      <c r="C33" s="182">
        <f>IFERROR(VLOOKUP($B33,calc_data,C$14+1,0),0)</f>
        <v/>
      </c>
      <c r="D33" s="182">
        <f>IFERROR(VLOOKUP($B33,calc_data,D$14+1,0),0)</f>
        <v/>
      </c>
      <c r="E33" s="183">
        <f>IFERROR(VLOOKUP($B33,calc_data,E$14+1,0),0)</f>
        <v/>
      </c>
      <c r="F33" s="182">
        <f>IFERROR(VLOOKUP($B33,calc_data,F$14+1,0),0)</f>
        <v/>
      </c>
      <c r="G33" s="141">
        <f>IFERROR(VLOOKUP($B33,calc_data,G$14+1,0),0)</f>
        <v/>
      </c>
      <c r="H33" s="141">
        <f>IFERROR(VLOOKUP($B33,calc_data,H$14+1,0),0)</f>
        <v/>
      </c>
      <c r="I33" s="142">
        <f>IFERROR(VLOOKUP($B33,calc_data,I$14+1,0),0)</f>
        <v/>
      </c>
      <c r="J33" s="141">
        <f>IFERROR(VLOOKUP($B33,calc_data,J$14+1,0),0)</f>
        <v/>
      </c>
      <c r="K33" s="141">
        <f>IFERROR(VLOOKUP($B33,calc_data,K$14+1,0),0)</f>
        <v/>
      </c>
      <c r="L33" s="141">
        <f>IFERROR(VLOOKUP($B33,calc_data,L$14+1,0),0)</f>
        <v/>
      </c>
      <c r="M33" s="177">
        <f>IFERROR(VLOOKUP($B33,calc_data,M$14+1,0),0)</f>
        <v/>
      </c>
      <c r="N33" s="177">
        <f>IFERROR(VLOOKUP($B33,calc_data,N$14+1,0),0)</f>
        <v/>
      </c>
      <c r="O33" s="45" t="n"/>
      <c r="Q33" s="57">
        <f>IF(K33&gt;0,"показать","скрыть")</f>
        <v/>
      </c>
    </row>
    <row r="34" ht="15.75" customHeight="1">
      <c r="B34" s="182" t="n">
        <v>18</v>
      </c>
      <c r="C34" s="182">
        <f>IFERROR(VLOOKUP($B34,calc_data,C$14+1,0),0)</f>
        <v/>
      </c>
      <c r="D34" s="182">
        <f>IFERROR(VLOOKUP($B34,calc_data,D$14+1,0),0)</f>
        <v/>
      </c>
      <c r="E34" s="183">
        <f>IFERROR(VLOOKUP($B34,calc_data,E$14+1,0),0)</f>
        <v/>
      </c>
      <c r="F34" s="182">
        <f>IFERROR(VLOOKUP($B34,calc_data,F$14+1,0),0)</f>
        <v/>
      </c>
      <c r="G34" s="141">
        <f>IFERROR(VLOOKUP($B34,calc_data,G$14+1,0),0)</f>
        <v/>
      </c>
      <c r="H34" s="141">
        <f>IFERROR(VLOOKUP($B34,calc_data,H$14+1,0),0)</f>
        <v/>
      </c>
      <c r="I34" s="142">
        <f>IFERROR(VLOOKUP($B34,calc_data,I$14+1,0),0)</f>
        <v/>
      </c>
      <c r="J34" s="141">
        <f>IFERROR(VLOOKUP($B34,calc_data,J$14+1,0),0)</f>
        <v/>
      </c>
      <c r="K34" s="141">
        <f>IFERROR(VLOOKUP($B34,calc_data,K$14+1,0),0)</f>
        <v/>
      </c>
      <c r="L34" s="141">
        <f>IFERROR(VLOOKUP($B34,calc_data,L$14+1,0),0)</f>
        <v/>
      </c>
      <c r="M34" s="177">
        <f>IFERROR(VLOOKUP($B34,calc_data,M$14+1,0),0)</f>
        <v/>
      </c>
      <c r="N34" s="177">
        <f>IFERROR(VLOOKUP($B34,calc_data,N$14+1,0),0)</f>
        <v/>
      </c>
      <c r="O34" s="45" t="n"/>
      <c r="Q34" s="57">
        <f>IF(K34&gt;0,"показать","скрыть")</f>
        <v/>
      </c>
    </row>
    <row r="35" ht="15.75" customHeight="1">
      <c r="B35" s="182" t="n">
        <v>19</v>
      </c>
      <c r="C35" s="182">
        <f>IFERROR(VLOOKUP($B35,calc_data,C$14+1,0),0)</f>
        <v/>
      </c>
      <c r="D35" s="182">
        <f>IFERROR(VLOOKUP($B35,calc_data,D$14+1,0),0)</f>
        <v/>
      </c>
      <c r="E35" s="183">
        <f>IFERROR(VLOOKUP($B35,calc_data,E$14+1,0),0)</f>
        <v/>
      </c>
      <c r="F35" s="182">
        <f>IFERROR(VLOOKUP($B35,calc_data,F$14+1,0),0)</f>
        <v/>
      </c>
      <c r="G35" s="141">
        <f>IFERROR(VLOOKUP($B35,calc_data,G$14+1,0),0)</f>
        <v/>
      </c>
      <c r="H35" s="141">
        <f>IFERROR(VLOOKUP($B35,calc_data,H$14+1,0),0)</f>
        <v/>
      </c>
      <c r="I35" s="142">
        <f>IFERROR(VLOOKUP($B35,calc_data,I$14+1,0),0)</f>
        <v/>
      </c>
      <c r="J35" s="141">
        <f>IFERROR(VLOOKUP($B35,calc_data,J$14+1,0),0)</f>
        <v/>
      </c>
      <c r="K35" s="141">
        <f>IFERROR(VLOOKUP($B35,calc_data,K$14+1,0),0)</f>
        <v/>
      </c>
      <c r="L35" s="141">
        <f>IFERROR(VLOOKUP($B35,calc_data,L$14+1,0),0)</f>
        <v/>
      </c>
      <c r="M35" s="177">
        <f>IFERROR(VLOOKUP($B35,calc_data,M$14+1,0),0)</f>
        <v/>
      </c>
      <c r="N35" s="177">
        <f>IFERROR(VLOOKUP($B35,calc_data,N$14+1,0),0)</f>
        <v/>
      </c>
      <c r="O35" s="45" t="n"/>
      <c r="Q35" s="57">
        <f>IF(K35&gt;0,"показать","скрыть")</f>
        <v/>
      </c>
    </row>
    <row r="36" ht="15.75" customHeight="1">
      <c r="B36" s="182" t="n">
        <v>20</v>
      </c>
      <c r="C36" s="182">
        <f>IFERROR(VLOOKUP($B36,calc_data,C$14+1,0),0)</f>
        <v/>
      </c>
      <c r="D36" s="182">
        <f>IFERROR(VLOOKUP($B36,calc_data,D$14+1,0),0)</f>
        <v/>
      </c>
      <c r="E36" s="183">
        <f>IFERROR(VLOOKUP($B36,calc_data,E$14+1,0),0)</f>
        <v/>
      </c>
      <c r="F36" s="182">
        <f>IFERROR(VLOOKUP($B36,calc_data,F$14+1,0),0)</f>
        <v/>
      </c>
      <c r="G36" s="141">
        <f>IFERROR(VLOOKUP($B36,calc_data,G$14+1,0),0)</f>
        <v/>
      </c>
      <c r="H36" s="141">
        <f>IFERROR(VLOOKUP($B36,calc_data,H$14+1,0),0)</f>
        <v/>
      </c>
      <c r="I36" s="142">
        <f>IFERROR(VLOOKUP($B36,calc_data,I$14+1,0),0)</f>
        <v/>
      </c>
      <c r="J36" s="141">
        <f>IFERROR(VLOOKUP($B36,calc_data,J$14+1,0),0)</f>
        <v/>
      </c>
      <c r="K36" s="141">
        <f>IFERROR(VLOOKUP($B36,calc_data,K$14+1,0),0)</f>
        <v/>
      </c>
      <c r="L36" s="141">
        <f>IFERROR(VLOOKUP($B36,calc_data,L$14+1,0),0)</f>
        <v/>
      </c>
      <c r="M36" s="177">
        <f>IFERROR(VLOOKUP($B36,calc_data,M$14+1,0),0)</f>
        <v/>
      </c>
      <c r="N36" s="177">
        <f>IFERROR(VLOOKUP($B36,calc_data,N$14+1,0),0)</f>
        <v/>
      </c>
      <c r="O36" s="45" t="n"/>
      <c r="Q36" s="57">
        <f>IF(K36&gt;0,"показать","скрыть")</f>
        <v/>
      </c>
    </row>
    <row r="37" ht="15.75" customHeight="1">
      <c r="B37" s="182" t="n">
        <v>21</v>
      </c>
      <c r="C37" s="182">
        <f>IFERROR(VLOOKUP($B37,calc_data,C$14+1,0),0)</f>
        <v/>
      </c>
      <c r="D37" s="182">
        <f>IFERROR(VLOOKUP($B37,calc_data,D$14+1,0),0)</f>
        <v/>
      </c>
      <c r="E37" s="183">
        <f>IFERROR(VLOOKUP($B37,calc_data,E$14+1,0),0)</f>
        <v/>
      </c>
      <c r="F37" s="182">
        <f>IFERROR(VLOOKUP($B37,calc_data,F$14+1,0),0)</f>
        <v/>
      </c>
      <c r="G37" s="141">
        <f>IFERROR(VLOOKUP($B37,calc_data,G$14+1,0),0)</f>
        <v/>
      </c>
      <c r="H37" s="141">
        <f>IFERROR(VLOOKUP($B37,calc_data,H$14+1,0),0)</f>
        <v/>
      </c>
      <c r="I37" s="142">
        <f>IFERROR(VLOOKUP($B37,calc_data,I$14+1,0),0)</f>
        <v/>
      </c>
      <c r="J37" s="141">
        <f>IFERROR(VLOOKUP($B37,calc_data,J$14+1,0),0)</f>
        <v/>
      </c>
      <c r="K37" s="141">
        <f>IFERROR(VLOOKUP($B37,calc_data,K$14+1,0),0)</f>
        <v/>
      </c>
      <c r="L37" s="141">
        <f>IFERROR(VLOOKUP($B37,calc_data,L$14+1,0),0)</f>
        <v/>
      </c>
      <c r="M37" s="177">
        <f>IFERROR(VLOOKUP($B37,calc_data,M$14+1,0),0)</f>
        <v/>
      </c>
      <c r="N37" s="177">
        <f>IFERROR(VLOOKUP($B37,calc_data,N$14+1,0),0)</f>
        <v/>
      </c>
      <c r="O37" s="45" t="n"/>
      <c r="Q37" s="57">
        <f>IF(K37&gt;0,"показать","скрыть")</f>
        <v/>
      </c>
    </row>
    <row r="38" ht="15.75" customHeight="1">
      <c r="B38" s="182" t="n">
        <v>22</v>
      </c>
      <c r="C38" s="182">
        <f>IFERROR(VLOOKUP($B38,calc_data,C$14+1,0),0)</f>
        <v/>
      </c>
      <c r="D38" s="182">
        <f>IFERROR(VLOOKUP($B38,calc_data,D$14+1,0),0)</f>
        <v/>
      </c>
      <c r="E38" s="183">
        <f>IFERROR(VLOOKUP($B38,calc_data,E$14+1,0),0)</f>
        <v/>
      </c>
      <c r="F38" s="182">
        <f>IFERROR(VLOOKUP($B38,calc_data,F$14+1,0),0)</f>
        <v/>
      </c>
      <c r="G38" s="141">
        <f>IFERROR(VLOOKUP($B38,calc_data,G$14+1,0),0)</f>
        <v/>
      </c>
      <c r="H38" s="141">
        <f>IFERROR(VLOOKUP($B38,calc_data,H$14+1,0),0)</f>
        <v/>
      </c>
      <c r="I38" s="142">
        <f>IFERROR(VLOOKUP($B38,calc_data,I$14+1,0),0)</f>
        <v/>
      </c>
      <c r="J38" s="141">
        <f>IFERROR(VLOOKUP($B38,calc_data,J$14+1,0),0)</f>
        <v/>
      </c>
      <c r="K38" s="141">
        <f>IFERROR(VLOOKUP($B38,calc_data,K$14+1,0),0)</f>
        <v/>
      </c>
      <c r="L38" s="141">
        <f>IFERROR(VLOOKUP($B38,calc_data,L$14+1,0),0)</f>
        <v/>
      </c>
      <c r="M38" s="177">
        <f>IFERROR(VLOOKUP($B38,calc_data,M$14+1,0),0)</f>
        <v/>
      </c>
      <c r="N38" s="177">
        <f>IFERROR(VLOOKUP($B38,calc_data,N$14+1,0),0)</f>
        <v/>
      </c>
      <c r="O38" s="45" t="n"/>
      <c r="Q38" s="57">
        <f>IF(K38&gt;0,"показать","скрыть")</f>
        <v/>
      </c>
    </row>
    <row r="39" ht="15.75" customHeight="1">
      <c r="B39" s="182" t="n">
        <v>23</v>
      </c>
      <c r="C39" s="182">
        <f>IFERROR(VLOOKUP($B39,calc_data,C$14+1,0),0)</f>
        <v/>
      </c>
      <c r="D39" s="182">
        <f>IFERROR(VLOOKUP($B39,calc_data,D$14+1,0),0)</f>
        <v/>
      </c>
      <c r="E39" s="183">
        <f>IFERROR(VLOOKUP($B39,calc_data,E$14+1,0),0)</f>
        <v/>
      </c>
      <c r="F39" s="182">
        <f>IFERROR(VLOOKUP($B39,calc_data,F$14+1,0),0)</f>
        <v/>
      </c>
      <c r="G39" s="141">
        <f>IFERROR(VLOOKUP($B39,calc_data,G$14+1,0),0)</f>
        <v/>
      </c>
      <c r="H39" s="141">
        <f>IFERROR(VLOOKUP($B39,calc_data,H$14+1,0),0)</f>
        <v/>
      </c>
      <c r="I39" s="142">
        <f>IFERROR(VLOOKUP($B39,calc_data,I$14+1,0),0)</f>
        <v/>
      </c>
      <c r="J39" s="141">
        <f>IFERROR(VLOOKUP($B39,calc_data,J$14+1,0),0)</f>
        <v/>
      </c>
      <c r="K39" s="141">
        <f>IFERROR(VLOOKUP($B39,calc_data,K$14+1,0),0)</f>
        <v/>
      </c>
      <c r="L39" s="141">
        <f>IFERROR(VLOOKUP($B39,calc_data,L$14+1,0),0)</f>
        <v/>
      </c>
      <c r="M39" s="177">
        <f>IFERROR(VLOOKUP($B39,calc_data,M$14+1,0),0)</f>
        <v/>
      </c>
      <c r="N39" s="177">
        <f>IFERROR(VLOOKUP($B39,calc_data,N$14+1,0),0)</f>
        <v/>
      </c>
      <c r="O39" s="45" t="n"/>
      <c r="Q39" s="57">
        <f>IF(K39&gt;0,"показать","скрыть")</f>
        <v/>
      </c>
    </row>
    <row r="40" ht="15.75" customHeight="1">
      <c r="B40" s="182" t="n">
        <v>24</v>
      </c>
      <c r="C40" s="182">
        <f>IFERROR(VLOOKUP($B40,calc_data,C$14+1,0),0)</f>
        <v/>
      </c>
      <c r="D40" s="182">
        <f>IFERROR(VLOOKUP($B40,calc_data,D$14+1,0),0)</f>
        <v/>
      </c>
      <c r="E40" s="183">
        <f>IFERROR(VLOOKUP($B40,calc_data,E$14+1,0),0)</f>
        <v/>
      </c>
      <c r="F40" s="182">
        <f>IFERROR(VLOOKUP($B40,calc_data,F$14+1,0),0)</f>
        <v/>
      </c>
      <c r="G40" s="141">
        <f>IFERROR(VLOOKUP($B40,calc_data,G$14+1,0),0)</f>
        <v/>
      </c>
      <c r="H40" s="141">
        <f>IFERROR(VLOOKUP($B40,calc_data,H$14+1,0),0)</f>
        <v/>
      </c>
      <c r="I40" s="142">
        <f>IFERROR(VLOOKUP($B40,calc_data,I$14+1,0),0)</f>
        <v/>
      </c>
      <c r="J40" s="141">
        <f>IFERROR(VLOOKUP($B40,calc_data,J$14+1,0),0)</f>
        <v/>
      </c>
      <c r="K40" s="141">
        <f>IFERROR(VLOOKUP($B40,calc_data,K$14+1,0),0)</f>
        <v/>
      </c>
      <c r="L40" s="141">
        <f>IFERROR(VLOOKUP($B40,calc_data,L$14+1,0),0)</f>
        <v/>
      </c>
      <c r="M40" s="177">
        <f>IFERROR(VLOOKUP($B40,calc_data,M$14+1,0),0)</f>
        <v/>
      </c>
      <c r="N40" s="177">
        <f>IFERROR(VLOOKUP($B40,calc_data,N$14+1,0),0)</f>
        <v/>
      </c>
      <c r="O40" s="45" t="n"/>
      <c r="Q40" s="57">
        <f>IF(K40&gt;0,"показать","скрыть")</f>
        <v/>
      </c>
    </row>
    <row r="41" ht="15.75" customHeight="1">
      <c r="B41" s="182" t="n">
        <v>25</v>
      </c>
      <c r="C41" s="182">
        <f>IFERROR(VLOOKUP($B41,calc_data,C$14+1,0),0)</f>
        <v/>
      </c>
      <c r="D41" s="182">
        <f>IFERROR(VLOOKUP($B41,calc_data,D$14+1,0),0)</f>
        <v/>
      </c>
      <c r="E41" s="183">
        <f>IFERROR(VLOOKUP($B41,calc_data,E$14+1,0),0)</f>
        <v/>
      </c>
      <c r="F41" s="182">
        <f>IFERROR(VLOOKUP($B41,calc_data,F$14+1,0),0)</f>
        <v/>
      </c>
      <c r="G41" s="141">
        <f>IFERROR(VLOOKUP($B41,calc_data,G$14+1,0),0)</f>
        <v/>
      </c>
      <c r="H41" s="141">
        <f>IFERROR(VLOOKUP($B41,calc_data,H$14+1,0),0)</f>
        <v/>
      </c>
      <c r="I41" s="142">
        <f>IFERROR(VLOOKUP($B41,calc_data,I$14+1,0),0)</f>
        <v/>
      </c>
      <c r="J41" s="141">
        <f>IFERROR(VLOOKUP($B41,calc_data,J$14+1,0),0)</f>
        <v/>
      </c>
      <c r="K41" s="141">
        <f>IFERROR(VLOOKUP($B41,calc_data,K$14+1,0),0)</f>
        <v/>
      </c>
      <c r="L41" s="141">
        <f>IFERROR(VLOOKUP($B41,calc_data,L$14+1,0),0)</f>
        <v/>
      </c>
      <c r="M41" s="177">
        <f>IFERROR(VLOOKUP($B41,calc_data,M$14+1,0),0)</f>
        <v/>
      </c>
      <c r="N41" s="177">
        <f>IFERROR(VLOOKUP($B41,calc_data,N$14+1,0),0)</f>
        <v/>
      </c>
      <c r="O41" s="45" t="n"/>
      <c r="Q41" s="57">
        <f>IF(K41&gt;0,"показать","скрыть")</f>
        <v/>
      </c>
    </row>
    <row r="42" ht="15.75" customHeight="1">
      <c r="B42" s="182" t="n">
        <v>26</v>
      </c>
      <c r="C42" s="182">
        <f>IFERROR(VLOOKUP($B42,calc_data,C$14+1,0),0)</f>
        <v/>
      </c>
      <c r="D42" s="182">
        <f>IFERROR(VLOOKUP($B42,calc_data,D$14+1,0),0)</f>
        <v/>
      </c>
      <c r="E42" s="183">
        <f>IFERROR(VLOOKUP($B42,calc_data,E$14+1,0),0)</f>
        <v/>
      </c>
      <c r="F42" s="182">
        <f>IFERROR(VLOOKUP($B42,calc_data,F$14+1,0),0)</f>
        <v/>
      </c>
      <c r="G42" s="141">
        <f>IFERROR(VLOOKUP($B42,calc_data,G$14+1,0),0)</f>
        <v/>
      </c>
      <c r="H42" s="141">
        <f>IFERROR(VLOOKUP($B42,calc_data,H$14+1,0),0)</f>
        <v/>
      </c>
      <c r="I42" s="142">
        <f>IFERROR(VLOOKUP($B42,calc_data,I$14+1,0),0)</f>
        <v/>
      </c>
      <c r="J42" s="141">
        <f>IFERROR(VLOOKUP($B42,calc_data,J$14+1,0),0)</f>
        <v/>
      </c>
      <c r="K42" s="141">
        <f>IFERROR(VLOOKUP($B42,calc_data,K$14+1,0),0)</f>
        <v/>
      </c>
      <c r="L42" s="141">
        <f>IFERROR(VLOOKUP($B42,calc_data,L$14+1,0),0)</f>
        <v/>
      </c>
      <c r="M42" s="177">
        <f>IFERROR(VLOOKUP($B42,calc_data,M$14+1,0),0)</f>
        <v/>
      </c>
      <c r="N42" s="177">
        <f>IFERROR(VLOOKUP($B42,calc_data,N$14+1,0),0)</f>
        <v/>
      </c>
      <c r="O42" s="45" t="n"/>
      <c r="Q42" s="57">
        <f>IF(K42&gt;0,"показать","скрыть")</f>
        <v/>
      </c>
    </row>
    <row r="43" ht="15.75" customHeight="1">
      <c r="B43" s="182" t="n">
        <v>27</v>
      </c>
      <c r="C43" s="182">
        <f>IFERROR(VLOOKUP($B43,calc_data,C$14+1,0),0)</f>
        <v/>
      </c>
      <c r="D43" s="182">
        <f>IFERROR(VLOOKUP($B43,calc_data,D$14+1,0),0)</f>
        <v/>
      </c>
      <c r="E43" s="183">
        <f>IFERROR(VLOOKUP($B43,calc_data,E$14+1,0),0)</f>
        <v/>
      </c>
      <c r="F43" s="182">
        <f>IFERROR(VLOOKUP($B43,calc_data,F$14+1,0),0)</f>
        <v/>
      </c>
      <c r="G43" s="141">
        <f>IFERROR(VLOOKUP($B43,calc_data,G$14+1,0),0)</f>
        <v/>
      </c>
      <c r="H43" s="141">
        <f>IFERROR(VLOOKUP($B43,calc_data,H$14+1,0),0)</f>
        <v/>
      </c>
      <c r="I43" s="142">
        <f>IFERROR(VLOOKUP($B43,calc_data,I$14+1,0),0)</f>
        <v/>
      </c>
      <c r="J43" s="141">
        <f>IFERROR(VLOOKUP($B43,calc_data,J$14+1,0),0)</f>
        <v/>
      </c>
      <c r="K43" s="141">
        <f>IFERROR(VLOOKUP($B43,calc_data,K$14+1,0),0)</f>
        <v/>
      </c>
      <c r="L43" s="141">
        <f>IFERROR(VLOOKUP($B43,calc_data,L$14+1,0),0)</f>
        <v/>
      </c>
      <c r="M43" s="177">
        <f>IFERROR(VLOOKUP($B43,calc_data,M$14+1,0),0)</f>
        <v/>
      </c>
      <c r="N43" s="177">
        <f>IFERROR(VLOOKUP($B43,calc_data,N$14+1,0),0)</f>
        <v/>
      </c>
      <c r="O43" s="45" t="n"/>
      <c r="Q43" s="57">
        <f>IF(K43&gt;0,"показать","скрыть")</f>
        <v/>
      </c>
    </row>
    <row r="44" ht="15.75" customHeight="1">
      <c r="B44" s="182" t="n">
        <v>28</v>
      </c>
      <c r="C44" s="182">
        <f>IFERROR(VLOOKUP($B44,calc_data,C$14+1,0),0)</f>
        <v/>
      </c>
      <c r="D44" s="182">
        <f>IFERROR(VLOOKUP($B44,calc_data,D$14+1,0),0)</f>
        <v/>
      </c>
      <c r="E44" s="183">
        <f>IFERROR(VLOOKUP($B44,calc_data,E$14+1,0),0)</f>
        <v/>
      </c>
      <c r="F44" s="182">
        <f>IFERROR(VLOOKUP($B44,calc_data,F$14+1,0),0)</f>
        <v/>
      </c>
      <c r="G44" s="141">
        <f>IFERROR(VLOOKUP($B44,calc_data,G$14+1,0),0)</f>
        <v/>
      </c>
      <c r="H44" s="141">
        <f>IFERROR(VLOOKUP($B44,calc_data,H$14+1,0),0)</f>
        <v/>
      </c>
      <c r="I44" s="142">
        <f>IFERROR(VLOOKUP($B44,calc_data,I$14+1,0),0)</f>
        <v/>
      </c>
      <c r="J44" s="141">
        <f>IFERROR(VLOOKUP($B44,calc_data,J$14+1,0),0)</f>
        <v/>
      </c>
      <c r="K44" s="141">
        <f>IFERROR(VLOOKUP($B44,calc_data,K$14+1,0),0)</f>
        <v/>
      </c>
      <c r="L44" s="141">
        <f>IFERROR(VLOOKUP($B44,calc_data,L$14+1,0),0)</f>
        <v/>
      </c>
      <c r="M44" s="177">
        <f>IFERROR(VLOOKUP($B44,calc_data,M$14+1,0),0)</f>
        <v/>
      </c>
      <c r="N44" s="177">
        <f>IFERROR(VLOOKUP($B44,calc_data,N$14+1,0),0)</f>
        <v/>
      </c>
      <c r="O44" s="45" t="n"/>
      <c r="Q44" s="57">
        <f>IF(K44&gt;0,"показать","скрыть")</f>
        <v/>
      </c>
    </row>
    <row r="45" ht="15.75" customHeight="1">
      <c r="B45" s="182" t="n">
        <v>29</v>
      </c>
      <c r="C45" s="182">
        <f>IFERROR(VLOOKUP($B45,calc_data,C$14+1,0),0)</f>
        <v/>
      </c>
      <c r="D45" s="182">
        <f>IFERROR(VLOOKUP($B45,calc_data,D$14+1,0),0)</f>
        <v/>
      </c>
      <c r="E45" s="183">
        <f>IFERROR(VLOOKUP($B45,calc_data,E$14+1,0),0)</f>
        <v/>
      </c>
      <c r="F45" s="182">
        <f>IFERROR(VLOOKUP($B45,calc_data,F$14+1,0),0)</f>
        <v/>
      </c>
      <c r="G45" s="141">
        <f>IFERROR(VLOOKUP($B45,calc_data,G$14+1,0),0)</f>
        <v/>
      </c>
      <c r="H45" s="141">
        <f>IFERROR(VLOOKUP($B45,calc_data,H$14+1,0),0)</f>
        <v/>
      </c>
      <c r="I45" s="142">
        <f>IFERROR(VLOOKUP($B45,calc_data,I$14+1,0),0)</f>
        <v/>
      </c>
      <c r="J45" s="141">
        <f>IFERROR(VLOOKUP($B45,calc_data,J$14+1,0),0)</f>
        <v/>
      </c>
      <c r="K45" s="141">
        <f>IFERROR(VLOOKUP($B45,calc_data,K$14+1,0),0)</f>
        <v/>
      </c>
      <c r="L45" s="141">
        <f>IFERROR(VLOOKUP($B45,calc_data,L$14+1,0),0)</f>
        <v/>
      </c>
      <c r="M45" s="177">
        <f>IFERROR(VLOOKUP($B45,calc_data,M$14+1,0),0)</f>
        <v/>
      </c>
      <c r="N45" s="177">
        <f>IFERROR(VLOOKUP($B45,calc_data,N$14+1,0),0)</f>
        <v/>
      </c>
      <c r="O45" s="45" t="n"/>
      <c r="Q45" s="57">
        <f>IF(K45&gt;0,"показать","скрыть")</f>
        <v/>
      </c>
    </row>
    <row r="46" ht="15.75" customHeight="1">
      <c r="B46" s="182" t="n">
        <v>30</v>
      </c>
      <c r="C46" s="182">
        <f>IFERROR(VLOOKUP($B46,calc_data,C$14+1,0),0)</f>
        <v/>
      </c>
      <c r="D46" s="182">
        <f>IFERROR(VLOOKUP($B46,calc_data,D$14+1,0),0)</f>
        <v/>
      </c>
      <c r="E46" s="183">
        <f>IFERROR(VLOOKUP($B46,calc_data,E$14+1,0),0)</f>
        <v/>
      </c>
      <c r="F46" s="182">
        <f>IFERROR(VLOOKUP($B46,calc_data,F$14+1,0),0)</f>
        <v/>
      </c>
      <c r="G46" s="141">
        <f>IFERROR(VLOOKUP($B46,calc_data,G$14+1,0),0)</f>
        <v/>
      </c>
      <c r="H46" s="141">
        <f>IFERROR(VLOOKUP($B46,calc_data,H$14+1,0),0)</f>
        <v/>
      </c>
      <c r="I46" s="142">
        <f>IFERROR(VLOOKUP($B46,calc_data,I$14+1,0),0)</f>
        <v/>
      </c>
      <c r="J46" s="141">
        <f>IFERROR(VLOOKUP($B46,calc_data,J$14+1,0),0)</f>
        <v/>
      </c>
      <c r="K46" s="141">
        <f>IFERROR(VLOOKUP($B46,calc_data,K$14+1,0),0)</f>
        <v/>
      </c>
      <c r="L46" s="141">
        <f>IFERROR(VLOOKUP($B46,calc_data,L$14+1,0),0)</f>
        <v/>
      </c>
      <c r="M46" s="177">
        <f>IFERROR(VLOOKUP($B46,calc_data,M$14+1,0),0)</f>
        <v/>
      </c>
      <c r="N46" s="177">
        <f>IFERROR(VLOOKUP($B46,calc_data,N$14+1,0),0)</f>
        <v/>
      </c>
      <c r="O46" s="45" t="n"/>
      <c r="Q46" s="57">
        <f>IF(K46&gt;0,"показать","скрыть")</f>
        <v/>
      </c>
    </row>
    <row r="47" ht="15.75" customHeight="1">
      <c r="B47" s="182" t="n">
        <v>31</v>
      </c>
      <c r="C47" s="182">
        <f>IFERROR(VLOOKUP($B47,calc_data,C$14+1,0),0)</f>
        <v/>
      </c>
      <c r="D47" s="182">
        <f>IFERROR(VLOOKUP($B47,calc_data,D$14+1,0),0)</f>
        <v/>
      </c>
      <c r="E47" s="183">
        <f>IFERROR(VLOOKUP($B47,calc_data,E$14+1,0),0)</f>
        <v/>
      </c>
      <c r="F47" s="182">
        <f>IFERROR(VLOOKUP($B47,calc_data,F$14+1,0),0)</f>
        <v/>
      </c>
      <c r="G47" s="141">
        <f>IFERROR(VLOOKUP($B47,calc_data,G$14+1,0),0)</f>
        <v/>
      </c>
      <c r="H47" s="141">
        <f>IFERROR(VLOOKUP($B47,calc_data,H$14+1,0),0)</f>
        <v/>
      </c>
      <c r="I47" s="142">
        <f>IFERROR(VLOOKUP($B47,calc_data,I$14+1,0),0)</f>
        <v/>
      </c>
      <c r="J47" s="141">
        <f>IFERROR(VLOOKUP($B47,calc_data,J$14+1,0),0)</f>
        <v/>
      </c>
      <c r="K47" s="141">
        <f>IFERROR(VLOOKUP($B47,calc_data,K$14+1,0),0)</f>
        <v/>
      </c>
      <c r="L47" s="141">
        <f>IFERROR(VLOOKUP($B47,calc_data,L$14+1,0),0)</f>
        <v/>
      </c>
      <c r="M47" s="177">
        <f>IFERROR(VLOOKUP($B47,calc_data,M$14+1,0),0)</f>
        <v/>
      </c>
      <c r="N47" s="177">
        <f>IFERROR(VLOOKUP($B47,calc_data,N$14+1,0),0)</f>
        <v/>
      </c>
      <c r="O47" s="45" t="n"/>
      <c r="Q47" s="57">
        <f>IF(K47&gt;0,"показать","скрыть")</f>
        <v/>
      </c>
    </row>
    <row r="48" ht="15.75" customHeight="1">
      <c r="B48" s="182" t="n">
        <v>32</v>
      </c>
      <c r="C48" s="182">
        <f>IFERROR(VLOOKUP($B48,calc_data,C$14+1,0),0)</f>
        <v/>
      </c>
      <c r="D48" s="182">
        <f>IFERROR(VLOOKUP($B48,calc_data,D$14+1,0),0)</f>
        <v/>
      </c>
      <c r="E48" s="183">
        <f>IFERROR(VLOOKUP($B48,calc_data,E$14+1,0),0)</f>
        <v/>
      </c>
      <c r="F48" s="182">
        <f>IFERROR(VLOOKUP($B48,calc_data,F$14+1,0),0)</f>
        <v/>
      </c>
      <c r="G48" s="141">
        <f>IFERROR(VLOOKUP($B48,calc_data,G$14+1,0),0)</f>
        <v/>
      </c>
      <c r="H48" s="141">
        <f>IFERROR(VLOOKUP($B48,calc_data,H$14+1,0),0)</f>
        <v/>
      </c>
      <c r="I48" s="142">
        <f>IFERROR(VLOOKUP($B48,calc_data,I$14+1,0),0)</f>
        <v/>
      </c>
      <c r="J48" s="141">
        <f>IFERROR(VLOOKUP($B48,calc_data,J$14+1,0),0)</f>
        <v/>
      </c>
      <c r="K48" s="141">
        <f>IFERROR(VLOOKUP($B48,calc_data,K$14+1,0),0)</f>
        <v/>
      </c>
      <c r="L48" s="141">
        <f>IFERROR(VLOOKUP($B48,calc_data,L$14+1,0),0)</f>
        <v/>
      </c>
      <c r="M48" s="177">
        <f>IFERROR(VLOOKUP($B48,calc_data,M$14+1,0),0)</f>
        <v/>
      </c>
      <c r="N48" s="177">
        <f>IFERROR(VLOOKUP($B48,calc_data,N$14+1,0),0)</f>
        <v/>
      </c>
      <c r="O48" s="45" t="n"/>
      <c r="Q48" s="57">
        <f>IF(K48&gt;0,"показать","скрыть")</f>
        <v/>
      </c>
    </row>
    <row r="49" ht="15.75" customHeight="1">
      <c r="B49" s="182" t="n">
        <v>33</v>
      </c>
      <c r="C49" s="182">
        <f>IFERROR(VLOOKUP($B49,calc_data,C$14+1,0),0)</f>
        <v/>
      </c>
      <c r="D49" s="182">
        <f>IFERROR(VLOOKUP($B49,calc_data,D$14+1,0),0)</f>
        <v/>
      </c>
      <c r="E49" s="183">
        <f>IFERROR(VLOOKUP($B49,calc_data,E$14+1,0),0)</f>
        <v/>
      </c>
      <c r="F49" s="182">
        <f>IFERROR(VLOOKUP($B49,calc_data,F$14+1,0),0)</f>
        <v/>
      </c>
      <c r="G49" s="141">
        <f>IFERROR(VLOOKUP($B49,calc_data,G$14+1,0),0)</f>
        <v/>
      </c>
      <c r="H49" s="141">
        <f>IFERROR(VLOOKUP($B49,calc_data,H$14+1,0),0)</f>
        <v/>
      </c>
      <c r="I49" s="142">
        <f>IFERROR(VLOOKUP($B49,calc_data,I$14+1,0),0)</f>
        <v/>
      </c>
      <c r="J49" s="141">
        <f>IFERROR(VLOOKUP($B49,calc_data,J$14+1,0),0)</f>
        <v/>
      </c>
      <c r="K49" s="141">
        <f>IFERROR(VLOOKUP($B49,calc_data,K$14+1,0),0)</f>
        <v/>
      </c>
      <c r="L49" s="141">
        <f>IFERROR(VLOOKUP($B49,calc_data,L$14+1,0),0)</f>
        <v/>
      </c>
      <c r="M49" s="177">
        <f>IFERROR(VLOOKUP($B49,calc_data,M$14+1,0),0)</f>
        <v/>
      </c>
      <c r="N49" s="177">
        <f>IFERROR(VLOOKUP($B49,calc_data,N$14+1,0),0)</f>
        <v/>
      </c>
      <c r="O49" s="45" t="n"/>
      <c r="Q49" s="57">
        <f>IF(K49&gt;0,"показать","скрыть")</f>
        <v/>
      </c>
    </row>
    <row r="50" ht="15.75" customHeight="1">
      <c r="B50" s="182" t="n">
        <v>34</v>
      </c>
      <c r="C50" s="182">
        <f>IFERROR(VLOOKUP($B50,calc_data,C$14+1,0),0)</f>
        <v/>
      </c>
      <c r="D50" s="182">
        <f>IFERROR(VLOOKUP($B50,calc_data,D$14+1,0),0)</f>
        <v/>
      </c>
      <c r="E50" s="183">
        <f>IFERROR(VLOOKUP($B50,calc_data,E$14+1,0),0)</f>
        <v/>
      </c>
      <c r="F50" s="182">
        <f>IFERROR(VLOOKUP($B50,calc_data,F$14+1,0),0)</f>
        <v/>
      </c>
      <c r="G50" s="141">
        <f>IFERROR(VLOOKUP($B50,calc_data,G$14+1,0),0)</f>
        <v/>
      </c>
      <c r="H50" s="141">
        <f>IFERROR(VLOOKUP($B50,calc_data,H$14+1,0),0)</f>
        <v/>
      </c>
      <c r="I50" s="142">
        <f>IFERROR(VLOOKUP($B50,calc_data,I$14+1,0),0)</f>
        <v/>
      </c>
      <c r="J50" s="141">
        <f>IFERROR(VLOOKUP($B50,calc_data,J$14+1,0),0)</f>
        <v/>
      </c>
      <c r="K50" s="141">
        <f>IFERROR(VLOOKUP($B50,calc_data,K$14+1,0),0)</f>
        <v/>
      </c>
      <c r="L50" s="141">
        <f>IFERROR(VLOOKUP($B50,calc_data,L$14+1,0),0)</f>
        <v/>
      </c>
      <c r="M50" s="177">
        <f>IFERROR(VLOOKUP($B50,calc_data,M$14+1,0),0)</f>
        <v/>
      </c>
      <c r="N50" s="177">
        <f>IFERROR(VLOOKUP($B50,calc_data,N$14+1,0),0)</f>
        <v/>
      </c>
      <c r="O50" s="45" t="n"/>
      <c r="Q50" s="57">
        <f>IF(K50&gt;0,"показать","скрыть")</f>
        <v/>
      </c>
    </row>
    <row r="51" ht="15.75" customHeight="1">
      <c r="B51" s="182" t="n">
        <v>35</v>
      </c>
      <c r="C51" s="182">
        <f>IFERROR(VLOOKUP($B51,calc_data,C$14+1,0),0)</f>
        <v/>
      </c>
      <c r="D51" s="182">
        <f>IFERROR(VLOOKUP($B51,calc_data,D$14+1,0),0)</f>
        <v/>
      </c>
      <c r="E51" s="183">
        <f>IFERROR(VLOOKUP($B51,calc_data,E$14+1,0),0)</f>
        <v/>
      </c>
      <c r="F51" s="182">
        <f>IFERROR(VLOOKUP($B51,calc_data,F$14+1,0),0)</f>
        <v/>
      </c>
      <c r="G51" s="141">
        <f>IFERROR(VLOOKUP($B51,calc_data,G$14+1,0),0)</f>
        <v/>
      </c>
      <c r="H51" s="141">
        <f>IFERROR(VLOOKUP($B51,calc_data,H$14+1,0),0)</f>
        <v/>
      </c>
      <c r="I51" s="142">
        <f>IFERROR(VLOOKUP($B51,calc_data,I$14+1,0),0)</f>
        <v/>
      </c>
      <c r="J51" s="141">
        <f>IFERROR(VLOOKUP($B51,calc_data,J$14+1,0),0)</f>
        <v/>
      </c>
      <c r="K51" s="141">
        <f>IFERROR(VLOOKUP($B51,calc_data,K$14+1,0),0)</f>
        <v/>
      </c>
      <c r="L51" s="141">
        <f>IFERROR(VLOOKUP($B51,calc_data,L$14+1,0),0)</f>
        <v/>
      </c>
      <c r="M51" s="177">
        <f>IFERROR(VLOOKUP($B51,calc_data,M$14+1,0),0)</f>
        <v/>
      </c>
      <c r="N51" s="177">
        <f>IFERROR(VLOOKUP($B51,calc_data,N$14+1,0),0)</f>
        <v/>
      </c>
      <c r="O51" s="45" t="n"/>
      <c r="Q51" s="57">
        <f>IF(K51&gt;0,"показать","скрыть")</f>
        <v/>
      </c>
    </row>
    <row r="52" ht="15.75" customHeight="1">
      <c r="B52" s="182" t="n">
        <v>36</v>
      </c>
      <c r="C52" s="182">
        <f>IFERROR(VLOOKUP($B52,calc_data,C$14+1,0),0)</f>
        <v/>
      </c>
      <c r="D52" s="182">
        <f>IFERROR(VLOOKUP($B52,calc_data,D$14+1,0),0)</f>
        <v/>
      </c>
      <c r="E52" s="183">
        <f>IFERROR(VLOOKUP($B52,calc_data,E$14+1,0),0)</f>
        <v/>
      </c>
      <c r="F52" s="182">
        <f>IFERROR(VLOOKUP($B52,calc_data,F$14+1,0),0)</f>
        <v/>
      </c>
      <c r="G52" s="141">
        <f>IFERROR(VLOOKUP($B52,calc_data,G$14+1,0),0)</f>
        <v/>
      </c>
      <c r="H52" s="141">
        <f>IFERROR(VLOOKUP($B52,calc_data,H$14+1,0),0)</f>
        <v/>
      </c>
      <c r="I52" s="142">
        <f>IFERROR(VLOOKUP($B52,calc_data,I$14+1,0),0)</f>
        <v/>
      </c>
      <c r="J52" s="141">
        <f>IFERROR(VLOOKUP($B52,calc_data,J$14+1,0),0)</f>
        <v/>
      </c>
      <c r="K52" s="141">
        <f>IFERROR(VLOOKUP($B52,calc_data,K$14+1,0),0)</f>
        <v/>
      </c>
      <c r="L52" s="141">
        <f>IFERROR(VLOOKUP($B52,calc_data,L$14+1,0),0)</f>
        <v/>
      </c>
      <c r="M52" s="177">
        <f>IFERROR(VLOOKUP($B52,calc_data,M$14+1,0),0)</f>
        <v/>
      </c>
      <c r="N52" s="177">
        <f>IFERROR(VLOOKUP($B52,calc_data,N$14+1,0),0)</f>
        <v/>
      </c>
      <c r="O52" s="45" t="n"/>
      <c r="Q52" s="57">
        <f>IF(K52&gt;0,"показать","скрыть")</f>
        <v/>
      </c>
    </row>
    <row r="53" ht="15.75" customHeight="1">
      <c r="B53" s="182" t="n">
        <v>37</v>
      </c>
      <c r="C53" s="182">
        <f>IFERROR(VLOOKUP($B53,calc_data,C$14+1,0),0)</f>
        <v/>
      </c>
      <c r="D53" s="182">
        <f>IFERROR(VLOOKUP($B53,calc_data,D$14+1,0),0)</f>
        <v/>
      </c>
      <c r="E53" s="183">
        <f>IFERROR(VLOOKUP($B53,calc_data,E$14+1,0),0)</f>
        <v/>
      </c>
      <c r="F53" s="182">
        <f>IFERROR(VLOOKUP($B53,calc_data,F$14+1,0),0)</f>
        <v/>
      </c>
      <c r="G53" s="141">
        <f>IFERROR(VLOOKUP($B53,calc_data,G$14+1,0),0)</f>
        <v/>
      </c>
      <c r="H53" s="141">
        <f>IFERROR(VLOOKUP($B53,calc_data,H$14+1,0),0)</f>
        <v/>
      </c>
      <c r="I53" s="142">
        <f>IFERROR(VLOOKUP($B53,calc_data,I$14+1,0),0)</f>
        <v/>
      </c>
      <c r="J53" s="141">
        <f>IFERROR(VLOOKUP($B53,calc_data,J$14+1,0),0)</f>
        <v/>
      </c>
      <c r="K53" s="141">
        <f>IFERROR(VLOOKUP($B53,calc_data,K$14+1,0),0)</f>
        <v/>
      </c>
      <c r="L53" s="141">
        <f>IFERROR(VLOOKUP($B53,calc_data,L$14+1,0),0)</f>
        <v/>
      </c>
      <c r="M53" s="177">
        <f>IFERROR(VLOOKUP($B53,calc_data,M$14+1,0),0)</f>
        <v/>
      </c>
      <c r="N53" s="177">
        <f>IFERROR(VLOOKUP($B53,calc_data,N$14+1,0),0)</f>
        <v/>
      </c>
      <c r="O53" s="45" t="n"/>
      <c r="Q53" s="57">
        <f>IF(K53&gt;0,"показать","скрыть")</f>
        <v/>
      </c>
    </row>
    <row r="54" ht="15.75" customHeight="1">
      <c r="B54" s="182" t="n">
        <v>38</v>
      </c>
      <c r="C54" s="182">
        <f>IFERROR(VLOOKUP($B54,calc_data,C$14+1,0),0)</f>
        <v/>
      </c>
      <c r="D54" s="182">
        <f>IFERROR(VLOOKUP($B54,calc_data,D$14+1,0),0)</f>
        <v/>
      </c>
      <c r="E54" s="183">
        <f>IFERROR(VLOOKUP($B54,calc_data,E$14+1,0),0)</f>
        <v/>
      </c>
      <c r="F54" s="182">
        <f>IFERROR(VLOOKUP($B54,calc_data,F$14+1,0),0)</f>
        <v/>
      </c>
      <c r="G54" s="141">
        <f>IFERROR(VLOOKUP($B54,calc_data,G$14+1,0),0)</f>
        <v/>
      </c>
      <c r="H54" s="141">
        <f>IFERROR(VLOOKUP($B54,calc_data,H$14+1,0),0)</f>
        <v/>
      </c>
      <c r="I54" s="142">
        <f>IFERROR(VLOOKUP($B54,calc_data,I$14+1,0),0)</f>
        <v/>
      </c>
      <c r="J54" s="141">
        <f>IFERROR(VLOOKUP($B54,calc_data,J$14+1,0),0)</f>
        <v/>
      </c>
      <c r="K54" s="141">
        <f>IFERROR(VLOOKUP($B54,calc_data,K$14+1,0),0)</f>
        <v/>
      </c>
      <c r="L54" s="141">
        <f>IFERROR(VLOOKUP($B54,calc_data,L$14+1,0),0)</f>
        <v/>
      </c>
      <c r="M54" s="177">
        <f>IFERROR(VLOOKUP($B54,calc_data,M$14+1,0),0)</f>
        <v/>
      </c>
      <c r="N54" s="177">
        <f>IFERROR(VLOOKUP($B54,calc_data,N$14+1,0),0)</f>
        <v/>
      </c>
      <c r="O54" s="45" t="n"/>
      <c r="Q54" s="57">
        <f>IF(K54&gt;0,"показать","скрыть")</f>
        <v/>
      </c>
    </row>
    <row r="55" ht="15.75" customHeight="1">
      <c r="B55" s="182" t="n">
        <v>39</v>
      </c>
      <c r="C55" s="182">
        <f>IFERROR(VLOOKUP($B55,calc_data,C$14+1,0),0)</f>
        <v/>
      </c>
      <c r="D55" s="182">
        <f>IFERROR(VLOOKUP($B55,calc_data,D$14+1,0),0)</f>
        <v/>
      </c>
      <c r="E55" s="183">
        <f>IFERROR(VLOOKUP($B55,calc_data,E$14+1,0),0)</f>
        <v/>
      </c>
      <c r="F55" s="182">
        <f>IFERROR(VLOOKUP($B55,calc_data,F$14+1,0),0)</f>
        <v/>
      </c>
      <c r="G55" s="141">
        <f>IFERROR(VLOOKUP($B55,calc_data,G$14+1,0),0)</f>
        <v/>
      </c>
      <c r="H55" s="141">
        <f>IFERROR(VLOOKUP($B55,calc_data,H$14+1,0),0)</f>
        <v/>
      </c>
      <c r="I55" s="142">
        <f>IFERROR(VLOOKUP($B55,calc_data,I$14+1,0),0)</f>
        <v/>
      </c>
      <c r="J55" s="141">
        <f>IFERROR(VLOOKUP($B55,calc_data,J$14+1,0),0)</f>
        <v/>
      </c>
      <c r="K55" s="141">
        <f>IFERROR(VLOOKUP($B55,calc_data,K$14+1,0),0)</f>
        <v/>
      </c>
      <c r="L55" s="141">
        <f>IFERROR(VLOOKUP($B55,calc_data,L$14+1,0),0)</f>
        <v/>
      </c>
      <c r="M55" s="177">
        <f>IFERROR(VLOOKUP($B55,calc_data,M$14+1,0),0)</f>
        <v/>
      </c>
      <c r="N55" s="177">
        <f>IFERROR(VLOOKUP($B55,calc_data,N$14+1,0),0)</f>
        <v/>
      </c>
      <c r="O55" s="45" t="n"/>
      <c r="Q55" s="57">
        <f>IF(K55&gt;0,"показать","скрыть")</f>
        <v/>
      </c>
    </row>
    <row r="56" ht="15.75" customHeight="1">
      <c r="B56" s="182" t="n">
        <v>40</v>
      </c>
      <c r="C56" s="182">
        <f>IFERROR(VLOOKUP($B56,calc_data,C$14+1,0),0)</f>
        <v/>
      </c>
      <c r="D56" s="182">
        <f>IFERROR(VLOOKUP($B56,calc_data,D$14+1,0),0)</f>
        <v/>
      </c>
      <c r="E56" s="183">
        <f>IFERROR(VLOOKUP($B56,calc_data,E$14+1,0),0)</f>
        <v/>
      </c>
      <c r="F56" s="182">
        <f>IFERROR(VLOOKUP($B56,calc_data,F$14+1,0),0)</f>
        <v/>
      </c>
      <c r="G56" s="141">
        <f>IFERROR(VLOOKUP($B56,calc_data,G$14+1,0),0)</f>
        <v/>
      </c>
      <c r="H56" s="141">
        <f>IFERROR(VLOOKUP($B56,calc_data,H$14+1,0),0)</f>
        <v/>
      </c>
      <c r="I56" s="142">
        <f>IFERROR(VLOOKUP($B56,calc_data,I$14+1,0),0)</f>
        <v/>
      </c>
      <c r="J56" s="141">
        <f>IFERROR(VLOOKUP($B56,calc_data,J$14+1,0),0)</f>
        <v/>
      </c>
      <c r="K56" s="141">
        <f>IFERROR(VLOOKUP($B56,calc_data,K$14+1,0),0)</f>
        <v/>
      </c>
      <c r="L56" s="141">
        <f>IFERROR(VLOOKUP($B56,calc_data,L$14+1,0),0)</f>
        <v/>
      </c>
      <c r="M56" s="177">
        <f>IFERROR(VLOOKUP($B56,calc_data,M$14+1,0),0)</f>
        <v/>
      </c>
      <c r="N56" s="177">
        <f>IFERROR(VLOOKUP($B56,calc_data,N$14+1,0),0)</f>
        <v/>
      </c>
      <c r="O56" s="45" t="n"/>
      <c r="Q56" s="57">
        <f>IF(K56&gt;0,"показать","скрыть")</f>
        <v/>
      </c>
    </row>
    <row r="57" ht="15.75" customHeight="1">
      <c r="B57" s="182" t="n">
        <v>41</v>
      </c>
      <c r="C57" s="182">
        <f>IFERROR(VLOOKUP($B57,calc_data,C$14+1,0),0)</f>
        <v/>
      </c>
      <c r="D57" s="182">
        <f>IFERROR(VLOOKUP($B57,calc_data,D$14+1,0),0)</f>
        <v/>
      </c>
      <c r="E57" s="183">
        <f>IFERROR(VLOOKUP($B57,calc_data,E$14+1,0),0)</f>
        <v/>
      </c>
      <c r="F57" s="182">
        <f>IFERROR(VLOOKUP($B57,calc_data,F$14+1,0),0)</f>
        <v/>
      </c>
      <c r="G57" s="141">
        <f>IFERROR(VLOOKUP($B57,calc_data,G$14+1,0),0)</f>
        <v/>
      </c>
      <c r="H57" s="141">
        <f>IFERROR(VLOOKUP($B57,calc_data,H$14+1,0),0)</f>
        <v/>
      </c>
      <c r="I57" s="142">
        <f>IFERROR(VLOOKUP($B57,calc_data,I$14+1,0),0)</f>
        <v/>
      </c>
      <c r="J57" s="141">
        <f>IFERROR(VLOOKUP($B57,calc_data,J$14+1,0),0)</f>
        <v/>
      </c>
      <c r="K57" s="141">
        <f>IFERROR(VLOOKUP($B57,calc_data,K$14+1,0),0)</f>
        <v/>
      </c>
      <c r="L57" s="141">
        <f>IFERROR(VLOOKUP($B57,calc_data,L$14+1,0),0)</f>
        <v/>
      </c>
      <c r="M57" s="177">
        <f>IFERROR(VLOOKUP($B57,calc_data,M$14+1,0),0)</f>
        <v/>
      </c>
      <c r="N57" s="177">
        <f>IFERROR(VLOOKUP($B57,calc_data,N$14+1,0),0)</f>
        <v/>
      </c>
      <c r="O57" s="45" t="n"/>
      <c r="Q57" s="57">
        <f>IF(K57&gt;0,"показать","скрыть")</f>
        <v/>
      </c>
    </row>
    <row r="58" ht="15.75" customHeight="1">
      <c r="B58" s="182" t="n">
        <v>42</v>
      </c>
      <c r="C58" s="182">
        <f>IFERROR(VLOOKUP($B58,calc_data,C$14+1,0),0)</f>
        <v/>
      </c>
      <c r="D58" s="182">
        <f>IFERROR(VLOOKUP($B58,calc_data,D$14+1,0),0)</f>
        <v/>
      </c>
      <c r="E58" s="183">
        <f>IFERROR(VLOOKUP($B58,calc_data,E$14+1,0),0)</f>
        <v/>
      </c>
      <c r="F58" s="182">
        <f>IFERROR(VLOOKUP($B58,calc_data,F$14+1,0),0)</f>
        <v/>
      </c>
      <c r="G58" s="141">
        <f>IFERROR(VLOOKUP($B58,calc_data,G$14+1,0),0)</f>
        <v/>
      </c>
      <c r="H58" s="141">
        <f>IFERROR(VLOOKUP($B58,calc_data,H$14+1,0),0)</f>
        <v/>
      </c>
      <c r="I58" s="142">
        <f>IFERROR(VLOOKUP($B58,calc_data,I$14+1,0),0)</f>
        <v/>
      </c>
      <c r="J58" s="141">
        <f>IFERROR(VLOOKUP($B58,calc_data,J$14+1,0),0)</f>
        <v/>
      </c>
      <c r="K58" s="141">
        <f>IFERROR(VLOOKUP($B58,calc_data,K$14+1,0),0)</f>
        <v/>
      </c>
      <c r="L58" s="141">
        <f>IFERROR(VLOOKUP($B58,calc_data,L$14+1,0),0)</f>
        <v/>
      </c>
      <c r="M58" s="177">
        <f>IFERROR(VLOOKUP($B58,calc_data,M$14+1,0),0)</f>
        <v/>
      </c>
      <c r="N58" s="177">
        <f>IFERROR(VLOOKUP($B58,calc_data,N$14+1,0),0)</f>
        <v/>
      </c>
      <c r="O58" s="45" t="n"/>
      <c r="Q58" s="57">
        <f>IF(K58&gt;0,"показать","скрыть")</f>
        <v/>
      </c>
    </row>
    <row r="59" ht="15.75" customHeight="1">
      <c r="B59" s="182" t="n">
        <v>43</v>
      </c>
      <c r="C59" s="182">
        <f>IFERROR(VLOOKUP($B59,calc_data,C$14+1,0),0)</f>
        <v/>
      </c>
      <c r="D59" s="182">
        <f>IFERROR(VLOOKUP($B59,calc_data,D$14+1,0),0)</f>
        <v/>
      </c>
      <c r="E59" s="183">
        <f>IFERROR(VLOOKUP($B59,calc_data,E$14+1,0),0)</f>
        <v/>
      </c>
      <c r="F59" s="182">
        <f>IFERROR(VLOOKUP($B59,calc_data,F$14+1,0),0)</f>
        <v/>
      </c>
      <c r="G59" s="141">
        <f>IFERROR(VLOOKUP($B59,calc_data,G$14+1,0),0)</f>
        <v/>
      </c>
      <c r="H59" s="141">
        <f>IFERROR(VLOOKUP($B59,calc_data,H$14+1,0),0)</f>
        <v/>
      </c>
      <c r="I59" s="142">
        <f>IFERROR(VLOOKUP($B59,calc_data,I$14+1,0),0)</f>
        <v/>
      </c>
      <c r="J59" s="141">
        <f>IFERROR(VLOOKUP($B59,calc_data,J$14+1,0),0)</f>
        <v/>
      </c>
      <c r="K59" s="141">
        <f>IFERROR(VLOOKUP($B59,calc_data,K$14+1,0),0)</f>
        <v/>
      </c>
      <c r="L59" s="141">
        <f>IFERROR(VLOOKUP($B59,calc_data,L$14+1,0),0)</f>
        <v/>
      </c>
      <c r="M59" s="177">
        <f>IFERROR(VLOOKUP($B59,calc_data,M$14+1,0),0)</f>
        <v/>
      </c>
      <c r="N59" s="177">
        <f>IFERROR(VLOOKUP($B59,calc_data,N$14+1,0),0)</f>
        <v/>
      </c>
      <c r="O59" s="45" t="n"/>
      <c r="Q59" s="57">
        <f>IF(K59&gt;0,"показать","скрыть")</f>
        <v/>
      </c>
    </row>
    <row r="60" ht="15.75" customHeight="1">
      <c r="B60" s="182" t="n">
        <v>44</v>
      </c>
      <c r="C60" s="182">
        <f>IFERROR(VLOOKUP($B60,calc_data,C$14+1,0),0)</f>
        <v/>
      </c>
      <c r="D60" s="182">
        <f>IFERROR(VLOOKUP($B60,calc_data,D$14+1,0),0)</f>
        <v/>
      </c>
      <c r="E60" s="183">
        <f>IFERROR(VLOOKUP($B60,calc_data,E$14+1,0),0)</f>
        <v/>
      </c>
      <c r="F60" s="182">
        <f>IFERROR(VLOOKUP($B60,calc_data,F$14+1,0),0)</f>
        <v/>
      </c>
      <c r="G60" s="141">
        <f>IFERROR(VLOOKUP($B60,calc_data,G$14+1,0),0)</f>
        <v/>
      </c>
      <c r="H60" s="141">
        <f>IFERROR(VLOOKUP($B60,calc_data,H$14+1,0),0)</f>
        <v/>
      </c>
      <c r="I60" s="142">
        <f>IFERROR(VLOOKUP($B60,calc_data,I$14+1,0),0)</f>
        <v/>
      </c>
      <c r="J60" s="141">
        <f>IFERROR(VLOOKUP($B60,calc_data,J$14+1,0),0)</f>
        <v/>
      </c>
      <c r="K60" s="141">
        <f>IFERROR(VLOOKUP($B60,calc_data,K$14+1,0),0)</f>
        <v/>
      </c>
      <c r="L60" s="141">
        <f>IFERROR(VLOOKUP($B60,calc_data,L$14+1,0),0)</f>
        <v/>
      </c>
      <c r="M60" s="177">
        <f>IFERROR(VLOOKUP($B60,calc_data,M$14+1,0),0)</f>
        <v/>
      </c>
      <c r="N60" s="177">
        <f>IFERROR(VLOOKUP($B60,calc_data,N$14+1,0),0)</f>
        <v/>
      </c>
      <c r="O60" s="45" t="n"/>
      <c r="Q60" s="57">
        <f>IF(K60&gt;0,"показать","скрыть")</f>
        <v/>
      </c>
    </row>
    <row r="61" ht="15.75" customHeight="1">
      <c r="B61" s="182" t="n">
        <v>45</v>
      </c>
      <c r="C61" s="182">
        <f>IFERROR(VLOOKUP($B61,calc_data,C$14+1,0),0)</f>
        <v/>
      </c>
      <c r="D61" s="182">
        <f>IFERROR(VLOOKUP($B61,calc_data,D$14+1,0),0)</f>
        <v/>
      </c>
      <c r="E61" s="183">
        <f>IFERROR(VLOOKUP($B61,calc_data,E$14+1,0),0)</f>
        <v/>
      </c>
      <c r="F61" s="182">
        <f>IFERROR(VLOOKUP($B61,calc_data,F$14+1,0),0)</f>
        <v/>
      </c>
      <c r="G61" s="141">
        <f>IFERROR(VLOOKUP($B61,calc_data,G$14+1,0),0)</f>
        <v/>
      </c>
      <c r="H61" s="141">
        <f>IFERROR(VLOOKUP($B61,calc_data,H$14+1,0),0)</f>
        <v/>
      </c>
      <c r="I61" s="142">
        <f>IFERROR(VLOOKUP($B61,calc_data,I$14+1,0),0)</f>
        <v/>
      </c>
      <c r="J61" s="141">
        <f>IFERROR(VLOOKUP($B61,calc_data,J$14+1,0),0)</f>
        <v/>
      </c>
      <c r="K61" s="141">
        <f>IFERROR(VLOOKUP($B61,calc_data,K$14+1,0),0)</f>
        <v/>
      </c>
      <c r="L61" s="141">
        <f>IFERROR(VLOOKUP($B61,calc_data,L$14+1,0),0)</f>
        <v/>
      </c>
      <c r="M61" s="177">
        <f>IFERROR(VLOOKUP($B61,calc_data,M$14+1,0),0)</f>
        <v/>
      </c>
      <c r="N61" s="177">
        <f>IFERROR(VLOOKUP($B61,calc_data,N$14+1,0),0)</f>
        <v/>
      </c>
      <c r="O61" s="45" t="n"/>
      <c r="Q61" s="57">
        <f>IF(K61&gt;0,"показать","скрыть")</f>
        <v/>
      </c>
    </row>
    <row r="62" ht="15.75" customHeight="1">
      <c r="B62" s="182" t="n">
        <v>46</v>
      </c>
      <c r="C62" s="182">
        <f>IFERROR(VLOOKUP($B62,calc_data,C$14+1,0),0)</f>
        <v/>
      </c>
      <c r="D62" s="182">
        <f>IFERROR(VLOOKUP($B62,calc_data,D$14+1,0),0)</f>
        <v/>
      </c>
      <c r="E62" s="183">
        <f>IFERROR(VLOOKUP($B62,calc_data,E$14+1,0),0)</f>
        <v/>
      </c>
      <c r="F62" s="182">
        <f>IFERROR(VLOOKUP($B62,calc_data,F$14+1,0),0)</f>
        <v/>
      </c>
      <c r="G62" s="141">
        <f>IFERROR(VLOOKUP($B62,calc_data,G$14+1,0),0)</f>
        <v/>
      </c>
      <c r="H62" s="141">
        <f>IFERROR(VLOOKUP($B62,calc_data,H$14+1,0),0)</f>
        <v/>
      </c>
      <c r="I62" s="142">
        <f>IFERROR(VLOOKUP($B62,calc_data,I$14+1,0),0)</f>
        <v/>
      </c>
      <c r="J62" s="141">
        <f>IFERROR(VLOOKUP($B62,calc_data,J$14+1,0),0)</f>
        <v/>
      </c>
      <c r="K62" s="141">
        <f>IFERROR(VLOOKUP($B62,calc_data,K$14+1,0),0)</f>
        <v/>
      </c>
      <c r="L62" s="141">
        <f>IFERROR(VLOOKUP($B62,calc_data,L$14+1,0),0)</f>
        <v/>
      </c>
      <c r="M62" s="177">
        <f>IFERROR(VLOOKUP($B62,calc_data,M$14+1,0),0)</f>
        <v/>
      </c>
      <c r="N62" s="177">
        <f>IFERROR(VLOOKUP($B62,calc_data,N$14+1,0),0)</f>
        <v/>
      </c>
      <c r="O62" s="45" t="n"/>
      <c r="Q62" s="57">
        <f>IF(K62&gt;0,"показать","скрыть")</f>
        <v/>
      </c>
    </row>
    <row r="63" ht="15.75" customHeight="1">
      <c r="B63" s="182" t="n">
        <v>47</v>
      </c>
      <c r="C63" s="182">
        <f>IFERROR(VLOOKUP($B63,calc_data,C$14+1,0),0)</f>
        <v/>
      </c>
      <c r="D63" s="182">
        <f>IFERROR(VLOOKUP($B63,calc_data,D$14+1,0),0)</f>
        <v/>
      </c>
      <c r="E63" s="183">
        <f>IFERROR(VLOOKUP($B63,calc_data,E$14+1,0),0)</f>
        <v/>
      </c>
      <c r="F63" s="182">
        <f>IFERROR(VLOOKUP($B63,calc_data,F$14+1,0),0)</f>
        <v/>
      </c>
      <c r="G63" s="141">
        <f>IFERROR(VLOOKUP($B63,calc_data,G$14+1,0),0)</f>
        <v/>
      </c>
      <c r="H63" s="141">
        <f>IFERROR(VLOOKUP($B63,calc_data,H$14+1,0),0)</f>
        <v/>
      </c>
      <c r="I63" s="142">
        <f>IFERROR(VLOOKUP($B63,calc_data,I$14+1,0),0)</f>
        <v/>
      </c>
      <c r="J63" s="141">
        <f>IFERROR(VLOOKUP($B63,calc_data,J$14+1,0),0)</f>
        <v/>
      </c>
      <c r="K63" s="141">
        <f>IFERROR(VLOOKUP($B63,calc_data,K$14+1,0),0)</f>
        <v/>
      </c>
      <c r="L63" s="141">
        <f>IFERROR(VLOOKUP($B63,calc_data,L$14+1,0),0)</f>
        <v/>
      </c>
      <c r="M63" s="177">
        <f>IFERROR(VLOOKUP($B63,calc_data,M$14+1,0),0)</f>
        <v/>
      </c>
      <c r="N63" s="177">
        <f>IFERROR(VLOOKUP($B63,calc_data,N$14+1,0),0)</f>
        <v/>
      </c>
      <c r="O63" s="45" t="n"/>
      <c r="Q63" s="57">
        <f>IF(K63&gt;0,"показать","скрыть")</f>
        <v/>
      </c>
    </row>
    <row r="64" ht="15.75" customHeight="1">
      <c r="B64" s="182" t="n">
        <v>48</v>
      </c>
      <c r="C64" s="182">
        <f>IFERROR(VLOOKUP($B64,calc_data,C$14+1,0),0)</f>
        <v/>
      </c>
      <c r="D64" s="182">
        <f>IFERROR(VLOOKUP($B64,calc_data,D$14+1,0),0)</f>
        <v/>
      </c>
      <c r="E64" s="183">
        <f>IFERROR(VLOOKUP($B64,calc_data,E$14+1,0),0)</f>
        <v/>
      </c>
      <c r="F64" s="182">
        <f>IFERROR(VLOOKUP($B64,calc_data,F$14+1,0),0)</f>
        <v/>
      </c>
      <c r="G64" s="141">
        <f>IFERROR(VLOOKUP($B64,calc_data,G$14+1,0),0)</f>
        <v/>
      </c>
      <c r="H64" s="141">
        <f>IFERROR(VLOOKUP($B64,calc_data,H$14+1,0),0)</f>
        <v/>
      </c>
      <c r="I64" s="142">
        <f>IFERROR(VLOOKUP($B64,calc_data,I$14+1,0),0)</f>
        <v/>
      </c>
      <c r="J64" s="141">
        <f>IFERROR(VLOOKUP($B64,calc_data,J$14+1,0),0)</f>
        <v/>
      </c>
      <c r="K64" s="141">
        <f>IFERROR(VLOOKUP($B64,calc_data,K$14+1,0),0)</f>
        <v/>
      </c>
      <c r="L64" s="141">
        <f>IFERROR(VLOOKUP($B64,calc_data,L$14+1,0),0)</f>
        <v/>
      </c>
      <c r="M64" s="177">
        <f>IFERROR(VLOOKUP($B64,calc_data,M$14+1,0),0)</f>
        <v/>
      </c>
      <c r="N64" s="177">
        <f>IFERROR(VLOOKUP($B64,calc_data,N$14+1,0),0)</f>
        <v/>
      </c>
      <c r="O64" s="45" t="n"/>
      <c r="Q64" s="57">
        <f>IF(K64&gt;0,"показать","скрыть")</f>
        <v/>
      </c>
    </row>
    <row r="65" ht="15.75" customHeight="1">
      <c r="B65" s="182" t="n">
        <v>49</v>
      </c>
      <c r="C65" s="182">
        <f>IFERROR(VLOOKUP($B65,calc_data,C$14+1,0),0)</f>
        <v/>
      </c>
      <c r="D65" s="182">
        <f>IFERROR(VLOOKUP($B65,calc_data,D$14+1,0),0)</f>
        <v/>
      </c>
      <c r="E65" s="183">
        <f>IFERROR(VLOOKUP($B65,calc_data,E$14+1,0),0)</f>
        <v/>
      </c>
      <c r="F65" s="182">
        <f>IFERROR(VLOOKUP($B65,calc_data,F$14+1,0),0)</f>
        <v/>
      </c>
      <c r="G65" s="141">
        <f>IFERROR(VLOOKUP($B65,calc_data,G$14+1,0),0)</f>
        <v/>
      </c>
      <c r="H65" s="141">
        <f>IFERROR(VLOOKUP($B65,calc_data,H$14+1,0),0)</f>
        <v/>
      </c>
      <c r="I65" s="142">
        <f>IFERROR(VLOOKUP($B65,calc_data,I$14+1,0),0)</f>
        <v/>
      </c>
      <c r="J65" s="141">
        <f>IFERROR(VLOOKUP($B65,calc_data,J$14+1,0),0)</f>
        <v/>
      </c>
      <c r="K65" s="141">
        <f>IFERROR(VLOOKUP($B65,calc_data,K$14+1,0),0)</f>
        <v/>
      </c>
      <c r="L65" s="141">
        <f>IFERROR(VLOOKUP($B65,calc_data,L$14+1,0),0)</f>
        <v/>
      </c>
      <c r="M65" s="177">
        <f>IFERROR(VLOOKUP($B65,calc_data,M$14+1,0),0)</f>
        <v/>
      </c>
      <c r="N65" s="177">
        <f>IFERROR(VLOOKUP($B65,calc_data,N$14+1,0),0)</f>
        <v/>
      </c>
      <c r="O65" s="45" t="n"/>
      <c r="Q65" s="57">
        <f>IF(K65&gt;0,"показать","скрыть")</f>
        <v/>
      </c>
    </row>
    <row r="66" ht="15.75" customHeight="1">
      <c r="B66" s="182" t="n">
        <v>50</v>
      </c>
      <c r="C66" s="182">
        <f>IFERROR(VLOOKUP($B66,calc_data,C$14+1,0),0)</f>
        <v/>
      </c>
      <c r="D66" s="182">
        <f>IFERROR(VLOOKUP($B66,calc_data,D$14+1,0),0)</f>
        <v/>
      </c>
      <c r="E66" s="183">
        <f>IFERROR(VLOOKUP($B66,calc_data,E$14+1,0),0)</f>
        <v/>
      </c>
      <c r="F66" s="182">
        <f>IFERROR(VLOOKUP($B66,calc_data,F$14+1,0),0)</f>
        <v/>
      </c>
      <c r="G66" s="141">
        <f>IFERROR(VLOOKUP($B66,calc_data,G$14+1,0),0)</f>
        <v/>
      </c>
      <c r="H66" s="141">
        <f>IFERROR(VLOOKUP($B66,calc_data,H$14+1,0),0)</f>
        <v/>
      </c>
      <c r="I66" s="142">
        <f>IFERROR(VLOOKUP($B66,calc_data,I$14+1,0),0)</f>
        <v/>
      </c>
      <c r="J66" s="141">
        <f>IFERROR(VLOOKUP($B66,calc_data,J$14+1,0),0)</f>
        <v/>
      </c>
      <c r="K66" s="141">
        <f>IFERROR(VLOOKUP($B66,calc_data,K$14+1,0),0)</f>
        <v/>
      </c>
      <c r="L66" s="141">
        <f>IFERROR(VLOOKUP($B66,calc_data,L$14+1,0),0)</f>
        <v/>
      </c>
      <c r="M66" s="177">
        <f>IFERROR(VLOOKUP($B66,calc_data,M$14+1,0),0)</f>
        <v/>
      </c>
      <c r="N66" s="177">
        <f>IFERROR(VLOOKUP($B66,calc_data,N$14+1,0),0)</f>
        <v/>
      </c>
      <c r="O66" s="45" t="n"/>
      <c r="Q66" s="57">
        <f>IF(K66&gt;0,"показать","скрыть")</f>
        <v/>
      </c>
    </row>
    <row r="67" ht="15.75" customHeight="1">
      <c r="B67" s="182" t="n">
        <v>51</v>
      </c>
      <c r="C67" s="182">
        <f>IFERROR(VLOOKUP($B67,calc_data,C$14+1,0),0)</f>
        <v/>
      </c>
      <c r="D67" s="182">
        <f>IFERROR(VLOOKUP($B67,calc_data,D$14+1,0),0)</f>
        <v/>
      </c>
      <c r="E67" s="183">
        <f>IFERROR(VLOOKUP($B67,calc_data,E$14+1,0),0)</f>
        <v/>
      </c>
      <c r="F67" s="182">
        <f>IFERROR(VLOOKUP($B67,calc_data,F$14+1,0),0)</f>
        <v/>
      </c>
      <c r="G67" s="141">
        <f>IFERROR(VLOOKUP($B67,calc_data,G$14+1,0),0)</f>
        <v/>
      </c>
      <c r="H67" s="141">
        <f>IFERROR(VLOOKUP($B67,calc_data,H$14+1,0),0)</f>
        <v/>
      </c>
      <c r="I67" s="142">
        <f>IFERROR(VLOOKUP($B67,calc_data,I$14+1,0),0)</f>
        <v/>
      </c>
      <c r="J67" s="141">
        <f>IFERROR(VLOOKUP($B67,calc_data,J$14+1,0),0)</f>
        <v/>
      </c>
      <c r="K67" s="141">
        <f>IFERROR(VLOOKUP($B67,calc_data,K$14+1,0),0)</f>
        <v/>
      </c>
      <c r="L67" s="141">
        <f>IFERROR(VLOOKUP($B67,calc_data,L$14+1,0),0)</f>
        <v/>
      </c>
      <c r="M67" s="177">
        <f>IFERROR(VLOOKUP($B67,calc_data,M$14+1,0),0)</f>
        <v/>
      </c>
      <c r="N67" s="177">
        <f>IFERROR(VLOOKUP($B67,calc_data,N$14+1,0),0)</f>
        <v/>
      </c>
      <c r="O67" s="45" t="n"/>
      <c r="Q67" s="57">
        <f>IF(K67&gt;0,"показать","скрыть")</f>
        <v/>
      </c>
    </row>
    <row r="68" ht="15.75" customHeight="1">
      <c r="B68" s="182" t="n">
        <v>52</v>
      </c>
      <c r="C68" s="182">
        <f>IFERROR(VLOOKUP($B68,calc_data,C$14+1,0),0)</f>
        <v/>
      </c>
      <c r="D68" s="182">
        <f>IFERROR(VLOOKUP($B68,calc_data,D$14+1,0),0)</f>
        <v/>
      </c>
      <c r="E68" s="183">
        <f>IFERROR(VLOOKUP($B68,calc_data,E$14+1,0),0)</f>
        <v/>
      </c>
      <c r="F68" s="182">
        <f>IFERROR(VLOOKUP($B68,calc_data,F$14+1,0),0)</f>
        <v/>
      </c>
      <c r="G68" s="141">
        <f>IFERROR(VLOOKUP($B68,calc_data,G$14+1,0),0)</f>
        <v/>
      </c>
      <c r="H68" s="141">
        <f>IFERROR(VLOOKUP($B68,calc_data,H$14+1,0),0)</f>
        <v/>
      </c>
      <c r="I68" s="142">
        <f>IFERROR(VLOOKUP($B68,calc_data,I$14+1,0),0)</f>
        <v/>
      </c>
      <c r="J68" s="141">
        <f>IFERROR(VLOOKUP($B68,calc_data,J$14+1,0),0)</f>
        <v/>
      </c>
      <c r="K68" s="141">
        <f>IFERROR(VLOOKUP($B68,calc_data,K$14+1,0),0)</f>
        <v/>
      </c>
      <c r="L68" s="141">
        <f>IFERROR(VLOOKUP($B68,calc_data,L$14+1,0),0)</f>
        <v/>
      </c>
      <c r="M68" s="177">
        <f>IFERROR(VLOOKUP($B68,calc_data,M$14+1,0),0)</f>
        <v/>
      </c>
      <c r="N68" s="177">
        <f>IFERROR(VLOOKUP($B68,calc_data,N$14+1,0),0)</f>
        <v/>
      </c>
      <c r="O68" s="45" t="n"/>
      <c r="Q68" s="57">
        <f>IF(K68&gt;0,"показать","скрыть")</f>
        <v/>
      </c>
    </row>
    <row r="69" ht="15.75" customHeight="1">
      <c r="B69" s="182" t="n">
        <v>53</v>
      </c>
      <c r="C69" s="182">
        <f>IFERROR(VLOOKUP($B69,calc_data,C$14+1,0),0)</f>
        <v/>
      </c>
      <c r="D69" s="182">
        <f>IFERROR(VLOOKUP($B69,calc_data,D$14+1,0),0)</f>
        <v/>
      </c>
      <c r="E69" s="183">
        <f>IFERROR(VLOOKUP($B69,calc_data,E$14+1,0),0)</f>
        <v/>
      </c>
      <c r="F69" s="182">
        <f>IFERROR(VLOOKUP($B69,calc_data,F$14+1,0),0)</f>
        <v/>
      </c>
      <c r="G69" s="141">
        <f>IFERROR(VLOOKUP($B69,calc_data,G$14+1,0),0)</f>
        <v/>
      </c>
      <c r="H69" s="141">
        <f>IFERROR(VLOOKUP($B69,calc_data,H$14+1,0),0)</f>
        <v/>
      </c>
      <c r="I69" s="142">
        <f>IFERROR(VLOOKUP($B69,calc_data,I$14+1,0),0)</f>
        <v/>
      </c>
      <c r="J69" s="141">
        <f>IFERROR(VLOOKUP($B69,calc_data,J$14+1,0),0)</f>
        <v/>
      </c>
      <c r="K69" s="141">
        <f>IFERROR(VLOOKUP($B69,calc_data,K$14+1,0),0)</f>
        <v/>
      </c>
      <c r="L69" s="141">
        <f>IFERROR(VLOOKUP($B69,calc_data,L$14+1,0),0)</f>
        <v/>
      </c>
      <c r="M69" s="177">
        <f>IFERROR(VLOOKUP($B69,calc_data,M$14+1,0),0)</f>
        <v/>
      </c>
      <c r="N69" s="177">
        <f>IFERROR(VLOOKUP($B69,calc_data,N$14+1,0),0)</f>
        <v/>
      </c>
      <c r="O69" s="45" t="n"/>
      <c r="Q69" s="57">
        <f>IF(K69&gt;0,"показать","скрыть")</f>
        <v/>
      </c>
    </row>
    <row r="70" ht="15.75" customHeight="1">
      <c r="B70" s="182" t="n">
        <v>54</v>
      </c>
      <c r="C70" s="182">
        <f>IFERROR(VLOOKUP($B70,calc_data,C$14+1,0),0)</f>
        <v/>
      </c>
      <c r="D70" s="182">
        <f>IFERROR(VLOOKUP($B70,calc_data,D$14+1,0),0)</f>
        <v/>
      </c>
      <c r="E70" s="183">
        <f>IFERROR(VLOOKUP($B70,calc_data,E$14+1,0),0)</f>
        <v/>
      </c>
      <c r="F70" s="182">
        <f>IFERROR(VLOOKUP($B70,calc_data,F$14+1,0),0)</f>
        <v/>
      </c>
      <c r="G70" s="141">
        <f>IFERROR(VLOOKUP($B70,calc_data,G$14+1,0),0)</f>
        <v/>
      </c>
      <c r="H70" s="141">
        <f>IFERROR(VLOOKUP($B70,calc_data,H$14+1,0),0)</f>
        <v/>
      </c>
      <c r="I70" s="142">
        <f>IFERROR(VLOOKUP($B70,calc_data,I$14+1,0),0)</f>
        <v/>
      </c>
      <c r="J70" s="141">
        <f>IFERROR(VLOOKUP($B70,calc_data,J$14+1,0),0)</f>
        <v/>
      </c>
      <c r="K70" s="141">
        <f>IFERROR(VLOOKUP($B70,calc_data,K$14+1,0),0)</f>
        <v/>
      </c>
      <c r="L70" s="141">
        <f>IFERROR(VLOOKUP($B70,calc_data,L$14+1,0),0)</f>
        <v/>
      </c>
      <c r="M70" s="177">
        <f>IFERROR(VLOOKUP($B70,calc_data,M$14+1,0),0)</f>
        <v/>
      </c>
      <c r="N70" s="177">
        <f>IFERROR(VLOOKUP($B70,calc_data,N$14+1,0),0)</f>
        <v/>
      </c>
      <c r="O70" s="45" t="n"/>
      <c r="Q70" s="57">
        <f>IF(K70&gt;0,"показать","скрыть")</f>
        <v/>
      </c>
    </row>
    <row r="71" ht="15.75" customHeight="1">
      <c r="B71" s="182" t="n">
        <v>55</v>
      </c>
      <c r="C71" s="182">
        <f>IFERROR(VLOOKUP($B71,calc_data,C$14+1,0),0)</f>
        <v/>
      </c>
      <c r="D71" s="182">
        <f>IFERROR(VLOOKUP($B71,calc_data,D$14+1,0),0)</f>
        <v/>
      </c>
      <c r="E71" s="183">
        <f>IFERROR(VLOOKUP($B71,calc_data,E$14+1,0),0)</f>
        <v/>
      </c>
      <c r="F71" s="182">
        <f>IFERROR(VLOOKUP($B71,calc_data,F$14+1,0),0)</f>
        <v/>
      </c>
      <c r="G71" s="141">
        <f>IFERROR(VLOOKUP($B71,calc_data,G$14+1,0),0)</f>
        <v/>
      </c>
      <c r="H71" s="141">
        <f>IFERROR(VLOOKUP($B71,calc_data,H$14+1,0),0)</f>
        <v/>
      </c>
      <c r="I71" s="142">
        <f>IFERROR(VLOOKUP($B71,calc_data,I$14+1,0),0)</f>
        <v/>
      </c>
      <c r="J71" s="141">
        <f>IFERROR(VLOOKUP($B71,calc_data,J$14+1,0),0)</f>
        <v/>
      </c>
      <c r="K71" s="141">
        <f>IFERROR(VLOOKUP($B71,calc_data,K$14+1,0),0)</f>
        <v/>
      </c>
      <c r="L71" s="141">
        <f>IFERROR(VLOOKUP($B71,calc_data,L$14+1,0),0)</f>
        <v/>
      </c>
      <c r="M71" s="177">
        <f>IFERROR(VLOOKUP($B71,calc_data,M$14+1,0),0)</f>
        <v/>
      </c>
      <c r="N71" s="177">
        <f>IFERROR(VLOOKUP($B71,calc_data,N$14+1,0),0)</f>
        <v/>
      </c>
      <c r="O71" s="45" t="n"/>
      <c r="Q71" s="57">
        <f>IF(K71&gt;0,"показать","скрыть")</f>
        <v/>
      </c>
    </row>
    <row r="72" ht="15.75" customHeight="1">
      <c r="B72" s="182" t="n">
        <v>56</v>
      </c>
      <c r="C72" s="182">
        <f>IFERROR(VLOOKUP($B72,calc_data,C$14+1,0),0)</f>
        <v/>
      </c>
      <c r="D72" s="182">
        <f>IFERROR(VLOOKUP($B72,calc_data,D$14+1,0),0)</f>
        <v/>
      </c>
      <c r="E72" s="183">
        <f>IFERROR(VLOOKUP($B72,calc_data,E$14+1,0),0)</f>
        <v/>
      </c>
      <c r="F72" s="182">
        <f>IFERROR(VLOOKUP($B72,calc_data,F$14+1,0),0)</f>
        <v/>
      </c>
      <c r="G72" s="141">
        <f>IFERROR(VLOOKUP($B72,calc_data,G$14+1,0),0)</f>
        <v/>
      </c>
      <c r="H72" s="141">
        <f>IFERROR(VLOOKUP($B72,calc_data,H$14+1,0),0)</f>
        <v/>
      </c>
      <c r="I72" s="142">
        <f>IFERROR(VLOOKUP($B72,calc_data,I$14+1,0),0)</f>
        <v/>
      </c>
      <c r="J72" s="141">
        <f>IFERROR(VLOOKUP($B72,calc_data,J$14+1,0),0)</f>
        <v/>
      </c>
      <c r="K72" s="141">
        <f>IFERROR(VLOOKUP($B72,calc_data,K$14+1,0),0)</f>
        <v/>
      </c>
      <c r="L72" s="141">
        <f>IFERROR(VLOOKUP($B72,calc_data,L$14+1,0),0)</f>
        <v/>
      </c>
      <c r="M72" s="177">
        <f>IFERROR(VLOOKUP($B72,calc_data,M$14+1,0),0)</f>
        <v/>
      </c>
      <c r="N72" s="177">
        <f>IFERROR(VLOOKUP($B72,calc_data,N$14+1,0),0)</f>
        <v/>
      </c>
      <c r="O72" s="45" t="n"/>
      <c r="Q72" s="57">
        <f>IF(K72&gt;0,"показать","скрыть")</f>
        <v/>
      </c>
    </row>
    <row r="73" ht="15.75" customHeight="1">
      <c r="B73" s="182" t="n">
        <v>57</v>
      </c>
      <c r="C73" s="182">
        <f>IFERROR(VLOOKUP($B73,calc_data,C$14+1,0),0)</f>
        <v/>
      </c>
      <c r="D73" s="182">
        <f>IFERROR(VLOOKUP($B73,calc_data,D$14+1,0),0)</f>
        <v/>
      </c>
      <c r="E73" s="183">
        <f>IFERROR(VLOOKUP($B73,calc_data,E$14+1,0),0)</f>
        <v/>
      </c>
      <c r="F73" s="182">
        <f>IFERROR(VLOOKUP($B73,calc_data,F$14+1,0),0)</f>
        <v/>
      </c>
      <c r="G73" s="141">
        <f>IFERROR(VLOOKUP($B73,calc_data,G$14+1,0),0)</f>
        <v/>
      </c>
      <c r="H73" s="141">
        <f>IFERROR(VLOOKUP($B73,calc_data,H$14+1,0),0)</f>
        <v/>
      </c>
      <c r="I73" s="142">
        <f>IFERROR(VLOOKUP($B73,calc_data,I$14+1,0),0)</f>
        <v/>
      </c>
      <c r="J73" s="141">
        <f>IFERROR(VLOOKUP($B73,calc_data,J$14+1,0),0)</f>
        <v/>
      </c>
      <c r="K73" s="141">
        <f>IFERROR(VLOOKUP($B73,calc_data,K$14+1,0),0)</f>
        <v/>
      </c>
      <c r="L73" s="141">
        <f>IFERROR(VLOOKUP($B73,calc_data,L$14+1,0),0)</f>
        <v/>
      </c>
      <c r="M73" s="177">
        <f>IFERROR(VLOOKUP($B73,calc_data,M$14+1,0),0)</f>
        <v/>
      </c>
      <c r="N73" s="177">
        <f>IFERROR(VLOOKUP($B73,calc_data,N$14+1,0),0)</f>
        <v/>
      </c>
      <c r="O73" s="45" t="n"/>
      <c r="Q73" s="57">
        <f>IF(K73&gt;0,"показать","скрыть")</f>
        <v/>
      </c>
    </row>
    <row r="74" ht="15.75" customHeight="1">
      <c r="B74" s="182" t="n">
        <v>58</v>
      </c>
      <c r="C74" s="182">
        <f>IFERROR(VLOOKUP($B74,calc_data,C$14+1,0),0)</f>
        <v/>
      </c>
      <c r="D74" s="182">
        <f>IFERROR(VLOOKUP($B74,calc_data,D$14+1,0),0)</f>
        <v/>
      </c>
      <c r="E74" s="183">
        <f>IFERROR(VLOOKUP($B74,calc_data,E$14+1,0),0)</f>
        <v/>
      </c>
      <c r="F74" s="182">
        <f>IFERROR(VLOOKUP($B74,calc_data,F$14+1,0),0)</f>
        <v/>
      </c>
      <c r="G74" s="141">
        <f>IFERROR(VLOOKUP($B74,calc_data,G$14+1,0),0)</f>
        <v/>
      </c>
      <c r="H74" s="141">
        <f>IFERROR(VLOOKUP($B74,calc_data,H$14+1,0),0)</f>
        <v/>
      </c>
      <c r="I74" s="142">
        <f>IFERROR(VLOOKUP($B74,calc_data,I$14+1,0),0)</f>
        <v/>
      </c>
      <c r="J74" s="141">
        <f>IFERROR(VLOOKUP($B74,calc_data,J$14+1,0),0)</f>
        <v/>
      </c>
      <c r="K74" s="141">
        <f>IFERROR(VLOOKUP($B74,calc_data,K$14+1,0),0)</f>
        <v/>
      </c>
      <c r="L74" s="141">
        <f>IFERROR(VLOOKUP($B74,calc_data,L$14+1,0),0)</f>
        <v/>
      </c>
      <c r="M74" s="177">
        <f>IFERROR(VLOOKUP($B74,calc_data,M$14+1,0),0)</f>
        <v/>
      </c>
      <c r="N74" s="177">
        <f>IFERROR(VLOOKUP($B74,calc_data,N$14+1,0),0)</f>
        <v/>
      </c>
      <c r="O74" s="45" t="n"/>
      <c r="Q74" s="57">
        <f>IF(K74&gt;0,"показать","скрыть")</f>
        <v/>
      </c>
    </row>
    <row r="75" ht="15.75" customHeight="1">
      <c r="B75" s="182" t="n">
        <v>59</v>
      </c>
      <c r="C75" s="182">
        <f>IFERROR(VLOOKUP($B75,calc_data,C$14+1,0),0)</f>
        <v/>
      </c>
      <c r="D75" s="182">
        <f>IFERROR(VLOOKUP($B75,calc_data,D$14+1,0),0)</f>
        <v/>
      </c>
      <c r="E75" s="183">
        <f>IFERROR(VLOOKUP($B75,calc_data,E$14+1,0),0)</f>
        <v/>
      </c>
      <c r="F75" s="182">
        <f>IFERROR(VLOOKUP($B75,calc_data,F$14+1,0),0)</f>
        <v/>
      </c>
      <c r="G75" s="141">
        <f>IFERROR(VLOOKUP($B75,calc_data,G$14+1,0),0)</f>
        <v/>
      </c>
      <c r="H75" s="141">
        <f>IFERROR(VLOOKUP($B75,calc_data,H$14+1,0),0)</f>
        <v/>
      </c>
      <c r="I75" s="142">
        <f>IFERROR(VLOOKUP($B75,calc_data,I$14+1,0),0)</f>
        <v/>
      </c>
      <c r="J75" s="141">
        <f>IFERROR(VLOOKUP($B75,calc_data,J$14+1,0),0)</f>
        <v/>
      </c>
      <c r="K75" s="141">
        <f>IFERROR(VLOOKUP($B75,calc_data,K$14+1,0),0)</f>
        <v/>
      </c>
      <c r="L75" s="141">
        <f>IFERROR(VLOOKUP($B75,calc_data,L$14+1,0),0)</f>
        <v/>
      </c>
      <c r="M75" s="177">
        <f>IFERROR(VLOOKUP($B75,calc_data,M$14+1,0),0)</f>
        <v/>
      </c>
      <c r="N75" s="177">
        <f>IFERROR(VLOOKUP($B75,calc_data,N$14+1,0),0)</f>
        <v/>
      </c>
      <c r="O75" s="45" t="n"/>
      <c r="Q75" s="57">
        <f>IF(K75&gt;0,"показать","скрыть")</f>
        <v/>
      </c>
    </row>
    <row r="76" ht="15.75" customHeight="1">
      <c r="B76" s="182" t="n">
        <v>60</v>
      </c>
      <c r="C76" s="182">
        <f>IFERROR(VLOOKUP($B76,calc_data,C$14+1,0),0)</f>
        <v/>
      </c>
      <c r="D76" s="182">
        <f>IFERROR(VLOOKUP($B76,calc_data,D$14+1,0),0)</f>
        <v/>
      </c>
      <c r="E76" s="183">
        <f>IFERROR(VLOOKUP($B76,calc_data,E$14+1,0),0)</f>
        <v/>
      </c>
      <c r="F76" s="182">
        <f>IFERROR(VLOOKUP($B76,calc_data,F$14+1,0),0)</f>
        <v/>
      </c>
      <c r="G76" s="141">
        <f>IFERROR(VLOOKUP($B76,calc_data,G$14+1,0),0)</f>
        <v/>
      </c>
      <c r="H76" s="141">
        <f>IFERROR(VLOOKUP($B76,calc_data,H$14+1,0),0)</f>
        <v/>
      </c>
      <c r="I76" s="142">
        <f>IFERROR(VLOOKUP($B76,calc_data,I$14+1,0),0)</f>
        <v/>
      </c>
      <c r="J76" s="141">
        <f>IFERROR(VLOOKUP($B76,calc_data,J$14+1,0),0)</f>
        <v/>
      </c>
      <c r="K76" s="141">
        <f>IFERROR(VLOOKUP($B76,calc_data,K$14+1,0),0)</f>
        <v/>
      </c>
      <c r="L76" s="141">
        <f>IFERROR(VLOOKUP($B76,calc_data,L$14+1,0),0)</f>
        <v/>
      </c>
      <c r="M76" s="177">
        <f>IFERROR(VLOOKUP($B76,calc_data,M$14+1,0),0)</f>
        <v/>
      </c>
      <c r="N76" s="177">
        <f>IFERROR(VLOOKUP($B76,calc_data,N$14+1,0),0)</f>
        <v/>
      </c>
      <c r="O76" s="45" t="n"/>
      <c r="Q76" s="57">
        <f>IF(K76&gt;0,"показать","скрыть")</f>
        <v/>
      </c>
    </row>
    <row r="77" ht="15.75" customHeight="1">
      <c r="B77" s="182" t="n">
        <v>61</v>
      </c>
      <c r="C77" s="182">
        <f>IFERROR(VLOOKUP($B77,calc_data,C$14+1,0),0)</f>
        <v/>
      </c>
      <c r="D77" s="182">
        <f>IFERROR(VLOOKUP($B77,calc_data,D$14+1,0),0)</f>
        <v/>
      </c>
      <c r="E77" s="183">
        <f>IFERROR(VLOOKUP($B77,calc_data,E$14+1,0),0)</f>
        <v/>
      </c>
      <c r="F77" s="182">
        <f>IFERROR(VLOOKUP($B77,calc_data,F$14+1,0),0)</f>
        <v/>
      </c>
      <c r="G77" s="141">
        <f>IFERROR(VLOOKUP($B77,calc_data,G$14+1,0),0)</f>
        <v/>
      </c>
      <c r="H77" s="141">
        <f>IFERROR(VLOOKUP($B77,calc_data,H$14+1,0),0)</f>
        <v/>
      </c>
      <c r="I77" s="142">
        <f>IFERROR(VLOOKUP($B77,calc_data,I$14+1,0),0)</f>
        <v/>
      </c>
      <c r="J77" s="141">
        <f>IFERROR(VLOOKUP($B77,calc_data,J$14+1,0),0)</f>
        <v/>
      </c>
      <c r="K77" s="141">
        <f>IFERROR(VLOOKUP($B77,calc_data,K$14+1,0),0)</f>
        <v/>
      </c>
      <c r="L77" s="141">
        <f>IFERROR(VLOOKUP($B77,calc_data,L$14+1,0),0)</f>
        <v/>
      </c>
      <c r="M77" s="177">
        <f>IFERROR(VLOOKUP($B77,calc_data,M$14+1,0),0)</f>
        <v/>
      </c>
      <c r="N77" s="177">
        <f>IFERROR(VLOOKUP($B77,calc_data,N$14+1,0),0)</f>
        <v/>
      </c>
      <c r="O77" s="45" t="n"/>
      <c r="Q77" s="57">
        <f>IF(K77&gt;0,"показать","скрыть")</f>
        <v/>
      </c>
    </row>
    <row r="78" ht="15.75" customHeight="1">
      <c r="B78" s="182" t="n">
        <v>62</v>
      </c>
      <c r="C78" s="182">
        <f>IFERROR(VLOOKUP($B78,calc_data,C$14+1,0),0)</f>
        <v/>
      </c>
      <c r="D78" s="182">
        <f>IFERROR(VLOOKUP($B78,calc_data,D$14+1,0),0)</f>
        <v/>
      </c>
      <c r="E78" s="183">
        <f>IFERROR(VLOOKUP($B78,calc_data,E$14+1,0),0)</f>
        <v/>
      </c>
      <c r="F78" s="182">
        <f>IFERROR(VLOOKUP($B78,calc_data,F$14+1,0),0)</f>
        <v/>
      </c>
      <c r="G78" s="141">
        <f>IFERROR(VLOOKUP($B78,calc_data,G$14+1,0),0)</f>
        <v/>
      </c>
      <c r="H78" s="141">
        <f>IFERROR(VLOOKUP($B78,calc_data,H$14+1,0),0)</f>
        <v/>
      </c>
      <c r="I78" s="142">
        <f>IFERROR(VLOOKUP($B78,calc_data,I$14+1,0),0)</f>
        <v/>
      </c>
      <c r="J78" s="141">
        <f>IFERROR(VLOOKUP($B78,calc_data,J$14+1,0),0)</f>
        <v/>
      </c>
      <c r="K78" s="141">
        <f>IFERROR(VLOOKUP($B78,calc_data,K$14+1,0),0)</f>
        <v/>
      </c>
      <c r="L78" s="141">
        <f>IFERROR(VLOOKUP($B78,calc_data,L$14+1,0),0)</f>
        <v/>
      </c>
      <c r="M78" s="177">
        <f>IFERROR(VLOOKUP($B78,calc_data,M$14+1,0),0)</f>
        <v/>
      </c>
      <c r="N78" s="177">
        <f>IFERROR(VLOOKUP($B78,calc_data,N$14+1,0),0)</f>
        <v/>
      </c>
      <c r="O78" s="45" t="n"/>
      <c r="Q78" s="57">
        <f>IF(K78&gt;0,"показать","скрыть")</f>
        <v/>
      </c>
    </row>
    <row r="79" ht="15.75" customHeight="1">
      <c r="B79" s="182" t="n">
        <v>63</v>
      </c>
      <c r="C79" s="182">
        <f>IFERROR(VLOOKUP($B79,calc_data,C$14+1,0),0)</f>
        <v/>
      </c>
      <c r="D79" s="182">
        <f>IFERROR(VLOOKUP($B79,calc_data,D$14+1,0),0)</f>
        <v/>
      </c>
      <c r="E79" s="183">
        <f>IFERROR(VLOOKUP($B79,calc_data,E$14+1,0),0)</f>
        <v/>
      </c>
      <c r="F79" s="182">
        <f>IFERROR(VLOOKUP($B79,calc_data,F$14+1,0),0)</f>
        <v/>
      </c>
      <c r="G79" s="141">
        <f>IFERROR(VLOOKUP($B79,calc_data,G$14+1,0),0)</f>
        <v/>
      </c>
      <c r="H79" s="141">
        <f>IFERROR(VLOOKUP($B79,calc_data,H$14+1,0),0)</f>
        <v/>
      </c>
      <c r="I79" s="142">
        <f>IFERROR(VLOOKUP($B79,calc_data,I$14+1,0),0)</f>
        <v/>
      </c>
      <c r="J79" s="141">
        <f>IFERROR(VLOOKUP($B79,calc_data,J$14+1,0),0)</f>
        <v/>
      </c>
      <c r="K79" s="141">
        <f>IFERROR(VLOOKUP($B79,calc_data,K$14+1,0),0)</f>
        <v/>
      </c>
      <c r="L79" s="141">
        <f>IFERROR(VLOOKUP($B79,calc_data,L$14+1,0),0)</f>
        <v/>
      </c>
      <c r="M79" s="177">
        <f>IFERROR(VLOOKUP($B79,calc_data,M$14+1,0),0)</f>
        <v/>
      </c>
      <c r="N79" s="177">
        <f>IFERROR(VLOOKUP($B79,calc_data,N$14+1,0),0)</f>
        <v/>
      </c>
      <c r="O79" s="45" t="n"/>
      <c r="Q79" s="57">
        <f>IF(K79&gt;0,"показать","скрыть")</f>
        <v/>
      </c>
    </row>
    <row r="80" ht="15.75" customHeight="1">
      <c r="B80" s="182" t="n">
        <v>64</v>
      </c>
      <c r="C80" s="182">
        <f>IFERROR(VLOOKUP($B80,calc_data,C$14+1,0),0)</f>
        <v/>
      </c>
      <c r="D80" s="182">
        <f>IFERROR(VLOOKUP($B80,calc_data,D$14+1,0),0)</f>
        <v/>
      </c>
      <c r="E80" s="183">
        <f>IFERROR(VLOOKUP($B80,calc_data,E$14+1,0),0)</f>
        <v/>
      </c>
      <c r="F80" s="182">
        <f>IFERROR(VLOOKUP($B80,calc_data,F$14+1,0),0)</f>
        <v/>
      </c>
      <c r="G80" s="141">
        <f>IFERROR(VLOOKUP($B80,calc_data,G$14+1,0),0)</f>
        <v/>
      </c>
      <c r="H80" s="141">
        <f>IFERROR(VLOOKUP($B80,calc_data,H$14+1,0),0)</f>
        <v/>
      </c>
      <c r="I80" s="142">
        <f>IFERROR(VLOOKUP($B80,calc_data,I$14+1,0),0)</f>
        <v/>
      </c>
      <c r="J80" s="141">
        <f>IFERROR(VLOOKUP($B80,calc_data,J$14+1,0),0)</f>
        <v/>
      </c>
      <c r="K80" s="141">
        <f>IFERROR(VLOOKUP($B80,calc_data,K$14+1,0),0)</f>
        <v/>
      </c>
      <c r="L80" s="141">
        <f>IFERROR(VLOOKUP($B80,calc_data,L$14+1,0),0)</f>
        <v/>
      </c>
      <c r="M80" s="177">
        <f>IFERROR(VLOOKUP($B80,calc_data,M$14+1,0),0)</f>
        <v/>
      </c>
      <c r="N80" s="177">
        <f>IFERROR(VLOOKUP($B80,calc_data,N$14+1,0),0)</f>
        <v/>
      </c>
      <c r="O80" s="45" t="n"/>
      <c r="Q80" s="57">
        <f>IF(K80&gt;0,"показать","скрыть")</f>
        <v/>
      </c>
    </row>
    <row r="81" ht="15.75" customHeight="1">
      <c r="B81" s="182" t="n">
        <v>65</v>
      </c>
      <c r="C81" s="182">
        <f>IFERROR(VLOOKUP($B81,calc_data,C$14+1,0),0)</f>
        <v/>
      </c>
      <c r="D81" s="182">
        <f>IFERROR(VLOOKUP($B81,calc_data,D$14+1,0),0)</f>
        <v/>
      </c>
      <c r="E81" s="183">
        <f>IFERROR(VLOOKUP($B81,calc_data,E$14+1,0),0)</f>
        <v/>
      </c>
      <c r="F81" s="182">
        <f>IFERROR(VLOOKUP($B81,calc_data,F$14+1,0),0)</f>
        <v/>
      </c>
      <c r="G81" s="141">
        <f>IFERROR(VLOOKUP($B81,calc_data,G$14+1,0),0)</f>
        <v/>
      </c>
      <c r="H81" s="141">
        <f>IFERROR(VLOOKUP($B81,calc_data,H$14+1,0),0)</f>
        <v/>
      </c>
      <c r="I81" s="142">
        <f>IFERROR(VLOOKUP($B81,calc_data,I$14+1,0),0)</f>
        <v/>
      </c>
      <c r="J81" s="141">
        <f>IFERROR(VLOOKUP($B81,calc_data,J$14+1,0),0)</f>
        <v/>
      </c>
      <c r="K81" s="141">
        <f>IFERROR(VLOOKUP($B81,calc_data,K$14+1,0),0)</f>
        <v/>
      </c>
      <c r="L81" s="141">
        <f>IFERROR(VLOOKUP($B81,calc_data,L$14+1,0),0)</f>
        <v/>
      </c>
      <c r="M81" s="177">
        <f>IFERROR(VLOOKUP($B81,calc_data,M$14+1,0),0)</f>
        <v/>
      </c>
      <c r="N81" s="177">
        <f>IFERROR(VLOOKUP($B81,calc_data,N$14+1,0),0)</f>
        <v/>
      </c>
      <c r="O81" s="45" t="n"/>
      <c r="Q81" s="57">
        <f>IF(K81&gt;0,"показать","скрыть")</f>
        <v/>
      </c>
    </row>
    <row r="82" ht="15.75" customHeight="1">
      <c r="B82" s="182" t="n">
        <v>66</v>
      </c>
      <c r="C82" s="182">
        <f>IFERROR(VLOOKUP($B82,calc_data,C$14+1,0),0)</f>
        <v/>
      </c>
      <c r="D82" s="182">
        <f>IFERROR(VLOOKUP($B82,calc_data,D$14+1,0),0)</f>
        <v/>
      </c>
      <c r="E82" s="183">
        <f>IFERROR(VLOOKUP($B82,calc_data,E$14+1,0),0)</f>
        <v/>
      </c>
      <c r="F82" s="182">
        <f>IFERROR(VLOOKUP($B82,calc_data,F$14+1,0),0)</f>
        <v/>
      </c>
      <c r="G82" s="141">
        <f>IFERROR(VLOOKUP($B82,calc_data,G$14+1,0),0)</f>
        <v/>
      </c>
      <c r="H82" s="141">
        <f>IFERROR(VLOOKUP($B82,calc_data,H$14+1,0),0)</f>
        <v/>
      </c>
      <c r="I82" s="142">
        <f>IFERROR(VLOOKUP($B82,calc_data,I$14+1,0),0)</f>
        <v/>
      </c>
      <c r="J82" s="141">
        <f>IFERROR(VLOOKUP($B82,calc_data,J$14+1,0),0)</f>
        <v/>
      </c>
      <c r="K82" s="141">
        <f>IFERROR(VLOOKUP($B82,calc_data,K$14+1,0),0)</f>
        <v/>
      </c>
      <c r="L82" s="141">
        <f>IFERROR(VLOOKUP($B82,calc_data,L$14+1,0),0)</f>
        <v/>
      </c>
      <c r="M82" s="177">
        <f>IFERROR(VLOOKUP($B82,calc_data,M$14+1,0),0)</f>
        <v/>
      </c>
      <c r="N82" s="177">
        <f>IFERROR(VLOOKUP($B82,calc_data,N$14+1,0),0)</f>
        <v/>
      </c>
      <c r="O82" s="45" t="n"/>
      <c r="Q82" s="57">
        <f>IF(K82&gt;0,"показать","скрыть")</f>
        <v/>
      </c>
    </row>
    <row r="83" ht="15.75" customHeight="1">
      <c r="B83" s="182" t="n">
        <v>67</v>
      </c>
      <c r="C83" s="182">
        <f>IFERROR(VLOOKUP($B83,calc_data,C$14+1,0),0)</f>
        <v/>
      </c>
      <c r="D83" s="182">
        <f>IFERROR(VLOOKUP($B83,calc_data,D$14+1,0),0)</f>
        <v/>
      </c>
      <c r="E83" s="183">
        <f>IFERROR(VLOOKUP($B83,calc_data,E$14+1,0),0)</f>
        <v/>
      </c>
      <c r="F83" s="182">
        <f>IFERROR(VLOOKUP($B83,calc_data,F$14+1,0),0)</f>
        <v/>
      </c>
      <c r="G83" s="141">
        <f>IFERROR(VLOOKUP($B83,calc_data,G$14+1,0),0)</f>
        <v/>
      </c>
      <c r="H83" s="141">
        <f>IFERROR(VLOOKUP($B83,calc_data,H$14+1,0),0)</f>
        <v/>
      </c>
      <c r="I83" s="142">
        <f>IFERROR(VLOOKUP($B83,calc_data,I$14+1,0),0)</f>
        <v/>
      </c>
      <c r="J83" s="141">
        <f>IFERROR(VLOOKUP($B83,calc_data,J$14+1,0),0)</f>
        <v/>
      </c>
      <c r="K83" s="141">
        <f>IFERROR(VLOOKUP($B83,calc_data,K$14+1,0),0)</f>
        <v/>
      </c>
      <c r="L83" s="141">
        <f>IFERROR(VLOOKUP($B83,calc_data,L$14+1,0),0)</f>
        <v/>
      </c>
      <c r="M83" s="177">
        <f>IFERROR(VLOOKUP($B83,calc_data,M$14+1,0),0)</f>
        <v/>
      </c>
      <c r="N83" s="177">
        <f>IFERROR(VLOOKUP($B83,calc_data,N$14+1,0),0)</f>
        <v/>
      </c>
      <c r="O83" s="45" t="n"/>
      <c r="Q83" s="57">
        <f>IF(K83&gt;0,"показать","скрыть")</f>
        <v/>
      </c>
    </row>
    <row r="84" ht="15.75" customHeight="1">
      <c r="B84" s="182" t="n">
        <v>68</v>
      </c>
      <c r="C84" s="182">
        <f>IFERROR(VLOOKUP($B84,calc_data,C$14+1,0),0)</f>
        <v/>
      </c>
      <c r="D84" s="182">
        <f>IFERROR(VLOOKUP($B84,calc_data,D$14+1,0),0)</f>
        <v/>
      </c>
      <c r="E84" s="183">
        <f>IFERROR(VLOOKUP($B84,calc_data,E$14+1,0),0)</f>
        <v/>
      </c>
      <c r="F84" s="182">
        <f>IFERROR(VLOOKUP($B84,calc_data,F$14+1,0),0)</f>
        <v/>
      </c>
      <c r="G84" s="141">
        <f>IFERROR(VLOOKUP($B84,calc_data,G$14+1,0),0)</f>
        <v/>
      </c>
      <c r="H84" s="141">
        <f>IFERROR(VLOOKUP($B84,calc_data,H$14+1,0),0)</f>
        <v/>
      </c>
      <c r="I84" s="142">
        <f>IFERROR(VLOOKUP($B84,calc_data,I$14+1,0),0)</f>
        <v/>
      </c>
      <c r="J84" s="141">
        <f>IFERROR(VLOOKUP($B84,calc_data,J$14+1,0),0)</f>
        <v/>
      </c>
      <c r="K84" s="141">
        <f>IFERROR(VLOOKUP($B84,calc_data,K$14+1,0),0)</f>
        <v/>
      </c>
      <c r="L84" s="141">
        <f>IFERROR(VLOOKUP($B84,calc_data,L$14+1,0),0)</f>
        <v/>
      </c>
      <c r="M84" s="177">
        <f>IFERROR(VLOOKUP($B84,calc_data,M$14+1,0),0)</f>
        <v/>
      </c>
      <c r="N84" s="177">
        <f>IFERROR(VLOOKUP($B84,calc_data,N$14+1,0),0)</f>
        <v/>
      </c>
      <c r="O84" s="45" t="n"/>
      <c r="Q84" s="57">
        <f>IF(K84&gt;0,"показать","скрыть")</f>
        <v/>
      </c>
    </row>
    <row r="85" ht="15.75" customHeight="1">
      <c r="B85" s="182" t="n">
        <v>69</v>
      </c>
      <c r="C85" s="182">
        <f>IFERROR(VLOOKUP($B85,calc_data,C$14+1,0),0)</f>
        <v/>
      </c>
      <c r="D85" s="182">
        <f>IFERROR(VLOOKUP($B85,calc_data,D$14+1,0),0)</f>
        <v/>
      </c>
      <c r="E85" s="183">
        <f>IFERROR(VLOOKUP($B85,calc_data,E$14+1,0),0)</f>
        <v/>
      </c>
      <c r="F85" s="182">
        <f>IFERROR(VLOOKUP($B85,calc_data,F$14+1,0),0)</f>
        <v/>
      </c>
      <c r="G85" s="141">
        <f>IFERROR(VLOOKUP($B85,calc_data,G$14+1,0),0)</f>
        <v/>
      </c>
      <c r="H85" s="141">
        <f>IFERROR(VLOOKUP($B85,calc_data,H$14+1,0),0)</f>
        <v/>
      </c>
      <c r="I85" s="142">
        <f>IFERROR(VLOOKUP($B85,calc_data,I$14+1,0),0)</f>
        <v/>
      </c>
      <c r="J85" s="141">
        <f>IFERROR(VLOOKUP($B85,calc_data,J$14+1,0),0)</f>
        <v/>
      </c>
      <c r="K85" s="141">
        <f>IFERROR(VLOOKUP($B85,calc_data,K$14+1,0),0)</f>
        <v/>
      </c>
      <c r="L85" s="141">
        <f>IFERROR(VLOOKUP($B85,calc_data,L$14+1,0),0)</f>
        <v/>
      </c>
      <c r="M85" s="177">
        <f>IFERROR(VLOOKUP($B85,calc_data,M$14+1,0),0)</f>
        <v/>
      </c>
      <c r="N85" s="177">
        <f>IFERROR(VLOOKUP($B85,calc_data,N$14+1,0),0)</f>
        <v/>
      </c>
      <c r="O85" s="45" t="n"/>
      <c r="Q85" s="57">
        <f>IF(K85&gt;0,"показать","скрыть")</f>
        <v/>
      </c>
    </row>
    <row r="86" ht="15.75" customHeight="1">
      <c r="B86" s="182" t="n">
        <v>70</v>
      </c>
      <c r="C86" s="182">
        <f>IFERROR(VLOOKUP($B86,calc_data,C$14+1,0),0)</f>
        <v/>
      </c>
      <c r="D86" s="182">
        <f>IFERROR(VLOOKUP($B86,calc_data,D$14+1,0),0)</f>
        <v/>
      </c>
      <c r="E86" s="183">
        <f>IFERROR(VLOOKUP($B86,calc_data,E$14+1,0),0)</f>
        <v/>
      </c>
      <c r="F86" s="182">
        <f>IFERROR(VLOOKUP($B86,calc_data,F$14+1,0),0)</f>
        <v/>
      </c>
      <c r="G86" s="141">
        <f>IFERROR(VLOOKUP($B86,calc_data,G$14+1,0),0)</f>
        <v/>
      </c>
      <c r="H86" s="141">
        <f>IFERROR(VLOOKUP($B86,calc_data,H$14+1,0),0)</f>
        <v/>
      </c>
      <c r="I86" s="142">
        <f>IFERROR(VLOOKUP($B86,calc_data,I$14+1,0),0)</f>
        <v/>
      </c>
      <c r="J86" s="141">
        <f>IFERROR(VLOOKUP($B86,calc_data,J$14+1,0),0)</f>
        <v/>
      </c>
      <c r="K86" s="141">
        <f>IFERROR(VLOOKUP($B86,calc_data,K$14+1,0),0)</f>
        <v/>
      </c>
      <c r="L86" s="141">
        <f>IFERROR(VLOOKUP($B86,calc_data,L$14+1,0),0)</f>
        <v/>
      </c>
      <c r="M86" s="177">
        <f>IFERROR(VLOOKUP($B86,calc_data,M$14+1,0),0)</f>
        <v/>
      </c>
      <c r="N86" s="177">
        <f>IFERROR(VLOOKUP($B86,calc_data,N$14+1,0),0)</f>
        <v/>
      </c>
      <c r="O86" s="45" t="n"/>
      <c r="Q86" s="57">
        <f>IF(K86&gt;0,"показать","скрыть")</f>
        <v/>
      </c>
    </row>
    <row r="87" ht="15.75" customHeight="1">
      <c r="B87" s="182" t="n">
        <v>71</v>
      </c>
      <c r="C87" s="182">
        <f>IFERROR(VLOOKUP($B87,calc_data,C$14+1,0),0)</f>
        <v/>
      </c>
      <c r="D87" s="182">
        <f>IFERROR(VLOOKUP($B87,calc_data,D$14+1,0),0)</f>
        <v/>
      </c>
      <c r="E87" s="183">
        <f>IFERROR(VLOOKUP($B87,calc_data,E$14+1,0),0)</f>
        <v/>
      </c>
      <c r="F87" s="182">
        <f>IFERROR(VLOOKUP($B87,calc_data,F$14+1,0),0)</f>
        <v/>
      </c>
      <c r="G87" s="141">
        <f>IFERROR(VLOOKUP($B87,calc_data,G$14+1,0),0)</f>
        <v/>
      </c>
      <c r="H87" s="141">
        <f>IFERROR(VLOOKUP($B87,calc_data,H$14+1,0),0)</f>
        <v/>
      </c>
      <c r="I87" s="142">
        <f>IFERROR(VLOOKUP($B87,calc_data,I$14+1,0),0)</f>
        <v/>
      </c>
      <c r="J87" s="141">
        <f>IFERROR(VLOOKUP($B87,calc_data,J$14+1,0),0)</f>
        <v/>
      </c>
      <c r="K87" s="141">
        <f>IFERROR(VLOOKUP($B87,calc_data,K$14+1,0),0)</f>
        <v/>
      </c>
      <c r="L87" s="141">
        <f>IFERROR(VLOOKUP($B87,calc_data,L$14+1,0),0)</f>
        <v/>
      </c>
      <c r="M87" s="177">
        <f>IFERROR(VLOOKUP($B87,calc_data,M$14+1,0),0)</f>
        <v/>
      </c>
      <c r="N87" s="177">
        <f>IFERROR(VLOOKUP($B87,calc_data,N$14+1,0),0)</f>
        <v/>
      </c>
      <c r="O87" s="45" t="n"/>
      <c r="Q87" s="57">
        <f>IF(K87&gt;0,"показать","скрыть")</f>
        <v/>
      </c>
    </row>
    <row r="88" ht="15.75" customHeight="1">
      <c r="B88" s="182" t="n">
        <v>72</v>
      </c>
      <c r="C88" s="182">
        <f>IFERROR(VLOOKUP($B88,calc_data,C$14+1,0),0)</f>
        <v/>
      </c>
      <c r="D88" s="182">
        <f>IFERROR(VLOOKUP($B88,calc_data,D$14+1,0),0)</f>
        <v/>
      </c>
      <c r="E88" s="183">
        <f>IFERROR(VLOOKUP($B88,calc_data,E$14+1,0),0)</f>
        <v/>
      </c>
      <c r="F88" s="182">
        <f>IFERROR(VLOOKUP($B88,calc_data,F$14+1,0),0)</f>
        <v/>
      </c>
      <c r="G88" s="141">
        <f>IFERROR(VLOOKUP($B88,calc_data,G$14+1,0),0)</f>
        <v/>
      </c>
      <c r="H88" s="141">
        <f>IFERROR(VLOOKUP($B88,calc_data,H$14+1,0),0)</f>
        <v/>
      </c>
      <c r="I88" s="142">
        <f>IFERROR(VLOOKUP($B88,calc_data,I$14+1,0),0)</f>
        <v/>
      </c>
      <c r="J88" s="141">
        <f>IFERROR(VLOOKUP($B88,calc_data,J$14+1,0),0)</f>
        <v/>
      </c>
      <c r="K88" s="141">
        <f>IFERROR(VLOOKUP($B88,calc_data,K$14+1,0),0)</f>
        <v/>
      </c>
      <c r="L88" s="141">
        <f>IFERROR(VLOOKUP($B88,calc_data,L$14+1,0),0)</f>
        <v/>
      </c>
      <c r="M88" s="177">
        <f>IFERROR(VLOOKUP($B88,calc_data,M$14+1,0),0)</f>
        <v/>
      </c>
      <c r="N88" s="177">
        <f>IFERROR(VLOOKUP($B88,calc_data,N$14+1,0),0)</f>
        <v/>
      </c>
      <c r="O88" s="45" t="n"/>
      <c r="Q88" s="57">
        <f>IF(K88&gt;0,"показать","скрыть")</f>
        <v/>
      </c>
    </row>
    <row r="89" ht="15.75" customHeight="1">
      <c r="B89" s="182" t="n">
        <v>73</v>
      </c>
      <c r="C89" s="182">
        <f>IFERROR(VLOOKUP($B89,calc_data,C$14+1,0),0)</f>
        <v/>
      </c>
      <c r="D89" s="182">
        <f>IFERROR(VLOOKUP($B89,calc_data,D$14+1,0),0)</f>
        <v/>
      </c>
      <c r="E89" s="183">
        <f>IFERROR(VLOOKUP($B89,calc_data,E$14+1,0),0)</f>
        <v/>
      </c>
      <c r="F89" s="182">
        <f>IFERROR(VLOOKUP($B89,calc_data,F$14+1,0),0)</f>
        <v/>
      </c>
      <c r="G89" s="141">
        <f>IFERROR(VLOOKUP($B89,calc_data,G$14+1,0),0)</f>
        <v/>
      </c>
      <c r="H89" s="141">
        <f>IFERROR(VLOOKUP($B89,calc_data,H$14+1,0),0)</f>
        <v/>
      </c>
      <c r="I89" s="142">
        <f>IFERROR(VLOOKUP($B89,calc_data,I$14+1,0),0)</f>
        <v/>
      </c>
      <c r="J89" s="141">
        <f>IFERROR(VLOOKUP($B89,calc_data,J$14+1,0),0)</f>
        <v/>
      </c>
      <c r="K89" s="141">
        <f>IFERROR(VLOOKUP($B89,calc_data,K$14+1,0),0)</f>
        <v/>
      </c>
      <c r="L89" s="141">
        <f>IFERROR(VLOOKUP($B89,calc_data,L$14+1,0),0)</f>
        <v/>
      </c>
      <c r="M89" s="177">
        <f>IFERROR(VLOOKUP($B89,calc_data,M$14+1,0),0)</f>
        <v/>
      </c>
      <c r="N89" s="177">
        <f>IFERROR(VLOOKUP($B89,calc_data,N$14+1,0),0)</f>
        <v/>
      </c>
      <c r="O89" s="45" t="n"/>
      <c r="Q89" s="57">
        <f>IF(K89&gt;0,"показать","скрыть")</f>
        <v/>
      </c>
    </row>
    <row r="90" ht="15.75" customHeight="1">
      <c r="B90" s="182" t="n">
        <v>74</v>
      </c>
      <c r="C90" s="182">
        <f>IFERROR(VLOOKUP($B90,calc_data,C$14+1,0),0)</f>
        <v/>
      </c>
      <c r="D90" s="182">
        <f>IFERROR(VLOOKUP($B90,calc_data,D$14+1,0),0)</f>
        <v/>
      </c>
      <c r="E90" s="183">
        <f>IFERROR(VLOOKUP($B90,calc_data,E$14+1,0),0)</f>
        <v/>
      </c>
      <c r="F90" s="182">
        <f>IFERROR(VLOOKUP($B90,calc_data,F$14+1,0),0)</f>
        <v/>
      </c>
      <c r="G90" s="141">
        <f>IFERROR(VLOOKUP($B90,calc_data,G$14+1,0),0)</f>
        <v/>
      </c>
      <c r="H90" s="141">
        <f>IFERROR(VLOOKUP($B90,calc_data,H$14+1,0),0)</f>
        <v/>
      </c>
      <c r="I90" s="142">
        <f>IFERROR(VLOOKUP($B90,calc_data,I$14+1,0),0)</f>
        <v/>
      </c>
      <c r="J90" s="141">
        <f>IFERROR(VLOOKUP($B90,calc_data,J$14+1,0),0)</f>
        <v/>
      </c>
      <c r="K90" s="141">
        <f>IFERROR(VLOOKUP($B90,calc_data,K$14+1,0),0)</f>
        <v/>
      </c>
      <c r="L90" s="141">
        <f>IFERROR(VLOOKUP($B90,calc_data,L$14+1,0),0)</f>
        <v/>
      </c>
      <c r="M90" s="177">
        <f>IFERROR(VLOOKUP($B90,calc_data,M$14+1,0),0)</f>
        <v/>
      </c>
      <c r="N90" s="177">
        <f>IFERROR(VLOOKUP($B90,calc_data,N$14+1,0),0)</f>
        <v/>
      </c>
      <c r="O90" s="45" t="n"/>
      <c r="Q90" s="57">
        <f>IF(K90&gt;0,"показать","скрыть")</f>
        <v/>
      </c>
    </row>
    <row r="91" ht="15.75" customHeight="1">
      <c r="B91" s="182" t="n">
        <v>75</v>
      </c>
      <c r="C91" s="182">
        <f>IFERROR(VLOOKUP($B91,calc_data,C$14+1,0),0)</f>
        <v/>
      </c>
      <c r="D91" s="182">
        <f>IFERROR(VLOOKUP($B91,calc_data,D$14+1,0),0)</f>
        <v/>
      </c>
      <c r="E91" s="183">
        <f>IFERROR(VLOOKUP($B91,calc_data,E$14+1,0),0)</f>
        <v/>
      </c>
      <c r="F91" s="182">
        <f>IFERROR(VLOOKUP($B91,calc_data,F$14+1,0),0)</f>
        <v/>
      </c>
      <c r="G91" s="141">
        <f>IFERROR(VLOOKUP($B91,calc_data,G$14+1,0),0)</f>
        <v/>
      </c>
      <c r="H91" s="141">
        <f>IFERROR(VLOOKUP($B91,calc_data,H$14+1,0),0)</f>
        <v/>
      </c>
      <c r="I91" s="142">
        <f>IFERROR(VLOOKUP($B91,calc_data,I$14+1,0),0)</f>
        <v/>
      </c>
      <c r="J91" s="141">
        <f>IFERROR(VLOOKUP($B91,calc_data,J$14+1,0),0)</f>
        <v/>
      </c>
      <c r="K91" s="141">
        <f>IFERROR(VLOOKUP($B91,calc_data,K$14+1,0),0)</f>
        <v/>
      </c>
      <c r="L91" s="141">
        <f>IFERROR(VLOOKUP($B91,calc_data,L$14+1,0),0)</f>
        <v/>
      </c>
      <c r="M91" s="177">
        <f>IFERROR(VLOOKUP($B91,calc_data,M$14+1,0),0)</f>
        <v/>
      </c>
      <c r="N91" s="177">
        <f>IFERROR(VLOOKUP($B91,calc_data,N$14+1,0),0)</f>
        <v/>
      </c>
      <c r="O91" s="45" t="n"/>
      <c r="Q91" s="57">
        <f>IF(K91&gt;0,"показать","скрыть")</f>
        <v/>
      </c>
    </row>
    <row r="92" ht="15.75" customHeight="1">
      <c r="B92" s="182" t="n">
        <v>76</v>
      </c>
      <c r="C92" s="182">
        <f>IFERROR(VLOOKUP($B92,calc_data,C$14+1,0),0)</f>
        <v/>
      </c>
      <c r="D92" s="182">
        <f>IFERROR(VLOOKUP($B92,calc_data,D$14+1,0),0)</f>
        <v/>
      </c>
      <c r="E92" s="183">
        <f>IFERROR(VLOOKUP($B92,calc_data,E$14+1,0),0)</f>
        <v/>
      </c>
      <c r="F92" s="182">
        <f>IFERROR(VLOOKUP($B92,calc_data,F$14+1,0),0)</f>
        <v/>
      </c>
      <c r="G92" s="141">
        <f>IFERROR(VLOOKUP($B92,calc_data,G$14+1,0),0)</f>
        <v/>
      </c>
      <c r="H92" s="141">
        <f>IFERROR(VLOOKUP($B92,calc_data,H$14+1,0),0)</f>
        <v/>
      </c>
      <c r="I92" s="142">
        <f>IFERROR(VLOOKUP($B92,calc_data,I$14+1,0),0)</f>
        <v/>
      </c>
      <c r="J92" s="141">
        <f>IFERROR(VLOOKUP($B92,calc_data,J$14+1,0),0)</f>
        <v/>
      </c>
      <c r="K92" s="141">
        <f>IFERROR(VLOOKUP($B92,calc_data,K$14+1,0),0)</f>
        <v/>
      </c>
      <c r="L92" s="141">
        <f>IFERROR(VLOOKUP($B92,calc_data,L$14+1,0),0)</f>
        <v/>
      </c>
      <c r="M92" s="177">
        <f>IFERROR(VLOOKUP($B92,calc_data,M$14+1,0),0)</f>
        <v/>
      </c>
      <c r="N92" s="177">
        <f>IFERROR(VLOOKUP($B92,calc_data,N$14+1,0),0)</f>
        <v/>
      </c>
      <c r="O92" s="45" t="n"/>
      <c r="Q92" s="57">
        <f>IF(K92&gt;0,"показать","скрыть")</f>
        <v/>
      </c>
    </row>
    <row r="93" ht="15.75" customHeight="1">
      <c r="B93" s="182" t="n">
        <v>77</v>
      </c>
      <c r="C93" s="182">
        <f>IFERROR(VLOOKUP($B93,calc_data,C$14+1,0),0)</f>
        <v/>
      </c>
      <c r="D93" s="182">
        <f>IFERROR(VLOOKUP($B93,calc_data,D$14+1,0),0)</f>
        <v/>
      </c>
      <c r="E93" s="183">
        <f>IFERROR(VLOOKUP($B93,calc_data,E$14+1,0),0)</f>
        <v/>
      </c>
      <c r="F93" s="182">
        <f>IFERROR(VLOOKUP($B93,calc_data,F$14+1,0),0)</f>
        <v/>
      </c>
      <c r="G93" s="141">
        <f>IFERROR(VLOOKUP($B93,calc_data,G$14+1,0),0)</f>
        <v/>
      </c>
      <c r="H93" s="141">
        <f>IFERROR(VLOOKUP($B93,calc_data,H$14+1,0),0)</f>
        <v/>
      </c>
      <c r="I93" s="142">
        <f>IFERROR(VLOOKUP($B93,calc_data,I$14+1,0),0)</f>
        <v/>
      </c>
      <c r="J93" s="141">
        <f>IFERROR(VLOOKUP($B93,calc_data,J$14+1,0),0)</f>
        <v/>
      </c>
      <c r="K93" s="141">
        <f>IFERROR(VLOOKUP($B93,calc_data,K$14+1,0),0)</f>
        <v/>
      </c>
      <c r="L93" s="141">
        <f>IFERROR(VLOOKUP($B93,calc_data,L$14+1,0),0)</f>
        <v/>
      </c>
      <c r="M93" s="177">
        <f>IFERROR(VLOOKUP($B93,calc_data,M$14+1,0),0)</f>
        <v/>
      </c>
      <c r="N93" s="177">
        <f>IFERROR(VLOOKUP($B93,calc_data,N$14+1,0),0)</f>
        <v/>
      </c>
      <c r="O93" s="45" t="n"/>
      <c r="Q93" s="57">
        <f>IF(K93&gt;0,"показать","скрыть")</f>
        <v/>
      </c>
    </row>
    <row r="94" ht="15.75" customHeight="1">
      <c r="B94" s="182" t="n">
        <v>78</v>
      </c>
      <c r="C94" s="182">
        <f>IFERROR(VLOOKUP($B94,calc_data,C$14+1,0),0)</f>
        <v/>
      </c>
      <c r="D94" s="182">
        <f>IFERROR(VLOOKUP($B94,calc_data,D$14+1,0),0)</f>
        <v/>
      </c>
      <c r="E94" s="183">
        <f>IFERROR(VLOOKUP($B94,calc_data,E$14+1,0),0)</f>
        <v/>
      </c>
      <c r="F94" s="182">
        <f>IFERROR(VLOOKUP($B94,calc_data,F$14+1,0),0)</f>
        <v/>
      </c>
      <c r="G94" s="141">
        <f>IFERROR(VLOOKUP($B94,calc_data,G$14+1,0),0)</f>
        <v/>
      </c>
      <c r="H94" s="141">
        <f>IFERROR(VLOOKUP($B94,calc_data,H$14+1,0),0)</f>
        <v/>
      </c>
      <c r="I94" s="142">
        <f>IFERROR(VLOOKUP($B94,calc_data,I$14+1,0),0)</f>
        <v/>
      </c>
      <c r="J94" s="141">
        <f>IFERROR(VLOOKUP($B94,calc_data,J$14+1,0),0)</f>
        <v/>
      </c>
      <c r="K94" s="141">
        <f>IFERROR(VLOOKUP($B94,calc_data,K$14+1,0),0)</f>
        <v/>
      </c>
      <c r="L94" s="141">
        <f>IFERROR(VLOOKUP($B94,calc_data,L$14+1,0),0)</f>
        <v/>
      </c>
      <c r="M94" s="177">
        <f>IFERROR(VLOOKUP($B94,calc_data,M$14+1,0),0)</f>
        <v/>
      </c>
      <c r="N94" s="177">
        <f>IFERROR(VLOOKUP($B94,calc_data,N$14+1,0),0)</f>
        <v/>
      </c>
      <c r="O94" s="45" t="n"/>
      <c r="Q94" s="57">
        <f>IF(K94&gt;0,"показать","скрыть")</f>
        <v/>
      </c>
    </row>
    <row r="95" ht="15.75" customHeight="1">
      <c r="B95" s="182" t="n">
        <v>79</v>
      </c>
      <c r="C95" s="182">
        <f>IFERROR(VLOOKUP($B95,calc_data,C$14+1,0),0)</f>
        <v/>
      </c>
      <c r="D95" s="182">
        <f>IFERROR(VLOOKUP($B95,calc_data,D$14+1,0),0)</f>
        <v/>
      </c>
      <c r="E95" s="183">
        <f>IFERROR(VLOOKUP($B95,calc_data,E$14+1,0),0)</f>
        <v/>
      </c>
      <c r="F95" s="182">
        <f>IFERROR(VLOOKUP($B95,calc_data,F$14+1,0),0)</f>
        <v/>
      </c>
      <c r="G95" s="141">
        <f>IFERROR(VLOOKUP($B95,calc_data,G$14+1,0),0)</f>
        <v/>
      </c>
      <c r="H95" s="141">
        <f>IFERROR(VLOOKUP($B95,calc_data,H$14+1,0),0)</f>
        <v/>
      </c>
      <c r="I95" s="142">
        <f>IFERROR(VLOOKUP($B95,calc_data,I$14+1,0),0)</f>
        <v/>
      </c>
      <c r="J95" s="141">
        <f>IFERROR(VLOOKUP($B95,calc_data,J$14+1,0),0)</f>
        <v/>
      </c>
      <c r="K95" s="141">
        <f>IFERROR(VLOOKUP($B95,calc_data,K$14+1,0),0)</f>
        <v/>
      </c>
      <c r="L95" s="141">
        <f>IFERROR(VLOOKUP($B95,calc_data,L$14+1,0),0)</f>
        <v/>
      </c>
      <c r="M95" s="177">
        <f>IFERROR(VLOOKUP($B95,calc_data,M$14+1,0),0)</f>
        <v/>
      </c>
      <c r="N95" s="177">
        <f>IFERROR(VLOOKUP($B95,calc_data,N$14+1,0),0)</f>
        <v/>
      </c>
      <c r="O95" s="45" t="n"/>
      <c r="Q95" s="57">
        <f>IF(K95&gt;0,"показать","скрыть")</f>
        <v/>
      </c>
    </row>
    <row r="96" ht="15.75" customHeight="1">
      <c r="B96" s="182" t="n">
        <v>80</v>
      </c>
      <c r="C96" s="182">
        <f>IFERROR(VLOOKUP($B96,calc_data,C$14+1,0),0)</f>
        <v/>
      </c>
      <c r="D96" s="182">
        <f>IFERROR(VLOOKUP($B96,calc_data,D$14+1,0),0)</f>
        <v/>
      </c>
      <c r="E96" s="183">
        <f>IFERROR(VLOOKUP($B96,calc_data,E$14+1,0),0)</f>
        <v/>
      </c>
      <c r="F96" s="182">
        <f>IFERROR(VLOOKUP($B96,calc_data,F$14+1,0),0)</f>
        <v/>
      </c>
      <c r="G96" s="141">
        <f>IFERROR(VLOOKUP($B96,calc_data,G$14+1,0),0)</f>
        <v/>
      </c>
      <c r="H96" s="141">
        <f>IFERROR(VLOOKUP($B96,calc_data,H$14+1,0),0)</f>
        <v/>
      </c>
      <c r="I96" s="142">
        <f>IFERROR(VLOOKUP($B96,calc_data,I$14+1,0),0)</f>
        <v/>
      </c>
      <c r="J96" s="141">
        <f>IFERROR(VLOOKUP($B96,calc_data,J$14+1,0),0)</f>
        <v/>
      </c>
      <c r="K96" s="141">
        <f>IFERROR(VLOOKUP($B96,calc_data,K$14+1,0),0)</f>
        <v/>
      </c>
      <c r="L96" s="141">
        <f>IFERROR(VLOOKUP($B96,calc_data,L$14+1,0),0)</f>
        <v/>
      </c>
      <c r="M96" s="177">
        <f>IFERROR(VLOOKUP($B96,calc_data,M$14+1,0),0)</f>
        <v/>
      </c>
      <c r="N96" s="177">
        <f>IFERROR(VLOOKUP($B96,calc_data,N$14+1,0),0)</f>
        <v/>
      </c>
      <c r="O96" s="45" t="n"/>
      <c r="Q96" s="57">
        <f>IF(K96&gt;0,"показать","скрыть")</f>
        <v/>
      </c>
    </row>
    <row r="97" ht="15.75" customHeight="1">
      <c r="B97" s="182" t="n">
        <v>81</v>
      </c>
      <c r="C97" s="182">
        <f>IFERROR(VLOOKUP($B97,calc_data,C$14+1,0),0)</f>
        <v/>
      </c>
      <c r="D97" s="182">
        <f>IFERROR(VLOOKUP($B97,calc_data,D$14+1,0),0)</f>
        <v/>
      </c>
      <c r="E97" s="183">
        <f>IFERROR(VLOOKUP($B97,calc_data,E$14+1,0),0)</f>
        <v/>
      </c>
      <c r="F97" s="182">
        <f>IFERROR(VLOOKUP($B97,calc_data,F$14+1,0),0)</f>
        <v/>
      </c>
      <c r="G97" s="141">
        <f>IFERROR(VLOOKUP($B97,calc_data,G$14+1,0),0)</f>
        <v/>
      </c>
      <c r="H97" s="141">
        <f>IFERROR(VLOOKUP($B97,calc_data,H$14+1,0),0)</f>
        <v/>
      </c>
      <c r="I97" s="142">
        <f>IFERROR(VLOOKUP($B97,calc_data,I$14+1,0),0)</f>
        <v/>
      </c>
      <c r="J97" s="141">
        <f>IFERROR(VLOOKUP($B97,calc_data,J$14+1,0),0)</f>
        <v/>
      </c>
      <c r="K97" s="141">
        <f>IFERROR(VLOOKUP($B97,calc_data,K$14+1,0),0)</f>
        <v/>
      </c>
      <c r="L97" s="141">
        <f>IFERROR(VLOOKUP($B97,calc_data,L$14+1,0),0)</f>
        <v/>
      </c>
      <c r="M97" s="177">
        <f>IFERROR(VLOOKUP($B97,calc_data,M$14+1,0),0)</f>
        <v/>
      </c>
      <c r="N97" s="177">
        <f>IFERROR(VLOOKUP($B97,calc_data,N$14+1,0),0)</f>
        <v/>
      </c>
      <c r="O97" s="45" t="n"/>
      <c r="Q97" s="57">
        <f>IF(K97&gt;0,"показать","скрыть")</f>
        <v/>
      </c>
    </row>
    <row r="98" ht="15.75" customHeight="1">
      <c r="B98" s="182" t="n">
        <v>82</v>
      </c>
      <c r="C98" s="182">
        <f>IFERROR(VLOOKUP($B98,calc_data,C$14+1,0),0)</f>
        <v/>
      </c>
      <c r="D98" s="182">
        <f>IFERROR(VLOOKUP($B98,calc_data,D$14+1,0),0)</f>
        <v/>
      </c>
      <c r="E98" s="183">
        <f>IFERROR(VLOOKUP($B98,calc_data,E$14+1,0),0)</f>
        <v/>
      </c>
      <c r="F98" s="182">
        <f>IFERROR(VLOOKUP($B98,calc_data,F$14+1,0),0)</f>
        <v/>
      </c>
      <c r="G98" s="141">
        <f>IFERROR(VLOOKUP($B98,calc_data,G$14+1,0),0)</f>
        <v/>
      </c>
      <c r="H98" s="141">
        <f>IFERROR(VLOOKUP($B98,calc_data,H$14+1,0),0)</f>
        <v/>
      </c>
      <c r="I98" s="142">
        <f>IFERROR(VLOOKUP($B98,calc_data,I$14+1,0),0)</f>
        <v/>
      </c>
      <c r="J98" s="141">
        <f>IFERROR(VLOOKUP($B98,calc_data,J$14+1,0),0)</f>
        <v/>
      </c>
      <c r="K98" s="141">
        <f>IFERROR(VLOOKUP($B98,calc_data,K$14+1,0),0)</f>
        <v/>
      </c>
      <c r="L98" s="141">
        <f>IFERROR(VLOOKUP($B98,calc_data,L$14+1,0),0)</f>
        <v/>
      </c>
      <c r="M98" s="177">
        <f>IFERROR(VLOOKUP($B98,calc_data,M$14+1,0),0)</f>
        <v/>
      </c>
      <c r="N98" s="177">
        <f>IFERROR(VLOOKUP($B98,calc_data,N$14+1,0),0)</f>
        <v/>
      </c>
      <c r="O98" s="45" t="n"/>
      <c r="Q98" s="57">
        <f>IF(K98&gt;0,"показать","скрыть")</f>
        <v/>
      </c>
    </row>
    <row r="99" ht="15.75" customHeight="1">
      <c r="B99" s="182" t="n">
        <v>83</v>
      </c>
      <c r="C99" s="182">
        <f>IFERROR(VLOOKUP($B99,calc_data,C$14+1,0),0)</f>
        <v/>
      </c>
      <c r="D99" s="182">
        <f>IFERROR(VLOOKUP($B99,calc_data,D$14+1,0),0)</f>
        <v/>
      </c>
      <c r="E99" s="183">
        <f>IFERROR(VLOOKUP($B99,calc_data,E$14+1,0),0)</f>
        <v/>
      </c>
      <c r="F99" s="182">
        <f>IFERROR(VLOOKUP($B99,calc_data,F$14+1,0),0)</f>
        <v/>
      </c>
      <c r="G99" s="141">
        <f>IFERROR(VLOOKUP($B99,calc_data,G$14+1,0),0)</f>
        <v/>
      </c>
      <c r="H99" s="141">
        <f>IFERROR(VLOOKUP($B99,calc_data,H$14+1,0),0)</f>
        <v/>
      </c>
      <c r="I99" s="142">
        <f>IFERROR(VLOOKUP($B99,calc_data,I$14+1,0),0)</f>
        <v/>
      </c>
      <c r="J99" s="141">
        <f>IFERROR(VLOOKUP($B99,calc_data,J$14+1,0),0)</f>
        <v/>
      </c>
      <c r="K99" s="141">
        <f>IFERROR(VLOOKUP($B99,calc_data,K$14+1,0),0)</f>
        <v/>
      </c>
      <c r="L99" s="141">
        <f>IFERROR(VLOOKUP($B99,calc_data,L$14+1,0),0)</f>
        <v/>
      </c>
      <c r="M99" s="177">
        <f>IFERROR(VLOOKUP($B99,calc_data,M$14+1,0),0)</f>
        <v/>
      </c>
      <c r="N99" s="177">
        <f>IFERROR(VLOOKUP($B99,calc_data,N$14+1,0),0)</f>
        <v/>
      </c>
      <c r="O99" s="45" t="n"/>
      <c r="Q99" s="57">
        <f>IF(K99&gt;0,"показать","скрыть")</f>
        <v/>
      </c>
    </row>
    <row r="100" ht="15.75" customHeight="1">
      <c r="B100" s="182" t="n">
        <v>84</v>
      </c>
      <c r="C100" s="182">
        <f>IFERROR(VLOOKUP($B100,calc_data,C$14+1,0),0)</f>
        <v/>
      </c>
      <c r="D100" s="182">
        <f>IFERROR(VLOOKUP($B100,calc_data,D$14+1,0),0)</f>
        <v/>
      </c>
      <c r="E100" s="183">
        <f>IFERROR(VLOOKUP($B100,calc_data,E$14+1,0),0)</f>
        <v/>
      </c>
      <c r="F100" s="182">
        <f>IFERROR(VLOOKUP($B100,calc_data,F$14+1,0),0)</f>
        <v/>
      </c>
      <c r="G100" s="141">
        <f>IFERROR(VLOOKUP($B100,calc_data,G$14+1,0),0)</f>
        <v/>
      </c>
      <c r="H100" s="141">
        <f>IFERROR(VLOOKUP($B100,calc_data,H$14+1,0),0)</f>
        <v/>
      </c>
      <c r="I100" s="142">
        <f>IFERROR(VLOOKUP($B100,calc_data,I$14+1,0),0)</f>
        <v/>
      </c>
      <c r="J100" s="141">
        <f>IFERROR(VLOOKUP($B100,calc_data,J$14+1,0),0)</f>
        <v/>
      </c>
      <c r="K100" s="141">
        <f>IFERROR(VLOOKUP($B100,calc_data,K$14+1,0),0)</f>
        <v/>
      </c>
      <c r="L100" s="141">
        <f>IFERROR(VLOOKUP($B100,calc_data,L$14+1,0),0)</f>
        <v/>
      </c>
      <c r="M100" s="177">
        <f>IFERROR(VLOOKUP($B100,calc_data,M$14+1,0),0)</f>
        <v/>
      </c>
      <c r="N100" s="177">
        <f>IFERROR(VLOOKUP($B100,calc_data,N$14+1,0),0)</f>
        <v/>
      </c>
      <c r="O100" s="45" t="n"/>
      <c r="Q100" s="57">
        <f>IF(K100&gt;0,"показать","скрыть")</f>
        <v/>
      </c>
    </row>
    <row r="101" ht="15.75" customHeight="1">
      <c r="B101" s="182" t="n">
        <v>85</v>
      </c>
      <c r="C101" s="182">
        <f>IFERROR(VLOOKUP($B101,calc_data,C$14+1,0),0)</f>
        <v/>
      </c>
      <c r="D101" s="182">
        <f>IFERROR(VLOOKUP($B101,calc_data,D$14+1,0),0)</f>
        <v/>
      </c>
      <c r="E101" s="183">
        <f>IFERROR(VLOOKUP($B101,calc_data,E$14+1,0),0)</f>
        <v/>
      </c>
      <c r="F101" s="182">
        <f>IFERROR(VLOOKUP($B101,calc_data,F$14+1,0),0)</f>
        <v/>
      </c>
      <c r="G101" s="141">
        <f>IFERROR(VLOOKUP($B101,calc_data,G$14+1,0),0)</f>
        <v/>
      </c>
      <c r="H101" s="141">
        <f>IFERROR(VLOOKUP($B101,calc_data,H$14+1,0),0)</f>
        <v/>
      </c>
      <c r="I101" s="142">
        <f>IFERROR(VLOOKUP($B101,calc_data,I$14+1,0),0)</f>
        <v/>
      </c>
      <c r="J101" s="141">
        <f>IFERROR(VLOOKUP($B101,calc_data,J$14+1,0),0)</f>
        <v/>
      </c>
      <c r="K101" s="141">
        <f>IFERROR(VLOOKUP($B101,calc_data,K$14+1,0),0)</f>
        <v/>
      </c>
      <c r="L101" s="141">
        <f>IFERROR(VLOOKUP($B101,calc_data,L$14+1,0),0)</f>
        <v/>
      </c>
      <c r="M101" s="177">
        <f>IFERROR(VLOOKUP($B101,calc_data,M$14+1,0),0)</f>
        <v/>
      </c>
      <c r="N101" s="177">
        <f>IFERROR(VLOOKUP($B101,calc_data,N$14+1,0),0)</f>
        <v/>
      </c>
      <c r="O101" s="45" t="n"/>
      <c r="Q101" s="57">
        <f>IF(K101&gt;0,"показать","скрыть")</f>
        <v/>
      </c>
    </row>
    <row r="102" ht="15.75" customHeight="1">
      <c r="B102" s="182" t="n">
        <v>86</v>
      </c>
      <c r="C102" s="182">
        <f>IFERROR(VLOOKUP($B102,calc_data,C$14+1,0),0)</f>
        <v/>
      </c>
      <c r="D102" s="182">
        <f>IFERROR(VLOOKUP($B102,calc_data,D$14+1,0),0)</f>
        <v/>
      </c>
      <c r="E102" s="183">
        <f>IFERROR(VLOOKUP($B102,calc_data,E$14+1,0),0)</f>
        <v/>
      </c>
      <c r="F102" s="182">
        <f>IFERROR(VLOOKUP($B102,calc_data,F$14+1,0),0)</f>
        <v/>
      </c>
      <c r="G102" s="141">
        <f>IFERROR(VLOOKUP($B102,calc_data,G$14+1,0),0)</f>
        <v/>
      </c>
      <c r="H102" s="141">
        <f>IFERROR(VLOOKUP($B102,calc_data,H$14+1,0),0)</f>
        <v/>
      </c>
      <c r="I102" s="142">
        <f>IFERROR(VLOOKUP($B102,calc_data,I$14+1,0),0)</f>
        <v/>
      </c>
      <c r="J102" s="141">
        <f>IFERROR(VLOOKUP($B102,calc_data,J$14+1,0),0)</f>
        <v/>
      </c>
      <c r="K102" s="141">
        <f>IFERROR(VLOOKUP($B102,calc_data,K$14+1,0),0)</f>
        <v/>
      </c>
      <c r="L102" s="141">
        <f>IFERROR(VLOOKUP($B102,calc_data,L$14+1,0),0)</f>
        <v/>
      </c>
      <c r="M102" s="177">
        <f>IFERROR(VLOOKUP($B102,calc_data,M$14+1,0),0)</f>
        <v/>
      </c>
      <c r="N102" s="177">
        <f>IFERROR(VLOOKUP($B102,calc_data,N$14+1,0),0)</f>
        <v/>
      </c>
      <c r="O102" s="45" t="n"/>
      <c r="Q102" s="57">
        <f>IF(K102&gt;0,"показать","скрыть")</f>
        <v/>
      </c>
    </row>
    <row r="103" ht="15.75" customHeight="1">
      <c r="B103" s="182" t="n">
        <v>87</v>
      </c>
      <c r="C103" s="182">
        <f>IFERROR(VLOOKUP($B103,calc_data,C$14+1,0),0)</f>
        <v/>
      </c>
      <c r="D103" s="182">
        <f>IFERROR(VLOOKUP($B103,calc_data,D$14+1,0),0)</f>
        <v/>
      </c>
      <c r="E103" s="183">
        <f>IFERROR(VLOOKUP($B103,calc_data,E$14+1,0),0)</f>
        <v/>
      </c>
      <c r="F103" s="182">
        <f>IFERROR(VLOOKUP($B103,calc_data,F$14+1,0),0)</f>
        <v/>
      </c>
      <c r="G103" s="141">
        <f>IFERROR(VLOOKUP($B103,calc_data,G$14+1,0),0)</f>
        <v/>
      </c>
      <c r="H103" s="141">
        <f>IFERROR(VLOOKUP($B103,calc_data,H$14+1,0),0)</f>
        <v/>
      </c>
      <c r="I103" s="142">
        <f>IFERROR(VLOOKUP($B103,calc_data,I$14+1,0),0)</f>
        <v/>
      </c>
      <c r="J103" s="141">
        <f>IFERROR(VLOOKUP($B103,calc_data,J$14+1,0),0)</f>
        <v/>
      </c>
      <c r="K103" s="141">
        <f>IFERROR(VLOOKUP($B103,calc_data,K$14+1,0),0)</f>
        <v/>
      </c>
      <c r="L103" s="141">
        <f>IFERROR(VLOOKUP($B103,calc_data,L$14+1,0),0)</f>
        <v/>
      </c>
      <c r="M103" s="177">
        <f>IFERROR(VLOOKUP($B103,calc_data,M$14+1,0),0)</f>
        <v/>
      </c>
      <c r="N103" s="177">
        <f>IFERROR(VLOOKUP($B103,calc_data,N$14+1,0),0)</f>
        <v/>
      </c>
      <c r="O103" s="45" t="n"/>
      <c r="Q103" s="57">
        <f>IF(K103&gt;0,"показать","скрыть")</f>
        <v/>
      </c>
    </row>
    <row r="104" ht="15.75" customHeight="1">
      <c r="B104" s="182" t="n">
        <v>88</v>
      </c>
      <c r="C104" s="182">
        <f>IFERROR(VLOOKUP($B104,calc_data,C$14+1,0),0)</f>
        <v/>
      </c>
      <c r="D104" s="182">
        <f>IFERROR(VLOOKUP($B104,calc_data,D$14+1,0),0)</f>
        <v/>
      </c>
      <c r="E104" s="183">
        <f>IFERROR(VLOOKUP($B104,calc_data,E$14+1,0),0)</f>
        <v/>
      </c>
      <c r="F104" s="182">
        <f>IFERROR(VLOOKUP($B104,calc_data,F$14+1,0),0)</f>
        <v/>
      </c>
      <c r="G104" s="141">
        <f>IFERROR(VLOOKUP($B104,calc_data,G$14+1,0),0)</f>
        <v/>
      </c>
      <c r="H104" s="141">
        <f>IFERROR(VLOOKUP($B104,calc_data,H$14+1,0),0)</f>
        <v/>
      </c>
      <c r="I104" s="142">
        <f>IFERROR(VLOOKUP($B104,calc_data,I$14+1,0),0)</f>
        <v/>
      </c>
      <c r="J104" s="141">
        <f>IFERROR(VLOOKUP($B104,calc_data,J$14+1,0),0)</f>
        <v/>
      </c>
      <c r="K104" s="141">
        <f>IFERROR(VLOOKUP($B104,calc_data,K$14+1,0),0)</f>
        <v/>
      </c>
      <c r="L104" s="141">
        <f>IFERROR(VLOOKUP($B104,calc_data,L$14+1,0),0)</f>
        <v/>
      </c>
      <c r="M104" s="177">
        <f>IFERROR(VLOOKUP($B104,calc_data,M$14+1,0),0)</f>
        <v/>
      </c>
      <c r="N104" s="177">
        <f>IFERROR(VLOOKUP($B104,calc_data,N$14+1,0),0)</f>
        <v/>
      </c>
      <c r="O104" s="45" t="n"/>
      <c r="Q104" s="57">
        <f>IF(K104&gt;0,"показать","скрыть")</f>
        <v/>
      </c>
    </row>
    <row r="105" ht="15.75" customHeight="1">
      <c r="B105" s="182" t="n">
        <v>89</v>
      </c>
      <c r="C105" s="182">
        <f>IFERROR(VLOOKUP($B105,calc_data,C$14+1,0),0)</f>
        <v/>
      </c>
      <c r="D105" s="182">
        <f>IFERROR(VLOOKUP($B105,calc_data,D$14+1,0),0)</f>
        <v/>
      </c>
      <c r="E105" s="183">
        <f>IFERROR(VLOOKUP($B105,calc_data,E$14+1,0),0)</f>
        <v/>
      </c>
      <c r="F105" s="182">
        <f>IFERROR(VLOOKUP($B105,calc_data,F$14+1,0),0)</f>
        <v/>
      </c>
      <c r="G105" s="141">
        <f>IFERROR(VLOOKUP($B105,calc_data,G$14+1,0),0)</f>
        <v/>
      </c>
      <c r="H105" s="141">
        <f>IFERROR(VLOOKUP($B105,calc_data,H$14+1,0),0)</f>
        <v/>
      </c>
      <c r="I105" s="142">
        <f>IFERROR(VLOOKUP($B105,calc_data,I$14+1,0),0)</f>
        <v/>
      </c>
      <c r="J105" s="141">
        <f>IFERROR(VLOOKUP($B105,calc_data,J$14+1,0),0)</f>
        <v/>
      </c>
      <c r="K105" s="141">
        <f>IFERROR(VLOOKUP($B105,calc_data,K$14+1,0),0)</f>
        <v/>
      </c>
      <c r="L105" s="141">
        <f>IFERROR(VLOOKUP($B105,calc_data,L$14+1,0),0)</f>
        <v/>
      </c>
      <c r="M105" s="177">
        <f>IFERROR(VLOOKUP($B105,calc_data,M$14+1,0),0)</f>
        <v/>
      </c>
      <c r="N105" s="177">
        <f>IFERROR(VLOOKUP($B105,calc_data,N$14+1,0),0)</f>
        <v/>
      </c>
      <c r="O105" s="45" t="n"/>
      <c r="Q105" s="57">
        <f>IF(K105&gt;0,"показать","скрыть")</f>
        <v/>
      </c>
    </row>
    <row r="106" ht="15.75" customHeight="1">
      <c r="B106" s="182" t="n">
        <v>90</v>
      </c>
      <c r="C106" s="182">
        <f>IFERROR(VLOOKUP($B106,calc_data,C$14+1,0),0)</f>
        <v/>
      </c>
      <c r="D106" s="182">
        <f>IFERROR(VLOOKUP($B106,calc_data,D$14+1,0),0)</f>
        <v/>
      </c>
      <c r="E106" s="183">
        <f>IFERROR(VLOOKUP($B106,calc_data,E$14+1,0),0)</f>
        <v/>
      </c>
      <c r="F106" s="182">
        <f>IFERROR(VLOOKUP($B106,calc_data,F$14+1,0),0)</f>
        <v/>
      </c>
      <c r="G106" s="141">
        <f>IFERROR(VLOOKUP($B106,calc_data,G$14+1,0),0)</f>
        <v/>
      </c>
      <c r="H106" s="141">
        <f>IFERROR(VLOOKUP($B106,calc_data,H$14+1,0),0)</f>
        <v/>
      </c>
      <c r="I106" s="142">
        <f>IFERROR(VLOOKUP($B106,calc_data,I$14+1,0),0)</f>
        <v/>
      </c>
      <c r="J106" s="141">
        <f>IFERROR(VLOOKUP($B106,calc_data,J$14+1,0),0)</f>
        <v/>
      </c>
      <c r="K106" s="141">
        <f>IFERROR(VLOOKUP($B106,calc_data,K$14+1,0),0)</f>
        <v/>
      </c>
      <c r="L106" s="141">
        <f>IFERROR(VLOOKUP($B106,calc_data,L$14+1,0),0)</f>
        <v/>
      </c>
      <c r="M106" s="177">
        <f>IFERROR(VLOOKUP($B106,calc_data,M$14+1,0),0)</f>
        <v/>
      </c>
      <c r="N106" s="177">
        <f>IFERROR(VLOOKUP($B106,calc_data,N$14+1,0),0)</f>
        <v/>
      </c>
      <c r="O106" s="45" t="n"/>
      <c r="Q106" s="57">
        <f>IF(K106&gt;0,"показать","скрыть")</f>
        <v/>
      </c>
    </row>
    <row r="107" ht="15.75" customHeight="1">
      <c r="B107" s="182" t="n">
        <v>91</v>
      </c>
      <c r="C107" s="182">
        <f>IFERROR(VLOOKUP($B107,calc_data,C$14+1,0),0)</f>
        <v/>
      </c>
      <c r="D107" s="182">
        <f>IFERROR(VLOOKUP($B107,calc_data,D$14+1,0),0)</f>
        <v/>
      </c>
      <c r="E107" s="183">
        <f>IFERROR(VLOOKUP($B107,calc_data,E$14+1,0),0)</f>
        <v/>
      </c>
      <c r="F107" s="182">
        <f>IFERROR(VLOOKUP($B107,calc_data,F$14+1,0),0)</f>
        <v/>
      </c>
      <c r="G107" s="141">
        <f>IFERROR(VLOOKUP($B107,calc_data,G$14+1,0),0)</f>
        <v/>
      </c>
      <c r="H107" s="141">
        <f>IFERROR(VLOOKUP($B107,calc_data,H$14+1,0),0)</f>
        <v/>
      </c>
      <c r="I107" s="142">
        <f>IFERROR(VLOOKUP($B107,calc_data,I$14+1,0),0)</f>
        <v/>
      </c>
      <c r="J107" s="141">
        <f>IFERROR(VLOOKUP($B107,calc_data,J$14+1,0),0)</f>
        <v/>
      </c>
      <c r="K107" s="141">
        <f>IFERROR(VLOOKUP($B107,calc_data,K$14+1,0),0)</f>
        <v/>
      </c>
      <c r="L107" s="141">
        <f>IFERROR(VLOOKUP($B107,calc_data,L$14+1,0),0)</f>
        <v/>
      </c>
      <c r="M107" s="177">
        <f>IFERROR(VLOOKUP($B107,calc_data,M$14+1,0),0)</f>
        <v/>
      </c>
      <c r="N107" s="177">
        <f>IFERROR(VLOOKUP($B107,calc_data,N$14+1,0),0)</f>
        <v/>
      </c>
      <c r="O107" s="45" t="n"/>
      <c r="Q107" s="57">
        <f>IF(K107&gt;0,"показать","скрыть")</f>
        <v/>
      </c>
    </row>
    <row r="108" ht="15.75" customHeight="1">
      <c r="B108" s="182" t="n">
        <v>92</v>
      </c>
      <c r="C108" s="182">
        <f>IFERROR(VLOOKUP($B108,calc_data,C$14+1,0),0)</f>
        <v/>
      </c>
      <c r="D108" s="182">
        <f>IFERROR(VLOOKUP($B108,calc_data,D$14+1,0),0)</f>
        <v/>
      </c>
      <c r="E108" s="183">
        <f>IFERROR(VLOOKUP($B108,calc_data,E$14+1,0),0)</f>
        <v/>
      </c>
      <c r="F108" s="182">
        <f>IFERROR(VLOOKUP($B108,calc_data,F$14+1,0),0)</f>
        <v/>
      </c>
      <c r="G108" s="141">
        <f>IFERROR(VLOOKUP($B108,calc_data,G$14+1,0),0)</f>
        <v/>
      </c>
      <c r="H108" s="141">
        <f>IFERROR(VLOOKUP($B108,calc_data,H$14+1,0),0)</f>
        <v/>
      </c>
      <c r="I108" s="142">
        <f>IFERROR(VLOOKUP($B108,calc_data,I$14+1,0),0)</f>
        <v/>
      </c>
      <c r="J108" s="141">
        <f>IFERROR(VLOOKUP($B108,calc_data,J$14+1,0),0)</f>
        <v/>
      </c>
      <c r="K108" s="141">
        <f>IFERROR(VLOOKUP($B108,calc_data,K$14+1,0),0)</f>
        <v/>
      </c>
      <c r="L108" s="141">
        <f>IFERROR(VLOOKUP($B108,calc_data,L$14+1,0),0)</f>
        <v/>
      </c>
      <c r="M108" s="177">
        <f>IFERROR(VLOOKUP($B108,calc_data,M$14+1,0),0)</f>
        <v/>
      </c>
      <c r="N108" s="177">
        <f>IFERROR(VLOOKUP($B108,calc_data,N$14+1,0),0)</f>
        <v/>
      </c>
      <c r="O108" s="45" t="n"/>
      <c r="Q108" s="57">
        <f>IF(K108&gt;0,"показать","скрыть")</f>
        <v/>
      </c>
    </row>
    <row r="109" ht="15.75" customHeight="1">
      <c r="B109" s="182" t="n">
        <v>93</v>
      </c>
      <c r="C109" s="182">
        <f>IFERROR(VLOOKUP($B109,calc_data,C$14+1,0),0)</f>
        <v/>
      </c>
      <c r="D109" s="182">
        <f>IFERROR(VLOOKUP($B109,calc_data,D$14+1,0),0)</f>
        <v/>
      </c>
      <c r="E109" s="183">
        <f>IFERROR(VLOOKUP($B109,calc_data,E$14+1,0),0)</f>
        <v/>
      </c>
      <c r="F109" s="182">
        <f>IFERROR(VLOOKUP($B109,calc_data,F$14+1,0),0)</f>
        <v/>
      </c>
      <c r="G109" s="141">
        <f>IFERROR(VLOOKUP($B109,calc_data,G$14+1,0),0)</f>
        <v/>
      </c>
      <c r="H109" s="141">
        <f>IFERROR(VLOOKUP($B109,calc_data,H$14+1,0),0)</f>
        <v/>
      </c>
      <c r="I109" s="142">
        <f>IFERROR(VLOOKUP($B109,calc_data,I$14+1,0),0)</f>
        <v/>
      </c>
      <c r="J109" s="141">
        <f>IFERROR(VLOOKUP($B109,calc_data,J$14+1,0),0)</f>
        <v/>
      </c>
      <c r="K109" s="141">
        <f>IFERROR(VLOOKUP($B109,calc_data,K$14+1,0),0)</f>
        <v/>
      </c>
      <c r="L109" s="141">
        <f>IFERROR(VLOOKUP($B109,calc_data,L$14+1,0),0)</f>
        <v/>
      </c>
      <c r="M109" s="177">
        <f>IFERROR(VLOOKUP($B109,calc_data,M$14+1,0),0)</f>
        <v/>
      </c>
      <c r="N109" s="177">
        <f>IFERROR(VLOOKUP($B109,calc_data,N$14+1,0),0)</f>
        <v/>
      </c>
      <c r="O109" s="45" t="n"/>
      <c r="Q109" s="57">
        <f>IF(K109&gt;0,"показать","скрыть")</f>
        <v/>
      </c>
    </row>
    <row r="110" ht="15.75" customHeight="1">
      <c r="B110" s="182" t="n">
        <v>94</v>
      </c>
      <c r="C110" s="182">
        <f>IFERROR(VLOOKUP($B110,calc_data,C$14+1,0),0)</f>
        <v/>
      </c>
      <c r="D110" s="182">
        <f>IFERROR(VLOOKUP($B110,calc_data,D$14+1,0),0)</f>
        <v/>
      </c>
      <c r="E110" s="183">
        <f>IFERROR(VLOOKUP($B110,calc_data,E$14+1,0),0)</f>
        <v/>
      </c>
      <c r="F110" s="182">
        <f>IFERROR(VLOOKUP($B110,calc_data,F$14+1,0),0)</f>
        <v/>
      </c>
      <c r="G110" s="141">
        <f>IFERROR(VLOOKUP($B110,calc_data,G$14+1,0),0)</f>
        <v/>
      </c>
      <c r="H110" s="141">
        <f>IFERROR(VLOOKUP($B110,calc_data,H$14+1,0),0)</f>
        <v/>
      </c>
      <c r="I110" s="142">
        <f>IFERROR(VLOOKUP($B110,calc_data,I$14+1,0),0)</f>
        <v/>
      </c>
      <c r="J110" s="141">
        <f>IFERROR(VLOOKUP($B110,calc_data,J$14+1,0),0)</f>
        <v/>
      </c>
      <c r="K110" s="141">
        <f>IFERROR(VLOOKUP($B110,calc_data,K$14+1,0),0)</f>
        <v/>
      </c>
      <c r="L110" s="141">
        <f>IFERROR(VLOOKUP($B110,calc_data,L$14+1,0),0)</f>
        <v/>
      </c>
      <c r="M110" s="177">
        <f>IFERROR(VLOOKUP($B110,calc_data,M$14+1,0),0)</f>
        <v/>
      </c>
      <c r="N110" s="177">
        <f>IFERROR(VLOOKUP($B110,calc_data,N$14+1,0),0)</f>
        <v/>
      </c>
      <c r="O110" s="45" t="n"/>
      <c r="Q110" s="57">
        <f>IF(K110&gt;0,"показать","скрыть")</f>
        <v/>
      </c>
    </row>
    <row r="111" ht="15.75" customHeight="1">
      <c r="B111" s="182" t="n">
        <v>95</v>
      </c>
      <c r="C111" s="182">
        <f>IFERROR(VLOOKUP($B111,calc_data,C$14+1,0),0)</f>
        <v/>
      </c>
      <c r="D111" s="182">
        <f>IFERROR(VLOOKUP($B111,calc_data,D$14+1,0),0)</f>
        <v/>
      </c>
      <c r="E111" s="183">
        <f>IFERROR(VLOOKUP($B111,calc_data,E$14+1,0),0)</f>
        <v/>
      </c>
      <c r="F111" s="182">
        <f>IFERROR(VLOOKUP($B111,calc_data,F$14+1,0),0)</f>
        <v/>
      </c>
      <c r="G111" s="141">
        <f>IFERROR(VLOOKUP($B111,calc_data,G$14+1,0),0)</f>
        <v/>
      </c>
      <c r="H111" s="141">
        <f>IFERROR(VLOOKUP($B111,calc_data,H$14+1,0),0)</f>
        <v/>
      </c>
      <c r="I111" s="142">
        <f>IFERROR(VLOOKUP($B111,calc_data,I$14+1,0),0)</f>
        <v/>
      </c>
      <c r="J111" s="141">
        <f>IFERROR(VLOOKUP($B111,calc_data,J$14+1,0),0)</f>
        <v/>
      </c>
      <c r="K111" s="141">
        <f>IFERROR(VLOOKUP($B111,calc_data,K$14+1,0),0)</f>
        <v/>
      </c>
      <c r="L111" s="141">
        <f>IFERROR(VLOOKUP($B111,calc_data,L$14+1,0),0)</f>
        <v/>
      </c>
      <c r="M111" s="177">
        <f>IFERROR(VLOOKUP($B111,calc_data,M$14+1,0),0)</f>
        <v/>
      </c>
      <c r="N111" s="177">
        <f>IFERROR(VLOOKUP($B111,calc_data,N$14+1,0),0)</f>
        <v/>
      </c>
      <c r="O111" s="45" t="n"/>
      <c r="Q111" s="57">
        <f>IF(K111&gt;0,"показать","скрыть")</f>
        <v/>
      </c>
    </row>
    <row r="112" ht="15.75" customHeight="1">
      <c r="B112" s="182" t="n">
        <v>96</v>
      </c>
      <c r="C112" s="182">
        <f>IFERROR(VLOOKUP($B112,calc_data,C$14+1,0),0)</f>
        <v/>
      </c>
      <c r="D112" s="182">
        <f>IFERROR(VLOOKUP($B112,calc_data,D$14+1,0),0)</f>
        <v/>
      </c>
      <c r="E112" s="183">
        <f>IFERROR(VLOOKUP($B112,calc_data,E$14+1,0),0)</f>
        <v/>
      </c>
      <c r="F112" s="182">
        <f>IFERROR(VLOOKUP($B112,calc_data,F$14+1,0),0)</f>
        <v/>
      </c>
      <c r="G112" s="141">
        <f>IFERROR(VLOOKUP($B112,calc_data,G$14+1,0),0)</f>
        <v/>
      </c>
      <c r="H112" s="141">
        <f>IFERROR(VLOOKUP($B112,calc_data,H$14+1,0),0)</f>
        <v/>
      </c>
      <c r="I112" s="142">
        <f>IFERROR(VLOOKUP($B112,calc_data,I$14+1,0),0)</f>
        <v/>
      </c>
      <c r="J112" s="141">
        <f>IFERROR(VLOOKUP($B112,calc_data,J$14+1,0),0)</f>
        <v/>
      </c>
      <c r="K112" s="141">
        <f>IFERROR(VLOOKUP($B112,calc_data,K$14+1,0),0)</f>
        <v/>
      </c>
      <c r="L112" s="141">
        <f>IFERROR(VLOOKUP($B112,calc_data,L$14+1,0),0)</f>
        <v/>
      </c>
      <c r="M112" s="177">
        <f>IFERROR(VLOOKUP($B112,calc_data,M$14+1,0),0)</f>
        <v/>
      </c>
      <c r="N112" s="177">
        <f>IFERROR(VLOOKUP($B112,calc_data,N$14+1,0),0)</f>
        <v/>
      </c>
      <c r="O112" s="45" t="n"/>
      <c r="Q112" s="57">
        <f>IF(K112&gt;0,"показать","скрыть")</f>
        <v/>
      </c>
    </row>
    <row r="113" ht="15.75" customHeight="1">
      <c r="B113" s="182" t="n">
        <v>97</v>
      </c>
      <c r="C113" s="182">
        <f>IFERROR(VLOOKUP($B113,calc_data,C$14+1,0),0)</f>
        <v/>
      </c>
      <c r="D113" s="182">
        <f>IFERROR(VLOOKUP($B113,calc_data,D$14+1,0),0)</f>
        <v/>
      </c>
      <c r="E113" s="183">
        <f>IFERROR(VLOOKUP($B113,calc_data,E$14+1,0),0)</f>
        <v/>
      </c>
      <c r="F113" s="182">
        <f>IFERROR(VLOOKUP($B113,calc_data,F$14+1,0),0)</f>
        <v/>
      </c>
      <c r="G113" s="141">
        <f>IFERROR(VLOOKUP($B113,calc_data,G$14+1,0),0)</f>
        <v/>
      </c>
      <c r="H113" s="141">
        <f>IFERROR(VLOOKUP($B113,calc_data,H$14+1,0),0)</f>
        <v/>
      </c>
      <c r="I113" s="142">
        <f>IFERROR(VLOOKUP($B113,calc_data,I$14+1,0),0)</f>
        <v/>
      </c>
      <c r="J113" s="141">
        <f>IFERROR(VLOOKUP($B113,calc_data,J$14+1,0),0)</f>
        <v/>
      </c>
      <c r="K113" s="141">
        <f>IFERROR(VLOOKUP($B113,calc_data,K$14+1,0),0)</f>
        <v/>
      </c>
      <c r="L113" s="141">
        <f>IFERROR(VLOOKUP($B113,calc_data,L$14+1,0),0)</f>
        <v/>
      </c>
      <c r="M113" s="177">
        <f>IFERROR(VLOOKUP($B113,calc_data,M$14+1,0),0)</f>
        <v/>
      </c>
      <c r="N113" s="177">
        <f>IFERROR(VLOOKUP($B113,calc_data,N$14+1,0),0)</f>
        <v/>
      </c>
      <c r="O113" s="45" t="n"/>
      <c r="Q113" s="57">
        <f>IF(K113&gt;0,"показать","скрыть")</f>
        <v/>
      </c>
    </row>
    <row r="114" ht="15.75" customHeight="1">
      <c r="B114" s="182" t="n">
        <v>98</v>
      </c>
      <c r="C114" s="182">
        <f>IFERROR(VLOOKUP($B114,calc_data,C$14+1,0),0)</f>
        <v/>
      </c>
      <c r="D114" s="182">
        <f>IFERROR(VLOOKUP($B114,calc_data,D$14+1,0),0)</f>
        <v/>
      </c>
      <c r="E114" s="183">
        <f>IFERROR(VLOOKUP($B114,calc_data,E$14+1,0),0)</f>
        <v/>
      </c>
      <c r="F114" s="182">
        <f>IFERROR(VLOOKUP($B114,calc_data,F$14+1,0),0)</f>
        <v/>
      </c>
      <c r="G114" s="141">
        <f>IFERROR(VLOOKUP($B114,calc_data,G$14+1,0),0)</f>
        <v/>
      </c>
      <c r="H114" s="141">
        <f>IFERROR(VLOOKUP($B114,calc_data,H$14+1,0),0)</f>
        <v/>
      </c>
      <c r="I114" s="142">
        <f>IFERROR(VLOOKUP($B114,calc_data,I$14+1,0),0)</f>
        <v/>
      </c>
      <c r="J114" s="141">
        <f>IFERROR(VLOOKUP($B114,calc_data,J$14+1,0),0)</f>
        <v/>
      </c>
      <c r="K114" s="141">
        <f>IFERROR(VLOOKUP($B114,calc_data,K$14+1,0),0)</f>
        <v/>
      </c>
      <c r="L114" s="141">
        <f>IFERROR(VLOOKUP($B114,calc_data,L$14+1,0),0)</f>
        <v/>
      </c>
      <c r="M114" s="177">
        <f>IFERROR(VLOOKUP($B114,calc_data,M$14+1,0),0)</f>
        <v/>
      </c>
      <c r="N114" s="177">
        <f>IFERROR(VLOOKUP($B114,calc_data,N$14+1,0),0)</f>
        <v/>
      </c>
      <c r="O114" s="45" t="n"/>
      <c r="Q114" s="57">
        <f>IF(K114&gt;0,"показать","скрыть")</f>
        <v/>
      </c>
    </row>
    <row r="115" ht="15.75" customHeight="1">
      <c r="B115" s="182" t="n">
        <v>99</v>
      </c>
      <c r="C115" s="182">
        <f>IFERROR(VLOOKUP($B115,calc_data,C$14+1,0),0)</f>
        <v/>
      </c>
      <c r="D115" s="182">
        <f>IFERROR(VLOOKUP($B115,calc_data,D$14+1,0),0)</f>
        <v/>
      </c>
      <c r="E115" s="183">
        <f>IFERROR(VLOOKUP($B115,calc_data,E$14+1,0),0)</f>
        <v/>
      </c>
      <c r="F115" s="182">
        <f>IFERROR(VLOOKUP($B115,calc_data,F$14+1,0),0)</f>
        <v/>
      </c>
      <c r="G115" s="141">
        <f>IFERROR(VLOOKUP($B115,calc_data,G$14+1,0),0)</f>
        <v/>
      </c>
      <c r="H115" s="141">
        <f>IFERROR(VLOOKUP($B115,calc_data,H$14+1,0),0)</f>
        <v/>
      </c>
      <c r="I115" s="142">
        <f>IFERROR(VLOOKUP($B115,calc_data,I$14+1,0),0)</f>
        <v/>
      </c>
      <c r="J115" s="141">
        <f>IFERROR(VLOOKUP($B115,calc_data,J$14+1,0),0)</f>
        <v/>
      </c>
      <c r="K115" s="141">
        <f>IFERROR(VLOOKUP($B115,calc_data,K$14+1,0),0)</f>
        <v/>
      </c>
      <c r="L115" s="141">
        <f>IFERROR(VLOOKUP($B115,calc_data,L$14+1,0),0)</f>
        <v/>
      </c>
      <c r="M115" s="177">
        <f>IFERROR(VLOOKUP($B115,calc_data,M$14+1,0),0)</f>
        <v/>
      </c>
      <c r="N115" s="177">
        <f>IFERROR(VLOOKUP($B115,calc_data,N$14+1,0),0)</f>
        <v/>
      </c>
      <c r="O115" s="45" t="n"/>
      <c r="Q115" s="57">
        <f>IF(K115&gt;0,"показать","скрыть")</f>
        <v/>
      </c>
    </row>
    <row r="116" ht="15.75" customHeight="1">
      <c r="B116" s="182" t="n">
        <v>100</v>
      </c>
      <c r="C116" s="182">
        <f>IFERROR(VLOOKUP($B116,calc_data,C$14+1,0),0)</f>
        <v/>
      </c>
      <c r="D116" s="182">
        <f>IFERROR(VLOOKUP($B116,calc_data,D$14+1,0),0)</f>
        <v/>
      </c>
      <c r="E116" s="183">
        <f>IFERROR(VLOOKUP($B116,calc_data,E$14+1,0),0)</f>
        <v/>
      </c>
      <c r="F116" s="182">
        <f>IFERROR(VLOOKUP($B116,calc_data,F$14+1,0),0)</f>
        <v/>
      </c>
      <c r="G116" s="141">
        <f>IFERROR(VLOOKUP($B116,calc_data,G$14+1,0),0)</f>
        <v/>
      </c>
      <c r="H116" s="141">
        <f>IFERROR(VLOOKUP($B116,calc_data,H$14+1,0),0)</f>
        <v/>
      </c>
      <c r="I116" s="142">
        <f>IFERROR(VLOOKUP($B116,calc_data,I$14+1,0),0)</f>
        <v/>
      </c>
      <c r="J116" s="141">
        <f>IFERROR(VLOOKUP($B116,calc_data,J$14+1,0),0)</f>
        <v/>
      </c>
      <c r="K116" s="141">
        <f>IFERROR(VLOOKUP($B116,calc_data,K$14+1,0),0)</f>
        <v/>
      </c>
      <c r="L116" s="141">
        <f>IFERROR(VLOOKUP($B116,calc_data,L$14+1,0),0)</f>
        <v/>
      </c>
      <c r="M116" s="177">
        <f>IFERROR(VLOOKUP($B116,calc_data,M$14+1,0),0)</f>
        <v/>
      </c>
      <c r="N116" s="177">
        <f>IFERROR(VLOOKUP($B116,calc_data,N$14+1,0),0)</f>
        <v/>
      </c>
      <c r="O116" s="45" t="n"/>
      <c r="Q116" s="57">
        <f>IF(K116&gt;0,"показать","скрыть")</f>
        <v/>
      </c>
    </row>
    <row r="117" ht="15.75" customHeight="1">
      <c r="B117" s="182" t="n">
        <v>101</v>
      </c>
      <c r="C117" s="182">
        <f>IFERROR(VLOOKUP($B117,calc_data,C$14+1,0),0)</f>
        <v/>
      </c>
      <c r="D117" s="182">
        <f>IFERROR(VLOOKUP($B117,calc_data,D$14+1,0),0)</f>
        <v/>
      </c>
      <c r="E117" s="183">
        <f>IFERROR(VLOOKUP($B117,calc_data,E$14+1,0),0)</f>
        <v/>
      </c>
      <c r="F117" s="182">
        <f>IFERROR(VLOOKUP($B117,calc_data,F$14+1,0),0)</f>
        <v/>
      </c>
      <c r="G117" s="141">
        <f>IFERROR(VLOOKUP($B117,calc_data,G$14+1,0),0)</f>
        <v/>
      </c>
      <c r="H117" s="141">
        <f>IFERROR(VLOOKUP($B117,calc_data,H$14+1,0),0)</f>
        <v/>
      </c>
      <c r="I117" s="142">
        <f>IFERROR(VLOOKUP($B117,calc_data,I$14+1,0),0)</f>
        <v/>
      </c>
      <c r="J117" s="141">
        <f>IFERROR(VLOOKUP($B117,calc_data,J$14+1,0),0)</f>
        <v/>
      </c>
      <c r="K117" s="141">
        <f>IFERROR(VLOOKUP($B117,calc_data,K$14+1,0),0)</f>
        <v/>
      </c>
      <c r="L117" s="141">
        <f>IFERROR(VLOOKUP($B117,calc_data,L$14+1,0),0)</f>
        <v/>
      </c>
      <c r="M117" s="177">
        <f>IFERROR(VLOOKUP($B117,calc_data,M$14+1,0),0)</f>
        <v/>
      </c>
      <c r="N117" s="177">
        <f>IFERROR(VLOOKUP($B117,calc_data,N$14+1,0),0)</f>
        <v/>
      </c>
      <c r="O117" s="45" t="n"/>
      <c r="Q117" s="57">
        <f>IF(K117&gt;0,"показать","скрыть")</f>
        <v/>
      </c>
    </row>
    <row r="118" ht="15.75" customHeight="1">
      <c r="B118" s="182" t="n">
        <v>102</v>
      </c>
      <c r="C118" s="182">
        <f>IFERROR(VLOOKUP($B118,calc_data,C$14+1,0),0)</f>
        <v/>
      </c>
      <c r="D118" s="182">
        <f>IFERROR(VLOOKUP($B118,calc_data,D$14+1,0),0)</f>
        <v/>
      </c>
      <c r="E118" s="183">
        <f>IFERROR(VLOOKUP($B118,calc_data,E$14+1,0),0)</f>
        <v/>
      </c>
      <c r="F118" s="182">
        <f>IFERROR(VLOOKUP($B118,calc_data,F$14+1,0),0)</f>
        <v/>
      </c>
      <c r="G118" s="141">
        <f>IFERROR(VLOOKUP($B118,calc_data,G$14+1,0),0)</f>
        <v/>
      </c>
      <c r="H118" s="141">
        <f>IFERROR(VLOOKUP($B118,calc_data,H$14+1,0),0)</f>
        <v/>
      </c>
      <c r="I118" s="142">
        <f>IFERROR(VLOOKUP($B118,calc_data,I$14+1,0),0)</f>
        <v/>
      </c>
      <c r="J118" s="141">
        <f>IFERROR(VLOOKUP($B118,calc_data,J$14+1,0),0)</f>
        <v/>
      </c>
      <c r="K118" s="141">
        <f>IFERROR(VLOOKUP($B118,calc_data,K$14+1,0),0)</f>
        <v/>
      </c>
      <c r="L118" s="141">
        <f>IFERROR(VLOOKUP($B118,calc_data,L$14+1,0),0)</f>
        <v/>
      </c>
      <c r="M118" s="177">
        <f>IFERROR(VLOOKUP($B118,calc_data,M$14+1,0),0)</f>
        <v/>
      </c>
      <c r="N118" s="177">
        <f>IFERROR(VLOOKUP($B118,calc_data,N$14+1,0),0)</f>
        <v/>
      </c>
      <c r="O118" s="45" t="n"/>
      <c r="Q118" s="57">
        <f>IF(K118&gt;0,"показать","скрыть")</f>
        <v/>
      </c>
    </row>
    <row r="119" ht="15.75" customHeight="1">
      <c r="B119" s="182" t="n">
        <v>103</v>
      </c>
      <c r="C119" s="182">
        <f>IFERROR(VLOOKUP($B119,calc_data,C$14+1,0),0)</f>
        <v/>
      </c>
      <c r="D119" s="182">
        <f>IFERROR(VLOOKUP($B119,calc_data,D$14+1,0),0)</f>
        <v/>
      </c>
      <c r="E119" s="183">
        <f>IFERROR(VLOOKUP($B119,calc_data,E$14+1,0),0)</f>
        <v/>
      </c>
      <c r="F119" s="182">
        <f>IFERROR(VLOOKUP($B119,calc_data,F$14+1,0),0)</f>
        <v/>
      </c>
      <c r="G119" s="141">
        <f>IFERROR(VLOOKUP($B119,calc_data,G$14+1,0),0)</f>
        <v/>
      </c>
      <c r="H119" s="141">
        <f>IFERROR(VLOOKUP($B119,calc_data,H$14+1,0),0)</f>
        <v/>
      </c>
      <c r="I119" s="142">
        <f>IFERROR(VLOOKUP($B119,calc_data,I$14+1,0),0)</f>
        <v/>
      </c>
      <c r="J119" s="141">
        <f>IFERROR(VLOOKUP($B119,calc_data,J$14+1,0),0)</f>
        <v/>
      </c>
      <c r="K119" s="141">
        <f>IFERROR(VLOOKUP($B119,calc_data,K$14+1,0),0)</f>
        <v/>
      </c>
      <c r="L119" s="141">
        <f>IFERROR(VLOOKUP($B119,calc_data,L$14+1,0),0)</f>
        <v/>
      </c>
      <c r="M119" s="177">
        <f>IFERROR(VLOOKUP($B119,calc_data,M$14+1,0),0)</f>
        <v/>
      </c>
      <c r="N119" s="177">
        <f>IFERROR(VLOOKUP($B119,calc_data,N$14+1,0),0)</f>
        <v/>
      </c>
      <c r="O119" s="45" t="n"/>
      <c r="Q119" s="57">
        <f>IF(K119&gt;0,"показать","скрыть")</f>
        <v/>
      </c>
    </row>
    <row r="120" ht="15.75" customHeight="1">
      <c r="B120" s="182" t="n">
        <v>104</v>
      </c>
      <c r="C120" s="182">
        <f>IFERROR(VLOOKUP($B120,calc_data,C$14+1,0),0)</f>
        <v/>
      </c>
      <c r="D120" s="182">
        <f>IFERROR(VLOOKUP($B120,calc_data,D$14+1,0),0)</f>
        <v/>
      </c>
      <c r="E120" s="183">
        <f>IFERROR(VLOOKUP($B120,calc_data,E$14+1,0),0)</f>
        <v/>
      </c>
      <c r="F120" s="182">
        <f>IFERROR(VLOOKUP($B120,calc_data,F$14+1,0),0)</f>
        <v/>
      </c>
      <c r="G120" s="141">
        <f>IFERROR(VLOOKUP($B120,calc_data,G$14+1,0),0)</f>
        <v/>
      </c>
      <c r="H120" s="141">
        <f>IFERROR(VLOOKUP($B120,calc_data,H$14+1,0),0)</f>
        <v/>
      </c>
      <c r="I120" s="142">
        <f>IFERROR(VLOOKUP($B120,calc_data,I$14+1,0),0)</f>
        <v/>
      </c>
      <c r="J120" s="141">
        <f>IFERROR(VLOOKUP($B120,calc_data,J$14+1,0),0)</f>
        <v/>
      </c>
      <c r="K120" s="141">
        <f>IFERROR(VLOOKUP($B120,calc_data,K$14+1,0),0)</f>
        <v/>
      </c>
      <c r="L120" s="141">
        <f>IFERROR(VLOOKUP($B120,calc_data,L$14+1,0),0)</f>
        <v/>
      </c>
      <c r="M120" s="177">
        <f>IFERROR(VLOOKUP($B120,calc_data,M$14+1,0),0)</f>
        <v/>
      </c>
      <c r="N120" s="177">
        <f>IFERROR(VLOOKUP($B120,calc_data,N$14+1,0),0)</f>
        <v/>
      </c>
      <c r="O120" s="45" t="n"/>
      <c r="Q120" s="57">
        <f>IF(K120&gt;0,"показать","скрыть")</f>
        <v/>
      </c>
    </row>
    <row r="121" ht="15.75" customHeight="1">
      <c r="B121" s="182" t="n">
        <v>105</v>
      </c>
      <c r="C121" s="182">
        <f>IFERROR(VLOOKUP($B121,calc_data,C$14+1,0),0)</f>
        <v/>
      </c>
      <c r="D121" s="182">
        <f>IFERROR(VLOOKUP($B121,calc_data,D$14+1,0),0)</f>
        <v/>
      </c>
      <c r="E121" s="183">
        <f>IFERROR(VLOOKUP($B121,calc_data,E$14+1,0),0)</f>
        <v/>
      </c>
      <c r="F121" s="182">
        <f>IFERROR(VLOOKUP($B121,calc_data,F$14+1,0),0)</f>
        <v/>
      </c>
      <c r="G121" s="141">
        <f>IFERROR(VLOOKUP($B121,calc_data,G$14+1,0),0)</f>
        <v/>
      </c>
      <c r="H121" s="141">
        <f>IFERROR(VLOOKUP($B121,calc_data,H$14+1,0),0)</f>
        <v/>
      </c>
      <c r="I121" s="142">
        <f>IFERROR(VLOOKUP($B121,calc_data,I$14+1,0),0)</f>
        <v/>
      </c>
      <c r="J121" s="141">
        <f>IFERROR(VLOOKUP($B121,calc_data,J$14+1,0),0)</f>
        <v/>
      </c>
      <c r="K121" s="141">
        <f>IFERROR(VLOOKUP($B121,calc_data,K$14+1,0),0)</f>
        <v/>
      </c>
      <c r="L121" s="141">
        <f>IFERROR(VLOOKUP($B121,calc_data,L$14+1,0),0)</f>
        <v/>
      </c>
      <c r="M121" s="177">
        <f>IFERROR(VLOOKUP($B121,calc_data,M$14+1,0),0)</f>
        <v/>
      </c>
      <c r="N121" s="177">
        <f>IFERROR(VLOOKUP($B121,calc_data,N$14+1,0),0)</f>
        <v/>
      </c>
      <c r="O121" s="45" t="n"/>
      <c r="Q121" s="57">
        <f>IF(K121&gt;0,"показать","скрыть")</f>
        <v/>
      </c>
    </row>
    <row r="122" ht="15.75" customHeight="1">
      <c r="B122" s="182" t="n">
        <v>106</v>
      </c>
      <c r="C122" s="182">
        <f>IFERROR(VLOOKUP($B122,calc_data,C$14+1,0),0)</f>
        <v/>
      </c>
      <c r="D122" s="182">
        <f>IFERROR(VLOOKUP($B122,calc_data,D$14+1,0),0)</f>
        <v/>
      </c>
      <c r="E122" s="183">
        <f>IFERROR(VLOOKUP($B122,calc_data,E$14+1,0),0)</f>
        <v/>
      </c>
      <c r="F122" s="182">
        <f>IFERROR(VLOOKUP($B122,calc_data,F$14+1,0),0)</f>
        <v/>
      </c>
      <c r="G122" s="141">
        <f>IFERROR(VLOOKUP($B122,calc_data,G$14+1,0),0)</f>
        <v/>
      </c>
      <c r="H122" s="141">
        <f>IFERROR(VLOOKUP($B122,calc_data,H$14+1,0),0)</f>
        <v/>
      </c>
      <c r="I122" s="142">
        <f>IFERROR(VLOOKUP($B122,calc_data,I$14+1,0),0)</f>
        <v/>
      </c>
      <c r="J122" s="141">
        <f>IFERROR(VLOOKUP($B122,calc_data,J$14+1,0),0)</f>
        <v/>
      </c>
      <c r="K122" s="141">
        <f>IFERROR(VLOOKUP($B122,calc_data,K$14+1,0),0)</f>
        <v/>
      </c>
      <c r="L122" s="141">
        <f>IFERROR(VLOOKUP($B122,calc_data,L$14+1,0),0)</f>
        <v/>
      </c>
      <c r="M122" s="177">
        <f>IFERROR(VLOOKUP($B122,calc_data,M$14+1,0),0)</f>
        <v/>
      </c>
      <c r="N122" s="177">
        <f>IFERROR(VLOOKUP($B122,calc_data,N$14+1,0),0)</f>
        <v/>
      </c>
      <c r="O122" s="45" t="n"/>
      <c r="Q122" s="57">
        <f>IF(K122&gt;0,"показать","скрыть")</f>
        <v/>
      </c>
    </row>
    <row r="123" ht="15.75" customHeight="1">
      <c r="B123" s="182" t="n">
        <v>107</v>
      </c>
      <c r="C123" s="182">
        <f>IFERROR(VLOOKUP($B123,calc_data,C$14+1,0),0)</f>
        <v/>
      </c>
      <c r="D123" s="182">
        <f>IFERROR(VLOOKUP($B123,calc_data,D$14+1,0),0)</f>
        <v/>
      </c>
      <c r="E123" s="183">
        <f>IFERROR(VLOOKUP($B123,calc_data,E$14+1,0),0)</f>
        <v/>
      </c>
      <c r="F123" s="182">
        <f>IFERROR(VLOOKUP($B123,calc_data,F$14+1,0),0)</f>
        <v/>
      </c>
      <c r="G123" s="141">
        <f>IFERROR(VLOOKUP($B123,calc_data,G$14+1,0),0)</f>
        <v/>
      </c>
      <c r="H123" s="141">
        <f>IFERROR(VLOOKUP($B123,calc_data,H$14+1,0),0)</f>
        <v/>
      </c>
      <c r="I123" s="142">
        <f>IFERROR(VLOOKUP($B123,calc_data,I$14+1,0),0)</f>
        <v/>
      </c>
      <c r="J123" s="141">
        <f>IFERROR(VLOOKUP($B123,calc_data,J$14+1,0),0)</f>
        <v/>
      </c>
      <c r="K123" s="141">
        <f>IFERROR(VLOOKUP($B123,calc_data,K$14+1,0),0)</f>
        <v/>
      </c>
      <c r="L123" s="141">
        <f>IFERROR(VLOOKUP($B123,calc_data,L$14+1,0),0)</f>
        <v/>
      </c>
      <c r="M123" s="177">
        <f>IFERROR(VLOOKUP($B123,calc_data,M$14+1,0),0)</f>
        <v/>
      </c>
      <c r="N123" s="177">
        <f>IFERROR(VLOOKUP($B123,calc_data,N$14+1,0),0)</f>
        <v/>
      </c>
      <c r="O123" s="45" t="n"/>
      <c r="Q123" s="57">
        <f>IF(K123&gt;0,"показать","скрыть")</f>
        <v/>
      </c>
    </row>
    <row r="124" ht="15.75" customHeight="1">
      <c r="B124" s="182" t="n">
        <v>108</v>
      </c>
      <c r="C124" s="182">
        <f>IFERROR(VLOOKUP($B124,calc_data,C$14+1,0),0)</f>
        <v/>
      </c>
      <c r="D124" s="182">
        <f>IFERROR(VLOOKUP($B124,calc_data,D$14+1,0),0)</f>
        <v/>
      </c>
      <c r="E124" s="183">
        <f>IFERROR(VLOOKUP($B124,calc_data,E$14+1,0),0)</f>
        <v/>
      </c>
      <c r="F124" s="182">
        <f>IFERROR(VLOOKUP($B124,calc_data,F$14+1,0),0)</f>
        <v/>
      </c>
      <c r="G124" s="141">
        <f>IFERROR(VLOOKUP($B124,calc_data,G$14+1,0),0)</f>
        <v/>
      </c>
      <c r="H124" s="141">
        <f>IFERROR(VLOOKUP($B124,calc_data,H$14+1,0),0)</f>
        <v/>
      </c>
      <c r="I124" s="142">
        <f>IFERROR(VLOOKUP($B124,calc_data,I$14+1,0),0)</f>
        <v/>
      </c>
      <c r="J124" s="141">
        <f>IFERROR(VLOOKUP($B124,calc_data,J$14+1,0),0)</f>
        <v/>
      </c>
      <c r="K124" s="141">
        <f>IFERROR(VLOOKUP($B124,calc_data,K$14+1,0),0)</f>
        <v/>
      </c>
      <c r="L124" s="141">
        <f>IFERROR(VLOOKUP($B124,calc_data,L$14+1,0),0)</f>
        <v/>
      </c>
      <c r="M124" s="177">
        <f>IFERROR(VLOOKUP($B124,calc_data,M$14+1,0),0)</f>
        <v/>
      </c>
      <c r="N124" s="177">
        <f>IFERROR(VLOOKUP($B124,calc_data,N$14+1,0),0)</f>
        <v/>
      </c>
      <c r="O124" s="45" t="n"/>
      <c r="Q124" s="57">
        <f>IF(K124&gt;0,"показать","скрыть")</f>
        <v/>
      </c>
    </row>
    <row r="125" ht="15.75" customHeight="1">
      <c r="B125" s="182" t="n">
        <v>109</v>
      </c>
      <c r="C125" s="182">
        <f>IFERROR(VLOOKUP($B125,calc_data,C$14+1,0),0)</f>
        <v/>
      </c>
      <c r="D125" s="182">
        <f>IFERROR(VLOOKUP($B125,calc_data,D$14+1,0),0)</f>
        <v/>
      </c>
      <c r="E125" s="183">
        <f>IFERROR(VLOOKUP($B125,calc_data,E$14+1,0),0)</f>
        <v/>
      </c>
      <c r="F125" s="182">
        <f>IFERROR(VLOOKUP($B125,calc_data,F$14+1,0),0)</f>
        <v/>
      </c>
      <c r="G125" s="141">
        <f>IFERROR(VLOOKUP($B125,calc_data,G$14+1,0),0)</f>
        <v/>
      </c>
      <c r="H125" s="141">
        <f>IFERROR(VLOOKUP($B125,calc_data,H$14+1,0),0)</f>
        <v/>
      </c>
      <c r="I125" s="142">
        <f>IFERROR(VLOOKUP($B125,calc_data,I$14+1,0),0)</f>
        <v/>
      </c>
      <c r="J125" s="141">
        <f>IFERROR(VLOOKUP($B125,calc_data,J$14+1,0),0)</f>
        <v/>
      </c>
      <c r="K125" s="141">
        <f>IFERROR(VLOOKUP($B125,calc_data,K$14+1,0),0)</f>
        <v/>
      </c>
      <c r="L125" s="141">
        <f>IFERROR(VLOOKUP($B125,calc_data,L$14+1,0),0)</f>
        <v/>
      </c>
      <c r="M125" s="177">
        <f>IFERROR(VLOOKUP($B125,calc_data,M$14+1,0),0)</f>
        <v/>
      </c>
      <c r="N125" s="177">
        <f>IFERROR(VLOOKUP($B125,calc_data,N$14+1,0),0)</f>
        <v/>
      </c>
      <c r="O125" s="45" t="n"/>
      <c r="Q125" s="57">
        <f>IF(K125&gt;0,"показать","скрыть")</f>
        <v/>
      </c>
    </row>
    <row r="126" ht="15.75" customHeight="1">
      <c r="B126" s="182" t="n">
        <v>110</v>
      </c>
      <c r="C126" s="182">
        <f>IFERROR(VLOOKUP($B126,calc_data,C$14+1,0),0)</f>
        <v/>
      </c>
      <c r="D126" s="182">
        <f>IFERROR(VLOOKUP($B126,calc_data,D$14+1,0),0)</f>
        <v/>
      </c>
      <c r="E126" s="183">
        <f>IFERROR(VLOOKUP($B126,calc_data,E$14+1,0),0)</f>
        <v/>
      </c>
      <c r="F126" s="182">
        <f>IFERROR(VLOOKUP($B126,calc_data,F$14+1,0),0)</f>
        <v/>
      </c>
      <c r="G126" s="141">
        <f>IFERROR(VLOOKUP($B126,calc_data,G$14+1,0),0)</f>
        <v/>
      </c>
      <c r="H126" s="141">
        <f>IFERROR(VLOOKUP($B126,calc_data,H$14+1,0),0)</f>
        <v/>
      </c>
      <c r="I126" s="142">
        <f>IFERROR(VLOOKUP($B126,calc_data,I$14+1,0),0)</f>
        <v/>
      </c>
      <c r="J126" s="141">
        <f>IFERROR(VLOOKUP($B126,calc_data,J$14+1,0),0)</f>
        <v/>
      </c>
      <c r="K126" s="141">
        <f>IFERROR(VLOOKUP($B126,calc_data,K$14+1,0),0)</f>
        <v/>
      </c>
      <c r="L126" s="141">
        <f>IFERROR(VLOOKUP($B126,calc_data,L$14+1,0),0)</f>
        <v/>
      </c>
      <c r="M126" s="177">
        <f>IFERROR(VLOOKUP($B126,calc_data,M$14+1,0),0)</f>
        <v/>
      </c>
      <c r="N126" s="177">
        <f>IFERROR(VLOOKUP($B126,calc_data,N$14+1,0),0)</f>
        <v/>
      </c>
      <c r="O126" s="45" t="n"/>
      <c r="Q126" s="57">
        <f>IF(K126&gt;0,"показать","скрыть")</f>
        <v/>
      </c>
    </row>
    <row r="127" ht="15.75" customHeight="1">
      <c r="B127" s="182" t="n">
        <v>111</v>
      </c>
      <c r="C127" s="182">
        <f>IFERROR(VLOOKUP($B127,calc_data,C$14+1,0),0)</f>
        <v/>
      </c>
      <c r="D127" s="182">
        <f>IFERROR(VLOOKUP($B127,calc_data,D$14+1,0),0)</f>
        <v/>
      </c>
      <c r="E127" s="183">
        <f>IFERROR(VLOOKUP($B127,calc_data,E$14+1,0),0)</f>
        <v/>
      </c>
      <c r="F127" s="182">
        <f>IFERROR(VLOOKUP($B127,calc_data,F$14+1,0),0)</f>
        <v/>
      </c>
      <c r="G127" s="141">
        <f>IFERROR(VLOOKUP($B127,calc_data,G$14+1,0),0)</f>
        <v/>
      </c>
      <c r="H127" s="141">
        <f>IFERROR(VLOOKUP($B127,calc_data,H$14+1,0),0)</f>
        <v/>
      </c>
      <c r="I127" s="142">
        <f>IFERROR(VLOOKUP($B127,calc_data,I$14+1,0),0)</f>
        <v/>
      </c>
      <c r="J127" s="141">
        <f>IFERROR(VLOOKUP($B127,calc_data,J$14+1,0),0)</f>
        <v/>
      </c>
      <c r="K127" s="141">
        <f>IFERROR(VLOOKUP($B127,calc_data,K$14+1,0),0)</f>
        <v/>
      </c>
      <c r="L127" s="141">
        <f>IFERROR(VLOOKUP($B127,calc_data,L$14+1,0),0)</f>
        <v/>
      </c>
      <c r="M127" s="177">
        <f>IFERROR(VLOOKUP($B127,calc_data,M$14+1,0),0)</f>
        <v/>
      </c>
      <c r="N127" s="177">
        <f>IFERROR(VLOOKUP($B127,calc_data,N$14+1,0),0)</f>
        <v/>
      </c>
      <c r="O127" s="45" t="n"/>
      <c r="Q127" s="57">
        <f>IF(K127&gt;0,"показать","скрыть")</f>
        <v/>
      </c>
    </row>
    <row r="128" ht="15.75" customHeight="1">
      <c r="B128" s="182" t="n">
        <v>112</v>
      </c>
      <c r="C128" s="182">
        <f>IFERROR(VLOOKUP($B128,calc_data,C$14+1,0),0)</f>
        <v/>
      </c>
      <c r="D128" s="182">
        <f>IFERROR(VLOOKUP($B128,calc_data,D$14+1,0),0)</f>
        <v/>
      </c>
      <c r="E128" s="183">
        <f>IFERROR(VLOOKUP($B128,calc_data,E$14+1,0),0)</f>
        <v/>
      </c>
      <c r="F128" s="182">
        <f>IFERROR(VLOOKUP($B128,calc_data,F$14+1,0),0)</f>
        <v/>
      </c>
      <c r="G128" s="141">
        <f>IFERROR(VLOOKUP($B128,calc_data,G$14+1,0),0)</f>
        <v/>
      </c>
      <c r="H128" s="141">
        <f>IFERROR(VLOOKUP($B128,calc_data,H$14+1,0),0)</f>
        <v/>
      </c>
      <c r="I128" s="142">
        <f>IFERROR(VLOOKUP($B128,calc_data,I$14+1,0),0)</f>
        <v/>
      </c>
      <c r="J128" s="141">
        <f>IFERROR(VLOOKUP($B128,calc_data,J$14+1,0),0)</f>
        <v/>
      </c>
      <c r="K128" s="141">
        <f>IFERROR(VLOOKUP($B128,calc_data,K$14+1,0),0)</f>
        <v/>
      </c>
      <c r="L128" s="141">
        <f>IFERROR(VLOOKUP($B128,calc_data,L$14+1,0),0)</f>
        <v/>
      </c>
      <c r="M128" s="177">
        <f>IFERROR(VLOOKUP($B128,calc_data,M$14+1,0),0)</f>
        <v/>
      </c>
      <c r="N128" s="177">
        <f>IFERROR(VLOOKUP($B128,calc_data,N$14+1,0),0)</f>
        <v/>
      </c>
      <c r="O128" s="45" t="n"/>
      <c r="Q128" s="57">
        <f>IF(K128&gt;0,"показать","скрыть")</f>
        <v/>
      </c>
    </row>
    <row r="129" ht="15.75" customHeight="1">
      <c r="B129" s="182" t="n">
        <v>113</v>
      </c>
      <c r="C129" s="182">
        <f>IFERROR(VLOOKUP($B129,calc_data,C$14+1,0),0)</f>
        <v/>
      </c>
      <c r="D129" s="182">
        <f>IFERROR(VLOOKUP($B129,calc_data,D$14+1,0),0)</f>
        <v/>
      </c>
      <c r="E129" s="183">
        <f>IFERROR(VLOOKUP($B129,calc_data,E$14+1,0),0)</f>
        <v/>
      </c>
      <c r="F129" s="182">
        <f>IFERROR(VLOOKUP($B129,calc_data,F$14+1,0),0)</f>
        <v/>
      </c>
      <c r="G129" s="141">
        <f>IFERROR(VLOOKUP($B129,calc_data,G$14+1,0),0)</f>
        <v/>
      </c>
      <c r="H129" s="141">
        <f>IFERROR(VLOOKUP($B129,calc_data,H$14+1,0),0)</f>
        <v/>
      </c>
      <c r="I129" s="142">
        <f>IFERROR(VLOOKUP($B129,calc_data,I$14+1,0),0)</f>
        <v/>
      </c>
      <c r="J129" s="141">
        <f>IFERROR(VLOOKUP($B129,calc_data,J$14+1,0),0)</f>
        <v/>
      </c>
      <c r="K129" s="141">
        <f>IFERROR(VLOOKUP($B129,calc_data,K$14+1,0),0)</f>
        <v/>
      </c>
      <c r="L129" s="141">
        <f>IFERROR(VLOOKUP($B129,calc_data,L$14+1,0),0)</f>
        <v/>
      </c>
      <c r="M129" s="177">
        <f>IFERROR(VLOOKUP($B129,calc_data,M$14+1,0),0)</f>
        <v/>
      </c>
      <c r="N129" s="177">
        <f>IFERROR(VLOOKUP($B129,calc_data,N$14+1,0),0)</f>
        <v/>
      </c>
      <c r="O129" s="45" t="n"/>
      <c r="Q129" s="57">
        <f>IF(K129&gt;0,"показать","скрыть")</f>
        <v/>
      </c>
    </row>
    <row r="130" ht="15.75" customHeight="1">
      <c r="B130" s="182" t="n">
        <v>114</v>
      </c>
      <c r="C130" s="182">
        <f>IFERROR(VLOOKUP($B130,calc_data,C$14+1,0),0)</f>
        <v/>
      </c>
      <c r="D130" s="182">
        <f>IFERROR(VLOOKUP($B130,calc_data,D$14+1,0),0)</f>
        <v/>
      </c>
      <c r="E130" s="183">
        <f>IFERROR(VLOOKUP($B130,calc_data,E$14+1,0),0)</f>
        <v/>
      </c>
      <c r="F130" s="182">
        <f>IFERROR(VLOOKUP($B130,calc_data,F$14+1,0),0)</f>
        <v/>
      </c>
      <c r="G130" s="141">
        <f>IFERROR(VLOOKUP($B130,calc_data,G$14+1,0),0)</f>
        <v/>
      </c>
      <c r="H130" s="141">
        <f>IFERROR(VLOOKUP($B130,calc_data,H$14+1,0),0)</f>
        <v/>
      </c>
      <c r="I130" s="142">
        <f>IFERROR(VLOOKUP($B130,calc_data,I$14+1,0),0)</f>
        <v/>
      </c>
      <c r="J130" s="141">
        <f>IFERROR(VLOOKUP($B130,calc_data,J$14+1,0),0)</f>
        <v/>
      </c>
      <c r="K130" s="141">
        <f>IFERROR(VLOOKUP($B130,calc_data,K$14+1,0),0)</f>
        <v/>
      </c>
      <c r="L130" s="141">
        <f>IFERROR(VLOOKUP($B130,calc_data,L$14+1,0),0)</f>
        <v/>
      </c>
      <c r="M130" s="177">
        <f>IFERROR(VLOOKUP($B130,calc_data,M$14+1,0),0)</f>
        <v/>
      </c>
      <c r="N130" s="177">
        <f>IFERROR(VLOOKUP($B130,calc_data,N$14+1,0),0)</f>
        <v/>
      </c>
      <c r="O130" s="45" t="n"/>
      <c r="Q130" s="57">
        <f>IF(K130&gt;0,"показать","скрыть")</f>
        <v/>
      </c>
    </row>
    <row r="131" ht="15.75" customHeight="1">
      <c r="B131" s="182" t="n">
        <v>115</v>
      </c>
      <c r="C131" s="182">
        <f>IFERROR(VLOOKUP($B131,calc_data,C$14+1,0),0)</f>
        <v/>
      </c>
      <c r="D131" s="182">
        <f>IFERROR(VLOOKUP($B131,calc_data,D$14+1,0),0)</f>
        <v/>
      </c>
      <c r="E131" s="183">
        <f>IFERROR(VLOOKUP($B131,calc_data,E$14+1,0),0)</f>
        <v/>
      </c>
      <c r="F131" s="182">
        <f>IFERROR(VLOOKUP($B131,calc_data,F$14+1,0),0)</f>
        <v/>
      </c>
      <c r="G131" s="141">
        <f>IFERROR(VLOOKUP($B131,calc_data,G$14+1,0),0)</f>
        <v/>
      </c>
      <c r="H131" s="141">
        <f>IFERROR(VLOOKUP($B131,calc_data,H$14+1,0),0)</f>
        <v/>
      </c>
      <c r="I131" s="142">
        <f>IFERROR(VLOOKUP($B131,calc_data,I$14+1,0),0)</f>
        <v/>
      </c>
      <c r="J131" s="141">
        <f>IFERROR(VLOOKUP($B131,calc_data,J$14+1,0),0)</f>
        <v/>
      </c>
      <c r="K131" s="141">
        <f>IFERROR(VLOOKUP($B131,calc_data,K$14+1,0),0)</f>
        <v/>
      </c>
      <c r="L131" s="141">
        <f>IFERROR(VLOOKUP($B131,calc_data,L$14+1,0),0)</f>
        <v/>
      </c>
      <c r="M131" s="177">
        <f>IFERROR(VLOOKUP($B131,calc_data,M$14+1,0),0)</f>
        <v/>
      </c>
      <c r="N131" s="177">
        <f>IFERROR(VLOOKUP($B131,calc_data,N$14+1,0),0)</f>
        <v/>
      </c>
      <c r="O131" s="45" t="n"/>
      <c r="Q131" s="57">
        <f>IF(K131&gt;0,"показать","скрыть")</f>
        <v/>
      </c>
    </row>
    <row r="132" ht="15.75" customHeight="1">
      <c r="B132" s="182" t="n">
        <v>116</v>
      </c>
      <c r="C132" s="182">
        <f>IFERROR(VLOOKUP($B132,calc_data,C$14+1,0),0)</f>
        <v/>
      </c>
      <c r="D132" s="182">
        <f>IFERROR(VLOOKUP($B132,calc_data,D$14+1,0),0)</f>
        <v/>
      </c>
      <c r="E132" s="183">
        <f>IFERROR(VLOOKUP($B132,calc_data,E$14+1,0),0)</f>
        <v/>
      </c>
      <c r="F132" s="182">
        <f>IFERROR(VLOOKUP($B132,calc_data,F$14+1,0),0)</f>
        <v/>
      </c>
      <c r="G132" s="141">
        <f>IFERROR(VLOOKUP($B132,calc_data,G$14+1,0),0)</f>
        <v/>
      </c>
      <c r="H132" s="141">
        <f>IFERROR(VLOOKUP($B132,calc_data,H$14+1,0),0)</f>
        <v/>
      </c>
      <c r="I132" s="142">
        <f>IFERROR(VLOOKUP($B132,calc_data,I$14+1,0),0)</f>
        <v/>
      </c>
      <c r="J132" s="141">
        <f>IFERROR(VLOOKUP($B132,calc_data,J$14+1,0),0)</f>
        <v/>
      </c>
      <c r="K132" s="141">
        <f>IFERROR(VLOOKUP($B132,calc_data,K$14+1,0),0)</f>
        <v/>
      </c>
      <c r="L132" s="141">
        <f>IFERROR(VLOOKUP($B132,calc_data,L$14+1,0),0)</f>
        <v/>
      </c>
      <c r="M132" s="177">
        <f>IFERROR(VLOOKUP($B132,calc_data,M$14+1,0),0)</f>
        <v/>
      </c>
      <c r="N132" s="177">
        <f>IFERROR(VLOOKUP($B132,calc_data,N$14+1,0),0)</f>
        <v/>
      </c>
      <c r="O132" s="45" t="n"/>
      <c r="Q132" s="57">
        <f>IF(K132&gt;0,"показать","скрыть")</f>
        <v/>
      </c>
    </row>
    <row r="133" ht="15.75" customHeight="1">
      <c r="B133" s="182" t="n">
        <v>117</v>
      </c>
      <c r="C133" s="182">
        <f>IFERROR(VLOOKUP($B133,calc_data,C$14+1,0),0)</f>
        <v/>
      </c>
      <c r="D133" s="182">
        <f>IFERROR(VLOOKUP($B133,calc_data,D$14+1,0),0)</f>
        <v/>
      </c>
      <c r="E133" s="183">
        <f>IFERROR(VLOOKUP($B133,calc_data,E$14+1,0),0)</f>
        <v/>
      </c>
      <c r="F133" s="182">
        <f>IFERROR(VLOOKUP($B133,calc_data,F$14+1,0),0)</f>
        <v/>
      </c>
      <c r="G133" s="141">
        <f>IFERROR(VLOOKUP($B133,calc_data,G$14+1,0),0)</f>
        <v/>
      </c>
      <c r="H133" s="141">
        <f>IFERROR(VLOOKUP($B133,calc_data,H$14+1,0),0)</f>
        <v/>
      </c>
      <c r="I133" s="142">
        <f>IFERROR(VLOOKUP($B133,calc_data,I$14+1,0),0)</f>
        <v/>
      </c>
      <c r="J133" s="141">
        <f>IFERROR(VLOOKUP($B133,calc_data,J$14+1,0),0)</f>
        <v/>
      </c>
      <c r="K133" s="141">
        <f>IFERROR(VLOOKUP($B133,calc_data,K$14+1,0),0)</f>
        <v/>
      </c>
      <c r="L133" s="141">
        <f>IFERROR(VLOOKUP($B133,calc_data,L$14+1,0),0)</f>
        <v/>
      </c>
      <c r="M133" s="177">
        <f>IFERROR(VLOOKUP($B133,calc_data,M$14+1,0),0)</f>
        <v/>
      </c>
      <c r="N133" s="177">
        <f>IFERROR(VLOOKUP($B133,calc_data,N$14+1,0),0)</f>
        <v/>
      </c>
      <c r="O133" s="45" t="n"/>
      <c r="Q133" s="57">
        <f>IF(K133&gt;0,"показать","скрыть")</f>
        <v/>
      </c>
    </row>
    <row r="134" ht="15.75" customHeight="1">
      <c r="B134" s="182" t="n">
        <v>118</v>
      </c>
      <c r="C134" s="182">
        <f>IFERROR(VLOOKUP($B134,calc_data,C$14+1,0),0)</f>
        <v/>
      </c>
      <c r="D134" s="182">
        <f>IFERROR(VLOOKUP($B134,calc_data,D$14+1,0),0)</f>
        <v/>
      </c>
      <c r="E134" s="183">
        <f>IFERROR(VLOOKUP($B134,calc_data,E$14+1,0),0)</f>
        <v/>
      </c>
      <c r="F134" s="182">
        <f>IFERROR(VLOOKUP($B134,calc_data,F$14+1,0),0)</f>
        <v/>
      </c>
      <c r="G134" s="141">
        <f>IFERROR(VLOOKUP($B134,calc_data,G$14+1,0),0)</f>
        <v/>
      </c>
      <c r="H134" s="141">
        <f>IFERROR(VLOOKUP($B134,calc_data,H$14+1,0),0)</f>
        <v/>
      </c>
      <c r="I134" s="142">
        <f>IFERROR(VLOOKUP($B134,calc_data,I$14+1,0),0)</f>
        <v/>
      </c>
      <c r="J134" s="141">
        <f>IFERROR(VLOOKUP($B134,calc_data,J$14+1,0),0)</f>
        <v/>
      </c>
      <c r="K134" s="141">
        <f>IFERROR(VLOOKUP($B134,calc_data,K$14+1,0),0)</f>
        <v/>
      </c>
      <c r="L134" s="141">
        <f>IFERROR(VLOOKUP($B134,calc_data,L$14+1,0),0)</f>
        <v/>
      </c>
      <c r="M134" s="177">
        <f>IFERROR(VLOOKUP($B134,calc_data,M$14+1,0),0)</f>
        <v/>
      </c>
      <c r="N134" s="177">
        <f>IFERROR(VLOOKUP($B134,calc_data,N$14+1,0),0)</f>
        <v/>
      </c>
      <c r="O134" s="45" t="n"/>
      <c r="Q134" s="57">
        <f>IF(K134&gt;0,"показать","скрыть")</f>
        <v/>
      </c>
    </row>
    <row r="135" ht="15.75" customHeight="1">
      <c r="B135" s="182" t="n">
        <v>119</v>
      </c>
      <c r="C135" s="182">
        <f>IFERROR(VLOOKUP($B135,calc_data,C$14+1,0),0)</f>
        <v/>
      </c>
      <c r="D135" s="182">
        <f>IFERROR(VLOOKUP($B135,calc_data,D$14+1,0),0)</f>
        <v/>
      </c>
      <c r="E135" s="183">
        <f>IFERROR(VLOOKUP($B135,calc_data,E$14+1,0),0)</f>
        <v/>
      </c>
      <c r="F135" s="182">
        <f>IFERROR(VLOOKUP($B135,calc_data,F$14+1,0),0)</f>
        <v/>
      </c>
      <c r="G135" s="141">
        <f>IFERROR(VLOOKUP($B135,calc_data,G$14+1,0),0)</f>
        <v/>
      </c>
      <c r="H135" s="141">
        <f>IFERROR(VLOOKUP($B135,calc_data,H$14+1,0),0)</f>
        <v/>
      </c>
      <c r="I135" s="142">
        <f>IFERROR(VLOOKUP($B135,calc_data,I$14+1,0),0)</f>
        <v/>
      </c>
      <c r="J135" s="141">
        <f>IFERROR(VLOOKUP($B135,calc_data,J$14+1,0),0)</f>
        <v/>
      </c>
      <c r="K135" s="141">
        <f>IFERROR(VLOOKUP($B135,calc_data,K$14+1,0),0)</f>
        <v/>
      </c>
      <c r="L135" s="141">
        <f>IFERROR(VLOOKUP($B135,calc_data,L$14+1,0),0)</f>
        <v/>
      </c>
      <c r="M135" s="177">
        <f>IFERROR(VLOOKUP($B135,calc_data,M$14+1,0),0)</f>
        <v/>
      </c>
      <c r="N135" s="177">
        <f>IFERROR(VLOOKUP($B135,calc_data,N$14+1,0),0)</f>
        <v/>
      </c>
      <c r="O135" s="45" t="n"/>
      <c r="Q135" s="57">
        <f>IF(K135&gt;0,"показать","скрыть")</f>
        <v/>
      </c>
    </row>
    <row r="136" ht="15.75" customHeight="1">
      <c r="B136" s="182" t="n">
        <v>120</v>
      </c>
      <c r="C136" s="182">
        <f>IFERROR(VLOOKUP($B136,calc_data,C$14+1,0),0)</f>
        <v/>
      </c>
      <c r="D136" s="182">
        <f>IFERROR(VLOOKUP($B136,calc_data,D$14+1,0),0)</f>
        <v/>
      </c>
      <c r="E136" s="183">
        <f>IFERROR(VLOOKUP($B136,calc_data,E$14+1,0),0)</f>
        <v/>
      </c>
      <c r="F136" s="182">
        <f>IFERROR(VLOOKUP($B136,calc_data,F$14+1,0),0)</f>
        <v/>
      </c>
      <c r="G136" s="141">
        <f>IFERROR(VLOOKUP($B136,calc_data,G$14+1,0),0)</f>
        <v/>
      </c>
      <c r="H136" s="141">
        <f>IFERROR(VLOOKUP($B136,calc_data,H$14+1,0),0)</f>
        <v/>
      </c>
      <c r="I136" s="142">
        <f>IFERROR(VLOOKUP($B136,calc_data,I$14+1,0),0)</f>
        <v/>
      </c>
      <c r="J136" s="141">
        <f>IFERROR(VLOOKUP($B136,calc_data,J$14+1,0),0)</f>
        <v/>
      </c>
      <c r="K136" s="141">
        <f>IFERROR(VLOOKUP($B136,calc_data,K$14+1,0),0)</f>
        <v/>
      </c>
      <c r="L136" s="141">
        <f>IFERROR(VLOOKUP($B136,calc_data,L$14+1,0),0)</f>
        <v/>
      </c>
      <c r="M136" s="177">
        <f>IFERROR(VLOOKUP($B136,calc_data,M$14+1,0),0)</f>
        <v/>
      </c>
      <c r="N136" s="177">
        <f>IFERROR(VLOOKUP($B136,calc_data,N$14+1,0),0)</f>
        <v/>
      </c>
      <c r="O136" s="45" t="n"/>
      <c r="Q136" s="57">
        <f>IF(K136&gt;0,"показать","скрыть")</f>
        <v/>
      </c>
    </row>
    <row r="137" ht="15.75" customHeight="1">
      <c r="B137" s="182" t="n">
        <v>121</v>
      </c>
      <c r="C137" s="182">
        <f>IFERROR(VLOOKUP($B137,calc_data,C$14+1,0),0)</f>
        <v/>
      </c>
      <c r="D137" s="182">
        <f>IFERROR(VLOOKUP($B137,calc_data,D$14+1,0),0)</f>
        <v/>
      </c>
      <c r="E137" s="183">
        <f>IFERROR(VLOOKUP($B137,calc_data,E$14+1,0),0)</f>
        <v/>
      </c>
      <c r="F137" s="182">
        <f>IFERROR(VLOOKUP($B137,calc_data,F$14+1,0),0)</f>
        <v/>
      </c>
      <c r="G137" s="141">
        <f>IFERROR(VLOOKUP($B137,calc_data,G$14+1,0),0)</f>
        <v/>
      </c>
      <c r="H137" s="141">
        <f>IFERROR(VLOOKUP($B137,calc_data,H$14+1,0),0)</f>
        <v/>
      </c>
      <c r="I137" s="142">
        <f>IFERROR(VLOOKUP($B137,calc_data,I$14+1,0),0)</f>
        <v/>
      </c>
      <c r="J137" s="141">
        <f>IFERROR(VLOOKUP($B137,calc_data,J$14+1,0),0)</f>
        <v/>
      </c>
      <c r="K137" s="141">
        <f>IFERROR(VLOOKUP($B137,calc_data,K$14+1,0),0)</f>
        <v/>
      </c>
      <c r="L137" s="141">
        <f>IFERROR(VLOOKUP($B137,calc_data,L$14+1,0),0)</f>
        <v/>
      </c>
      <c r="M137" s="177">
        <f>IFERROR(VLOOKUP($B137,calc_data,M$14+1,0),0)</f>
        <v/>
      </c>
      <c r="N137" s="177">
        <f>IFERROR(VLOOKUP($B137,calc_data,N$14+1,0),0)</f>
        <v/>
      </c>
      <c r="O137" s="45" t="n"/>
      <c r="Q137" s="57">
        <f>IF(K137&gt;0,"показать","скрыть")</f>
        <v/>
      </c>
    </row>
    <row r="138" ht="15.75" customHeight="1">
      <c r="B138" s="182" t="n">
        <v>122</v>
      </c>
      <c r="C138" s="182">
        <f>IFERROR(VLOOKUP($B138,calc_data,C$14+1,0),0)</f>
        <v/>
      </c>
      <c r="D138" s="182">
        <f>IFERROR(VLOOKUP($B138,calc_data,D$14+1,0),0)</f>
        <v/>
      </c>
      <c r="E138" s="183">
        <f>IFERROR(VLOOKUP($B138,calc_data,E$14+1,0),0)</f>
        <v/>
      </c>
      <c r="F138" s="182">
        <f>IFERROR(VLOOKUP($B138,calc_data,F$14+1,0),0)</f>
        <v/>
      </c>
      <c r="G138" s="141">
        <f>IFERROR(VLOOKUP($B138,calc_data,G$14+1,0),0)</f>
        <v/>
      </c>
      <c r="H138" s="141">
        <f>IFERROR(VLOOKUP($B138,calc_data,H$14+1,0),0)</f>
        <v/>
      </c>
      <c r="I138" s="142">
        <f>IFERROR(VLOOKUP($B138,calc_data,I$14+1,0),0)</f>
        <v/>
      </c>
      <c r="J138" s="141">
        <f>IFERROR(VLOOKUP($B138,calc_data,J$14+1,0),0)</f>
        <v/>
      </c>
      <c r="K138" s="141">
        <f>IFERROR(VLOOKUP($B138,calc_data,K$14+1,0),0)</f>
        <v/>
      </c>
      <c r="L138" s="141">
        <f>IFERROR(VLOOKUP($B138,calc_data,L$14+1,0),0)</f>
        <v/>
      </c>
      <c r="M138" s="177">
        <f>IFERROR(VLOOKUP($B138,calc_data,M$14+1,0),0)</f>
        <v/>
      </c>
      <c r="N138" s="177">
        <f>IFERROR(VLOOKUP($B138,calc_data,N$14+1,0),0)</f>
        <v/>
      </c>
      <c r="O138" s="45" t="n"/>
      <c r="Q138" s="57">
        <f>IF(K138&gt;0,"показать","скрыть")</f>
        <v/>
      </c>
    </row>
    <row r="139" ht="15.75" customHeight="1">
      <c r="B139" s="182" t="n">
        <v>123</v>
      </c>
      <c r="C139" s="182">
        <f>IFERROR(VLOOKUP($B139,calc_data,C$14+1,0),0)</f>
        <v/>
      </c>
      <c r="D139" s="182">
        <f>IFERROR(VLOOKUP($B139,calc_data,D$14+1,0),0)</f>
        <v/>
      </c>
      <c r="E139" s="183">
        <f>IFERROR(VLOOKUP($B139,calc_data,E$14+1,0),0)</f>
        <v/>
      </c>
      <c r="F139" s="182">
        <f>IFERROR(VLOOKUP($B139,calc_data,F$14+1,0),0)</f>
        <v/>
      </c>
      <c r="G139" s="141">
        <f>IFERROR(VLOOKUP($B139,calc_data,G$14+1,0),0)</f>
        <v/>
      </c>
      <c r="H139" s="141">
        <f>IFERROR(VLOOKUP($B139,calc_data,H$14+1,0),0)</f>
        <v/>
      </c>
      <c r="I139" s="142">
        <f>IFERROR(VLOOKUP($B139,calc_data,I$14+1,0),0)</f>
        <v/>
      </c>
      <c r="J139" s="141">
        <f>IFERROR(VLOOKUP($B139,calc_data,J$14+1,0),0)</f>
        <v/>
      </c>
      <c r="K139" s="141">
        <f>IFERROR(VLOOKUP($B139,calc_data,K$14+1,0),0)</f>
        <v/>
      </c>
      <c r="L139" s="141">
        <f>IFERROR(VLOOKUP($B139,calc_data,L$14+1,0),0)</f>
        <v/>
      </c>
      <c r="M139" s="177">
        <f>IFERROR(VLOOKUP($B139,calc_data,M$14+1,0),0)</f>
        <v/>
      </c>
      <c r="N139" s="177">
        <f>IFERROR(VLOOKUP($B139,calc_data,N$14+1,0),0)</f>
        <v/>
      </c>
      <c r="O139" s="45" t="n"/>
      <c r="Q139" s="57">
        <f>IF(K139&gt;0,"показать","скрыть")</f>
        <v/>
      </c>
    </row>
    <row r="140" ht="15.75" customHeight="1">
      <c r="B140" s="182" t="n">
        <v>124</v>
      </c>
      <c r="C140" s="182">
        <f>IFERROR(VLOOKUP($B140,calc_data,C$14+1,0),0)</f>
        <v/>
      </c>
      <c r="D140" s="182">
        <f>IFERROR(VLOOKUP($B140,calc_data,D$14+1,0),0)</f>
        <v/>
      </c>
      <c r="E140" s="183">
        <f>IFERROR(VLOOKUP($B140,calc_data,E$14+1,0),0)</f>
        <v/>
      </c>
      <c r="F140" s="182">
        <f>IFERROR(VLOOKUP($B140,calc_data,F$14+1,0),0)</f>
        <v/>
      </c>
      <c r="G140" s="141">
        <f>IFERROR(VLOOKUP($B140,calc_data,G$14+1,0),0)</f>
        <v/>
      </c>
      <c r="H140" s="141">
        <f>IFERROR(VLOOKUP($B140,calc_data,H$14+1,0),0)</f>
        <v/>
      </c>
      <c r="I140" s="142">
        <f>IFERROR(VLOOKUP($B140,calc_data,I$14+1,0),0)</f>
        <v/>
      </c>
      <c r="J140" s="141">
        <f>IFERROR(VLOOKUP($B140,calc_data,J$14+1,0),0)</f>
        <v/>
      </c>
      <c r="K140" s="141">
        <f>IFERROR(VLOOKUP($B140,calc_data,K$14+1,0),0)</f>
        <v/>
      </c>
      <c r="L140" s="141">
        <f>IFERROR(VLOOKUP($B140,calc_data,L$14+1,0),0)</f>
        <v/>
      </c>
      <c r="M140" s="177">
        <f>IFERROR(VLOOKUP($B140,calc_data,M$14+1,0),0)</f>
        <v/>
      </c>
      <c r="N140" s="177">
        <f>IFERROR(VLOOKUP($B140,calc_data,N$14+1,0),0)</f>
        <v/>
      </c>
      <c r="O140" s="45" t="n"/>
      <c r="Q140" s="57">
        <f>IF(K140&gt;0,"показать","скрыть")</f>
        <v/>
      </c>
    </row>
    <row r="141" ht="15.75" customHeight="1">
      <c r="B141" s="182" t="n">
        <v>125</v>
      </c>
      <c r="C141" s="182">
        <f>IFERROR(VLOOKUP($B141,calc_data,C$14+1,0),0)</f>
        <v/>
      </c>
      <c r="D141" s="182">
        <f>IFERROR(VLOOKUP($B141,calc_data,D$14+1,0),0)</f>
        <v/>
      </c>
      <c r="E141" s="183">
        <f>IFERROR(VLOOKUP($B141,calc_data,E$14+1,0),0)</f>
        <v/>
      </c>
      <c r="F141" s="182">
        <f>IFERROR(VLOOKUP($B141,calc_data,F$14+1,0),0)</f>
        <v/>
      </c>
      <c r="G141" s="141">
        <f>IFERROR(VLOOKUP($B141,calc_data,G$14+1,0),0)</f>
        <v/>
      </c>
      <c r="H141" s="141">
        <f>IFERROR(VLOOKUP($B141,calc_data,H$14+1,0),0)</f>
        <v/>
      </c>
      <c r="I141" s="142">
        <f>IFERROR(VLOOKUP($B141,calc_data,I$14+1,0),0)</f>
        <v/>
      </c>
      <c r="J141" s="141">
        <f>IFERROR(VLOOKUP($B141,calc_data,J$14+1,0),0)</f>
        <v/>
      </c>
      <c r="K141" s="141">
        <f>IFERROR(VLOOKUP($B141,calc_data,K$14+1,0),0)</f>
        <v/>
      </c>
      <c r="L141" s="141">
        <f>IFERROR(VLOOKUP($B141,calc_data,L$14+1,0),0)</f>
        <v/>
      </c>
      <c r="M141" s="177">
        <f>IFERROR(VLOOKUP($B141,calc_data,M$14+1,0),0)</f>
        <v/>
      </c>
      <c r="N141" s="177">
        <f>IFERROR(VLOOKUP($B141,calc_data,N$14+1,0),0)</f>
        <v/>
      </c>
      <c r="O141" s="45" t="n"/>
      <c r="Q141" s="57">
        <f>IF(K141&gt;0,"показать","скрыть")</f>
        <v/>
      </c>
    </row>
    <row r="142" ht="15.75" customHeight="1">
      <c r="B142" s="182" t="n">
        <v>126</v>
      </c>
      <c r="C142" s="182">
        <f>IFERROR(VLOOKUP($B142,calc_data,C$14+1,0),0)</f>
        <v/>
      </c>
      <c r="D142" s="182">
        <f>IFERROR(VLOOKUP($B142,calc_data,D$14+1,0),0)</f>
        <v/>
      </c>
      <c r="E142" s="183">
        <f>IFERROR(VLOOKUP($B142,calc_data,E$14+1,0),0)</f>
        <v/>
      </c>
      <c r="F142" s="182">
        <f>IFERROR(VLOOKUP($B142,calc_data,F$14+1,0),0)</f>
        <v/>
      </c>
      <c r="G142" s="141">
        <f>IFERROR(VLOOKUP($B142,calc_data,G$14+1,0),0)</f>
        <v/>
      </c>
      <c r="H142" s="141">
        <f>IFERROR(VLOOKUP($B142,calc_data,H$14+1,0),0)</f>
        <v/>
      </c>
      <c r="I142" s="142">
        <f>IFERROR(VLOOKUP($B142,calc_data,I$14+1,0),0)</f>
        <v/>
      </c>
      <c r="J142" s="141">
        <f>IFERROR(VLOOKUP($B142,calc_data,J$14+1,0),0)</f>
        <v/>
      </c>
      <c r="K142" s="141">
        <f>IFERROR(VLOOKUP($B142,calc_data,K$14+1,0),0)</f>
        <v/>
      </c>
      <c r="L142" s="141">
        <f>IFERROR(VLOOKUP($B142,calc_data,L$14+1,0),0)</f>
        <v/>
      </c>
      <c r="M142" s="177">
        <f>IFERROR(VLOOKUP($B142,calc_data,M$14+1,0),0)</f>
        <v/>
      </c>
      <c r="N142" s="177">
        <f>IFERROR(VLOOKUP($B142,calc_data,N$14+1,0),0)</f>
        <v/>
      </c>
      <c r="O142" s="45" t="n"/>
      <c r="Q142" s="57">
        <f>IF(K142&gt;0,"показать","скрыть")</f>
        <v/>
      </c>
    </row>
    <row r="143" ht="15.75" customHeight="1">
      <c r="B143" s="182" t="n">
        <v>127</v>
      </c>
      <c r="C143" s="182">
        <f>IFERROR(VLOOKUP($B143,calc_data,C$14+1,0),0)</f>
        <v/>
      </c>
      <c r="D143" s="182">
        <f>IFERROR(VLOOKUP($B143,calc_data,D$14+1,0),0)</f>
        <v/>
      </c>
      <c r="E143" s="183">
        <f>IFERROR(VLOOKUP($B143,calc_data,E$14+1,0),0)</f>
        <v/>
      </c>
      <c r="F143" s="182">
        <f>IFERROR(VLOOKUP($B143,calc_data,F$14+1,0),0)</f>
        <v/>
      </c>
      <c r="G143" s="141">
        <f>IFERROR(VLOOKUP($B143,calc_data,G$14+1,0),0)</f>
        <v/>
      </c>
      <c r="H143" s="141">
        <f>IFERROR(VLOOKUP($B143,calc_data,H$14+1,0),0)</f>
        <v/>
      </c>
      <c r="I143" s="142">
        <f>IFERROR(VLOOKUP($B143,calc_data,I$14+1,0),0)</f>
        <v/>
      </c>
      <c r="J143" s="141">
        <f>IFERROR(VLOOKUP($B143,calc_data,J$14+1,0),0)</f>
        <v/>
      </c>
      <c r="K143" s="141">
        <f>IFERROR(VLOOKUP($B143,calc_data,K$14+1,0),0)</f>
        <v/>
      </c>
      <c r="L143" s="141">
        <f>IFERROR(VLOOKUP($B143,calc_data,L$14+1,0),0)</f>
        <v/>
      </c>
      <c r="M143" s="177">
        <f>IFERROR(VLOOKUP($B143,calc_data,M$14+1,0),0)</f>
        <v/>
      </c>
      <c r="N143" s="177">
        <f>IFERROR(VLOOKUP($B143,calc_data,N$14+1,0),0)</f>
        <v/>
      </c>
      <c r="O143" s="45" t="n"/>
      <c r="Q143" s="57">
        <f>IF(K143&gt;0,"показать","скрыть")</f>
        <v/>
      </c>
    </row>
    <row r="144" ht="15.75" customHeight="1">
      <c r="B144" s="182" t="n">
        <v>128</v>
      </c>
      <c r="C144" s="182">
        <f>IFERROR(VLOOKUP($B144,calc_data,C$14+1,0),0)</f>
        <v/>
      </c>
      <c r="D144" s="182">
        <f>IFERROR(VLOOKUP($B144,calc_data,D$14+1,0),0)</f>
        <v/>
      </c>
      <c r="E144" s="183">
        <f>IFERROR(VLOOKUP($B144,calc_data,E$14+1,0),0)</f>
        <v/>
      </c>
      <c r="F144" s="182">
        <f>IFERROR(VLOOKUP($B144,calc_data,F$14+1,0),0)</f>
        <v/>
      </c>
      <c r="G144" s="141">
        <f>IFERROR(VLOOKUP($B144,calc_data,G$14+1,0),0)</f>
        <v/>
      </c>
      <c r="H144" s="141">
        <f>IFERROR(VLOOKUP($B144,calc_data,H$14+1,0),0)</f>
        <v/>
      </c>
      <c r="I144" s="142">
        <f>IFERROR(VLOOKUP($B144,calc_data,I$14+1,0),0)</f>
        <v/>
      </c>
      <c r="J144" s="141">
        <f>IFERROR(VLOOKUP($B144,calc_data,J$14+1,0),0)</f>
        <v/>
      </c>
      <c r="K144" s="141">
        <f>IFERROR(VLOOKUP($B144,calc_data,K$14+1,0),0)</f>
        <v/>
      </c>
      <c r="L144" s="141">
        <f>IFERROR(VLOOKUP($B144,calc_data,L$14+1,0),0)</f>
        <v/>
      </c>
      <c r="M144" s="177">
        <f>IFERROR(VLOOKUP($B144,calc_data,M$14+1,0),0)</f>
        <v/>
      </c>
      <c r="N144" s="177">
        <f>IFERROR(VLOOKUP($B144,calc_data,N$14+1,0),0)</f>
        <v/>
      </c>
      <c r="O144" s="45" t="n"/>
      <c r="Q144" s="57">
        <f>IF(K144&gt;0,"показать","скрыть")</f>
        <v/>
      </c>
    </row>
    <row r="145" ht="15.75" customHeight="1">
      <c r="B145" s="182" t="n">
        <v>129</v>
      </c>
      <c r="C145" s="182">
        <f>IFERROR(VLOOKUP($B145,calc_data,C$14+1,0),0)</f>
        <v/>
      </c>
      <c r="D145" s="182">
        <f>IFERROR(VLOOKUP($B145,calc_data,D$14+1,0),0)</f>
        <v/>
      </c>
      <c r="E145" s="183">
        <f>IFERROR(VLOOKUP($B145,calc_data,E$14+1,0),0)</f>
        <v/>
      </c>
      <c r="F145" s="182">
        <f>IFERROR(VLOOKUP($B145,calc_data,F$14+1,0),0)</f>
        <v/>
      </c>
      <c r="G145" s="141">
        <f>IFERROR(VLOOKUP($B145,calc_data,G$14+1,0),0)</f>
        <v/>
      </c>
      <c r="H145" s="141">
        <f>IFERROR(VLOOKUP($B145,calc_data,H$14+1,0),0)</f>
        <v/>
      </c>
      <c r="I145" s="142">
        <f>IFERROR(VLOOKUP($B145,calc_data,I$14+1,0),0)</f>
        <v/>
      </c>
      <c r="J145" s="141">
        <f>IFERROR(VLOOKUP($B145,calc_data,J$14+1,0),0)</f>
        <v/>
      </c>
      <c r="K145" s="141">
        <f>IFERROR(VLOOKUP($B145,calc_data,K$14+1,0),0)</f>
        <v/>
      </c>
      <c r="L145" s="141">
        <f>IFERROR(VLOOKUP($B145,calc_data,L$14+1,0),0)</f>
        <v/>
      </c>
      <c r="M145" s="177">
        <f>IFERROR(VLOOKUP($B145,calc_data,M$14+1,0),0)</f>
        <v/>
      </c>
      <c r="N145" s="177">
        <f>IFERROR(VLOOKUP($B145,calc_data,N$14+1,0),0)</f>
        <v/>
      </c>
      <c r="O145" s="45" t="n"/>
      <c r="Q145" s="57">
        <f>IF(K145&gt;0,"показать","скрыть")</f>
        <v/>
      </c>
    </row>
    <row r="146" ht="15.75" customHeight="1">
      <c r="B146" s="182" t="n">
        <v>130</v>
      </c>
      <c r="C146" s="182">
        <f>IFERROR(VLOOKUP($B146,calc_data,C$14+1,0),0)</f>
        <v/>
      </c>
      <c r="D146" s="182">
        <f>IFERROR(VLOOKUP($B146,calc_data,D$14+1,0),0)</f>
        <v/>
      </c>
      <c r="E146" s="183">
        <f>IFERROR(VLOOKUP($B146,calc_data,E$14+1,0),0)</f>
        <v/>
      </c>
      <c r="F146" s="182">
        <f>IFERROR(VLOOKUP($B146,calc_data,F$14+1,0),0)</f>
        <v/>
      </c>
      <c r="G146" s="141">
        <f>IFERROR(VLOOKUP($B146,calc_data,G$14+1,0),0)</f>
        <v/>
      </c>
      <c r="H146" s="141">
        <f>IFERROR(VLOOKUP($B146,calc_data,H$14+1,0),0)</f>
        <v/>
      </c>
      <c r="I146" s="142">
        <f>IFERROR(VLOOKUP($B146,calc_data,I$14+1,0),0)</f>
        <v/>
      </c>
      <c r="J146" s="141">
        <f>IFERROR(VLOOKUP($B146,calc_data,J$14+1,0),0)</f>
        <v/>
      </c>
      <c r="K146" s="141">
        <f>IFERROR(VLOOKUP($B146,calc_data,K$14+1,0),0)</f>
        <v/>
      </c>
      <c r="L146" s="141">
        <f>IFERROR(VLOOKUP($B146,calc_data,L$14+1,0),0)</f>
        <v/>
      </c>
      <c r="M146" s="177">
        <f>IFERROR(VLOOKUP($B146,calc_data,M$14+1,0),0)</f>
        <v/>
      </c>
      <c r="N146" s="177">
        <f>IFERROR(VLOOKUP($B146,calc_data,N$14+1,0),0)</f>
        <v/>
      </c>
      <c r="O146" s="45" t="n"/>
      <c r="Q146" s="57">
        <f>IF(K146&gt;0,"показать","скрыть")</f>
        <v/>
      </c>
    </row>
    <row r="147" ht="15.75" customHeight="1">
      <c r="B147" s="182" t="n">
        <v>131</v>
      </c>
      <c r="C147" s="182">
        <f>IFERROR(VLOOKUP($B147,calc_data,C$14+1,0),0)</f>
        <v/>
      </c>
      <c r="D147" s="182">
        <f>IFERROR(VLOOKUP($B147,calc_data,D$14+1,0),0)</f>
        <v/>
      </c>
      <c r="E147" s="183">
        <f>IFERROR(VLOOKUP($B147,calc_data,E$14+1,0),0)</f>
        <v/>
      </c>
      <c r="F147" s="182">
        <f>IFERROR(VLOOKUP($B147,calc_data,F$14+1,0),0)</f>
        <v/>
      </c>
      <c r="G147" s="141">
        <f>IFERROR(VLOOKUP($B147,calc_data,G$14+1,0),0)</f>
        <v/>
      </c>
      <c r="H147" s="141">
        <f>IFERROR(VLOOKUP($B147,calc_data,H$14+1,0),0)</f>
        <v/>
      </c>
      <c r="I147" s="142">
        <f>IFERROR(VLOOKUP($B147,calc_data,I$14+1,0),0)</f>
        <v/>
      </c>
      <c r="J147" s="141">
        <f>IFERROR(VLOOKUP($B147,calc_data,J$14+1,0),0)</f>
        <v/>
      </c>
      <c r="K147" s="141">
        <f>IFERROR(VLOOKUP($B147,calc_data,K$14+1,0),0)</f>
        <v/>
      </c>
      <c r="L147" s="141">
        <f>IFERROR(VLOOKUP($B147,calc_data,L$14+1,0),0)</f>
        <v/>
      </c>
      <c r="M147" s="177">
        <f>IFERROR(VLOOKUP($B147,calc_data,M$14+1,0),0)</f>
        <v/>
      </c>
      <c r="N147" s="177">
        <f>IFERROR(VLOOKUP($B147,calc_data,N$14+1,0),0)</f>
        <v/>
      </c>
      <c r="O147" s="45" t="n"/>
      <c r="Q147" s="57">
        <f>IF(K147&gt;0,"показать","скрыть")</f>
        <v/>
      </c>
    </row>
    <row r="148" ht="15.75" customHeight="1">
      <c r="B148" s="182" t="n">
        <v>132</v>
      </c>
      <c r="C148" s="182">
        <f>IFERROR(VLOOKUP($B148,calc_data,C$14+1,0),0)</f>
        <v/>
      </c>
      <c r="D148" s="182">
        <f>IFERROR(VLOOKUP($B148,calc_data,D$14+1,0),0)</f>
        <v/>
      </c>
      <c r="E148" s="183">
        <f>IFERROR(VLOOKUP($B148,calc_data,E$14+1,0),0)</f>
        <v/>
      </c>
      <c r="F148" s="182">
        <f>IFERROR(VLOOKUP($B148,calc_data,F$14+1,0),0)</f>
        <v/>
      </c>
      <c r="G148" s="141">
        <f>IFERROR(VLOOKUP($B148,calc_data,G$14+1,0),0)</f>
        <v/>
      </c>
      <c r="H148" s="141">
        <f>IFERROR(VLOOKUP($B148,calc_data,H$14+1,0),0)</f>
        <v/>
      </c>
      <c r="I148" s="142">
        <f>IFERROR(VLOOKUP($B148,calc_data,I$14+1,0),0)</f>
        <v/>
      </c>
      <c r="J148" s="141">
        <f>IFERROR(VLOOKUP($B148,calc_data,J$14+1,0),0)</f>
        <v/>
      </c>
      <c r="K148" s="141">
        <f>IFERROR(VLOOKUP($B148,calc_data,K$14+1,0),0)</f>
        <v/>
      </c>
      <c r="L148" s="141">
        <f>IFERROR(VLOOKUP($B148,calc_data,L$14+1,0),0)</f>
        <v/>
      </c>
      <c r="M148" s="177">
        <f>IFERROR(VLOOKUP($B148,calc_data,M$14+1,0),0)</f>
        <v/>
      </c>
      <c r="N148" s="177">
        <f>IFERROR(VLOOKUP($B148,calc_data,N$14+1,0),0)</f>
        <v/>
      </c>
      <c r="O148" s="45" t="n"/>
      <c r="Q148" s="57">
        <f>IF(K148&gt;0,"показать","скрыть")</f>
        <v/>
      </c>
    </row>
    <row r="149" ht="15.75" customHeight="1">
      <c r="B149" s="182" t="n">
        <v>133</v>
      </c>
      <c r="C149" s="182">
        <f>IFERROR(VLOOKUP($B149,calc_data,C$14+1,0),0)</f>
        <v/>
      </c>
      <c r="D149" s="182">
        <f>IFERROR(VLOOKUP($B149,calc_data,D$14+1,0),0)</f>
        <v/>
      </c>
      <c r="E149" s="183">
        <f>IFERROR(VLOOKUP($B149,calc_data,E$14+1,0),0)</f>
        <v/>
      </c>
      <c r="F149" s="182">
        <f>IFERROR(VLOOKUP($B149,calc_data,F$14+1,0),0)</f>
        <v/>
      </c>
      <c r="G149" s="141">
        <f>IFERROR(VLOOKUP($B149,calc_data,G$14+1,0),0)</f>
        <v/>
      </c>
      <c r="H149" s="141">
        <f>IFERROR(VLOOKUP($B149,calc_data,H$14+1,0),0)</f>
        <v/>
      </c>
      <c r="I149" s="142">
        <f>IFERROR(VLOOKUP($B149,calc_data,I$14+1,0),0)</f>
        <v/>
      </c>
      <c r="J149" s="141">
        <f>IFERROR(VLOOKUP($B149,calc_data,J$14+1,0),0)</f>
        <v/>
      </c>
      <c r="K149" s="141">
        <f>IFERROR(VLOOKUP($B149,calc_data,K$14+1,0),0)</f>
        <v/>
      </c>
      <c r="L149" s="141">
        <f>IFERROR(VLOOKUP($B149,calc_data,L$14+1,0),0)</f>
        <v/>
      </c>
      <c r="M149" s="177">
        <f>IFERROR(VLOOKUP($B149,calc_data,M$14+1,0),0)</f>
        <v/>
      </c>
      <c r="N149" s="177">
        <f>IFERROR(VLOOKUP($B149,calc_data,N$14+1,0),0)</f>
        <v/>
      </c>
      <c r="O149" s="45" t="n"/>
      <c r="Q149" s="57">
        <f>IF(K149&gt;0,"показать","скрыть")</f>
        <v/>
      </c>
    </row>
    <row r="150" ht="15.75" customHeight="1">
      <c r="B150" s="182" t="n">
        <v>134</v>
      </c>
      <c r="C150" s="182">
        <f>IFERROR(VLOOKUP($B150,calc_data,C$14+1,0),0)</f>
        <v/>
      </c>
      <c r="D150" s="182">
        <f>IFERROR(VLOOKUP($B150,calc_data,D$14+1,0),0)</f>
        <v/>
      </c>
      <c r="E150" s="183">
        <f>IFERROR(VLOOKUP($B150,calc_data,E$14+1,0),0)</f>
        <v/>
      </c>
      <c r="F150" s="182">
        <f>IFERROR(VLOOKUP($B150,calc_data,F$14+1,0),0)</f>
        <v/>
      </c>
      <c r="G150" s="141">
        <f>IFERROR(VLOOKUP($B150,calc_data,G$14+1,0),0)</f>
        <v/>
      </c>
      <c r="H150" s="141">
        <f>IFERROR(VLOOKUP($B150,calc_data,H$14+1,0),0)</f>
        <v/>
      </c>
      <c r="I150" s="142">
        <f>IFERROR(VLOOKUP($B150,calc_data,I$14+1,0),0)</f>
        <v/>
      </c>
      <c r="J150" s="141">
        <f>IFERROR(VLOOKUP($B150,calc_data,J$14+1,0),0)</f>
        <v/>
      </c>
      <c r="K150" s="141">
        <f>IFERROR(VLOOKUP($B150,calc_data,K$14+1,0),0)</f>
        <v/>
      </c>
      <c r="L150" s="141">
        <f>IFERROR(VLOOKUP($B150,calc_data,L$14+1,0),0)</f>
        <v/>
      </c>
      <c r="M150" s="177">
        <f>IFERROR(VLOOKUP($B150,calc_data,M$14+1,0),0)</f>
        <v/>
      </c>
      <c r="N150" s="177">
        <f>IFERROR(VLOOKUP($B150,calc_data,N$14+1,0),0)</f>
        <v/>
      </c>
      <c r="O150" s="45" t="n"/>
      <c r="Q150" s="57">
        <f>IF(K150&gt;0,"показать","скрыть")</f>
        <v/>
      </c>
    </row>
    <row r="151" ht="15.75" customHeight="1">
      <c r="B151" s="182" t="n">
        <v>135</v>
      </c>
      <c r="C151" s="182">
        <f>IFERROR(VLOOKUP($B151,calc_data,C$14+1,0),0)</f>
        <v/>
      </c>
      <c r="D151" s="182">
        <f>IFERROR(VLOOKUP($B151,calc_data,D$14+1,0),0)</f>
        <v/>
      </c>
      <c r="E151" s="183">
        <f>IFERROR(VLOOKUP($B151,calc_data,E$14+1,0),0)</f>
        <v/>
      </c>
      <c r="F151" s="182">
        <f>IFERROR(VLOOKUP($B151,calc_data,F$14+1,0),0)</f>
        <v/>
      </c>
      <c r="G151" s="141">
        <f>IFERROR(VLOOKUP($B151,calc_data,G$14+1,0),0)</f>
        <v/>
      </c>
      <c r="H151" s="141">
        <f>IFERROR(VLOOKUP($B151,calc_data,H$14+1,0),0)</f>
        <v/>
      </c>
      <c r="I151" s="142">
        <f>IFERROR(VLOOKUP($B151,calc_data,I$14+1,0),0)</f>
        <v/>
      </c>
      <c r="J151" s="141">
        <f>IFERROR(VLOOKUP($B151,calc_data,J$14+1,0),0)</f>
        <v/>
      </c>
      <c r="K151" s="141">
        <f>IFERROR(VLOOKUP($B151,calc_data,K$14+1,0),0)</f>
        <v/>
      </c>
      <c r="L151" s="141">
        <f>IFERROR(VLOOKUP($B151,calc_data,L$14+1,0),0)</f>
        <v/>
      </c>
      <c r="M151" s="177">
        <f>IFERROR(VLOOKUP($B151,calc_data,M$14+1,0),0)</f>
        <v/>
      </c>
      <c r="N151" s="177">
        <f>IFERROR(VLOOKUP($B151,calc_data,N$14+1,0),0)</f>
        <v/>
      </c>
      <c r="O151" s="45" t="n"/>
      <c r="Q151" s="57">
        <f>IF(K151&gt;0,"показать","скрыть")</f>
        <v/>
      </c>
    </row>
    <row r="152" ht="15.75" customHeight="1">
      <c r="B152" s="182" t="n">
        <v>136</v>
      </c>
      <c r="C152" s="182">
        <f>IFERROR(VLOOKUP($B152,calc_data,C$14+1,0),0)</f>
        <v/>
      </c>
      <c r="D152" s="182">
        <f>IFERROR(VLOOKUP($B152,calc_data,D$14+1,0),0)</f>
        <v/>
      </c>
      <c r="E152" s="183">
        <f>IFERROR(VLOOKUP($B152,calc_data,E$14+1,0),0)</f>
        <v/>
      </c>
      <c r="F152" s="182">
        <f>IFERROR(VLOOKUP($B152,calc_data,F$14+1,0),0)</f>
        <v/>
      </c>
      <c r="G152" s="141">
        <f>IFERROR(VLOOKUP($B152,calc_data,G$14+1,0),0)</f>
        <v/>
      </c>
      <c r="H152" s="141">
        <f>IFERROR(VLOOKUP($B152,calc_data,H$14+1,0),0)</f>
        <v/>
      </c>
      <c r="I152" s="142">
        <f>IFERROR(VLOOKUP($B152,calc_data,I$14+1,0),0)</f>
        <v/>
      </c>
      <c r="J152" s="141">
        <f>IFERROR(VLOOKUP($B152,calc_data,J$14+1,0),0)</f>
        <v/>
      </c>
      <c r="K152" s="141">
        <f>IFERROR(VLOOKUP($B152,calc_data,K$14+1,0),0)</f>
        <v/>
      </c>
      <c r="L152" s="141">
        <f>IFERROR(VLOOKUP($B152,calc_data,L$14+1,0),0)</f>
        <v/>
      </c>
      <c r="M152" s="177">
        <f>IFERROR(VLOOKUP($B152,calc_data,M$14+1,0),0)</f>
        <v/>
      </c>
      <c r="N152" s="177">
        <f>IFERROR(VLOOKUP($B152,calc_data,N$14+1,0),0)</f>
        <v/>
      </c>
      <c r="O152" s="45" t="n"/>
      <c r="Q152" s="57">
        <f>IF(K152&gt;0,"показать","скрыть")</f>
        <v/>
      </c>
    </row>
    <row r="153" ht="15.75" customHeight="1">
      <c r="B153" s="182" t="n">
        <v>137</v>
      </c>
      <c r="C153" s="182">
        <f>IFERROR(VLOOKUP($B153,calc_data,C$14+1,0),0)</f>
        <v/>
      </c>
      <c r="D153" s="182">
        <f>IFERROR(VLOOKUP($B153,calc_data,D$14+1,0),0)</f>
        <v/>
      </c>
      <c r="E153" s="183">
        <f>IFERROR(VLOOKUP($B153,calc_data,E$14+1,0),0)</f>
        <v/>
      </c>
      <c r="F153" s="182">
        <f>IFERROR(VLOOKUP($B153,calc_data,F$14+1,0),0)</f>
        <v/>
      </c>
      <c r="G153" s="141">
        <f>IFERROR(VLOOKUP($B153,calc_data,G$14+1,0),0)</f>
        <v/>
      </c>
      <c r="H153" s="141">
        <f>IFERROR(VLOOKUP($B153,calc_data,H$14+1,0),0)</f>
        <v/>
      </c>
      <c r="I153" s="142">
        <f>IFERROR(VLOOKUP($B153,calc_data,I$14+1,0),0)</f>
        <v/>
      </c>
      <c r="J153" s="141">
        <f>IFERROR(VLOOKUP($B153,calc_data,J$14+1,0),0)</f>
        <v/>
      </c>
      <c r="K153" s="141">
        <f>IFERROR(VLOOKUP($B153,calc_data,K$14+1,0),0)</f>
        <v/>
      </c>
      <c r="L153" s="141">
        <f>IFERROR(VLOOKUP($B153,calc_data,L$14+1,0),0)</f>
        <v/>
      </c>
      <c r="M153" s="177">
        <f>IFERROR(VLOOKUP($B153,calc_data,M$14+1,0),0)</f>
        <v/>
      </c>
      <c r="N153" s="177">
        <f>IFERROR(VLOOKUP($B153,calc_data,N$14+1,0),0)</f>
        <v/>
      </c>
      <c r="O153" s="45" t="n"/>
      <c r="Q153" s="57">
        <f>IF(K153&gt;0,"показать","скрыть")</f>
        <v/>
      </c>
    </row>
    <row r="154" ht="15.75" customHeight="1">
      <c r="B154" s="182" t="n">
        <v>138</v>
      </c>
      <c r="C154" s="182">
        <f>IFERROR(VLOOKUP($B154,calc_data,C$14+1,0),0)</f>
        <v/>
      </c>
      <c r="D154" s="182">
        <f>IFERROR(VLOOKUP($B154,calc_data,D$14+1,0),0)</f>
        <v/>
      </c>
      <c r="E154" s="183">
        <f>IFERROR(VLOOKUP($B154,calc_data,E$14+1,0),0)</f>
        <v/>
      </c>
      <c r="F154" s="182">
        <f>IFERROR(VLOOKUP($B154,calc_data,F$14+1,0),0)</f>
        <v/>
      </c>
      <c r="G154" s="141">
        <f>IFERROR(VLOOKUP($B154,calc_data,G$14+1,0),0)</f>
        <v/>
      </c>
      <c r="H154" s="141">
        <f>IFERROR(VLOOKUP($B154,calc_data,H$14+1,0),0)</f>
        <v/>
      </c>
      <c r="I154" s="142">
        <f>IFERROR(VLOOKUP($B154,calc_data,I$14+1,0),0)</f>
        <v/>
      </c>
      <c r="J154" s="141">
        <f>IFERROR(VLOOKUP($B154,calc_data,J$14+1,0),0)</f>
        <v/>
      </c>
      <c r="K154" s="141">
        <f>IFERROR(VLOOKUP($B154,calc_data,K$14+1,0),0)</f>
        <v/>
      </c>
      <c r="L154" s="141">
        <f>IFERROR(VLOOKUP($B154,calc_data,L$14+1,0),0)</f>
        <v/>
      </c>
      <c r="M154" s="177">
        <f>IFERROR(VLOOKUP($B154,calc_data,M$14+1,0),0)</f>
        <v/>
      </c>
      <c r="N154" s="177">
        <f>IFERROR(VLOOKUP($B154,calc_data,N$14+1,0),0)</f>
        <v/>
      </c>
      <c r="O154" s="45" t="n"/>
      <c r="Q154" s="57">
        <f>IF(K154&gt;0,"показать","скрыть")</f>
        <v/>
      </c>
    </row>
    <row r="155" ht="15.75" customHeight="1">
      <c r="B155" s="182" t="n">
        <v>139</v>
      </c>
      <c r="C155" s="182">
        <f>IFERROR(VLOOKUP($B155,calc_data,C$14+1,0),0)</f>
        <v/>
      </c>
      <c r="D155" s="182">
        <f>IFERROR(VLOOKUP($B155,calc_data,D$14+1,0),0)</f>
        <v/>
      </c>
      <c r="E155" s="183">
        <f>IFERROR(VLOOKUP($B155,calc_data,E$14+1,0),0)</f>
        <v/>
      </c>
      <c r="F155" s="182">
        <f>IFERROR(VLOOKUP($B155,calc_data,F$14+1,0),0)</f>
        <v/>
      </c>
      <c r="G155" s="141">
        <f>IFERROR(VLOOKUP($B155,calc_data,G$14+1,0),0)</f>
        <v/>
      </c>
      <c r="H155" s="141">
        <f>IFERROR(VLOOKUP($B155,calc_data,H$14+1,0),0)</f>
        <v/>
      </c>
      <c r="I155" s="142">
        <f>IFERROR(VLOOKUP($B155,calc_data,I$14+1,0),0)</f>
        <v/>
      </c>
      <c r="J155" s="141">
        <f>IFERROR(VLOOKUP($B155,calc_data,J$14+1,0),0)</f>
        <v/>
      </c>
      <c r="K155" s="141">
        <f>IFERROR(VLOOKUP($B155,calc_data,K$14+1,0),0)</f>
        <v/>
      </c>
      <c r="L155" s="141">
        <f>IFERROR(VLOOKUP($B155,calc_data,L$14+1,0),0)</f>
        <v/>
      </c>
      <c r="M155" s="177">
        <f>IFERROR(VLOOKUP($B155,calc_data,M$14+1,0),0)</f>
        <v/>
      </c>
      <c r="N155" s="177">
        <f>IFERROR(VLOOKUP($B155,calc_data,N$14+1,0),0)</f>
        <v/>
      </c>
      <c r="O155" s="45" t="n"/>
      <c r="Q155" s="57">
        <f>IF(K155&gt;0,"показать","скрыть")</f>
        <v/>
      </c>
    </row>
    <row r="156" ht="15.75" customHeight="1">
      <c r="B156" s="182" t="n">
        <v>140</v>
      </c>
      <c r="C156" s="182">
        <f>IFERROR(VLOOKUP($B156,calc_data,C$14+1,0),0)</f>
        <v/>
      </c>
      <c r="D156" s="182">
        <f>IFERROR(VLOOKUP($B156,calc_data,D$14+1,0),0)</f>
        <v/>
      </c>
      <c r="E156" s="183">
        <f>IFERROR(VLOOKUP($B156,calc_data,E$14+1,0),0)</f>
        <v/>
      </c>
      <c r="F156" s="182">
        <f>IFERROR(VLOOKUP($B156,calc_data,F$14+1,0),0)</f>
        <v/>
      </c>
      <c r="G156" s="141">
        <f>IFERROR(VLOOKUP($B156,calc_data,G$14+1,0),0)</f>
        <v/>
      </c>
      <c r="H156" s="141">
        <f>IFERROR(VLOOKUP($B156,calc_data,H$14+1,0),0)</f>
        <v/>
      </c>
      <c r="I156" s="142">
        <f>IFERROR(VLOOKUP($B156,calc_data,I$14+1,0),0)</f>
        <v/>
      </c>
      <c r="J156" s="141">
        <f>IFERROR(VLOOKUP($B156,calc_data,J$14+1,0),0)</f>
        <v/>
      </c>
      <c r="K156" s="141">
        <f>IFERROR(VLOOKUP($B156,calc_data,K$14+1,0),0)</f>
        <v/>
      </c>
      <c r="L156" s="141">
        <f>IFERROR(VLOOKUP($B156,calc_data,L$14+1,0),0)</f>
        <v/>
      </c>
      <c r="M156" s="177">
        <f>IFERROR(VLOOKUP($B156,calc_data,M$14+1,0),0)</f>
        <v/>
      </c>
      <c r="N156" s="177">
        <f>IFERROR(VLOOKUP($B156,calc_data,N$14+1,0),0)</f>
        <v/>
      </c>
      <c r="O156" s="45" t="n"/>
      <c r="Q156" s="57">
        <f>IF(K156&gt;0,"показать","скрыть")</f>
        <v/>
      </c>
    </row>
    <row r="157" ht="15.75" customHeight="1">
      <c r="B157" s="182" t="n">
        <v>141</v>
      </c>
      <c r="C157" s="182">
        <f>IFERROR(VLOOKUP($B157,calc_data,C$14+1,0),0)</f>
        <v/>
      </c>
      <c r="D157" s="182">
        <f>IFERROR(VLOOKUP($B157,calc_data,D$14+1,0),0)</f>
        <v/>
      </c>
      <c r="E157" s="183">
        <f>IFERROR(VLOOKUP($B157,calc_data,E$14+1,0),0)</f>
        <v/>
      </c>
      <c r="F157" s="182">
        <f>IFERROR(VLOOKUP($B157,calc_data,F$14+1,0),0)</f>
        <v/>
      </c>
      <c r="G157" s="141">
        <f>IFERROR(VLOOKUP($B157,calc_data,G$14+1,0),0)</f>
        <v/>
      </c>
      <c r="H157" s="141">
        <f>IFERROR(VLOOKUP($B157,calc_data,H$14+1,0),0)</f>
        <v/>
      </c>
      <c r="I157" s="142">
        <f>IFERROR(VLOOKUP($B157,calc_data,I$14+1,0),0)</f>
        <v/>
      </c>
      <c r="J157" s="141">
        <f>IFERROR(VLOOKUP($B157,calc_data,J$14+1,0),0)</f>
        <v/>
      </c>
      <c r="K157" s="141">
        <f>IFERROR(VLOOKUP($B157,calc_data,K$14+1,0),0)</f>
        <v/>
      </c>
      <c r="L157" s="141">
        <f>IFERROR(VLOOKUP($B157,calc_data,L$14+1,0),0)</f>
        <v/>
      </c>
      <c r="M157" s="177">
        <f>IFERROR(VLOOKUP($B157,calc_data,M$14+1,0),0)</f>
        <v/>
      </c>
      <c r="N157" s="177">
        <f>IFERROR(VLOOKUP($B157,calc_data,N$14+1,0),0)</f>
        <v/>
      </c>
      <c r="O157" s="45" t="n"/>
      <c r="Q157" s="57">
        <f>IF(K157&gt;0,"показать","скрыть")</f>
        <v/>
      </c>
    </row>
    <row r="158" ht="15.75" customHeight="1">
      <c r="B158" s="182" t="n">
        <v>142</v>
      </c>
      <c r="C158" s="182">
        <f>IFERROR(VLOOKUP($B158,calc_data,C$14+1,0),0)</f>
        <v/>
      </c>
      <c r="D158" s="182">
        <f>IFERROR(VLOOKUP($B158,calc_data,D$14+1,0),0)</f>
        <v/>
      </c>
      <c r="E158" s="183">
        <f>IFERROR(VLOOKUP($B158,calc_data,E$14+1,0),0)</f>
        <v/>
      </c>
      <c r="F158" s="182">
        <f>IFERROR(VLOOKUP($B158,calc_data,F$14+1,0),0)</f>
        <v/>
      </c>
      <c r="G158" s="141">
        <f>IFERROR(VLOOKUP($B158,calc_data,G$14+1,0),0)</f>
        <v/>
      </c>
      <c r="H158" s="141">
        <f>IFERROR(VLOOKUP($B158,calc_data,H$14+1,0),0)</f>
        <v/>
      </c>
      <c r="I158" s="142">
        <f>IFERROR(VLOOKUP($B158,calc_data,I$14+1,0),0)</f>
        <v/>
      </c>
      <c r="J158" s="141">
        <f>IFERROR(VLOOKUP($B158,calc_data,J$14+1,0),0)</f>
        <v/>
      </c>
      <c r="K158" s="141">
        <f>IFERROR(VLOOKUP($B158,calc_data,K$14+1,0),0)</f>
        <v/>
      </c>
      <c r="L158" s="141">
        <f>IFERROR(VLOOKUP($B158,calc_data,L$14+1,0),0)</f>
        <v/>
      </c>
      <c r="M158" s="177">
        <f>IFERROR(VLOOKUP($B158,calc_data,M$14+1,0),0)</f>
        <v/>
      </c>
      <c r="N158" s="177">
        <f>IFERROR(VLOOKUP($B158,calc_data,N$14+1,0),0)</f>
        <v/>
      </c>
      <c r="O158" s="45" t="n"/>
      <c r="Q158" s="57">
        <f>IF(K158&gt;0,"показать","скрыть")</f>
        <v/>
      </c>
    </row>
    <row r="159" ht="15.75" customHeight="1">
      <c r="B159" s="182" t="n">
        <v>143</v>
      </c>
      <c r="C159" s="182">
        <f>IFERROR(VLOOKUP($B159,calc_data,C$14+1,0),0)</f>
        <v/>
      </c>
      <c r="D159" s="182">
        <f>IFERROR(VLOOKUP($B159,calc_data,D$14+1,0),0)</f>
        <v/>
      </c>
      <c r="E159" s="183">
        <f>IFERROR(VLOOKUP($B159,calc_data,E$14+1,0),0)</f>
        <v/>
      </c>
      <c r="F159" s="182">
        <f>IFERROR(VLOOKUP($B159,calc_data,F$14+1,0),0)</f>
        <v/>
      </c>
      <c r="G159" s="141">
        <f>IFERROR(VLOOKUP($B159,calc_data,G$14+1,0),0)</f>
        <v/>
      </c>
      <c r="H159" s="141">
        <f>IFERROR(VLOOKUP($B159,calc_data,H$14+1,0),0)</f>
        <v/>
      </c>
      <c r="I159" s="142">
        <f>IFERROR(VLOOKUP($B159,calc_data,I$14+1,0),0)</f>
        <v/>
      </c>
      <c r="J159" s="141">
        <f>IFERROR(VLOOKUP($B159,calc_data,J$14+1,0),0)</f>
        <v/>
      </c>
      <c r="K159" s="141">
        <f>IFERROR(VLOOKUP($B159,calc_data,K$14+1,0),0)</f>
        <v/>
      </c>
      <c r="L159" s="141">
        <f>IFERROR(VLOOKUP($B159,calc_data,L$14+1,0),0)</f>
        <v/>
      </c>
      <c r="M159" s="177">
        <f>IFERROR(VLOOKUP($B159,calc_data,M$14+1,0),0)</f>
        <v/>
      </c>
      <c r="N159" s="177">
        <f>IFERROR(VLOOKUP($B159,calc_data,N$14+1,0),0)</f>
        <v/>
      </c>
      <c r="O159" s="45" t="n"/>
      <c r="Q159" s="57">
        <f>IF(K159&gt;0,"показать","скрыть")</f>
        <v/>
      </c>
    </row>
    <row r="160" ht="15.75" customHeight="1">
      <c r="B160" s="182" t="n">
        <v>144</v>
      </c>
      <c r="C160" s="182">
        <f>IFERROR(VLOOKUP($B160,calc_data,C$14+1,0),0)</f>
        <v/>
      </c>
      <c r="D160" s="182">
        <f>IFERROR(VLOOKUP($B160,calc_data,D$14+1,0),0)</f>
        <v/>
      </c>
      <c r="E160" s="183">
        <f>IFERROR(VLOOKUP($B160,calc_data,E$14+1,0),0)</f>
        <v/>
      </c>
      <c r="F160" s="182">
        <f>IFERROR(VLOOKUP($B160,calc_data,F$14+1,0),0)</f>
        <v/>
      </c>
      <c r="G160" s="141">
        <f>IFERROR(VLOOKUP($B160,calc_data,G$14+1,0),0)</f>
        <v/>
      </c>
      <c r="H160" s="141">
        <f>IFERROR(VLOOKUP($B160,calc_data,H$14+1,0),0)</f>
        <v/>
      </c>
      <c r="I160" s="142">
        <f>IFERROR(VLOOKUP($B160,calc_data,I$14+1,0),0)</f>
        <v/>
      </c>
      <c r="J160" s="141">
        <f>IFERROR(VLOOKUP($B160,calc_data,J$14+1,0),0)</f>
        <v/>
      </c>
      <c r="K160" s="141">
        <f>IFERROR(VLOOKUP($B160,calc_data,K$14+1,0),0)</f>
        <v/>
      </c>
      <c r="L160" s="141">
        <f>IFERROR(VLOOKUP($B160,calc_data,L$14+1,0),0)</f>
        <v/>
      </c>
      <c r="M160" s="177">
        <f>IFERROR(VLOOKUP($B160,calc_data,M$14+1,0),0)</f>
        <v/>
      </c>
      <c r="N160" s="177">
        <f>IFERROR(VLOOKUP($B160,calc_data,N$14+1,0),0)</f>
        <v/>
      </c>
      <c r="O160" s="45" t="n"/>
      <c r="Q160" s="57">
        <f>IF(K160&gt;0,"показать","скрыть")</f>
        <v/>
      </c>
    </row>
    <row r="161" ht="15.75" customHeight="1">
      <c r="B161" s="182" t="n">
        <v>145</v>
      </c>
      <c r="C161" s="182">
        <f>IFERROR(VLOOKUP($B161,calc_data,C$14+1,0),0)</f>
        <v/>
      </c>
      <c r="D161" s="182">
        <f>IFERROR(VLOOKUP($B161,calc_data,D$14+1,0),0)</f>
        <v/>
      </c>
      <c r="E161" s="183">
        <f>IFERROR(VLOOKUP($B161,calc_data,E$14+1,0),0)</f>
        <v/>
      </c>
      <c r="F161" s="182">
        <f>IFERROR(VLOOKUP($B161,calc_data,F$14+1,0),0)</f>
        <v/>
      </c>
      <c r="G161" s="141">
        <f>IFERROR(VLOOKUP($B161,calc_data,G$14+1,0),0)</f>
        <v/>
      </c>
      <c r="H161" s="141">
        <f>IFERROR(VLOOKUP($B161,calc_data,H$14+1,0),0)</f>
        <v/>
      </c>
      <c r="I161" s="142">
        <f>IFERROR(VLOOKUP($B161,calc_data,I$14+1,0),0)</f>
        <v/>
      </c>
      <c r="J161" s="141">
        <f>IFERROR(VLOOKUP($B161,calc_data,J$14+1,0),0)</f>
        <v/>
      </c>
      <c r="K161" s="141">
        <f>IFERROR(VLOOKUP($B161,calc_data,K$14+1,0),0)</f>
        <v/>
      </c>
      <c r="L161" s="141">
        <f>IFERROR(VLOOKUP($B161,calc_data,L$14+1,0),0)</f>
        <v/>
      </c>
      <c r="M161" s="177">
        <f>IFERROR(VLOOKUP($B161,calc_data,M$14+1,0),0)</f>
        <v/>
      </c>
      <c r="N161" s="177">
        <f>IFERROR(VLOOKUP($B161,calc_data,N$14+1,0),0)</f>
        <v/>
      </c>
      <c r="O161" s="45" t="n"/>
      <c r="Q161" s="57">
        <f>IF(K161&gt;0,"показать","скрыть")</f>
        <v/>
      </c>
    </row>
    <row r="162" ht="15.75" customHeight="1">
      <c r="B162" s="182" t="n">
        <v>146</v>
      </c>
      <c r="C162" s="182">
        <f>IFERROR(VLOOKUP($B162,calc_data,C$14+1,0),0)</f>
        <v/>
      </c>
      <c r="D162" s="182">
        <f>IFERROR(VLOOKUP($B162,calc_data,D$14+1,0),0)</f>
        <v/>
      </c>
      <c r="E162" s="183">
        <f>IFERROR(VLOOKUP($B162,calc_data,E$14+1,0),0)</f>
        <v/>
      </c>
      <c r="F162" s="182">
        <f>IFERROR(VLOOKUP($B162,calc_data,F$14+1,0),0)</f>
        <v/>
      </c>
      <c r="G162" s="141">
        <f>IFERROR(VLOOKUP($B162,calc_data,G$14+1,0),0)</f>
        <v/>
      </c>
      <c r="H162" s="141">
        <f>IFERROR(VLOOKUP($B162,calc_data,H$14+1,0),0)</f>
        <v/>
      </c>
      <c r="I162" s="142">
        <f>IFERROR(VLOOKUP($B162,calc_data,I$14+1,0),0)</f>
        <v/>
      </c>
      <c r="J162" s="141">
        <f>IFERROR(VLOOKUP($B162,calc_data,J$14+1,0),0)</f>
        <v/>
      </c>
      <c r="K162" s="141">
        <f>IFERROR(VLOOKUP($B162,calc_data,K$14+1,0),0)</f>
        <v/>
      </c>
      <c r="L162" s="141">
        <f>IFERROR(VLOOKUP($B162,calc_data,L$14+1,0),0)</f>
        <v/>
      </c>
      <c r="M162" s="177">
        <f>IFERROR(VLOOKUP($B162,calc_data,M$14+1,0),0)</f>
        <v/>
      </c>
      <c r="N162" s="177">
        <f>IFERROR(VLOOKUP($B162,calc_data,N$14+1,0),0)</f>
        <v/>
      </c>
      <c r="O162" s="45" t="n"/>
      <c r="Q162" s="57">
        <f>IF(K162&gt;0,"показать","скрыть")</f>
        <v/>
      </c>
    </row>
    <row r="163" ht="15.75" customHeight="1">
      <c r="B163" s="182" t="n">
        <v>147</v>
      </c>
      <c r="C163" s="182">
        <f>IFERROR(VLOOKUP($B163,calc_data,C$14+1,0),0)</f>
        <v/>
      </c>
      <c r="D163" s="182">
        <f>IFERROR(VLOOKUP($B163,calc_data,D$14+1,0),0)</f>
        <v/>
      </c>
      <c r="E163" s="183">
        <f>IFERROR(VLOOKUP($B163,calc_data,E$14+1,0),0)</f>
        <v/>
      </c>
      <c r="F163" s="182">
        <f>IFERROR(VLOOKUP($B163,calc_data,F$14+1,0),0)</f>
        <v/>
      </c>
      <c r="G163" s="141">
        <f>IFERROR(VLOOKUP($B163,calc_data,G$14+1,0),0)</f>
        <v/>
      </c>
      <c r="H163" s="141">
        <f>IFERROR(VLOOKUP($B163,calc_data,H$14+1,0),0)</f>
        <v/>
      </c>
      <c r="I163" s="142">
        <f>IFERROR(VLOOKUP($B163,calc_data,I$14+1,0),0)</f>
        <v/>
      </c>
      <c r="J163" s="141">
        <f>IFERROR(VLOOKUP($B163,calc_data,J$14+1,0),0)</f>
        <v/>
      </c>
      <c r="K163" s="141">
        <f>IFERROR(VLOOKUP($B163,calc_data,K$14+1,0),0)</f>
        <v/>
      </c>
      <c r="L163" s="141">
        <f>IFERROR(VLOOKUP($B163,calc_data,L$14+1,0),0)</f>
        <v/>
      </c>
      <c r="M163" s="177">
        <f>IFERROR(VLOOKUP($B163,calc_data,M$14+1,0),0)</f>
        <v/>
      </c>
      <c r="N163" s="177">
        <f>IFERROR(VLOOKUP($B163,calc_data,N$14+1,0),0)</f>
        <v/>
      </c>
      <c r="O163" s="45" t="n"/>
      <c r="Q163" s="57">
        <f>IF(K163&gt;0,"показать","скрыть")</f>
        <v/>
      </c>
    </row>
    <row r="164" ht="15.75" customHeight="1">
      <c r="B164" s="182" t="n">
        <v>148</v>
      </c>
      <c r="C164" s="182">
        <f>IFERROR(VLOOKUP($B164,calc_data,C$14+1,0),0)</f>
        <v/>
      </c>
      <c r="D164" s="182">
        <f>IFERROR(VLOOKUP($B164,calc_data,D$14+1,0),0)</f>
        <v/>
      </c>
      <c r="E164" s="183">
        <f>IFERROR(VLOOKUP($B164,calc_data,E$14+1,0),0)</f>
        <v/>
      </c>
      <c r="F164" s="182">
        <f>IFERROR(VLOOKUP($B164,calc_data,F$14+1,0),0)</f>
        <v/>
      </c>
      <c r="G164" s="141">
        <f>IFERROR(VLOOKUP($B164,calc_data,G$14+1,0),0)</f>
        <v/>
      </c>
      <c r="H164" s="141">
        <f>IFERROR(VLOOKUP($B164,calc_data,H$14+1,0),0)</f>
        <v/>
      </c>
      <c r="I164" s="142">
        <f>IFERROR(VLOOKUP($B164,calc_data,I$14+1,0),0)</f>
        <v/>
      </c>
      <c r="J164" s="141">
        <f>IFERROR(VLOOKUP($B164,calc_data,J$14+1,0),0)</f>
        <v/>
      </c>
      <c r="K164" s="141">
        <f>IFERROR(VLOOKUP($B164,calc_data,K$14+1,0),0)</f>
        <v/>
      </c>
      <c r="L164" s="141">
        <f>IFERROR(VLOOKUP($B164,calc_data,L$14+1,0),0)</f>
        <v/>
      </c>
      <c r="M164" s="177">
        <f>IFERROR(VLOOKUP($B164,calc_data,M$14+1,0),0)</f>
        <v/>
      </c>
      <c r="N164" s="177">
        <f>IFERROR(VLOOKUP($B164,calc_data,N$14+1,0),0)</f>
        <v/>
      </c>
      <c r="O164" s="45" t="n"/>
      <c r="Q164" s="57">
        <f>IF(K164&gt;0,"показать","скрыть")</f>
        <v/>
      </c>
    </row>
    <row r="165" ht="15.75" customHeight="1">
      <c r="B165" s="182" t="n">
        <v>149</v>
      </c>
      <c r="C165" s="182">
        <f>IFERROR(VLOOKUP($B165,calc_data,C$14+1,0),0)</f>
        <v/>
      </c>
      <c r="D165" s="182">
        <f>IFERROR(VLOOKUP($B165,calc_data,D$14+1,0),0)</f>
        <v/>
      </c>
      <c r="E165" s="183">
        <f>IFERROR(VLOOKUP($B165,calc_data,E$14+1,0),0)</f>
        <v/>
      </c>
      <c r="F165" s="182">
        <f>IFERROR(VLOOKUP($B165,calc_data,F$14+1,0),0)</f>
        <v/>
      </c>
      <c r="G165" s="141">
        <f>IFERROR(VLOOKUP($B165,calc_data,G$14+1,0),0)</f>
        <v/>
      </c>
      <c r="H165" s="141">
        <f>IFERROR(VLOOKUP($B165,calc_data,H$14+1,0),0)</f>
        <v/>
      </c>
      <c r="I165" s="142">
        <f>IFERROR(VLOOKUP($B165,calc_data,I$14+1,0),0)</f>
        <v/>
      </c>
      <c r="J165" s="141">
        <f>IFERROR(VLOOKUP($B165,calc_data,J$14+1,0),0)</f>
        <v/>
      </c>
      <c r="K165" s="141">
        <f>IFERROR(VLOOKUP($B165,calc_data,K$14+1,0),0)</f>
        <v/>
      </c>
      <c r="L165" s="141">
        <f>IFERROR(VLOOKUP($B165,calc_data,L$14+1,0),0)</f>
        <v/>
      </c>
      <c r="M165" s="177">
        <f>IFERROR(VLOOKUP($B165,calc_data,M$14+1,0),0)</f>
        <v/>
      </c>
      <c r="N165" s="177">
        <f>IFERROR(VLOOKUP($B165,calc_data,N$14+1,0),0)</f>
        <v/>
      </c>
      <c r="O165" s="45" t="n"/>
      <c r="Q165" s="57">
        <f>IF(K165&gt;0,"показать","скрыть")</f>
        <v/>
      </c>
    </row>
    <row r="166" ht="15.75" customHeight="1">
      <c r="B166" s="182" t="n">
        <v>150</v>
      </c>
      <c r="C166" s="182">
        <f>IFERROR(VLOOKUP($B166,calc_data,C$14+1,0),0)</f>
        <v/>
      </c>
      <c r="D166" s="182">
        <f>IFERROR(VLOOKUP($B166,calc_data,D$14+1,0),0)</f>
        <v/>
      </c>
      <c r="E166" s="183">
        <f>IFERROR(VLOOKUP($B166,calc_data,E$14+1,0),0)</f>
        <v/>
      </c>
      <c r="F166" s="182">
        <f>IFERROR(VLOOKUP($B166,calc_data,F$14+1,0),0)</f>
        <v/>
      </c>
      <c r="G166" s="141">
        <f>IFERROR(VLOOKUP($B166,calc_data,G$14+1,0),0)</f>
        <v/>
      </c>
      <c r="H166" s="141">
        <f>IFERROR(VLOOKUP($B166,calc_data,H$14+1,0),0)</f>
        <v/>
      </c>
      <c r="I166" s="142">
        <f>IFERROR(VLOOKUP($B166,calc_data,I$14+1,0),0)</f>
        <v/>
      </c>
      <c r="J166" s="141">
        <f>IFERROR(VLOOKUP($B166,calc_data,J$14+1,0),0)</f>
        <v/>
      </c>
      <c r="K166" s="141">
        <f>IFERROR(VLOOKUP($B166,calc_data,K$14+1,0),0)</f>
        <v/>
      </c>
      <c r="L166" s="141">
        <f>IFERROR(VLOOKUP($B166,calc_data,L$14+1,0),0)</f>
        <v/>
      </c>
      <c r="M166" s="177">
        <f>IFERROR(VLOOKUP($B166,calc_data,M$14+1,0),0)</f>
        <v/>
      </c>
      <c r="N166" s="177">
        <f>IFERROR(VLOOKUP($B166,calc_data,N$14+1,0),0)</f>
        <v/>
      </c>
      <c r="O166" s="45" t="n"/>
      <c r="Q166" s="57">
        <f>IF(K166&gt;0,"показать","скрыть")</f>
        <v/>
      </c>
    </row>
    <row r="167" ht="15.75" customHeight="1">
      <c r="B167" s="182" t="n">
        <v>151</v>
      </c>
      <c r="C167" s="182">
        <f>IFERROR(VLOOKUP($B167,calc_data,C$14+1,0),0)</f>
        <v/>
      </c>
      <c r="D167" s="182">
        <f>IFERROR(VLOOKUP($B167,calc_data,D$14+1,0),0)</f>
        <v/>
      </c>
      <c r="E167" s="183">
        <f>IFERROR(VLOOKUP($B167,calc_data,E$14+1,0),0)</f>
        <v/>
      </c>
      <c r="F167" s="182">
        <f>IFERROR(VLOOKUP($B167,calc_data,F$14+1,0),0)</f>
        <v/>
      </c>
      <c r="G167" s="141">
        <f>IFERROR(VLOOKUP($B167,calc_data,G$14+1,0),0)</f>
        <v/>
      </c>
      <c r="H167" s="141">
        <f>IFERROR(VLOOKUP($B167,calc_data,H$14+1,0),0)</f>
        <v/>
      </c>
      <c r="I167" s="142">
        <f>IFERROR(VLOOKUP($B167,calc_data,I$14+1,0),0)</f>
        <v/>
      </c>
      <c r="J167" s="141">
        <f>IFERROR(VLOOKUP($B167,calc_data,J$14+1,0),0)</f>
        <v/>
      </c>
      <c r="K167" s="141">
        <f>IFERROR(VLOOKUP($B167,calc_data,K$14+1,0),0)</f>
        <v/>
      </c>
      <c r="L167" s="141">
        <f>IFERROR(VLOOKUP($B167,calc_data,L$14+1,0),0)</f>
        <v/>
      </c>
      <c r="M167" s="177">
        <f>IFERROR(VLOOKUP($B167,calc_data,M$14+1,0),0)</f>
        <v/>
      </c>
      <c r="N167" s="177">
        <f>IFERROR(VLOOKUP($B167,calc_data,N$14+1,0),0)</f>
        <v/>
      </c>
      <c r="O167" s="45" t="n"/>
      <c r="Q167" s="57">
        <f>IF(K167&gt;0,"показать","скрыть")</f>
        <v/>
      </c>
    </row>
    <row r="168" ht="15.75" customHeight="1">
      <c r="B168" s="182" t="n">
        <v>152</v>
      </c>
      <c r="C168" s="182">
        <f>IFERROR(VLOOKUP($B168,calc_data,C$14+1,0),0)</f>
        <v/>
      </c>
      <c r="D168" s="182">
        <f>IFERROR(VLOOKUP($B168,calc_data,D$14+1,0),0)</f>
        <v/>
      </c>
      <c r="E168" s="183">
        <f>IFERROR(VLOOKUP($B168,calc_data,E$14+1,0),0)</f>
        <v/>
      </c>
      <c r="F168" s="182">
        <f>IFERROR(VLOOKUP($B168,calc_data,F$14+1,0),0)</f>
        <v/>
      </c>
      <c r="G168" s="141">
        <f>IFERROR(VLOOKUP($B168,calc_data,G$14+1,0),0)</f>
        <v/>
      </c>
      <c r="H168" s="141">
        <f>IFERROR(VLOOKUP($B168,calc_data,H$14+1,0),0)</f>
        <v/>
      </c>
      <c r="I168" s="142">
        <f>IFERROR(VLOOKUP($B168,calc_data,I$14+1,0),0)</f>
        <v/>
      </c>
      <c r="J168" s="141">
        <f>IFERROR(VLOOKUP($B168,calc_data,J$14+1,0),0)</f>
        <v/>
      </c>
      <c r="K168" s="141">
        <f>IFERROR(VLOOKUP($B168,calc_data,K$14+1,0),0)</f>
        <v/>
      </c>
      <c r="L168" s="141">
        <f>IFERROR(VLOOKUP($B168,calc_data,L$14+1,0),0)</f>
        <v/>
      </c>
      <c r="M168" s="177">
        <f>IFERROR(VLOOKUP($B168,calc_data,M$14+1,0),0)</f>
        <v/>
      </c>
      <c r="N168" s="177">
        <f>IFERROR(VLOOKUP($B168,calc_data,N$14+1,0),0)</f>
        <v/>
      </c>
      <c r="O168" s="45" t="n"/>
      <c r="Q168" s="57">
        <f>IF(K168&gt;0,"показать","скрыть")</f>
        <v/>
      </c>
    </row>
    <row r="169" ht="15.75" customHeight="1">
      <c r="B169" s="182" t="n">
        <v>153</v>
      </c>
      <c r="C169" s="182">
        <f>IFERROR(VLOOKUP($B169,calc_data,C$14+1,0),0)</f>
        <v/>
      </c>
      <c r="D169" s="182">
        <f>IFERROR(VLOOKUP($B169,calc_data,D$14+1,0),0)</f>
        <v/>
      </c>
      <c r="E169" s="183">
        <f>IFERROR(VLOOKUP($B169,calc_data,E$14+1,0),0)</f>
        <v/>
      </c>
      <c r="F169" s="182">
        <f>IFERROR(VLOOKUP($B169,calc_data,F$14+1,0),0)</f>
        <v/>
      </c>
      <c r="G169" s="141">
        <f>IFERROR(VLOOKUP($B169,calc_data,G$14+1,0),0)</f>
        <v/>
      </c>
      <c r="H169" s="141">
        <f>IFERROR(VLOOKUP($B169,calc_data,H$14+1,0),0)</f>
        <v/>
      </c>
      <c r="I169" s="142">
        <f>IFERROR(VLOOKUP($B169,calc_data,I$14+1,0),0)</f>
        <v/>
      </c>
      <c r="J169" s="141">
        <f>IFERROR(VLOOKUP($B169,calc_data,J$14+1,0),0)</f>
        <v/>
      </c>
      <c r="K169" s="141">
        <f>IFERROR(VLOOKUP($B169,calc_data,K$14+1,0),0)</f>
        <v/>
      </c>
      <c r="L169" s="141">
        <f>IFERROR(VLOOKUP($B169,calc_data,L$14+1,0),0)</f>
        <v/>
      </c>
      <c r="M169" s="177">
        <f>IFERROR(VLOOKUP($B169,calc_data,M$14+1,0),0)</f>
        <v/>
      </c>
      <c r="N169" s="177">
        <f>IFERROR(VLOOKUP($B169,calc_data,N$14+1,0),0)</f>
        <v/>
      </c>
      <c r="O169" s="45" t="n"/>
      <c r="Q169" s="57">
        <f>IF(K169&gt;0,"показать","скрыть")</f>
        <v/>
      </c>
    </row>
    <row r="170" ht="15.75" customHeight="1">
      <c r="B170" s="182" t="n">
        <v>154</v>
      </c>
      <c r="C170" s="182">
        <f>IFERROR(VLOOKUP($B170,calc_data,C$14+1,0),0)</f>
        <v/>
      </c>
      <c r="D170" s="182">
        <f>IFERROR(VLOOKUP($B170,calc_data,D$14+1,0),0)</f>
        <v/>
      </c>
      <c r="E170" s="183">
        <f>IFERROR(VLOOKUP($B170,calc_data,E$14+1,0),0)</f>
        <v/>
      </c>
      <c r="F170" s="182">
        <f>IFERROR(VLOOKUP($B170,calc_data,F$14+1,0),0)</f>
        <v/>
      </c>
      <c r="G170" s="141">
        <f>IFERROR(VLOOKUP($B170,calc_data,G$14+1,0),0)</f>
        <v/>
      </c>
      <c r="H170" s="141">
        <f>IFERROR(VLOOKUP($B170,calc_data,H$14+1,0),0)</f>
        <v/>
      </c>
      <c r="I170" s="142">
        <f>IFERROR(VLOOKUP($B170,calc_data,I$14+1,0),0)</f>
        <v/>
      </c>
      <c r="J170" s="141">
        <f>IFERROR(VLOOKUP($B170,calc_data,J$14+1,0),0)</f>
        <v/>
      </c>
      <c r="K170" s="141">
        <f>IFERROR(VLOOKUP($B170,calc_data,K$14+1,0),0)</f>
        <v/>
      </c>
      <c r="L170" s="141">
        <f>IFERROR(VLOOKUP($B170,calc_data,L$14+1,0),0)</f>
        <v/>
      </c>
      <c r="M170" s="177">
        <f>IFERROR(VLOOKUP($B170,calc_data,M$14+1,0),0)</f>
        <v/>
      </c>
      <c r="N170" s="177">
        <f>IFERROR(VLOOKUP($B170,calc_data,N$14+1,0),0)</f>
        <v/>
      </c>
      <c r="O170" s="45" t="n"/>
      <c r="Q170" s="57">
        <f>IF(K170&gt;0,"показать","скрыть")</f>
        <v/>
      </c>
    </row>
    <row r="171" ht="15.75" customHeight="1">
      <c r="B171" s="182" t="n">
        <v>155</v>
      </c>
      <c r="C171" s="182">
        <f>IFERROR(VLOOKUP($B171,calc_data,C$14+1,0),0)</f>
        <v/>
      </c>
      <c r="D171" s="182">
        <f>IFERROR(VLOOKUP($B171,calc_data,D$14+1,0),0)</f>
        <v/>
      </c>
      <c r="E171" s="183">
        <f>IFERROR(VLOOKUP($B171,calc_data,E$14+1,0),0)</f>
        <v/>
      </c>
      <c r="F171" s="182">
        <f>IFERROR(VLOOKUP($B171,calc_data,F$14+1,0),0)</f>
        <v/>
      </c>
      <c r="G171" s="141">
        <f>IFERROR(VLOOKUP($B171,calc_data,G$14+1,0),0)</f>
        <v/>
      </c>
      <c r="H171" s="141">
        <f>IFERROR(VLOOKUP($B171,calc_data,H$14+1,0),0)</f>
        <v/>
      </c>
      <c r="I171" s="142">
        <f>IFERROR(VLOOKUP($B171,calc_data,I$14+1,0),0)</f>
        <v/>
      </c>
      <c r="J171" s="141">
        <f>IFERROR(VLOOKUP($B171,calc_data,J$14+1,0),0)</f>
        <v/>
      </c>
      <c r="K171" s="141">
        <f>IFERROR(VLOOKUP($B171,calc_data,K$14+1,0),0)</f>
        <v/>
      </c>
      <c r="L171" s="141">
        <f>IFERROR(VLOOKUP($B171,calc_data,L$14+1,0),0)</f>
        <v/>
      </c>
      <c r="M171" s="177">
        <f>IFERROR(VLOOKUP($B171,calc_data,M$14+1,0),0)</f>
        <v/>
      </c>
      <c r="N171" s="177">
        <f>IFERROR(VLOOKUP($B171,calc_data,N$14+1,0),0)</f>
        <v/>
      </c>
      <c r="O171" s="45" t="n"/>
      <c r="Q171" s="57">
        <f>IF(K171&gt;0,"показать","скрыть")</f>
        <v/>
      </c>
    </row>
    <row r="172" ht="15.75" customHeight="1">
      <c r="B172" s="182" t="n">
        <v>156</v>
      </c>
      <c r="C172" s="182">
        <f>IFERROR(VLOOKUP($B172,calc_data,C$14+1,0),0)</f>
        <v/>
      </c>
      <c r="D172" s="182">
        <f>IFERROR(VLOOKUP($B172,calc_data,D$14+1,0),0)</f>
        <v/>
      </c>
      <c r="E172" s="183">
        <f>IFERROR(VLOOKUP($B172,calc_data,E$14+1,0),0)</f>
        <v/>
      </c>
      <c r="F172" s="182">
        <f>IFERROR(VLOOKUP($B172,calc_data,F$14+1,0),0)</f>
        <v/>
      </c>
      <c r="G172" s="141">
        <f>IFERROR(VLOOKUP($B172,calc_data,G$14+1,0),0)</f>
        <v/>
      </c>
      <c r="H172" s="141">
        <f>IFERROR(VLOOKUP($B172,calc_data,H$14+1,0),0)</f>
        <v/>
      </c>
      <c r="I172" s="142">
        <f>IFERROR(VLOOKUP($B172,calc_data,I$14+1,0),0)</f>
        <v/>
      </c>
      <c r="J172" s="141">
        <f>IFERROR(VLOOKUP($B172,calc_data,J$14+1,0),0)</f>
        <v/>
      </c>
      <c r="K172" s="141">
        <f>IFERROR(VLOOKUP($B172,calc_data,K$14+1,0),0)</f>
        <v/>
      </c>
      <c r="L172" s="141">
        <f>IFERROR(VLOOKUP($B172,calc_data,L$14+1,0),0)</f>
        <v/>
      </c>
      <c r="M172" s="177">
        <f>IFERROR(VLOOKUP($B172,calc_data,M$14+1,0),0)</f>
        <v/>
      </c>
      <c r="N172" s="177">
        <f>IFERROR(VLOOKUP($B172,calc_data,N$14+1,0),0)</f>
        <v/>
      </c>
      <c r="O172" s="45" t="n"/>
      <c r="Q172" s="57">
        <f>IF(K172&gt;0,"показать","скрыть")</f>
        <v/>
      </c>
    </row>
    <row r="173" ht="15.75" customHeight="1">
      <c r="B173" s="182" t="n">
        <v>157</v>
      </c>
      <c r="C173" s="182">
        <f>IFERROR(VLOOKUP($B173,calc_data,C$14+1,0),0)</f>
        <v/>
      </c>
      <c r="D173" s="182">
        <f>IFERROR(VLOOKUP($B173,calc_data,D$14+1,0),0)</f>
        <v/>
      </c>
      <c r="E173" s="183">
        <f>IFERROR(VLOOKUP($B173,calc_data,E$14+1,0),0)</f>
        <v/>
      </c>
      <c r="F173" s="182">
        <f>IFERROR(VLOOKUP($B173,calc_data,F$14+1,0),0)</f>
        <v/>
      </c>
      <c r="G173" s="141">
        <f>IFERROR(VLOOKUP($B173,calc_data,G$14+1,0),0)</f>
        <v/>
      </c>
      <c r="H173" s="141">
        <f>IFERROR(VLOOKUP($B173,calc_data,H$14+1,0),0)</f>
        <v/>
      </c>
      <c r="I173" s="142">
        <f>IFERROR(VLOOKUP($B173,calc_data,I$14+1,0),0)</f>
        <v/>
      </c>
      <c r="J173" s="141">
        <f>IFERROR(VLOOKUP($B173,calc_data,J$14+1,0),0)</f>
        <v/>
      </c>
      <c r="K173" s="141">
        <f>IFERROR(VLOOKUP($B173,calc_data,K$14+1,0),0)</f>
        <v/>
      </c>
      <c r="L173" s="141">
        <f>IFERROR(VLOOKUP($B173,calc_data,L$14+1,0),0)</f>
        <v/>
      </c>
      <c r="M173" s="177">
        <f>IFERROR(VLOOKUP($B173,calc_data,M$14+1,0),0)</f>
        <v/>
      </c>
      <c r="N173" s="177">
        <f>IFERROR(VLOOKUP($B173,calc_data,N$14+1,0),0)</f>
        <v/>
      </c>
      <c r="O173" s="45" t="n"/>
      <c r="Q173" s="57">
        <f>IF(K173&gt;0,"показать","скрыть")</f>
        <v/>
      </c>
    </row>
    <row r="174" ht="15.75" customHeight="1">
      <c r="B174" s="182" t="n">
        <v>158</v>
      </c>
      <c r="C174" s="182">
        <f>IFERROR(VLOOKUP($B174,calc_data,C$14+1,0),0)</f>
        <v/>
      </c>
      <c r="D174" s="182">
        <f>IFERROR(VLOOKUP($B174,calc_data,D$14+1,0),0)</f>
        <v/>
      </c>
      <c r="E174" s="183">
        <f>IFERROR(VLOOKUP($B174,calc_data,E$14+1,0),0)</f>
        <v/>
      </c>
      <c r="F174" s="182">
        <f>IFERROR(VLOOKUP($B174,calc_data,F$14+1,0),0)</f>
        <v/>
      </c>
      <c r="G174" s="141">
        <f>IFERROR(VLOOKUP($B174,calc_data,G$14+1,0),0)</f>
        <v/>
      </c>
      <c r="H174" s="141">
        <f>IFERROR(VLOOKUP($B174,calc_data,H$14+1,0),0)</f>
        <v/>
      </c>
      <c r="I174" s="142">
        <f>IFERROR(VLOOKUP($B174,calc_data,I$14+1,0),0)</f>
        <v/>
      </c>
      <c r="J174" s="141">
        <f>IFERROR(VLOOKUP($B174,calc_data,J$14+1,0),0)</f>
        <v/>
      </c>
      <c r="K174" s="141">
        <f>IFERROR(VLOOKUP($B174,calc_data,K$14+1,0),0)</f>
        <v/>
      </c>
      <c r="L174" s="141">
        <f>IFERROR(VLOOKUP($B174,calc_data,L$14+1,0),0)</f>
        <v/>
      </c>
      <c r="M174" s="177">
        <f>IFERROR(VLOOKUP($B174,calc_data,M$14+1,0),0)</f>
        <v/>
      </c>
      <c r="N174" s="177">
        <f>IFERROR(VLOOKUP($B174,calc_data,N$14+1,0),0)</f>
        <v/>
      </c>
      <c r="O174" s="45" t="n"/>
      <c r="Q174" s="57">
        <f>IF(K174&gt;0,"показать","скрыть")</f>
        <v/>
      </c>
    </row>
    <row r="175" ht="15.75" customHeight="1">
      <c r="B175" s="182" t="n">
        <v>159</v>
      </c>
      <c r="C175" s="182">
        <f>IFERROR(VLOOKUP($B175,calc_data,C$14+1,0),0)</f>
        <v/>
      </c>
      <c r="D175" s="182">
        <f>IFERROR(VLOOKUP($B175,calc_data,D$14+1,0),0)</f>
        <v/>
      </c>
      <c r="E175" s="183">
        <f>IFERROR(VLOOKUP($B175,calc_data,E$14+1,0),0)</f>
        <v/>
      </c>
      <c r="F175" s="182">
        <f>IFERROR(VLOOKUP($B175,calc_data,F$14+1,0),0)</f>
        <v/>
      </c>
      <c r="G175" s="141">
        <f>IFERROR(VLOOKUP($B175,calc_data,G$14+1,0),0)</f>
        <v/>
      </c>
      <c r="H175" s="141">
        <f>IFERROR(VLOOKUP($B175,calc_data,H$14+1,0),0)</f>
        <v/>
      </c>
      <c r="I175" s="142">
        <f>IFERROR(VLOOKUP($B175,calc_data,I$14+1,0),0)</f>
        <v/>
      </c>
      <c r="J175" s="141">
        <f>IFERROR(VLOOKUP($B175,calc_data,J$14+1,0),0)</f>
        <v/>
      </c>
      <c r="K175" s="141">
        <f>IFERROR(VLOOKUP($B175,calc_data,K$14+1,0),0)</f>
        <v/>
      </c>
      <c r="L175" s="141">
        <f>IFERROR(VLOOKUP($B175,calc_data,L$14+1,0),0)</f>
        <v/>
      </c>
      <c r="M175" s="177">
        <f>IFERROR(VLOOKUP($B175,calc_data,M$14+1,0),0)</f>
        <v/>
      </c>
      <c r="N175" s="177">
        <f>IFERROR(VLOOKUP($B175,calc_data,N$14+1,0),0)</f>
        <v/>
      </c>
      <c r="O175" s="45" t="n"/>
      <c r="Q175" s="57">
        <f>IF(K175&gt;0,"показать","скрыть")</f>
        <v/>
      </c>
    </row>
    <row r="176" ht="15.75" customHeight="1">
      <c r="B176" s="182" t="n">
        <v>160</v>
      </c>
      <c r="C176" s="182">
        <f>IFERROR(VLOOKUP($B176,calc_data,C$14+1,0),0)</f>
        <v/>
      </c>
      <c r="D176" s="182">
        <f>IFERROR(VLOOKUP($B176,calc_data,D$14+1,0),0)</f>
        <v/>
      </c>
      <c r="E176" s="183">
        <f>IFERROR(VLOOKUP($B176,calc_data,E$14+1,0),0)</f>
        <v/>
      </c>
      <c r="F176" s="182">
        <f>IFERROR(VLOOKUP($B176,calc_data,F$14+1,0),0)</f>
        <v/>
      </c>
      <c r="G176" s="141">
        <f>IFERROR(VLOOKUP($B176,calc_data,G$14+1,0),0)</f>
        <v/>
      </c>
      <c r="H176" s="141">
        <f>IFERROR(VLOOKUP($B176,calc_data,H$14+1,0),0)</f>
        <v/>
      </c>
      <c r="I176" s="142">
        <f>IFERROR(VLOOKUP($B176,calc_data,I$14+1,0),0)</f>
        <v/>
      </c>
      <c r="J176" s="141">
        <f>IFERROR(VLOOKUP($B176,calc_data,J$14+1,0),0)</f>
        <v/>
      </c>
      <c r="K176" s="141">
        <f>IFERROR(VLOOKUP($B176,calc_data,K$14+1,0),0)</f>
        <v/>
      </c>
      <c r="L176" s="141">
        <f>IFERROR(VLOOKUP($B176,calc_data,L$14+1,0),0)</f>
        <v/>
      </c>
      <c r="M176" s="177">
        <f>IFERROR(VLOOKUP($B176,calc_data,M$14+1,0),0)</f>
        <v/>
      </c>
      <c r="N176" s="177">
        <f>IFERROR(VLOOKUP($B176,calc_data,N$14+1,0),0)</f>
        <v/>
      </c>
      <c r="O176" s="45" t="n"/>
      <c r="Q176" s="57">
        <f>IF(K176&gt;0,"показать","скрыть")</f>
        <v/>
      </c>
    </row>
    <row r="177" ht="15.75" customHeight="1">
      <c r="B177" s="182" t="n">
        <v>161</v>
      </c>
      <c r="C177" s="182">
        <f>IFERROR(VLOOKUP($B177,calc_data,C$14+1,0),0)</f>
        <v/>
      </c>
      <c r="D177" s="182">
        <f>IFERROR(VLOOKUP($B177,calc_data,D$14+1,0),0)</f>
        <v/>
      </c>
      <c r="E177" s="183">
        <f>IFERROR(VLOOKUP($B177,calc_data,E$14+1,0),0)</f>
        <v/>
      </c>
      <c r="F177" s="182">
        <f>IFERROR(VLOOKUP($B177,calc_data,F$14+1,0),0)</f>
        <v/>
      </c>
      <c r="G177" s="141">
        <f>IFERROR(VLOOKUP($B177,calc_data,G$14+1,0),0)</f>
        <v/>
      </c>
      <c r="H177" s="141">
        <f>IFERROR(VLOOKUP($B177,calc_data,H$14+1,0),0)</f>
        <v/>
      </c>
      <c r="I177" s="142">
        <f>IFERROR(VLOOKUP($B177,calc_data,I$14+1,0),0)</f>
        <v/>
      </c>
      <c r="J177" s="141">
        <f>IFERROR(VLOOKUP($B177,calc_data,J$14+1,0),0)</f>
        <v/>
      </c>
      <c r="K177" s="141">
        <f>IFERROR(VLOOKUP($B177,calc_data,K$14+1,0),0)</f>
        <v/>
      </c>
      <c r="L177" s="141">
        <f>IFERROR(VLOOKUP($B177,calc_data,L$14+1,0),0)</f>
        <v/>
      </c>
      <c r="M177" s="177">
        <f>IFERROR(VLOOKUP($B177,calc_data,M$14+1,0),0)</f>
        <v/>
      </c>
      <c r="N177" s="177">
        <f>IFERROR(VLOOKUP($B177,calc_data,N$14+1,0),0)</f>
        <v/>
      </c>
      <c r="O177" s="45" t="n"/>
      <c r="Q177" s="57">
        <f>IF(K177&gt;0,"показать","скрыть")</f>
        <v/>
      </c>
    </row>
    <row r="178" ht="15.75" customHeight="1">
      <c r="B178" s="182" t="n">
        <v>162</v>
      </c>
      <c r="C178" s="182">
        <f>IFERROR(VLOOKUP($B178,calc_data,C$14+1,0),0)</f>
        <v/>
      </c>
      <c r="D178" s="182">
        <f>IFERROR(VLOOKUP($B178,calc_data,D$14+1,0),0)</f>
        <v/>
      </c>
      <c r="E178" s="183">
        <f>IFERROR(VLOOKUP($B178,calc_data,E$14+1,0),0)</f>
        <v/>
      </c>
      <c r="F178" s="182">
        <f>IFERROR(VLOOKUP($B178,calc_data,F$14+1,0),0)</f>
        <v/>
      </c>
      <c r="G178" s="141">
        <f>IFERROR(VLOOKUP($B178,calc_data,G$14+1,0),0)</f>
        <v/>
      </c>
      <c r="H178" s="141">
        <f>IFERROR(VLOOKUP($B178,calc_data,H$14+1,0),0)</f>
        <v/>
      </c>
      <c r="I178" s="142">
        <f>IFERROR(VLOOKUP($B178,calc_data,I$14+1,0),0)</f>
        <v/>
      </c>
      <c r="J178" s="141">
        <f>IFERROR(VLOOKUP($B178,calc_data,J$14+1,0),0)</f>
        <v/>
      </c>
      <c r="K178" s="141">
        <f>IFERROR(VLOOKUP($B178,calc_data,K$14+1,0),0)</f>
        <v/>
      </c>
      <c r="L178" s="141">
        <f>IFERROR(VLOOKUP($B178,calc_data,L$14+1,0),0)</f>
        <v/>
      </c>
      <c r="M178" s="177">
        <f>IFERROR(VLOOKUP($B178,calc_data,M$14+1,0),0)</f>
        <v/>
      </c>
      <c r="N178" s="177">
        <f>IFERROR(VLOOKUP($B178,calc_data,N$14+1,0),0)</f>
        <v/>
      </c>
      <c r="O178" s="45" t="n"/>
      <c r="Q178" s="57">
        <f>IF(K178&gt;0,"показать","скрыть")</f>
        <v/>
      </c>
    </row>
    <row r="179" ht="15.75" customHeight="1">
      <c r="B179" s="182" t="n">
        <v>163</v>
      </c>
      <c r="C179" s="182">
        <f>IFERROR(VLOOKUP($B179,calc_data,C$14+1,0),0)</f>
        <v/>
      </c>
      <c r="D179" s="182">
        <f>IFERROR(VLOOKUP($B179,calc_data,D$14+1,0),0)</f>
        <v/>
      </c>
      <c r="E179" s="183">
        <f>IFERROR(VLOOKUP($B179,calc_data,E$14+1,0),0)</f>
        <v/>
      </c>
      <c r="F179" s="182">
        <f>IFERROR(VLOOKUP($B179,calc_data,F$14+1,0),0)</f>
        <v/>
      </c>
      <c r="G179" s="141">
        <f>IFERROR(VLOOKUP($B179,calc_data,G$14+1,0),0)</f>
        <v/>
      </c>
      <c r="H179" s="141">
        <f>IFERROR(VLOOKUP($B179,calc_data,H$14+1,0),0)</f>
        <v/>
      </c>
      <c r="I179" s="142">
        <f>IFERROR(VLOOKUP($B179,calc_data,I$14+1,0),0)</f>
        <v/>
      </c>
      <c r="J179" s="141">
        <f>IFERROR(VLOOKUP($B179,calc_data,J$14+1,0),0)</f>
        <v/>
      </c>
      <c r="K179" s="141">
        <f>IFERROR(VLOOKUP($B179,calc_data,K$14+1,0),0)</f>
        <v/>
      </c>
      <c r="L179" s="141">
        <f>IFERROR(VLOOKUP($B179,calc_data,L$14+1,0),0)</f>
        <v/>
      </c>
      <c r="M179" s="177">
        <f>IFERROR(VLOOKUP($B179,calc_data,M$14+1,0),0)</f>
        <v/>
      </c>
      <c r="N179" s="177">
        <f>IFERROR(VLOOKUP($B179,calc_data,N$14+1,0),0)</f>
        <v/>
      </c>
      <c r="O179" s="45" t="n"/>
      <c r="Q179" s="57">
        <f>IF(K179&gt;0,"показать","скрыть")</f>
        <v/>
      </c>
    </row>
    <row r="180" ht="15.75" customHeight="1">
      <c r="B180" s="182" t="n">
        <v>164</v>
      </c>
      <c r="C180" s="182">
        <f>IFERROR(VLOOKUP($B180,calc_data,C$14+1,0),0)</f>
        <v/>
      </c>
      <c r="D180" s="182">
        <f>IFERROR(VLOOKUP($B180,calc_data,D$14+1,0),0)</f>
        <v/>
      </c>
      <c r="E180" s="183">
        <f>IFERROR(VLOOKUP($B180,calc_data,E$14+1,0),0)</f>
        <v/>
      </c>
      <c r="F180" s="182">
        <f>IFERROR(VLOOKUP($B180,calc_data,F$14+1,0),0)</f>
        <v/>
      </c>
      <c r="G180" s="141">
        <f>IFERROR(VLOOKUP($B180,calc_data,G$14+1,0),0)</f>
        <v/>
      </c>
      <c r="H180" s="141">
        <f>IFERROR(VLOOKUP($B180,calc_data,H$14+1,0),0)</f>
        <v/>
      </c>
      <c r="I180" s="142">
        <f>IFERROR(VLOOKUP($B180,calc_data,I$14+1,0),0)</f>
        <v/>
      </c>
      <c r="J180" s="141">
        <f>IFERROR(VLOOKUP($B180,calc_data,J$14+1,0),0)</f>
        <v/>
      </c>
      <c r="K180" s="141">
        <f>IFERROR(VLOOKUP($B180,calc_data,K$14+1,0),0)</f>
        <v/>
      </c>
      <c r="L180" s="141">
        <f>IFERROR(VLOOKUP($B180,calc_data,L$14+1,0),0)</f>
        <v/>
      </c>
      <c r="M180" s="177">
        <f>IFERROR(VLOOKUP($B180,calc_data,M$14+1,0),0)</f>
        <v/>
      </c>
      <c r="N180" s="177">
        <f>IFERROR(VLOOKUP($B180,calc_data,N$14+1,0),0)</f>
        <v/>
      </c>
      <c r="O180" s="45" t="n"/>
      <c r="Q180" s="57">
        <f>IF(K180&gt;0,"показать","скрыть")</f>
        <v/>
      </c>
    </row>
    <row r="181" ht="15.75" customHeight="1">
      <c r="B181" s="182" t="n">
        <v>165</v>
      </c>
      <c r="C181" s="182">
        <f>IFERROR(VLOOKUP($B181,calc_data,C$14+1,0),0)</f>
        <v/>
      </c>
      <c r="D181" s="182">
        <f>IFERROR(VLOOKUP($B181,calc_data,D$14+1,0),0)</f>
        <v/>
      </c>
      <c r="E181" s="183">
        <f>IFERROR(VLOOKUP($B181,calc_data,E$14+1,0),0)</f>
        <v/>
      </c>
      <c r="F181" s="182">
        <f>IFERROR(VLOOKUP($B181,calc_data,F$14+1,0),0)</f>
        <v/>
      </c>
      <c r="G181" s="141">
        <f>IFERROR(VLOOKUP($B181,calc_data,G$14+1,0),0)</f>
        <v/>
      </c>
      <c r="H181" s="141">
        <f>IFERROR(VLOOKUP($B181,calc_data,H$14+1,0),0)</f>
        <v/>
      </c>
      <c r="I181" s="142">
        <f>IFERROR(VLOOKUP($B181,calc_data,I$14+1,0),0)</f>
        <v/>
      </c>
      <c r="J181" s="141">
        <f>IFERROR(VLOOKUP($B181,calc_data,J$14+1,0),0)</f>
        <v/>
      </c>
      <c r="K181" s="141">
        <f>IFERROR(VLOOKUP($B181,calc_data,K$14+1,0),0)</f>
        <v/>
      </c>
      <c r="L181" s="141">
        <f>IFERROR(VLOOKUP($B181,calc_data,L$14+1,0),0)</f>
        <v/>
      </c>
      <c r="M181" s="177">
        <f>IFERROR(VLOOKUP($B181,calc_data,M$14+1,0),0)</f>
        <v/>
      </c>
      <c r="N181" s="177">
        <f>IFERROR(VLOOKUP($B181,calc_data,N$14+1,0),0)</f>
        <v/>
      </c>
      <c r="O181" s="45" t="n"/>
      <c r="Q181" s="57">
        <f>IF(K181&gt;0,"показать","скрыть")</f>
        <v/>
      </c>
    </row>
    <row r="182" ht="15.75" customHeight="1">
      <c r="B182" s="182" t="n">
        <v>166</v>
      </c>
      <c r="C182" s="182">
        <f>IFERROR(VLOOKUP($B182,calc_data,C$14+1,0),0)</f>
        <v/>
      </c>
      <c r="D182" s="182">
        <f>IFERROR(VLOOKUP($B182,calc_data,D$14+1,0),0)</f>
        <v/>
      </c>
      <c r="E182" s="183">
        <f>IFERROR(VLOOKUP($B182,calc_data,E$14+1,0),0)</f>
        <v/>
      </c>
      <c r="F182" s="182">
        <f>IFERROR(VLOOKUP($B182,calc_data,F$14+1,0),0)</f>
        <v/>
      </c>
      <c r="G182" s="141">
        <f>IFERROR(VLOOKUP($B182,calc_data,G$14+1,0),0)</f>
        <v/>
      </c>
      <c r="H182" s="141">
        <f>IFERROR(VLOOKUP($B182,calc_data,H$14+1,0),0)</f>
        <v/>
      </c>
      <c r="I182" s="142">
        <f>IFERROR(VLOOKUP($B182,calc_data,I$14+1,0),0)</f>
        <v/>
      </c>
      <c r="J182" s="141">
        <f>IFERROR(VLOOKUP($B182,calc_data,J$14+1,0),0)</f>
        <v/>
      </c>
      <c r="K182" s="141">
        <f>IFERROR(VLOOKUP($B182,calc_data,K$14+1,0),0)</f>
        <v/>
      </c>
      <c r="L182" s="141">
        <f>IFERROR(VLOOKUP($B182,calc_data,L$14+1,0),0)</f>
        <v/>
      </c>
      <c r="M182" s="177">
        <f>IFERROR(VLOOKUP($B182,calc_data,M$14+1,0),0)</f>
        <v/>
      </c>
      <c r="N182" s="177">
        <f>IFERROR(VLOOKUP($B182,calc_data,N$14+1,0),0)</f>
        <v/>
      </c>
      <c r="O182" s="45" t="n"/>
      <c r="Q182" s="57">
        <f>IF(K182&gt;0,"показать","скрыть")</f>
        <v/>
      </c>
    </row>
    <row r="183" ht="15.75" customHeight="1">
      <c r="B183" s="182" t="n">
        <v>167</v>
      </c>
      <c r="C183" s="182">
        <f>IFERROR(VLOOKUP($B183,calc_data,C$14+1,0),0)</f>
        <v/>
      </c>
      <c r="D183" s="182">
        <f>IFERROR(VLOOKUP($B183,calc_data,D$14+1,0),0)</f>
        <v/>
      </c>
      <c r="E183" s="183">
        <f>IFERROR(VLOOKUP($B183,calc_data,E$14+1,0),0)</f>
        <v/>
      </c>
      <c r="F183" s="182">
        <f>IFERROR(VLOOKUP($B183,calc_data,F$14+1,0),0)</f>
        <v/>
      </c>
      <c r="G183" s="141">
        <f>IFERROR(VLOOKUP($B183,calc_data,G$14+1,0),0)</f>
        <v/>
      </c>
      <c r="H183" s="141">
        <f>IFERROR(VLOOKUP($B183,calc_data,H$14+1,0),0)</f>
        <v/>
      </c>
      <c r="I183" s="142">
        <f>IFERROR(VLOOKUP($B183,calc_data,I$14+1,0),0)</f>
        <v/>
      </c>
      <c r="J183" s="141">
        <f>IFERROR(VLOOKUP($B183,calc_data,J$14+1,0),0)</f>
        <v/>
      </c>
      <c r="K183" s="141">
        <f>IFERROR(VLOOKUP($B183,calc_data,K$14+1,0),0)</f>
        <v/>
      </c>
      <c r="L183" s="141">
        <f>IFERROR(VLOOKUP($B183,calc_data,L$14+1,0),0)</f>
        <v/>
      </c>
      <c r="M183" s="177">
        <f>IFERROR(VLOOKUP($B183,calc_data,M$14+1,0),0)</f>
        <v/>
      </c>
      <c r="N183" s="177">
        <f>IFERROR(VLOOKUP($B183,calc_data,N$14+1,0),0)</f>
        <v/>
      </c>
      <c r="O183" s="45" t="n"/>
      <c r="Q183" s="57">
        <f>IF(K183&gt;0,"показать","скрыть")</f>
        <v/>
      </c>
    </row>
    <row r="184" ht="15.75" customHeight="1">
      <c r="B184" s="182" t="n">
        <v>168</v>
      </c>
      <c r="C184" s="182">
        <f>IFERROR(VLOOKUP($B184,calc_data,C$14+1,0),0)</f>
        <v/>
      </c>
      <c r="D184" s="182">
        <f>IFERROR(VLOOKUP($B184,calc_data,D$14+1,0),0)</f>
        <v/>
      </c>
      <c r="E184" s="183">
        <f>IFERROR(VLOOKUP($B184,calc_data,E$14+1,0),0)</f>
        <v/>
      </c>
      <c r="F184" s="182">
        <f>IFERROR(VLOOKUP($B184,calc_data,F$14+1,0),0)</f>
        <v/>
      </c>
      <c r="G184" s="141">
        <f>IFERROR(VLOOKUP($B184,calc_data,G$14+1,0),0)</f>
        <v/>
      </c>
      <c r="H184" s="141">
        <f>IFERROR(VLOOKUP($B184,calc_data,H$14+1,0),0)</f>
        <v/>
      </c>
      <c r="I184" s="142">
        <f>IFERROR(VLOOKUP($B184,calc_data,I$14+1,0),0)</f>
        <v/>
      </c>
      <c r="J184" s="141">
        <f>IFERROR(VLOOKUP($B184,calc_data,J$14+1,0),0)</f>
        <v/>
      </c>
      <c r="K184" s="141">
        <f>IFERROR(VLOOKUP($B184,calc_data,K$14+1,0),0)</f>
        <v/>
      </c>
      <c r="L184" s="141">
        <f>IFERROR(VLOOKUP($B184,calc_data,L$14+1,0),0)</f>
        <v/>
      </c>
      <c r="M184" s="177">
        <f>IFERROR(VLOOKUP($B184,calc_data,M$14+1,0),0)</f>
        <v/>
      </c>
      <c r="N184" s="177">
        <f>IFERROR(VLOOKUP($B184,calc_data,N$14+1,0),0)</f>
        <v/>
      </c>
      <c r="O184" s="45" t="n"/>
      <c r="Q184" s="57">
        <f>IF(K184&gt;0,"показать","скрыть")</f>
        <v/>
      </c>
    </row>
    <row r="185" ht="15.75" customHeight="1">
      <c r="B185" s="182" t="n">
        <v>169</v>
      </c>
      <c r="C185" s="182">
        <f>IFERROR(VLOOKUP($B185,calc_data,C$14+1,0),0)</f>
        <v/>
      </c>
      <c r="D185" s="182">
        <f>IFERROR(VLOOKUP($B185,calc_data,D$14+1,0),0)</f>
        <v/>
      </c>
      <c r="E185" s="183">
        <f>IFERROR(VLOOKUP($B185,calc_data,E$14+1,0),0)</f>
        <v/>
      </c>
      <c r="F185" s="182">
        <f>IFERROR(VLOOKUP($B185,calc_data,F$14+1,0),0)</f>
        <v/>
      </c>
      <c r="G185" s="141">
        <f>IFERROR(VLOOKUP($B185,calc_data,G$14+1,0),0)</f>
        <v/>
      </c>
      <c r="H185" s="141">
        <f>IFERROR(VLOOKUP($B185,calc_data,H$14+1,0),0)</f>
        <v/>
      </c>
      <c r="I185" s="142">
        <f>IFERROR(VLOOKUP($B185,calc_data,I$14+1,0),0)</f>
        <v/>
      </c>
      <c r="J185" s="141">
        <f>IFERROR(VLOOKUP($B185,calc_data,J$14+1,0),0)</f>
        <v/>
      </c>
      <c r="K185" s="141">
        <f>IFERROR(VLOOKUP($B185,calc_data,K$14+1,0),0)</f>
        <v/>
      </c>
      <c r="L185" s="141">
        <f>IFERROR(VLOOKUP($B185,calc_data,L$14+1,0),0)</f>
        <v/>
      </c>
      <c r="M185" s="177">
        <f>IFERROR(VLOOKUP($B185,calc_data,M$14+1,0),0)</f>
        <v/>
      </c>
      <c r="N185" s="177">
        <f>IFERROR(VLOOKUP($B185,calc_data,N$14+1,0),0)</f>
        <v/>
      </c>
      <c r="O185" s="45" t="n"/>
      <c r="Q185" s="57">
        <f>IF(K185&gt;0,"показать","скрыть")</f>
        <v/>
      </c>
    </row>
    <row r="186" ht="15.75" customHeight="1">
      <c r="B186" s="182" t="n">
        <v>170</v>
      </c>
      <c r="C186" s="182">
        <f>IFERROR(VLOOKUP($B186,calc_data,C$14+1,0),0)</f>
        <v/>
      </c>
      <c r="D186" s="182">
        <f>IFERROR(VLOOKUP($B186,calc_data,D$14+1,0),0)</f>
        <v/>
      </c>
      <c r="E186" s="183">
        <f>IFERROR(VLOOKUP($B186,calc_data,E$14+1,0),0)</f>
        <v/>
      </c>
      <c r="F186" s="182">
        <f>IFERROR(VLOOKUP($B186,calc_data,F$14+1,0),0)</f>
        <v/>
      </c>
      <c r="G186" s="141">
        <f>IFERROR(VLOOKUP($B186,calc_data,G$14+1,0),0)</f>
        <v/>
      </c>
      <c r="H186" s="141">
        <f>IFERROR(VLOOKUP($B186,calc_data,H$14+1,0),0)</f>
        <v/>
      </c>
      <c r="I186" s="142">
        <f>IFERROR(VLOOKUP($B186,calc_data,I$14+1,0),0)</f>
        <v/>
      </c>
      <c r="J186" s="141">
        <f>IFERROR(VLOOKUP($B186,calc_data,J$14+1,0),0)</f>
        <v/>
      </c>
      <c r="K186" s="141">
        <f>IFERROR(VLOOKUP($B186,calc_data,K$14+1,0),0)</f>
        <v/>
      </c>
      <c r="L186" s="141">
        <f>IFERROR(VLOOKUP($B186,calc_data,L$14+1,0),0)</f>
        <v/>
      </c>
      <c r="M186" s="177">
        <f>IFERROR(VLOOKUP($B186,calc_data,M$14+1,0),0)</f>
        <v/>
      </c>
      <c r="N186" s="177">
        <f>IFERROR(VLOOKUP($B186,calc_data,N$14+1,0),0)</f>
        <v/>
      </c>
      <c r="O186" s="45" t="n"/>
      <c r="Q186" s="57">
        <f>IF(K186&gt;0,"показать","скрыть")</f>
        <v/>
      </c>
    </row>
    <row r="187" ht="15.75" customHeight="1">
      <c r="B187" s="182" t="n">
        <v>171</v>
      </c>
      <c r="C187" s="182">
        <f>IFERROR(VLOOKUP($B187,calc_data,C$14+1,0),0)</f>
        <v/>
      </c>
      <c r="D187" s="182">
        <f>IFERROR(VLOOKUP($B187,calc_data,D$14+1,0),0)</f>
        <v/>
      </c>
      <c r="E187" s="183">
        <f>IFERROR(VLOOKUP($B187,calc_data,E$14+1,0),0)</f>
        <v/>
      </c>
      <c r="F187" s="182">
        <f>IFERROR(VLOOKUP($B187,calc_data,F$14+1,0),0)</f>
        <v/>
      </c>
      <c r="G187" s="141">
        <f>IFERROR(VLOOKUP($B187,calc_data,G$14+1,0),0)</f>
        <v/>
      </c>
      <c r="H187" s="141">
        <f>IFERROR(VLOOKUP($B187,calc_data,H$14+1,0),0)</f>
        <v/>
      </c>
      <c r="I187" s="142">
        <f>IFERROR(VLOOKUP($B187,calc_data,I$14+1,0),0)</f>
        <v/>
      </c>
      <c r="J187" s="141">
        <f>IFERROR(VLOOKUP($B187,calc_data,J$14+1,0),0)</f>
        <v/>
      </c>
      <c r="K187" s="141">
        <f>IFERROR(VLOOKUP($B187,calc_data,K$14+1,0),0)</f>
        <v/>
      </c>
      <c r="L187" s="141">
        <f>IFERROR(VLOOKUP($B187,calc_data,L$14+1,0),0)</f>
        <v/>
      </c>
      <c r="M187" s="177">
        <f>IFERROR(VLOOKUP($B187,calc_data,M$14+1,0),0)</f>
        <v/>
      </c>
      <c r="N187" s="177">
        <f>IFERROR(VLOOKUP($B187,calc_data,N$14+1,0),0)</f>
        <v/>
      </c>
      <c r="O187" s="45" t="n"/>
      <c r="Q187" s="57">
        <f>IF(K187&gt;0,"показать","скрыть")</f>
        <v/>
      </c>
    </row>
    <row r="188" ht="15.75" customHeight="1">
      <c r="B188" s="182" t="n">
        <v>172</v>
      </c>
      <c r="C188" s="182">
        <f>IFERROR(VLOOKUP($B188,calc_data,C$14+1,0),0)</f>
        <v/>
      </c>
      <c r="D188" s="182">
        <f>IFERROR(VLOOKUP($B188,calc_data,D$14+1,0),0)</f>
        <v/>
      </c>
      <c r="E188" s="183">
        <f>IFERROR(VLOOKUP($B188,calc_data,E$14+1,0),0)</f>
        <v/>
      </c>
      <c r="F188" s="182">
        <f>IFERROR(VLOOKUP($B188,calc_data,F$14+1,0),0)</f>
        <v/>
      </c>
      <c r="G188" s="141">
        <f>IFERROR(VLOOKUP($B188,calc_data,G$14+1,0),0)</f>
        <v/>
      </c>
      <c r="H188" s="141">
        <f>IFERROR(VLOOKUP($B188,calc_data,H$14+1,0),0)</f>
        <v/>
      </c>
      <c r="I188" s="142">
        <f>IFERROR(VLOOKUP($B188,calc_data,I$14+1,0),0)</f>
        <v/>
      </c>
      <c r="J188" s="141">
        <f>IFERROR(VLOOKUP($B188,calc_data,J$14+1,0),0)</f>
        <v/>
      </c>
      <c r="K188" s="141">
        <f>IFERROR(VLOOKUP($B188,calc_data,K$14+1,0),0)</f>
        <v/>
      </c>
      <c r="L188" s="141">
        <f>IFERROR(VLOOKUP($B188,calc_data,L$14+1,0),0)</f>
        <v/>
      </c>
      <c r="M188" s="177">
        <f>IFERROR(VLOOKUP($B188,calc_data,M$14+1,0),0)</f>
        <v/>
      </c>
      <c r="N188" s="177">
        <f>IFERROR(VLOOKUP($B188,calc_data,N$14+1,0),0)</f>
        <v/>
      </c>
      <c r="O188" s="45" t="n"/>
      <c r="Q188" s="57">
        <f>IF(K188&gt;0,"показать","скрыть")</f>
        <v/>
      </c>
    </row>
    <row r="189" ht="15.75" customHeight="1">
      <c r="B189" s="182" t="n">
        <v>173</v>
      </c>
      <c r="C189" s="182">
        <f>IFERROR(VLOOKUP($B189,calc_data,C$14+1,0),0)</f>
        <v/>
      </c>
      <c r="D189" s="182">
        <f>IFERROR(VLOOKUP($B189,calc_data,D$14+1,0),0)</f>
        <v/>
      </c>
      <c r="E189" s="183">
        <f>IFERROR(VLOOKUP($B189,calc_data,E$14+1,0),0)</f>
        <v/>
      </c>
      <c r="F189" s="182">
        <f>IFERROR(VLOOKUP($B189,calc_data,F$14+1,0),0)</f>
        <v/>
      </c>
      <c r="G189" s="141">
        <f>IFERROR(VLOOKUP($B189,calc_data,G$14+1,0),0)</f>
        <v/>
      </c>
      <c r="H189" s="141">
        <f>IFERROR(VLOOKUP($B189,calc_data,H$14+1,0),0)</f>
        <v/>
      </c>
      <c r="I189" s="142">
        <f>IFERROR(VLOOKUP($B189,calc_data,I$14+1,0),0)</f>
        <v/>
      </c>
      <c r="J189" s="141">
        <f>IFERROR(VLOOKUP($B189,calc_data,J$14+1,0),0)</f>
        <v/>
      </c>
      <c r="K189" s="141">
        <f>IFERROR(VLOOKUP($B189,calc_data,K$14+1,0),0)</f>
        <v/>
      </c>
      <c r="L189" s="141">
        <f>IFERROR(VLOOKUP($B189,calc_data,L$14+1,0),0)</f>
        <v/>
      </c>
      <c r="M189" s="177">
        <f>IFERROR(VLOOKUP($B189,calc_data,M$14+1,0),0)</f>
        <v/>
      </c>
      <c r="N189" s="177">
        <f>IFERROR(VLOOKUP($B189,calc_data,N$14+1,0),0)</f>
        <v/>
      </c>
      <c r="O189" s="45" t="n"/>
      <c r="Q189" s="57">
        <f>IF(K189&gt;0,"показать","скрыть")</f>
        <v/>
      </c>
    </row>
    <row r="190" ht="15.75" customHeight="1">
      <c r="B190" s="182" t="n">
        <v>174</v>
      </c>
      <c r="C190" s="182">
        <f>IFERROR(VLOOKUP($B190,calc_data,C$14+1,0),0)</f>
        <v/>
      </c>
      <c r="D190" s="182">
        <f>IFERROR(VLOOKUP($B190,calc_data,D$14+1,0),0)</f>
        <v/>
      </c>
      <c r="E190" s="183">
        <f>IFERROR(VLOOKUP($B190,calc_data,E$14+1,0),0)</f>
        <v/>
      </c>
      <c r="F190" s="182">
        <f>IFERROR(VLOOKUP($B190,calc_data,F$14+1,0),0)</f>
        <v/>
      </c>
      <c r="G190" s="141">
        <f>IFERROR(VLOOKUP($B190,calc_data,G$14+1,0),0)</f>
        <v/>
      </c>
      <c r="H190" s="141">
        <f>IFERROR(VLOOKUP($B190,calc_data,H$14+1,0),0)</f>
        <v/>
      </c>
      <c r="I190" s="142">
        <f>IFERROR(VLOOKUP($B190,calc_data,I$14+1,0),0)</f>
        <v/>
      </c>
      <c r="J190" s="141">
        <f>IFERROR(VLOOKUP($B190,calc_data,J$14+1,0),0)</f>
        <v/>
      </c>
      <c r="K190" s="141">
        <f>IFERROR(VLOOKUP($B190,calc_data,K$14+1,0),0)</f>
        <v/>
      </c>
      <c r="L190" s="141">
        <f>IFERROR(VLOOKUP($B190,calc_data,L$14+1,0),0)</f>
        <v/>
      </c>
      <c r="M190" s="177">
        <f>IFERROR(VLOOKUP($B190,calc_data,M$14+1,0),0)</f>
        <v/>
      </c>
      <c r="N190" s="177">
        <f>IFERROR(VLOOKUP($B190,calc_data,N$14+1,0),0)</f>
        <v/>
      </c>
      <c r="O190" s="45" t="n"/>
      <c r="Q190" s="57">
        <f>IF(K190&gt;0,"показать","скрыть")</f>
        <v/>
      </c>
    </row>
    <row r="191" ht="15.75" customHeight="1">
      <c r="B191" s="182" t="n">
        <v>175</v>
      </c>
      <c r="C191" s="182">
        <f>IFERROR(VLOOKUP($B191,calc_data,C$14+1,0),0)</f>
        <v/>
      </c>
      <c r="D191" s="182">
        <f>IFERROR(VLOOKUP($B191,calc_data,D$14+1,0),0)</f>
        <v/>
      </c>
      <c r="E191" s="183">
        <f>IFERROR(VLOOKUP($B191,calc_data,E$14+1,0),0)</f>
        <v/>
      </c>
      <c r="F191" s="182">
        <f>IFERROR(VLOOKUP($B191,calc_data,F$14+1,0),0)</f>
        <v/>
      </c>
      <c r="G191" s="141">
        <f>IFERROR(VLOOKUP($B191,calc_data,G$14+1,0),0)</f>
        <v/>
      </c>
      <c r="H191" s="141">
        <f>IFERROR(VLOOKUP($B191,calc_data,H$14+1,0),0)</f>
        <v/>
      </c>
      <c r="I191" s="142">
        <f>IFERROR(VLOOKUP($B191,calc_data,I$14+1,0),0)</f>
        <v/>
      </c>
      <c r="J191" s="141">
        <f>IFERROR(VLOOKUP($B191,calc_data,J$14+1,0),0)</f>
        <v/>
      </c>
      <c r="K191" s="141">
        <f>IFERROR(VLOOKUP($B191,calc_data,K$14+1,0),0)</f>
        <v/>
      </c>
      <c r="L191" s="141">
        <f>IFERROR(VLOOKUP($B191,calc_data,L$14+1,0),0)</f>
        <v/>
      </c>
      <c r="M191" s="177">
        <f>IFERROR(VLOOKUP($B191,calc_data,M$14+1,0),0)</f>
        <v/>
      </c>
      <c r="N191" s="177">
        <f>IFERROR(VLOOKUP($B191,calc_data,N$14+1,0),0)</f>
        <v/>
      </c>
      <c r="O191" s="45" t="n"/>
      <c r="Q191" s="57">
        <f>IF(K191&gt;0,"показать","скрыть")</f>
        <v/>
      </c>
    </row>
    <row r="192" ht="15.75" customHeight="1">
      <c r="B192" s="182" t="n">
        <v>176</v>
      </c>
      <c r="C192" s="182">
        <f>IFERROR(VLOOKUP($B192,calc_data,C$14+1,0),0)</f>
        <v/>
      </c>
      <c r="D192" s="182">
        <f>IFERROR(VLOOKUP($B192,calc_data,D$14+1,0),0)</f>
        <v/>
      </c>
      <c r="E192" s="183">
        <f>IFERROR(VLOOKUP($B192,calc_data,E$14+1,0),0)</f>
        <v/>
      </c>
      <c r="F192" s="182">
        <f>IFERROR(VLOOKUP($B192,calc_data,F$14+1,0),0)</f>
        <v/>
      </c>
      <c r="G192" s="141">
        <f>IFERROR(VLOOKUP($B192,calc_data,G$14+1,0),0)</f>
        <v/>
      </c>
      <c r="H192" s="141">
        <f>IFERROR(VLOOKUP($B192,calc_data,H$14+1,0),0)</f>
        <v/>
      </c>
      <c r="I192" s="142">
        <f>IFERROR(VLOOKUP($B192,calc_data,I$14+1,0),0)</f>
        <v/>
      </c>
      <c r="J192" s="141">
        <f>IFERROR(VLOOKUP($B192,calc_data,J$14+1,0),0)</f>
        <v/>
      </c>
      <c r="K192" s="141">
        <f>IFERROR(VLOOKUP($B192,calc_data,K$14+1,0),0)</f>
        <v/>
      </c>
      <c r="L192" s="141">
        <f>IFERROR(VLOOKUP($B192,calc_data,L$14+1,0),0)</f>
        <v/>
      </c>
      <c r="M192" s="177">
        <f>IFERROR(VLOOKUP($B192,calc_data,M$14+1,0),0)</f>
        <v/>
      </c>
      <c r="N192" s="177">
        <f>IFERROR(VLOOKUP($B192,calc_data,N$14+1,0),0)</f>
        <v/>
      </c>
      <c r="O192" s="45" t="n"/>
      <c r="Q192" s="57">
        <f>IF(K192&gt;0,"показать","скрыть")</f>
        <v/>
      </c>
    </row>
    <row r="193" ht="15.75" customHeight="1">
      <c r="B193" s="182" t="n">
        <v>177</v>
      </c>
      <c r="C193" s="182">
        <f>IFERROR(VLOOKUP($B193,calc_data,C$14+1,0),0)</f>
        <v/>
      </c>
      <c r="D193" s="182">
        <f>IFERROR(VLOOKUP($B193,calc_data,D$14+1,0),0)</f>
        <v/>
      </c>
      <c r="E193" s="183">
        <f>IFERROR(VLOOKUP($B193,calc_data,E$14+1,0),0)</f>
        <v/>
      </c>
      <c r="F193" s="182">
        <f>IFERROR(VLOOKUP($B193,calc_data,F$14+1,0),0)</f>
        <v/>
      </c>
      <c r="G193" s="141">
        <f>IFERROR(VLOOKUP($B193,calc_data,G$14+1,0),0)</f>
        <v/>
      </c>
      <c r="H193" s="141">
        <f>IFERROR(VLOOKUP($B193,calc_data,H$14+1,0),0)</f>
        <v/>
      </c>
      <c r="I193" s="142">
        <f>IFERROR(VLOOKUP($B193,calc_data,I$14+1,0),0)</f>
        <v/>
      </c>
      <c r="J193" s="141">
        <f>IFERROR(VLOOKUP($B193,calc_data,J$14+1,0),0)</f>
        <v/>
      </c>
      <c r="K193" s="141">
        <f>IFERROR(VLOOKUP($B193,calc_data,K$14+1,0),0)</f>
        <v/>
      </c>
      <c r="L193" s="141">
        <f>IFERROR(VLOOKUP($B193,calc_data,L$14+1,0),0)</f>
        <v/>
      </c>
      <c r="M193" s="177">
        <f>IFERROR(VLOOKUP($B193,calc_data,M$14+1,0),0)</f>
        <v/>
      </c>
      <c r="N193" s="177">
        <f>IFERROR(VLOOKUP($B193,calc_data,N$14+1,0),0)</f>
        <v/>
      </c>
      <c r="O193" s="45" t="n"/>
      <c r="Q193" s="57">
        <f>IF(K193&gt;0,"показать","скрыть")</f>
        <v/>
      </c>
    </row>
    <row r="194" ht="15.75" customHeight="1">
      <c r="B194" s="182" t="n">
        <v>178</v>
      </c>
      <c r="C194" s="182">
        <f>IFERROR(VLOOKUP($B194,calc_data,C$14+1,0),0)</f>
        <v/>
      </c>
      <c r="D194" s="182">
        <f>IFERROR(VLOOKUP($B194,calc_data,D$14+1,0),0)</f>
        <v/>
      </c>
      <c r="E194" s="183">
        <f>IFERROR(VLOOKUP($B194,calc_data,E$14+1,0),0)</f>
        <v/>
      </c>
      <c r="F194" s="182">
        <f>IFERROR(VLOOKUP($B194,calc_data,F$14+1,0),0)</f>
        <v/>
      </c>
      <c r="G194" s="141">
        <f>IFERROR(VLOOKUP($B194,calc_data,G$14+1,0),0)</f>
        <v/>
      </c>
      <c r="H194" s="141">
        <f>IFERROR(VLOOKUP($B194,calc_data,H$14+1,0),0)</f>
        <v/>
      </c>
      <c r="I194" s="142">
        <f>IFERROR(VLOOKUP($B194,calc_data,I$14+1,0),0)</f>
        <v/>
      </c>
      <c r="J194" s="141">
        <f>IFERROR(VLOOKUP($B194,calc_data,J$14+1,0),0)</f>
        <v/>
      </c>
      <c r="K194" s="141">
        <f>IFERROR(VLOOKUP($B194,calc_data,K$14+1,0),0)</f>
        <v/>
      </c>
      <c r="L194" s="141">
        <f>IFERROR(VLOOKUP($B194,calc_data,L$14+1,0),0)</f>
        <v/>
      </c>
      <c r="M194" s="177">
        <f>IFERROR(VLOOKUP($B194,calc_data,M$14+1,0),0)</f>
        <v/>
      </c>
      <c r="N194" s="177">
        <f>IFERROR(VLOOKUP($B194,calc_data,N$14+1,0),0)</f>
        <v/>
      </c>
      <c r="O194" s="45" t="n"/>
      <c r="Q194" s="57">
        <f>IF(K194&gt;0,"показать","скрыть")</f>
        <v/>
      </c>
    </row>
    <row r="195" ht="15.75" customHeight="1">
      <c r="B195" s="182" t="n">
        <v>179</v>
      </c>
      <c r="C195" s="182">
        <f>IFERROR(VLOOKUP($B195,calc_data,C$14+1,0),0)</f>
        <v/>
      </c>
      <c r="D195" s="182">
        <f>IFERROR(VLOOKUP($B195,calc_data,D$14+1,0),0)</f>
        <v/>
      </c>
      <c r="E195" s="183">
        <f>IFERROR(VLOOKUP($B195,calc_data,E$14+1,0),0)</f>
        <v/>
      </c>
      <c r="F195" s="182">
        <f>IFERROR(VLOOKUP($B195,calc_data,F$14+1,0),0)</f>
        <v/>
      </c>
      <c r="G195" s="141">
        <f>IFERROR(VLOOKUP($B195,calc_data,G$14+1,0),0)</f>
        <v/>
      </c>
      <c r="H195" s="141">
        <f>IFERROR(VLOOKUP($B195,calc_data,H$14+1,0),0)</f>
        <v/>
      </c>
      <c r="I195" s="142">
        <f>IFERROR(VLOOKUP($B195,calc_data,I$14+1,0),0)</f>
        <v/>
      </c>
      <c r="J195" s="141">
        <f>IFERROR(VLOOKUP($B195,calc_data,J$14+1,0),0)</f>
        <v/>
      </c>
      <c r="K195" s="141">
        <f>IFERROR(VLOOKUP($B195,calc_data,K$14+1,0),0)</f>
        <v/>
      </c>
      <c r="L195" s="141">
        <f>IFERROR(VLOOKUP($B195,calc_data,L$14+1,0),0)</f>
        <v/>
      </c>
      <c r="M195" s="177">
        <f>IFERROR(VLOOKUP($B195,calc_data,M$14+1,0),0)</f>
        <v/>
      </c>
      <c r="N195" s="177">
        <f>IFERROR(VLOOKUP($B195,calc_data,N$14+1,0),0)</f>
        <v/>
      </c>
      <c r="O195" s="45" t="n"/>
      <c r="Q195" s="57">
        <f>IF(K195&gt;0,"показать","скрыть")</f>
        <v/>
      </c>
    </row>
    <row r="196" ht="15.75" customHeight="1">
      <c r="B196" s="182" t="n">
        <v>180</v>
      </c>
      <c r="C196" s="182">
        <f>IFERROR(VLOOKUP($B196,calc_data,C$14+1,0),0)</f>
        <v/>
      </c>
      <c r="D196" s="182">
        <f>IFERROR(VLOOKUP($B196,calc_data,D$14+1,0),0)</f>
        <v/>
      </c>
      <c r="E196" s="183">
        <f>IFERROR(VLOOKUP($B196,calc_data,E$14+1,0),0)</f>
        <v/>
      </c>
      <c r="F196" s="182">
        <f>IFERROR(VLOOKUP($B196,calc_data,F$14+1,0),0)</f>
        <v/>
      </c>
      <c r="G196" s="141">
        <f>IFERROR(VLOOKUP($B196,calc_data,G$14+1,0),0)</f>
        <v/>
      </c>
      <c r="H196" s="141">
        <f>IFERROR(VLOOKUP($B196,calc_data,H$14+1,0),0)</f>
        <v/>
      </c>
      <c r="I196" s="142">
        <f>IFERROR(VLOOKUP($B196,calc_data,I$14+1,0),0)</f>
        <v/>
      </c>
      <c r="J196" s="141">
        <f>IFERROR(VLOOKUP($B196,calc_data,J$14+1,0),0)</f>
        <v/>
      </c>
      <c r="K196" s="141">
        <f>IFERROR(VLOOKUP($B196,calc_data,K$14+1,0),0)</f>
        <v/>
      </c>
      <c r="L196" s="141">
        <f>IFERROR(VLOOKUP($B196,calc_data,L$14+1,0),0)</f>
        <v/>
      </c>
      <c r="M196" s="177">
        <f>IFERROR(VLOOKUP($B196,calc_data,M$14+1,0),0)</f>
        <v/>
      </c>
      <c r="N196" s="177">
        <f>IFERROR(VLOOKUP($B196,calc_data,N$14+1,0),0)</f>
        <v/>
      </c>
      <c r="O196" s="45" t="n"/>
      <c r="Q196" s="57">
        <f>IF(K196&gt;0,"показать","скрыть")</f>
        <v/>
      </c>
    </row>
    <row r="197" ht="15.75" customHeight="1">
      <c r="B197" s="182" t="n">
        <v>181</v>
      </c>
      <c r="C197" s="182">
        <f>IFERROR(VLOOKUP($B197,calc_data,C$14+1,0),0)</f>
        <v/>
      </c>
      <c r="D197" s="182">
        <f>IFERROR(VLOOKUP($B197,calc_data,D$14+1,0),0)</f>
        <v/>
      </c>
      <c r="E197" s="183">
        <f>IFERROR(VLOOKUP($B197,calc_data,E$14+1,0),0)</f>
        <v/>
      </c>
      <c r="F197" s="182">
        <f>IFERROR(VLOOKUP($B197,calc_data,F$14+1,0),0)</f>
        <v/>
      </c>
      <c r="G197" s="141">
        <f>IFERROR(VLOOKUP($B197,calc_data,G$14+1,0),0)</f>
        <v/>
      </c>
      <c r="H197" s="141">
        <f>IFERROR(VLOOKUP($B197,calc_data,H$14+1,0),0)</f>
        <v/>
      </c>
      <c r="I197" s="142">
        <f>IFERROR(VLOOKUP($B197,calc_data,I$14+1,0),0)</f>
        <v/>
      </c>
      <c r="J197" s="141">
        <f>IFERROR(VLOOKUP($B197,calc_data,J$14+1,0),0)</f>
        <v/>
      </c>
      <c r="K197" s="141">
        <f>IFERROR(VLOOKUP($B197,calc_data,K$14+1,0),0)</f>
        <v/>
      </c>
      <c r="L197" s="141">
        <f>IFERROR(VLOOKUP($B197,calc_data,L$14+1,0),0)</f>
        <v/>
      </c>
      <c r="M197" s="177">
        <f>IFERROR(VLOOKUP($B197,calc_data,M$14+1,0),0)</f>
        <v/>
      </c>
      <c r="N197" s="177">
        <f>IFERROR(VLOOKUP($B197,calc_data,N$14+1,0),0)</f>
        <v/>
      </c>
      <c r="O197" s="45" t="n"/>
      <c r="Q197" s="57">
        <f>IF(K197&gt;0,"показать","скрыть")</f>
        <v/>
      </c>
    </row>
    <row r="198" ht="15.75" customHeight="1">
      <c r="B198" s="182" t="n">
        <v>182</v>
      </c>
      <c r="C198" s="182">
        <f>IFERROR(VLOOKUP($B198,calc_data,C$14+1,0),0)</f>
        <v/>
      </c>
      <c r="D198" s="182">
        <f>IFERROR(VLOOKUP($B198,calc_data,D$14+1,0),0)</f>
        <v/>
      </c>
      <c r="E198" s="183">
        <f>IFERROR(VLOOKUP($B198,calc_data,E$14+1,0),0)</f>
        <v/>
      </c>
      <c r="F198" s="182">
        <f>IFERROR(VLOOKUP($B198,calc_data,F$14+1,0),0)</f>
        <v/>
      </c>
      <c r="G198" s="141">
        <f>IFERROR(VLOOKUP($B198,calc_data,G$14+1,0),0)</f>
        <v/>
      </c>
      <c r="H198" s="141">
        <f>IFERROR(VLOOKUP($B198,calc_data,H$14+1,0),0)</f>
        <v/>
      </c>
      <c r="I198" s="142">
        <f>IFERROR(VLOOKUP($B198,calc_data,I$14+1,0),0)</f>
        <v/>
      </c>
      <c r="J198" s="141">
        <f>IFERROR(VLOOKUP($B198,calc_data,J$14+1,0),0)</f>
        <v/>
      </c>
      <c r="K198" s="141">
        <f>IFERROR(VLOOKUP($B198,calc_data,K$14+1,0),0)</f>
        <v/>
      </c>
      <c r="L198" s="141">
        <f>IFERROR(VLOOKUP($B198,calc_data,L$14+1,0),0)</f>
        <v/>
      </c>
      <c r="M198" s="177">
        <f>IFERROR(VLOOKUP($B198,calc_data,M$14+1,0),0)</f>
        <v/>
      </c>
      <c r="N198" s="177">
        <f>IFERROR(VLOOKUP($B198,calc_data,N$14+1,0),0)</f>
        <v/>
      </c>
      <c r="O198" s="45" t="n"/>
      <c r="Q198" s="57">
        <f>IF(K198&gt;0,"показать","скрыть")</f>
        <v/>
      </c>
    </row>
    <row r="199" ht="15.75" customHeight="1">
      <c r="B199" s="182" t="n">
        <v>183</v>
      </c>
      <c r="C199" s="182">
        <f>IFERROR(VLOOKUP($B199,calc_data,C$14+1,0),0)</f>
        <v/>
      </c>
      <c r="D199" s="182">
        <f>IFERROR(VLOOKUP($B199,calc_data,D$14+1,0),0)</f>
        <v/>
      </c>
      <c r="E199" s="183">
        <f>IFERROR(VLOOKUP($B199,calc_data,E$14+1,0),0)</f>
        <v/>
      </c>
      <c r="F199" s="182">
        <f>IFERROR(VLOOKUP($B199,calc_data,F$14+1,0),0)</f>
        <v/>
      </c>
      <c r="G199" s="141">
        <f>IFERROR(VLOOKUP($B199,calc_data,G$14+1,0),0)</f>
        <v/>
      </c>
      <c r="H199" s="141">
        <f>IFERROR(VLOOKUP($B199,calc_data,H$14+1,0),0)</f>
        <v/>
      </c>
      <c r="I199" s="142">
        <f>IFERROR(VLOOKUP($B199,calc_data,I$14+1,0),0)</f>
        <v/>
      </c>
      <c r="J199" s="141">
        <f>IFERROR(VLOOKUP($B199,calc_data,J$14+1,0),0)</f>
        <v/>
      </c>
      <c r="K199" s="141">
        <f>IFERROR(VLOOKUP($B199,calc_data,K$14+1,0),0)</f>
        <v/>
      </c>
      <c r="L199" s="141">
        <f>IFERROR(VLOOKUP($B199,calc_data,L$14+1,0),0)</f>
        <v/>
      </c>
      <c r="M199" s="177">
        <f>IFERROR(VLOOKUP($B199,calc_data,M$14+1,0),0)</f>
        <v/>
      </c>
      <c r="N199" s="177">
        <f>IFERROR(VLOOKUP($B199,calc_data,N$14+1,0),0)</f>
        <v/>
      </c>
      <c r="O199" s="45" t="n"/>
      <c r="Q199" s="57">
        <f>IF(K199&gt;0,"показать","скрыть")</f>
        <v/>
      </c>
    </row>
    <row r="200" ht="15.75" customHeight="1">
      <c r="B200" s="182" t="n">
        <v>184</v>
      </c>
      <c r="C200" s="182">
        <f>IFERROR(VLOOKUP($B200,calc_data,C$14+1,0),0)</f>
        <v/>
      </c>
      <c r="D200" s="182">
        <f>IFERROR(VLOOKUP($B200,calc_data,D$14+1,0),0)</f>
        <v/>
      </c>
      <c r="E200" s="183">
        <f>IFERROR(VLOOKUP($B200,calc_data,E$14+1,0),0)</f>
        <v/>
      </c>
      <c r="F200" s="182">
        <f>IFERROR(VLOOKUP($B200,calc_data,F$14+1,0),0)</f>
        <v/>
      </c>
      <c r="G200" s="141">
        <f>IFERROR(VLOOKUP($B200,calc_data,G$14+1,0),0)</f>
        <v/>
      </c>
      <c r="H200" s="141">
        <f>IFERROR(VLOOKUP($B200,calc_data,H$14+1,0),0)</f>
        <v/>
      </c>
      <c r="I200" s="142">
        <f>IFERROR(VLOOKUP($B200,calc_data,I$14+1,0),0)</f>
        <v/>
      </c>
      <c r="J200" s="141">
        <f>IFERROR(VLOOKUP($B200,calc_data,J$14+1,0),0)</f>
        <v/>
      </c>
      <c r="K200" s="141">
        <f>IFERROR(VLOOKUP($B200,calc_data,K$14+1,0),0)</f>
        <v/>
      </c>
      <c r="L200" s="141">
        <f>IFERROR(VLOOKUP($B200,calc_data,L$14+1,0),0)</f>
        <v/>
      </c>
      <c r="M200" s="177">
        <f>IFERROR(VLOOKUP($B200,calc_data,M$14+1,0),0)</f>
        <v/>
      </c>
      <c r="N200" s="177">
        <f>IFERROR(VLOOKUP($B200,calc_data,N$14+1,0),0)</f>
        <v/>
      </c>
      <c r="O200" s="45" t="n"/>
      <c r="Q200" s="57">
        <f>IF(K200&gt;0,"показать","скрыть")</f>
        <v/>
      </c>
    </row>
    <row r="201" ht="15.75" customHeight="1">
      <c r="B201" s="182" t="n">
        <v>185</v>
      </c>
      <c r="C201" s="182">
        <f>IFERROR(VLOOKUP($B201,calc_data,C$14+1,0),0)</f>
        <v/>
      </c>
      <c r="D201" s="182">
        <f>IFERROR(VLOOKUP($B201,calc_data,D$14+1,0),0)</f>
        <v/>
      </c>
      <c r="E201" s="183">
        <f>IFERROR(VLOOKUP($B201,calc_data,E$14+1,0),0)</f>
        <v/>
      </c>
      <c r="F201" s="182">
        <f>IFERROR(VLOOKUP($B201,calc_data,F$14+1,0),0)</f>
        <v/>
      </c>
      <c r="G201" s="141">
        <f>IFERROR(VLOOKUP($B201,calc_data,G$14+1,0),0)</f>
        <v/>
      </c>
      <c r="H201" s="141">
        <f>IFERROR(VLOOKUP($B201,calc_data,H$14+1,0),0)</f>
        <v/>
      </c>
      <c r="I201" s="142">
        <f>IFERROR(VLOOKUP($B201,calc_data,I$14+1,0),0)</f>
        <v/>
      </c>
      <c r="J201" s="141">
        <f>IFERROR(VLOOKUP($B201,calc_data,J$14+1,0),0)</f>
        <v/>
      </c>
      <c r="K201" s="141">
        <f>IFERROR(VLOOKUP($B201,calc_data,K$14+1,0),0)</f>
        <v/>
      </c>
      <c r="L201" s="141">
        <f>IFERROR(VLOOKUP($B201,calc_data,L$14+1,0),0)</f>
        <v/>
      </c>
      <c r="M201" s="177">
        <f>IFERROR(VLOOKUP($B201,calc_data,M$14+1,0),0)</f>
        <v/>
      </c>
      <c r="N201" s="177">
        <f>IFERROR(VLOOKUP($B201,calc_data,N$14+1,0),0)</f>
        <v/>
      </c>
      <c r="O201" s="45" t="n"/>
      <c r="Q201" s="57">
        <f>IF(K201&gt;0,"показать","скрыть")</f>
        <v/>
      </c>
    </row>
    <row r="202" ht="15.75" customHeight="1">
      <c r="B202" s="182" t="n">
        <v>186</v>
      </c>
      <c r="C202" s="182">
        <f>IFERROR(VLOOKUP($B202,calc_data,C$14+1,0),0)</f>
        <v/>
      </c>
      <c r="D202" s="182">
        <f>IFERROR(VLOOKUP($B202,calc_data,D$14+1,0),0)</f>
        <v/>
      </c>
      <c r="E202" s="183">
        <f>IFERROR(VLOOKUP($B202,calc_data,E$14+1,0),0)</f>
        <v/>
      </c>
      <c r="F202" s="182">
        <f>IFERROR(VLOOKUP($B202,calc_data,F$14+1,0),0)</f>
        <v/>
      </c>
      <c r="G202" s="141">
        <f>IFERROR(VLOOKUP($B202,calc_data,G$14+1,0),0)</f>
        <v/>
      </c>
      <c r="H202" s="141">
        <f>IFERROR(VLOOKUP($B202,calc_data,H$14+1,0),0)</f>
        <v/>
      </c>
      <c r="I202" s="142">
        <f>IFERROR(VLOOKUP($B202,calc_data,I$14+1,0),0)</f>
        <v/>
      </c>
      <c r="J202" s="141">
        <f>IFERROR(VLOOKUP($B202,calc_data,J$14+1,0),0)</f>
        <v/>
      </c>
      <c r="K202" s="141">
        <f>IFERROR(VLOOKUP($B202,calc_data,K$14+1,0),0)</f>
        <v/>
      </c>
      <c r="L202" s="141">
        <f>IFERROR(VLOOKUP($B202,calc_data,L$14+1,0),0)</f>
        <v/>
      </c>
      <c r="M202" s="177">
        <f>IFERROR(VLOOKUP($B202,calc_data,M$14+1,0),0)</f>
        <v/>
      </c>
      <c r="N202" s="177">
        <f>IFERROR(VLOOKUP($B202,calc_data,N$14+1,0),0)</f>
        <v/>
      </c>
      <c r="O202" s="45" t="n"/>
      <c r="Q202" s="57">
        <f>IF(K202&gt;0,"показать","скрыть")</f>
        <v/>
      </c>
    </row>
    <row r="203" ht="15.75" customHeight="1">
      <c r="B203" s="182" t="n">
        <v>187</v>
      </c>
      <c r="C203" s="182">
        <f>IFERROR(VLOOKUP($B203,calc_data,C$14+1,0),0)</f>
        <v/>
      </c>
      <c r="D203" s="182">
        <f>IFERROR(VLOOKUP($B203,calc_data,D$14+1,0),0)</f>
        <v/>
      </c>
      <c r="E203" s="183">
        <f>IFERROR(VLOOKUP($B203,calc_data,E$14+1,0),0)</f>
        <v/>
      </c>
      <c r="F203" s="182">
        <f>IFERROR(VLOOKUP($B203,calc_data,F$14+1,0),0)</f>
        <v/>
      </c>
      <c r="G203" s="141">
        <f>IFERROR(VLOOKUP($B203,calc_data,G$14+1,0),0)</f>
        <v/>
      </c>
      <c r="H203" s="141">
        <f>IFERROR(VLOOKUP($B203,calc_data,H$14+1,0),0)</f>
        <v/>
      </c>
      <c r="I203" s="142">
        <f>IFERROR(VLOOKUP($B203,calc_data,I$14+1,0),0)</f>
        <v/>
      </c>
      <c r="J203" s="141">
        <f>IFERROR(VLOOKUP($B203,calc_data,J$14+1,0),0)</f>
        <v/>
      </c>
      <c r="K203" s="141">
        <f>IFERROR(VLOOKUP($B203,calc_data,K$14+1,0),0)</f>
        <v/>
      </c>
      <c r="L203" s="141">
        <f>IFERROR(VLOOKUP($B203,calc_data,L$14+1,0),0)</f>
        <v/>
      </c>
      <c r="M203" s="177">
        <f>IFERROR(VLOOKUP($B203,calc_data,M$14+1,0),0)</f>
        <v/>
      </c>
      <c r="N203" s="177">
        <f>IFERROR(VLOOKUP($B203,calc_data,N$14+1,0),0)</f>
        <v/>
      </c>
      <c r="O203" s="45" t="n"/>
      <c r="Q203" s="57">
        <f>IF(K203&gt;0,"показать","скрыть")</f>
        <v/>
      </c>
    </row>
    <row r="204" ht="15.75" customHeight="1">
      <c r="B204" s="182" t="n">
        <v>188</v>
      </c>
      <c r="C204" s="182">
        <f>IFERROR(VLOOKUP($B204,calc_data,C$14+1,0),0)</f>
        <v/>
      </c>
      <c r="D204" s="182">
        <f>IFERROR(VLOOKUP($B204,calc_data,D$14+1,0),0)</f>
        <v/>
      </c>
      <c r="E204" s="183">
        <f>IFERROR(VLOOKUP($B204,calc_data,E$14+1,0),0)</f>
        <v/>
      </c>
      <c r="F204" s="182">
        <f>IFERROR(VLOOKUP($B204,calc_data,F$14+1,0),0)</f>
        <v/>
      </c>
      <c r="G204" s="141">
        <f>IFERROR(VLOOKUP($B204,calc_data,G$14+1,0),0)</f>
        <v/>
      </c>
      <c r="H204" s="141">
        <f>IFERROR(VLOOKUP($B204,calc_data,H$14+1,0),0)</f>
        <v/>
      </c>
      <c r="I204" s="142">
        <f>IFERROR(VLOOKUP($B204,calc_data,I$14+1,0),0)</f>
        <v/>
      </c>
      <c r="J204" s="141">
        <f>IFERROR(VLOOKUP($B204,calc_data,J$14+1,0),0)</f>
        <v/>
      </c>
      <c r="K204" s="141">
        <f>IFERROR(VLOOKUP($B204,calc_data,K$14+1,0),0)</f>
        <v/>
      </c>
      <c r="L204" s="141">
        <f>IFERROR(VLOOKUP($B204,calc_data,L$14+1,0),0)</f>
        <v/>
      </c>
      <c r="M204" s="177">
        <f>IFERROR(VLOOKUP($B204,calc_data,M$14+1,0),0)</f>
        <v/>
      </c>
      <c r="N204" s="177">
        <f>IFERROR(VLOOKUP($B204,calc_data,N$14+1,0),0)</f>
        <v/>
      </c>
      <c r="O204" s="45" t="n"/>
      <c r="Q204" s="57">
        <f>IF(K204&gt;0,"показать","скрыть")</f>
        <v/>
      </c>
    </row>
    <row r="205" ht="15.75" customHeight="1">
      <c r="B205" s="182" t="n">
        <v>189</v>
      </c>
      <c r="C205" s="182">
        <f>IFERROR(VLOOKUP($B205,calc_data,C$14+1,0),0)</f>
        <v/>
      </c>
      <c r="D205" s="182">
        <f>IFERROR(VLOOKUP($B205,calc_data,D$14+1,0),0)</f>
        <v/>
      </c>
      <c r="E205" s="183">
        <f>IFERROR(VLOOKUP($B205,calc_data,E$14+1,0),0)</f>
        <v/>
      </c>
      <c r="F205" s="182">
        <f>IFERROR(VLOOKUP($B205,calc_data,F$14+1,0),0)</f>
        <v/>
      </c>
      <c r="G205" s="141">
        <f>IFERROR(VLOOKUP($B205,calc_data,G$14+1,0),0)</f>
        <v/>
      </c>
      <c r="H205" s="141">
        <f>IFERROR(VLOOKUP($B205,calc_data,H$14+1,0),0)</f>
        <v/>
      </c>
      <c r="I205" s="142">
        <f>IFERROR(VLOOKUP($B205,calc_data,I$14+1,0),0)</f>
        <v/>
      </c>
      <c r="J205" s="141">
        <f>IFERROR(VLOOKUP($B205,calc_data,J$14+1,0),0)</f>
        <v/>
      </c>
      <c r="K205" s="141">
        <f>IFERROR(VLOOKUP($B205,calc_data,K$14+1,0),0)</f>
        <v/>
      </c>
      <c r="L205" s="141">
        <f>IFERROR(VLOOKUP($B205,calc_data,L$14+1,0),0)</f>
        <v/>
      </c>
      <c r="M205" s="177">
        <f>IFERROR(VLOOKUP($B205,calc_data,M$14+1,0),0)</f>
        <v/>
      </c>
      <c r="N205" s="177">
        <f>IFERROR(VLOOKUP($B205,calc_data,N$14+1,0),0)</f>
        <v/>
      </c>
      <c r="O205" s="45" t="n"/>
      <c r="Q205" s="57">
        <f>IF(K205&gt;0,"показать","скрыть")</f>
        <v/>
      </c>
    </row>
    <row r="206" ht="15.75" customHeight="1">
      <c r="B206" s="182" t="n">
        <v>190</v>
      </c>
      <c r="C206" s="182">
        <f>IFERROR(VLOOKUP($B206,calc_data,C$14+1,0),0)</f>
        <v/>
      </c>
      <c r="D206" s="182">
        <f>IFERROR(VLOOKUP($B206,calc_data,D$14+1,0),0)</f>
        <v/>
      </c>
      <c r="E206" s="183">
        <f>IFERROR(VLOOKUP($B206,calc_data,E$14+1,0),0)</f>
        <v/>
      </c>
      <c r="F206" s="182">
        <f>IFERROR(VLOOKUP($B206,calc_data,F$14+1,0),0)</f>
        <v/>
      </c>
      <c r="G206" s="141">
        <f>IFERROR(VLOOKUP($B206,calc_data,G$14+1,0),0)</f>
        <v/>
      </c>
      <c r="H206" s="141">
        <f>IFERROR(VLOOKUP($B206,calc_data,H$14+1,0),0)</f>
        <v/>
      </c>
      <c r="I206" s="142">
        <f>IFERROR(VLOOKUP($B206,calc_data,I$14+1,0),0)</f>
        <v/>
      </c>
      <c r="J206" s="141">
        <f>IFERROR(VLOOKUP($B206,calc_data,J$14+1,0),0)</f>
        <v/>
      </c>
      <c r="K206" s="141">
        <f>IFERROR(VLOOKUP($B206,calc_data,K$14+1,0),0)</f>
        <v/>
      </c>
      <c r="L206" s="141">
        <f>IFERROR(VLOOKUP($B206,calc_data,L$14+1,0),0)</f>
        <v/>
      </c>
      <c r="M206" s="177">
        <f>IFERROR(VLOOKUP($B206,calc_data,M$14+1,0),0)</f>
        <v/>
      </c>
      <c r="N206" s="177">
        <f>IFERROR(VLOOKUP($B206,calc_data,N$14+1,0),0)</f>
        <v/>
      </c>
      <c r="O206" s="45" t="n"/>
      <c r="Q206" s="57">
        <f>IF(K206&gt;0,"показать","скрыть")</f>
        <v/>
      </c>
    </row>
    <row r="207" ht="15.75" customHeight="1">
      <c r="B207" s="182" t="n">
        <v>191</v>
      </c>
      <c r="C207" s="182">
        <f>IFERROR(VLOOKUP($B207,calc_data,C$14+1,0),0)</f>
        <v/>
      </c>
      <c r="D207" s="182">
        <f>IFERROR(VLOOKUP($B207,calc_data,D$14+1,0),0)</f>
        <v/>
      </c>
      <c r="E207" s="183">
        <f>IFERROR(VLOOKUP($B207,calc_data,E$14+1,0),0)</f>
        <v/>
      </c>
      <c r="F207" s="182">
        <f>IFERROR(VLOOKUP($B207,calc_data,F$14+1,0),0)</f>
        <v/>
      </c>
      <c r="G207" s="141">
        <f>IFERROR(VLOOKUP($B207,calc_data,G$14+1,0),0)</f>
        <v/>
      </c>
      <c r="H207" s="141">
        <f>IFERROR(VLOOKUP($B207,calc_data,H$14+1,0),0)</f>
        <v/>
      </c>
      <c r="I207" s="142">
        <f>IFERROR(VLOOKUP($B207,calc_data,I$14+1,0),0)</f>
        <v/>
      </c>
      <c r="J207" s="141">
        <f>IFERROR(VLOOKUP($B207,calc_data,J$14+1,0),0)</f>
        <v/>
      </c>
      <c r="K207" s="141">
        <f>IFERROR(VLOOKUP($B207,calc_data,K$14+1,0),0)</f>
        <v/>
      </c>
      <c r="L207" s="141">
        <f>IFERROR(VLOOKUP($B207,calc_data,L$14+1,0),0)</f>
        <v/>
      </c>
      <c r="M207" s="177">
        <f>IFERROR(VLOOKUP($B207,calc_data,M$14+1,0),0)</f>
        <v/>
      </c>
      <c r="N207" s="177">
        <f>IFERROR(VLOOKUP($B207,calc_data,N$14+1,0),0)</f>
        <v/>
      </c>
      <c r="O207" s="45" t="n"/>
      <c r="Q207" s="57">
        <f>IF(K207&gt;0,"показать","скрыть")</f>
        <v/>
      </c>
    </row>
    <row r="208" ht="15.75" customHeight="1">
      <c r="B208" s="182" t="n">
        <v>192</v>
      </c>
      <c r="C208" s="182">
        <f>IFERROR(VLOOKUP($B208,calc_data,C$14+1,0),0)</f>
        <v/>
      </c>
      <c r="D208" s="182">
        <f>IFERROR(VLOOKUP($B208,calc_data,D$14+1,0),0)</f>
        <v/>
      </c>
      <c r="E208" s="183">
        <f>IFERROR(VLOOKUP($B208,calc_data,E$14+1,0),0)</f>
        <v/>
      </c>
      <c r="F208" s="182">
        <f>IFERROR(VLOOKUP($B208,calc_data,F$14+1,0),0)</f>
        <v/>
      </c>
      <c r="G208" s="141">
        <f>IFERROR(VLOOKUP($B208,calc_data,G$14+1,0),0)</f>
        <v/>
      </c>
      <c r="H208" s="141">
        <f>IFERROR(VLOOKUP($B208,calc_data,H$14+1,0),0)</f>
        <v/>
      </c>
      <c r="I208" s="142">
        <f>IFERROR(VLOOKUP($B208,calc_data,I$14+1,0),0)</f>
        <v/>
      </c>
      <c r="J208" s="141">
        <f>IFERROR(VLOOKUP($B208,calc_data,J$14+1,0),0)</f>
        <v/>
      </c>
      <c r="K208" s="141">
        <f>IFERROR(VLOOKUP($B208,calc_data,K$14+1,0),0)</f>
        <v/>
      </c>
      <c r="L208" s="141">
        <f>IFERROR(VLOOKUP($B208,calc_data,L$14+1,0),0)</f>
        <v/>
      </c>
      <c r="M208" s="177">
        <f>IFERROR(VLOOKUP($B208,calc_data,M$14+1,0),0)</f>
        <v/>
      </c>
      <c r="N208" s="177">
        <f>IFERROR(VLOOKUP($B208,calc_data,N$14+1,0),0)</f>
        <v/>
      </c>
      <c r="O208" s="45" t="n"/>
      <c r="Q208" s="57">
        <f>IF(K208&gt;0,"показать","скрыть")</f>
        <v/>
      </c>
    </row>
    <row r="209" ht="15.75" customHeight="1">
      <c r="B209" s="182" t="n">
        <v>193</v>
      </c>
      <c r="C209" s="182">
        <f>IFERROR(VLOOKUP($B209,calc_data,C$14+1,0),0)</f>
        <v/>
      </c>
      <c r="D209" s="182">
        <f>IFERROR(VLOOKUP($B209,calc_data,D$14+1,0),0)</f>
        <v/>
      </c>
      <c r="E209" s="183">
        <f>IFERROR(VLOOKUP($B209,calc_data,E$14+1,0),0)</f>
        <v/>
      </c>
      <c r="F209" s="182">
        <f>IFERROR(VLOOKUP($B209,calc_data,F$14+1,0),0)</f>
        <v/>
      </c>
      <c r="G209" s="141">
        <f>IFERROR(VLOOKUP($B209,calc_data,G$14+1,0),0)</f>
        <v/>
      </c>
      <c r="H209" s="141">
        <f>IFERROR(VLOOKUP($B209,calc_data,H$14+1,0),0)</f>
        <v/>
      </c>
      <c r="I209" s="142">
        <f>IFERROR(VLOOKUP($B209,calc_data,I$14+1,0),0)</f>
        <v/>
      </c>
      <c r="J209" s="141">
        <f>IFERROR(VLOOKUP($B209,calc_data,J$14+1,0),0)</f>
        <v/>
      </c>
      <c r="K209" s="141">
        <f>IFERROR(VLOOKUP($B209,calc_data,K$14+1,0),0)</f>
        <v/>
      </c>
      <c r="L209" s="141">
        <f>IFERROR(VLOOKUP($B209,calc_data,L$14+1,0),0)</f>
        <v/>
      </c>
      <c r="M209" s="177">
        <f>IFERROR(VLOOKUP($B209,calc_data,M$14+1,0),0)</f>
        <v/>
      </c>
      <c r="N209" s="177">
        <f>IFERROR(VLOOKUP($B209,calc_data,N$14+1,0),0)</f>
        <v/>
      </c>
      <c r="O209" s="45" t="n"/>
      <c r="Q209" s="57">
        <f>IF(K209&gt;0,"показать","скрыть")</f>
        <v/>
      </c>
    </row>
    <row r="210" ht="15.75" customHeight="1">
      <c r="B210" s="182" t="n">
        <v>194</v>
      </c>
      <c r="C210" s="182">
        <f>IFERROR(VLOOKUP($B210,calc_data,C$14+1,0),0)</f>
        <v/>
      </c>
      <c r="D210" s="182">
        <f>IFERROR(VLOOKUP($B210,calc_data,D$14+1,0),0)</f>
        <v/>
      </c>
      <c r="E210" s="183">
        <f>IFERROR(VLOOKUP($B210,calc_data,E$14+1,0),0)</f>
        <v/>
      </c>
      <c r="F210" s="182">
        <f>IFERROR(VLOOKUP($B210,calc_data,F$14+1,0),0)</f>
        <v/>
      </c>
      <c r="G210" s="141">
        <f>IFERROR(VLOOKUP($B210,calc_data,G$14+1,0),0)</f>
        <v/>
      </c>
      <c r="H210" s="141">
        <f>IFERROR(VLOOKUP($B210,calc_data,H$14+1,0),0)</f>
        <v/>
      </c>
      <c r="I210" s="142">
        <f>IFERROR(VLOOKUP($B210,calc_data,I$14+1,0),0)</f>
        <v/>
      </c>
      <c r="J210" s="141">
        <f>IFERROR(VLOOKUP($B210,calc_data,J$14+1,0),0)</f>
        <v/>
      </c>
      <c r="K210" s="141">
        <f>IFERROR(VLOOKUP($B210,calc_data,K$14+1,0),0)</f>
        <v/>
      </c>
      <c r="L210" s="141">
        <f>IFERROR(VLOOKUP($B210,calc_data,L$14+1,0),0)</f>
        <v/>
      </c>
      <c r="M210" s="177">
        <f>IFERROR(VLOOKUP($B210,calc_data,M$14+1,0),0)</f>
        <v/>
      </c>
      <c r="N210" s="177">
        <f>IFERROR(VLOOKUP($B210,calc_data,N$14+1,0),0)</f>
        <v/>
      </c>
      <c r="O210" s="45" t="n"/>
      <c r="Q210" s="57">
        <f>IF(K210&gt;0,"показать","скрыть")</f>
        <v/>
      </c>
    </row>
    <row r="211" ht="15.75" customHeight="1">
      <c r="B211" s="182" t="n">
        <v>195</v>
      </c>
      <c r="C211" s="182">
        <f>IFERROR(VLOOKUP($B211,calc_data,C$14+1,0),0)</f>
        <v/>
      </c>
      <c r="D211" s="182">
        <f>IFERROR(VLOOKUP($B211,calc_data,D$14+1,0),0)</f>
        <v/>
      </c>
      <c r="E211" s="183">
        <f>IFERROR(VLOOKUP($B211,calc_data,E$14+1,0),0)</f>
        <v/>
      </c>
      <c r="F211" s="182">
        <f>IFERROR(VLOOKUP($B211,calc_data,F$14+1,0),0)</f>
        <v/>
      </c>
      <c r="G211" s="141">
        <f>IFERROR(VLOOKUP($B211,calc_data,G$14+1,0),0)</f>
        <v/>
      </c>
      <c r="H211" s="141">
        <f>IFERROR(VLOOKUP($B211,calc_data,H$14+1,0),0)</f>
        <v/>
      </c>
      <c r="I211" s="142">
        <f>IFERROR(VLOOKUP($B211,calc_data,I$14+1,0),0)</f>
        <v/>
      </c>
      <c r="J211" s="141">
        <f>IFERROR(VLOOKUP($B211,calc_data,J$14+1,0),0)</f>
        <v/>
      </c>
      <c r="K211" s="141">
        <f>IFERROR(VLOOKUP($B211,calc_data,K$14+1,0),0)</f>
        <v/>
      </c>
      <c r="L211" s="141">
        <f>IFERROR(VLOOKUP($B211,calc_data,L$14+1,0),0)</f>
        <v/>
      </c>
      <c r="M211" s="177">
        <f>IFERROR(VLOOKUP($B211,calc_data,M$14+1,0),0)</f>
        <v/>
      </c>
      <c r="N211" s="177">
        <f>IFERROR(VLOOKUP($B211,calc_data,N$14+1,0),0)</f>
        <v/>
      </c>
      <c r="O211" s="45" t="n"/>
      <c r="Q211" s="57">
        <f>IF(K211&gt;0,"показать","скрыть")</f>
        <v/>
      </c>
    </row>
    <row r="212" ht="15.75" customHeight="1">
      <c r="B212" s="182" t="n">
        <v>196</v>
      </c>
      <c r="C212" s="182">
        <f>IFERROR(VLOOKUP($B212,calc_data,C$14+1,0),0)</f>
        <v/>
      </c>
      <c r="D212" s="182">
        <f>IFERROR(VLOOKUP($B212,calc_data,D$14+1,0),0)</f>
        <v/>
      </c>
      <c r="E212" s="183">
        <f>IFERROR(VLOOKUP($B212,calc_data,E$14+1,0),0)</f>
        <v/>
      </c>
      <c r="F212" s="182">
        <f>IFERROR(VLOOKUP($B212,calc_data,F$14+1,0),0)</f>
        <v/>
      </c>
      <c r="G212" s="141">
        <f>IFERROR(VLOOKUP($B212,calc_data,G$14+1,0),0)</f>
        <v/>
      </c>
      <c r="H212" s="141">
        <f>IFERROR(VLOOKUP($B212,calc_data,H$14+1,0),0)</f>
        <v/>
      </c>
      <c r="I212" s="142">
        <f>IFERROR(VLOOKUP($B212,calc_data,I$14+1,0),0)</f>
        <v/>
      </c>
      <c r="J212" s="141">
        <f>IFERROR(VLOOKUP($B212,calc_data,J$14+1,0),0)</f>
        <v/>
      </c>
      <c r="K212" s="141">
        <f>IFERROR(VLOOKUP($B212,calc_data,K$14+1,0),0)</f>
        <v/>
      </c>
      <c r="L212" s="141">
        <f>IFERROR(VLOOKUP($B212,calc_data,L$14+1,0),0)</f>
        <v/>
      </c>
      <c r="M212" s="177">
        <f>IFERROR(VLOOKUP($B212,calc_data,M$14+1,0),0)</f>
        <v/>
      </c>
      <c r="N212" s="177">
        <f>IFERROR(VLOOKUP($B212,calc_data,N$14+1,0),0)</f>
        <v/>
      </c>
      <c r="O212" s="45" t="n"/>
      <c r="Q212" s="57">
        <f>IF(K212&gt;0,"показать","скрыть")</f>
        <v/>
      </c>
    </row>
    <row r="213" ht="15.75" customHeight="1">
      <c r="B213" s="182" t="n">
        <v>197</v>
      </c>
      <c r="C213" s="182">
        <f>IFERROR(VLOOKUP($B213,calc_data,C$14+1,0),0)</f>
        <v/>
      </c>
      <c r="D213" s="182">
        <f>IFERROR(VLOOKUP($B213,calc_data,D$14+1,0),0)</f>
        <v/>
      </c>
      <c r="E213" s="183">
        <f>IFERROR(VLOOKUP($B213,calc_data,E$14+1,0),0)</f>
        <v/>
      </c>
      <c r="F213" s="182">
        <f>IFERROR(VLOOKUP($B213,calc_data,F$14+1,0),0)</f>
        <v/>
      </c>
      <c r="G213" s="141">
        <f>IFERROR(VLOOKUP($B213,calc_data,G$14+1,0),0)</f>
        <v/>
      </c>
      <c r="H213" s="141">
        <f>IFERROR(VLOOKUP($B213,calc_data,H$14+1,0),0)</f>
        <v/>
      </c>
      <c r="I213" s="142">
        <f>IFERROR(VLOOKUP($B213,calc_data,I$14+1,0),0)</f>
        <v/>
      </c>
      <c r="J213" s="141">
        <f>IFERROR(VLOOKUP($B213,calc_data,J$14+1,0),0)</f>
        <v/>
      </c>
      <c r="K213" s="141">
        <f>IFERROR(VLOOKUP($B213,calc_data,K$14+1,0),0)</f>
        <v/>
      </c>
      <c r="L213" s="141">
        <f>IFERROR(VLOOKUP($B213,calc_data,L$14+1,0),0)</f>
        <v/>
      </c>
      <c r="M213" s="177">
        <f>IFERROR(VLOOKUP($B213,calc_data,M$14+1,0),0)</f>
        <v/>
      </c>
      <c r="N213" s="177">
        <f>IFERROR(VLOOKUP($B213,calc_data,N$14+1,0),0)</f>
        <v/>
      </c>
      <c r="O213" s="45" t="n"/>
      <c r="Q213" s="57">
        <f>IF(K213&gt;0,"показать","скрыть")</f>
        <v/>
      </c>
    </row>
    <row r="214" ht="15.75" customHeight="1">
      <c r="B214" s="182" t="n">
        <v>198</v>
      </c>
      <c r="C214" s="182">
        <f>IFERROR(VLOOKUP($B214,calc_data,C$14+1,0),0)</f>
        <v/>
      </c>
      <c r="D214" s="182">
        <f>IFERROR(VLOOKUP($B214,calc_data,D$14+1,0),0)</f>
        <v/>
      </c>
      <c r="E214" s="183">
        <f>IFERROR(VLOOKUP($B214,calc_data,E$14+1,0),0)</f>
        <v/>
      </c>
      <c r="F214" s="182">
        <f>IFERROR(VLOOKUP($B214,calc_data,F$14+1,0),0)</f>
        <v/>
      </c>
      <c r="G214" s="141">
        <f>IFERROR(VLOOKUP($B214,calc_data,G$14+1,0),0)</f>
        <v/>
      </c>
      <c r="H214" s="141">
        <f>IFERROR(VLOOKUP($B214,calc_data,H$14+1,0),0)</f>
        <v/>
      </c>
      <c r="I214" s="142">
        <f>IFERROR(VLOOKUP($B214,calc_data,I$14+1,0),0)</f>
        <v/>
      </c>
      <c r="J214" s="141">
        <f>IFERROR(VLOOKUP($B214,calc_data,J$14+1,0),0)</f>
        <v/>
      </c>
      <c r="K214" s="141">
        <f>IFERROR(VLOOKUP($B214,calc_data,K$14+1,0),0)</f>
        <v/>
      </c>
      <c r="L214" s="141">
        <f>IFERROR(VLOOKUP($B214,calc_data,L$14+1,0),0)</f>
        <v/>
      </c>
      <c r="M214" s="177">
        <f>IFERROR(VLOOKUP($B214,calc_data,M$14+1,0),0)</f>
        <v/>
      </c>
      <c r="N214" s="177">
        <f>IFERROR(VLOOKUP($B214,calc_data,N$14+1,0),0)</f>
        <v/>
      </c>
      <c r="O214" s="45" t="n"/>
      <c r="Q214" s="57">
        <f>IF(K214&gt;0,"показать","скрыть")</f>
        <v/>
      </c>
    </row>
    <row r="215" ht="15.75" customHeight="1">
      <c r="B215" s="182" t="n">
        <v>199</v>
      </c>
      <c r="C215" s="182">
        <f>IFERROR(VLOOKUP($B215,calc_data,C$14+1,0),0)</f>
        <v/>
      </c>
      <c r="D215" s="182">
        <f>IFERROR(VLOOKUP($B215,calc_data,D$14+1,0),0)</f>
        <v/>
      </c>
      <c r="E215" s="183">
        <f>IFERROR(VLOOKUP($B215,calc_data,E$14+1,0),0)</f>
        <v/>
      </c>
      <c r="F215" s="182">
        <f>IFERROR(VLOOKUP($B215,calc_data,F$14+1,0),0)</f>
        <v/>
      </c>
      <c r="G215" s="141">
        <f>IFERROR(VLOOKUP($B215,calc_data,G$14+1,0),0)</f>
        <v/>
      </c>
      <c r="H215" s="141">
        <f>IFERROR(VLOOKUP($B215,calc_data,H$14+1,0),0)</f>
        <v/>
      </c>
      <c r="I215" s="142">
        <f>IFERROR(VLOOKUP($B215,calc_data,I$14+1,0),0)</f>
        <v/>
      </c>
      <c r="J215" s="141">
        <f>IFERROR(VLOOKUP($B215,calc_data,J$14+1,0),0)</f>
        <v/>
      </c>
      <c r="K215" s="141">
        <f>IFERROR(VLOOKUP($B215,calc_data,K$14+1,0),0)</f>
        <v/>
      </c>
      <c r="L215" s="141">
        <f>IFERROR(VLOOKUP($B215,calc_data,L$14+1,0),0)</f>
        <v/>
      </c>
      <c r="M215" s="177">
        <f>IFERROR(VLOOKUP($B215,calc_data,M$14+1,0),0)</f>
        <v/>
      </c>
      <c r="N215" s="177">
        <f>IFERROR(VLOOKUP($B215,calc_data,N$14+1,0),0)</f>
        <v/>
      </c>
      <c r="O215" s="45" t="n"/>
      <c r="Q215" s="57">
        <f>IF(K215&gt;0,"показать","скрыть")</f>
        <v/>
      </c>
    </row>
    <row r="216" ht="15.75" customHeight="1">
      <c r="B216" s="182" t="n">
        <v>200</v>
      </c>
      <c r="C216" s="182">
        <f>IFERROR(VLOOKUP($B216,calc_data,C$14+1,0),0)</f>
        <v/>
      </c>
      <c r="D216" s="182">
        <f>IFERROR(VLOOKUP($B216,calc_data,D$14+1,0),0)</f>
        <v/>
      </c>
      <c r="E216" s="183">
        <f>IFERROR(VLOOKUP($B216,calc_data,E$14+1,0),0)</f>
        <v/>
      </c>
      <c r="F216" s="182">
        <f>IFERROR(VLOOKUP($B216,calc_data,F$14+1,0),0)</f>
        <v/>
      </c>
      <c r="G216" s="141">
        <f>IFERROR(VLOOKUP($B216,calc_data,G$14+1,0),0)</f>
        <v/>
      </c>
      <c r="H216" s="141">
        <f>IFERROR(VLOOKUP($B216,calc_data,H$14+1,0),0)</f>
        <v/>
      </c>
      <c r="I216" s="142">
        <f>IFERROR(VLOOKUP($B216,calc_data,I$14+1,0),0)</f>
        <v/>
      </c>
      <c r="J216" s="141">
        <f>IFERROR(VLOOKUP($B216,calc_data,J$14+1,0),0)</f>
        <v/>
      </c>
      <c r="K216" s="141">
        <f>IFERROR(VLOOKUP($B216,calc_data,K$14+1,0),0)</f>
        <v/>
      </c>
      <c r="L216" s="141">
        <f>IFERROR(VLOOKUP($B216,calc_data,L$14+1,0),0)</f>
        <v/>
      </c>
      <c r="M216" s="177">
        <f>IFERROR(VLOOKUP($B216,calc_data,M$14+1,0),0)</f>
        <v/>
      </c>
      <c r="N216" s="177">
        <f>IFERROR(VLOOKUP($B216,calc_data,N$14+1,0),0)</f>
        <v/>
      </c>
      <c r="O216" s="45" t="n"/>
      <c r="Q216" s="57">
        <f>IF(K216&gt;0,"показать","скрыть")</f>
        <v/>
      </c>
    </row>
    <row r="217" ht="15.75" customHeight="1">
      <c r="B217" s="182" t="n">
        <v>201</v>
      </c>
      <c r="C217" s="182">
        <f>IFERROR(VLOOKUP($B217,calc_data,C$14+1,0),0)</f>
        <v/>
      </c>
      <c r="D217" s="182">
        <f>IFERROR(VLOOKUP($B217,calc_data,D$14+1,0),0)</f>
        <v/>
      </c>
      <c r="E217" s="183">
        <f>IFERROR(VLOOKUP($B217,calc_data,E$14+1,0),0)</f>
        <v/>
      </c>
      <c r="F217" s="182">
        <f>IFERROR(VLOOKUP($B217,calc_data,F$14+1,0),0)</f>
        <v/>
      </c>
      <c r="G217" s="141">
        <f>IFERROR(VLOOKUP($B217,calc_data,G$14+1,0),0)</f>
        <v/>
      </c>
      <c r="H217" s="141">
        <f>IFERROR(VLOOKUP($B217,calc_data,H$14+1,0),0)</f>
        <v/>
      </c>
      <c r="I217" s="142">
        <f>IFERROR(VLOOKUP($B217,calc_data,I$14+1,0),0)</f>
        <v/>
      </c>
      <c r="J217" s="141">
        <f>IFERROR(VLOOKUP($B217,calc_data,J$14+1,0),0)</f>
        <v/>
      </c>
      <c r="K217" s="141">
        <f>IFERROR(VLOOKUP($B217,calc_data,K$14+1,0),0)</f>
        <v/>
      </c>
      <c r="L217" s="141">
        <f>IFERROR(VLOOKUP($B217,calc_data,L$14+1,0),0)</f>
        <v/>
      </c>
      <c r="M217" s="177">
        <f>IFERROR(VLOOKUP($B217,calc_data,M$14+1,0),0)</f>
        <v/>
      </c>
      <c r="N217" s="177">
        <f>IFERROR(VLOOKUP($B217,calc_data,N$14+1,0),0)</f>
        <v/>
      </c>
      <c r="O217" s="45" t="n"/>
      <c r="Q217" s="57">
        <f>IF(K217&gt;0,"показать","скрыть")</f>
        <v/>
      </c>
    </row>
    <row r="218" ht="15.75" customHeight="1">
      <c r="B218" s="182" t="n">
        <v>202</v>
      </c>
      <c r="C218" s="182">
        <f>IFERROR(VLOOKUP($B218,calc_data,C$14+1,0),0)</f>
        <v/>
      </c>
      <c r="D218" s="182">
        <f>IFERROR(VLOOKUP($B218,calc_data,D$14+1,0),0)</f>
        <v/>
      </c>
      <c r="E218" s="183">
        <f>IFERROR(VLOOKUP($B218,calc_data,E$14+1,0),0)</f>
        <v/>
      </c>
      <c r="F218" s="182">
        <f>IFERROR(VLOOKUP($B218,calc_data,F$14+1,0),0)</f>
        <v/>
      </c>
      <c r="G218" s="141">
        <f>IFERROR(VLOOKUP($B218,calc_data,G$14+1,0),0)</f>
        <v/>
      </c>
      <c r="H218" s="141">
        <f>IFERROR(VLOOKUP($B218,calc_data,H$14+1,0),0)</f>
        <v/>
      </c>
      <c r="I218" s="142">
        <f>IFERROR(VLOOKUP($B218,calc_data,I$14+1,0),0)</f>
        <v/>
      </c>
      <c r="J218" s="141">
        <f>IFERROR(VLOOKUP($B218,calc_data,J$14+1,0),0)</f>
        <v/>
      </c>
      <c r="K218" s="141">
        <f>IFERROR(VLOOKUP($B218,calc_data,K$14+1,0),0)</f>
        <v/>
      </c>
      <c r="L218" s="141">
        <f>IFERROR(VLOOKUP($B218,calc_data,L$14+1,0),0)</f>
        <v/>
      </c>
      <c r="M218" s="177">
        <f>IFERROR(VLOOKUP($B218,calc_data,M$14+1,0),0)</f>
        <v/>
      </c>
      <c r="N218" s="177">
        <f>IFERROR(VLOOKUP($B218,calc_data,N$14+1,0),0)</f>
        <v/>
      </c>
      <c r="O218" s="45" t="n"/>
      <c r="Q218" s="57">
        <f>IF(K218&gt;0,"показать","скрыть")</f>
        <v/>
      </c>
    </row>
    <row r="219" ht="15.75" customHeight="1">
      <c r="B219" s="182" t="n">
        <v>203</v>
      </c>
      <c r="C219" s="182">
        <f>IFERROR(VLOOKUP($B219,calc_data,C$14+1,0),0)</f>
        <v/>
      </c>
      <c r="D219" s="182">
        <f>IFERROR(VLOOKUP($B219,calc_data,D$14+1,0),0)</f>
        <v/>
      </c>
      <c r="E219" s="183">
        <f>IFERROR(VLOOKUP($B219,calc_data,E$14+1,0),0)</f>
        <v/>
      </c>
      <c r="F219" s="182">
        <f>IFERROR(VLOOKUP($B219,calc_data,F$14+1,0),0)</f>
        <v/>
      </c>
      <c r="G219" s="141">
        <f>IFERROR(VLOOKUP($B219,calc_data,G$14+1,0),0)</f>
        <v/>
      </c>
      <c r="H219" s="141">
        <f>IFERROR(VLOOKUP($B219,calc_data,H$14+1,0),0)</f>
        <v/>
      </c>
      <c r="I219" s="142">
        <f>IFERROR(VLOOKUP($B219,calc_data,I$14+1,0),0)</f>
        <v/>
      </c>
      <c r="J219" s="141">
        <f>IFERROR(VLOOKUP($B219,calc_data,J$14+1,0),0)</f>
        <v/>
      </c>
      <c r="K219" s="141">
        <f>IFERROR(VLOOKUP($B219,calc_data,K$14+1,0),0)</f>
        <v/>
      </c>
      <c r="L219" s="141">
        <f>IFERROR(VLOOKUP($B219,calc_data,L$14+1,0),0)</f>
        <v/>
      </c>
      <c r="M219" s="177">
        <f>IFERROR(VLOOKUP($B219,calc_data,M$14+1,0),0)</f>
        <v/>
      </c>
      <c r="N219" s="177">
        <f>IFERROR(VLOOKUP($B219,calc_data,N$14+1,0),0)</f>
        <v/>
      </c>
      <c r="O219" s="45" t="n"/>
      <c r="Q219" s="57">
        <f>IF(K219&gt;0,"показать","скрыть")</f>
        <v/>
      </c>
    </row>
    <row r="220" ht="15.75" customHeight="1">
      <c r="B220" s="182" t="n">
        <v>204</v>
      </c>
      <c r="C220" s="182">
        <f>IFERROR(VLOOKUP($B220,calc_data,C$14+1,0),0)</f>
        <v/>
      </c>
      <c r="D220" s="182">
        <f>IFERROR(VLOOKUP($B220,calc_data,D$14+1,0),0)</f>
        <v/>
      </c>
      <c r="E220" s="183">
        <f>IFERROR(VLOOKUP($B220,calc_data,E$14+1,0),0)</f>
        <v/>
      </c>
      <c r="F220" s="182">
        <f>IFERROR(VLOOKUP($B220,calc_data,F$14+1,0),0)</f>
        <v/>
      </c>
      <c r="G220" s="141">
        <f>IFERROR(VLOOKUP($B220,calc_data,G$14+1,0),0)</f>
        <v/>
      </c>
      <c r="H220" s="141">
        <f>IFERROR(VLOOKUP($B220,calc_data,H$14+1,0),0)</f>
        <v/>
      </c>
      <c r="I220" s="142">
        <f>IFERROR(VLOOKUP($B220,calc_data,I$14+1,0),0)</f>
        <v/>
      </c>
      <c r="J220" s="141">
        <f>IFERROR(VLOOKUP($B220,calc_data,J$14+1,0),0)</f>
        <v/>
      </c>
      <c r="K220" s="141">
        <f>IFERROR(VLOOKUP($B220,calc_data,K$14+1,0),0)</f>
        <v/>
      </c>
      <c r="L220" s="141">
        <f>IFERROR(VLOOKUP($B220,calc_data,L$14+1,0),0)</f>
        <v/>
      </c>
      <c r="M220" s="177">
        <f>IFERROR(VLOOKUP($B220,calc_data,M$14+1,0),0)</f>
        <v/>
      </c>
      <c r="N220" s="177">
        <f>IFERROR(VLOOKUP($B220,calc_data,N$14+1,0),0)</f>
        <v/>
      </c>
      <c r="O220" s="45" t="n"/>
      <c r="Q220" s="57">
        <f>IF(K220&gt;0,"показать","скрыть")</f>
        <v/>
      </c>
    </row>
    <row r="221" ht="15.75" customHeight="1">
      <c r="B221" s="182" t="n">
        <v>205</v>
      </c>
      <c r="C221" s="182">
        <f>IFERROR(VLOOKUP($B221,calc_data,C$14+1,0),0)</f>
        <v/>
      </c>
      <c r="D221" s="182">
        <f>IFERROR(VLOOKUP($B221,calc_data,D$14+1,0),0)</f>
        <v/>
      </c>
      <c r="E221" s="183">
        <f>IFERROR(VLOOKUP($B221,calc_data,E$14+1,0),0)</f>
        <v/>
      </c>
      <c r="F221" s="182">
        <f>IFERROR(VLOOKUP($B221,calc_data,F$14+1,0),0)</f>
        <v/>
      </c>
      <c r="G221" s="141">
        <f>IFERROR(VLOOKUP($B221,calc_data,G$14+1,0),0)</f>
        <v/>
      </c>
      <c r="H221" s="141">
        <f>IFERROR(VLOOKUP($B221,calc_data,H$14+1,0),0)</f>
        <v/>
      </c>
      <c r="I221" s="142">
        <f>IFERROR(VLOOKUP($B221,calc_data,I$14+1,0),0)</f>
        <v/>
      </c>
      <c r="J221" s="141">
        <f>IFERROR(VLOOKUP($B221,calc_data,J$14+1,0),0)</f>
        <v/>
      </c>
      <c r="K221" s="141">
        <f>IFERROR(VLOOKUP($B221,calc_data,K$14+1,0),0)</f>
        <v/>
      </c>
      <c r="L221" s="141">
        <f>IFERROR(VLOOKUP($B221,calc_data,L$14+1,0),0)</f>
        <v/>
      </c>
      <c r="M221" s="177">
        <f>IFERROR(VLOOKUP($B221,calc_data,M$14+1,0),0)</f>
        <v/>
      </c>
      <c r="N221" s="177">
        <f>IFERROR(VLOOKUP($B221,calc_data,N$14+1,0),0)</f>
        <v/>
      </c>
      <c r="O221" s="45" t="n"/>
      <c r="Q221" s="57">
        <f>IF(K221&gt;0,"показать","скрыть")</f>
        <v/>
      </c>
    </row>
    <row r="222" ht="15.75" customHeight="1">
      <c r="B222" s="182" t="n">
        <v>206</v>
      </c>
      <c r="C222" s="182">
        <f>IFERROR(VLOOKUP($B222,calc_data,C$14+1,0),0)</f>
        <v/>
      </c>
      <c r="D222" s="182">
        <f>IFERROR(VLOOKUP($B222,calc_data,D$14+1,0),0)</f>
        <v/>
      </c>
      <c r="E222" s="183">
        <f>IFERROR(VLOOKUP($B222,calc_data,E$14+1,0),0)</f>
        <v/>
      </c>
      <c r="F222" s="182">
        <f>IFERROR(VLOOKUP($B222,calc_data,F$14+1,0),0)</f>
        <v/>
      </c>
      <c r="G222" s="141">
        <f>IFERROR(VLOOKUP($B222,calc_data,G$14+1,0),0)</f>
        <v/>
      </c>
      <c r="H222" s="141">
        <f>IFERROR(VLOOKUP($B222,calc_data,H$14+1,0),0)</f>
        <v/>
      </c>
      <c r="I222" s="142">
        <f>IFERROR(VLOOKUP($B222,calc_data,I$14+1,0),0)</f>
        <v/>
      </c>
      <c r="J222" s="141">
        <f>IFERROR(VLOOKUP($B222,calc_data,J$14+1,0),0)</f>
        <v/>
      </c>
      <c r="K222" s="141">
        <f>IFERROR(VLOOKUP($B222,calc_data,K$14+1,0),0)</f>
        <v/>
      </c>
      <c r="L222" s="141">
        <f>IFERROR(VLOOKUP($B222,calc_data,L$14+1,0),0)</f>
        <v/>
      </c>
      <c r="M222" s="177">
        <f>IFERROR(VLOOKUP($B222,calc_data,M$14+1,0),0)</f>
        <v/>
      </c>
      <c r="N222" s="177">
        <f>IFERROR(VLOOKUP($B222,calc_data,N$14+1,0),0)</f>
        <v/>
      </c>
      <c r="O222" s="45" t="n"/>
      <c r="Q222" s="57">
        <f>IF(K222&gt;0,"показать","скрыть")</f>
        <v/>
      </c>
    </row>
    <row r="223" ht="15.75" customHeight="1">
      <c r="B223" s="182" t="n">
        <v>207</v>
      </c>
      <c r="C223" s="182">
        <f>IFERROR(VLOOKUP($B223,calc_data,C$14+1,0),0)</f>
        <v/>
      </c>
      <c r="D223" s="182">
        <f>IFERROR(VLOOKUP($B223,calc_data,D$14+1,0),0)</f>
        <v/>
      </c>
      <c r="E223" s="183">
        <f>IFERROR(VLOOKUP($B223,calc_data,E$14+1,0),0)</f>
        <v/>
      </c>
      <c r="F223" s="182">
        <f>IFERROR(VLOOKUP($B223,calc_data,F$14+1,0),0)</f>
        <v/>
      </c>
      <c r="G223" s="141">
        <f>IFERROR(VLOOKUP($B223,calc_data,G$14+1,0),0)</f>
        <v/>
      </c>
      <c r="H223" s="141">
        <f>IFERROR(VLOOKUP($B223,calc_data,H$14+1,0),0)</f>
        <v/>
      </c>
      <c r="I223" s="142">
        <f>IFERROR(VLOOKUP($B223,calc_data,I$14+1,0),0)</f>
        <v/>
      </c>
      <c r="J223" s="141">
        <f>IFERROR(VLOOKUP($B223,calc_data,J$14+1,0),0)</f>
        <v/>
      </c>
      <c r="K223" s="141">
        <f>IFERROR(VLOOKUP($B223,calc_data,K$14+1,0),0)</f>
        <v/>
      </c>
      <c r="L223" s="141">
        <f>IFERROR(VLOOKUP($B223,calc_data,L$14+1,0),0)</f>
        <v/>
      </c>
      <c r="M223" s="177">
        <f>IFERROR(VLOOKUP($B223,calc_data,M$14+1,0),0)</f>
        <v/>
      </c>
      <c r="N223" s="177">
        <f>IFERROR(VLOOKUP($B223,calc_data,N$14+1,0),0)</f>
        <v/>
      </c>
      <c r="O223" s="45" t="n"/>
      <c r="Q223" s="57">
        <f>IF(K223&gt;0,"показать","скрыть")</f>
        <v/>
      </c>
    </row>
    <row r="224" ht="15.75" customHeight="1">
      <c r="B224" s="182" t="n">
        <v>208</v>
      </c>
      <c r="C224" s="182">
        <f>IFERROR(VLOOKUP($B224,calc_data,C$14+1,0),0)</f>
        <v/>
      </c>
      <c r="D224" s="182">
        <f>IFERROR(VLOOKUP($B224,calc_data,D$14+1,0),0)</f>
        <v/>
      </c>
      <c r="E224" s="183">
        <f>IFERROR(VLOOKUP($B224,calc_data,E$14+1,0),0)</f>
        <v/>
      </c>
      <c r="F224" s="182">
        <f>IFERROR(VLOOKUP($B224,calc_data,F$14+1,0),0)</f>
        <v/>
      </c>
      <c r="G224" s="141">
        <f>IFERROR(VLOOKUP($B224,calc_data,G$14+1,0),0)</f>
        <v/>
      </c>
      <c r="H224" s="141">
        <f>IFERROR(VLOOKUP($B224,calc_data,H$14+1,0),0)</f>
        <v/>
      </c>
      <c r="I224" s="142">
        <f>IFERROR(VLOOKUP($B224,calc_data,I$14+1,0),0)</f>
        <v/>
      </c>
      <c r="J224" s="141">
        <f>IFERROR(VLOOKUP($B224,calc_data,J$14+1,0),0)</f>
        <v/>
      </c>
      <c r="K224" s="141">
        <f>IFERROR(VLOOKUP($B224,calc_data,K$14+1,0),0)</f>
        <v/>
      </c>
      <c r="L224" s="141">
        <f>IFERROR(VLOOKUP($B224,calc_data,L$14+1,0),0)</f>
        <v/>
      </c>
      <c r="M224" s="177">
        <f>IFERROR(VLOOKUP($B224,calc_data,M$14+1,0),0)</f>
        <v/>
      </c>
      <c r="N224" s="177">
        <f>IFERROR(VLOOKUP($B224,calc_data,N$14+1,0),0)</f>
        <v/>
      </c>
      <c r="O224" s="45" t="n"/>
      <c r="Q224" s="57">
        <f>IF(K224&gt;0,"показать","скрыть")</f>
        <v/>
      </c>
    </row>
    <row r="225" ht="15.75" customHeight="1">
      <c r="B225" s="182" t="n">
        <v>209</v>
      </c>
      <c r="C225" s="182">
        <f>IFERROR(VLOOKUP($B225,calc_data,C$14+1,0),0)</f>
        <v/>
      </c>
      <c r="D225" s="182">
        <f>IFERROR(VLOOKUP($B225,calc_data,D$14+1,0),0)</f>
        <v/>
      </c>
      <c r="E225" s="183">
        <f>IFERROR(VLOOKUP($B225,calc_data,E$14+1,0),0)</f>
        <v/>
      </c>
      <c r="F225" s="182">
        <f>IFERROR(VLOOKUP($B225,calc_data,F$14+1,0),0)</f>
        <v/>
      </c>
      <c r="G225" s="141">
        <f>IFERROR(VLOOKUP($B225,calc_data,G$14+1,0),0)</f>
        <v/>
      </c>
      <c r="H225" s="141">
        <f>IFERROR(VLOOKUP($B225,calc_data,H$14+1,0),0)</f>
        <v/>
      </c>
      <c r="I225" s="142">
        <f>IFERROR(VLOOKUP($B225,calc_data,I$14+1,0),0)</f>
        <v/>
      </c>
      <c r="J225" s="141">
        <f>IFERROR(VLOOKUP($B225,calc_data,J$14+1,0),0)</f>
        <v/>
      </c>
      <c r="K225" s="141">
        <f>IFERROR(VLOOKUP($B225,calc_data,K$14+1,0),0)</f>
        <v/>
      </c>
      <c r="L225" s="141">
        <f>IFERROR(VLOOKUP($B225,calc_data,L$14+1,0),0)</f>
        <v/>
      </c>
      <c r="M225" s="177">
        <f>IFERROR(VLOOKUP($B225,calc_data,M$14+1,0),0)</f>
        <v/>
      </c>
      <c r="N225" s="177">
        <f>IFERROR(VLOOKUP($B225,calc_data,N$14+1,0),0)</f>
        <v/>
      </c>
      <c r="O225" s="45" t="n"/>
      <c r="Q225" s="57">
        <f>IF(K225&gt;0,"показать","скрыть")</f>
        <v/>
      </c>
    </row>
    <row r="226" ht="15.75" customHeight="1">
      <c r="B226" s="182" t="n">
        <v>210</v>
      </c>
      <c r="C226" s="182">
        <f>IFERROR(VLOOKUP($B226,calc_data,C$14+1,0),0)</f>
        <v/>
      </c>
      <c r="D226" s="182">
        <f>IFERROR(VLOOKUP($B226,calc_data,D$14+1,0),0)</f>
        <v/>
      </c>
      <c r="E226" s="183">
        <f>IFERROR(VLOOKUP($B226,calc_data,E$14+1,0),0)</f>
        <v/>
      </c>
      <c r="F226" s="182">
        <f>IFERROR(VLOOKUP($B226,calc_data,F$14+1,0),0)</f>
        <v/>
      </c>
      <c r="G226" s="141">
        <f>IFERROR(VLOOKUP($B226,calc_data,G$14+1,0),0)</f>
        <v/>
      </c>
      <c r="H226" s="141">
        <f>IFERROR(VLOOKUP($B226,calc_data,H$14+1,0),0)</f>
        <v/>
      </c>
      <c r="I226" s="142">
        <f>IFERROR(VLOOKUP($B226,calc_data,I$14+1,0),0)</f>
        <v/>
      </c>
      <c r="J226" s="141">
        <f>IFERROR(VLOOKUP($B226,calc_data,J$14+1,0),0)</f>
        <v/>
      </c>
      <c r="K226" s="141">
        <f>IFERROR(VLOOKUP($B226,calc_data,K$14+1,0),0)</f>
        <v/>
      </c>
      <c r="L226" s="141">
        <f>IFERROR(VLOOKUP($B226,calc_data,L$14+1,0),0)</f>
        <v/>
      </c>
      <c r="M226" s="177">
        <f>IFERROR(VLOOKUP($B226,calc_data,M$14+1,0),0)</f>
        <v/>
      </c>
      <c r="N226" s="177">
        <f>IFERROR(VLOOKUP($B226,calc_data,N$14+1,0),0)</f>
        <v/>
      </c>
      <c r="O226" s="45" t="n"/>
      <c r="Q226" s="57">
        <f>IF(K226&gt;0,"показать","скрыть")</f>
        <v/>
      </c>
    </row>
    <row r="227" ht="15.75" customHeight="1">
      <c r="B227" s="182" t="n">
        <v>211</v>
      </c>
      <c r="C227" s="182">
        <f>IFERROR(VLOOKUP($B227,calc_data,C$14+1,0),0)</f>
        <v/>
      </c>
      <c r="D227" s="182">
        <f>IFERROR(VLOOKUP($B227,calc_data,D$14+1,0),0)</f>
        <v/>
      </c>
      <c r="E227" s="183">
        <f>IFERROR(VLOOKUP($B227,calc_data,E$14+1,0),0)</f>
        <v/>
      </c>
      <c r="F227" s="182">
        <f>IFERROR(VLOOKUP($B227,calc_data,F$14+1,0),0)</f>
        <v/>
      </c>
      <c r="G227" s="141">
        <f>IFERROR(VLOOKUP($B227,calc_data,G$14+1,0),0)</f>
        <v/>
      </c>
      <c r="H227" s="141">
        <f>IFERROR(VLOOKUP($B227,calc_data,H$14+1,0),0)</f>
        <v/>
      </c>
      <c r="I227" s="142">
        <f>IFERROR(VLOOKUP($B227,calc_data,I$14+1,0),0)</f>
        <v/>
      </c>
      <c r="J227" s="141">
        <f>IFERROR(VLOOKUP($B227,calc_data,J$14+1,0),0)</f>
        <v/>
      </c>
      <c r="K227" s="141">
        <f>IFERROR(VLOOKUP($B227,calc_data,K$14+1,0),0)</f>
        <v/>
      </c>
      <c r="L227" s="141">
        <f>IFERROR(VLOOKUP($B227,calc_data,L$14+1,0),0)</f>
        <v/>
      </c>
      <c r="M227" s="177">
        <f>IFERROR(VLOOKUP($B227,calc_data,M$14+1,0),0)</f>
        <v/>
      </c>
      <c r="N227" s="177">
        <f>IFERROR(VLOOKUP($B227,calc_data,N$14+1,0),0)</f>
        <v/>
      </c>
      <c r="O227" s="45" t="n"/>
      <c r="Q227" s="57">
        <f>IF(K227&gt;0,"показать","скрыть")</f>
        <v/>
      </c>
    </row>
    <row r="228" ht="15.75" customHeight="1">
      <c r="B228" s="182" t="n">
        <v>212</v>
      </c>
      <c r="C228" s="182">
        <f>IFERROR(VLOOKUP($B228,calc_data,C$14+1,0),0)</f>
        <v/>
      </c>
      <c r="D228" s="182">
        <f>IFERROR(VLOOKUP($B228,calc_data,D$14+1,0),0)</f>
        <v/>
      </c>
      <c r="E228" s="183">
        <f>IFERROR(VLOOKUP($B228,calc_data,E$14+1,0),0)</f>
        <v/>
      </c>
      <c r="F228" s="182">
        <f>IFERROR(VLOOKUP($B228,calc_data,F$14+1,0),0)</f>
        <v/>
      </c>
      <c r="G228" s="141">
        <f>IFERROR(VLOOKUP($B228,calc_data,G$14+1,0),0)</f>
        <v/>
      </c>
      <c r="H228" s="141">
        <f>IFERROR(VLOOKUP($B228,calc_data,H$14+1,0),0)</f>
        <v/>
      </c>
      <c r="I228" s="142">
        <f>IFERROR(VLOOKUP($B228,calc_data,I$14+1,0),0)</f>
        <v/>
      </c>
      <c r="J228" s="141">
        <f>IFERROR(VLOOKUP($B228,calc_data,J$14+1,0),0)</f>
        <v/>
      </c>
      <c r="K228" s="141">
        <f>IFERROR(VLOOKUP($B228,calc_data,K$14+1,0),0)</f>
        <v/>
      </c>
      <c r="L228" s="141">
        <f>IFERROR(VLOOKUP($B228,calc_data,L$14+1,0),0)</f>
        <v/>
      </c>
      <c r="M228" s="177">
        <f>IFERROR(VLOOKUP($B228,calc_data,M$14+1,0),0)</f>
        <v/>
      </c>
      <c r="N228" s="177">
        <f>IFERROR(VLOOKUP($B228,calc_data,N$14+1,0),0)</f>
        <v/>
      </c>
      <c r="O228" s="45" t="n"/>
      <c r="Q228" s="57">
        <f>IF(K228&gt;0,"показать","скрыть")</f>
        <v/>
      </c>
    </row>
    <row r="229" ht="15.75" customHeight="1">
      <c r="B229" s="182" t="n">
        <v>213</v>
      </c>
      <c r="C229" s="182">
        <f>IFERROR(VLOOKUP($B229,calc_data,C$14+1,0),0)</f>
        <v/>
      </c>
      <c r="D229" s="182">
        <f>IFERROR(VLOOKUP($B229,calc_data,D$14+1,0),0)</f>
        <v/>
      </c>
      <c r="E229" s="183">
        <f>IFERROR(VLOOKUP($B229,calc_data,E$14+1,0),0)</f>
        <v/>
      </c>
      <c r="F229" s="182">
        <f>IFERROR(VLOOKUP($B229,calc_data,F$14+1,0),0)</f>
        <v/>
      </c>
      <c r="G229" s="141">
        <f>IFERROR(VLOOKUP($B229,calc_data,G$14+1,0),0)</f>
        <v/>
      </c>
      <c r="H229" s="141">
        <f>IFERROR(VLOOKUP($B229,calc_data,H$14+1,0),0)</f>
        <v/>
      </c>
      <c r="I229" s="142">
        <f>IFERROR(VLOOKUP($B229,calc_data,I$14+1,0),0)</f>
        <v/>
      </c>
      <c r="J229" s="141">
        <f>IFERROR(VLOOKUP($B229,calc_data,J$14+1,0),0)</f>
        <v/>
      </c>
      <c r="K229" s="141">
        <f>IFERROR(VLOOKUP($B229,calc_data,K$14+1,0),0)</f>
        <v/>
      </c>
      <c r="L229" s="141">
        <f>IFERROR(VLOOKUP($B229,calc_data,L$14+1,0),0)</f>
        <v/>
      </c>
      <c r="M229" s="177">
        <f>IFERROR(VLOOKUP($B229,calc_data,M$14+1,0),0)</f>
        <v/>
      </c>
      <c r="N229" s="177">
        <f>IFERROR(VLOOKUP($B229,calc_data,N$14+1,0),0)</f>
        <v/>
      </c>
      <c r="O229" s="45" t="n"/>
      <c r="Q229" s="57">
        <f>IF(K229&gt;0,"показать","скрыть")</f>
        <v/>
      </c>
    </row>
    <row r="230" ht="15.75" customHeight="1">
      <c r="B230" s="182" t="n">
        <v>214</v>
      </c>
      <c r="C230" s="182">
        <f>IFERROR(VLOOKUP($B230,calc_data,C$14+1,0),0)</f>
        <v/>
      </c>
      <c r="D230" s="182">
        <f>IFERROR(VLOOKUP($B230,calc_data,D$14+1,0),0)</f>
        <v/>
      </c>
      <c r="E230" s="183">
        <f>IFERROR(VLOOKUP($B230,calc_data,E$14+1,0),0)</f>
        <v/>
      </c>
      <c r="F230" s="182">
        <f>IFERROR(VLOOKUP($B230,calc_data,F$14+1,0),0)</f>
        <v/>
      </c>
      <c r="G230" s="141">
        <f>IFERROR(VLOOKUP($B230,calc_data,G$14+1,0),0)</f>
        <v/>
      </c>
      <c r="H230" s="141">
        <f>IFERROR(VLOOKUP($B230,calc_data,H$14+1,0),0)</f>
        <v/>
      </c>
      <c r="I230" s="142">
        <f>IFERROR(VLOOKUP($B230,calc_data,I$14+1,0),0)</f>
        <v/>
      </c>
      <c r="J230" s="141">
        <f>IFERROR(VLOOKUP($B230,calc_data,J$14+1,0),0)</f>
        <v/>
      </c>
      <c r="K230" s="141">
        <f>IFERROR(VLOOKUP($B230,calc_data,K$14+1,0),0)</f>
        <v/>
      </c>
      <c r="L230" s="141">
        <f>IFERROR(VLOOKUP($B230,calc_data,L$14+1,0),0)</f>
        <v/>
      </c>
      <c r="M230" s="177">
        <f>IFERROR(VLOOKUP($B230,calc_data,M$14+1,0),0)</f>
        <v/>
      </c>
      <c r="N230" s="177">
        <f>IFERROR(VLOOKUP($B230,calc_data,N$14+1,0),0)</f>
        <v/>
      </c>
      <c r="O230" s="45" t="n"/>
      <c r="Q230" s="57">
        <f>IF(K230&gt;0,"показать","скрыть")</f>
        <v/>
      </c>
    </row>
    <row r="231" ht="15.75" customHeight="1">
      <c r="B231" s="182" t="n">
        <v>215</v>
      </c>
      <c r="C231" s="182">
        <f>IFERROR(VLOOKUP($B231,calc_data,C$14+1,0),0)</f>
        <v/>
      </c>
      <c r="D231" s="182">
        <f>IFERROR(VLOOKUP($B231,calc_data,D$14+1,0),0)</f>
        <v/>
      </c>
      <c r="E231" s="183">
        <f>IFERROR(VLOOKUP($B231,calc_data,E$14+1,0),0)</f>
        <v/>
      </c>
      <c r="F231" s="182">
        <f>IFERROR(VLOOKUP($B231,calc_data,F$14+1,0),0)</f>
        <v/>
      </c>
      <c r="G231" s="141">
        <f>IFERROR(VLOOKUP($B231,calc_data,G$14+1,0),0)</f>
        <v/>
      </c>
      <c r="H231" s="141">
        <f>IFERROR(VLOOKUP($B231,calc_data,H$14+1,0),0)</f>
        <v/>
      </c>
      <c r="I231" s="142">
        <f>IFERROR(VLOOKUP($B231,calc_data,I$14+1,0),0)</f>
        <v/>
      </c>
      <c r="J231" s="141">
        <f>IFERROR(VLOOKUP($B231,calc_data,J$14+1,0),0)</f>
        <v/>
      </c>
      <c r="K231" s="141">
        <f>IFERROR(VLOOKUP($B231,calc_data,K$14+1,0),0)</f>
        <v/>
      </c>
      <c r="L231" s="141">
        <f>IFERROR(VLOOKUP($B231,calc_data,L$14+1,0),0)</f>
        <v/>
      </c>
      <c r="M231" s="177">
        <f>IFERROR(VLOOKUP($B231,calc_data,M$14+1,0),0)</f>
        <v/>
      </c>
      <c r="N231" s="177">
        <f>IFERROR(VLOOKUP($B231,calc_data,N$14+1,0),0)</f>
        <v/>
      </c>
      <c r="O231" s="45" t="n"/>
      <c r="Q231" s="57">
        <f>IF(K231&gt;0,"показать","скрыть")</f>
        <v/>
      </c>
    </row>
    <row r="232" ht="15.75" customHeight="1">
      <c r="B232" s="182" t="n">
        <v>216</v>
      </c>
      <c r="C232" s="182">
        <f>IFERROR(VLOOKUP($B232,calc_data,C$14+1,0),0)</f>
        <v/>
      </c>
      <c r="D232" s="182">
        <f>IFERROR(VLOOKUP($B232,calc_data,D$14+1,0),0)</f>
        <v/>
      </c>
      <c r="E232" s="183">
        <f>IFERROR(VLOOKUP($B232,calc_data,E$14+1,0),0)</f>
        <v/>
      </c>
      <c r="F232" s="182">
        <f>IFERROR(VLOOKUP($B232,calc_data,F$14+1,0),0)</f>
        <v/>
      </c>
      <c r="G232" s="141">
        <f>IFERROR(VLOOKUP($B232,calc_data,G$14+1,0),0)</f>
        <v/>
      </c>
      <c r="H232" s="141">
        <f>IFERROR(VLOOKUP($B232,calc_data,H$14+1,0),0)</f>
        <v/>
      </c>
      <c r="I232" s="142">
        <f>IFERROR(VLOOKUP($B232,calc_data,I$14+1,0),0)</f>
        <v/>
      </c>
      <c r="J232" s="141">
        <f>IFERROR(VLOOKUP($B232,calc_data,J$14+1,0),0)</f>
        <v/>
      </c>
      <c r="K232" s="141">
        <f>IFERROR(VLOOKUP($B232,calc_data,K$14+1,0),0)</f>
        <v/>
      </c>
      <c r="L232" s="141">
        <f>IFERROR(VLOOKUP($B232,calc_data,L$14+1,0),0)</f>
        <v/>
      </c>
      <c r="M232" s="177">
        <f>IFERROR(VLOOKUP($B232,calc_data,M$14+1,0),0)</f>
        <v/>
      </c>
      <c r="N232" s="177">
        <f>IFERROR(VLOOKUP($B232,calc_data,N$14+1,0),0)</f>
        <v/>
      </c>
      <c r="O232" s="45" t="n"/>
      <c r="Q232" s="57">
        <f>IF(K232&gt;0,"показать","скрыть")</f>
        <v/>
      </c>
    </row>
    <row r="233" ht="15.75" customHeight="1">
      <c r="B233" s="182" t="n">
        <v>217</v>
      </c>
      <c r="C233" s="182">
        <f>IFERROR(VLOOKUP($B233,calc_data,C$14+1,0),0)</f>
        <v/>
      </c>
      <c r="D233" s="182">
        <f>IFERROR(VLOOKUP($B233,calc_data,D$14+1,0),0)</f>
        <v/>
      </c>
      <c r="E233" s="183">
        <f>IFERROR(VLOOKUP($B233,calc_data,E$14+1,0),0)</f>
        <v/>
      </c>
      <c r="F233" s="182">
        <f>IFERROR(VLOOKUP($B233,calc_data,F$14+1,0),0)</f>
        <v/>
      </c>
      <c r="G233" s="141">
        <f>IFERROR(VLOOKUP($B233,calc_data,G$14+1,0),0)</f>
        <v/>
      </c>
      <c r="H233" s="141">
        <f>IFERROR(VLOOKUP($B233,calc_data,H$14+1,0),0)</f>
        <v/>
      </c>
      <c r="I233" s="142">
        <f>IFERROR(VLOOKUP($B233,calc_data,I$14+1,0),0)</f>
        <v/>
      </c>
      <c r="J233" s="141">
        <f>IFERROR(VLOOKUP($B233,calc_data,J$14+1,0),0)</f>
        <v/>
      </c>
      <c r="K233" s="141">
        <f>IFERROR(VLOOKUP($B233,calc_data,K$14+1,0),0)</f>
        <v/>
      </c>
      <c r="L233" s="141">
        <f>IFERROR(VLOOKUP($B233,calc_data,L$14+1,0),0)</f>
        <v/>
      </c>
      <c r="M233" s="177">
        <f>IFERROR(VLOOKUP($B233,calc_data,M$14+1,0),0)</f>
        <v/>
      </c>
      <c r="N233" s="177">
        <f>IFERROR(VLOOKUP($B233,calc_data,N$14+1,0),0)</f>
        <v/>
      </c>
      <c r="O233" s="45" t="n"/>
      <c r="Q233" s="57">
        <f>IF(K233&gt;0,"показать","скрыть")</f>
        <v/>
      </c>
    </row>
    <row r="234" ht="15.75" customHeight="1">
      <c r="B234" s="182" t="n">
        <v>218</v>
      </c>
      <c r="C234" s="182">
        <f>IFERROR(VLOOKUP($B234,calc_data,C$14+1,0),0)</f>
        <v/>
      </c>
      <c r="D234" s="182">
        <f>IFERROR(VLOOKUP($B234,calc_data,D$14+1,0),0)</f>
        <v/>
      </c>
      <c r="E234" s="183">
        <f>IFERROR(VLOOKUP($B234,calc_data,E$14+1,0),0)</f>
        <v/>
      </c>
      <c r="F234" s="182">
        <f>IFERROR(VLOOKUP($B234,calc_data,F$14+1,0),0)</f>
        <v/>
      </c>
      <c r="G234" s="141">
        <f>IFERROR(VLOOKUP($B234,calc_data,G$14+1,0),0)</f>
        <v/>
      </c>
      <c r="H234" s="141">
        <f>IFERROR(VLOOKUP($B234,calc_data,H$14+1,0),0)</f>
        <v/>
      </c>
      <c r="I234" s="142">
        <f>IFERROR(VLOOKUP($B234,calc_data,I$14+1,0),0)</f>
        <v/>
      </c>
      <c r="J234" s="141">
        <f>IFERROR(VLOOKUP($B234,calc_data,J$14+1,0),0)</f>
        <v/>
      </c>
      <c r="K234" s="141">
        <f>IFERROR(VLOOKUP($B234,calc_data,K$14+1,0),0)</f>
        <v/>
      </c>
      <c r="L234" s="141">
        <f>IFERROR(VLOOKUP($B234,calc_data,L$14+1,0),0)</f>
        <v/>
      </c>
      <c r="M234" s="177">
        <f>IFERROR(VLOOKUP($B234,calc_data,M$14+1,0),0)</f>
        <v/>
      </c>
      <c r="N234" s="177">
        <f>IFERROR(VLOOKUP($B234,calc_data,N$14+1,0),0)</f>
        <v/>
      </c>
      <c r="O234" s="45" t="n"/>
      <c r="Q234" s="57">
        <f>IF(K234&gt;0,"показать","скрыть")</f>
        <v/>
      </c>
    </row>
    <row r="235" ht="15.75" customHeight="1">
      <c r="B235" s="182" t="n">
        <v>219</v>
      </c>
      <c r="C235" s="182">
        <f>IFERROR(VLOOKUP($B235,calc_data,C$14+1,0),0)</f>
        <v/>
      </c>
      <c r="D235" s="182">
        <f>IFERROR(VLOOKUP($B235,calc_data,D$14+1,0),0)</f>
        <v/>
      </c>
      <c r="E235" s="183">
        <f>IFERROR(VLOOKUP($B235,calc_data,E$14+1,0),0)</f>
        <v/>
      </c>
      <c r="F235" s="182">
        <f>IFERROR(VLOOKUP($B235,calc_data,F$14+1,0),0)</f>
        <v/>
      </c>
      <c r="G235" s="141">
        <f>IFERROR(VLOOKUP($B235,calc_data,G$14+1,0),0)</f>
        <v/>
      </c>
      <c r="H235" s="141">
        <f>IFERROR(VLOOKUP($B235,calc_data,H$14+1,0),0)</f>
        <v/>
      </c>
      <c r="I235" s="142">
        <f>IFERROR(VLOOKUP($B235,calc_data,I$14+1,0),0)</f>
        <v/>
      </c>
      <c r="J235" s="141">
        <f>IFERROR(VLOOKUP($B235,calc_data,J$14+1,0),0)</f>
        <v/>
      </c>
      <c r="K235" s="141">
        <f>IFERROR(VLOOKUP($B235,calc_data,K$14+1,0),0)</f>
        <v/>
      </c>
      <c r="L235" s="141">
        <f>IFERROR(VLOOKUP($B235,calc_data,L$14+1,0),0)</f>
        <v/>
      </c>
      <c r="M235" s="177">
        <f>IFERROR(VLOOKUP($B235,calc_data,M$14+1,0),0)</f>
        <v/>
      </c>
      <c r="N235" s="177">
        <f>IFERROR(VLOOKUP($B235,calc_data,N$14+1,0),0)</f>
        <v/>
      </c>
      <c r="O235" s="45" t="n"/>
      <c r="Q235" s="57">
        <f>IF(K235&gt;0,"показать","скрыть")</f>
        <v/>
      </c>
    </row>
    <row r="236" ht="15.75" customHeight="1">
      <c r="B236" s="182" t="n">
        <v>220</v>
      </c>
      <c r="C236" s="182">
        <f>IFERROR(VLOOKUP($B236,calc_data,C$14+1,0),0)</f>
        <v/>
      </c>
      <c r="D236" s="182">
        <f>IFERROR(VLOOKUP($B236,calc_data,D$14+1,0),0)</f>
        <v/>
      </c>
      <c r="E236" s="183">
        <f>IFERROR(VLOOKUP($B236,calc_data,E$14+1,0),0)</f>
        <v/>
      </c>
      <c r="F236" s="182">
        <f>IFERROR(VLOOKUP($B236,calc_data,F$14+1,0),0)</f>
        <v/>
      </c>
      <c r="G236" s="141">
        <f>IFERROR(VLOOKUP($B236,calc_data,G$14+1,0),0)</f>
        <v/>
      </c>
      <c r="H236" s="141">
        <f>IFERROR(VLOOKUP($B236,calc_data,H$14+1,0),0)</f>
        <v/>
      </c>
      <c r="I236" s="142">
        <f>IFERROR(VLOOKUP($B236,calc_data,I$14+1,0),0)</f>
        <v/>
      </c>
      <c r="J236" s="141">
        <f>IFERROR(VLOOKUP($B236,calc_data,J$14+1,0),0)</f>
        <v/>
      </c>
      <c r="K236" s="141">
        <f>IFERROR(VLOOKUP($B236,calc_data,K$14+1,0),0)</f>
        <v/>
      </c>
      <c r="L236" s="141">
        <f>IFERROR(VLOOKUP($B236,calc_data,L$14+1,0),0)</f>
        <v/>
      </c>
      <c r="M236" s="177">
        <f>IFERROR(VLOOKUP($B236,calc_data,M$14+1,0),0)</f>
        <v/>
      </c>
      <c r="N236" s="177">
        <f>IFERROR(VLOOKUP($B236,calc_data,N$14+1,0),0)</f>
        <v/>
      </c>
      <c r="O236" s="45" t="n"/>
      <c r="Q236" s="57">
        <f>IF(K236&gt;0,"показать","скрыть")</f>
        <v/>
      </c>
    </row>
    <row r="237" ht="15.75" customHeight="1">
      <c r="B237" s="182" t="n">
        <v>221</v>
      </c>
      <c r="C237" s="182">
        <f>IFERROR(VLOOKUP($B237,calc_data,C$14+1,0),0)</f>
        <v/>
      </c>
      <c r="D237" s="182">
        <f>IFERROR(VLOOKUP($B237,calc_data,D$14+1,0),0)</f>
        <v/>
      </c>
      <c r="E237" s="183">
        <f>IFERROR(VLOOKUP($B237,calc_data,E$14+1,0),0)</f>
        <v/>
      </c>
      <c r="F237" s="182">
        <f>IFERROR(VLOOKUP($B237,calc_data,F$14+1,0),0)</f>
        <v/>
      </c>
      <c r="G237" s="141">
        <f>IFERROR(VLOOKUP($B237,calc_data,G$14+1,0),0)</f>
        <v/>
      </c>
      <c r="H237" s="141">
        <f>IFERROR(VLOOKUP($B237,calc_data,H$14+1,0),0)</f>
        <v/>
      </c>
      <c r="I237" s="142">
        <f>IFERROR(VLOOKUP($B237,calc_data,I$14+1,0),0)</f>
        <v/>
      </c>
      <c r="J237" s="141">
        <f>IFERROR(VLOOKUP($B237,calc_data,J$14+1,0),0)</f>
        <v/>
      </c>
      <c r="K237" s="141">
        <f>IFERROR(VLOOKUP($B237,calc_data,K$14+1,0),0)</f>
        <v/>
      </c>
      <c r="L237" s="141">
        <f>IFERROR(VLOOKUP($B237,calc_data,L$14+1,0),0)</f>
        <v/>
      </c>
      <c r="M237" s="177">
        <f>IFERROR(VLOOKUP($B237,calc_data,M$14+1,0),0)</f>
        <v/>
      </c>
      <c r="N237" s="177">
        <f>IFERROR(VLOOKUP($B237,calc_data,N$14+1,0),0)</f>
        <v/>
      </c>
      <c r="O237" s="45" t="n"/>
      <c r="Q237" s="57">
        <f>IF(K237&gt;0,"показать","скрыть")</f>
        <v/>
      </c>
    </row>
    <row r="238" ht="15.75" customHeight="1">
      <c r="B238" s="182" t="n">
        <v>222</v>
      </c>
      <c r="C238" s="182">
        <f>IFERROR(VLOOKUP($B238,calc_data,C$14+1,0),0)</f>
        <v/>
      </c>
      <c r="D238" s="182">
        <f>IFERROR(VLOOKUP($B238,calc_data,D$14+1,0),0)</f>
        <v/>
      </c>
      <c r="E238" s="183">
        <f>IFERROR(VLOOKUP($B238,calc_data,E$14+1,0),0)</f>
        <v/>
      </c>
      <c r="F238" s="182">
        <f>IFERROR(VLOOKUP($B238,calc_data,F$14+1,0),0)</f>
        <v/>
      </c>
      <c r="G238" s="141">
        <f>IFERROR(VLOOKUP($B238,calc_data,G$14+1,0),0)</f>
        <v/>
      </c>
      <c r="H238" s="141">
        <f>IFERROR(VLOOKUP($B238,calc_data,H$14+1,0),0)</f>
        <v/>
      </c>
      <c r="I238" s="142">
        <f>IFERROR(VLOOKUP($B238,calc_data,I$14+1,0),0)</f>
        <v/>
      </c>
      <c r="J238" s="141">
        <f>IFERROR(VLOOKUP($B238,calc_data,J$14+1,0),0)</f>
        <v/>
      </c>
      <c r="K238" s="141">
        <f>IFERROR(VLOOKUP($B238,calc_data,K$14+1,0),0)</f>
        <v/>
      </c>
      <c r="L238" s="141">
        <f>IFERROR(VLOOKUP($B238,calc_data,L$14+1,0),0)</f>
        <v/>
      </c>
      <c r="M238" s="177">
        <f>IFERROR(VLOOKUP($B238,calc_data,M$14+1,0),0)</f>
        <v/>
      </c>
      <c r="N238" s="177">
        <f>IFERROR(VLOOKUP($B238,calc_data,N$14+1,0),0)</f>
        <v/>
      </c>
      <c r="O238" s="45" t="n"/>
      <c r="Q238" s="57">
        <f>IF(K238&gt;0,"показать","скрыть")</f>
        <v/>
      </c>
    </row>
    <row r="239" ht="15.75" customHeight="1">
      <c r="B239" s="182" t="n">
        <v>223</v>
      </c>
      <c r="C239" s="182">
        <f>IFERROR(VLOOKUP($B239,calc_data,C$14+1,0),0)</f>
        <v/>
      </c>
      <c r="D239" s="182">
        <f>IFERROR(VLOOKUP($B239,calc_data,D$14+1,0),0)</f>
        <v/>
      </c>
      <c r="E239" s="183">
        <f>IFERROR(VLOOKUP($B239,calc_data,E$14+1,0),0)</f>
        <v/>
      </c>
      <c r="F239" s="182">
        <f>IFERROR(VLOOKUP($B239,calc_data,F$14+1,0),0)</f>
        <v/>
      </c>
      <c r="G239" s="141">
        <f>IFERROR(VLOOKUP($B239,calc_data,G$14+1,0),0)</f>
        <v/>
      </c>
      <c r="H239" s="141">
        <f>IFERROR(VLOOKUP($B239,calc_data,H$14+1,0),0)</f>
        <v/>
      </c>
      <c r="I239" s="142">
        <f>IFERROR(VLOOKUP($B239,calc_data,I$14+1,0),0)</f>
        <v/>
      </c>
      <c r="J239" s="141">
        <f>IFERROR(VLOOKUP($B239,calc_data,J$14+1,0),0)</f>
        <v/>
      </c>
      <c r="K239" s="141">
        <f>IFERROR(VLOOKUP($B239,calc_data,K$14+1,0),0)</f>
        <v/>
      </c>
      <c r="L239" s="141">
        <f>IFERROR(VLOOKUP($B239,calc_data,L$14+1,0),0)</f>
        <v/>
      </c>
      <c r="M239" s="177">
        <f>IFERROR(VLOOKUP($B239,calc_data,M$14+1,0),0)</f>
        <v/>
      </c>
      <c r="N239" s="177">
        <f>IFERROR(VLOOKUP($B239,calc_data,N$14+1,0),0)</f>
        <v/>
      </c>
      <c r="O239" s="45" t="n"/>
      <c r="Q239" s="57">
        <f>IF(K239&gt;0,"показать","скрыть")</f>
        <v/>
      </c>
    </row>
    <row r="240" ht="15.75" customHeight="1">
      <c r="B240" s="182" t="n">
        <v>224</v>
      </c>
      <c r="C240" s="182">
        <f>IFERROR(VLOOKUP($B240,calc_data,C$14+1,0),0)</f>
        <v/>
      </c>
      <c r="D240" s="182">
        <f>IFERROR(VLOOKUP($B240,calc_data,D$14+1,0),0)</f>
        <v/>
      </c>
      <c r="E240" s="183">
        <f>IFERROR(VLOOKUP($B240,calc_data,E$14+1,0),0)</f>
        <v/>
      </c>
      <c r="F240" s="182">
        <f>IFERROR(VLOOKUP($B240,calc_data,F$14+1,0),0)</f>
        <v/>
      </c>
      <c r="G240" s="141">
        <f>IFERROR(VLOOKUP($B240,calc_data,G$14+1,0),0)</f>
        <v/>
      </c>
      <c r="H240" s="141">
        <f>IFERROR(VLOOKUP($B240,calc_data,H$14+1,0),0)</f>
        <v/>
      </c>
      <c r="I240" s="142">
        <f>IFERROR(VLOOKUP($B240,calc_data,I$14+1,0),0)</f>
        <v/>
      </c>
      <c r="J240" s="141">
        <f>IFERROR(VLOOKUP($B240,calc_data,J$14+1,0),0)</f>
        <v/>
      </c>
      <c r="K240" s="141">
        <f>IFERROR(VLOOKUP($B240,calc_data,K$14+1,0),0)</f>
        <v/>
      </c>
      <c r="L240" s="141">
        <f>IFERROR(VLOOKUP($B240,calc_data,L$14+1,0),0)</f>
        <v/>
      </c>
      <c r="M240" s="177">
        <f>IFERROR(VLOOKUP($B240,calc_data,M$14+1,0),0)</f>
        <v/>
      </c>
      <c r="N240" s="177">
        <f>IFERROR(VLOOKUP($B240,calc_data,N$14+1,0),0)</f>
        <v/>
      </c>
      <c r="O240" s="45" t="n"/>
      <c r="Q240" s="57">
        <f>IF(K240&gt;0,"показать","скрыть")</f>
        <v/>
      </c>
    </row>
    <row r="241" ht="15.75" customHeight="1">
      <c r="B241" s="182" t="n">
        <v>225</v>
      </c>
      <c r="C241" s="182">
        <f>IFERROR(VLOOKUP($B241,calc_data,C$14+1,0),0)</f>
        <v/>
      </c>
      <c r="D241" s="182">
        <f>IFERROR(VLOOKUP($B241,calc_data,D$14+1,0),0)</f>
        <v/>
      </c>
      <c r="E241" s="183">
        <f>IFERROR(VLOOKUP($B241,calc_data,E$14+1,0),0)</f>
        <v/>
      </c>
      <c r="F241" s="182">
        <f>IFERROR(VLOOKUP($B241,calc_data,F$14+1,0),0)</f>
        <v/>
      </c>
      <c r="G241" s="141">
        <f>IFERROR(VLOOKUP($B241,calc_data,G$14+1,0),0)</f>
        <v/>
      </c>
      <c r="H241" s="141">
        <f>IFERROR(VLOOKUP($B241,calc_data,H$14+1,0),0)</f>
        <v/>
      </c>
      <c r="I241" s="142">
        <f>IFERROR(VLOOKUP($B241,calc_data,I$14+1,0),0)</f>
        <v/>
      </c>
      <c r="J241" s="141">
        <f>IFERROR(VLOOKUP($B241,calc_data,J$14+1,0),0)</f>
        <v/>
      </c>
      <c r="K241" s="141">
        <f>IFERROR(VLOOKUP($B241,calc_data,K$14+1,0),0)</f>
        <v/>
      </c>
      <c r="L241" s="141">
        <f>IFERROR(VLOOKUP($B241,calc_data,L$14+1,0),0)</f>
        <v/>
      </c>
      <c r="M241" s="177">
        <f>IFERROR(VLOOKUP($B241,calc_data,M$14+1,0),0)</f>
        <v/>
      </c>
      <c r="N241" s="177">
        <f>IFERROR(VLOOKUP($B241,calc_data,N$14+1,0),0)</f>
        <v/>
      </c>
      <c r="O241" s="45" t="n"/>
      <c r="Q241" s="57">
        <f>IF(K241&gt;0,"показать","скрыть")</f>
        <v/>
      </c>
    </row>
    <row r="242" ht="15.75" customHeight="1">
      <c r="B242" s="182" t="n">
        <v>226</v>
      </c>
      <c r="C242" s="182">
        <f>IFERROR(VLOOKUP($B242,calc_data,C$14+1,0),0)</f>
        <v/>
      </c>
      <c r="D242" s="182">
        <f>IFERROR(VLOOKUP($B242,calc_data,D$14+1,0),0)</f>
        <v/>
      </c>
      <c r="E242" s="183">
        <f>IFERROR(VLOOKUP($B242,calc_data,E$14+1,0),0)</f>
        <v/>
      </c>
      <c r="F242" s="182">
        <f>IFERROR(VLOOKUP($B242,calc_data,F$14+1,0),0)</f>
        <v/>
      </c>
      <c r="G242" s="141">
        <f>IFERROR(VLOOKUP($B242,calc_data,G$14+1,0),0)</f>
        <v/>
      </c>
      <c r="H242" s="141">
        <f>IFERROR(VLOOKUP($B242,calc_data,H$14+1,0),0)</f>
        <v/>
      </c>
      <c r="I242" s="142">
        <f>IFERROR(VLOOKUP($B242,calc_data,I$14+1,0),0)</f>
        <v/>
      </c>
      <c r="J242" s="141">
        <f>IFERROR(VLOOKUP($B242,calc_data,J$14+1,0),0)</f>
        <v/>
      </c>
      <c r="K242" s="141">
        <f>IFERROR(VLOOKUP($B242,calc_data,K$14+1,0),0)</f>
        <v/>
      </c>
      <c r="L242" s="141">
        <f>IFERROR(VLOOKUP($B242,calc_data,L$14+1,0),0)</f>
        <v/>
      </c>
      <c r="M242" s="177">
        <f>IFERROR(VLOOKUP($B242,calc_data,M$14+1,0),0)</f>
        <v/>
      </c>
      <c r="N242" s="177">
        <f>IFERROR(VLOOKUP($B242,calc_data,N$14+1,0),0)</f>
        <v/>
      </c>
      <c r="O242" s="45" t="n"/>
      <c r="Q242" s="57">
        <f>IF(K242&gt;0,"показать","скрыть")</f>
        <v/>
      </c>
    </row>
    <row r="243" ht="15.75" customHeight="1">
      <c r="B243" s="182" t="n">
        <v>227</v>
      </c>
      <c r="C243" s="182">
        <f>IFERROR(VLOOKUP($B243,calc_data,C$14+1,0),0)</f>
        <v/>
      </c>
      <c r="D243" s="182">
        <f>IFERROR(VLOOKUP($B243,calc_data,D$14+1,0),0)</f>
        <v/>
      </c>
      <c r="E243" s="183">
        <f>IFERROR(VLOOKUP($B243,calc_data,E$14+1,0),0)</f>
        <v/>
      </c>
      <c r="F243" s="182">
        <f>IFERROR(VLOOKUP($B243,calc_data,F$14+1,0),0)</f>
        <v/>
      </c>
      <c r="G243" s="141">
        <f>IFERROR(VLOOKUP($B243,calc_data,G$14+1,0),0)</f>
        <v/>
      </c>
      <c r="H243" s="141">
        <f>IFERROR(VLOOKUP($B243,calc_data,H$14+1,0),0)</f>
        <v/>
      </c>
      <c r="I243" s="142">
        <f>IFERROR(VLOOKUP($B243,calc_data,I$14+1,0),0)</f>
        <v/>
      </c>
      <c r="J243" s="141">
        <f>IFERROR(VLOOKUP($B243,calc_data,J$14+1,0),0)</f>
        <v/>
      </c>
      <c r="K243" s="141">
        <f>IFERROR(VLOOKUP($B243,calc_data,K$14+1,0),0)</f>
        <v/>
      </c>
      <c r="L243" s="141">
        <f>IFERROR(VLOOKUP($B243,calc_data,L$14+1,0),0)</f>
        <v/>
      </c>
      <c r="M243" s="177">
        <f>IFERROR(VLOOKUP($B243,calc_data,M$14+1,0),0)</f>
        <v/>
      </c>
      <c r="N243" s="177">
        <f>IFERROR(VLOOKUP($B243,calc_data,N$14+1,0),0)</f>
        <v/>
      </c>
      <c r="O243" s="45" t="n"/>
      <c r="Q243" s="57">
        <f>IF(K243&gt;0,"показать","скрыть")</f>
        <v/>
      </c>
    </row>
    <row r="244" ht="15.75" customHeight="1">
      <c r="B244" s="182" t="n">
        <v>228</v>
      </c>
      <c r="C244" s="182">
        <f>IFERROR(VLOOKUP($B244,calc_data,C$14+1,0),0)</f>
        <v/>
      </c>
      <c r="D244" s="182">
        <f>IFERROR(VLOOKUP($B244,calc_data,D$14+1,0),0)</f>
        <v/>
      </c>
      <c r="E244" s="183">
        <f>IFERROR(VLOOKUP($B244,calc_data,E$14+1,0),0)</f>
        <v/>
      </c>
      <c r="F244" s="182">
        <f>IFERROR(VLOOKUP($B244,calc_data,F$14+1,0),0)</f>
        <v/>
      </c>
      <c r="G244" s="141">
        <f>IFERROR(VLOOKUP($B244,calc_data,G$14+1,0),0)</f>
        <v/>
      </c>
      <c r="H244" s="141">
        <f>IFERROR(VLOOKUP($B244,calc_data,H$14+1,0),0)</f>
        <v/>
      </c>
      <c r="I244" s="142">
        <f>IFERROR(VLOOKUP($B244,calc_data,I$14+1,0),0)</f>
        <v/>
      </c>
      <c r="J244" s="141">
        <f>IFERROR(VLOOKUP($B244,calc_data,J$14+1,0),0)</f>
        <v/>
      </c>
      <c r="K244" s="141">
        <f>IFERROR(VLOOKUP($B244,calc_data,K$14+1,0),0)</f>
        <v/>
      </c>
      <c r="L244" s="141">
        <f>IFERROR(VLOOKUP($B244,calc_data,L$14+1,0),0)</f>
        <v/>
      </c>
      <c r="M244" s="177">
        <f>IFERROR(VLOOKUP($B244,calc_data,M$14+1,0),0)</f>
        <v/>
      </c>
      <c r="N244" s="177">
        <f>IFERROR(VLOOKUP($B244,calc_data,N$14+1,0),0)</f>
        <v/>
      </c>
      <c r="O244" s="45" t="n"/>
      <c r="Q244" s="57">
        <f>IF(K244&gt;0,"показать","скрыть")</f>
        <v/>
      </c>
    </row>
    <row r="245" ht="15.75" customHeight="1">
      <c r="B245" s="182" t="n">
        <v>229</v>
      </c>
      <c r="C245" s="182">
        <f>IFERROR(VLOOKUP($B245,calc_data,C$14+1,0),0)</f>
        <v/>
      </c>
      <c r="D245" s="182">
        <f>IFERROR(VLOOKUP($B245,calc_data,D$14+1,0),0)</f>
        <v/>
      </c>
      <c r="E245" s="183">
        <f>IFERROR(VLOOKUP($B245,calc_data,E$14+1,0),0)</f>
        <v/>
      </c>
      <c r="F245" s="182">
        <f>IFERROR(VLOOKUP($B245,calc_data,F$14+1,0),0)</f>
        <v/>
      </c>
      <c r="G245" s="141">
        <f>IFERROR(VLOOKUP($B245,calc_data,G$14+1,0),0)</f>
        <v/>
      </c>
      <c r="H245" s="141">
        <f>IFERROR(VLOOKUP($B245,calc_data,H$14+1,0),0)</f>
        <v/>
      </c>
      <c r="I245" s="142">
        <f>IFERROR(VLOOKUP($B245,calc_data,I$14+1,0),0)</f>
        <v/>
      </c>
      <c r="J245" s="141">
        <f>IFERROR(VLOOKUP($B245,calc_data,J$14+1,0),0)</f>
        <v/>
      </c>
      <c r="K245" s="141">
        <f>IFERROR(VLOOKUP($B245,calc_data,K$14+1,0),0)</f>
        <v/>
      </c>
      <c r="L245" s="141">
        <f>IFERROR(VLOOKUP($B245,calc_data,L$14+1,0),0)</f>
        <v/>
      </c>
      <c r="M245" s="177">
        <f>IFERROR(VLOOKUP($B245,calc_data,M$14+1,0),0)</f>
        <v/>
      </c>
      <c r="N245" s="177">
        <f>IFERROR(VLOOKUP($B245,calc_data,N$14+1,0),0)</f>
        <v/>
      </c>
      <c r="O245" s="45" t="n"/>
      <c r="Q245" s="57">
        <f>IF(K245&gt;0,"показать","скрыть")</f>
        <v/>
      </c>
    </row>
    <row r="246" ht="15.75" customHeight="1">
      <c r="B246" s="182" t="n">
        <v>230</v>
      </c>
      <c r="C246" s="182">
        <f>IFERROR(VLOOKUP($B246,calc_data,C$14+1,0),0)</f>
        <v/>
      </c>
      <c r="D246" s="182">
        <f>IFERROR(VLOOKUP($B246,calc_data,D$14+1,0),0)</f>
        <v/>
      </c>
      <c r="E246" s="183">
        <f>IFERROR(VLOOKUP($B246,calc_data,E$14+1,0),0)</f>
        <v/>
      </c>
      <c r="F246" s="182">
        <f>IFERROR(VLOOKUP($B246,calc_data,F$14+1,0),0)</f>
        <v/>
      </c>
      <c r="G246" s="141">
        <f>IFERROR(VLOOKUP($B246,calc_data,G$14+1,0),0)</f>
        <v/>
      </c>
      <c r="H246" s="141">
        <f>IFERROR(VLOOKUP($B246,calc_data,H$14+1,0),0)</f>
        <v/>
      </c>
      <c r="I246" s="142">
        <f>IFERROR(VLOOKUP($B246,calc_data,I$14+1,0),0)</f>
        <v/>
      </c>
      <c r="J246" s="141">
        <f>IFERROR(VLOOKUP($B246,calc_data,J$14+1,0),0)</f>
        <v/>
      </c>
      <c r="K246" s="141">
        <f>IFERROR(VLOOKUP($B246,calc_data,K$14+1,0),0)</f>
        <v/>
      </c>
      <c r="L246" s="141">
        <f>IFERROR(VLOOKUP($B246,calc_data,L$14+1,0),0)</f>
        <v/>
      </c>
      <c r="M246" s="177">
        <f>IFERROR(VLOOKUP($B246,calc_data,M$14+1,0),0)</f>
        <v/>
      </c>
      <c r="N246" s="177">
        <f>IFERROR(VLOOKUP($B246,calc_data,N$14+1,0),0)</f>
        <v/>
      </c>
      <c r="O246" s="45" t="n"/>
      <c r="Q246" s="57">
        <f>IF(K246&gt;0,"показать","скрыть")</f>
        <v/>
      </c>
    </row>
    <row r="247" ht="15.75" customHeight="1">
      <c r="B247" s="182" t="n">
        <v>231</v>
      </c>
      <c r="C247" s="182">
        <f>IFERROR(VLOOKUP($B247,calc_data,C$14+1,0),0)</f>
        <v/>
      </c>
      <c r="D247" s="182">
        <f>IFERROR(VLOOKUP($B247,calc_data,D$14+1,0),0)</f>
        <v/>
      </c>
      <c r="E247" s="183">
        <f>IFERROR(VLOOKUP($B247,calc_data,E$14+1,0),0)</f>
        <v/>
      </c>
      <c r="F247" s="182">
        <f>IFERROR(VLOOKUP($B247,calc_data,F$14+1,0),0)</f>
        <v/>
      </c>
      <c r="G247" s="141">
        <f>IFERROR(VLOOKUP($B247,calc_data,G$14+1,0),0)</f>
        <v/>
      </c>
      <c r="H247" s="141">
        <f>IFERROR(VLOOKUP($B247,calc_data,H$14+1,0),0)</f>
        <v/>
      </c>
      <c r="I247" s="142">
        <f>IFERROR(VLOOKUP($B247,calc_data,I$14+1,0),0)</f>
        <v/>
      </c>
      <c r="J247" s="141">
        <f>IFERROR(VLOOKUP($B247,calc_data,J$14+1,0),0)</f>
        <v/>
      </c>
      <c r="K247" s="141">
        <f>IFERROR(VLOOKUP($B247,calc_data,K$14+1,0),0)</f>
        <v/>
      </c>
      <c r="L247" s="141">
        <f>IFERROR(VLOOKUP($B247,calc_data,L$14+1,0),0)</f>
        <v/>
      </c>
      <c r="M247" s="177">
        <f>IFERROR(VLOOKUP($B247,calc_data,M$14+1,0),0)</f>
        <v/>
      </c>
      <c r="N247" s="177">
        <f>IFERROR(VLOOKUP($B247,calc_data,N$14+1,0),0)</f>
        <v/>
      </c>
      <c r="O247" s="45" t="n"/>
      <c r="Q247" s="57">
        <f>IF(K247&gt;0,"показать","скрыть")</f>
        <v/>
      </c>
    </row>
    <row r="248" ht="15.75" customHeight="1">
      <c r="B248" s="182" t="n">
        <v>232</v>
      </c>
      <c r="C248" s="182">
        <f>IFERROR(VLOOKUP($B248,calc_data,C$14+1,0),0)</f>
        <v/>
      </c>
      <c r="D248" s="182">
        <f>IFERROR(VLOOKUP($B248,calc_data,D$14+1,0),0)</f>
        <v/>
      </c>
      <c r="E248" s="183">
        <f>IFERROR(VLOOKUP($B248,calc_data,E$14+1,0),0)</f>
        <v/>
      </c>
      <c r="F248" s="182">
        <f>IFERROR(VLOOKUP($B248,calc_data,F$14+1,0),0)</f>
        <v/>
      </c>
      <c r="G248" s="141">
        <f>IFERROR(VLOOKUP($B248,calc_data,G$14+1,0),0)</f>
        <v/>
      </c>
      <c r="H248" s="141">
        <f>IFERROR(VLOOKUP($B248,calc_data,H$14+1,0),0)</f>
        <v/>
      </c>
      <c r="I248" s="142">
        <f>IFERROR(VLOOKUP($B248,calc_data,I$14+1,0),0)</f>
        <v/>
      </c>
      <c r="J248" s="141">
        <f>IFERROR(VLOOKUP($B248,calc_data,J$14+1,0),0)</f>
        <v/>
      </c>
      <c r="K248" s="141">
        <f>IFERROR(VLOOKUP($B248,calc_data,K$14+1,0),0)</f>
        <v/>
      </c>
      <c r="L248" s="141">
        <f>IFERROR(VLOOKUP($B248,calc_data,L$14+1,0),0)</f>
        <v/>
      </c>
      <c r="M248" s="177">
        <f>IFERROR(VLOOKUP($B248,calc_data,M$14+1,0),0)</f>
        <v/>
      </c>
      <c r="N248" s="177">
        <f>IFERROR(VLOOKUP($B248,calc_data,N$14+1,0),0)</f>
        <v/>
      </c>
      <c r="O248" s="45" t="n"/>
      <c r="Q248" s="57">
        <f>IF(K248&gt;0,"показать","скрыть")</f>
        <v/>
      </c>
    </row>
    <row r="249" ht="15.75" customHeight="1">
      <c r="B249" s="182" t="n">
        <v>233</v>
      </c>
      <c r="C249" s="182">
        <f>IFERROR(VLOOKUP($B249,calc_data,C$14+1,0),0)</f>
        <v/>
      </c>
      <c r="D249" s="182">
        <f>IFERROR(VLOOKUP($B249,calc_data,D$14+1,0),0)</f>
        <v/>
      </c>
      <c r="E249" s="183">
        <f>IFERROR(VLOOKUP($B249,calc_data,E$14+1,0),0)</f>
        <v/>
      </c>
      <c r="F249" s="182">
        <f>IFERROR(VLOOKUP($B249,calc_data,F$14+1,0),0)</f>
        <v/>
      </c>
      <c r="G249" s="141">
        <f>IFERROR(VLOOKUP($B249,calc_data,G$14+1,0),0)</f>
        <v/>
      </c>
      <c r="H249" s="141">
        <f>IFERROR(VLOOKUP($B249,calc_data,H$14+1,0),0)</f>
        <v/>
      </c>
      <c r="I249" s="142">
        <f>IFERROR(VLOOKUP($B249,calc_data,I$14+1,0),0)</f>
        <v/>
      </c>
      <c r="J249" s="141">
        <f>IFERROR(VLOOKUP($B249,calc_data,J$14+1,0),0)</f>
        <v/>
      </c>
      <c r="K249" s="141">
        <f>IFERROR(VLOOKUP($B249,calc_data,K$14+1,0),0)</f>
        <v/>
      </c>
      <c r="L249" s="141">
        <f>IFERROR(VLOOKUP($B249,calc_data,L$14+1,0),0)</f>
        <v/>
      </c>
      <c r="M249" s="177">
        <f>IFERROR(VLOOKUP($B249,calc_data,M$14+1,0),0)</f>
        <v/>
      </c>
      <c r="N249" s="177">
        <f>IFERROR(VLOOKUP($B249,calc_data,N$14+1,0),0)</f>
        <v/>
      </c>
      <c r="O249" s="45" t="n"/>
      <c r="Q249" s="57">
        <f>IF(K249&gt;0,"показать","скрыть")</f>
        <v/>
      </c>
    </row>
    <row r="250" ht="15.75" customHeight="1">
      <c r="B250" s="182" t="n">
        <v>234</v>
      </c>
      <c r="C250" s="182">
        <f>IFERROR(VLOOKUP($B250,calc_data,C$14+1,0),0)</f>
        <v/>
      </c>
      <c r="D250" s="182">
        <f>IFERROR(VLOOKUP($B250,calc_data,D$14+1,0),0)</f>
        <v/>
      </c>
      <c r="E250" s="183">
        <f>IFERROR(VLOOKUP($B250,calc_data,E$14+1,0),0)</f>
        <v/>
      </c>
      <c r="F250" s="182">
        <f>IFERROR(VLOOKUP($B250,calc_data,F$14+1,0),0)</f>
        <v/>
      </c>
      <c r="G250" s="141">
        <f>IFERROR(VLOOKUP($B250,calc_data,G$14+1,0),0)</f>
        <v/>
      </c>
      <c r="H250" s="141">
        <f>IFERROR(VLOOKUP($B250,calc_data,H$14+1,0),0)</f>
        <v/>
      </c>
      <c r="I250" s="142">
        <f>IFERROR(VLOOKUP($B250,calc_data,I$14+1,0),0)</f>
        <v/>
      </c>
      <c r="J250" s="141">
        <f>IFERROR(VLOOKUP($B250,calc_data,J$14+1,0),0)</f>
        <v/>
      </c>
      <c r="K250" s="141">
        <f>IFERROR(VLOOKUP($B250,calc_data,K$14+1,0),0)</f>
        <v/>
      </c>
      <c r="L250" s="141">
        <f>IFERROR(VLOOKUP($B250,calc_data,L$14+1,0),0)</f>
        <v/>
      </c>
      <c r="M250" s="177">
        <f>IFERROR(VLOOKUP($B250,calc_data,M$14+1,0),0)</f>
        <v/>
      </c>
      <c r="N250" s="177">
        <f>IFERROR(VLOOKUP($B250,calc_data,N$14+1,0),0)</f>
        <v/>
      </c>
      <c r="O250" s="45" t="n"/>
      <c r="Q250" s="57">
        <f>IF(K250&gt;0,"показать","скрыть")</f>
        <v/>
      </c>
    </row>
    <row r="251" ht="15.75" customHeight="1">
      <c r="B251" s="182" t="n">
        <v>235</v>
      </c>
      <c r="C251" s="182">
        <f>IFERROR(VLOOKUP($B251,calc_data,C$14+1,0),0)</f>
        <v/>
      </c>
      <c r="D251" s="182">
        <f>IFERROR(VLOOKUP($B251,calc_data,D$14+1,0),0)</f>
        <v/>
      </c>
      <c r="E251" s="183">
        <f>IFERROR(VLOOKUP($B251,calc_data,E$14+1,0),0)</f>
        <v/>
      </c>
      <c r="F251" s="182">
        <f>IFERROR(VLOOKUP($B251,calc_data,F$14+1,0),0)</f>
        <v/>
      </c>
      <c r="G251" s="141">
        <f>IFERROR(VLOOKUP($B251,calc_data,G$14+1,0),0)</f>
        <v/>
      </c>
      <c r="H251" s="141">
        <f>IFERROR(VLOOKUP($B251,calc_data,H$14+1,0),0)</f>
        <v/>
      </c>
      <c r="I251" s="142">
        <f>IFERROR(VLOOKUP($B251,calc_data,I$14+1,0),0)</f>
        <v/>
      </c>
      <c r="J251" s="141">
        <f>IFERROR(VLOOKUP($B251,calc_data,J$14+1,0),0)</f>
        <v/>
      </c>
      <c r="K251" s="141">
        <f>IFERROR(VLOOKUP($B251,calc_data,K$14+1,0),0)</f>
        <v/>
      </c>
      <c r="L251" s="141">
        <f>IFERROR(VLOOKUP($B251,calc_data,L$14+1,0),0)</f>
        <v/>
      </c>
      <c r="M251" s="177">
        <f>IFERROR(VLOOKUP($B251,calc_data,M$14+1,0),0)</f>
        <v/>
      </c>
      <c r="N251" s="177">
        <f>IFERROR(VLOOKUP($B251,calc_data,N$14+1,0),0)</f>
        <v/>
      </c>
      <c r="O251" s="45" t="n"/>
      <c r="Q251" s="57">
        <f>IF(K251&gt;0,"показать","скрыть")</f>
        <v/>
      </c>
    </row>
    <row r="252" ht="15.75" customHeight="1">
      <c r="B252" s="182" t="n">
        <v>236</v>
      </c>
      <c r="C252" s="182">
        <f>IFERROR(VLOOKUP($B252,calc_data,C$14+1,0),0)</f>
        <v/>
      </c>
      <c r="D252" s="182">
        <f>IFERROR(VLOOKUP($B252,calc_data,D$14+1,0),0)</f>
        <v/>
      </c>
      <c r="E252" s="183">
        <f>IFERROR(VLOOKUP($B252,calc_data,E$14+1,0),0)</f>
        <v/>
      </c>
      <c r="F252" s="182">
        <f>IFERROR(VLOOKUP($B252,calc_data,F$14+1,0),0)</f>
        <v/>
      </c>
      <c r="G252" s="141">
        <f>IFERROR(VLOOKUP($B252,calc_data,G$14+1,0),0)</f>
        <v/>
      </c>
      <c r="H252" s="141">
        <f>IFERROR(VLOOKUP($B252,calc_data,H$14+1,0),0)</f>
        <v/>
      </c>
      <c r="I252" s="142">
        <f>IFERROR(VLOOKUP($B252,calc_data,I$14+1,0),0)</f>
        <v/>
      </c>
      <c r="J252" s="141">
        <f>IFERROR(VLOOKUP($B252,calc_data,J$14+1,0),0)</f>
        <v/>
      </c>
      <c r="K252" s="141">
        <f>IFERROR(VLOOKUP($B252,calc_data,K$14+1,0),0)</f>
        <v/>
      </c>
      <c r="L252" s="141">
        <f>IFERROR(VLOOKUP($B252,calc_data,L$14+1,0),0)</f>
        <v/>
      </c>
      <c r="M252" s="177">
        <f>IFERROR(VLOOKUP($B252,calc_data,M$14+1,0),0)</f>
        <v/>
      </c>
      <c r="N252" s="177">
        <f>IFERROR(VLOOKUP($B252,calc_data,N$14+1,0),0)</f>
        <v/>
      </c>
      <c r="O252" s="45" t="n"/>
      <c r="Q252" s="57">
        <f>IF(K252&gt;0,"показать","скрыть")</f>
        <v/>
      </c>
    </row>
    <row r="253" ht="15.75" customHeight="1">
      <c r="B253" s="182" t="n">
        <v>237</v>
      </c>
      <c r="C253" s="182">
        <f>IFERROR(VLOOKUP($B253,calc_data,C$14+1,0),0)</f>
        <v/>
      </c>
      <c r="D253" s="182">
        <f>IFERROR(VLOOKUP($B253,calc_data,D$14+1,0),0)</f>
        <v/>
      </c>
      <c r="E253" s="183">
        <f>IFERROR(VLOOKUP($B253,calc_data,E$14+1,0),0)</f>
        <v/>
      </c>
      <c r="F253" s="182">
        <f>IFERROR(VLOOKUP($B253,calc_data,F$14+1,0),0)</f>
        <v/>
      </c>
      <c r="G253" s="141">
        <f>IFERROR(VLOOKUP($B253,calc_data,G$14+1,0),0)</f>
        <v/>
      </c>
      <c r="H253" s="141">
        <f>IFERROR(VLOOKUP($B253,calc_data,H$14+1,0),0)</f>
        <v/>
      </c>
      <c r="I253" s="142">
        <f>IFERROR(VLOOKUP($B253,calc_data,I$14+1,0),0)</f>
        <v/>
      </c>
      <c r="J253" s="141">
        <f>IFERROR(VLOOKUP($B253,calc_data,J$14+1,0),0)</f>
        <v/>
      </c>
      <c r="K253" s="141">
        <f>IFERROR(VLOOKUP($B253,calc_data,K$14+1,0),0)</f>
        <v/>
      </c>
      <c r="L253" s="141">
        <f>IFERROR(VLOOKUP($B253,calc_data,L$14+1,0),0)</f>
        <v/>
      </c>
      <c r="M253" s="177">
        <f>IFERROR(VLOOKUP($B253,calc_data,M$14+1,0),0)</f>
        <v/>
      </c>
      <c r="N253" s="177">
        <f>IFERROR(VLOOKUP($B253,calc_data,N$14+1,0),0)</f>
        <v/>
      </c>
      <c r="O253" s="45" t="n"/>
      <c r="Q253" s="57">
        <f>IF(K253&gt;0,"показать","скрыть")</f>
        <v/>
      </c>
    </row>
    <row r="254" ht="15.75" customHeight="1">
      <c r="B254" s="182" t="n">
        <v>238</v>
      </c>
      <c r="C254" s="182">
        <f>IFERROR(VLOOKUP($B254,calc_data,C$14+1,0),0)</f>
        <v/>
      </c>
      <c r="D254" s="182">
        <f>IFERROR(VLOOKUP($B254,calc_data,D$14+1,0),0)</f>
        <v/>
      </c>
      <c r="E254" s="183">
        <f>IFERROR(VLOOKUP($B254,calc_data,E$14+1,0),0)</f>
        <v/>
      </c>
      <c r="F254" s="182">
        <f>IFERROR(VLOOKUP($B254,calc_data,F$14+1,0),0)</f>
        <v/>
      </c>
      <c r="G254" s="141">
        <f>IFERROR(VLOOKUP($B254,calc_data,G$14+1,0),0)</f>
        <v/>
      </c>
      <c r="H254" s="141">
        <f>IFERROR(VLOOKUP($B254,calc_data,H$14+1,0),0)</f>
        <v/>
      </c>
      <c r="I254" s="142">
        <f>IFERROR(VLOOKUP($B254,calc_data,I$14+1,0),0)</f>
        <v/>
      </c>
      <c r="J254" s="141">
        <f>IFERROR(VLOOKUP($B254,calc_data,J$14+1,0),0)</f>
        <v/>
      </c>
      <c r="K254" s="141">
        <f>IFERROR(VLOOKUP($B254,calc_data,K$14+1,0),0)</f>
        <v/>
      </c>
      <c r="L254" s="141">
        <f>IFERROR(VLOOKUP($B254,calc_data,L$14+1,0),0)</f>
        <v/>
      </c>
      <c r="M254" s="177">
        <f>IFERROR(VLOOKUP($B254,calc_data,M$14+1,0),0)</f>
        <v/>
      </c>
      <c r="N254" s="177">
        <f>IFERROR(VLOOKUP($B254,calc_data,N$14+1,0),0)</f>
        <v/>
      </c>
      <c r="O254" s="45" t="n"/>
      <c r="Q254" s="57">
        <f>IF(K254&gt;0,"показать","скрыть")</f>
        <v/>
      </c>
    </row>
    <row r="255" ht="15.75" customHeight="1">
      <c r="B255" s="182" t="n">
        <v>239</v>
      </c>
      <c r="C255" s="182">
        <f>IFERROR(VLOOKUP($B255,calc_data,C$14+1,0),0)</f>
        <v/>
      </c>
      <c r="D255" s="182">
        <f>IFERROR(VLOOKUP($B255,calc_data,D$14+1,0),0)</f>
        <v/>
      </c>
      <c r="E255" s="183">
        <f>IFERROR(VLOOKUP($B255,calc_data,E$14+1,0),0)</f>
        <v/>
      </c>
      <c r="F255" s="182">
        <f>IFERROR(VLOOKUP($B255,calc_data,F$14+1,0),0)</f>
        <v/>
      </c>
      <c r="G255" s="141">
        <f>IFERROR(VLOOKUP($B255,calc_data,G$14+1,0),0)</f>
        <v/>
      </c>
      <c r="H255" s="141">
        <f>IFERROR(VLOOKUP($B255,calc_data,H$14+1,0),0)</f>
        <v/>
      </c>
      <c r="I255" s="142">
        <f>IFERROR(VLOOKUP($B255,calc_data,I$14+1,0),0)</f>
        <v/>
      </c>
      <c r="J255" s="141">
        <f>IFERROR(VLOOKUP($B255,calc_data,J$14+1,0),0)</f>
        <v/>
      </c>
      <c r="K255" s="141">
        <f>IFERROR(VLOOKUP($B255,calc_data,K$14+1,0),0)</f>
        <v/>
      </c>
      <c r="L255" s="141">
        <f>IFERROR(VLOOKUP($B255,calc_data,L$14+1,0),0)</f>
        <v/>
      </c>
      <c r="M255" s="177">
        <f>IFERROR(VLOOKUP($B255,calc_data,M$14+1,0),0)</f>
        <v/>
      </c>
      <c r="N255" s="177">
        <f>IFERROR(VLOOKUP($B255,calc_data,N$14+1,0),0)</f>
        <v/>
      </c>
      <c r="O255" s="45" t="n"/>
      <c r="Q255" s="57">
        <f>IF(K255&gt;0,"показать","скрыть")</f>
        <v/>
      </c>
    </row>
    <row r="256" ht="15.75" customHeight="1">
      <c r="B256" s="182" t="n">
        <v>240</v>
      </c>
      <c r="C256" s="182">
        <f>IFERROR(VLOOKUP($B256,calc_data,C$14+1,0),0)</f>
        <v/>
      </c>
      <c r="D256" s="182">
        <f>IFERROR(VLOOKUP($B256,calc_data,D$14+1,0),0)</f>
        <v/>
      </c>
      <c r="E256" s="183">
        <f>IFERROR(VLOOKUP($B256,calc_data,E$14+1,0),0)</f>
        <v/>
      </c>
      <c r="F256" s="182">
        <f>IFERROR(VLOOKUP($B256,calc_data,F$14+1,0),0)</f>
        <v/>
      </c>
      <c r="G256" s="141">
        <f>IFERROR(VLOOKUP($B256,calc_data,G$14+1,0),0)</f>
        <v/>
      </c>
      <c r="H256" s="141">
        <f>IFERROR(VLOOKUP($B256,calc_data,H$14+1,0),0)</f>
        <v/>
      </c>
      <c r="I256" s="142">
        <f>IFERROR(VLOOKUP($B256,calc_data,I$14+1,0),0)</f>
        <v/>
      </c>
      <c r="J256" s="141">
        <f>IFERROR(VLOOKUP($B256,calc_data,J$14+1,0),0)</f>
        <v/>
      </c>
      <c r="K256" s="141">
        <f>IFERROR(VLOOKUP($B256,calc_data,K$14+1,0),0)</f>
        <v/>
      </c>
      <c r="L256" s="141">
        <f>IFERROR(VLOOKUP($B256,calc_data,L$14+1,0),0)</f>
        <v/>
      </c>
      <c r="M256" s="177">
        <f>IFERROR(VLOOKUP($B256,calc_data,M$14+1,0),0)</f>
        <v/>
      </c>
      <c r="N256" s="177">
        <f>IFERROR(VLOOKUP($B256,calc_data,N$14+1,0),0)</f>
        <v/>
      </c>
      <c r="O256" s="45" t="n"/>
      <c r="Q256" s="57">
        <f>IF(K256&gt;0,"показать","скрыть")</f>
        <v/>
      </c>
    </row>
    <row r="257" ht="15.75" customHeight="1">
      <c r="B257" s="182" t="n">
        <v>241</v>
      </c>
      <c r="C257" s="182">
        <f>IFERROR(VLOOKUP($B257,calc_data,C$14+1,0),0)</f>
        <v/>
      </c>
      <c r="D257" s="182">
        <f>IFERROR(VLOOKUP($B257,calc_data,D$14+1,0),0)</f>
        <v/>
      </c>
      <c r="E257" s="183">
        <f>IFERROR(VLOOKUP($B257,calc_data,E$14+1,0),0)</f>
        <v/>
      </c>
      <c r="F257" s="182">
        <f>IFERROR(VLOOKUP($B257,calc_data,F$14+1,0),0)</f>
        <v/>
      </c>
      <c r="G257" s="141">
        <f>IFERROR(VLOOKUP($B257,calc_data,G$14+1,0),0)</f>
        <v/>
      </c>
      <c r="H257" s="141">
        <f>IFERROR(VLOOKUP($B257,calc_data,H$14+1,0),0)</f>
        <v/>
      </c>
      <c r="I257" s="142">
        <f>IFERROR(VLOOKUP($B257,calc_data,I$14+1,0),0)</f>
        <v/>
      </c>
      <c r="J257" s="141">
        <f>IFERROR(VLOOKUP($B257,calc_data,J$14+1,0),0)</f>
        <v/>
      </c>
      <c r="K257" s="141">
        <f>IFERROR(VLOOKUP($B257,calc_data,K$14+1,0),0)</f>
        <v/>
      </c>
      <c r="L257" s="141">
        <f>IFERROR(VLOOKUP($B257,calc_data,L$14+1,0),0)</f>
        <v/>
      </c>
      <c r="M257" s="177">
        <f>IFERROR(VLOOKUP($B257,calc_data,M$14+1,0),0)</f>
        <v/>
      </c>
      <c r="N257" s="177">
        <f>IFERROR(VLOOKUP($B257,calc_data,N$14+1,0),0)</f>
        <v/>
      </c>
      <c r="O257" s="45" t="n"/>
      <c r="Q257" s="57">
        <f>IF(K257&gt;0,"показать","скрыть")</f>
        <v/>
      </c>
    </row>
    <row r="258" ht="15.75" customHeight="1">
      <c r="B258" s="182" t="n">
        <v>242</v>
      </c>
      <c r="C258" s="182">
        <f>IFERROR(VLOOKUP($B258,calc_data,C$14+1,0),0)</f>
        <v/>
      </c>
      <c r="D258" s="182">
        <f>IFERROR(VLOOKUP($B258,calc_data,D$14+1,0),0)</f>
        <v/>
      </c>
      <c r="E258" s="183">
        <f>IFERROR(VLOOKUP($B258,calc_data,E$14+1,0),0)</f>
        <v/>
      </c>
      <c r="F258" s="182">
        <f>IFERROR(VLOOKUP($B258,calc_data,F$14+1,0),0)</f>
        <v/>
      </c>
      <c r="G258" s="141">
        <f>IFERROR(VLOOKUP($B258,calc_data,G$14+1,0),0)</f>
        <v/>
      </c>
      <c r="H258" s="141">
        <f>IFERROR(VLOOKUP($B258,calc_data,H$14+1,0),0)</f>
        <v/>
      </c>
      <c r="I258" s="142">
        <f>IFERROR(VLOOKUP($B258,calc_data,I$14+1,0),0)</f>
        <v/>
      </c>
      <c r="J258" s="141">
        <f>IFERROR(VLOOKUP($B258,calc_data,J$14+1,0),0)</f>
        <v/>
      </c>
      <c r="K258" s="141">
        <f>IFERROR(VLOOKUP($B258,calc_data,K$14+1,0),0)</f>
        <v/>
      </c>
      <c r="L258" s="141">
        <f>IFERROR(VLOOKUP($B258,calc_data,L$14+1,0),0)</f>
        <v/>
      </c>
      <c r="M258" s="177">
        <f>IFERROR(VLOOKUP($B258,calc_data,M$14+1,0),0)</f>
        <v/>
      </c>
      <c r="N258" s="177">
        <f>IFERROR(VLOOKUP($B258,calc_data,N$14+1,0),0)</f>
        <v/>
      </c>
      <c r="O258" s="45" t="n"/>
      <c r="Q258" s="57">
        <f>IF(K258&gt;0,"показать","скрыть")</f>
        <v/>
      </c>
    </row>
    <row r="259" ht="15.75" customHeight="1">
      <c r="B259" s="182" t="n">
        <v>243</v>
      </c>
      <c r="C259" s="182">
        <f>IFERROR(VLOOKUP($B259,calc_data,C$14+1,0),0)</f>
        <v/>
      </c>
      <c r="D259" s="182">
        <f>IFERROR(VLOOKUP($B259,calc_data,D$14+1,0),0)</f>
        <v/>
      </c>
      <c r="E259" s="183">
        <f>IFERROR(VLOOKUP($B259,calc_data,E$14+1,0),0)</f>
        <v/>
      </c>
      <c r="F259" s="182">
        <f>IFERROR(VLOOKUP($B259,calc_data,F$14+1,0),0)</f>
        <v/>
      </c>
      <c r="G259" s="141">
        <f>IFERROR(VLOOKUP($B259,calc_data,G$14+1,0),0)</f>
        <v/>
      </c>
      <c r="H259" s="141">
        <f>IFERROR(VLOOKUP($B259,calc_data,H$14+1,0),0)</f>
        <v/>
      </c>
      <c r="I259" s="142">
        <f>IFERROR(VLOOKUP($B259,calc_data,I$14+1,0),0)</f>
        <v/>
      </c>
      <c r="J259" s="141">
        <f>IFERROR(VLOOKUP($B259,calc_data,J$14+1,0),0)</f>
        <v/>
      </c>
      <c r="K259" s="141">
        <f>IFERROR(VLOOKUP($B259,calc_data,K$14+1,0),0)</f>
        <v/>
      </c>
      <c r="L259" s="141">
        <f>IFERROR(VLOOKUP($B259,calc_data,L$14+1,0),0)</f>
        <v/>
      </c>
      <c r="M259" s="177">
        <f>IFERROR(VLOOKUP($B259,calc_data,M$14+1,0),0)</f>
        <v/>
      </c>
      <c r="N259" s="177">
        <f>IFERROR(VLOOKUP($B259,calc_data,N$14+1,0),0)</f>
        <v/>
      </c>
      <c r="O259" s="45" t="n"/>
      <c r="Q259" s="57">
        <f>IF(K259&gt;0,"показать","скрыть")</f>
        <v/>
      </c>
    </row>
    <row r="260" ht="15.75" customHeight="1">
      <c r="B260" s="182" t="n">
        <v>244</v>
      </c>
      <c r="C260" s="182">
        <f>IFERROR(VLOOKUP($B260,calc_data,C$14+1,0),0)</f>
        <v/>
      </c>
      <c r="D260" s="182">
        <f>IFERROR(VLOOKUP($B260,calc_data,D$14+1,0),0)</f>
        <v/>
      </c>
      <c r="E260" s="183">
        <f>IFERROR(VLOOKUP($B260,calc_data,E$14+1,0),0)</f>
        <v/>
      </c>
      <c r="F260" s="182">
        <f>IFERROR(VLOOKUP($B260,calc_data,F$14+1,0),0)</f>
        <v/>
      </c>
      <c r="G260" s="141">
        <f>IFERROR(VLOOKUP($B260,calc_data,G$14+1,0),0)</f>
        <v/>
      </c>
      <c r="H260" s="141">
        <f>IFERROR(VLOOKUP($B260,calc_data,H$14+1,0),0)</f>
        <v/>
      </c>
      <c r="I260" s="142">
        <f>IFERROR(VLOOKUP($B260,calc_data,I$14+1,0),0)</f>
        <v/>
      </c>
      <c r="J260" s="141">
        <f>IFERROR(VLOOKUP($B260,calc_data,J$14+1,0),0)</f>
        <v/>
      </c>
      <c r="K260" s="141">
        <f>IFERROR(VLOOKUP($B260,calc_data,K$14+1,0),0)</f>
        <v/>
      </c>
      <c r="L260" s="141">
        <f>IFERROR(VLOOKUP($B260,calc_data,L$14+1,0),0)</f>
        <v/>
      </c>
      <c r="M260" s="177">
        <f>IFERROR(VLOOKUP($B260,calc_data,M$14+1,0),0)</f>
        <v/>
      </c>
      <c r="N260" s="177">
        <f>IFERROR(VLOOKUP($B260,calc_data,N$14+1,0),0)</f>
        <v/>
      </c>
      <c r="O260" s="45" t="n"/>
      <c r="Q260" s="57">
        <f>IF(K260&gt;0,"показать","скрыть")</f>
        <v/>
      </c>
    </row>
    <row r="261" ht="15.75" customHeight="1">
      <c r="B261" s="182" t="n">
        <v>245</v>
      </c>
      <c r="C261" s="182">
        <f>IFERROR(VLOOKUP($B261,calc_data,C$14+1,0),0)</f>
        <v/>
      </c>
      <c r="D261" s="182">
        <f>IFERROR(VLOOKUP($B261,calc_data,D$14+1,0),0)</f>
        <v/>
      </c>
      <c r="E261" s="183">
        <f>IFERROR(VLOOKUP($B261,calc_data,E$14+1,0),0)</f>
        <v/>
      </c>
      <c r="F261" s="182">
        <f>IFERROR(VLOOKUP($B261,calc_data,F$14+1,0),0)</f>
        <v/>
      </c>
      <c r="G261" s="141">
        <f>IFERROR(VLOOKUP($B261,calc_data,G$14+1,0),0)</f>
        <v/>
      </c>
      <c r="H261" s="141">
        <f>IFERROR(VLOOKUP($B261,calc_data,H$14+1,0),0)</f>
        <v/>
      </c>
      <c r="I261" s="142">
        <f>IFERROR(VLOOKUP($B261,calc_data,I$14+1,0),0)</f>
        <v/>
      </c>
      <c r="J261" s="141">
        <f>IFERROR(VLOOKUP($B261,calc_data,J$14+1,0),0)</f>
        <v/>
      </c>
      <c r="K261" s="141">
        <f>IFERROR(VLOOKUP($B261,calc_data,K$14+1,0),0)</f>
        <v/>
      </c>
      <c r="L261" s="141">
        <f>IFERROR(VLOOKUP($B261,calc_data,L$14+1,0),0)</f>
        <v/>
      </c>
      <c r="M261" s="177">
        <f>IFERROR(VLOOKUP($B261,calc_data,M$14+1,0),0)</f>
        <v/>
      </c>
      <c r="N261" s="177">
        <f>IFERROR(VLOOKUP($B261,calc_data,N$14+1,0),0)</f>
        <v/>
      </c>
      <c r="O261" s="45" t="n"/>
      <c r="Q261" s="57">
        <f>IF(K261&gt;0,"показать","скрыть")</f>
        <v/>
      </c>
    </row>
    <row r="262" ht="15.75" customHeight="1">
      <c r="B262" s="182" t="n">
        <v>246</v>
      </c>
      <c r="C262" s="182">
        <f>IFERROR(VLOOKUP($B262,calc_data,C$14+1,0),0)</f>
        <v/>
      </c>
      <c r="D262" s="182">
        <f>IFERROR(VLOOKUP($B262,calc_data,D$14+1,0),0)</f>
        <v/>
      </c>
      <c r="E262" s="183">
        <f>IFERROR(VLOOKUP($B262,calc_data,E$14+1,0),0)</f>
        <v/>
      </c>
      <c r="F262" s="182">
        <f>IFERROR(VLOOKUP($B262,calc_data,F$14+1,0),0)</f>
        <v/>
      </c>
      <c r="G262" s="141">
        <f>IFERROR(VLOOKUP($B262,calc_data,G$14+1,0),0)</f>
        <v/>
      </c>
      <c r="H262" s="141">
        <f>IFERROR(VLOOKUP($B262,calc_data,H$14+1,0),0)</f>
        <v/>
      </c>
      <c r="I262" s="142">
        <f>IFERROR(VLOOKUP($B262,calc_data,I$14+1,0),0)</f>
        <v/>
      </c>
      <c r="J262" s="141">
        <f>IFERROR(VLOOKUP($B262,calc_data,J$14+1,0),0)</f>
        <v/>
      </c>
      <c r="K262" s="141">
        <f>IFERROR(VLOOKUP($B262,calc_data,K$14+1,0),0)</f>
        <v/>
      </c>
      <c r="L262" s="141">
        <f>IFERROR(VLOOKUP($B262,calc_data,L$14+1,0),0)</f>
        <v/>
      </c>
      <c r="M262" s="177">
        <f>IFERROR(VLOOKUP($B262,calc_data,M$14+1,0),0)</f>
        <v/>
      </c>
      <c r="N262" s="177">
        <f>IFERROR(VLOOKUP($B262,calc_data,N$14+1,0),0)</f>
        <v/>
      </c>
      <c r="O262" s="45" t="n"/>
      <c r="Q262" s="57">
        <f>IF(K262&gt;0,"показать","скрыть")</f>
        <v/>
      </c>
    </row>
    <row r="263" ht="15.75" customHeight="1">
      <c r="B263" s="182" t="n">
        <v>247</v>
      </c>
      <c r="C263" s="182">
        <f>IFERROR(VLOOKUP($B263,calc_data,C$14+1,0),0)</f>
        <v/>
      </c>
      <c r="D263" s="182">
        <f>IFERROR(VLOOKUP($B263,calc_data,D$14+1,0),0)</f>
        <v/>
      </c>
      <c r="E263" s="183">
        <f>IFERROR(VLOOKUP($B263,calc_data,E$14+1,0),0)</f>
        <v/>
      </c>
      <c r="F263" s="182">
        <f>IFERROR(VLOOKUP($B263,calc_data,F$14+1,0),0)</f>
        <v/>
      </c>
      <c r="G263" s="141">
        <f>IFERROR(VLOOKUP($B263,calc_data,G$14+1,0),0)</f>
        <v/>
      </c>
      <c r="H263" s="141">
        <f>IFERROR(VLOOKUP($B263,calc_data,H$14+1,0),0)</f>
        <v/>
      </c>
      <c r="I263" s="142">
        <f>IFERROR(VLOOKUP($B263,calc_data,I$14+1,0),0)</f>
        <v/>
      </c>
      <c r="J263" s="141">
        <f>IFERROR(VLOOKUP($B263,calc_data,J$14+1,0),0)</f>
        <v/>
      </c>
      <c r="K263" s="141">
        <f>IFERROR(VLOOKUP($B263,calc_data,K$14+1,0),0)</f>
        <v/>
      </c>
      <c r="L263" s="141">
        <f>IFERROR(VLOOKUP($B263,calc_data,L$14+1,0),0)</f>
        <v/>
      </c>
      <c r="M263" s="177">
        <f>IFERROR(VLOOKUP($B263,calc_data,M$14+1,0),0)</f>
        <v/>
      </c>
      <c r="N263" s="177">
        <f>IFERROR(VLOOKUP($B263,calc_data,N$14+1,0),0)</f>
        <v/>
      </c>
      <c r="O263" s="45" t="n"/>
      <c r="Q263" s="57">
        <f>IF(K263&gt;0,"показать","скрыть")</f>
        <v/>
      </c>
    </row>
    <row r="264" ht="15.75" customHeight="1">
      <c r="B264" s="182" t="n">
        <v>248</v>
      </c>
      <c r="C264" s="182">
        <f>IFERROR(VLOOKUP($B264,calc_data,C$14+1,0),0)</f>
        <v/>
      </c>
      <c r="D264" s="182">
        <f>IFERROR(VLOOKUP($B264,calc_data,D$14+1,0),0)</f>
        <v/>
      </c>
      <c r="E264" s="183">
        <f>IFERROR(VLOOKUP($B264,calc_data,E$14+1,0),0)</f>
        <v/>
      </c>
      <c r="F264" s="182">
        <f>IFERROR(VLOOKUP($B264,calc_data,F$14+1,0),0)</f>
        <v/>
      </c>
      <c r="G264" s="141">
        <f>IFERROR(VLOOKUP($B264,calc_data,G$14+1,0),0)</f>
        <v/>
      </c>
      <c r="H264" s="141">
        <f>IFERROR(VLOOKUP($B264,calc_data,H$14+1,0),0)</f>
        <v/>
      </c>
      <c r="I264" s="142">
        <f>IFERROR(VLOOKUP($B264,calc_data,I$14+1,0),0)</f>
        <v/>
      </c>
      <c r="J264" s="141">
        <f>IFERROR(VLOOKUP($B264,calc_data,J$14+1,0),0)</f>
        <v/>
      </c>
      <c r="K264" s="141">
        <f>IFERROR(VLOOKUP($B264,calc_data,K$14+1,0),0)</f>
        <v/>
      </c>
      <c r="L264" s="141">
        <f>IFERROR(VLOOKUP($B264,calc_data,L$14+1,0),0)</f>
        <v/>
      </c>
      <c r="M264" s="177">
        <f>IFERROR(VLOOKUP($B264,calc_data,M$14+1,0),0)</f>
        <v/>
      </c>
      <c r="N264" s="177">
        <f>IFERROR(VLOOKUP($B264,calc_data,N$14+1,0),0)</f>
        <v/>
      </c>
      <c r="O264" s="45" t="n"/>
      <c r="Q264" s="57">
        <f>IF(K264&gt;0,"показать","скрыть")</f>
        <v/>
      </c>
    </row>
    <row r="265" ht="15.75" customHeight="1">
      <c r="B265" s="182" t="n">
        <v>249</v>
      </c>
      <c r="C265" s="182">
        <f>IFERROR(VLOOKUP($B265,calc_data,C$14+1,0),0)</f>
        <v/>
      </c>
      <c r="D265" s="182">
        <f>IFERROR(VLOOKUP($B265,calc_data,D$14+1,0),0)</f>
        <v/>
      </c>
      <c r="E265" s="183">
        <f>IFERROR(VLOOKUP($B265,calc_data,E$14+1,0),0)</f>
        <v/>
      </c>
      <c r="F265" s="182">
        <f>IFERROR(VLOOKUP($B265,calc_data,F$14+1,0),0)</f>
        <v/>
      </c>
      <c r="G265" s="141">
        <f>IFERROR(VLOOKUP($B265,calc_data,G$14+1,0),0)</f>
        <v/>
      </c>
      <c r="H265" s="141">
        <f>IFERROR(VLOOKUP($B265,calc_data,H$14+1,0),0)</f>
        <v/>
      </c>
      <c r="I265" s="142">
        <f>IFERROR(VLOOKUP($B265,calc_data,I$14+1,0),0)</f>
        <v/>
      </c>
      <c r="J265" s="141">
        <f>IFERROR(VLOOKUP($B265,calc_data,J$14+1,0),0)</f>
        <v/>
      </c>
      <c r="K265" s="141">
        <f>IFERROR(VLOOKUP($B265,calc_data,K$14+1,0),0)</f>
        <v/>
      </c>
      <c r="L265" s="141">
        <f>IFERROR(VLOOKUP($B265,calc_data,L$14+1,0),0)</f>
        <v/>
      </c>
      <c r="M265" s="177">
        <f>IFERROR(VLOOKUP($B265,calc_data,M$14+1,0),0)</f>
        <v/>
      </c>
      <c r="N265" s="177">
        <f>IFERROR(VLOOKUP($B265,calc_data,N$14+1,0),0)</f>
        <v/>
      </c>
      <c r="O265" s="45" t="n"/>
      <c r="Q265" s="57">
        <f>IF(K265&gt;0,"показать","скрыть")</f>
        <v/>
      </c>
    </row>
    <row r="266" ht="15.75" customHeight="1">
      <c r="B266" s="182" t="n">
        <v>250</v>
      </c>
      <c r="C266" s="182">
        <f>IFERROR(VLOOKUP($B266,calc_data,C$14+1,0),0)</f>
        <v/>
      </c>
      <c r="D266" s="182">
        <f>IFERROR(VLOOKUP($B266,calc_data,D$14+1,0),0)</f>
        <v/>
      </c>
      <c r="E266" s="183">
        <f>IFERROR(VLOOKUP($B266,calc_data,E$14+1,0),0)</f>
        <v/>
      </c>
      <c r="F266" s="182">
        <f>IFERROR(VLOOKUP($B266,calc_data,F$14+1,0),0)</f>
        <v/>
      </c>
      <c r="G266" s="141">
        <f>IFERROR(VLOOKUP($B266,calc_data,G$14+1,0),0)</f>
        <v/>
      </c>
      <c r="H266" s="141">
        <f>IFERROR(VLOOKUP($B266,calc_data,H$14+1,0),0)</f>
        <v/>
      </c>
      <c r="I266" s="142">
        <f>IFERROR(VLOOKUP($B266,calc_data,I$14+1,0),0)</f>
        <v/>
      </c>
      <c r="J266" s="141">
        <f>IFERROR(VLOOKUP($B266,calc_data,J$14+1,0),0)</f>
        <v/>
      </c>
      <c r="K266" s="141">
        <f>IFERROR(VLOOKUP($B266,calc_data,K$14+1,0),0)</f>
        <v/>
      </c>
      <c r="L266" s="141">
        <f>IFERROR(VLOOKUP($B266,calc_data,L$14+1,0),0)</f>
        <v/>
      </c>
      <c r="M266" s="177">
        <f>IFERROR(VLOOKUP($B266,calc_data,M$14+1,0),0)</f>
        <v/>
      </c>
      <c r="N266" s="177">
        <f>IFERROR(VLOOKUP($B266,calc_data,N$14+1,0),0)</f>
        <v/>
      </c>
      <c r="O266" s="45" t="n"/>
      <c r="Q266" s="57">
        <f>IF(K266&gt;0,"показать","скрыть")</f>
        <v/>
      </c>
    </row>
    <row r="267" ht="15.75" customHeight="1">
      <c r="B267" s="182" t="n">
        <v>251</v>
      </c>
      <c r="C267" s="182">
        <f>IFERROR(VLOOKUP($B267,calc_data,C$14+1,0),0)</f>
        <v/>
      </c>
      <c r="D267" s="182">
        <f>IFERROR(VLOOKUP($B267,calc_data,D$14+1,0),0)</f>
        <v/>
      </c>
      <c r="E267" s="183">
        <f>IFERROR(VLOOKUP($B267,calc_data,E$14+1,0),0)</f>
        <v/>
      </c>
      <c r="F267" s="182">
        <f>IFERROR(VLOOKUP($B267,calc_data,F$14+1,0),0)</f>
        <v/>
      </c>
      <c r="G267" s="141">
        <f>IFERROR(VLOOKUP($B267,calc_data,G$14+1,0),0)</f>
        <v/>
      </c>
      <c r="H267" s="141">
        <f>IFERROR(VLOOKUP($B267,calc_data,H$14+1,0),0)</f>
        <v/>
      </c>
      <c r="I267" s="142">
        <f>IFERROR(VLOOKUP($B267,calc_data,I$14+1,0),0)</f>
        <v/>
      </c>
      <c r="J267" s="141">
        <f>IFERROR(VLOOKUP($B267,calc_data,J$14+1,0),0)</f>
        <v/>
      </c>
      <c r="K267" s="141">
        <f>IFERROR(VLOOKUP($B267,calc_data,K$14+1,0),0)</f>
        <v/>
      </c>
      <c r="L267" s="141">
        <f>IFERROR(VLOOKUP($B267,calc_data,L$14+1,0),0)</f>
        <v/>
      </c>
      <c r="M267" s="177">
        <f>IFERROR(VLOOKUP($B267,calc_data,M$14+1,0),0)</f>
        <v/>
      </c>
      <c r="N267" s="177">
        <f>IFERROR(VLOOKUP($B267,calc_data,N$14+1,0),0)</f>
        <v/>
      </c>
      <c r="O267" s="45" t="n"/>
      <c r="Q267" s="57">
        <f>IF(K267&gt;0,"показать","скрыть")</f>
        <v/>
      </c>
    </row>
    <row r="268" ht="15.75" customHeight="1">
      <c r="B268" s="182" t="n">
        <v>252</v>
      </c>
      <c r="C268" s="182">
        <f>IFERROR(VLOOKUP($B268,calc_data,C$14+1,0),0)</f>
        <v/>
      </c>
      <c r="D268" s="182">
        <f>IFERROR(VLOOKUP($B268,calc_data,D$14+1,0),0)</f>
        <v/>
      </c>
      <c r="E268" s="183">
        <f>IFERROR(VLOOKUP($B268,calc_data,E$14+1,0),0)</f>
        <v/>
      </c>
      <c r="F268" s="182">
        <f>IFERROR(VLOOKUP($B268,calc_data,F$14+1,0),0)</f>
        <v/>
      </c>
      <c r="G268" s="141">
        <f>IFERROR(VLOOKUP($B268,calc_data,G$14+1,0),0)</f>
        <v/>
      </c>
      <c r="H268" s="141">
        <f>IFERROR(VLOOKUP($B268,calc_data,H$14+1,0),0)</f>
        <v/>
      </c>
      <c r="I268" s="142">
        <f>IFERROR(VLOOKUP($B268,calc_data,I$14+1,0),0)</f>
        <v/>
      </c>
      <c r="J268" s="141">
        <f>IFERROR(VLOOKUP($B268,calc_data,J$14+1,0),0)</f>
        <v/>
      </c>
      <c r="K268" s="141">
        <f>IFERROR(VLOOKUP($B268,calc_data,K$14+1,0),0)</f>
        <v/>
      </c>
      <c r="L268" s="141">
        <f>IFERROR(VLOOKUP($B268,calc_data,L$14+1,0),0)</f>
        <v/>
      </c>
      <c r="M268" s="177">
        <f>IFERROR(VLOOKUP($B268,calc_data,M$14+1,0),0)</f>
        <v/>
      </c>
      <c r="N268" s="177">
        <f>IFERROR(VLOOKUP($B268,calc_data,N$14+1,0),0)</f>
        <v/>
      </c>
      <c r="O268" s="45" t="n"/>
      <c r="Q268" s="57">
        <f>IF(K268&gt;0,"показать","скрыть")</f>
        <v/>
      </c>
    </row>
    <row r="269" ht="15.75" customHeight="1">
      <c r="B269" s="182" t="n">
        <v>253</v>
      </c>
      <c r="C269" s="182">
        <f>IFERROR(VLOOKUP($B269,calc_data,C$14+1,0),0)</f>
        <v/>
      </c>
      <c r="D269" s="182">
        <f>IFERROR(VLOOKUP($B269,calc_data,D$14+1,0),0)</f>
        <v/>
      </c>
      <c r="E269" s="183">
        <f>IFERROR(VLOOKUP($B269,calc_data,E$14+1,0),0)</f>
        <v/>
      </c>
      <c r="F269" s="182">
        <f>IFERROR(VLOOKUP($B269,calc_data,F$14+1,0),0)</f>
        <v/>
      </c>
      <c r="G269" s="141">
        <f>IFERROR(VLOOKUP($B269,calc_data,G$14+1,0),0)</f>
        <v/>
      </c>
      <c r="H269" s="141">
        <f>IFERROR(VLOOKUP($B269,calc_data,H$14+1,0),0)</f>
        <v/>
      </c>
      <c r="I269" s="142">
        <f>IFERROR(VLOOKUP($B269,calc_data,I$14+1,0),0)</f>
        <v/>
      </c>
      <c r="J269" s="141">
        <f>IFERROR(VLOOKUP($B269,calc_data,J$14+1,0),0)</f>
        <v/>
      </c>
      <c r="K269" s="141">
        <f>IFERROR(VLOOKUP($B269,calc_data,K$14+1,0),0)</f>
        <v/>
      </c>
      <c r="L269" s="141">
        <f>IFERROR(VLOOKUP($B269,calc_data,L$14+1,0),0)</f>
        <v/>
      </c>
      <c r="M269" s="177">
        <f>IFERROR(VLOOKUP($B269,calc_data,M$14+1,0),0)</f>
        <v/>
      </c>
      <c r="N269" s="177">
        <f>IFERROR(VLOOKUP($B269,calc_data,N$14+1,0),0)</f>
        <v/>
      </c>
      <c r="O269" s="45" t="n"/>
      <c r="Q269" s="57">
        <f>IF(K269&gt;0,"показать","скрыть")</f>
        <v/>
      </c>
    </row>
    <row r="270" ht="15.75" customHeight="1">
      <c r="B270" s="182" t="n">
        <v>254</v>
      </c>
      <c r="C270" s="182">
        <f>IFERROR(VLOOKUP($B270,calc_data,C$14+1,0),0)</f>
        <v/>
      </c>
      <c r="D270" s="182">
        <f>IFERROR(VLOOKUP($B270,calc_data,D$14+1,0),0)</f>
        <v/>
      </c>
      <c r="E270" s="183">
        <f>IFERROR(VLOOKUP($B270,calc_data,E$14+1,0),0)</f>
        <v/>
      </c>
      <c r="F270" s="182">
        <f>IFERROR(VLOOKUP($B270,calc_data,F$14+1,0),0)</f>
        <v/>
      </c>
      <c r="G270" s="141">
        <f>IFERROR(VLOOKUP($B270,calc_data,G$14+1,0),0)</f>
        <v/>
      </c>
      <c r="H270" s="141">
        <f>IFERROR(VLOOKUP($B270,calc_data,H$14+1,0),0)</f>
        <v/>
      </c>
      <c r="I270" s="142">
        <f>IFERROR(VLOOKUP($B270,calc_data,I$14+1,0),0)</f>
        <v/>
      </c>
      <c r="J270" s="141">
        <f>IFERROR(VLOOKUP($B270,calc_data,J$14+1,0),0)</f>
        <v/>
      </c>
      <c r="K270" s="141">
        <f>IFERROR(VLOOKUP($B270,calc_data,K$14+1,0),0)</f>
        <v/>
      </c>
      <c r="L270" s="141">
        <f>IFERROR(VLOOKUP($B270,calc_data,L$14+1,0),0)</f>
        <v/>
      </c>
      <c r="M270" s="177">
        <f>IFERROR(VLOOKUP($B270,calc_data,M$14+1,0),0)</f>
        <v/>
      </c>
      <c r="N270" s="177">
        <f>IFERROR(VLOOKUP($B270,calc_data,N$14+1,0),0)</f>
        <v/>
      </c>
      <c r="O270" s="45" t="n"/>
      <c r="Q270" s="57">
        <f>IF(K270&gt;0,"показать","скрыть")</f>
        <v/>
      </c>
    </row>
    <row r="271" ht="15.75" customHeight="1">
      <c r="B271" s="182" t="n">
        <v>255</v>
      </c>
      <c r="C271" s="182">
        <f>IFERROR(VLOOKUP($B271,calc_data,C$14+1,0),0)</f>
        <v/>
      </c>
      <c r="D271" s="182">
        <f>IFERROR(VLOOKUP($B271,calc_data,D$14+1,0),0)</f>
        <v/>
      </c>
      <c r="E271" s="183">
        <f>IFERROR(VLOOKUP($B271,calc_data,E$14+1,0),0)</f>
        <v/>
      </c>
      <c r="F271" s="182">
        <f>IFERROR(VLOOKUP($B271,calc_data,F$14+1,0),0)</f>
        <v/>
      </c>
      <c r="G271" s="141">
        <f>IFERROR(VLOOKUP($B271,calc_data,G$14+1,0),0)</f>
        <v/>
      </c>
      <c r="H271" s="141">
        <f>IFERROR(VLOOKUP($B271,calc_data,H$14+1,0),0)</f>
        <v/>
      </c>
      <c r="I271" s="142">
        <f>IFERROR(VLOOKUP($B271,calc_data,I$14+1,0),0)</f>
        <v/>
      </c>
      <c r="J271" s="141">
        <f>IFERROR(VLOOKUP($B271,calc_data,J$14+1,0),0)</f>
        <v/>
      </c>
      <c r="K271" s="141">
        <f>IFERROR(VLOOKUP($B271,calc_data,K$14+1,0),0)</f>
        <v/>
      </c>
      <c r="L271" s="141">
        <f>IFERROR(VLOOKUP($B271,calc_data,L$14+1,0),0)</f>
        <v/>
      </c>
      <c r="M271" s="177">
        <f>IFERROR(VLOOKUP($B271,calc_data,M$14+1,0),0)</f>
        <v/>
      </c>
      <c r="N271" s="177">
        <f>IFERROR(VLOOKUP($B271,calc_data,N$14+1,0),0)</f>
        <v/>
      </c>
      <c r="O271" s="45" t="n"/>
      <c r="Q271" s="57">
        <f>IF(K271&gt;0,"показать","скрыть")</f>
        <v/>
      </c>
    </row>
    <row r="272" ht="15.75" customHeight="1">
      <c r="B272" s="182" t="n">
        <v>256</v>
      </c>
      <c r="C272" s="182">
        <f>IFERROR(VLOOKUP($B272,calc_data,C$14+1,0),0)</f>
        <v/>
      </c>
      <c r="D272" s="182">
        <f>IFERROR(VLOOKUP($B272,calc_data,D$14+1,0),0)</f>
        <v/>
      </c>
      <c r="E272" s="183">
        <f>IFERROR(VLOOKUP($B272,calc_data,E$14+1,0),0)</f>
        <v/>
      </c>
      <c r="F272" s="182">
        <f>IFERROR(VLOOKUP($B272,calc_data,F$14+1,0),0)</f>
        <v/>
      </c>
      <c r="G272" s="141">
        <f>IFERROR(VLOOKUP($B272,calc_data,G$14+1,0),0)</f>
        <v/>
      </c>
      <c r="H272" s="141">
        <f>IFERROR(VLOOKUP($B272,calc_data,H$14+1,0),0)</f>
        <v/>
      </c>
      <c r="I272" s="142">
        <f>IFERROR(VLOOKUP($B272,calc_data,I$14+1,0),0)</f>
        <v/>
      </c>
      <c r="J272" s="141">
        <f>IFERROR(VLOOKUP($B272,calc_data,J$14+1,0),0)</f>
        <v/>
      </c>
      <c r="K272" s="141">
        <f>IFERROR(VLOOKUP($B272,calc_data,K$14+1,0),0)</f>
        <v/>
      </c>
      <c r="L272" s="141">
        <f>IFERROR(VLOOKUP($B272,calc_data,L$14+1,0),0)</f>
        <v/>
      </c>
      <c r="M272" s="177">
        <f>IFERROR(VLOOKUP($B272,calc_data,M$14+1,0),0)</f>
        <v/>
      </c>
      <c r="N272" s="177">
        <f>IFERROR(VLOOKUP($B272,calc_data,N$14+1,0),0)</f>
        <v/>
      </c>
      <c r="O272" s="45" t="n"/>
      <c r="Q272" s="57">
        <f>IF(K272&gt;0,"показать","скрыть")</f>
        <v/>
      </c>
    </row>
    <row r="273" ht="15.75" customHeight="1">
      <c r="B273" s="182" t="n">
        <v>257</v>
      </c>
      <c r="C273" s="182">
        <f>IFERROR(VLOOKUP($B273,calc_data,C$14+1,0),0)</f>
        <v/>
      </c>
      <c r="D273" s="182">
        <f>IFERROR(VLOOKUP($B273,calc_data,D$14+1,0),0)</f>
        <v/>
      </c>
      <c r="E273" s="183">
        <f>IFERROR(VLOOKUP($B273,calc_data,E$14+1,0),0)</f>
        <v/>
      </c>
      <c r="F273" s="182">
        <f>IFERROR(VLOOKUP($B273,calc_data,F$14+1,0),0)</f>
        <v/>
      </c>
      <c r="G273" s="141">
        <f>IFERROR(VLOOKUP($B273,calc_data,G$14+1,0),0)</f>
        <v/>
      </c>
      <c r="H273" s="141">
        <f>IFERROR(VLOOKUP($B273,calc_data,H$14+1,0),0)</f>
        <v/>
      </c>
      <c r="I273" s="142">
        <f>IFERROR(VLOOKUP($B273,calc_data,I$14+1,0),0)</f>
        <v/>
      </c>
      <c r="J273" s="141">
        <f>IFERROR(VLOOKUP($B273,calc_data,J$14+1,0),0)</f>
        <v/>
      </c>
      <c r="K273" s="141">
        <f>IFERROR(VLOOKUP($B273,calc_data,K$14+1,0),0)</f>
        <v/>
      </c>
      <c r="L273" s="141">
        <f>IFERROR(VLOOKUP($B273,calc_data,L$14+1,0),0)</f>
        <v/>
      </c>
      <c r="M273" s="177">
        <f>IFERROR(VLOOKUP($B273,calc_data,M$14+1,0),0)</f>
        <v/>
      </c>
      <c r="N273" s="177">
        <f>IFERROR(VLOOKUP($B273,calc_data,N$14+1,0),0)</f>
        <v/>
      </c>
      <c r="O273" s="45" t="n"/>
      <c r="Q273" s="57">
        <f>IF(K273&gt;0,"показать","скрыть")</f>
        <v/>
      </c>
    </row>
    <row r="274" ht="15.75" customHeight="1">
      <c r="B274" s="182" t="n">
        <v>258</v>
      </c>
      <c r="C274" s="182">
        <f>IFERROR(VLOOKUP($B274,calc_data,C$14+1,0),0)</f>
        <v/>
      </c>
      <c r="D274" s="182">
        <f>IFERROR(VLOOKUP($B274,calc_data,D$14+1,0),0)</f>
        <v/>
      </c>
      <c r="E274" s="183">
        <f>IFERROR(VLOOKUP($B274,calc_data,E$14+1,0),0)</f>
        <v/>
      </c>
      <c r="F274" s="182">
        <f>IFERROR(VLOOKUP($B274,calc_data,F$14+1,0),0)</f>
        <v/>
      </c>
      <c r="G274" s="141">
        <f>IFERROR(VLOOKUP($B274,calc_data,G$14+1,0),0)</f>
        <v/>
      </c>
      <c r="H274" s="141">
        <f>IFERROR(VLOOKUP($B274,calc_data,H$14+1,0),0)</f>
        <v/>
      </c>
      <c r="I274" s="142">
        <f>IFERROR(VLOOKUP($B274,calc_data,I$14+1,0),0)</f>
        <v/>
      </c>
      <c r="J274" s="141">
        <f>IFERROR(VLOOKUP($B274,calc_data,J$14+1,0),0)</f>
        <v/>
      </c>
      <c r="K274" s="141">
        <f>IFERROR(VLOOKUP($B274,calc_data,K$14+1,0),0)</f>
        <v/>
      </c>
      <c r="L274" s="141">
        <f>IFERROR(VLOOKUP($B274,calc_data,L$14+1,0),0)</f>
        <v/>
      </c>
      <c r="M274" s="177">
        <f>IFERROR(VLOOKUP($B274,calc_data,M$14+1,0),0)</f>
        <v/>
      </c>
      <c r="N274" s="177">
        <f>IFERROR(VLOOKUP($B274,calc_data,N$14+1,0),0)</f>
        <v/>
      </c>
      <c r="O274" s="45" t="n"/>
      <c r="Q274" s="57">
        <f>IF(K274&gt;0,"показать","скрыть")</f>
        <v/>
      </c>
    </row>
    <row r="275" ht="15.75" customHeight="1">
      <c r="B275" s="182" t="n">
        <v>259</v>
      </c>
      <c r="C275" s="182">
        <f>IFERROR(VLOOKUP($B275,calc_data,C$14+1,0),0)</f>
        <v/>
      </c>
      <c r="D275" s="182">
        <f>IFERROR(VLOOKUP($B275,calc_data,D$14+1,0),0)</f>
        <v/>
      </c>
      <c r="E275" s="183">
        <f>IFERROR(VLOOKUP($B275,calc_data,E$14+1,0),0)</f>
        <v/>
      </c>
      <c r="F275" s="182">
        <f>IFERROR(VLOOKUP($B275,calc_data,F$14+1,0),0)</f>
        <v/>
      </c>
      <c r="G275" s="141">
        <f>IFERROR(VLOOKUP($B275,calc_data,G$14+1,0),0)</f>
        <v/>
      </c>
      <c r="H275" s="141">
        <f>IFERROR(VLOOKUP($B275,calc_data,H$14+1,0),0)</f>
        <v/>
      </c>
      <c r="I275" s="142">
        <f>IFERROR(VLOOKUP($B275,calc_data,I$14+1,0),0)</f>
        <v/>
      </c>
      <c r="J275" s="141">
        <f>IFERROR(VLOOKUP($B275,calc_data,J$14+1,0),0)</f>
        <v/>
      </c>
      <c r="K275" s="141">
        <f>IFERROR(VLOOKUP($B275,calc_data,K$14+1,0),0)</f>
        <v/>
      </c>
      <c r="L275" s="141">
        <f>IFERROR(VLOOKUP($B275,calc_data,L$14+1,0),0)</f>
        <v/>
      </c>
      <c r="M275" s="177">
        <f>IFERROR(VLOOKUP($B275,calc_data,M$14+1,0),0)</f>
        <v/>
      </c>
      <c r="N275" s="177">
        <f>IFERROR(VLOOKUP($B275,calc_data,N$14+1,0),0)</f>
        <v/>
      </c>
      <c r="O275" s="45" t="n"/>
      <c r="Q275" s="57">
        <f>IF(K275&gt;0,"показать","скрыть")</f>
        <v/>
      </c>
    </row>
    <row r="276" ht="15.75" customHeight="1">
      <c r="B276" s="182" t="n">
        <v>260</v>
      </c>
      <c r="C276" s="182">
        <f>IFERROR(VLOOKUP($B276,calc_data,C$14+1,0),0)</f>
        <v/>
      </c>
      <c r="D276" s="182">
        <f>IFERROR(VLOOKUP($B276,calc_data,D$14+1,0),0)</f>
        <v/>
      </c>
      <c r="E276" s="183">
        <f>IFERROR(VLOOKUP($B276,calc_data,E$14+1,0),0)</f>
        <v/>
      </c>
      <c r="F276" s="182">
        <f>IFERROR(VLOOKUP($B276,calc_data,F$14+1,0),0)</f>
        <v/>
      </c>
      <c r="G276" s="141">
        <f>IFERROR(VLOOKUP($B276,calc_data,G$14+1,0),0)</f>
        <v/>
      </c>
      <c r="H276" s="141">
        <f>IFERROR(VLOOKUP($B276,calc_data,H$14+1,0),0)</f>
        <v/>
      </c>
      <c r="I276" s="142">
        <f>IFERROR(VLOOKUP($B276,calc_data,I$14+1,0),0)</f>
        <v/>
      </c>
      <c r="J276" s="141">
        <f>IFERROR(VLOOKUP($B276,calc_data,J$14+1,0),0)</f>
        <v/>
      </c>
      <c r="K276" s="141">
        <f>IFERROR(VLOOKUP($B276,calc_data,K$14+1,0),0)</f>
        <v/>
      </c>
      <c r="L276" s="141">
        <f>IFERROR(VLOOKUP($B276,calc_data,L$14+1,0),0)</f>
        <v/>
      </c>
      <c r="M276" s="177">
        <f>IFERROR(VLOOKUP($B276,calc_data,M$14+1,0),0)</f>
        <v/>
      </c>
      <c r="N276" s="177">
        <f>IFERROR(VLOOKUP($B276,calc_data,N$14+1,0),0)</f>
        <v/>
      </c>
      <c r="O276" s="45" t="n"/>
      <c r="Q276" s="57">
        <f>IF(K276&gt;0,"показать","скрыть")</f>
        <v/>
      </c>
    </row>
    <row r="277" ht="15.75" customHeight="1">
      <c r="B277" s="182" t="n">
        <v>261</v>
      </c>
      <c r="C277" s="182">
        <f>IFERROR(VLOOKUP($B277,calc_data,C$14+1,0),0)</f>
        <v/>
      </c>
      <c r="D277" s="182">
        <f>IFERROR(VLOOKUP($B277,calc_data,D$14+1,0),0)</f>
        <v/>
      </c>
      <c r="E277" s="183">
        <f>IFERROR(VLOOKUP($B277,calc_data,E$14+1,0),0)</f>
        <v/>
      </c>
      <c r="F277" s="182">
        <f>IFERROR(VLOOKUP($B277,calc_data,F$14+1,0),0)</f>
        <v/>
      </c>
      <c r="G277" s="141">
        <f>IFERROR(VLOOKUP($B277,calc_data,G$14+1,0),0)</f>
        <v/>
      </c>
      <c r="H277" s="141">
        <f>IFERROR(VLOOKUP($B277,calc_data,H$14+1,0),0)</f>
        <v/>
      </c>
      <c r="I277" s="142">
        <f>IFERROR(VLOOKUP($B277,calc_data,I$14+1,0),0)</f>
        <v/>
      </c>
      <c r="J277" s="141">
        <f>IFERROR(VLOOKUP($B277,calc_data,J$14+1,0),0)</f>
        <v/>
      </c>
      <c r="K277" s="141">
        <f>IFERROR(VLOOKUP($B277,calc_data,K$14+1,0),0)</f>
        <v/>
      </c>
      <c r="L277" s="141">
        <f>IFERROR(VLOOKUP($B277,calc_data,L$14+1,0),0)</f>
        <v/>
      </c>
      <c r="M277" s="177">
        <f>IFERROR(VLOOKUP($B277,calc_data,M$14+1,0),0)</f>
        <v/>
      </c>
      <c r="N277" s="177">
        <f>IFERROR(VLOOKUP($B277,calc_data,N$14+1,0),0)</f>
        <v/>
      </c>
      <c r="O277" s="45" t="n"/>
      <c r="Q277" s="57">
        <f>IF(K277&gt;0,"показать","скрыть")</f>
        <v/>
      </c>
    </row>
    <row r="278" ht="15.75" customHeight="1">
      <c r="B278" s="182" t="n">
        <v>262</v>
      </c>
      <c r="C278" s="182">
        <f>IFERROR(VLOOKUP($B278,calc_data,C$14+1,0),0)</f>
        <v/>
      </c>
      <c r="D278" s="182">
        <f>IFERROR(VLOOKUP($B278,calc_data,D$14+1,0),0)</f>
        <v/>
      </c>
      <c r="E278" s="183">
        <f>IFERROR(VLOOKUP($B278,calc_data,E$14+1,0),0)</f>
        <v/>
      </c>
      <c r="F278" s="182">
        <f>IFERROR(VLOOKUP($B278,calc_data,F$14+1,0),0)</f>
        <v/>
      </c>
      <c r="G278" s="141">
        <f>IFERROR(VLOOKUP($B278,calc_data,G$14+1,0),0)</f>
        <v/>
      </c>
      <c r="H278" s="141">
        <f>IFERROR(VLOOKUP($B278,calc_data,H$14+1,0),0)</f>
        <v/>
      </c>
      <c r="I278" s="142">
        <f>IFERROR(VLOOKUP($B278,calc_data,I$14+1,0),0)</f>
        <v/>
      </c>
      <c r="J278" s="141">
        <f>IFERROR(VLOOKUP($B278,calc_data,J$14+1,0),0)</f>
        <v/>
      </c>
      <c r="K278" s="141">
        <f>IFERROR(VLOOKUP($B278,calc_data,K$14+1,0),0)</f>
        <v/>
      </c>
      <c r="L278" s="141">
        <f>IFERROR(VLOOKUP($B278,calc_data,L$14+1,0),0)</f>
        <v/>
      </c>
      <c r="M278" s="177">
        <f>IFERROR(VLOOKUP($B278,calc_data,M$14+1,0),0)</f>
        <v/>
      </c>
      <c r="N278" s="177">
        <f>IFERROR(VLOOKUP($B278,calc_data,N$14+1,0),0)</f>
        <v/>
      </c>
      <c r="O278" s="45" t="n"/>
      <c r="Q278" s="57">
        <f>IF(K278&gt;0,"показать","скрыть")</f>
        <v/>
      </c>
    </row>
    <row r="279" ht="15.75" customHeight="1">
      <c r="B279" s="182" t="n">
        <v>263</v>
      </c>
      <c r="C279" s="182">
        <f>IFERROR(VLOOKUP($B279,calc_data,C$14+1,0),0)</f>
        <v/>
      </c>
      <c r="D279" s="182">
        <f>IFERROR(VLOOKUP($B279,calc_data,D$14+1,0),0)</f>
        <v/>
      </c>
      <c r="E279" s="183">
        <f>IFERROR(VLOOKUP($B279,calc_data,E$14+1,0),0)</f>
        <v/>
      </c>
      <c r="F279" s="182">
        <f>IFERROR(VLOOKUP($B279,calc_data,F$14+1,0),0)</f>
        <v/>
      </c>
      <c r="G279" s="141">
        <f>IFERROR(VLOOKUP($B279,calc_data,G$14+1,0),0)</f>
        <v/>
      </c>
      <c r="H279" s="141">
        <f>IFERROR(VLOOKUP($B279,calc_data,H$14+1,0),0)</f>
        <v/>
      </c>
      <c r="I279" s="142">
        <f>IFERROR(VLOOKUP($B279,calc_data,I$14+1,0),0)</f>
        <v/>
      </c>
      <c r="J279" s="141">
        <f>IFERROR(VLOOKUP($B279,calc_data,J$14+1,0),0)</f>
        <v/>
      </c>
      <c r="K279" s="141">
        <f>IFERROR(VLOOKUP($B279,calc_data,K$14+1,0),0)</f>
        <v/>
      </c>
      <c r="L279" s="141">
        <f>IFERROR(VLOOKUP($B279,calc_data,L$14+1,0),0)</f>
        <v/>
      </c>
      <c r="M279" s="177">
        <f>IFERROR(VLOOKUP($B279,calc_data,M$14+1,0),0)</f>
        <v/>
      </c>
      <c r="N279" s="177">
        <f>IFERROR(VLOOKUP($B279,calc_data,N$14+1,0),0)</f>
        <v/>
      </c>
      <c r="O279" s="45" t="n"/>
      <c r="Q279" s="57">
        <f>IF(K279&gt;0,"показать","скрыть")</f>
        <v/>
      </c>
    </row>
    <row r="280" ht="15.75" customHeight="1">
      <c r="B280" s="182" t="n">
        <v>264</v>
      </c>
      <c r="C280" s="182">
        <f>IFERROR(VLOOKUP($B280,calc_data,C$14+1,0),0)</f>
        <v/>
      </c>
      <c r="D280" s="182">
        <f>IFERROR(VLOOKUP($B280,calc_data,D$14+1,0),0)</f>
        <v/>
      </c>
      <c r="E280" s="183">
        <f>IFERROR(VLOOKUP($B280,calc_data,E$14+1,0),0)</f>
        <v/>
      </c>
      <c r="F280" s="182">
        <f>IFERROR(VLOOKUP($B280,calc_data,F$14+1,0),0)</f>
        <v/>
      </c>
      <c r="G280" s="141">
        <f>IFERROR(VLOOKUP($B280,calc_data,G$14+1,0),0)</f>
        <v/>
      </c>
      <c r="H280" s="141">
        <f>IFERROR(VLOOKUP($B280,calc_data,H$14+1,0),0)</f>
        <v/>
      </c>
      <c r="I280" s="142">
        <f>IFERROR(VLOOKUP($B280,calc_data,I$14+1,0),0)</f>
        <v/>
      </c>
      <c r="J280" s="141">
        <f>IFERROR(VLOOKUP($B280,calc_data,J$14+1,0),0)</f>
        <v/>
      </c>
      <c r="K280" s="141">
        <f>IFERROR(VLOOKUP($B280,calc_data,K$14+1,0),0)</f>
        <v/>
      </c>
      <c r="L280" s="141">
        <f>IFERROR(VLOOKUP($B280,calc_data,L$14+1,0),0)</f>
        <v/>
      </c>
      <c r="M280" s="177">
        <f>IFERROR(VLOOKUP($B280,calc_data,M$14+1,0),0)</f>
        <v/>
      </c>
      <c r="N280" s="177">
        <f>IFERROR(VLOOKUP($B280,calc_data,N$14+1,0),0)</f>
        <v/>
      </c>
      <c r="O280" s="45" t="n"/>
      <c r="Q280" s="57">
        <f>IF(K280&gt;0,"показать","скрыть")</f>
        <v/>
      </c>
    </row>
    <row r="281" ht="15.75" customHeight="1">
      <c r="B281" s="182" t="n">
        <v>265</v>
      </c>
      <c r="C281" s="182">
        <f>IFERROR(VLOOKUP($B281,calc_data,C$14+1,0),0)</f>
        <v/>
      </c>
      <c r="D281" s="182">
        <f>IFERROR(VLOOKUP($B281,calc_data,D$14+1,0),0)</f>
        <v/>
      </c>
      <c r="E281" s="183">
        <f>IFERROR(VLOOKUP($B281,calc_data,E$14+1,0),0)</f>
        <v/>
      </c>
      <c r="F281" s="182">
        <f>IFERROR(VLOOKUP($B281,calc_data,F$14+1,0),0)</f>
        <v/>
      </c>
      <c r="G281" s="141">
        <f>IFERROR(VLOOKUP($B281,calc_data,G$14+1,0),0)</f>
        <v/>
      </c>
      <c r="H281" s="141">
        <f>IFERROR(VLOOKUP($B281,calc_data,H$14+1,0),0)</f>
        <v/>
      </c>
      <c r="I281" s="142">
        <f>IFERROR(VLOOKUP($B281,calc_data,I$14+1,0),0)</f>
        <v/>
      </c>
      <c r="J281" s="141">
        <f>IFERROR(VLOOKUP($B281,calc_data,J$14+1,0),0)</f>
        <v/>
      </c>
      <c r="K281" s="141">
        <f>IFERROR(VLOOKUP($B281,calc_data,K$14+1,0),0)</f>
        <v/>
      </c>
      <c r="L281" s="141">
        <f>IFERROR(VLOOKUP($B281,calc_data,L$14+1,0),0)</f>
        <v/>
      </c>
      <c r="M281" s="177">
        <f>IFERROR(VLOOKUP($B281,calc_data,M$14+1,0),0)</f>
        <v/>
      </c>
      <c r="N281" s="177">
        <f>IFERROR(VLOOKUP($B281,calc_data,N$14+1,0),0)</f>
        <v/>
      </c>
      <c r="O281" s="45" t="n"/>
      <c r="Q281" s="57">
        <f>IF(K281&gt;0,"показать","скрыть")</f>
        <v/>
      </c>
    </row>
    <row r="282" ht="15.75" customHeight="1">
      <c r="B282" s="182" t="n">
        <v>266</v>
      </c>
      <c r="C282" s="182">
        <f>IFERROR(VLOOKUP($B282,calc_data,C$14+1,0),0)</f>
        <v/>
      </c>
      <c r="D282" s="182">
        <f>IFERROR(VLOOKUP($B282,calc_data,D$14+1,0),0)</f>
        <v/>
      </c>
      <c r="E282" s="183">
        <f>IFERROR(VLOOKUP($B282,calc_data,E$14+1,0),0)</f>
        <v/>
      </c>
      <c r="F282" s="182">
        <f>IFERROR(VLOOKUP($B282,calc_data,F$14+1,0),0)</f>
        <v/>
      </c>
      <c r="G282" s="141">
        <f>IFERROR(VLOOKUP($B282,calc_data,G$14+1,0),0)</f>
        <v/>
      </c>
      <c r="H282" s="141">
        <f>IFERROR(VLOOKUP($B282,calc_data,H$14+1,0),0)</f>
        <v/>
      </c>
      <c r="I282" s="142">
        <f>IFERROR(VLOOKUP($B282,calc_data,I$14+1,0),0)</f>
        <v/>
      </c>
      <c r="J282" s="141">
        <f>IFERROR(VLOOKUP($B282,calc_data,J$14+1,0),0)</f>
        <v/>
      </c>
      <c r="K282" s="141">
        <f>IFERROR(VLOOKUP($B282,calc_data,K$14+1,0),0)</f>
        <v/>
      </c>
      <c r="L282" s="141">
        <f>IFERROR(VLOOKUP($B282,calc_data,L$14+1,0),0)</f>
        <v/>
      </c>
      <c r="M282" s="177">
        <f>IFERROR(VLOOKUP($B282,calc_data,M$14+1,0),0)</f>
        <v/>
      </c>
      <c r="N282" s="177">
        <f>IFERROR(VLOOKUP($B282,calc_data,N$14+1,0),0)</f>
        <v/>
      </c>
      <c r="O282" s="45" t="n"/>
      <c r="Q282" s="57">
        <f>IF(K282&gt;0,"показать","скрыть")</f>
        <v/>
      </c>
    </row>
    <row r="283" ht="15.75" customHeight="1">
      <c r="B283" s="182" t="n">
        <v>267</v>
      </c>
      <c r="C283" s="182">
        <f>IFERROR(VLOOKUP($B283,calc_data,C$14+1,0),0)</f>
        <v/>
      </c>
      <c r="D283" s="182">
        <f>IFERROR(VLOOKUP($B283,calc_data,D$14+1,0),0)</f>
        <v/>
      </c>
      <c r="E283" s="183">
        <f>IFERROR(VLOOKUP($B283,calc_data,E$14+1,0),0)</f>
        <v/>
      </c>
      <c r="F283" s="182">
        <f>IFERROR(VLOOKUP($B283,calc_data,F$14+1,0),0)</f>
        <v/>
      </c>
      <c r="G283" s="141">
        <f>IFERROR(VLOOKUP($B283,calc_data,G$14+1,0),0)</f>
        <v/>
      </c>
      <c r="H283" s="141">
        <f>IFERROR(VLOOKUP($B283,calc_data,H$14+1,0),0)</f>
        <v/>
      </c>
      <c r="I283" s="142">
        <f>IFERROR(VLOOKUP($B283,calc_data,I$14+1,0),0)</f>
        <v/>
      </c>
      <c r="J283" s="141">
        <f>IFERROR(VLOOKUP($B283,calc_data,J$14+1,0),0)</f>
        <v/>
      </c>
      <c r="K283" s="141">
        <f>IFERROR(VLOOKUP($B283,calc_data,K$14+1,0),0)</f>
        <v/>
      </c>
      <c r="L283" s="141">
        <f>IFERROR(VLOOKUP($B283,calc_data,L$14+1,0),0)</f>
        <v/>
      </c>
      <c r="M283" s="177">
        <f>IFERROR(VLOOKUP($B283,calc_data,M$14+1,0),0)</f>
        <v/>
      </c>
      <c r="N283" s="177">
        <f>IFERROR(VLOOKUP($B283,calc_data,N$14+1,0),0)</f>
        <v/>
      </c>
      <c r="O283" s="45" t="n"/>
      <c r="Q283" s="57">
        <f>IF(K283&gt;0,"показать","скрыть")</f>
        <v/>
      </c>
    </row>
    <row r="284" ht="15.75" customHeight="1">
      <c r="B284" s="182" t="n">
        <v>268</v>
      </c>
      <c r="C284" s="182">
        <f>IFERROR(VLOOKUP($B284,calc_data,C$14+1,0),0)</f>
        <v/>
      </c>
      <c r="D284" s="182">
        <f>IFERROR(VLOOKUP($B284,calc_data,D$14+1,0),0)</f>
        <v/>
      </c>
      <c r="E284" s="183">
        <f>IFERROR(VLOOKUP($B284,calc_data,E$14+1,0),0)</f>
        <v/>
      </c>
      <c r="F284" s="182">
        <f>IFERROR(VLOOKUP($B284,calc_data,F$14+1,0),0)</f>
        <v/>
      </c>
      <c r="G284" s="141">
        <f>IFERROR(VLOOKUP($B284,calc_data,G$14+1,0),0)</f>
        <v/>
      </c>
      <c r="H284" s="141">
        <f>IFERROR(VLOOKUP($B284,calc_data,H$14+1,0),0)</f>
        <v/>
      </c>
      <c r="I284" s="142">
        <f>IFERROR(VLOOKUP($B284,calc_data,I$14+1,0),0)</f>
        <v/>
      </c>
      <c r="J284" s="141">
        <f>IFERROR(VLOOKUP($B284,calc_data,J$14+1,0),0)</f>
        <v/>
      </c>
      <c r="K284" s="141">
        <f>IFERROR(VLOOKUP($B284,calc_data,K$14+1,0),0)</f>
        <v/>
      </c>
      <c r="L284" s="141">
        <f>IFERROR(VLOOKUP($B284,calc_data,L$14+1,0),0)</f>
        <v/>
      </c>
      <c r="M284" s="177">
        <f>IFERROR(VLOOKUP($B284,calc_data,M$14+1,0),0)</f>
        <v/>
      </c>
      <c r="N284" s="177">
        <f>IFERROR(VLOOKUP($B284,calc_data,N$14+1,0),0)</f>
        <v/>
      </c>
      <c r="O284" s="45" t="n"/>
      <c r="Q284" s="57">
        <f>IF(K284&gt;0,"показать","скрыть")</f>
        <v/>
      </c>
    </row>
    <row r="285" ht="15.75" customHeight="1">
      <c r="B285" s="182" t="n">
        <v>269</v>
      </c>
      <c r="C285" s="182">
        <f>IFERROR(VLOOKUP($B285,calc_data,C$14+1,0),0)</f>
        <v/>
      </c>
      <c r="D285" s="182">
        <f>IFERROR(VLOOKUP($B285,calc_data,D$14+1,0),0)</f>
        <v/>
      </c>
      <c r="E285" s="183">
        <f>IFERROR(VLOOKUP($B285,calc_data,E$14+1,0),0)</f>
        <v/>
      </c>
      <c r="F285" s="182">
        <f>IFERROR(VLOOKUP($B285,calc_data,F$14+1,0),0)</f>
        <v/>
      </c>
      <c r="G285" s="141">
        <f>IFERROR(VLOOKUP($B285,calc_data,G$14+1,0),0)</f>
        <v/>
      </c>
      <c r="H285" s="141">
        <f>IFERROR(VLOOKUP($B285,calc_data,H$14+1,0),0)</f>
        <v/>
      </c>
      <c r="I285" s="142">
        <f>IFERROR(VLOOKUP($B285,calc_data,I$14+1,0),0)</f>
        <v/>
      </c>
      <c r="J285" s="141">
        <f>IFERROR(VLOOKUP($B285,calc_data,J$14+1,0),0)</f>
        <v/>
      </c>
      <c r="K285" s="141">
        <f>IFERROR(VLOOKUP($B285,calc_data,K$14+1,0),0)</f>
        <v/>
      </c>
      <c r="L285" s="141">
        <f>IFERROR(VLOOKUP($B285,calc_data,L$14+1,0),0)</f>
        <v/>
      </c>
      <c r="M285" s="177">
        <f>IFERROR(VLOOKUP($B285,calc_data,M$14+1,0),0)</f>
        <v/>
      </c>
      <c r="N285" s="177">
        <f>IFERROR(VLOOKUP($B285,calc_data,N$14+1,0),0)</f>
        <v/>
      </c>
      <c r="O285" s="45" t="n"/>
      <c r="Q285" s="57">
        <f>IF(K285&gt;0,"показать","скрыть")</f>
        <v/>
      </c>
    </row>
    <row r="286" ht="15.75" customHeight="1">
      <c r="B286" s="182" t="n">
        <v>270</v>
      </c>
      <c r="C286" s="182">
        <f>IFERROR(VLOOKUP($B286,calc_data,C$14+1,0),0)</f>
        <v/>
      </c>
      <c r="D286" s="182">
        <f>IFERROR(VLOOKUP($B286,calc_data,D$14+1,0),0)</f>
        <v/>
      </c>
      <c r="E286" s="183">
        <f>IFERROR(VLOOKUP($B286,calc_data,E$14+1,0),0)</f>
        <v/>
      </c>
      <c r="F286" s="182">
        <f>IFERROR(VLOOKUP($B286,calc_data,F$14+1,0),0)</f>
        <v/>
      </c>
      <c r="G286" s="141">
        <f>IFERROR(VLOOKUP($B286,calc_data,G$14+1,0),0)</f>
        <v/>
      </c>
      <c r="H286" s="141">
        <f>IFERROR(VLOOKUP($B286,calc_data,H$14+1,0),0)</f>
        <v/>
      </c>
      <c r="I286" s="142">
        <f>IFERROR(VLOOKUP($B286,calc_data,I$14+1,0),0)</f>
        <v/>
      </c>
      <c r="J286" s="141">
        <f>IFERROR(VLOOKUP($B286,calc_data,J$14+1,0),0)</f>
        <v/>
      </c>
      <c r="K286" s="141">
        <f>IFERROR(VLOOKUP($B286,calc_data,K$14+1,0),0)</f>
        <v/>
      </c>
      <c r="L286" s="141">
        <f>IFERROR(VLOOKUP($B286,calc_data,L$14+1,0),0)</f>
        <v/>
      </c>
      <c r="M286" s="177">
        <f>IFERROR(VLOOKUP($B286,calc_data,M$14+1,0),0)</f>
        <v/>
      </c>
      <c r="N286" s="177">
        <f>IFERROR(VLOOKUP($B286,calc_data,N$14+1,0),0)</f>
        <v/>
      </c>
      <c r="O286" s="45" t="n"/>
      <c r="Q286" s="57">
        <f>IF(K286&gt;0,"показать","скрыть")</f>
        <v/>
      </c>
    </row>
    <row r="287" ht="15.75" customHeight="1">
      <c r="B287" s="182" t="n">
        <v>271</v>
      </c>
      <c r="C287" s="182">
        <f>IFERROR(VLOOKUP($B287,calc_data,C$14+1,0),0)</f>
        <v/>
      </c>
      <c r="D287" s="182">
        <f>IFERROR(VLOOKUP($B287,calc_data,D$14+1,0),0)</f>
        <v/>
      </c>
      <c r="E287" s="183">
        <f>IFERROR(VLOOKUP($B287,calc_data,E$14+1,0),0)</f>
        <v/>
      </c>
      <c r="F287" s="182">
        <f>IFERROR(VLOOKUP($B287,calc_data,F$14+1,0),0)</f>
        <v/>
      </c>
      <c r="G287" s="141">
        <f>IFERROR(VLOOKUP($B287,calc_data,G$14+1,0),0)</f>
        <v/>
      </c>
      <c r="H287" s="141">
        <f>IFERROR(VLOOKUP($B287,calc_data,H$14+1,0),0)</f>
        <v/>
      </c>
      <c r="I287" s="142">
        <f>IFERROR(VLOOKUP($B287,calc_data,I$14+1,0),0)</f>
        <v/>
      </c>
      <c r="J287" s="141">
        <f>IFERROR(VLOOKUP($B287,calc_data,J$14+1,0),0)</f>
        <v/>
      </c>
      <c r="K287" s="141">
        <f>IFERROR(VLOOKUP($B287,calc_data,K$14+1,0),0)</f>
        <v/>
      </c>
      <c r="L287" s="141">
        <f>IFERROR(VLOOKUP($B287,calc_data,L$14+1,0),0)</f>
        <v/>
      </c>
      <c r="M287" s="177">
        <f>IFERROR(VLOOKUP($B287,calc_data,M$14+1,0),0)</f>
        <v/>
      </c>
      <c r="N287" s="177">
        <f>IFERROR(VLOOKUP($B287,calc_data,N$14+1,0),0)</f>
        <v/>
      </c>
      <c r="O287" s="45" t="n"/>
      <c r="Q287" s="57">
        <f>IF(K287&gt;0,"показать","скрыть")</f>
        <v/>
      </c>
    </row>
    <row r="288" ht="15.75" customHeight="1">
      <c r="B288" s="182" t="n">
        <v>272</v>
      </c>
      <c r="C288" s="182">
        <f>IFERROR(VLOOKUP($B288,calc_data,C$14+1,0),0)</f>
        <v/>
      </c>
      <c r="D288" s="182">
        <f>IFERROR(VLOOKUP($B288,calc_data,D$14+1,0),0)</f>
        <v/>
      </c>
      <c r="E288" s="183">
        <f>IFERROR(VLOOKUP($B288,calc_data,E$14+1,0),0)</f>
        <v/>
      </c>
      <c r="F288" s="182">
        <f>IFERROR(VLOOKUP($B288,calc_data,F$14+1,0),0)</f>
        <v/>
      </c>
      <c r="G288" s="141">
        <f>IFERROR(VLOOKUP($B288,calc_data,G$14+1,0),0)</f>
        <v/>
      </c>
      <c r="H288" s="141">
        <f>IFERROR(VLOOKUP($B288,calc_data,H$14+1,0),0)</f>
        <v/>
      </c>
      <c r="I288" s="142">
        <f>IFERROR(VLOOKUP($B288,calc_data,I$14+1,0),0)</f>
        <v/>
      </c>
      <c r="J288" s="141">
        <f>IFERROR(VLOOKUP($B288,calc_data,J$14+1,0),0)</f>
        <v/>
      </c>
      <c r="K288" s="141">
        <f>IFERROR(VLOOKUP($B288,calc_data,K$14+1,0),0)</f>
        <v/>
      </c>
      <c r="L288" s="141">
        <f>IFERROR(VLOOKUP($B288,calc_data,L$14+1,0),0)</f>
        <v/>
      </c>
      <c r="M288" s="177">
        <f>IFERROR(VLOOKUP($B288,calc_data,M$14+1,0),0)</f>
        <v/>
      </c>
      <c r="N288" s="177">
        <f>IFERROR(VLOOKUP($B288,calc_data,N$14+1,0),0)</f>
        <v/>
      </c>
      <c r="O288" s="45" t="n"/>
      <c r="Q288" s="57">
        <f>IF(K288&gt;0,"показать","скрыть")</f>
        <v/>
      </c>
    </row>
    <row r="289" ht="15.75" customHeight="1">
      <c r="B289" s="182" t="n">
        <v>273</v>
      </c>
      <c r="C289" s="182">
        <f>IFERROR(VLOOKUP($B289,calc_data,C$14+1,0),0)</f>
        <v/>
      </c>
      <c r="D289" s="182">
        <f>IFERROR(VLOOKUP($B289,calc_data,D$14+1,0),0)</f>
        <v/>
      </c>
      <c r="E289" s="183">
        <f>IFERROR(VLOOKUP($B289,calc_data,E$14+1,0),0)</f>
        <v/>
      </c>
      <c r="F289" s="182">
        <f>IFERROR(VLOOKUP($B289,calc_data,F$14+1,0),0)</f>
        <v/>
      </c>
      <c r="G289" s="141">
        <f>IFERROR(VLOOKUP($B289,calc_data,G$14+1,0),0)</f>
        <v/>
      </c>
      <c r="H289" s="141">
        <f>IFERROR(VLOOKUP($B289,calc_data,H$14+1,0),0)</f>
        <v/>
      </c>
      <c r="I289" s="142">
        <f>IFERROR(VLOOKUP($B289,calc_data,I$14+1,0),0)</f>
        <v/>
      </c>
      <c r="J289" s="141">
        <f>IFERROR(VLOOKUP($B289,calc_data,J$14+1,0),0)</f>
        <v/>
      </c>
      <c r="K289" s="141">
        <f>IFERROR(VLOOKUP($B289,calc_data,K$14+1,0),0)</f>
        <v/>
      </c>
      <c r="L289" s="141">
        <f>IFERROR(VLOOKUP($B289,calc_data,L$14+1,0),0)</f>
        <v/>
      </c>
      <c r="M289" s="177">
        <f>IFERROR(VLOOKUP($B289,calc_data,M$14+1,0),0)</f>
        <v/>
      </c>
      <c r="N289" s="177">
        <f>IFERROR(VLOOKUP($B289,calc_data,N$14+1,0),0)</f>
        <v/>
      </c>
      <c r="O289" s="45" t="n"/>
      <c r="Q289" s="57">
        <f>IF(K289&gt;0,"показать","скрыть")</f>
        <v/>
      </c>
    </row>
    <row r="290" ht="15.75" customHeight="1">
      <c r="B290" s="182" t="n">
        <v>274</v>
      </c>
      <c r="C290" s="182">
        <f>IFERROR(VLOOKUP($B290,calc_data,C$14+1,0),0)</f>
        <v/>
      </c>
      <c r="D290" s="182">
        <f>IFERROR(VLOOKUP($B290,calc_data,D$14+1,0),0)</f>
        <v/>
      </c>
      <c r="E290" s="183">
        <f>IFERROR(VLOOKUP($B290,calc_data,E$14+1,0),0)</f>
        <v/>
      </c>
      <c r="F290" s="182">
        <f>IFERROR(VLOOKUP($B290,calc_data,F$14+1,0),0)</f>
        <v/>
      </c>
      <c r="G290" s="141">
        <f>IFERROR(VLOOKUP($B290,calc_data,G$14+1,0),0)</f>
        <v/>
      </c>
      <c r="H290" s="141">
        <f>IFERROR(VLOOKUP($B290,calc_data,H$14+1,0),0)</f>
        <v/>
      </c>
      <c r="I290" s="142">
        <f>IFERROR(VLOOKUP($B290,calc_data,I$14+1,0),0)</f>
        <v/>
      </c>
      <c r="J290" s="141">
        <f>IFERROR(VLOOKUP($B290,calc_data,J$14+1,0),0)</f>
        <v/>
      </c>
      <c r="K290" s="141">
        <f>IFERROR(VLOOKUP($B290,calc_data,K$14+1,0),0)</f>
        <v/>
      </c>
      <c r="L290" s="141">
        <f>IFERROR(VLOOKUP($B290,calc_data,L$14+1,0),0)</f>
        <v/>
      </c>
      <c r="M290" s="177">
        <f>IFERROR(VLOOKUP($B290,calc_data,M$14+1,0),0)</f>
        <v/>
      </c>
      <c r="N290" s="177">
        <f>IFERROR(VLOOKUP($B290,calc_data,N$14+1,0),0)</f>
        <v/>
      </c>
      <c r="O290" s="45" t="n"/>
      <c r="Q290" s="57">
        <f>IF(K290&gt;0,"показать","скрыть")</f>
        <v/>
      </c>
    </row>
    <row r="291" ht="15.75" customHeight="1">
      <c r="B291" s="182" t="n">
        <v>275</v>
      </c>
      <c r="C291" s="182">
        <f>IFERROR(VLOOKUP($B291,calc_data,C$14+1,0),0)</f>
        <v/>
      </c>
      <c r="D291" s="182">
        <f>IFERROR(VLOOKUP($B291,calc_data,D$14+1,0),0)</f>
        <v/>
      </c>
      <c r="E291" s="183">
        <f>IFERROR(VLOOKUP($B291,calc_data,E$14+1,0),0)</f>
        <v/>
      </c>
      <c r="F291" s="182">
        <f>IFERROR(VLOOKUP($B291,calc_data,F$14+1,0),0)</f>
        <v/>
      </c>
      <c r="G291" s="141">
        <f>IFERROR(VLOOKUP($B291,calc_data,G$14+1,0),0)</f>
        <v/>
      </c>
      <c r="H291" s="141">
        <f>IFERROR(VLOOKUP($B291,calc_data,H$14+1,0),0)</f>
        <v/>
      </c>
      <c r="I291" s="142">
        <f>IFERROR(VLOOKUP($B291,calc_data,I$14+1,0),0)</f>
        <v/>
      </c>
      <c r="J291" s="141">
        <f>IFERROR(VLOOKUP($B291,calc_data,J$14+1,0),0)</f>
        <v/>
      </c>
      <c r="K291" s="141">
        <f>IFERROR(VLOOKUP($B291,calc_data,K$14+1,0),0)</f>
        <v/>
      </c>
      <c r="L291" s="141">
        <f>IFERROR(VLOOKUP($B291,calc_data,L$14+1,0),0)</f>
        <v/>
      </c>
      <c r="M291" s="177">
        <f>IFERROR(VLOOKUP($B291,calc_data,M$14+1,0),0)</f>
        <v/>
      </c>
      <c r="N291" s="177">
        <f>IFERROR(VLOOKUP($B291,calc_data,N$14+1,0),0)</f>
        <v/>
      </c>
      <c r="O291" s="45" t="n"/>
      <c r="Q291" s="57">
        <f>IF(K291&gt;0,"показать","скрыть")</f>
        <v/>
      </c>
    </row>
    <row r="292" ht="15.75" customHeight="1">
      <c r="B292" s="182" t="n">
        <v>276</v>
      </c>
      <c r="C292" s="182">
        <f>IFERROR(VLOOKUP($B292,calc_data,C$14+1,0),0)</f>
        <v/>
      </c>
      <c r="D292" s="182">
        <f>IFERROR(VLOOKUP($B292,calc_data,D$14+1,0),0)</f>
        <v/>
      </c>
      <c r="E292" s="183">
        <f>IFERROR(VLOOKUP($B292,calc_data,E$14+1,0),0)</f>
        <v/>
      </c>
      <c r="F292" s="182">
        <f>IFERROR(VLOOKUP($B292,calc_data,F$14+1,0),0)</f>
        <v/>
      </c>
      <c r="G292" s="141">
        <f>IFERROR(VLOOKUP($B292,calc_data,G$14+1,0),0)</f>
        <v/>
      </c>
      <c r="H292" s="141">
        <f>IFERROR(VLOOKUP($B292,calc_data,H$14+1,0),0)</f>
        <v/>
      </c>
      <c r="I292" s="142">
        <f>IFERROR(VLOOKUP($B292,calc_data,I$14+1,0),0)</f>
        <v/>
      </c>
      <c r="J292" s="141">
        <f>IFERROR(VLOOKUP($B292,calc_data,J$14+1,0),0)</f>
        <v/>
      </c>
      <c r="K292" s="141">
        <f>IFERROR(VLOOKUP($B292,calc_data,K$14+1,0),0)</f>
        <v/>
      </c>
      <c r="L292" s="141">
        <f>IFERROR(VLOOKUP($B292,calc_data,L$14+1,0),0)</f>
        <v/>
      </c>
      <c r="M292" s="177">
        <f>IFERROR(VLOOKUP($B292,calc_data,M$14+1,0),0)</f>
        <v/>
      </c>
      <c r="N292" s="177">
        <f>IFERROR(VLOOKUP($B292,calc_data,N$14+1,0),0)</f>
        <v/>
      </c>
      <c r="O292" s="45" t="n"/>
      <c r="Q292" s="57">
        <f>IF(K292&gt;0,"показать","скрыть")</f>
        <v/>
      </c>
    </row>
    <row r="293" ht="15.75" customHeight="1">
      <c r="B293" s="182" t="n">
        <v>277</v>
      </c>
      <c r="C293" s="182">
        <f>IFERROR(VLOOKUP($B293,calc_data,C$14+1,0),0)</f>
        <v/>
      </c>
      <c r="D293" s="182">
        <f>IFERROR(VLOOKUP($B293,calc_data,D$14+1,0),0)</f>
        <v/>
      </c>
      <c r="E293" s="183">
        <f>IFERROR(VLOOKUP($B293,calc_data,E$14+1,0),0)</f>
        <v/>
      </c>
      <c r="F293" s="182">
        <f>IFERROR(VLOOKUP($B293,calc_data,F$14+1,0),0)</f>
        <v/>
      </c>
      <c r="G293" s="141">
        <f>IFERROR(VLOOKUP($B293,calc_data,G$14+1,0),0)</f>
        <v/>
      </c>
      <c r="H293" s="141">
        <f>IFERROR(VLOOKUP($B293,calc_data,H$14+1,0),0)</f>
        <v/>
      </c>
      <c r="I293" s="142">
        <f>IFERROR(VLOOKUP($B293,calc_data,I$14+1,0),0)</f>
        <v/>
      </c>
      <c r="J293" s="141">
        <f>IFERROR(VLOOKUP($B293,calc_data,J$14+1,0),0)</f>
        <v/>
      </c>
      <c r="K293" s="141">
        <f>IFERROR(VLOOKUP($B293,calc_data,K$14+1,0),0)</f>
        <v/>
      </c>
      <c r="L293" s="141">
        <f>IFERROR(VLOOKUP($B293,calc_data,L$14+1,0),0)</f>
        <v/>
      </c>
      <c r="M293" s="177">
        <f>IFERROR(VLOOKUP($B293,calc_data,M$14+1,0),0)</f>
        <v/>
      </c>
      <c r="N293" s="177">
        <f>IFERROR(VLOOKUP($B293,calc_data,N$14+1,0),0)</f>
        <v/>
      </c>
      <c r="O293" s="45" t="n"/>
      <c r="Q293" s="57">
        <f>IF(K293&gt;0,"показать","скрыть")</f>
        <v/>
      </c>
    </row>
    <row r="294" ht="15.75" customHeight="1">
      <c r="B294" s="182" t="n">
        <v>278</v>
      </c>
      <c r="C294" s="182">
        <f>IFERROR(VLOOKUP($B294,calc_data,C$14+1,0),0)</f>
        <v/>
      </c>
      <c r="D294" s="182">
        <f>IFERROR(VLOOKUP($B294,calc_data,D$14+1,0),0)</f>
        <v/>
      </c>
      <c r="E294" s="183">
        <f>IFERROR(VLOOKUP($B294,calc_data,E$14+1,0),0)</f>
        <v/>
      </c>
      <c r="F294" s="182">
        <f>IFERROR(VLOOKUP($B294,calc_data,F$14+1,0),0)</f>
        <v/>
      </c>
      <c r="G294" s="141">
        <f>IFERROR(VLOOKUP($B294,calc_data,G$14+1,0),0)</f>
        <v/>
      </c>
      <c r="H294" s="141">
        <f>IFERROR(VLOOKUP($B294,calc_data,H$14+1,0),0)</f>
        <v/>
      </c>
      <c r="I294" s="142">
        <f>IFERROR(VLOOKUP($B294,calc_data,I$14+1,0),0)</f>
        <v/>
      </c>
      <c r="J294" s="141">
        <f>IFERROR(VLOOKUP($B294,calc_data,J$14+1,0),0)</f>
        <v/>
      </c>
      <c r="K294" s="141">
        <f>IFERROR(VLOOKUP($B294,calc_data,K$14+1,0),0)</f>
        <v/>
      </c>
      <c r="L294" s="141">
        <f>IFERROR(VLOOKUP($B294,calc_data,L$14+1,0),0)</f>
        <v/>
      </c>
      <c r="M294" s="177">
        <f>IFERROR(VLOOKUP($B294,calc_data,M$14+1,0),0)</f>
        <v/>
      </c>
      <c r="N294" s="177">
        <f>IFERROR(VLOOKUP($B294,calc_data,N$14+1,0),0)</f>
        <v/>
      </c>
      <c r="O294" s="45" t="n"/>
      <c r="Q294" s="57">
        <f>IF(K294&gt;0,"показать","скрыть")</f>
        <v/>
      </c>
    </row>
    <row r="295" ht="15.75" customHeight="1">
      <c r="B295" s="182" t="n">
        <v>279</v>
      </c>
      <c r="C295" s="182">
        <f>IFERROR(VLOOKUP($B295,calc_data,C$14+1,0),0)</f>
        <v/>
      </c>
      <c r="D295" s="182">
        <f>IFERROR(VLOOKUP($B295,calc_data,D$14+1,0),0)</f>
        <v/>
      </c>
      <c r="E295" s="183">
        <f>IFERROR(VLOOKUP($B295,calc_data,E$14+1,0),0)</f>
        <v/>
      </c>
      <c r="F295" s="182">
        <f>IFERROR(VLOOKUP($B295,calc_data,F$14+1,0),0)</f>
        <v/>
      </c>
      <c r="G295" s="141">
        <f>IFERROR(VLOOKUP($B295,calc_data,G$14+1,0),0)</f>
        <v/>
      </c>
      <c r="H295" s="141">
        <f>IFERROR(VLOOKUP($B295,calc_data,H$14+1,0),0)</f>
        <v/>
      </c>
      <c r="I295" s="142">
        <f>IFERROR(VLOOKUP($B295,calc_data,I$14+1,0),0)</f>
        <v/>
      </c>
      <c r="J295" s="141">
        <f>IFERROR(VLOOKUP($B295,calc_data,J$14+1,0),0)</f>
        <v/>
      </c>
      <c r="K295" s="141">
        <f>IFERROR(VLOOKUP($B295,calc_data,K$14+1,0),0)</f>
        <v/>
      </c>
      <c r="L295" s="141">
        <f>IFERROR(VLOOKUP($B295,calc_data,L$14+1,0),0)</f>
        <v/>
      </c>
      <c r="M295" s="177">
        <f>IFERROR(VLOOKUP($B295,calc_data,M$14+1,0),0)</f>
        <v/>
      </c>
      <c r="N295" s="177">
        <f>IFERROR(VLOOKUP($B295,calc_data,N$14+1,0),0)</f>
        <v/>
      </c>
      <c r="O295" s="45" t="n"/>
      <c r="Q295" s="57">
        <f>IF(K295&gt;0,"показать","скрыть")</f>
        <v/>
      </c>
    </row>
    <row r="296" ht="15.75" customHeight="1">
      <c r="B296" s="182" t="n">
        <v>280</v>
      </c>
      <c r="C296" s="182">
        <f>IFERROR(VLOOKUP($B296,calc_data,C$14+1,0),0)</f>
        <v/>
      </c>
      <c r="D296" s="182">
        <f>IFERROR(VLOOKUP($B296,calc_data,D$14+1,0),0)</f>
        <v/>
      </c>
      <c r="E296" s="183">
        <f>IFERROR(VLOOKUP($B296,calc_data,E$14+1,0),0)</f>
        <v/>
      </c>
      <c r="F296" s="182">
        <f>IFERROR(VLOOKUP($B296,calc_data,F$14+1,0),0)</f>
        <v/>
      </c>
      <c r="G296" s="141">
        <f>IFERROR(VLOOKUP($B296,calc_data,G$14+1,0),0)</f>
        <v/>
      </c>
      <c r="H296" s="141">
        <f>IFERROR(VLOOKUP($B296,calc_data,H$14+1,0),0)</f>
        <v/>
      </c>
      <c r="I296" s="142">
        <f>IFERROR(VLOOKUP($B296,calc_data,I$14+1,0),0)</f>
        <v/>
      </c>
      <c r="J296" s="141">
        <f>IFERROR(VLOOKUP($B296,calc_data,J$14+1,0),0)</f>
        <v/>
      </c>
      <c r="K296" s="141">
        <f>IFERROR(VLOOKUP($B296,calc_data,K$14+1,0),0)</f>
        <v/>
      </c>
      <c r="L296" s="141">
        <f>IFERROR(VLOOKUP($B296,calc_data,L$14+1,0),0)</f>
        <v/>
      </c>
      <c r="M296" s="177">
        <f>IFERROR(VLOOKUP($B296,calc_data,M$14+1,0),0)</f>
        <v/>
      </c>
      <c r="N296" s="177">
        <f>IFERROR(VLOOKUP($B296,calc_data,N$14+1,0),0)</f>
        <v/>
      </c>
      <c r="O296" s="45" t="n"/>
      <c r="Q296" s="57">
        <f>IF(K296&gt;0,"показать","скрыть")</f>
        <v/>
      </c>
    </row>
    <row r="297" ht="15.75" customHeight="1">
      <c r="B297" s="182" t="n">
        <v>281</v>
      </c>
      <c r="C297" s="182">
        <f>IFERROR(VLOOKUP($B297,calc_data,C$14+1,0),0)</f>
        <v/>
      </c>
      <c r="D297" s="182">
        <f>IFERROR(VLOOKUP($B297,calc_data,D$14+1,0),0)</f>
        <v/>
      </c>
      <c r="E297" s="183">
        <f>IFERROR(VLOOKUP($B297,calc_data,E$14+1,0),0)</f>
        <v/>
      </c>
      <c r="F297" s="182">
        <f>IFERROR(VLOOKUP($B297,calc_data,F$14+1,0),0)</f>
        <v/>
      </c>
      <c r="G297" s="141">
        <f>IFERROR(VLOOKUP($B297,calc_data,G$14+1,0),0)</f>
        <v/>
      </c>
      <c r="H297" s="141">
        <f>IFERROR(VLOOKUP($B297,calc_data,H$14+1,0),0)</f>
        <v/>
      </c>
      <c r="I297" s="142">
        <f>IFERROR(VLOOKUP($B297,calc_data,I$14+1,0),0)</f>
        <v/>
      </c>
      <c r="J297" s="141">
        <f>IFERROR(VLOOKUP($B297,calc_data,J$14+1,0),0)</f>
        <v/>
      </c>
      <c r="K297" s="141">
        <f>IFERROR(VLOOKUP($B297,calc_data,K$14+1,0),0)</f>
        <v/>
      </c>
      <c r="L297" s="141">
        <f>IFERROR(VLOOKUP($B297,calc_data,L$14+1,0),0)</f>
        <v/>
      </c>
      <c r="M297" s="177">
        <f>IFERROR(VLOOKUP($B297,calc_data,M$14+1,0),0)</f>
        <v/>
      </c>
      <c r="N297" s="177">
        <f>IFERROR(VLOOKUP($B297,calc_data,N$14+1,0),0)</f>
        <v/>
      </c>
      <c r="O297" s="45" t="n"/>
      <c r="Q297" s="57">
        <f>IF(K297&gt;0,"показать","скрыть")</f>
        <v/>
      </c>
    </row>
    <row r="298" ht="15.75" customHeight="1">
      <c r="B298" s="182" t="n">
        <v>282</v>
      </c>
      <c r="C298" s="182">
        <f>IFERROR(VLOOKUP($B298,calc_data,C$14+1,0),0)</f>
        <v/>
      </c>
      <c r="D298" s="182">
        <f>IFERROR(VLOOKUP($B298,calc_data,D$14+1,0),0)</f>
        <v/>
      </c>
      <c r="E298" s="183">
        <f>IFERROR(VLOOKUP($B298,calc_data,E$14+1,0),0)</f>
        <v/>
      </c>
      <c r="F298" s="182">
        <f>IFERROR(VLOOKUP($B298,calc_data,F$14+1,0),0)</f>
        <v/>
      </c>
      <c r="G298" s="141">
        <f>IFERROR(VLOOKUP($B298,calc_data,G$14+1,0),0)</f>
        <v/>
      </c>
      <c r="H298" s="141">
        <f>IFERROR(VLOOKUP($B298,calc_data,H$14+1,0),0)</f>
        <v/>
      </c>
      <c r="I298" s="142">
        <f>IFERROR(VLOOKUP($B298,calc_data,I$14+1,0),0)</f>
        <v/>
      </c>
      <c r="J298" s="141">
        <f>IFERROR(VLOOKUP($B298,calc_data,J$14+1,0),0)</f>
        <v/>
      </c>
      <c r="K298" s="141">
        <f>IFERROR(VLOOKUP($B298,calc_data,K$14+1,0),0)</f>
        <v/>
      </c>
      <c r="L298" s="141">
        <f>IFERROR(VLOOKUP($B298,calc_data,L$14+1,0),0)</f>
        <v/>
      </c>
      <c r="M298" s="177">
        <f>IFERROR(VLOOKUP($B298,calc_data,M$14+1,0),0)</f>
        <v/>
      </c>
      <c r="N298" s="177">
        <f>IFERROR(VLOOKUP($B298,calc_data,N$14+1,0),0)</f>
        <v/>
      </c>
      <c r="O298" s="45" t="n"/>
      <c r="Q298" s="57">
        <f>IF(K298&gt;0,"показать","скрыть")</f>
        <v/>
      </c>
    </row>
    <row r="299" ht="15.75" customHeight="1">
      <c r="B299" s="182" t="n">
        <v>283</v>
      </c>
      <c r="C299" s="182">
        <f>IFERROR(VLOOKUP($B299,calc_data,C$14+1,0),0)</f>
        <v/>
      </c>
      <c r="D299" s="182">
        <f>IFERROR(VLOOKUP($B299,calc_data,D$14+1,0),0)</f>
        <v/>
      </c>
      <c r="E299" s="183">
        <f>IFERROR(VLOOKUP($B299,calc_data,E$14+1,0),0)</f>
        <v/>
      </c>
      <c r="F299" s="182">
        <f>IFERROR(VLOOKUP($B299,calc_data,F$14+1,0),0)</f>
        <v/>
      </c>
      <c r="G299" s="141">
        <f>IFERROR(VLOOKUP($B299,calc_data,G$14+1,0),0)</f>
        <v/>
      </c>
      <c r="H299" s="141">
        <f>IFERROR(VLOOKUP($B299,calc_data,H$14+1,0),0)</f>
        <v/>
      </c>
      <c r="I299" s="142">
        <f>IFERROR(VLOOKUP($B299,calc_data,I$14+1,0),0)</f>
        <v/>
      </c>
      <c r="J299" s="141">
        <f>IFERROR(VLOOKUP($B299,calc_data,J$14+1,0),0)</f>
        <v/>
      </c>
      <c r="K299" s="141">
        <f>IFERROR(VLOOKUP($B299,calc_data,K$14+1,0),0)</f>
        <v/>
      </c>
      <c r="L299" s="141">
        <f>IFERROR(VLOOKUP($B299,calc_data,L$14+1,0),0)</f>
        <v/>
      </c>
      <c r="M299" s="177">
        <f>IFERROR(VLOOKUP($B299,calc_data,M$14+1,0),0)</f>
        <v/>
      </c>
      <c r="N299" s="177">
        <f>IFERROR(VLOOKUP($B299,calc_data,N$14+1,0),0)</f>
        <v/>
      </c>
      <c r="O299" s="45" t="n"/>
      <c r="Q299" s="57">
        <f>IF(K299&gt;0,"показать","скрыть")</f>
        <v/>
      </c>
    </row>
    <row r="300" ht="15.75" customHeight="1">
      <c r="B300" s="182" t="n">
        <v>284</v>
      </c>
      <c r="C300" s="182">
        <f>IFERROR(VLOOKUP($B300,calc_data,C$14+1,0),0)</f>
        <v/>
      </c>
      <c r="D300" s="182">
        <f>IFERROR(VLOOKUP($B300,calc_data,D$14+1,0),0)</f>
        <v/>
      </c>
      <c r="E300" s="183">
        <f>IFERROR(VLOOKUP($B300,calc_data,E$14+1,0),0)</f>
        <v/>
      </c>
      <c r="F300" s="182">
        <f>IFERROR(VLOOKUP($B300,calc_data,F$14+1,0),0)</f>
        <v/>
      </c>
      <c r="G300" s="141">
        <f>IFERROR(VLOOKUP($B300,calc_data,G$14+1,0),0)</f>
        <v/>
      </c>
      <c r="H300" s="141">
        <f>IFERROR(VLOOKUP($B300,calc_data,H$14+1,0),0)</f>
        <v/>
      </c>
      <c r="I300" s="142">
        <f>IFERROR(VLOOKUP($B300,calc_data,I$14+1,0),0)</f>
        <v/>
      </c>
      <c r="J300" s="141">
        <f>IFERROR(VLOOKUP($B300,calc_data,J$14+1,0),0)</f>
        <v/>
      </c>
      <c r="K300" s="141">
        <f>IFERROR(VLOOKUP($B300,calc_data,K$14+1,0),0)</f>
        <v/>
      </c>
      <c r="L300" s="141">
        <f>IFERROR(VLOOKUP($B300,calc_data,L$14+1,0),0)</f>
        <v/>
      </c>
      <c r="M300" s="177">
        <f>IFERROR(VLOOKUP($B300,calc_data,M$14+1,0),0)</f>
        <v/>
      </c>
      <c r="N300" s="177">
        <f>IFERROR(VLOOKUP($B300,calc_data,N$14+1,0),0)</f>
        <v/>
      </c>
      <c r="O300" s="45" t="n"/>
      <c r="Q300" s="57">
        <f>IF(K300&gt;0,"показать","скрыть")</f>
        <v/>
      </c>
    </row>
    <row r="301" ht="15.75" customHeight="1">
      <c r="B301" s="182" t="n">
        <v>285</v>
      </c>
      <c r="C301" s="182">
        <f>IFERROR(VLOOKUP($B301,calc_data,C$14+1,0),0)</f>
        <v/>
      </c>
      <c r="D301" s="182">
        <f>IFERROR(VLOOKUP($B301,calc_data,D$14+1,0),0)</f>
        <v/>
      </c>
      <c r="E301" s="183">
        <f>IFERROR(VLOOKUP($B301,calc_data,E$14+1,0),0)</f>
        <v/>
      </c>
      <c r="F301" s="182">
        <f>IFERROR(VLOOKUP($B301,calc_data,F$14+1,0),0)</f>
        <v/>
      </c>
      <c r="G301" s="141">
        <f>IFERROR(VLOOKUP($B301,calc_data,G$14+1,0),0)</f>
        <v/>
      </c>
      <c r="H301" s="141">
        <f>IFERROR(VLOOKUP($B301,calc_data,H$14+1,0),0)</f>
        <v/>
      </c>
      <c r="I301" s="142">
        <f>IFERROR(VLOOKUP($B301,calc_data,I$14+1,0),0)</f>
        <v/>
      </c>
      <c r="J301" s="141">
        <f>IFERROR(VLOOKUP($B301,calc_data,J$14+1,0),0)</f>
        <v/>
      </c>
      <c r="K301" s="141">
        <f>IFERROR(VLOOKUP($B301,calc_data,K$14+1,0),0)</f>
        <v/>
      </c>
      <c r="L301" s="141">
        <f>IFERROR(VLOOKUP($B301,calc_data,L$14+1,0),0)</f>
        <v/>
      </c>
      <c r="M301" s="177">
        <f>IFERROR(VLOOKUP($B301,calc_data,M$14+1,0),0)</f>
        <v/>
      </c>
      <c r="N301" s="177">
        <f>IFERROR(VLOOKUP($B301,calc_data,N$14+1,0),0)</f>
        <v/>
      </c>
      <c r="O301" s="45" t="n"/>
      <c r="Q301" s="57">
        <f>IF(K301&gt;0,"показать","скрыть")</f>
        <v/>
      </c>
    </row>
    <row r="302" ht="15.75" customHeight="1">
      <c r="B302" s="182" t="n">
        <v>286</v>
      </c>
      <c r="C302" s="182">
        <f>IFERROR(VLOOKUP($B302,calc_data,C$14+1,0),0)</f>
        <v/>
      </c>
      <c r="D302" s="182">
        <f>IFERROR(VLOOKUP($B302,calc_data,D$14+1,0),0)</f>
        <v/>
      </c>
      <c r="E302" s="183">
        <f>IFERROR(VLOOKUP($B302,calc_data,E$14+1,0),0)</f>
        <v/>
      </c>
      <c r="F302" s="182">
        <f>IFERROR(VLOOKUP($B302,calc_data,F$14+1,0),0)</f>
        <v/>
      </c>
      <c r="G302" s="141">
        <f>IFERROR(VLOOKUP($B302,calc_data,G$14+1,0),0)</f>
        <v/>
      </c>
      <c r="H302" s="141">
        <f>IFERROR(VLOOKUP($B302,calc_data,H$14+1,0),0)</f>
        <v/>
      </c>
      <c r="I302" s="142">
        <f>IFERROR(VLOOKUP($B302,calc_data,I$14+1,0),0)</f>
        <v/>
      </c>
      <c r="J302" s="141">
        <f>IFERROR(VLOOKUP($B302,calc_data,J$14+1,0),0)</f>
        <v/>
      </c>
      <c r="K302" s="141">
        <f>IFERROR(VLOOKUP($B302,calc_data,K$14+1,0),0)</f>
        <v/>
      </c>
      <c r="L302" s="141">
        <f>IFERROR(VLOOKUP($B302,calc_data,L$14+1,0),0)</f>
        <v/>
      </c>
      <c r="M302" s="177">
        <f>IFERROR(VLOOKUP($B302,calc_data,M$14+1,0),0)</f>
        <v/>
      </c>
      <c r="N302" s="177">
        <f>IFERROR(VLOOKUP($B302,calc_data,N$14+1,0),0)</f>
        <v/>
      </c>
      <c r="O302" s="45" t="n"/>
      <c r="Q302" s="57">
        <f>IF(K302&gt;0,"показать","скрыть")</f>
        <v/>
      </c>
    </row>
    <row r="303" ht="15.75" customHeight="1">
      <c r="B303" s="182" t="n">
        <v>287</v>
      </c>
      <c r="C303" s="182">
        <f>IFERROR(VLOOKUP($B303,calc_data,C$14+1,0),0)</f>
        <v/>
      </c>
      <c r="D303" s="182">
        <f>IFERROR(VLOOKUP($B303,calc_data,D$14+1,0),0)</f>
        <v/>
      </c>
      <c r="E303" s="183">
        <f>IFERROR(VLOOKUP($B303,calc_data,E$14+1,0),0)</f>
        <v/>
      </c>
      <c r="F303" s="182">
        <f>IFERROR(VLOOKUP($B303,calc_data,F$14+1,0),0)</f>
        <v/>
      </c>
      <c r="G303" s="141">
        <f>IFERROR(VLOOKUP($B303,calc_data,G$14+1,0),0)</f>
        <v/>
      </c>
      <c r="H303" s="141">
        <f>IFERROR(VLOOKUP($B303,calc_data,H$14+1,0),0)</f>
        <v/>
      </c>
      <c r="I303" s="142">
        <f>IFERROR(VLOOKUP($B303,calc_data,I$14+1,0),0)</f>
        <v/>
      </c>
      <c r="J303" s="141">
        <f>IFERROR(VLOOKUP($B303,calc_data,J$14+1,0),0)</f>
        <v/>
      </c>
      <c r="K303" s="141">
        <f>IFERROR(VLOOKUP($B303,calc_data,K$14+1,0),0)</f>
        <v/>
      </c>
      <c r="L303" s="141">
        <f>IFERROR(VLOOKUP($B303,calc_data,L$14+1,0),0)</f>
        <v/>
      </c>
      <c r="M303" s="177">
        <f>IFERROR(VLOOKUP($B303,calc_data,M$14+1,0),0)</f>
        <v/>
      </c>
      <c r="N303" s="177">
        <f>IFERROR(VLOOKUP($B303,calc_data,N$14+1,0),0)</f>
        <v/>
      </c>
      <c r="O303" s="45" t="n"/>
      <c r="Q303" s="57">
        <f>IF(K303&gt;0,"показать","скрыть")</f>
        <v/>
      </c>
    </row>
    <row r="304" ht="15.75" customHeight="1">
      <c r="B304" s="182" t="n">
        <v>288</v>
      </c>
      <c r="C304" s="182">
        <f>IFERROR(VLOOKUP($B304,calc_data,C$14+1,0),0)</f>
        <v/>
      </c>
      <c r="D304" s="182">
        <f>IFERROR(VLOOKUP($B304,calc_data,D$14+1,0),0)</f>
        <v/>
      </c>
      <c r="E304" s="183">
        <f>IFERROR(VLOOKUP($B304,calc_data,E$14+1,0),0)</f>
        <v/>
      </c>
      <c r="F304" s="182">
        <f>IFERROR(VLOOKUP($B304,calc_data,F$14+1,0),0)</f>
        <v/>
      </c>
      <c r="G304" s="141">
        <f>IFERROR(VLOOKUP($B304,calc_data,G$14+1,0),0)</f>
        <v/>
      </c>
      <c r="H304" s="141">
        <f>IFERROR(VLOOKUP($B304,calc_data,H$14+1,0),0)</f>
        <v/>
      </c>
      <c r="I304" s="142">
        <f>IFERROR(VLOOKUP($B304,calc_data,I$14+1,0),0)</f>
        <v/>
      </c>
      <c r="J304" s="141">
        <f>IFERROR(VLOOKUP($B304,calc_data,J$14+1,0),0)</f>
        <v/>
      </c>
      <c r="K304" s="141">
        <f>IFERROR(VLOOKUP($B304,calc_data,K$14+1,0),0)</f>
        <v/>
      </c>
      <c r="L304" s="141">
        <f>IFERROR(VLOOKUP($B304,calc_data,L$14+1,0),0)</f>
        <v/>
      </c>
      <c r="M304" s="177">
        <f>IFERROR(VLOOKUP($B304,calc_data,M$14+1,0),0)</f>
        <v/>
      </c>
      <c r="N304" s="177">
        <f>IFERROR(VLOOKUP($B304,calc_data,N$14+1,0),0)</f>
        <v/>
      </c>
      <c r="O304" s="45" t="n"/>
      <c r="Q304" s="57">
        <f>IF(K304&gt;0,"показать","скрыть")</f>
        <v/>
      </c>
    </row>
    <row r="305" ht="15.75" customHeight="1">
      <c r="B305" s="182" t="n">
        <v>289</v>
      </c>
      <c r="C305" s="182">
        <f>IFERROR(VLOOKUP($B305,calc_data,C$14+1,0),0)</f>
        <v/>
      </c>
      <c r="D305" s="182">
        <f>IFERROR(VLOOKUP($B305,calc_data,D$14+1,0),0)</f>
        <v/>
      </c>
      <c r="E305" s="183">
        <f>IFERROR(VLOOKUP($B305,calc_data,E$14+1,0),0)</f>
        <v/>
      </c>
      <c r="F305" s="182">
        <f>IFERROR(VLOOKUP($B305,calc_data,F$14+1,0),0)</f>
        <v/>
      </c>
      <c r="G305" s="141">
        <f>IFERROR(VLOOKUP($B305,calc_data,G$14+1,0),0)</f>
        <v/>
      </c>
      <c r="H305" s="141">
        <f>IFERROR(VLOOKUP($B305,calc_data,H$14+1,0),0)</f>
        <v/>
      </c>
      <c r="I305" s="142">
        <f>IFERROR(VLOOKUP($B305,calc_data,I$14+1,0),0)</f>
        <v/>
      </c>
      <c r="J305" s="141">
        <f>IFERROR(VLOOKUP($B305,calc_data,J$14+1,0),0)</f>
        <v/>
      </c>
      <c r="K305" s="141">
        <f>IFERROR(VLOOKUP($B305,calc_data,K$14+1,0),0)</f>
        <v/>
      </c>
      <c r="L305" s="141">
        <f>IFERROR(VLOOKUP($B305,calc_data,L$14+1,0),0)</f>
        <v/>
      </c>
      <c r="M305" s="177">
        <f>IFERROR(VLOOKUP($B305,calc_data,M$14+1,0),0)</f>
        <v/>
      </c>
      <c r="N305" s="177">
        <f>IFERROR(VLOOKUP($B305,calc_data,N$14+1,0),0)</f>
        <v/>
      </c>
      <c r="O305" s="45" t="n"/>
      <c r="Q305" s="57">
        <f>IF(K305&gt;0,"показать","скрыть")</f>
        <v/>
      </c>
    </row>
    <row r="306" ht="15.75" customHeight="1">
      <c r="B306" s="182" t="n">
        <v>290</v>
      </c>
      <c r="C306" s="182">
        <f>IFERROR(VLOOKUP($B306,calc_data,C$14+1,0),0)</f>
        <v/>
      </c>
      <c r="D306" s="182">
        <f>IFERROR(VLOOKUP($B306,calc_data,D$14+1,0),0)</f>
        <v/>
      </c>
      <c r="E306" s="183">
        <f>IFERROR(VLOOKUP($B306,calc_data,E$14+1,0),0)</f>
        <v/>
      </c>
      <c r="F306" s="182">
        <f>IFERROR(VLOOKUP($B306,calc_data,F$14+1,0),0)</f>
        <v/>
      </c>
      <c r="G306" s="141">
        <f>IFERROR(VLOOKUP($B306,calc_data,G$14+1,0),0)</f>
        <v/>
      </c>
      <c r="H306" s="141">
        <f>IFERROR(VLOOKUP($B306,calc_data,H$14+1,0),0)</f>
        <v/>
      </c>
      <c r="I306" s="142">
        <f>IFERROR(VLOOKUP($B306,calc_data,I$14+1,0),0)</f>
        <v/>
      </c>
      <c r="J306" s="141">
        <f>IFERROR(VLOOKUP($B306,calc_data,J$14+1,0),0)</f>
        <v/>
      </c>
      <c r="K306" s="141">
        <f>IFERROR(VLOOKUP($B306,calc_data,K$14+1,0),0)</f>
        <v/>
      </c>
      <c r="L306" s="141">
        <f>IFERROR(VLOOKUP($B306,calc_data,L$14+1,0),0)</f>
        <v/>
      </c>
      <c r="M306" s="177">
        <f>IFERROR(VLOOKUP($B306,calc_data,M$14+1,0),0)</f>
        <v/>
      </c>
      <c r="N306" s="177">
        <f>IFERROR(VLOOKUP($B306,calc_data,N$14+1,0),0)</f>
        <v/>
      </c>
      <c r="O306" s="45" t="n"/>
      <c r="Q306" s="57">
        <f>IF(K306&gt;0,"показать","скрыть")</f>
        <v/>
      </c>
    </row>
    <row r="307" ht="15.75" customHeight="1">
      <c r="B307" s="182" t="n">
        <v>291</v>
      </c>
      <c r="C307" s="182">
        <f>IFERROR(VLOOKUP($B307,calc_data,C$14+1,0),0)</f>
        <v/>
      </c>
      <c r="D307" s="182">
        <f>IFERROR(VLOOKUP($B307,calc_data,D$14+1,0),0)</f>
        <v/>
      </c>
      <c r="E307" s="183">
        <f>IFERROR(VLOOKUP($B307,calc_data,E$14+1,0),0)</f>
        <v/>
      </c>
      <c r="F307" s="182">
        <f>IFERROR(VLOOKUP($B307,calc_data,F$14+1,0),0)</f>
        <v/>
      </c>
      <c r="G307" s="141">
        <f>IFERROR(VLOOKUP($B307,calc_data,G$14+1,0),0)</f>
        <v/>
      </c>
      <c r="H307" s="141">
        <f>IFERROR(VLOOKUP($B307,calc_data,H$14+1,0),0)</f>
        <v/>
      </c>
      <c r="I307" s="142">
        <f>IFERROR(VLOOKUP($B307,calc_data,I$14+1,0),0)</f>
        <v/>
      </c>
      <c r="J307" s="141">
        <f>IFERROR(VLOOKUP($B307,calc_data,J$14+1,0),0)</f>
        <v/>
      </c>
      <c r="K307" s="141">
        <f>IFERROR(VLOOKUP($B307,calc_data,K$14+1,0),0)</f>
        <v/>
      </c>
      <c r="L307" s="141">
        <f>IFERROR(VLOOKUP($B307,calc_data,L$14+1,0),0)</f>
        <v/>
      </c>
      <c r="M307" s="177">
        <f>IFERROR(VLOOKUP($B307,calc_data,M$14+1,0),0)</f>
        <v/>
      </c>
      <c r="N307" s="177">
        <f>IFERROR(VLOOKUP($B307,calc_data,N$14+1,0),0)</f>
        <v/>
      </c>
      <c r="O307" s="45" t="n"/>
      <c r="Q307" s="57">
        <f>IF(K307&gt;0,"показать","скрыть")</f>
        <v/>
      </c>
    </row>
    <row r="308" ht="15.75" customHeight="1">
      <c r="B308" s="182" t="n">
        <v>292</v>
      </c>
      <c r="C308" s="182">
        <f>IFERROR(VLOOKUP($B308,calc_data,C$14+1,0),0)</f>
        <v/>
      </c>
      <c r="D308" s="182">
        <f>IFERROR(VLOOKUP($B308,calc_data,D$14+1,0),0)</f>
        <v/>
      </c>
      <c r="E308" s="183">
        <f>IFERROR(VLOOKUP($B308,calc_data,E$14+1,0),0)</f>
        <v/>
      </c>
      <c r="F308" s="182">
        <f>IFERROR(VLOOKUP($B308,calc_data,F$14+1,0),0)</f>
        <v/>
      </c>
      <c r="G308" s="141">
        <f>IFERROR(VLOOKUP($B308,calc_data,G$14+1,0),0)</f>
        <v/>
      </c>
      <c r="H308" s="141">
        <f>IFERROR(VLOOKUP($B308,calc_data,H$14+1,0),0)</f>
        <v/>
      </c>
      <c r="I308" s="142">
        <f>IFERROR(VLOOKUP($B308,calc_data,I$14+1,0),0)</f>
        <v/>
      </c>
      <c r="J308" s="141">
        <f>IFERROR(VLOOKUP($B308,calc_data,J$14+1,0),0)</f>
        <v/>
      </c>
      <c r="K308" s="141">
        <f>IFERROR(VLOOKUP($B308,calc_data,K$14+1,0),0)</f>
        <v/>
      </c>
      <c r="L308" s="141">
        <f>IFERROR(VLOOKUP($B308,calc_data,L$14+1,0),0)</f>
        <v/>
      </c>
      <c r="M308" s="177">
        <f>IFERROR(VLOOKUP($B308,calc_data,M$14+1,0),0)</f>
        <v/>
      </c>
      <c r="N308" s="177">
        <f>IFERROR(VLOOKUP($B308,calc_data,N$14+1,0),0)</f>
        <v/>
      </c>
      <c r="O308" s="45" t="n"/>
      <c r="Q308" s="57">
        <f>IF(K308&gt;0,"показать","скрыть")</f>
        <v/>
      </c>
    </row>
    <row r="309" ht="15.75" customHeight="1">
      <c r="B309" s="182" t="n">
        <v>293</v>
      </c>
      <c r="C309" s="182">
        <f>IFERROR(VLOOKUP($B309,calc_data,C$14+1,0),0)</f>
        <v/>
      </c>
      <c r="D309" s="182">
        <f>IFERROR(VLOOKUP($B309,calc_data,D$14+1,0),0)</f>
        <v/>
      </c>
      <c r="E309" s="183">
        <f>IFERROR(VLOOKUP($B309,calc_data,E$14+1,0),0)</f>
        <v/>
      </c>
      <c r="F309" s="182">
        <f>IFERROR(VLOOKUP($B309,calc_data,F$14+1,0),0)</f>
        <v/>
      </c>
      <c r="G309" s="141">
        <f>IFERROR(VLOOKUP($B309,calc_data,G$14+1,0),0)</f>
        <v/>
      </c>
      <c r="H309" s="141">
        <f>IFERROR(VLOOKUP($B309,calc_data,H$14+1,0),0)</f>
        <v/>
      </c>
      <c r="I309" s="142">
        <f>IFERROR(VLOOKUP($B309,calc_data,I$14+1,0),0)</f>
        <v/>
      </c>
      <c r="J309" s="141">
        <f>IFERROR(VLOOKUP($B309,calc_data,J$14+1,0),0)</f>
        <v/>
      </c>
      <c r="K309" s="141">
        <f>IFERROR(VLOOKUP($B309,calc_data,K$14+1,0),0)</f>
        <v/>
      </c>
      <c r="L309" s="141">
        <f>IFERROR(VLOOKUP($B309,calc_data,L$14+1,0),0)</f>
        <v/>
      </c>
      <c r="M309" s="177">
        <f>IFERROR(VLOOKUP($B309,calc_data,M$14+1,0),0)</f>
        <v/>
      </c>
      <c r="N309" s="177">
        <f>IFERROR(VLOOKUP($B309,calc_data,N$14+1,0),0)</f>
        <v/>
      </c>
      <c r="O309" s="45" t="n"/>
      <c r="Q309" s="57">
        <f>IF(K309&gt;0,"показать","скрыть")</f>
        <v/>
      </c>
    </row>
    <row r="310" ht="15.75" customHeight="1">
      <c r="B310" s="182" t="n">
        <v>294</v>
      </c>
      <c r="C310" s="182">
        <f>IFERROR(VLOOKUP($B310,calc_data,C$14+1,0),0)</f>
        <v/>
      </c>
      <c r="D310" s="182">
        <f>IFERROR(VLOOKUP($B310,calc_data,D$14+1,0),0)</f>
        <v/>
      </c>
      <c r="E310" s="183">
        <f>IFERROR(VLOOKUP($B310,calc_data,E$14+1,0),0)</f>
        <v/>
      </c>
      <c r="F310" s="182">
        <f>IFERROR(VLOOKUP($B310,calc_data,F$14+1,0),0)</f>
        <v/>
      </c>
      <c r="G310" s="141">
        <f>IFERROR(VLOOKUP($B310,calc_data,G$14+1,0),0)</f>
        <v/>
      </c>
      <c r="H310" s="141">
        <f>IFERROR(VLOOKUP($B310,calc_data,H$14+1,0),0)</f>
        <v/>
      </c>
      <c r="I310" s="142">
        <f>IFERROR(VLOOKUP($B310,calc_data,I$14+1,0),0)</f>
        <v/>
      </c>
      <c r="J310" s="141">
        <f>IFERROR(VLOOKUP($B310,calc_data,J$14+1,0),0)</f>
        <v/>
      </c>
      <c r="K310" s="141">
        <f>IFERROR(VLOOKUP($B310,calc_data,K$14+1,0),0)</f>
        <v/>
      </c>
      <c r="L310" s="141">
        <f>IFERROR(VLOOKUP($B310,calc_data,L$14+1,0),0)</f>
        <v/>
      </c>
      <c r="M310" s="177">
        <f>IFERROR(VLOOKUP($B310,calc_data,M$14+1,0),0)</f>
        <v/>
      </c>
      <c r="N310" s="177">
        <f>IFERROR(VLOOKUP($B310,calc_data,N$14+1,0),0)</f>
        <v/>
      </c>
      <c r="O310" s="45" t="n"/>
      <c r="Q310" s="57">
        <f>IF(K310&gt;0,"показать","скрыть")</f>
        <v/>
      </c>
    </row>
    <row r="311" ht="15.75" customHeight="1">
      <c r="B311" s="182" t="n">
        <v>295</v>
      </c>
      <c r="C311" s="182">
        <f>IFERROR(VLOOKUP($B311,calc_data,C$14+1,0),0)</f>
        <v/>
      </c>
      <c r="D311" s="182">
        <f>IFERROR(VLOOKUP($B311,calc_data,D$14+1,0),0)</f>
        <v/>
      </c>
      <c r="E311" s="183">
        <f>IFERROR(VLOOKUP($B311,calc_data,E$14+1,0),0)</f>
        <v/>
      </c>
      <c r="F311" s="182">
        <f>IFERROR(VLOOKUP($B311,calc_data,F$14+1,0),0)</f>
        <v/>
      </c>
      <c r="G311" s="141">
        <f>IFERROR(VLOOKUP($B311,calc_data,G$14+1,0),0)</f>
        <v/>
      </c>
      <c r="H311" s="141">
        <f>IFERROR(VLOOKUP($B311,calc_data,H$14+1,0),0)</f>
        <v/>
      </c>
      <c r="I311" s="142">
        <f>IFERROR(VLOOKUP($B311,calc_data,I$14+1,0),0)</f>
        <v/>
      </c>
      <c r="J311" s="141">
        <f>IFERROR(VLOOKUP($B311,calc_data,J$14+1,0),0)</f>
        <v/>
      </c>
      <c r="K311" s="141">
        <f>IFERROR(VLOOKUP($B311,calc_data,K$14+1,0),0)</f>
        <v/>
      </c>
      <c r="L311" s="141">
        <f>IFERROR(VLOOKUP($B311,calc_data,L$14+1,0),0)</f>
        <v/>
      </c>
      <c r="M311" s="177">
        <f>IFERROR(VLOOKUP($B311,calc_data,M$14+1,0),0)</f>
        <v/>
      </c>
      <c r="N311" s="177">
        <f>IFERROR(VLOOKUP($B311,calc_data,N$14+1,0),0)</f>
        <v/>
      </c>
      <c r="O311" s="45" t="n"/>
      <c r="Q311" s="57">
        <f>IF(K311&gt;0,"показать","скрыть")</f>
        <v/>
      </c>
    </row>
    <row r="312" ht="15.75" customHeight="1">
      <c r="B312" s="182" t="n">
        <v>296</v>
      </c>
      <c r="C312" s="182">
        <f>IFERROR(VLOOKUP($B312,calc_data,C$14+1,0),0)</f>
        <v/>
      </c>
      <c r="D312" s="182">
        <f>IFERROR(VLOOKUP($B312,calc_data,D$14+1,0),0)</f>
        <v/>
      </c>
      <c r="E312" s="183">
        <f>IFERROR(VLOOKUP($B312,calc_data,E$14+1,0),0)</f>
        <v/>
      </c>
      <c r="F312" s="182">
        <f>IFERROR(VLOOKUP($B312,calc_data,F$14+1,0),0)</f>
        <v/>
      </c>
      <c r="G312" s="141">
        <f>IFERROR(VLOOKUP($B312,calc_data,G$14+1,0),0)</f>
        <v/>
      </c>
      <c r="H312" s="141">
        <f>IFERROR(VLOOKUP($B312,calc_data,H$14+1,0),0)</f>
        <v/>
      </c>
      <c r="I312" s="142">
        <f>IFERROR(VLOOKUP($B312,calc_data,I$14+1,0),0)</f>
        <v/>
      </c>
      <c r="J312" s="141">
        <f>IFERROR(VLOOKUP($B312,calc_data,J$14+1,0),0)</f>
        <v/>
      </c>
      <c r="K312" s="141">
        <f>IFERROR(VLOOKUP($B312,calc_data,K$14+1,0),0)</f>
        <v/>
      </c>
      <c r="L312" s="141">
        <f>IFERROR(VLOOKUP($B312,calc_data,L$14+1,0),0)</f>
        <v/>
      </c>
      <c r="M312" s="177">
        <f>IFERROR(VLOOKUP($B312,calc_data,M$14+1,0),0)</f>
        <v/>
      </c>
      <c r="N312" s="177">
        <f>IFERROR(VLOOKUP($B312,calc_data,N$14+1,0),0)</f>
        <v/>
      </c>
      <c r="O312" s="45" t="n"/>
      <c r="Q312" s="57">
        <f>IF(K312&gt;0,"показать","скрыть")</f>
        <v/>
      </c>
    </row>
    <row r="313" ht="15.75" customHeight="1">
      <c r="B313" s="182" t="n">
        <v>297</v>
      </c>
      <c r="C313" s="182">
        <f>IFERROR(VLOOKUP($B313,calc_data,C$14+1,0),0)</f>
        <v/>
      </c>
      <c r="D313" s="182">
        <f>IFERROR(VLOOKUP($B313,calc_data,D$14+1,0),0)</f>
        <v/>
      </c>
      <c r="E313" s="183">
        <f>IFERROR(VLOOKUP($B313,calc_data,E$14+1,0),0)</f>
        <v/>
      </c>
      <c r="F313" s="182">
        <f>IFERROR(VLOOKUP($B313,calc_data,F$14+1,0),0)</f>
        <v/>
      </c>
      <c r="G313" s="141">
        <f>IFERROR(VLOOKUP($B313,calc_data,G$14+1,0),0)</f>
        <v/>
      </c>
      <c r="H313" s="141">
        <f>IFERROR(VLOOKUP($B313,calc_data,H$14+1,0),0)</f>
        <v/>
      </c>
      <c r="I313" s="142">
        <f>IFERROR(VLOOKUP($B313,calc_data,I$14+1,0),0)</f>
        <v/>
      </c>
      <c r="J313" s="141">
        <f>IFERROR(VLOOKUP($B313,calc_data,J$14+1,0),0)</f>
        <v/>
      </c>
      <c r="K313" s="141">
        <f>IFERROR(VLOOKUP($B313,calc_data,K$14+1,0),0)</f>
        <v/>
      </c>
      <c r="L313" s="141">
        <f>IFERROR(VLOOKUP($B313,calc_data,L$14+1,0),0)</f>
        <v/>
      </c>
      <c r="M313" s="177">
        <f>IFERROR(VLOOKUP($B313,calc_data,M$14+1,0),0)</f>
        <v/>
      </c>
      <c r="N313" s="177">
        <f>IFERROR(VLOOKUP($B313,calc_data,N$14+1,0),0)</f>
        <v/>
      </c>
      <c r="O313" s="45" t="n"/>
      <c r="Q313" s="57">
        <f>IF(K313&gt;0,"показать","скрыть")</f>
        <v/>
      </c>
    </row>
    <row r="314" ht="15.75" customHeight="1">
      <c r="B314" s="182" t="n">
        <v>298</v>
      </c>
      <c r="C314" s="182">
        <f>IFERROR(VLOOKUP($B314,calc_data,C$14+1,0),0)</f>
        <v/>
      </c>
      <c r="D314" s="182">
        <f>IFERROR(VLOOKUP($B314,calc_data,D$14+1,0),0)</f>
        <v/>
      </c>
      <c r="E314" s="183">
        <f>IFERROR(VLOOKUP($B314,calc_data,E$14+1,0),0)</f>
        <v/>
      </c>
      <c r="F314" s="182">
        <f>IFERROR(VLOOKUP($B314,calc_data,F$14+1,0),0)</f>
        <v/>
      </c>
      <c r="G314" s="141">
        <f>IFERROR(VLOOKUP($B314,calc_data,G$14+1,0),0)</f>
        <v/>
      </c>
      <c r="H314" s="141">
        <f>IFERROR(VLOOKUP($B314,calc_data,H$14+1,0),0)</f>
        <v/>
      </c>
      <c r="I314" s="142">
        <f>IFERROR(VLOOKUP($B314,calc_data,I$14+1,0),0)</f>
        <v/>
      </c>
      <c r="J314" s="141">
        <f>IFERROR(VLOOKUP($B314,calc_data,J$14+1,0),0)</f>
        <v/>
      </c>
      <c r="K314" s="141">
        <f>IFERROR(VLOOKUP($B314,calc_data,K$14+1,0),0)</f>
        <v/>
      </c>
      <c r="L314" s="141">
        <f>IFERROR(VLOOKUP($B314,calc_data,L$14+1,0),0)</f>
        <v/>
      </c>
      <c r="M314" s="177">
        <f>IFERROR(VLOOKUP($B314,calc_data,M$14+1,0),0)</f>
        <v/>
      </c>
      <c r="N314" s="177">
        <f>IFERROR(VLOOKUP($B314,calc_data,N$14+1,0),0)</f>
        <v/>
      </c>
      <c r="O314" s="45" t="n"/>
      <c r="Q314" s="57">
        <f>IF(K314&gt;0,"показать","скрыть")</f>
        <v/>
      </c>
    </row>
    <row r="315" ht="15.75" customHeight="1">
      <c r="B315" s="182" t="n">
        <v>299</v>
      </c>
      <c r="C315" s="182">
        <f>IFERROR(VLOOKUP($B315,calc_data,C$14+1,0),0)</f>
        <v/>
      </c>
      <c r="D315" s="182">
        <f>IFERROR(VLOOKUP($B315,calc_data,D$14+1,0),0)</f>
        <v/>
      </c>
      <c r="E315" s="183">
        <f>IFERROR(VLOOKUP($B315,calc_data,E$14+1,0),0)</f>
        <v/>
      </c>
      <c r="F315" s="182">
        <f>IFERROR(VLOOKUP($B315,calc_data,F$14+1,0),0)</f>
        <v/>
      </c>
      <c r="G315" s="141">
        <f>IFERROR(VLOOKUP($B315,calc_data,G$14+1,0),0)</f>
        <v/>
      </c>
      <c r="H315" s="141">
        <f>IFERROR(VLOOKUP($B315,calc_data,H$14+1,0),0)</f>
        <v/>
      </c>
      <c r="I315" s="142">
        <f>IFERROR(VLOOKUP($B315,calc_data,I$14+1,0),0)</f>
        <v/>
      </c>
      <c r="J315" s="141">
        <f>IFERROR(VLOOKUP($B315,calc_data,J$14+1,0),0)</f>
        <v/>
      </c>
      <c r="K315" s="141">
        <f>IFERROR(VLOOKUP($B315,calc_data,K$14+1,0),0)</f>
        <v/>
      </c>
      <c r="L315" s="141">
        <f>IFERROR(VLOOKUP($B315,calc_data,L$14+1,0),0)</f>
        <v/>
      </c>
      <c r="M315" s="177">
        <f>IFERROR(VLOOKUP($B315,calc_data,M$14+1,0),0)</f>
        <v/>
      </c>
      <c r="N315" s="177">
        <f>IFERROR(VLOOKUP($B315,calc_data,N$14+1,0),0)</f>
        <v/>
      </c>
      <c r="O315" s="45" t="n"/>
      <c r="Q315" s="57">
        <f>IF(K315&gt;0,"показать","скрыть")</f>
        <v/>
      </c>
    </row>
    <row r="316" ht="15.75" customHeight="1">
      <c r="B316" s="182" t="n">
        <v>300</v>
      </c>
      <c r="C316" s="182">
        <f>IFERROR(VLOOKUP($B316,calc_data,C$14+1,0),0)</f>
        <v/>
      </c>
      <c r="D316" s="182">
        <f>IFERROR(VLOOKUP($B316,calc_data,D$14+1,0),0)</f>
        <v/>
      </c>
      <c r="E316" s="183">
        <f>IFERROR(VLOOKUP($B316,calc_data,E$14+1,0),0)</f>
        <v/>
      </c>
      <c r="F316" s="182">
        <f>IFERROR(VLOOKUP($B316,calc_data,F$14+1,0),0)</f>
        <v/>
      </c>
      <c r="G316" s="141">
        <f>IFERROR(VLOOKUP($B316,calc_data,G$14+1,0),0)</f>
        <v/>
      </c>
      <c r="H316" s="141">
        <f>IFERROR(VLOOKUP($B316,calc_data,H$14+1,0),0)</f>
        <v/>
      </c>
      <c r="I316" s="142">
        <f>IFERROR(VLOOKUP($B316,calc_data,I$14+1,0),0)</f>
        <v/>
      </c>
      <c r="J316" s="141">
        <f>IFERROR(VLOOKUP($B316,calc_data,J$14+1,0),0)</f>
        <v/>
      </c>
      <c r="K316" s="141">
        <f>IFERROR(VLOOKUP($B316,calc_data,K$14+1,0),0)</f>
        <v/>
      </c>
      <c r="L316" s="141">
        <f>IFERROR(VLOOKUP($B316,calc_data,L$14+1,0),0)</f>
        <v/>
      </c>
      <c r="M316" s="177">
        <f>IFERROR(VLOOKUP($B316,calc_data,M$14+1,0),0)</f>
        <v/>
      </c>
      <c r="N316" s="177">
        <f>IFERROR(VLOOKUP($B316,calc_data,N$14+1,0),0)</f>
        <v/>
      </c>
      <c r="O316" s="45" t="n"/>
      <c r="Q316" s="57">
        <f>IF(K316&gt;0,"показать","скрыть")</f>
        <v/>
      </c>
    </row>
    <row r="317" ht="15.75" customHeight="1">
      <c r="B317" s="182" t="n">
        <v>301</v>
      </c>
      <c r="C317" s="182">
        <f>IFERROR(VLOOKUP($B317,calc_data,C$14+1,0),0)</f>
        <v/>
      </c>
      <c r="D317" s="182">
        <f>IFERROR(VLOOKUP($B317,calc_data,D$14+1,0),0)</f>
        <v/>
      </c>
      <c r="E317" s="183">
        <f>IFERROR(VLOOKUP($B317,calc_data,E$14+1,0),0)</f>
        <v/>
      </c>
      <c r="F317" s="182">
        <f>IFERROR(VLOOKUP($B317,calc_data,F$14+1,0),0)</f>
        <v/>
      </c>
      <c r="G317" s="141">
        <f>IFERROR(VLOOKUP($B317,calc_data,G$14+1,0),0)</f>
        <v/>
      </c>
      <c r="H317" s="141">
        <f>IFERROR(VLOOKUP($B317,calc_data,H$14+1,0),0)</f>
        <v/>
      </c>
      <c r="I317" s="142">
        <f>IFERROR(VLOOKUP($B317,calc_data,I$14+1,0),0)</f>
        <v/>
      </c>
      <c r="J317" s="141">
        <f>IFERROR(VLOOKUP($B317,calc_data,J$14+1,0),0)</f>
        <v/>
      </c>
      <c r="K317" s="141">
        <f>IFERROR(VLOOKUP($B317,calc_data,K$14+1,0),0)</f>
        <v/>
      </c>
      <c r="L317" s="141">
        <f>IFERROR(VLOOKUP($B317,calc_data,L$14+1,0),0)</f>
        <v/>
      </c>
      <c r="M317" s="177">
        <f>IFERROR(VLOOKUP($B317,calc_data,M$14+1,0),0)</f>
        <v/>
      </c>
      <c r="N317" s="177">
        <f>IFERROR(VLOOKUP($B317,calc_data,N$14+1,0),0)</f>
        <v/>
      </c>
      <c r="O317" s="45" t="n"/>
      <c r="Q317" s="57">
        <f>IF(K317&gt;0,"показать","скрыть")</f>
        <v/>
      </c>
    </row>
    <row r="318" ht="15.75" customHeight="1">
      <c r="B318" s="182" t="n">
        <v>302</v>
      </c>
      <c r="C318" s="182">
        <f>IFERROR(VLOOKUP($B318,calc_data,C$14+1,0),0)</f>
        <v/>
      </c>
      <c r="D318" s="182">
        <f>IFERROR(VLOOKUP($B318,calc_data,D$14+1,0),0)</f>
        <v/>
      </c>
      <c r="E318" s="183">
        <f>IFERROR(VLOOKUP($B318,calc_data,E$14+1,0),0)</f>
        <v/>
      </c>
      <c r="F318" s="182">
        <f>IFERROR(VLOOKUP($B318,calc_data,F$14+1,0),0)</f>
        <v/>
      </c>
      <c r="G318" s="141">
        <f>IFERROR(VLOOKUP($B318,calc_data,G$14+1,0),0)</f>
        <v/>
      </c>
      <c r="H318" s="141">
        <f>IFERROR(VLOOKUP($B318,calc_data,H$14+1,0),0)</f>
        <v/>
      </c>
      <c r="I318" s="142">
        <f>IFERROR(VLOOKUP($B318,calc_data,I$14+1,0),0)</f>
        <v/>
      </c>
      <c r="J318" s="141">
        <f>IFERROR(VLOOKUP($B318,calc_data,J$14+1,0),0)</f>
        <v/>
      </c>
      <c r="K318" s="141">
        <f>IFERROR(VLOOKUP($B318,calc_data,K$14+1,0),0)</f>
        <v/>
      </c>
      <c r="L318" s="141">
        <f>IFERROR(VLOOKUP($B318,calc_data,L$14+1,0),0)</f>
        <v/>
      </c>
      <c r="M318" s="177">
        <f>IFERROR(VLOOKUP($B318,calc_data,M$14+1,0),0)</f>
        <v/>
      </c>
      <c r="N318" s="177">
        <f>IFERROR(VLOOKUP($B318,calc_data,N$14+1,0),0)</f>
        <v/>
      </c>
      <c r="O318" s="45" t="n"/>
      <c r="Q318" s="57">
        <f>IF(K318&gt;0,"показать","скрыть")</f>
        <v/>
      </c>
    </row>
    <row r="319" ht="15.75" customHeight="1">
      <c r="B319" s="182" t="n">
        <v>303</v>
      </c>
      <c r="C319" s="182">
        <f>IFERROR(VLOOKUP($B319,calc_data,C$14+1,0),0)</f>
        <v/>
      </c>
      <c r="D319" s="182">
        <f>IFERROR(VLOOKUP($B319,calc_data,D$14+1,0),0)</f>
        <v/>
      </c>
      <c r="E319" s="183">
        <f>IFERROR(VLOOKUP($B319,calc_data,E$14+1,0),0)</f>
        <v/>
      </c>
      <c r="F319" s="182">
        <f>IFERROR(VLOOKUP($B319,calc_data,F$14+1,0),0)</f>
        <v/>
      </c>
      <c r="G319" s="141">
        <f>IFERROR(VLOOKUP($B319,calc_data,G$14+1,0),0)</f>
        <v/>
      </c>
      <c r="H319" s="141">
        <f>IFERROR(VLOOKUP($B319,calc_data,H$14+1,0),0)</f>
        <v/>
      </c>
      <c r="I319" s="142">
        <f>IFERROR(VLOOKUP($B319,calc_data,I$14+1,0),0)</f>
        <v/>
      </c>
      <c r="J319" s="141">
        <f>IFERROR(VLOOKUP($B319,calc_data,J$14+1,0),0)</f>
        <v/>
      </c>
      <c r="K319" s="141">
        <f>IFERROR(VLOOKUP($B319,calc_data,K$14+1,0),0)</f>
        <v/>
      </c>
      <c r="L319" s="141">
        <f>IFERROR(VLOOKUP($B319,calc_data,L$14+1,0),0)</f>
        <v/>
      </c>
      <c r="M319" s="177">
        <f>IFERROR(VLOOKUP($B319,calc_data,M$14+1,0),0)</f>
        <v/>
      </c>
      <c r="N319" s="177">
        <f>IFERROR(VLOOKUP($B319,calc_data,N$14+1,0),0)</f>
        <v/>
      </c>
      <c r="O319" s="45" t="n"/>
      <c r="Q319" s="57">
        <f>IF(K319&gt;0,"показать","скрыть")</f>
        <v/>
      </c>
    </row>
    <row r="320" ht="15.75" customHeight="1">
      <c r="B320" s="182" t="n">
        <v>304</v>
      </c>
      <c r="C320" s="182">
        <f>IFERROR(VLOOKUP($B320,calc_data,C$14+1,0),0)</f>
        <v/>
      </c>
      <c r="D320" s="182">
        <f>IFERROR(VLOOKUP($B320,calc_data,D$14+1,0),0)</f>
        <v/>
      </c>
      <c r="E320" s="183">
        <f>IFERROR(VLOOKUP($B320,calc_data,E$14+1,0),0)</f>
        <v/>
      </c>
      <c r="F320" s="182">
        <f>IFERROR(VLOOKUP($B320,calc_data,F$14+1,0),0)</f>
        <v/>
      </c>
      <c r="G320" s="141">
        <f>IFERROR(VLOOKUP($B320,calc_data,G$14+1,0),0)</f>
        <v/>
      </c>
      <c r="H320" s="141">
        <f>IFERROR(VLOOKUP($B320,calc_data,H$14+1,0),0)</f>
        <v/>
      </c>
      <c r="I320" s="142">
        <f>IFERROR(VLOOKUP($B320,calc_data,I$14+1,0),0)</f>
        <v/>
      </c>
      <c r="J320" s="141">
        <f>IFERROR(VLOOKUP($B320,calc_data,J$14+1,0),0)</f>
        <v/>
      </c>
      <c r="K320" s="141">
        <f>IFERROR(VLOOKUP($B320,calc_data,K$14+1,0),0)</f>
        <v/>
      </c>
      <c r="L320" s="141">
        <f>IFERROR(VLOOKUP($B320,calc_data,L$14+1,0),0)</f>
        <v/>
      </c>
      <c r="M320" s="177">
        <f>IFERROR(VLOOKUP($B320,calc_data,M$14+1,0),0)</f>
        <v/>
      </c>
      <c r="N320" s="177">
        <f>IFERROR(VLOOKUP($B320,calc_data,N$14+1,0),0)</f>
        <v/>
      </c>
      <c r="O320" s="45" t="n"/>
      <c r="Q320" s="57">
        <f>IF(K320&gt;0,"показать","скрыть")</f>
        <v/>
      </c>
    </row>
    <row r="321" ht="15.75" customHeight="1">
      <c r="B321" s="182" t="n">
        <v>305</v>
      </c>
      <c r="C321" s="182">
        <f>IFERROR(VLOOKUP($B321,calc_data,C$14+1,0),0)</f>
        <v/>
      </c>
      <c r="D321" s="182">
        <f>IFERROR(VLOOKUP($B321,calc_data,D$14+1,0),0)</f>
        <v/>
      </c>
      <c r="E321" s="183">
        <f>IFERROR(VLOOKUP($B321,calc_data,E$14+1,0),0)</f>
        <v/>
      </c>
      <c r="F321" s="182">
        <f>IFERROR(VLOOKUP($B321,calc_data,F$14+1,0),0)</f>
        <v/>
      </c>
      <c r="G321" s="141">
        <f>IFERROR(VLOOKUP($B321,calc_data,G$14+1,0),0)</f>
        <v/>
      </c>
      <c r="H321" s="141">
        <f>IFERROR(VLOOKUP($B321,calc_data,H$14+1,0),0)</f>
        <v/>
      </c>
      <c r="I321" s="142">
        <f>IFERROR(VLOOKUP($B321,calc_data,I$14+1,0),0)</f>
        <v/>
      </c>
      <c r="J321" s="141">
        <f>IFERROR(VLOOKUP($B321,calc_data,J$14+1,0),0)</f>
        <v/>
      </c>
      <c r="K321" s="141">
        <f>IFERROR(VLOOKUP($B321,calc_data,K$14+1,0),0)</f>
        <v/>
      </c>
      <c r="L321" s="141">
        <f>IFERROR(VLOOKUP($B321,calc_data,L$14+1,0),0)</f>
        <v/>
      </c>
      <c r="M321" s="177">
        <f>IFERROR(VLOOKUP($B321,calc_data,M$14+1,0),0)</f>
        <v/>
      </c>
      <c r="N321" s="177">
        <f>IFERROR(VLOOKUP($B321,calc_data,N$14+1,0),0)</f>
        <v/>
      </c>
      <c r="O321" s="45" t="n"/>
      <c r="Q321" s="57">
        <f>IF(K321&gt;0,"показать","скрыть")</f>
        <v/>
      </c>
    </row>
    <row r="322" ht="15.75" customHeight="1">
      <c r="B322" s="182" t="n">
        <v>306</v>
      </c>
      <c r="C322" s="182">
        <f>IFERROR(VLOOKUP($B322,calc_data,C$14+1,0),0)</f>
        <v/>
      </c>
      <c r="D322" s="182">
        <f>IFERROR(VLOOKUP($B322,calc_data,D$14+1,0),0)</f>
        <v/>
      </c>
      <c r="E322" s="183">
        <f>IFERROR(VLOOKUP($B322,calc_data,E$14+1,0),0)</f>
        <v/>
      </c>
      <c r="F322" s="182">
        <f>IFERROR(VLOOKUP($B322,calc_data,F$14+1,0),0)</f>
        <v/>
      </c>
      <c r="G322" s="141">
        <f>IFERROR(VLOOKUP($B322,calc_data,G$14+1,0),0)</f>
        <v/>
      </c>
      <c r="H322" s="141">
        <f>IFERROR(VLOOKUP($B322,calc_data,H$14+1,0),0)</f>
        <v/>
      </c>
      <c r="I322" s="142">
        <f>IFERROR(VLOOKUP($B322,calc_data,I$14+1,0),0)</f>
        <v/>
      </c>
      <c r="J322" s="141">
        <f>IFERROR(VLOOKUP($B322,calc_data,J$14+1,0),0)</f>
        <v/>
      </c>
      <c r="K322" s="141">
        <f>IFERROR(VLOOKUP($B322,calc_data,K$14+1,0),0)</f>
        <v/>
      </c>
      <c r="L322" s="141">
        <f>IFERROR(VLOOKUP($B322,calc_data,L$14+1,0),0)</f>
        <v/>
      </c>
      <c r="M322" s="177">
        <f>IFERROR(VLOOKUP($B322,calc_data,M$14+1,0),0)</f>
        <v/>
      </c>
      <c r="N322" s="177">
        <f>IFERROR(VLOOKUP($B322,calc_data,N$14+1,0),0)</f>
        <v/>
      </c>
      <c r="O322" s="45" t="n"/>
      <c r="Q322" s="57">
        <f>IF(K322&gt;0,"показать","скрыть")</f>
        <v/>
      </c>
    </row>
    <row r="323" ht="15.75" customHeight="1">
      <c r="B323" s="182" t="n">
        <v>307</v>
      </c>
      <c r="C323" s="182">
        <f>IFERROR(VLOOKUP($B323,calc_data,C$14+1,0),0)</f>
        <v/>
      </c>
      <c r="D323" s="182">
        <f>IFERROR(VLOOKUP($B323,calc_data,D$14+1,0),0)</f>
        <v/>
      </c>
      <c r="E323" s="183">
        <f>IFERROR(VLOOKUP($B323,calc_data,E$14+1,0),0)</f>
        <v/>
      </c>
      <c r="F323" s="182">
        <f>IFERROR(VLOOKUP($B323,calc_data,F$14+1,0),0)</f>
        <v/>
      </c>
      <c r="G323" s="141">
        <f>IFERROR(VLOOKUP($B323,calc_data,G$14+1,0),0)</f>
        <v/>
      </c>
      <c r="H323" s="141">
        <f>IFERROR(VLOOKUP($B323,calc_data,H$14+1,0),0)</f>
        <v/>
      </c>
      <c r="I323" s="142">
        <f>IFERROR(VLOOKUP($B323,calc_data,I$14+1,0),0)</f>
        <v/>
      </c>
      <c r="J323" s="141">
        <f>IFERROR(VLOOKUP($B323,calc_data,J$14+1,0),0)</f>
        <v/>
      </c>
      <c r="K323" s="141">
        <f>IFERROR(VLOOKUP($B323,calc_data,K$14+1,0),0)</f>
        <v/>
      </c>
      <c r="L323" s="141">
        <f>IFERROR(VLOOKUP($B323,calc_data,L$14+1,0),0)</f>
        <v/>
      </c>
      <c r="M323" s="177">
        <f>IFERROR(VLOOKUP($B323,calc_data,M$14+1,0),0)</f>
        <v/>
      </c>
      <c r="N323" s="177">
        <f>IFERROR(VLOOKUP($B323,calc_data,N$14+1,0),0)</f>
        <v/>
      </c>
      <c r="O323" s="45" t="n"/>
      <c r="Q323" s="57">
        <f>IF(K323&gt;0,"показать","скрыть")</f>
        <v/>
      </c>
    </row>
    <row r="324" ht="15.75" customHeight="1">
      <c r="B324" s="182" t="n">
        <v>308</v>
      </c>
      <c r="C324" s="182">
        <f>IFERROR(VLOOKUP($B324,calc_data,C$14+1,0),0)</f>
        <v/>
      </c>
      <c r="D324" s="182">
        <f>IFERROR(VLOOKUP($B324,calc_data,D$14+1,0),0)</f>
        <v/>
      </c>
      <c r="E324" s="183">
        <f>IFERROR(VLOOKUP($B324,calc_data,E$14+1,0),0)</f>
        <v/>
      </c>
      <c r="F324" s="182">
        <f>IFERROR(VLOOKUP($B324,calc_data,F$14+1,0),0)</f>
        <v/>
      </c>
      <c r="G324" s="141">
        <f>IFERROR(VLOOKUP($B324,calc_data,G$14+1,0),0)</f>
        <v/>
      </c>
      <c r="H324" s="141">
        <f>IFERROR(VLOOKUP($B324,calc_data,H$14+1,0),0)</f>
        <v/>
      </c>
      <c r="I324" s="142">
        <f>IFERROR(VLOOKUP($B324,calc_data,I$14+1,0),0)</f>
        <v/>
      </c>
      <c r="J324" s="141">
        <f>IFERROR(VLOOKUP($B324,calc_data,J$14+1,0),0)</f>
        <v/>
      </c>
      <c r="K324" s="141">
        <f>IFERROR(VLOOKUP($B324,calc_data,K$14+1,0),0)</f>
        <v/>
      </c>
      <c r="L324" s="141">
        <f>IFERROR(VLOOKUP($B324,calc_data,L$14+1,0),0)</f>
        <v/>
      </c>
      <c r="M324" s="177">
        <f>IFERROR(VLOOKUP($B324,calc_data,M$14+1,0),0)</f>
        <v/>
      </c>
      <c r="N324" s="177">
        <f>IFERROR(VLOOKUP($B324,calc_data,N$14+1,0),0)</f>
        <v/>
      </c>
      <c r="O324" s="45" t="n"/>
      <c r="Q324" s="57">
        <f>IF(K324&gt;0,"показать","скрыть")</f>
        <v/>
      </c>
    </row>
    <row r="325" ht="15.75" customHeight="1">
      <c r="B325" s="182" t="n">
        <v>309</v>
      </c>
      <c r="C325" s="182">
        <f>IFERROR(VLOOKUP($B325,calc_data,C$14+1,0),0)</f>
        <v/>
      </c>
      <c r="D325" s="182">
        <f>IFERROR(VLOOKUP($B325,calc_data,D$14+1,0),0)</f>
        <v/>
      </c>
      <c r="E325" s="183">
        <f>IFERROR(VLOOKUP($B325,calc_data,E$14+1,0),0)</f>
        <v/>
      </c>
      <c r="F325" s="182">
        <f>IFERROR(VLOOKUP($B325,calc_data,F$14+1,0),0)</f>
        <v/>
      </c>
      <c r="G325" s="141">
        <f>IFERROR(VLOOKUP($B325,calc_data,G$14+1,0),0)</f>
        <v/>
      </c>
      <c r="H325" s="141">
        <f>IFERROR(VLOOKUP($B325,calc_data,H$14+1,0),0)</f>
        <v/>
      </c>
      <c r="I325" s="142">
        <f>IFERROR(VLOOKUP($B325,calc_data,I$14+1,0),0)</f>
        <v/>
      </c>
      <c r="J325" s="141">
        <f>IFERROR(VLOOKUP($B325,calc_data,J$14+1,0),0)</f>
        <v/>
      </c>
      <c r="K325" s="141">
        <f>IFERROR(VLOOKUP($B325,calc_data,K$14+1,0),0)</f>
        <v/>
      </c>
      <c r="L325" s="141">
        <f>IFERROR(VLOOKUP($B325,calc_data,L$14+1,0),0)</f>
        <v/>
      </c>
      <c r="M325" s="177">
        <f>IFERROR(VLOOKUP($B325,calc_data,M$14+1,0),0)</f>
        <v/>
      </c>
      <c r="N325" s="177">
        <f>IFERROR(VLOOKUP($B325,calc_data,N$14+1,0),0)</f>
        <v/>
      </c>
      <c r="O325" s="45" t="n"/>
      <c r="Q325" s="57">
        <f>IF(K325&gt;0,"показать","скрыть")</f>
        <v/>
      </c>
    </row>
    <row r="326" ht="15.75" customHeight="1">
      <c r="B326" s="182" t="n">
        <v>310</v>
      </c>
      <c r="C326" s="182">
        <f>IFERROR(VLOOKUP($B326,calc_data,C$14+1,0),0)</f>
        <v/>
      </c>
      <c r="D326" s="182">
        <f>IFERROR(VLOOKUP($B326,calc_data,D$14+1,0),0)</f>
        <v/>
      </c>
      <c r="E326" s="183">
        <f>IFERROR(VLOOKUP($B326,calc_data,E$14+1,0),0)</f>
        <v/>
      </c>
      <c r="F326" s="182">
        <f>IFERROR(VLOOKUP($B326,calc_data,F$14+1,0),0)</f>
        <v/>
      </c>
      <c r="G326" s="141">
        <f>IFERROR(VLOOKUP($B326,calc_data,G$14+1,0),0)</f>
        <v/>
      </c>
      <c r="H326" s="141">
        <f>IFERROR(VLOOKUP($B326,calc_data,H$14+1,0),0)</f>
        <v/>
      </c>
      <c r="I326" s="142">
        <f>IFERROR(VLOOKUP($B326,calc_data,I$14+1,0),0)</f>
        <v/>
      </c>
      <c r="J326" s="141">
        <f>IFERROR(VLOOKUP($B326,calc_data,J$14+1,0),0)</f>
        <v/>
      </c>
      <c r="K326" s="141">
        <f>IFERROR(VLOOKUP($B326,calc_data,K$14+1,0),0)</f>
        <v/>
      </c>
      <c r="L326" s="141">
        <f>IFERROR(VLOOKUP($B326,calc_data,L$14+1,0),0)</f>
        <v/>
      </c>
      <c r="M326" s="177">
        <f>IFERROR(VLOOKUP($B326,calc_data,M$14+1,0),0)</f>
        <v/>
      </c>
      <c r="N326" s="177">
        <f>IFERROR(VLOOKUP($B326,calc_data,N$14+1,0),0)</f>
        <v/>
      </c>
      <c r="O326" s="45" t="n"/>
      <c r="Q326" s="57">
        <f>IF(K326&gt;0,"показать","скрыть")</f>
        <v/>
      </c>
    </row>
    <row r="327" ht="15.75" customHeight="1">
      <c r="B327" s="182" t="n">
        <v>311</v>
      </c>
      <c r="C327" s="182">
        <f>IFERROR(VLOOKUP($B327,calc_data,C$14+1,0),0)</f>
        <v/>
      </c>
      <c r="D327" s="182">
        <f>IFERROR(VLOOKUP($B327,calc_data,D$14+1,0),0)</f>
        <v/>
      </c>
      <c r="E327" s="183">
        <f>IFERROR(VLOOKUP($B327,calc_data,E$14+1,0),0)</f>
        <v/>
      </c>
      <c r="F327" s="182">
        <f>IFERROR(VLOOKUP($B327,calc_data,F$14+1,0),0)</f>
        <v/>
      </c>
      <c r="G327" s="141">
        <f>IFERROR(VLOOKUP($B327,calc_data,G$14+1,0),0)</f>
        <v/>
      </c>
      <c r="H327" s="141">
        <f>IFERROR(VLOOKUP($B327,calc_data,H$14+1,0),0)</f>
        <v/>
      </c>
      <c r="I327" s="142">
        <f>IFERROR(VLOOKUP($B327,calc_data,I$14+1,0),0)</f>
        <v/>
      </c>
      <c r="J327" s="141">
        <f>IFERROR(VLOOKUP($B327,calc_data,J$14+1,0),0)</f>
        <v/>
      </c>
      <c r="K327" s="141">
        <f>IFERROR(VLOOKUP($B327,calc_data,K$14+1,0),0)</f>
        <v/>
      </c>
      <c r="L327" s="141">
        <f>IFERROR(VLOOKUP($B327,calc_data,L$14+1,0),0)</f>
        <v/>
      </c>
      <c r="M327" s="177">
        <f>IFERROR(VLOOKUP($B327,calc_data,M$14+1,0),0)</f>
        <v/>
      </c>
      <c r="N327" s="177">
        <f>IFERROR(VLOOKUP($B327,calc_data,N$14+1,0),0)</f>
        <v/>
      </c>
      <c r="O327" s="45" t="n"/>
      <c r="Q327" s="57">
        <f>IF(K327&gt;0,"показать","скрыть")</f>
        <v/>
      </c>
    </row>
    <row r="328" ht="15.75" customHeight="1">
      <c r="B328" s="182" t="n">
        <v>312</v>
      </c>
      <c r="C328" s="182">
        <f>IFERROR(VLOOKUP($B328,calc_data,C$14+1,0),0)</f>
        <v/>
      </c>
      <c r="D328" s="182">
        <f>IFERROR(VLOOKUP($B328,calc_data,D$14+1,0),0)</f>
        <v/>
      </c>
      <c r="E328" s="183">
        <f>IFERROR(VLOOKUP($B328,calc_data,E$14+1,0),0)</f>
        <v/>
      </c>
      <c r="F328" s="182">
        <f>IFERROR(VLOOKUP($B328,calc_data,F$14+1,0),0)</f>
        <v/>
      </c>
      <c r="G328" s="141">
        <f>IFERROR(VLOOKUP($B328,calc_data,G$14+1,0),0)</f>
        <v/>
      </c>
      <c r="H328" s="141">
        <f>IFERROR(VLOOKUP($B328,calc_data,H$14+1,0),0)</f>
        <v/>
      </c>
      <c r="I328" s="142">
        <f>IFERROR(VLOOKUP($B328,calc_data,I$14+1,0),0)</f>
        <v/>
      </c>
      <c r="J328" s="141">
        <f>IFERROR(VLOOKUP($B328,calc_data,J$14+1,0),0)</f>
        <v/>
      </c>
      <c r="K328" s="141">
        <f>IFERROR(VLOOKUP($B328,calc_data,K$14+1,0),0)</f>
        <v/>
      </c>
      <c r="L328" s="141">
        <f>IFERROR(VLOOKUP($B328,calc_data,L$14+1,0),0)</f>
        <v/>
      </c>
      <c r="M328" s="177">
        <f>IFERROR(VLOOKUP($B328,calc_data,M$14+1,0),0)</f>
        <v/>
      </c>
      <c r="N328" s="177">
        <f>IFERROR(VLOOKUP($B328,calc_data,N$14+1,0),0)</f>
        <v/>
      </c>
      <c r="O328" s="45" t="n"/>
      <c r="Q328" s="57">
        <f>IF(K328&gt;0,"показать","скрыть")</f>
        <v/>
      </c>
    </row>
    <row r="329" ht="15.75" customHeight="1">
      <c r="B329" s="182" t="n">
        <v>313</v>
      </c>
      <c r="C329" s="182">
        <f>IFERROR(VLOOKUP($B329,calc_data,C$14+1,0),0)</f>
        <v/>
      </c>
      <c r="D329" s="182">
        <f>IFERROR(VLOOKUP($B329,calc_data,D$14+1,0),0)</f>
        <v/>
      </c>
      <c r="E329" s="183">
        <f>IFERROR(VLOOKUP($B329,calc_data,E$14+1,0),0)</f>
        <v/>
      </c>
      <c r="F329" s="182">
        <f>IFERROR(VLOOKUP($B329,calc_data,F$14+1,0),0)</f>
        <v/>
      </c>
      <c r="G329" s="141">
        <f>IFERROR(VLOOKUP($B329,calc_data,G$14+1,0),0)</f>
        <v/>
      </c>
      <c r="H329" s="141">
        <f>IFERROR(VLOOKUP($B329,calc_data,H$14+1,0),0)</f>
        <v/>
      </c>
      <c r="I329" s="142">
        <f>IFERROR(VLOOKUP($B329,calc_data,I$14+1,0),0)</f>
        <v/>
      </c>
      <c r="J329" s="141">
        <f>IFERROR(VLOOKUP($B329,calc_data,J$14+1,0),0)</f>
        <v/>
      </c>
      <c r="K329" s="141">
        <f>IFERROR(VLOOKUP($B329,calc_data,K$14+1,0),0)</f>
        <v/>
      </c>
      <c r="L329" s="141">
        <f>IFERROR(VLOOKUP($B329,calc_data,L$14+1,0),0)</f>
        <v/>
      </c>
      <c r="M329" s="177">
        <f>IFERROR(VLOOKUP($B329,calc_data,M$14+1,0),0)</f>
        <v/>
      </c>
      <c r="N329" s="177">
        <f>IFERROR(VLOOKUP($B329,calc_data,N$14+1,0),0)</f>
        <v/>
      </c>
      <c r="O329" s="45" t="n"/>
      <c r="Q329" s="57">
        <f>IF(K329&gt;0,"показать","скрыть")</f>
        <v/>
      </c>
    </row>
    <row r="330" ht="15.75" customHeight="1">
      <c r="B330" s="182" t="n">
        <v>314</v>
      </c>
      <c r="C330" s="182">
        <f>IFERROR(VLOOKUP($B330,calc_data,C$14+1,0),0)</f>
        <v/>
      </c>
      <c r="D330" s="182">
        <f>IFERROR(VLOOKUP($B330,calc_data,D$14+1,0),0)</f>
        <v/>
      </c>
      <c r="E330" s="183">
        <f>IFERROR(VLOOKUP($B330,calc_data,E$14+1,0),0)</f>
        <v/>
      </c>
      <c r="F330" s="182">
        <f>IFERROR(VLOOKUP($B330,calc_data,F$14+1,0),0)</f>
        <v/>
      </c>
      <c r="G330" s="141">
        <f>IFERROR(VLOOKUP($B330,calc_data,G$14+1,0),0)</f>
        <v/>
      </c>
      <c r="H330" s="141">
        <f>IFERROR(VLOOKUP($B330,calc_data,H$14+1,0),0)</f>
        <v/>
      </c>
      <c r="I330" s="142">
        <f>IFERROR(VLOOKUP($B330,calc_data,I$14+1,0),0)</f>
        <v/>
      </c>
      <c r="J330" s="141">
        <f>IFERROR(VLOOKUP($B330,calc_data,J$14+1,0),0)</f>
        <v/>
      </c>
      <c r="K330" s="141">
        <f>IFERROR(VLOOKUP($B330,calc_data,K$14+1,0),0)</f>
        <v/>
      </c>
      <c r="L330" s="141">
        <f>IFERROR(VLOOKUP($B330,calc_data,L$14+1,0),0)</f>
        <v/>
      </c>
      <c r="M330" s="177">
        <f>IFERROR(VLOOKUP($B330,calc_data,M$14+1,0),0)</f>
        <v/>
      </c>
      <c r="N330" s="177">
        <f>IFERROR(VLOOKUP($B330,calc_data,N$14+1,0),0)</f>
        <v/>
      </c>
      <c r="O330" s="45" t="n"/>
      <c r="Q330" s="57">
        <f>IF(K330&gt;0,"показать","скрыть")</f>
        <v/>
      </c>
    </row>
    <row r="331" ht="15.75" customHeight="1">
      <c r="B331" s="182" t="n">
        <v>315</v>
      </c>
      <c r="C331" s="182">
        <f>IFERROR(VLOOKUP($B331,calc_data,C$14+1,0),0)</f>
        <v/>
      </c>
      <c r="D331" s="182">
        <f>IFERROR(VLOOKUP($B331,calc_data,D$14+1,0),0)</f>
        <v/>
      </c>
      <c r="E331" s="183">
        <f>IFERROR(VLOOKUP($B331,calc_data,E$14+1,0),0)</f>
        <v/>
      </c>
      <c r="F331" s="182">
        <f>IFERROR(VLOOKUP($B331,calc_data,F$14+1,0),0)</f>
        <v/>
      </c>
      <c r="G331" s="141">
        <f>IFERROR(VLOOKUP($B331,calc_data,G$14+1,0),0)</f>
        <v/>
      </c>
      <c r="H331" s="141">
        <f>IFERROR(VLOOKUP($B331,calc_data,H$14+1,0),0)</f>
        <v/>
      </c>
      <c r="I331" s="142">
        <f>IFERROR(VLOOKUP($B331,calc_data,I$14+1,0),0)</f>
        <v/>
      </c>
      <c r="J331" s="141">
        <f>IFERROR(VLOOKUP($B331,calc_data,J$14+1,0),0)</f>
        <v/>
      </c>
      <c r="K331" s="141">
        <f>IFERROR(VLOOKUP($B331,calc_data,K$14+1,0),0)</f>
        <v/>
      </c>
      <c r="L331" s="141">
        <f>IFERROR(VLOOKUP($B331,calc_data,L$14+1,0),0)</f>
        <v/>
      </c>
      <c r="M331" s="177">
        <f>IFERROR(VLOOKUP($B331,calc_data,M$14+1,0),0)</f>
        <v/>
      </c>
      <c r="N331" s="177">
        <f>IFERROR(VLOOKUP($B331,calc_data,N$14+1,0),0)</f>
        <v/>
      </c>
      <c r="O331" s="45" t="n"/>
      <c r="Q331" s="57">
        <f>IF(K331&gt;0,"показать","скрыть")</f>
        <v/>
      </c>
    </row>
    <row r="332" ht="15.75" customHeight="1">
      <c r="B332" s="182" t="n">
        <v>316</v>
      </c>
      <c r="C332" s="182">
        <f>IFERROR(VLOOKUP($B332,calc_data,C$14+1,0),0)</f>
        <v/>
      </c>
      <c r="D332" s="182">
        <f>IFERROR(VLOOKUP($B332,calc_data,D$14+1,0),0)</f>
        <v/>
      </c>
      <c r="E332" s="183">
        <f>IFERROR(VLOOKUP($B332,calc_data,E$14+1,0),0)</f>
        <v/>
      </c>
      <c r="F332" s="182">
        <f>IFERROR(VLOOKUP($B332,calc_data,F$14+1,0),0)</f>
        <v/>
      </c>
      <c r="G332" s="141">
        <f>IFERROR(VLOOKUP($B332,calc_data,G$14+1,0),0)</f>
        <v/>
      </c>
      <c r="H332" s="141">
        <f>IFERROR(VLOOKUP($B332,calc_data,H$14+1,0),0)</f>
        <v/>
      </c>
      <c r="I332" s="142">
        <f>IFERROR(VLOOKUP($B332,calc_data,I$14+1,0),0)</f>
        <v/>
      </c>
      <c r="J332" s="141">
        <f>IFERROR(VLOOKUP($B332,calc_data,J$14+1,0),0)</f>
        <v/>
      </c>
      <c r="K332" s="141">
        <f>IFERROR(VLOOKUP($B332,calc_data,K$14+1,0),0)</f>
        <v/>
      </c>
      <c r="L332" s="141">
        <f>IFERROR(VLOOKUP($B332,calc_data,L$14+1,0),0)</f>
        <v/>
      </c>
      <c r="M332" s="177">
        <f>IFERROR(VLOOKUP($B332,calc_data,M$14+1,0),0)</f>
        <v/>
      </c>
      <c r="N332" s="177">
        <f>IFERROR(VLOOKUP($B332,calc_data,N$14+1,0),0)</f>
        <v/>
      </c>
      <c r="O332" s="45" t="n"/>
      <c r="Q332" s="57">
        <f>IF(K332&gt;0,"показать","скрыть")</f>
        <v/>
      </c>
    </row>
    <row r="333" ht="15.75" customHeight="1">
      <c r="B333" s="182" t="n">
        <v>317</v>
      </c>
      <c r="C333" s="182">
        <f>IFERROR(VLOOKUP($B333,calc_data,C$14+1,0),0)</f>
        <v/>
      </c>
      <c r="D333" s="182">
        <f>IFERROR(VLOOKUP($B333,calc_data,D$14+1,0),0)</f>
        <v/>
      </c>
      <c r="E333" s="183">
        <f>IFERROR(VLOOKUP($B333,calc_data,E$14+1,0),0)</f>
        <v/>
      </c>
      <c r="F333" s="182">
        <f>IFERROR(VLOOKUP($B333,calc_data,F$14+1,0),0)</f>
        <v/>
      </c>
      <c r="G333" s="141">
        <f>IFERROR(VLOOKUP($B333,calc_data,G$14+1,0),0)</f>
        <v/>
      </c>
      <c r="H333" s="141">
        <f>IFERROR(VLOOKUP($B333,calc_data,H$14+1,0),0)</f>
        <v/>
      </c>
      <c r="I333" s="142">
        <f>IFERROR(VLOOKUP($B333,calc_data,I$14+1,0),0)</f>
        <v/>
      </c>
      <c r="J333" s="141">
        <f>IFERROR(VLOOKUP($B333,calc_data,J$14+1,0),0)</f>
        <v/>
      </c>
      <c r="K333" s="141">
        <f>IFERROR(VLOOKUP($B333,calc_data,K$14+1,0),0)</f>
        <v/>
      </c>
      <c r="L333" s="141">
        <f>IFERROR(VLOOKUP($B333,calc_data,L$14+1,0),0)</f>
        <v/>
      </c>
      <c r="M333" s="177">
        <f>IFERROR(VLOOKUP($B333,calc_data,M$14+1,0),0)</f>
        <v/>
      </c>
      <c r="N333" s="177">
        <f>IFERROR(VLOOKUP($B333,calc_data,N$14+1,0),0)</f>
        <v/>
      </c>
      <c r="O333" s="45" t="n"/>
      <c r="Q333" s="57">
        <f>IF(K333&gt;0,"показать","скрыть")</f>
        <v/>
      </c>
    </row>
    <row r="334" ht="15.75" customHeight="1">
      <c r="B334" s="182" t="n">
        <v>318</v>
      </c>
      <c r="C334" s="182">
        <f>IFERROR(VLOOKUP($B334,calc_data,C$14+1,0),0)</f>
        <v/>
      </c>
      <c r="D334" s="182">
        <f>IFERROR(VLOOKUP($B334,calc_data,D$14+1,0),0)</f>
        <v/>
      </c>
      <c r="E334" s="183">
        <f>IFERROR(VLOOKUP($B334,calc_data,E$14+1,0),0)</f>
        <v/>
      </c>
      <c r="F334" s="182">
        <f>IFERROR(VLOOKUP($B334,calc_data,F$14+1,0),0)</f>
        <v/>
      </c>
      <c r="G334" s="141">
        <f>IFERROR(VLOOKUP($B334,calc_data,G$14+1,0),0)</f>
        <v/>
      </c>
      <c r="H334" s="141">
        <f>IFERROR(VLOOKUP($B334,calc_data,H$14+1,0),0)</f>
        <v/>
      </c>
      <c r="I334" s="142">
        <f>IFERROR(VLOOKUP($B334,calc_data,I$14+1,0),0)</f>
        <v/>
      </c>
      <c r="J334" s="141">
        <f>IFERROR(VLOOKUP($B334,calc_data,J$14+1,0),0)</f>
        <v/>
      </c>
      <c r="K334" s="141">
        <f>IFERROR(VLOOKUP($B334,calc_data,K$14+1,0),0)</f>
        <v/>
      </c>
      <c r="L334" s="141">
        <f>IFERROR(VLOOKUP($B334,calc_data,L$14+1,0),0)</f>
        <v/>
      </c>
      <c r="M334" s="177">
        <f>IFERROR(VLOOKUP($B334,calc_data,M$14+1,0),0)</f>
        <v/>
      </c>
      <c r="N334" s="177">
        <f>IFERROR(VLOOKUP($B334,calc_data,N$14+1,0),0)</f>
        <v/>
      </c>
      <c r="O334" s="45" t="n"/>
      <c r="Q334" s="57">
        <f>IF(K334&gt;0,"показать","скрыть")</f>
        <v/>
      </c>
    </row>
    <row r="335" ht="15.75" customHeight="1">
      <c r="B335" s="182" t="n">
        <v>319</v>
      </c>
      <c r="C335" s="182">
        <f>IFERROR(VLOOKUP($B335,calc_data,C$14+1,0),0)</f>
        <v/>
      </c>
      <c r="D335" s="182">
        <f>IFERROR(VLOOKUP($B335,calc_data,D$14+1,0),0)</f>
        <v/>
      </c>
      <c r="E335" s="183">
        <f>IFERROR(VLOOKUP($B335,calc_data,E$14+1,0),0)</f>
        <v/>
      </c>
      <c r="F335" s="182">
        <f>IFERROR(VLOOKUP($B335,calc_data,F$14+1,0),0)</f>
        <v/>
      </c>
      <c r="G335" s="141">
        <f>IFERROR(VLOOKUP($B335,calc_data,G$14+1,0),0)</f>
        <v/>
      </c>
      <c r="H335" s="141">
        <f>IFERROR(VLOOKUP($B335,calc_data,H$14+1,0),0)</f>
        <v/>
      </c>
      <c r="I335" s="142">
        <f>IFERROR(VLOOKUP($B335,calc_data,I$14+1,0),0)</f>
        <v/>
      </c>
      <c r="J335" s="141">
        <f>IFERROR(VLOOKUP($B335,calc_data,J$14+1,0),0)</f>
        <v/>
      </c>
      <c r="K335" s="141">
        <f>IFERROR(VLOOKUP($B335,calc_data,K$14+1,0),0)</f>
        <v/>
      </c>
      <c r="L335" s="141">
        <f>IFERROR(VLOOKUP($B335,calc_data,L$14+1,0),0)</f>
        <v/>
      </c>
      <c r="M335" s="177">
        <f>IFERROR(VLOOKUP($B335,calc_data,M$14+1,0),0)</f>
        <v/>
      </c>
      <c r="N335" s="177">
        <f>IFERROR(VLOOKUP($B335,calc_data,N$14+1,0),0)</f>
        <v/>
      </c>
      <c r="O335" s="45" t="n"/>
      <c r="Q335" s="57">
        <f>IF(K335&gt;0,"показать","скрыть")</f>
        <v/>
      </c>
    </row>
    <row r="336" ht="15.75" customHeight="1">
      <c r="B336" s="182" t="n">
        <v>320</v>
      </c>
      <c r="C336" s="182">
        <f>IFERROR(VLOOKUP($B336,calc_data,C$14+1,0),0)</f>
        <v/>
      </c>
      <c r="D336" s="182">
        <f>IFERROR(VLOOKUP($B336,calc_data,D$14+1,0),0)</f>
        <v/>
      </c>
      <c r="E336" s="183">
        <f>IFERROR(VLOOKUP($B336,calc_data,E$14+1,0),0)</f>
        <v/>
      </c>
      <c r="F336" s="182">
        <f>IFERROR(VLOOKUP($B336,calc_data,F$14+1,0),0)</f>
        <v/>
      </c>
      <c r="G336" s="141">
        <f>IFERROR(VLOOKUP($B336,calc_data,G$14+1,0),0)</f>
        <v/>
      </c>
      <c r="H336" s="141">
        <f>IFERROR(VLOOKUP($B336,calc_data,H$14+1,0),0)</f>
        <v/>
      </c>
      <c r="I336" s="142">
        <f>IFERROR(VLOOKUP($B336,calc_data,I$14+1,0),0)</f>
        <v/>
      </c>
      <c r="J336" s="141">
        <f>IFERROR(VLOOKUP($B336,calc_data,J$14+1,0),0)</f>
        <v/>
      </c>
      <c r="K336" s="141">
        <f>IFERROR(VLOOKUP($B336,calc_data,K$14+1,0),0)</f>
        <v/>
      </c>
      <c r="L336" s="141">
        <f>IFERROR(VLOOKUP($B336,calc_data,L$14+1,0),0)</f>
        <v/>
      </c>
      <c r="M336" s="177">
        <f>IFERROR(VLOOKUP($B336,calc_data,M$14+1,0),0)</f>
        <v/>
      </c>
      <c r="N336" s="177">
        <f>IFERROR(VLOOKUP($B336,calc_data,N$14+1,0),0)</f>
        <v/>
      </c>
      <c r="O336" s="45" t="n"/>
      <c r="Q336" s="57">
        <f>IF(K336&gt;0,"показать","скрыть")</f>
        <v/>
      </c>
    </row>
    <row r="337" ht="15.75" customHeight="1">
      <c r="B337" s="182" t="n">
        <v>321</v>
      </c>
      <c r="C337" s="182">
        <f>IFERROR(VLOOKUP($B337,calc_data,C$14+1,0),0)</f>
        <v/>
      </c>
      <c r="D337" s="182">
        <f>IFERROR(VLOOKUP($B337,calc_data,D$14+1,0),0)</f>
        <v/>
      </c>
      <c r="E337" s="183">
        <f>IFERROR(VLOOKUP($B337,calc_data,E$14+1,0),0)</f>
        <v/>
      </c>
      <c r="F337" s="182">
        <f>IFERROR(VLOOKUP($B337,calc_data,F$14+1,0),0)</f>
        <v/>
      </c>
      <c r="G337" s="141">
        <f>IFERROR(VLOOKUP($B337,calc_data,G$14+1,0),0)</f>
        <v/>
      </c>
      <c r="H337" s="141">
        <f>IFERROR(VLOOKUP($B337,calc_data,H$14+1,0),0)</f>
        <v/>
      </c>
      <c r="I337" s="142">
        <f>IFERROR(VLOOKUP($B337,calc_data,I$14+1,0),0)</f>
        <v/>
      </c>
      <c r="J337" s="141">
        <f>IFERROR(VLOOKUP($B337,calc_data,J$14+1,0),0)</f>
        <v/>
      </c>
      <c r="K337" s="141">
        <f>IFERROR(VLOOKUP($B337,calc_data,K$14+1,0),0)</f>
        <v/>
      </c>
      <c r="L337" s="141">
        <f>IFERROR(VLOOKUP($B337,calc_data,L$14+1,0),0)</f>
        <v/>
      </c>
      <c r="M337" s="177">
        <f>IFERROR(VLOOKUP($B337,calc_data,M$14+1,0),0)</f>
        <v/>
      </c>
      <c r="N337" s="177">
        <f>IFERROR(VLOOKUP($B337,calc_data,N$14+1,0),0)</f>
        <v/>
      </c>
      <c r="O337" s="45" t="n"/>
      <c r="Q337" s="57">
        <f>IF(K337&gt;0,"показать","скрыть")</f>
        <v/>
      </c>
    </row>
    <row r="338" ht="15.75" customHeight="1">
      <c r="B338" s="182" t="n">
        <v>322</v>
      </c>
      <c r="C338" s="182">
        <f>IFERROR(VLOOKUP($B338,calc_data,C$14+1,0),0)</f>
        <v/>
      </c>
      <c r="D338" s="182">
        <f>IFERROR(VLOOKUP($B338,calc_data,D$14+1,0),0)</f>
        <v/>
      </c>
      <c r="E338" s="183">
        <f>IFERROR(VLOOKUP($B338,calc_data,E$14+1,0),0)</f>
        <v/>
      </c>
      <c r="F338" s="182">
        <f>IFERROR(VLOOKUP($B338,calc_data,F$14+1,0),0)</f>
        <v/>
      </c>
      <c r="G338" s="141">
        <f>IFERROR(VLOOKUP($B338,calc_data,G$14+1,0),0)</f>
        <v/>
      </c>
      <c r="H338" s="141">
        <f>IFERROR(VLOOKUP($B338,calc_data,H$14+1,0),0)</f>
        <v/>
      </c>
      <c r="I338" s="142">
        <f>IFERROR(VLOOKUP($B338,calc_data,I$14+1,0),0)</f>
        <v/>
      </c>
      <c r="J338" s="141">
        <f>IFERROR(VLOOKUP($B338,calc_data,J$14+1,0),0)</f>
        <v/>
      </c>
      <c r="K338" s="141">
        <f>IFERROR(VLOOKUP($B338,calc_data,K$14+1,0),0)</f>
        <v/>
      </c>
      <c r="L338" s="141">
        <f>IFERROR(VLOOKUP($B338,calc_data,L$14+1,0),0)</f>
        <v/>
      </c>
      <c r="M338" s="177">
        <f>IFERROR(VLOOKUP($B338,calc_data,M$14+1,0),0)</f>
        <v/>
      </c>
      <c r="N338" s="177">
        <f>IFERROR(VLOOKUP($B338,calc_data,N$14+1,0),0)</f>
        <v/>
      </c>
      <c r="O338" s="45" t="n"/>
      <c r="Q338" s="57">
        <f>IF(K338&gt;0,"показать","скрыть")</f>
        <v/>
      </c>
    </row>
    <row r="339" ht="15.75" customHeight="1">
      <c r="B339" s="182" t="n">
        <v>323</v>
      </c>
      <c r="C339" s="182">
        <f>IFERROR(VLOOKUP($B339,calc_data,C$14+1,0),0)</f>
        <v/>
      </c>
      <c r="D339" s="182">
        <f>IFERROR(VLOOKUP($B339,calc_data,D$14+1,0),0)</f>
        <v/>
      </c>
      <c r="E339" s="183">
        <f>IFERROR(VLOOKUP($B339,calc_data,E$14+1,0),0)</f>
        <v/>
      </c>
      <c r="F339" s="182">
        <f>IFERROR(VLOOKUP($B339,calc_data,F$14+1,0),0)</f>
        <v/>
      </c>
      <c r="G339" s="141">
        <f>IFERROR(VLOOKUP($B339,calc_data,G$14+1,0),0)</f>
        <v/>
      </c>
      <c r="H339" s="141">
        <f>IFERROR(VLOOKUP($B339,calc_data,H$14+1,0),0)</f>
        <v/>
      </c>
      <c r="I339" s="142">
        <f>IFERROR(VLOOKUP($B339,calc_data,I$14+1,0),0)</f>
        <v/>
      </c>
      <c r="J339" s="141">
        <f>IFERROR(VLOOKUP($B339,calc_data,J$14+1,0),0)</f>
        <v/>
      </c>
      <c r="K339" s="141">
        <f>IFERROR(VLOOKUP($B339,calc_data,K$14+1,0),0)</f>
        <v/>
      </c>
      <c r="L339" s="141">
        <f>IFERROR(VLOOKUP($B339,calc_data,L$14+1,0),0)</f>
        <v/>
      </c>
      <c r="M339" s="177">
        <f>IFERROR(VLOOKUP($B339,calc_data,M$14+1,0),0)</f>
        <v/>
      </c>
      <c r="N339" s="177">
        <f>IFERROR(VLOOKUP($B339,calc_data,N$14+1,0),0)</f>
        <v/>
      </c>
      <c r="O339" s="45" t="n"/>
      <c r="Q339" s="57">
        <f>IF(K339&gt;0,"показать","скрыть")</f>
        <v/>
      </c>
    </row>
    <row r="340" ht="15.75" customHeight="1">
      <c r="B340" s="182" t="n">
        <v>324</v>
      </c>
      <c r="C340" s="182">
        <f>IFERROR(VLOOKUP($B340,calc_data,C$14+1,0),0)</f>
        <v/>
      </c>
      <c r="D340" s="182">
        <f>IFERROR(VLOOKUP($B340,calc_data,D$14+1,0),0)</f>
        <v/>
      </c>
      <c r="E340" s="183">
        <f>IFERROR(VLOOKUP($B340,calc_data,E$14+1,0),0)</f>
        <v/>
      </c>
      <c r="F340" s="182">
        <f>IFERROR(VLOOKUP($B340,calc_data,F$14+1,0),0)</f>
        <v/>
      </c>
      <c r="G340" s="141">
        <f>IFERROR(VLOOKUP($B340,calc_data,G$14+1,0),0)</f>
        <v/>
      </c>
      <c r="H340" s="141">
        <f>IFERROR(VLOOKUP($B340,calc_data,H$14+1,0),0)</f>
        <v/>
      </c>
      <c r="I340" s="142">
        <f>IFERROR(VLOOKUP($B340,calc_data,I$14+1,0),0)</f>
        <v/>
      </c>
      <c r="J340" s="141">
        <f>IFERROR(VLOOKUP($B340,calc_data,J$14+1,0),0)</f>
        <v/>
      </c>
      <c r="K340" s="141">
        <f>IFERROR(VLOOKUP($B340,calc_data,K$14+1,0),0)</f>
        <v/>
      </c>
      <c r="L340" s="141">
        <f>IFERROR(VLOOKUP($B340,calc_data,L$14+1,0),0)</f>
        <v/>
      </c>
      <c r="M340" s="177">
        <f>IFERROR(VLOOKUP($B340,calc_data,M$14+1,0),0)</f>
        <v/>
      </c>
      <c r="N340" s="177">
        <f>IFERROR(VLOOKUP($B340,calc_data,N$14+1,0),0)</f>
        <v/>
      </c>
      <c r="O340" s="45" t="n"/>
      <c r="Q340" s="57">
        <f>IF(K340&gt;0,"показать","скрыть")</f>
        <v/>
      </c>
    </row>
    <row r="341" ht="15.75" customHeight="1">
      <c r="B341" s="182" t="n">
        <v>325</v>
      </c>
      <c r="C341" s="182">
        <f>IFERROR(VLOOKUP($B341,calc_data,C$14+1,0),0)</f>
        <v/>
      </c>
      <c r="D341" s="182">
        <f>IFERROR(VLOOKUP($B341,calc_data,D$14+1,0),0)</f>
        <v/>
      </c>
      <c r="E341" s="183">
        <f>IFERROR(VLOOKUP($B341,calc_data,E$14+1,0),0)</f>
        <v/>
      </c>
      <c r="F341" s="182">
        <f>IFERROR(VLOOKUP($B341,calc_data,F$14+1,0),0)</f>
        <v/>
      </c>
      <c r="G341" s="141">
        <f>IFERROR(VLOOKUP($B341,calc_data,G$14+1,0),0)</f>
        <v/>
      </c>
      <c r="H341" s="141">
        <f>IFERROR(VLOOKUP($B341,calc_data,H$14+1,0),0)</f>
        <v/>
      </c>
      <c r="I341" s="142">
        <f>IFERROR(VLOOKUP($B341,calc_data,I$14+1,0),0)</f>
        <v/>
      </c>
      <c r="J341" s="141">
        <f>IFERROR(VLOOKUP($B341,calc_data,J$14+1,0),0)</f>
        <v/>
      </c>
      <c r="K341" s="141">
        <f>IFERROR(VLOOKUP($B341,calc_data,K$14+1,0),0)</f>
        <v/>
      </c>
      <c r="L341" s="141">
        <f>IFERROR(VLOOKUP($B341,calc_data,L$14+1,0),0)</f>
        <v/>
      </c>
      <c r="M341" s="177">
        <f>IFERROR(VLOOKUP($B341,calc_data,M$14+1,0),0)</f>
        <v/>
      </c>
      <c r="N341" s="177">
        <f>IFERROR(VLOOKUP($B341,calc_data,N$14+1,0),0)</f>
        <v/>
      </c>
      <c r="O341" s="45" t="n"/>
      <c r="Q341" s="57">
        <f>IF(K341&gt;0,"показать","скрыть")</f>
        <v/>
      </c>
    </row>
    <row r="342" ht="15.75" customHeight="1">
      <c r="B342" s="182" t="n">
        <v>326</v>
      </c>
      <c r="C342" s="182">
        <f>IFERROR(VLOOKUP($B342,calc_data,C$14+1,0),0)</f>
        <v/>
      </c>
      <c r="D342" s="182">
        <f>IFERROR(VLOOKUP($B342,calc_data,D$14+1,0),0)</f>
        <v/>
      </c>
      <c r="E342" s="183">
        <f>IFERROR(VLOOKUP($B342,calc_data,E$14+1,0),0)</f>
        <v/>
      </c>
      <c r="F342" s="182">
        <f>IFERROR(VLOOKUP($B342,calc_data,F$14+1,0),0)</f>
        <v/>
      </c>
      <c r="G342" s="141">
        <f>IFERROR(VLOOKUP($B342,calc_data,G$14+1,0),0)</f>
        <v/>
      </c>
      <c r="H342" s="141">
        <f>IFERROR(VLOOKUP($B342,calc_data,H$14+1,0),0)</f>
        <v/>
      </c>
      <c r="I342" s="142">
        <f>IFERROR(VLOOKUP($B342,calc_data,I$14+1,0),0)</f>
        <v/>
      </c>
      <c r="J342" s="141">
        <f>IFERROR(VLOOKUP($B342,calc_data,J$14+1,0),0)</f>
        <v/>
      </c>
      <c r="K342" s="141">
        <f>IFERROR(VLOOKUP($B342,calc_data,K$14+1,0),0)</f>
        <v/>
      </c>
      <c r="L342" s="141">
        <f>IFERROR(VLOOKUP($B342,calc_data,L$14+1,0),0)</f>
        <v/>
      </c>
      <c r="M342" s="177">
        <f>IFERROR(VLOOKUP($B342,calc_data,M$14+1,0),0)</f>
        <v/>
      </c>
      <c r="N342" s="177">
        <f>IFERROR(VLOOKUP($B342,calc_data,N$14+1,0),0)</f>
        <v/>
      </c>
      <c r="O342" s="45" t="n"/>
      <c r="Q342" s="57">
        <f>IF(K342&gt;0,"показать","скрыть")</f>
        <v/>
      </c>
    </row>
    <row r="343" ht="15.75" customHeight="1">
      <c r="B343" s="182" t="n">
        <v>327</v>
      </c>
      <c r="C343" s="182">
        <f>IFERROR(VLOOKUP($B343,calc_data,C$14+1,0),0)</f>
        <v/>
      </c>
      <c r="D343" s="182">
        <f>IFERROR(VLOOKUP($B343,calc_data,D$14+1,0),0)</f>
        <v/>
      </c>
      <c r="E343" s="183">
        <f>IFERROR(VLOOKUP($B343,calc_data,E$14+1,0),0)</f>
        <v/>
      </c>
      <c r="F343" s="182">
        <f>IFERROR(VLOOKUP($B343,calc_data,F$14+1,0),0)</f>
        <v/>
      </c>
      <c r="G343" s="141">
        <f>IFERROR(VLOOKUP($B343,calc_data,G$14+1,0),0)</f>
        <v/>
      </c>
      <c r="H343" s="141">
        <f>IFERROR(VLOOKUP($B343,calc_data,H$14+1,0),0)</f>
        <v/>
      </c>
      <c r="I343" s="142">
        <f>IFERROR(VLOOKUP($B343,calc_data,I$14+1,0),0)</f>
        <v/>
      </c>
      <c r="J343" s="141">
        <f>IFERROR(VLOOKUP($B343,calc_data,J$14+1,0),0)</f>
        <v/>
      </c>
      <c r="K343" s="141">
        <f>IFERROR(VLOOKUP($B343,calc_data,K$14+1,0),0)</f>
        <v/>
      </c>
      <c r="L343" s="141">
        <f>IFERROR(VLOOKUP($B343,calc_data,L$14+1,0),0)</f>
        <v/>
      </c>
      <c r="M343" s="177">
        <f>IFERROR(VLOOKUP($B343,calc_data,M$14+1,0),0)</f>
        <v/>
      </c>
      <c r="N343" s="177">
        <f>IFERROR(VLOOKUP($B343,calc_data,N$14+1,0),0)</f>
        <v/>
      </c>
      <c r="O343" s="45" t="n"/>
      <c r="Q343" s="57">
        <f>IF(K343&gt;0,"показать","скрыть")</f>
        <v/>
      </c>
    </row>
    <row r="344" ht="15.75" customHeight="1">
      <c r="B344" s="182" t="n">
        <v>328</v>
      </c>
      <c r="C344" s="182">
        <f>IFERROR(VLOOKUP($B344,calc_data,C$14+1,0),0)</f>
        <v/>
      </c>
      <c r="D344" s="182">
        <f>IFERROR(VLOOKUP($B344,calc_data,D$14+1,0),0)</f>
        <v/>
      </c>
      <c r="E344" s="183">
        <f>IFERROR(VLOOKUP($B344,calc_data,E$14+1,0),0)</f>
        <v/>
      </c>
      <c r="F344" s="182">
        <f>IFERROR(VLOOKUP($B344,calc_data,F$14+1,0),0)</f>
        <v/>
      </c>
      <c r="G344" s="141">
        <f>IFERROR(VLOOKUP($B344,calc_data,G$14+1,0),0)</f>
        <v/>
      </c>
      <c r="H344" s="141">
        <f>IFERROR(VLOOKUP($B344,calc_data,H$14+1,0),0)</f>
        <v/>
      </c>
      <c r="I344" s="142">
        <f>IFERROR(VLOOKUP($B344,calc_data,I$14+1,0),0)</f>
        <v/>
      </c>
      <c r="J344" s="141">
        <f>IFERROR(VLOOKUP($B344,calc_data,J$14+1,0),0)</f>
        <v/>
      </c>
      <c r="K344" s="141">
        <f>IFERROR(VLOOKUP($B344,calc_data,K$14+1,0),0)</f>
        <v/>
      </c>
      <c r="L344" s="141">
        <f>IFERROR(VLOOKUP($B344,calc_data,L$14+1,0),0)</f>
        <v/>
      </c>
      <c r="M344" s="177">
        <f>IFERROR(VLOOKUP($B344,calc_data,M$14+1,0),0)</f>
        <v/>
      </c>
      <c r="N344" s="177">
        <f>IFERROR(VLOOKUP($B344,calc_data,N$14+1,0),0)</f>
        <v/>
      </c>
      <c r="O344" s="45" t="n"/>
      <c r="Q344" s="57">
        <f>IF(K344&gt;0,"показать","скрыть")</f>
        <v/>
      </c>
    </row>
    <row r="345" ht="15.75" customHeight="1">
      <c r="B345" s="182" t="n">
        <v>329</v>
      </c>
      <c r="C345" s="182">
        <f>IFERROR(VLOOKUP($B345,calc_data,C$14+1,0),0)</f>
        <v/>
      </c>
      <c r="D345" s="182">
        <f>IFERROR(VLOOKUP($B345,calc_data,D$14+1,0),0)</f>
        <v/>
      </c>
      <c r="E345" s="183">
        <f>IFERROR(VLOOKUP($B345,calc_data,E$14+1,0),0)</f>
        <v/>
      </c>
      <c r="F345" s="182">
        <f>IFERROR(VLOOKUP($B345,calc_data,F$14+1,0),0)</f>
        <v/>
      </c>
      <c r="G345" s="141">
        <f>IFERROR(VLOOKUP($B345,calc_data,G$14+1,0),0)</f>
        <v/>
      </c>
      <c r="H345" s="141">
        <f>IFERROR(VLOOKUP($B345,calc_data,H$14+1,0),0)</f>
        <v/>
      </c>
      <c r="I345" s="142">
        <f>IFERROR(VLOOKUP($B345,calc_data,I$14+1,0),0)</f>
        <v/>
      </c>
      <c r="J345" s="141">
        <f>IFERROR(VLOOKUP($B345,calc_data,J$14+1,0),0)</f>
        <v/>
      </c>
      <c r="K345" s="141">
        <f>IFERROR(VLOOKUP($B345,calc_data,K$14+1,0),0)</f>
        <v/>
      </c>
      <c r="L345" s="141">
        <f>IFERROR(VLOOKUP($B345,calc_data,L$14+1,0),0)</f>
        <v/>
      </c>
      <c r="M345" s="177">
        <f>IFERROR(VLOOKUP($B345,calc_data,M$14+1,0),0)</f>
        <v/>
      </c>
      <c r="N345" s="177">
        <f>IFERROR(VLOOKUP($B345,calc_data,N$14+1,0),0)</f>
        <v/>
      </c>
      <c r="O345" s="45" t="n"/>
      <c r="Q345" s="57">
        <f>IF(K345&gt;0,"показать","скрыть")</f>
        <v/>
      </c>
    </row>
    <row r="346" ht="15.75" customHeight="1">
      <c r="B346" s="182" t="n">
        <v>330</v>
      </c>
      <c r="C346" s="182">
        <f>IFERROR(VLOOKUP($B346,calc_data,C$14+1,0),0)</f>
        <v/>
      </c>
      <c r="D346" s="182">
        <f>IFERROR(VLOOKUP($B346,calc_data,D$14+1,0),0)</f>
        <v/>
      </c>
      <c r="E346" s="183">
        <f>IFERROR(VLOOKUP($B346,calc_data,E$14+1,0),0)</f>
        <v/>
      </c>
      <c r="F346" s="182">
        <f>IFERROR(VLOOKUP($B346,calc_data,F$14+1,0),0)</f>
        <v/>
      </c>
      <c r="G346" s="141">
        <f>IFERROR(VLOOKUP($B346,calc_data,G$14+1,0),0)</f>
        <v/>
      </c>
      <c r="H346" s="141">
        <f>IFERROR(VLOOKUP($B346,calc_data,H$14+1,0),0)</f>
        <v/>
      </c>
      <c r="I346" s="142">
        <f>IFERROR(VLOOKUP($B346,calc_data,I$14+1,0),0)</f>
        <v/>
      </c>
      <c r="J346" s="141">
        <f>IFERROR(VLOOKUP($B346,calc_data,J$14+1,0),0)</f>
        <v/>
      </c>
      <c r="K346" s="141">
        <f>IFERROR(VLOOKUP($B346,calc_data,K$14+1,0),0)</f>
        <v/>
      </c>
      <c r="L346" s="141">
        <f>IFERROR(VLOOKUP($B346,calc_data,L$14+1,0),0)</f>
        <v/>
      </c>
      <c r="M346" s="177">
        <f>IFERROR(VLOOKUP($B346,calc_data,M$14+1,0),0)</f>
        <v/>
      </c>
      <c r="N346" s="177">
        <f>IFERROR(VLOOKUP($B346,calc_data,N$14+1,0),0)</f>
        <v/>
      </c>
      <c r="O346" s="45" t="n"/>
      <c r="Q346" s="57">
        <f>IF(K346&gt;0,"показать","скрыть")</f>
        <v/>
      </c>
    </row>
    <row r="347" ht="15.75" customHeight="1">
      <c r="B347" s="182" t="n">
        <v>331</v>
      </c>
      <c r="C347" s="182">
        <f>IFERROR(VLOOKUP($B347,calc_data,C$14+1,0),0)</f>
        <v/>
      </c>
      <c r="D347" s="182">
        <f>IFERROR(VLOOKUP($B347,calc_data,D$14+1,0),0)</f>
        <v/>
      </c>
      <c r="E347" s="183">
        <f>IFERROR(VLOOKUP($B347,calc_data,E$14+1,0),0)</f>
        <v/>
      </c>
      <c r="F347" s="182">
        <f>IFERROR(VLOOKUP($B347,calc_data,F$14+1,0),0)</f>
        <v/>
      </c>
      <c r="G347" s="141">
        <f>IFERROR(VLOOKUP($B347,calc_data,G$14+1,0),0)</f>
        <v/>
      </c>
      <c r="H347" s="141">
        <f>IFERROR(VLOOKUP($B347,calc_data,H$14+1,0),0)</f>
        <v/>
      </c>
      <c r="I347" s="142">
        <f>IFERROR(VLOOKUP($B347,calc_data,I$14+1,0),0)</f>
        <v/>
      </c>
      <c r="J347" s="141">
        <f>IFERROR(VLOOKUP($B347,calc_data,J$14+1,0),0)</f>
        <v/>
      </c>
      <c r="K347" s="141">
        <f>IFERROR(VLOOKUP($B347,calc_data,K$14+1,0),0)</f>
        <v/>
      </c>
      <c r="L347" s="141">
        <f>IFERROR(VLOOKUP($B347,calc_data,L$14+1,0),0)</f>
        <v/>
      </c>
      <c r="M347" s="177">
        <f>IFERROR(VLOOKUP($B347,calc_data,M$14+1,0),0)</f>
        <v/>
      </c>
      <c r="N347" s="177">
        <f>IFERROR(VLOOKUP($B347,calc_data,N$14+1,0),0)</f>
        <v/>
      </c>
      <c r="O347" s="45" t="n"/>
      <c r="Q347" s="57">
        <f>IF(K347&gt;0,"показать","скрыть")</f>
        <v/>
      </c>
    </row>
    <row r="348" ht="15.75" customHeight="1">
      <c r="B348" s="182" t="n">
        <v>332</v>
      </c>
      <c r="C348" s="182">
        <f>IFERROR(VLOOKUP($B348,calc_data,C$14+1,0),0)</f>
        <v/>
      </c>
      <c r="D348" s="182">
        <f>IFERROR(VLOOKUP($B348,calc_data,D$14+1,0),0)</f>
        <v/>
      </c>
      <c r="E348" s="183">
        <f>IFERROR(VLOOKUP($B348,calc_data,E$14+1,0),0)</f>
        <v/>
      </c>
      <c r="F348" s="182">
        <f>IFERROR(VLOOKUP($B348,calc_data,F$14+1,0),0)</f>
        <v/>
      </c>
      <c r="G348" s="141">
        <f>IFERROR(VLOOKUP($B348,calc_data,G$14+1,0),0)</f>
        <v/>
      </c>
      <c r="H348" s="141">
        <f>IFERROR(VLOOKUP($B348,calc_data,H$14+1,0),0)</f>
        <v/>
      </c>
      <c r="I348" s="142">
        <f>IFERROR(VLOOKUP($B348,calc_data,I$14+1,0),0)</f>
        <v/>
      </c>
      <c r="J348" s="141">
        <f>IFERROR(VLOOKUP($B348,calc_data,J$14+1,0),0)</f>
        <v/>
      </c>
      <c r="K348" s="141">
        <f>IFERROR(VLOOKUP($B348,calc_data,K$14+1,0),0)</f>
        <v/>
      </c>
      <c r="L348" s="141">
        <f>IFERROR(VLOOKUP($B348,calc_data,L$14+1,0),0)</f>
        <v/>
      </c>
      <c r="M348" s="177">
        <f>IFERROR(VLOOKUP($B348,calc_data,M$14+1,0),0)</f>
        <v/>
      </c>
      <c r="N348" s="177">
        <f>IFERROR(VLOOKUP($B348,calc_data,N$14+1,0),0)</f>
        <v/>
      </c>
      <c r="O348" s="45" t="n"/>
      <c r="Q348" s="57">
        <f>IF(K348&gt;0,"показать","скрыть")</f>
        <v/>
      </c>
    </row>
    <row r="349" ht="15.75" customHeight="1">
      <c r="B349" s="182" t="n">
        <v>333</v>
      </c>
      <c r="C349" s="182">
        <f>IFERROR(VLOOKUP($B349,calc_data,C$14+1,0),0)</f>
        <v/>
      </c>
      <c r="D349" s="182">
        <f>IFERROR(VLOOKUP($B349,calc_data,D$14+1,0),0)</f>
        <v/>
      </c>
      <c r="E349" s="183">
        <f>IFERROR(VLOOKUP($B349,calc_data,E$14+1,0),0)</f>
        <v/>
      </c>
      <c r="F349" s="182">
        <f>IFERROR(VLOOKUP($B349,calc_data,F$14+1,0),0)</f>
        <v/>
      </c>
      <c r="G349" s="141">
        <f>IFERROR(VLOOKUP($B349,calc_data,G$14+1,0),0)</f>
        <v/>
      </c>
      <c r="H349" s="141">
        <f>IFERROR(VLOOKUP($B349,calc_data,H$14+1,0),0)</f>
        <v/>
      </c>
      <c r="I349" s="142">
        <f>IFERROR(VLOOKUP($B349,calc_data,I$14+1,0),0)</f>
        <v/>
      </c>
      <c r="J349" s="141">
        <f>IFERROR(VLOOKUP($B349,calc_data,J$14+1,0),0)</f>
        <v/>
      </c>
      <c r="K349" s="141">
        <f>IFERROR(VLOOKUP($B349,calc_data,K$14+1,0),0)</f>
        <v/>
      </c>
      <c r="L349" s="141">
        <f>IFERROR(VLOOKUP($B349,calc_data,L$14+1,0),0)</f>
        <v/>
      </c>
      <c r="M349" s="177">
        <f>IFERROR(VLOOKUP($B349,calc_data,M$14+1,0),0)</f>
        <v/>
      </c>
      <c r="N349" s="177">
        <f>IFERROR(VLOOKUP($B349,calc_data,N$14+1,0),0)</f>
        <v/>
      </c>
      <c r="O349" s="45" t="n"/>
      <c r="Q349" s="57">
        <f>IF(K349&gt;0,"показать","скрыть")</f>
        <v/>
      </c>
    </row>
    <row r="350" ht="15.75" customHeight="1">
      <c r="B350" s="182" t="n">
        <v>334</v>
      </c>
      <c r="C350" s="182">
        <f>IFERROR(VLOOKUP($B350,calc_data,C$14+1,0),0)</f>
        <v/>
      </c>
      <c r="D350" s="182">
        <f>IFERROR(VLOOKUP($B350,calc_data,D$14+1,0),0)</f>
        <v/>
      </c>
      <c r="E350" s="183">
        <f>IFERROR(VLOOKUP($B350,calc_data,E$14+1,0),0)</f>
        <v/>
      </c>
      <c r="F350" s="182">
        <f>IFERROR(VLOOKUP($B350,calc_data,F$14+1,0),0)</f>
        <v/>
      </c>
      <c r="G350" s="141">
        <f>IFERROR(VLOOKUP($B350,calc_data,G$14+1,0),0)</f>
        <v/>
      </c>
      <c r="H350" s="141">
        <f>IFERROR(VLOOKUP($B350,calc_data,H$14+1,0),0)</f>
        <v/>
      </c>
      <c r="I350" s="142">
        <f>IFERROR(VLOOKUP($B350,calc_data,I$14+1,0),0)</f>
        <v/>
      </c>
      <c r="J350" s="141">
        <f>IFERROR(VLOOKUP($B350,calc_data,J$14+1,0),0)</f>
        <v/>
      </c>
      <c r="K350" s="141">
        <f>IFERROR(VLOOKUP($B350,calc_data,K$14+1,0),0)</f>
        <v/>
      </c>
      <c r="L350" s="141">
        <f>IFERROR(VLOOKUP($B350,calc_data,L$14+1,0),0)</f>
        <v/>
      </c>
      <c r="M350" s="177">
        <f>IFERROR(VLOOKUP($B350,calc_data,M$14+1,0),0)</f>
        <v/>
      </c>
      <c r="N350" s="177">
        <f>IFERROR(VLOOKUP($B350,calc_data,N$14+1,0),0)</f>
        <v/>
      </c>
      <c r="O350" s="45" t="n"/>
      <c r="Q350" s="57">
        <f>IF(K350&gt;0,"показать","скрыть")</f>
        <v/>
      </c>
    </row>
    <row r="351" ht="15.75" customHeight="1">
      <c r="B351" s="182" t="n">
        <v>335</v>
      </c>
      <c r="C351" s="182">
        <f>IFERROR(VLOOKUP($B351,calc_data,C$14+1,0),0)</f>
        <v/>
      </c>
      <c r="D351" s="182">
        <f>IFERROR(VLOOKUP($B351,calc_data,D$14+1,0),0)</f>
        <v/>
      </c>
      <c r="E351" s="183">
        <f>IFERROR(VLOOKUP($B351,calc_data,E$14+1,0),0)</f>
        <v/>
      </c>
      <c r="F351" s="182">
        <f>IFERROR(VLOOKUP($B351,calc_data,F$14+1,0),0)</f>
        <v/>
      </c>
      <c r="G351" s="141">
        <f>IFERROR(VLOOKUP($B351,calc_data,G$14+1,0),0)</f>
        <v/>
      </c>
      <c r="H351" s="141">
        <f>IFERROR(VLOOKUP($B351,calc_data,H$14+1,0),0)</f>
        <v/>
      </c>
      <c r="I351" s="142">
        <f>IFERROR(VLOOKUP($B351,calc_data,I$14+1,0),0)</f>
        <v/>
      </c>
      <c r="J351" s="141">
        <f>IFERROR(VLOOKUP($B351,calc_data,J$14+1,0),0)</f>
        <v/>
      </c>
      <c r="K351" s="141">
        <f>IFERROR(VLOOKUP($B351,calc_data,K$14+1,0),0)</f>
        <v/>
      </c>
      <c r="L351" s="141">
        <f>IFERROR(VLOOKUP($B351,calc_data,L$14+1,0),0)</f>
        <v/>
      </c>
      <c r="M351" s="177">
        <f>IFERROR(VLOOKUP($B351,calc_data,M$14+1,0),0)</f>
        <v/>
      </c>
      <c r="N351" s="177">
        <f>IFERROR(VLOOKUP($B351,calc_data,N$14+1,0),0)</f>
        <v/>
      </c>
      <c r="O351" s="45" t="n"/>
      <c r="Q351" s="57">
        <f>IF(K351&gt;0,"показать","скрыть")</f>
        <v/>
      </c>
    </row>
    <row r="352" ht="15.75" customHeight="1">
      <c r="B352" s="182" t="n">
        <v>336</v>
      </c>
      <c r="C352" s="182">
        <f>IFERROR(VLOOKUP($B352,calc_data,C$14+1,0),0)</f>
        <v/>
      </c>
      <c r="D352" s="182">
        <f>IFERROR(VLOOKUP($B352,calc_data,D$14+1,0),0)</f>
        <v/>
      </c>
      <c r="E352" s="183">
        <f>IFERROR(VLOOKUP($B352,calc_data,E$14+1,0),0)</f>
        <v/>
      </c>
      <c r="F352" s="182">
        <f>IFERROR(VLOOKUP($B352,calc_data,F$14+1,0),0)</f>
        <v/>
      </c>
      <c r="G352" s="141">
        <f>IFERROR(VLOOKUP($B352,calc_data,G$14+1,0),0)</f>
        <v/>
      </c>
      <c r="H352" s="141">
        <f>IFERROR(VLOOKUP($B352,calc_data,H$14+1,0),0)</f>
        <v/>
      </c>
      <c r="I352" s="142">
        <f>IFERROR(VLOOKUP($B352,calc_data,I$14+1,0),0)</f>
        <v/>
      </c>
      <c r="J352" s="141">
        <f>IFERROR(VLOOKUP($B352,calc_data,J$14+1,0),0)</f>
        <v/>
      </c>
      <c r="K352" s="141">
        <f>IFERROR(VLOOKUP($B352,calc_data,K$14+1,0),0)</f>
        <v/>
      </c>
      <c r="L352" s="141">
        <f>IFERROR(VLOOKUP($B352,calc_data,L$14+1,0),0)</f>
        <v/>
      </c>
      <c r="M352" s="177">
        <f>IFERROR(VLOOKUP($B352,calc_data,M$14+1,0),0)</f>
        <v/>
      </c>
      <c r="N352" s="177">
        <f>IFERROR(VLOOKUP($B352,calc_data,N$14+1,0),0)</f>
        <v/>
      </c>
      <c r="O352" s="45" t="n"/>
      <c r="Q352" s="57">
        <f>IF(K352&gt;0,"показать","скрыть")</f>
        <v/>
      </c>
    </row>
    <row r="353" ht="15.75" customHeight="1">
      <c r="B353" s="182" t="n">
        <v>337</v>
      </c>
      <c r="C353" s="182">
        <f>IFERROR(VLOOKUP($B353,calc_data,C$14+1,0),0)</f>
        <v/>
      </c>
      <c r="D353" s="182">
        <f>IFERROR(VLOOKUP($B353,calc_data,D$14+1,0),0)</f>
        <v/>
      </c>
      <c r="E353" s="183">
        <f>IFERROR(VLOOKUP($B353,calc_data,E$14+1,0),0)</f>
        <v/>
      </c>
      <c r="F353" s="182">
        <f>IFERROR(VLOOKUP($B353,calc_data,F$14+1,0),0)</f>
        <v/>
      </c>
      <c r="G353" s="141">
        <f>IFERROR(VLOOKUP($B353,calc_data,G$14+1,0),0)</f>
        <v/>
      </c>
      <c r="H353" s="141">
        <f>IFERROR(VLOOKUP($B353,calc_data,H$14+1,0),0)</f>
        <v/>
      </c>
      <c r="I353" s="142">
        <f>IFERROR(VLOOKUP($B353,calc_data,I$14+1,0),0)</f>
        <v/>
      </c>
      <c r="J353" s="141">
        <f>IFERROR(VLOOKUP($B353,calc_data,J$14+1,0),0)</f>
        <v/>
      </c>
      <c r="K353" s="141">
        <f>IFERROR(VLOOKUP($B353,calc_data,K$14+1,0),0)</f>
        <v/>
      </c>
      <c r="L353" s="141">
        <f>IFERROR(VLOOKUP($B353,calc_data,L$14+1,0),0)</f>
        <v/>
      </c>
      <c r="M353" s="177">
        <f>IFERROR(VLOOKUP($B353,calc_data,M$14+1,0),0)</f>
        <v/>
      </c>
      <c r="N353" s="177">
        <f>IFERROR(VLOOKUP($B353,calc_data,N$14+1,0),0)</f>
        <v/>
      </c>
      <c r="O353" s="45" t="n"/>
      <c r="Q353" s="57">
        <f>IF(K353&gt;0,"показать","скрыть")</f>
        <v/>
      </c>
    </row>
    <row r="354" ht="15.75" customHeight="1">
      <c r="B354" s="182" t="n">
        <v>338</v>
      </c>
      <c r="C354" s="182">
        <f>IFERROR(VLOOKUP($B354,calc_data,C$14+1,0),0)</f>
        <v/>
      </c>
      <c r="D354" s="182">
        <f>IFERROR(VLOOKUP($B354,calc_data,D$14+1,0),0)</f>
        <v/>
      </c>
      <c r="E354" s="183">
        <f>IFERROR(VLOOKUP($B354,calc_data,E$14+1,0),0)</f>
        <v/>
      </c>
      <c r="F354" s="182">
        <f>IFERROR(VLOOKUP($B354,calc_data,F$14+1,0),0)</f>
        <v/>
      </c>
      <c r="G354" s="141">
        <f>IFERROR(VLOOKUP($B354,calc_data,G$14+1,0),0)</f>
        <v/>
      </c>
      <c r="H354" s="141">
        <f>IFERROR(VLOOKUP($B354,calc_data,H$14+1,0),0)</f>
        <v/>
      </c>
      <c r="I354" s="142">
        <f>IFERROR(VLOOKUP($B354,calc_data,I$14+1,0),0)</f>
        <v/>
      </c>
      <c r="J354" s="141">
        <f>IFERROR(VLOOKUP($B354,calc_data,J$14+1,0),0)</f>
        <v/>
      </c>
      <c r="K354" s="141">
        <f>IFERROR(VLOOKUP($B354,calc_data,K$14+1,0),0)</f>
        <v/>
      </c>
      <c r="L354" s="141">
        <f>IFERROR(VLOOKUP($B354,calc_data,L$14+1,0),0)</f>
        <v/>
      </c>
      <c r="M354" s="177">
        <f>IFERROR(VLOOKUP($B354,calc_data,M$14+1,0),0)</f>
        <v/>
      </c>
      <c r="N354" s="177">
        <f>IFERROR(VLOOKUP($B354,calc_data,N$14+1,0),0)</f>
        <v/>
      </c>
      <c r="O354" s="45" t="n"/>
      <c r="Q354" s="57">
        <f>IF(K354&gt;0,"показать","скрыть")</f>
        <v/>
      </c>
    </row>
    <row r="355" ht="15.75" customHeight="1">
      <c r="B355" s="182" t="n">
        <v>339</v>
      </c>
      <c r="C355" s="182">
        <f>IFERROR(VLOOKUP($B355,calc_data,C$14+1,0),0)</f>
        <v/>
      </c>
      <c r="D355" s="182">
        <f>IFERROR(VLOOKUP($B355,calc_data,D$14+1,0),0)</f>
        <v/>
      </c>
      <c r="E355" s="183">
        <f>IFERROR(VLOOKUP($B355,calc_data,E$14+1,0),0)</f>
        <v/>
      </c>
      <c r="F355" s="182">
        <f>IFERROR(VLOOKUP($B355,calc_data,F$14+1,0),0)</f>
        <v/>
      </c>
      <c r="G355" s="141">
        <f>IFERROR(VLOOKUP($B355,calc_data,G$14+1,0),0)</f>
        <v/>
      </c>
      <c r="H355" s="141">
        <f>IFERROR(VLOOKUP($B355,calc_data,H$14+1,0),0)</f>
        <v/>
      </c>
      <c r="I355" s="142">
        <f>IFERROR(VLOOKUP($B355,calc_data,I$14+1,0),0)</f>
        <v/>
      </c>
      <c r="J355" s="141">
        <f>IFERROR(VLOOKUP($B355,calc_data,J$14+1,0),0)</f>
        <v/>
      </c>
      <c r="K355" s="141">
        <f>IFERROR(VLOOKUP($B355,calc_data,K$14+1,0),0)</f>
        <v/>
      </c>
      <c r="L355" s="141">
        <f>IFERROR(VLOOKUP($B355,calc_data,L$14+1,0),0)</f>
        <v/>
      </c>
      <c r="M355" s="177">
        <f>IFERROR(VLOOKUP($B355,calc_data,M$14+1,0),0)</f>
        <v/>
      </c>
      <c r="N355" s="177">
        <f>IFERROR(VLOOKUP($B355,calc_data,N$14+1,0),0)</f>
        <v/>
      </c>
      <c r="O355" s="45" t="n"/>
      <c r="Q355" s="57">
        <f>IF(K355&gt;0,"показать","скрыть")</f>
        <v/>
      </c>
    </row>
    <row r="356" ht="15.75" customHeight="1">
      <c r="B356" s="182" t="n">
        <v>340</v>
      </c>
      <c r="C356" s="182">
        <f>IFERROR(VLOOKUP($B356,calc_data,C$14+1,0),0)</f>
        <v/>
      </c>
      <c r="D356" s="182">
        <f>IFERROR(VLOOKUP($B356,calc_data,D$14+1,0),0)</f>
        <v/>
      </c>
      <c r="E356" s="183">
        <f>IFERROR(VLOOKUP($B356,calc_data,E$14+1,0),0)</f>
        <v/>
      </c>
      <c r="F356" s="182">
        <f>IFERROR(VLOOKUP($B356,calc_data,F$14+1,0),0)</f>
        <v/>
      </c>
      <c r="G356" s="141">
        <f>IFERROR(VLOOKUP($B356,calc_data,G$14+1,0),0)</f>
        <v/>
      </c>
      <c r="H356" s="141">
        <f>IFERROR(VLOOKUP($B356,calc_data,H$14+1,0),0)</f>
        <v/>
      </c>
      <c r="I356" s="142">
        <f>IFERROR(VLOOKUP($B356,calc_data,I$14+1,0),0)</f>
        <v/>
      </c>
      <c r="J356" s="141">
        <f>IFERROR(VLOOKUP($B356,calc_data,J$14+1,0),0)</f>
        <v/>
      </c>
      <c r="K356" s="141">
        <f>IFERROR(VLOOKUP($B356,calc_data,K$14+1,0),0)</f>
        <v/>
      </c>
      <c r="L356" s="141">
        <f>IFERROR(VLOOKUP($B356,calc_data,L$14+1,0),0)</f>
        <v/>
      </c>
      <c r="M356" s="177">
        <f>IFERROR(VLOOKUP($B356,calc_data,M$14+1,0),0)</f>
        <v/>
      </c>
      <c r="N356" s="177">
        <f>IFERROR(VLOOKUP($B356,calc_data,N$14+1,0),0)</f>
        <v/>
      </c>
      <c r="O356" s="45" t="n"/>
      <c r="Q356" s="57">
        <f>IF(K356&gt;0,"показать","скрыть")</f>
        <v/>
      </c>
    </row>
    <row r="357" ht="15.75" customHeight="1">
      <c r="B357" s="182" t="n">
        <v>341</v>
      </c>
      <c r="C357" s="182">
        <f>IFERROR(VLOOKUP($B357,calc_data,C$14+1,0),0)</f>
        <v/>
      </c>
      <c r="D357" s="182">
        <f>IFERROR(VLOOKUP($B357,calc_data,D$14+1,0),0)</f>
        <v/>
      </c>
      <c r="E357" s="183">
        <f>IFERROR(VLOOKUP($B357,calc_data,E$14+1,0),0)</f>
        <v/>
      </c>
      <c r="F357" s="182">
        <f>IFERROR(VLOOKUP($B357,calc_data,F$14+1,0),0)</f>
        <v/>
      </c>
      <c r="G357" s="141">
        <f>IFERROR(VLOOKUP($B357,calc_data,G$14+1,0),0)</f>
        <v/>
      </c>
      <c r="H357" s="141">
        <f>IFERROR(VLOOKUP($B357,calc_data,H$14+1,0),0)</f>
        <v/>
      </c>
      <c r="I357" s="142">
        <f>IFERROR(VLOOKUP($B357,calc_data,I$14+1,0),0)</f>
        <v/>
      </c>
      <c r="J357" s="141">
        <f>IFERROR(VLOOKUP($B357,calc_data,J$14+1,0),0)</f>
        <v/>
      </c>
      <c r="K357" s="141">
        <f>IFERROR(VLOOKUP($B357,calc_data,K$14+1,0),0)</f>
        <v/>
      </c>
      <c r="L357" s="141">
        <f>IFERROR(VLOOKUP($B357,calc_data,L$14+1,0),0)</f>
        <v/>
      </c>
      <c r="M357" s="177">
        <f>IFERROR(VLOOKUP($B357,calc_data,M$14+1,0),0)</f>
        <v/>
      </c>
      <c r="N357" s="177">
        <f>IFERROR(VLOOKUP($B357,calc_data,N$14+1,0),0)</f>
        <v/>
      </c>
      <c r="O357" s="45" t="n"/>
      <c r="Q357" s="57">
        <f>IF(K357&gt;0,"показать","скрыть")</f>
        <v/>
      </c>
    </row>
    <row r="358" ht="15.75" customHeight="1">
      <c r="B358" s="182" t="n">
        <v>342</v>
      </c>
      <c r="C358" s="182">
        <f>IFERROR(VLOOKUP($B358,calc_data,C$14+1,0),0)</f>
        <v/>
      </c>
      <c r="D358" s="182">
        <f>IFERROR(VLOOKUP($B358,calc_data,D$14+1,0),0)</f>
        <v/>
      </c>
      <c r="E358" s="183">
        <f>IFERROR(VLOOKUP($B358,calc_data,E$14+1,0),0)</f>
        <v/>
      </c>
      <c r="F358" s="182">
        <f>IFERROR(VLOOKUP($B358,calc_data,F$14+1,0),0)</f>
        <v/>
      </c>
      <c r="G358" s="141">
        <f>IFERROR(VLOOKUP($B358,calc_data,G$14+1,0),0)</f>
        <v/>
      </c>
      <c r="H358" s="141">
        <f>IFERROR(VLOOKUP($B358,calc_data,H$14+1,0),0)</f>
        <v/>
      </c>
      <c r="I358" s="142">
        <f>IFERROR(VLOOKUP($B358,calc_data,I$14+1,0),0)</f>
        <v/>
      </c>
      <c r="J358" s="141">
        <f>IFERROR(VLOOKUP($B358,calc_data,J$14+1,0),0)</f>
        <v/>
      </c>
      <c r="K358" s="141">
        <f>IFERROR(VLOOKUP($B358,calc_data,K$14+1,0),0)</f>
        <v/>
      </c>
      <c r="L358" s="141">
        <f>IFERROR(VLOOKUP($B358,calc_data,L$14+1,0),0)</f>
        <v/>
      </c>
      <c r="M358" s="177">
        <f>IFERROR(VLOOKUP($B358,calc_data,M$14+1,0),0)</f>
        <v/>
      </c>
      <c r="N358" s="177">
        <f>IFERROR(VLOOKUP($B358,calc_data,N$14+1,0),0)</f>
        <v/>
      </c>
      <c r="O358" s="45" t="n"/>
      <c r="Q358" s="57">
        <f>IF(K358&gt;0,"показать","скрыть")</f>
        <v/>
      </c>
    </row>
    <row r="359" ht="15.75" customHeight="1">
      <c r="B359" s="182" t="n">
        <v>343</v>
      </c>
      <c r="C359" s="182">
        <f>IFERROR(VLOOKUP($B359,calc_data,C$14+1,0),0)</f>
        <v/>
      </c>
      <c r="D359" s="182">
        <f>IFERROR(VLOOKUP($B359,calc_data,D$14+1,0),0)</f>
        <v/>
      </c>
      <c r="E359" s="183">
        <f>IFERROR(VLOOKUP($B359,calc_data,E$14+1,0),0)</f>
        <v/>
      </c>
      <c r="F359" s="182">
        <f>IFERROR(VLOOKUP($B359,calc_data,F$14+1,0),0)</f>
        <v/>
      </c>
      <c r="G359" s="141">
        <f>IFERROR(VLOOKUP($B359,calc_data,G$14+1,0),0)</f>
        <v/>
      </c>
      <c r="H359" s="141">
        <f>IFERROR(VLOOKUP($B359,calc_data,H$14+1,0),0)</f>
        <v/>
      </c>
      <c r="I359" s="142">
        <f>IFERROR(VLOOKUP($B359,calc_data,I$14+1,0),0)</f>
        <v/>
      </c>
      <c r="J359" s="141">
        <f>IFERROR(VLOOKUP($B359,calc_data,J$14+1,0),0)</f>
        <v/>
      </c>
      <c r="K359" s="141">
        <f>IFERROR(VLOOKUP($B359,calc_data,K$14+1,0),0)</f>
        <v/>
      </c>
      <c r="L359" s="141">
        <f>IFERROR(VLOOKUP($B359,calc_data,L$14+1,0),0)</f>
        <v/>
      </c>
      <c r="M359" s="177">
        <f>IFERROR(VLOOKUP($B359,calc_data,M$14+1,0),0)</f>
        <v/>
      </c>
      <c r="N359" s="177">
        <f>IFERROR(VLOOKUP($B359,calc_data,N$14+1,0),0)</f>
        <v/>
      </c>
      <c r="O359" s="45" t="n"/>
      <c r="Q359" s="57">
        <f>IF(K359&gt;0,"показать","скрыть")</f>
        <v/>
      </c>
    </row>
    <row r="360" ht="15.75" customHeight="1">
      <c r="B360" s="182" t="n">
        <v>344</v>
      </c>
      <c r="C360" s="182">
        <f>IFERROR(VLOOKUP($B360,calc_data,C$14+1,0),0)</f>
        <v/>
      </c>
      <c r="D360" s="182">
        <f>IFERROR(VLOOKUP($B360,calc_data,D$14+1,0),0)</f>
        <v/>
      </c>
      <c r="E360" s="183">
        <f>IFERROR(VLOOKUP($B360,calc_data,E$14+1,0),0)</f>
        <v/>
      </c>
      <c r="F360" s="182">
        <f>IFERROR(VLOOKUP($B360,calc_data,F$14+1,0),0)</f>
        <v/>
      </c>
      <c r="G360" s="141">
        <f>IFERROR(VLOOKUP($B360,calc_data,G$14+1,0),0)</f>
        <v/>
      </c>
      <c r="H360" s="141">
        <f>IFERROR(VLOOKUP($B360,calc_data,H$14+1,0),0)</f>
        <v/>
      </c>
      <c r="I360" s="142">
        <f>IFERROR(VLOOKUP($B360,calc_data,I$14+1,0),0)</f>
        <v/>
      </c>
      <c r="J360" s="141">
        <f>IFERROR(VLOOKUP($B360,calc_data,J$14+1,0),0)</f>
        <v/>
      </c>
      <c r="K360" s="141">
        <f>IFERROR(VLOOKUP($B360,calc_data,K$14+1,0),0)</f>
        <v/>
      </c>
      <c r="L360" s="141">
        <f>IFERROR(VLOOKUP($B360,calc_data,L$14+1,0),0)</f>
        <v/>
      </c>
      <c r="M360" s="177">
        <f>IFERROR(VLOOKUP($B360,calc_data,M$14+1,0),0)</f>
        <v/>
      </c>
      <c r="N360" s="177">
        <f>IFERROR(VLOOKUP($B360,calc_data,N$14+1,0),0)</f>
        <v/>
      </c>
      <c r="O360" s="45" t="n"/>
      <c r="Q360" s="57">
        <f>IF(K360&gt;0,"показать","скрыть")</f>
        <v/>
      </c>
    </row>
    <row r="361" ht="15.75" customHeight="1">
      <c r="B361" s="182" t="n">
        <v>345</v>
      </c>
      <c r="C361" s="182">
        <f>IFERROR(VLOOKUP($B361,calc_data,C$14+1,0),0)</f>
        <v/>
      </c>
      <c r="D361" s="182">
        <f>IFERROR(VLOOKUP($B361,calc_data,D$14+1,0),0)</f>
        <v/>
      </c>
      <c r="E361" s="183">
        <f>IFERROR(VLOOKUP($B361,calc_data,E$14+1,0),0)</f>
        <v/>
      </c>
      <c r="F361" s="182">
        <f>IFERROR(VLOOKUP($B361,calc_data,F$14+1,0),0)</f>
        <v/>
      </c>
      <c r="G361" s="141">
        <f>IFERROR(VLOOKUP($B361,calc_data,G$14+1,0),0)</f>
        <v/>
      </c>
      <c r="H361" s="141">
        <f>IFERROR(VLOOKUP($B361,calc_data,H$14+1,0),0)</f>
        <v/>
      </c>
      <c r="I361" s="142">
        <f>IFERROR(VLOOKUP($B361,calc_data,I$14+1,0),0)</f>
        <v/>
      </c>
      <c r="J361" s="141">
        <f>IFERROR(VLOOKUP($B361,calc_data,J$14+1,0),0)</f>
        <v/>
      </c>
      <c r="K361" s="141">
        <f>IFERROR(VLOOKUP($B361,calc_data,K$14+1,0),0)</f>
        <v/>
      </c>
      <c r="L361" s="141">
        <f>IFERROR(VLOOKUP($B361,calc_data,L$14+1,0),0)</f>
        <v/>
      </c>
      <c r="M361" s="177">
        <f>IFERROR(VLOOKUP($B361,calc_data,M$14+1,0),0)</f>
        <v/>
      </c>
      <c r="N361" s="177">
        <f>IFERROR(VLOOKUP($B361,calc_data,N$14+1,0),0)</f>
        <v/>
      </c>
      <c r="O361" s="45" t="n"/>
      <c r="Q361" s="57">
        <f>IF(K361&gt;0,"показать","скрыть")</f>
        <v/>
      </c>
    </row>
    <row r="362" ht="15.75" customHeight="1">
      <c r="B362" s="182" t="n">
        <v>346</v>
      </c>
      <c r="C362" s="182">
        <f>IFERROR(VLOOKUP($B362,calc_data,C$14+1,0),0)</f>
        <v/>
      </c>
      <c r="D362" s="182">
        <f>IFERROR(VLOOKUP($B362,calc_data,D$14+1,0),0)</f>
        <v/>
      </c>
      <c r="E362" s="183">
        <f>IFERROR(VLOOKUP($B362,calc_data,E$14+1,0),0)</f>
        <v/>
      </c>
      <c r="F362" s="182">
        <f>IFERROR(VLOOKUP($B362,calc_data,F$14+1,0),0)</f>
        <v/>
      </c>
      <c r="G362" s="141">
        <f>IFERROR(VLOOKUP($B362,calc_data,G$14+1,0),0)</f>
        <v/>
      </c>
      <c r="H362" s="141">
        <f>IFERROR(VLOOKUP($B362,calc_data,H$14+1,0),0)</f>
        <v/>
      </c>
      <c r="I362" s="142">
        <f>IFERROR(VLOOKUP($B362,calc_data,I$14+1,0),0)</f>
        <v/>
      </c>
      <c r="J362" s="141">
        <f>IFERROR(VLOOKUP($B362,calc_data,J$14+1,0),0)</f>
        <v/>
      </c>
      <c r="K362" s="141">
        <f>IFERROR(VLOOKUP($B362,calc_data,K$14+1,0),0)</f>
        <v/>
      </c>
      <c r="L362" s="141">
        <f>IFERROR(VLOOKUP($B362,calc_data,L$14+1,0),0)</f>
        <v/>
      </c>
      <c r="M362" s="177">
        <f>IFERROR(VLOOKUP($B362,calc_data,M$14+1,0),0)</f>
        <v/>
      </c>
      <c r="N362" s="177">
        <f>IFERROR(VLOOKUP($B362,calc_data,N$14+1,0),0)</f>
        <v/>
      </c>
      <c r="O362" s="45" t="n"/>
      <c r="Q362" s="57">
        <f>IF(K362&gt;0,"показать","скрыть")</f>
        <v/>
      </c>
    </row>
    <row r="363" ht="15.75" customHeight="1">
      <c r="B363" s="182" t="n">
        <v>347</v>
      </c>
      <c r="C363" s="182">
        <f>IFERROR(VLOOKUP($B363,calc_data,C$14+1,0),0)</f>
        <v/>
      </c>
      <c r="D363" s="182">
        <f>IFERROR(VLOOKUP($B363,calc_data,D$14+1,0),0)</f>
        <v/>
      </c>
      <c r="E363" s="183">
        <f>IFERROR(VLOOKUP($B363,calc_data,E$14+1,0),0)</f>
        <v/>
      </c>
      <c r="F363" s="182">
        <f>IFERROR(VLOOKUP($B363,calc_data,F$14+1,0),0)</f>
        <v/>
      </c>
      <c r="G363" s="141">
        <f>IFERROR(VLOOKUP($B363,calc_data,G$14+1,0),0)</f>
        <v/>
      </c>
      <c r="H363" s="141">
        <f>IFERROR(VLOOKUP($B363,calc_data,H$14+1,0),0)</f>
        <v/>
      </c>
      <c r="I363" s="142">
        <f>IFERROR(VLOOKUP($B363,calc_data,I$14+1,0),0)</f>
        <v/>
      </c>
      <c r="J363" s="141">
        <f>IFERROR(VLOOKUP($B363,calc_data,J$14+1,0),0)</f>
        <v/>
      </c>
      <c r="K363" s="141">
        <f>IFERROR(VLOOKUP($B363,calc_data,K$14+1,0),0)</f>
        <v/>
      </c>
      <c r="L363" s="141">
        <f>IFERROR(VLOOKUP($B363,calc_data,L$14+1,0),0)</f>
        <v/>
      </c>
      <c r="M363" s="177">
        <f>IFERROR(VLOOKUP($B363,calc_data,M$14+1,0),0)</f>
        <v/>
      </c>
      <c r="N363" s="177">
        <f>IFERROR(VLOOKUP($B363,calc_data,N$14+1,0),0)</f>
        <v/>
      </c>
      <c r="O363" s="45" t="n"/>
      <c r="Q363" s="57">
        <f>IF(K363&gt;0,"показать","скрыть")</f>
        <v/>
      </c>
    </row>
    <row r="364" ht="15.75" customHeight="1">
      <c r="B364" s="182" t="n">
        <v>348</v>
      </c>
      <c r="C364" s="182">
        <f>IFERROR(VLOOKUP($B364,calc_data,C$14+1,0),0)</f>
        <v/>
      </c>
      <c r="D364" s="182">
        <f>IFERROR(VLOOKUP($B364,calc_data,D$14+1,0),0)</f>
        <v/>
      </c>
      <c r="E364" s="183">
        <f>IFERROR(VLOOKUP($B364,calc_data,E$14+1,0),0)</f>
        <v/>
      </c>
      <c r="F364" s="182">
        <f>IFERROR(VLOOKUP($B364,calc_data,F$14+1,0),0)</f>
        <v/>
      </c>
      <c r="G364" s="141">
        <f>IFERROR(VLOOKUP($B364,calc_data,G$14+1,0),0)</f>
        <v/>
      </c>
      <c r="H364" s="141">
        <f>IFERROR(VLOOKUP($B364,calc_data,H$14+1,0),0)</f>
        <v/>
      </c>
      <c r="I364" s="142">
        <f>IFERROR(VLOOKUP($B364,calc_data,I$14+1,0),0)</f>
        <v/>
      </c>
      <c r="J364" s="141">
        <f>IFERROR(VLOOKUP($B364,calc_data,J$14+1,0),0)</f>
        <v/>
      </c>
      <c r="K364" s="141">
        <f>IFERROR(VLOOKUP($B364,calc_data,K$14+1,0),0)</f>
        <v/>
      </c>
      <c r="L364" s="141">
        <f>IFERROR(VLOOKUP($B364,calc_data,L$14+1,0),0)</f>
        <v/>
      </c>
      <c r="M364" s="177">
        <f>IFERROR(VLOOKUP($B364,calc_data,M$14+1,0),0)</f>
        <v/>
      </c>
      <c r="N364" s="177">
        <f>IFERROR(VLOOKUP($B364,calc_data,N$14+1,0),0)</f>
        <v/>
      </c>
      <c r="O364" s="45" t="n"/>
      <c r="Q364" s="57">
        <f>IF(K364&gt;0,"показать","скрыть")</f>
        <v/>
      </c>
    </row>
    <row r="365" ht="15.75" customHeight="1">
      <c r="B365" s="182" t="n">
        <v>349</v>
      </c>
      <c r="C365" s="182">
        <f>IFERROR(VLOOKUP($B365,calc_data,C$14+1,0),0)</f>
        <v/>
      </c>
      <c r="D365" s="182">
        <f>IFERROR(VLOOKUP($B365,calc_data,D$14+1,0),0)</f>
        <v/>
      </c>
      <c r="E365" s="183">
        <f>IFERROR(VLOOKUP($B365,calc_data,E$14+1,0),0)</f>
        <v/>
      </c>
      <c r="F365" s="182">
        <f>IFERROR(VLOOKUP($B365,calc_data,F$14+1,0),0)</f>
        <v/>
      </c>
      <c r="G365" s="141">
        <f>IFERROR(VLOOKUP($B365,calc_data,G$14+1,0),0)</f>
        <v/>
      </c>
      <c r="H365" s="141">
        <f>IFERROR(VLOOKUP($B365,calc_data,H$14+1,0),0)</f>
        <v/>
      </c>
      <c r="I365" s="142">
        <f>IFERROR(VLOOKUP($B365,calc_data,I$14+1,0),0)</f>
        <v/>
      </c>
      <c r="J365" s="141">
        <f>IFERROR(VLOOKUP($B365,calc_data,J$14+1,0),0)</f>
        <v/>
      </c>
      <c r="K365" s="141">
        <f>IFERROR(VLOOKUP($B365,calc_data,K$14+1,0),0)</f>
        <v/>
      </c>
      <c r="L365" s="141">
        <f>IFERROR(VLOOKUP($B365,calc_data,L$14+1,0),0)</f>
        <v/>
      </c>
      <c r="M365" s="177">
        <f>IFERROR(VLOOKUP($B365,calc_data,M$14+1,0),0)</f>
        <v/>
      </c>
      <c r="N365" s="177">
        <f>IFERROR(VLOOKUP($B365,calc_data,N$14+1,0),0)</f>
        <v/>
      </c>
      <c r="O365" s="45" t="n"/>
      <c r="Q365" s="57">
        <f>IF(K365&gt;0,"показать","скрыть")</f>
        <v/>
      </c>
    </row>
    <row r="366" ht="15.75" customHeight="1">
      <c r="B366" s="182" t="n">
        <v>350</v>
      </c>
      <c r="C366" s="182">
        <f>IFERROR(VLOOKUP($B366,calc_data,C$14+1,0),0)</f>
        <v/>
      </c>
      <c r="D366" s="182">
        <f>IFERROR(VLOOKUP($B366,calc_data,D$14+1,0),0)</f>
        <v/>
      </c>
      <c r="E366" s="183">
        <f>IFERROR(VLOOKUP($B366,calc_data,E$14+1,0),0)</f>
        <v/>
      </c>
      <c r="F366" s="182">
        <f>IFERROR(VLOOKUP($B366,calc_data,F$14+1,0),0)</f>
        <v/>
      </c>
      <c r="G366" s="141">
        <f>IFERROR(VLOOKUP($B366,calc_data,G$14+1,0),0)</f>
        <v/>
      </c>
      <c r="H366" s="141">
        <f>IFERROR(VLOOKUP($B366,calc_data,H$14+1,0),0)</f>
        <v/>
      </c>
      <c r="I366" s="142">
        <f>IFERROR(VLOOKUP($B366,calc_data,I$14+1,0),0)</f>
        <v/>
      </c>
      <c r="J366" s="141">
        <f>IFERROR(VLOOKUP($B366,calc_data,J$14+1,0),0)</f>
        <v/>
      </c>
      <c r="K366" s="141">
        <f>IFERROR(VLOOKUP($B366,calc_data,K$14+1,0),0)</f>
        <v/>
      </c>
      <c r="L366" s="141">
        <f>IFERROR(VLOOKUP($B366,calc_data,L$14+1,0),0)</f>
        <v/>
      </c>
      <c r="M366" s="177">
        <f>IFERROR(VLOOKUP($B366,calc_data,M$14+1,0),0)</f>
        <v/>
      </c>
      <c r="N366" s="177">
        <f>IFERROR(VLOOKUP($B366,calc_data,N$14+1,0),0)</f>
        <v/>
      </c>
      <c r="O366" s="45" t="n"/>
      <c r="Q366" s="57">
        <f>IF(K366&gt;0,"показать","скрыть")</f>
        <v/>
      </c>
    </row>
    <row r="367" ht="15.75" customHeight="1">
      <c r="B367" s="182" t="n">
        <v>351</v>
      </c>
      <c r="C367" s="182">
        <f>IFERROR(VLOOKUP($B367,calc_data,C$14+1,0),0)</f>
        <v/>
      </c>
      <c r="D367" s="182">
        <f>IFERROR(VLOOKUP($B367,calc_data,D$14+1,0),0)</f>
        <v/>
      </c>
      <c r="E367" s="183">
        <f>IFERROR(VLOOKUP($B367,calc_data,E$14+1,0),0)</f>
        <v/>
      </c>
      <c r="F367" s="182">
        <f>IFERROR(VLOOKUP($B367,calc_data,F$14+1,0),0)</f>
        <v/>
      </c>
      <c r="G367" s="141">
        <f>IFERROR(VLOOKUP($B367,calc_data,G$14+1,0),0)</f>
        <v/>
      </c>
      <c r="H367" s="141">
        <f>IFERROR(VLOOKUP($B367,calc_data,H$14+1,0),0)</f>
        <v/>
      </c>
      <c r="I367" s="142">
        <f>IFERROR(VLOOKUP($B367,calc_data,I$14+1,0),0)</f>
        <v/>
      </c>
      <c r="J367" s="141">
        <f>IFERROR(VLOOKUP($B367,calc_data,J$14+1,0),0)</f>
        <v/>
      </c>
      <c r="K367" s="141">
        <f>IFERROR(VLOOKUP($B367,calc_data,K$14+1,0),0)</f>
        <v/>
      </c>
      <c r="L367" s="141">
        <f>IFERROR(VLOOKUP($B367,calc_data,L$14+1,0),0)</f>
        <v/>
      </c>
      <c r="M367" s="177">
        <f>IFERROR(VLOOKUP($B367,calc_data,M$14+1,0),0)</f>
        <v/>
      </c>
      <c r="N367" s="177">
        <f>IFERROR(VLOOKUP($B367,calc_data,N$14+1,0),0)</f>
        <v/>
      </c>
      <c r="O367" s="45" t="n"/>
      <c r="Q367" s="57">
        <f>IF(K367&gt;0,"показать","скрыть")</f>
        <v/>
      </c>
    </row>
    <row r="368" ht="15.75" customHeight="1">
      <c r="B368" s="182" t="n">
        <v>352</v>
      </c>
      <c r="C368" s="182">
        <f>IFERROR(VLOOKUP($B368,calc_data,C$14+1,0),0)</f>
        <v/>
      </c>
      <c r="D368" s="182">
        <f>IFERROR(VLOOKUP($B368,calc_data,D$14+1,0),0)</f>
        <v/>
      </c>
      <c r="E368" s="183">
        <f>IFERROR(VLOOKUP($B368,calc_data,E$14+1,0),0)</f>
        <v/>
      </c>
      <c r="F368" s="182">
        <f>IFERROR(VLOOKUP($B368,calc_data,F$14+1,0),0)</f>
        <v/>
      </c>
      <c r="G368" s="141">
        <f>IFERROR(VLOOKUP($B368,calc_data,G$14+1,0),0)</f>
        <v/>
      </c>
      <c r="H368" s="141">
        <f>IFERROR(VLOOKUP($B368,calc_data,H$14+1,0),0)</f>
        <v/>
      </c>
      <c r="I368" s="142">
        <f>IFERROR(VLOOKUP($B368,calc_data,I$14+1,0),0)</f>
        <v/>
      </c>
      <c r="J368" s="141">
        <f>IFERROR(VLOOKUP($B368,calc_data,J$14+1,0),0)</f>
        <v/>
      </c>
      <c r="K368" s="141">
        <f>IFERROR(VLOOKUP($B368,calc_data,K$14+1,0),0)</f>
        <v/>
      </c>
      <c r="L368" s="141">
        <f>IFERROR(VLOOKUP($B368,calc_data,L$14+1,0),0)</f>
        <v/>
      </c>
      <c r="M368" s="177">
        <f>IFERROR(VLOOKUP($B368,calc_data,M$14+1,0),0)</f>
        <v/>
      </c>
      <c r="N368" s="177">
        <f>IFERROR(VLOOKUP($B368,calc_data,N$14+1,0),0)</f>
        <v/>
      </c>
      <c r="O368" s="45" t="n"/>
      <c r="Q368" s="57">
        <f>IF(K368&gt;0,"показать","скрыть")</f>
        <v/>
      </c>
    </row>
    <row r="369" ht="15.75" customHeight="1">
      <c r="B369" s="182" t="n">
        <v>353</v>
      </c>
      <c r="C369" s="182">
        <f>IFERROR(VLOOKUP($B369,calc_data,C$14+1,0),0)</f>
        <v/>
      </c>
      <c r="D369" s="182">
        <f>IFERROR(VLOOKUP($B369,calc_data,D$14+1,0),0)</f>
        <v/>
      </c>
      <c r="E369" s="183">
        <f>IFERROR(VLOOKUP($B369,calc_data,E$14+1,0),0)</f>
        <v/>
      </c>
      <c r="F369" s="182">
        <f>IFERROR(VLOOKUP($B369,calc_data,F$14+1,0),0)</f>
        <v/>
      </c>
      <c r="G369" s="141">
        <f>IFERROR(VLOOKUP($B369,calc_data,G$14+1,0),0)</f>
        <v/>
      </c>
      <c r="H369" s="141">
        <f>IFERROR(VLOOKUP($B369,calc_data,H$14+1,0),0)</f>
        <v/>
      </c>
      <c r="I369" s="142">
        <f>IFERROR(VLOOKUP($B369,calc_data,I$14+1,0),0)</f>
        <v/>
      </c>
      <c r="J369" s="141">
        <f>IFERROR(VLOOKUP($B369,calc_data,J$14+1,0),0)</f>
        <v/>
      </c>
      <c r="K369" s="141">
        <f>IFERROR(VLOOKUP($B369,calc_data,K$14+1,0),0)</f>
        <v/>
      </c>
      <c r="L369" s="141">
        <f>IFERROR(VLOOKUP($B369,calc_data,L$14+1,0),0)</f>
        <v/>
      </c>
      <c r="M369" s="177">
        <f>IFERROR(VLOOKUP($B369,calc_data,M$14+1,0),0)</f>
        <v/>
      </c>
      <c r="N369" s="177">
        <f>IFERROR(VLOOKUP($B369,calc_data,N$14+1,0),0)</f>
        <v/>
      </c>
      <c r="O369" s="45" t="n"/>
      <c r="Q369" s="57">
        <f>IF(K369&gt;0,"показать","скрыть")</f>
        <v/>
      </c>
    </row>
    <row r="370" ht="15.75" customHeight="1">
      <c r="B370" s="182" t="n">
        <v>354</v>
      </c>
      <c r="C370" s="182">
        <f>IFERROR(VLOOKUP($B370,calc_data,C$14+1,0),0)</f>
        <v/>
      </c>
      <c r="D370" s="182">
        <f>IFERROR(VLOOKUP($B370,calc_data,D$14+1,0),0)</f>
        <v/>
      </c>
      <c r="E370" s="183">
        <f>IFERROR(VLOOKUP($B370,calc_data,E$14+1,0),0)</f>
        <v/>
      </c>
      <c r="F370" s="182">
        <f>IFERROR(VLOOKUP($B370,calc_data,F$14+1,0),0)</f>
        <v/>
      </c>
      <c r="G370" s="141">
        <f>IFERROR(VLOOKUP($B370,calc_data,G$14+1,0),0)</f>
        <v/>
      </c>
      <c r="H370" s="141">
        <f>IFERROR(VLOOKUP($B370,calc_data,H$14+1,0),0)</f>
        <v/>
      </c>
      <c r="I370" s="142">
        <f>IFERROR(VLOOKUP($B370,calc_data,I$14+1,0),0)</f>
        <v/>
      </c>
      <c r="J370" s="141">
        <f>IFERROR(VLOOKUP($B370,calc_data,J$14+1,0),0)</f>
        <v/>
      </c>
      <c r="K370" s="141">
        <f>IFERROR(VLOOKUP($B370,calc_data,K$14+1,0),0)</f>
        <v/>
      </c>
      <c r="L370" s="141">
        <f>IFERROR(VLOOKUP($B370,calc_data,L$14+1,0),0)</f>
        <v/>
      </c>
      <c r="M370" s="177">
        <f>IFERROR(VLOOKUP($B370,calc_data,M$14+1,0),0)</f>
        <v/>
      </c>
      <c r="N370" s="177">
        <f>IFERROR(VLOOKUP($B370,calc_data,N$14+1,0),0)</f>
        <v/>
      </c>
      <c r="O370" s="45" t="n"/>
      <c r="Q370" s="57">
        <f>IF(K370&gt;0,"показать","скрыть")</f>
        <v/>
      </c>
    </row>
    <row r="371" ht="15.75" customHeight="1">
      <c r="B371" s="182" t="n">
        <v>355</v>
      </c>
      <c r="C371" s="182">
        <f>IFERROR(VLOOKUP($B371,calc_data,C$14+1,0),0)</f>
        <v/>
      </c>
      <c r="D371" s="182">
        <f>IFERROR(VLOOKUP($B371,calc_data,D$14+1,0),0)</f>
        <v/>
      </c>
      <c r="E371" s="183">
        <f>IFERROR(VLOOKUP($B371,calc_data,E$14+1,0),0)</f>
        <v/>
      </c>
      <c r="F371" s="182">
        <f>IFERROR(VLOOKUP($B371,calc_data,F$14+1,0),0)</f>
        <v/>
      </c>
      <c r="G371" s="141">
        <f>IFERROR(VLOOKUP($B371,calc_data,G$14+1,0),0)</f>
        <v/>
      </c>
      <c r="H371" s="141">
        <f>IFERROR(VLOOKUP($B371,calc_data,H$14+1,0),0)</f>
        <v/>
      </c>
      <c r="I371" s="142">
        <f>IFERROR(VLOOKUP($B371,calc_data,I$14+1,0),0)</f>
        <v/>
      </c>
      <c r="J371" s="141">
        <f>IFERROR(VLOOKUP($B371,calc_data,J$14+1,0),0)</f>
        <v/>
      </c>
      <c r="K371" s="141">
        <f>IFERROR(VLOOKUP($B371,calc_data,K$14+1,0),0)</f>
        <v/>
      </c>
      <c r="L371" s="141">
        <f>IFERROR(VLOOKUP($B371,calc_data,L$14+1,0),0)</f>
        <v/>
      </c>
      <c r="M371" s="177">
        <f>IFERROR(VLOOKUP($B371,calc_data,M$14+1,0),0)</f>
        <v/>
      </c>
      <c r="N371" s="177">
        <f>IFERROR(VLOOKUP($B371,calc_data,N$14+1,0),0)</f>
        <v/>
      </c>
      <c r="O371" s="45" t="n"/>
      <c r="Q371" s="57">
        <f>IF(K371&gt;0,"показать","скрыть")</f>
        <v/>
      </c>
    </row>
    <row r="372" ht="15.75" customHeight="1">
      <c r="B372" s="182" t="n">
        <v>356</v>
      </c>
      <c r="C372" s="182">
        <f>IFERROR(VLOOKUP($B372,calc_data,C$14+1,0),0)</f>
        <v/>
      </c>
      <c r="D372" s="182">
        <f>IFERROR(VLOOKUP($B372,calc_data,D$14+1,0),0)</f>
        <v/>
      </c>
      <c r="E372" s="183">
        <f>IFERROR(VLOOKUP($B372,calc_data,E$14+1,0),0)</f>
        <v/>
      </c>
      <c r="F372" s="182">
        <f>IFERROR(VLOOKUP($B372,calc_data,F$14+1,0),0)</f>
        <v/>
      </c>
      <c r="G372" s="141">
        <f>IFERROR(VLOOKUP($B372,calc_data,G$14+1,0),0)</f>
        <v/>
      </c>
      <c r="H372" s="141">
        <f>IFERROR(VLOOKUP($B372,calc_data,H$14+1,0),0)</f>
        <v/>
      </c>
      <c r="I372" s="142">
        <f>IFERROR(VLOOKUP($B372,calc_data,I$14+1,0),0)</f>
        <v/>
      </c>
      <c r="J372" s="141">
        <f>IFERROR(VLOOKUP($B372,calc_data,J$14+1,0),0)</f>
        <v/>
      </c>
      <c r="K372" s="141">
        <f>IFERROR(VLOOKUP($B372,calc_data,K$14+1,0),0)</f>
        <v/>
      </c>
      <c r="L372" s="141">
        <f>IFERROR(VLOOKUP($B372,calc_data,L$14+1,0),0)</f>
        <v/>
      </c>
      <c r="M372" s="177">
        <f>IFERROR(VLOOKUP($B372,calc_data,M$14+1,0),0)</f>
        <v/>
      </c>
      <c r="N372" s="177">
        <f>IFERROR(VLOOKUP($B372,calc_data,N$14+1,0),0)</f>
        <v/>
      </c>
      <c r="O372" s="45" t="n"/>
      <c r="Q372" s="57">
        <f>IF(K372&gt;0,"показать","скрыть")</f>
        <v/>
      </c>
    </row>
    <row r="373" ht="15.75" customHeight="1">
      <c r="B373" s="182" t="n">
        <v>357</v>
      </c>
      <c r="C373" s="182">
        <f>IFERROR(VLOOKUP($B373,calc_data,C$14+1,0),0)</f>
        <v/>
      </c>
      <c r="D373" s="182">
        <f>IFERROR(VLOOKUP($B373,calc_data,D$14+1,0),0)</f>
        <v/>
      </c>
      <c r="E373" s="183">
        <f>IFERROR(VLOOKUP($B373,calc_data,E$14+1,0),0)</f>
        <v/>
      </c>
      <c r="F373" s="182">
        <f>IFERROR(VLOOKUP($B373,calc_data,F$14+1,0),0)</f>
        <v/>
      </c>
      <c r="G373" s="141">
        <f>IFERROR(VLOOKUP($B373,calc_data,G$14+1,0),0)</f>
        <v/>
      </c>
      <c r="H373" s="141">
        <f>IFERROR(VLOOKUP($B373,calc_data,H$14+1,0),0)</f>
        <v/>
      </c>
      <c r="I373" s="142">
        <f>IFERROR(VLOOKUP($B373,calc_data,I$14+1,0),0)</f>
        <v/>
      </c>
      <c r="J373" s="141">
        <f>IFERROR(VLOOKUP($B373,calc_data,J$14+1,0),0)</f>
        <v/>
      </c>
      <c r="K373" s="141">
        <f>IFERROR(VLOOKUP($B373,calc_data,K$14+1,0),0)</f>
        <v/>
      </c>
      <c r="L373" s="141">
        <f>IFERROR(VLOOKUP($B373,calc_data,L$14+1,0),0)</f>
        <v/>
      </c>
      <c r="M373" s="177">
        <f>IFERROR(VLOOKUP($B373,calc_data,M$14+1,0),0)</f>
        <v/>
      </c>
      <c r="N373" s="177">
        <f>IFERROR(VLOOKUP($B373,calc_data,N$14+1,0),0)</f>
        <v/>
      </c>
      <c r="O373" s="45" t="n"/>
      <c r="Q373" s="57">
        <f>IF(K373&gt;0,"показать","скрыть")</f>
        <v/>
      </c>
    </row>
    <row r="374" ht="15.75" customHeight="1">
      <c r="B374" s="182" t="n">
        <v>358</v>
      </c>
      <c r="C374" s="182">
        <f>IFERROR(VLOOKUP($B374,calc_data,C$14+1,0),0)</f>
        <v/>
      </c>
      <c r="D374" s="182">
        <f>IFERROR(VLOOKUP($B374,calc_data,D$14+1,0),0)</f>
        <v/>
      </c>
      <c r="E374" s="183">
        <f>IFERROR(VLOOKUP($B374,calc_data,E$14+1,0),0)</f>
        <v/>
      </c>
      <c r="F374" s="182">
        <f>IFERROR(VLOOKUP($B374,calc_data,F$14+1,0),0)</f>
        <v/>
      </c>
      <c r="G374" s="141">
        <f>IFERROR(VLOOKUP($B374,calc_data,G$14+1,0),0)</f>
        <v/>
      </c>
      <c r="H374" s="141">
        <f>IFERROR(VLOOKUP($B374,calc_data,H$14+1,0),0)</f>
        <v/>
      </c>
      <c r="I374" s="142">
        <f>IFERROR(VLOOKUP($B374,calc_data,I$14+1,0),0)</f>
        <v/>
      </c>
      <c r="J374" s="141">
        <f>IFERROR(VLOOKUP($B374,calc_data,J$14+1,0),0)</f>
        <v/>
      </c>
      <c r="K374" s="141">
        <f>IFERROR(VLOOKUP($B374,calc_data,K$14+1,0),0)</f>
        <v/>
      </c>
      <c r="L374" s="141">
        <f>IFERROR(VLOOKUP($B374,calc_data,L$14+1,0),0)</f>
        <v/>
      </c>
      <c r="M374" s="177">
        <f>IFERROR(VLOOKUP($B374,calc_data,M$14+1,0),0)</f>
        <v/>
      </c>
      <c r="N374" s="177">
        <f>IFERROR(VLOOKUP($B374,calc_data,N$14+1,0),0)</f>
        <v/>
      </c>
      <c r="O374" s="45" t="n"/>
      <c r="Q374" s="57">
        <f>IF(K374&gt;0,"показать","скрыть")</f>
        <v/>
      </c>
    </row>
    <row r="375" ht="15.75" customHeight="1">
      <c r="B375" s="182" t="n">
        <v>359</v>
      </c>
      <c r="C375" s="182">
        <f>IFERROR(VLOOKUP($B375,calc_data,C$14+1,0),0)</f>
        <v/>
      </c>
      <c r="D375" s="182">
        <f>IFERROR(VLOOKUP($B375,calc_data,D$14+1,0),0)</f>
        <v/>
      </c>
      <c r="E375" s="183">
        <f>IFERROR(VLOOKUP($B375,calc_data,E$14+1,0),0)</f>
        <v/>
      </c>
      <c r="F375" s="182">
        <f>IFERROR(VLOOKUP($B375,calc_data,F$14+1,0),0)</f>
        <v/>
      </c>
      <c r="G375" s="141">
        <f>IFERROR(VLOOKUP($B375,calc_data,G$14+1,0),0)</f>
        <v/>
      </c>
      <c r="H375" s="141">
        <f>IFERROR(VLOOKUP($B375,calc_data,H$14+1,0),0)</f>
        <v/>
      </c>
      <c r="I375" s="142">
        <f>IFERROR(VLOOKUP($B375,calc_data,I$14+1,0),0)</f>
        <v/>
      </c>
      <c r="J375" s="141">
        <f>IFERROR(VLOOKUP($B375,calc_data,J$14+1,0),0)</f>
        <v/>
      </c>
      <c r="K375" s="141">
        <f>IFERROR(VLOOKUP($B375,calc_data,K$14+1,0),0)</f>
        <v/>
      </c>
      <c r="L375" s="141">
        <f>IFERROR(VLOOKUP($B375,calc_data,L$14+1,0),0)</f>
        <v/>
      </c>
      <c r="M375" s="177">
        <f>IFERROR(VLOOKUP($B375,calc_data,M$14+1,0),0)</f>
        <v/>
      </c>
      <c r="N375" s="177">
        <f>IFERROR(VLOOKUP($B375,calc_data,N$14+1,0),0)</f>
        <v/>
      </c>
      <c r="O375" s="45" t="n"/>
      <c r="Q375" s="57">
        <f>IF(K375&gt;0,"показать","скрыть")</f>
        <v/>
      </c>
    </row>
    <row r="376" ht="15.75" customHeight="1">
      <c r="B376" s="182" t="n">
        <v>360</v>
      </c>
      <c r="C376" s="182">
        <f>IFERROR(VLOOKUP($B376,calc_data,C$14+1,0),0)</f>
        <v/>
      </c>
      <c r="D376" s="182">
        <f>IFERROR(VLOOKUP($B376,calc_data,D$14+1,0),0)</f>
        <v/>
      </c>
      <c r="E376" s="183">
        <f>IFERROR(VLOOKUP($B376,calc_data,E$14+1,0),0)</f>
        <v/>
      </c>
      <c r="F376" s="182">
        <f>IFERROR(VLOOKUP($B376,calc_data,F$14+1,0),0)</f>
        <v/>
      </c>
      <c r="G376" s="141">
        <f>IFERROR(VLOOKUP($B376,calc_data,G$14+1,0),0)</f>
        <v/>
      </c>
      <c r="H376" s="141">
        <f>IFERROR(VLOOKUP($B376,calc_data,H$14+1,0),0)</f>
        <v/>
      </c>
      <c r="I376" s="142">
        <f>IFERROR(VLOOKUP($B376,calc_data,I$14+1,0),0)</f>
        <v/>
      </c>
      <c r="J376" s="141">
        <f>IFERROR(VLOOKUP($B376,calc_data,J$14+1,0),0)</f>
        <v/>
      </c>
      <c r="K376" s="141">
        <f>IFERROR(VLOOKUP($B376,calc_data,K$14+1,0),0)</f>
        <v/>
      </c>
      <c r="L376" s="141">
        <f>IFERROR(VLOOKUP($B376,calc_data,L$14+1,0),0)</f>
        <v/>
      </c>
      <c r="M376" s="177">
        <f>IFERROR(VLOOKUP($B376,calc_data,M$14+1,0),0)</f>
        <v/>
      </c>
      <c r="N376" s="177">
        <f>IFERROR(VLOOKUP($B376,calc_data,N$14+1,0),0)</f>
        <v/>
      </c>
      <c r="O376" s="45" t="n"/>
      <c r="Q376" s="57">
        <f>IF(K376&gt;0,"показать","скрыть")</f>
        <v/>
      </c>
    </row>
    <row r="377" ht="15.75" customHeight="1">
      <c r="B377" s="182" t="n">
        <v>361</v>
      </c>
      <c r="C377" s="182">
        <f>IFERROR(VLOOKUP($B377,calc_data,C$14+1,0),0)</f>
        <v/>
      </c>
      <c r="D377" s="182">
        <f>IFERROR(VLOOKUP($B377,calc_data,D$14+1,0),0)</f>
        <v/>
      </c>
      <c r="E377" s="183">
        <f>IFERROR(VLOOKUP($B377,calc_data,E$14+1,0),0)</f>
        <v/>
      </c>
      <c r="F377" s="182">
        <f>IFERROR(VLOOKUP($B377,calc_data,F$14+1,0),0)</f>
        <v/>
      </c>
      <c r="G377" s="141">
        <f>IFERROR(VLOOKUP($B377,calc_data,G$14+1,0),0)</f>
        <v/>
      </c>
      <c r="H377" s="141">
        <f>IFERROR(VLOOKUP($B377,calc_data,H$14+1,0),0)</f>
        <v/>
      </c>
      <c r="I377" s="142">
        <f>IFERROR(VLOOKUP($B377,calc_data,I$14+1,0),0)</f>
        <v/>
      </c>
      <c r="J377" s="141">
        <f>IFERROR(VLOOKUP($B377,calc_data,J$14+1,0),0)</f>
        <v/>
      </c>
      <c r="K377" s="141">
        <f>IFERROR(VLOOKUP($B377,calc_data,K$14+1,0),0)</f>
        <v/>
      </c>
      <c r="L377" s="141">
        <f>IFERROR(VLOOKUP($B377,calc_data,L$14+1,0),0)</f>
        <v/>
      </c>
      <c r="M377" s="177">
        <f>IFERROR(VLOOKUP($B377,calc_data,M$14+1,0),0)</f>
        <v/>
      </c>
      <c r="N377" s="177">
        <f>IFERROR(VLOOKUP($B377,calc_data,N$14+1,0),0)</f>
        <v/>
      </c>
      <c r="O377" s="45" t="n"/>
      <c r="Q377" s="57">
        <f>IF(K377&gt;0,"показать","скрыть")</f>
        <v/>
      </c>
    </row>
    <row r="378" ht="15.75" customHeight="1">
      <c r="B378" s="182" t="n">
        <v>362</v>
      </c>
      <c r="C378" s="182">
        <f>IFERROR(VLOOKUP($B378,calc_data,C$14+1,0),0)</f>
        <v/>
      </c>
      <c r="D378" s="182">
        <f>IFERROR(VLOOKUP($B378,calc_data,D$14+1,0),0)</f>
        <v/>
      </c>
      <c r="E378" s="183">
        <f>IFERROR(VLOOKUP($B378,calc_data,E$14+1,0),0)</f>
        <v/>
      </c>
      <c r="F378" s="182">
        <f>IFERROR(VLOOKUP($B378,calc_data,F$14+1,0),0)</f>
        <v/>
      </c>
      <c r="G378" s="141">
        <f>IFERROR(VLOOKUP($B378,calc_data,G$14+1,0),0)</f>
        <v/>
      </c>
      <c r="H378" s="141">
        <f>IFERROR(VLOOKUP($B378,calc_data,H$14+1,0),0)</f>
        <v/>
      </c>
      <c r="I378" s="142">
        <f>IFERROR(VLOOKUP($B378,calc_data,I$14+1,0),0)</f>
        <v/>
      </c>
      <c r="J378" s="141">
        <f>IFERROR(VLOOKUP($B378,calc_data,J$14+1,0),0)</f>
        <v/>
      </c>
      <c r="K378" s="141">
        <f>IFERROR(VLOOKUP($B378,calc_data,K$14+1,0),0)</f>
        <v/>
      </c>
      <c r="L378" s="141">
        <f>IFERROR(VLOOKUP($B378,calc_data,L$14+1,0),0)</f>
        <v/>
      </c>
      <c r="M378" s="177">
        <f>IFERROR(VLOOKUP($B378,calc_data,M$14+1,0),0)</f>
        <v/>
      </c>
      <c r="N378" s="177">
        <f>IFERROR(VLOOKUP($B378,calc_data,N$14+1,0),0)</f>
        <v/>
      </c>
      <c r="O378" s="45" t="n"/>
      <c r="Q378" s="57">
        <f>IF(K378&gt;0,"показать","скрыть")</f>
        <v/>
      </c>
    </row>
    <row r="379" ht="15.75" customHeight="1">
      <c r="B379" s="182" t="n">
        <v>363</v>
      </c>
      <c r="C379" s="182">
        <f>IFERROR(VLOOKUP($B379,calc_data,C$14+1,0),0)</f>
        <v/>
      </c>
      <c r="D379" s="182">
        <f>IFERROR(VLOOKUP($B379,calc_data,D$14+1,0),0)</f>
        <v/>
      </c>
      <c r="E379" s="183">
        <f>IFERROR(VLOOKUP($B379,calc_data,E$14+1,0),0)</f>
        <v/>
      </c>
      <c r="F379" s="182">
        <f>IFERROR(VLOOKUP($B379,calc_data,F$14+1,0),0)</f>
        <v/>
      </c>
      <c r="G379" s="141">
        <f>IFERROR(VLOOKUP($B379,calc_data,G$14+1,0),0)</f>
        <v/>
      </c>
      <c r="H379" s="141">
        <f>IFERROR(VLOOKUP($B379,calc_data,H$14+1,0),0)</f>
        <v/>
      </c>
      <c r="I379" s="142">
        <f>IFERROR(VLOOKUP($B379,calc_data,I$14+1,0),0)</f>
        <v/>
      </c>
      <c r="J379" s="141">
        <f>IFERROR(VLOOKUP($B379,calc_data,J$14+1,0),0)</f>
        <v/>
      </c>
      <c r="K379" s="141">
        <f>IFERROR(VLOOKUP($B379,calc_data,K$14+1,0),0)</f>
        <v/>
      </c>
      <c r="L379" s="141">
        <f>IFERROR(VLOOKUP($B379,calc_data,L$14+1,0),0)</f>
        <v/>
      </c>
      <c r="M379" s="177">
        <f>IFERROR(VLOOKUP($B379,calc_data,M$14+1,0),0)</f>
        <v/>
      </c>
      <c r="N379" s="177">
        <f>IFERROR(VLOOKUP($B379,calc_data,N$14+1,0),0)</f>
        <v/>
      </c>
      <c r="O379" s="45" t="n"/>
      <c r="Q379" s="57">
        <f>IF(K379&gt;0,"показать","скрыть")</f>
        <v/>
      </c>
    </row>
    <row r="380" ht="15.75" customHeight="1">
      <c r="B380" s="182" t="n">
        <v>364</v>
      </c>
      <c r="C380" s="182">
        <f>IFERROR(VLOOKUP($B380,calc_data,C$14+1,0),0)</f>
        <v/>
      </c>
      <c r="D380" s="182">
        <f>IFERROR(VLOOKUP($B380,calc_data,D$14+1,0),0)</f>
        <v/>
      </c>
      <c r="E380" s="183">
        <f>IFERROR(VLOOKUP($B380,calc_data,E$14+1,0),0)</f>
        <v/>
      </c>
      <c r="F380" s="182">
        <f>IFERROR(VLOOKUP($B380,calc_data,F$14+1,0),0)</f>
        <v/>
      </c>
      <c r="G380" s="141">
        <f>IFERROR(VLOOKUP($B380,calc_data,G$14+1,0),0)</f>
        <v/>
      </c>
      <c r="H380" s="141">
        <f>IFERROR(VLOOKUP($B380,calc_data,H$14+1,0),0)</f>
        <v/>
      </c>
      <c r="I380" s="142">
        <f>IFERROR(VLOOKUP($B380,calc_data,I$14+1,0),0)</f>
        <v/>
      </c>
      <c r="J380" s="141">
        <f>IFERROR(VLOOKUP($B380,calc_data,J$14+1,0),0)</f>
        <v/>
      </c>
      <c r="K380" s="141">
        <f>IFERROR(VLOOKUP($B380,calc_data,K$14+1,0),0)</f>
        <v/>
      </c>
      <c r="L380" s="141">
        <f>IFERROR(VLOOKUP($B380,calc_data,L$14+1,0),0)</f>
        <v/>
      </c>
      <c r="M380" s="177">
        <f>IFERROR(VLOOKUP($B380,calc_data,M$14+1,0),0)</f>
        <v/>
      </c>
      <c r="N380" s="177">
        <f>IFERROR(VLOOKUP($B380,calc_data,N$14+1,0),0)</f>
        <v/>
      </c>
      <c r="O380" s="45" t="n"/>
      <c r="Q380" s="57">
        <f>IF(K380&gt;0,"показать","скрыть")</f>
        <v/>
      </c>
    </row>
    <row r="381" ht="15.75" customHeight="1">
      <c r="B381" s="182" t="n">
        <v>365</v>
      </c>
      <c r="C381" s="182">
        <f>IFERROR(VLOOKUP($B381,calc_data,C$14+1,0),0)</f>
        <v/>
      </c>
      <c r="D381" s="182">
        <f>IFERROR(VLOOKUP($B381,calc_data,D$14+1,0),0)</f>
        <v/>
      </c>
      <c r="E381" s="183">
        <f>IFERROR(VLOOKUP($B381,calc_data,E$14+1,0),0)</f>
        <v/>
      </c>
      <c r="F381" s="182">
        <f>IFERROR(VLOOKUP($B381,calc_data,F$14+1,0),0)</f>
        <v/>
      </c>
      <c r="G381" s="141">
        <f>IFERROR(VLOOKUP($B381,calc_data,G$14+1,0),0)</f>
        <v/>
      </c>
      <c r="H381" s="141">
        <f>IFERROR(VLOOKUP($B381,calc_data,H$14+1,0),0)</f>
        <v/>
      </c>
      <c r="I381" s="142">
        <f>IFERROR(VLOOKUP($B381,calc_data,I$14+1,0),0)</f>
        <v/>
      </c>
      <c r="J381" s="141">
        <f>IFERROR(VLOOKUP($B381,calc_data,J$14+1,0),0)</f>
        <v/>
      </c>
      <c r="K381" s="141">
        <f>IFERROR(VLOOKUP($B381,calc_data,K$14+1,0),0)</f>
        <v/>
      </c>
      <c r="L381" s="141">
        <f>IFERROR(VLOOKUP($B381,calc_data,L$14+1,0),0)</f>
        <v/>
      </c>
      <c r="M381" s="177">
        <f>IFERROR(VLOOKUP($B381,calc_data,M$14+1,0),0)</f>
        <v/>
      </c>
      <c r="N381" s="177">
        <f>IFERROR(VLOOKUP($B381,calc_data,N$14+1,0),0)</f>
        <v/>
      </c>
      <c r="O381" s="45" t="n"/>
      <c r="Q381" s="57">
        <f>IF(K381&gt;0,"показать","скрыть")</f>
        <v/>
      </c>
    </row>
    <row r="382" ht="15.75" customHeight="1">
      <c r="B382" s="182" t="n">
        <v>366</v>
      </c>
      <c r="C382" s="182">
        <f>IFERROR(VLOOKUP($B382,calc_data,C$14+1,0),0)</f>
        <v/>
      </c>
      <c r="D382" s="182">
        <f>IFERROR(VLOOKUP($B382,calc_data,D$14+1,0),0)</f>
        <v/>
      </c>
      <c r="E382" s="183">
        <f>IFERROR(VLOOKUP($B382,calc_data,E$14+1,0),0)</f>
        <v/>
      </c>
      <c r="F382" s="182">
        <f>IFERROR(VLOOKUP($B382,calc_data,F$14+1,0),0)</f>
        <v/>
      </c>
      <c r="G382" s="141">
        <f>IFERROR(VLOOKUP($B382,calc_data,G$14+1,0),0)</f>
        <v/>
      </c>
      <c r="H382" s="141">
        <f>IFERROR(VLOOKUP($B382,calc_data,H$14+1,0),0)</f>
        <v/>
      </c>
      <c r="I382" s="142">
        <f>IFERROR(VLOOKUP($B382,calc_data,I$14+1,0),0)</f>
        <v/>
      </c>
      <c r="J382" s="141">
        <f>IFERROR(VLOOKUP($B382,calc_data,J$14+1,0),0)</f>
        <v/>
      </c>
      <c r="K382" s="141">
        <f>IFERROR(VLOOKUP($B382,calc_data,K$14+1,0),0)</f>
        <v/>
      </c>
      <c r="L382" s="141">
        <f>IFERROR(VLOOKUP($B382,calc_data,L$14+1,0),0)</f>
        <v/>
      </c>
      <c r="M382" s="177">
        <f>IFERROR(VLOOKUP($B382,calc_data,M$14+1,0),0)</f>
        <v/>
      </c>
      <c r="N382" s="177">
        <f>IFERROR(VLOOKUP($B382,calc_data,N$14+1,0),0)</f>
        <v/>
      </c>
      <c r="O382" s="45" t="n"/>
      <c r="Q382" s="57">
        <f>IF(K382&gt;0,"показать","скрыть")</f>
        <v/>
      </c>
    </row>
    <row r="383" ht="15.75" customHeight="1">
      <c r="B383" s="182" t="n">
        <v>367</v>
      </c>
      <c r="C383" s="182">
        <f>IFERROR(VLOOKUP($B383,calc_data,C$14+1,0),0)</f>
        <v/>
      </c>
      <c r="D383" s="182">
        <f>IFERROR(VLOOKUP($B383,calc_data,D$14+1,0),0)</f>
        <v/>
      </c>
      <c r="E383" s="183">
        <f>IFERROR(VLOOKUP($B383,calc_data,E$14+1,0),0)</f>
        <v/>
      </c>
      <c r="F383" s="182">
        <f>IFERROR(VLOOKUP($B383,calc_data,F$14+1,0),0)</f>
        <v/>
      </c>
      <c r="G383" s="141">
        <f>IFERROR(VLOOKUP($B383,calc_data,G$14+1,0),0)</f>
        <v/>
      </c>
      <c r="H383" s="141">
        <f>IFERROR(VLOOKUP($B383,calc_data,H$14+1,0),0)</f>
        <v/>
      </c>
      <c r="I383" s="142">
        <f>IFERROR(VLOOKUP($B383,calc_data,I$14+1,0),0)</f>
        <v/>
      </c>
      <c r="J383" s="141">
        <f>IFERROR(VLOOKUP($B383,calc_data,J$14+1,0),0)</f>
        <v/>
      </c>
      <c r="K383" s="141">
        <f>IFERROR(VLOOKUP($B383,calc_data,K$14+1,0),0)</f>
        <v/>
      </c>
      <c r="L383" s="141">
        <f>IFERROR(VLOOKUP($B383,calc_data,L$14+1,0),0)</f>
        <v/>
      </c>
      <c r="M383" s="177">
        <f>IFERROR(VLOOKUP($B383,calc_data,M$14+1,0),0)</f>
        <v/>
      </c>
      <c r="N383" s="177">
        <f>IFERROR(VLOOKUP($B383,calc_data,N$14+1,0),0)</f>
        <v/>
      </c>
      <c r="O383" s="45" t="n"/>
      <c r="Q383" s="57">
        <f>IF(K383&gt;0,"показать","скрыть")</f>
        <v/>
      </c>
    </row>
    <row r="384" ht="15.75" customHeight="1">
      <c r="B384" s="182" t="n">
        <v>368</v>
      </c>
      <c r="C384" s="182">
        <f>IFERROR(VLOOKUP($B384,calc_data,C$14+1,0),0)</f>
        <v/>
      </c>
      <c r="D384" s="182">
        <f>IFERROR(VLOOKUP($B384,calc_data,D$14+1,0),0)</f>
        <v/>
      </c>
      <c r="E384" s="183">
        <f>IFERROR(VLOOKUP($B384,calc_data,E$14+1,0),0)</f>
        <v/>
      </c>
      <c r="F384" s="182">
        <f>IFERROR(VLOOKUP($B384,calc_data,F$14+1,0),0)</f>
        <v/>
      </c>
      <c r="G384" s="141">
        <f>IFERROR(VLOOKUP($B384,calc_data,G$14+1,0),0)</f>
        <v/>
      </c>
      <c r="H384" s="141">
        <f>IFERROR(VLOOKUP($B384,calc_data,H$14+1,0),0)</f>
        <v/>
      </c>
      <c r="I384" s="142">
        <f>IFERROR(VLOOKUP($B384,calc_data,I$14+1,0),0)</f>
        <v/>
      </c>
      <c r="J384" s="141">
        <f>IFERROR(VLOOKUP($B384,calc_data,J$14+1,0),0)</f>
        <v/>
      </c>
      <c r="K384" s="141">
        <f>IFERROR(VLOOKUP($B384,calc_data,K$14+1,0),0)</f>
        <v/>
      </c>
      <c r="L384" s="141">
        <f>IFERROR(VLOOKUP($B384,calc_data,L$14+1,0),0)</f>
        <v/>
      </c>
      <c r="M384" s="177">
        <f>IFERROR(VLOOKUP($B384,calc_data,M$14+1,0),0)</f>
        <v/>
      </c>
      <c r="N384" s="177">
        <f>IFERROR(VLOOKUP($B384,calc_data,N$14+1,0),0)</f>
        <v/>
      </c>
      <c r="O384" s="45" t="n"/>
      <c r="Q384" s="57">
        <f>IF(K384&gt;0,"показать","скрыть")</f>
        <v/>
      </c>
    </row>
    <row r="385" ht="15.75" customHeight="1">
      <c r="B385" s="182" t="n">
        <v>369</v>
      </c>
      <c r="C385" s="182">
        <f>IFERROR(VLOOKUP($B385,calc_data,C$14+1,0),0)</f>
        <v/>
      </c>
      <c r="D385" s="182">
        <f>IFERROR(VLOOKUP($B385,calc_data,D$14+1,0),0)</f>
        <v/>
      </c>
      <c r="E385" s="183">
        <f>IFERROR(VLOOKUP($B385,calc_data,E$14+1,0),0)</f>
        <v/>
      </c>
      <c r="F385" s="182">
        <f>IFERROR(VLOOKUP($B385,calc_data,F$14+1,0),0)</f>
        <v/>
      </c>
      <c r="G385" s="141">
        <f>IFERROR(VLOOKUP($B385,calc_data,G$14+1,0),0)</f>
        <v/>
      </c>
      <c r="H385" s="141">
        <f>IFERROR(VLOOKUP($B385,calc_data,H$14+1,0),0)</f>
        <v/>
      </c>
      <c r="I385" s="142">
        <f>IFERROR(VLOOKUP($B385,calc_data,I$14+1,0),0)</f>
        <v/>
      </c>
      <c r="J385" s="141">
        <f>IFERROR(VLOOKUP($B385,calc_data,J$14+1,0),0)</f>
        <v/>
      </c>
      <c r="K385" s="141">
        <f>IFERROR(VLOOKUP($B385,calc_data,K$14+1,0),0)</f>
        <v/>
      </c>
      <c r="L385" s="141">
        <f>IFERROR(VLOOKUP($B385,calc_data,L$14+1,0),0)</f>
        <v/>
      </c>
      <c r="M385" s="177">
        <f>IFERROR(VLOOKUP($B385,calc_data,M$14+1,0),0)</f>
        <v/>
      </c>
      <c r="N385" s="177">
        <f>IFERROR(VLOOKUP($B385,calc_data,N$14+1,0),0)</f>
        <v/>
      </c>
      <c r="O385" s="45" t="n"/>
      <c r="Q385" s="57">
        <f>IF(K385&gt;0,"показать","скрыть")</f>
        <v/>
      </c>
    </row>
    <row r="386" ht="15.75" customHeight="1">
      <c r="B386" s="182" t="n">
        <v>370</v>
      </c>
      <c r="C386" s="182">
        <f>IFERROR(VLOOKUP($B386,calc_data,C$14+1,0),0)</f>
        <v/>
      </c>
      <c r="D386" s="182">
        <f>IFERROR(VLOOKUP($B386,calc_data,D$14+1,0),0)</f>
        <v/>
      </c>
      <c r="E386" s="183">
        <f>IFERROR(VLOOKUP($B386,calc_data,E$14+1,0),0)</f>
        <v/>
      </c>
      <c r="F386" s="182">
        <f>IFERROR(VLOOKUP($B386,calc_data,F$14+1,0),0)</f>
        <v/>
      </c>
      <c r="G386" s="141">
        <f>IFERROR(VLOOKUP($B386,calc_data,G$14+1,0),0)</f>
        <v/>
      </c>
      <c r="H386" s="141">
        <f>IFERROR(VLOOKUP($B386,calc_data,H$14+1,0),0)</f>
        <v/>
      </c>
      <c r="I386" s="142">
        <f>IFERROR(VLOOKUP($B386,calc_data,I$14+1,0),0)</f>
        <v/>
      </c>
      <c r="J386" s="141">
        <f>IFERROR(VLOOKUP($B386,calc_data,J$14+1,0),0)</f>
        <v/>
      </c>
      <c r="K386" s="141">
        <f>IFERROR(VLOOKUP($B386,calc_data,K$14+1,0),0)</f>
        <v/>
      </c>
      <c r="L386" s="141">
        <f>IFERROR(VLOOKUP($B386,calc_data,L$14+1,0),0)</f>
        <v/>
      </c>
      <c r="M386" s="177">
        <f>IFERROR(VLOOKUP($B386,calc_data,M$14+1,0),0)</f>
        <v/>
      </c>
      <c r="N386" s="177">
        <f>IFERROR(VLOOKUP($B386,calc_data,N$14+1,0),0)</f>
        <v/>
      </c>
      <c r="O386" s="45" t="n"/>
      <c r="Q386" s="57">
        <f>IF(K386&gt;0,"показать","скрыть")</f>
        <v/>
      </c>
    </row>
    <row r="387" ht="15.75" customHeight="1">
      <c r="B387" s="182" t="n">
        <v>371</v>
      </c>
      <c r="C387" s="182">
        <f>IFERROR(VLOOKUP($B387,calc_data,C$14+1,0),0)</f>
        <v/>
      </c>
      <c r="D387" s="182">
        <f>IFERROR(VLOOKUP($B387,calc_data,D$14+1,0),0)</f>
        <v/>
      </c>
      <c r="E387" s="183">
        <f>IFERROR(VLOOKUP($B387,calc_data,E$14+1,0),0)</f>
        <v/>
      </c>
      <c r="F387" s="182">
        <f>IFERROR(VLOOKUP($B387,calc_data,F$14+1,0),0)</f>
        <v/>
      </c>
      <c r="G387" s="141">
        <f>IFERROR(VLOOKUP($B387,calc_data,G$14+1,0),0)</f>
        <v/>
      </c>
      <c r="H387" s="141">
        <f>IFERROR(VLOOKUP($B387,calc_data,H$14+1,0),0)</f>
        <v/>
      </c>
      <c r="I387" s="142">
        <f>IFERROR(VLOOKUP($B387,calc_data,I$14+1,0),0)</f>
        <v/>
      </c>
      <c r="J387" s="141">
        <f>IFERROR(VLOOKUP($B387,calc_data,J$14+1,0),0)</f>
        <v/>
      </c>
      <c r="K387" s="141">
        <f>IFERROR(VLOOKUP($B387,calc_data,K$14+1,0),0)</f>
        <v/>
      </c>
      <c r="L387" s="141">
        <f>IFERROR(VLOOKUP($B387,calc_data,L$14+1,0),0)</f>
        <v/>
      </c>
      <c r="M387" s="177">
        <f>IFERROR(VLOOKUP($B387,calc_data,M$14+1,0),0)</f>
        <v/>
      </c>
      <c r="N387" s="177">
        <f>IFERROR(VLOOKUP($B387,calc_data,N$14+1,0),0)</f>
        <v/>
      </c>
      <c r="O387" s="45" t="n"/>
      <c r="Q387" s="57">
        <f>IF(K387&gt;0,"показать","скрыть")</f>
        <v/>
      </c>
    </row>
    <row r="388" ht="15.75" customHeight="1">
      <c r="B388" s="182" t="n">
        <v>372</v>
      </c>
      <c r="C388" s="182">
        <f>IFERROR(VLOOKUP($B388,calc_data,C$14+1,0),0)</f>
        <v/>
      </c>
      <c r="D388" s="182">
        <f>IFERROR(VLOOKUP($B388,calc_data,D$14+1,0),0)</f>
        <v/>
      </c>
      <c r="E388" s="183">
        <f>IFERROR(VLOOKUP($B388,calc_data,E$14+1,0),0)</f>
        <v/>
      </c>
      <c r="F388" s="182">
        <f>IFERROR(VLOOKUP($B388,calc_data,F$14+1,0),0)</f>
        <v/>
      </c>
      <c r="G388" s="141">
        <f>IFERROR(VLOOKUP($B388,calc_data,G$14+1,0),0)</f>
        <v/>
      </c>
      <c r="H388" s="141">
        <f>IFERROR(VLOOKUP($B388,calc_data,H$14+1,0),0)</f>
        <v/>
      </c>
      <c r="I388" s="142">
        <f>IFERROR(VLOOKUP($B388,calc_data,I$14+1,0),0)</f>
        <v/>
      </c>
      <c r="J388" s="141">
        <f>IFERROR(VLOOKUP($B388,calc_data,J$14+1,0),0)</f>
        <v/>
      </c>
      <c r="K388" s="141">
        <f>IFERROR(VLOOKUP($B388,calc_data,K$14+1,0),0)</f>
        <v/>
      </c>
      <c r="L388" s="141">
        <f>IFERROR(VLOOKUP($B388,calc_data,L$14+1,0),0)</f>
        <v/>
      </c>
      <c r="M388" s="177">
        <f>IFERROR(VLOOKUP($B388,calc_data,M$14+1,0),0)</f>
        <v/>
      </c>
      <c r="N388" s="177">
        <f>IFERROR(VLOOKUP($B388,calc_data,N$14+1,0),0)</f>
        <v/>
      </c>
      <c r="O388" s="45" t="n"/>
      <c r="Q388" s="57">
        <f>IF(K388&gt;0,"показать","скрыть")</f>
        <v/>
      </c>
    </row>
    <row r="389" ht="15.75" customHeight="1">
      <c r="B389" s="182" t="n">
        <v>373</v>
      </c>
      <c r="C389" s="182">
        <f>IFERROR(VLOOKUP($B389,calc_data,C$14+1,0),0)</f>
        <v/>
      </c>
      <c r="D389" s="182">
        <f>IFERROR(VLOOKUP($B389,calc_data,D$14+1,0),0)</f>
        <v/>
      </c>
      <c r="E389" s="183">
        <f>IFERROR(VLOOKUP($B389,calc_data,E$14+1,0),0)</f>
        <v/>
      </c>
      <c r="F389" s="182">
        <f>IFERROR(VLOOKUP($B389,calc_data,F$14+1,0),0)</f>
        <v/>
      </c>
      <c r="G389" s="141">
        <f>IFERROR(VLOOKUP($B389,calc_data,G$14+1,0),0)</f>
        <v/>
      </c>
      <c r="H389" s="141">
        <f>IFERROR(VLOOKUP($B389,calc_data,H$14+1,0),0)</f>
        <v/>
      </c>
      <c r="I389" s="142">
        <f>IFERROR(VLOOKUP($B389,calc_data,I$14+1,0),0)</f>
        <v/>
      </c>
      <c r="J389" s="141">
        <f>IFERROR(VLOOKUP($B389,calc_data,J$14+1,0),0)</f>
        <v/>
      </c>
      <c r="K389" s="141">
        <f>IFERROR(VLOOKUP($B389,calc_data,K$14+1,0),0)</f>
        <v/>
      </c>
      <c r="L389" s="141">
        <f>IFERROR(VLOOKUP($B389,calc_data,L$14+1,0),0)</f>
        <v/>
      </c>
      <c r="M389" s="177">
        <f>IFERROR(VLOOKUP($B389,calc_data,M$14+1,0),0)</f>
        <v/>
      </c>
      <c r="N389" s="177">
        <f>IFERROR(VLOOKUP($B389,calc_data,N$14+1,0),0)</f>
        <v/>
      </c>
      <c r="O389" s="45" t="n"/>
      <c r="Q389" s="57">
        <f>IF(K389&gt;0,"показать","скрыть")</f>
        <v/>
      </c>
    </row>
    <row r="390" ht="15.75" customHeight="1">
      <c r="B390" s="182" t="n">
        <v>374</v>
      </c>
      <c r="C390" s="182">
        <f>IFERROR(VLOOKUP($B390,calc_data,C$14+1,0),0)</f>
        <v/>
      </c>
      <c r="D390" s="182">
        <f>IFERROR(VLOOKUP($B390,calc_data,D$14+1,0),0)</f>
        <v/>
      </c>
      <c r="E390" s="183">
        <f>IFERROR(VLOOKUP($B390,calc_data,E$14+1,0),0)</f>
        <v/>
      </c>
      <c r="F390" s="182">
        <f>IFERROR(VLOOKUP($B390,calc_data,F$14+1,0),0)</f>
        <v/>
      </c>
      <c r="G390" s="141">
        <f>IFERROR(VLOOKUP($B390,calc_data,G$14+1,0),0)</f>
        <v/>
      </c>
      <c r="H390" s="141">
        <f>IFERROR(VLOOKUP($B390,calc_data,H$14+1,0),0)</f>
        <v/>
      </c>
      <c r="I390" s="142">
        <f>IFERROR(VLOOKUP($B390,calc_data,I$14+1,0),0)</f>
        <v/>
      </c>
      <c r="J390" s="141">
        <f>IFERROR(VLOOKUP($B390,calc_data,J$14+1,0),0)</f>
        <v/>
      </c>
      <c r="K390" s="141">
        <f>IFERROR(VLOOKUP($B390,calc_data,K$14+1,0),0)</f>
        <v/>
      </c>
      <c r="L390" s="141">
        <f>IFERROR(VLOOKUP($B390,calc_data,L$14+1,0),0)</f>
        <v/>
      </c>
      <c r="M390" s="177">
        <f>IFERROR(VLOOKUP($B390,calc_data,M$14+1,0),0)</f>
        <v/>
      </c>
      <c r="N390" s="177">
        <f>IFERROR(VLOOKUP($B390,calc_data,N$14+1,0),0)</f>
        <v/>
      </c>
      <c r="O390" s="45" t="n"/>
      <c r="Q390" s="57">
        <f>IF(K390&gt;0,"показать","скрыть")</f>
        <v/>
      </c>
    </row>
    <row r="391" ht="15.75" customHeight="1">
      <c r="B391" s="182" t="n">
        <v>375</v>
      </c>
      <c r="C391" s="182">
        <f>IFERROR(VLOOKUP($B391,calc_data,C$14+1,0),0)</f>
        <v/>
      </c>
      <c r="D391" s="182">
        <f>IFERROR(VLOOKUP($B391,calc_data,D$14+1,0),0)</f>
        <v/>
      </c>
      <c r="E391" s="183">
        <f>IFERROR(VLOOKUP($B391,calc_data,E$14+1,0),0)</f>
        <v/>
      </c>
      <c r="F391" s="182">
        <f>IFERROR(VLOOKUP($B391,calc_data,F$14+1,0),0)</f>
        <v/>
      </c>
      <c r="G391" s="141">
        <f>IFERROR(VLOOKUP($B391,calc_data,G$14+1,0),0)</f>
        <v/>
      </c>
      <c r="H391" s="141">
        <f>IFERROR(VLOOKUP($B391,calc_data,H$14+1,0),0)</f>
        <v/>
      </c>
      <c r="I391" s="142">
        <f>IFERROR(VLOOKUP($B391,calc_data,I$14+1,0),0)</f>
        <v/>
      </c>
      <c r="J391" s="141">
        <f>IFERROR(VLOOKUP($B391,calc_data,J$14+1,0),0)</f>
        <v/>
      </c>
      <c r="K391" s="141">
        <f>IFERROR(VLOOKUP($B391,calc_data,K$14+1,0),0)</f>
        <v/>
      </c>
      <c r="L391" s="141">
        <f>IFERROR(VLOOKUP($B391,calc_data,L$14+1,0),0)</f>
        <v/>
      </c>
      <c r="M391" s="177">
        <f>IFERROR(VLOOKUP($B391,calc_data,M$14+1,0),0)</f>
        <v/>
      </c>
      <c r="N391" s="177">
        <f>IFERROR(VLOOKUP($B391,calc_data,N$14+1,0),0)</f>
        <v/>
      </c>
      <c r="O391" s="45" t="n"/>
      <c r="Q391" s="57">
        <f>IF(K391&gt;0,"показать","скрыть")</f>
        <v/>
      </c>
    </row>
    <row r="392" ht="15.75" customHeight="1">
      <c r="B392" s="182" t="n">
        <v>376</v>
      </c>
      <c r="C392" s="182">
        <f>IFERROR(VLOOKUP($B392,calc_data,C$14+1,0),0)</f>
        <v/>
      </c>
      <c r="D392" s="182">
        <f>IFERROR(VLOOKUP($B392,calc_data,D$14+1,0),0)</f>
        <v/>
      </c>
      <c r="E392" s="183">
        <f>IFERROR(VLOOKUP($B392,calc_data,E$14+1,0),0)</f>
        <v/>
      </c>
      <c r="F392" s="182">
        <f>IFERROR(VLOOKUP($B392,calc_data,F$14+1,0),0)</f>
        <v/>
      </c>
      <c r="G392" s="141">
        <f>IFERROR(VLOOKUP($B392,calc_data,G$14+1,0),0)</f>
        <v/>
      </c>
      <c r="H392" s="141">
        <f>IFERROR(VLOOKUP($B392,calc_data,H$14+1,0),0)</f>
        <v/>
      </c>
      <c r="I392" s="142">
        <f>IFERROR(VLOOKUP($B392,calc_data,I$14+1,0),0)</f>
        <v/>
      </c>
      <c r="J392" s="141">
        <f>IFERROR(VLOOKUP($B392,calc_data,J$14+1,0),0)</f>
        <v/>
      </c>
      <c r="K392" s="141">
        <f>IFERROR(VLOOKUP($B392,calc_data,K$14+1,0),0)</f>
        <v/>
      </c>
      <c r="L392" s="141">
        <f>IFERROR(VLOOKUP($B392,calc_data,L$14+1,0),0)</f>
        <v/>
      </c>
      <c r="M392" s="177">
        <f>IFERROR(VLOOKUP($B392,calc_data,M$14+1,0),0)</f>
        <v/>
      </c>
      <c r="N392" s="177">
        <f>IFERROR(VLOOKUP($B392,calc_data,N$14+1,0),0)</f>
        <v/>
      </c>
      <c r="O392" s="45" t="n"/>
      <c r="Q392" s="57">
        <f>IF(K392&gt;0,"показать","скрыть")</f>
        <v/>
      </c>
    </row>
    <row r="393" ht="15.75" customHeight="1">
      <c r="B393" s="182" t="n">
        <v>377</v>
      </c>
      <c r="C393" s="182">
        <f>IFERROR(VLOOKUP($B393,calc_data,C$14+1,0),0)</f>
        <v/>
      </c>
      <c r="D393" s="182">
        <f>IFERROR(VLOOKUP($B393,calc_data,D$14+1,0),0)</f>
        <v/>
      </c>
      <c r="E393" s="183">
        <f>IFERROR(VLOOKUP($B393,calc_data,E$14+1,0),0)</f>
        <v/>
      </c>
      <c r="F393" s="182">
        <f>IFERROR(VLOOKUP($B393,calc_data,F$14+1,0),0)</f>
        <v/>
      </c>
      <c r="G393" s="141">
        <f>IFERROR(VLOOKUP($B393,calc_data,G$14+1,0),0)</f>
        <v/>
      </c>
      <c r="H393" s="141">
        <f>IFERROR(VLOOKUP($B393,calc_data,H$14+1,0),0)</f>
        <v/>
      </c>
      <c r="I393" s="142">
        <f>IFERROR(VLOOKUP($B393,calc_data,I$14+1,0),0)</f>
        <v/>
      </c>
      <c r="J393" s="141">
        <f>IFERROR(VLOOKUP($B393,calc_data,J$14+1,0),0)</f>
        <v/>
      </c>
      <c r="K393" s="141">
        <f>IFERROR(VLOOKUP($B393,calc_data,K$14+1,0),0)</f>
        <v/>
      </c>
      <c r="L393" s="141">
        <f>IFERROR(VLOOKUP($B393,calc_data,L$14+1,0),0)</f>
        <v/>
      </c>
      <c r="M393" s="177">
        <f>IFERROR(VLOOKUP($B393,calc_data,M$14+1,0),0)</f>
        <v/>
      </c>
      <c r="N393" s="177">
        <f>IFERROR(VLOOKUP($B393,calc_data,N$14+1,0),0)</f>
        <v/>
      </c>
      <c r="O393" s="45" t="n"/>
      <c r="Q393" s="57">
        <f>IF(K393&gt;0,"показать","скрыть")</f>
        <v/>
      </c>
    </row>
    <row r="394" ht="15.75" customHeight="1">
      <c r="B394" s="182" t="n">
        <v>378</v>
      </c>
      <c r="C394" s="182">
        <f>IFERROR(VLOOKUP($B394,calc_data,C$14+1,0),0)</f>
        <v/>
      </c>
      <c r="D394" s="182">
        <f>IFERROR(VLOOKUP($B394,calc_data,D$14+1,0),0)</f>
        <v/>
      </c>
      <c r="E394" s="183">
        <f>IFERROR(VLOOKUP($B394,calc_data,E$14+1,0),0)</f>
        <v/>
      </c>
      <c r="F394" s="182">
        <f>IFERROR(VLOOKUP($B394,calc_data,F$14+1,0),0)</f>
        <v/>
      </c>
      <c r="G394" s="141">
        <f>IFERROR(VLOOKUP($B394,calc_data,G$14+1,0),0)</f>
        <v/>
      </c>
      <c r="H394" s="141">
        <f>IFERROR(VLOOKUP($B394,calc_data,H$14+1,0),0)</f>
        <v/>
      </c>
      <c r="I394" s="142">
        <f>IFERROR(VLOOKUP($B394,calc_data,I$14+1,0),0)</f>
        <v/>
      </c>
      <c r="J394" s="141">
        <f>IFERROR(VLOOKUP($B394,calc_data,J$14+1,0),0)</f>
        <v/>
      </c>
      <c r="K394" s="141">
        <f>IFERROR(VLOOKUP($B394,calc_data,K$14+1,0),0)</f>
        <v/>
      </c>
      <c r="L394" s="141">
        <f>IFERROR(VLOOKUP($B394,calc_data,L$14+1,0),0)</f>
        <v/>
      </c>
      <c r="M394" s="177">
        <f>IFERROR(VLOOKUP($B394,calc_data,M$14+1,0),0)</f>
        <v/>
      </c>
      <c r="N394" s="177">
        <f>IFERROR(VLOOKUP($B394,calc_data,N$14+1,0),0)</f>
        <v/>
      </c>
      <c r="O394" s="45" t="n"/>
      <c r="Q394" s="57">
        <f>IF(K394&gt;0,"показать","скрыть")</f>
        <v/>
      </c>
    </row>
    <row r="395" ht="15.75" customHeight="1">
      <c r="B395" s="182" t="n">
        <v>379</v>
      </c>
      <c r="C395" s="182">
        <f>IFERROR(VLOOKUP($B395,calc_data,C$14+1,0),0)</f>
        <v/>
      </c>
      <c r="D395" s="182">
        <f>IFERROR(VLOOKUP($B395,calc_data,D$14+1,0),0)</f>
        <v/>
      </c>
      <c r="E395" s="183">
        <f>IFERROR(VLOOKUP($B395,calc_data,E$14+1,0),0)</f>
        <v/>
      </c>
      <c r="F395" s="182">
        <f>IFERROR(VLOOKUP($B395,calc_data,F$14+1,0),0)</f>
        <v/>
      </c>
      <c r="G395" s="141">
        <f>IFERROR(VLOOKUP($B395,calc_data,G$14+1,0),0)</f>
        <v/>
      </c>
      <c r="H395" s="141">
        <f>IFERROR(VLOOKUP($B395,calc_data,H$14+1,0),0)</f>
        <v/>
      </c>
      <c r="I395" s="142">
        <f>IFERROR(VLOOKUP($B395,calc_data,I$14+1,0),0)</f>
        <v/>
      </c>
      <c r="J395" s="141">
        <f>IFERROR(VLOOKUP($B395,calc_data,J$14+1,0),0)</f>
        <v/>
      </c>
      <c r="K395" s="141">
        <f>IFERROR(VLOOKUP($B395,calc_data,K$14+1,0),0)</f>
        <v/>
      </c>
      <c r="L395" s="141">
        <f>IFERROR(VLOOKUP($B395,calc_data,L$14+1,0),0)</f>
        <v/>
      </c>
      <c r="M395" s="177">
        <f>IFERROR(VLOOKUP($B395,calc_data,M$14+1,0),0)</f>
        <v/>
      </c>
      <c r="N395" s="177">
        <f>IFERROR(VLOOKUP($B395,calc_data,N$14+1,0),0)</f>
        <v/>
      </c>
      <c r="O395" s="45" t="n"/>
      <c r="Q395" s="57">
        <f>IF(K395&gt;0,"показать","скрыть")</f>
        <v/>
      </c>
    </row>
    <row r="396" ht="15.75" customHeight="1">
      <c r="B396" s="182" t="n">
        <v>380</v>
      </c>
      <c r="C396" s="182">
        <f>IFERROR(VLOOKUP($B396,calc_data,C$14+1,0),0)</f>
        <v/>
      </c>
      <c r="D396" s="182">
        <f>IFERROR(VLOOKUP($B396,calc_data,D$14+1,0),0)</f>
        <v/>
      </c>
      <c r="E396" s="183">
        <f>IFERROR(VLOOKUP($B396,calc_data,E$14+1,0),0)</f>
        <v/>
      </c>
      <c r="F396" s="182">
        <f>IFERROR(VLOOKUP($B396,calc_data,F$14+1,0),0)</f>
        <v/>
      </c>
      <c r="G396" s="141">
        <f>IFERROR(VLOOKUP($B396,calc_data,G$14+1,0),0)</f>
        <v/>
      </c>
      <c r="H396" s="141">
        <f>IFERROR(VLOOKUP($B396,calc_data,H$14+1,0),0)</f>
        <v/>
      </c>
      <c r="I396" s="142">
        <f>IFERROR(VLOOKUP($B396,calc_data,I$14+1,0),0)</f>
        <v/>
      </c>
      <c r="J396" s="141">
        <f>IFERROR(VLOOKUP($B396,calc_data,J$14+1,0),0)</f>
        <v/>
      </c>
      <c r="K396" s="141">
        <f>IFERROR(VLOOKUP($B396,calc_data,K$14+1,0),0)</f>
        <v/>
      </c>
      <c r="L396" s="141">
        <f>IFERROR(VLOOKUP($B396,calc_data,L$14+1,0),0)</f>
        <v/>
      </c>
      <c r="M396" s="177">
        <f>IFERROR(VLOOKUP($B396,calc_data,M$14+1,0),0)</f>
        <v/>
      </c>
      <c r="N396" s="177">
        <f>IFERROR(VLOOKUP($B396,calc_data,N$14+1,0),0)</f>
        <v/>
      </c>
      <c r="O396" s="45" t="n"/>
      <c r="Q396" s="57">
        <f>IF(K396&gt;0,"показать","скрыть")</f>
        <v/>
      </c>
    </row>
    <row r="397" ht="15.75" customHeight="1">
      <c r="B397" s="182" t="n">
        <v>381</v>
      </c>
      <c r="C397" s="182">
        <f>IFERROR(VLOOKUP($B397,calc_data,C$14+1,0),0)</f>
        <v/>
      </c>
      <c r="D397" s="182">
        <f>IFERROR(VLOOKUP($B397,calc_data,D$14+1,0),0)</f>
        <v/>
      </c>
      <c r="E397" s="183">
        <f>IFERROR(VLOOKUP($B397,calc_data,E$14+1,0),0)</f>
        <v/>
      </c>
      <c r="F397" s="182">
        <f>IFERROR(VLOOKUP($B397,calc_data,F$14+1,0),0)</f>
        <v/>
      </c>
      <c r="G397" s="141">
        <f>IFERROR(VLOOKUP($B397,calc_data,G$14+1,0),0)</f>
        <v/>
      </c>
      <c r="H397" s="141">
        <f>IFERROR(VLOOKUP($B397,calc_data,H$14+1,0),0)</f>
        <v/>
      </c>
      <c r="I397" s="142">
        <f>IFERROR(VLOOKUP($B397,calc_data,I$14+1,0),0)</f>
        <v/>
      </c>
      <c r="J397" s="141">
        <f>IFERROR(VLOOKUP($B397,calc_data,J$14+1,0),0)</f>
        <v/>
      </c>
      <c r="K397" s="141">
        <f>IFERROR(VLOOKUP($B397,calc_data,K$14+1,0),0)</f>
        <v/>
      </c>
      <c r="L397" s="141">
        <f>IFERROR(VLOOKUP($B397,calc_data,L$14+1,0),0)</f>
        <v/>
      </c>
      <c r="M397" s="177">
        <f>IFERROR(VLOOKUP($B397,calc_data,M$14+1,0),0)</f>
        <v/>
      </c>
      <c r="N397" s="177">
        <f>IFERROR(VLOOKUP($B397,calc_data,N$14+1,0),0)</f>
        <v/>
      </c>
      <c r="O397" s="45" t="n"/>
      <c r="Q397" s="57">
        <f>IF(K397&gt;0,"показать","скрыть")</f>
        <v/>
      </c>
    </row>
    <row r="398" ht="15.75" customHeight="1">
      <c r="B398" s="182" t="n">
        <v>382</v>
      </c>
      <c r="C398" s="182">
        <f>IFERROR(VLOOKUP($B398,calc_data,C$14+1,0),0)</f>
        <v/>
      </c>
      <c r="D398" s="182">
        <f>IFERROR(VLOOKUP($B398,calc_data,D$14+1,0),0)</f>
        <v/>
      </c>
      <c r="E398" s="183">
        <f>IFERROR(VLOOKUP($B398,calc_data,E$14+1,0),0)</f>
        <v/>
      </c>
      <c r="F398" s="182">
        <f>IFERROR(VLOOKUP($B398,calc_data,F$14+1,0),0)</f>
        <v/>
      </c>
      <c r="G398" s="141">
        <f>IFERROR(VLOOKUP($B398,calc_data,G$14+1,0),0)</f>
        <v/>
      </c>
      <c r="H398" s="141">
        <f>IFERROR(VLOOKUP($B398,calc_data,H$14+1,0),0)</f>
        <v/>
      </c>
      <c r="I398" s="142">
        <f>IFERROR(VLOOKUP($B398,calc_data,I$14+1,0),0)</f>
        <v/>
      </c>
      <c r="J398" s="141">
        <f>IFERROR(VLOOKUP($B398,calc_data,J$14+1,0),0)</f>
        <v/>
      </c>
      <c r="K398" s="141">
        <f>IFERROR(VLOOKUP($B398,calc_data,K$14+1,0),0)</f>
        <v/>
      </c>
      <c r="L398" s="141">
        <f>IFERROR(VLOOKUP($B398,calc_data,L$14+1,0),0)</f>
        <v/>
      </c>
      <c r="M398" s="177">
        <f>IFERROR(VLOOKUP($B398,calc_data,M$14+1,0),0)</f>
        <v/>
      </c>
      <c r="N398" s="177">
        <f>IFERROR(VLOOKUP($B398,calc_data,N$14+1,0),0)</f>
        <v/>
      </c>
      <c r="O398" s="45" t="n"/>
      <c r="Q398" s="57">
        <f>IF(K398&gt;0,"показать","скрыть")</f>
        <v/>
      </c>
    </row>
    <row r="399" ht="15.75" customHeight="1">
      <c r="B399" s="182" t="n">
        <v>383</v>
      </c>
      <c r="C399" s="182">
        <f>IFERROR(VLOOKUP($B399,calc_data,C$14+1,0),0)</f>
        <v/>
      </c>
      <c r="D399" s="182">
        <f>IFERROR(VLOOKUP($B399,calc_data,D$14+1,0),0)</f>
        <v/>
      </c>
      <c r="E399" s="183">
        <f>IFERROR(VLOOKUP($B399,calc_data,E$14+1,0),0)</f>
        <v/>
      </c>
      <c r="F399" s="182">
        <f>IFERROR(VLOOKUP($B399,calc_data,F$14+1,0),0)</f>
        <v/>
      </c>
      <c r="G399" s="141">
        <f>IFERROR(VLOOKUP($B399,calc_data,G$14+1,0),0)</f>
        <v/>
      </c>
      <c r="H399" s="141">
        <f>IFERROR(VLOOKUP($B399,calc_data,H$14+1,0),0)</f>
        <v/>
      </c>
      <c r="I399" s="142">
        <f>IFERROR(VLOOKUP($B399,calc_data,I$14+1,0),0)</f>
        <v/>
      </c>
      <c r="J399" s="141">
        <f>IFERROR(VLOOKUP($B399,calc_data,J$14+1,0),0)</f>
        <v/>
      </c>
      <c r="K399" s="141">
        <f>IFERROR(VLOOKUP($B399,calc_data,K$14+1,0),0)</f>
        <v/>
      </c>
      <c r="L399" s="141">
        <f>IFERROR(VLOOKUP($B399,calc_data,L$14+1,0),0)</f>
        <v/>
      </c>
      <c r="M399" s="177">
        <f>IFERROR(VLOOKUP($B399,calc_data,M$14+1,0),0)</f>
        <v/>
      </c>
      <c r="N399" s="177">
        <f>IFERROR(VLOOKUP($B399,calc_data,N$14+1,0),0)</f>
        <v/>
      </c>
      <c r="O399" s="45" t="n"/>
      <c r="Q399" s="57">
        <f>IF(K399&gt;0,"показать","скрыть")</f>
        <v/>
      </c>
    </row>
    <row r="400" ht="15.75" customHeight="1">
      <c r="B400" s="182" t="n">
        <v>384</v>
      </c>
      <c r="C400" s="182">
        <f>IFERROR(VLOOKUP($B400,calc_data,C$14+1,0),0)</f>
        <v/>
      </c>
      <c r="D400" s="182">
        <f>IFERROR(VLOOKUP($B400,calc_data,D$14+1,0),0)</f>
        <v/>
      </c>
      <c r="E400" s="183">
        <f>IFERROR(VLOOKUP($B400,calc_data,E$14+1,0),0)</f>
        <v/>
      </c>
      <c r="F400" s="182">
        <f>IFERROR(VLOOKUP($B400,calc_data,F$14+1,0),0)</f>
        <v/>
      </c>
      <c r="G400" s="141">
        <f>IFERROR(VLOOKUP($B400,calc_data,G$14+1,0),0)</f>
        <v/>
      </c>
      <c r="H400" s="141">
        <f>IFERROR(VLOOKUP($B400,calc_data,H$14+1,0),0)</f>
        <v/>
      </c>
      <c r="I400" s="142">
        <f>IFERROR(VLOOKUP($B400,calc_data,I$14+1,0),0)</f>
        <v/>
      </c>
      <c r="J400" s="141">
        <f>IFERROR(VLOOKUP($B400,calc_data,J$14+1,0),0)</f>
        <v/>
      </c>
      <c r="K400" s="141">
        <f>IFERROR(VLOOKUP($B400,calc_data,K$14+1,0),0)</f>
        <v/>
      </c>
      <c r="L400" s="141">
        <f>IFERROR(VLOOKUP($B400,calc_data,L$14+1,0),0)</f>
        <v/>
      </c>
      <c r="M400" s="177">
        <f>IFERROR(VLOOKUP($B400,calc_data,M$14+1,0),0)</f>
        <v/>
      </c>
      <c r="N400" s="177">
        <f>IFERROR(VLOOKUP($B400,calc_data,N$14+1,0),0)</f>
        <v/>
      </c>
      <c r="O400" s="45" t="n"/>
      <c r="Q400" s="57">
        <f>IF(K400&gt;0,"показать","скрыть")</f>
        <v/>
      </c>
    </row>
    <row r="401" ht="15.75" customHeight="1">
      <c r="B401" s="182" t="n">
        <v>385</v>
      </c>
      <c r="C401" s="182">
        <f>IFERROR(VLOOKUP($B401,calc_data,C$14+1,0),0)</f>
        <v/>
      </c>
      <c r="D401" s="182">
        <f>IFERROR(VLOOKUP($B401,calc_data,D$14+1,0),0)</f>
        <v/>
      </c>
      <c r="E401" s="183">
        <f>IFERROR(VLOOKUP($B401,calc_data,E$14+1,0),0)</f>
        <v/>
      </c>
      <c r="F401" s="182">
        <f>IFERROR(VLOOKUP($B401,calc_data,F$14+1,0),0)</f>
        <v/>
      </c>
      <c r="G401" s="141">
        <f>IFERROR(VLOOKUP($B401,calc_data,G$14+1,0),0)</f>
        <v/>
      </c>
      <c r="H401" s="141">
        <f>IFERROR(VLOOKUP($B401,calc_data,H$14+1,0),0)</f>
        <v/>
      </c>
      <c r="I401" s="142">
        <f>IFERROR(VLOOKUP($B401,calc_data,I$14+1,0),0)</f>
        <v/>
      </c>
      <c r="J401" s="141">
        <f>IFERROR(VLOOKUP($B401,calc_data,J$14+1,0),0)</f>
        <v/>
      </c>
      <c r="K401" s="141">
        <f>IFERROR(VLOOKUP($B401,calc_data,K$14+1,0),0)</f>
        <v/>
      </c>
      <c r="L401" s="141">
        <f>IFERROR(VLOOKUP($B401,calc_data,L$14+1,0),0)</f>
        <v/>
      </c>
      <c r="M401" s="177">
        <f>IFERROR(VLOOKUP($B401,calc_data,M$14+1,0),0)</f>
        <v/>
      </c>
      <c r="N401" s="177">
        <f>IFERROR(VLOOKUP($B401,calc_data,N$14+1,0),0)</f>
        <v/>
      </c>
      <c r="O401" s="45" t="n"/>
      <c r="Q401" s="57">
        <f>IF(K401&gt;0,"показать","скрыть")</f>
        <v/>
      </c>
    </row>
    <row r="402" ht="15.75" customHeight="1">
      <c r="B402" s="182" t="n">
        <v>386</v>
      </c>
      <c r="C402" s="182">
        <f>IFERROR(VLOOKUP($B402,calc_data,C$14+1,0),0)</f>
        <v/>
      </c>
      <c r="D402" s="182">
        <f>IFERROR(VLOOKUP($B402,calc_data,D$14+1,0),0)</f>
        <v/>
      </c>
      <c r="E402" s="183">
        <f>IFERROR(VLOOKUP($B402,calc_data,E$14+1,0),0)</f>
        <v/>
      </c>
      <c r="F402" s="182">
        <f>IFERROR(VLOOKUP($B402,calc_data,F$14+1,0),0)</f>
        <v/>
      </c>
      <c r="G402" s="141">
        <f>IFERROR(VLOOKUP($B402,calc_data,G$14+1,0),0)</f>
        <v/>
      </c>
      <c r="H402" s="141">
        <f>IFERROR(VLOOKUP($B402,calc_data,H$14+1,0),0)</f>
        <v/>
      </c>
      <c r="I402" s="142">
        <f>IFERROR(VLOOKUP($B402,calc_data,I$14+1,0),0)</f>
        <v/>
      </c>
      <c r="J402" s="141">
        <f>IFERROR(VLOOKUP($B402,calc_data,J$14+1,0),0)</f>
        <v/>
      </c>
      <c r="K402" s="141">
        <f>IFERROR(VLOOKUP($B402,calc_data,K$14+1,0),0)</f>
        <v/>
      </c>
      <c r="L402" s="141">
        <f>IFERROR(VLOOKUP($B402,calc_data,L$14+1,0),0)</f>
        <v/>
      </c>
      <c r="M402" s="177">
        <f>IFERROR(VLOOKUP($B402,calc_data,M$14+1,0),0)</f>
        <v/>
      </c>
      <c r="N402" s="177">
        <f>IFERROR(VLOOKUP($B402,calc_data,N$14+1,0),0)</f>
        <v/>
      </c>
      <c r="O402" s="45" t="n"/>
      <c r="Q402" s="57">
        <f>IF(K402&gt;0,"показать","скрыть")</f>
        <v/>
      </c>
    </row>
    <row r="403" ht="15.75" customHeight="1">
      <c r="B403" s="182" t="n">
        <v>387</v>
      </c>
      <c r="C403" s="182">
        <f>IFERROR(VLOOKUP($B403,calc_data,C$14+1,0),0)</f>
        <v/>
      </c>
      <c r="D403" s="182">
        <f>IFERROR(VLOOKUP($B403,calc_data,D$14+1,0),0)</f>
        <v/>
      </c>
      <c r="E403" s="183">
        <f>IFERROR(VLOOKUP($B403,calc_data,E$14+1,0),0)</f>
        <v/>
      </c>
      <c r="F403" s="182">
        <f>IFERROR(VLOOKUP($B403,calc_data,F$14+1,0),0)</f>
        <v/>
      </c>
      <c r="G403" s="141">
        <f>IFERROR(VLOOKUP($B403,calc_data,G$14+1,0),0)</f>
        <v/>
      </c>
      <c r="H403" s="141">
        <f>IFERROR(VLOOKUP($B403,calc_data,H$14+1,0),0)</f>
        <v/>
      </c>
      <c r="I403" s="142">
        <f>IFERROR(VLOOKUP($B403,calc_data,I$14+1,0),0)</f>
        <v/>
      </c>
      <c r="J403" s="141">
        <f>IFERROR(VLOOKUP($B403,calc_data,J$14+1,0),0)</f>
        <v/>
      </c>
      <c r="K403" s="141">
        <f>IFERROR(VLOOKUP($B403,calc_data,K$14+1,0),0)</f>
        <v/>
      </c>
      <c r="L403" s="141">
        <f>IFERROR(VLOOKUP($B403,calc_data,L$14+1,0),0)</f>
        <v/>
      </c>
      <c r="M403" s="177">
        <f>IFERROR(VLOOKUP($B403,calc_data,M$14+1,0),0)</f>
        <v/>
      </c>
      <c r="N403" s="177">
        <f>IFERROR(VLOOKUP($B403,calc_data,N$14+1,0),0)</f>
        <v/>
      </c>
      <c r="O403" s="45" t="n"/>
      <c r="Q403" s="57">
        <f>IF(K403&gt;0,"показать","скрыть")</f>
        <v/>
      </c>
    </row>
    <row r="404" ht="15.75" customHeight="1">
      <c r="B404" s="182" t="n">
        <v>388</v>
      </c>
      <c r="C404" s="182">
        <f>IFERROR(VLOOKUP($B404,calc_data,C$14+1,0),0)</f>
        <v/>
      </c>
      <c r="D404" s="182">
        <f>IFERROR(VLOOKUP($B404,calc_data,D$14+1,0),0)</f>
        <v/>
      </c>
      <c r="E404" s="183">
        <f>IFERROR(VLOOKUP($B404,calc_data,E$14+1,0),0)</f>
        <v/>
      </c>
      <c r="F404" s="182">
        <f>IFERROR(VLOOKUP($B404,calc_data,F$14+1,0),0)</f>
        <v/>
      </c>
      <c r="G404" s="141">
        <f>IFERROR(VLOOKUP($B404,calc_data,G$14+1,0),0)</f>
        <v/>
      </c>
      <c r="H404" s="141">
        <f>IFERROR(VLOOKUP($B404,calc_data,H$14+1,0),0)</f>
        <v/>
      </c>
      <c r="I404" s="142">
        <f>IFERROR(VLOOKUP($B404,calc_data,I$14+1,0),0)</f>
        <v/>
      </c>
      <c r="J404" s="141">
        <f>IFERROR(VLOOKUP($B404,calc_data,J$14+1,0),0)</f>
        <v/>
      </c>
      <c r="K404" s="141">
        <f>IFERROR(VLOOKUP($B404,calc_data,K$14+1,0),0)</f>
        <v/>
      </c>
      <c r="L404" s="141">
        <f>IFERROR(VLOOKUP($B404,calc_data,L$14+1,0),0)</f>
        <v/>
      </c>
      <c r="M404" s="177">
        <f>IFERROR(VLOOKUP($B404,calc_data,M$14+1,0),0)</f>
        <v/>
      </c>
      <c r="N404" s="177">
        <f>IFERROR(VLOOKUP($B404,calc_data,N$14+1,0),0)</f>
        <v/>
      </c>
      <c r="O404" s="45" t="n"/>
      <c r="Q404" s="57">
        <f>IF(K404&gt;0,"показать","скрыть")</f>
        <v/>
      </c>
    </row>
    <row r="405" ht="15.75" customHeight="1">
      <c r="B405" s="182" t="n">
        <v>389</v>
      </c>
      <c r="C405" s="182">
        <f>IFERROR(VLOOKUP($B405,calc_data,C$14+1,0),0)</f>
        <v/>
      </c>
      <c r="D405" s="182">
        <f>IFERROR(VLOOKUP($B405,calc_data,D$14+1,0),0)</f>
        <v/>
      </c>
      <c r="E405" s="183">
        <f>IFERROR(VLOOKUP($B405,calc_data,E$14+1,0),0)</f>
        <v/>
      </c>
      <c r="F405" s="182">
        <f>IFERROR(VLOOKUP($B405,calc_data,F$14+1,0),0)</f>
        <v/>
      </c>
      <c r="G405" s="141">
        <f>IFERROR(VLOOKUP($B405,calc_data,G$14+1,0),0)</f>
        <v/>
      </c>
      <c r="H405" s="141">
        <f>IFERROR(VLOOKUP($B405,calc_data,H$14+1,0),0)</f>
        <v/>
      </c>
      <c r="I405" s="142">
        <f>IFERROR(VLOOKUP($B405,calc_data,I$14+1,0),0)</f>
        <v/>
      </c>
      <c r="J405" s="141">
        <f>IFERROR(VLOOKUP($B405,calc_data,J$14+1,0),0)</f>
        <v/>
      </c>
      <c r="K405" s="141">
        <f>IFERROR(VLOOKUP($B405,calc_data,K$14+1,0),0)</f>
        <v/>
      </c>
      <c r="L405" s="141">
        <f>IFERROR(VLOOKUP($B405,calc_data,L$14+1,0),0)</f>
        <v/>
      </c>
      <c r="M405" s="177">
        <f>IFERROR(VLOOKUP($B405,calc_data,M$14+1,0),0)</f>
        <v/>
      </c>
      <c r="N405" s="177">
        <f>IFERROR(VLOOKUP($B405,calc_data,N$14+1,0),0)</f>
        <v/>
      </c>
      <c r="O405" s="45" t="n"/>
      <c r="Q405" s="57">
        <f>IF(K405&gt;0,"показать","скрыть")</f>
        <v/>
      </c>
    </row>
    <row r="406" ht="15.75" customHeight="1">
      <c r="B406" s="182" t="n">
        <v>390</v>
      </c>
      <c r="C406" s="182">
        <f>IFERROR(VLOOKUP($B406,calc_data,C$14+1,0),0)</f>
        <v/>
      </c>
      <c r="D406" s="182">
        <f>IFERROR(VLOOKUP($B406,calc_data,D$14+1,0),0)</f>
        <v/>
      </c>
      <c r="E406" s="183">
        <f>IFERROR(VLOOKUP($B406,calc_data,E$14+1,0),0)</f>
        <v/>
      </c>
      <c r="F406" s="182">
        <f>IFERROR(VLOOKUP($B406,calc_data,F$14+1,0),0)</f>
        <v/>
      </c>
      <c r="G406" s="141">
        <f>IFERROR(VLOOKUP($B406,calc_data,G$14+1,0),0)</f>
        <v/>
      </c>
      <c r="H406" s="141">
        <f>IFERROR(VLOOKUP($B406,calc_data,H$14+1,0),0)</f>
        <v/>
      </c>
      <c r="I406" s="142">
        <f>IFERROR(VLOOKUP($B406,calc_data,I$14+1,0),0)</f>
        <v/>
      </c>
      <c r="J406" s="141">
        <f>IFERROR(VLOOKUP($B406,calc_data,J$14+1,0),0)</f>
        <v/>
      </c>
      <c r="K406" s="141">
        <f>IFERROR(VLOOKUP($B406,calc_data,K$14+1,0),0)</f>
        <v/>
      </c>
      <c r="L406" s="141">
        <f>IFERROR(VLOOKUP($B406,calc_data,L$14+1,0),0)</f>
        <v/>
      </c>
      <c r="M406" s="177">
        <f>IFERROR(VLOOKUP($B406,calc_data,M$14+1,0),0)</f>
        <v/>
      </c>
      <c r="N406" s="177">
        <f>IFERROR(VLOOKUP($B406,calc_data,N$14+1,0),0)</f>
        <v/>
      </c>
      <c r="O406" s="45" t="n"/>
      <c r="Q406" s="57">
        <f>IF(K406&gt;0,"показать","скрыть")</f>
        <v/>
      </c>
    </row>
    <row r="407" ht="15.75" customHeight="1">
      <c r="B407" s="182" t="n">
        <v>391</v>
      </c>
      <c r="C407" s="182">
        <f>IFERROR(VLOOKUP($B407,calc_data,C$14+1,0),0)</f>
        <v/>
      </c>
      <c r="D407" s="182">
        <f>IFERROR(VLOOKUP($B407,calc_data,D$14+1,0),0)</f>
        <v/>
      </c>
      <c r="E407" s="183">
        <f>IFERROR(VLOOKUP($B407,calc_data,E$14+1,0),0)</f>
        <v/>
      </c>
      <c r="F407" s="182">
        <f>IFERROR(VLOOKUP($B407,calc_data,F$14+1,0),0)</f>
        <v/>
      </c>
      <c r="G407" s="141">
        <f>IFERROR(VLOOKUP($B407,calc_data,G$14+1,0),0)</f>
        <v/>
      </c>
      <c r="H407" s="141">
        <f>IFERROR(VLOOKUP($B407,calc_data,H$14+1,0),0)</f>
        <v/>
      </c>
      <c r="I407" s="142">
        <f>IFERROR(VLOOKUP($B407,calc_data,I$14+1,0),0)</f>
        <v/>
      </c>
      <c r="J407" s="141">
        <f>IFERROR(VLOOKUP($B407,calc_data,J$14+1,0),0)</f>
        <v/>
      </c>
      <c r="K407" s="141">
        <f>IFERROR(VLOOKUP($B407,calc_data,K$14+1,0),0)</f>
        <v/>
      </c>
      <c r="L407" s="141">
        <f>IFERROR(VLOOKUP($B407,calc_data,L$14+1,0),0)</f>
        <v/>
      </c>
      <c r="M407" s="177">
        <f>IFERROR(VLOOKUP($B407,calc_data,M$14+1,0),0)</f>
        <v/>
      </c>
      <c r="N407" s="177">
        <f>IFERROR(VLOOKUP($B407,calc_data,N$14+1,0),0)</f>
        <v/>
      </c>
      <c r="O407" s="45" t="n"/>
      <c r="Q407" s="57">
        <f>IF(K407&gt;0,"показать","скрыть")</f>
        <v/>
      </c>
    </row>
    <row r="408" ht="15.75" customHeight="1">
      <c r="B408" s="182" t="n">
        <v>392</v>
      </c>
      <c r="C408" s="182">
        <f>IFERROR(VLOOKUP($B408,calc_data,C$14+1,0),0)</f>
        <v/>
      </c>
      <c r="D408" s="182">
        <f>IFERROR(VLOOKUP($B408,calc_data,D$14+1,0),0)</f>
        <v/>
      </c>
      <c r="E408" s="183">
        <f>IFERROR(VLOOKUP($B408,calc_data,E$14+1,0),0)</f>
        <v/>
      </c>
      <c r="F408" s="182">
        <f>IFERROR(VLOOKUP($B408,calc_data,F$14+1,0),0)</f>
        <v/>
      </c>
      <c r="G408" s="141">
        <f>IFERROR(VLOOKUP($B408,calc_data,G$14+1,0),0)</f>
        <v/>
      </c>
      <c r="H408" s="141">
        <f>IFERROR(VLOOKUP($B408,calc_data,H$14+1,0),0)</f>
        <v/>
      </c>
      <c r="I408" s="142">
        <f>IFERROR(VLOOKUP($B408,calc_data,I$14+1,0),0)</f>
        <v/>
      </c>
      <c r="J408" s="141">
        <f>IFERROR(VLOOKUP($B408,calc_data,J$14+1,0),0)</f>
        <v/>
      </c>
      <c r="K408" s="141">
        <f>IFERROR(VLOOKUP($B408,calc_data,K$14+1,0),0)</f>
        <v/>
      </c>
      <c r="L408" s="141">
        <f>IFERROR(VLOOKUP($B408,calc_data,L$14+1,0),0)</f>
        <v/>
      </c>
      <c r="M408" s="177">
        <f>IFERROR(VLOOKUP($B408,calc_data,M$14+1,0),0)</f>
        <v/>
      </c>
      <c r="N408" s="177">
        <f>IFERROR(VLOOKUP($B408,calc_data,N$14+1,0),0)</f>
        <v/>
      </c>
      <c r="O408" s="45" t="n"/>
      <c r="Q408" s="57">
        <f>IF(K408&gt;0,"показать","скрыть")</f>
        <v/>
      </c>
    </row>
    <row r="409" ht="15.75" customHeight="1">
      <c r="B409" s="182" t="n">
        <v>393</v>
      </c>
      <c r="C409" s="182">
        <f>IFERROR(VLOOKUP($B409,calc_data,C$14+1,0),0)</f>
        <v/>
      </c>
      <c r="D409" s="182">
        <f>IFERROR(VLOOKUP($B409,calc_data,D$14+1,0),0)</f>
        <v/>
      </c>
      <c r="E409" s="183">
        <f>IFERROR(VLOOKUP($B409,calc_data,E$14+1,0),0)</f>
        <v/>
      </c>
      <c r="F409" s="182">
        <f>IFERROR(VLOOKUP($B409,calc_data,F$14+1,0),0)</f>
        <v/>
      </c>
      <c r="G409" s="141">
        <f>IFERROR(VLOOKUP($B409,calc_data,G$14+1,0),0)</f>
        <v/>
      </c>
      <c r="H409" s="141">
        <f>IFERROR(VLOOKUP($B409,calc_data,H$14+1,0),0)</f>
        <v/>
      </c>
      <c r="I409" s="142">
        <f>IFERROR(VLOOKUP($B409,calc_data,I$14+1,0),0)</f>
        <v/>
      </c>
      <c r="J409" s="141">
        <f>IFERROR(VLOOKUP($B409,calc_data,J$14+1,0),0)</f>
        <v/>
      </c>
      <c r="K409" s="141">
        <f>IFERROR(VLOOKUP($B409,calc_data,K$14+1,0),0)</f>
        <v/>
      </c>
      <c r="L409" s="141">
        <f>IFERROR(VLOOKUP($B409,calc_data,L$14+1,0),0)</f>
        <v/>
      </c>
      <c r="M409" s="177">
        <f>IFERROR(VLOOKUP($B409,calc_data,M$14+1,0),0)</f>
        <v/>
      </c>
      <c r="N409" s="177">
        <f>IFERROR(VLOOKUP($B409,calc_data,N$14+1,0),0)</f>
        <v/>
      </c>
      <c r="O409" s="45" t="n"/>
      <c r="Q409" s="57">
        <f>IF(K409&gt;0,"показать","скрыть")</f>
        <v/>
      </c>
    </row>
    <row r="410" ht="15.75" customHeight="1">
      <c r="B410" s="182" t="n">
        <v>394</v>
      </c>
      <c r="C410" s="182">
        <f>IFERROR(VLOOKUP($B410,calc_data,C$14+1,0),0)</f>
        <v/>
      </c>
      <c r="D410" s="182">
        <f>IFERROR(VLOOKUP($B410,calc_data,D$14+1,0),0)</f>
        <v/>
      </c>
      <c r="E410" s="183">
        <f>IFERROR(VLOOKUP($B410,calc_data,E$14+1,0),0)</f>
        <v/>
      </c>
      <c r="F410" s="182">
        <f>IFERROR(VLOOKUP($B410,calc_data,F$14+1,0),0)</f>
        <v/>
      </c>
      <c r="G410" s="141">
        <f>IFERROR(VLOOKUP($B410,calc_data,G$14+1,0),0)</f>
        <v/>
      </c>
      <c r="H410" s="141">
        <f>IFERROR(VLOOKUP($B410,calc_data,H$14+1,0),0)</f>
        <v/>
      </c>
      <c r="I410" s="142">
        <f>IFERROR(VLOOKUP($B410,calc_data,I$14+1,0),0)</f>
        <v/>
      </c>
      <c r="J410" s="141">
        <f>IFERROR(VLOOKUP($B410,calc_data,J$14+1,0),0)</f>
        <v/>
      </c>
      <c r="K410" s="141">
        <f>IFERROR(VLOOKUP($B410,calc_data,K$14+1,0),0)</f>
        <v/>
      </c>
      <c r="L410" s="141">
        <f>IFERROR(VLOOKUP($B410,calc_data,L$14+1,0),0)</f>
        <v/>
      </c>
      <c r="M410" s="177">
        <f>IFERROR(VLOOKUP($B410,calc_data,M$14+1,0),0)</f>
        <v/>
      </c>
      <c r="N410" s="177">
        <f>IFERROR(VLOOKUP($B410,calc_data,N$14+1,0),0)</f>
        <v/>
      </c>
      <c r="O410" s="45" t="n"/>
      <c r="Q410" s="57">
        <f>IF(K410&gt;0,"показать","скрыть")</f>
        <v/>
      </c>
    </row>
    <row r="411" ht="15.75" customHeight="1">
      <c r="B411" s="182" t="n">
        <v>395</v>
      </c>
      <c r="C411" s="182">
        <f>IFERROR(VLOOKUP($B411,calc_data,C$14+1,0),0)</f>
        <v/>
      </c>
      <c r="D411" s="182">
        <f>IFERROR(VLOOKUP($B411,calc_data,D$14+1,0),0)</f>
        <v/>
      </c>
      <c r="E411" s="183">
        <f>IFERROR(VLOOKUP($B411,calc_data,E$14+1,0),0)</f>
        <v/>
      </c>
      <c r="F411" s="182">
        <f>IFERROR(VLOOKUP($B411,calc_data,F$14+1,0),0)</f>
        <v/>
      </c>
      <c r="G411" s="141">
        <f>IFERROR(VLOOKUP($B411,calc_data,G$14+1,0),0)</f>
        <v/>
      </c>
      <c r="H411" s="141">
        <f>IFERROR(VLOOKUP($B411,calc_data,H$14+1,0),0)</f>
        <v/>
      </c>
      <c r="I411" s="142">
        <f>IFERROR(VLOOKUP($B411,calc_data,I$14+1,0),0)</f>
        <v/>
      </c>
      <c r="J411" s="141">
        <f>IFERROR(VLOOKUP($B411,calc_data,J$14+1,0),0)</f>
        <v/>
      </c>
      <c r="K411" s="141">
        <f>IFERROR(VLOOKUP($B411,calc_data,K$14+1,0),0)</f>
        <v/>
      </c>
      <c r="L411" s="141">
        <f>IFERROR(VLOOKUP($B411,calc_data,L$14+1,0),0)</f>
        <v/>
      </c>
      <c r="M411" s="177">
        <f>IFERROR(VLOOKUP($B411,calc_data,M$14+1,0),0)</f>
        <v/>
      </c>
      <c r="N411" s="177">
        <f>IFERROR(VLOOKUP($B411,calc_data,N$14+1,0),0)</f>
        <v/>
      </c>
      <c r="O411" s="45" t="n"/>
      <c r="Q411" s="57">
        <f>IF(K411&gt;0,"показать","скрыть")</f>
        <v/>
      </c>
    </row>
    <row r="412" ht="15.75" customHeight="1">
      <c r="B412" s="182" t="n">
        <v>396</v>
      </c>
      <c r="C412" s="182">
        <f>IFERROR(VLOOKUP($B412,calc_data,C$14+1,0),0)</f>
        <v/>
      </c>
      <c r="D412" s="182">
        <f>IFERROR(VLOOKUP($B412,calc_data,D$14+1,0),0)</f>
        <v/>
      </c>
      <c r="E412" s="183">
        <f>IFERROR(VLOOKUP($B412,calc_data,E$14+1,0),0)</f>
        <v/>
      </c>
      <c r="F412" s="182">
        <f>IFERROR(VLOOKUP($B412,calc_data,F$14+1,0),0)</f>
        <v/>
      </c>
      <c r="G412" s="141">
        <f>IFERROR(VLOOKUP($B412,calc_data,G$14+1,0),0)</f>
        <v/>
      </c>
      <c r="H412" s="141">
        <f>IFERROR(VLOOKUP($B412,calc_data,H$14+1,0),0)</f>
        <v/>
      </c>
      <c r="I412" s="142">
        <f>IFERROR(VLOOKUP($B412,calc_data,I$14+1,0),0)</f>
        <v/>
      </c>
      <c r="J412" s="141">
        <f>IFERROR(VLOOKUP($B412,calc_data,J$14+1,0),0)</f>
        <v/>
      </c>
      <c r="K412" s="141">
        <f>IFERROR(VLOOKUP($B412,calc_data,K$14+1,0),0)</f>
        <v/>
      </c>
      <c r="L412" s="141">
        <f>IFERROR(VLOOKUP($B412,calc_data,L$14+1,0),0)</f>
        <v/>
      </c>
      <c r="M412" s="177">
        <f>IFERROR(VLOOKUP($B412,calc_data,M$14+1,0),0)</f>
        <v/>
      </c>
      <c r="N412" s="177">
        <f>IFERROR(VLOOKUP($B412,calc_data,N$14+1,0),0)</f>
        <v/>
      </c>
      <c r="O412" s="45" t="n"/>
      <c r="Q412" s="57">
        <f>IF(K412&gt;0,"показать","скрыть")</f>
        <v/>
      </c>
    </row>
    <row r="413" ht="15.75" customHeight="1">
      <c r="B413" s="182" t="n">
        <v>397</v>
      </c>
      <c r="C413" s="182">
        <f>IFERROR(VLOOKUP($B413,calc_data,C$14+1,0),0)</f>
        <v/>
      </c>
      <c r="D413" s="182">
        <f>IFERROR(VLOOKUP($B413,calc_data,D$14+1,0),0)</f>
        <v/>
      </c>
      <c r="E413" s="183">
        <f>IFERROR(VLOOKUP($B413,calc_data,E$14+1,0),0)</f>
        <v/>
      </c>
      <c r="F413" s="182">
        <f>IFERROR(VLOOKUP($B413,calc_data,F$14+1,0),0)</f>
        <v/>
      </c>
      <c r="G413" s="141">
        <f>IFERROR(VLOOKUP($B413,calc_data,G$14+1,0),0)</f>
        <v/>
      </c>
      <c r="H413" s="141">
        <f>IFERROR(VLOOKUP($B413,calc_data,H$14+1,0),0)</f>
        <v/>
      </c>
      <c r="I413" s="142">
        <f>IFERROR(VLOOKUP($B413,calc_data,I$14+1,0),0)</f>
        <v/>
      </c>
      <c r="J413" s="141">
        <f>IFERROR(VLOOKUP($B413,calc_data,J$14+1,0),0)</f>
        <v/>
      </c>
      <c r="K413" s="141">
        <f>IFERROR(VLOOKUP($B413,calc_data,K$14+1,0),0)</f>
        <v/>
      </c>
      <c r="L413" s="141">
        <f>IFERROR(VLOOKUP($B413,calc_data,L$14+1,0),0)</f>
        <v/>
      </c>
      <c r="M413" s="177">
        <f>IFERROR(VLOOKUP($B413,calc_data,M$14+1,0),0)</f>
        <v/>
      </c>
      <c r="N413" s="177">
        <f>IFERROR(VLOOKUP($B413,calc_data,N$14+1,0),0)</f>
        <v/>
      </c>
      <c r="O413" s="45" t="n"/>
      <c r="Q413" s="57">
        <f>IF(K413&gt;0,"показать","скрыть")</f>
        <v/>
      </c>
    </row>
    <row r="414" ht="15.75" customHeight="1">
      <c r="B414" s="182" t="n">
        <v>398</v>
      </c>
      <c r="C414" s="182">
        <f>IFERROR(VLOOKUP($B414,calc_data,C$14+1,0),0)</f>
        <v/>
      </c>
      <c r="D414" s="182">
        <f>IFERROR(VLOOKUP($B414,calc_data,D$14+1,0),0)</f>
        <v/>
      </c>
      <c r="E414" s="183">
        <f>IFERROR(VLOOKUP($B414,calc_data,E$14+1,0),0)</f>
        <v/>
      </c>
      <c r="F414" s="182">
        <f>IFERROR(VLOOKUP($B414,calc_data,F$14+1,0),0)</f>
        <v/>
      </c>
      <c r="G414" s="141">
        <f>IFERROR(VLOOKUP($B414,calc_data,G$14+1,0),0)</f>
        <v/>
      </c>
      <c r="H414" s="141">
        <f>IFERROR(VLOOKUP($B414,calc_data,H$14+1,0),0)</f>
        <v/>
      </c>
      <c r="I414" s="142">
        <f>IFERROR(VLOOKUP($B414,calc_data,I$14+1,0),0)</f>
        <v/>
      </c>
      <c r="J414" s="141">
        <f>IFERROR(VLOOKUP($B414,calc_data,J$14+1,0),0)</f>
        <v/>
      </c>
      <c r="K414" s="141">
        <f>IFERROR(VLOOKUP($B414,calc_data,K$14+1,0),0)</f>
        <v/>
      </c>
      <c r="L414" s="141">
        <f>IFERROR(VLOOKUP($B414,calc_data,L$14+1,0),0)</f>
        <v/>
      </c>
      <c r="M414" s="177">
        <f>IFERROR(VLOOKUP($B414,calc_data,M$14+1,0),0)</f>
        <v/>
      </c>
      <c r="N414" s="177">
        <f>IFERROR(VLOOKUP($B414,calc_data,N$14+1,0),0)</f>
        <v/>
      </c>
      <c r="O414" s="45" t="n"/>
      <c r="Q414" s="57">
        <f>IF(K414&gt;0,"показать","скрыть")</f>
        <v/>
      </c>
    </row>
    <row r="415" ht="15.75" customHeight="1">
      <c r="B415" s="182" t="n">
        <v>399</v>
      </c>
      <c r="C415" s="182">
        <f>IFERROR(VLOOKUP($B415,calc_data,C$14+1,0),0)</f>
        <v/>
      </c>
      <c r="D415" s="182">
        <f>IFERROR(VLOOKUP($B415,calc_data,D$14+1,0),0)</f>
        <v/>
      </c>
      <c r="E415" s="183">
        <f>IFERROR(VLOOKUP($B415,calc_data,E$14+1,0),0)</f>
        <v/>
      </c>
      <c r="F415" s="182">
        <f>IFERROR(VLOOKUP($B415,calc_data,F$14+1,0),0)</f>
        <v/>
      </c>
      <c r="G415" s="141">
        <f>IFERROR(VLOOKUP($B415,calc_data,G$14+1,0),0)</f>
        <v/>
      </c>
      <c r="H415" s="141">
        <f>IFERROR(VLOOKUP($B415,calc_data,H$14+1,0),0)</f>
        <v/>
      </c>
      <c r="I415" s="142">
        <f>IFERROR(VLOOKUP($B415,calc_data,I$14+1,0),0)</f>
        <v/>
      </c>
      <c r="J415" s="141">
        <f>IFERROR(VLOOKUP($B415,calc_data,J$14+1,0),0)</f>
        <v/>
      </c>
      <c r="K415" s="141">
        <f>IFERROR(VLOOKUP($B415,calc_data,K$14+1,0),0)</f>
        <v/>
      </c>
      <c r="L415" s="141">
        <f>IFERROR(VLOOKUP($B415,calc_data,L$14+1,0),0)</f>
        <v/>
      </c>
      <c r="M415" s="177">
        <f>IFERROR(VLOOKUP($B415,calc_data,M$14+1,0),0)</f>
        <v/>
      </c>
      <c r="N415" s="177">
        <f>IFERROR(VLOOKUP($B415,calc_data,N$14+1,0),0)</f>
        <v/>
      </c>
      <c r="O415" s="45" t="n"/>
      <c r="Q415" s="57">
        <f>IF(K415&gt;0,"показать","скрыть")</f>
        <v/>
      </c>
    </row>
    <row r="416" ht="15.75" customHeight="1">
      <c r="B416" s="182" t="n">
        <v>400</v>
      </c>
      <c r="C416" s="182">
        <f>IFERROR(VLOOKUP($B416,calc_data,C$14+1,0),0)</f>
        <v/>
      </c>
      <c r="D416" s="182">
        <f>IFERROR(VLOOKUP($B416,calc_data,D$14+1,0),0)</f>
        <v/>
      </c>
      <c r="E416" s="183">
        <f>IFERROR(VLOOKUP($B416,calc_data,E$14+1,0),0)</f>
        <v/>
      </c>
      <c r="F416" s="182">
        <f>IFERROR(VLOOKUP($B416,calc_data,F$14+1,0),0)</f>
        <v/>
      </c>
      <c r="G416" s="141">
        <f>IFERROR(VLOOKUP($B416,calc_data,G$14+1,0),0)</f>
        <v/>
      </c>
      <c r="H416" s="141">
        <f>IFERROR(VLOOKUP($B416,calc_data,H$14+1,0),0)</f>
        <v/>
      </c>
      <c r="I416" s="142">
        <f>IFERROR(VLOOKUP($B416,calc_data,I$14+1,0),0)</f>
        <v/>
      </c>
      <c r="J416" s="141">
        <f>IFERROR(VLOOKUP($B416,calc_data,J$14+1,0),0)</f>
        <v/>
      </c>
      <c r="K416" s="141">
        <f>IFERROR(VLOOKUP($B416,calc_data,K$14+1,0),0)</f>
        <v/>
      </c>
      <c r="L416" s="141">
        <f>IFERROR(VLOOKUP($B416,calc_data,L$14+1,0),0)</f>
        <v/>
      </c>
      <c r="M416" s="177">
        <f>IFERROR(VLOOKUP($B416,calc_data,M$14+1,0),0)</f>
        <v/>
      </c>
      <c r="N416" s="177">
        <f>IFERROR(VLOOKUP($B416,calc_data,N$14+1,0),0)</f>
        <v/>
      </c>
      <c r="O416" s="45" t="n"/>
      <c r="Q416" s="57">
        <f>IF(K416&gt;0,"показать","скрыть")</f>
        <v/>
      </c>
    </row>
    <row r="417" ht="15.75" customHeight="1">
      <c r="B417" s="182" t="n">
        <v>401</v>
      </c>
      <c r="C417" s="182">
        <f>IFERROR(VLOOKUP($B417,calc_data,C$14+1,0),0)</f>
        <v/>
      </c>
      <c r="D417" s="182">
        <f>IFERROR(VLOOKUP($B417,calc_data,D$14+1,0),0)</f>
        <v/>
      </c>
      <c r="E417" s="183">
        <f>IFERROR(VLOOKUP($B417,calc_data,E$14+1,0),0)</f>
        <v/>
      </c>
      <c r="F417" s="182">
        <f>IFERROR(VLOOKUP($B417,calc_data,F$14+1,0),0)</f>
        <v/>
      </c>
      <c r="G417" s="141">
        <f>IFERROR(VLOOKUP($B417,calc_data,G$14+1,0),0)</f>
        <v/>
      </c>
      <c r="H417" s="141">
        <f>IFERROR(VLOOKUP($B417,calc_data,H$14+1,0),0)</f>
        <v/>
      </c>
      <c r="I417" s="142">
        <f>IFERROR(VLOOKUP($B417,calc_data,I$14+1,0),0)</f>
        <v/>
      </c>
      <c r="J417" s="141">
        <f>IFERROR(VLOOKUP($B417,calc_data,J$14+1,0),0)</f>
        <v/>
      </c>
      <c r="K417" s="141">
        <f>IFERROR(VLOOKUP($B417,calc_data,K$14+1,0),0)</f>
        <v/>
      </c>
      <c r="L417" s="141">
        <f>IFERROR(VLOOKUP($B417,calc_data,L$14+1,0),0)</f>
        <v/>
      </c>
      <c r="M417" s="177">
        <f>IFERROR(VLOOKUP($B417,calc_data,M$14+1,0),0)</f>
        <v/>
      </c>
      <c r="N417" s="177">
        <f>IFERROR(VLOOKUP($B417,calc_data,N$14+1,0),0)</f>
        <v/>
      </c>
      <c r="O417" s="45" t="n"/>
      <c r="Q417" s="57">
        <f>IF(K417&gt;0,"показать","скрыть")</f>
        <v/>
      </c>
    </row>
    <row r="418" ht="15.75" customHeight="1">
      <c r="B418" s="182" t="n">
        <v>402</v>
      </c>
      <c r="C418" s="182">
        <f>IFERROR(VLOOKUP($B418,calc_data,C$14+1,0),0)</f>
        <v/>
      </c>
      <c r="D418" s="182">
        <f>IFERROR(VLOOKUP($B418,calc_data,D$14+1,0),0)</f>
        <v/>
      </c>
      <c r="E418" s="183">
        <f>IFERROR(VLOOKUP($B418,calc_data,E$14+1,0),0)</f>
        <v/>
      </c>
      <c r="F418" s="182">
        <f>IFERROR(VLOOKUP($B418,calc_data,F$14+1,0),0)</f>
        <v/>
      </c>
      <c r="G418" s="141">
        <f>IFERROR(VLOOKUP($B418,calc_data,G$14+1,0),0)</f>
        <v/>
      </c>
      <c r="H418" s="141">
        <f>IFERROR(VLOOKUP($B418,calc_data,H$14+1,0),0)</f>
        <v/>
      </c>
      <c r="I418" s="142">
        <f>IFERROR(VLOOKUP($B418,calc_data,I$14+1,0),0)</f>
        <v/>
      </c>
      <c r="J418" s="141">
        <f>IFERROR(VLOOKUP($B418,calc_data,J$14+1,0),0)</f>
        <v/>
      </c>
      <c r="K418" s="141">
        <f>IFERROR(VLOOKUP($B418,calc_data,K$14+1,0),0)</f>
        <v/>
      </c>
      <c r="L418" s="141">
        <f>IFERROR(VLOOKUP($B418,calc_data,L$14+1,0),0)</f>
        <v/>
      </c>
      <c r="M418" s="177">
        <f>IFERROR(VLOOKUP($B418,calc_data,M$14+1,0),0)</f>
        <v/>
      </c>
      <c r="N418" s="177">
        <f>IFERROR(VLOOKUP($B418,calc_data,N$14+1,0),0)</f>
        <v/>
      </c>
      <c r="O418" s="45" t="n"/>
      <c r="Q418" s="57">
        <f>IF(K418&gt;0,"показать","скрыть")</f>
        <v/>
      </c>
    </row>
    <row r="419" ht="15.75" customHeight="1">
      <c r="B419" s="182" t="n">
        <v>403</v>
      </c>
      <c r="C419" s="182">
        <f>IFERROR(VLOOKUP($B419,calc_data,C$14+1,0),0)</f>
        <v/>
      </c>
      <c r="D419" s="182">
        <f>IFERROR(VLOOKUP($B419,calc_data,D$14+1,0),0)</f>
        <v/>
      </c>
      <c r="E419" s="183">
        <f>IFERROR(VLOOKUP($B419,calc_data,E$14+1,0),0)</f>
        <v/>
      </c>
      <c r="F419" s="182">
        <f>IFERROR(VLOOKUP($B419,calc_data,F$14+1,0),0)</f>
        <v/>
      </c>
      <c r="G419" s="141">
        <f>IFERROR(VLOOKUP($B419,calc_data,G$14+1,0),0)</f>
        <v/>
      </c>
      <c r="H419" s="141">
        <f>IFERROR(VLOOKUP($B419,calc_data,H$14+1,0),0)</f>
        <v/>
      </c>
      <c r="I419" s="142">
        <f>IFERROR(VLOOKUP($B419,calc_data,I$14+1,0),0)</f>
        <v/>
      </c>
      <c r="J419" s="141">
        <f>IFERROR(VLOOKUP($B419,calc_data,J$14+1,0),0)</f>
        <v/>
      </c>
      <c r="K419" s="141">
        <f>IFERROR(VLOOKUP($B419,calc_data,K$14+1,0),0)</f>
        <v/>
      </c>
      <c r="L419" s="141">
        <f>IFERROR(VLOOKUP($B419,calc_data,L$14+1,0),0)</f>
        <v/>
      </c>
      <c r="M419" s="177">
        <f>IFERROR(VLOOKUP($B419,calc_data,M$14+1,0),0)</f>
        <v/>
      </c>
      <c r="N419" s="177">
        <f>IFERROR(VLOOKUP($B419,calc_data,N$14+1,0),0)</f>
        <v/>
      </c>
      <c r="O419" s="45" t="n"/>
      <c r="Q419" s="57">
        <f>IF(K419&gt;0,"показать","скрыть")</f>
        <v/>
      </c>
    </row>
    <row r="420" ht="15.75" customHeight="1">
      <c r="B420" s="182" t="n">
        <v>404</v>
      </c>
      <c r="C420" s="182">
        <f>IFERROR(VLOOKUP($B420,calc_data,C$14+1,0),0)</f>
        <v/>
      </c>
      <c r="D420" s="182">
        <f>IFERROR(VLOOKUP($B420,calc_data,D$14+1,0),0)</f>
        <v/>
      </c>
      <c r="E420" s="183">
        <f>IFERROR(VLOOKUP($B420,calc_data,E$14+1,0),0)</f>
        <v/>
      </c>
      <c r="F420" s="182">
        <f>IFERROR(VLOOKUP($B420,calc_data,F$14+1,0),0)</f>
        <v/>
      </c>
      <c r="G420" s="141">
        <f>IFERROR(VLOOKUP($B420,calc_data,G$14+1,0),0)</f>
        <v/>
      </c>
      <c r="H420" s="141">
        <f>IFERROR(VLOOKUP($B420,calc_data,H$14+1,0),0)</f>
        <v/>
      </c>
      <c r="I420" s="142">
        <f>IFERROR(VLOOKUP($B420,calc_data,I$14+1,0),0)</f>
        <v/>
      </c>
      <c r="J420" s="141">
        <f>IFERROR(VLOOKUP($B420,calc_data,J$14+1,0),0)</f>
        <v/>
      </c>
      <c r="K420" s="141">
        <f>IFERROR(VLOOKUP($B420,calc_data,K$14+1,0),0)</f>
        <v/>
      </c>
      <c r="L420" s="141">
        <f>IFERROR(VLOOKUP($B420,calc_data,L$14+1,0),0)</f>
        <v/>
      </c>
      <c r="M420" s="177">
        <f>IFERROR(VLOOKUP($B420,calc_data,M$14+1,0),0)</f>
        <v/>
      </c>
      <c r="N420" s="177">
        <f>IFERROR(VLOOKUP($B420,calc_data,N$14+1,0),0)</f>
        <v/>
      </c>
      <c r="O420" s="45" t="n"/>
      <c r="Q420" s="57">
        <f>IF(K420&gt;0,"показать","скрыть")</f>
        <v/>
      </c>
    </row>
    <row r="421" ht="15.75" customHeight="1">
      <c r="B421" s="182" t="n">
        <v>405</v>
      </c>
      <c r="C421" s="182">
        <f>IFERROR(VLOOKUP($B421,calc_data,C$14+1,0),0)</f>
        <v/>
      </c>
      <c r="D421" s="182">
        <f>IFERROR(VLOOKUP($B421,calc_data,D$14+1,0),0)</f>
        <v/>
      </c>
      <c r="E421" s="183">
        <f>IFERROR(VLOOKUP($B421,calc_data,E$14+1,0),0)</f>
        <v/>
      </c>
      <c r="F421" s="182">
        <f>IFERROR(VLOOKUP($B421,calc_data,F$14+1,0),0)</f>
        <v/>
      </c>
      <c r="G421" s="141">
        <f>IFERROR(VLOOKUP($B421,calc_data,G$14+1,0),0)</f>
        <v/>
      </c>
      <c r="H421" s="141">
        <f>IFERROR(VLOOKUP($B421,calc_data,H$14+1,0),0)</f>
        <v/>
      </c>
      <c r="I421" s="142">
        <f>IFERROR(VLOOKUP($B421,calc_data,I$14+1,0),0)</f>
        <v/>
      </c>
      <c r="J421" s="141">
        <f>IFERROR(VLOOKUP($B421,calc_data,J$14+1,0),0)</f>
        <v/>
      </c>
      <c r="K421" s="141">
        <f>IFERROR(VLOOKUP($B421,calc_data,K$14+1,0),0)</f>
        <v/>
      </c>
      <c r="L421" s="141">
        <f>IFERROR(VLOOKUP($B421,calc_data,L$14+1,0),0)</f>
        <v/>
      </c>
      <c r="M421" s="177">
        <f>IFERROR(VLOOKUP($B421,calc_data,M$14+1,0),0)</f>
        <v/>
      </c>
      <c r="N421" s="177">
        <f>IFERROR(VLOOKUP($B421,calc_data,N$14+1,0),0)</f>
        <v/>
      </c>
      <c r="O421" s="45" t="n"/>
      <c r="Q421" s="57">
        <f>IF(K421&gt;0,"показать","скрыть")</f>
        <v/>
      </c>
    </row>
    <row r="422" ht="15.75" customHeight="1">
      <c r="B422" s="182" t="n">
        <v>406</v>
      </c>
      <c r="C422" s="182">
        <f>IFERROR(VLOOKUP($B422,calc_data,C$14+1,0),0)</f>
        <v/>
      </c>
      <c r="D422" s="182">
        <f>IFERROR(VLOOKUP($B422,calc_data,D$14+1,0),0)</f>
        <v/>
      </c>
      <c r="E422" s="183">
        <f>IFERROR(VLOOKUP($B422,calc_data,E$14+1,0),0)</f>
        <v/>
      </c>
      <c r="F422" s="182">
        <f>IFERROR(VLOOKUP($B422,calc_data,F$14+1,0),0)</f>
        <v/>
      </c>
      <c r="G422" s="141">
        <f>IFERROR(VLOOKUP($B422,calc_data,G$14+1,0),0)</f>
        <v/>
      </c>
      <c r="H422" s="141">
        <f>IFERROR(VLOOKUP($B422,calc_data,H$14+1,0),0)</f>
        <v/>
      </c>
      <c r="I422" s="142">
        <f>IFERROR(VLOOKUP($B422,calc_data,I$14+1,0),0)</f>
        <v/>
      </c>
      <c r="J422" s="141">
        <f>IFERROR(VLOOKUP($B422,calc_data,J$14+1,0),0)</f>
        <v/>
      </c>
      <c r="K422" s="141">
        <f>IFERROR(VLOOKUP($B422,calc_data,K$14+1,0),0)</f>
        <v/>
      </c>
      <c r="L422" s="141">
        <f>IFERROR(VLOOKUP($B422,calc_data,L$14+1,0),0)</f>
        <v/>
      </c>
      <c r="M422" s="177">
        <f>IFERROR(VLOOKUP($B422,calc_data,M$14+1,0),0)</f>
        <v/>
      </c>
      <c r="N422" s="177">
        <f>IFERROR(VLOOKUP($B422,calc_data,N$14+1,0),0)</f>
        <v/>
      </c>
      <c r="O422" s="45" t="n"/>
      <c r="Q422" s="57">
        <f>IF(K422&gt;0,"показать","скрыть")</f>
        <v/>
      </c>
    </row>
    <row r="423" ht="15.75" customHeight="1">
      <c r="B423" s="182" t="n">
        <v>407</v>
      </c>
      <c r="C423" s="182">
        <f>IFERROR(VLOOKUP($B423,calc_data,C$14+1,0),0)</f>
        <v/>
      </c>
      <c r="D423" s="182">
        <f>IFERROR(VLOOKUP($B423,calc_data,D$14+1,0),0)</f>
        <v/>
      </c>
      <c r="E423" s="183">
        <f>IFERROR(VLOOKUP($B423,calc_data,E$14+1,0),0)</f>
        <v/>
      </c>
      <c r="F423" s="182">
        <f>IFERROR(VLOOKUP($B423,calc_data,F$14+1,0),0)</f>
        <v/>
      </c>
      <c r="G423" s="141">
        <f>IFERROR(VLOOKUP($B423,calc_data,G$14+1,0),0)</f>
        <v/>
      </c>
      <c r="H423" s="141">
        <f>IFERROR(VLOOKUP($B423,calc_data,H$14+1,0),0)</f>
        <v/>
      </c>
      <c r="I423" s="142">
        <f>IFERROR(VLOOKUP($B423,calc_data,I$14+1,0),0)</f>
        <v/>
      </c>
      <c r="J423" s="141">
        <f>IFERROR(VLOOKUP($B423,calc_data,J$14+1,0),0)</f>
        <v/>
      </c>
      <c r="K423" s="141">
        <f>IFERROR(VLOOKUP($B423,calc_data,K$14+1,0),0)</f>
        <v/>
      </c>
      <c r="L423" s="141">
        <f>IFERROR(VLOOKUP($B423,calc_data,L$14+1,0),0)</f>
        <v/>
      </c>
      <c r="M423" s="177">
        <f>IFERROR(VLOOKUP($B423,calc_data,M$14+1,0),0)</f>
        <v/>
      </c>
      <c r="N423" s="177">
        <f>IFERROR(VLOOKUP($B423,calc_data,N$14+1,0),0)</f>
        <v/>
      </c>
      <c r="O423" s="45" t="n"/>
      <c r="Q423" s="57">
        <f>IF(K423&gt;0,"показать","скрыть")</f>
        <v/>
      </c>
    </row>
    <row r="424" ht="15.75" customHeight="1">
      <c r="B424" s="182" t="n">
        <v>408</v>
      </c>
      <c r="C424" s="182">
        <f>IFERROR(VLOOKUP($B424,calc_data,C$14+1,0),0)</f>
        <v/>
      </c>
      <c r="D424" s="182">
        <f>IFERROR(VLOOKUP($B424,calc_data,D$14+1,0),0)</f>
        <v/>
      </c>
      <c r="E424" s="183">
        <f>IFERROR(VLOOKUP($B424,calc_data,E$14+1,0),0)</f>
        <v/>
      </c>
      <c r="F424" s="182">
        <f>IFERROR(VLOOKUP($B424,calc_data,F$14+1,0),0)</f>
        <v/>
      </c>
      <c r="G424" s="141">
        <f>IFERROR(VLOOKUP($B424,calc_data,G$14+1,0),0)</f>
        <v/>
      </c>
      <c r="H424" s="141">
        <f>IFERROR(VLOOKUP($B424,calc_data,H$14+1,0),0)</f>
        <v/>
      </c>
      <c r="I424" s="142">
        <f>IFERROR(VLOOKUP($B424,calc_data,I$14+1,0),0)</f>
        <v/>
      </c>
      <c r="J424" s="141">
        <f>IFERROR(VLOOKUP($B424,calc_data,J$14+1,0),0)</f>
        <v/>
      </c>
      <c r="K424" s="141">
        <f>IFERROR(VLOOKUP($B424,calc_data,K$14+1,0),0)</f>
        <v/>
      </c>
      <c r="L424" s="141">
        <f>IFERROR(VLOOKUP($B424,calc_data,L$14+1,0),0)</f>
        <v/>
      </c>
      <c r="M424" s="177">
        <f>IFERROR(VLOOKUP($B424,calc_data,M$14+1,0),0)</f>
        <v/>
      </c>
      <c r="N424" s="177">
        <f>IFERROR(VLOOKUP($B424,calc_data,N$14+1,0),0)</f>
        <v/>
      </c>
      <c r="O424" s="45" t="n"/>
      <c r="Q424" s="57">
        <f>IF(K424&gt;0,"показать","скрыть")</f>
        <v/>
      </c>
    </row>
    <row r="425" ht="15.75" customHeight="1">
      <c r="B425" s="182" t="n">
        <v>409</v>
      </c>
      <c r="C425" s="182">
        <f>IFERROR(VLOOKUP($B425,calc_data,C$14+1,0),0)</f>
        <v/>
      </c>
      <c r="D425" s="182">
        <f>IFERROR(VLOOKUP($B425,calc_data,D$14+1,0),0)</f>
        <v/>
      </c>
      <c r="E425" s="183">
        <f>IFERROR(VLOOKUP($B425,calc_data,E$14+1,0),0)</f>
        <v/>
      </c>
      <c r="F425" s="182">
        <f>IFERROR(VLOOKUP($B425,calc_data,F$14+1,0),0)</f>
        <v/>
      </c>
      <c r="G425" s="141">
        <f>IFERROR(VLOOKUP($B425,calc_data,G$14+1,0),0)</f>
        <v/>
      </c>
      <c r="H425" s="141">
        <f>IFERROR(VLOOKUP($B425,calc_data,H$14+1,0),0)</f>
        <v/>
      </c>
      <c r="I425" s="142">
        <f>IFERROR(VLOOKUP($B425,calc_data,I$14+1,0),0)</f>
        <v/>
      </c>
      <c r="J425" s="141">
        <f>IFERROR(VLOOKUP($B425,calc_data,J$14+1,0),0)</f>
        <v/>
      </c>
      <c r="K425" s="141">
        <f>IFERROR(VLOOKUP($B425,calc_data,K$14+1,0),0)</f>
        <v/>
      </c>
      <c r="L425" s="141">
        <f>IFERROR(VLOOKUP($B425,calc_data,L$14+1,0),0)</f>
        <v/>
      </c>
      <c r="M425" s="177">
        <f>IFERROR(VLOOKUP($B425,calc_data,M$14+1,0),0)</f>
        <v/>
      </c>
      <c r="N425" s="177">
        <f>IFERROR(VLOOKUP($B425,calc_data,N$14+1,0),0)</f>
        <v/>
      </c>
      <c r="O425" s="45" t="n"/>
      <c r="Q425" s="57">
        <f>IF(K425&gt;0,"показать","скрыть")</f>
        <v/>
      </c>
    </row>
    <row r="426" ht="15.75" customHeight="1">
      <c r="B426" s="182" t="n">
        <v>410</v>
      </c>
      <c r="C426" s="182">
        <f>IFERROR(VLOOKUP($B426,calc_data,C$14+1,0),0)</f>
        <v/>
      </c>
      <c r="D426" s="182">
        <f>IFERROR(VLOOKUP($B426,calc_data,D$14+1,0),0)</f>
        <v/>
      </c>
      <c r="E426" s="183">
        <f>IFERROR(VLOOKUP($B426,calc_data,E$14+1,0),0)</f>
        <v/>
      </c>
      <c r="F426" s="182">
        <f>IFERROR(VLOOKUP($B426,calc_data,F$14+1,0),0)</f>
        <v/>
      </c>
      <c r="G426" s="141">
        <f>IFERROR(VLOOKUP($B426,calc_data,G$14+1,0),0)</f>
        <v/>
      </c>
      <c r="H426" s="141">
        <f>IFERROR(VLOOKUP($B426,calc_data,H$14+1,0),0)</f>
        <v/>
      </c>
      <c r="I426" s="142">
        <f>IFERROR(VLOOKUP($B426,calc_data,I$14+1,0),0)</f>
        <v/>
      </c>
      <c r="J426" s="141">
        <f>IFERROR(VLOOKUP($B426,calc_data,J$14+1,0),0)</f>
        <v/>
      </c>
      <c r="K426" s="141">
        <f>IFERROR(VLOOKUP($B426,calc_data,K$14+1,0),0)</f>
        <v/>
      </c>
      <c r="L426" s="141">
        <f>IFERROR(VLOOKUP($B426,calc_data,L$14+1,0),0)</f>
        <v/>
      </c>
      <c r="M426" s="177">
        <f>IFERROR(VLOOKUP($B426,calc_data,M$14+1,0),0)</f>
        <v/>
      </c>
      <c r="N426" s="177">
        <f>IFERROR(VLOOKUP($B426,calc_data,N$14+1,0),0)</f>
        <v/>
      </c>
      <c r="O426" s="45" t="n"/>
      <c r="Q426" s="57">
        <f>IF(K426&gt;0,"показать","скрыть")</f>
        <v/>
      </c>
    </row>
    <row r="427" ht="15.75" customHeight="1">
      <c r="B427" s="182" t="n">
        <v>411</v>
      </c>
      <c r="C427" s="182">
        <f>IFERROR(VLOOKUP($B427,calc_data,C$14+1,0),0)</f>
        <v/>
      </c>
      <c r="D427" s="182">
        <f>IFERROR(VLOOKUP($B427,calc_data,D$14+1,0),0)</f>
        <v/>
      </c>
      <c r="E427" s="183">
        <f>IFERROR(VLOOKUP($B427,calc_data,E$14+1,0),0)</f>
        <v/>
      </c>
      <c r="F427" s="182">
        <f>IFERROR(VLOOKUP($B427,calc_data,F$14+1,0),0)</f>
        <v/>
      </c>
      <c r="G427" s="141">
        <f>IFERROR(VLOOKUP($B427,calc_data,G$14+1,0),0)</f>
        <v/>
      </c>
      <c r="H427" s="141">
        <f>IFERROR(VLOOKUP($B427,calc_data,H$14+1,0),0)</f>
        <v/>
      </c>
      <c r="I427" s="142">
        <f>IFERROR(VLOOKUP($B427,calc_data,I$14+1,0),0)</f>
        <v/>
      </c>
      <c r="J427" s="141">
        <f>IFERROR(VLOOKUP($B427,calc_data,J$14+1,0),0)</f>
        <v/>
      </c>
      <c r="K427" s="141">
        <f>IFERROR(VLOOKUP($B427,calc_data,K$14+1,0),0)</f>
        <v/>
      </c>
      <c r="L427" s="141">
        <f>IFERROR(VLOOKUP($B427,calc_data,L$14+1,0),0)</f>
        <v/>
      </c>
      <c r="M427" s="177">
        <f>IFERROR(VLOOKUP($B427,calc_data,M$14+1,0),0)</f>
        <v/>
      </c>
      <c r="N427" s="177">
        <f>IFERROR(VLOOKUP($B427,calc_data,N$14+1,0),0)</f>
        <v/>
      </c>
      <c r="O427" s="45" t="n"/>
      <c r="Q427" s="57">
        <f>IF(K427&gt;0,"показать","скрыть")</f>
        <v/>
      </c>
    </row>
    <row r="428" ht="15.75" customHeight="1">
      <c r="B428" s="182" t="n">
        <v>412</v>
      </c>
      <c r="C428" s="182">
        <f>IFERROR(VLOOKUP($B428,calc_data,C$14+1,0),0)</f>
        <v/>
      </c>
      <c r="D428" s="182">
        <f>IFERROR(VLOOKUP($B428,calc_data,D$14+1,0),0)</f>
        <v/>
      </c>
      <c r="E428" s="183">
        <f>IFERROR(VLOOKUP($B428,calc_data,E$14+1,0),0)</f>
        <v/>
      </c>
      <c r="F428" s="182">
        <f>IFERROR(VLOOKUP($B428,calc_data,F$14+1,0),0)</f>
        <v/>
      </c>
      <c r="G428" s="141">
        <f>IFERROR(VLOOKUP($B428,calc_data,G$14+1,0),0)</f>
        <v/>
      </c>
      <c r="H428" s="141">
        <f>IFERROR(VLOOKUP($B428,calc_data,H$14+1,0),0)</f>
        <v/>
      </c>
      <c r="I428" s="142">
        <f>IFERROR(VLOOKUP($B428,calc_data,I$14+1,0),0)</f>
        <v/>
      </c>
      <c r="J428" s="141">
        <f>IFERROR(VLOOKUP($B428,calc_data,J$14+1,0),0)</f>
        <v/>
      </c>
      <c r="K428" s="141">
        <f>IFERROR(VLOOKUP($B428,calc_data,K$14+1,0),0)</f>
        <v/>
      </c>
      <c r="L428" s="141">
        <f>IFERROR(VLOOKUP($B428,calc_data,L$14+1,0),0)</f>
        <v/>
      </c>
      <c r="M428" s="177">
        <f>IFERROR(VLOOKUP($B428,calc_data,M$14+1,0),0)</f>
        <v/>
      </c>
      <c r="N428" s="177">
        <f>IFERROR(VLOOKUP($B428,calc_data,N$14+1,0),0)</f>
        <v/>
      </c>
      <c r="O428" s="45" t="n"/>
      <c r="Q428" s="57">
        <f>IF(K428&gt;0,"показать","скрыть")</f>
        <v/>
      </c>
    </row>
    <row r="429" ht="15.75" customHeight="1">
      <c r="B429" s="182" t="n">
        <v>413</v>
      </c>
      <c r="C429" s="182">
        <f>IFERROR(VLOOKUP($B429,calc_data,C$14+1,0),0)</f>
        <v/>
      </c>
      <c r="D429" s="182">
        <f>IFERROR(VLOOKUP($B429,calc_data,D$14+1,0),0)</f>
        <v/>
      </c>
      <c r="E429" s="183">
        <f>IFERROR(VLOOKUP($B429,calc_data,E$14+1,0),0)</f>
        <v/>
      </c>
      <c r="F429" s="182">
        <f>IFERROR(VLOOKUP($B429,calc_data,F$14+1,0),0)</f>
        <v/>
      </c>
      <c r="G429" s="141">
        <f>IFERROR(VLOOKUP($B429,calc_data,G$14+1,0),0)</f>
        <v/>
      </c>
      <c r="H429" s="141">
        <f>IFERROR(VLOOKUP($B429,calc_data,H$14+1,0),0)</f>
        <v/>
      </c>
      <c r="I429" s="142">
        <f>IFERROR(VLOOKUP($B429,calc_data,I$14+1,0),0)</f>
        <v/>
      </c>
      <c r="J429" s="141">
        <f>IFERROR(VLOOKUP($B429,calc_data,J$14+1,0),0)</f>
        <v/>
      </c>
      <c r="K429" s="141">
        <f>IFERROR(VLOOKUP($B429,calc_data,K$14+1,0),0)</f>
        <v/>
      </c>
      <c r="L429" s="141">
        <f>IFERROR(VLOOKUP($B429,calc_data,L$14+1,0),0)</f>
        <v/>
      </c>
      <c r="M429" s="177">
        <f>IFERROR(VLOOKUP($B429,calc_data,M$14+1,0),0)</f>
        <v/>
      </c>
      <c r="N429" s="177">
        <f>IFERROR(VLOOKUP($B429,calc_data,N$14+1,0),0)</f>
        <v/>
      </c>
      <c r="O429" s="45" t="n"/>
      <c r="Q429" s="57">
        <f>IF(K429&gt;0,"показать","скрыть")</f>
        <v/>
      </c>
    </row>
    <row r="430" ht="15.75" customHeight="1">
      <c r="B430" s="182" t="n">
        <v>414</v>
      </c>
      <c r="C430" s="182">
        <f>IFERROR(VLOOKUP($B430,calc_data,C$14+1,0),0)</f>
        <v/>
      </c>
      <c r="D430" s="182">
        <f>IFERROR(VLOOKUP($B430,calc_data,D$14+1,0),0)</f>
        <v/>
      </c>
      <c r="E430" s="183">
        <f>IFERROR(VLOOKUP($B430,calc_data,E$14+1,0),0)</f>
        <v/>
      </c>
      <c r="F430" s="182">
        <f>IFERROR(VLOOKUP($B430,calc_data,F$14+1,0),0)</f>
        <v/>
      </c>
      <c r="G430" s="141">
        <f>IFERROR(VLOOKUP($B430,calc_data,G$14+1,0),0)</f>
        <v/>
      </c>
      <c r="H430" s="141">
        <f>IFERROR(VLOOKUP($B430,calc_data,H$14+1,0),0)</f>
        <v/>
      </c>
      <c r="I430" s="142">
        <f>IFERROR(VLOOKUP($B430,calc_data,I$14+1,0),0)</f>
        <v/>
      </c>
      <c r="J430" s="141">
        <f>IFERROR(VLOOKUP($B430,calc_data,J$14+1,0),0)</f>
        <v/>
      </c>
      <c r="K430" s="141">
        <f>IFERROR(VLOOKUP($B430,calc_data,K$14+1,0),0)</f>
        <v/>
      </c>
      <c r="L430" s="141">
        <f>IFERROR(VLOOKUP($B430,calc_data,L$14+1,0),0)</f>
        <v/>
      </c>
      <c r="M430" s="177">
        <f>IFERROR(VLOOKUP($B430,calc_data,M$14+1,0),0)</f>
        <v/>
      </c>
      <c r="N430" s="177">
        <f>IFERROR(VLOOKUP($B430,calc_data,N$14+1,0),0)</f>
        <v/>
      </c>
      <c r="O430" s="45" t="n"/>
      <c r="Q430" s="57">
        <f>IF(K430&gt;0,"показать","скрыть")</f>
        <v/>
      </c>
    </row>
    <row r="431" ht="15.75" customHeight="1">
      <c r="B431" s="182" t="n">
        <v>415</v>
      </c>
      <c r="C431" s="182">
        <f>IFERROR(VLOOKUP($B431,calc_data,C$14+1,0),0)</f>
        <v/>
      </c>
      <c r="D431" s="182">
        <f>IFERROR(VLOOKUP($B431,calc_data,D$14+1,0),0)</f>
        <v/>
      </c>
      <c r="E431" s="183">
        <f>IFERROR(VLOOKUP($B431,calc_data,E$14+1,0),0)</f>
        <v/>
      </c>
      <c r="F431" s="182">
        <f>IFERROR(VLOOKUP($B431,calc_data,F$14+1,0),0)</f>
        <v/>
      </c>
      <c r="G431" s="141">
        <f>IFERROR(VLOOKUP($B431,calc_data,G$14+1,0),0)</f>
        <v/>
      </c>
      <c r="H431" s="141">
        <f>IFERROR(VLOOKUP($B431,calc_data,H$14+1,0),0)</f>
        <v/>
      </c>
      <c r="I431" s="142">
        <f>IFERROR(VLOOKUP($B431,calc_data,I$14+1,0),0)</f>
        <v/>
      </c>
      <c r="J431" s="141">
        <f>IFERROR(VLOOKUP($B431,calc_data,J$14+1,0),0)</f>
        <v/>
      </c>
      <c r="K431" s="141">
        <f>IFERROR(VLOOKUP($B431,calc_data,K$14+1,0),0)</f>
        <v/>
      </c>
      <c r="L431" s="141">
        <f>IFERROR(VLOOKUP($B431,calc_data,L$14+1,0),0)</f>
        <v/>
      </c>
      <c r="M431" s="177">
        <f>IFERROR(VLOOKUP($B431,calc_data,M$14+1,0),0)</f>
        <v/>
      </c>
      <c r="N431" s="177">
        <f>IFERROR(VLOOKUP($B431,calc_data,N$14+1,0),0)</f>
        <v/>
      </c>
      <c r="O431" s="45" t="n"/>
      <c r="Q431" s="57">
        <f>IF(K431&gt;0,"показать","скрыть")</f>
        <v/>
      </c>
    </row>
    <row r="432" ht="15.75" customHeight="1">
      <c r="B432" s="182" t="n">
        <v>416</v>
      </c>
      <c r="C432" s="182">
        <f>IFERROR(VLOOKUP($B432,calc_data,C$14+1,0),0)</f>
        <v/>
      </c>
      <c r="D432" s="182">
        <f>IFERROR(VLOOKUP($B432,calc_data,D$14+1,0),0)</f>
        <v/>
      </c>
      <c r="E432" s="183">
        <f>IFERROR(VLOOKUP($B432,calc_data,E$14+1,0),0)</f>
        <v/>
      </c>
      <c r="F432" s="182">
        <f>IFERROR(VLOOKUP($B432,calc_data,F$14+1,0),0)</f>
        <v/>
      </c>
      <c r="G432" s="141">
        <f>IFERROR(VLOOKUP($B432,calc_data,G$14+1,0),0)</f>
        <v/>
      </c>
      <c r="H432" s="141">
        <f>IFERROR(VLOOKUP($B432,calc_data,H$14+1,0),0)</f>
        <v/>
      </c>
      <c r="I432" s="142">
        <f>IFERROR(VLOOKUP($B432,calc_data,I$14+1,0),0)</f>
        <v/>
      </c>
      <c r="J432" s="141">
        <f>IFERROR(VLOOKUP($B432,calc_data,J$14+1,0),0)</f>
        <v/>
      </c>
      <c r="K432" s="141">
        <f>IFERROR(VLOOKUP($B432,calc_data,K$14+1,0),0)</f>
        <v/>
      </c>
      <c r="L432" s="141">
        <f>IFERROR(VLOOKUP($B432,calc_data,L$14+1,0),0)</f>
        <v/>
      </c>
      <c r="M432" s="177">
        <f>IFERROR(VLOOKUP($B432,calc_data,M$14+1,0),0)</f>
        <v/>
      </c>
      <c r="N432" s="177">
        <f>IFERROR(VLOOKUP($B432,calc_data,N$14+1,0),0)</f>
        <v/>
      </c>
      <c r="O432" s="45" t="n"/>
      <c r="Q432" s="57">
        <f>IF(K432&gt;0,"показать","скрыть")</f>
        <v/>
      </c>
    </row>
    <row r="433" ht="15.75" customHeight="1">
      <c r="B433" s="182" t="n">
        <v>417</v>
      </c>
      <c r="C433" s="182">
        <f>IFERROR(VLOOKUP($B433,calc_data,C$14+1,0),0)</f>
        <v/>
      </c>
      <c r="D433" s="182">
        <f>IFERROR(VLOOKUP($B433,calc_data,D$14+1,0),0)</f>
        <v/>
      </c>
      <c r="E433" s="183">
        <f>IFERROR(VLOOKUP($B433,calc_data,E$14+1,0),0)</f>
        <v/>
      </c>
      <c r="F433" s="182">
        <f>IFERROR(VLOOKUP($B433,calc_data,F$14+1,0),0)</f>
        <v/>
      </c>
      <c r="G433" s="141">
        <f>IFERROR(VLOOKUP($B433,calc_data,G$14+1,0),0)</f>
        <v/>
      </c>
      <c r="H433" s="141">
        <f>IFERROR(VLOOKUP($B433,calc_data,H$14+1,0),0)</f>
        <v/>
      </c>
      <c r="I433" s="142">
        <f>IFERROR(VLOOKUP($B433,calc_data,I$14+1,0),0)</f>
        <v/>
      </c>
      <c r="J433" s="141">
        <f>IFERROR(VLOOKUP($B433,calc_data,J$14+1,0),0)</f>
        <v/>
      </c>
      <c r="K433" s="141">
        <f>IFERROR(VLOOKUP($B433,calc_data,K$14+1,0),0)</f>
        <v/>
      </c>
      <c r="L433" s="141">
        <f>IFERROR(VLOOKUP($B433,calc_data,L$14+1,0),0)</f>
        <v/>
      </c>
      <c r="M433" s="177">
        <f>IFERROR(VLOOKUP($B433,calc_data,M$14+1,0),0)</f>
        <v/>
      </c>
      <c r="N433" s="177">
        <f>IFERROR(VLOOKUP($B433,calc_data,N$14+1,0),0)</f>
        <v/>
      </c>
      <c r="O433" s="45" t="n"/>
      <c r="Q433" s="57">
        <f>IF(K433&gt;0,"показать","скрыть")</f>
        <v/>
      </c>
    </row>
    <row r="434" ht="15.75" customHeight="1">
      <c r="B434" s="182" t="n">
        <v>418</v>
      </c>
      <c r="C434" s="182">
        <f>IFERROR(VLOOKUP($B434,calc_data,C$14+1,0),0)</f>
        <v/>
      </c>
      <c r="D434" s="182">
        <f>IFERROR(VLOOKUP($B434,calc_data,D$14+1,0),0)</f>
        <v/>
      </c>
      <c r="E434" s="183">
        <f>IFERROR(VLOOKUP($B434,calc_data,E$14+1,0),0)</f>
        <v/>
      </c>
      <c r="F434" s="182">
        <f>IFERROR(VLOOKUP($B434,calc_data,F$14+1,0),0)</f>
        <v/>
      </c>
      <c r="G434" s="141">
        <f>IFERROR(VLOOKUP($B434,calc_data,G$14+1,0),0)</f>
        <v/>
      </c>
      <c r="H434" s="141">
        <f>IFERROR(VLOOKUP($B434,calc_data,H$14+1,0),0)</f>
        <v/>
      </c>
      <c r="I434" s="142">
        <f>IFERROR(VLOOKUP($B434,calc_data,I$14+1,0),0)</f>
        <v/>
      </c>
      <c r="J434" s="141">
        <f>IFERROR(VLOOKUP($B434,calc_data,J$14+1,0),0)</f>
        <v/>
      </c>
      <c r="K434" s="141">
        <f>IFERROR(VLOOKUP($B434,calc_data,K$14+1,0),0)</f>
        <v/>
      </c>
      <c r="L434" s="141">
        <f>IFERROR(VLOOKUP($B434,calc_data,L$14+1,0),0)</f>
        <v/>
      </c>
      <c r="M434" s="177">
        <f>IFERROR(VLOOKUP($B434,calc_data,M$14+1,0),0)</f>
        <v/>
      </c>
      <c r="N434" s="177">
        <f>IFERROR(VLOOKUP($B434,calc_data,N$14+1,0),0)</f>
        <v/>
      </c>
      <c r="O434" s="45" t="n"/>
      <c r="Q434" s="57">
        <f>IF(K434&gt;0,"показать","скрыть")</f>
        <v/>
      </c>
    </row>
    <row r="435" ht="15.75" customHeight="1">
      <c r="B435" s="182" t="n">
        <v>419</v>
      </c>
      <c r="C435" s="182">
        <f>IFERROR(VLOOKUP($B435,calc_data,C$14+1,0),0)</f>
        <v/>
      </c>
      <c r="D435" s="182">
        <f>IFERROR(VLOOKUP($B435,calc_data,D$14+1,0),0)</f>
        <v/>
      </c>
      <c r="E435" s="183">
        <f>IFERROR(VLOOKUP($B435,calc_data,E$14+1,0),0)</f>
        <v/>
      </c>
      <c r="F435" s="182">
        <f>IFERROR(VLOOKUP($B435,calc_data,F$14+1,0),0)</f>
        <v/>
      </c>
      <c r="G435" s="141">
        <f>IFERROR(VLOOKUP($B435,calc_data,G$14+1,0),0)</f>
        <v/>
      </c>
      <c r="H435" s="141">
        <f>IFERROR(VLOOKUP($B435,calc_data,H$14+1,0),0)</f>
        <v/>
      </c>
      <c r="I435" s="142">
        <f>IFERROR(VLOOKUP($B435,calc_data,I$14+1,0),0)</f>
        <v/>
      </c>
      <c r="J435" s="141">
        <f>IFERROR(VLOOKUP($B435,calc_data,J$14+1,0),0)</f>
        <v/>
      </c>
      <c r="K435" s="141">
        <f>IFERROR(VLOOKUP($B435,calc_data,K$14+1,0),0)</f>
        <v/>
      </c>
      <c r="L435" s="141">
        <f>IFERROR(VLOOKUP($B435,calc_data,L$14+1,0),0)</f>
        <v/>
      </c>
      <c r="M435" s="177">
        <f>IFERROR(VLOOKUP($B435,calc_data,M$14+1,0),0)</f>
        <v/>
      </c>
      <c r="N435" s="177">
        <f>IFERROR(VLOOKUP($B435,calc_data,N$14+1,0),0)</f>
        <v/>
      </c>
      <c r="O435" s="45" t="n"/>
      <c r="Q435" s="57">
        <f>IF(K435&gt;0,"показать","скрыть")</f>
        <v/>
      </c>
    </row>
    <row r="436" ht="15.75" customHeight="1">
      <c r="B436" s="182" t="n">
        <v>420</v>
      </c>
      <c r="C436" s="182">
        <f>IFERROR(VLOOKUP($B436,calc_data,C$14+1,0),0)</f>
        <v/>
      </c>
      <c r="D436" s="182">
        <f>IFERROR(VLOOKUP($B436,calc_data,D$14+1,0),0)</f>
        <v/>
      </c>
      <c r="E436" s="183">
        <f>IFERROR(VLOOKUP($B436,calc_data,E$14+1,0),0)</f>
        <v/>
      </c>
      <c r="F436" s="182">
        <f>IFERROR(VLOOKUP($B436,calc_data,F$14+1,0),0)</f>
        <v/>
      </c>
      <c r="G436" s="141">
        <f>IFERROR(VLOOKUP($B436,calc_data,G$14+1,0),0)</f>
        <v/>
      </c>
      <c r="H436" s="141">
        <f>IFERROR(VLOOKUP($B436,calc_data,H$14+1,0),0)</f>
        <v/>
      </c>
      <c r="I436" s="142">
        <f>IFERROR(VLOOKUP($B436,calc_data,I$14+1,0),0)</f>
        <v/>
      </c>
      <c r="J436" s="141">
        <f>IFERROR(VLOOKUP($B436,calc_data,J$14+1,0),0)</f>
        <v/>
      </c>
      <c r="K436" s="141">
        <f>IFERROR(VLOOKUP($B436,calc_data,K$14+1,0),0)</f>
        <v/>
      </c>
      <c r="L436" s="141">
        <f>IFERROR(VLOOKUP($B436,calc_data,L$14+1,0),0)</f>
        <v/>
      </c>
      <c r="M436" s="177">
        <f>IFERROR(VLOOKUP($B436,calc_data,M$14+1,0),0)</f>
        <v/>
      </c>
      <c r="N436" s="177">
        <f>IFERROR(VLOOKUP($B436,calc_data,N$14+1,0),0)</f>
        <v/>
      </c>
      <c r="O436" s="45" t="n"/>
      <c r="Q436" s="57">
        <f>IF(K436&gt;0,"показать","скрыть")</f>
        <v/>
      </c>
    </row>
    <row r="437" ht="15.75" customHeight="1">
      <c r="B437" s="182" t="n">
        <v>421</v>
      </c>
      <c r="C437" s="182">
        <f>IFERROR(VLOOKUP($B437,calc_data,C$14+1,0),0)</f>
        <v/>
      </c>
      <c r="D437" s="182">
        <f>IFERROR(VLOOKUP($B437,calc_data,D$14+1,0),0)</f>
        <v/>
      </c>
      <c r="E437" s="183">
        <f>IFERROR(VLOOKUP($B437,calc_data,E$14+1,0),0)</f>
        <v/>
      </c>
      <c r="F437" s="182">
        <f>IFERROR(VLOOKUP($B437,calc_data,F$14+1,0),0)</f>
        <v/>
      </c>
      <c r="G437" s="141">
        <f>IFERROR(VLOOKUP($B437,calc_data,G$14+1,0),0)</f>
        <v/>
      </c>
      <c r="H437" s="141">
        <f>IFERROR(VLOOKUP($B437,calc_data,H$14+1,0),0)</f>
        <v/>
      </c>
      <c r="I437" s="142">
        <f>IFERROR(VLOOKUP($B437,calc_data,I$14+1,0),0)</f>
        <v/>
      </c>
      <c r="J437" s="141">
        <f>IFERROR(VLOOKUP($B437,calc_data,J$14+1,0),0)</f>
        <v/>
      </c>
      <c r="K437" s="141">
        <f>IFERROR(VLOOKUP($B437,calc_data,K$14+1,0),0)</f>
        <v/>
      </c>
      <c r="L437" s="141">
        <f>IFERROR(VLOOKUP($B437,calc_data,L$14+1,0),0)</f>
        <v/>
      </c>
      <c r="M437" s="177">
        <f>IFERROR(VLOOKUP($B437,calc_data,M$14+1,0),0)</f>
        <v/>
      </c>
      <c r="N437" s="177">
        <f>IFERROR(VLOOKUP($B437,calc_data,N$14+1,0),0)</f>
        <v/>
      </c>
      <c r="O437" s="45" t="n"/>
      <c r="Q437" s="57">
        <f>IF(K437&gt;0,"показать","скрыть")</f>
        <v/>
      </c>
    </row>
    <row r="438" ht="15.75" customHeight="1">
      <c r="B438" s="182" t="n">
        <v>422</v>
      </c>
      <c r="C438" s="182">
        <f>IFERROR(VLOOKUP($B438,calc_data,C$14+1,0),0)</f>
        <v/>
      </c>
      <c r="D438" s="182">
        <f>IFERROR(VLOOKUP($B438,calc_data,D$14+1,0),0)</f>
        <v/>
      </c>
      <c r="E438" s="183">
        <f>IFERROR(VLOOKUP($B438,calc_data,E$14+1,0),0)</f>
        <v/>
      </c>
      <c r="F438" s="182">
        <f>IFERROR(VLOOKUP($B438,calc_data,F$14+1,0),0)</f>
        <v/>
      </c>
      <c r="G438" s="141">
        <f>IFERROR(VLOOKUP($B438,calc_data,G$14+1,0),0)</f>
        <v/>
      </c>
      <c r="H438" s="141">
        <f>IFERROR(VLOOKUP($B438,calc_data,H$14+1,0),0)</f>
        <v/>
      </c>
      <c r="I438" s="142">
        <f>IFERROR(VLOOKUP($B438,calc_data,I$14+1,0),0)</f>
        <v/>
      </c>
      <c r="J438" s="141">
        <f>IFERROR(VLOOKUP($B438,calc_data,J$14+1,0),0)</f>
        <v/>
      </c>
      <c r="K438" s="141">
        <f>IFERROR(VLOOKUP($B438,calc_data,K$14+1,0),0)</f>
        <v/>
      </c>
      <c r="L438" s="141">
        <f>IFERROR(VLOOKUP($B438,calc_data,L$14+1,0),0)</f>
        <v/>
      </c>
      <c r="M438" s="177">
        <f>IFERROR(VLOOKUP($B438,calc_data,M$14+1,0),0)</f>
        <v/>
      </c>
      <c r="N438" s="177">
        <f>IFERROR(VLOOKUP($B438,calc_data,N$14+1,0),0)</f>
        <v/>
      </c>
      <c r="O438" s="45" t="n"/>
      <c r="Q438" s="57">
        <f>IF(K438&gt;0,"показать","скрыть")</f>
        <v/>
      </c>
    </row>
    <row r="439" ht="15.75" customHeight="1">
      <c r="B439" s="182" t="n">
        <v>423</v>
      </c>
      <c r="C439" s="182">
        <f>IFERROR(VLOOKUP($B439,calc_data,C$14+1,0),0)</f>
        <v/>
      </c>
      <c r="D439" s="182">
        <f>IFERROR(VLOOKUP($B439,calc_data,D$14+1,0),0)</f>
        <v/>
      </c>
      <c r="E439" s="183">
        <f>IFERROR(VLOOKUP($B439,calc_data,E$14+1,0),0)</f>
        <v/>
      </c>
      <c r="F439" s="182">
        <f>IFERROR(VLOOKUP($B439,calc_data,F$14+1,0),0)</f>
        <v/>
      </c>
      <c r="G439" s="141">
        <f>IFERROR(VLOOKUP($B439,calc_data,G$14+1,0),0)</f>
        <v/>
      </c>
      <c r="H439" s="141">
        <f>IFERROR(VLOOKUP($B439,calc_data,H$14+1,0),0)</f>
        <v/>
      </c>
      <c r="I439" s="142">
        <f>IFERROR(VLOOKUP($B439,calc_data,I$14+1,0),0)</f>
        <v/>
      </c>
      <c r="J439" s="141">
        <f>IFERROR(VLOOKUP($B439,calc_data,J$14+1,0),0)</f>
        <v/>
      </c>
      <c r="K439" s="141">
        <f>IFERROR(VLOOKUP($B439,calc_data,K$14+1,0),0)</f>
        <v/>
      </c>
      <c r="L439" s="141">
        <f>IFERROR(VLOOKUP($B439,calc_data,L$14+1,0),0)</f>
        <v/>
      </c>
      <c r="M439" s="177">
        <f>IFERROR(VLOOKUP($B439,calc_data,M$14+1,0),0)</f>
        <v/>
      </c>
      <c r="N439" s="177">
        <f>IFERROR(VLOOKUP($B439,calc_data,N$14+1,0),0)</f>
        <v/>
      </c>
      <c r="O439" s="45" t="n"/>
      <c r="Q439" s="57">
        <f>IF(K439&gt;0,"показать","скрыть")</f>
        <v/>
      </c>
    </row>
    <row r="440" ht="15.75" customHeight="1">
      <c r="B440" s="182" t="n">
        <v>424</v>
      </c>
      <c r="C440" s="182">
        <f>IFERROR(VLOOKUP($B440,calc_data,C$14+1,0),0)</f>
        <v/>
      </c>
      <c r="D440" s="182">
        <f>IFERROR(VLOOKUP($B440,calc_data,D$14+1,0),0)</f>
        <v/>
      </c>
      <c r="E440" s="183">
        <f>IFERROR(VLOOKUP($B440,calc_data,E$14+1,0),0)</f>
        <v/>
      </c>
      <c r="F440" s="182">
        <f>IFERROR(VLOOKUP($B440,calc_data,F$14+1,0),0)</f>
        <v/>
      </c>
      <c r="G440" s="141">
        <f>IFERROR(VLOOKUP($B440,calc_data,G$14+1,0),0)</f>
        <v/>
      </c>
      <c r="H440" s="141">
        <f>IFERROR(VLOOKUP($B440,calc_data,H$14+1,0),0)</f>
        <v/>
      </c>
      <c r="I440" s="142">
        <f>IFERROR(VLOOKUP($B440,calc_data,I$14+1,0),0)</f>
        <v/>
      </c>
      <c r="J440" s="141">
        <f>IFERROR(VLOOKUP($B440,calc_data,J$14+1,0),0)</f>
        <v/>
      </c>
      <c r="K440" s="141">
        <f>IFERROR(VLOOKUP($B440,calc_data,K$14+1,0),0)</f>
        <v/>
      </c>
      <c r="L440" s="141">
        <f>IFERROR(VLOOKUP($B440,calc_data,L$14+1,0),0)</f>
        <v/>
      </c>
      <c r="M440" s="177">
        <f>IFERROR(VLOOKUP($B440,calc_data,M$14+1,0),0)</f>
        <v/>
      </c>
      <c r="N440" s="177">
        <f>IFERROR(VLOOKUP($B440,calc_data,N$14+1,0),0)</f>
        <v/>
      </c>
      <c r="O440" s="45" t="n"/>
      <c r="Q440" s="57">
        <f>IF(K440&gt;0,"показать","скрыть")</f>
        <v/>
      </c>
    </row>
    <row r="441" ht="15.75" customHeight="1">
      <c r="B441" s="182" t="n">
        <v>425</v>
      </c>
      <c r="C441" s="182">
        <f>IFERROR(VLOOKUP($B441,calc_data,C$14+1,0),0)</f>
        <v/>
      </c>
      <c r="D441" s="182">
        <f>IFERROR(VLOOKUP($B441,calc_data,D$14+1,0),0)</f>
        <v/>
      </c>
      <c r="E441" s="183">
        <f>IFERROR(VLOOKUP($B441,calc_data,E$14+1,0),0)</f>
        <v/>
      </c>
      <c r="F441" s="182">
        <f>IFERROR(VLOOKUP($B441,calc_data,F$14+1,0),0)</f>
        <v/>
      </c>
      <c r="G441" s="141">
        <f>IFERROR(VLOOKUP($B441,calc_data,G$14+1,0),0)</f>
        <v/>
      </c>
      <c r="H441" s="141">
        <f>IFERROR(VLOOKUP($B441,calc_data,H$14+1,0),0)</f>
        <v/>
      </c>
      <c r="I441" s="142">
        <f>IFERROR(VLOOKUP($B441,calc_data,I$14+1,0),0)</f>
        <v/>
      </c>
      <c r="J441" s="141">
        <f>IFERROR(VLOOKUP($B441,calc_data,J$14+1,0),0)</f>
        <v/>
      </c>
      <c r="K441" s="141">
        <f>IFERROR(VLOOKUP($B441,calc_data,K$14+1,0),0)</f>
        <v/>
      </c>
      <c r="L441" s="141">
        <f>IFERROR(VLOOKUP($B441,calc_data,L$14+1,0),0)</f>
        <v/>
      </c>
      <c r="M441" s="177">
        <f>IFERROR(VLOOKUP($B441,calc_data,M$14+1,0),0)</f>
        <v/>
      </c>
      <c r="N441" s="177">
        <f>IFERROR(VLOOKUP($B441,calc_data,N$14+1,0),0)</f>
        <v/>
      </c>
      <c r="O441" s="45" t="n"/>
      <c r="Q441" s="57">
        <f>IF(K441&gt;0,"показать","скрыть")</f>
        <v/>
      </c>
    </row>
    <row r="442" ht="15.75" customHeight="1">
      <c r="B442" s="182" t="n">
        <v>426</v>
      </c>
      <c r="C442" s="182">
        <f>IFERROR(VLOOKUP($B442,calc_data,C$14+1,0),0)</f>
        <v/>
      </c>
      <c r="D442" s="182">
        <f>IFERROR(VLOOKUP($B442,calc_data,D$14+1,0),0)</f>
        <v/>
      </c>
      <c r="E442" s="183">
        <f>IFERROR(VLOOKUP($B442,calc_data,E$14+1,0),0)</f>
        <v/>
      </c>
      <c r="F442" s="182">
        <f>IFERROR(VLOOKUP($B442,calc_data,F$14+1,0),0)</f>
        <v/>
      </c>
      <c r="G442" s="141">
        <f>IFERROR(VLOOKUP($B442,calc_data,G$14+1,0),0)</f>
        <v/>
      </c>
      <c r="H442" s="141">
        <f>IFERROR(VLOOKUP($B442,calc_data,H$14+1,0),0)</f>
        <v/>
      </c>
      <c r="I442" s="142">
        <f>IFERROR(VLOOKUP($B442,calc_data,I$14+1,0),0)</f>
        <v/>
      </c>
      <c r="J442" s="141">
        <f>IFERROR(VLOOKUP($B442,calc_data,J$14+1,0),0)</f>
        <v/>
      </c>
      <c r="K442" s="141">
        <f>IFERROR(VLOOKUP($B442,calc_data,K$14+1,0),0)</f>
        <v/>
      </c>
      <c r="L442" s="141">
        <f>IFERROR(VLOOKUP($B442,calc_data,L$14+1,0),0)</f>
        <v/>
      </c>
      <c r="M442" s="177">
        <f>IFERROR(VLOOKUP($B442,calc_data,M$14+1,0),0)</f>
        <v/>
      </c>
      <c r="N442" s="177">
        <f>IFERROR(VLOOKUP($B442,calc_data,N$14+1,0),0)</f>
        <v/>
      </c>
      <c r="O442" s="45" t="n"/>
      <c r="Q442" s="57">
        <f>IF(K442&gt;0,"показать","скрыть")</f>
        <v/>
      </c>
    </row>
    <row r="443" ht="15.75" customHeight="1">
      <c r="B443" s="182" t="n">
        <v>427</v>
      </c>
      <c r="C443" s="182">
        <f>IFERROR(VLOOKUP($B443,calc_data,C$14+1,0),0)</f>
        <v/>
      </c>
      <c r="D443" s="182">
        <f>IFERROR(VLOOKUP($B443,calc_data,D$14+1,0),0)</f>
        <v/>
      </c>
      <c r="E443" s="183">
        <f>IFERROR(VLOOKUP($B443,calc_data,E$14+1,0),0)</f>
        <v/>
      </c>
      <c r="F443" s="182">
        <f>IFERROR(VLOOKUP($B443,calc_data,F$14+1,0),0)</f>
        <v/>
      </c>
      <c r="G443" s="141">
        <f>IFERROR(VLOOKUP($B443,calc_data,G$14+1,0),0)</f>
        <v/>
      </c>
      <c r="H443" s="141">
        <f>IFERROR(VLOOKUP($B443,calc_data,H$14+1,0),0)</f>
        <v/>
      </c>
      <c r="I443" s="142">
        <f>IFERROR(VLOOKUP($B443,calc_data,I$14+1,0),0)</f>
        <v/>
      </c>
      <c r="J443" s="141">
        <f>IFERROR(VLOOKUP($B443,calc_data,J$14+1,0),0)</f>
        <v/>
      </c>
      <c r="K443" s="141">
        <f>IFERROR(VLOOKUP($B443,calc_data,K$14+1,0),0)</f>
        <v/>
      </c>
      <c r="L443" s="141">
        <f>IFERROR(VLOOKUP($B443,calc_data,L$14+1,0),0)</f>
        <v/>
      </c>
      <c r="M443" s="177">
        <f>IFERROR(VLOOKUP($B443,calc_data,M$14+1,0),0)</f>
        <v/>
      </c>
      <c r="N443" s="177">
        <f>IFERROR(VLOOKUP($B443,calc_data,N$14+1,0),0)</f>
        <v/>
      </c>
      <c r="O443" s="45" t="n"/>
      <c r="Q443" s="57">
        <f>IF(K443&gt;0,"показать","скрыть")</f>
        <v/>
      </c>
    </row>
    <row r="444" ht="15.75" customHeight="1">
      <c r="B444" s="182" t="n">
        <v>428</v>
      </c>
      <c r="C444" s="182">
        <f>IFERROR(VLOOKUP($B444,calc_data,C$14+1,0),0)</f>
        <v/>
      </c>
      <c r="D444" s="182">
        <f>IFERROR(VLOOKUP($B444,calc_data,D$14+1,0),0)</f>
        <v/>
      </c>
      <c r="E444" s="183">
        <f>IFERROR(VLOOKUP($B444,calc_data,E$14+1,0),0)</f>
        <v/>
      </c>
      <c r="F444" s="182">
        <f>IFERROR(VLOOKUP($B444,calc_data,F$14+1,0),0)</f>
        <v/>
      </c>
      <c r="G444" s="141">
        <f>IFERROR(VLOOKUP($B444,calc_data,G$14+1,0),0)</f>
        <v/>
      </c>
      <c r="H444" s="141">
        <f>IFERROR(VLOOKUP($B444,calc_data,H$14+1,0),0)</f>
        <v/>
      </c>
      <c r="I444" s="142">
        <f>IFERROR(VLOOKUP($B444,calc_data,I$14+1,0),0)</f>
        <v/>
      </c>
      <c r="J444" s="141">
        <f>IFERROR(VLOOKUP($B444,calc_data,J$14+1,0),0)</f>
        <v/>
      </c>
      <c r="K444" s="141">
        <f>IFERROR(VLOOKUP($B444,calc_data,K$14+1,0),0)</f>
        <v/>
      </c>
      <c r="L444" s="141">
        <f>IFERROR(VLOOKUP($B444,calc_data,L$14+1,0),0)</f>
        <v/>
      </c>
      <c r="M444" s="177">
        <f>IFERROR(VLOOKUP($B444,calc_data,M$14+1,0),0)</f>
        <v/>
      </c>
      <c r="N444" s="177">
        <f>IFERROR(VLOOKUP($B444,calc_data,N$14+1,0),0)</f>
        <v/>
      </c>
      <c r="O444" s="45" t="n"/>
      <c r="Q444" s="57">
        <f>IF(K444&gt;0,"показать","скрыть")</f>
        <v/>
      </c>
    </row>
    <row r="445" ht="15.75" customHeight="1">
      <c r="B445" s="182" t="n">
        <v>429</v>
      </c>
      <c r="C445" s="182">
        <f>IFERROR(VLOOKUP($B445,calc_data,C$14+1,0),0)</f>
        <v/>
      </c>
      <c r="D445" s="182">
        <f>IFERROR(VLOOKUP($B445,calc_data,D$14+1,0),0)</f>
        <v/>
      </c>
      <c r="E445" s="183">
        <f>IFERROR(VLOOKUP($B445,calc_data,E$14+1,0),0)</f>
        <v/>
      </c>
      <c r="F445" s="182">
        <f>IFERROR(VLOOKUP($B445,calc_data,F$14+1,0),0)</f>
        <v/>
      </c>
      <c r="G445" s="141">
        <f>IFERROR(VLOOKUP($B445,calc_data,G$14+1,0),0)</f>
        <v/>
      </c>
      <c r="H445" s="141">
        <f>IFERROR(VLOOKUP($B445,calc_data,H$14+1,0),0)</f>
        <v/>
      </c>
      <c r="I445" s="142">
        <f>IFERROR(VLOOKUP($B445,calc_data,I$14+1,0),0)</f>
        <v/>
      </c>
      <c r="J445" s="141">
        <f>IFERROR(VLOOKUP($B445,calc_data,J$14+1,0),0)</f>
        <v/>
      </c>
      <c r="K445" s="141">
        <f>IFERROR(VLOOKUP($B445,calc_data,K$14+1,0),0)</f>
        <v/>
      </c>
      <c r="L445" s="141">
        <f>IFERROR(VLOOKUP($B445,calc_data,L$14+1,0),0)</f>
        <v/>
      </c>
      <c r="M445" s="177">
        <f>IFERROR(VLOOKUP($B445,calc_data,M$14+1,0),0)</f>
        <v/>
      </c>
      <c r="N445" s="177">
        <f>IFERROR(VLOOKUP($B445,calc_data,N$14+1,0),0)</f>
        <v/>
      </c>
      <c r="O445" s="45" t="n"/>
      <c r="Q445" s="57">
        <f>IF(K445&gt;0,"показать","скрыть")</f>
        <v/>
      </c>
    </row>
    <row r="446" ht="15.75" customHeight="1">
      <c r="B446" s="182" t="n">
        <v>430</v>
      </c>
      <c r="C446" s="182">
        <f>IFERROR(VLOOKUP($B446,calc_data,C$14+1,0),0)</f>
        <v/>
      </c>
      <c r="D446" s="182">
        <f>IFERROR(VLOOKUP($B446,calc_data,D$14+1,0),0)</f>
        <v/>
      </c>
      <c r="E446" s="183">
        <f>IFERROR(VLOOKUP($B446,calc_data,E$14+1,0),0)</f>
        <v/>
      </c>
      <c r="F446" s="182">
        <f>IFERROR(VLOOKUP($B446,calc_data,F$14+1,0),0)</f>
        <v/>
      </c>
      <c r="G446" s="141">
        <f>IFERROR(VLOOKUP($B446,calc_data,G$14+1,0),0)</f>
        <v/>
      </c>
      <c r="H446" s="141">
        <f>IFERROR(VLOOKUP($B446,calc_data,H$14+1,0),0)</f>
        <v/>
      </c>
      <c r="I446" s="142">
        <f>IFERROR(VLOOKUP($B446,calc_data,I$14+1,0),0)</f>
        <v/>
      </c>
      <c r="J446" s="141">
        <f>IFERROR(VLOOKUP($B446,calc_data,J$14+1,0),0)</f>
        <v/>
      </c>
      <c r="K446" s="141">
        <f>IFERROR(VLOOKUP($B446,calc_data,K$14+1,0),0)</f>
        <v/>
      </c>
      <c r="L446" s="141">
        <f>IFERROR(VLOOKUP($B446,calc_data,L$14+1,0),0)</f>
        <v/>
      </c>
      <c r="M446" s="177">
        <f>IFERROR(VLOOKUP($B446,calc_data,M$14+1,0),0)</f>
        <v/>
      </c>
      <c r="N446" s="177">
        <f>IFERROR(VLOOKUP($B446,calc_data,N$14+1,0),0)</f>
        <v/>
      </c>
      <c r="O446" s="45" t="n"/>
      <c r="Q446" s="57">
        <f>IF(K446&gt;0,"показать","скрыть")</f>
        <v/>
      </c>
    </row>
    <row r="447" ht="15.75" customHeight="1">
      <c r="B447" s="182" t="n">
        <v>431</v>
      </c>
      <c r="C447" s="182">
        <f>IFERROR(VLOOKUP($B447,calc_data,C$14+1,0),0)</f>
        <v/>
      </c>
      <c r="D447" s="182">
        <f>IFERROR(VLOOKUP($B447,calc_data,D$14+1,0),0)</f>
        <v/>
      </c>
      <c r="E447" s="183">
        <f>IFERROR(VLOOKUP($B447,calc_data,E$14+1,0),0)</f>
        <v/>
      </c>
      <c r="F447" s="182">
        <f>IFERROR(VLOOKUP($B447,calc_data,F$14+1,0),0)</f>
        <v/>
      </c>
      <c r="G447" s="141">
        <f>IFERROR(VLOOKUP($B447,calc_data,G$14+1,0),0)</f>
        <v/>
      </c>
      <c r="H447" s="141">
        <f>IFERROR(VLOOKUP($B447,calc_data,H$14+1,0),0)</f>
        <v/>
      </c>
      <c r="I447" s="142">
        <f>IFERROR(VLOOKUP($B447,calc_data,I$14+1,0),0)</f>
        <v/>
      </c>
      <c r="J447" s="141">
        <f>IFERROR(VLOOKUP($B447,calc_data,J$14+1,0),0)</f>
        <v/>
      </c>
      <c r="K447" s="141">
        <f>IFERROR(VLOOKUP($B447,calc_data,K$14+1,0),0)</f>
        <v/>
      </c>
      <c r="L447" s="141">
        <f>IFERROR(VLOOKUP($B447,calc_data,L$14+1,0),0)</f>
        <v/>
      </c>
      <c r="M447" s="177">
        <f>IFERROR(VLOOKUP($B447,calc_data,M$14+1,0),0)</f>
        <v/>
      </c>
      <c r="N447" s="177">
        <f>IFERROR(VLOOKUP($B447,calc_data,N$14+1,0),0)</f>
        <v/>
      </c>
      <c r="O447" s="45" t="n"/>
      <c r="Q447" s="57">
        <f>IF(K447&gt;0,"показать","скрыть")</f>
        <v/>
      </c>
    </row>
    <row r="448" ht="15.75" customHeight="1">
      <c r="B448" s="182" t="n">
        <v>432</v>
      </c>
      <c r="C448" s="182">
        <f>IFERROR(VLOOKUP($B448,calc_data,C$14+1,0),0)</f>
        <v/>
      </c>
      <c r="D448" s="182">
        <f>IFERROR(VLOOKUP($B448,calc_data,D$14+1,0),0)</f>
        <v/>
      </c>
      <c r="E448" s="183">
        <f>IFERROR(VLOOKUP($B448,calc_data,E$14+1,0),0)</f>
        <v/>
      </c>
      <c r="F448" s="182">
        <f>IFERROR(VLOOKUP($B448,calc_data,F$14+1,0),0)</f>
        <v/>
      </c>
      <c r="G448" s="141">
        <f>IFERROR(VLOOKUP($B448,calc_data,G$14+1,0),0)</f>
        <v/>
      </c>
      <c r="H448" s="141">
        <f>IFERROR(VLOOKUP($B448,calc_data,H$14+1,0),0)</f>
        <v/>
      </c>
      <c r="I448" s="142">
        <f>IFERROR(VLOOKUP($B448,calc_data,I$14+1,0),0)</f>
        <v/>
      </c>
      <c r="J448" s="141">
        <f>IFERROR(VLOOKUP($B448,calc_data,J$14+1,0),0)</f>
        <v/>
      </c>
      <c r="K448" s="141">
        <f>IFERROR(VLOOKUP($B448,calc_data,K$14+1,0),0)</f>
        <v/>
      </c>
      <c r="L448" s="141">
        <f>IFERROR(VLOOKUP($B448,calc_data,L$14+1,0),0)</f>
        <v/>
      </c>
      <c r="M448" s="177">
        <f>IFERROR(VLOOKUP($B448,calc_data,M$14+1,0),0)</f>
        <v/>
      </c>
      <c r="N448" s="177">
        <f>IFERROR(VLOOKUP($B448,calc_data,N$14+1,0),0)</f>
        <v/>
      </c>
      <c r="O448" s="45" t="n"/>
      <c r="Q448" s="57">
        <f>IF(K448&gt;0,"показать","скрыть")</f>
        <v/>
      </c>
    </row>
    <row r="449" ht="15.75" customHeight="1">
      <c r="B449" s="182" t="n">
        <v>433</v>
      </c>
      <c r="C449" s="182">
        <f>IFERROR(VLOOKUP($B449,calc_data,C$14+1,0),0)</f>
        <v/>
      </c>
      <c r="D449" s="182">
        <f>IFERROR(VLOOKUP($B449,calc_data,D$14+1,0),0)</f>
        <v/>
      </c>
      <c r="E449" s="183">
        <f>IFERROR(VLOOKUP($B449,calc_data,E$14+1,0),0)</f>
        <v/>
      </c>
      <c r="F449" s="182">
        <f>IFERROR(VLOOKUP($B449,calc_data,F$14+1,0),0)</f>
        <v/>
      </c>
      <c r="G449" s="141">
        <f>IFERROR(VLOOKUP($B449,calc_data,G$14+1,0),0)</f>
        <v/>
      </c>
      <c r="H449" s="141">
        <f>IFERROR(VLOOKUP($B449,calc_data,H$14+1,0),0)</f>
        <v/>
      </c>
      <c r="I449" s="142">
        <f>IFERROR(VLOOKUP($B449,calc_data,I$14+1,0),0)</f>
        <v/>
      </c>
      <c r="J449" s="141">
        <f>IFERROR(VLOOKUP($B449,calc_data,J$14+1,0),0)</f>
        <v/>
      </c>
      <c r="K449" s="141">
        <f>IFERROR(VLOOKUP($B449,calc_data,K$14+1,0),0)</f>
        <v/>
      </c>
      <c r="L449" s="141">
        <f>IFERROR(VLOOKUP($B449,calc_data,L$14+1,0),0)</f>
        <v/>
      </c>
      <c r="M449" s="177">
        <f>IFERROR(VLOOKUP($B449,calc_data,M$14+1,0),0)</f>
        <v/>
      </c>
      <c r="N449" s="177">
        <f>IFERROR(VLOOKUP($B449,calc_data,N$14+1,0),0)</f>
        <v/>
      </c>
      <c r="O449" s="45" t="n"/>
      <c r="Q449" s="57">
        <f>IF(K449&gt;0,"показать","скрыть")</f>
        <v/>
      </c>
    </row>
    <row r="450" ht="15.75" customHeight="1">
      <c r="B450" s="182" t="n">
        <v>434</v>
      </c>
      <c r="C450" s="182">
        <f>IFERROR(VLOOKUP($B450,calc_data,C$14+1,0),0)</f>
        <v/>
      </c>
      <c r="D450" s="182">
        <f>IFERROR(VLOOKUP($B450,calc_data,D$14+1,0),0)</f>
        <v/>
      </c>
      <c r="E450" s="183">
        <f>IFERROR(VLOOKUP($B450,calc_data,E$14+1,0),0)</f>
        <v/>
      </c>
      <c r="F450" s="182">
        <f>IFERROR(VLOOKUP($B450,calc_data,F$14+1,0),0)</f>
        <v/>
      </c>
      <c r="G450" s="141">
        <f>IFERROR(VLOOKUP($B450,calc_data,G$14+1,0),0)</f>
        <v/>
      </c>
      <c r="H450" s="141">
        <f>IFERROR(VLOOKUP($B450,calc_data,H$14+1,0),0)</f>
        <v/>
      </c>
      <c r="I450" s="142">
        <f>IFERROR(VLOOKUP($B450,calc_data,I$14+1,0),0)</f>
        <v/>
      </c>
      <c r="J450" s="141">
        <f>IFERROR(VLOOKUP($B450,calc_data,J$14+1,0),0)</f>
        <v/>
      </c>
      <c r="K450" s="141">
        <f>IFERROR(VLOOKUP($B450,calc_data,K$14+1,0),0)</f>
        <v/>
      </c>
      <c r="L450" s="141">
        <f>IFERROR(VLOOKUP($B450,calc_data,L$14+1,0),0)</f>
        <v/>
      </c>
      <c r="M450" s="177">
        <f>IFERROR(VLOOKUP($B450,calc_data,M$14+1,0),0)</f>
        <v/>
      </c>
      <c r="N450" s="177">
        <f>IFERROR(VLOOKUP($B450,calc_data,N$14+1,0),0)</f>
        <v/>
      </c>
      <c r="O450" s="45" t="n"/>
      <c r="Q450" s="57">
        <f>IF(K450&gt;0,"показать","скрыть")</f>
        <v/>
      </c>
    </row>
    <row r="451" ht="15.75" customHeight="1">
      <c r="B451" s="182" t="n">
        <v>435</v>
      </c>
      <c r="C451" s="182">
        <f>IFERROR(VLOOKUP($B451,calc_data,C$14+1,0),0)</f>
        <v/>
      </c>
      <c r="D451" s="182">
        <f>IFERROR(VLOOKUP($B451,calc_data,D$14+1,0),0)</f>
        <v/>
      </c>
      <c r="E451" s="183">
        <f>IFERROR(VLOOKUP($B451,calc_data,E$14+1,0),0)</f>
        <v/>
      </c>
      <c r="F451" s="182">
        <f>IFERROR(VLOOKUP($B451,calc_data,F$14+1,0),0)</f>
        <v/>
      </c>
      <c r="G451" s="141">
        <f>IFERROR(VLOOKUP($B451,calc_data,G$14+1,0),0)</f>
        <v/>
      </c>
      <c r="H451" s="141">
        <f>IFERROR(VLOOKUP($B451,calc_data,H$14+1,0),0)</f>
        <v/>
      </c>
      <c r="I451" s="142">
        <f>IFERROR(VLOOKUP($B451,calc_data,I$14+1,0),0)</f>
        <v/>
      </c>
      <c r="J451" s="141">
        <f>IFERROR(VLOOKUP($B451,calc_data,J$14+1,0),0)</f>
        <v/>
      </c>
      <c r="K451" s="141">
        <f>IFERROR(VLOOKUP($B451,calc_data,K$14+1,0),0)</f>
        <v/>
      </c>
      <c r="L451" s="141">
        <f>IFERROR(VLOOKUP($B451,calc_data,L$14+1,0),0)</f>
        <v/>
      </c>
      <c r="M451" s="177">
        <f>IFERROR(VLOOKUP($B451,calc_data,M$14+1,0),0)</f>
        <v/>
      </c>
      <c r="N451" s="177">
        <f>IFERROR(VLOOKUP($B451,calc_data,N$14+1,0),0)</f>
        <v/>
      </c>
      <c r="O451" s="45" t="n"/>
      <c r="Q451" s="57">
        <f>IF(K451&gt;0,"показать","скрыть")</f>
        <v/>
      </c>
    </row>
    <row r="452" ht="15.75" customHeight="1">
      <c r="B452" s="182" t="n">
        <v>436</v>
      </c>
      <c r="C452" s="182">
        <f>IFERROR(VLOOKUP($B452,calc_data,C$14+1,0),0)</f>
        <v/>
      </c>
      <c r="D452" s="182">
        <f>IFERROR(VLOOKUP($B452,calc_data,D$14+1,0),0)</f>
        <v/>
      </c>
      <c r="E452" s="183">
        <f>IFERROR(VLOOKUP($B452,calc_data,E$14+1,0),0)</f>
        <v/>
      </c>
      <c r="F452" s="182">
        <f>IFERROR(VLOOKUP($B452,calc_data,F$14+1,0),0)</f>
        <v/>
      </c>
      <c r="G452" s="141">
        <f>IFERROR(VLOOKUP($B452,calc_data,G$14+1,0),0)</f>
        <v/>
      </c>
      <c r="H452" s="141">
        <f>IFERROR(VLOOKUP($B452,calc_data,H$14+1,0),0)</f>
        <v/>
      </c>
      <c r="I452" s="142">
        <f>IFERROR(VLOOKUP($B452,calc_data,I$14+1,0),0)</f>
        <v/>
      </c>
      <c r="J452" s="141">
        <f>IFERROR(VLOOKUP($B452,calc_data,J$14+1,0),0)</f>
        <v/>
      </c>
      <c r="K452" s="141">
        <f>IFERROR(VLOOKUP($B452,calc_data,K$14+1,0),0)</f>
        <v/>
      </c>
      <c r="L452" s="141">
        <f>IFERROR(VLOOKUP($B452,calc_data,L$14+1,0),0)</f>
        <v/>
      </c>
      <c r="M452" s="177">
        <f>IFERROR(VLOOKUP($B452,calc_data,M$14+1,0),0)</f>
        <v/>
      </c>
      <c r="N452" s="177">
        <f>IFERROR(VLOOKUP($B452,calc_data,N$14+1,0),0)</f>
        <v/>
      </c>
      <c r="O452" s="45" t="n"/>
      <c r="Q452" s="57">
        <f>IF(K452&gt;0,"показать","скрыть")</f>
        <v/>
      </c>
    </row>
    <row r="453" ht="15.75" customHeight="1">
      <c r="B453" s="182" t="n">
        <v>437</v>
      </c>
      <c r="C453" s="182">
        <f>IFERROR(VLOOKUP($B453,calc_data,C$14+1,0),0)</f>
        <v/>
      </c>
      <c r="D453" s="182">
        <f>IFERROR(VLOOKUP($B453,calc_data,D$14+1,0),0)</f>
        <v/>
      </c>
      <c r="E453" s="183">
        <f>IFERROR(VLOOKUP($B453,calc_data,E$14+1,0),0)</f>
        <v/>
      </c>
      <c r="F453" s="182">
        <f>IFERROR(VLOOKUP($B453,calc_data,F$14+1,0),0)</f>
        <v/>
      </c>
      <c r="G453" s="141">
        <f>IFERROR(VLOOKUP($B453,calc_data,G$14+1,0),0)</f>
        <v/>
      </c>
      <c r="H453" s="141">
        <f>IFERROR(VLOOKUP($B453,calc_data,H$14+1,0),0)</f>
        <v/>
      </c>
      <c r="I453" s="142">
        <f>IFERROR(VLOOKUP($B453,calc_data,I$14+1,0),0)</f>
        <v/>
      </c>
      <c r="J453" s="141">
        <f>IFERROR(VLOOKUP($B453,calc_data,J$14+1,0),0)</f>
        <v/>
      </c>
      <c r="K453" s="141">
        <f>IFERROR(VLOOKUP($B453,calc_data,K$14+1,0),0)</f>
        <v/>
      </c>
      <c r="L453" s="141">
        <f>IFERROR(VLOOKUP($B453,calc_data,L$14+1,0),0)</f>
        <v/>
      </c>
      <c r="M453" s="177">
        <f>IFERROR(VLOOKUP($B453,calc_data,M$14+1,0),0)</f>
        <v/>
      </c>
      <c r="N453" s="177">
        <f>IFERROR(VLOOKUP($B453,calc_data,N$14+1,0),0)</f>
        <v/>
      </c>
      <c r="O453" s="45" t="n"/>
      <c r="Q453" s="57">
        <f>IF(K453&gt;0,"показать","скрыть")</f>
        <v/>
      </c>
    </row>
    <row r="454" ht="15.75" customHeight="1">
      <c r="B454" s="182" t="n">
        <v>438</v>
      </c>
      <c r="C454" s="182">
        <f>IFERROR(VLOOKUP($B454,calc_data,C$14+1,0),0)</f>
        <v/>
      </c>
      <c r="D454" s="182">
        <f>IFERROR(VLOOKUP($B454,calc_data,D$14+1,0),0)</f>
        <v/>
      </c>
      <c r="E454" s="183">
        <f>IFERROR(VLOOKUP($B454,calc_data,E$14+1,0),0)</f>
        <v/>
      </c>
      <c r="F454" s="182">
        <f>IFERROR(VLOOKUP($B454,calc_data,F$14+1,0),0)</f>
        <v/>
      </c>
      <c r="G454" s="141">
        <f>IFERROR(VLOOKUP($B454,calc_data,G$14+1,0),0)</f>
        <v/>
      </c>
      <c r="H454" s="141">
        <f>IFERROR(VLOOKUP($B454,calc_data,H$14+1,0),0)</f>
        <v/>
      </c>
      <c r="I454" s="142">
        <f>IFERROR(VLOOKUP($B454,calc_data,I$14+1,0),0)</f>
        <v/>
      </c>
      <c r="J454" s="141">
        <f>IFERROR(VLOOKUP($B454,calc_data,J$14+1,0),0)</f>
        <v/>
      </c>
      <c r="K454" s="141">
        <f>IFERROR(VLOOKUP($B454,calc_data,K$14+1,0),0)</f>
        <v/>
      </c>
      <c r="L454" s="141">
        <f>IFERROR(VLOOKUP($B454,calc_data,L$14+1,0),0)</f>
        <v/>
      </c>
      <c r="M454" s="177">
        <f>IFERROR(VLOOKUP($B454,calc_data,M$14+1,0),0)</f>
        <v/>
      </c>
      <c r="N454" s="177">
        <f>IFERROR(VLOOKUP($B454,calc_data,N$14+1,0),0)</f>
        <v/>
      </c>
      <c r="O454" s="45" t="n"/>
      <c r="Q454" s="57">
        <f>IF(K454&gt;0,"показать","скрыть")</f>
        <v/>
      </c>
    </row>
    <row r="455" ht="15.75" customHeight="1">
      <c r="B455" s="182" t="n">
        <v>439</v>
      </c>
      <c r="C455" s="182">
        <f>IFERROR(VLOOKUP($B455,calc_data,C$14+1,0),0)</f>
        <v/>
      </c>
      <c r="D455" s="182">
        <f>IFERROR(VLOOKUP($B455,calc_data,D$14+1,0),0)</f>
        <v/>
      </c>
      <c r="E455" s="183">
        <f>IFERROR(VLOOKUP($B455,calc_data,E$14+1,0),0)</f>
        <v/>
      </c>
      <c r="F455" s="182">
        <f>IFERROR(VLOOKUP($B455,calc_data,F$14+1,0),0)</f>
        <v/>
      </c>
      <c r="G455" s="141">
        <f>IFERROR(VLOOKUP($B455,calc_data,G$14+1,0),0)</f>
        <v/>
      </c>
      <c r="H455" s="141">
        <f>IFERROR(VLOOKUP($B455,calc_data,H$14+1,0),0)</f>
        <v/>
      </c>
      <c r="I455" s="142">
        <f>IFERROR(VLOOKUP($B455,calc_data,I$14+1,0),0)</f>
        <v/>
      </c>
      <c r="J455" s="141">
        <f>IFERROR(VLOOKUP($B455,calc_data,J$14+1,0),0)</f>
        <v/>
      </c>
      <c r="K455" s="141">
        <f>IFERROR(VLOOKUP($B455,calc_data,K$14+1,0),0)</f>
        <v/>
      </c>
      <c r="L455" s="141">
        <f>IFERROR(VLOOKUP($B455,calc_data,L$14+1,0),0)</f>
        <v/>
      </c>
      <c r="M455" s="177">
        <f>IFERROR(VLOOKUP($B455,calc_data,M$14+1,0),0)</f>
        <v/>
      </c>
      <c r="N455" s="177">
        <f>IFERROR(VLOOKUP($B455,calc_data,N$14+1,0),0)</f>
        <v/>
      </c>
      <c r="O455" s="45" t="n"/>
      <c r="Q455" s="57">
        <f>IF(K455&gt;0,"показать","скрыть")</f>
        <v/>
      </c>
    </row>
    <row r="456" ht="15.75" customHeight="1">
      <c r="B456" s="182" t="n">
        <v>440</v>
      </c>
      <c r="C456" s="182">
        <f>IFERROR(VLOOKUP($B456,calc_data,C$14+1,0),0)</f>
        <v/>
      </c>
      <c r="D456" s="182">
        <f>IFERROR(VLOOKUP($B456,calc_data,D$14+1,0),0)</f>
        <v/>
      </c>
      <c r="E456" s="183">
        <f>IFERROR(VLOOKUP($B456,calc_data,E$14+1,0),0)</f>
        <v/>
      </c>
      <c r="F456" s="182">
        <f>IFERROR(VLOOKUP($B456,calc_data,F$14+1,0),0)</f>
        <v/>
      </c>
      <c r="G456" s="141">
        <f>IFERROR(VLOOKUP($B456,calc_data,G$14+1,0),0)</f>
        <v/>
      </c>
      <c r="H456" s="141">
        <f>IFERROR(VLOOKUP($B456,calc_data,H$14+1,0),0)</f>
        <v/>
      </c>
      <c r="I456" s="142">
        <f>IFERROR(VLOOKUP($B456,calc_data,I$14+1,0),0)</f>
        <v/>
      </c>
      <c r="J456" s="141">
        <f>IFERROR(VLOOKUP($B456,calc_data,J$14+1,0),0)</f>
        <v/>
      </c>
      <c r="K456" s="141">
        <f>IFERROR(VLOOKUP($B456,calc_data,K$14+1,0),0)</f>
        <v/>
      </c>
      <c r="L456" s="141">
        <f>IFERROR(VLOOKUP($B456,calc_data,L$14+1,0),0)</f>
        <v/>
      </c>
      <c r="M456" s="177">
        <f>IFERROR(VLOOKUP($B456,calc_data,M$14+1,0),0)</f>
        <v/>
      </c>
      <c r="N456" s="177">
        <f>IFERROR(VLOOKUP($B456,calc_data,N$14+1,0),0)</f>
        <v/>
      </c>
      <c r="O456" s="45" t="n"/>
      <c r="Q456" s="57">
        <f>IF(K456&gt;0,"показать","скрыть")</f>
        <v/>
      </c>
    </row>
    <row r="457" ht="15.75" customHeight="1">
      <c r="B457" s="182" t="n">
        <v>441</v>
      </c>
      <c r="C457" s="182">
        <f>IFERROR(VLOOKUP($B457,calc_data,C$14+1,0),0)</f>
        <v/>
      </c>
      <c r="D457" s="182">
        <f>IFERROR(VLOOKUP($B457,calc_data,D$14+1,0),0)</f>
        <v/>
      </c>
      <c r="E457" s="183">
        <f>IFERROR(VLOOKUP($B457,calc_data,E$14+1,0),0)</f>
        <v/>
      </c>
      <c r="F457" s="182">
        <f>IFERROR(VLOOKUP($B457,calc_data,F$14+1,0),0)</f>
        <v/>
      </c>
      <c r="G457" s="141">
        <f>IFERROR(VLOOKUP($B457,calc_data,G$14+1,0),0)</f>
        <v/>
      </c>
      <c r="H457" s="141">
        <f>IFERROR(VLOOKUP($B457,calc_data,H$14+1,0),0)</f>
        <v/>
      </c>
      <c r="I457" s="142">
        <f>IFERROR(VLOOKUP($B457,calc_data,I$14+1,0),0)</f>
        <v/>
      </c>
      <c r="J457" s="141">
        <f>IFERROR(VLOOKUP($B457,calc_data,J$14+1,0),0)</f>
        <v/>
      </c>
      <c r="K457" s="141">
        <f>IFERROR(VLOOKUP($B457,calc_data,K$14+1,0),0)</f>
        <v/>
      </c>
      <c r="L457" s="141">
        <f>IFERROR(VLOOKUP($B457,calc_data,L$14+1,0),0)</f>
        <v/>
      </c>
      <c r="M457" s="177">
        <f>IFERROR(VLOOKUP($B457,calc_data,M$14+1,0),0)</f>
        <v/>
      </c>
      <c r="N457" s="177">
        <f>IFERROR(VLOOKUP($B457,calc_data,N$14+1,0),0)</f>
        <v/>
      </c>
      <c r="O457" s="45" t="n"/>
      <c r="Q457" s="57">
        <f>IF(K457&gt;0,"показать","скрыть")</f>
        <v/>
      </c>
    </row>
    <row r="458" ht="15.75" customHeight="1">
      <c r="B458" s="182" t="n">
        <v>442</v>
      </c>
      <c r="C458" s="182">
        <f>IFERROR(VLOOKUP($B458,calc_data,C$14+1,0),0)</f>
        <v/>
      </c>
      <c r="D458" s="182">
        <f>IFERROR(VLOOKUP($B458,calc_data,D$14+1,0),0)</f>
        <v/>
      </c>
      <c r="E458" s="183">
        <f>IFERROR(VLOOKUP($B458,calc_data,E$14+1,0),0)</f>
        <v/>
      </c>
      <c r="F458" s="182">
        <f>IFERROR(VLOOKUP($B458,calc_data,F$14+1,0),0)</f>
        <v/>
      </c>
      <c r="G458" s="141">
        <f>IFERROR(VLOOKUP($B458,calc_data,G$14+1,0),0)</f>
        <v/>
      </c>
      <c r="H458" s="141">
        <f>IFERROR(VLOOKUP($B458,calc_data,H$14+1,0),0)</f>
        <v/>
      </c>
      <c r="I458" s="142">
        <f>IFERROR(VLOOKUP($B458,calc_data,I$14+1,0),0)</f>
        <v/>
      </c>
      <c r="J458" s="141">
        <f>IFERROR(VLOOKUP($B458,calc_data,J$14+1,0),0)</f>
        <v/>
      </c>
      <c r="K458" s="141">
        <f>IFERROR(VLOOKUP($B458,calc_data,K$14+1,0),0)</f>
        <v/>
      </c>
      <c r="L458" s="141">
        <f>IFERROR(VLOOKUP($B458,calc_data,L$14+1,0),0)</f>
        <v/>
      </c>
      <c r="M458" s="177">
        <f>IFERROR(VLOOKUP($B458,calc_data,M$14+1,0),0)</f>
        <v/>
      </c>
      <c r="N458" s="177">
        <f>IFERROR(VLOOKUP($B458,calc_data,N$14+1,0),0)</f>
        <v/>
      </c>
      <c r="O458" s="45" t="n"/>
      <c r="Q458" s="57">
        <f>IF(K458&gt;0,"показать","скрыть")</f>
        <v/>
      </c>
    </row>
    <row r="459" ht="15.75" customHeight="1">
      <c r="B459" s="182" t="n">
        <v>443</v>
      </c>
      <c r="C459" s="182">
        <f>IFERROR(VLOOKUP($B459,calc_data,C$14+1,0),0)</f>
        <v/>
      </c>
      <c r="D459" s="182">
        <f>IFERROR(VLOOKUP($B459,calc_data,D$14+1,0),0)</f>
        <v/>
      </c>
      <c r="E459" s="183">
        <f>IFERROR(VLOOKUP($B459,calc_data,E$14+1,0),0)</f>
        <v/>
      </c>
      <c r="F459" s="182">
        <f>IFERROR(VLOOKUP($B459,calc_data,F$14+1,0),0)</f>
        <v/>
      </c>
      <c r="G459" s="141">
        <f>IFERROR(VLOOKUP($B459,calc_data,G$14+1,0),0)</f>
        <v/>
      </c>
      <c r="H459" s="141">
        <f>IFERROR(VLOOKUP($B459,calc_data,H$14+1,0),0)</f>
        <v/>
      </c>
      <c r="I459" s="142">
        <f>IFERROR(VLOOKUP($B459,calc_data,I$14+1,0),0)</f>
        <v/>
      </c>
      <c r="J459" s="141">
        <f>IFERROR(VLOOKUP($B459,calc_data,J$14+1,0),0)</f>
        <v/>
      </c>
      <c r="K459" s="141">
        <f>IFERROR(VLOOKUP($B459,calc_data,K$14+1,0),0)</f>
        <v/>
      </c>
      <c r="L459" s="141">
        <f>IFERROR(VLOOKUP($B459,calc_data,L$14+1,0),0)</f>
        <v/>
      </c>
      <c r="M459" s="177">
        <f>IFERROR(VLOOKUP($B459,calc_data,M$14+1,0),0)</f>
        <v/>
      </c>
      <c r="N459" s="177">
        <f>IFERROR(VLOOKUP($B459,calc_data,N$14+1,0),0)</f>
        <v/>
      </c>
      <c r="O459" s="45" t="n"/>
      <c r="Q459" s="57">
        <f>IF(K459&gt;0,"показать","скрыть")</f>
        <v/>
      </c>
    </row>
    <row r="460" ht="15.75" customHeight="1">
      <c r="B460" s="182" t="n">
        <v>444</v>
      </c>
      <c r="C460" s="182">
        <f>IFERROR(VLOOKUP($B460,calc_data,C$14+1,0),0)</f>
        <v/>
      </c>
      <c r="D460" s="182">
        <f>IFERROR(VLOOKUP($B460,calc_data,D$14+1,0),0)</f>
        <v/>
      </c>
      <c r="E460" s="183">
        <f>IFERROR(VLOOKUP($B460,calc_data,E$14+1,0),0)</f>
        <v/>
      </c>
      <c r="F460" s="182">
        <f>IFERROR(VLOOKUP($B460,calc_data,F$14+1,0),0)</f>
        <v/>
      </c>
      <c r="G460" s="141">
        <f>IFERROR(VLOOKUP($B460,calc_data,G$14+1,0),0)</f>
        <v/>
      </c>
      <c r="H460" s="141">
        <f>IFERROR(VLOOKUP($B460,calc_data,H$14+1,0),0)</f>
        <v/>
      </c>
      <c r="I460" s="142">
        <f>IFERROR(VLOOKUP($B460,calc_data,I$14+1,0),0)</f>
        <v/>
      </c>
      <c r="J460" s="141">
        <f>IFERROR(VLOOKUP($B460,calc_data,J$14+1,0),0)</f>
        <v/>
      </c>
      <c r="K460" s="141">
        <f>IFERROR(VLOOKUP($B460,calc_data,K$14+1,0),0)</f>
        <v/>
      </c>
      <c r="L460" s="141">
        <f>IFERROR(VLOOKUP($B460,calc_data,L$14+1,0),0)</f>
        <v/>
      </c>
      <c r="M460" s="177">
        <f>IFERROR(VLOOKUP($B460,calc_data,M$14+1,0),0)</f>
        <v/>
      </c>
      <c r="N460" s="177">
        <f>IFERROR(VLOOKUP($B460,calc_data,N$14+1,0),0)</f>
        <v/>
      </c>
      <c r="O460" s="45" t="n"/>
      <c r="Q460" s="57">
        <f>IF(K460&gt;0,"показать","скрыть")</f>
        <v/>
      </c>
    </row>
    <row r="461" ht="15.75" customHeight="1">
      <c r="B461" s="182" t="n">
        <v>445</v>
      </c>
      <c r="C461" s="182">
        <f>IFERROR(VLOOKUP($B461,calc_data,C$14+1,0),0)</f>
        <v/>
      </c>
      <c r="D461" s="182">
        <f>IFERROR(VLOOKUP($B461,calc_data,D$14+1,0),0)</f>
        <v/>
      </c>
      <c r="E461" s="183">
        <f>IFERROR(VLOOKUP($B461,calc_data,E$14+1,0),0)</f>
        <v/>
      </c>
      <c r="F461" s="182">
        <f>IFERROR(VLOOKUP($B461,calc_data,F$14+1,0),0)</f>
        <v/>
      </c>
      <c r="G461" s="141">
        <f>IFERROR(VLOOKUP($B461,calc_data,G$14+1,0),0)</f>
        <v/>
      </c>
      <c r="H461" s="141">
        <f>IFERROR(VLOOKUP($B461,calc_data,H$14+1,0),0)</f>
        <v/>
      </c>
      <c r="I461" s="142">
        <f>IFERROR(VLOOKUP($B461,calc_data,I$14+1,0),0)</f>
        <v/>
      </c>
      <c r="J461" s="141">
        <f>IFERROR(VLOOKUP($B461,calc_data,J$14+1,0),0)</f>
        <v/>
      </c>
      <c r="K461" s="141">
        <f>IFERROR(VLOOKUP($B461,calc_data,K$14+1,0),0)</f>
        <v/>
      </c>
      <c r="L461" s="141">
        <f>IFERROR(VLOOKUP($B461,calc_data,L$14+1,0),0)</f>
        <v/>
      </c>
      <c r="M461" s="177">
        <f>IFERROR(VLOOKUP($B461,calc_data,M$14+1,0),0)</f>
        <v/>
      </c>
      <c r="N461" s="177">
        <f>IFERROR(VLOOKUP($B461,calc_data,N$14+1,0),0)</f>
        <v/>
      </c>
      <c r="O461" s="45" t="n"/>
      <c r="Q461" s="57">
        <f>IF(K461&gt;0,"показать","скрыть")</f>
        <v/>
      </c>
    </row>
    <row r="462" ht="15.75" customHeight="1">
      <c r="B462" s="182" t="n">
        <v>446</v>
      </c>
      <c r="C462" s="182">
        <f>IFERROR(VLOOKUP($B462,calc_data,C$14+1,0),0)</f>
        <v/>
      </c>
      <c r="D462" s="182">
        <f>IFERROR(VLOOKUP($B462,calc_data,D$14+1,0),0)</f>
        <v/>
      </c>
      <c r="E462" s="183">
        <f>IFERROR(VLOOKUP($B462,calc_data,E$14+1,0),0)</f>
        <v/>
      </c>
      <c r="F462" s="182">
        <f>IFERROR(VLOOKUP($B462,calc_data,F$14+1,0),0)</f>
        <v/>
      </c>
      <c r="G462" s="141">
        <f>IFERROR(VLOOKUP($B462,calc_data,G$14+1,0),0)</f>
        <v/>
      </c>
      <c r="H462" s="141">
        <f>IFERROR(VLOOKUP($B462,calc_data,H$14+1,0),0)</f>
        <v/>
      </c>
      <c r="I462" s="142">
        <f>IFERROR(VLOOKUP($B462,calc_data,I$14+1,0),0)</f>
        <v/>
      </c>
      <c r="J462" s="141">
        <f>IFERROR(VLOOKUP($B462,calc_data,J$14+1,0),0)</f>
        <v/>
      </c>
      <c r="K462" s="141">
        <f>IFERROR(VLOOKUP($B462,calc_data,K$14+1,0),0)</f>
        <v/>
      </c>
      <c r="L462" s="141">
        <f>IFERROR(VLOOKUP($B462,calc_data,L$14+1,0),0)</f>
        <v/>
      </c>
      <c r="M462" s="177">
        <f>IFERROR(VLOOKUP($B462,calc_data,M$14+1,0),0)</f>
        <v/>
      </c>
      <c r="N462" s="177">
        <f>IFERROR(VLOOKUP($B462,calc_data,N$14+1,0),0)</f>
        <v/>
      </c>
      <c r="O462" s="45" t="n"/>
      <c r="Q462" s="57">
        <f>IF(K462&gt;0,"показать","скрыть")</f>
        <v/>
      </c>
    </row>
    <row r="463" ht="15.75" customHeight="1">
      <c r="B463" s="182" t="n">
        <v>447</v>
      </c>
      <c r="C463" s="182">
        <f>IFERROR(VLOOKUP($B463,calc_data,C$14+1,0),0)</f>
        <v/>
      </c>
      <c r="D463" s="182">
        <f>IFERROR(VLOOKUP($B463,calc_data,D$14+1,0),0)</f>
        <v/>
      </c>
      <c r="E463" s="183">
        <f>IFERROR(VLOOKUP($B463,calc_data,E$14+1,0),0)</f>
        <v/>
      </c>
      <c r="F463" s="182">
        <f>IFERROR(VLOOKUP($B463,calc_data,F$14+1,0),0)</f>
        <v/>
      </c>
      <c r="G463" s="141">
        <f>IFERROR(VLOOKUP($B463,calc_data,G$14+1,0),0)</f>
        <v/>
      </c>
      <c r="H463" s="141">
        <f>IFERROR(VLOOKUP($B463,calc_data,H$14+1,0),0)</f>
        <v/>
      </c>
      <c r="I463" s="142">
        <f>IFERROR(VLOOKUP($B463,calc_data,I$14+1,0),0)</f>
        <v/>
      </c>
      <c r="J463" s="141">
        <f>IFERROR(VLOOKUP($B463,calc_data,J$14+1,0),0)</f>
        <v/>
      </c>
      <c r="K463" s="141">
        <f>IFERROR(VLOOKUP($B463,calc_data,K$14+1,0),0)</f>
        <v/>
      </c>
      <c r="L463" s="141">
        <f>IFERROR(VLOOKUP($B463,calc_data,L$14+1,0),0)</f>
        <v/>
      </c>
      <c r="M463" s="177">
        <f>IFERROR(VLOOKUP($B463,calc_data,M$14+1,0),0)</f>
        <v/>
      </c>
      <c r="N463" s="177">
        <f>IFERROR(VLOOKUP($B463,calc_data,N$14+1,0),0)</f>
        <v/>
      </c>
      <c r="O463" s="45" t="n"/>
      <c r="Q463" s="57">
        <f>IF(K463&gt;0,"показать","скрыть")</f>
        <v/>
      </c>
    </row>
    <row r="464" ht="15.75" customHeight="1">
      <c r="B464" s="182" t="n">
        <v>448</v>
      </c>
      <c r="C464" s="182">
        <f>IFERROR(VLOOKUP($B464,calc_data,C$14+1,0),0)</f>
        <v/>
      </c>
      <c r="D464" s="182">
        <f>IFERROR(VLOOKUP($B464,calc_data,D$14+1,0),0)</f>
        <v/>
      </c>
      <c r="E464" s="183">
        <f>IFERROR(VLOOKUP($B464,calc_data,E$14+1,0),0)</f>
        <v/>
      </c>
      <c r="F464" s="182">
        <f>IFERROR(VLOOKUP($B464,calc_data,F$14+1,0),0)</f>
        <v/>
      </c>
      <c r="G464" s="141">
        <f>IFERROR(VLOOKUP($B464,calc_data,G$14+1,0),0)</f>
        <v/>
      </c>
      <c r="H464" s="141">
        <f>IFERROR(VLOOKUP($B464,calc_data,H$14+1,0),0)</f>
        <v/>
      </c>
      <c r="I464" s="142">
        <f>IFERROR(VLOOKUP($B464,calc_data,I$14+1,0),0)</f>
        <v/>
      </c>
      <c r="J464" s="141">
        <f>IFERROR(VLOOKUP($B464,calc_data,J$14+1,0),0)</f>
        <v/>
      </c>
      <c r="K464" s="141">
        <f>IFERROR(VLOOKUP($B464,calc_data,K$14+1,0),0)</f>
        <v/>
      </c>
      <c r="L464" s="141">
        <f>IFERROR(VLOOKUP($B464,calc_data,L$14+1,0),0)</f>
        <v/>
      </c>
      <c r="M464" s="177">
        <f>IFERROR(VLOOKUP($B464,calc_data,M$14+1,0),0)</f>
        <v/>
      </c>
      <c r="N464" s="177">
        <f>IFERROR(VLOOKUP($B464,calc_data,N$14+1,0),0)</f>
        <v/>
      </c>
      <c r="O464" s="45" t="n"/>
      <c r="Q464" s="57">
        <f>IF(K464&gt;0,"показать","скрыть")</f>
        <v/>
      </c>
    </row>
    <row r="465" ht="15.75" customHeight="1">
      <c r="B465" s="182" t="n">
        <v>449</v>
      </c>
      <c r="C465" s="182">
        <f>IFERROR(VLOOKUP($B465,calc_data,C$14+1,0),0)</f>
        <v/>
      </c>
      <c r="D465" s="182">
        <f>IFERROR(VLOOKUP($B465,calc_data,D$14+1,0),0)</f>
        <v/>
      </c>
      <c r="E465" s="183">
        <f>IFERROR(VLOOKUP($B465,calc_data,E$14+1,0),0)</f>
        <v/>
      </c>
      <c r="F465" s="182">
        <f>IFERROR(VLOOKUP($B465,calc_data,F$14+1,0),0)</f>
        <v/>
      </c>
      <c r="G465" s="141">
        <f>IFERROR(VLOOKUP($B465,calc_data,G$14+1,0),0)</f>
        <v/>
      </c>
      <c r="H465" s="141">
        <f>IFERROR(VLOOKUP($B465,calc_data,H$14+1,0),0)</f>
        <v/>
      </c>
      <c r="I465" s="142">
        <f>IFERROR(VLOOKUP($B465,calc_data,I$14+1,0),0)</f>
        <v/>
      </c>
      <c r="J465" s="141">
        <f>IFERROR(VLOOKUP($B465,calc_data,J$14+1,0),0)</f>
        <v/>
      </c>
      <c r="K465" s="141">
        <f>IFERROR(VLOOKUP($B465,calc_data,K$14+1,0),0)</f>
        <v/>
      </c>
      <c r="L465" s="141">
        <f>IFERROR(VLOOKUP($B465,calc_data,L$14+1,0),0)</f>
        <v/>
      </c>
      <c r="M465" s="177">
        <f>IFERROR(VLOOKUP($B465,calc_data,M$14+1,0),0)</f>
        <v/>
      </c>
      <c r="N465" s="177">
        <f>IFERROR(VLOOKUP($B465,calc_data,N$14+1,0),0)</f>
        <v/>
      </c>
      <c r="O465" s="45" t="n"/>
      <c r="Q465" s="57">
        <f>IF(K465&gt;0,"показать","скрыть")</f>
        <v/>
      </c>
    </row>
    <row r="466" ht="15.75" customHeight="1">
      <c r="B466" s="182" t="n">
        <v>450</v>
      </c>
      <c r="C466" s="182">
        <f>IFERROR(VLOOKUP($B466,calc_data,C$14+1,0),0)</f>
        <v/>
      </c>
      <c r="D466" s="182">
        <f>IFERROR(VLOOKUP($B466,calc_data,D$14+1,0),0)</f>
        <v/>
      </c>
      <c r="E466" s="183">
        <f>IFERROR(VLOOKUP($B466,calc_data,E$14+1,0),0)</f>
        <v/>
      </c>
      <c r="F466" s="182">
        <f>IFERROR(VLOOKUP($B466,calc_data,F$14+1,0),0)</f>
        <v/>
      </c>
      <c r="G466" s="141">
        <f>IFERROR(VLOOKUP($B466,calc_data,G$14+1,0),0)</f>
        <v/>
      </c>
      <c r="H466" s="141">
        <f>IFERROR(VLOOKUP($B466,calc_data,H$14+1,0),0)</f>
        <v/>
      </c>
      <c r="I466" s="142">
        <f>IFERROR(VLOOKUP($B466,calc_data,I$14+1,0),0)</f>
        <v/>
      </c>
      <c r="J466" s="141">
        <f>IFERROR(VLOOKUP($B466,calc_data,J$14+1,0),0)</f>
        <v/>
      </c>
      <c r="K466" s="141">
        <f>IFERROR(VLOOKUP($B466,calc_data,K$14+1,0),0)</f>
        <v/>
      </c>
      <c r="L466" s="141">
        <f>IFERROR(VLOOKUP($B466,calc_data,L$14+1,0),0)</f>
        <v/>
      </c>
      <c r="M466" s="177">
        <f>IFERROR(VLOOKUP($B466,calc_data,M$14+1,0),0)</f>
        <v/>
      </c>
      <c r="N466" s="177">
        <f>IFERROR(VLOOKUP($B466,calc_data,N$14+1,0),0)</f>
        <v/>
      </c>
      <c r="O466" s="45" t="n"/>
      <c r="Q466" s="57">
        <f>IF(K466&gt;0,"показать","скрыть")</f>
        <v/>
      </c>
    </row>
    <row r="467" ht="15.75" customHeight="1">
      <c r="B467" s="182" t="n">
        <v>451</v>
      </c>
      <c r="C467" s="182">
        <f>IFERROR(VLOOKUP($B467,calc_data,C$14+1,0),0)</f>
        <v/>
      </c>
      <c r="D467" s="182">
        <f>IFERROR(VLOOKUP($B467,calc_data,D$14+1,0),0)</f>
        <v/>
      </c>
      <c r="E467" s="183">
        <f>IFERROR(VLOOKUP($B467,calc_data,E$14+1,0),0)</f>
        <v/>
      </c>
      <c r="F467" s="182">
        <f>IFERROR(VLOOKUP($B467,calc_data,F$14+1,0),0)</f>
        <v/>
      </c>
      <c r="G467" s="141">
        <f>IFERROR(VLOOKUP($B467,calc_data,G$14+1,0),0)</f>
        <v/>
      </c>
      <c r="H467" s="141">
        <f>IFERROR(VLOOKUP($B467,calc_data,H$14+1,0),0)</f>
        <v/>
      </c>
      <c r="I467" s="142">
        <f>IFERROR(VLOOKUP($B467,calc_data,I$14+1,0),0)</f>
        <v/>
      </c>
      <c r="J467" s="141">
        <f>IFERROR(VLOOKUP($B467,calc_data,J$14+1,0),0)</f>
        <v/>
      </c>
      <c r="K467" s="141">
        <f>IFERROR(VLOOKUP($B467,calc_data,K$14+1,0),0)</f>
        <v/>
      </c>
      <c r="L467" s="141">
        <f>IFERROR(VLOOKUP($B467,calc_data,L$14+1,0),0)</f>
        <v/>
      </c>
      <c r="M467" s="177">
        <f>IFERROR(VLOOKUP($B467,calc_data,M$14+1,0),0)</f>
        <v/>
      </c>
      <c r="N467" s="177">
        <f>IFERROR(VLOOKUP($B467,calc_data,N$14+1,0),0)</f>
        <v/>
      </c>
      <c r="O467" s="45" t="n"/>
      <c r="Q467" s="57">
        <f>IF(K467&gt;0,"показать","скрыть")</f>
        <v/>
      </c>
    </row>
    <row r="468" ht="15.75" customHeight="1">
      <c r="B468" s="182" t="n">
        <v>452</v>
      </c>
      <c r="C468" s="182">
        <f>IFERROR(VLOOKUP($B468,calc_data,C$14+1,0),0)</f>
        <v/>
      </c>
      <c r="D468" s="182">
        <f>IFERROR(VLOOKUP($B468,calc_data,D$14+1,0),0)</f>
        <v/>
      </c>
      <c r="E468" s="183">
        <f>IFERROR(VLOOKUP($B468,calc_data,E$14+1,0),0)</f>
        <v/>
      </c>
      <c r="F468" s="182">
        <f>IFERROR(VLOOKUP($B468,calc_data,F$14+1,0),0)</f>
        <v/>
      </c>
      <c r="G468" s="141">
        <f>IFERROR(VLOOKUP($B468,calc_data,G$14+1,0),0)</f>
        <v/>
      </c>
      <c r="H468" s="141">
        <f>IFERROR(VLOOKUP($B468,calc_data,H$14+1,0),0)</f>
        <v/>
      </c>
      <c r="I468" s="142">
        <f>IFERROR(VLOOKUP($B468,calc_data,I$14+1,0),0)</f>
        <v/>
      </c>
      <c r="J468" s="141">
        <f>IFERROR(VLOOKUP($B468,calc_data,J$14+1,0),0)</f>
        <v/>
      </c>
      <c r="K468" s="141">
        <f>IFERROR(VLOOKUP($B468,calc_data,K$14+1,0),0)</f>
        <v/>
      </c>
      <c r="L468" s="141">
        <f>IFERROR(VLOOKUP($B468,calc_data,L$14+1,0),0)</f>
        <v/>
      </c>
      <c r="M468" s="177">
        <f>IFERROR(VLOOKUP($B468,calc_data,M$14+1,0),0)</f>
        <v/>
      </c>
      <c r="N468" s="177">
        <f>IFERROR(VLOOKUP($B468,calc_data,N$14+1,0),0)</f>
        <v/>
      </c>
      <c r="O468" s="45" t="n"/>
      <c r="Q468" s="57">
        <f>IF(K468&gt;0,"показать","скрыть")</f>
        <v/>
      </c>
    </row>
    <row r="469" ht="15.75" customHeight="1">
      <c r="B469" s="182" t="n">
        <v>453</v>
      </c>
      <c r="C469" s="182">
        <f>IFERROR(VLOOKUP($B469,calc_data,C$14+1,0),0)</f>
        <v/>
      </c>
      <c r="D469" s="182">
        <f>IFERROR(VLOOKUP($B469,calc_data,D$14+1,0),0)</f>
        <v/>
      </c>
      <c r="E469" s="183">
        <f>IFERROR(VLOOKUP($B469,calc_data,E$14+1,0),0)</f>
        <v/>
      </c>
      <c r="F469" s="182">
        <f>IFERROR(VLOOKUP($B469,calc_data,F$14+1,0),0)</f>
        <v/>
      </c>
      <c r="G469" s="141">
        <f>IFERROR(VLOOKUP($B469,calc_data,G$14+1,0),0)</f>
        <v/>
      </c>
      <c r="H469" s="141">
        <f>IFERROR(VLOOKUP($B469,calc_data,H$14+1,0),0)</f>
        <v/>
      </c>
      <c r="I469" s="142">
        <f>IFERROR(VLOOKUP($B469,calc_data,I$14+1,0),0)</f>
        <v/>
      </c>
      <c r="J469" s="141">
        <f>IFERROR(VLOOKUP($B469,calc_data,J$14+1,0),0)</f>
        <v/>
      </c>
      <c r="K469" s="141">
        <f>IFERROR(VLOOKUP($B469,calc_data,K$14+1,0),0)</f>
        <v/>
      </c>
      <c r="L469" s="141">
        <f>IFERROR(VLOOKUP($B469,calc_data,L$14+1,0),0)</f>
        <v/>
      </c>
      <c r="M469" s="177">
        <f>IFERROR(VLOOKUP($B469,calc_data,M$14+1,0),0)</f>
        <v/>
      </c>
      <c r="N469" s="177">
        <f>IFERROR(VLOOKUP($B469,calc_data,N$14+1,0),0)</f>
        <v/>
      </c>
      <c r="O469" s="45" t="n"/>
      <c r="Q469" s="57">
        <f>IF(K469&gt;0,"показать","скрыть")</f>
        <v/>
      </c>
    </row>
    <row r="470" ht="15.75" customHeight="1">
      <c r="B470" s="182" t="n">
        <v>454</v>
      </c>
      <c r="C470" s="182">
        <f>IFERROR(VLOOKUP($B470,calc_data,C$14+1,0),0)</f>
        <v/>
      </c>
      <c r="D470" s="182">
        <f>IFERROR(VLOOKUP($B470,calc_data,D$14+1,0),0)</f>
        <v/>
      </c>
      <c r="E470" s="183">
        <f>IFERROR(VLOOKUP($B470,calc_data,E$14+1,0),0)</f>
        <v/>
      </c>
      <c r="F470" s="182">
        <f>IFERROR(VLOOKUP($B470,calc_data,F$14+1,0),0)</f>
        <v/>
      </c>
      <c r="G470" s="141">
        <f>IFERROR(VLOOKUP($B470,calc_data,G$14+1,0),0)</f>
        <v/>
      </c>
      <c r="H470" s="141">
        <f>IFERROR(VLOOKUP($B470,calc_data,H$14+1,0),0)</f>
        <v/>
      </c>
      <c r="I470" s="142">
        <f>IFERROR(VLOOKUP($B470,calc_data,I$14+1,0),0)</f>
        <v/>
      </c>
      <c r="J470" s="141">
        <f>IFERROR(VLOOKUP($B470,calc_data,J$14+1,0),0)</f>
        <v/>
      </c>
      <c r="K470" s="141">
        <f>IFERROR(VLOOKUP($B470,calc_data,K$14+1,0),0)</f>
        <v/>
      </c>
      <c r="L470" s="141">
        <f>IFERROR(VLOOKUP($B470,calc_data,L$14+1,0),0)</f>
        <v/>
      </c>
      <c r="M470" s="177">
        <f>IFERROR(VLOOKUP($B470,calc_data,M$14+1,0),0)</f>
        <v/>
      </c>
      <c r="N470" s="177">
        <f>IFERROR(VLOOKUP($B470,calc_data,N$14+1,0),0)</f>
        <v/>
      </c>
      <c r="O470" s="45" t="n"/>
      <c r="Q470" s="57">
        <f>IF(K470&gt;0,"показать","скрыть")</f>
        <v/>
      </c>
    </row>
    <row r="471" ht="15.75" customHeight="1">
      <c r="B471" s="182" t="n">
        <v>455</v>
      </c>
      <c r="C471" s="182">
        <f>IFERROR(VLOOKUP($B471,calc_data,C$14+1,0),0)</f>
        <v/>
      </c>
      <c r="D471" s="182">
        <f>IFERROR(VLOOKUP($B471,calc_data,D$14+1,0),0)</f>
        <v/>
      </c>
      <c r="E471" s="183">
        <f>IFERROR(VLOOKUP($B471,calc_data,E$14+1,0),0)</f>
        <v/>
      </c>
      <c r="F471" s="182">
        <f>IFERROR(VLOOKUP($B471,calc_data,F$14+1,0),0)</f>
        <v/>
      </c>
      <c r="G471" s="141">
        <f>IFERROR(VLOOKUP($B471,calc_data,G$14+1,0),0)</f>
        <v/>
      </c>
      <c r="H471" s="141">
        <f>IFERROR(VLOOKUP($B471,calc_data,H$14+1,0),0)</f>
        <v/>
      </c>
      <c r="I471" s="142">
        <f>IFERROR(VLOOKUP($B471,calc_data,I$14+1,0),0)</f>
        <v/>
      </c>
      <c r="J471" s="141">
        <f>IFERROR(VLOOKUP($B471,calc_data,J$14+1,0),0)</f>
        <v/>
      </c>
      <c r="K471" s="141">
        <f>IFERROR(VLOOKUP($B471,calc_data,K$14+1,0),0)</f>
        <v/>
      </c>
      <c r="L471" s="141">
        <f>IFERROR(VLOOKUP($B471,calc_data,L$14+1,0),0)</f>
        <v/>
      </c>
      <c r="M471" s="177">
        <f>IFERROR(VLOOKUP($B471,calc_data,M$14+1,0),0)</f>
        <v/>
      </c>
      <c r="N471" s="177">
        <f>IFERROR(VLOOKUP($B471,calc_data,N$14+1,0),0)</f>
        <v/>
      </c>
      <c r="O471" s="45" t="n"/>
      <c r="Q471" s="57">
        <f>IF(K471&gt;0,"показать","скрыть")</f>
        <v/>
      </c>
    </row>
    <row r="472" ht="15.75" customHeight="1">
      <c r="B472" s="182" t="n">
        <v>456</v>
      </c>
      <c r="C472" s="182">
        <f>IFERROR(VLOOKUP($B472,calc_data,C$14+1,0),0)</f>
        <v/>
      </c>
      <c r="D472" s="182">
        <f>IFERROR(VLOOKUP($B472,calc_data,D$14+1,0),0)</f>
        <v/>
      </c>
      <c r="E472" s="183">
        <f>IFERROR(VLOOKUP($B472,calc_data,E$14+1,0),0)</f>
        <v/>
      </c>
      <c r="F472" s="182">
        <f>IFERROR(VLOOKUP($B472,calc_data,F$14+1,0),0)</f>
        <v/>
      </c>
      <c r="G472" s="141">
        <f>IFERROR(VLOOKUP($B472,calc_data,G$14+1,0),0)</f>
        <v/>
      </c>
      <c r="H472" s="141">
        <f>IFERROR(VLOOKUP($B472,calc_data,H$14+1,0),0)</f>
        <v/>
      </c>
      <c r="I472" s="142">
        <f>IFERROR(VLOOKUP($B472,calc_data,I$14+1,0),0)</f>
        <v/>
      </c>
      <c r="J472" s="141">
        <f>IFERROR(VLOOKUP($B472,calc_data,J$14+1,0),0)</f>
        <v/>
      </c>
      <c r="K472" s="141">
        <f>IFERROR(VLOOKUP($B472,calc_data,K$14+1,0),0)</f>
        <v/>
      </c>
      <c r="L472" s="141">
        <f>IFERROR(VLOOKUP($B472,calc_data,L$14+1,0),0)</f>
        <v/>
      </c>
      <c r="M472" s="177">
        <f>IFERROR(VLOOKUP($B472,calc_data,M$14+1,0),0)</f>
        <v/>
      </c>
      <c r="N472" s="177">
        <f>IFERROR(VLOOKUP($B472,calc_data,N$14+1,0),0)</f>
        <v/>
      </c>
      <c r="O472" s="45" t="n"/>
      <c r="Q472" s="57">
        <f>IF(K472&gt;0,"показать","скрыть")</f>
        <v/>
      </c>
    </row>
    <row r="473" ht="15.75" customHeight="1">
      <c r="B473" s="182" t="n">
        <v>457</v>
      </c>
      <c r="C473" s="182">
        <f>IFERROR(VLOOKUP($B473,calc_data,C$14+1,0),0)</f>
        <v/>
      </c>
      <c r="D473" s="182">
        <f>IFERROR(VLOOKUP($B473,calc_data,D$14+1,0),0)</f>
        <v/>
      </c>
      <c r="E473" s="183">
        <f>IFERROR(VLOOKUP($B473,calc_data,E$14+1,0),0)</f>
        <v/>
      </c>
      <c r="F473" s="182">
        <f>IFERROR(VLOOKUP($B473,calc_data,F$14+1,0),0)</f>
        <v/>
      </c>
      <c r="G473" s="141">
        <f>IFERROR(VLOOKUP($B473,calc_data,G$14+1,0),0)</f>
        <v/>
      </c>
      <c r="H473" s="141">
        <f>IFERROR(VLOOKUP($B473,calc_data,H$14+1,0),0)</f>
        <v/>
      </c>
      <c r="I473" s="142">
        <f>IFERROR(VLOOKUP($B473,calc_data,I$14+1,0),0)</f>
        <v/>
      </c>
      <c r="J473" s="141">
        <f>IFERROR(VLOOKUP($B473,calc_data,J$14+1,0),0)</f>
        <v/>
      </c>
      <c r="K473" s="141">
        <f>IFERROR(VLOOKUP($B473,calc_data,K$14+1,0),0)</f>
        <v/>
      </c>
      <c r="L473" s="141">
        <f>IFERROR(VLOOKUP($B473,calc_data,L$14+1,0),0)</f>
        <v/>
      </c>
      <c r="M473" s="177">
        <f>IFERROR(VLOOKUP($B473,calc_data,M$14+1,0),0)</f>
        <v/>
      </c>
      <c r="N473" s="177">
        <f>IFERROR(VLOOKUP($B473,calc_data,N$14+1,0),0)</f>
        <v/>
      </c>
      <c r="O473" s="45" t="n"/>
      <c r="Q473" s="57">
        <f>IF(K473&gt;0,"показать","скрыть")</f>
        <v/>
      </c>
    </row>
    <row r="474" ht="15.75" customHeight="1">
      <c r="B474" s="182" t="n">
        <v>458</v>
      </c>
      <c r="C474" s="182">
        <f>IFERROR(VLOOKUP($B474,calc_data,C$14+1,0),0)</f>
        <v/>
      </c>
      <c r="D474" s="182">
        <f>IFERROR(VLOOKUP($B474,calc_data,D$14+1,0),0)</f>
        <v/>
      </c>
      <c r="E474" s="183">
        <f>IFERROR(VLOOKUP($B474,calc_data,E$14+1,0),0)</f>
        <v/>
      </c>
      <c r="F474" s="182">
        <f>IFERROR(VLOOKUP($B474,calc_data,F$14+1,0),0)</f>
        <v/>
      </c>
      <c r="G474" s="141">
        <f>IFERROR(VLOOKUP($B474,calc_data,G$14+1,0),0)</f>
        <v/>
      </c>
      <c r="H474" s="141">
        <f>IFERROR(VLOOKUP($B474,calc_data,H$14+1,0),0)</f>
        <v/>
      </c>
      <c r="I474" s="142">
        <f>IFERROR(VLOOKUP($B474,calc_data,I$14+1,0),0)</f>
        <v/>
      </c>
      <c r="J474" s="141">
        <f>IFERROR(VLOOKUP($B474,calc_data,J$14+1,0),0)</f>
        <v/>
      </c>
      <c r="K474" s="141">
        <f>IFERROR(VLOOKUP($B474,calc_data,K$14+1,0),0)</f>
        <v/>
      </c>
      <c r="L474" s="141">
        <f>IFERROR(VLOOKUP($B474,calc_data,L$14+1,0),0)</f>
        <v/>
      </c>
      <c r="M474" s="177">
        <f>IFERROR(VLOOKUP($B474,calc_data,M$14+1,0),0)</f>
        <v/>
      </c>
      <c r="N474" s="177">
        <f>IFERROR(VLOOKUP($B474,calc_data,N$14+1,0),0)</f>
        <v/>
      </c>
      <c r="O474" s="45" t="n"/>
      <c r="Q474" s="57">
        <f>IF(K474&gt;0,"показать","скрыть")</f>
        <v/>
      </c>
    </row>
    <row r="475" ht="15.75" customHeight="1">
      <c r="B475" s="182" t="n">
        <v>459</v>
      </c>
      <c r="C475" s="182">
        <f>IFERROR(VLOOKUP($B475,calc_data,C$14+1,0),0)</f>
        <v/>
      </c>
      <c r="D475" s="182">
        <f>IFERROR(VLOOKUP($B475,calc_data,D$14+1,0),0)</f>
        <v/>
      </c>
      <c r="E475" s="183">
        <f>IFERROR(VLOOKUP($B475,calc_data,E$14+1,0),0)</f>
        <v/>
      </c>
      <c r="F475" s="182">
        <f>IFERROR(VLOOKUP($B475,calc_data,F$14+1,0),0)</f>
        <v/>
      </c>
      <c r="G475" s="141">
        <f>IFERROR(VLOOKUP($B475,calc_data,G$14+1,0),0)</f>
        <v/>
      </c>
      <c r="H475" s="141">
        <f>IFERROR(VLOOKUP($B475,calc_data,H$14+1,0),0)</f>
        <v/>
      </c>
      <c r="I475" s="142">
        <f>IFERROR(VLOOKUP($B475,calc_data,I$14+1,0),0)</f>
        <v/>
      </c>
      <c r="J475" s="141">
        <f>IFERROR(VLOOKUP($B475,calc_data,J$14+1,0),0)</f>
        <v/>
      </c>
      <c r="K475" s="141">
        <f>IFERROR(VLOOKUP($B475,calc_data,K$14+1,0),0)</f>
        <v/>
      </c>
      <c r="L475" s="141">
        <f>IFERROR(VLOOKUP($B475,calc_data,L$14+1,0),0)</f>
        <v/>
      </c>
      <c r="M475" s="177">
        <f>IFERROR(VLOOKUP($B475,calc_data,M$14+1,0),0)</f>
        <v/>
      </c>
      <c r="N475" s="177">
        <f>IFERROR(VLOOKUP($B475,calc_data,N$14+1,0),0)</f>
        <v/>
      </c>
      <c r="O475" s="45" t="n"/>
      <c r="Q475" s="57">
        <f>IF(K475&gt;0,"показать","скрыть")</f>
        <v/>
      </c>
    </row>
    <row r="476" ht="15.75" customHeight="1">
      <c r="B476" s="182" t="n">
        <v>460</v>
      </c>
      <c r="C476" s="182">
        <f>IFERROR(VLOOKUP($B476,calc_data,C$14+1,0),0)</f>
        <v/>
      </c>
      <c r="D476" s="182">
        <f>IFERROR(VLOOKUP($B476,calc_data,D$14+1,0),0)</f>
        <v/>
      </c>
      <c r="E476" s="183">
        <f>IFERROR(VLOOKUP($B476,calc_data,E$14+1,0),0)</f>
        <v/>
      </c>
      <c r="F476" s="182">
        <f>IFERROR(VLOOKUP($B476,calc_data,F$14+1,0),0)</f>
        <v/>
      </c>
      <c r="G476" s="141">
        <f>IFERROR(VLOOKUP($B476,calc_data,G$14+1,0),0)</f>
        <v/>
      </c>
      <c r="H476" s="141">
        <f>IFERROR(VLOOKUP($B476,calc_data,H$14+1,0),0)</f>
        <v/>
      </c>
      <c r="I476" s="142">
        <f>IFERROR(VLOOKUP($B476,calc_data,I$14+1,0),0)</f>
        <v/>
      </c>
      <c r="J476" s="141">
        <f>IFERROR(VLOOKUP($B476,calc_data,J$14+1,0),0)</f>
        <v/>
      </c>
      <c r="K476" s="141">
        <f>IFERROR(VLOOKUP($B476,calc_data,K$14+1,0),0)</f>
        <v/>
      </c>
      <c r="L476" s="141">
        <f>IFERROR(VLOOKUP($B476,calc_data,L$14+1,0),0)</f>
        <v/>
      </c>
      <c r="M476" s="177">
        <f>IFERROR(VLOOKUP($B476,calc_data,M$14+1,0),0)</f>
        <v/>
      </c>
      <c r="N476" s="177">
        <f>IFERROR(VLOOKUP($B476,calc_data,N$14+1,0),0)</f>
        <v/>
      </c>
      <c r="O476" s="45" t="n"/>
      <c r="Q476" s="57">
        <f>IF(K476&gt;0,"показать","скрыть")</f>
        <v/>
      </c>
    </row>
    <row r="477" ht="15.75" customHeight="1">
      <c r="B477" s="182" t="n">
        <v>461</v>
      </c>
      <c r="C477" s="182">
        <f>IFERROR(VLOOKUP($B477,calc_data,C$14+1,0),0)</f>
        <v/>
      </c>
      <c r="D477" s="182">
        <f>IFERROR(VLOOKUP($B477,calc_data,D$14+1,0),0)</f>
        <v/>
      </c>
      <c r="E477" s="183">
        <f>IFERROR(VLOOKUP($B477,calc_data,E$14+1,0),0)</f>
        <v/>
      </c>
      <c r="F477" s="182">
        <f>IFERROR(VLOOKUP($B477,calc_data,F$14+1,0),0)</f>
        <v/>
      </c>
      <c r="G477" s="141">
        <f>IFERROR(VLOOKUP($B477,calc_data,G$14+1,0),0)</f>
        <v/>
      </c>
      <c r="H477" s="141">
        <f>IFERROR(VLOOKUP($B477,calc_data,H$14+1,0),0)</f>
        <v/>
      </c>
      <c r="I477" s="142">
        <f>IFERROR(VLOOKUP($B477,calc_data,I$14+1,0),0)</f>
        <v/>
      </c>
      <c r="J477" s="141">
        <f>IFERROR(VLOOKUP($B477,calc_data,J$14+1,0),0)</f>
        <v/>
      </c>
      <c r="K477" s="141">
        <f>IFERROR(VLOOKUP($B477,calc_data,K$14+1,0),0)</f>
        <v/>
      </c>
      <c r="L477" s="141">
        <f>IFERROR(VLOOKUP($B477,calc_data,L$14+1,0),0)</f>
        <v/>
      </c>
      <c r="M477" s="177">
        <f>IFERROR(VLOOKUP($B477,calc_data,M$14+1,0),0)</f>
        <v/>
      </c>
      <c r="N477" s="177">
        <f>IFERROR(VLOOKUP($B477,calc_data,N$14+1,0),0)</f>
        <v/>
      </c>
      <c r="O477" s="45" t="n"/>
      <c r="Q477" s="57">
        <f>IF(K477&gt;0,"показать","скрыть")</f>
        <v/>
      </c>
    </row>
    <row r="478" ht="15.75" customHeight="1">
      <c r="B478" s="182" t="n">
        <v>462</v>
      </c>
      <c r="C478" s="182">
        <f>IFERROR(VLOOKUP($B478,calc_data,C$14+1,0),0)</f>
        <v/>
      </c>
      <c r="D478" s="182">
        <f>IFERROR(VLOOKUP($B478,calc_data,D$14+1,0),0)</f>
        <v/>
      </c>
      <c r="E478" s="183">
        <f>IFERROR(VLOOKUP($B478,calc_data,E$14+1,0),0)</f>
        <v/>
      </c>
      <c r="F478" s="182">
        <f>IFERROR(VLOOKUP($B478,calc_data,F$14+1,0),0)</f>
        <v/>
      </c>
      <c r="G478" s="141">
        <f>IFERROR(VLOOKUP($B478,calc_data,G$14+1,0),0)</f>
        <v/>
      </c>
      <c r="H478" s="141">
        <f>IFERROR(VLOOKUP($B478,calc_data,H$14+1,0),0)</f>
        <v/>
      </c>
      <c r="I478" s="142">
        <f>IFERROR(VLOOKUP($B478,calc_data,I$14+1,0),0)</f>
        <v/>
      </c>
      <c r="J478" s="141">
        <f>IFERROR(VLOOKUP($B478,calc_data,J$14+1,0),0)</f>
        <v/>
      </c>
      <c r="K478" s="141">
        <f>IFERROR(VLOOKUP($B478,calc_data,K$14+1,0),0)</f>
        <v/>
      </c>
      <c r="L478" s="141">
        <f>IFERROR(VLOOKUP($B478,calc_data,L$14+1,0),0)</f>
        <v/>
      </c>
      <c r="M478" s="177">
        <f>IFERROR(VLOOKUP($B478,calc_data,M$14+1,0),0)</f>
        <v/>
      </c>
      <c r="N478" s="177">
        <f>IFERROR(VLOOKUP($B478,calc_data,N$14+1,0),0)</f>
        <v/>
      </c>
      <c r="O478" s="45" t="n"/>
      <c r="Q478" s="57">
        <f>IF(K478&gt;0,"показать","скрыть")</f>
        <v/>
      </c>
    </row>
    <row r="479" ht="15.75" customHeight="1">
      <c r="B479" s="182" t="n">
        <v>463</v>
      </c>
      <c r="C479" s="182">
        <f>IFERROR(VLOOKUP($B479,calc_data,C$14+1,0),0)</f>
        <v/>
      </c>
      <c r="D479" s="182">
        <f>IFERROR(VLOOKUP($B479,calc_data,D$14+1,0),0)</f>
        <v/>
      </c>
      <c r="E479" s="183">
        <f>IFERROR(VLOOKUP($B479,calc_data,E$14+1,0),0)</f>
        <v/>
      </c>
      <c r="F479" s="182">
        <f>IFERROR(VLOOKUP($B479,calc_data,F$14+1,0),0)</f>
        <v/>
      </c>
      <c r="G479" s="141">
        <f>IFERROR(VLOOKUP($B479,calc_data,G$14+1,0),0)</f>
        <v/>
      </c>
      <c r="H479" s="141">
        <f>IFERROR(VLOOKUP($B479,calc_data,H$14+1,0),0)</f>
        <v/>
      </c>
      <c r="I479" s="142">
        <f>IFERROR(VLOOKUP($B479,calc_data,I$14+1,0),0)</f>
        <v/>
      </c>
      <c r="J479" s="141">
        <f>IFERROR(VLOOKUP($B479,calc_data,J$14+1,0),0)</f>
        <v/>
      </c>
      <c r="K479" s="141">
        <f>IFERROR(VLOOKUP($B479,calc_data,K$14+1,0),0)</f>
        <v/>
      </c>
      <c r="L479" s="141">
        <f>IFERROR(VLOOKUP($B479,calc_data,L$14+1,0),0)</f>
        <v/>
      </c>
      <c r="M479" s="177">
        <f>IFERROR(VLOOKUP($B479,calc_data,M$14+1,0),0)</f>
        <v/>
      </c>
      <c r="N479" s="177">
        <f>IFERROR(VLOOKUP($B479,calc_data,N$14+1,0),0)</f>
        <v/>
      </c>
      <c r="O479" s="45" t="n"/>
      <c r="Q479" s="57">
        <f>IF(K479&gt;0,"показать","скрыть")</f>
        <v/>
      </c>
    </row>
    <row r="480" ht="15.75" customHeight="1">
      <c r="B480" s="182" t="n">
        <v>464</v>
      </c>
      <c r="C480" s="182">
        <f>IFERROR(VLOOKUP($B480,calc_data,C$14+1,0),0)</f>
        <v/>
      </c>
      <c r="D480" s="182">
        <f>IFERROR(VLOOKUP($B480,calc_data,D$14+1,0),0)</f>
        <v/>
      </c>
      <c r="E480" s="183">
        <f>IFERROR(VLOOKUP($B480,calc_data,E$14+1,0),0)</f>
        <v/>
      </c>
      <c r="F480" s="182">
        <f>IFERROR(VLOOKUP($B480,calc_data,F$14+1,0),0)</f>
        <v/>
      </c>
      <c r="G480" s="141">
        <f>IFERROR(VLOOKUP($B480,calc_data,G$14+1,0),0)</f>
        <v/>
      </c>
      <c r="H480" s="141">
        <f>IFERROR(VLOOKUP($B480,calc_data,H$14+1,0),0)</f>
        <v/>
      </c>
      <c r="I480" s="142">
        <f>IFERROR(VLOOKUP($B480,calc_data,I$14+1,0),0)</f>
        <v/>
      </c>
      <c r="J480" s="141">
        <f>IFERROR(VLOOKUP($B480,calc_data,J$14+1,0),0)</f>
        <v/>
      </c>
      <c r="K480" s="141">
        <f>IFERROR(VLOOKUP($B480,calc_data,K$14+1,0),0)</f>
        <v/>
      </c>
      <c r="L480" s="141">
        <f>IFERROR(VLOOKUP($B480,calc_data,L$14+1,0),0)</f>
        <v/>
      </c>
      <c r="M480" s="177">
        <f>IFERROR(VLOOKUP($B480,calc_data,M$14+1,0),0)</f>
        <v/>
      </c>
      <c r="N480" s="177">
        <f>IFERROR(VLOOKUP($B480,calc_data,N$14+1,0),0)</f>
        <v/>
      </c>
      <c r="O480" s="45" t="n"/>
      <c r="Q480" s="57">
        <f>IF(K480&gt;0,"показать","скрыть")</f>
        <v/>
      </c>
    </row>
    <row r="481" ht="15.75" customHeight="1">
      <c r="B481" s="182" t="n">
        <v>465</v>
      </c>
      <c r="C481" s="182">
        <f>IFERROR(VLOOKUP($B481,calc_data,C$14+1,0),0)</f>
        <v/>
      </c>
      <c r="D481" s="182">
        <f>IFERROR(VLOOKUP($B481,calc_data,D$14+1,0),0)</f>
        <v/>
      </c>
      <c r="E481" s="183">
        <f>IFERROR(VLOOKUP($B481,calc_data,E$14+1,0),0)</f>
        <v/>
      </c>
      <c r="F481" s="182">
        <f>IFERROR(VLOOKUP($B481,calc_data,F$14+1,0),0)</f>
        <v/>
      </c>
      <c r="G481" s="141">
        <f>IFERROR(VLOOKUP($B481,calc_data,G$14+1,0),0)</f>
        <v/>
      </c>
      <c r="H481" s="141">
        <f>IFERROR(VLOOKUP($B481,calc_data,H$14+1,0),0)</f>
        <v/>
      </c>
      <c r="I481" s="142">
        <f>IFERROR(VLOOKUP($B481,calc_data,I$14+1,0),0)</f>
        <v/>
      </c>
      <c r="J481" s="141">
        <f>IFERROR(VLOOKUP($B481,calc_data,J$14+1,0),0)</f>
        <v/>
      </c>
      <c r="K481" s="141">
        <f>IFERROR(VLOOKUP($B481,calc_data,K$14+1,0),0)</f>
        <v/>
      </c>
      <c r="L481" s="141">
        <f>IFERROR(VLOOKUP($B481,calc_data,L$14+1,0),0)</f>
        <v/>
      </c>
      <c r="M481" s="177">
        <f>IFERROR(VLOOKUP($B481,calc_data,M$14+1,0),0)</f>
        <v/>
      </c>
      <c r="N481" s="177">
        <f>IFERROR(VLOOKUP($B481,calc_data,N$14+1,0),0)</f>
        <v/>
      </c>
      <c r="O481" s="45" t="n"/>
      <c r="Q481" s="57">
        <f>IF(K481&gt;0,"показать","скрыть")</f>
        <v/>
      </c>
    </row>
    <row r="482" ht="15.75" customHeight="1">
      <c r="B482" s="182" t="n">
        <v>466</v>
      </c>
      <c r="C482" s="182">
        <f>IFERROR(VLOOKUP($B482,calc_data,C$14+1,0),0)</f>
        <v/>
      </c>
      <c r="D482" s="182">
        <f>IFERROR(VLOOKUP($B482,calc_data,D$14+1,0),0)</f>
        <v/>
      </c>
      <c r="E482" s="183">
        <f>IFERROR(VLOOKUP($B482,calc_data,E$14+1,0),0)</f>
        <v/>
      </c>
      <c r="F482" s="182">
        <f>IFERROR(VLOOKUP($B482,calc_data,F$14+1,0),0)</f>
        <v/>
      </c>
      <c r="G482" s="141">
        <f>IFERROR(VLOOKUP($B482,calc_data,G$14+1,0),0)</f>
        <v/>
      </c>
      <c r="H482" s="141">
        <f>IFERROR(VLOOKUP($B482,calc_data,H$14+1,0),0)</f>
        <v/>
      </c>
      <c r="I482" s="142">
        <f>IFERROR(VLOOKUP($B482,calc_data,I$14+1,0),0)</f>
        <v/>
      </c>
      <c r="J482" s="141">
        <f>IFERROR(VLOOKUP($B482,calc_data,J$14+1,0),0)</f>
        <v/>
      </c>
      <c r="K482" s="141">
        <f>IFERROR(VLOOKUP($B482,calc_data,K$14+1,0),0)</f>
        <v/>
      </c>
      <c r="L482" s="141">
        <f>IFERROR(VLOOKUP($B482,calc_data,L$14+1,0),0)</f>
        <v/>
      </c>
      <c r="M482" s="177">
        <f>IFERROR(VLOOKUP($B482,calc_data,M$14+1,0),0)</f>
        <v/>
      </c>
      <c r="N482" s="177">
        <f>IFERROR(VLOOKUP($B482,calc_data,N$14+1,0),0)</f>
        <v/>
      </c>
      <c r="O482" s="45" t="n"/>
      <c r="Q482" s="57">
        <f>IF(K482&gt;0,"показать","скрыть")</f>
        <v/>
      </c>
    </row>
    <row r="483" ht="15.75" customHeight="1">
      <c r="B483" s="182" t="n">
        <v>467</v>
      </c>
      <c r="C483" s="182">
        <f>IFERROR(VLOOKUP($B483,calc_data,C$14+1,0),0)</f>
        <v/>
      </c>
      <c r="D483" s="182">
        <f>IFERROR(VLOOKUP($B483,calc_data,D$14+1,0),0)</f>
        <v/>
      </c>
      <c r="E483" s="183">
        <f>IFERROR(VLOOKUP($B483,calc_data,E$14+1,0),0)</f>
        <v/>
      </c>
      <c r="F483" s="182">
        <f>IFERROR(VLOOKUP($B483,calc_data,F$14+1,0),0)</f>
        <v/>
      </c>
      <c r="G483" s="141">
        <f>IFERROR(VLOOKUP($B483,calc_data,G$14+1,0),0)</f>
        <v/>
      </c>
      <c r="H483" s="141">
        <f>IFERROR(VLOOKUP($B483,calc_data,H$14+1,0),0)</f>
        <v/>
      </c>
      <c r="I483" s="142">
        <f>IFERROR(VLOOKUP($B483,calc_data,I$14+1,0),0)</f>
        <v/>
      </c>
      <c r="J483" s="141">
        <f>IFERROR(VLOOKUP($B483,calc_data,J$14+1,0),0)</f>
        <v/>
      </c>
      <c r="K483" s="141">
        <f>IFERROR(VLOOKUP($B483,calc_data,K$14+1,0),0)</f>
        <v/>
      </c>
      <c r="L483" s="141">
        <f>IFERROR(VLOOKUP($B483,calc_data,L$14+1,0),0)</f>
        <v/>
      </c>
      <c r="M483" s="177">
        <f>IFERROR(VLOOKUP($B483,calc_data,M$14+1,0),0)</f>
        <v/>
      </c>
      <c r="N483" s="177">
        <f>IFERROR(VLOOKUP($B483,calc_data,N$14+1,0),0)</f>
        <v/>
      </c>
      <c r="O483" s="45" t="n"/>
      <c r="Q483" s="57">
        <f>IF(K483&gt;0,"показать","скрыть")</f>
        <v/>
      </c>
    </row>
    <row r="484" ht="15.75" customHeight="1">
      <c r="B484" s="182" t="n">
        <v>468</v>
      </c>
      <c r="C484" s="182">
        <f>IFERROR(VLOOKUP($B484,calc_data,C$14+1,0),0)</f>
        <v/>
      </c>
      <c r="D484" s="182">
        <f>IFERROR(VLOOKUP($B484,calc_data,D$14+1,0),0)</f>
        <v/>
      </c>
      <c r="E484" s="183">
        <f>IFERROR(VLOOKUP($B484,calc_data,E$14+1,0),0)</f>
        <v/>
      </c>
      <c r="F484" s="182">
        <f>IFERROR(VLOOKUP($B484,calc_data,F$14+1,0),0)</f>
        <v/>
      </c>
      <c r="G484" s="141">
        <f>IFERROR(VLOOKUP($B484,calc_data,G$14+1,0),0)</f>
        <v/>
      </c>
      <c r="H484" s="141">
        <f>IFERROR(VLOOKUP($B484,calc_data,H$14+1,0),0)</f>
        <v/>
      </c>
      <c r="I484" s="142">
        <f>IFERROR(VLOOKUP($B484,calc_data,I$14+1,0),0)</f>
        <v/>
      </c>
      <c r="J484" s="141">
        <f>IFERROR(VLOOKUP($B484,calc_data,J$14+1,0),0)</f>
        <v/>
      </c>
      <c r="K484" s="141">
        <f>IFERROR(VLOOKUP($B484,calc_data,K$14+1,0),0)</f>
        <v/>
      </c>
      <c r="L484" s="141">
        <f>IFERROR(VLOOKUP($B484,calc_data,L$14+1,0),0)</f>
        <v/>
      </c>
      <c r="M484" s="177">
        <f>IFERROR(VLOOKUP($B484,calc_data,M$14+1,0),0)</f>
        <v/>
      </c>
      <c r="N484" s="177">
        <f>IFERROR(VLOOKUP($B484,calc_data,N$14+1,0),0)</f>
        <v/>
      </c>
      <c r="O484" s="45" t="n"/>
      <c r="Q484" s="57">
        <f>IF(K484&gt;0,"показать","скрыть")</f>
        <v/>
      </c>
    </row>
    <row r="485" ht="15.75" customHeight="1">
      <c r="B485" s="182" t="n">
        <v>469</v>
      </c>
      <c r="C485" s="182">
        <f>IFERROR(VLOOKUP($B485,calc_data,C$14+1,0),0)</f>
        <v/>
      </c>
      <c r="D485" s="182">
        <f>IFERROR(VLOOKUP($B485,calc_data,D$14+1,0),0)</f>
        <v/>
      </c>
      <c r="E485" s="183">
        <f>IFERROR(VLOOKUP($B485,calc_data,E$14+1,0),0)</f>
        <v/>
      </c>
      <c r="F485" s="182">
        <f>IFERROR(VLOOKUP($B485,calc_data,F$14+1,0),0)</f>
        <v/>
      </c>
      <c r="G485" s="141">
        <f>IFERROR(VLOOKUP($B485,calc_data,G$14+1,0),0)</f>
        <v/>
      </c>
      <c r="H485" s="141">
        <f>IFERROR(VLOOKUP($B485,calc_data,H$14+1,0),0)</f>
        <v/>
      </c>
      <c r="I485" s="142">
        <f>IFERROR(VLOOKUP($B485,calc_data,I$14+1,0),0)</f>
        <v/>
      </c>
      <c r="J485" s="141">
        <f>IFERROR(VLOOKUP($B485,calc_data,J$14+1,0),0)</f>
        <v/>
      </c>
      <c r="K485" s="141">
        <f>IFERROR(VLOOKUP($B485,calc_data,K$14+1,0),0)</f>
        <v/>
      </c>
      <c r="L485" s="141">
        <f>IFERROR(VLOOKUP($B485,calc_data,L$14+1,0),0)</f>
        <v/>
      </c>
      <c r="M485" s="177">
        <f>IFERROR(VLOOKUP($B485,calc_data,M$14+1,0),0)</f>
        <v/>
      </c>
      <c r="N485" s="177">
        <f>IFERROR(VLOOKUP($B485,calc_data,N$14+1,0),0)</f>
        <v/>
      </c>
      <c r="O485" s="45" t="n"/>
      <c r="Q485" s="57">
        <f>IF(K485&gt;0,"показать","скрыть")</f>
        <v/>
      </c>
    </row>
    <row r="486" ht="15.75" customHeight="1">
      <c r="B486" s="182" t="n">
        <v>470</v>
      </c>
      <c r="C486" s="182">
        <f>IFERROR(VLOOKUP($B486,calc_data,C$14+1,0),0)</f>
        <v/>
      </c>
      <c r="D486" s="182">
        <f>IFERROR(VLOOKUP($B486,calc_data,D$14+1,0),0)</f>
        <v/>
      </c>
      <c r="E486" s="183">
        <f>IFERROR(VLOOKUP($B486,calc_data,E$14+1,0),0)</f>
        <v/>
      </c>
      <c r="F486" s="182">
        <f>IFERROR(VLOOKUP($B486,calc_data,F$14+1,0),0)</f>
        <v/>
      </c>
      <c r="G486" s="141">
        <f>IFERROR(VLOOKUP($B486,calc_data,G$14+1,0),0)</f>
        <v/>
      </c>
      <c r="H486" s="141">
        <f>IFERROR(VLOOKUP($B486,calc_data,H$14+1,0),0)</f>
        <v/>
      </c>
      <c r="I486" s="142">
        <f>IFERROR(VLOOKUP($B486,calc_data,I$14+1,0),0)</f>
        <v/>
      </c>
      <c r="J486" s="141">
        <f>IFERROR(VLOOKUP($B486,calc_data,J$14+1,0),0)</f>
        <v/>
      </c>
      <c r="K486" s="141">
        <f>IFERROR(VLOOKUP($B486,calc_data,K$14+1,0),0)</f>
        <v/>
      </c>
      <c r="L486" s="141">
        <f>IFERROR(VLOOKUP($B486,calc_data,L$14+1,0),0)</f>
        <v/>
      </c>
      <c r="M486" s="177">
        <f>IFERROR(VLOOKUP($B486,calc_data,M$14+1,0),0)</f>
        <v/>
      </c>
      <c r="N486" s="177">
        <f>IFERROR(VLOOKUP($B486,calc_data,N$14+1,0),0)</f>
        <v/>
      </c>
      <c r="O486" s="45" t="n"/>
      <c r="Q486" s="57">
        <f>IF(K486&gt;0,"показать","скрыть")</f>
        <v/>
      </c>
    </row>
    <row r="487" ht="15.75" customHeight="1">
      <c r="B487" s="182" t="n">
        <v>471</v>
      </c>
      <c r="C487" s="182">
        <f>IFERROR(VLOOKUP($B487,calc_data,C$14+1,0),0)</f>
        <v/>
      </c>
      <c r="D487" s="182">
        <f>IFERROR(VLOOKUP($B487,calc_data,D$14+1,0),0)</f>
        <v/>
      </c>
      <c r="E487" s="183">
        <f>IFERROR(VLOOKUP($B487,calc_data,E$14+1,0),0)</f>
        <v/>
      </c>
      <c r="F487" s="182">
        <f>IFERROR(VLOOKUP($B487,calc_data,F$14+1,0),0)</f>
        <v/>
      </c>
      <c r="G487" s="141">
        <f>IFERROR(VLOOKUP($B487,calc_data,G$14+1,0),0)</f>
        <v/>
      </c>
      <c r="H487" s="141">
        <f>IFERROR(VLOOKUP($B487,calc_data,H$14+1,0),0)</f>
        <v/>
      </c>
      <c r="I487" s="142">
        <f>IFERROR(VLOOKUP($B487,calc_data,I$14+1,0),0)</f>
        <v/>
      </c>
      <c r="J487" s="141">
        <f>IFERROR(VLOOKUP($B487,calc_data,J$14+1,0),0)</f>
        <v/>
      </c>
      <c r="K487" s="141">
        <f>IFERROR(VLOOKUP($B487,calc_data,K$14+1,0),0)</f>
        <v/>
      </c>
      <c r="L487" s="141">
        <f>IFERROR(VLOOKUP($B487,calc_data,L$14+1,0),0)</f>
        <v/>
      </c>
      <c r="M487" s="177">
        <f>IFERROR(VLOOKUP($B487,calc_data,M$14+1,0),0)</f>
        <v/>
      </c>
      <c r="N487" s="177">
        <f>IFERROR(VLOOKUP($B487,calc_data,N$14+1,0),0)</f>
        <v/>
      </c>
      <c r="O487" s="45" t="n"/>
      <c r="Q487" s="57">
        <f>IF(K487&gt;0,"показать","скрыть")</f>
        <v/>
      </c>
    </row>
    <row r="488" ht="15.75" customHeight="1">
      <c r="B488" s="182" t="n">
        <v>472</v>
      </c>
      <c r="C488" s="182">
        <f>IFERROR(VLOOKUP($B488,calc_data,C$14+1,0),0)</f>
        <v/>
      </c>
      <c r="D488" s="182">
        <f>IFERROR(VLOOKUP($B488,calc_data,D$14+1,0),0)</f>
        <v/>
      </c>
      <c r="E488" s="183">
        <f>IFERROR(VLOOKUP($B488,calc_data,E$14+1,0),0)</f>
        <v/>
      </c>
      <c r="F488" s="182">
        <f>IFERROR(VLOOKUP($B488,calc_data,F$14+1,0),0)</f>
        <v/>
      </c>
      <c r="G488" s="141">
        <f>IFERROR(VLOOKUP($B488,calc_data,G$14+1,0),0)</f>
        <v/>
      </c>
      <c r="H488" s="141">
        <f>IFERROR(VLOOKUP($B488,calc_data,H$14+1,0),0)</f>
        <v/>
      </c>
      <c r="I488" s="142">
        <f>IFERROR(VLOOKUP($B488,calc_data,I$14+1,0),0)</f>
        <v/>
      </c>
      <c r="J488" s="141">
        <f>IFERROR(VLOOKUP($B488,calc_data,J$14+1,0),0)</f>
        <v/>
      </c>
      <c r="K488" s="141">
        <f>IFERROR(VLOOKUP($B488,calc_data,K$14+1,0),0)</f>
        <v/>
      </c>
      <c r="L488" s="141">
        <f>IFERROR(VLOOKUP($B488,calc_data,L$14+1,0),0)</f>
        <v/>
      </c>
      <c r="M488" s="177">
        <f>IFERROR(VLOOKUP($B488,calc_data,M$14+1,0),0)</f>
        <v/>
      </c>
      <c r="N488" s="177">
        <f>IFERROR(VLOOKUP($B488,calc_data,N$14+1,0),0)</f>
        <v/>
      </c>
      <c r="O488" s="45" t="n"/>
      <c r="Q488" s="57">
        <f>IF(K488&gt;0,"показать","скрыть")</f>
        <v/>
      </c>
    </row>
    <row r="489" ht="15.75" customHeight="1">
      <c r="B489" s="182" t="n">
        <v>473</v>
      </c>
      <c r="C489" s="182">
        <f>IFERROR(VLOOKUP($B489,calc_data,C$14+1,0),0)</f>
        <v/>
      </c>
      <c r="D489" s="182">
        <f>IFERROR(VLOOKUP($B489,calc_data,D$14+1,0),0)</f>
        <v/>
      </c>
      <c r="E489" s="183">
        <f>IFERROR(VLOOKUP($B489,calc_data,E$14+1,0),0)</f>
        <v/>
      </c>
      <c r="F489" s="182">
        <f>IFERROR(VLOOKUP($B489,calc_data,F$14+1,0),0)</f>
        <v/>
      </c>
      <c r="G489" s="141">
        <f>IFERROR(VLOOKUP($B489,calc_data,G$14+1,0),0)</f>
        <v/>
      </c>
      <c r="H489" s="141">
        <f>IFERROR(VLOOKUP($B489,calc_data,H$14+1,0),0)</f>
        <v/>
      </c>
      <c r="I489" s="142">
        <f>IFERROR(VLOOKUP($B489,calc_data,I$14+1,0),0)</f>
        <v/>
      </c>
      <c r="J489" s="141">
        <f>IFERROR(VLOOKUP($B489,calc_data,J$14+1,0),0)</f>
        <v/>
      </c>
      <c r="K489" s="141">
        <f>IFERROR(VLOOKUP($B489,calc_data,K$14+1,0),0)</f>
        <v/>
      </c>
      <c r="L489" s="141">
        <f>IFERROR(VLOOKUP($B489,calc_data,L$14+1,0),0)</f>
        <v/>
      </c>
      <c r="M489" s="177">
        <f>IFERROR(VLOOKUP($B489,calc_data,M$14+1,0),0)</f>
        <v/>
      </c>
      <c r="N489" s="177">
        <f>IFERROR(VLOOKUP($B489,calc_data,N$14+1,0),0)</f>
        <v/>
      </c>
      <c r="O489" s="45" t="n"/>
      <c r="Q489" s="57">
        <f>IF(K489&gt;0,"показать","скрыть")</f>
        <v/>
      </c>
    </row>
    <row r="490" ht="15.75" customHeight="1">
      <c r="B490" s="182" t="n">
        <v>474</v>
      </c>
      <c r="C490" s="182">
        <f>IFERROR(VLOOKUP($B490,calc_data,C$14+1,0),0)</f>
        <v/>
      </c>
      <c r="D490" s="182">
        <f>IFERROR(VLOOKUP($B490,calc_data,D$14+1,0),0)</f>
        <v/>
      </c>
      <c r="E490" s="183">
        <f>IFERROR(VLOOKUP($B490,calc_data,E$14+1,0),0)</f>
        <v/>
      </c>
      <c r="F490" s="182">
        <f>IFERROR(VLOOKUP($B490,calc_data,F$14+1,0),0)</f>
        <v/>
      </c>
      <c r="G490" s="141">
        <f>IFERROR(VLOOKUP($B490,calc_data,G$14+1,0),0)</f>
        <v/>
      </c>
      <c r="H490" s="141">
        <f>IFERROR(VLOOKUP($B490,calc_data,H$14+1,0),0)</f>
        <v/>
      </c>
      <c r="I490" s="142">
        <f>IFERROR(VLOOKUP($B490,calc_data,I$14+1,0),0)</f>
        <v/>
      </c>
      <c r="J490" s="141">
        <f>IFERROR(VLOOKUP($B490,calc_data,J$14+1,0),0)</f>
        <v/>
      </c>
      <c r="K490" s="141">
        <f>IFERROR(VLOOKUP($B490,calc_data,K$14+1,0),0)</f>
        <v/>
      </c>
      <c r="L490" s="141">
        <f>IFERROR(VLOOKUP($B490,calc_data,L$14+1,0),0)</f>
        <v/>
      </c>
      <c r="M490" s="177">
        <f>IFERROR(VLOOKUP($B490,calc_data,M$14+1,0),0)</f>
        <v/>
      </c>
      <c r="N490" s="177">
        <f>IFERROR(VLOOKUP($B490,calc_data,N$14+1,0),0)</f>
        <v/>
      </c>
      <c r="O490" s="45" t="n"/>
      <c r="Q490" s="57">
        <f>IF(K490&gt;0,"показать","скрыть")</f>
        <v/>
      </c>
    </row>
    <row r="491" ht="15.75" customHeight="1">
      <c r="B491" s="182" t="n">
        <v>475</v>
      </c>
      <c r="C491" s="182">
        <f>IFERROR(VLOOKUP($B491,calc_data,C$14+1,0),0)</f>
        <v/>
      </c>
      <c r="D491" s="182">
        <f>IFERROR(VLOOKUP($B491,calc_data,D$14+1,0),0)</f>
        <v/>
      </c>
      <c r="E491" s="183">
        <f>IFERROR(VLOOKUP($B491,calc_data,E$14+1,0),0)</f>
        <v/>
      </c>
      <c r="F491" s="182">
        <f>IFERROR(VLOOKUP($B491,calc_data,F$14+1,0),0)</f>
        <v/>
      </c>
      <c r="G491" s="141">
        <f>IFERROR(VLOOKUP($B491,calc_data,G$14+1,0),0)</f>
        <v/>
      </c>
      <c r="H491" s="141">
        <f>IFERROR(VLOOKUP($B491,calc_data,H$14+1,0),0)</f>
        <v/>
      </c>
      <c r="I491" s="142">
        <f>IFERROR(VLOOKUP($B491,calc_data,I$14+1,0),0)</f>
        <v/>
      </c>
      <c r="J491" s="141">
        <f>IFERROR(VLOOKUP($B491,calc_data,J$14+1,0),0)</f>
        <v/>
      </c>
      <c r="K491" s="141">
        <f>IFERROR(VLOOKUP($B491,calc_data,K$14+1,0),0)</f>
        <v/>
      </c>
      <c r="L491" s="141">
        <f>IFERROR(VLOOKUP($B491,calc_data,L$14+1,0),0)</f>
        <v/>
      </c>
      <c r="M491" s="177">
        <f>IFERROR(VLOOKUP($B491,calc_data,M$14+1,0),0)</f>
        <v/>
      </c>
      <c r="N491" s="177">
        <f>IFERROR(VLOOKUP($B491,calc_data,N$14+1,0),0)</f>
        <v/>
      </c>
      <c r="O491" s="45" t="n"/>
      <c r="Q491" s="57">
        <f>IF(K491&gt;0,"показать","скрыть")</f>
        <v/>
      </c>
    </row>
    <row r="492" ht="15.75" customHeight="1">
      <c r="B492" s="182" t="n">
        <v>476</v>
      </c>
      <c r="C492" s="182">
        <f>IFERROR(VLOOKUP($B492,calc_data,C$14+1,0),0)</f>
        <v/>
      </c>
      <c r="D492" s="182">
        <f>IFERROR(VLOOKUP($B492,calc_data,D$14+1,0),0)</f>
        <v/>
      </c>
      <c r="E492" s="183">
        <f>IFERROR(VLOOKUP($B492,calc_data,E$14+1,0),0)</f>
        <v/>
      </c>
      <c r="F492" s="182">
        <f>IFERROR(VLOOKUP($B492,calc_data,F$14+1,0),0)</f>
        <v/>
      </c>
      <c r="G492" s="141">
        <f>IFERROR(VLOOKUP($B492,calc_data,G$14+1,0),0)</f>
        <v/>
      </c>
      <c r="H492" s="141">
        <f>IFERROR(VLOOKUP($B492,calc_data,H$14+1,0),0)</f>
        <v/>
      </c>
      <c r="I492" s="142">
        <f>IFERROR(VLOOKUP($B492,calc_data,I$14+1,0),0)</f>
        <v/>
      </c>
      <c r="J492" s="141">
        <f>IFERROR(VLOOKUP($B492,calc_data,J$14+1,0),0)</f>
        <v/>
      </c>
      <c r="K492" s="141">
        <f>IFERROR(VLOOKUP($B492,calc_data,K$14+1,0),0)</f>
        <v/>
      </c>
      <c r="L492" s="141">
        <f>IFERROR(VLOOKUP($B492,calc_data,L$14+1,0),0)</f>
        <v/>
      </c>
      <c r="M492" s="177">
        <f>IFERROR(VLOOKUP($B492,calc_data,M$14+1,0),0)</f>
        <v/>
      </c>
      <c r="N492" s="177">
        <f>IFERROR(VLOOKUP($B492,calc_data,N$14+1,0),0)</f>
        <v/>
      </c>
      <c r="O492" s="45" t="n"/>
      <c r="Q492" s="57">
        <f>IF(K492&gt;0,"показать","скрыть")</f>
        <v/>
      </c>
    </row>
    <row r="493" ht="15.75" customHeight="1">
      <c r="B493" s="182" t="n">
        <v>477</v>
      </c>
      <c r="C493" s="182">
        <f>IFERROR(VLOOKUP($B493,calc_data,C$14+1,0),0)</f>
        <v/>
      </c>
      <c r="D493" s="182">
        <f>IFERROR(VLOOKUP($B493,calc_data,D$14+1,0),0)</f>
        <v/>
      </c>
      <c r="E493" s="183">
        <f>IFERROR(VLOOKUP($B493,calc_data,E$14+1,0),0)</f>
        <v/>
      </c>
      <c r="F493" s="182">
        <f>IFERROR(VLOOKUP($B493,calc_data,F$14+1,0),0)</f>
        <v/>
      </c>
      <c r="G493" s="141">
        <f>IFERROR(VLOOKUP($B493,calc_data,G$14+1,0),0)</f>
        <v/>
      </c>
      <c r="H493" s="141">
        <f>IFERROR(VLOOKUP($B493,calc_data,H$14+1,0),0)</f>
        <v/>
      </c>
      <c r="I493" s="142">
        <f>IFERROR(VLOOKUP($B493,calc_data,I$14+1,0),0)</f>
        <v/>
      </c>
      <c r="J493" s="141">
        <f>IFERROR(VLOOKUP($B493,calc_data,J$14+1,0),0)</f>
        <v/>
      </c>
      <c r="K493" s="141">
        <f>IFERROR(VLOOKUP($B493,calc_data,K$14+1,0),0)</f>
        <v/>
      </c>
      <c r="L493" s="141">
        <f>IFERROR(VLOOKUP($B493,calc_data,L$14+1,0),0)</f>
        <v/>
      </c>
      <c r="M493" s="177">
        <f>IFERROR(VLOOKUP($B493,calc_data,M$14+1,0),0)</f>
        <v/>
      </c>
      <c r="N493" s="177">
        <f>IFERROR(VLOOKUP($B493,calc_data,N$14+1,0),0)</f>
        <v/>
      </c>
      <c r="O493" s="45" t="n"/>
      <c r="Q493" s="57">
        <f>IF(K493&gt;0,"показать","скрыть")</f>
        <v/>
      </c>
    </row>
    <row r="494" ht="15.75" customHeight="1">
      <c r="B494" s="182" t="n">
        <v>478</v>
      </c>
      <c r="C494" s="182">
        <f>IFERROR(VLOOKUP($B494,calc_data,C$14+1,0),0)</f>
        <v/>
      </c>
      <c r="D494" s="182">
        <f>IFERROR(VLOOKUP($B494,calc_data,D$14+1,0),0)</f>
        <v/>
      </c>
      <c r="E494" s="183">
        <f>IFERROR(VLOOKUP($B494,calc_data,E$14+1,0),0)</f>
        <v/>
      </c>
      <c r="F494" s="182">
        <f>IFERROR(VLOOKUP($B494,calc_data,F$14+1,0),0)</f>
        <v/>
      </c>
      <c r="G494" s="141">
        <f>IFERROR(VLOOKUP($B494,calc_data,G$14+1,0),0)</f>
        <v/>
      </c>
      <c r="H494" s="141">
        <f>IFERROR(VLOOKUP($B494,calc_data,H$14+1,0),0)</f>
        <v/>
      </c>
      <c r="I494" s="142">
        <f>IFERROR(VLOOKUP($B494,calc_data,I$14+1,0),0)</f>
        <v/>
      </c>
      <c r="J494" s="141">
        <f>IFERROR(VLOOKUP($B494,calc_data,J$14+1,0),0)</f>
        <v/>
      </c>
      <c r="K494" s="141">
        <f>IFERROR(VLOOKUP($B494,calc_data,K$14+1,0),0)</f>
        <v/>
      </c>
      <c r="L494" s="141">
        <f>IFERROR(VLOOKUP($B494,calc_data,L$14+1,0),0)</f>
        <v/>
      </c>
      <c r="M494" s="177">
        <f>IFERROR(VLOOKUP($B494,calc_data,M$14+1,0),0)</f>
        <v/>
      </c>
      <c r="N494" s="177">
        <f>IFERROR(VLOOKUP($B494,calc_data,N$14+1,0),0)</f>
        <v/>
      </c>
      <c r="O494" s="45" t="n"/>
      <c r="Q494" s="57">
        <f>IF(K494&gt;0,"показать","скрыть")</f>
        <v/>
      </c>
    </row>
    <row r="495" ht="15.75" customHeight="1">
      <c r="B495" s="182" t="n">
        <v>479</v>
      </c>
      <c r="C495" s="182">
        <f>IFERROR(VLOOKUP($B495,calc_data,C$14+1,0),0)</f>
        <v/>
      </c>
      <c r="D495" s="182">
        <f>IFERROR(VLOOKUP($B495,calc_data,D$14+1,0),0)</f>
        <v/>
      </c>
      <c r="E495" s="183">
        <f>IFERROR(VLOOKUP($B495,calc_data,E$14+1,0),0)</f>
        <v/>
      </c>
      <c r="F495" s="182">
        <f>IFERROR(VLOOKUP($B495,calc_data,F$14+1,0),0)</f>
        <v/>
      </c>
      <c r="G495" s="141">
        <f>IFERROR(VLOOKUP($B495,calc_data,G$14+1,0),0)</f>
        <v/>
      </c>
      <c r="H495" s="141">
        <f>IFERROR(VLOOKUP($B495,calc_data,H$14+1,0),0)</f>
        <v/>
      </c>
      <c r="I495" s="142">
        <f>IFERROR(VLOOKUP($B495,calc_data,I$14+1,0),0)</f>
        <v/>
      </c>
      <c r="J495" s="141">
        <f>IFERROR(VLOOKUP($B495,calc_data,J$14+1,0),0)</f>
        <v/>
      </c>
      <c r="K495" s="141">
        <f>IFERROR(VLOOKUP($B495,calc_data,K$14+1,0),0)</f>
        <v/>
      </c>
      <c r="L495" s="141">
        <f>IFERROR(VLOOKUP($B495,calc_data,L$14+1,0),0)</f>
        <v/>
      </c>
      <c r="M495" s="177">
        <f>IFERROR(VLOOKUP($B495,calc_data,M$14+1,0),0)</f>
        <v/>
      </c>
      <c r="N495" s="177">
        <f>IFERROR(VLOOKUP($B495,calc_data,N$14+1,0),0)</f>
        <v/>
      </c>
      <c r="O495" s="45" t="n"/>
      <c r="Q495" s="57">
        <f>IF(K495&gt;0,"показать","скрыть")</f>
        <v/>
      </c>
    </row>
    <row r="496" ht="15.75" customHeight="1">
      <c r="B496" s="182" t="n">
        <v>480</v>
      </c>
      <c r="C496" s="182">
        <f>IFERROR(VLOOKUP($B496,calc_data,C$14+1,0),0)</f>
        <v/>
      </c>
      <c r="D496" s="182">
        <f>IFERROR(VLOOKUP($B496,calc_data,D$14+1,0),0)</f>
        <v/>
      </c>
      <c r="E496" s="183">
        <f>IFERROR(VLOOKUP($B496,calc_data,E$14+1,0),0)</f>
        <v/>
      </c>
      <c r="F496" s="182">
        <f>IFERROR(VLOOKUP($B496,calc_data,F$14+1,0),0)</f>
        <v/>
      </c>
      <c r="G496" s="141">
        <f>IFERROR(VLOOKUP($B496,calc_data,G$14+1,0),0)</f>
        <v/>
      </c>
      <c r="H496" s="141">
        <f>IFERROR(VLOOKUP($B496,calc_data,H$14+1,0),0)</f>
        <v/>
      </c>
      <c r="I496" s="142">
        <f>IFERROR(VLOOKUP($B496,calc_data,I$14+1,0),0)</f>
        <v/>
      </c>
      <c r="J496" s="141">
        <f>IFERROR(VLOOKUP($B496,calc_data,J$14+1,0),0)</f>
        <v/>
      </c>
      <c r="K496" s="141">
        <f>IFERROR(VLOOKUP($B496,calc_data,K$14+1,0),0)</f>
        <v/>
      </c>
      <c r="L496" s="141">
        <f>IFERROR(VLOOKUP($B496,calc_data,L$14+1,0),0)</f>
        <v/>
      </c>
      <c r="M496" s="177">
        <f>IFERROR(VLOOKUP($B496,calc_data,M$14+1,0),0)</f>
        <v/>
      </c>
      <c r="N496" s="177">
        <f>IFERROR(VLOOKUP($B496,calc_data,N$14+1,0),0)</f>
        <v/>
      </c>
      <c r="O496" s="45" t="n"/>
      <c r="Q496" s="57">
        <f>IF(K496&gt;0,"показать","скрыть")</f>
        <v/>
      </c>
    </row>
    <row r="497" ht="15.75" customHeight="1">
      <c r="B497" s="182" t="n">
        <v>481</v>
      </c>
      <c r="C497" s="182">
        <f>IFERROR(VLOOKUP($B497,calc_data,C$14+1,0),0)</f>
        <v/>
      </c>
      <c r="D497" s="182">
        <f>IFERROR(VLOOKUP($B497,calc_data,D$14+1,0),0)</f>
        <v/>
      </c>
      <c r="E497" s="183">
        <f>IFERROR(VLOOKUP($B497,calc_data,E$14+1,0),0)</f>
        <v/>
      </c>
      <c r="F497" s="182">
        <f>IFERROR(VLOOKUP($B497,calc_data,F$14+1,0),0)</f>
        <v/>
      </c>
      <c r="G497" s="141">
        <f>IFERROR(VLOOKUP($B497,calc_data,G$14+1,0),0)</f>
        <v/>
      </c>
      <c r="H497" s="141">
        <f>IFERROR(VLOOKUP($B497,calc_data,H$14+1,0),0)</f>
        <v/>
      </c>
      <c r="I497" s="142">
        <f>IFERROR(VLOOKUP($B497,calc_data,I$14+1,0),0)</f>
        <v/>
      </c>
      <c r="J497" s="141">
        <f>IFERROR(VLOOKUP($B497,calc_data,J$14+1,0),0)</f>
        <v/>
      </c>
      <c r="K497" s="141">
        <f>IFERROR(VLOOKUP($B497,calc_data,K$14+1,0),0)</f>
        <v/>
      </c>
      <c r="L497" s="141">
        <f>IFERROR(VLOOKUP($B497,calc_data,L$14+1,0),0)</f>
        <v/>
      </c>
      <c r="M497" s="177">
        <f>IFERROR(VLOOKUP($B497,calc_data,M$14+1,0),0)</f>
        <v/>
      </c>
      <c r="N497" s="177">
        <f>IFERROR(VLOOKUP($B497,calc_data,N$14+1,0),0)</f>
        <v/>
      </c>
      <c r="O497" s="45" t="n"/>
      <c r="Q497" s="57">
        <f>IF(K497&gt;0,"показать","скрыть")</f>
        <v/>
      </c>
    </row>
    <row r="498" ht="15.75" customHeight="1">
      <c r="B498" s="182" t="n">
        <v>482</v>
      </c>
      <c r="C498" s="182">
        <f>IFERROR(VLOOKUP($B498,calc_data,C$14+1,0),0)</f>
        <v/>
      </c>
      <c r="D498" s="182">
        <f>IFERROR(VLOOKUP($B498,calc_data,D$14+1,0),0)</f>
        <v/>
      </c>
      <c r="E498" s="183">
        <f>IFERROR(VLOOKUP($B498,calc_data,E$14+1,0),0)</f>
        <v/>
      </c>
      <c r="F498" s="182">
        <f>IFERROR(VLOOKUP($B498,calc_data,F$14+1,0),0)</f>
        <v/>
      </c>
      <c r="G498" s="141">
        <f>IFERROR(VLOOKUP($B498,calc_data,G$14+1,0),0)</f>
        <v/>
      </c>
      <c r="H498" s="141">
        <f>IFERROR(VLOOKUP($B498,calc_data,H$14+1,0),0)</f>
        <v/>
      </c>
      <c r="I498" s="142">
        <f>IFERROR(VLOOKUP($B498,calc_data,I$14+1,0),0)</f>
        <v/>
      </c>
      <c r="J498" s="141">
        <f>IFERROR(VLOOKUP($B498,calc_data,J$14+1,0),0)</f>
        <v/>
      </c>
      <c r="K498" s="141">
        <f>IFERROR(VLOOKUP($B498,calc_data,K$14+1,0),0)</f>
        <v/>
      </c>
      <c r="L498" s="141">
        <f>IFERROR(VLOOKUP($B498,calc_data,L$14+1,0),0)</f>
        <v/>
      </c>
      <c r="M498" s="177">
        <f>IFERROR(VLOOKUP($B498,calc_data,M$14+1,0),0)</f>
        <v/>
      </c>
      <c r="N498" s="177">
        <f>IFERROR(VLOOKUP($B498,calc_data,N$14+1,0),0)</f>
        <v/>
      </c>
      <c r="O498" s="45" t="n"/>
      <c r="Q498" s="57">
        <f>IF(K498&gt;0,"показать","скрыть")</f>
        <v/>
      </c>
    </row>
    <row r="499" ht="15.75" customHeight="1">
      <c r="B499" s="182" t="n">
        <v>483</v>
      </c>
      <c r="C499" s="182">
        <f>IFERROR(VLOOKUP($B499,calc_data,C$14+1,0),0)</f>
        <v/>
      </c>
      <c r="D499" s="182">
        <f>IFERROR(VLOOKUP($B499,calc_data,D$14+1,0),0)</f>
        <v/>
      </c>
      <c r="E499" s="183">
        <f>IFERROR(VLOOKUP($B499,calc_data,E$14+1,0),0)</f>
        <v/>
      </c>
      <c r="F499" s="182">
        <f>IFERROR(VLOOKUP($B499,calc_data,F$14+1,0),0)</f>
        <v/>
      </c>
      <c r="G499" s="141">
        <f>IFERROR(VLOOKUP($B499,calc_data,G$14+1,0),0)</f>
        <v/>
      </c>
      <c r="H499" s="141">
        <f>IFERROR(VLOOKUP($B499,calc_data,H$14+1,0),0)</f>
        <v/>
      </c>
      <c r="I499" s="142">
        <f>IFERROR(VLOOKUP($B499,calc_data,I$14+1,0),0)</f>
        <v/>
      </c>
      <c r="J499" s="141">
        <f>IFERROR(VLOOKUP($B499,calc_data,J$14+1,0),0)</f>
        <v/>
      </c>
      <c r="K499" s="141">
        <f>IFERROR(VLOOKUP($B499,calc_data,K$14+1,0),0)</f>
        <v/>
      </c>
      <c r="L499" s="141">
        <f>IFERROR(VLOOKUP($B499,calc_data,L$14+1,0),0)</f>
        <v/>
      </c>
      <c r="M499" s="177">
        <f>IFERROR(VLOOKUP($B499,calc_data,M$14+1,0),0)</f>
        <v/>
      </c>
      <c r="N499" s="177">
        <f>IFERROR(VLOOKUP($B499,calc_data,N$14+1,0),0)</f>
        <v/>
      </c>
      <c r="O499" s="45" t="n"/>
      <c r="Q499" s="57">
        <f>IF(K499&gt;0,"показать","скрыть")</f>
        <v/>
      </c>
    </row>
    <row r="500" ht="15.75" customHeight="1">
      <c r="B500" s="182" t="n">
        <v>484</v>
      </c>
      <c r="C500" s="182">
        <f>IFERROR(VLOOKUP($B500,calc_data,C$14+1,0),0)</f>
        <v/>
      </c>
      <c r="D500" s="182">
        <f>IFERROR(VLOOKUP($B500,calc_data,D$14+1,0),0)</f>
        <v/>
      </c>
      <c r="E500" s="183">
        <f>IFERROR(VLOOKUP($B500,calc_data,E$14+1,0),0)</f>
        <v/>
      </c>
      <c r="F500" s="182">
        <f>IFERROR(VLOOKUP($B500,calc_data,F$14+1,0),0)</f>
        <v/>
      </c>
      <c r="G500" s="141">
        <f>IFERROR(VLOOKUP($B500,calc_data,G$14+1,0),0)</f>
        <v/>
      </c>
      <c r="H500" s="141">
        <f>IFERROR(VLOOKUP($B500,calc_data,H$14+1,0),0)</f>
        <v/>
      </c>
      <c r="I500" s="142">
        <f>IFERROR(VLOOKUP($B500,calc_data,I$14+1,0),0)</f>
        <v/>
      </c>
      <c r="J500" s="141">
        <f>IFERROR(VLOOKUP($B500,calc_data,J$14+1,0),0)</f>
        <v/>
      </c>
      <c r="K500" s="141">
        <f>IFERROR(VLOOKUP($B500,calc_data,K$14+1,0),0)</f>
        <v/>
      </c>
      <c r="L500" s="141">
        <f>IFERROR(VLOOKUP($B500,calc_data,L$14+1,0),0)</f>
        <v/>
      </c>
      <c r="M500" s="177">
        <f>IFERROR(VLOOKUP($B500,calc_data,M$14+1,0),0)</f>
        <v/>
      </c>
      <c r="N500" s="177">
        <f>IFERROR(VLOOKUP($B500,calc_data,N$14+1,0),0)</f>
        <v/>
      </c>
      <c r="O500" s="45" t="n"/>
      <c r="Q500" s="57">
        <f>IF(K500&gt;0,"показать","скрыть")</f>
        <v/>
      </c>
    </row>
    <row r="501" ht="15.75" customHeight="1">
      <c r="B501" s="182" t="n">
        <v>485</v>
      </c>
      <c r="C501" s="182">
        <f>IFERROR(VLOOKUP($B501,calc_data,C$14+1,0),0)</f>
        <v/>
      </c>
      <c r="D501" s="182">
        <f>IFERROR(VLOOKUP($B501,calc_data,D$14+1,0),0)</f>
        <v/>
      </c>
      <c r="E501" s="183">
        <f>IFERROR(VLOOKUP($B501,calc_data,E$14+1,0),0)</f>
        <v/>
      </c>
      <c r="F501" s="182">
        <f>IFERROR(VLOOKUP($B501,calc_data,F$14+1,0),0)</f>
        <v/>
      </c>
      <c r="G501" s="141">
        <f>IFERROR(VLOOKUP($B501,calc_data,G$14+1,0),0)</f>
        <v/>
      </c>
      <c r="H501" s="141">
        <f>IFERROR(VLOOKUP($B501,calc_data,H$14+1,0),0)</f>
        <v/>
      </c>
      <c r="I501" s="142">
        <f>IFERROR(VLOOKUP($B501,calc_data,I$14+1,0),0)</f>
        <v/>
      </c>
      <c r="J501" s="141">
        <f>IFERROR(VLOOKUP($B501,calc_data,J$14+1,0),0)</f>
        <v/>
      </c>
      <c r="K501" s="141">
        <f>IFERROR(VLOOKUP($B501,calc_data,K$14+1,0),0)</f>
        <v/>
      </c>
      <c r="L501" s="141">
        <f>IFERROR(VLOOKUP($B501,calc_data,L$14+1,0),0)</f>
        <v/>
      </c>
      <c r="M501" s="177">
        <f>IFERROR(VLOOKUP($B501,calc_data,M$14+1,0),0)</f>
        <v/>
      </c>
      <c r="N501" s="177">
        <f>IFERROR(VLOOKUP($B501,calc_data,N$14+1,0),0)</f>
        <v/>
      </c>
      <c r="O501" s="45" t="n"/>
      <c r="Q501" s="57">
        <f>IF(K501&gt;0,"показать","скрыть")</f>
        <v/>
      </c>
    </row>
    <row r="502" ht="15.75" customHeight="1">
      <c r="B502" s="182" t="n">
        <v>486</v>
      </c>
      <c r="C502" s="182">
        <f>IFERROR(VLOOKUP($B502,calc_data,C$14+1,0),0)</f>
        <v/>
      </c>
      <c r="D502" s="182">
        <f>IFERROR(VLOOKUP($B502,calc_data,D$14+1,0),0)</f>
        <v/>
      </c>
      <c r="E502" s="183">
        <f>IFERROR(VLOOKUP($B502,calc_data,E$14+1,0),0)</f>
        <v/>
      </c>
      <c r="F502" s="182">
        <f>IFERROR(VLOOKUP($B502,calc_data,F$14+1,0),0)</f>
        <v/>
      </c>
      <c r="G502" s="141">
        <f>IFERROR(VLOOKUP($B502,calc_data,G$14+1,0),0)</f>
        <v/>
      </c>
      <c r="H502" s="141">
        <f>IFERROR(VLOOKUP($B502,calc_data,H$14+1,0),0)</f>
        <v/>
      </c>
      <c r="I502" s="142">
        <f>IFERROR(VLOOKUP($B502,calc_data,I$14+1,0),0)</f>
        <v/>
      </c>
      <c r="J502" s="141">
        <f>IFERROR(VLOOKUP($B502,calc_data,J$14+1,0),0)</f>
        <v/>
      </c>
      <c r="K502" s="141">
        <f>IFERROR(VLOOKUP($B502,calc_data,K$14+1,0),0)</f>
        <v/>
      </c>
      <c r="L502" s="141">
        <f>IFERROR(VLOOKUP($B502,calc_data,L$14+1,0),0)</f>
        <v/>
      </c>
      <c r="M502" s="177">
        <f>IFERROR(VLOOKUP($B502,calc_data,M$14+1,0),0)</f>
        <v/>
      </c>
      <c r="N502" s="177">
        <f>IFERROR(VLOOKUP($B502,calc_data,N$14+1,0),0)</f>
        <v/>
      </c>
      <c r="O502" s="45" t="n"/>
      <c r="Q502" s="57">
        <f>IF(K502&gt;0,"показать","скрыть")</f>
        <v/>
      </c>
    </row>
    <row r="503" ht="15.75" customHeight="1">
      <c r="B503" s="182" t="n">
        <v>487</v>
      </c>
      <c r="C503" s="182">
        <f>IFERROR(VLOOKUP($B503,calc_data,C$14+1,0),0)</f>
        <v/>
      </c>
      <c r="D503" s="182">
        <f>IFERROR(VLOOKUP($B503,calc_data,D$14+1,0),0)</f>
        <v/>
      </c>
      <c r="E503" s="183">
        <f>IFERROR(VLOOKUP($B503,calc_data,E$14+1,0),0)</f>
        <v/>
      </c>
      <c r="F503" s="182">
        <f>IFERROR(VLOOKUP($B503,calc_data,F$14+1,0),0)</f>
        <v/>
      </c>
      <c r="G503" s="141">
        <f>IFERROR(VLOOKUP($B503,calc_data,G$14+1,0),0)</f>
        <v/>
      </c>
      <c r="H503" s="141">
        <f>IFERROR(VLOOKUP($B503,calc_data,H$14+1,0),0)</f>
        <v/>
      </c>
      <c r="I503" s="142">
        <f>IFERROR(VLOOKUP($B503,calc_data,I$14+1,0),0)</f>
        <v/>
      </c>
      <c r="J503" s="141">
        <f>IFERROR(VLOOKUP($B503,calc_data,J$14+1,0),0)</f>
        <v/>
      </c>
      <c r="K503" s="141">
        <f>IFERROR(VLOOKUP($B503,calc_data,K$14+1,0),0)</f>
        <v/>
      </c>
      <c r="L503" s="141">
        <f>IFERROR(VLOOKUP($B503,calc_data,L$14+1,0),0)</f>
        <v/>
      </c>
      <c r="M503" s="177">
        <f>IFERROR(VLOOKUP($B503,calc_data,M$14+1,0),0)</f>
        <v/>
      </c>
      <c r="N503" s="177">
        <f>IFERROR(VLOOKUP($B503,calc_data,N$14+1,0),0)</f>
        <v/>
      </c>
      <c r="O503" s="45" t="n"/>
      <c r="Q503" s="57">
        <f>IF(K503&gt;0,"показать","скрыть")</f>
        <v/>
      </c>
    </row>
    <row r="504" ht="15.75" customHeight="1">
      <c r="B504" s="182" t="n">
        <v>488</v>
      </c>
      <c r="C504" s="182">
        <f>IFERROR(VLOOKUP($B504,calc_data,C$14+1,0),0)</f>
        <v/>
      </c>
      <c r="D504" s="182">
        <f>IFERROR(VLOOKUP($B504,calc_data,D$14+1,0),0)</f>
        <v/>
      </c>
      <c r="E504" s="183">
        <f>IFERROR(VLOOKUP($B504,calc_data,E$14+1,0),0)</f>
        <v/>
      </c>
      <c r="F504" s="182">
        <f>IFERROR(VLOOKUP($B504,calc_data,F$14+1,0),0)</f>
        <v/>
      </c>
      <c r="G504" s="141">
        <f>IFERROR(VLOOKUP($B504,calc_data,G$14+1,0),0)</f>
        <v/>
      </c>
      <c r="H504" s="141">
        <f>IFERROR(VLOOKUP($B504,calc_data,H$14+1,0),0)</f>
        <v/>
      </c>
      <c r="I504" s="142">
        <f>IFERROR(VLOOKUP($B504,calc_data,I$14+1,0),0)</f>
        <v/>
      </c>
      <c r="J504" s="141">
        <f>IFERROR(VLOOKUP($B504,calc_data,J$14+1,0),0)</f>
        <v/>
      </c>
      <c r="K504" s="141">
        <f>IFERROR(VLOOKUP($B504,calc_data,K$14+1,0),0)</f>
        <v/>
      </c>
      <c r="L504" s="141">
        <f>IFERROR(VLOOKUP($B504,calc_data,L$14+1,0),0)</f>
        <v/>
      </c>
      <c r="M504" s="177">
        <f>IFERROR(VLOOKUP($B504,calc_data,M$14+1,0),0)</f>
        <v/>
      </c>
      <c r="N504" s="177">
        <f>IFERROR(VLOOKUP($B504,calc_data,N$14+1,0),0)</f>
        <v/>
      </c>
      <c r="O504" s="45" t="n"/>
      <c r="Q504" s="57">
        <f>IF(K504&gt;0,"показать","скрыть")</f>
        <v/>
      </c>
    </row>
    <row r="505" ht="15.75" customHeight="1">
      <c r="B505" s="182" t="n">
        <v>489</v>
      </c>
      <c r="C505" s="182">
        <f>IFERROR(VLOOKUP($B505,calc_data,C$14+1,0),0)</f>
        <v/>
      </c>
      <c r="D505" s="182">
        <f>IFERROR(VLOOKUP($B505,calc_data,D$14+1,0),0)</f>
        <v/>
      </c>
      <c r="E505" s="183">
        <f>IFERROR(VLOOKUP($B505,calc_data,E$14+1,0),0)</f>
        <v/>
      </c>
      <c r="F505" s="182">
        <f>IFERROR(VLOOKUP($B505,calc_data,F$14+1,0),0)</f>
        <v/>
      </c>
      <c r="G505" s="141">
        <f>IFERROR(VLOOKUP($B505,calc_data,G$14+1,0),0)</f>
        <v/>
      </c>
      <c r="H505" s="141">
        <f>IFERROR(VLOOKUP($B505,calc_data,H$14+1,0),0)</f>
        <v/>
      </c>
      <c r="I505" s="142">
        <f>IFERROR(VLOOKUP($B505,calc_data,I$14+1,0),0)</f>
        <v/>
      </c>
      <c r="J505" s="141">
        <f>IFERROR(VLOOKUP($B505,calc_data,J$14+1,0),0)</f>
        <v/>
      </c>
      <c r="K505" s="141">
        <f>IFERROR(VLOOKUP($B505,calc_data,K$14+1,0),0)</f>
        <v/>
      </c>
      <c r="L505" s="141">
        <f>IFERROR(VLOOKUP($B505,calc_data,L$14+1,0),0)</f>
        <v/>
      </c>
      <c r="M505" s="177">
        <f>IFERROR(VLOOKUP($B505,calc_data,M$14+1,0),0)</f>
        <v/>
      </c>
      <c r="N505" s="177">
        <f>IFERROR(VLOOKUP($B505,calc_data,N$14+1,0),0)</f>
        <v/>
      </c>
      <c r="O505" s="45" t="n"/>
      <c r="Q505" s="57">
        <f>IF(K505&gt;0,"показать","скрыть")</f>
        <v/>
      </c>
    </row>
    <row r="506" ht="15.75" customHeight="1">
      <c r="B506" s="182" t="n">
        <v>490</v>
      </c>
      <c r="C506" s="182">
        <f>IFERROR(VLOOKUP($B506,calc_data,C$14+1,0),0)</f>
        <v/>
      </c>
      <c r="D506" s="182">
        <f>IFERROR(VLOOKUP($B506,calc_data,D$14+1,0),0)</f>
        <v/>
      </c>
      <c r="E506" s="183">
        <f>IFERROR(VLOOKUP($B506,calc_data,E$14+1,0),0)</f>
        <v/>
      </c>
      <c r="F506" s="182">
        <f>IFERROR(VLOOKUP($B506,calc_data,F$14+1,0),0)</f>
        <v/>
      </c>
      <c r="G506" s="141">
        <f>IFERROR(VLOOKUP($B506,calc_data,G$14+1,0),0)</f>
        <v/>
      </c>
      <c r="H506" s="141">
        <f>IFERROR(VLOOKUP($B506,calc_data,H$14+1,0),0)</f>
        <v/>
      </c>
      <c r="I506" s="142">
        <f>IFERROR(VLOOKUP($B506,calc_data,I$14+1,0),0)</f>
        <v/>
      </c>
      <c r="J506" s="141">
        <f>IFERROR(VLOOKUP($B506,calc_data,J$14+1,0),0)</f>
        <v/>
      </c>
      <c r="K506" s="141">
        <f>IFERROR(VLOOKUP($B506,calc_data,K$14+1,0),0)</f>
        <v/>
      </c>
      <c r="L506" s="141">
        <f>IFERROR(VLOOKUP($B506,calc_data,L$14+1,0),0)</f>
        <v/>
      </c>
      <c r="M506" s="177">
        <f>IFERROR(VLOOKUP($B506,calc_data,M$14+1,0),0)</f>
        <v/>
      </c>
      <c r="N506" s="177">
        <f>IFERROR(VLOOKUP($B506,calc_data,N$14+1,0),0)</f>
        <v/>
      </c>
      <c r="O506" s="45" t="n"/>
      <c r="Q506" s="57">
        <f>IF(K506&gt;0,"показать","скрыть")</f>
        <v/>
      </c>
    </row>
    <row r="507" ht="15.75" customHeight="1">
      <c r="B507" s="182" t="n">
        <v>491</v>
      </c>
      <c r="C507" s="182">
        <f>IFERROR(VLOOKUP($B507,calc_data,C$14+1,0),0)</f>
        <v/>
      </c>
      <c r="D507" s="182">
        <f>IFERROR(VLOOKUP($B507,calc_data,D$14+1,0),0)</f>
        <v/>
      </c>
      <c r="E507" s="183">
        <f>IFERROR(VLOOKUP($B507,calc_data,E$14+1,0),0)</f>
        <v/>
      </c>
      <c r="F507" s="182">
        <f>IFERROR(VLOOKUP($B507,calc_data,F$14+1,0),0)</f>
        <v/>
      </c>
      <c r="G507" s="141">
        <f>IFERROR(VLOOKUP($B507,calc_data,G$14+1,0),0)</f>
        <v/>
      </c>
      <c r="H507" s="141">
        <f>IFERROR(VLOOKUP($B507,calc_data,H$14+1,0),0)</f>
        <v/>
      </c>
      <c r="I507" s="142">
        <f>IFERROR(VLOOKUP($B507,calc_data,I$14+1,0),0)</f>
        <v/>
      </c>
      <c r="J507" s="141">
        <f>IFERROR(VLOOKUP($B507,calc_data,J$14+1,0),0)</f>
        <v/>
      </c>
      <c r="K507" s="141">
        <f>IFERROR(VLOOKUP($B507,calc_data,K$14+1,0),0)</f>
        <v/>
      </c>
      <c r="L507" s="141">
        <f>IFERROR(VLOOKUP($B507,calc_data,L$14+1,0),0)</f>
        <v/>
      </c>
      <c r="M507" s="177">
        <f>IFERROR(VLOOKUP($B507,calc_data,M$14+1,0),0)</f>
        <v/>
      </c>
      <c r="N507" s="177">
        <f>IFERROR(VLOOKUP($B507,calc_data,N$14+1,0),0)</f>
        <v/>
      </c>
      <c r="O507" s="45" t="n"/>
      <c r="Q507" s="57">
        <f>IF(K507&gt;0,"показать","скрыть")</f>
        <v/>
      </c>
    </row>
    <row r="508" ht="15.75" customHeight="1">
      <c r="B508" s="182" t="n">
        <v>492</v>
      </c>
      <c r="C508" s="182">
        <f>IFERROR(VLOOKUP($B508,calc_data,C$14+1,0),0)</f>
        <v/>
      </c>
      <c r="D508" s="182">
        <f>IFERROR(VLOOKUP($B508,calc_data,D$14+1,0),0)</f>
        <v/>
      </c>
      <c r="E508" s="183">
        <f>IFERROR(VLOOKUP($B508,calc_data,E$14+1,0),0)</f>
        <v/>
      </c>
      <c r="F508" s="182">
        <f>IFERROR(VLOOKUP($B508,calc_data,F$14+1,0),0)</f>
        <v/>
      </c>
      <c r="G508" s="141">
        <f>IFERROR(VLOOKUP($B508,calc_data,G$14+1,0),0)</f>
        <v/>
      </c>
      <c r="H508" s="141">
        <f>IFERROR(VLOOKUP($B508,calc_data,H$14+1,0),0)</f>
        <v/>
      </c>
      <c r="I508" s="142">
        <f>IFERROR(VLOOKUP($B508,calc_data,I$14+1,0),0)</f>
        <v/>
      </c>
      <c r="J508" s="141">
        <f>IFERROR(VLOOKUP($B508,calc_data,J$14+1,0),0)</f>
        <v/>
      </c>
      <c r="K508" s="141">
        <f>IFERROR(VLOOKUP($B508,calc_data,K$14+1,0),0)</f>
        <v/>
      </c>
      <c r="L508" s="141">
        <f>IFERROR(VLOOKUP($B508,calc_data,L$14+1,0),0)</f>
        <v/>
      </c>
      <c r="M508" s="177">
        <f>IFERROR(VLOOKUP($B508,calc_data,M$14+1,0),0)</f>
        <v/>
      </c>
      <c r="N508" s="177">
        <f>IFERROR(VLOOKUP($B508,calc_data,N$14+1,0),0)</f>
        <v/>
      </c>
      <c r="O508" s="45" t="n"/>
      <c r="Q508" s="57">
        <f>IF(K508&gt;0,"показать","скрыть")</f>
        <v/>
      </c>
    </row>
    <row r="509" ht="15.75" customHeight="1">
      <c r="B509" s="182" t="n">
        <v>493</v>
      </c>
      <c r="C509" s="182">
        <f>IFERROR(VLOOKUP($B509,calc_data,C$14+1,0),0)</f>
        <v/>
      </c>
      <c r="D509" s="182">
        <f>IFERROR(VLOOKUP($B509,calc_data,D$14+1,0),0)</f>
        <v/>
      </c>
      <c r="E509" s="183">
        <f>IFERROR(VLOOKUP($B509,calc_data,E$14+1,0),0)</f>
        <v/>
      </c>
      <c r="F509" s="182">
        <f>IFERROR(VLOOKUP($B509,calc_data,F$14+1,0),0)</f>
        <v/>
      </c>
      <c r="G509" s="141">
        <f>IFERROR(VLOOKUP($B509,calc_data,G$14+1,0),0)</f>
        <v/>
      </c>
      <c r="H509" s="141">
        <f>IFERROR(VLOOKUP($B509,calc_data,H$14+1,0),0)</f>
        <v/>
      </c>
      <c r="I509" s="142">
        <f>IFERROR(VLOOKUP($B509,calc_data,I$14+1,0),0)</f>
        <v/>
      </c>
      <c r="J509" s="141">
        <f>IFERROR(VLOOKUP($B509,calc_data,J$14+1,0),0)</f>
        <v/>
      </c>
      <c r="K509" s="141">
        <f>IFERROR(VLOOKUP($B509,calc_data,K$14+1,0),0)</f>
        <v/>
      </c>
      <c r="L509" s="141">
        <f>IFERROR(VLOOKUP($B509,calc_data,L$14+1,0),0)</f>
        <v/>
      </c>
      <c r="M509" s="177">
        <f>IFERROR(VLOOKUP($B509,calc_data,M$14+1,0),0)</f>
        <v/>
      </c>
      <c r="N509" s="177">
        <f>IFERROR(VLOOKUP($B509,calc_data,N$14+1,0),0)</f>
        <v/>
      </c>
      <c r="O509" s="45" t="n"/>
      <c r="Q509" s="57">
        <f>IF(K509&gt;0,"показать","скрыть")</f>
        <v/>
      </c>
    </row>
    <row r="510" ht="15.75" customHeight="1">
      <c r="B510" s="182" t="n">
        <v>494</v>
      </c>
      <c r="C510" s="182">
        <f>IFERROR(VLOOKUP($B510,calc_data,C$14+1,0),0)</f>
        <v/>
      </c>
      <c r="D510" s="182">
        <f>IFERROR(VLOOKUP($B510,calc_data,D$14+1,0),0)</f>
        <v/>
      </c>
      <c r="E510" s="183">
        <f>IFERROR(VLOOKUP($B510,calc_data,E$14+1,0),0)</f>
        <v/>
      </c>
      <c r="F510" s="182">
        <f>IFERROR(VLOOKUP($B510,calc_data,F$14+1,0),0)</f>
        <v/>
      </c>
      <c r="G510" s="141">
        <f>IFERROR(VLOOKUP($B510,calc_data,G$14+1,0),0)</f>
        <v/>
      </c>
      <c r="H510" s="141">
        <f>IFERROR(VLOOKUP($B510,calc_data,H$14+1,0),0)</f>
        <v/>
      </c>
      <c r="I510" s="142">
        <f>IFERROR(VLOOKUP($B510,calc_data,I$14+1,0),0)</f>
        <v/>
      </c>
      <c r="J510" s="141">
        <f>IFERROR(VLOOKUP($B510,calc_data,J$14+1,0),0)</f>
        <v/>
      </c>
      <c r="K510" s="141">
        <f>IFERROR(VLOOKUP($B510,calc_data,K$14+1,0),0)</f>
        <v/>
      </c>
      <c r="L510" s="141">
        <f>IFERROR(VLOOKUP($B510,calc_data,L$14+1,0),0)</f>
        <v/>
      </c>
      <c r="M510" s="177">
        <f>IFERROR(VLOOKUP($B510,calc_data,M$14+1,0),0)</f>
        <v/>
      </c>
      <c r="N510" s="177">
        <f>IFERROR(VLOOKUP($B510,calc_data,N$14+1,0),0)</f>
        <v/>
      </c>
      <c r="O510" s="45" t="n"/>
      <c r="Q510" s="57">
        <f>IF(K510&gt;0,"показать","скрыть")</f>
        <v/>
      </c>
    </row>
    <row r="511" ht="15.75" customHeight="1">
      <c r="B511" s="182" t="n">
        <v>495</v>
      </c>
      <c r="C511" s="182">
        <f>IFERROR(VLOOKUP($B511,calc_data,C$14+1,0),0)</f>
        <v/>
      </c>
      <c r="D511" s="182">
        <f>IFERROR(VLOOKUP($B511,calc_data,D$14+1,0),0)</f>
        <v/>
      </c>
      <c r="E511" s="183">
        <f>IFERROR(VLOOKUP($B511,calc_data,E$14+1,0),0)</f>
        <v/>
      </c>
      <c r="F511" s="182">
        <f>IFERROR(VLOOKUP($B511,calc_data,F$14+1,0),0)</f>
        <v/>
      </c>
      <c r="G511" s="141">
        <f>IFERROR(VLOOKUP($B511,calc_data,G$14+1,0),0)</f>
        <v/>
      </c>
      <c r="H511" s="141">
        <f>IFERROR(VLOOKUP($B511,calc_data,H$14+1,0),0)</f>
        <v/>
      </c>
      <c r="I511" s="142">
        <f>IFERROR(VLOOKUP($B511,calc_data,I$14+1,0),0)</f>
        <v/>
      </c>
      <c r="J511" s="141">
        <f>IFERROR(VLOOKUP($B511,calc_data,J$14+1,0),0)</f>
        <v/>
      </c>
      <c r="K511" s="141">
        <f>IFERROR(VLOOKUP($B511,calc_data,K$14+1,0),0)</f>
        <v/>
      </c>
      <c r="L511" s="141">
        <f>IFERROR(VLOOKUP($B511,calc_data,L$14+1,0),0)</f>
        <v/>
      </c>
      <c r="M511" s="177">
        <f>IFERROR(VLOOKUP($B511,calc_data,M$14+1,0),0)</f>
        <v/>
      </c>
      <c r="N511" s="177">
        <f>IFERROR(VLOOKUP($B511,calc_data,N$14+1,0),0)</f>
        <v/>
      </c>
      <c r="O511" s="45" t="n"/>
      <c r="Q511" s="57">
        <f>IF(K511&gt;0,"показать","скрыть")</f>
        <v/>
      </c>
    </row>
    <row r="512" ht="15.75" customHeight="1">
      <c r="B512" s="182" t="n">
        <v>496</v>
      </c>
      <c r="C512" s="182">
        <f>IFERROR(VLOOKUP($B512,calc_data,C$14+1,0),0)</f>
        <v/>
      </c>
      <c r="D512" s="182">
        <f>IFERROR(VLOOKUP($B512,calc_data,D$14+1,0),0)</f>
        <v/>
      </c>
      <c r="E512" s="183">
        <f>IFERROR(VLOOKUP($B512,calc_data,E$14+1,0),0)</f>
        <v/>
      </c>
      <c r="F512" s="182">
        <f>IFERROR(VLOOKUP($B512,calc_data,F$14+1,0),0)</f>
        <v/>
      </c>
      <c r="G512" s="141">
        <f>IFERROR(VLOOKUP($B512,calc_data,G$14+1,0),0)</f>
        <v/>
      </c>
      <c r="H512" s="141">
        <f>IFERROR(VLOOKUP($B512,calc_data,H$14+1,0),0)</f>
        <v/>
      </c>
      <c r="I512" s="142">
        <f>IFERROR(VLOOKUP($B512,calc_data,I$14+1,0),0)</f>
        <v/>
      </c>
      <c r="J512" s="141">
        <f>IFERROR(VLOOKUP($B512,calc_data,J$14+1,0),0)</f>
        <v/>
      </c>
      <c r="K512" s="141">
        <f>IFERROR(VLOOKUP($B512,calc_data,K$14+1,0),0)</f>
        <v/>
      </c>
      <c r="L512" s="141">
        <f>IFERROR(VLOOKUP($B512,calc_data,L$14+1,0),0)</f>
        <v/>
      </c>
      <c r="M512" s="177">
        <f>IFERROR(VLOOKUP($B512,calc_data,M$14+1,0),0)</f>
        <v/>
      </c>
      <c r="N512" s="177">
        <f>IFERROR(VLOOKUP($B512,calc_data,N$14+1,0),0)</f>
        <v/>
      </c>
      <c r="O512" s="45" t="n"/>
      <c r="Q512" s="57">
        <f>IF(K512&gt;0,"показать","скрыть")</f>
        <v/>
      </c>
    </row>
    <row r="513" ht="15.75" customHeight="1">
      <c r="B513" s="182" t="n">
        <v>497</v>
      </c>
      <c r="C513" s="182">
        <f>IFERROR(VLOOKUP($B513,calc_data,C$14+1,0),0)</f>
        <v/>
      </c>
      <c r="D513" s="182">
        <f>IFERROR(VLOOKUP($B513,calc_data,D$14+1,0),0)</f>
        <v/>
      </c>
      <c r="E513" s="183">
        <f>IFERROR(VLOOKUP($B513,calc_data,E$14+1,0),0)</f>
        <v/>
      </c>
      <c r="F513" s="182">
        <f>IFERROR(VLOOKUP($B513,calc_data,F$14+1,0),0)</f>
        <v/>
      </c>
      <c r="G513" s="141">
        <f>IFERROR(VLOOKUP($B513,calc_data,G$14+1,0),0)</f>
        <v/>
      </c>
      <c r="H513" s="141">
        <f>IFERROR(VLOOKUP($B513,calc_data,H$14+1,0),0)</f>
        <v/>
      </c>
      <c r="I513" s="142">
        <f>IFERROR(VLOOKUP($B513,calc_data,I$14+1,0),0)</f>
        <v/>
      </c>
      <c r="J513" s="141">
        <f>IFERROR(VLOOKUP($B513,calc_data,J$14+1,0),0)</f>
        <v/>
      </c>
      <c r="K513" s="141">
        <f>IFERROR(VLOOKUP($B513,calc_data,K$14+1,0),0)</f>
        <v/>
      </c>
      <c r="L513" s="141">
        <f>IFERROR(VLOOKUP($B513,calc_data,L$14+1,0),0)</f>
        <v/>
      </c>
      <c r="M513" s="177">
        <f>IFERROR(VLOOKUP($B513,calc_data,M$14+1,0),0)</f>
        <v/>
      </c>
      <c r="N513" s="177">
        <f>IFERROR(VLOOKUP($B513,calc_data,N$14+1,0),0)</f>
        <v/>
      </c>
      <c r="O513" s="45" t="n"/>
      <c r="Q513" s="57">
        <f>IF(K513&gt;0,"показать","скрыть")</f>
        <v/>
      </c>
    </row>
    <row r="514" ht="15.75" customHeight="1">
      <c r="B514" s="182" t="n">
        <v>498</v>
      </c>
      <c r="C514" s="182">
        <f>IFERROR(VLOOKUP($B514,calc_data,C$14+1,0),0)</f>
        <v/>
      </c>
      <c r="D514" s="182">
        <f>IFERROR(VLOOKUP($B514,calc_data,D$14+1,0),0)</f>
        <v/>
      </c>
      <c r="E514" s="183">
        <f>IFERROR(VLOOKUP($B514,calc_data,E$14+1,0),0)</f>
        <v/>
      </c>
      <c r="F514" s="182">
        <f>IFERROR(VLOOKUP($B514,calc_data,F$14+1,0),0)</f>
        <v/>
      </c>
      <c r="G514" s="141">
        <f>IFERROR(VLOOKUP($B514,calc_data,G$14+1,0),0)</f>
        <v/>
      </c>
      <c r="H514" s="141">
        <f>IFERROR(VLOOKUP($B514,calc_data,H$14+1,0),0)</f>
        <v/>
      </c>
      <c r="I514" s="142">
        <f>IFERROR(VLOOKUP($B514,calc_data,I$14+1,0),0)</f>
        <v/>
      </c>
      <c r="J514" s="141">
        <f>IFERROR(VLOOKUP($B514,calc_data,J$14+1,0),0)</f>
        <v/>
      </c>
      <c r="K514" s="141">
        <f>IFERROR(VLOOKUP($B514,calc_data,K$14+1,0),0)</f>
        <v/>
      </c>
      <c r="L514" s="141">
        <f>IFERROR(VLOOKUP($B514,calc_data,L$14+1,0),0)</f>
        <v/>
      </c>
      <c r="M514" s="177">
        <f>IFERROR(VLOOKUP($B514,calc_data,M$14+1,0),0)</f>
        <v/>
      </c>
      <c r="N514" s="177">
        <f>IFERROR(VLOOKUP($B514,calc_data,N$14+1,0),0)</f>
        <v/>
      </c>
      <c r="O514" s="45" t="n"/>
      <c r="Q514" s="57">
        <f>IF(K514&gt;0,"показать","скрыть")</f>
        <v/>
      </c>
    </row>
    <row r="515" ht="15.75" customHeight="1">
      <c r="B515" s="182" t="n">
        <v>499</v>
      </c>
      <c r="C515" s="182">
        <f>IFERROR(VLOOKUP($B515,calc_data,C$14+1,0),0)</f>
        <v/>
      </c>
      <c r="D515" s="182">
        <f>IFERROR(VLOOKUP($B515,calc_data,D$14+1,0),0)</f>
        <v/>
      </c>
      <c r="E515" s="183">
        <f>IFERROR(VLOOKUP($B515,calc_data,E$14+1,0),0)</f>
        <v/>
      </c>
      <c r="F515" s="182">
        <f>IFERROR(VLOOKUP($B515,calc_data,F$14+1,0),0)</f>
        <v/>
      </c>
      <c r="G515" s="141">
        <f>IFERROR(VLOOKUP($B515,calc_data,G$14+1,0),0)</f>
        <v/>
      </c>
      <c r="H515" s="141">
        <f>IFERROR(VLOOKUP($B515,calc_data,H$14+1,0),0)</f>
        <v/>
      </c>
      <c r="I515" s="142">
        <f>IFERROR(VLOOKUP($B515,calc_data,I$14+1,0),0)</f>
        <v/>
      </c>
      <c r="J515" s="141">
        <f>IFERROR(VLOOKUP($B515,calc_data,J$14+1,0),0)</f>
        <v/>
      </c>
      <c r="K515" s="141">
        <f>IFERROR(VLOOKUP($B515,calc_data,K$14+1,0),0)</f>
        <v/>
      </c>
      <c r="L515" s="141">
        <f>IFERROR(VLOOKUP($B515,calc_data,L$14+1,0),0)</f>
        <v/>
      </c>
      <c r="M515" s="177">
        <f>IFERROR(VLOOKUP($B515,calc_data,M$14+1,0),0)</f>
        <v/>
      </c>
      <c r="N515" s="177">
        <f>IFERROR(VLOOKUP($B515,calc_data,N$14+1,0),0)</f>
        <v/>
      </c>
      <c r="O515" s="45" t="n"/>
      <c r="Q515" s="57">
        <f>IF(K515&gt;0,"показать","скрыть")</f>
        <v/>
      </c>
    </row>
    <row r="516" ht="15.75" customHeight="1">
      <c r="B516" s="182" t="n">
        <v>500</v>
      </c>
      <c r="C516" s="182">
        <f>IFERROR(VLOOKUP($B516,calc_data,C$14+1,0),0)</f>
        <v/>
      </c>
      <c r="D516" s="182">
        <f>IFERROR(VLOOKUP($B516,calc_data,D$14+1,0),0)</f>
        <v/>
      </c>
      <c r="E516" s="183">
        <f>IFERROR(VLOOKUP($B516,calc_data,E$14+1,0),0)</f>
        <v/>
      </c>
      <c r="F516" s="182">
        <f>IFERROR(VLOOKUP($B516,calc_data,F$14+1,0),0)</f>
        <v/>
      </c>
      <c r="G516" s="141">
        <f>IFERROR(VLOOKUP($B516,calc_data,G$14+1,0),0)</f>
        <v/>
      </c>
      <c r="H516" s="141">
        <f>IFERROR(VLOOKUP($B516,calc_data,H$14+1,0),0)</f>
        <v/>
      </c>
      <c r="I516" s="142">
        <f>IFERROR(VLOOKUP($B516,calc_data,I$14+1,0),0)</f>
        <v/>
      </c>
      <c r="J516" s="141">
        <f>IFERROR(VLOOKUP($B516,calc_data,J$14+1,0),0)</f>
        <v/>
      </c>
      <c r="K516" s="141">
        <f>IFERROR(VLOOKUP($B516,calc_data,K$14+1,0),0)</f>
        <v/>
      </c>
      <c r="L516" s="141">
        <f>IFERROR(VLOOKUP($B516,calc_data,L$14+1,0),0)</f>
        <v/>
      </c>
      <c r="M516" s="177">
        <f>IFERROR(VLOOKUP($B516,calc_data,M$14+1,0),0)</f>
        <v/>
      </c>
      <c r="N516" s="177">
        <f>IFERROR(VLOOKUP($B516,calc_data,N$14+1,0),0)</f>
        <v/>
      </c>
      <c r="O516" s="45" t="n"/>
      <c r="Q516" s="57">
        <f>IF(K516&gt;0,"показать","скрыть")</f>
        <v/>
      </c>
    </row>
    <row r="517" ht="15.75" customHeight="1">
      <c r="B517" s="182" t="n">
        <v>501</v>
      </c>
      <c r="C517" s="182">
        <f>IFERROR(VLOOKUP($B517,calc_data,C$14+1,0),0)</f>
        <v/>
      </c>
      <c r="D517" s="182">
        <f>IFERROR(VLOOKUP($B517,calc_data,D$14+1,0),0)</f>
        <v/>
      </c>
      <c r="E517" s="183">
        <f>IFERROR(VLOOKUP($B517,calc_data,E$14+1,0),0)</f>
        <v/>
      </c>
      <c r="F517" s="182">
        <f>IFERROR(VLOOKUP($B517,calc_data,F$14+1,0),0)</f>
        <v/>
      </c>
      <c r="G517" s="141">
        <f>IFERROR(VLOOKUP($B517,calc_data,G$14+1,0),0)</f>
        <v/>
      </c>
      <c r="H517" s="141">
        <f>IFERROR(VLOOKUP($B517,calc_data,H$14+1,0),0)</f>
        <v/>
      </c>
      <c r="I517" s="142">
        <f>IFERROR(VLOOKUP($B517,calc_data,I$14+1,0),0)</f>
        <v/>
      </c>
      <c r="J517" s="141">
        <f>IFERROR(VLOOKUP($B517,calc_data,J$14+1,0),0)</f>
        <v/>
      </c>
      <c r="K517" s="141">
        <f>IFERROR(VLOOKUP($B517,calc_data,K$14+1,0),0)</f>
        <v/>
      </c>
      <c r="L517" s="141">
        <f>IFERROR(VLOOKUP($B517,calc_data,L$14+1,0),0)</f>
        <v/>
      </c>
      <c r="M517" s="177">
        <f>IFERROR(VLOOKUP($B517,calc_data,M$14+1,0),0)</f>
        <v/>
      </c>
      <c r="N517" s="177">
        <f>IFERROR(VLOOKUP($B517,calc_data,N$14+1,0),0)</f>
        <v/>
      </c>
      <c r="O517" s="45" t="n"/>
      <c r="Q517" s="57">
        <f>IF(K517&gt;0,"показать","скрыть")</f>
        <v/>
      </c>
    </row>
    <row r="518" ht="15.75" customHeight="1">
      <c r="B518" s="182" t="n">
        <v>502</v>
      </c>
      <c r="C518" s="182">
        <f>IFERROR(VLOOKUP($B518,calc_data,C$14+1,0),0)</f>
        <v/>
      </c>
      <c r="D518" s="182">
        <f>IFERROR(VLOOKUP($B518,calc_data,D$14+1,0),0)</f>
        <v/>
      </c>
      <c r="E518" s="183">
        <f>IFERROR(VLOOKUP($B518,calc_data,E$14+1,0),0)</f>
        <v/>
      </c>
      <c r="F518" s="182">
        <f>IFERROR(VLOOKUP($B518,calc_data,F$14+1,0),0)</f>
        <v/>
      </c>
      <c r="G518" s="141">
        <f>IFERROR(VLOOKUP($B518,calc_data,G$14+1,0),0)</f>
        <v/>
      </c>
      <c r="H518" s="141">
        <f>IFERROR(VLOOKUP($B518,calc_data,H$14+1,0),0)</f>
        <v/>
      </c>
      <c r="I518" s="142">
        <f>IFERROR(VLOOKUP($B518,calc_data,I$14+1,0),0)</f>
        <v/>
      </c>
      <c r="J518" s="141">
        <f>IFERROR(VLOOKUP($B518,calc_data,J$14+1,0),0)</f>
        <v/>
      </c>
      <c r="K518" s="141">
        <f>IFERROR(VLOOKUP($B518,calc_data,K$14+1,0),0)</f>
        <v/>
      </c>
      <c r="L518" s="141">
        <f>IFERROR(VLOOKUP($B518,calc_data,L$14+1,0),0)</f>
        <v/>
      </c>
      <c r="M518" s="177">
        <f>IFERROR(VLOOKUP($B518,calc_data,M$14+1,0),0)</f>
        <v/>
      </c>
      <c r="N518" s="177">
        <f>IFERROR(VLOOKUP($B518,calc_data,N$14+1,0),0)</f>
        <v/>
      </c>
      <c r="O518" s="45" t="n"/>
      <c r="Q518" s="57">
        <f>IF(K518&gt;0,"показать","скрыть")</f>
        <v/>
      </c>
    </row>
    <row r="519" ht="15.75" customHeight="1">
      <c r="B519" s="182" t="n">
        <v>503</v>
      </c>
      <c r="C519" s="182">
        <f>IFERROR(VLOOKUP($B519,calc_data,C$14+1,0),0)</f>
        <v/>
      </c>
      <c r="D519" s="182">
        <f>IFERROR(VLOOKUP($B519,calc_data,D$14+1,0),0)</f>
        <v/>
      </c>
      <c r="E519" s="183">
        <f>IFERROR(VLOOKUP($B519,calc_data,E$14+1,0),0)</f>
        <v/>
      </c>
      <c r="F519" s="182">
        <f>IFERROR(VLOOKUP($B519,calc_data,F$14+1,0),0)</f>
        <v/>
      </c>
      <c r="G519" s="141">
        <f>IFERROR(VLOOKUP($B519,calc_data,G$14+1,0),0)</f>
        <v/>
      </c>
      <c r="H519" s="141">
        <f>IFERROR(VLOOKUP($B519,calc_data,H$14+1,0),0)</f>
        <v/>
      </c>
      <c r="I519" s="142">
        <f>IFERROR(VLOOKUP($B519,calc_data,I$14+1,0),0)</f>
        <v/>
      </c>
      <c r="J519" s="141">
        <f>IFERROR(VLOOKUP($B519,calc_data,J$14+1,0),0)</f>
        <v/>
      </c>
      <c r="K519" s="141">
        <f>IFERROR(VLOOKUP($B519,calc_data,K$14+1,0),0)</f>
        <v/>
      </c>
      <c r="L519" s="141">
        <f>IFERROR(VLOOKUP($B519,calc_data,L$14+1,0),0)</f>
        <v/>
      </c>
      <c r="M519" s="177">
        <f>IFERROR(VLOOKUP($B519,calc_data,M$14+1,0),0)</f>
        <v/>
      </c>
      <c r="N519" s="177">
        <f>IFERROR(VLOOKUP($B519,calc_data,N$14+1,0),0)</f>
        <v/>
      </c>
      <c r="O519" s="45" t="n"/>
      <c r="Q519" s="57">
        <f>IF(K519&gt;0,"показать","скрыть")</f>
        <v/>
      </c>
    </row>
    <row r="520" ht="15.75" customHeight="1">
      <c r="B520" s="182" t="n">
        <v>504</v>
      </c>
      <c r="C520" s="182">
        <f>IFERROR(VLOOKUP($B520,calc_data,C$14+1,0),0)</f>
        <v/>
      </c>
      <c r="D520" s="182">
        <f>IFERROR(VLOOKUP($B520,calc_data,D$14+1,0),0)</f>
        <v/>
      </c>
      <c r="E520" s="183">
        <f>IFERROR(VLOOKUP($B520,calc_data,E$14+1,0),0)</f>
        <v/>
      </c>
      <c r="F520" s="182">
        <f>IFERROR(VLOOKUP($B520,calc_data,F$14+1,0),0)</f>
        <v/>
      </c>
      <c r="G520" s="141">
        <f>IFERROR(VLOOKUP($B520,calc_data,G$14+1,0),0)</f>
        <v/>
      </c>
      <c r="H520" s="141">
        <f>IFERROR(VLOOKUP($B520,calc_data,H$14+1,0),0)</f>
        <v/>
      </c>
      <c r="I520" s="142">
        <f>IFERROR(VLOOKUP($B520,calc_data,I$14+1,0),0)</f>
        <v/>
      </c>
      <c r="J520" s="141">
        <f>IFERROR(VLOOKUP($B520,calc_data,J$14+1,0),0)</f>
        <v/>
      </c>
      <c r="K520" s="141">
        <f>IFERROR(VLOOKUP($B520,calc_data,K$14+1,0),0)</f>
        <v/>
      </c>
      <c r="L520" s="141">
        <f>IFERROR(VLOOKUP($B520,calc_data,L$14+1,0),0)</f>
        <v/>
      </c>
      <c r="M520" s="177">
        <f>IFERROR(VLOOKUP($B520,calc_data,M$14+1,0),0)</f>
        <v/>
      </c>
      <c r="N520" s="177">
        <f>IFERROR(VLOOKUP($B520,calc_data,N$14+1,0),0)</f>
        <v/>
      </c>
      <c r="O520" s="45" t="n"/>
      <c r="Q520" s="57">
        <f>IF(K520&gt;0,"показать","скрыть")</f>
        <v/>
      </c>
    </row>
    <row r="521" ht="15.75" customHeight="1">
      <c r="B521" s="182" t="n">
        <v>505</v>
      </c>
      <c r="C521" s="182">
        <f>IFERROR(VLOOKUP($B521,calc_data,C$14+1,0),0)</f>
        <v/>
      </c>
      <c r="D521" s="182">
        <f>IFERROR(VLOOKUP($B521,calc_data,D$14+1,0),0)</f>
        <v/>
      </c>
      <c r="E521" s="183">
        <f>IFERROR(VLOOKUP($B521,calc_data,E$14+1,0),0)</f>
        <v/>
      </c>
      <c r="F521" s="182">
        <f>IFERROR(VLOOKUP($B521,calc_data,F$14+1,0),0)</f>
        <v/>
      </c>
      <c r="G521" s="141">
        <f>IFERROR(VLOOKUP($B521,calc_data,G$14+1,0),0)</f>
        <v/>
      </c>
      <c r="H521" s="141">
        <f>IFERROR(VLOOKUP($B521,calc_data,H$14+1,0),0)</f>
        <v/>
      </c>
      <c r="I521" s="142">
        <f>IFERROR(VLOOKUP($B521,calc_data,I$14+1,0),0)</f>
        <v/>
      </c>
      <c r="J521" s="141">
        <f>IFERROR(VLOOKUP($B521,calc_data,J$14+1,0),0)</f>
        <v/>
      </c>
      <c r="K521" s="141">
        <f>IFERROR(VLOOKUP($B521,calc_data,K$14+1,0),0)</f>
        <v/>
      </c>
      <c r="L521" s="141">
        <f>IFERROR(VLOOKUP($B521,calc_data,L$14+1,0),0)</f>
        <v/>
      </c>
      <c r="M521" s="177">
        <f>IFERROR(VLOOKUP($B521,calc_data,M$14+1,0),0)</f>
        <v/>
      </c>
      <c r="N521" s="177">
        <f>IFERROR(VLOOKUP($B521,calc_data,N$14+1,0),0)</f>
        <v/>
      </c>
      <c r="O521" s="45" t="n"/>
      <c r="Q521" s="57">
        <f>IF(K521&gt;0,"показать","скрыть")</f>
        <v/>
      </c>
    </row>
    <row r="522" ht="15.75" customHeight="1">
      <c r="B522" s="182" t="n">
        <v>506</v>
      </c>
      <c r="C522" s="182">
        <f>IFERROR(VLOOKUP($B522,calc_data,C$14+1,0),0)</f>
        <v/>
      </c>
      <c r="D522" s="182">
        <f>IFERROR(VLOOKUP($B522,calc_data,D$14+1,0),0)</f>
        <v/>
      </c>
      <c r="E522" s="183">
        <f>IFERROR(VLOOKUP($B522,calc_data,E$14+1,0),0)</f>
        <v/>
      </c>
      <c r="F522" s="182">
        <f>IFERROR(VLOOKUP($B522,calc_data,F$14+1,0),0)</f>
        <v/>
      </c>
      <c r="G522" s="141">
        <f>IFERROR(VLOOKUP($B522,calc_data,G$14+1,0),0)</f>
        <v/>
      </c>
      <c r="H522" s="141">
        <f>IFERROR(VLOOKUP($B522,calc_data,H$14+1,0),0)</f>
        <v/>
      </c>
      <c r="I522" s="142">
        <f>IFERROR(VLOOKUP($B522,calc_data,I$14+1,0),0)</f>
        <v/>
      </c>
      <c r="J522" s="141">
        <f>IFERROR(VLOOKUP($B522,calc_data,J$14+1,0),0)</f>
        <v/>
      </c>
      <c r="K522" s="141">
        <f>IFERROR(VLOOKUP($B522,calc_data,K$14+1,0),0)</f>
        <v/>
      </c>
      <c r="L522" s="141">
        <f>IFERROR(VLOOKUP($B522,calc_data,L$14+1,0),0)</f>
        <v/>
      </c>
      <c r="M522" s="177">
        <f>IFERROR(VLOOKUP($B522,calc_data,M$14+1,0),0)</f>
        <v/>
      </c>
      <c r="N522" s="177">
        <f>IFERROR(VLOOKUP($B522,calc_data,N$14+1,0),0)</f>
        <v/>
      </c>
      <c r="O522" s="45" t="n"/>
      <c r="Q522" s="57">
        <f>IF(K522&gt;0,"показать","скрыть")</f>
        <v/>
      </c>
    </row>
    <row r="523" ht="15.75" customHeight="1">
      <c r="B523" s="182" t="n">
        <v>507</v>
      </c>
      <c r="C523" s="182">
        <f>IFERROR(VLOOKUP($B523,calc_data,C$14+1,0),0)</f>
        <v/>
      </c>
      <c r="D523" s="182">
        <f>IFERROR(VLOOKUP($B523,calc_data,D$14+1,0),0)</f>
        <v/>
      </c>
      <c r="E523" s="183">
        <f>IFERROR(VLOOKUP($B523,calc_data,E$14+1,0),0)</f>
        <v/>
      </c>
      <c r="F523" s="182">
        <f>IFERROR(VLOOKUP($B523,calc_data,F$14+1,0),0)</f>
        <v/>
      </c>
      <c r="G523" s="141">
        <f>IFERROR(VLOOKUP($B523,calc_data,G$14+1,0),0)</f>
        <v/>
      </c>
      <c r="H523" s="141">
        <f>IFERROR(VLOOKUP($B523,calc_data,H$14+1,0),0)</f>
        <v/>
      </c>
      <c r="I523" s="142">
        <f>IFERROR(VLOOKUP($B523,calc_data,I$14+1,0),0)</f>
        <v/>
      </c>
      <c r="J523" s="141">
        <f>IFERROR(VLOOKUP($B523,calc_data,J$14+1,0),0)</f>
        <v/>
      </c>
      <c r="K523" s="141">
        <f>IFERROR(VLOOKUP($B523,calc_data,K$14+1,0),0)</f>
        <v/>
      </c>
      <c r="L523" s="141">
        <f>IFERROR(VLOOKUP($B523,calc_data,L$14+1,0),0)</f>
        <v/>
      </c>
      <c r="M523" s="177">
        <f>IFERROR(VLOOKUP($B523,calc_data,M$14+1,0),0)</f>
        <v/>
      </c>
      <c r="N523" s="177">
        <f>IFERROR(VLOOKUP($B523,calc_data,N$14+1,0),0)</f>
        <v/>
      </c>
      <c r="O523" s="45" t="n"/>
      <c r="Q523" s="57">
        <f>IF(K523&gt;0,"показать","скрыть")</f>
        <v/>
      </c>
    </row>
    <row r="524" ht="15.75" customHeight="1">
      <c r="B524" s="182" t="n">
        <v>508</v>
      </c>
      <c r="C524" s="182">
        <f>IFERROR(VLOOKUP($B524,calc_data,C$14+1,0),0)</f>
        <v/>
      </c>
      <c r="D524" s="182">
        <f>IFERROR(VLOOKUP($B524,calc_data,D$14+1,0),0)</f>
        <v/>
      </c>
      <c r="E524" s="183">
        <f>IFERROR(VLOOKUP($B524,calc_data,E$14+1,0),0)</f>
        <v/>
      </c>
      <c r="F524" s="182">
        <f>IFERROR(VLOOKUP($B524,calc_data,F$14+1,0),0)</f>
        <v/>
      </c>
      <c r="G524" s="141">
        <f>IFERROR(VLOOKUP($B524,calc_data,G$14+1,0),0)</f>
        <v/>
      </c>
      <c r="H524" s="141">
        <f>IFERROR(VLOOKUP($B524,calc_data,H$14+1,0),0)</f>
        <v/>
      </c>
      <c r="I524" s="142">
        <f>IFERROR(VLOOKUP($B524,calc_data,I$14+1,0),0)</f>
        <v/>
      </c>
      <c r="J524" s="141">
        <f>IFERROR(VLOOKUP($B524,calc_data,J$14+1,0),0)</f>
        <v/>
      </c>
      <c r="K524" s="141">
        <f>IFERROR(VLOOKUP($B524,calc_data,K$14+1,0),0)</f>
        <v/>
      </c>
      <c r="L524" s="141">
        <f>IFERROR(VLOOKUP($B524,calc_data,L$14+1,0),0)</f>
        <v/>
      </c>
      <c r="M524" s="177">
        <f>IFERROR(VLOOKUP($B524,calc_data,M$14+1,0),0)</f>
        <v/>
      </c>
      <c r="N524" s="177">
        <f>IFERROR(VLOOKUP($B524,calc_data,N$14+1,0),0)</f>
        <v/>
      </c>
      <c r="O524" s="45" t="n"/>
      <c r="Q524" s="57">
        <f>IF(K524&gt;0,"показать","скрыть")</f>
        <v/>
      </c>
    </row>
    <row r="525" ht="15.75" customHeight="1">
      <c r="B525" s="182" t="n">
        <v>509</v>
      </c>
      <c r="C525" s="182">
        <f>IFERROR(VLOOKUP($B525,calc_data,C$14+1,0),0)</f>
        <v/>
      </c>
      <c r="D525" s="182">
        <f>IFERROR(VLOOKUP($B525,calc_data,D$14+1,0),0)</f>
        <v/>
      </c>
      <c r="E525" s="183">
        <f>IFERROR(VLOOKUP($B525,calc_data,E$14+1,0),0)</f>
        <v/>
      </c>
      <c r="F525" s="182">
        <f>IFERROR(VLOOKUP($B525,calc_data,F$14+1,0),0)</f>
        <v/>
      </c>
      <c r="G525" s="141">
        <f>IFERROR(VLOOKUP($B525,calc_data,G$14+1,0),0)</f>
        <v/>
      </c>
      <c r="H525" s="141">
        <f>IFERROR(VLOOKUP($B525,calc_data,H$14+1,0),0)</f>
        <v/>
      </c>
      <c r="I525" s="142">
        <f>IFERROR(VLOOKUP($B525,calc_data,I$14+1,0),0)</f>
        <v/>
      </c>
      <c r="J525" s="141">
        <f>IFERROR(VLOOKUP($B525,calc_data,J$14+1,0),0)</f>
        <v/>
      </c>
      <c r="K525" s="141">
        <f>IFERROR(VLOOKUP($B525,calc_data,K$14+1,0),0)</f>
        <v/>
      </c>
      <c r="L525" s="141">
        <f>IFERROR(VLOOKUP($B525,calc_data,L$14+1,0),0)</f>
        <v/>
      </c>
      <c r="M525" s="177">
        <f>IFERROR(VLOOKUP($B525,calc_data,M$14+1,0),0)</f>
        <v/>
      </c>
      <c r="N525" s="177">
        <f>IFERROR(VLOOKUP($B525,calc_data,N$14+1,0),0)</f>
        <v/>
      </c>
      <c r="O525" s="45" t="n"/>
      <c r="Q525" s="57">
        <f>IF(K525&gt;0,"показать","скрыть")</f>
        <v/>
      </c>
    </row>
    <row r="526" ht="15.75" customHeight="1">
      <c r="B526" s="182" t="n">
        <v>510</v>
      </c>
      <c r="C526" s="182">
        <f>IFERROR(VLOOKUP($B526,calc_data,C$14+1,0),0)</f>
        <v/>
      </c>
      <c r="D526" s="182">
        <f>IFERROR(VLOOKUP($B526,calc_data,D$14+1,0),0)</f>
        <v/>
      </c>
      <c r="E526" s="183">
        <f>IFERROR(VLOOKUP($B526,calc_data,E$14+1,0),0)</f>
        <v/>
      </c>
      <c r="F526" s="182">
        <f>IFERROR(VLOOKUP($B526,calc_data,F$14+1,0),0)</f>
        <v/>
      </c>
      <c r="G526" s="141">
        <f>IFERROR(VLOOKUP($B526,calc_data,G$14+1,0),0)</f>
        <v/>
      </c>
      <c r="H526" s="141">
        <f>IFERROR(VLOOKUP($B526,calc_data,H$14+1,0),0)</f>
        <v/>
      </c>
      <c r="I526" s="142">
        <f>IFERROR(VLOOKUP($B526,calc_data,I$14+1,0),0)</f>
        <v/>
      </c>
      <c r="J526" s="141">
        <f>IFERROR(VLOOKUP($B526,calc_data,J$14+1,0),0)</f>
        <v/>
      </c>
      <c r="K526" s="141">
        <f>IFERROR(VLOOKUP($B526,calc_data,K$14+1,0),0)</f>
        <v/>
      </c>
      <c r="L526" s="141">
        <f>IFERROR(VLOOKUP($B526,calc_data,L$14+1,0),0)</f>
        <v/>
      </c>
      <c r="M526" s="177">
        <f>IFERROR(VLOOKUP($B526,calc_data,M$14+1,0),0)</f>
        <v/>
      </c>
      <c r="N526" s="177">
        <f>IFERROR(VLOOKUP($B526,calc_data,N$14+1,0),0)</f>
        <v/>
      </c>
      <c r="O526" s="45" t="n"/>
      <c r="Q526" s="57">
        <f>IF(K526&gt;0,"показать","скрыть")</f>
        <v/>
      </c>
    </row>
    <row r="527" ht="15.75" customHeight="1">
      <c r="B527" s="182" t="n">
        <v>511</v>
      </c>
      <c r="C527" s="182">
        <f>IFERROR(VLOOKUP($B527,calc_data,C$14+1,0),0)</f>
        <v/>
      </c>
      <c r="D527" s="182">
        <f>IFERROR(VLOOKUP($B527,calc_data,D$14+1,0),0)</f>
        <v/>
      </c>
      <c r="E527" s="183">
        <f>IFERROR(VLOOKUP($B527,calc_data,E$14+1,0),0)</f>
        <v/>
      </c>
      <c r="F527" s="182">
        <f>IFERROR(VLOOKUP($B527,calc_data,F$14+1,0),0)</f>
        <v/>
      </c>
      <c r="G527" s="141">
        <f>IFERROR(VLOOKUP($B527,calc_data,G$14+1,0),0)</f>
        <v/>
      </c>
      <c r="H527" s="141">
        <f>IFERROR(VLOOKUP($B527,calc_data,H$14+1,0),0)</f>
        <v/>
      </c>
      <c r="I527" s="142">
        <f>IFERROR(VLOOKUP($B527,calc_data,I$14+1,0),0)</f>
        <v/>
      </c>
      <c r="J527" s="141">
        <f>IFERROR(VLOOKUP($B527,calc_data,J$14+1,0),0)</f>
        <v/>
      </c>
      <c r="K527" s="141">
        <f>IFERROR(VLOOKUP($B527,calc_data,K$14+1,0),0)</f>
        <v/>
      </c>
      <c r="L527" s="141">
        <f>IFERROR(VLOOKUP($B527,calc_data,L$14+1,0),0)</f>
        <v/>
      </c>
      <c r="M527" s="177">
        <f>IFERROR(VLOOKUP($B527,calc_data,M$14+1,0),0)</f>
        <v/>
      </c>
      <c r="N527" s="177">
        <f>IFERROR(VLOOKUP($B527,calc_data,N$14+1,0),0)</f>
        <v/>
      </c>
      <c r="O527" s="45" t="n"/>
      <c r="Q527" s="57">
        <f>IF(K527&gt;0,"показать","скрыть")</f>
        <v/>
      </c>
    </row>
    <row r="528" ht="15.75" customHeight="1">
      <c r="B528" s="182" t="n">
        <v>512</v>
      </c>
      <c r="C528" s="182">
        <f>IFERROR(VLOOKUP($B528,calc_data,C$14+1,0),0)</f>
        <v/>
      </c>
      <c r="D528" s="182">
        <f>IFERROR(VLOOKUP($B528,calc_data,D$14+1,0),0)</f>
        <v/>
      </c>
      <c r="E528" s="183">
        <f>IFERROR(VLOOKUP($B528,calc_data,E$14+1,0),0)</f>
        <v/>
      </c>
      <c r="F528" s="182">
        <f>IFERROR(VLOOKUP($B528,calc_data,F$14+1,0),0)</f>
        <v/>
      </c>
      <c r="G528" s="141">
        <f>IFERROR(VLOOKUP($B528,calc_data,G$14+1,0),0)</f>
        <v/>
      </c>
      <c r="H528" s="141">
        <f>IFERROR(VLOOKUP($B528,calc_data,H$14+1,0),0)</f>
        <v/>
      </c>
      <c r="I528" s="142">
        <f>IFERROR(VLOOKUP($B528,calc_data,I$14+1,0),0)</f>
        <v/>
      </c>
      <c r="J528" s="141">
        <f>IFERROR(VLOOKUP($B528,calc_data,J$14+1,0),0)</f>
        <v/>
      </c>
      <c r="K528" s="141">
        <f>IFERROR(VLOOKUP($B528,calc_data,K$14+1,0),0)</f>
        <v/>
      </c>
      <c r="L528" s="141">
        <f>IFERROR(VLOOKUP($B528,calc_data,L$14+1,0),0)</f>
        <v/>
      </c>
      <c r="M528" s="177">
        <f>IFERROR(VLOOKUP($B528,calc_data,M$14+1,0),0)</f>
        <v/>
      </c>
      <c r="N528" s="177">
        <f>IFERROR(VLOOKUP($B528,calc_data,N$14+1,0),0)</f>
        <v/>
      </c>
      <c r="O528" s="45" t="n"/>
      <c r="Q528" s="57">
        <f>IF(K528&gt;0,"показать","скрыть")</f>
        <v/>
      </c>
    </row>
    <row r="529" ht="15.75" customHeight="1">
      <c r="B529" s="182" t="n">
        <v>513</v>
      </c>
      <c r="C529" s="182">
        <f>IFERROR(VLOOKUP($B529,calc_data,C$14+1,0),0)</f>
        <v/>
      </c>
      <c r="D529" s="182">
        <f>IFERROR(VLOOKUP($B529,calc_data,D$14+1,0),0)</f>
        <v/>
      </c>
      <c r="E529" s="183">
        <f>IFERROR(VLOOKUP($B529,calc_data,E$14+1,0),0)</f>
        <v/>
      </c>
      <c r="F529" s="182">
        <f>IFERROR(VLOOKUP($B529,calc_data,F$14+1,0),0)</f>
        <v/>
      </c>
      <c r="G529" s="141">
        <f>IFERROR(VLOOKUP($B529,calc_data,G$14+1,0),0)</f>
        <v/>
      </c>
      <c r="H529" s="141">
        <f>IFERROR(VLOOKUP($B529,calc_data,H$14+1,0),0)</f>
        <v/>
      </c>
      <c r="I529" s="142">
        <f>IFERROR(VLOOKUP($B529,calc_data,I$14+1,0),0)</f>
        <v/>
      </c>
      <c r="J529" s="141">
        <f>IFERROR(VLOOKUP($B529,calc_data,J$14+1,0),0)</f>
        <v/>
      </c>
      <c r="K529" s="141">
        <f>IFERROR(VLOOKUP($B529,calc_data,K$14+1,0),0)</f>
        <v/>
      </c>
      <c r="L529" s="141">
        <f>IFERROR(VLOOKUP($B529,calc_data,L$14+1,0),0)</f>
        <v/>
      </c>
      <c r="M529" s="177">
        <f>IFERROR(VLOOKUP($B529,calc_data,M$14+1,0),0)</f>
        <v/>
      </c>
      <c r="N529" s="177">
        <f>IFERROR(VLOOKUP($B529,calc_data,N$14+1,0),0)</f>
        <v/>
      </c>
      <c r="O529" s="45" t="n"/>
      <c r="Q529" s="57">
        <f>IF(K529&gt;0,"показать","скрыть")</f>
        <v/>
      </c>
    </row>
    <row r="530" ht="15.75" customHeight="1">
      <c r="B530" s="182" t="n">
        <v>514</v>
      </c>
      <c r="C530" s="182">
        <f>IFERROR(VLOOKUP($B530,calc_data,C$14+1,0),0)</f>
        <v/>
      </c>
      <c r="D530" s="182">
        <f>IFERROR(VLOOKUP($B530,calc_data,D$14+1,0),0)</f>
        <v/>
      </c>
      <c r="E530" s="183">
        <f>IFERROR(VLOOKUP($B530,calc_data,E$14+1,0),0)</f>
        <v/>
      </c>
      <c r="F530" s="182">
        <f>IFERROR(VLOOKUP($B530,calc_data,F$14+1,0),0)</f>
        <v/>
      </c>
      <c r="G530" s="141">
        <f>IFERROR(VLOOKUP($B530,calc_data,G$14+1,0),0)</f>
        <v/>
      </c>
      <c r="H530" s="141">
        <f>IFERROR(VLOOKUP($B530,calc_data,H$14+1,0),0)</f>
        <v/>
      </c>
      <c r="I530" s="142">
        <f>IFERROR(VLOOKUP($B530,calc_data,I$14+1,0),0)</f>
        <v/>
      </c>
      <c r="J530" s="141">
        <f>IFERROR(VLOOKUP($B530,calc_data,J$14+1,0),0)</f>
        <v/>
      </c>
      <c r="K530" s="141">
        <f>IFERROR(VLOOKUP($B530,calc_data,K$14+1,0),0)</f>
        <v/>
      </c>
      <c r="L530" s="141">
        <f>IFERROR(VLOOKUP($B530,calc_data,L$14+1,0),0)</f>
        <v/>
      </c>
      <c r="M530" s="177">
        <f>IFERROR(VLOOKUP($B530,calc_data,M$14+1,0),0)</f>
        <v/>
      </c>
      <c r="N530" s="177">
        <f>IFERROR(VLOOKUP($B530,calc_data,N$14+1,0),0)</f>
        <v/>
      </c>
      <c r="O530" s="45" t="n"/>
      <c r="Q530" s="57">
        <f>IF(K530&gt;0,"показать","скрыть")</f>
        <v/>
      </c>
    </row>
    <row r="531" ht="15.75" customHeight="1">
      <c r="B531" s="182" t="n">
        <v>515</v>
      </c>
      <c r="C531" s="182">
        <f>IFERROR(VLOOKUP($B531,calc_data,C$14+1,0),0)</f>
        <v/>
      </c>
      <c r="D531" s="182">
        <f>IFERROR(VLOOKUP($B531,calc_data,D$14+1,0),0)</f>
        <v/>
      </c>
      <c r="E531" s="183">
        <f>IFERROR(VLOOKUP($B531,calc_data,E$14+1,0),0)</f>
        <v/>
      </c>
      <c r="F531" s="182">
        <f>IFERROR(VLOOKUP($B531,calc_data,F$14+1,0),0)</f>
        <v/>
      </c>
      <c r="G531" s="141">
        <f>IFERROR(VLOOKUP($B531,calc_data,G$14+1,0),0)</f>
        <v/>
      </c>
      <c r="H531" s="141">
        <f>IFERROR(VLOOKUP($B531,calc_data,H$14+1,0),0)</f>
        <v/>
      </c>
      <c r="I531" s="142">
        <f>IFERROR(VLOOKUP($B531,calc_data,I$14+1,0),0)</f>
        <v/>
      </c>
      <c r="J531" s="141">
        <f>IFERROR(VLOOKUP($B531,calc_data,J$14+1,0),0)</f>
        <v/>
      </c>
      <c r="K531" s="141">
        <f>IFERROR(VLOOKUP($B531,calc_data,K$14+1,0),0)</f>
        <v/>
      </c>
      <c r="L531" s="141">
        <f>IFERROR(VLOOKUP($B531,calc_data,L$14+1,0),0)</f>
        <v/>
      </c>
      <c r="M531" s="177">
        <f>IFERROR(VLOOKUP($B531,calc_data,M$14+1,0),0)</f>
        <v/>
      </c>
      <c r="N531" s="177">
        <f>IFERROR(VLOOKUP($B531,calc_data,N$14+1,0),0)</f>
        <v/>
      </c>
      <c r="O531" s="45" t="n"/>
      <c r="Q531" s="57">
        <f>IF(K531&gt;0,"показать","скрыть")</f>
        <v/>
      </c>
    </row>
    <row r="532" ht="15.75" customHeight="1">
      <c r="B532" s="182" t="n">
        <v>516</v>
      </c>
      <c r="C532" s="182">
        <f>IFERROR(VLOOKUP($B532,calc_data,C$14+1,0),0)</f>
        <v/>
      </c>
      <c r="D532" s="182">
        <f>IFERROR(VLOOKUP($B532,calc_data,D$14+1,0),0)</f>
        <v/>
      </c>
      <c r="E532" s="183">
        <f>IFERROR(VLOOKUP($B532,calc_data,E$14+1,0),0)</f>
        <v/>
      </c>
      <c r="F532" s="182">
        <f>IFERROR(VLOOKUP($B532,calc_data,F$14+1,0),0)</f>
        <v/>
      </c>
      <c r="G532" s="141">
        <f>IFERROR(VLOOKUP($B532,calc_data,G$14+1,0),0)</f>
        <v/>
      </c>
      <c r="H532" s="141">
        <f>IFERROR(VLOOKUP($B532,calc_data,H$14+1,0),0)</f>
        <v/>
      </c>
      <c r="I532" s="142">
        <f>IFERROR(VLOOKUP($B532,calc_data,I$14+1,0),0)</f>
        <v/>
      </c>
      <c r="J532" s="141">
        <f>IFERROR(VLOOKUP($B532,calc_data,J$14+1,0),0)</f>
        <v/>
      </c>
      <c r="K532" s="141">
        <f>IFERROR(VLOOKUP($B532,calc_data,K$14+1,0),0)</f>
        <v/>
      </c>
      <c r="L532" s="141">
        <f>IFERROR(VLOOKUP($B532,calc_data,L$14+1,0),0)</f>
        <v/>
      </c>
      <c r="M532" s="177">
        <f>IFERROR(VLOOKUP($B532,calc_data,M$14+1,0),0)</f>
        <v/>
      </c>
      <c r="N532" s="177">
        <f>IFERROR(VLOOKUP($B532,calc_data,N$14+1,0),0)</f>
        <v/>
      </c>
      <c r="O532" s="45" t="n"/>
      <c r="Q532" s="57">
        <f>IF(K532&gt;0,"показать","скрыть")</f>
        <v/>
      </c>
    </row>
    <row r="533" ht="15.75" customHeight="1">
      <c r="B533" s="182" t="n">
        <v>517</v>
      </c>
      <c r="C533" s="182">
        <f>IFERROR(VLOOKUP($B533,calc_data,C$14+1,0),0)</f>
        <v/>
      </c>
      <c r="D533" s="182">
        <f>IFERROR(VLOOKUP($B533,calc_data,D$14+1,0),0)</f>
        <v/>
      </c>
      <c r="E533" s="183">
        <f>IFERROR(VLOOKUP($B533,calc_data,E$14+1,0),0)</f>
        <v/>
      </c>
      <c r="F533" s="182">
        <f>IFERROR(VLOOKUP($B533,calc_data,F$14+1,0),0)</f>
        <v/>
      </c>
      <c r="G533" s="141">
        <f>IFERROR(VLOOKUP($B533,calc_data,G$14+1,0),0)</f>
        <v/>
      </c>
      <c r="H533" s="141">
        <f>IFERROR(VLOOKUP($B533,calc_data,H$14+1,0),0)</f>
        <v/>
      </c>
      <c r="I533" s="142">
        <f>IFERROR(VLOOKUP($B533,calc_data,I$14+1,0),0)</f>
        <v/>
      </c>
      <c r="J533" s="141">
        <f>IFERROR(VLOOKUP($B533,calc_data,J$14+1,0),0)</f>
        <v/>
      </c>
      <c r="K533" s="141">
        <f>IFERROR(VLOOKUP($B533,calc_data,K$14+1,0),0)</f>
        <v/>
      </c>
      <c r="L533" s="141">
        <f>IFERROR(VLOOKUP($B533,calc_data,L$14+1,0),0)</f>
        <v/>
      </c>
      <c r="M533" s="177">
        <f>IFERROR(VLOOKUP($B533,calc_data,M$14+1,0),0)</f>
        <v/>
      </c>
      <c r="N533" s="177">
        <f>IFERROR(VLOOKUP($B533,calc_data,N$14+1,0),0)</f>
        <v/>
      </c>
      <c r="O533" s="45" t="n"/>
      <c r="Q533" s="57">
        <f>IF(K533&gt;0,"показать","скрыть")</f>
        <v/>
      </c>
    </row>
    <row r="534" ht="15.75" customHeight="1">
      <c r="B534" s="182" t="n">
        <v>518</v>
      </c>
      <c r="C534" s="182">
        <f>IFERROR(VLOOKUP($B534,calc_data,C$14+1,0),0)</f>
        <v/>
      </c>
      <c r="D534" s="182">
        <f>IFERROR(VLOOKUP($B534,calc_data,D$14+1,0),0)</f>
        <v/>
      </c>
      <c r="E534" s="183">
        <f>IFERROR(VLOOKUP($B534,calc_data,E$14+1,0),0)</f>
        <v/>
      </c>
      <c r="F534" s="182">
        <f>IFERROR(VLOOKUP($B534,calc_data,F$14+1,0),0)</f>
        <v/>
      </c>
      <c r="G534" s="141">
        <f>IFERROR(VLOOKUP($B534,calc_data,G$14+1,0),0)</f>
        <v/>
      </c>
      <c r="H534" s="141">
        <f>IFERROR(VLOOKUP($B534,calc_data,H$14+1,0),0)</f>
        <v/>
      </c>
      <c r="I534" s="142">
        <f>IFERROR(VLOOKUP($B534,calc_data,I$14+1,0),0)</f>
        <v/>
      </c>
      <c r="J534" s="141">
        <f>IFERROR(VLOOKUP($B534,calc_data,J$14+1,0),0)</f>
        <v/>
      </c>
      <c r="K534" s="141">
        <f>IFERROR(VLOOKUP($B534,calc_data,K$14+1,0),0)</f>
        <v/>
      </c>
      <c r="L534" s="141">
        <f>IFERROR(VLOOKUP($B534,calc_data,L$14+1,0),0)</f>
        <v/>
      </c>
      <c r="M534" s="177">
        <f>IFERROR(VLOOKUP($B534,calc_data,M$14+1,0),0)</f>
        <v/>
      </c>
      <c r="N534" s="177">
        <f>IFERROR(VLOOKUP($B534,calc_data,N$14+1,0),0)</f>
        <v/>
      </c>
      <c r="O534" s="45" t="n"/>
      <c r="Q534" s="57">
        <f>IF(K534&gt;0,"показать","скрыть")</f>
        <v/>
      </c>
    </row>
    <row r="535" ht="15.75" customHeight="1">
      <c r="B535" s="182" t="n">
        <v>519</v>
      </c>
      <c r="C535" s="182">
        <f>IFERROR(VLOOKUP($B535,calc_data,C$14+1,0),0)</f>
        <v/>
      </c>
      <c r="D535" s="182">
        <f>IFERROR(VLOOKUP($B535,calc_data,D$14+1,0),0)</f>
        <v/>
      </c>
      <c r="E535" s="183">
        <f>IFERROR(VLOOKUP($B535,calc_data,E$14+1,0),0)</f>
        <v/>
      </c>
      <c r="F535" s="182">
        <f>IFERROR(VLOOKUP($B535,calc_data,F$14+1,0),0)</f>
        <v/>
      </c>
      <c r="G535" s="141">
        <f>IFERROR(VLOOKUP($B535,calc_data,G$14+1,0),0)</f>
        <v/>
      </c>
      <c r="H535" s="141">
        <f>IFERROR(VLOOKUP($B535,calc_data,H$14+1,0),0)</f>
        <v/>
      </c>
      <c r="I535" s="142">
        <f>IFERROR(VLOOKUP($B535,calc_data,I$14+1,0),0)</f>
        <v/>
      </c>
      <c r="J535" s="141">
        <f>IFERROR(VLOOKUP($B535,calc_data,J$14+1,0),0)</f>
        <v/>
      </c>
      <c r="K535" s="141">
        <f>IFERROR(VLOOKUP($B535,calc_data,K$14+1,0),0)</f>
        <v/>
      </c>
      <c r="L535" s="141">
        <f>IFERROR(VLOOKUP($B535,calc_data,L$14+1,0),0)</f>
        <v/>
      </c>
      <c r="M535" s="177">
        <f>IFERROR(VLOOKUP($B535,calc_data,M$14+1,0),0)</f>
        <v/>
      </c>
      <c r="N535" s="177">
        <f>IFERROR(VLOOKUP($B535,calc_data,N$14+1,0),0)</f>
        <v/>
      </c>
      <c r="O535" s="45" t="n"/>
      <c r="Q535" s="57">
        <f>IF(K535&gt;0,"показать","скрыть")</f>
        <v/>
      </c>
    </row>
    <row r="536" ht="15.75" customHeight="1">
      <c r="B536" s="182" t="n">
        <v>520</v>
      </c>
      <c r="C536" s="182">
        <f>IFERROR(VLOOKUP($B536,calc_data,C$14+1,0),0)</f>
        <v/>
      </c>
      <c r="D536" s="182">
        <f>IFERROR(VLOOKUP($B536,calc_data,D$14+1,0),0)</f>
        <v/>
      </c>
      <c r="E536" s="183">
        <f>IFERROR(VLOOKUP($B536,calc_data,E$14+1,0),0)</f>
        <v/>
      </c>
      <c r="F536" s="182">
        <f>IFERROR(VLOOKUP($B536,calc_data,F$14+1,0),0)</f>
        <v/>
      </c>
      <c r="G536" s="141">
        <f>IFERROR(VLOOKUP($B536,calc_data,G$14+1,0),0)</f>
        <v/>
      </c>
      <c r="H536" s="141">
        <f>IFERROR(VLOOKUP($B536,calc_data,H$14+1,0),0)</f>
        <v/>
      </c>
      <c r="I536" s="142">
        <f>IFERROR(VLOOKUP($B536,calc_data,I$14+1,0),0)</f>
        <v/>
      </c>
      <c r="J536" s="141">
        <f>IFERROR(VLOOKUP($B536,calc_data,J$14+1,0),0)</f>
        <v/>
      </c>
      <c r="K536" s="141">
        <f>IFERROR(VLOOKUP($B536,calc_data,K$14+1,0),0)</f>
        <v/>
      </c>
      <c r="L536" s="141">
        <f>IFERROR(VLOOKUP($B536,calc_data,L$14+1,0),0)</f>
        <v/>
      </c>
      <c r="M536" s="177">
        <f>IFERROR(VLOOKUP($B536,calc_data,M$14+1,0),0)</f>
        <v/>
      </c>
      <c r="N536" s="177">
        <f>IFERROR(VLOOKUP($B536,calc_data,N$14+1,0),0)</f>
        <v/>
      </c>
      <c r="O536" s="45" t="n"/>
      <c r="Q536" s="57">
        <f>IF(K536&gt;0,"показать","скрыть")</f>
        <v/>
      </c>
    </row>
    <row r="537" ht="15.75" customHeight="1">
      <c r="B537" s="182" t="n">
        <v>521</v>
      </c>
      <c r="C537" s="182">
        <f>IFERROR(VLOOKUP($B537,calc_data,C$14+1,0),0)</f>
        <v/>
      </c>
      <c r="D537" s="182">
        <f>IFERROR(VLOOKUP($B537,calc_data,D$14+1,0),0)</f>
        <v/>
      </c>
      <c r="E537" s="183">
        <f>IFERROR(VLOOKUP($B537,calc_data,E$14+1,0),0)</f>
        <v/>
      </c>
      <c r="F537" s="182">
        <f>IFERROR(VLOOKUP($B537,calc_data,F$14+1,0),0)</f>
        <v/>
      </c>
      <c r="G537" s="141">
        <f>IFERROR(VLOOKUP($B537,calc_data,G$14+1,0),0)</f>
        <v/>
      </c>
      <c r="H537" s="141">
        <f>IFERROR(VLOOKUP($B537,calc_data,H$14+1,0),0)</f>
        <v/>
      </c>
      <c r="I537" s="142">
        <f>IFERROR(VLOOKUP($B537,calc_data,I$14+1,0),0)</f>
        <v/>
      </c>
      <c r="J537" s="141">
        <f>IFERROR(VLOOKUP($B537,calc_data,J$14+1,0),0)</f>
        <v/>
      </c>
      <c r="K537" s="141">
        <f>IFERROR(VLOOKUP($B537,calc_data,K$14+1,0),0)</f>
        <v/>
      </c>
      <c r="L537" s="141">
        <f>IFERROR(VLOOKUP($B537,calc_data,L$14+1,0),0)</f>
        <v/>
      </c>
      <c r="M537" s="177">
        <f>IFERROR(VLOOKUP($B537,calc_data,M$14+1,0),0)</f>
        <v/>
      </c>
      <c r="N537" s="177">
        <f>IFERROR(VLOOKUP($B537,calc_data,N$14+1,0),0)</f>
        <v/>
      </c>
      <c r="O537" s="45" t="n"/>
      <c r="Q537" s="57">
        <f>IF(K537&gt;0,"показать","скрыть")</f>
        <v/>
      </c>
    </row>
    <row r="538" ht="15.75" customHeight="1">
      <c r="B538" s="182" t="n">
        <v>522</v>
      </c>
      <c r="C538" s="182">
        <f>IFERROR(VLOOKUP($B538,calc_data,C$14+1,0),0)</f>
        <v/>
      </c>
      <c r="D538" s="182">
        <f>IFERROR(VLOOKUP($B538,calc_data,D$14+1,0),0)</f>
        <v/>
      </c>
      <c r="E538" s="183">
        <f>IFERROR(VLOOKUP($B538,calc_data,E$14+1,0),0)</f>
        <v/>
      </c>
      <c r="F538" s="182">
        <f>IFERROR(VLOOKUP($B538,calc_data,F$14+1,0),0)</f>
        <v/>
      </c>
      <c r="G538" s="141">
        <f>IFERROR(VLOOKUP($B538,calc_data,G$14+1,0),0)</f>
        <v/>
      </c>
      <c r="H538" s="141">
        <f>IFERROR(VLOOKUP($B538,calc_data,H$14+1,0),0)</f>
        <v/>
      </c>
      <c r="I538" s="142">
        <f>IFERROR(VLOOKUP($B538,calc_data,I$14+1,0),0)</f>
        <v/>
      </c>
      <c r="J538" s="141">
        <f>IFERROR(VLOOKUP($B538,calc_data,J$14+1,0),0)</f>
        <v/>
      </c>
      <c r="K538" s="141">
        <f>IFERROR(VLOOKUP($B538,calc_data,K$14+1,0),0)</f>
        <v/>
      </c>
      <c r="L538" s="141">
        <f>IFERROR(VLOOKUP($B538,calc_data,L$14+1,0),0)</f>
        <v/>
      </c>
      <c r="M538" s="177">
        <f>IFERROR(VLOOKUP($B538,calc_data,M$14+1,0),0)</f>
        <v/>
      </c>
      <c r="N538" s="177">
        <f>IFERROR(VLOOKUP($B538,calc_data,N$14+1,0),0)</f>
        <v/>
      </c>
      <c r="O538" s="45" t="n"/>
      <c r="Q538" s="57">
        <f>IF(K538&gt;0,"показать","скрыть")</f>
        <v/>
      </c>
    </row>
    <row r="539" ht="15.75" customHeight="1">
      <c r="B539" s="182" t="n">
        <v>523</v>
      </c>
      <c r="C539" s="182">
        <f>IFERROR(VLOOKUP($B539,calc_data,C$14+1,0),0)</f>
        <v/>
      </c>
      <c r="D539" s="182">
        <f>IFERROR(VLOOKUP($B539,calc_data,D$14+1,0),0)</f>
        <v/>
      </c>
      <c r="E539" s="183">
        <f>IFERROR(VLOOKUP($B539,calc_data,E$14+1,0),0)</f>
        <v/>
      </c>
      <c r="F539" s="182">
        <f>IFERROR(VLOOKUP($B539,calc_data,F$14+1,0),0)</f>
        <v/>
      </c>
      <c r="G539" s="141">
        <f>IFERROR(VLOOKUP($B539,calc_data,G$14+1,0),0)</f>
        <v/>
      </c>
      <c r="H539" s="141">
        <f>IFERROR(VLOOKUP($B539,calc_data,H$14+1,0),0)</f>
        <v/>
      </c>
      <c r="I539" s="142">
        <f>IFERROR(VLOOKUP($B539,calc_data,I$14+1,0),0)</f>
        <v/>
      </c>
      <c r="J539" s="141">
        <f>IFERROR(VLOOKUP($B539,calc_data,J$14+1,0),0)</f>
        <v/>
      </c>
      <c r="K539" s="141">
        <f>IFERROR(VLOOKUP($B539,calc_data,K$14+1,0),0)</f>
        <v/>
      </c>
      <c r="L539" s="141">
        <f>IFERROR(VLOOKUP($B539,calc_data,L$14+1,0),0)</f>
        <v/>
      </c>
      <c r="M539" s="177">
        <f>IFERROR(VLOOKUP($B539,calc_data,M$14+1,0),0)</f>
        <v/>
      </c>
      <c r="N539" s="177">
        <f>IFERROR(VLOOKUP($B539,calc_data,N$14+1,0),0)</f>
        <v/>
      </c>
      <c r="O539" s="45" t="n"/>
      <c r="Q539" s="57">
        <f>IF(K539&gt;0,"показать","скрыть")</f>
        <v/>
      </c>
    </row>
    <row r="540" ht="15.75" customHeight="1">
      <c r="B540" s="182" t="n">
        <v>524</v>
      </c>
      <c r="C540" s="182">
        <f>IFERROR(VLOOKUP($B540,calc_data,C$14+1,0),0)</f>
        <v/>
      </c>
      <c r="D540" s="182">
        <f>IFERROR(VLOOKUP($B540,calc_data,D$14+1,0),0)</f>
        <v/>
      </c>
      <c r="E540" s="183">
        <f>IFERROR(VLOOKUP($B540,calc_data,E$14+1,0),0)</f>
        <v/>
      </c>
      <c r="F540" s="182">
        <f>IFERROR(VLOOKUP($B540,calc_data,F$14+1,0),0)</f>
        <v/>
      </c>
      <c r="G540" s="141">
        <f>IFERROR(VLOOKUP($B540,calc_data,G$14+1,0),0)</f>
        <v/>
      </c>
      <c r="H540" s="141">
        <f>IFERROR(VLOOKUP($B540,calc_data,H$14+1,0),0)</f>
        <v/>
      </c>
      <c r="I540" s="142">
        <f>IFERROR(VLOOKUP($B540,calc_data,I$14+1,0),0)</f>
        <v/>
      </c>
      <c r="J540" s="141">
        <f>IFERROR(VLOOKUP($B540,calc_data,J$14+1,0),0)</f>
        <v/>
      </c>
      <c r="K540" s="141">
        <f>IFERROR(VLOOKUP($B540,calc_data,K$14+1,0),0)</f>
        <v/>
      </c>
      <c r="L540" s="141">
        <f>IFERROR(VLOOKUP($B540,calc_data,L$14+1,0),0)</f>
        <v/>
      </c>
      <c r="M540" s="177">
        <f>IFERROR(VLOOKUP($B540,calc_data,M$14+1,0),0)</f>
        <v/>
      </c>
      <c r="N540" s="177">
        <f>IFERROR(VLOOKUP($B540,calc_data,N$14+1,0),0)</f>
        <v/>
      </c>
      <c r="O540" s="45" t="n"/>
      <c r="Q540" s="57">
        <f>IF(K540&gt;0,"показать","скрыть")</f>
        <v/>
      </c>
    </row>
    <row r="541" ht="15.75" customHeight="1">
      <c r="B541" s="182" t="n">
        <v>525</v>
      </c>
      <c r="C541" s="182">
        <f>IFERROR(VLOOKUP($B541,calc_data,C$14+1,0),0)</f>
        <v/>
      </c>
      <c r="D541" s="182">
        <f>IFERROR(VLOOKUP($B541,calc_data,D$14+1,0),0)</f>
        <v/>
      </c>
      <c r="E541" s="183">
        <f>IFERROR(VLOOKUP($B541,calc_data,E$14+1,0),0)</f>
        <v/>
      </c>
      <c r="F541" s="182">
        <f>IFERROR(VLOOKUP($B541,calc_data,F$14+1,0),0)</f>
        <v/>
      </c>
      <c r="G541" s="141">
        <f>IFERROR(VLOOKUP($B541,calc_data,G$14+1,0),0)</f>
        <v/>
      </c>
      <c r="H541" s="141">
        <f>IFERROR(VLOOKUP($B541,calc_data,H$14+1,0),0)</f>
        <v/>
      </c>
      <c r="I541" s="142">
        <f>IFERROR(VLOOKUP($B541,calc_data,I$14+1,0),0)</f>
        <v/>
      </c>
      <c r="J541" s="141">
        <f>IFERROR(VLOOKUP($B541,calc_data,J$14+1,0),0)</f>
        <v/>
      </c>
      <c r="K541" s="141">
        <f>IFERROR(VLOOKUP($B541,calc_data,K$14+1,0),0)</f>
        <v/>
      </c>
      <c r="L541" s="141">
        <f>IFERROR(VLOOKUP($B541,calc_data,L$14+1,0),0)</f>
        <v/>
      </c>
      <c r="M541" s="177">
        <f>IFERROR(VLOOKUP($B541,calc_data,M$14+1,0),0)</f>
        <v/>
      </c>
      <c r="N541" s="177">
        <f>IFERROR(VLOOKUP($B541,calc_data,N$14+1,0),0)</f>
        <v/>
      </c>
      <c r="O541" s="45" t="n"/>
      <c r="Q541" s="57">
        <f>IF(K541&gt;0,"показать","скрыть")</f>
        <v/>
      </c>
    </row>
    <row r="542" ht="15.75" customHeight="1">
      <c r="B542" s="182" t="n">
        <v>526</v>
      </c>
      <c r="C542" s="182">
        <f>IFERROR(VLOOKUP($B542,calc_data,C$14+1,0),0)</f>
        <v/>
      </c>
      <c r="D542" s="182">
        <f>IFERROR(VLOOKUP($B542,calc_data,D$14+1,0),0)</f>
        <v/>
      </c>
      <c r="E542" s="183">
        <f>IFERROR(VLOOKUP($B542,calc_data,E$14+1,0),0)</f>
        <v/>
      </c>
      <c r="F542" s="182">
        <f>IFERROR(VLOOKUP($B542,calc_data,F$14+1,0),0)</f>
        <v/>
      </c>
      <c r="G542" s="141">
        <f>IFERROR(VLOOKUP($B542,calc_data,G$14+1,0),0)</f>
        <v/>
      </c>
      <c r="H542" s="141">
        <f>IFERROR(VLOOKUP($B542,calc_data,H$14+1,0),0)</f>
        <v/>
      </c>
      <c r="I542" s="142">
        <f>IFERROR(VLOOKUP($B542,calc_data,I$14+1,0),0)</f>
        <v/>
      </c>
      <c r="J542" s="141">
        <f>IFERROR(VLOOKUP($B542,calc_data,J$14+1,0),0)</f>
        <v/>
      </c>
      <c r="K542" s="141">
        <f>IFERROR(VLOOKUP($B542,calc_data,K$14+1,0),0)</f>
        <v/>
      </c>
      <c r="L542" s="141">
        <f>IFERROR(VLOOKUP($B542,calc_data,L$14+1,0),0)</f>
        <v/>
      </c>
      <c r="M542" s="177">
        <f>IFERROR(VLOOKUP($B542,calc_data,M$14+1,0),0)</f>
        <v/>
      </c>
      <c r="N542" s="177">
        <f>IFERROR(VLOOKUP($B542,calc_data,N$14+1,0),0)</f>
        <v/>
      </c>
      <c r="O542" s="45" t="n"/>
      <c r="Q542" s="57">
        <f>IF(K542&gt;0,"показать","скрыть")</f>
        <v/>
      </c>
    </row>
    <row r="543" ht="15.75" customHeight="1">
      <c r="B543" s="182" t="n">
        <v>527</v>
      </c>
      <c r="C543" s="182">
        <f>IFERROR(VLOOKUP($B543,calc_data,C$14+1,0),0)</f>
        <v/>
      </c>
      <c r="D543" s="182">
        <f>IFERROR(VLOOKUP($B543,calc_data,D$14+1,0),0)</f>
        <v/>
      </c>
      <c r="E543" s="183">
        <f>IFERROR(VLOOKUP($B543,calc_data,E$14+1,0),0)</f>
        <v/>
      </c>
      <c r="F543" s="182">
        <f>IFERROR(VLOOKUP($B543,calc_data,F$14+1,0),0)</f>
        <v/>
      </c>
      <c r="G543" s="141">
        <f>IFERROR(VLOOKUP($B543,calc_data,G$14+1,0),0)</f>
        <v/>
      </c>
      <c r="H543" s="141">
        <f>IFERROR(VLOOKUP($B543,calc_data,H$14+1,0),0)</f>
        <v/>
      </c>
      <c r="I543" s="142">
        <f>IFERROR(VLOOKUP($B543,calc_data,I$14+1,0),0)</f>
        <v/>
      </c>
      <c r="J543" s="141">
        <f>IFERROR(VLOOKUP($B543,calc_data,J$14+1,0),0)</f>
        <v/>
      </c>
      <c r="K543" s="141">
        <f>IFERROR(VLOOKUP($B543,calc_data,K$14+1,0),0)</f>
        <v/>
      </c>
      <c r="L543" s="141">
        <f>IFERROR(VLOOKUP($B543,calc_data,L$14+1,0),0)</f>
        <v/>
      </c>
      <c r="M543" s="177">
        <f>IFERROR(VLOOKUP($B543,calc_data,M$14+1,0),0)</f>
        <v/>
      </c>
      <c r="N543" s="177">
        <f>IFERROR(VLOOKUP($B543,calc_data,N$14+1,0),0)</f>
        <v/>
      </c>
      <c r="O543" s="45" t="n"/>
      <c r="Q543" s="57">
        <f>IF(K543&gt;0,"показать","скрыть")</f>
        <v/>
      </c>
    </row>
    <row r="544" ht="15.75" customHeight="1">
      <c r="B544" s="182" t="n">
        <v>528</v>
      </c>
      <c r="C544" s="182">
        <f>IFERROR(VLOOKUP($B544,calc_data,C$14+1,0),0)</f>
        <v/>
      </c>
      <c r="D544" s="182">
        <f>IFERROR(VLOOKUP($B544,calc_data,D$14+1,0),0)</f>
        <v/>
      </c>
      <c r="E544" s="183">
        <f>IFERROR(VLOOKUP($B544,calc_data,E$14+1,0),0)</f>
        <v/>
      </c>
      <c r="F544" s="182">
        <f>IFERROR(VLOOKUP($B544,calc_data,F$14+1,0),0)</f>
        <v/>
      </c>
      <c r="G544" s="141">
        <f>IFERROR(VLOOKUP($B544,calc_data,G$14+1,0),0)</f>
        <v/>
      </c>
      <c r="H544" s="141">
        <f>IFERROR(VLOOKUP($B544,calc_data,H$14+1,0),0)</f>
        <v/>
      </c>
      <c r="I544" s="142">
        <f>IFERROR(VLOOKUP($B544,calc_data,I$14+1,0),0)</f>
        <v/>
      </c>
      <c r="J544" s="141">
        <f>IFERROR(VLOOKUP($B544,calc_data,J$14+1,0),0)</f>
        <v/>
      </c>
      <c r="K544" s="141">
        <f>IFERROR(VLOOKUP($B544,calc_data,K$14+1,0),0)</f>
        <v/>
      </c>
      <c r="L544" s="141">
        <f>IFERROR(VLOOKUP($B544,calc_data,L$14+1,0),0)</f>
        <v/>
      </c>
      <c r="M544" s="177">
        <f>IFERROR(VLOOKUP($B544,calc_data,M$14+1,0),0)</f>
        <v/>
      </c>
      <c r="N544" s="177">
        <f>IFERROR(VLOOKUP($B544,calc_data,N$14+1,0),0)</f>
        <v/>
      </c>
      <c r="O544" s="45" t="n"/>
      <c r="Q544" s="57">
        <f>IF(K544&gt;0,"показать","скрыть")</f>
        <v/>
      </c>
    </row>
    <row r="545" ht="15.75" customHeight="1">
      <c r="B545" s="182" t="n">
        <v>529</v>
      </c>
      <c r="C545" s="182">
        <f>IFERROR(VLOOKUP($B545,calc_data,C$14+1,0),0)</f>
        <v/>
      </c>
      <c r="D545" s="182">
        <f>IFERROR(VLOOKUP($B545,calc_data,D$14+1,0),0)</f>
        <v/>
      </c>
      <c r="E545" s="183">
        <f>IFERROR(VLOOKUP($B545,calc_data,E$14+1,0),0)</f>
        <v/>
      </c>
      <c r="F545" s="182">
        <f>IFERROR(VLOOKUP($B545,calc_data,F$14+1,0),0)</f>
        <v/>
      </c>
      <c r="G545" s="141">
        <f>IFERROR(VLOOKUP($B545,calc_data,G$14+1,0),0)</f>
        <v/>
      </c>
      <c r="H545" s="141">
        <f>IFERROR(VLOOKUP($B545,calc_data,H$14+1,0),0)</f>
        <v/>
      </c>
      <c r="I545" s="142">
        <f>IFERROR(VLOOKUP($B545,calc_data,I$14+1,0),0)</f>
        <v/>
      </c>
      <c r="J545" s="141">
        <f>IFERROR(VLOOKUP($B545,calc_data,J$14+1,0),0)</f>
        <v/>
      </c>
      <c r="K545" s="141">
        <f>IFERROR(VLOOKUP($B545,calc_data,K$14+1,0),0)</f>
        <v/>
      </c>
      <c r="L545" s="141">
        <f>IFERROR(VLOOKUP($B545,calc_data,L$14+1,0),0)</f>
        <v/>
      </c>
      <c r="M545" s="177">
        <f>IFERROR(VLOOKUP($B545,calc_data,M$14+1,0),0)</f>
        <v/>
      </c>
      <c r="N545" s="177">
        <f>IFERROR(VLOOKUP($B545,calc_data,N$14+1,0),0)</f>
        <v/>
      </c>
      <c r="O545" s="45" t="n"/>
      <c r="Q545" s="57">
        <f>IF(K545&gt;0,"показать","скрыть")</f>
        <v/>
      </c>
    </row>
    <row r="546" ht="15.75" customHeight="1">
      <c r="B546" s="182" t="n">
        <v>530</v>
      </c>
      <c r="C546" s="182">
        <f>IFERROR(VLOOKUP($B546,calc_data,C$14+1,0),0)</f>
        <v/>
      </c>
      <c r="D546" s="182">
        <f>IFERROR(VLOOKUP($B546,calc_data,D$14+1,0),0)</f>
        <v/>
      </c>
      <c r="E546" s="183">
        <f>IFERROR(VLOOKUP($B546,calc_data,E$14+1,0),0)</f>
        <v/>
      </c>
      <c r="F546" s="182">
        <f>IFERROR(VLOOKUP($B546,calc_data,F$14+1,0),0)</f>
        <v/>
      </c>
      <c r="G546" s="141">
        <f>IFERROR(VLOOKUP($B546,calc_data,G$14+1,0),0)</f>
        <v/>
      </c>
      <c r="H546" s="141">
        <f>IFERROR(VLOOKUP($B546,calc_data,H$14+1,0),0)</f>
        <v/>
      </c>
      <c r="I546" s="142">
        <f>IFERROR(VLOOKUP($B546,calc_data,I$14+1,0),0)</f>
        <v/>
      </c>
      <c r="J546" s="141">
        <f>IFERROR(VLOOKUP($B546,calc_data,J$14+1,0),0)</f>
        <v/>
      </c>
      <c r="K546" s="141">
        <f>IFERROR(VLOOKUP($B546,calc_data,K$14+1,0),0)</f>
        <v/>
      </c>
      <c r="L546" s="141">
        <f>IFERROR(VLOOKUP($B546,calc_data,L$14+1,0),0)</f>
        <v/>
      </c>
      <c r="M546" s="177">
        <f>IFERROR(VLOOKUP($B546,calc_data,M$14+1,0),0)</f>
        <v/>
      </c>
      <c r="N546" s="177">
        <f>IFERROR(VLOOKUP($B546,calc_data,N$14+1,0),0)</f>
        <v/>
      </c>
      <c r="O546" s="45" t="n"/>
      <c r="Q546" s="57">
        <f>IF(K546&gt;0,"показать","скрыть")</f>
        <v/>
      </c>
    </row>
    <row r="547" ht="15.75" customHeight="1">
      <c r="B547" s="182" t="n">
        <v>531</v>
      </c>
      <c r="C547" s="182">
        <f>IFERROR(VLOOKUP($B547,calc_data,C$14+1,0),0)</f>
        <v/>
      </c>
      <c r="D547" s="182">
        <f>IFERROR(VLOOKUP($B547,calc_data,D$14+1,0),0)</f>
        <v/>
      </c>
      <c r="E547" s="183">
        <f>IFERROR(VLOOKUP($B547,calc_data,E$14+1,0),0)</f>
        <v/>
      </c>
      <c r="F547" s="182">
        <f>IFERROR(VLOOKUP($B547,calc_data,F$14+1,0),0)</f>
        <v/>
      </c>
      <c r="G547" s="141">
        <f>IFERROR(VLOOKUP($B547,calc_data,G$14+1,0),0)</f>
        <v/>
      </c>
      <c r="H547" s="141">
        <f>IFERROR(VLOOKUP($B547,calc_data,H$14+1,0),0)</f>
        <v/>
      </c>
      <c r="I547" s="142">
        <f>IFERROR(VLOOKUP($B547,calc_data,I$14+1,0),0)</f>
        <v/>
      </c>
      <c r="J547" s="141">
        <f>IFERROR(VLOOKUP($B547,calc_data,J$14+1,0),0)</f>
        <v/>
      </c>
      <c r="K547" s="141">
        <f>IFERROR(VLOOKUP($B547,calc_data,K$14+1,0),0)</f>
        <v/>
      </c>
      <c r="L547" s="141">
        <f>IFERROR(VLOOKUP($B547,calc_data,L$14+1,0),0)</f>
        <v/>
      </c>
      <c r="M547" s="177">
        <f>IFERROR(VLOOKUP($B547,calc_data,M$14+1,0),0)</f>
        <v/>
      </c>
      <c r="N547" s="177">
        <f>IFERROR(VLOOKUP($B547,calc_data,N$14+1,0),0)</f>
        <v/>
      </c>
      <c r="O547" s="45" t="n"/>
      <c r="Q547" s="57">
        <f>IF(K547&gt;0,"показать","скрыть")</f>
        <v/>
      </c>
    </row>
    <row r="548" ht="15.75" customHeight="1">
      <c r="B548" s="182" t="n">
        <v>532</v>
      </c>
      <c r="C548" s="182">
        <f>IFERROR(VLOOKUP($B548,calc_data,C$14+1,0),0)</f>
        <v/>
      </c>
      <c r="D548" s="182">
        <f>IFERROR(VLOOKUP($B548,calc_data,D$14+1,0),0)</f>
        <v/>
      </c>
      <c r="E548" s="183">
        <f>IFERROR(VLOOKUP($B548,calc_data,E$14+1,0),0)</f>
        <v/>
      </c>
      <c r="F548" s="182">
        <f>IFERROR(VLOOKUP($B548,calc_data,F$14+1,0),0)</f>
        <v/>
      </c>
      <c r="G548" s="141">
        <f>IFERROR(VLOOKUP($B548,calc_data,G$14+1,0),0)</f>
        <v/>
      </c>
      <c r="H548" s="141">
        <f>IFERROR(VLOOKUP($B548,calc_data,H$14+1,0),0)</f>
        <v/>
      </c>
      <c r="I548" s="142">
        <f>IFERROR(VLOOKUP($B548,calc_data,I$14+1,0),0)</f>
        <v/>
      </c>
      <c r="J548" s="141">
        <f>IFERROR(VLOOKUP($B548,calc_data,J$14+1,0),0)</f>
        <v/>
      </c>
      <c r="K548" s="141">
        <f>IFERROR(VLOOKUP($B548,calc_data,K$14+1,0),0)</f>
        <v/>
      </c>
      <c r="L548" s="141">
        <f>IFERROR(VLOOKUP($B548,calc_data,L$14+1,0),0)</f>
        <v/>
      </c>
      <c r="M548" s="177">
        <f>IFERROR(VLOOKUP($B548,calc_data,M$14+1,0),0)</f>
        <v/>
      </c>
      <c r="N548" s="177">
        <f>IFERROR(VLOOKUP($B548,calc_data,N$14+1,0),0)</f>
        <v/>
      </c>
      <c r="O548" s="45" t="n"/>
      <c r="Q548" s="57">
        <f>IF(K548&gt;0,"показать","скрыть")</f>
        <v/>
      </c>
    </row>
    <row r="549" ht="15.75" customHeight="1">
      <c r="B549" s="182" t="n">
        <v>533</v>
      </c>
      <c r="C549" s="182">
        <f>IFERROR(VLOOKUP($B549,calc_data,C$14+1,0),0)</f>
        <v/>
      </c>
      <c r="D549" s="182">
        <f>IFERROR(VLOOKUP($B549,calc_data,D$14+1,0),0)</f>
        <v/>
      </c>
      <c r="E549" s="183">
        <f>IFERROR(VLOOKUP($B549,calc_data,E$14+1,0),0)</f>
        <v/>
      </c>
      <c r="F549" s="182">
        <f>IFERROR(VLOOKUP($B549,calc_data,F$14+1,0),0)</f>
        <v/>
      </c>
      <c r="G549" s="141">
        <f>IFERROR(VLOOKUP($B549,calc_data,G$14+1,0),0)</f>
        <v/>
      </c>
      <c r="H549" s="141">
        <f>IFERROR(VLOOKUP($B549,calc_data,H$14+1,0),0)</f>
        <v/>
      </c>
      <c r="I549" s="142">
        <f>IFERROR(VLOOKUP($B549,calc_data,I$14+1,0),0)</f>
        <v/>
      </c>
      <c r="J549" s="141">
        <f>IFERROR(VLOOKUP($B549,calc_data,J$14+1,0),0)</f>
        <v/>
      </c>
      <c r="K549" s="141">
        <f>IFERROR(VLOOKUP($B549,calc_data,K$14+1,0),0)</f>
        <v/>
      </c>
      <c r="L549" s="141">
        <f>IFERROR(VLOOKUP($B549,calc_data,L$14+1,0),0)</f>
        <v/>
      </c>
      <c r="M549" s="177">
        <f>IFERROR(VLOOKUP($B549,calc_data,M$14+1,0),0)</f>
        <v/>
      </c>
      <c r="N549" s="177">
        <f>IFERROR(VLOOKUP($B549,calc_data,N$14+1,0),0)</f>
        <v/>
      </c>
      <c r="O549" s="45" t="n"/>
      <c r="Q549" s="57">
        <f>IF(K549&gt;0,"показать","скрыть")</f>
        <v/>
      </c>
    </row>
    <row r="550" ht="15.75" customHeight="1">
      <c r="B550" s="182" t="n">
        <v>534</v>
      </c>
      <c r="C550" s="182">
        <f>IFERROR(VLOOKUP($B550,calc_data,C$14+1,0),0)</f>
        <v/>
      </c>
      <c r="D550" s="182">
        <f>IFERROR(VLOOKUP($B550,calc_data,D$14+1,0),0)</f>
        <v/>
      </c>
      <c r="E550" s="183">
        <f>IFERROR(VLOOKUP($B550,calc_data,E$14+1,0),0)</f>
        <v/>
      </c>
      <c r="F550" s="182">
        <f>IFERROR(VLOOKUP($B550,calc_data,F$14+1,0),0)</f>
        <v/>
      </c>
      <c r="G550" s="141">
        <f>IFERROR(VLOOKUP($B550,calc_data,G$14+1,0),0)</f>
        <v/>
      </c>
      <c r="H550" s="141">
        <f>IFERROR(VLOOKUP($B550,calc_data,H$14+1,0),0)</f>
        <v/>
      </c>
      <c r="I550" s="142">
        <f>IFERROR(VLOOKUP($B550,calc_data,I$14+1,0),0)</f>
        <v/>
      </c>
      <c r="J550" s="141">
        <f>IFERROR(VLOOKUP($B550,calc_data,J$14+1,0),0)</f>
        <v/>
      </c>
      <c r="K550" s="141">
        <f>IFERROR(VLOOKUP($B550,calc_data,K$14+1,0),0)</f>
        <v/>
      </c>
      <c r="L550" s="141">
        <f>IFERROR(VLOOKUP($B550,calc_data,L$14+1,0),0)</f>
        <v/>
      </c>
      <c r="M550" s="177">
        <f>IFERROR(VLOOKUP($B550,calc_data,M$14+1,0),0)</f>
        <v/>
      </c>
      <c r="N550" s="177">
        <f>IFERROR(VLOOKUP($B550,calc_data,N$14+1,0),0)</f>
        <v/>
      </c>
      <c r="O550" s="45" t="n"/>
      <c r="Q550" s="57">
        <f>IF(K550&gt;0,"показать","скрыть")</f>
        <v/>
      </c>
    </row>
    <row r="551" ht="15.75" customHeight="1">
      <c r="B551" s="182" t="n">
        <v>535</v>
      </c>
      <c r="C551" s="182">
        <f>IFERROR(VLOOKUP($B551,calc_data,C$14+1,0),0)</f>
        <v/>
      </c>
      <c r="D551" s="182">
        <f>IFERROR(VLOOKUP($B551,calc_data,D$14+1,0),0)</f>
        <v/>
      </c>
      <c r="E551" s="183">
        <f>IFERROR(VLOOKUP($B551,calc_data,E$14+1,0),0)</f>
        <v/>
      </c>
      <c r="F551" s="182">
        <f>IFERROR(VLOOKUP($B551,calc_data,F$14+1,0),0)</f>
        <v/>
      </c>
      <c r="G551" s="141">
        <f>IFERROR(VLOOKUP($B551,calc_data,G$14+1,0),0)</f>
        <v/>
      </c>
      <c r="H551" s="141">
        <f>IFERROR(VLOOKUP($B551,calc_data,H$14+1,0),0)</f>
        <v/>
      </c>
      <c r="I551" s="142">
        <f>IFERROR(VLOOKUP($B551,calc_data,I$14+1,0),0)</f>
        <v/>
      </c>
      <c r="J551" s="141">
        <f>IFERROR(VLOOKUP($B551,calc_data,J$14+1,0),0)</f>
        <v/>
      </c>
      <c r="K551" s="141">
        <f>IFERROR(VLOOKUP($B551,calc_data,K$14+1,0),0)</f>
        <v/>
      </c>
      <c r="L551" s="141">
        <f>IFERROR(VLOOKUP($B551,calc_data,L$14+1,0),0)</f>
        <v/>
      </c>
      <c r="M551" s="177">
        <f>IFERROR(VLOOKUP($B551,calc_data,M$14+1,0),0)</f>
        <v/>
      </c>
      <c r="N551" s="177">
        <f>IFERROR(VLOOKUP($B551,calc_data,N$14+1,0),0)</f>
        <v/>
      </c>
      <c r="O551" s="45" t="n"/>
      <c r="Q551" s="57">
        <f>IF(K551&gt;0,"показать","скрыть")</f>
        <v/>
      </c>
    </row>
    <row r="552" ht="15.75" customHeight="1">
      <c r="B552" s="182" t="n">
        <v>536</v>
      </c>
      <c r="C552" s="182">
        <f>IFERROR(VLOOKUP($B552,calc_data,C$14+1,0),0)</f>
        <v/>
      </c>
      <c r="D552" s="182">
        <f>IFERROR(VLOOKUP($B552,calc_data,D$14+1,0),0)</f>
        <v/>
      </c>
      <c r="E552" s="183">
        <f>IFERROR(VLOOKUP($B552,calc_data,E$14+1,0),0)</f>
        <v/>
      </c>
      <c r="F552" s="182">
        <f>IFERROR(VLOOKUP($B552,calc_data,F$14+1,0),0)</f>
        <v/>
      </c>
      <c r="G552" s="141">
        <f>IFERROR(VLOOKUP($B552,calc_data,G$14+1,0),0)</f>
        <v/>
      </c>
      <c r="H552" s="141">
        <f>IFERROR(VLOOKUP($B552,calc_data,H$14+1,0),0)</f>
        <v/>
      </c>
      <c r="I552" s="142">
        <f>IFERROR(VLOOKUP($B552,calc_data,I$14+1,0),0)</f>
        <v/>
      </c>
      <c r="J552" s="141">
        <f>IFERROR(VLOOKUP($B552,calc_data,J$14+1,0),0)</f>
        <v/>
      </c>
      <c r="K552" s="141">
        <f>IFERROR(VLOOKUP($B552,calc_data,K$14+1,0),0)</f>
        <v/>
      </c>
      <c r="L552" s="141">
        <f>IFERROR(VLOOKUP($B552,calc_data,L$14+1,0),0)</f>
        <v/>
      </c>
      <c r="M552" s="177">
        <f>IFERROR(VLOOKUP($B552,calc_data,M$14+1,0),0)</f>
        <v/>
      </c>
      <c r="N552" s="177">
        <f>IFERROR(VLOOKUP($B552,calc_data,N$14+1,0),0)</f>
        <v/>
      </c>
      <c r="O552" s="45" t="n"/>
      <c r="Q552" s="57">
        <f>IF(K552&gt;0,"показать","скрыть")</f>
        <v/>
      </c>
    </row>
    <row r="553" ht="15.75" customHeight="1">
      <c r="B553" s="182" t="n">
        <v>537</v>
      </c>
      <c r="C553" s="182">
        <f>IFERROR(VLOOKUP($B553,calc_data,C$14+1,0),0)</f>
        <v/>
      </c>
      <c r="D553" s="182">
        <f>IFERROR(VLOOKUP($B553,calc_data,D$14+1,0),0)</f>
        <v/>
      </c>
      <c r="E553" s="183">
        <f>IFERROR(VLOOKUP($B553,calc_data,E$14+1,0),0)</f>
        <v/>
      </c>
      <c r="F553" s="182">
        <f>IFERROR(VLOOKUP($B553,calc_data,F$14+1,0),0)</f>
        <v/>
      </c>
      <c r="G553" s="141">
        <f>IFERROR(VLOOKUP($B553,calc_data,G$14+1,0),0)</f>
        <v/>
      </c>
      <c r="H553" s="141">
        <f>IFERROR(VLOOKUP($B553,calc_data,H$14+1,0),0)</f>
        <v/>
      </c>
      <c r="I553" s="142">
        <f>IFERROR(VLOOKUP($B553,calc_data,I$14+1,0),0)</f>
        <v/>
      </c>
      <c r="J553" s="141">
        <f>IFERROR(VLOOKUP($B553,calc_data,J$14+1,0),0)</f>
        <v/>
      </c>
      <c r="K553" s="141">
        <f>IFERROR(VLOOKUP($B553,calc_data,K$14+1,0),0)</f>
        <v/>
      </c>
      <c r="L553" s="141">
        <f>IFERROR(VLOOKUP($B553,calc_data,L$14+1,0),0)</f>
        <v/>
      </c>
      <c r="M553" s="177">
        <f>IFERROR(VLOOKUP($B553,calc_data,M$14+1,0),0)</f>
        <v/>
      </c>
      <c r="N553" s="177">
        <f>IFERROR(VLOOKUP($B553,calc_data,N$14+1,0),0)</f>
        <v/>
      </c>
      <c r="O553" s="45" t="n"/>
      <c r="Q553" s="57">
        <f>IF(K553&gt;0,"показать","скрыть")</f>
        <v/>
      </c>
    </row>
    <row r="554" ht="15.75" customHeight="1">
      <c r="B554" s="182" t="n">
        <v>538</v>
      </c>
      <c r="C554" s="182">
        <f>IFERROR(VLOOKUP($B554,calc_data,C$14+1,0),0)</f>
        <v/>
      </c>
      <c r="D554" s="182">
        <f>IFERROR(VLOOKUP($B554,calc_data,D$14+1,0),0)</f>
        <v/>
      </c>
      <c r="E554" s="183">
        <f>IFERROR(VLOOKUP($B554,calc_data,E$14+1,0),0)</f>
        <v/>
      </c>
      <c r="F554" s="182">
        <f>IFERROR(VLOOKUP($B554,calc_data,F$14+1,0),0)</f>
        <v/>
      </c>
      <c r="G554" s="141">
        <f>IFERROR(VLOOKUP($B554,calc_data,G$14+1,0),0)</f>
        <v/>
      </c>
      <c r="H554" s="141">
        <f>IFERROR(VLOOKUP($B554,calc_data,H$14+1,0),0)</f>
        <v/>
      </c>
      <c r="I554" s="142">
        <f>IFERROR(VLOOKUP($B554,calc_data,I$14+1,0),0)</f>
        <v/>
      </c>
      <c r="J554" s="141">
        <f>IFERROR(VLOOKUP($B554,calc_data,J$14+1,0),0)</f>
        <v/>
      </c>
      <c r="K554" s="141">
        <f>IFERROR(VLOOKUP($B554,calc_data,K$14+1,0),0)</f>
        <v/>
      </c>
      <c r="L554" s="141">
        <f>IFERROR(VLOOKUP($B554,calc_data,L$14+1,0),0)</f>
        <v/>
      </c>
      <c r="M554" s="177">
        <f>IFERROR(VLOOKUP($B554,calc_data,M$14+1,0),0)</f>
        <v/>
      </c>
      <c r="N554" s="177">
        <f>IFERROR(VLOOKUP($B554,calc_data,N$14+1,0),0)</f>
        <v/>
      </c>
      <c r="O554" s="45" t="n"/>
      <c r="Q554" s="57">
        <f>IF(K554&gt;0,"показать","скрыть")</f>
        <v/>
      </c>
    </row>
    <row r="555" ht="15.75" customHeight="1">
      <c r="B555" s="182" t="n">
        <v>539</v>
      </c>
      <c r="C555" s="182">
        <f>IFERROR(VLOOKUP($B555,calc_data,C$14+1,0),0)</f>
        <v/>
      </c>
      <c r="D555" s="182">
        <f>IFERROR(VLOOKUP($B555,calc_data,D$14+1,0),0)</f>
        <v/>
      </c>
      <c r="E555" s="183">
        <f>IFERROR(VLOOKUP($B555,calc_data,E$14+1,0),0)</f>
        <v/>
      </c>
      <c r="F555" s="182">
        <f>IFERROR(VLOOKUP($B555,calc_data,F$14+1,0),0)</f>
        <v/>
      </c>
      <c r="G555" s="141">
        <f>IFERROR(VLOOKUP($B555,calc_data,G$14+1,0),0)</f>
        <v/>
      </c>
      <c r="H555" s="141">
        <f>IFERROR(VLOOKUP($B555,calc_data,H$14+1,0),0)</f>
        <v/>
      </c>
      <c r="I555" s="142">
        <f>IFERROR(VLOOKUP($B555,calc_data,I$14+1,0),0)</f>
        <v/>
      </c>
      <c r="J555" s="141">
        <f>IFERROR(VLOOKUP($B555,calc_data,J$14+1,0),0)</f>
        <v/>
      </c>
      <c r="K555" s="141">
        <f>IFERROR(VLOOKUP($B555,calc_data,K$14+1,0),0)</f>
        <v/>
      </c>
      <c r="L555" s="141">
        <f>IFERROR(VLOOKUP($B555,calc_data,L$14+1,0),0)</f>
        <v/>
      </c>
      <c r="M555" s="177">
        <f>IFERROR(VLOOKUP($B555,calc_data,M$14+1,0),0)</f>
        <v/>
      </c>
      <c r="N555" s="177">
        <f>IFERROR(VLOOKUP($B555,calc_data,N$14+1,0),0)</f>
        <v/>
      </c>
      <c r="O555" s="45" t="n"/>
      <c r="Q555" s="57">
        <f>IF(K555&gt;0,"показать","скрыть")</f>
        <v/>
      </c>
    </row>
    <row r="556" ht="15.75" customHeight="1">
      <c r="B556" s="182" t="n">
        <v>540</v>
      </c>
      <c r="C556" s="182">
        <f>IFERROR(VLOOKUP($B556,calc_data,C$14+1,0),0)</f>
        <v/>
      </c>
      <c r="D556" s="182">
        <f>IFERROR(VLOOKUP($B556,calc_data,D$14+1,0),0)</f>
        <v/>
      </c>
      <c r="E556" s="183">
        <f>IFERROR(VLOOKUP($B556,calc_data,E$14+1,0),0)</f>
        <v/>
      </c>
      <c r="F556" s="182">
        <f>IFERROR(VLOOKUP($B556,calc_data,F$14+1,0),0)</f>
        <v/>
      </c>
      <c r="G556" s="141">
        <f>IFERROR(VLOOKUP($B556,calc_data,G$14+1,0),0)</f>
        <v/>
      </c>
      <c r="H556" s="141">
        <f>IFERROR(VLOOKUP($B556,calc_data,H$14+1,0),0)</f>
        <v/>
      </c>
      <c r="I556" s="142">
        <f>IFERROR(VLOOKUP($B556,calc_data,I$14+1,0),0)</f>
        <v/>
      </c>
      <c r="J556" s="141">
        <f>IFERROR(VLOOKUP($B556,calc_data,J$14+1,0),0)</f>
        <v/>
      </c>
      <c r="K556" s="141">
        <f>IFERROR(VLOOKUP($B556,calc_data,K$14+1,0),0)</f>
        <v/>
      </c>
      <c r="L556" s="141">
        <f>IFERROR(VLOOKUP($B556,calc_data,L$14+1,0),0)</f>
        <v/>
      </c>
      <c r="M556" s="177">
        <f>IFERROR(VLOOKUP($B556,calc_data,M$14+1,0),0)</f>
        <v/>
      </c>
      <c r="N556" s="177">
        <f>IFERROR(VLOOKUP($B556,calc_data,N$14+1,0),0)</f>
        <v/>
      </c>
      <c r="O556" s="45" t="n"/>
      <c r="Q556" s="57">
        <f>IF(K556&gt;0,"показать","скрыть")</f>
        <v/>
      </c>
    </row>
    <row r="557" ht="15.75" customHeight="1">
      <c r="B557" s="182" t="n">
        <v>541</v>
      </c>
      <c r="C557" s="182">
        <f>IFERROR(VLOOKUP($B557,calc_data,C$14+1,0),0)</f>
        <v/>
      </c>
      <c r="D557" s="182">
        <f>IFERROR(VLOOKUP($B557,calc_data,D$14+1,0),0)</f>
        <v/>
      </c>
      <c r="E557" s="183">
        <f>IFERROR(VLOOKUP($B557,calc_data,E$14+1,0),0)</f>
        <v/>
      </c>
      <c r="F557" s="182">
        <f>IFERROR(VLOOKUP($B557,calc_data,F$14+1,0),0)</f>
        <v/>
      </c>
      <c r="G557" s="141">
        <f>IFERROR(VLOOKUP($B557,calc_data,G$14+1,0),0)</f>
        <v/>
      </c>
      <c r="H557" s="141">
        <f>IFERROR(VLOOKUP($B557,calc_data,H$14+1,0),0)</f>
        <v/>
      </c>
      <c r="I557" s="142">
        <f>IFERROR(VLOOKUP($B557,calc_data,I$14+1,0),0)</f>
        <v/>
      </c>
      <c r="J557" s="141">
        <f>IFERROR(VLOOKUP($B557,calc_data,J$14+1,0),0)</f>
        <v/>
      </c>
      <c r="K557" s="141">
        <f>IFERROR(VLOOKUP($B557,calc_data,K$14+1,0),0)</f>
        <v/>
      </c>
      <c r="L557" s="141">
        <f>IFERROR(VLOOKUP($B557,calc_data,L$14+1,0),0)</f>
        <v/>
      </c>
      <c r="M557" s="177">
        <f>IFERROR(VLOOKUP($B557,calc_data,M$14+1,0),0)</f>
        <v/>
      </c>
      <c r="N557" s="177">
        <f>IFERROR(VLOOKUP($B557,calc_data,N$14+1,0),0)</f>
        <v/>
      </c>
      <c r="O557" s="45" t="n"/>
      <c r="Q557" s="57">
        <f>IF(K557&gt;0,"показать","скрыть")</f>
        <v/>
      </c>
    </row>
    <row r="558" ht="15.75" customHeight="1">
      <c r="B558" s="182" t="n">
        <v>542</v>
      </c>
      <c r="C558" s="182">
        <f>IFERROR(VLOOKUP($B558,calc_data,C$14+1,0),0)</f>
        <v/>
      </c>
      <c r="D558" s="182">
        <f>IFERROR(VLOOKUP($B558,calc_data,D$14+1,0),0)</f>
        <v/>
      </c>
      <c r="E558" s="183">
        <f>IFERROR(VLOOKUP($B558,calc_data,E$14+1,0),0)</f>
        <v/>
      </c>
      <c r="F558" s="182">
        <f>IFERROR(VLOOKUP($B558,calc_data,F$14+1,0),0)</f>
        <v/>
      </c>
      <c r="G558" s="141">
        <f>IFERROR(VLOOKUP($B558,calc_data,G$14+1,0),0)</f>
        <v/>
      </c>
      <c r="H558" s="141">
        <f>IFERROR(VLOOKUP($B558,calc_data,H$14+1,0),0)</f>
        <v/>
      </c>
      <c r="I558" s="142">
        <f>IFERROR(VLOOKUP($B558,calc_data,I$14+1,0),0)</f>
        <v/>
      </c>
      <c r="J558" s="141">
        <f>IFERROR(VLOOKUP($B558,calc_data,J$14+1,0),0)</f>
        <v/>
      </c>
      <c r="K558" s="141">
        <f>IFERROR(VLOOKUP($B558,calc_data,K$14+1,0),0)</f>
        <v/>
      </c>
      <c r="L558" s="141">
        <f>IFERROR(VLOOKUP($B558,calc_data,L$14+1,0),0)</f>
        <v/>
      </c>
      <c r="M558" s="177">
        <f>IFERROR(VLOOKUP($B558,calc_data,M$14+1,0),0)</f>
        <v/>
      </c>
      <c r="N558" s="177">
        <f>IFERROR(VLOOKUP($B558,calc_data,N$14+1,0),0)</f>
        <v/>
      </c>
      <c r="O558" s="45" t="n"/>
      <c r="Q558" s="57">
        <f>IF(K558&gt;0,"показать","скрыть")</f>
        <v/>
      </c>
    </row>
    <row r="559" ht="15.75" customHeight="1">
      <c r="B559" s="182" t="n">
        <v>543</v>
      </c>
      <c r="C559" s="182">
        <f>IFERROR(VLOOKUP($B559,calc_data,C$14+1,0),0)</f>
        <v/>
      </c>
      <c r="D559" s="182">
        <f>IFERROR(VLOOKUP($B559,calc_data,D$14+1,0),0)</f>
        <v/>
      </c>
      <c r="E559" s="183">
        <f>IFERROR(VLOOKUP($B559,calc_data,E$14+1,0),0)</f>
        <v/>
      </c>
      <c r="F559" s="182">
        <f>IFERROR(VLOOKUP($B559,calc_data,F$14+1,0),0)</f>
        <v/>
      </c>
      <c r="G559" s="141">
        <f>IFERROR(VLOOKUP($B559,calc_data,G$14+1,0),0)</f>
        <v/>
      </c>
      <c r="H559" s="141">
        <f>IFERROR(VLOOKUP($B559,calc_data,H$14+1,0),0)</f>
        <v/>
      </c>
      <c r="I559" s="142">
        <f>IFERROR(VLOOKUP($B559,calc_data,I$14+1,0),0)</f>
        <v/>
      </c>
      <c r="J559" s="141">
        <f>IFERROR(VLOOKUP($B559,calc_data,J$14+1,0),0)</f>
        <v/>
      </c>
      <c r="K559" s="141">
        <f>IFERROR(VLOOKUP($B559,calc_data,K$14+1,0),0)</f>
        <v/>
      </c>
      <c r="L559" s="141">
        <f>IFERROR(VLOOKUP($B559,calc_data,L$14+1,0),0)</f>
        <v/>
      </c>
      <c r="M559" s="177">
        <f>IFERROR(VLOOKUP($B559,calc_data,M$14+1,0),0)</f>
        <v/>
      </c>
      <c r="N559" s="177">
        <f>IFERROR(VLOOKUP($B559,calc_data,N$14+1,0),0)</f>
        <v/>
      </c>
      <c r="O559" s="45" t="n"/>
      <c r="Q559" s="57">
        <f>IF(K559&gt;0,"показать","скрыть")</f>
        <v/>
      </c>
    </row>
    <row r="560" ht="15.75" customHeight="1">
      <c r="B560" s="182" t="n">
        <v>544</v>
      </c>
      <c r="C560" s="182">
        <f>IFERROR(VLOOKUP($B560,calc_data,C$14+1,0),0)</f>
        <v/>
      </c>
      <c r="D560" s="182">
        <f>IFERROR(VLOOKUP($B560,calc_data,D$14+1,0),0)</f>
        <v/>
      </c>
      <c r="E560" s="183">
        <f>IFERROR(VLOOKUP($B560,calc_data,E$14+1,0),0)</f>
        <v/>
      </c>
      <c r="F560" s="182">
        <f>IFERROR(VLOOKUP($B560,calc_data,F$14+1,0),0)</f>
        <v/>
      </c>
      <c r="G560" s="141">
        <f>IFERROR(VLOOKUP($B560,calc_data,G$14+1,0),0)</f>
        <v/>
      </c>
      <c r="H560" s="141">
        <f>IFERROR(VLOOKUP($B560,calc_data,H$14+1,0),0)</f>
        <v/>
      </c>
      <c r="I560" s="142">
        <f>IFERROR(VLOOKUP($B560,calc_data,I$14+1,0),0)</f>
        <v/>
      </c>
      <c r="J560" s="141">
        <f>IFERROR(VLOOKUP($B560,calc_data,J$14+1,0),0)</f>
        <v/>
      </c>
      <c r="K560" s="141">
        <f>IFERROR(VLOOKUP($B560,calc_data,K$14+1,0),0)</f>
        <v/>
      </c>
      <c r="L560" s="141">
        <f>IFERROR(VLOOKUP($B560,calc_data,L$14+1,0),0)</f>
        <v/>
      </c>
      <c r="M560" s="177">
        <f>IFERROR(VLOOKUP($B560,calc_data,M$14+1,0),0)</f>
        <v/>
      </c>
      <c r="N560" s="177">
        <f>IFERROR(VLOOKUP($B560,calc_data,N$14+1,0),0)</f>
        <v/>
      </c>
      <c r="O560" s="45" t="n"/>
      <c r="Q560" s="57">
        <f>IF(K560&gt;0,"показать","скрыть")</f>
        <v/>
      </c>
    </row>
    <row r="561" ht="15.75" customHeight="1">
      <c r="B561" s="182" t="n">
        <v>545</v>
      </c>
      <c r="C561" s="182">
        <f>IFERROR(VLOOKUP($B561,calc_data,C$14+1,0),0)</f>
        <v/>
      </c>
      <c r="D561" s="182">
        <f>IFERROR(VLOOKUP($B561,calc_data,D$14+1,0),0)</f>
        <v/>
      </c>
      <c r="E561" s="183">
        <f>IFERROR(VLOOKUP($B561,calc_data,E$14+1,0),0)</f>
        <v/>
      </c>
      <c r="F561" s="182">
        <f>IFERROR(VLOOKUP($B561,calc_data,F$14+1,0),0)</f>
        <v/>
      </c>
      <c r="G561" s="141">
        <f>IFERROR(VLOOKUP($B561,calc_data,G$14+1,0),0)</f>
        <v/>
      </c>
      <c r="H561" s="141">
        <f>IFERROR(VLOOKUP($B561,calc_data,H$14+1,0),0)</f>
        <v/>
      </c>
      <c r="I561" s="142">
        <f>IFERROR(VLOOKUP($B561,calc_data,I$14+1,0),0)</f>
        <v/>
      </c>
      <c r="J561" s="141">
        <f>IFERROR(VLOOKUP($B561,calc_data,J$14+1,0),0)</f>
        <v/>
      </c>
      <c r="K561" s="141">
        <f>IFERROR(VLOOKUP($B561,calc_data,K$14+1,0),0)</f>
        <v/>
      </c>
      <c r="L561" s="141">
        <f>IFERROR(VLOOKUP($B561,calc_data,L$14+1,0),0)</f>
        <v/>
      </c>
      <c r="M561" s="177">
        <f>IFERROR(VLOOKUP($B561,calc_data,M$14+1,0),0)</f>
        <v/>
      </c>
      <c r="N561" s="177">
        <f>IFERROR(VLOOKUP($B561,calc_data,N$14+1,0),0)</f>
        <v/>
      </c>
      <c r="O561" s="45" t="n"/>
      <c r="Q561" s="57">
        <f>IF(K561&gt;0,"показать","скрыть")</f>
        <v/>
      </c>
    </row>
    <row r="562" ht="15.75" customHeight="1">
      <c r="B562" s="182" t="n">
        <v>546</v>
      </c>
      <c r="C562" s="182">
        <f>IFERROR(VLOOKUP($B562,calc_data,C$14+1,0),0)</f>
        <v/>
      </c>
      <c r="D562" s="182">
        <f>IFERROR(VLOOKUP($B562,calc_data,D$14+1,0),0)</f>
        <v/>
      </c>
      <c r="E562" s="183">
        <f>IFERROR(VLOOKUP($B562,calc_data,E$14+1,0),0)</f>
        <v/>
      </c>
      <c r="F562" s="182">
        <f>IFERROR(VLOOKUP($B562,calc_data,F$14+1,0),0)</f>
        <v/>
      </c>
      <c r="G562" s="141">
        <f>IFERROR(VLOOKUP($B562,calc_data,G$14+1,0),0)</f>
        <v/>
      </c>
      <c r="H562" s="141">
        <f>IFERROR(VLOOKUP($B562,calc_data,H$14+1,0),0)</f>
        <v/>
      </c>
      <c r="I562" s="142">
        <f>IFERROR(VLOOKUP($B562,calc_data,I$14+1,0),0)</f>
        <v/>
      </c>
      <c r="J562" s="141">
        <f>IFERROR(VLOOKUP($B562,calc_data,J$14+1,0),0)</f>
        <v/>
      </c>
      <c r="K562" s="141">
        <f>IFERROR(VLOOKUP($B562,calc_data,K$14+1,0),0)</f>
        <v/>
      </c>
      <c r="L562" s="141">
        <f>IFERROR(VLOOKUP($B562,calc_data,L$14+1,0),0)</f>
        <v/>
      </c>
      <c r="M562" s="177">
        <f>IFERROR(VLOOKUP($B562,calc_data,M$14+1,0),0)</f>
        <v/>
      </c>
      <c r="N562" s="177">
        <f>IFERROR(VLOOKUP($B562,calc_data,N$14+1,0),0)</f>
        <v/>
      </c>
      <c r="O562" s="45" t="n"/>
      <c r="Q562" s="57">
        <f>IF(K562&gt;0,"показать","скрыть")</f>
        <v/>
      </c>
    </row>
    <row r="563" ht="15.75" customHeight="1">
      <c r="B563" s="182" t="n">
        <v>547</v>
      </c>
      <c r="C563" s="182">
        <f>IFERROR(VLOOKUP($B563,calc_data,C$14+1,0),0)</f>
        <v/>
      </c>
      <c r="D563" s="182">
        <f>IFERROR(VLOOKUP($B563,calc_data,D$14+1,0),0)</f>
        <v/>
      </c>
      <c r="E563" s="183">
        <f>IFERROR(VLOOKUP($B563,calc_data,E$14+1,0),0)</f>
        <v/>
      </c>
      <c r="F563" s="182">
        <f>IFERROR(VLOOKUP($B563,calc_data,F$14+1,0),0)</f>
        <v/>
      </c>
      <c r="G563" s="141">
        <f>IFERROR(VLOOKUP($B563,calc_data,G$14+1,0),0)</f>
        <v/>
      </c>
      <c r="H563" s="141">
        <f>IFERROR(VLOOKUP($B563,calc_data,H$14+1,0),0)</f>
        <v/>
      </c>
      <c r="I563" s="142">
        <f>IFERROR(VLOOKUP($B563,calc_data,I$14+1,0),0)</f>
        <v/>
      </c>
      <c r="J563" s="141">
        <f>IFERROR(VLOOKUP($B563,calc_data,J$14+1,0),0)</f>
        <v/>
      </c>
      <c r="K563" s="141">
        <f>IFERROR(VLOOKUP($B563,calc_data,K$14+1,0),0)</f>
        <v/>
      </c>
      <c r="L563" s="141">
        <f>IFERROR(VLOOKUP($B563,calc_data,L$14+1,0),0)</f>
        <v/>
      </c>
      <c r="M563" s="177">
        <f>IFERROR(VLOOKUP($B563,calc_data,M$14+1,0),0)</f>
        <v/>
      </c>
      <c r="N563" s="177">
        <f>IFERROR(VLOOKUP($B563,calc_data,N$14+1,0),0)</f>
        <v/>
      </c>
      <c r="O563" s="45" t="n"/>
      <c r="Q563" s="57">
        <f>IF(K563&gt;0,"показать","скрыть")</f>
        <v/>
      </c>
    </row>
    <row r="564" ht="15.75" customHeight="1">
      <c r="B564" s="182" t="n">
        <v>548</v>
      </c>
      <c r="C564" s="182">
        <f>IFERROR(VLOOKUP($B564,calc_data,C$14+1,0),0)</f>
        <v/>
      </c>
      <c r="D564" s="182">
        <f>IFERROR(VLOOKUP($B564,calc_data,D$14+1,0),0)</f>
        <v/>
      </c>
      <c r="E564" s="183">
        <f>IFERROR(VLOOKUP($B564,calc_data,E$14+1,0),0)</f>
        <v/>
      </c>
      <c r="F564" s="182">
        <f>IFERROR(VLOOKUP($B564,calc_data,F$14+1,0),0)</f>
        <v/>
      </c>
      <c r="G564" s="141">
        <f>IFERROR(VLOOKUP($B564,calc_data,G$14+1,0),0)</f>
        <v/>
      </c>
      <c r="H564" s="141">
        <f>IFERROR(VLOOKUP($B564,calc_data,H$14+1,0),0)</f>
        <v/>
      </c>
      <c r="I564" s="142">
        <f>IFERROR(VLOOKUP($B564,calc_data,I$14+1,0),0)</f>
        <v/>
      </c>
      <c r="J564" s="141">
        <f>IFERROR(VLOOKUP($B564,calc_data,J$14+1,0),0)</f>
        <v/>
      </c>
      <c r="K564" s="141">
        <f>IFERROR(VLOOKUP($B564,calc_data,K$14+1,0),0)</f>
        <v/>
      </c>
      <c r="L564" s="141">
        <f>IFERROR(VLOOKUP($B564,calc_data,L$14+1,0),0)</f>
        <v/>
      </c>
      <c r="M564" s="177">
        <f>IFERROR(VLOOKUP($B564,calc_data,M$14+1,0),0)</f>
        <v/>
      </c>
      <c r="N564" s="177">
        <f>IFERROR(VLOOKUP($B564,calc_data,N$14+1,0),0)</f>
        <v/>
      </c>
      <c r="O564" s="45" t="n"/>
      <c r="Q564" s="57">
        <f>IF(K564&gt;0,"показать","скрыть")</f>
        <v/>
      </c>
    </row>
    <row r="565" ht="15.75" customHeight="1">
      <c r="B565" s="182" t="n">
        <v>549</v>
      </c>
      <c r="C565" s="182">
        <f>IFERROR(VLOOKUP($B565,calc_data,C$14+1,0),0)</f>
        <v/>
      </c>
      <c r="D565" s="182">
        <f>IFERROR(VLOOKUP($B565,calc_data,D$14+1,0),0)</f>
        <v/>
      </c>
      <c r="E565" s="183">
        <f>IFERROR(VLOOKUP($B565,calc_data,E$14+1,0),0)</f>
        <v/>
      </c>
      <c r="F565" s="182">
        <f>IFERROR(VLOOKUP($B565,calc_data,F$14+1,0),0)</f>
        <v/>
      </c>
      <c r="G565" s="141">
        <f>IFERROR(VLOOKUP($B565,calc_data,G$14+1,0),0)</f>
        <v/>
      </c>
      <c r="H565" s="141">
        <f>IFERROR(VLOOKUP($B565,calc_data,H$14+1,0),0)</f>
        <v/>
      </c>
      <c r="I565" s="142">
        <f>IFERROR(VLOOKUP($B565,calc_data,I$14+1,0),0)</f>
        <v/>
      </c>
      <c r="J565" s="141">
        <f>IFERROR(VLOOKUP($B565,calc_data,J$14+1,0),0)</f>
        <v/>
      </c>
      <c r="K565" s="141">
        <f>IFERROR(VLOOKUP($B565,calc_data,K$14+1,0),0)</f>
        <v/>
      </c>
      <c r="L565" s="141">
        <f>IFERROR(VLOOKUP($B565,calc_data,L$14+1,0),0)</f>
        <v/>
      </c>
      <c r="M565" s="177">
        <f>IFERROR(VLOOKUP($B565,calc_data,M$14+1,0),0)</f>
        <v/>
      </c>
      <c r="N565" s="177">
        <f>IFERROR(VLOOKUP($B565,calc_data,N$14+1,0),0)</f>
        <v/>
      </c>
      <c r="O565" s="45" t="n"/>
      <c r="Q565" s="57">
        <f>IF(K565&gt;0,"показать","скрыть")</f>
        <v/>
      </c>
    </row>
    <row r="566" ht="15.75" customHeight="1">
      <c r="B566" s="182" t="n">
        <v>550</v>
      </c>
      <c r="C566" s="182">
        <f>IFERROR(VLOOKUP($B566,calc_data,C$14+1,0),0)</f>
        <v/>
      </c>
      <c r="D566" s="182">
        <f>IFERROR(VLOOKUP($B566,calc_data,D$14+1,0),0)</f>
        <v/>
      </c>
      <c r="E566" s="183">
        <f>IFERROR(VLOOKUP($B566,calc_data,E$14+1,0),0)</f>
        <v/>
      </c>
      <c r="F566" s="182">
        <f>IFERROR(VLOOKUP($B566,calc_data,F$14+1,0),0)</f>
        <v/>
      </c>
      <c r="G566" s="141">
        <f>IFERROR(VLOOKUP($B566,calc_data,G$14+1,0),0)</f>
        <v/>
      </c>
      <c r="H566" s="141">
        <f>IFERROR(VLOOKUP($B566,calc_data,H$14+1,0),0)</f>
        <v/>
      </c>
      <c r="I566" s="142">
        <f>IFERROR(VLOOKUP($B566,calc_data,I$14+1,0),0)</f>
        <v/>
      </c>
      <c r="J566" s="141">
        <f>IFERROR(VLOOKUP($B566,calc_data,J$14+1,0),0)</f>
        <v/>
      </c>
      <c r="K566" s="141">
        <f>IFERROR(VLOOKUP($B566,calc_data,K$14+1,0),0)</f>
        <v/>
      </c>
      <c r="L566" s="141">
        <f>IFERROR(VLOOKUP($B566,calc_data,L$14+1,0),0)</f>
        <v/>
      </c>
      <c r="M566" s="177">
        <f>IFERROR(VLOOKUP($B566,calc_data,M$14+1,0),0)</f>
        <v/>
      </c>
      <c r="N566" s="177">
        <f>IFERROR(VLOOKUP($B566,calc_data,N$14+1,0),0)</f>
        <v/>
      </c>
      <c r="O566" s="45" t="n"/>
      <c r="Q566" s="57">
        <f>IF(K566&gt;0,"показать","скрыть")</f>
        <v/>
      </c>
    </row>
    <row r="567" ht="15.75" customHeight="1">
      <c r="B567" s="182" t="n">
        <v>551</v>
      </c>
      <c r="C567" s="182">
        <f>IFERROR(VLOOKUP($B567,calc_data,C$14+1,0),0)</f>
        <v/>
      </c>
      <c r="D567" s="182">
        <f>IFERROR(VLOOKUP($B567,calc_data,D$14+1,0),0)</f>
        <v/>
      </c>
      <c r="E567" s="183">
        <f>IFERROR(VLOOKUP($B567,calc_data,E$14+1,0),0)</f>
        <v/>
      </c>
      <c r="F567" s="182">
        <f>IFERROR(VLOOKUP($B567,calc_data,F$14+1,0),0)</f>
        <v/>
      </c>
      <c r="G567" s="141">
        <f>IFERROR(VLOOKUP($B567,calc_data,G$14+1,0),0)</f>
        <v/>
      </c>
      <c r="H567" s="141">
        <f>IFERROR(VLOOKUP($B567,calc_data,H$14+1,0),0)</f>
        <v/>
      </c>
      <c r="I567" s="142">
        <f>IFERROR(VLOOKUP($B567,calc_data,I$14+1,0),0)</f>
        <v/>
      </c>
      <c r="J567" s="141">
        <f>IFERROR(VLOOKUP($B567,calc_data,J$14+1,0),0)</f>
        <v/>
      </c>
      <c r="K567" s="141">
        <f>IFERROR(VLOOKUP($B567,calc_data,K$14+1,0),0)</f>
        <v/>
      </c>
      <c r="L567" s="141">
        <f>IFERROR(VLOOKUP($B567,calc_data,L$14+1,0),0)</f>
        <v/>
      </c>
      <c r="M567" s="177">
        <f>IFERROR(VLOOKUP($B567,calc_data,M$14+1,0),0)</f>
        <v/>
      </c>
      <c r="N567" s="177">
        <f>IFERROR(VLOOKUP($B567,calc_data,N$14+1,0),0)</f>
        <v/>
      </c>
      <c r="O567" s="45" t="n"/>
      <c r="Q567" s="57">
        <f>IF(K567&gt;0,"показать","скрыть")</f>
        <v/>
      </c>
    </row>
    <row r="568" ht="15.75" customHeight="1">
      <c r="B568" s="182" t="n">
        <v>552</v>
      </c>
      <c r="C568" s="182">
        <f>IFERROR(VLOOKUP($B568,calc_data,C$14+1,0),0)</f>
        <v/>
      </c>
      <c r="D568" s="182">
        <f>IFERROR(VLOOKUP($B568,calc_data,D$14+1,0),0)</f>
        <v/>
      </c>
      <c r="E568" s="183">
        <f>IFERROR(VLOOKUP($B568,calc_data,E$14+1,0),0)</f>
        <v/>
      </c>
      <c r="F568" s="182">
        <f>IFERROR(VLOOKUP($B568,calc_data,F$14+1,0),0)</f>
        <v/>
      </c>
      <c r="G568" s="141">
        <f>IFERROR(VLOOKUP($B568,calc_data,G$14+1,0),0)</f>
        <v/>
      </c>
      <c r="H568" s="141">
        <f>IFERROR(VLOOKUP($B568,calc_data,H$14+1,0),0)</f>
        <v/>
      </c>
      <c r="I568" s="142">
        <f>IFERROR(VLOOKUP($B568,calc_data,I$14+1,0),0)</f>
        <v/>
      </c>
      <c r="J568" s="141">
        <f>IFERROR(VLOOKUP($B568,calc_data,J$14+1,0),0)</f>
        <v/>
      </c>
      <c r="K568" s="141">
        <f>IFERROR(VLOOKUP($B568,calc_data,K$14+1,0),0)</f>
        <v/>
      </c>
      <c r="L568" s="141">
        <f>IFERROR(VLOOKUP($B568,calc_data,L$14+1,0),0)</f>
        <v/>
      </c>
      <c r="M568" s="177">
        <f>IFERROR(VLOOKUP($B568,calc_data,M$14+1,0),0)</f>
        <v/>
      </c>
      <c r="N568" s="177">
        <f>IFERROR(VLOOKUP($B568,calc_data,N$14+1,0),0)</f>
        <v/>
      </c>
      <c r="O568" s="45" t="n"/>
      <c r="Q568" s="57">
        <f>IF(K568&gt;0,"показать","скрыть")</f>
        <v/>
      </c>
    </row>
    <row r="569" ht="15.75" customHeight="1">
      <c r="B569" s="182" t="n">
        <v>553</v>
      </c>
      <c r="C569" s="182">
        <f>IFERROR(VLOOKUP($B569,calc_data,C$14+1,0),0)</f>
        <v/>
      </c>
      <c r="D569" s="182">
        <f>IFERROR(VLOOKUP($B569,calc_data,D$14+1,0),0)</f>
        <v/>
      </c>
      <c r="E569" s="183">
        <f>IFERROR(VLOOKUP($B569,calc_data,E$14+1,0),0)</f>
        <v/>
      </c>
      <c r="F569" s="182">
        <f>IFERROR(VLOOKUP($B569,calc_data,F$14+1,0),0)</f>
        <v/>
      </c>
      <c r="G569" s="141">
        <f>IFERROR(VLOOKUP($B569,calc_data,G$14+1,0),0)</f>
        <v/>
      </c>
      <c r="H569" s="141">
        <f>IFERROR(VLOOKUP($B569,calc_data,H$14+1,0),0)</f>
        <v/>
      </c>
      <c r="I569" s="142">
        <f>IFERROR(VLOOKUP($B569,calc_data,I$14+1,0),0)</f>
        <v/>
      </c>
      <c r="J569" s="141">
        <f>IFERROR(VLOOKUP($B569,calc_data,J$14+1,0),0)</f>
        <v/>
      </c>
      <c r="K569" s="141">
        <f>IFERROR(VLOOKUP($B569,calc_data,K$14+1,0),0)</f>
        <v/>
      </c>
      <c r="L569" s="141">
        <f>IFERROR(VLOOKUP($B569,calc_data,L$14+1,0),0)</f>
        <v/>
      </c>
      <c r="M569" s="177">
        <f>IFERROR(VLOOKUP($B569,calc_data,M$14+1,0),0)</f>
        <v/>
      </c>
      <c r="N569" s="177">
        <f>IFERROR(VLOOKUP($B569,calc_data,N$14+1,0),0)</f>
        <v/>
      </c>
      <c r="O569" s="45" t="n"/>
      <c r="Q569" s="57">
        <f>IF(K569&gt;0,"показать","скрыть")</f>
        <v/>
      </c>
    </row>
    <row r="570" ht="15.75" customHeight="1">
      <c r="B570" s="182" t="n">
        <v>554</v>
      </c>
      <c r="C570" s="182">
        <f>IFERROR(VLOOKUP($B570,calc_data,C$14+1,0),0)</f>
        <v/>
      </c>
      <c r="D570" s="182">
        <f>IFERROR(VLOOKUP($B570,calc_data,D$14+1,0),0)</f>
        <v/>
      </c>
      <c r="E570" s="183">
        <f>IFERROR(VLOOKUP($B570,calc_data,E$14+1,0),0)</f>
        <v/>
      </c>
      <c r="F570" s="182">
        <f>IFERROR(VLOOKUP($B570,calc_data,F$14+1,0),0)</f>
        <v/>
      </c>
      <c r="G570" s="141">
        <f>IFERROR(VLOOKUP($B570,calc_data,G$14+1,0),0)</f>
        <v/>
      </c>
      <c r="H570" s="141">
        <f>IFERROR(VLOOKUP($B570,calc_data,H$14+1,0),0)</f>
        <v/>
      </c>
      <c r="I570" s="142">
        <f>IFERROR(VLOOKUP($B570,calc_data,I$14+1,0),0)</f>
        <v/>
      </c>
      <c r="J570" s="141">
        <f>IFERROR(VLOOKUP($B570,calc_data,J$14+1,0),0)</f>
        <v/>
      </c>
      <c r="K570" s="141">
        <f>IFERROR(VLOOKUP($B570,calc_data,K$14+1,0),0)</f>
        <v/>
      </c>
      <c r="L570" s="141">
        <f>IFERROR(VLOOKUP($B570,calc_data,L$14+1,0),0)</f>
        <v/>
      </c>
      <c r="M570" s="177">
        <f>IFERROR(VLOOKUP($B570,calc_data,M$14+1,0),0)</f>
        <v/>
      </c>
      <c r="N570" s="177">
        <f>IFERROR(VLOOKUP($B570,calc_data,N$14+1,0),0)</f>
        <v/>
      </c>
      <c r="O570" s="45" t="n"/>
      <c r="Q570" s="57">
        <f>IF(K570&gt;0,"показать","скрыть")</f>
        <v/>
      </c>
    </row>
    <row r="571" ht="15.75" customHeight="1">
      <c r="B571" s="182" t="n">
        <v>555</v>
      </c>
      <c r="C571" s="182">
        <f>IFERROR(VLOOKUP($B571,calc_data,C$14+1,0),0)</f>
        <v/>
      </c>
      <c r="D571" s="182">
        <f>IFERROR(VLOOKUP($B571,calc_data,D$14+1,0),0)</f>
        <v/>
      </c>
      <c r="E571" s="183">
        <f>IFERROR(VLOOKUP($B571,calc_data,E$14+1,0),0)</f>
        <v/>
      </c>
      <c r="F571" s="182">
        <f>IFERROR(VLOOKUP($B571,calc_data,F$14+1,0),0)</f>
        <v/>
      </c>
      <c r="G571" s="141">
        <f>IFERROR(VLOOKUP($B571,calc_data,G$14+1,0),0)</f>
        <v/>
      </c>
      <c r="H571" s="141">
        <f>IFERROR(VLOOKUP($B571,calc_data,H$14+1,0),0)</f>
        <v/>
      </c>
      <c r="I571" s="142">
        <f>IFERROR(VLOOKUP($B571,calc_data,I$14+1,0),0)</f>
        <v/>
      </c>
      <c r="J571" s="141">
        <f>IFERROR(VLOOKUP($B571,calc_data,J$14+1,0),0)</f>
        <v/>
      </c>
      <c r="K571" s="141">
        <f>IFERROR(VLOOKUP($B571,calc_data,K$14+1,0),0)</f>
        <v/>
      </c>
      <c r="L571" s="141">
        <f>IFERROR(VLOOKUP($B571,calc_data,L$14+1,0),0)</f>
        <v/>
      </c>
      <c r="M571" s="177">
        <f>IFERROR(VLOOKUP($B571,calc_data,M$14+1,0),0)</f>
        <v/>
      </c>
      <c r="N571" s="177">
        <f>IFERROR(VLOOKUP($B571,calc_data,N$14+1,0),0)</f>
        <v/>
      </c>
      <c r="O571" s="45" t="n"/>
      <c r="Q571" s="57">
        <f>IF(K571&gt;0,"показать","скрыть")</f>
        <v/>
      </c>
    </row>
    <row r="572" ht="15.75" customHeight="1">
      <c r="B572" s="182" t="n">
        <v>556</v>
      </c>
      <c r="C572" s="182">
        <f>IFERROR(VLOOKUP($B572,calc_data,C$14+1,0),0)</f>
        <v/>
      </c>
      <c r="D572" s="182">
        <f>IFERROR(VLOOKUP($B572,calc_data,D$14+1,0),0)</f>
        <v/>
      </c>
      <c r="E572" s="183">
        <f>IFERROR(VLOOKUP($B572,calc_data,E$14+1,0),0)</f>
        <v/>
      </c>
      <c r="F572" s="182">
        <f>IFERROR(VLOOKUP($B572,calc_data,F$14+1,0),0)</f>
        <v/>
      </c>
      <c r="G572" s="141">
        <f>IFERROR(VLOOKUP($B572,calc_data,G$14+1,0),0)</f>
        <v/>
      </c>
      <c r="H572" s="141">
        <f>IFERROR(VLOOKUP($B572,calc_data,H$14+1,0),0)</f>
        <v/>
      </c>
      <c r="I572" s="142">
        <f>IFERROR(VLOOKUP($B572,calc_data,I$14+1,0),0)</f>
        <v/>
      </c>
      <c r="J572" s="141">
        <f>IFERROR(VLOOKUP($B572,calc_data,J$14+1,0),0)</f>
        <v/>
      </c>
      <c r="K572" s="141">
        <f>IFERROR(VLOOKUP($B572,calc_data,K$14+1,0),0)</f>
        <v/>
      </c>
      <c r="L572" s="141">
        <f>IFERROR(VLOOKUP($B572,calc_data,L$14+1,0),0)</f>
        <v/>
      </c>
      <c r="M572" s="177">
        <f>IFERROR(VLOOKUP($B572,calc_data,M$14+1,0),0)</f>
        <v/>
      </c>
      <c r="N572" s="177">
        <f>IFERROR(VLOOKUP($B572,calc_data,N$14+1,0),0)</f>
        <v/>
      </c>
      <c r="O572" s="45" t="n"/>
      <c r="Q572" s="57">
        <f>IF(K572&gt;0,"показать","скрыть")</f>
        <v/>
      </c>
    </row>
    <row r="573" ht="15.75" customHeight="1">
      <c r="B573" s="182" t="n">
        <v>557</v>
      </c>
      <c r="C573" s="182">
        <f>IFERROR(VLOOKUP($B573,calc_data,C$14+1,0),0)</f>
        <v/>
      </c>
      <c r="D573" s="182">
        <f>IFERROR(VLOOKUP($B573,calc_data,D$14+1,0),0)</f>
        <v/>
      </c>
      <c r="E573" s="183">
        <f>IFERROR(VLOOKUP($B573,calc_data,E$14+1,0),0)</f>
        <v/>
      </c>
      <c r="F573" s="182">
        <f>IFERROR(VLOOKUP($B573,calc_data,F$14+1,0),0)</f>
        <v/>
      </c>
      <c r="G573" s="141">
        <f>IFERROR(VLOOKUP($B573,calc_data,G$14+1,0),0)</f>
        <v/>
      </c>
      <c r="H573" s="141">
        <f>IFERROR(VLOOKUP($B573,calc_data,H$14+1,0),0)</f>
        <v/>
      </c>
      <c r="I573" s="142">
        <f>IFERROR(VLOOKUP($B573,calc_data,I$14+1,0),0)</f>
        <v/>
      </c>
      <c r="J573" s="141">
        <f>IFERROR(VLOOKUP($B573,calc_data,J$14+1,0),0)</f>
        <v/>
      </c>
      <c r="K573" s="141">
        <f>IFERROR(VLOOKUP($B573,calc_data,K$14+1,0),0)</f>
        <v/>
      </c>
      <c r="L573" s="141">
        <f>IFERROR(VLOOKUP($B573,calc_data,L$14+1,0),0)</f>
        <v/>
      </c>
      <c r="M573" s="177">
        <f>IFERROR(VLOOKUP($B573,calc_data,M$14+1,0),0)</f>
        <v/>
      </c>
      <c r="N573" s="177">
        <f>IFERROR(VLOOKUP($B573,calc_data,N$14+1,0),0)</f>
        <v/>
      </c>
      <c r="O573" s="45" t="n"/>
      <c r="Q573" s="57">
        <f>IF(K573&gt;0,"показать","скрыть")</f>
        <v/>
      </c>
    </row>
    <row r="574" ht="15.75" customHeight="1">
      <c r="B574" s="182" t="n">
        <v>558</v>
      </c>
      <c r="C574" s="182">
        <f>IFERROR(VLOOKUP($B574,calc_data,C$14+1,0),0)</f>
        <v/>
      </c>
      <c r="D574" s="182">
        <f>IFERROR(VLOOKUP($B574,calc_data,D$14+1,0),0)</f>
        <v/>
      </c>
      <c r="E574" s="183">
        <f>IFERROR(VLOOKUP($B574,calc_data,E$14+1,0),0)</f>
        <v/>
      </c>
      <c r="F574" s="182">
        <f>IFERROR(VLOOKUP($B574,calc_data,F$14+1,0),0)</f>
        <v/>
      </c>
      <c r="G574" s="141">
        <f>IFERROR(VLOOKUP($B574,calc_data,G$14+1,0),0)</f>
        <v/>
      </c>
      <c r="H574" s="141">
        <f>IFERROR(VLOOKUP($B574,calc_data,H$14+1,0),0)</f>
        <v/>
      </c>
      <c r="I574" s="142">
        <f>IFERROR(VLOOKUP($B574,calc_data,I$14+1,0),0)</f>
        <v/>
      </c>
      <c r="J574" s="141">
        <f>IFERROR(VLOOKUP($B574,calc_data,J$14+1,0),0)</f>
        <v/>
      </c>
      <c r="K574" s="141">
        <f>IFERROR(VLOOKUP($B574,calc_data,K$14+1,0),0)</f>
        <v/>
      </c>
      <c r="L574" s="141">
        <f>IFERROR(VLOOKUP($B574,calc_data,L$14+1,0),0)</f>
        <v/>
      </c>
      <c r="M574" s="177">
        <f>IFERROR(VLOOKUP($B574,calc_data,M$14+1,0),0)</f>
        <v/>
      </c>
      <c r="N574" s="177">
        <f>IFERROR(VLOOKUP($B574,calc_data,N$14+1,0),0)</f>
        <v/>
      </c>
      <c r="O574" s="45" t="n"/>
      <c r="Q574" s="57">
        <f>IF(K574&gt;0,"показать","скрыть")</f>
        <v/>
      </c>
    </row>
    <row r="575" ht="15.75" customHeight="1">
      <c r="B575" s="182" t="n">
        <v>559</v>
      </c>
      <c r="C575" s="182">
        <f>IFERROR(VLOOKUP($B575,calc_data,C$14+1,0),0)</f>
        <v/>
      </c>
      <c r="D575" s="182">
        <f>IFERROR(VLOOKUP($B575,calc_data,D$14+1,0),0)</f>
        <v/>
      </c>
      <c r="E575" s="183">
        <f>IFERROR(VLOOKUP($B575,calc_data,E$14+1,0),0)</f>
        <v/>
      </c>
      <c r="F575" s="182">
        <f>IFERROR(VLOOKUP($B575,calc_data,F$14+1,0),0)</f>
        <v/>
      </c>
      <c r="G575" s="141">
        <f>IFERROR(VLOOKUP($B575,calc_data,G$14+1,0),0)</f>
        <v/>
      </c>
      <c r="H575" s="141">
        <f>IFERROR(VLOOKUP($B575,calc_data,H$14+1,0),0)</f>
        <v/>
      </c>
      <c r="I575" s="142">
        <f>IFERROR(VLOOKUP($B575,calc_data,I$14+1,0),0)</f>
        <v/>
      </c>
      <c r="J575" s="141">
        <f>IFERROR(VLOOKUP($B575,calc_data,J$14+1,0),0)</f>
        <v/>
      </c>
      <c r="K575" s="141">
        <f>IFERROR(VLOOKUP($B575,calc_data,K$14+1,0),0)</f>
        <v/>
      </c>
      <c r="L575" s="141">
        <f>IFERROR(VLOOKUP($B575,calc_data,L$14+1,0),0)</f>
        <v/>
      </c>
      <c r="M575" s="177">
        <f>IFERROR(VLOOKUP($B575,calc_data,M$14+1,0),0)</f>
        <v/>
      </c>
      <c r="N575" s="177">
        <f>IFERROR(VLOOKUP($B575,calc_data,N$14+1,0),0)</f>
        <v/>
      </c>
      <c r="O575" s="45" t="n"/>
      <c r="Q575" s="57">
        <f>IF(K575&gt;0,"показать","скрыть")</f>
        <v/>
      </c>
    </row>
    <row r="576" ht="15.75" customHeight="1">
      <c r="B576" s="182" t="n">
        <v>560</v>
      </c>
      <c r="C576" s="182">
        <f>IFERROR(VLOOKUP($B576,calc_data,C$14+1,0),0)</f>
        <v/>
      </c>
      <c r="D576" s="182">
        <f>IFERROR(VLOOKUP($B576,calc_data,D$14+1,0),0)</f>
        <v/>
      </c>
      <c r="E576" s="183">
        <f>IFERROR(VLOOKUP($B576,calc_data,E$14+1,0),0)</f>
        <v/>
      </c>
      <c r="F576" s="182">
        <f>IFERROR(VLOOKUP($B576,calc_data,F$14+1,0),0)</f>
        <v/>
      </c>
      <c r="G576" s="141">
        <f>IFERROR(VLOOKUP($B576,calc_data,G$14+1,0),0)</f>
        <v/>
      </c>
      <c r="H576" s="141">
        <f>IFERROR(VLOOKUP($B576,calc_data,H$14+1,0),0)</f>
        <v/>
      </c>
      <c r="I576" s="142">
        <f>IFERROR(VLOOKUP($B576,calc_data,I$14+1,0),0)</f>
        <v/>
      </c>
      <c r="J576" s="141">
        <f>IFERROR(VLOOKUP($B576,calc_data,J$14+1,0),0)</f>
        <v/>
      </c>
      <c r="K576" s="141">
        <f>IFERROR(VLOOKUP($B576,calc_data,K$14+1,0),0)</f>
        <v/>
      </c>
      <c r="L576" s="141">
        <f>IFERROR(VLOOKUP($B576,calc_data,L$14+1,0),0)</f>
        <v/>
      </c>
      <c r="M576" s="177">
        <f>IFERROR(VLOOKUP($B576,calc_data,M$14+1,0),0)</f>
        <v/>
      </c>
      <c r="N576" s="177">
        <f>IFERROR(VLOOKUP($B576,calc_data,N$14+1,0),0)</f>
        <v/>
      </c>
      <c r="O576" s="45" t="n"/>
      <c r="Q576" s="57">
        <f>IF(K576&gt;0,"показать","скрыть")</f>
        <v/>
      </c>
    </row>
    <row r="577" ht="15.75" customHeight="1">
      <c r="B577" s="182" t="n">
        <v>561</v>
      </c>
      <c r="C577" s="182">
        <f>IFERROR(VLOOKUP($B577,calc_data,C$14+1,0),0)</f>
        <v/>
      </c>
      <c r="D577" s="182">
        <f>IFERROR(VLOOKUP($B577,calc_data,D$14+1,0),0)</f>
        <v/>
      </c>
      <c r="E577" s="183">
        <f>IFERROR(VLOOKUP($B577,calc_data,E$14+1,0),0)</f>
        <v/>
      </c>
      <c r="F577" s="182">
        <f>IFERROR(VLOOKUP($B577,calc_data,F$14+1,0),0)</f>
        <v/>
      </c>
      <c r="G577" s="141">
        <f>IFERROR(VLOOKUP($B577,calc_data,G$14+1,0),0)</f>
        <v/>
      </c>
      <c r="H577" s="141">
        <f>IFERROR(VLOOKUP($B577,calc_data,H$14+1,0),0)</f>
        <v/>
      </c>
      <c r="I577" s="142">
        <f>IFERROR(VLOOKUP($B577,calc_data,I$14+1,0),0)</f>
        <v/>
      </c>
      <c r="J577" s="141">
        <f>IFERROR(VLOOKUP($B577,calc_data,J$14+1,0),0)</f>
        <v/>
      </c>
      <c r="K577" s="141">
        <f>IFERROR(VLOOKUP($B577,calc_data,K$14+1,0),0)</f>
        <v/>
      </c>
      <c r="L577" s="141">
        <f>IFERROR(VLOOKUP($B577,calc_data,L$14+1,0),0)</f>
        <v/>
      </c>
      <c r="M577" s="177">
        <f>IFERROR(VLOOKUP($B577,calc_data,M$14+1,0),0)</f>
        <v/>
      </c>
      <c r="N577" s="177">
        <f>IFERROR(VLOOKUP($B577,calc_data,N$14+1,0),0)</f>
        <v/>
      </c>
      <c r="O577" s="45" t="n"/>
      <c r="Q577" s="57">
        <f>IF(K577&gt;0,"показать","скрыть")</f>
        <v/>
      </c>
    </row>
    <row r="578" ht="15.75" customHeight="1">
      <c r="B578" s="182" t="n">
        <v>562</v>
      </c>
      <c r="C578" s="182">
        <f>IFERROR(VLOOKUP($B578,calc_data,C$14+1,0),0)</f>
        <v/>
      </c>
      <c r="D578" s="182">
        <f>IFERROR(VLOOKUP($B578,calc_data,D$14+1,0),0)</f>
        <v/>
      </c>
      <c r="E578" s="183">
        <f>IFERROR(VLOOKUP($B578,calc_data,E$14+1,0),0)</f>
        <v/>
      </c>
      <c r="F578" s="182">
        <f>IFERROR(VLOOKUP($B578,calc_data,F$14+1,0),0)</f>
        <v/>
      </c>
      <c r="G578" s="141">
        <f>IFERROR(VLOOKUP($B578,calc_data,G$14+1,0),0)</f>
        <v/>
      </c>
      <c r="H578" s="141">
        <f>IFERROR(VLOOKUP($B578,calc_data,H$14+1,0),0)</f>
        <v/>
      </c>
      <c r="I578" s="142">
        <f>IFERROR(VLOOKUP($B578,calc_data,I$14+1,0),0)</f>
        <v/>
      </c>
      <c r="J578" s="141">
        <f>IFERROR(VLOOKUP($B578,calc_data,J$14+1,0),0)</f>
        <v/>
      </c>
      <c r="K578" s="141">
        <f>IFERROR(VLOOKUP($B578,calc_data,K$14+1,0),0)</f>
        <v/>
      </c>
      <c r="L578" s="141">
        <f>IFERROR(VLOOKUP($B578,calc_data,L$14+1,0),0)</f>
        <v/>
      </c>
      <c r="M578" s="177">
        <f>IFERROR(VLOOKUP($B578,calc_data,M$14+1,0),0)</f>
        <v/>
      </c>
      <c r="N578" s="177">
        <f>IFERROR(VLOOKUP($B578,calc_data,N$14+1,0),0)</f>
        <v/>
      </c>
      <c r="O578" s="45" t="n"/>
      <c r="Q578" s="57">
        <f>IF(K578&gt;0,"показать","скрыть")</f>
        <v/>
      </c>
    </row>
    <row r="579" ht="15.75" customHeight="1">
      <c r="B579" s="182" t="n">
        <v>563</v>
      </c>
      <c r="C579" s="182">
        <f>IFERROR(VLOOKUP($B579,calc_data,C$14+1,0),0)</f>
        <v/>
      </c>
      <c r="D579" s="182">
        <f>IFERROR(VLOOKUP($B579,calc_data,D$14+1,0),0)</f>
        <v/>
      </c>
      <c r="E579" s="183">
        <f>IFERROR(VLOOKUP($B579,calc_data,E$14+1,0),0)</f>
        <v/>
      </c>
      <c r="F579" s="182">
        <f>IFERROR(VLOOKUP($B579,calc_data,F$14+1,0),0)</f>
        <v/>
      </c>
      <c r="G579" s="141">
        <f>IFERROR(VLOOKUP($B579,calc_data,G$14+1,0),0)</f>
        <v/>
      </c>
      <c r="H579" s="141">
        <f>IFERROR(VLOOKUP($B579,calc_data,H$14+1,0),0)</f>
        <v/>
      </c>
      <c r="I579" s="142">
        <f>IFERROR(VLOOKUP($B579,calc_data,I$14+1,0),0)</f>
        <v/>
      </c>
      <c r="J579" s="141">
        <f>IFERROR(VLOOKUP($B579,calc_data,J$14+1,0),0)</f>
        <v/>
      </c>
      <c r="K579" s="141">
        <f>IFERROR(VLOOKUP($B579,calc_data,K$14+1,0),0)</f>
        <v/>
      </c>
      <c r="L579" s="141">
        <f>IFERROR(VLOOKUP($B579,calc_data,L$14+1,0),0)</f>
        <v/>
      </c>
      <c r="M579" s="177">
        <f>IFERROR(VLOOKUP($B579,calc_data,M$14+1,0),0)</f>
        <v/>
      </c>
      <c r="N579" s="177">
        <f>IFERROR(VLOOKUP($B579,calc_data,N$14+1,0),0)</f>
        <v/>
      </c>
      <c r="O579" s="45" t="n"/>
      <c r="Q579" s="57">
        <f>IF(K579&gt;0,"показать","скрыть")</f>
        <v/>
      </c>
    </row>
    <row r="580" ht="15.75" customHeight="1">
      <c r="B580" s="182" t="n">
        <v>564</v>
      </c>
      <c r="C580" s="182">
        <f>IFERROR(VLOOKUP($B580,calc_data,C$14+1,0),0)</f>
        <v/>
      </c>
      <c r="D580" s="182">
        <f>IFERROR(VLOOKUP($B580,calc_data,D$14+1,0),0)</f>
        <v/>
      </c>
      <c r="E580" s="183">
        <f>IFERROR(VLOOKUP($B580,calc_data,E$14+1,0),0)</f>
        <v/>
      </c>
      <c r="F580" s="182">
        <f>IFERROR(VLOOKUP($B580,calc_data,F$14+1,0),0)</f>
        <v/>
      </c>
      <c r="G580" s="141">
        <f>IFERROR(VLOOKUP($B580,calc_data,G$14+1,0),0)</f>
        <v/>
      </c>
      <c r="H580" s="141">
        <f>IFERROR(VLOOKUP($B580,calc_data,H$14+1,0),0)</f>
        <v/>
      </c>
      <c r="I580" s="142">
        <f>IFERROR(VLOOKUP($B580,calc_data,I$14+1,0),0)</f>
        <v/>
      </c>
      <c r="J580" s="141">
        <f>IFERROR(VLOOKUP($B580,calc_data,J$14+1,0),0)</f>
        <v/>
      </c>
      <c r="K580" s="141">
        <f>IFERROR(VLOOKUP($B580,calc_data,K$14+1,0),0)</f>
        <v/>
      </c>
      <c r="L580" s="141">
        <f>IFERROR(VLOOKUP($B580,calc_data,L$14+1,0),0)</f>
        <v/>
      </c>
      <c r="M580" s="177">
        <f>IFERROR(VLOOKUP($B580,calc_data,M$14+1,0),0)</f>
        <v/>
      </c>
      <c r="N580" s="177">
        <f>IFERROR(VLOOKUP($B580,calc_data,N$14+1,0),0)</f>
        <v/>
      </c>
      <c r="O580" s="45" t="n"/>
      <c r="Q580" s="57">
        <f>IF(K580&gt;0,"показать","скрыть")</f>
        <v/>
      </c>
    </row>
    <row r="581" ht="15.75" customHeight="1">
      <c r="B581" s="182" t="n">
        <v>565</v>
      </c>
      <c r="C581" s="182">
        <f>IFERROR(VLOOKUP($B581,calc_data,C$14+1,0),0)</f>
        <v/>
      </c>
      <c r="D581" s="182">
        <f>IFERROR(VLOOKUP($B581,calc_data,D$14+1,0),0)</f>
        <v/>
      </c>
      <c r="E581" s="183">
        <f>IFERROR(VLOOKUP($B581,calc_data,E$14+1,0),0)</f>
        <v/>
      </c>
      <c r="F581" s="182">
        <f>IFERROR(VLOOKUP($B581,calc_data,F$14+1,0),0)</f>
        <v/>
      </c>
      <c r="G581" s="141">
        <f>IFERROR(VLOOKUP($B581,calc_data,G$14+1,0),0)</f>
        <v/>
      </c>
      <c r="H581" s="141">
        <f>IFERROR(VLOOKUP($B581,calc_data,H$14+1,0),0)</f>
        <v/>
      </c>
      <c r="I581" s="142">
        <f>IFERROR(VLOOKUP($B581,calc_data,I$14+1,0),0)</f>
        <v/>
      </c>
      <c r="J581" s="141">
        <f>IFERROR(VLOOKUP($B581,calc_data,J$14+1,0),0)</f>
        <v/>
      </c>
      <c r="K581" s="141">
        <f>IFERROR(VLOOKUP($B581,calc_data,K$14+1,0),0)</f>
        <v/>
      </c>
      <c r="L581" s="141">
        <f>IFERROR(VLOOKUP($B581,calc_data,L$14+1,0),0)</f>
        <v/>
      </c>
      <c r="M581" s="177">
        <f>IFERROR(VLOOKUP($B581,calc_data,M$14+1,0),0)</f>
        <v/>
      </c>
      <c r="N581" s="177">
        <f>IFERROR(VLOOKUP($B581,calc_data,N$14+1,0),0)</f>
        <v/>
      </c>
      <c r="O581" s="45" t="n"/>
      <c r="Q581" s="57">
        <f>IF(K581&gt;0,"показать","скрыть")</f>
        <v/>
      </c>
    </row>
    <row r="582" ht="15.75" customHeight="1">
      <c r="B582" s="182" t="n">
        <v>566</v>
      </c>
      <c r="C582" s="182">
        <f>IFERROR(VLOOKUP($B582,calc_data,C$14+1,0),0)</f>
        <v/>
      </c>
      <c r="D582" s="182">
        <f>IFERROR(VLOOKUP($B582,calc_data,D$14+1,0),0)</f>
        <v/>
      </c>
      <c r="E582" s="183">
        <f>IFERROR(VLOOKUP($B582,calc_data,E$14+1,0),0)</f>
        <v/>
      </c>
      <c r="F582" s="182">
        <f>IFERROR(VLOOKUP($B582,calc_data,F$14+1,0),0)</f>
        <v/>
      </c>
      <c r="G582" s="141">
        <f>IFERROR(VLOOKUP($B582,calc_data,G$14+1,0),0)</f>
        <v/>
      </c>
      <c r="H582" s="141">
        <f>IFERROR(VLOOKUP($B582,calc_data,H$14+1,0),0)</f>
        <v/>
      </c>
      <c r="I582" s="142">
        <f>IFERROR(VLOOKUP($B582,calc_data,I$14+1,0),0)</f>
        <v/>
      </c>
      <c r="J582" s="141">
        <f>IFERROR(VLOOKUP($B582,calc_data,J$14+1,0),0)</f>
        <v/>
      </c>
      <c r="K582" s="141">
        <f>IFERROR(VLOOKUP($B582,calc_data,K$14+1,0),0)</f>
        <v/>
      </c>
      <c r="L582" s="141">
        <f>IFERROR(VLOOKUP($B582,calc_data,L$14+1,0),0)</f>
        <v/>
      </c>
      <c r="M582" s="177">
        <f>IFERROR(VLOOKUP($B582,calc_data,M$14+1,0),0)</f>
        <v/>
      </c>
      <c r="N582" s="177">
        <f>IFERROR(VLOOKUP($B582,calc_data,N$14+1,0),0)</f>
        <v/>
      </c>
      <c r="O582" s="45" t="n"/>
      <c r="Q582" s="57">
        <f>IF(K582&gt;0,"показать","скрыть")</f>
        <v/>
      </c>
    </row>
    <row r="583" ht="15.75" customHeight="1">
      <c r="B583" s="182" t="n">
        <v>567</v>
      </c>
      <c r="C583" s="182">
        <f>IFERROR(VLOOKUP($B583,calc_data,C$14+1,0),0)</f>
        <v/>
      </c>
      <c r="D583" s="182">
        <f>IFERROR(VLOOKUP($B583,calc_data,D$14+1,0),0)</f>
        <v/>
      </c>
      <c r="E583" s="183">
        <f>IFERROR(VLOOKUP($B583,calc_data,E$14+1,0),0)</f>
        <v/>
      </c>
      <c r="F583" s="182">
        <f>IFERROR(VLOOKUP($B583,calc_data,F$14+1,0),0)</f>
        <v/>
      </c>
      <c r="G583" s="141">
        <f>IFERROR(VLOOKUP($B583,calc_data,G$14+1,0),0)</f>
        <v/>
      </c>
      <c r="H583" s="141">
        <f>IFERROR(VLOOKUP($B583,calc_data,H$14+1,0),0)</f>
        <v/>
      </c>
      <c r="I583" s="142">
        <f>IFERROR(VLOOKUP($B583,calc_data,I$14+1,0),0)</f>
        <v/>
      </c>
      <c r="J583" s="141">
        <f>IFERROR(VLOOKUP($B583,calc_data,J$14+1,0),0)</f>
        <v/>
      </c>
      <c r="K583" s="141">
        <f>IFERROR(VLOOKUP($B583,calc_data,K$14+1,0),0)</f>
        <v/>
      </c>
      <c r="L583" s="141">
        <f>IFERROR(VLOOKUP($B583,calc_data,L$14+1,0),0)</f>
        <v/>
      </c>
      <c r="M583" s="177">
        <f>IFERROR(VLOOKUP($B583,calc_data,M$14+1,0),0)</f>
        <v/>
      </c>
      <c r="N583" s="177">
        <f>IFERROR(VLOOKUP($B583,calc_data,N$14+1,0),0)</f>
        <v/>
      </c>
      <c r="O583" s="45" t="n"/>
      <c r="Q583" s="57">
        <f>IF(K583&gt;0,"показать","скрыть")</f>
        <v/>
      </c>
    </row>
    <row r="584" ht="15.75" customHeight="1">
      <c r="B584" s="182" t="n">
        <v>568</v>
      </c>
      <c r="C584" s="182">
        <f>IFERROR(VLOOKUP($B584,calc_data,C$14+1,0),0)</f>
        <v/>
      </c>
      <c r="D584" s="182">
        <f>IFERROR(VLOOKUP($B584,calc_data,D$14+1,0),0)</f>
        <v/>
      </c>
      <c r="E584" s="183">
        <f>IFERROR(VLOOKUP($B584,calc_data,E$14+1,0),0)</f>
        <v/>
      </c>
      <c r="F584" s="182">
        <f>IFERROR(VLOOKUP($B584,calc_data,F$14+1,0),0)</f>
        <v/>
      </c>
      <c r="G584" s="141">
        <f>IFERROR(VLOOKUP($B584,calc_data,G$14+1,0),0)</f>
        <v/>
      </c>
      <c r="H584" s="141">
        <f>IFERROR(VLOOKUP($B584,calc_data,H$14+1,0),0)</f>
        <v/>
      </c>
      <c r="I584" s="142">
        <f>IFERROR(VLOOKUP($B584,calc_data,I$14+1,0),0)</f>
        <v/>
      </c>
      <c r="J584" s="141">
        <f>IFERROR(VLOOKUP($B584,calc_data,J$14+1,0),0)</f>
        <v/>
      </c>
      <c r="K584" s="141">
        <f>IFERROR(VLOOKUP($B584,calc_data,K$14+1,0),0)</f>
        <v/>
      </c>
      <c r="L584" s="141">
        <f>IFERROR(VLOOKUP($B584,calc_data,L$14+1,0),0)</f>
        <v/>
      </c>
      <c r="M584" s="177">
        <f>IFERROR(VLOOKUP($B584,calc_data,M$14+1,0),0)</f>
        <v/>
      </c>
      <c r="N584" s="177">
        <f>IFERROR(VLOOKUP($B584,calc_data,N$14+1,0),0)</f>
        <v/>
      </c>
      <c r="O584" s="45" t="n"/>
      <c r="Q584" s="57">
        <f>IF(K584&gt;0,"показать","скрыть")</f>
        <v/>
      </c>
    </row>
    <row r="585" ht="15.75" customHeight="1">
      <c r="B585" s="182" t="n">
        <v>569</v>
      </c>
      <c r="C585" s="182">
        <f>IFERROR(VLOOKUP($B585,calc_data,C$14+1,0),0)</f>
        <v/>
      </c>
      <c r="D585" s="182">
        <f>IFERROR(VLOOKUP($B585,calc_data,D$14+1,0),0)</f>
        <v/>
      </c>
      <c r="E585" s="183">
        <f>IFERROR(VLOOKUP($B585,calc_data,E$14+1,0),0)</f>
        <v/>
      </c>
      <c r="F585" s="182">
        <f>IFERROR(VLOOKUP($B585,calc_data,F$14+1,0),0)</f>
        <v/>
      </c>
      <c r="G585" s="141">
        <f>IFERROR(VLOOKUP($B585,calc_data,G$14+1,0),0)</f>
        <v/>
      </c>
      <c r="H585" s="141">
        <f>IFERROR(VLOOKUP($B585,calc_data,H$14+1,0),0)</f>
        <v/>
      </c>
      <c r="I585" s="142">
        <f>IFERROR(VLOOKUP($B585,calc_data,I$14+1,0),0)</f>
        <v/>
      </c>
      <c r="J585" s="141">
        <f>IFERROR(VLOOKUP($B585,calc_data,J$14+1,0),0)</f>
        <v/>
      </c>
      <c r="K585" s="141">
        <f>IFERROR(VLOOKUP($B585,calc_data,K$14+1,0),0)</f>
        <v/>
      </c>
      <c r="L585" s="141">
        <f>IFERROR(VLOOKUP($B585,calc_data,L$14+1,0),0)</f>
        <v/>
      </c>
      <c r="M585" s="177">
        <f>IFERROR(VLOOKUP($B585,calc_data,M$14+1,0),0)</f>
        <v/>
      </c>
      <c r="N585" s="177">
        <f>IFERROR(VLOOKUP($B585,calc_data,N$14+1,0),0)</f>
        <v/>
      </c>
      <c r="O585" s="45" t="n"/>
      <c r="Q585" s="57">
        <f>IF(K585&gt;0,"показать","скрыть")</f>
        <v/>
      </c>
    </row>
    <row r="586" ht="15.75" customHeight="1">
      <c r="B586" s="182" t="n">
        <v>570</v>
      </c>
      <c r="C586" s="182">
        <f>IFERROR(VLOOKUP($B586,calc_data,C$14+1,0),0)</f>
        <v/>
      </c>
      <c r="D586" s="182">
        <f>IFERROR(VLOOKUP($B586,calc_data,D$14+1,0),0)</f>
        <v/>
      </c>
      <c r="E586" s="183">
        <f>IFERROR(VLOOKUP($B586,calc_data,E$14+1,0),0)</f>
        <v/>
      </c>
      <c r="F586" s="182">
        <f>IFERROR(VLOOKUP($B586,calc_data,F$14+1,0),0)</f>
        <v/>
      </c>
      <c r="G586" s="141">
        <f>IFERROR(VLOOKUP($B586,calc_data,G$14+1,0),0)</f>
        <v/>
      </c>
      <c r="H586" s="141">
        <f>IFERROR(VLOOKUP($B586,calc_data,H$14+1,0),0)</f>
        <v/>
      </c>
      <c r="I586" s="142">
        <f>IFERROR(VLOOKUP($B586,calc_data,I$14+1,0),0)</f>
        <v/>
      </c>
      <c r="J586" s="141">
        <f>IFERROR(VLOOKUP($B586,calc_data,J$14+1,0),0)</f>
        <v/>
      </c>
      <c r="K586" s="141">
        <f>IFERROR(VLOOKUP($B586,calc_data,K$14+1,0),0)</f>
        <v/>
      </c>
      <c r="L586" s="141">
        <f>IFERROR(VLOOKUP($B586,calc_data,L$14+1,0),0)</f>
        <v/>
      </c>
      <c r="M586" s="177">
        <f>IFERROR(VLOOKUP($B586,calc_data,M$14+1,0),0)</f>
        <v/>
      </c>
      <c r="N586" s="177">
        <f>IFERROR(VLOOKUP($B586,calc_data,N$14+1,0),0)</f>
        <v/>
      </c>
      <c r="O586" s="45" t="n"/>
      <c r="Q586" s="57">
        <f>IF(K586&gt;0,"показать","скрыть")</f>
        <v/>
      </c>
    </row>
    <row r="587" ht="15.75" customHeight="1">
      <c r="B587" s="182" t="n">
        <v>571</v>
      </c>
      <c r="C587" s="182">
        <f>IFERROR(VLOOKUP($B587,calc_data,C$14+1,0),0)</f>
        <v/>
      </c>
      <c r="D587" s="182">
        <f>IFERROR(VLOOKUP($B587,calc_data,D$14+1,0),0)</f>
        <v/>
      </c>
      <c r="E587" s="183">
        <f>IFERROR(VLOOKUP($B587,calc_data,E$14+1,0),0)</f>
        <v/>
      </c>
      <c r="F587" s="182">
        <f>IFERROR(VLOOKUP($B587,calc_data,F$14+1,0),0)</f>
        <v/>
      </c>
      <c r="G587" s="141">
        <f>IFERROR(VLOOKUP($B587,calc_data,G$14+1,0),0)</f>
        <v/>
      </c>
      <c r="H587" s="141">
        <f>IFERROR(VLOOKUP($B587,calc_data,H$14+1,0),0)</f>
        <v/>
      </c>
      <c r="I587" s="142">
        <f>IFERROR(VLOOKUP($B587,calc_data,I$14+1,0),0)</f>
        <v/>
      </c>
      <c r="J587" s="141">
        <f>IFERROR(VLOOKUP($B587,calc_data,J$14+1,0),0)</f>
        <v/>
      </c>
      <c r="K587" s="141">
        <f>IFERROR(VLOOKUP($B587,calc_data,K$14+1,0),0)</f>
        <v/>
      </c>
      <c r="L587" s="141">
        <f>IFERROR(VLOOKUP($B587,calc_data,L$14+1,0),0)</f>
        <v/>
      </c>
      <c r="M587" s="177">
        <f>IFERROR(VLOOKUP($B587,calc_data,M$14+1,0),0)</f>
        <v/>
      </c>
      <c r="N587" s="177">
        <f>IFERROR(VLOOKUP($B587,calc_data,N$14+1,0),0)</f>
        <v/>
      </c>
      <c r="O587" s="45" t="n"/>
      <c r="Q587" s="57">
        <f>IF(K587&gt;0,"показать","скрыть")</f>
        <v/>
      </c>
    </row>
    <row r="588" ht="15.75" customHeight="1">
      <c r="B588" s="182" t="n">
        <v>572</v>
      </c>
      <c r="C588" s="182">
        <f>IFERROR(VLOOKUP($B588,calc_data,C$14+1,0),0)</f>
        <v/>
      </c>
      <c r="D588" s="182">
        <f>IFERROR(VLOOKUP($B588,calc_data,D$14+1,0),0)</f>
        <v/>
      </c>
      <c r="E588" s="183">
        <f>IFERROR(VLOOKUP($B588,calc_data,E$14+1,0),0)</f>
        <v/>
      </c>
      <c r="F588" s="182">
        <f>IFERROR(VLOOKUP($B588,calc_data,F$14+1,0),0)</f>
        <v/>
      </c>
      <c r="G588" s="141">
        <f>IFERROR(VLOOKUP($B588,calc_data,G$14+1,0),0)</f>
        <v/>
      </c>
      <c r="H588" s="141">
        <f>IFERROR(VLOOKUP($B588,calc_data,H$14+1,0),0)</f>
        <v/>
      </c>
      <c r="I588" s="142">
        <f>IFERROR(VLOOKUP($B588,calc_data,I$14+1,0),0)</f>
        <v/>
      </c>
      <c r="J588" s="141">
        <f>IFERROR(VLOOKUP($B588,calc_data,J$14+1,0),0)</f>
        <v/>
      </c>
      <c r="K588" s="141">
        <f>IFERROR(VLOOKUP($B588,calc_data,K$14+1,0),0)</f>
        <v/>
      </c>
      <c r="L588" s="141">
        <f>IFERROR(VLOOKUP($B588,calc_data,L$14+1,0),0)</f>
        <v/>
      </c>
      <c r="M588" s="177">
        <f>IFERROR(VLOOKUP($B588,calc_data,M$14+1,0),0)</f>
        <v/>
      </c>
      <c r="N588" s="177">
        <f>IFERROR(VLOOKUP($B588,calc_data,N$14+1,0),0)</f>
        <v/>
      </c>
      <c r="O588" s="45" t="n"/>
      <c r="Q588" s="57">
        <f>IF(K588&gt;0,"показать","скрыть")</f>
        <v/>
      </c>
    </row>
    <row r="589" ht="15.75" customHeight="1">
      <c r="B589" s="182" t="n">
        <v>573</v>
      </c>
      <c r="C589" s="182">
        <f>IFERROR(VLOOKUP($B589,calc_data,C$14+1,0),0)</f>
        <v/>
      </c>
      <c r="D589" s="182">
        <f>IFERROR(VLOOKUP($B589,calc_data,D$14+1,0),0)</f>
        <v/>
      </c>
      <c r="E589" s="183">
        <f>IFERROR(VLOOKUP($B589,calc_data,E$14+1,0),0)</f>
        <v/>
      </c>
      <c r="F589" s="182">
        <f>IFERROR(VLOOKUP($B589,calc_data,F$14+1,0),0)</f>
        <v/>
      </c>
      <c r="G589" s="141">
        <f>IFERROR(VLOOKUP($B589,calc_data,G$14+1,0),0)</f>
        <v/>
      </c>
      <c r="H589" s="141">
        <f>IFERROR(VLOOKUP($B589,calc_data,H$14+1,0),0)</f>
        <v/>
      </c>
      <c r="I589" s="142">
        <f>IFERROR(VLOOKUP($B589,calc_data,I$14+1,0),0)</f>
        <v/>
      </c>
      <c r="J589" s="141">
        <f>IFERROR(VLOOKUP($B589,calc_data,J$14+1,0),0)</f>
        <v/>
      </c>
      <c r="K589" s="141">
        <f>IFERROR(VLOOKUP($B589,calc_data,K$14+1,0),0)</f>
        <v/>
      </c>
      <c r="L589" s="141">
        <f>IFERROR(VLOOKUP($B589,calc_data,L$14+1,0),0)</f>
        <v/>
      </c>
      <c r="M589" s="177">
        <f>IFERROR(VLOOKUP($B589,calc_data,M$14+1,0),0)</f>
        <v/>
      </c>
      <c r="N589" s="177">
        <f>IFERROR(VLOOKUP($B589,calc_data,N$14+1,0),0)</f>
        <v/>
      </c>
      <c r="O589" s="45" t="n"/>
      <c r="Q589" s="57">
        <f>IF(K589&gt;0,"показать","скрыть")</f>
        <v/>
      </c>
    </row>
    <row r="590" ht="15.75" customHeight="1">
      <c r="B590" s="182" t="n">
        <v>574</v>
      </c>
      <c r="C590" s="182">
        <f>IFERROR(VLOOKUP($B590,calc_data,C$14+1,0),0)</f>
        <v/>
      </c>
      <c r="D590" s="182">
        <f>IFERROR(VLOOKUP($B590,calc_data,D$14+1,0),0)</f>
        <v/>
      </c>
      <c r="E590" s="183">
        <f>IFERROR(VLOOKUP($B590,calc_data,E$14+1,0),0)</f>
        <v/>
      </c>
      <c r="F590" s="182">
        <f>IFERROR(VLOOKUP($B590,calc_data,F$14+1,0),0)</f>
        <v/>
      </c>
      <c r="G590" s="141">
        <f>IFERROR(VLOOKUP($B590,calc_data,G$14+1,0),0)</f>
        <v/>
      </c>
      <c r="H590" s="141">
        <f>IFERROR(VLOOKUP($B590,calc_data,H$14+1,0),0)</f>
        <v/>
      </c>
      <c r="I590" s="142">
        <f>IFERROR(VLOOKUP($B590,calc_data,I$14+1,0),0)</f>
        <v/>
      </c>
      <c r="J590" s="141">
        <f>IFERROR(VLOOKUP($B590,calc_data,J$14+1,0),0)</f>
        <v/>
      </c>
      <c r="K590" s="141">
        <f>IFERROR(VLOOKUP($B590,calc_data,K$14+1,0),0)</f>
        <v/>
      </c>
      <c r="L590" s="141">
        <f>IFERROR(VLOOKUP($B590,calc_data,L$14+1,0),0)</f>
        <v/>
      </c>
      <c r="M590" s="177">
        <f>IFERROR(VLOOKUP($B590,calc_data,M$14+1,0),0)</f>
        <v/>
      </c>
      <c r="N590" s="177">
        <f>IFERROR(VLOOKUP($B590,calc_data,N$14+1,0),0)</f>
        <v/>
      </c>
      <c r="O590" s="45" t="n"/>
      <c r="Q590" s="57">
        <f>IF(K590&gt;0,"показать","скрыть")</f>
        <v/>
      </c>
    </row>
    <row r="591" ht="15.75" customHeight="1">
      <c r="B591" s="182" t="n">
        <v>575</v>
      </c>
      <c r="C591" s="182">
        <f>IFERROR(VLOOKUP($B591,calc_data,C$14+1,0),0)</f>
        <v/>
      </c>
      <c r="D591" s="182">
        <f>IFERROR(VLOOKUP($B591,calc_data,D$14+1,0),0)</f>
        <v/>
      </c>
      <c r="E591" s="183">
        <f>IFERROR(VLOOKUP($B591,calc_data,E$14+1,0),0)</f>
        <v/>
      </c>
      <c r="F591" s="182">
        <f>IFERROR(VLOOKUP($B591,calc_data,F$14+1,0),0)</f>
        <v/>
      </c>
      <c r="G591" s="141">
        <f>IFERROR(VLOOKUP($B591,calc_data,G$14+1,0),0)</f>
        <v/>
      </c>
      <c r="H591" s="141">
        <f>IFERROR(VLOOKUP($B591,calc_data,H$14+1,0),0)</f>
        <v/>
      </c>
      <c r="I591" s="142">
        <f>IFERROR(VLOOKUP($B591,calc_data,I$14+1,0),0)</f>
        <v/>
      </c>
      <c r="J591" s="141">
        <f>IFERROR(VLOOKUP($B591,calc_data,J$14+1,0),0)</f>
        <v/>
      </c>
      <c r="K591" s="141">
        <f>IFERROR(VLOOKUP($B591,calc_data,K$14+1,0),0)</f>
        <v/>
      </c>
      <c r="L591" s="141">
        <f>IFERROR(VLOOKUP($B591,calc_data,L$14+1,0),0)</f>
        <v/>
      </c>
      <c r="M591" s="177">
        <f>IFERROR(VLOOKUP($B591,calc_data,M$14+1,0),0)</f>
        <v/>
      </c>
      <c r="N591" s="177">
        <f>IFERROR(VLOOKUP($B591,calc_data,N$14+1,0),0)</f>
        <v/>
      </c>
      <c r="O591" s="45" t="n"/>
      <c r="Q591" s="57">
        <f>IF(K591&gt;0,"показать","скрыть")</f>
        <v/>
      </c>
    </row>
    <row r="592" ht="15.75" customHeight="1">
      <c r="B592" s="182" t="n">
        <v>576</v>
      </c>
      <c r="C592" s="182">
        <f>IFERROR(VLOOKUP($B592,calc_data,C$14+1,0),0)</f>
        <v/>
      </c>
      <c r="D592" s="182">
        <f>IFERROR(VLOOKUP($B592,calc_data,D$14+1,0),0)</f>
        <v/>
      </c>
      <c r="E592" s="183">
        <f>IFERROR(VLOOKUP($B592,calc_data,E$14+1,0),0)</f>
        <v/>
      </c>
      <c r="F592" s="182">
        <f>IFERROR(VLOOKUP($B592,calc_data,F$14+1,0),0)</f>
        <v/>
      </c>
      <c r="G592" s="141">
        <f>IFERROR(VLOOKUP($B592,calc_data,G$14+1,0),0)</f>
        <v/>
      </c>
      <c r="H592" s="141">
        <f>IFERROR(VLOOKUP($B592,calc_data,H$14+1,0),0)</f>
        <v/>
      </c>
      <c r="I592" s="142">
        <f>IFERROR(VLOOKUP($B592,calc_data,I$14+1,0),0)</f>
        <v/>
      </c>
      <c r="J592" s="141">
        <f>IFERROR(VLOOKUP($B592,calc_data,J$14+1,0),0)</f>
        <v/>
      </c>
      <c r="K592" s="141">
        <f>IFERROR(VLOOKUP($B592,calc_data,K$14+1,0),0)</f>
        <v/>
      </c>
      <c r="L592" s="141">
        <f>IFERROR(VLOOKUP($B592,calc_data,L$14+1,0),0)</f>
        <v/>
      </c>
      <c r="M592" s="177">
        <f>IFERROR(VLOOKUP($B592,calc_data,M$14+1,0),0)</f>
        <v/>
      </c>
      <c r="N592" s="177">
        <f>IFERROR(VLOOKUP($B592,calc_data,N$14+1,0),0)</f>
        <v/>
      </c>
      <c r="O592" s="45" t="n"/>
      <c r="Q592" s="57">
        <f>IF(K592&gt;0,"показать","скрыть")</f>
        <v/>
      </c>
    </row>
    <row r="593" ht="15.75" customHeight="1">
      <c r="B593" s="182" t="n">
        <v>577</v>
      </c>
      <c r="C593" s="182">
        <f>IFERROR(VLOOKUP($B593,calc_data,C$14+1,0),0)</f>
        <v/>
      </c>
      <c r="D593" s="182">
        <f>IFERROR(VLOOKUP($B593,calc_data,D$14+1,0),0)</f>
        <v/>
      </c>
      <c r="E593" s="183">
        <f>IFERROR(VLOOKUP($B593,calc_data,E$14+1,0),0)</f>
        <v/>
      </c>
      <c r="F593" s="182">
        <f>IFERROR(VLOOKUP($B593,calc_data,F$14+1,0),0)</f>
        <v/>
      </c>
      <c r="G593" s="141">
        <f>IFERROR(VLOOKUP($B593,calc_data,G$14+1,0),0)</f>
        <v/>
      </c>
      <c r="H593" s="141">
        <f>IFERROR(VLOOKUP($B593,calc_data,H$14+1,0),0)</f>
        <v/>
      </c>
      <c r="I593" s="142">
        <f>IFERROR(VLOOKUP($B593,calc_data,I$14+1,0),0)</f>
        <v/>
      </c>
      <c r="J593" s="141">
        <f>IFERROR(VLOOKUP($B593,calc_data,J$14+1,0),0)</f>
        <v/>
      </c>
      <c r="K593" s="141">
        <f>IFERROR(VLOOKUP($B593,calc_data,K$14+1,0),0)</f>
        <v/>
      </c>
      <c r="L593" s="141">
        <f>IFERROR(VLOOKUP($B593,calc_data,L$14+1,0),0)</f>
        <v/>
      </c>
      <c r="M593" s="177">
        <f>IFERROR(VLOOKUP($B593,calc_data,M$14+1,0),0)</f>
        <v/>
      </c>
      <c r="N593" s="177">
        <f>IFERROR(VLOOKUP($B593,calc_data,N$14+1,0),0)</f>
        <v/>
      </c>
      <c r="O593" s="45" t="n"/>
      <c r="Q593" s="57">
        <f>IF(K593&gt;0,"показать","скрыть")</f>
        <v/>
      </c>
    </row>
    <row r="594" ht="15.75" customHeight="1">
      <c r="B594" s="182" t="n">
        <v>578</v>
      </c>
      <c r="C594" s="182">
        <f>IFERROR(VLOOKUP($B594,calc_data,C$14+1,0),0)</f>
        <v/>
      </c>
      <c r="D594" s="182">
        <f>IFERROR(VLOOKUP($B594,calc_data,D$14+1,0),0)</f>
        <v/>
      </c>
      <c r="E594" s="183">
        <f>IFERROR(VLOOKUP($B594,calc_data,E$14+1,0),0)</f>
        <v/>
      </c>
      <c r="F594" s="182">
        <f>IFERROR(VLOOKUP($B594,calc_data,F$14+1,0),0)</f>
        <v/>
      </c>
      <c r="G594" s="141">
        <f>IFERROR(VLOOKUP($B594,calc_data,G$14+1,0),0)</f>
        <v/>
      </c>
      <c r="H594" s="141">
        <f>IFERROR(VLOOKUP($B594,calc_data,H$14+1,0),0)</f>
        <v/>
      </c>
      <c r="I594" s="142">
        <f>IFERROR(VLOOKUP($B594,calc_data,I$14+1,0),0)</f>
        <v/>
      </c>
      <c r="J594" s="141">
        <f>IFERROR(VLOOKUP($B594,calc_data,J$14+1,0),0)</f>
        <v/>
      </c>
      <c r="K594" s="141">
        <f>IFERROR(VLOOKUP($B594,calc_data,K$14+1,0),0)</f>
        <v/>
      </c>
      <c r="L594" s="141">
        <f>IFERROR(VLOOKUP($B594,calc_data,L$14+1,0),0)</f>
        <v/>
      </c>
      <c r="M594" s="177">
        <f>IFERROR(VLOOKUP($B594,calc_data,M$14+1,0),0)</f>
        <v/>
      </c>
      <c r="N594" s="177">
        <f>IFERROR(VLOOKUP($B594,calc_data,N$14+1,0),0)</f>
        <v/>
      </c>
      <c r="O594" s="45" t="n"/>
      <c r="Q594" s="57">
        <f>IF(K594&gt;0,"показать","скрыть")</f>
        <v/>
      </c>
    </row>
    <row r="595" ht="15.75" customHeight="1">
      <c r="B595" s="182" t="n">
        <v>579</v>
      </c>
      <c r="C595" s="182">
        <f>IFERROR(VLOOKUP($B595,calc_data,C$14+1,0),0)</f>
        <v/>
      </c>
      <c r="D595" s="182">
        <f>IFERROR(VLOOKUP($B595,calc_data,D$14+1,0),0)</f>
        <v/>
      </c>
      <c r="E595" s="183">
        <f>IFERROR(VLOOKUP($B595,calc_data,E$14+1,0),0)</f>
        <v/>
      </c>
      <c r="F595" s="182">
        <f>IFERROR(VLOOKUP($B595,calc_data,F$14+1,0),0)</f>
        <v/>
      </c>
      <c r="G595" s="141">
        <f>IFERROR(VLOOKUP($B595,calc_data,G$14+1,0),0)</f>
        <v/>
      </c>
      <c r="H595" s="141">
        <f>IFERROR(VLOOKUP($B595,calc_data,H$14+1,0),0)</f>
        <v/>
      </c>
      <c r="I595" s="142">
        <f>IFERROR(VLOOKUP($B595,calc_data,I$14+1,0),0)</f>
        <v/>
      </c>
      <c r="J595" s="141">
        <f>IFERROR(VLOOKUP($B595,calc_data,J$14+1,0),0)</f>
        <v/>
      </c>
      <c r="K595" s="141">
        <f>IFERROR(VLOOKUP($B595,calc_data,K$14+1,0),0)</f>
        <v/>
      </c>
      <c r="L595" s="141">
        <f>IFERROR(VLOOKUP($B595,calc_data,L$14+1,0),0)</f>
        <v/>
      </c>
      <c r="M595" s="177">
        <f>IFERROR(VLOOKUP($B595,calc_data,M$14+1,0),0)</f>
        <v/>
      </c>
      <c r="N595" s="177">
        <f>IFERROR(VLOOKUP($B595,calc_data,N$14+1,0),0)</f>
        <v/>
      </c>
      <c r="O595" s="45" t="n"/>
      <c r="Q595" s="57">
        <f>IF(K595&gt;0,"показать","скрыть")</f>
        <v/>
      </c>
    </row>
    <row r="596" ht="15.75" customHeight="1">
      <c r="B596" s="182" t="n">
        <v>580</v>
      </c>
      <c r="C596" s="182">
        <f>IFERROR(VLOOKUP($B596,calc_data,C$14+1,0),0)</f>
        <v/>
      </c>
      <c r="D596" s="182">
        <f>IFERROR(VLOOKUP($B596,calc_data,D$14+1,0),0)</f>
        <v/>
      </c>
      <c r="E596" s="183">
        <f>IFERROR(VLOOKUP($B596,calc_data,E$14+1,0),0)</f>
        <v/>
      </c>
      <c r="F596" s="182">
        <f>IFERROR(VLOOKUP($B596,calc_data,F$14+1,0),0)</f>
        <v/>
      </c>
      <c r="G596" s="141">
        <f>IFERROR(VLOOKUP($B596,calc_data,G$14+1,0),0)</f>
        <v/>
      </c>
      <c r="H596" s="141">
        <f>IFERROR(VLOOKUP($B596,calc_data,H$14+1,0),0)</f>
        <v/>
      </c>
      <c r="I596" s="142">
        <f>IFERROR(VLOOKUP($B596,calc_data,I$14+1,0),0)</f>
        <v/>
      </c>
      <c r="J596" s="141">
        <f>IFERROR(VLOOKUP($B596,calc_data,J$14+1,0),0)</f>
        <v/>
      </c>
      <c r="K596" s="141">
        <f>IFERROR(VLOOKUP($B596,calc_data,K$14+1,0),0)</f>
        <v/>
      </c>
      <c r="L596" s="141">
        <f>IFERROR(VLOOKUP($B596,calc_data,L$14+1,0),0)</f>
        <v/>
      </c>
      <c r="M596" s="177">
        <f>IFERROR(VLOOKUP($B596,calc_data,M$14+1,0),0)</f>
        <v/>
      </c>
      <c r="N596" s="177">
        <f>IFERROR(VLOOKUP($B596,calc_data,N$14+1,0),0)</f>
        <v/>
      </c>
      <c r="O596" s="45" t="n"/>
      <c r="Q596" s="57">
        <f>IF(K596&gt;0,"показать","скрыть")</f>
        <v/>
      </c>
    </row>
    <row r="597" ht="15.75" customHeight="1">
      <c r="B597" s="182" t="n">
        <v>581</v>
      </c>
      <c r="C597" s="182">
        <f>IFERROR(VLOOKUP($B597,calc_data,C$14+1,0),0)</f>
        <v/>
      </c>
      <c r="D597" s="182">
        <f>IFERROR(VLOOKUP($B597,calc_data,D$14+1,0),0)</f>
        <v/>
      </c>
      <c r="E597" s="183">
        <f>IFERROR(VLOOKUP($B597,calc_data,E$14+1,0),0)</f>
        <v/>
      </c>
      <c r="F597" s="182">
        <f>IFERROR(VLOOKUP($B597,calc_data,F$14+1,0),0)</f>
        <v/>
      </c>
      <c r="G597" s="141">
        <f>IFERROR(VLOOKUP($B597,calc_data,G$14+1,0),0)</f>
        <v/>
      </c>
      <c r="H597" s="141">
        <f>IFERROR(VLOOKUP($B597,calc_data,H$14+1,0),0)</f>
        <v/>
      </c>
      <c r="I597" s="142">
        <f>IFERROR(VLOOKUP($B597,calc_data,I$14+1,0),0)</f>
        <v/>
      </c>
      <c r="J597" s="141">
        <f>IFERROR(VLOOKUP($B597,calc_data,J$14+1,0),0)</f>
        <v/>
      </c>
      <c r="K597" s="141">
        <f>IFERROR(VLOOKUP($B597,calc_data,K$14+1,0),0)</f>
        <v/>
      </c>
      <c r="L597" s="141">
        <f>IFERROR(VLOOKUP($B597,calc_data,L$14+1,0),0)</f>
        <v/>
      </c>
      <c r="M597" s="177">
        <f>IFERROR(VLOOKUP($B597,calc_data,M$14+1,0),0)</f>
        <v/>
      </c>
      <c r="N597" s="177">
        <f>IFERROR(VLOOKUP($B597,calc_data,N$14+1,0),0)</f>
        <v/>
      </c>
      <c r="O597" s="45" t="n"/>
      <c r="Q597" s="57">
        <f>IF(K597&gt;0,"показать","скрыть")</f>
        <v/>
      </c>
    </row>
    <row r="598" ht="15.75" customHeight="1">
      <c r="B598" s="182" t="n">
        <v>582</v>
      </c>
      <c r="C598" s="182">
        <f>IFERROR(VLOOKUP($B598,calc_data,C$14+1,0),0)</f>
        <v/>
      </c>
      <c r="D598" s="182">
        <f>IFERROR(VLOOKUP($B598,calc_data,D$14+1,0),0)</f>
        <v/>
      </c>
      <c r="E598" s="183">
        <f>IFERROR(VLOOKUP($B598,calc_data,E$14+1,0),0)</f>
        <v/>
      </c>
      <c r="F598" s="182">
        <f>IFERROR(VLOOKUP($B598,calc_data,F$14+1,0),0)</f>
        <v/>
      </c>
      <c r="G598" s="141">
        <f>IFERROR(VLOOKUP($B598,calc_data,G$14+1,0),0)</f>
        <v/>
      </c>
      <c r="H598" s="141">
        <f>IFERROR(VLOOKUP($B598,calc_data,H$14+1,0),0)</f>
        <v/>
      </c>
      <c r="I598" s="142">
        <f>IFERROR(VLOOKUP($B598,calc_data,I$14+1,0),0)</f>
        <v/>
      </c>
      <c r="J598" s="141">
        <f>IFERROR(VLOOKUP($B598,calc_data,J$14+1,0),0)</f>
        <v/>
      </c>
      <c r="K598" s="141">
        <f>IFERROR(VLOOKUP($B598,calc_data,K$14+1,0),0)</f>
        <v/>
      </c>
      <c r="L598" s="141">
        <f>IFERROR(VLOOKUP($B598,calc_data,L$14+1,0),0)</f>
        <v/>
      </c>
      <c r="M598" s="177">
        <f>IFERROR(VLOOKUP($B598,calc_data,M$14+1,0),0)</f>
        <v/>
      </c>
      <c r="N598" s="177">
        <f>IFERROR(VLOOKUP($B598,calc_data,N$14+1,0),0)</f>
        <v/>
      </c>
      <c r="O598" s="45" t="n"/>
      <c r="Q598" s="57">
        <f>IF(K598&gt;0,"показать","скрыть")</f>
        <v/>
      </c>
    </row>
    <row r="599" ht="15.75" customHeight="1">
      <c r="B599" s="182" t="n">
        <v>583</v>
      </c>
      <c r="C599" s="182">
        <f>IFERROR(VLOOKUP($B599,calc_data,C$14+1,0),0)</f>
        <v/>
      </c>
      <c r="D599" s="182">
        <f>IFERROR(VLOOKUP($B599,calc_data,D$14+1,0),0)</f>
        <v/>
      </c>
      <c r="E599" s="183">
        <f>IFERROR(VLOOKUP($B599,calc_data,E$14+1,0),0)</f>
        <v/>
      </c>
      <c r="F599" s="182">
        <f>IFERROR(VLOOKUP($B599,calc_data,F$14+1,0),0)</f>
        <v/>
      </c>
      <c r="G599" s="141">
        <f>IFERROR(VLOOKUP($B599,calc_data,G$14+1,0),0)</f>
        <v/>
      </c>
      <c r="H599" s="141">
        <f>IFERROR(VLOOKUP($B599,calc_data,H$14+1,0),0)</f>
        <v/>
      </c>
      <c r="I599" s="142">
        <f>IFERROR(VLOOKUP($B599,calc_data,I$14+1,0),0)</f>
        <v/>
      </c>
      <c r="J599" s="141">
        <f>IFERROR(VLOOKUP($B599,calc_data,J$14+1,0),0)</f>
        <v/>
      </c>
      <c r="K599" s="141">
        <f>IFERROR(VLOOKUP($B599,calc_data,K$14+1,0),0)</f>
        <v/>
      </c>
      <c r="L599" s="141">
        <f>IFERROR(VLOOKUP($B599,calc_data,L$14+1,0),0)</f>
        <v/>
      </c>
      <c r="M599" s="177">
        <f>IFERROR(VLOOKUP($B599,calc_data,M$14+1,0),0)</f>
        <v/>
      </c>
      <c r="N599" s="177">
        <f>IFERROR(VLOOKUP($B599,calc_data,N$14+1,0),0)</f>
        <v/>
      </c>
      <c r="O599" s="45" t="n"/>
      <c r="Q599" s="57">
        <f>IF(K599&gt;0,"показать","скрыть")</f>
        <v/>
      </c>
    </row>
    <row r="600" ht="15.75" customHeight="1">
      <c r="B600" s="182" t="n">
        <v>584</v>
      </c>
      <c r="C600" s="182">
        <f>IFERROR(VLOOKUP($B600,calc_data,C$14+1,0),0)</f>
        <v/>
      </c>
      <c r="D600" s="182">
        <f>IFERROR(VLOOKUP($B600,calc_data,D$14+1,0),0)</f>
        <v/>
      </c>
      <c r="E600" s="183">
        <f>IFERROR(VLOOKUP($B600,calc_data,E$14+1,0),0)</f>
        <v/>
      </c>
      <c r="F600" s="182">
        <f>IFERROR(VLOOKUP($B600,calc_data,F$14+1,0),0)</f>
        <v/>
      </c>
      <c r="G600" s="141">
        <f>IFERROR(VLOOKUP($B600,calc_data,G$14+1,0),0)</f>
        <v/>
      </c>
      <c r="H600" s="141">
        <f>IFERROR(VLOOKUP($B600,calc_data,H$14+1,0),0)</f>
        <v/>
      </c>
      <c r="I600" s="142">
        <f>IFERROR(VLOOKUP($B600,calc_data,I$14+1,0),0)</f>
        <v/>
      </c>
      <c r="J600" s="141">
        <f>IFERROR(VLOOKUP($B600,calc_data,J$14+1,0),0)</f>
        <v/>
      </c>
      <c r="K600" s="141">
        <f>IFERROR(VLOOKUP($B600,calc_data,K$14+1,0),0)</f>
        <v/>
      </c>
      <c r="L600" s="141">
        <f>IFERROR(VLOOKUP($B600,calc_data,L$14+1,0),0)</f>
        <v/>
      </c>
      <c r="M600" s="177">
        <f>IFERROR(VLOOKUP($B600,calc_data,M$14+1,0),0)</f>
        <v/>
      </c>
      <c r="N600" s="177">
        <f>IFERROR(VLOOKUP($B600,calc_data,N$14+1,0),0)</f>
        <v/>
      </c>
      <c r="O600" s="45" t="n"/>
      <c r="Q600" s="57">
        <f>IF(K600&gt;0,"показать","скрыть")</f>
        <v/>
      </c>
    </row>
    <row r="601" ht="15.75" customHeight="1">
      <c r="B601" s="182" t="n">
        <v>585</v>
      </c>
      <c r="C601" s="182">
        <f>IFERROR(VLOOKUP($B601,calc_data,C$14+1,0),0)</f>
        <v/>
      </c>
      <c r="D601" s="182">
        <f>IFERROR(VLOOKUP($B601,calc_data,D$14+1,0),0)</f>
        <v/>
      </c>
      <c r="E601" s="183">
        <f>IFERROR(VLOOKUP($B601,calc_data,E$14+1,0),0)</f>
        <v/>
      </c>
      <c r="F601" s="182">
        <f>IFERROR(VLOOKUP($B601,calc_data,F$14+1,0),0)</f>
        <v/>
      </c>
      <c r="G601" s="141">
        <f>IFERROR(VLOOKUP($B601,calc_data,G$14+1,0),0)</f>
        <v/>
      </c>
      <c r="H601" s="141">
        <f>IFERROR(VLOOKUP($B601,calc_data,H$14+1,0),0)</f>
        <v/>
      </c>
      <c r="I601" s="142">
        <f>IFERROR(VLOOKUP($B601,calc_data,I$14+1,0),0)</f>
        <v/>
      </c>
      <c r="J601" s="141">
        <f>IFERROR(VLOOKUP($B601,calc_data,J$14+1,0),0)</f>
        <v/>
      </c>
      <c r="K601" s="141">
        <f>IFERROR(VLOOKUP($B601,calc_data,K$14+1,0),0)</f>
        <v/>
      </c>
      <c r="L601" s="141">
        <f>IFERROR(VLOOKUP($B601,calc_data,L$14+1,0),0)</f>
        <v/>
      </c>
      <c r="M601" s="177">
        <f>IFERROR(VLOOKUP($B601,calc_data,M$14+1,0),0)</f>
        <v/>
      </c>
      <c r="N601" s="177">
        <f>IFERROR(VLOOKUP($B601,calc_data,N$14+1,0),0)</f>
        <v/>
      </c>
      <c r="O601" s="45" t="n"/>
      <c r="Q601" s="57">
        <f>IF(K601&gt;0,"показать","скрыть")</f>
        <v/>
      </c>
    </row>
    <row r="602" ht="15.75" customHeight="1">
      <c r="B602" s="182" t="n">
        <v>586</v>
      </c>
      <c r="C602" s="182">
        <f>IFERROR(VLOOKUP($B602,calc_data,C$14+1,0),0)</f>
        <v/>
      </c>
      <c r="D602" s="182">
        <f>IFERROR(VLOOKUP($B602,calc_data,D$14+1,0),0)</f>
        <v/>
      </c>
      <c r="E602" s="183">
        <f>IFERROR(VLOOKUP($B602,calc_data,E$14+1,0),0)</f>
        <v/>
      </c>
      <c r="F602" s="182">
        <f>IFERROR(VLOOKUP($B602,calc_data,F$14+1,0),0)</f>
        <v/>
      </c>
      <c r="G602" s="141">
        <f>IFERROR(VLOOKUP($B602,calc_data,G$14+1,0),0)</f>
        <v/>
      </c>
      <c r="H602" s="141">
        <f>IFERROR(VLOOKUP($B602,calc_data,H$14+1,0),0)</f>
        <v/>
      </c>
      <c r="I602" s="142">
        <f>IFERROR(VLOOKUP($B602,calc_data,I$14+1,0),0)</f>
        <v/>
      </c>
      <c r="J602" s="141">
        <f>IFERROR(VLOOKUP($B602,calc_data,J$14+1,0),0)</f>
        <v/>
      </c>
      <c r="K602" s="141">
        <f>IFERROR(VLOOKUP($B602,calc_data,K$14+1,0),0)</f>
        <v/>
      </c>
      <c r="L602" s="141">
        <f>IFERROR(VLOOKUP($B602,calc_data,L$14+1,0),0)</f>
        <v/>
      </c>
      <c r="M602" s="177">
        <f>IFERROR(VLOOKUP($B602,calc_data,M$14+1,0),0)</f>
        <v/>
      </c>
      <c r="N602" s="177">
        <f>IFERROR(VLOOKUP($B602,calc_data,N$14+1,0),0)</f>
        <v/>
      </c>
      <c r="O602" s="45" t="n"/>
      <c r="Q602" s="57">
        <f>IF(K602&gt;0,"показать","скрыть")</f>
        <v/>
      </c>
    </row>
    <row r="603" ht="15.75" customHeight="1">
      <c r="B603" s="182" t="n">
        <v>587</v>
      </c>
      <c r="C603" s="182">
        <f>IFERROR(VLOOKUP($B603,calc_data,C$14+1,0),0)</f>
        <v/>
      </c>
      <c r="D603" s="182">
        <f>IFERROR(VLOOKUP($B603,calc_data,D$14+1,0),0)</f>
        <v/>
      </c>
      <c r="E603" s="183">
        <f>IFERROR(VLOOKUP($B603,calc_data,E$14+1,0),0)</f>
        <v/>
      </c>
      <c r="F603" s="182">
        <f>IFERROR(VLOOKUP($B603,calc_data,F$14+1,0),0)</f>
        <v/>
      </c>
      <c r="G603" s="141">
        <f>IFERROR(VLOOKUP($B603,calc_data,G$14+1,0),0)</f>
        <v/>
      </c>
      <c r="H603" s="141">
        <f>IFERROR(VLOOKUP($B603,calc_data,H$14+1,0),0)</f>
        <v/>
      </c>
      <c r="I603" s="142">
        <f>IFERROR(VLOOKUP($B603,calc_data,I$14+1,0),0)</f>
        <v/>
      </c>
      <c r="J603" s="141">
        <f>IFERROR(VLOOKUP($B603,calc_data,J$14+1,0),0)</f>
        <v/>
      </c>
      <c r="K603" s="141">
        <f>IFERROR(VLOOKUP($B603,calc_data,K$14+1,0),0)</f>
        <v/>
      </c>
      <c r="L603" s="141">
        <f>IFERROR(VLOOKUP($B603,calc_data,L$14+1,0),0)</f>
        <v/>
      </c>
      <c r="M603" s="177">
        <f>IFERROR(VLOOKUP($B603,calc_data,M$14+1,0),0)</f>
        <v/>
      </c>
      <c r="N603" s="177">
        <f>IFERROR(VLOOKUP($B603,calc_data,N$14+1,0),0)</f>
        <v/>
      </c>
      <c r="O603" s="45" t="n"/>
      <c r="Q603" s="57">
        <f>IF(K603&gt;0,"показать","скрыть")</f>
        <v/>
      </c>
    </row>
    <row r="604" ht="15.75" customHeight="1">
      <c r="B604" s="182" t="n">
        <v>588</v>
      </c>
      <c r="C604" s="182">
        <f>IFERROR(VLOOKUP($B604,calc_data,C$14+1,0),0)</f>
        <v/>
      </c>
      <c r="D604" s="182">
        <f>IFERROR(VLOOKUP($B604,calc_data,D$14+1,0),0)</f>
        <v/>
      </c>
      <c r="E604" s="183">
        <f>IFERROR(VLOOKUP($B604,calc_data,E$14+1,0),0)</f>
        <v/>
      </c>
      <c r="F604" s="182">
        <f>IFERROR(VLOOKUP($B604,calc_data,F$14+1,0),0)</f>
        <v/>
      </c>
      <c r="G604" s="141">
        <f>IFERROR(VLOOKUP($B604,calc_data,G$14+1,0),0)</f>
        <v/>
      </c>
      <c r="H604" s="141">
        <f>IFERROR(VLOOKUP($B604,calc_data,H$14+1,0),0)</f>
        <v/>
      </c>
      <c r="I604" s="142">
        <f>IFERROR(VLOOKUP($B604,calc_data,I$14+1,0),0)</f>
        <v/>
      </c>
      <c r="J604" s="141">
        <f>IFERROR(VLOOKUP($B604,calc_data,J$14+1,0),0)</f>
        <v/>
      </c>
      <c r="K604" s="141">
        <f>IFERROR(VLOOKUP($B604,calc_data,K$14+1,0),0)</f>
        <v/>
      </c>
      <c r="L604" s="141">
        <f>IFERROR(VLOOKUP($B604,calc_data,L$14+1,0),0)</f>
        <v/>
      </c>
      <c r="M604" s="177">
        <f>IFERROR(VLOOKUP($B604,calc_data,M$14+1,0),0)</f>
        <v/>
      </c>
      <c r="N604" s="177">
        <f>IFERROR(VLOOKUP($B604,calc_data,N$14+1,0),0)</f>
        <v/>
      </c>
      <c r="O604" s="45" t="n"/>
      <c r="Q604" s="57">
        <f>IF(K604&gt;0,"показать","скрыть")</f>
        <v/>
      </c>
    </row>
    <row r="605" ht="15.75" customHeight="1">
      <c r="B605" s="182" t="n">
        <v>589</v>
      </c>
      <c r="C605" s="182">
        <f>IFERROR(VLOOKUP($B605,calc_data,C$14+1,0),0)</f>
        <v/>
      </c>
      <c r="D605" s="182">
        <f>IFERROR(VLOOKUP($B605,calc_data,D$14+1,0),0)</f>
        <v/>
      </c>
      <c r="E605" s="183">
        <f>IFERROR(VLOOKUP($B605,calc_data,E$14+1,0),0)</f>
        <v/>
      </c>
      <c r="F605" s="182">
        <f>IFERROR(VLOOKUP($B605,calc_data,F$14+1,0),0)</f>
        <v/>
      </c>
      <c r="G605" s="141">
        <f>IFERROR(VLOOKUP($B605,calc_data,G$14+1,0),0)</f>
        <v/>
      </c>
      <c r="H605" s="141">
        <f>IFERROR(VLOOKUP($B605,calc_data,H$14+1,0),0)</f>
        <v/>
      </c>
      <c r="I605" s="142">
        <f>IFERROR(VLOOKUP($B605,calc_data,I$14+1,0),0)</f>
        <v/>
      </c>
      <c r="J605" s="141">
        <f>IFERROR(VLOOKUP($B605,calc_data,J$14+1,0),0)</f>
        <v/>
      </c>
      <c r="K605" s="141">
        <f>IFERROR(VLOOKUP($B605,calc_data,K$14+1,0),0)</f>
        <v/>
      </c>
      <c r="L605" s="141">
        <f>IFERROR(VLOOKUP($B605,calc_data,L$14+1,0),0)</f>
        <v/>
      </c>
      <c r="M605" s="177">
        <f>IFERROR(VLOOKUP($B605,calc_data,M$14+1,0),0)</f>
        <v/>
      </c>
      <c r="N605" s="177">
        <f>IFERROR(VLOOKUP($B605,calc_data,N$14+1,0),0)</f>
        <v/>
      </c>
      <c r="O605" s="45" t="n"/>
      <c r="Q605" s="57">
        <f>IF(K605&gt;0,"показать","скрыть")</f>
        <v/>
      </c>
    </row>
    <row r="606" ht="15.75" customHeight="1">
      <c r="B606" s="182" t="n">
        <v>590</v>
      </c>
      <c r="C606" s="182">
        <f>IFERROR(VLOOKUP($B606,calc_data,C$14+1,0),0)</f>
        <v/>
      </c>
      <c r="D606" s="182">
        <f>IFERROR(VLOOKUP($B606,calc_data,D$14+1,0),0)</f>
        <v/>
      </c>
      <c r="E606" s="183">
        <f>IFERROR(VLOOKUP($B606,calc_data,E$14+1,0),0)</f>
        <v/>
      </c>
      <c r="F606" s="182">
        <f>IFERROR(VLOOKUP($B606,calc_data,F$14+1,0),0)</f>
        <v/>
      </c>
      <c r="G606" s="141">
        <f>IFERROR(VLOOKUP($B606,calc_data,G$14+1,0),0)</f>
        <v/>
      </c>
      <c r="H606" s="141">
        <f>IFERROR(VLOOKUP($B606,calc_data,H$14+1,0),0)</f>
        <v/>
      </c>
      <c r="I606" s="142">
        <f>IFERROR(VLOOKUP($B606,calc_data,I$14+1,0),0)</f>
        <v/>
      </c>
      <c r="J606" s="141">
        <f>IFERROR(VLOOKUP($B606,calc_data,J$14+1,0),0)</f>
        <v/>
      </c>
      <c r="K606" s="141">
        <f>IFERROR(VLOOKUP($B606,calc_data,K$14+1,0),0)</f>
        <v/>
      </c>
      <c r="L606" s="141">
        <f>IFERROR(VLOOKUP($B606,calc_data,L$14+1,0),0)</f>
        <v/>
      </c>
      <c r="M606" s="177">
        <f>IFERROR(VLOOKUP($B606,calc_data,M$14+1,0),0)</f>
        <v/>
      </c>
      <c r="N606" s="177">
        <f>IFERROR(VLOOKUP($B606,calc_data,N$14+1,0),0)</f>
        <v/>
      </c>
      <c r="O606" s="45" t="n"/>
      <c r="Q606" s="57">
        <f>IF(K606&gt;0,"показать","скрыть")</f>
        <v/>
      </c>
    </row>
    <row r="607" ht="15.75" customHeight="1">
      <c r="B607" s="182" t="n">
        <v>591</v>
      </c>
      <c r="C607" s="182">
        <f>IFERROR(VLOOKUP($B607,calc_data,C$14+1,0),0)</f>
        <v/>
      </c>
      <c r="D607" s="182">
        <f>IFERROR(VLOOKUP($B607,calc_data,D$14+1,0),0)</f>
        <v/>
      </c>
      <c r="E607" s="183">
        <f>IFERROR(VLOOKUP($B607,calc_data,E$14+1,0),0)</f>
        <v/>
      </c>
      <c r="F607" s="182">
        <f>IFERROR(VLOOKUP($B607,calc_data,F$14+1,0),0)</f>
        <v/>
      </c>
      <c r="G607" s="141">
        <f>IFERROR(VLOOKUP($B607,calc_data,G$14+1,0),0)</f>
        <v/>
      </c>
      <c r="H607" s="141">
        <f>IFERROR(VLOOKUP($B607,calc_data,H$14+1,0),0)</f>
        <v/>
      </c>
      <c r="I607" s="142">
        <f>IFERROR(VLOOKUP($B607,calc_data,I$14+1,0),0)</f>
        <v/>
      </c>
      <c r="J607" s="141">
        <f>IFERROR(VLOOKUP($B607,calc_data,J$14+1,0),0)</f>
        <v/>
      </c>
      <c r="K607" s="141">
        <f>IFERROR(VLOOKUP($B607,calc_data,K$14+1,0),0)</f>
        <v/>
      </c>
      <c r="L607" s="141">
        <f>IFERROR(VLOOKUP($B607,calc_data,L$14+1,0),0)</f>
        <v/>
      </c>
      <c r="M607" s="177">
        <f>IFERROR(VLOOKUP($B607,calc_data,M$14+1,0),0)</f>
        <v/>
      </c>
      <c r="N607" s="177">
        <f>IFERROR(VLOOKUP($B607,calc_data,N$14+1,0),0)</f>
        <v/>
      </c>
      <c r="O607" s="45" t="n"/>
      <c r="Q607" s="57">
        <f>IF(K607&gt;0,"показать","скрыть")</f>
        <v/>
      </c>
    </row>
    <row r="608" ht="15.75" customHeight="1">
      <c r="B608" s="182" t="n">
        <v>592</v>
      </c>
      <c r="C608" s="182">
        <f>IFERROR(VLOOKUP($B608,calc_data,C$14+1,0),0)</f>
        <v/>
      </c>
      <c r="D608" s="182">
        <f>IFERROR(VLOOKUP($B608,calc_data,D$14+1,0),0)</f>
        <v/>
      </c>
      <c r="E608" s="183">
        <f>IFERROR(VLOOKUP($B608,calc_data,E$14+1,0),0)</f>
        <v/>
      </c>
      <c r="F608" s="182">
        <f>IFERROR(VLOOKUP($B608,calc_data,F$14+1,0),0)</f>
        <v/>
      </c>
      <c r="G608" s="141">
        <f>IFERROR(VLOOKUP($B608,calc_data,G$14+1,0),0)</f>
        <v/>
      </c>
      <c r="H608" s="141">
        <f>IFERROR(VLOOKUP($B608,calc_data,H$14+1,0),0)</f>
        <v/>
      </c>
      <c r="I608" s="142">
        <f>IFERROR(VLOOKUP($B608,calc_data,I$14+1,0),0)</f>
        <v/>
      </c>
      <c r="J608" s="141">
        <f>IFERROR(VLOOKUP($B608,calc_data,J$14+1,0),0)</f>
        <v/>
      </c>
      <c r="K608" s="141">
        <f>IFERROR(VLOOKUP($B608,calc_data,K$14+1,0),0)</f>
        <v/>
      </c>
      <c r="L608" s="141">
        <f>IFERROR(VLOOKUP($B608,calc_data,L$14+1,0),0)</f>
        <v/>
      </c>
      <c r="M608" s="177">
        <f>IFERROR(VLOOKUP($B608,calc_data,M$14+1,0),0)</f>
        <v/>
      </c>
      <c r="N608" s="177">
        <f>IFERROR(VLOOKUP($B608,calc_data,N$14+1,0),0)</f>
        <v/>
      </c>
      <c r="O608" s="45" t="n"/>
      <c r="Q608" s="57">
        <f>IF(K608&gt;0,"показать","скрыть")</f>
        <v/>
      </c>
    </row>
    <row r="609" ht="15.75" customHeight="1">
      <c r="B609" s="182" t="n">
        <v>593</v>
      </c>
      <c r="C609" s="182">
        <f>IFERROR(VLOOKUP($B609,calc_data,C$14+1,0),0)</f>
        <v/>
      </c>
      <c r="D609" s="182">
        <f>IFERROR(VLOOKUP($B609,calc_data,D$14+1,0),0)</f>
        <v/>
      </c>
      <c r="E609" s="183">
        <f>IFERROR(VLOOKUP($B609,calc_data,E$14+1,0),0)</f>
        <v/>
      </c>
      <c r="F609" s="182">
        <f>IFERROR(VLOOKUP($B609,calc_data,F$14+1,0),0)</f>
        <v/>
      </c>
      <c r="G609" s="141">
        <f>IFERROR(VLOOKUP($B609,calc_data,G$14+1,0),0)</f>
        <v/>
      </c>
      <c r="H609" s="141">
        <f>IFERROR(VLOOKUP($B609,calc_data,H$14+1,0),0)</f>
        <v/>
      </c>
      <c r="I609" s="142">
        <f>IFERROR(VLOOKUP($B609,calc_data,I$14+1,0),0)</f>
        <v/>
      </c>
      <c r="J609" s="141">
        <f>IFERROR(VLOOKUP($B609,calc_data,J$14+1,0),0)</f>
        <v/>
      </c>
      <c r="K609" s="141">
        <f>IFERROR(VLOOKUP($B609,calc_data,K$14+1,0),0)</f>
        <v/>
      </c>
      <c r="L609" s="141">
        <f>IFERROR(VLOOKUP($B609,calc_data,L$14+1,0),0)</f>
        <v/>
      </c>
      <c r="M609" s="177">
        <f>IFERROR(VLOOKUP($B609,calc_data,M$14+1,0),0)</f>
        <v/>
      </c>
      <c r="N609" s="177">
        <f>IFERROR(VLOOKUP($B609,calc_data,N$14+1,0),0)</f>
        <v/>
      </c>
      <c r="O609" s="45" t="n"/>
      <c r="Q609" s="57">
        <f>IF(K609&gt;0,"показать","скрыть")</f>
        <v/>
      </c>
    </row>
    <row r="610" ht="15.75" customHeight="1">
      <c r="B610" s="182" t="n">
        <v>594</v>
      </c>
      <c r="C610" s="182">
        <f>IFERROR(VLOOKUP($B610,calc_data,C$14+1,0),0)</f>
        <v/>
      </c>
      <c r="D610" s="182">
        <f>IFERROR(VLOOKUP($B610,calc_data,D$14+1,0),0)</f>
        <v/>
      </c>
      <c r="E610" s="183">
        <f>IFERROR(VLOOKUP($B610,calc_data,E$14+1,0),0)</f>
        <v/>
      </c>
      <c r="F610" s="182">
        <f>IFERROR(VLOOKUP($B610,calc_data,F$14+1,0),0)</f>
        <v/>
      </c>
      <c r="G610" s="141">
        <f>IFERROR(VLOOKUP($B610,calc_data,G$14+1,0),0)</f>
        <v/>
      </c>
      <c r="H610" s="141">
        <f>IFERROR(VLOOKUP($B610,calc_data,H$14+1,0),0)</f>
        <v/>
      </c>
      <c r="I610" s="142">
        <f>IFERROR(VLOOKUP($B610,calc_data,I$14+1,0),0)</f>
        <v/>
      </c>
      <c r="J610" s="141">
        <f>IFERROR(VLOOKUP($B610,calc_data,J$14+1,0),0)</f>
        <v/>
      </c>
      <c r="K610" s="141">
        <f>IFERROR(VLOOKUP($B610,calc_data,K$14+1,0),0)</f>
        <v/>
      </c>
      <c r="L610" s="141">
        <f>IFERROR(VLOOKUP($B610,calc_data,L$14+1,0),0)</f>
        <v/>
      </c>
      <c r="M610" s="177">
        <f>IFERROR(VLOOKUP($B610,calc_data,M$14+1,0),0)</f>
        <v/>
      </c>
      <c r="N610" s="177">
        <f>IFERROR(VLOOKUP($B610,calc_data,N$14+1,0),0)</f>
        <v/>
      </c>
      <c r="O610" s="45" t="n"/>
      <c r="Q610" s="57">
        <f>IF(K610&gt;0,"показать","скрыть")</f>
        <v/>
      </c>
    </row>
    <row r="611" ht="15.75" customHeight="1">
      <c r="B611" s="182" t="n">
        <v>595</v>
      </c>
      <c r="C611" s="182">
        <f>IFERROR(VLOOKUP($B611,calc_data,C$14+1,0),0)</f>
        <v/>
      </c>
      <c r="D611" s="182">
        <f>IFERROR(VLOOKUP($B611,calc_data,D$14+1,0),0)</f>
        <v/>
      </c>
      <c r="E611" s="183">
        <f>IFERROR(VLOOKUP($B611,calc_data,E$14+1,0),0)</f>
        <v/>
      </c>
      <c r="F611" s="182">
        <f>IFERROR(VLOOKUP($B611,calc_data,F$14+1,0),0)</f>
        <v/>
      </c>
      <c r="G611" s="141">
        <f>IFERROR(VLOOKUP($B611,calc_data,G$14+1,0),0)</f>
        <v/>
      </c>
      <c r="H611" s="141">
        <f>IFERROR(VLOOKUP($B611,calc_data,H$14+1,0),0)</f>
        <v/>
      </c>
      <c r="I611" s="142">
        <f>IFERROR(VLOOKUP($B611,calc_data,I$14+1,0),0)</f>
        <v/>
      </c>
      <c r="J611" s="141">
        <f>IFERROR(VLOOKUP($B611,calc_data,J$14+1,0),0)</f>
        <v/>
      </c>
      <c r="K611" s="141">
        <f>IFERROR(VLOOKUP($B611,calc_data,K$14+1,0),0)</f>
        <v/>
      </c>
      <c r="L611" s="141">
        <f>IFERROR(VLOOKUP($B611,calc_data,L$14+1,0),0)</f>
        <v/>
      </c>
      <c r="M611" s="177">
        <f>IFERROR(VLOOKUP($B611,calc_data,M$14+1,0),0)</f>
        <v/>
      </c>
      <c r="N611" s="177">
        <f>IFERROR(VLOOKUP($B611,calc_data,N$14+1,0),0)</f>
        <v/>
      </c>
      <c r="O611" s="45" t="n"/>
      <c r="Q611" s="57">
        <f>IF(K611&gt;0,"показать","скрыть")</f>
        <v/>
      </c>
    </row>
    <row r="612" ht="15.75" customHeight="1">
      <c r="B612" s="182" t="n">
        <v>596</v>
      </c>
      <c r="C612" s="182">
        <f>IFERROR(VLOOKUP($B612,calc_data,C$14+1,0),0)</f>
        <v/>
      </c>
      <c r="D612" s="182">
        <f>IFERROR(VLOOKUP($B612,calc_data,D$14+1,0),0)</f>
        <v/>
      </c>
      <c r="E612" s="183">
        <f>IFERROR(VLOOKUP($B612,calc_data,E$14+1,0),0)</f>
        <v/>
      </c>
      <c r="F612" s="182">
        <f>IFERROR(VLOOKUP($B612,calc_data,F$14+1,0),0)</f>
        <v/>
      </c>
      <c r="G612" s="141">
        <f>IFERROR(VLOOKUP($B612,calc_data,G$14+1,0),0)</f>
        <v/>
      </c>
      <c r="H612" s="141">
        <f>IFERROR(VLOOKUP($B612,calc_data,H$14+1,0),0)</f>
        <v/>
      </c>
      <c r="I612" s="142">
        <f>IFERROR(VLOOKUP($B612,calc_data,I$14+1,0),0)</f>
        <v/>
      </c>
      <c r="J612" s="141">
        <f>IFERROR(VLOOKUP($B612,calc_data,J$14+1,0),0)</f>
        <v/>
      </c>
      <c r="K612" s="141">
        <f>IFERROR(VLOOKUP($B612,calc_data,K$14+1,0),0)</f>
        <v/>
      </c>
      <c r="L612" s="141">
        <f>IFERROR(VLOOKUP($B612,calc_data,L$14+1,0),0)</f>
        <v/>
      </c>
      <c r="M612" s="177">
        <f>IFERROR(VLOOKUP($B612,calc_data,M$14+1,0),0)</f>
        <v/>
      </c>
      <c r="N612" s="177">
        <f>IFERROR(VLOOKUP($B612,calc_data,N$14+1,0),0)</f>
        <v/>
      </c>
      <c r="O612" s="45" t="n"/>
      <c r="Q612" s="57">
        <f>IF(K612&gt;0,"показать","скрыть")</f>
        <v/>
      </c>
    </row>
    <row r="613" ht="15.75" customHeight="1">
      <c r="B613" s="182" t="n">
        <v>597</v>
      </c>
      <c r="C613" s="182">
        <f>IFERROR(VLOOKUP($B613,calc_data,C$14+1,0),0)</f>
        <v/>
      </c>
      <c r="D613" s="182">
        <f>IFERROR(VLOOKUP($B613,calc_data,D$14+1,0),0)</f>
        <v/>
      </c>
      <c r="E613" s="183">
        <f>IFERROR(VLOOKUP($B613,calc_data,E$14+1,0),0)</f>
        <v/>
      </c>
      <c r="F613" s="182">
        <f>IFERROR(VLOOKUP($B613,calc_data,F$14+1,0),0)</f>
        <v/>
      </c>
      <c r="G613" s="141">
        <f>IFERROR(VLOOKUP($B613,calc_data,G$14+1,0),0)</f>
        <v/>
      </c>
      <c r="H613" s="141">
        <f>IFERROR(VLOOKUP($B613,calc_data,H$14+1,0),0)</f>
        <v/>
      </c>
      <c r="I613" s="142">
        <f>IFERROR(VLOOKUP($B613,calc_data,I$14+1,0),0)</f>
        <v/>
      </c>
      <c r="J613" s="141">
        <f>IFERROR(VLOOKUP($B613,calc_data,J$14+1,0),0)</f>
        <v/>
      </c>
      <c r="K613" s="141">
        <f>IFERROR(VLOOKUP($B613,calc_data,K$14+1,0),0)</f>
        <v/>
      </c>
      <c r="L613" s="141">
        <f>IFERROR(VLOOKUP($B613,calc_data,L$14+1,0),0)</f>
        <v/>
      </c>
      <c r="M613" s="177">
        <f>IFERROR(VLOOKUP($B613,calc_data,M$14+1,0),0)</f>
        <v/>
      </c>
      <c r="N613" s="177">
        <f>IFERROR(VLOOKUP($B613,calc_data,N$14+1,0),0)</f>
        <v/>
      </c>
      <c r="O613" s="45" t="n"/>
      <c r="Q613" s="57">
        <f>IF(K613&gt;0,"показать","скрыть")</f>
        <v/>
      </c>
    </row>
    <row r="614" ht="15.75" customHeight="1">
      <c r="B614" s="182" t="n">
        <v>598</v>
      </c>
      <c r="C614" s="182">
        <f>IFERROR(VLOOKUP($B614,calc_data,C$14+1,0),0)</f>
        <v/>
      </c>
      <c r="D614" s="182">
        <f>IFERROR(VLOOKUP($B614,calc_data,D$14+1,0),0)</f>
        <v/>
      </c>
      <c r="E614" s="183">
        <f>IFERROR(VLOOKUP($B614,calc_data,E$14+1,0),0)</f>
        <v/>
      </c>
      <c r="F614" s="182">
        <f>IFERROR(VLOOKUP($B614,calc_data,F$14+1,0),0)</f>
        <v/>
      </c>
      <c r="G614" s="141">
        <f>IFERROR(VLOOKUP($B614,calc_data,G$14+1,0),0)</f>
        <v/>
      </c>
      <c r="H614" s="141">
        <f>IFERROR(VLOOKUP($B614,calc_data,H$14+1,0),0)</f>
        <v/>
      </c>
      <c r="I614" s="142">
        <f>IFERROR(VLOOKUP($B614,calc_data,I$14+1,0),0)</f>
        <v/>
      </c>
      <c r="J614" s="141">
        <f>IFERROR(VLOOKUP($B614,calc_data,J$14+1,0),0)</f>
        <v/>
      </c>
      <c r="K614" s="141">
        <f>IFERROR(VLOOKUP($B614,calc_data,K$14+1,0),0)</f>
        <v/>
      </c>
      <c r="L614" s="141">
        <f>IFERROR(VLOOKUP($B614,calc_data,L$14+1,0),0)</f>
        <v/>
      </c>
      <c r="M614" s="177">
        <f>IFERROR(VLOOKUP($B614,calc_data,M$14+1,0),0)</f>
        <v/>
      </c>
      <c r="N614" s="177">
        <f>IFERROR(VLOOKUP($B614,calc_data,N$14+1,0),0)</f>
        <v/>
      </c>
      <c r="O614" s="45" t="n"/>
      <c r="Q614" s="57">
        <f>IF(K614&gt;0,"показать","скрыть")</f>
        <v/>
      </c>
    </row>
    <row r="615" ht="15.75" customHeight="1">
      <c r="B615" s="182" t="n">
        <v>599</v>
      </c>
      <c r="C615" s="182">
        <f>IFERROR(VLOOKUP($B615,calc_data,C$14+1,0),0)</f>
        <v/>
      </c>
      <c r="D615" s="182">
        <f>IFERROR(VLOOKUP($B615,calc_data,D$14+1,0),0)</f>
        <v/>
      </c>
      <c r="E615" s="183">
        <f>IFERROR(VLOOKUP($B615,calc_data,E$14+1,0),0)</f>
        <v/>
      </c>
      <c r="F615" s="182">
        <f>IFERROR(VLOOKUP($B615,calc_data,F$14+1,0),0)</f>
        <v/>
      </c>
      <c r="G615" s="141">
        <f>IFERROR(VLOOKUP($B615,calc_data,G$14+1,0),0)</f>
        <v/>
      </c>
      <c r="H615" s="141">
        <f>IFERROR(VLOOKUP($B615,calc_data,H$14+1,0),0)</f>
        <v/>
      </c>
      <c r="I615" s="142">
        <f>IFERROR(VLOOKUP($B615,calc_data,I$14+1,0),0)</f>
        <v/>
      </c>
      <c r="J615" s="141">
        <f>IFERROR(VLOOKUP($B615,calc_data,J$14+1,0),0)</f>
        <v/>
      </c>
      <c r="K615" s="141">
        <f>IFERROR(VLOOKUP($B615,calc_data,K$14+1,0),0)</f>
        <v/>
      </c>
      <c r="L615" s="141">
        <f>IFERROR(VLOOKUP($B615,calc_data,L$14+1,0),0)</f>
        <v/>
      </c>
      <c r="M615" s="177">
        <f>IFERROR(VLOOKUP($B615,calc_data,M$14+1,0),0)</f>
        <v/>
      </c>
      <c r="N615" s="177">
        <f>IFERROR(VLOOKUP($B615,calc_data,N$14+1,0),0)</f>
        <v/>
      </c>
      <c r="O615" s="45" t="n"/>
      <c r="Q615" s="57">
        <f>IF(K615&gt;0,"показать","скрыть")</f>
        <v/>
      </c>
    </row>
    <row r="616" ht="15.75" customHeight="1">
      <c r="B616" s="182" t="n">
        <v>600</v>
      </c>
      <c r="C616" s="182">
        <f>IFERROR(VLOOKUP($B616,calc_data,C$14+1,0),0)</f>
        <v/>
      </c>
      <c r="D616" s="182">
        <f>IFERROR(VLOOKUP($B616,calc_data,D$14+1,0),0)</f>
        <v/>
      </c>
      <c r="E616" s="183">
        <f>IFERROR(VLOOKUP($B616,calc_data,E$14+1,0),0)</f>
        <v/>
      </c>
      <c r="F616" s="182">
        <f>IFERROR(VLOOKUP($B616,calc_data,F$14+1,0),0)</f>
        <v/>
      </c>
      <c r="G616" s="141">
        <f>IFERROR(VLOOKUP($B616,calc_data,G$14+1,0),0)</f>
        <v/>
      </c>
      <c r="H616" s="141">
        <f>IFERROR(VLOOKUP($B616,calc_data,H$14+1,0),0)</f>
        <v/>
      </c>
      <c r="I616" s="142">
        <f>IFERROR(VLOOKUP($B616,calc_data,I$14+1,0),0)</f>
        <v/>
      </c>
      <c r="J616" s="141">
        <f>IFERROR(VLOOKUP($B616,calc_data,J$14+1,0),0)</f>
        <v/>
      </c>
      <c r="K616" s="141">
        <f>IFERROR(VLOOKUP($B616,calc_data,K$14+1,0),0)</f>
        <v/>
      </c>
      <c r="L616" s="141">
        <f>IFERROR(VLOOKUP($B616,calc_data,L$14+1,0),0)</f>
        <v/>
      </c>
      <c r="M616" s="177">
        <f>IFERROR(VLOOKUP($B616,calc_data,M$14+1,0),0)</f>
        <v/>
      </c>
      <c r="N616" s="177">
        <f>IFERROR(VLOOKUP($B616,calc_data,N$14+1,0),0)</f>
        <v/>
      </c>
      <c r="O616" s="45" t="n"/>
      <c r="Q616" s="57">
        <f>IF(K616&gt;0,"показать","скрыть")</f>
        <v/>
      </c>
    </row>
    <row r="617" ht="15.75" customHeight="1">
      <c r="B617" s="182" t="n">
        <v>601</v>
      </c>
      <c r="C617" s="182">
        <f>IFERROR(VLOOKUP($B617,calc_data,C$14+1,0),0)</f>
        <v/>
      </c>
      <c r="D617" s="182">
        <f>IFERROR(VLOOKUP($B617,calc_data,D$14+1,0),0)</f>
        <v/>
      </c>
      <c r="E617" s="183">
        <f>IFERROR(VLOOKUP($B617,calc_data,E$14+1,0),0)</f>
        <v/>
      </c>
      <c r="F617" s="182">
        <f>IFERROR(VLOOKUP($B617,calc_data,F$14+1,0),0)</f>
        <v/>
      </c>
      <c r="G617" s="141">
        <f>IFERROR(VLOOKUP($B617,calc_data,G$14+1,0),0)</f>
        <v/>
      </c>
      <c r="H617" s="141">
        <f>IFERROR(VLOOKUP($B617,calc_data,H$14+1,0),0)</f>
        <v/>
      </c>
      <c r="I617" s="142">
        <f>IFERROR(VLOOKUP($B617,calc_data,I$14+1,0),0)</f>
        <v/>
      </c>
      <c r="J617" s="141">
        <f>IFERROR(VLOOKUP($B617,calc_data,J$14+1,0),0)</f>
        <v/>
      </c>
      <c r="K617" s="141">
        <f>IFERROR(VLOOKUP($B617,calc_data,K$14+1,0),0)</f>
        <v/>
      </c>
      <c r="L617" s="141">
        <f>IFERROR(VLOOKUP($B617,calc_data,L$14+1,0),0)</f>
        <v/>
      </c>
      <c r="M617" s="177">
        <f>IFERROR(VLOOKUP($B617,calc_data,M$14+1,0),0)</f>
        <v/>
      </c>
      <c r="N617" s="177">
        <f>IFERROR(VLOOKUP($B617,calc_data,N$14+1,0),0)</f>
        <v/>
      </c>
      <c r="O617" s="45" t="n"/>
      <c r="Q617" s="57">
        <f>IF(K617&gt;0,"показать","скрыть")</f>
        <v/>
      </c>
    </row>
    <row r="618" ht="15.75" customHeight="1">
      <c r="B618" s="182" t="n">
        <v>602</v>
      </c>
      <c r="C618" s="182">
        <f>IFERROR(VLOOKUP($B618,calc_data,C$14+1,0),0)</f>
        <v/>
      </c>
      <c r="D618" s="182">
        <f>IFERROR(VLOOKUP($B618,calc_data,D$14+1,0),0)</f>
        <v/>
      </c>
      <c r="E618" s="183">
        <f>IFERROR(VLOOKUP($B618,calc_data,E$14+1,0),0)</f>
        <v/>
      </c>
      <c r="F618" s="182">
        <f>IFERROR(VLOOKUP($B618,calc_data,F$14+1,0),0)</f>
        <v/>
      </c>
      <c r="G618" s="141">
        <f>IFERROR(VLOOKUP($B618,calc_data,G$14+1,0),0)</f>
        <v/>
      </c>
      <c r="H618" s="141">
        <f>IFERROR(VLOOKUP($B618,calc_data,H$14+1,0),0)</f>
        <v/>
      </c>
      <c r="I618" s="142">
        <f>IFERROR(VLOOKUP($B618,calc_data,I$14+1,0),0)</f>
        <v/>
      </c>
      <c r="J618" s="141">
        <f>IFERROR(VLOOKUP($B618,calc_data,J$14+1,0),0)</f>
        <v/>
      </c>
      <c r="K618" s="141">
        <f>IFERROR(VLOOKUP($B618,calc_data,K$14+1,0),0)</f>
        <v/>
      </c>
      <c r="L618" s="141">
        <f>IFERROR(VLOOKUP($B618,calc_data,L$14+1,0),0)</f>
        <v/>
      </c>
      <c r="M618" s="177">
        <f>IFERROR(VLOOKUP($B618,calc_data,M$14+1,0),0)</f>
        <v/>
      </c>
      <c r="N618" s="177">
        <f>IFERROR(VLOOKUP($B618,calc_data,N$14+1,0),0)</f>
        <v/>
      </c>
      <c r="O618" s="45" t="n"/>
      <c r="Q618" s="57">
        <f>IF(K618&gt;0,"показать","скрыть")</f>
        <v/>
      </c>
    </row>
    <row r="619" ht="15.75" customHeight="1">
      <c r="B619" s="182" t="n">
        <v>603</v>
      </c>
      <c r="C619" s="182">
        <f>IFERROR(VLOOKUP($B619,calc_data,C$14+1,0),0)</f>
        <v/>
      </c>
      <c r="D619" s="182">
        <f>IFERROR(VLOOKUP($B619,calc_data,D$14+1,0),0)</f>
        <v/>
      </c>
      <c r="E619" s="183">
        <f>IFERROR(VLOOKUP($B619,calc_data,E$14+1,0),0)</f>
        <v/>
      </c>
      <c r="F619" s="182">
        <f>IFERROR(VLOOKUP($B619,calc_data,F$14+1,0),0)</f>
        <v/>
      </c>
      <c r="G619" s="141">
        <f>IFERROR(VLOOKUP($B619,calc_data,G$14+1,0),0)</f>
        <v/>
      </c>
      <c r="H619" s="141">
        <f>IFERROR(VLOOKUP($B619,calc_data,H$14+1,0),0)</f>
        <v/>
      </c>
      <c r="I619" s="142">
        <f>IFERROR(VLOOKUP($B619,calc_data,I$14+1,0),0)</f>
        <v/>
      </c>
      <c r="J619" s="141">
        <f>IFERROR(VLOOKUP($B619,calc_data,J$14+1,0),0)</f>
        <v/>
      </c>
      <c r="K619" s="141">
        <f>IFERROR(VLOOKUP($B619,calc_data,K$14+1,0),0)</f>
        <v/>
      </c>
      <c r="L619" s="141">
        <f>IFERROR(VLOOKUP($B619,calc_data,L$14+1,0),0)</f>
        <v/>
      </c>
      <c r="M619" s="177">
        <f>IFERROR(VLOOKUP($B619,calc_data,M$14+1,0),0)</f>
        <v/>
      </c>
      <c r="N619" s="177">
        <f>IFERROR(VLOOKUP($B619,calc_data,N$14+1,0),0)</f>
        <v/>
      </c>
      <c r="O619" s="45" t="n"/>
      <c r="Q619" s="57">
        <f>IF(K619&gt;0,"показать","скрыть")</f>
        <v/>
      </c>
    </row>
    <row r="620" ht="15.75" customHeight="1">
      <c r="B620" s="182" t="n">
        <v>604</v>
      </c>
      <c r="C620" s="182">
        <f>IFERROR(VLOOKUP($B620,calc_data,C$14+1,0),0)</f>
        <v/>
      </c>
      <c r="D620" s="182">
        <f>IFERROR(VLOOKUP($B620,calc_data,D$14+1,0),0)</f>
        <v/>
      </c>
      <c r="E620" s="183">
        <f>IFERROR(VLOOKUP($B620,calc_data,E$14+1,0),0)</f>
        <v/>
      </c>
      <c r="F620" s="182">
        <f>IFERROR(VLOOKUP($B620,calc_data,F$14+1,0),0)</f>
        <v/>
      </c>
      <c r="G620" s="141">
        <f>IFERROR(VLOOKUP($B620,calc_data,G$14+1,0),0)</f>
        <v/>
      </c>
      <c r="H620" s="141">
        <f>IFERROR(VLOOKUP($B620,calc_data,H$14+1,0),0)</f>
        <v/>
      </c>
      <c r="I620" s="142">
        <f>IFERROR(VLOOKUP($B620,calc_data,I$14+1,0),0)</f>
        <v/>
      </c>
      <c r="J620" s="141">
        <f>IFERROR(VLOOKUP($B620,calc_data,J$14+1,0),0)</f>
        <v/>
      </c>
      <c r="K620" s="141">
        <f>IFERROR(VLOOKUP($B620,calc_data,K$14+1,0),0)</f>
        <v/>
      </c>
      <c r="L620" s="141">
        <f>IFERROR(VLOOKUP($B620,calc_data,L$14+1,0),0)</f>
        <v/>
      </c>
      <c r="M620" s="177">
        <f>IFERROR(VLOOKUP($B620,calc_data,M$14+1,0),0)</f>
        <v/>
      </c>
      <c r="N620" s="177">
        <f>IFERROR(VLOOKUP($B620,calc_data,N$14+1,0),0)</f>
        <v/>
      </c>
      <c r="O620" s="45" t="n"/>
      <c r="Q620" s="57">
        <f>IF(K620&gt;0,"показать","скрыть")</f>
        <v/>
      </c>
    </row>
    <row r="621" ht="15.75" customHeight="1">
      <c r="B621" s="182" t="n">
        <v>605</v>
      </c>
      <c r="C621" s="182">
        <f>IFERROR(VLOOKUP($B621,calc_data,C$14+1,0),0)</f>
        <v/>
      </c>
      <c r="D621" s="182">
        <f>IFERROR(VLOOKUP($B621,calc_data,D$14+1,0),0)</f>
        <v/>
      </c>
      <c r="E621" s="183">
        <f>IFERROR(VLOOKUP($B621,calc_data,E$14+1,0),0)</f>
        <v/>
      </c>
      <c r="F621" s="182">
        <f>IFERROR(VLOOKUP($B621,calc_data,F$14+1,0),0)</f>
        <v/>
      </c>
      <c r="G621" s="141">
        <f>IFERROR(VLOOKUP($B621,calc_data,G$14+1,0),0)</f>
        <v/>
      </c>
      <c r="H621" s="141">
        <f>IFERROR(VLOOKUP($B621,calc_data,H$14+1,0),0)</f>
        <v/>
      </c>
      <c r="I621" s="142">
        <f>IFERROR(VLOOKUP($B621,calc_data,I$14+1,0),0)</f>
        <v/>
      </c>
      <c r="J621" s="141">
        <f>IFERROR(VLOOKUP($B621,calc_data,J$14+1,0),0)</f>
        <v/>
      </c>
      <c r="K621" s="141">
        <f>IFERROR(VLOOKUP($B621,calc_data,K$14+1,0),0)</f>
        <v/>
      </c>
      <c r="L621" s="141">
        <f>IFERROR(VLOOKUP($B621,calc_data,L$14+1,0),0)</f>
        <v/>
      </c>
      <c r="M621" s="177">
        <f>IFERROR(VLOOKUP($B621,calc_data,M$14+1,0),0)</f>
        <v/>
      </c>
      <c r="N621" s="177">
        <f>IFERROR(VLOOKUP($B621,calc_data,N$14+1,0),0)</f>
        <v/>
      </c>
      <c r="O621" s="45" t="n"/>
      <c r="Q621" s="57">
        <f>IF(K621&gt;0,"показать","скрыть")</f>
        <v/>
      </c>
    </row>
    <row r="622" ht="15.75" customHeight="1">
      <c r="B622" s="182" t="n">
        <v>606</v>
      </c>
      <c r="C622" s="182">
        <f>IFERROR(VLOOKUP($B622,calc_data,C$14+1,0),0)</f>
        <v/>
      </c>
      <c r="D622" s="182">
        <f>IFERROR(VLOOKUP($B622,calc_data,D$14+1,0),0)</f>
        <v/>
      </c>
      <c r="E622" s="183">
        <f>IFERROR(VLOOKUP($B622,calc_data,E$14+1,0),0)</f>
        <v/>
      </c>
      <c r="F622" s="182">
        <f>IFERROR(VLOOKUP($B622,calc_data,F$14+1,0),0)</f>
        <v/>
      </c>
      <c r="G622" s="141">
        <f>IFERROR(VLOOKUP($B622,calc_data,G$14+1,0),0)</f>
        <v/>
      </c>
      <c r="H622" s="141">
        <f>IFERROR(VLOOKUP($B622,calc_data,H$14+1,0),0)</f>
        <v/>
      </c>
      <c r="I622" s="142">
        <f>IFERROR(VLOOKUP($B622,calc_data,I$14+1,0),0)</f>
        <v/>
      </c>
      <c r="J622" s="141">
        <f>IFERROR(VLOOKUP($B622,calc_data,J$14+1,0),0)</f>
        <v/>
      </c>
      <c r="K622" s="141">
        <f>IFERROR(VLOOKUP($B622,calc_data,K$14+1,0),0)</f>
        <v/>
      </c>
      <c r="L622" s="141">
        <f>IFERROR(VLOOKUP($B622,calc_data,L$14+1,0),0)</f>
        <v/>
      </c>
      <c r="M622" s="177">
        <f>IFERROR(VLOOKUP($B622,calc_data,M$14+1,0),0)</f>
        <v/>
      </c>
      <c r="N622" s="177">
        <f>IFERROR(VLOOKUP($B622,calc_data,N$14+1,0),0)</f>
        <v/>
      </c>
      <c r="O622" s="45" t="n"/>
      <c r="Q622" s="57">
        <f>IF(K622&gt;0,"показать","скрыть")</f>
        <v/>
      </c>
    </row>
    <row r="623" ht="15.75" customHeight="1">
      <c r="B623" s="182" t="n">
        <v>607</v>
      </c>
      <c r="C623" s="182">
        <f>IFERROR(VLOOKUP($B623,calc_data,C$14+1,0),0)</f>
        <v/>
      </c>
      <c r="D623" s="182">
        <f>IFERROR(VLOOKUP($B623,calc_data,D$14+1,0),0)</f>
        <v/>
      </c>
      <c r="E623" s="183">
        <f>IFERROR(VLOOKUP($B623,calc_data,E$14+1,0),0)</f>
        <v/>
      </c>
      <c r="F623" s="182">
        <f>IFERROR(VLOOKUP($B623,calc_data,F$14+1,0),0)</f>
        <v/>
      </c>
      <c r="G623" s="141">
        <f>IFERROR(VLOOKUP($B623,calc_data,G$14+1,0),0)</f>
        <v/>
      </c>
      <c r="H623" s="141">
        <f>IFERROR(VLOOKUP($B623,calc_data,H$14+1,0),0)</f>
        <v/>
      </c>
      <c r="I623" s="142">
        <f>IFERROR(VLOOKUP($B623,calc_data,I$14+1,0),0)</f>
        <v/>
      </c>
      <c r="J623" s="141">
        <f>IFERROR(VLOOKUP($B623,calc_data,J$14+1,0),0)</f>
        <v/>
      </c>
      <c r="K623" s="141">
        <f>IFERROR(VLOOKUP($B623,calc_data,K$14+1,0),0)</f>
        <v/>
      </c>
      <c r="L623" s="141">
        <f>IFERROR(VLOOKUP($B623,calc_data,L$14+1,0),0)</f>
        <v/>
      </c>
      <c r="M623" s="177">
        <f>IFERROR(VLOOKUP($B623,calc_data,M$14+1,0),0)</f>
        <v/>
      </c>
      <c r="N623" s="177">
        <f>IFERROR(VLOOKUP($B623,calc_data,N$14+1,0),0)</f>
        <v/>
      </c>
      <c r="O623" s="45" t="n"/>
      <c r="Q623" s="57">
        <f>IF(K623&gt;0,"показать","скрыть")</f>
        <v/>
      </c>
    </row>
    <row r="624" ht="15.75" customHeight="1">
      <c r="B624" s="182" t="n">
        <v>608</v>
      </c>
      <c r="C624" s="182">
        <f>IFERROR(VLOOKUP($B624,calc_data,C$14+1,0),0)</f>
        <v/>
      </c>
      <c r="D624" s="182">
        <f>IFERROR(VLOOKUP($B624,calc_data,D$14+1,0),0)</f>
        <v/>
      </c>
      <c r="E624" s="183">
        <f>IFERROR(VLOOKUP($B624,calc_data,E$14+1,0),0)</f>
        <v/>
      </c>
      <c r="F624" s="182">
        <f>IFERROR(VLOOKUP($B624,calc_data,F$14+1,0),0)</f>
        <v/>
      </c>
      <c r="G624" s="141">
        <f>IFERROR(VLOOKUP($B624,calc_data,G$14+1,0),0)</f>
        <v/>
      </c>
      <c r="H624" s="141">
        <f>IFERROR(VLOOKUP($B624,calc_data,H$14+1,0),0)</f>
        <v/>
      </c>
      <c r="I624" s="142">
        <f>IFERROR(VLOOKUP($B624,calc_data,I$14+1,0),0)</f>
        <v/>
      </c>
      <c r="J624" s="141">
        <f>IFERROR(VLOOKUP($B624,calc_data,J$14+1,0),0)</f>
        <v/>
      </c>
      <c r="K624" s="141">
        <f>IFERROR(VLOOKUP($B624,calc_data,K$14+1,0),0)</f>
        <v/>
      </c>
      <c r="L624" s="141">
        <f>IFERROR(VLOOKUP($B624,calc_data,L$14+1,0),0)</f>
        <v/>
      </c>
      <c r="M624" s="177">
        <f>IFERROR(VLOOKUP($B624,calc_data,M$14+1,0),0)</f>
        <v/>
      </c>
      <c r="N624" s="177">
        <f>IFERROR(VLOOKUP($B624,calc_data,N$14+1,0),0)</f>
        <v/>
      </c>
      <c r="O624" s="45" t="n"/>
      <c r="Q624" s="57">
        <f>IF(K624&gt;0,"показать","скрыть")</f>
        <v/>
      </c>
    </row>
    <row r="625" ht="15.75" customHeight="1">
      <c r="B625" s="182" t="n">
        <v>609</v>
      </c>
      <c r="C625" s="182">
        <f>IFERROR(VLOOKUP($B625,calc_data,C$14+1,0),0)</f>
        <v/>
      </c>
      <c r="D625" s="182">
        <f>IFERROR(VLOOKUP($B625,calc_data,D$14+1,0),0)</f>
        <v/>
      </c>
      <c r="E625" s="183">
        <f>IFERROR(VLOOKUP($B625,calc_data,E$14+1,0),0)</f>
        <v/>
      </c>
      <c r="F625" s="182">
        <f>IFERROR(VLOOKUP($B625,calc_data,F$14+1,0),0)</f>
        <v/>
      </c>
      <c r="G625" s="141">
        <f>IFERROR(VLOOKUP($B625,calc_data,G$14+1,0),0)</f>
        <v/>
      </c>
      <c r="H625" s="141">
        <f>IFERROR(VLOOKUP($B625,calc_data,H$14+1,0),0)</f>
        <v/>
      </c>
      <c r="I625" s="142">
        <f>IFERROR(VLOOKUP($B625,calc_data,I$14+1,0),0)</f>
        <v/>
      </c>
      <c r="J625" s="141">
        <f>IFERROR(VLOOKUP($B625,calc_data,J$14+1,0),0)</f>
        <v/>
      </c>
      <c r="K625" s="141">
        <f>IFERROR(VLOOKUP($B625,calc_data,K$14+1,0),0)</f>
        <v/>
      </c>
      <c r="L625" s="141">
        <f>IFERROR(VLOOKUP($B625,calc_data,L$14+1,0),0)</f>
        <v/>
      </c>
      <c r="M625" s="177">
        <f>IFERROR(VLOOKUP($B625,calc_data,M$14+1,0),0)</f>
        <v/>
      </c>
      <c r="N625" s="177">
        <f>IFERROR(VLOOKUP($B625,calc_data,N$14+1,0),0)</f>
        <v/>
      </c>
      <c r="O625" s="45" t="n"/>
      <c r="Q625" s="57">
        <f>IF(K625&gt;0,"показать","скрыть")</f>
        <v/>
      </c>
    </row>
    <row r="626" ht="15.75" customHeight="1">
      <c r="B626" s="182" t="n">
        <v>610</v>
      </c>
      <c r="C626" s="182">
        <f>IFERROR(VLOOKUP($B626,calc_data,C$14+1,0),0)</f>
        <v/>
      </c>
      <c r="D626" s="182">
        <f>IFERROR(VLOOKUP($B626,calc_data,D$14+1,0),0)</f>
        <v/>
      </c>
      <c r="E626" s="183">
        <f>IFERROR(VLOOKUP($B626,calc_data,E$14+1,0),0)</f>
        <v/>
      </c>
      <c r="F626" s="182">
        <f>IFERROR(VLOOKUP($B626,calc_data,F$14+1,0),0)</f>
        <v/>
      </c>
      <c r="G626" s="141">
        <f>IFERROR(VLOOKUP($B626,calc_data,G$14+1,0),0)</f>
        <v/>
      </c>
      <c r="H626" s="141">
        <f>IFERROR(VLOOKUP($B626,calc_data,H$14+1,0),0)</f>
        <v/>
      </c>
      <c r="I626" s="142">
        <f>IFERROR(VLOOKUP($B626,calc_data,I$14+1,0),0)</f>
        <v/>
      </c>
      <c r="J626" s="141">
        <f>IFERROR(VLOOKUP($B626,calc_data,J$14+1,0),0)</f>
        <v/>
      </c>
      <c r="K626" s="141">
        <f>IFERROR(VLOOKUP($B626,calc_data,K$14+1,0),0)</f>
        <v/>
      </c>
      <c r="L626" s="141">
        <f>IFERROR(VLOOKUP($B626,calc_data,L$14+1,0),0)</f>
        <v/>
      </c>
      <c r="M626" s="177">
        <f>IFERROR(VLOOKUP($B626,calc_data,M$14+1,0),0)</f>
        <v/>
      </c>
      <c r="N626" s="177">
        <f>IFERROR(VLOOKUP($B626,calc_data,N$14+1,0),0)</f>
        <v/>
      </c>
      <c r="O626" s="45" t="n"/>
      <c r="Q626" s="57">
        <f>IF(K626&gt;0,"показать","скрыть")</f>
        <v/>
      </c>
    </row>
    <row r="627" ht="15.75" customHeight="1">
      <c r="B627" s="182" t="n">
        <v>611</v>
      </c>
      <c r="C627" s="182">
        <f>IFERROR(VLOOKUP($B627,calc_data,C$14+1,0),0)</f>
        <v/>
      </c>
      <c r="D627" s="182">
        <f>IFERROR(VLOOKUP($B627,calc_data,D$14+1,0),0)</f>
        <v/>
      </c>
      <c r="E627" s="183">
        <f>IFERROR(VLOOKUP($B627,calc_data,E$14+1,0),0)</f>
        <v/>
      </c>
      <c r="F627" s="182">
        <f>IFERROR(VLOOKUP($B627,calc_data,F$14+1,0),0)</f>
        <v/>
      </c>
      <c r="G627" s="141">
        <f>IFERROR(VLOOKUP($B627,calc_data,G$14+1,0),0)</f>
        <v/>
      </c>
      <c r="H627" s="141">
        <f>IFERROR(VLOOKUP($B627,calc_data,H$14+1,0),0)</f>
        <v/>
      </c>
      <c r="I627" s="142">
        <f>IFERROR(VLOOKUP($B627,calc_data,I$14+1,0),0)</f>
        <v/>
      </c>
      <c r="J627" s="141">
        <f>IFERROR(VLOOKUP($B627,calc_data,J$14+1,0),0)</f>
        <v/>
      </c>
      <c r="K627" s="141">
        <f>IFERROR(VLOOKUP($B627,calc_data,K$14+1,0),0)</f>
        <v/>
      </c>
      <c r="L627" s="141">
        <f>IFERROR(VLOOKUP($B627,calc_data,L$14+1,0),0)</f>
        <v/>
      </c>
      <c r="M627" s="177">
        <f>IFERROR(VLOOKUP($B627,calc_data,M$14+1,0),0)</f>
        <v/>
      </c>
      <c r="N627" s="177">
        <f>IFERROR(VLOOKUP($B627,calc_data,N$14+1,0),0)</f>
        <v/>
      </c>
      <c r="O627" s="45" t="n"/>
      <c r="Q627" s="57">
        <f>IF(K627&gt;0,"показать","скрыть")</f>
        <v/>
      </c>
    </row>
    <row r="628" ht="15.75" customHeight="1">
      <c r="B628" s="182" t="n">
        <v>612</v>
      </c>
      <c r="C628" s="182">
        <f>IFERROR(VLOOKUP($B628,calc_data,C$14+1,0),0)</f>
        <v/>
      </c>
      <c r="D628" s="182">
        <f>IFERROR(VLOOKUP($B628,calc_data,D$14+1,0),0)</f>
        <v/>
      </c>
      <c r="E628" s="183">
        <f>IFERROR(VLOOKUP($B628,calc_data,E$14+1,0),0)</f>
        <v/>
      </c>
      <c r="F628" s="182">
        <f>IFERROR(VLOOKUP($B628,calc_data,F$14+1,0),0)</f>
        <v/>
      </c>
      <c r="G628" s="141">
        <f>IFERROR(VLOOKUP($B628,calc_data,G$14+1,0),0)</f>
        <v/>
      </c>
      <c r="H628" s="141">
        <f>IFERROR(VLOOKUP($B628,calc_data,H$14+1,0),0)</f>
        <v/>
      </c>
      <c r="I628" s="142">
        <f>IFERROR(VLOOKUP($B628,calc_data,I$14+1,0),0)</f>
        <v/>
      </c>
      <c r="J628" s="141">
        <f>IFERROR(VLOOKUP($B628,calc_data,J$14+1,0),0)</f>
        <v/>
      </c>
      <c r="K628" s="141">
        <f>IFERROR(VLOOKUP($B628,calc_data,K$14+1,0),0)</f>
        <v/>
      </c>
      <c r="L628" s="141">
        <f>IFERROR(VLOOKUP($B628,calc_data,L$14+1,0),0)</f>
        <v/>
      </c>
      <c r="M628" s="177">
        <f>IFERROR(VLOOKUP($B628,calc_data,M$14+1,0),0)</f>
        <v/>
      </c>
      <c r="N628" s="177">
        <f>IFERROR(VLOOKUP($B628,calc_data,N$14+1,0),0)</f>
        <v/>
      </c>
      <c r="O628" s="45" t="n"/>
      <c r="Q628" s="57">
        <f>IF(K628&gt;0,"показать","скрыть")</f>
        <v/>
      </c>
    </row>
    <row r="629" ht="15.75" customHeight="1">
      <c r="B629" s="182" t="n">
        <v>613</v>
      </c>
      <c r="C629" s="182">
        <f>IFERROR(VLOOKUP($B629,calc_data,C$14+1,0),0)</f>
        <v/>
      </c>
      <c r="D629" s="182">
        <f>IFERROR(VLOOKUP($B629,calc_data,D$14+1,0),0)</f>
        <v/>
      </c>
      <c r="E629" s="183">
        <f>IFERROR(VLOOKUP($B629,calc_data,E$14+1,0),0)</f>
        <v/>
      </c>
      <c r="F629" s="182">
        <f>IFERROR(VLOOKUP($B629,calc_data,F$14+1,0),0)</f>
        <v/>
      </c>
      <c r="G629" s="141">
        <f>IFERROR(VLOOKUP($B629,calc_data,G$14+1,0),0)</f>
        <v/>
      </c>
      <c r="H629" s="141">
        <f>IFERROR(VLOOKUP($B629,calc_data,H$14+1,0),0)</f>
        <v/>
      </c>
      <c r="I629" s="142">
        <f>IFERROR(VLOOKUP($B629,calc_data,I$14+1,0),0)</f>
        <v/>
      </c>
      <c r="J629" s="141">
        <f>IFERROR(VLOOKUP($B629,calc_data,J$14+1,0),0)</f>
        <v/>
      </c>
      <c r="K629" s="141">
        <f>IFERROR(VLOOKUP($B629,calc_data,K$14+1,0),0)</f>
        <v/>
      </c>
      <c r="L629" s="141">
        <f>IFERROR(VLOOKUP($B629,calc_data,L$14+1,0),0)</f>
        <v/>
      </c>
      <c r="M629" s="177">
        <f>IFERROR(VLOOKUP($B629,calc_data,M$14+1,0),0)</f>
        <v/>
      </c>
      <c r="N629" s="177">
        <f>IFERROR(VLOOKUP($B629,calc_data,N$14+1,0),0)</f>
        <v/>
      </c>
      <c r="O629" s="45" t="n"/>
      <c r="Q629" s="57">
        <f>IF(K629&gt;0,"показать","скрыть")</f>
        <v/>
      </c>
    </row>
    <row r="630" ht="15.75" customHeight="1">
      <c r="B630" s="182" t="n">
        <v>614</v>
      </c>
      <c r="C630" s="182">
        <f>IFERROR(VLOOKUP($B630,calc_data,C$14+1,0),0)</f>
        <v/>
      </c>
      <c r="D630" s="182">
        <f>IFERROR(VLOOKUP($B630,calc_data,D$14+1,0),0)</f>
        <v/>
      </c>
      <c r="E630" s="183">
        <f>IFERROR(VLOOKUP($B630,calc_data,E$14+1,0),0)</f>
        <v/>
      </c>
      <c r="F630" s="182">
        <f>IFERROR(VLOOKUP($B630,calc_data,F$14+1,0),0)</f>
        <v/>
      </c>
      <c r="G630" s="141">
        <f>IFERROR(VLOOKUP($B630,calc_data,G$14+1,0),0)</f>
        <v/>
      </c>
      <c r="H630" s="141">
        <f>IFERROR(VLOOKUP($B630,calc_data,H$14+1,0),0)</f>
        <v/>
      </c>
      <c r="I630" s="142">
        <f>IFERROR(VLOOKUP($B630,calc_data,I$14+1,0),0)</f>
        <v/>
      </c>
      <c r="J630" s="141">
        <f>IFERROR(VLOOKUP($B630,calc_data,J$14+1,0),0)</f>
        <v/>
      </c>
      <c r="K630" s="141">
        <f>IFERROR(VLOOKUP($B630,calc_data,K$14+1,0),0)</f>
        <v/>
      </c>
      <c r="L630" s="141">
        <f>IFERROR(VLOOKUP($B630,calc_data,L$14+1,0),0)</f>
        <v/>
      </c>
      <c r="M630" s="177">
        <f>IFERROR(VLOOKUP($B630,calc_data,M$14+1,0),0)</f>
        <v/>
      </c>
      <c r="N630" s="177">
        <f>IFERROR(VLOOKUP($B630,calc_data,N$14+1,0),0)</f>
        <v/>
      </c>
      <c r="O630" s="45" t="n"/>
      <c r="Q630" s="57">
        <f>IF(K630&gt;0,"показать","скрыть")</f>
        <v/>
      </c>
    </row>
    <row r="631" ht="15.75" customHeight="1">
      <c r="B631" s="182" t="n">
        <v>615</v>
      </c>
      <c r="C631" s="182">
        <f>IFERROR(VLOOKUP($B631,calc_data,C$14+1,0),0)</f>
        <v/>
      </c>
      <c r="D631" s="182">
        <f>IFERROR(VLOOKUP($B631,calc_data,D$14+1,0),0)</f>
        <v/>
      </c>
      <c r="E631" s="183">
        <f>IFERROR(VLOOKUP($B631,calc_data,E$14+1,0),0)</f>
        <v/>
      </c>
      <c r="F631" s="182">
        <f>IFERROR(VLOOKUP($B631,calc_data,F$14+1,0),0)</f>
        <v/>
      </c>
      <c r="G631" s="141">
        <f>IFERROR(VLOOKUP($B631,calc_data,G$14+1,0),0)</f>
        <v/>
      </c>
      <c r="H631" s="141">
        <f>IFERROR(VLOOKUP($B631,calc_data,H$14+1,0),0)</f>
        <v/>
      </c>
      <c r="I631" s="142">
        <f>IFERROR(VLOOKUP($B631,calc_data,I$14+1,0),0)</f>
        <v/>
      </c>
      <c r="J631" s="141">
        <f>IFERROR(VLOOKUP($B631,calc_data,J$14+1,0),0)</f>
        <v/>
      </c>
      <c r="K631" s="141">
        <f>IFERROR(VLOOKUP($B631,calc_data,K$14+1,0),0)</f>
        <v/>
      </c>
      <c r="L631" s="141">
        <f>IFERROR(VLOOKUP($B631,calc_data,L$14+1,0),0)</f>
        <v/>
      </c>
      <c r="M631" s="177">
        <f>IFERROR(VLOOKUP($B631,calc_data,M$14+1,0),0)</f>
        <v/>
      </c>
      <c r="N631" s="177">
        <f>IFERROR(VLOOKUP($B631,calc_data,N$14+1,0),0)</f>
        <v/>
      </c>
      <c r="O631" s="45" t="n"/>
      <c r="Q631" s="57">
        <f>IF(K631&gt;0,"показать","скрыть")</f>
        <v/>
      </c>
    </row>
    <row r="632" ht="15.75" customHeight="1">
      <c r="B632" s="182" t="n">
        <v>616</v>
      </c>
      <c r="C632" s="182">
        <f>IFERROR(VLOOKUP($B632,calc_data,C$14+1,0),0)</f>
        <v/>
      </c>
      <c r="D632" s="182">
        <f>IFERROR(VLOOKUP($B632,calc_data,D$14+1,0),0)</f>
        <v/>
      </c>
      <c r="E632" s="183">
        <f>IFERROR(VLOOKUP($B632,calc_data,E$14+1,0),0)</f>
        <v/>
      </c>
      <c r="F632" s="182">
        <f>IFERROR(VLOOKUP($B632,calc_data,F$14+1,0),0)</f>
        <v/>
      </c>
      <c r="G632" s="141">
        <f>IFERROR(VLOOKUP($B632,calc_data,G$14+1,0),0)</f>
        <v/>
      </c>
      <c r="H632" s="141">
        <f>IFERROR(VLOOKUP($B632,calc_data,H$14+1,0),0)</f>
        <v/>
      </c>
      <c r="I632" s="142">
        <f>IFERROR(VLOOKUP($B632,calc_data,I$14+1,0),0)</f>
        <v/>
      </c>
      <c r="J632" s="141">
        <f>IFERROR(VLOOKUP($B632,calc_data,J$14+1,0),0)</f>
        <v/>
      </c>
      <c r="K632" s="141">
        <f>IFERROR(VLOOKUP($B632,calc_data,K$14+1,0),0)</f>
        <v/>
      </c>
      <c r="L632" s="141">
        <f>IFERROR(VLOOKUP($B632,calc_data,L$14+1,0),0)</f>
        <v/>
      </c>
      <c r="M632" s="177">
        <f>IFERROR(VLOOKUP($B632,calc_data,M$14+1,0),0)</f>
        <v/>
      </c>
      <c r="N632" s="177">
        <f>IFERROR(VLOOKUP($B632,calc_data,N$14+1,0),0)</f>
        <v/>
      </c>
      <c r="O632" s="45" t="n"/>
      <c r="Q632" s="57">
        <f>IF(K632&gt;0,"показать","скрыть")</f>
        <v/>
      </c>
    </row>
    <row r="633" ht="15.75" customHeight="1">
      <c r="B633" s="182" t="n">
        <v>617</v>
      </c>
      <c r="C633" s="182">
        <f>IFERROR(VLOOKUP($B633,calc_data,C$14+1,0),0)</f>
        <v/>
      </c>
      <c r="D633" s="182">
        <f>IFERROR(VLOOKUP($B633,calc_data,D$14+1,0),0)</f>
        <v/>
      </c>
      <c r="E633" s="183">
        <f>IFERROR(VLOOKUP($B633,calc_data,E$14+1,0),0)</f>
        <v/>
      </c>
      <c r="F633" s="182">
        <f>IFERROR(VLOOKUP($B633,calc_data,F$14+1,0),0)</f>
        <v/>
      </c>
      <c r="G633" s="141">
        <f>IFERROR(VLOOKUP($B633,calc_data,G$14+1,0),0)</f>
        <v/>
      </c>
      <c r="H633" s="141">
        <f>IFERROR(VLOOKUP($B633,calc_data,H$14+1,0),0)</f>
        <v/>
      </c>
      <c r="I633" s="142">
        <f>IFERROR(VLOOKUP($B633,calc_data,I$14+1,0),0)</f>
        <v/>
      </c>
      <c r="J633" s="141">
        <f>IFERROR(VLOOKUP($B633,calc_data,J$14+1,0),0)</f>
        <v/>
      </c>
      <c r="K633" s="141">
        <f>IFERROR(VLOOKUP($B633,calc_data,K$14+1,0),0)</f>
        <v/>
      </c>
      <c r="L633" s="141">
        <f>IFERROR(VLOOKUP($B633,calc_data,L$14+1,0),0)</f>
        <v/>
      </c>
      <c r="M633" s="177">
        <f>IFERROR(VLOOKUP($B633,calc_data,M$14+1,0),0)</f>
        <v/>
      </c>
      <c r="N633" s="177">
        <f>IFERROR(VLOOKUP($B633,calc_data,N$14+1,0),0)</f>
        <v/>
      </c>
      <c r="O633" s="45" t="n"/>
      <c r="Q633" s="57">
        <f>IF(K633&gt;0,"показать","скрыть")</f>
        <v/>
      </c>
    </row>
    <row r="634" ht="15.75" customHeight="1">
      <c r="B634" s="182" t="n">
        <v>618</v>
      </c>
      <c r="C634" s="182">
        <f>IFERROR(VLOOKUP($B634,calc_data,C$14+1,0),0)</f>
        <v/>
      </c>
      <c r="D634" s="182">
        <f>IFERROR(VLOOKUP($B634,calc_data,D$14+1,0),0)</f>
        <v/>
      </c>
      <c r="E634" s="183">
        <f>IFERROR(VLOOKUP($B634,calc_data,E$14+1,0),0)</f>
        <v/>
      </c>
      <c r="F634" s="182">
        <f>IFERROR(VLOOKUP($B634,calc_data,F$14+1,0),0)</f>
        <v/>
      </c>
      <c r="G634" s="141">
        <f>IFERROR(VLOOKUP($B634,calc_data,G$14+1,0),0)</f>
        <v/>
      </c>
      <c r="H634" s="141">
        <f>IFERROR(VLOOKUP($B634,calc_data,H$14+1,0),0)</f>
        <v/>
      </c>
      <c r="I634" s="142">
        <f>IFERROR(VLOOKUP($B634,calc_data,I$14+1,0),0)</f>
        <v/>
      </c>
      <c r="J634" s="141">
        <f>IFERROR(VLOOKUP($B634,calc_data,J$14+1,0),0)</f>
        <v/>
      </c>
      <c r="K634" s="141">
        <f>IFERROR(VLOOKUP($B634,calc_data,K$14+1,0),0)</f>
        <v/>
      </c>
      <c r="L634" s="141">
        <f>IFERROR(VLOOKUP($B634,calc_data,L$14+1,0),0)</f>
        <v/>
      </c>
      <c r="M634" s="177">
        <f>IFERROR(VLOOKUP($B634,calc_data,M$14+1,0),0)</f>
        <v/>
      </c>
      <c r="N634" s="177">
        <f>IFERROR(VLOOKUP($B634,calc_data,N$14+1,0),0)</f>
        <v/>
      </c>
      <c r="O634" s="45" t="n"/>
      <c r="Q634" s="57">
        <f>IF(K634&gt;0,"показать","скрыть")</f>
        <v/>
      </c>
    </row>
    <row r="635" ht="15.75" customHeight="1">
      <c r="B635" s="182" t="n">
        <v>619</v>
      </c>
      <c r="C635" s="182">
        <f>IFERROR(VLOOKUP($B635,calc_data,C$14+1,0),0)</f>
        <v/>
      </c>
      <c r="D635" s="182">
        <f>IFERROR(VLOOKUP($B635,calc_data,D$14+1,0),0)</f>
        <v/>
      </c>
      <c r="E635" s="183">
        <f>IFERROR(VLOOKUP($B635,calc_data,E$14+1,0),0)</f>
        <v/>
      </c>
      <c r="F635" s="182">
        <f>IFERROR(VLOOKUP($B635,calc_data,F$14+1,0),0)</f>
        <v/>
      </c>
      <c r="G635" s="141">
        <f>IFERROR(VLOOKUP($B635,calc_data,G$14+1,0),0)</f>
        <v/>
      </c>
      <c r="H635" s="141">
        <f>IFERROR(VLOOKUP($B635,calc_data,H$14+1,0),0)</f>
        <v/>
      </c>
      <c r="I635" s="142">
        <f>IFERROR(VLOOKUP($B635,calc_data,I$14+1,0),0)</f>
        <v/>
      </c>
      <c r="J635" s="141">
        <f>IFERROR(VLOOKUP($B635,calc_data,J$14+1,0),0)</f>
        <v/>
      </c>
      <c r="K635" s="141">
        <f>IFERROR(VLOOKUP($B635,calc_data,K$14+1,0),0)</f>
        <v/>
      </c>
      <c r="L635" s="141">
        <f>IFERROR(VLOOKUP($B635,calc_data,L$14+1,0),0)</f>
        <v/>
      </c>
      <c r="M635" s="177">
        <f>IFERROR(VLOOKUP($B635,calc_data,M$14+1,0),0)</f>
        <v/>
      </c>
      <c r="N635" s="177">
        <f>IFERROR(VLOOKUP($B635,calc_data,N$14+1,0),0)</f>
        <v/>
      </c>
      <c r="O635" s="45" t="n"/>
      <c r="Q635" s="57">
        <f>IF(K635&gt;0,"показать","скрыть")</f>
        <v/>
      </c>
    </row>
    <row r="636" ht="15.75" customHeight="1">
      <c r="B636" s="182" t="n">
        <v>620</v>
      </c>
      <c r="C636" s="182">
        <f>IFERROR(VLOOKUP($B636,calc_data,C$14+1,0),0)</f>
        <v/>
      </c>
      <c r="D636" s="182">
        <f>IFERROR(VLOOKUP($B636,calc_data,D$14+1,0),0)</f>
        <v/>
      </c>
      <c r="E636" s="183">
        <f>IFERROR(VLOOKUP($B636,calc_data,E$14+1,0),0)</f>
        <v/>
      </c>
      <c r="F636" s="182">
        <f>IFERROR(VLOOKUP($B636,calc_data,F$14+1,0),0)</f>
        <v/>
      </c>
      <c r="G636" s="141">
        <f>IFERROR(VLOOKUP($B636,calc_data,G$14+1,0),0)</f>
        <v/>
      </c>
      <c r="H636" s="141">
        <f>IFERROR(VLOOKUP($B636,calc_data,H$14+1,0),0)</f>
        <v/>
      </c>
      <c r="I636" s="142">
        <f>IFERROR(VLOOKUP($B636,calc_data,I$14+1,0),0)</f>
        <v/>
      </c>
      <c r="J636" s="141">
        <f>IFERROR(VLOOKUP($B636,calc_data,J$14+1,0),0)</f>
        <v/>
      </c>
      <c r="K636" s="141">
        <f>IFERROR(VLOOKUP($B636,calc_data,K$14+1,0),0)</f>
        <v/>
      </c>
      <c r="L636" s="141">
        <f>IFERROR(VLOOKUP($B636,calc_data,L$14+1,0),0)</f>
        <v/>
      </c>
      <c r="M636" s="177">
        <f>IFERROR(VLOOKUP($B636,calc_data,M$14+1,0),0)</f>
        <v/>
      </c>
      <c r="N636" s="177">
        <f>IFERROR(VLOOKUP($B636,calc_data,N$14+1,0),0)</f>
        <v/>
      </c>
      <c r="O636" s="45" t="n"/>
      <c r="Q636" s="57">
        <f>IF(K636&gt;0,"показать","скрыть")</f>
        <v/>
      </c>
    </row>
    <row r="637" ht="15.75" customHeight="1">
      <c r="B637" s="182" t="n">
        <v>621</v>
      </c>
      <c r="C637" s="182">
        <f>IFERROR(VLOOKUP($B637,calc_data,C$14+1,0),0)</f>
        <v/>
      </c>
      <c r="D637" s="182">
        <f>IFERROR(VLOOKUP($B637,calc_data,D$14+1,0),0)</f>
        <v/>
      </c>
      <c r="E637" s="183">
        <f>IFERROR(VLOOKUP($B637,calc_data,E$14+1,0),0)</f>
        <v/>
      </c>
      <c r="F637" s="182">
        <f>IFERROR(VLOOKUP($B637,calc_data,F$14+1,0),0)</f>
        <v/>
      </c>
      <c r="G637" s="141">
        <f>IFERROR(VLOOKUP($B637,calc_data,G$14+1,0),0)</f>
        <v/>
      </c>
      <c r="H637" s="141">
        <f>IFERROR(VLOOKUP($B637,calc_data,H$14+1,0),0)</f>
        <v/>
      </c>
      <c r="I637" s="142">
        <f>IFERROR(VLOOKUP($B637,calc_data,I$14+1,0),0)</f>
        <v/>
      </c>
      <c r="J637" s="141">
        <f>IFERROR(VLOOKUP($B637,calc_data,J$14+1,0),0)</f>
        <v/>
      </c>
      <c r="K637" s="141">
        <f>IFERROR(VLOOKUP($B637,calc_data,K$14+1,0),0)</f>
        <v/>
      </c>
      <c r="L637" s="141">
        <f>IFERROR(VLOOKUP($B637,calc_data,L$14+1,0),0)</f>
        <v/>
      </c>
      <c r="M637" s="177">
        <f>IFERROR(VLOOKUP($B637,calc_data,M$14+1,0),0)</f>
        <v/>
      </c>
      <c r="N637" s="177">
        <f>IFERROR(VLOOKUP($B637,calc_data,N$14+1,0),0)</f>
        <v/>
      </c>
      <c r="O637" s="45" t="n"/>
      <c r="Q637" s="57">
        <f>IF(K637&gt;0,"показать","скрыть")</f>
        <v/>
      </c>
    </row>
    <row r="638" ht="15.75" customHeight="1">
      <c r="B638" s="182" t="n">
        <v>622</v>
      </c>
      <c r="C638" s="182">
        <f>IFERROR(VLOOKUP($B638,calc_data,C$14+1,0),0)</f>
        <v/>
      </c>
      <c r="D638" s="182">
        <f>IFERROR(VLOOKUP($B638,calc_data,D$14+1,0),0)</f>
        <v/>
      </c>
      <c r="E638" s="183">
        <f>IFERROR(VLOOKUP($B638,calc_data,E$14+1,0),0)</f>
        <v/>
      </c>
      <c r="F638" s="182">
        <f>IFERROR(VLOOKUP($B638,calc_data,F$14+1,0),0)</f>
        <v/>
      </c>
      <c r="G638" s="141">
        <f>IFERROR(VLOOKUP($B638,calc_data,G$14+1,0),0)</f>
        <v/>
      </c>
      <c r="H638" s="141">
        <f>IFERROR(VLOOKUP($B638,calc_data,H$14+1,0),0)</f>
        <v/>
      </c>
      <c r="I638" s="142">
        <f>IFERROR(VLOOKUP($B638,calc_data,I$14+1,0),0)</f>
        <v/>
      </c>
      <c r="J638" s="141">
        <f>IFERROR(VLOOKUP($B638,calc_data,J$14+1,0),0)</f>
        <v/>
      </c>
      <c r="K638" s="141">
        <f>IFERROR(VLOOKUP($B638,calc_data,K$14+1,0),0)</f>
        <v/>
      </c>
      <c r="L638" s="141">
        <f>IFERROR(VLOOKUP($B638,calc_data,L$14+1,0),0)</f>
        <v/>
      </c>
      <c r="M638" s="177">
        <f>IFERROR(VLOOKUP($B638,calc_data,M$14+1,0),0)</f>
        <v/>
      </c>
      <c r="N638" s="177">
        <f>IFERROR(VLOOKUP($B638,calc_data,N$14+1,0),0)</f>
        <v/>
      </c>
      <c r="O638" s="45" t="n"/>
      <c r="Q638" s="57">
        <f>IF(K638&gt;0,"показать","скрыть")</f>
        <v/>
      </c>
    </row>
    <row r="639" ht="15.75" customHeight="1">
      <c r="B639" s="182" t="n">
        <v>623</v>
      </c>
      <c r="C639" s="182">
        <f>IFERROR(VLOOKUP($B639,calc_data,C$14+1,0),0)</f>
        <v/>
      </c>
      <c r="D639" s="182">
        <f>IFERROR(VLOOKUP($B639,calc_data,D$14+1,0),0)</f>
        <v/>
      </c>
      <c r="E639" s="183">
        <f>IFERROR(VLOOKUP($B639,calc_data,E$14+1,0),0)</f>
        <v/>
      </c>
      <c r="F639" s="182">
        <f>IFERROR(VLOOKUP($B639,calc_data,F$14+1,0),0)</f>
        <v/>
      </c>
      <c r="G639" s="141">
        <f>IFERROR(VLOOKUP($B639,calc_data,G$14+1,0),0)</f>
        <v/>
      </c>
      <c r="H639" s="141">
        <f>IFERROR(VLOOKUP($B639,calc_data,H$14+1,0),0)</f>
        <v/>
      </c>
      <c r="I639" s="142">
        <f>IFERROR(VLOOKUP($B639,calc_data,I$14+1,0),0)</f>
        <v/>
      </c>
      <c r="J639" s="141">
        <f>IFERROR(VLOOKUP($B639,calc_data,J$14+1,0),0)</f>
        <v/>
      </c>
      <c r="K639" s="141">
        <f>IFERROR(VLOOKUP($B639,calc_data,K$14+1,0),0)</f>
        <v/>
      </c>
      <c r="L639" s="141">
        <f>IFERROR(VLOOKUP($B639,calc_data,L$14+1,0),0)</f>
        <v/>
      </c>
      <c r="M639" s="177">
        <f>IFERROR(VLOOKUP($B639,calc_data,M$14+1,0),0)</f>
        <v/>
      </c>
      <c r="N639" s="177">
        <f>IFERROR(VLOOKUP($B639,calc_data,N$14+1,0),0)</f>
        <v/>
      </c>
      <c r="O639" s="45" t="n"/>
      <c r="Q639" s="57">
        <f>IF(K639&gt;0,"показать","скрыть")</f>
        <v/>
      </c>
    </row>
    <row r="640" ht="15.75" customHeight="1">
      <c r="B640" s="182" t="n">
        <v>624</v>
      </c>
      <c r="C640" s="182">
        <f>IFERROR(VLOOKUP($B640,calc_data,C$14+1,0),0)</f>
        <v/>
      </c>
      <c r="D640" s="182">
        <f>IFERROR(VLOOKUP($B640,calc_data,D$14+1,0),0)</f>
        <v/>
      </c>
      <c r="E640" s="183">
        <f>IFERROR(VLOOKUP($B640,calc_data,E$14+1,0),0)</f>
        <v/>
      </c>
      <c r="F640" s="182">
        <f>IFERROR(VLOOKUP($B640,calc_data,F$14+1,0),0)</f>
        <v/>
      </c>
      <c r="G640" s="141">
        <f>IFERROR(VLOOKUP($B640,calc_data,G$14+1,0),0)</f>
        <v/>
      </c>
      <c r="H640" s="141">
        <f>IFERROR(VLOOKUP($B640,calc_data,H$14+1,0),0)</f>
        <v/>
      </c>
      <c r="I640" s="142">
        <f>IFERROR(VLOOKUP($B640,calc_data,I$14+1,0),0)</f>
        <v/>
      </c>
      <c r="J640" s="141">
        <f>IFERROR(VLOOKUP($B640,calc_data,J$14+1,0),0)</f>
        <v/>
      </c>
      <c r="K640" s="141">
        <f>IFERROR(VLOOKUP($B640,calc_data,K$14+1,0),0)</f>
        <v/>
      </c>
      <c r="L640" s="141">
        <f>IFERROR(VLOOKUP($B640,calc_data,L$14+1,0),0)</f>
        <v/>
      </c>
      <c r="M640" s="177">
        <f>IFERROR(VLOOKUP($B640,calc_data,M$14+1,0),0)</f>
        <v/>
      </c>
      <c r="N640" s="177">
        <f>IFERROR(VLOOKUP($B640,calc_data,N$14+1,0),0)</f>
        <v/>
      </c>
      <c r="O640" s="45" t="n"/>
      <c r="Q640" s="57">
        <f>IF(K640&gt;0,"показать","скрыть")</f>
        <v/>
      </c>
    </row>
    <row r="641" ht="15.75" customHeight="1">
      <c r="B641" s="182" t="n">
        <v>625</v>
      </c>
      <c r="C641" s="182">
        <f>IFERROR(VLOOKUP($B641,calc_data,C$14+1,0),0)</f>
        <v/>
      </c>
      <c r="D641" s="182">
        <f>IFERROR(VLOOKUP($B641,calc_data,D$14+1,0),0)</f>
        <v/>
      </c>
      <c r="E641" s="183">
        <f>IFERROR(VLOOKUP($B641,calc_data,E$14+1,0),0)</f>
        <v/>
      </c>
      <c r="F641" s="182">
        <f>IFERROR(VLOOKUP($B641,calc_data,F$14+1,0),0)</f>
        <v/>
      </c>
      <c r="G641" s="141">
        <f>IFERROR(VLOOKUP($B641,calc_data,G$14+1,0),0)</f>
        <v/>
      </c>
      <c r="H641" s="141">
        <f>IFERROR(VLOOKUP($B641,calc_data,H$14+1,0),0)</f>
        <v/>
      </c>
      <c r="I641" s="142">
        <f>IFERROR(VLOOKUP($B641,calc_data,I$14+1,0),0)</f>
        <v/>
      </c>
      <c r="J641" s="141">
        <f>IFERROR(VLOOKUP($B641,calc_data,J$14+1,0),0)</f>
        <v/>
      </c>
      <c r="K641" s="141">
        <f>IFERROR(VLOOKUP($B641,calc_data,K$14+1,0),0)</f>
        <v/>
      </c>
      <c r="L641" s="141">
        <f>IFERROR(VLOOKUP($B641,calc_data,L$14+1,0),0)</f>
        <v/>
      </c>
      <c r="M641" s="177">
        <f>IFERROR(VLOOKUP($B641,calc_data,M$14+1,0),0)</f>
        <v/>
      </c>
      <c r="N641" s="177">
        <f>IFERROR(VLOOKUP($B641,calc_data,N$14+1,0),0)</f>
        <v/>
      </c>
      <c r="O641" s="45" t="n"/>
      <c r="Q641" s="57">
        <f>IF(K641&gt;0,"показать","скрыть")</f>
        <v/>
      </c>
    </row>
    <row r="642" ht="15.75" customHeight="1">
      <c r="B642" s="182" t="n">
        <v>626</v>
      </c>
      <c r="C642" s="182">
        <f>IFERROR(VLOOKUP($B642,calc_data,C$14+1,0),0)</f>
        <v/>
      </c>
      <c r="D642" s="182">
        <f>IFERROR(VLOOKUP($B642,calc_data,D$14+1,0),0)</f>
        <v/>
      </c>
      <c r="E642" s="183">
        <f>IFERROR(VLOOKUP($B642,calc_data,E$14+1,0),0)</f>
        <v/>
      </c>
      <c r="F642" s="182">
        <f>IFERROR(VLOOKUP($B642,calc_data,F$14+1,0),0)</f>
        <v/>
      </c>
      <c r="G642" s="141">
        <f>IFERROR(VLOOKUP($B642,calc_data,G$14+1,0),0)</f>
        <v/>
      </c>
      <c r="H642" s="141">
        <f>IFERROR(VLOOKUP($B642,calc_data,H$14+1,0),0)</f>
        <v/>
      </c>
      <c r="I642" s="142">
        <f>IFERROR(VLOOKUP($B642,calc_data,I$14+1,0),0)</f>
        <v/>
      </c>
      <c r="J642" s="141">
        <f>IFERROR(VLOOKUP($B642,calc_data,J$14+1,0),0)</f>
        <v/>
      </c>
      <c r="K642" s="141">
        <f>IFERROR(VLOOKUP($B642,calc_data,K$14+1,0),0)</f>
        <v/>
      </c>
      <c r="L642" s="141">
        <f>IFERROR(VLOOKUP($B642,calc_data,L$14+1,0),0)</f>
        <v/>
      </c>
      <c r="M642" s="177">
        <f>IFERROR(VLOOKUP($B642,calc_data,M$14+1,0),0)</f>
        <v/>
      </c>
      <c r="N642" s="177">
        <f>IFERROR(VLOOKUP($B642,calc_data,N$14+1,0),0)</f>
        <v/>
      </c>
      <c r="O642" s="45" t="n"/>
      <c r="Q642" s="57">
        <f>IF(K642&gt;0,"показать","скрыть")</f>
        <v/>
      </c>
    </row>
    <row r="643" ht="15.75" customHeight="1">
      <c r="B643" s="182" t="n">
        <v>627</v>
      </c>
      <c r="C643" s="182">
        <f>IFERROR(VLOOKUP($B643,calc_data,C$14+1,0),0)</f>
        <v/>
      </c>
      <c r="D643" s="182">
        <f>IFERROR(VLOOKUP($B643,calc_data,D$14+1,0),0)</f>
        <v/>
      </c>
      <c r="E643" s="183">
        <f>IFERROR(VLOOKUP($B643,calc_data,E$14+1,0),0)</f>
        <v/>
      </c>
      <c r="F643" s="182">
        <f>IFERROR(VLOOKUP($B643,calc_data,F$14+1,0),0)</f>
        <v/>
      </c>
      <c r="G643" s="141">
        <f>IFERROR(VLOOKUP($B643,calc_data,G$14+1,0),0)</f>
        <v/>
      </c>
      <c r="H643" s="141">
        <f>IFERROR(VLOOKUP($B643,calc_data,H$14+1,0),0)</f>
        <v/>
      </c>
      <c r="I643" s="142">
        <f>IFERROR(VLOOKUP($B643,calc_data,I$14+1,0),0)</f>
        <v/>
      </c>
      <c r="J643" s="141">
        <f>IFERROR(VLOOKUP($B643,calc_data,J$14+1,0),0)</f>
        <v/>
      </c>
      <c r="K643" s="141">
        <f>IFERROR(VLOOKUP($B643,calc_data,K$14+1,0),0)</f>
        <v/>
      </c>
      <c r="L643" s="141">
        <f>IFERROR(VLOOKUP($B643,calc_data,L$14+1,0),0)</f>
        <v/>
      </c>
      <c r="M643" s="177">
        <f>IFERROR(VLOOKUP($B643,calc_data,M$14+1,0),0)</f>
        <v/>
      </c>
      <c r="N643" s="177">
        <f>IFERROR(VLOOKUP($B643,calc_data,N$14+1,0),0)</f>
        <v/>
      </c>
      <c r="O643" s="45" t="n"/>
      <c r="Q643" s="57">
        <f>IF(K643&gt;0,"показать","скрыть")</f>
        <v/>
      </c>
    </row>
    <row r="644" ht="15.75" customHeight="1">
      <c r="B644" s="182" t="n">
        <v>628</v>
      </c>
      <c r="C644" s="182">
        <f>IFERROR(VLOOKUP($B644,calc_data,C$14+1,0),0)</f>
        <v/>
      </c>
      <c r="D644" s="182">
        <f>IFERROR(VLOOKUP($B644,calc_data,D$14+1,0),0)</f>
        <v/>
      </c>
      <c r="E644" s="183">
        <f>IFERROR(VLOOKUP($B644,calc_data,E$14+1,0),0)</f>
        <v/>
      </c>
      <c r="F644" s="182">
        <f>IFERROR(VLOOKUP($B644,calc_data,F$14+1,0),0)</f>
        <v/>
      </c>
      <c r="G644" s="141">
        <f>IFERROR(VLOOKUP($B644,calc_data,G$14+1,0),0)</f>
        <v/>
      </c>
      <c r="H644" s="141">
        <f>IFERROR(VLOOKUP($B644,calc_data,H$14+1,0),0)</f>
        <v/>
      </c>
      <c r="I644" s="142">
        <f>IFERROR(VLOOKUP($B644,calc_data,I$14+1,0),0)</f>
        <v/>
      </c>
      <c r="J644" s="141">
        <f>IFERROR(VLOOKUP($B644,calc_data,J$14+1,0),0)</f>
        <v/>
      </c>
      <c r="K644" s="141">
        <f>IFERROR(VLOOKUP($B644,calc_data,K$14+1,0),0)</f>
        <v/>
      </c>
      <c r="L644" s="141">
        <f>IFERROR(VLOOKUP($B644,calc_data,L$14+1,0),0)</f>
        <v/>
      </c>
      <c r="M644" s="177">
        <f>IFERROR(VLOOKUP($B644,calc_data,M$14+1,0),0)</f>
        <v/>
      </c>
      <c r="N644" s="177">
        <f>IFERROR(VLOOKUP($B644,calc_data,N$14+1,0),0)</f>
        <v/>
      </c>
      <c r="O644" s="45" t="n"/>
      <c r="Q644" s="57">
        <f>IF(K644&gt;0,"показать","скрыть")</f>
        <v/>
      </c>
    </row>
    <row r="645" ht="15.75" customHeight="1">
      <c r="B645" s="182" t="n">
        <v>629</v>
      </c>
      <c r="C645" s="182">
        <f>IFERROR(VLOOKUP($B645,calc_data,C$14+1,0),0)</f>
        <v/>
      </c>
      <c r="D645" s="182">
        <f>IFERROR(VLOOKUP($B645,calc_data,D$14+1,0),0)</f>
        <v/>
      </c>
      <c r="E645" s="183">
        <f>IFERROR(VLOOKUP($B645,calc_data,E$14+1,0),0)</f>
        <v/>
      </c>
      <c r="F645" s="182">
        <f>IFERROR(VLOOKUP($B645,calc_data,F$14+1,0),0)</f>
        <v/>
      </c>
      <c r="G645" s="141">
        <f>IFERROR(VLOOKUP($B645,calc_data,G$14+1,0),0)</f>
        <v/>
      </c>
      <c r="H645" s="141">
        <f>IFERROR(VLOOKUP($B645,calc_data,H$14+1,0),0)</f>
        <v/>
      </c>
      <c r="I645" s="142">
        <f>IFERROR(VLOOKUP($B645,calc_data,I$14+1,0),0)</f>
        <v/>
      </c>
      <c r="J645" s="141">
        <f>IFERROR(VLOOKUP($B645,calc_data,J$14+1,0),0)</f>
        <v/>
      </c>
      <c r="K645" s="141">
        <f>IFERROR(VLOOKUP($B645,calc_data,K$14+1,0),0)</f>
        <v/>
      </c>
      <c r="L645" s="141">
        <f>IFERROR(VLOOKUP($B645,calc_data,L$14+1,0),0)</f>
        <v/>
      </c>
      <c r="M645" s="177">
        <f>IFERROR(VLOOKUP($B645,calc_data,M$14+1,0),0)</f>
        <v/>
      </c>
      <c r="N645" s="177">
        <f>IFERROR(VLOOKUP($B645,calc_data,N$14+1,0),0)</f>
        <v/>
      </c>
      <c r="O645" s="45" t="n"/>
      <c r="Q645" s="57">
        <f>IF(K645&gt;0,"показать","скрыть")</f>
        <v/>
      </c>
    </row>
    <row r="646" ht="15.75" customHeight="1">
      <c r="B646" s="182" t="n">
        <v>630</v>
      </c>
      <c r="C646" s="182">
        <f>IFERROR(VLOOKUP($B646,calc_data,C$14+1,0),0)</f>
        <v/>
      </c>
      <c r="D646" s="182">
        <f>IFERROR(VLOOKUP($B646,calc_data,D$14+1,0),0)</f>
        <v/>
      </c>
      <c r="E646" s="183">
        <f>IFERROR(VLOOKUP($B646,calc_data,E$14+1,0),0)</f>
        <v/>
      </c>
      <c r="F646" s="182">
        <f>IFERROR(VLOOKUP($B646,calc_data,F$14+1,0),0)</f>
        <v/>
      </c>
      <c r="G646" s="141">
        <f>IFERROR(VLOOKUP($B646,calc_data,G$14+1,0),0)</f>
        <v/>
      </c>
      <c r="H646" s="141">
        <f>IFERROR(VLOOKUP($B646,calc_data,H$14+1,0),0)</f>
        <v/>
      </c>
      <c r="I646" s="142">
        <f>IFERROR(VLOOKUP($B646,calc_data,I$14+1,0),0)</f>
        <v/>
      </c>
      <c r="J646" s="141">
        <f>IFERROR(VLOOKUP($B646,calc_data,J$14+1,0),0)</f>
        <v/>
      </c>
      <c r="K646" s="141">
        <f>IFERROR(VLOOKUP($B646,calc_data,K$14+1,0),0)</f>
        <v/>
      </c>
      <c r="L646" s="141">
        <f>IFERROR(VLOOKUP($B646,calc_data,L$14+1,0),0)</f>
        <v/>
      </c>
      <c r="M646" s="177">
        <f>IFERROR(VLOOKUP($B646,calc_data,M$14+1,0),0)</f>
        <v/>
      </c>
      <c r="N646" s="177">
        <f>IFERROR(VLOOKUP($B646,calc_data,N$14+1,0),0)</f>
        <v/>
      </c>
      <c r="O646" s="45" t="n"/>
      <c r="Q646" s="57">
        <f>IF(K646&gt;0,"показать","скрыть")</f>
        <v/>
      </c>
    </row>
    <row r="647" ht="15.75" customHeight="1">
      <c r="B647" s="182" t="n">
        <v>631</v>
      </c>
      <c r="C647" s="182">
        <f>IFERROR(VLOOKUP($B647,calc_data,C$14+1,0),0)</f>
        <v/>
      </c>
      <c r="D647" s="182">
        <f>IFERROR(VLOOKUP($B647,calc_data,D$14+1,0),0)</f>
        <v/>
      </c>
      <c r="E647" s="183">
        <f>IFERROR(VLOOKUP($B647,calc_data,E$14+1,0),0)</f>
        <v/>
      </c>
      <c r="F647" s="182">
        <f>IFERROR(VLOOKUP($B647,calc_data,F$14+1,0),0)</f>
        <v/>
      </c>
      <c r="G647" s="141">
        <f>IFERROR(VLOOKUP($B647,calc_data,G$14+1,0),0)</f>
        <v/>
      </c>
      <c r="H647" s="141">
        <f>IFERROR(VLOOKUP($B647,calc_data,H$14+1,0),0)</f>
        <v/>
      </c>
      <c r="I647" s="142">
        <f>IFERROR(VLOOKUP($B647,calc_data,I$14+1,0),0)</f>
        <v/>
      </c>
      <c r="J647" s="141">
        <f>IFERROR(VLOOKUP($B647,calc_data,J$14+1,0),0)</f>
        <v/>
      </c>
      <c r="K647" s="141">
        <f>IFERROR(VLOOKUP($B647,calc_data,K$14+1,0),0)</f>
        <v/>
      </c>
      <c r="L647" s="141">
        <f>IFERROR(VLOOKUP($B647,calc_data,L$14+1,0),0)</f>
        <v/>
      </c>
      <c r="M647" s="177">
        <f>IFERROR(VLOOKUP($B647,calc_data,M$14+1,0),0)</f>
        <v/>
      </c>
      <c r="N647" s="177">
        <f>IFERROR(VLOOKUP($B647,calc_data,N$14+1,0),0)</f>
        <v/>
      </c>
      <c r="O647" s="45" t="n"/>
      <c r="Q647" s="57">
        <f>IF(K647&gt;0,"показать","скрыть")</f>
        <v/>
      </c>
    </row>
    <row r="648" ht="15.75" customHeight="1">
      <c r="B648" s="182" t="n">
        <v>632</v>
      </c>
      <c r="C648" s="182">
        <f>IFERROR(VLOOKUP($B648,calc_data,C$14+1,0),0)</f>
        <v/>
      </c>
      <c r="D648" s="182">
        <f>IFERROR(VLOOKUP($B648,calc_data,D$14+1,0),0)</f>
        <v/>
      </c>
      <c r="E648" s="183">
        <f>IFERROR(VLOOKUP($B648,calc_data,E$14+1,0),0)</f>
        <v/>
      </c>
      <c r="F648" s="182">
        <f>IFERROR(VLOOKUP($B648,calc_data,F$14+1,0),0)</f>
        <v/>
      </c>
      <c r="G648" s="141">
        <f>IFERROR(VLOOKUP($B648,calc_data,G$14+1,0),0)</f>
        <v/>
      </c>
      <c r="H648" s="141">
        <f>IFERROR(VLOOKUP($B648,calc_data,H$14+1,0),0)</f>
        <v/>
      </c>
      <c r="I648" s="142">
        <f>IFERROR(VLOOKUP($B648,calc_data,I$14+1,0),0)</f>
        <v/>
      </c>
      <c r="J648" s="141">
        <f>IFERROR(VLOOKUP($B648,calc_data,J$14+1,0),0)</f>
        <v/>
      </c>
      <c r="K648" s="141">
        <f>IFERROR(VLOOKUP($B648,calc_data,K$14+1,0),0)</f>
        <v/>
      </c>
      <c r="L648" s="141">
        <f>IFERROR(VLOOKUP($B648,calc_data,L$14+1,0),0)</f>
        <v/>
      </c>
      <c r="M648" s="177">
        <f>IFERROR(VLOOKUP($B648,calc_data,M$14+1,0),0)</f>
        <v/>
      </c>
      <c r="N648" s="177">
        <f>IFERROR(VLOOKUP($B648,calc_data,N$14+1,0),0)</f>
        <v/>
      </c>
      <c r="O648" s="45" t="n"/>
      <c r="Q648" s="57">
        <f>IF(K648&gt;0,"показать","скрыть")</f>
        <v/>
      </c>
    </row>
    <row r="649" ht="15.75" customHeight="1">
      <c r="B649" s="182" t="n">
        <v>633</v>
      </c>
      <c r="C649" s="182">
        <f>IFERROR(VLOOKUP($B649,calc_data,C$14+1,0),0)</f>
        <v/>
      </c>
      <c r="D649" s="182">
        <f>IFERROR(VLOOKUP($B649,calc_data,D$14+1,0),0)</f>
        <v/>
      </c>
      <c r="E649" s="183">
        <f>IFERROR(VLOOKUP($B649,calc_data,E$14+1,0),0)</f>
        <v/>
      </c>
      <c r="F649" s="182">
        <f>IFERROR(VLOOKUP($B649,calc_data,F$14+1,0),0)</f>
        <v/>
      </c>
      <c r="G649" s="141">
        <f>IFERROR(VLOOKUP($B649,calc_data,G$14+1,0),0)</f>
        <v/>
      </c>
      <c r="H649" s="141">
        <f>IFERROR(VLOOKUP($B649,calc_data,H$14+1,0),0)</f>
        <v/>
      </c>
      <c r="I649" s="142">
        <f>IFERROR(VLOOKUP($B649,calc_data,I$14+1,0),0)</f>
        <v/>
      </c>
      <c r="J649" s="141">
        <f>IFERROR(VLOOKUP($B649,calc_data,J$14+1,0),0)</f>
        <v/>
      </c>
      <c r="K649" s="141">
        <f>IFERROR(VLOOKUP($B649,calc_data,K$14+1,0),0)</f>
        <v/>
      </c>
      <c r="L649" s="141">
        <f>IFERROR(VLOOKUP($B649,calc_data,L$14+1,0),0)</f>
        <v/>
      </c>
      <c r="M649" s="177">
        <f>IFERROR(VLOOKUP($B649,calc_data,M$14+1,0),0)</f>
        <v/>
      </c>
      <c r="N649" s="177">
        <f>IFERROR(VLOOKUP($B649,calc_data,N$14+1,0),0)</f>
        <v/>
      </c>
      <c r="O649" s="45" t="n"/>
      <c r="Q649" s="57">
        <f>IF(K649&gt;0,"показать","скрыть")</f>
        <v/>
      </c>
    </row>
    <row r="650" ht="15.75" customHeight="1">
      <c r="B650" s="182" t="n">
        <v>634</v>
      </c>
      <c r="C650" s="182">
        <f>IFERROR(VLOOKUP($B650,calc_data,C$14+1,0),0)</f>
        <v/>
      </c>
      <c r="D650" s="182">
        <f>IFERROR(VLOOKUP($B650,calc_data,D$14+1,0),0)</f>
        <v/>
      </c>
      <c r="E650" s="183">
        <f>IFERROR(VLOOKUP($B650,calc_data,E$14+1,0),0)</f>
        <v/>
      </c>
      <c r="F650" s="182">
        <f>IFERROR(VLOOKUP($B650,calc_data,F$14+1,0),0)</f>
        <v/>
      </c>
      <c r="G650" s="141">
        <f>IFERROR(VLOOKUP($B650,calc_data,G$14+1,0),0)</f>
        <v/>
      </c>
      <c r="H650" s="141">
        <f>IFERROR(VLOOKUP($B650,calc_data,H$14+1,0),0)</f>
        <v/>
      </c>
      <c r="I650" s="142">
        <f>IFERROR(VLOOKUP($B650,calc_data,I$14+1,0),0)</f>
        <v/>
      </c>
      <c r="J650" s="141">
        <f>IFERROR(VLOOKUP($B650,calc_data,J$14+1,0),0)</f>
        <v/>
      </c>
      <c r="K650" s="141">
        <f>IFERROR(VLOOKUP($B650,calc_data,K$14+1,0),0)</f>
        <v/>
      </c>
      <c r="L650" s="141">
        <f>IFERROR(VLOOKUP($B650,calc_data,L$14+1,0),0)</f>
        <v/>
      </c>
      <c r="M650" s="177">
        <f>IFERROR(VLOOKUP($B650,calc_data,M$14+1,0),0)</f>
        <v/>
      </c>
      <c r="N650" s="177">
        <f>IFERROR(VLOOKUP($B650,calc_data,N$14+1,0),0)</f>
        <v/>
      </c>
      <c r="O650" s="45" t="n"/>
      <c r="Q650" s="57">
        <f>IF(K650&gt;0,"показать","скрыть")</f>
        <v/>
      </c>
    </row>
    <row r="651" ht="15.75" customHeight="1">
      <c r="B651" s="182" t="n">
        <v>635</v>
      </c>
      <c r="C651" s="182">
        <f>IFERROR(VLOOKUP($B651,calc_data,C$14+1,0),0)</f>
        <v/>
      </c>
      <c r="D651" s="182">
        <f>IFERROR(VLOOKUP($B651,calc_data,D$14+1,0),0)</f>
        <v/>
      </c>
      <c r="E651" s="183">
        <f>IFERROR(VLOOKUP($B651,calc_data,E$14+1,0),0)</f>
        <v/>
      </c>
      <c r="F651" s="182">
        <f>IFERROR(VLOOKUP($B651,calc_data,F$14+1,0),0)</f>
        <v/>
      </c>
      <c r="G651" s="141">
        <f>IFERROR(VLOOKUP($B651,calc_data,G$14+1,0),0)</f>
        <v/>
      </c>
      <c r="H651" s="141">
        <f>IFERROR(VLOOKUP($B651,calc_data,H$14+1,0),0)</f>
        <v/>
      </c>
      <c r="I651" s="142">
        <f>IFERROR(VLOOKUP($B651,calc_data,I$14+1,0),0)</f>
        <v/>
      </c>
      <c r="J651" s="141">
        <f>IFERROR(VLOOKUP($B651,calc_data,J$14+1,0),0)</f>
        <v/>
      </c>
      <c r="K651" s="141">
        <f>IFERROR(VLOOKUP($B651,calc_data,K$14+1,0),0)</f>
        <v/>
      </c>
      <c r="L651" s="141">
        <f>IFERROR(VLOOKUP($B651,calc_data,L$14+1,0),0)</f>
        <v/>
      </c>
      <c r="M651" s="177">
        <f>IFERROR(VLOOKUP($B651,calc_data,M$14+1,0),0)</f>
        <v/>
      </c>
      <c r="N651" s="177">
        <f>IFERROR(VLOOKUP($B651,calc_data,N$14+1,0),0)</f>
        <v/>
      </c>
      <c r="O651" s="45" t="n"/>
      <c r="Q651" s="57">
        <f>IF(K651&gt;0,"показать","скрыть")</f>
        <v/>
      </c>
    </row>
    <row r="652" ht="15.75" customHeight="1">
      <c r="B652" s="182" t="n">
        <v>636</v>
      </c>
      <c r="C652" s="182">
        <f>IFERROR(VLOOKUP($B652,calc_data,C$14+1,0),0)</f>
        <v/>
      </c>
      <c r="D652" s="182">
        <f>IFERROR(VLOOKUP($B652,calc_data,D$14+1,0),0)</f>
        <v/>
      </c>
      <c r="E652" s="183">
        <f>IFERROR(VLOOKUP($B652,calc_data,E$14+1,0),0)</f>
        <v/>
      </c>
      <c r="F652" s="182">
        <f>IFERROR(VLOOKUP($B652,calc_data,F$14+1,0),0)</f>
        <v/>
      </c>
      <c r="G652" s="141">
        <f>IFERROR(VLOOKUP($B652,calc_data,G$14+1,0),0)</f>
        <v/>
      </c>
      <c r="H652" s="141">
        <f>IFERROR(VLOOKUP($B652,calc_data,H$14+1,0),0)</f>
        <v/>
      </c>
      <c r="I652" s="142">
        <f>IFERROR(VLOOKUP($B652,calc_data,I$14+1,0),0)</f>
        <v/>
      </c>
      <c r="J652" s="141">
        <f>IFERROR(VLOOKUP($B652,calc_data,J$14+1,0),0)</f>
        <v/>
      </c>
      <c r="K652" s="141">
        <f>IFERROR(VLOOKUP($B652,calc_data,K$14+1,0),0)</f>
        <v/>
      </c>
      <c r="L652" s="141">
        <f>IFERROR(VLOOKUP($B652,calc_data,L$14+1,0),0)</f>
        <v/>
      </c>
      <c r="M652" s="177">
        <f>IFERROR(VLOOKUP($B652,calc_data,M$14+1,0),0)</f>
        <v/>
      </c>
      <c r="N652" s="177">
        <f>IFERROR(VLOOKUP($B652,calc_data,N$14+1,0),0)</f>
        <v/>
      </c>
      <c r="O652" s="45" t="n"/>
      <c r="Q652" s="57">
        <f>IF(K652&gt;0,"показать","скрыть")</f>
        <v/>
      </c>
    </row>
    <row r="653" ht="15.75" customHeight="1">
      <c r="B653" s="182" t="n">
        <v>637</v>
      </c>
      <c r="C653" s="182">
        <f>IFERROR(VLOOKUP($B653,calc_data,C$14+1,0),0)</f>
        <v/>
      </c>
      <c r="D653" s="182">
        <f>IFERROR(VLOOKUP($B653,calc_data,D$14+1,0),0)</f>
        <v/>
      </c>
      <c r="E653" s="183">
        <f>IFERROR(VLOOKUP($B653,calc_data,E$14+1,0),0)</f>
        <v/>
      </c>
      <c r="F653" s="182">
        <f>IFERROR(VLOOKUP($B653,calc_data,F$14+1,0),0)</f>
        <v/>
      </c>
      <c r="G653" s="141">
        <f>IFERROR(VLOOKUP($B653,calc_data,G$14+1,0),0)</f>
        <v/>
      </c>
      <c r="H653" s="141">
        <f>IFERROR(VLOOKUP($B653,calc_data,H$14+1,0),0)</f>
        <v/>
      </c>
      <c r="I653" s="142">
        <f>IFERROR(VLOOKUP($B653,calc_data,I$14+1,0),0)</f>
        <v/>
      </c>
      <c r="J653" s="141">
        <f>IFERROR(VLOOKUP($B653,calc_data,J$14+1,0),0)</f>
        <v/>
      </c>
      <c r="K653" s="141">
        <f>IFERROR(VLOOKUP($B653,calc_data,K$14+1,0),0)</f>
        <v/>
      </c>
      <c r="L653" s="141">
        <f>IFERROR(VLOOKUP($B653,calc_data,L$14+1,0),0)</f>
        <v/>
      </c>
      <c r="M653" s="177">
        <f>IFERROR(VLOOKUP($B653,calc_data,M$14+1,0),0)</f>
        <v/>
      </c>
      <c r="N653" s="177">
        <f>IFERROR(VLOOKUP($B653,calc_data,N$14+1,0),0)</f>
        <v/>
      </c>
      <c r="O653" s="45" t="n"/>
      <c r="Q653" s="57">
        <f>IF(K653&gt;0,"показать","скрыть")</f>
        <v/>
      </c>
    </row>
    <row r="654" ht="15.75" customHeight="1">
      <c r="B654" s="182" t="n">
        <v>638</v>
      </c>
      <c r="C654" s="182">
        <f>IFERROR(VLOOKUP($B654,calc_data,C$14+1,0),0)</f>
        <v/>
      </c>
      <c r="D654" s="182">
        <f>IFERROR(VLOOKUP($B654,calc_data,D$14+1,0),0)</f>
        <v/>
      </c>
      <c r="E654" s="183">
        <f>IFERROR(VLOOKUP($B654,calc_data,E$14+1,0),0)</f>
        <v/>
      </c>
      <c r="F654" s="182">
        <f>IFERROR(VLOOKUP($B654,calc_data,F$14+1,0),0)</f>
        <v/>
      </c>
      <c r="G654" s="141">
        <f>IFERROR(VLOOKUP($B654,calc_data,G$14+1,0),0)</f>
        <v/>
      </c>
      <c r="H654" s="141">
        <f>IFERROR(VLOOKUP($B654,calc_data,H$14+1,0),0)</f>
        <v/>
      </c>
      <c r="I654" s="142">
        <f>IFERROR(VLOOKUP($B654,calc_data,I$14+1,0),0)</f>
        <v/>
      </c>
      <c r="J654" s="141">
        <f>IFERROR(VLOOKUP($B654,calc_data,J$14+1,0),0)</f>
        <v/>
      </c>
      <c r="K654" s="141">
        <f>IFERROR(VLOOKUP($B654,calc_data,K$14+1,0),0)</f>
        <v/>
      </c>
      <c r="L654" s="141">
        <f>IFERROR(VLOOKUP($B654,calc_data,L$14+1,0),0)</f>
        <v/>
      </c>
      <c r="M654" s="177">
        <f>IFERROR(VLOOKUP($B654,calc_data,M$14+1,0),0)</f>
        <v/>
      </c>
      <c r="N654" s="177">
        <f>IFERROR(VLOOKUP($B654,calc_data,N$14+1,0),0)</f>
        <v/>
      </c>
      <c r="O654" s="45" t="n"/>
      <c r="Q654" s="57">
        <f>IF(K654&gt;0,"показать","скрыть")</f>
        <v/>
      </c>
    </row>
    <row r="655" ht="15.75" customHeight="1">
      <c r="B655" s="182" t="n">
        <v>639</v>
      </c>
      <c r="C655" s="182">
        <f>IFERROR(VLOOKUP($B655,calc_data,C$14+1,0),0)</f>
        <v/>
      </c>
      <c r="D655" s="182">
        <f>IFERROR(VLOOKUP($B655,calc_data,D$14+1,0),0)</f>
        <v/>
      </c>
      <c r="E655" s="183">
        <f>IFERROR(VLOOKUP($B655,calc_data,E$14+1,0),0)</f>
        <v/>
      </c>
      <c r="F655" s="182">
        <f>IFERROR(VLOOKUP($B655,calc_data,F$14+1,0),0)</f>
        <v/>
      </c>
      <c r="G655" s="141">
        <f>IFERROR(VLOOKUP($B655,calc_data,G$14+1,0),0)</f>
        <v/>
      </c>
      <c r="H655" s="141">
        <f>IFERROR(VLOOKUP($B655,calc_data,H$14+1,0),0)</f>
        <v/>
      </c>
      <c r="I655" s="142">
        <f>IFERROR(VLOOKUP($B655,calc_data,I$14+1,0),0)</f>
        <v/>
      </c>
      <c r="J655" s="141">
        <f>IFERROR(VLOOKUP($B655,calc_data,J$14+1,0),0)</f>
        <v/>
      </c>
      <c r="K655" s="141">
        <f>IFERROR(VLOOKUP($B655,calc_data,K$14+1,0),0)</f>
        <v/>
      </c>
      <c r="L655" s="141">
        <f>IFERROR(VLOOKUP($B655,calc_data,L$14+1,0),0)</f>
        <v/>
      </c>
      <c r="M655" s="177">
        <f>IFERROR(VLOOKUP($B655,calc_data,M$14+1,0),0)</f>
        <v/>
      </c>
      <c r="N655" s="177">
        <f>IFERROR(VLOOKUP($B655,calc_data,N$14+1,0),0)</f>
        <v/>
      </c>
      <c r="O655" s="45" t="n"/>
      <c r="Q655" s="57">
        <f>IF(K655&gt;0,"показать","скрыть")</f>
        <v/>
      </c>
    </row>
    <row r="656" ht="15.75" customHeight="1">
      <c r="B656" s="182" t="n">
        <v>640</v>
      </c>
      <c r="C656" s="182">
        <f>IFERROR(VLOOKUP($B656,calc_data,C$14+1,0),0)</f>
        <v/>
      </c>
      <c r="D656" s="182">
        <f>IFERROR(VLOOKUP($B656,calc_data,D$14+1,0),0)</f>
        <v/>
      </c>
      <c r="E656" s="183">
        <f>IFERROR(VLOOKUP($B656,calc_data,E$14+1,0),0)</f>
        <v/>
      </c>
      <c r="F656" s="182">
        <f>IFERROR(VLOOKUP($B656,calc_data,F$14+1,0),0)</f>
        <v/>
      </c>
      <c r="G656" s="141">
        <f>IFERROR(VLOOKUP($B656,calc_data,G$14+1,0),0)</f>
        <v/>
      </c>
      <c r="H656" s="141">
        <f>IFERROR(VLOOKUP($B656,calc_data,H$14+1,0),0)</f>
        <v/>
      </c>
      <c r="I656" s="142">
        <f>IFERROR(VLOOKUP($B656,calc_data,I$14+1,0),0)</f>
        <v/>
      </c>
      <c r="J656" s="141">
        <f>IFERROR(VLOOKUP($B656,calc_data,J$14+1,0),0)</f>
        <v/>
      </c>
      <c r="K656" s="141">
        <f>IFERROR(VLOOKUP($B656,calc_data,K$14+1,0),0)</f>
        <v/>
      </c>
      <c r="L656" s="141">
        <f>IFERROR(VLOOKUP($B656,calc_data,L$14+1,0),0)</f>
        <v/>
      </c>
      <c r="M656" s="177">
        <f>IFERROR(VLOOKUP($B656,calc_data,M$14+1,0),0)</f>
        <v/>
      </c>
      <c r="N656" s="177">
        <f>IFERROR(VLOOKUP($B656,calc_data,N$14+1,0),0)</f>
        <v/>
      </c>
      <c r="O656" s="45" t="n"/>
      <c r="Q656" s="57">
        <f>IF(K656&gt;0,"показать","скрыть")</f>
        <v/>
      </c>
    </row>
    <row r="657" ht="15.75" customHeight="1">
      <c r="B657" s="182" t="n">
        <v>641</v>
      </c>
      <c r="C657" s="182">
        <f>IFERROR(VLOOKUP($B657,calc_data,C$14+1,0),0)</f>
        <v/>
      </c>
      <c r="D657" s="182">
        <f>IFERROR(VLOOKUP($B657,calc_data,D$14+1,0),0)</f>
        <v/>
      </c>
      <c r="E657" s="183">
        <f>IFERROR(VLOOKUP($B657,calc_data,E$14+1,0),0)</f>
        <v/>
      </c>
      <c r="F657" s="182">
        <f>IFERROR(VLOOKUP($B657,calc_data,F$14+1,0),0)</f>
        <v/>
      </c>
      <c r="G657" s="141">
        <f>IFERROR(VLOOKUP($B657,calc_data,G$14+1,0),0)</f>
        <v/>
      </c>
      <c r="H657" s="141">
        <f>IFERROR(VLOOKUP($B657,calc_data,H$14+1,0),0)</f>
        <v/>
      </c>
      <c r="I657" s="142">
        <f>IFERROR(VLOOKUP($B657,calc_data,I$14+1,0),0)</f>
        <v/>
      </c>
      <c r="J657" s="141">
        <f>IFERROR(VLOOKUP($B657,calc_data,J$14+1,0),0)</f>
        <v/>
      </c>
      <c r="K657" s="141">
        <f>IFERROR(VLOOKUP($B657,calc_data,K$14+1,0),0)</f>
        <v/>
      </c>
      <c r="L657" s="141">
        <f>IFERROR(VLOOKUP($B657,calc_data,L$14+1,0),0)</f>
        <v/>
      </c>
      <c r="M657" s="177">
        <f>IFERROR(VLOOKUP($B657,calc_data,M$14+1,0),0)</f>
        <v/>
      </c>
      <c r="N657" s="177">
        <f>IFERROR(VLOOKUP($B657,calc_data,N$14+1,0),0)</f>
        <v/>
      </c>
      <c r="O657" s="45" t="n"/>
      <c r="Q657" s="57">
        <f>IF(K657&gt;0,"показать","скрыть")</f>
        <v/>
      </c>
    </row>
    <row r="658" ht="15.75" customHeight="1">
      <c r="B658" s="182" t="n">
        <v>642</v>
      </c>
      <c r="C658" s="182">
        <f>IFERROR(VLOOKUP($B658,calc_data,C$14+1,0),0)</f>
        <v/>
      </c>
      <c r="D658" s="182">
        <f>IFERROR(VLOOKUP($B658,calc_data,D$14+1,0),0)</f>
        <v/>
      </c>
      <c r="E658" s="183">
        <f>IFERROR(VLOOKUP($B658,calc_data,E$14+1,0),0)</f>
        <v/>
      </c>
      <c r="F658" s="182">
        <f>IFERROR(VLOOKUP($B658,calc_data,F$14+1,0),0)</f>
        <v/>
      </c>
      <c r="G658" s="141">
        <f>IFERROR(VLOOKUP($B658,calc_data,G$14+1,0),0)</f>
        <v/>
      </c>
      <c r="H658" s="141">
        <f>IFERROR(VLOOKUP($B658,calc_data,H$14+1,0),0)</f>
        <v/>
      </c>
      <c r="I658" s="142">
        <f>IFERROR(VLOOKUP($B658,calc_data,I$14+1,0),0)</f>
        <v/>
      </c>
      <c r="J658" s="141">
        <f>IFERROR(VLOOKUP($B658,calc_data,J$14+1,0),0)</f>
        <v/>
      </c>
      <c r="K658" s="141">
        <f>IFERROR(VLOOKUP($B658,calc_data,K$14+1,0),0)</f>
        <v/>
      </c>
      <c r="L658" s="141">
        <f>IFERROR(VLOOKUP($B658,calc_data,L$14+1,0),0)</f>
        <v/>
      </c>
      <c r="M658" s="177">
        <f>IFERROR(VLOOKUP($B658,calc_data,M$14+1,0),0)</f>
        <v/>
      </c>
      <c r="N658" s="177">
        <f>IFERROR(VLOOKUP($B658,calc_data,N$14+1,0),0)</f>
        <v/>
      </c>
      <c r="O658" s="45" t="n"/>
      <c r="Q658" s="57">
        <f>IF(K658&gt;0,"показать","скрыть")</f>
        <v/>
      </c>
    </row>
    <row r="659" ht="15.75" customHeight="1">
      <c r="B659" s="182" t="n">
        <v>643</v>
      </c>
      <c r="C659" s="182">
        <f>IFERROR(VLOOKUP($B659,calc_data,C$14+1,0),0)</f>
        <v/>
      </c>
      <c r="D659" s="182">
        <f>IFERROR(VLOOKUP($B659,calc_data,D$14+1,0),0)</f>
        <v/>
      </c>
      <c r="E659" s="183">
        <f>IFERROR(VLOOKUP($B659,calc_data,E$14+1,0),0)</f>
        <v/>
      </c>
      <c r="F659" s="182">
        <f>IFERROR(VLOOKUP($B659,calc_data,F$14+1,0),0)</f>
        <v/>
      </c>
      <c r="G659" s="141">
        <f>IFERROR(VLOOKUP($B659,calc_data,G$14+1,0),0)</f>
        <v/>
      </c>
      <c r="H659" s="141">
        <f>IFERROR(VLOOKUP($B659,calc_data,H$14+1,0),0)</f>
        <v/>
      </c>
      <c r="I659" s="142">
        <f>IFERROR(VLOOKUP($B659,calc_data,I$14+1,0),0)</f>
        <v/>
      </c>
      <c r="J659" s="141">
        <f>IFERROR(VLOOKUP($B659,calc_data,J$14+1,0),0)</f>
        <v/>
      </c>
      <c r="K659" s="141">
        <f>IFERROR(VLOOKUP($B659,calc_data,K$14+1,0),0)</f>
        <v/>
      </c>
      <c r="L659" s="141">
        <f>IFERROR(VLOOKUP($B659,calc_data,L$14+1,0),0)</f>
        <v/>
      </c>
      <c r="M659" s="177">
        <f>IFERROR(VLOOKUP($B659,calc_data,M$14+1,0),0)</f>
        <v/>
      </c>
      <c r="N659" s="177">
        <f>IFERROR(VLOOKUP($B659,calc_data,N$14+1,0),0)</f>
        <v/>
      </c>
      <c r="O659" s="45" t="n"/>
      <c r="Q659" s="57">
        <f>IF(K659&gt;0,"показать","скрыть")</f>
        <v/>
      </c>
    </row>
    <row r="660" ht="15.75" customHeight="1">
      <c r="B660" s="182" t="n">
        <v>644</v>
      </c>
      <c r="C660" s="182">
        <f>IFERROR(VLOOKUP($B660,calc_data,C$14+1,0),0)</f>
        <v/>
      </c>
      <c r="D660" s="182">
        <f>IFERROR(VLOOKUP($B660,calc_data,D$14+1,0),0)</f>
        <v/>
      </c>
      <c r="E660" s="183">
        <f>IFERROR(VLOOKUP($B660,calc_data,E$14+1,0),0)</f>
        <v/>
      </c>
      <c r="F660" s="182">
        <f>IFERROR(VLOOKUP($B660,calc_data,F$14+1,0),0)</f>
        <v/>
      </c>
      <c r="G660" s="141">
        <f>IFERROR(VLOOKUP($B660,calc_data,G$14+1,0),0)</f>
        <v/>
      </c>
      <c r="H660" s="141">
        <f>IFERROR(VLOOKUP($B660,calc_data,H$14+1,0),0)</f>
        <v/>
      </c>
      <c r="I660" s="142">
        <f>IFERROR(VLOOKUP($B660,calc_data,I$14+1,0),0)</f>
        <v/>
      </c>
      <c r="J660" s="141">
        <f>IFERROR(VLOOKUP($B660,calc_data,J$14+1,0),0)</f>
        <v/>
      </c>
      <c r="K660" s="141">
        <f>IFERROR(VLOOKUP($B660,calc_data,K$14+1,0),0)</f>
        <v/>
      </c>
      <c r="L660" s="141">
        <f>IFERROR(VLOOKUP($B660,calc_data,L$14+1,0),0)</f>
        <v/>
      </c>
      <c r="M660" s="177">
        <f>IFERROR(VLOOKUP($B660,calc_data,M$14+1,0),0)</f>
        <v/>
      </c>
      <c r="N660" s="177">
        <f>IFERROR(VLOOKUP($B660,calc_data,N$14+1,0),0)</f>
        <v/>
      </c>
      <c r="O660" s="45" t="n"/>
      <c r="Q660" s="57">
        <f>IF(K660&gt;0,"показать","скрыть")</f>
        <v/>
      </c>
    </row>
    <row r="661" ht="15.75" customHeight="1">
      <c r="B661" s="182" t="n">
        <v>645</v>
      </c>
      <c r="C661" s="182">
        <f>IFERROR(VLOOKUP($B661,calc_data,C$14+1,0),0)</f>
        <v/>
      </c>
      <c r="D661" s="182">
        <f>IFERROR(VLOOKUP($B661,calc_data,D$14+1,0),0)</f>
        <v/>
      </c>
      <c r="E661" s="183">
        <f>IFERROR(VLOOKUP($B661,calc_data,E$14+1,0),0)</f>
        <v/>
      </c>
      <c r="F661" s="182">
        <f>IFERROR(VLOOKUP($B661,calc_data,F$14+1,0),0)</f>
        <v/>
      </c>
      <c r="G661" s="141">
        <f>IFERROR(VLOOKUP($B661,calc_data,G$14+1,0),0)</f>
        <v/>
      </c>
      <c r="H661" s="141">
        <f>IFERROR(VLOOKUP($B661,calc_data,H$14+1,0),0)</f>
        <v/>
      </c>
      <c r="I661" s="142">
        <f>IFERROR(VLOOKUP($B661,calc_data,I$14+1,0),0)</f>
        <v/>
      </c>
      <c r="J661" s="141">
        <f>IFERROR(VLOOKUP($B661,calc_data,J$14+1,0),0)</f>
        <v/>
      </c>
      <c r="K661" s="141">
        <f>IFERROR(VLOOKUP($B661,calc_data,K$14+1,0),0)</f>
        <v/>
      </c>
      <c r="L661" s="141">
        <f>IFERROR(VLOOKUP($B661,calc_data,L$14+1,0),0)</f>
        <v/>
      </c>
      <c r="M661" s="177">
        <f>IFERROR(VLOOKUP($B661,calc_data,M$14+1,0),0)</f>
        <v/>
      </c>
      <c r="N661" s="177">
        <f>IFERROR(VLOOKUP($B661,calc_data,N$14+1,0),0)</f>
        <v/>
      </c>
      <c r="O661" s="45" t="n"/>
      <c r="Q661" s="57">
        <f>IF(K661&gt;0,"показать","скрыть")</f>
        <v/>
      </c>
    </row>
    <row r="662" ht="15.75" customHeight="1">
      <c r="B662" s="182" t="n">
        <v>646</v>
      </c>
      <c r="C662" s="182">
        <f>IFERROR(VLOOKUP($B662,calc_data,C$14+1,0),0)</f>
        <v/>
      </c>
      <c r="D662" s="182">
        <f>IFERROR(VLOOKUP($B662,calc_data,D$14+1,0),0)</f>
        <v/>
      </c>
      <c r="E662" s="183">
        <f>IFERROR(VLOOKUP($B662,calc_data,E$14+1,0),0)</f>
        <v/>
      </c>
      <c r="F662" s="182">
        <f>IFERROR(VLOOKUP($B662,calc_data,F$14+1,0),0)</f>
        <v/>
      </c>
      <c r="G662" s="141">
        <f>IFERROR(VLOOKUP($B662,calc_data,G$14+1,0),0)</f>
        <v/>
      </c>
      <c r="H662" s="141">
        <f>IFERROR(VLOOKUP($B662,calc_data,H$14+1,0),0)</f>
        <v/>
      </c>
      <c r="I662" s="142">
        <f>IFERROR(VLOOKUP($B662,calc_data,I$14+1,0),0)</f>
        <v/>
      </c>
      <c r="J662" s="141">
        <f>IFERROR(VLOOKUP($B662,calc_data,J$14+1,0),0)</f>
        <v/>
      </c>
      <c r="K662" s="141">
        <f>IFERROR(VLOOKUP($B662,calc_data,K$14+1,0),0)</f>
        <v/>
      </c>
      <c r="L662" s="141">
        <f>IFERROR(VLOOKUP($B662,calc_data,L$14+1,0),0)</f>
        <v/>
      </c>
      <c r="M662" s="177">
        <f>IFERROR(VLOOKUP($B662,calc_data,M$14+1,0),0)</f>
        <v/>
      </c>
      <c r="N662" s="177">
        <f>IFERROR(VLOOKUP($B662,calc_data,N$14+1,0),0)</f>
        <v/>
      </c>
      <c r="O662" s="45" t="n"/>
      <c r="Q662" s="57">
        <f>IF(K662&gt;0,"показать","скрыть")</f>
        <v/>
      </c>
    </row>
    <row r="663" ht="15.75" customHeight="1">
      <c r="B663" s="182" t="n">
        <v>647</v>
      </c>
      <c r="C663" s="182">
        <f>IFERROR(VLOOKUP($B663,calc_data,C$14+1,0),0)</f>
        <v/>
      </c>
      <c r="D663" s="182">
        <f>IFERROR(VLOOKUP($B663,calc_data,D$14+1,0),0)</f>
        <v/>
      </c>
      <c r="E663" s="183">
        <f>IFERROR(VLOOKUP($B663,calc_data,E$14+1,0),0)</f>
        <v/>
      </c>
      <c r="F663" s="182">
        <f>IFERROR(VLOOKUP($B663,calc_data,F$14+1,0),0)</f>
        <v/>
      </c>
      <c r="G663" s="141">
        <f>IFERROR(VLOOKUP($B663,calc_data,G$14+1,0),0)</f>
        <v/>
      </c>
      <c r="H663" s="141">
        <f>IFERROR(VLOOKUP($B663,calc_data,H$14+1,0),0)</f>
        <v/>
      </c>
      <c r="I663" s="142">
        <f>IFERROR(VLOOKUP($B663,calc_data,I$14+1,0),0)</f>
        <v/>
      </c>
      <c r="J663" s="141">
        <f>IFERROR(VLOOKUP($B663,calc_data,J$14+1,0),0)</f>
        <v/>
      </c>
      <c r="K663" s="141">
        <f>IFERROR(VLOOKUP($B663,calc_data,K$14+1,0),0)</f>
        <v/>
      </c>
      <c r="L663" s="141">
        <f>IFERROR(VLOOKUP($B663,calc_data,L$14+1,0),0)</f>
        <v/>
      </c>
      <c r="M663" s="177">
        <f>IFERROR(VLOOKUP($B663,calc_data,M$14+1,0),0)</f>
        <v/>
      </c>
      <c r="N663" s="177">
        <f>IFERROR(VLOOKUP($B663,calc_data,N$14+1,0),0)</f>
        <v/>
      </c>
      <c r="O663" s="45" t="n"/>
      <c r="Q663" s="57">
        <f>IF(K663&gt;0,"показать","скрыть")</f>
        <v/>
      </c>
    </row>
    <row r="664" ht="15.75" customHeight="1">
      <c r="B664" s="182" t="n">
        <v>648</v>
      </c>
      <c r="C664" s="182">
        <f>IFERROR(VLOOKUP($B664,calc_data,C$14+1,0),0)</f>
        <v/>
      </c>
      <c r="D664" s="182">
        <f>IFERROR(VLOOKUP($B664,calc_data,D$14+1,0),0)</f>
        <v/>
      </c>
      <c r="E664" s="183">
        <f>IFERROR(VLOOKUP($B664,calc_data,E$14+1,0),0)</f>
        <v/>
      </c>
      <c r="F664" s="182">
        <f>IFERROR(VLOOKUP($B664,calc_data,F$14+1,0),0)</f>
        <v/>
      </c>
      <c r="G664" s="141">
        <f>IFERROR(VLOOKUP($B664,calc_data,G$14+1,0),0)</f>
        <v/>
      </c>
      <c r="H664" s="141">
        <f>IFERROR(VLOOKUP($B664,calc_data,H$14+1,0),0)</f>
        <v/>
      </c>
      <c r="I664" s="142">
        <f>IFERROR(VLOOKUP($B664,calc_data,I$14+1,0),0)</f>
        <v/>
      </c>
      <c r="J664" s="141">
        <f>IFERROR(VLOOKUP($B664,calc_data,J$14+1,0),0)</f>
        <v/>
      </c>
      <c r="K664" s="141">
        <f>IFERROR(VLOOKUP($B664,calc_data,K$14+1,0),0)</f>
        <v/>
      </c>
      <c r="L664" s="141">
        <f>IFERROR(VLOOKUP($B664,calc_data,L$14+1,0),0)</f>
        <v/>
      </c>
      <c r="M664" s="177">
        <f>IFERROR(VLOOKUP($B664,calc_data,M$14+1,0),0)</f>
        <v/>
      </c>
      <c r="N664" s="177">
        <f>IFERROR(VLOOKUP($B664,calc_data,N$14+1,0),0)</f>
        <v/>
      </c>
      <c r="O664" s="45" t="n"/>
      <c r="Q664" s="57">
        <f>IF(K664&gt;0,"показать","скрыть")</f>
        <v/>
      </c>
    </row>
    <row r="665" ht="15.75" customHeight="1">
      <c r="B665" s="182" t="n">
        <v>649</v>
      </c>
      <c r="C665" s="182">
        <f>IFERROR(VLOOKUP($B665,calc_data,C$14+1,0),0)</f>
        <v/>
      </c>
      <c r="D665" s="182">
        <f>IFERROR(VLOOKUP($B665,calc_data,D$14+1,0),0)</f>
        <v/>
      </c>
      <c r="E665" s="183">
        <f>IFERROR(VLOOKUP($B665,calc_data,E$14+1,0),0)</f>
        <v/>
      </c>
      <c r="F665" s="182">
        <f>IFERROR(VLOOKUP($B665,calc_data,F$14+1,0),0)</f>
        <v/>
      </c>
      <c r="G665" s="141">
        <f>IFERROR(VLOOKUP($B665,calc_data,G$14+1,0),0)</f>
        <v/>
      </c>
      <c r="H665" s="141">
        <f>IFERROR(VLOOKUP($B665,calc_data,H$14+1,0),0)</f>
        <v/>
      </c>
      <c r="I665" s="142">
        <f>IFERROR(VLOOKUP($B665,calc_data,I$14+1,0),0)</f>
        <v/>
      </c>
      <c r="J665" s="141">
        <f>IFERROR(VLOOKUP($B665,calc_data,J$14+1,0),0)</f>
        <v/>
      </c>
      <c r="K665" s="141">
        <f>IFERROR(VLOOKUP($B665,calc_data,K$14+1,0),0)</f>
        <v/>
      </c>
      <c r="L665" s="141">
        <f>IFERROR(VLOOKUP($B665,calc_data,L$14+1,0),0)</f>
        <v/>
      </c>
      <c r="M665" s="177">
        <f>IFERROR(VLOOKUP($B665,calc_data,M$14+1,0),0)</f>
        <v/>
      </c>
      <c r="N665" s="177">
        <f>IFERROR(VLOOKUP($B665,calc_data,N$14+1,0),0)</f>
        <v/>
      </c>
      <c r="O665" s="45" t="n"/>
      <c r="Q665" s="57">
        <f>IF(K665&gt;0,"показать","скрыть")</f>
        <v/>
      </c>
    </row>
    <row r="666" ht="15.75" customHeight="1">
      <c r="B666" s="182" t="n">
        <v>650</v>
      </c>
      <c r="C666" s="182">
        <f>IFERROR(VLOOKUP($B666,calc_data,C$14+1,0),0)</f>
        <v/>
      </c>
      <c r="D666" s="182">
        <f>IFERROR(VLOOKUP($B666,calc_data,D$14+1,0),0)</f>
        <v/>
      </c>
      <c r="E666" s="183">
        <f>IFERROR(VLOOKUP($B666,calc_data,E$14+1,0),0)</f>
        <v/>
      </c>
      <c r="F666" s="182">
        <f>IFERROR(VLOOKUP($B666,calc_data,F$14+1,0),0)</f>
        <v/>
      </c>
      <c r="G666" s="141">
        <f>IFERROR(VLOOKUP($B666,calc_data,G$14+1,0),0)</f>
        <v/>
      </c>
      <c r="H666" s="141">
        <f>IFERROR(VLOOKUP($B666,calc_data,H$14+1,0),0)</f>
        <v/>
      </c>
      <c r="I666" s="142">
        <f>IFERROR(VLOOKUP($B666,calc_data,I$14+1,0),0)</f>
        <v/>
      </c>
      <c r="J666" s="141">
        <f>IFERROR(VLOOKUP($B666,calc_data,J$14+1,0),0)</f>
        <v/>
      </c>
      <c r="K666" s="141">
        <f>IFERROR(VLOOKUP($B666,calc_data,K$14+1,0),0)</f>
        <v/>
      </c>
      <c r="L666" s="141">
        <f>IFERROR(VLOOKUP($B666,calc_data,L$14+1,0),0)</f>
        <v/>
      </c>
      <c r="M666" s="177">
        <f>IFERROR(VLOOKUP($B666,calc_data,M$14+1,0),0)</f>
        <v/>
      </c>
      <c r="N666" s="177">
        <f>IFERROR(VLOOKUP($B666,calc_data,N$14+1,0),0)</f>
        <v/>
      </c>
      <c r="O666" s="45" t="n"/>
      <c r="Q666" s="57">
        <f>IF(K666&gt;0,"показать","скрыть")</f>
        <v/>
      </c>
    </row>
    <row r="667" ht="15.75" customHeight="1">
      <c r="B667" s="182" t="n">
        <v>651</v>
      </c>
      <c r="C667" s="182">
        <f>IFERROR(VLOOKUP($B667,calc_data,C$14+1,0),0)</f>
        <v/>
      </c>
      <c r="D667" s="182">
        <f>IFERROR(VLOOKUP($B667,calc_data,D$14+1,0),0)</f>
        <v/>
      </c>
      <c r="E667" s="183">
        <f>IFERROR(VLOOKUP($B667,calc_data,E$14+1,0),0)</f>
        <v/>
      </c>
      <c r="F667" s="182">
        <f>IFERROR(VLOOKUP($B667,calc_data,F$14+1,0),0)</f>
        <v/>
      </c>
      <c r="G667" s="141">
        <f>IFERROR(VLOOKUP($B667,calc_data,G$14+1,0),0)</f>
        <v/>
      </c>
      <c r="H667" s="141">
        <f>IFERROR(VLOOKUP($B667,calc_data,H$14+1,0),0)</f>
        <v/>
      </c>
      <c r="I667" s="142">
        <f>IFERROR(VLOOKUP($B667,calc_data,I$14+1,0),0)</f>
        <v/>
      </c>
      <c r="J667" s="141">
        <f>IFERROR(VLOOKUP($B667,calc_data,J$14+1,0),0)</f>
        <v/>
      </c>
      <c r="K667" s="141">
        <f>IFERROR(VLOOKUP($B667,calc_data,K$14+1,0),0)</f>
        <v/>
      </c>
      <c r="L667" s="141">
        <f>IFERROR(VLOOKUP($B667,calc_data,L$14+1,0),0)</f>
        <v/>
      </c>
      <c r="M667" s="177">
        <f>IFERROR(VLOOKUP($B667,calc_data,M$14+1,0),0)</f>
        <v/>
      </c>
      <c r="N667" s="177">
        <f>IFERROR(VLOOKUP($B667,calc_data,N$14+1,0),0)</f>
        <v/>
      </c>
      <c r="O667" s="45" t="n"/>
      <c r="Q667" s="57">
        <f>IF(K667&gt;0,"показать","скрыть")</f>
        <v/>
      </c>
    </row>
    <row r="668" ht="15.75" customHeight="1">
      <c r="B668" s="182" t="n">
        <v>652</v>
      </c>
      <c r="C668" s="182">
        <f>IFERROR(VLOOKUP($B668,calc_data,C$14+1,0),0)</f>
        <v/>
      </c>
      <c r="D668" s="182">
        <f>IFERROR(VLOOKUP($B668,calc_data,D$14+1,0),0)</f>
        <v/>
      </c>
      <c r="E668" s="183">
        <f>IFERROR(VLOOKUP($B668,calc_data,E$14+1,0),0)</f>
        <v/>
      </c>
      <c r="F668" s="182">
        <f>IFERROR(VLOOKUP($B668,calc_data,F$14+1,0),0)</f>
        <v/>
      </c>
      <c r="G668" s="141">
        <f>IFERROR(VLOOKUP($B668,calc_data,G$14+1,0),0)</f>
        <v/>
      </c>
      <c r="H668" s="141">
        <f>IFERROR(VLOOKUP($B668,calc_data,H$14+1,0),0)</f>
        <v/>
      </c>
      <c r="I668" s="142">
        <f>IFERROR(VLOOKUP($B668,calc_data,I$14+1,0),0)</f>
        <v/>
      </c>
      <c r="J668" s="141">
        <f>IFERROR(VLOOKUP($B668,calc_data,J$14+1,0),0)</f>
        <v/>
      </c>
      <c r="K668" s="141">
        <f>IFERROR(VLOOKUP($B668,calc_data,K$14+1,0),0)</f>
        <v/>
      </c>
      <c r="L668" s="141">
        <f>IFERROR(VLOOKUP($B668,calc_data,L$14+1,0),0)</f>
        <v/>
      </c>
      <c r="M668" s="177">
        <f>IFERROR(VLOOKUP($B668,calc_data,M$14+1,0),0)</f>
        <v/>
      </c>
      <c r="N668" s="177">
        <f>IFERROR(VLOOKUP($B668,calc_data,N$14+1,0),0)</f>
        <v/>
      </c>
      <c r="O668" s="45" t="n"/>
      <c r="Q668" s="57">
        <f>IF(K668&gt;0,"показать","скрыть")</f>
        <v/>
      </c>
    </row>
    <row r="669" ht="15.75" customHeight="1">
      <c r="B669" s="182" t="n">
        <v>653</v>
      </c>
      <c r="C669" s="182">
        <f>IFERROR(VLOOKUP($B669,calc_data,C$14+1,0),0)</f>
        <v/>
      </c>
      <c r="D669" s="182">
        <f>IFERROR(VLOOKUP($B669,calc_data,D$14+1,0),0)</f>
        <v/>
      </c>
      <c r="E669" s="183">
        <f>IFERROR(VLOOKUP($B669,calc_data,E$14+1,0),0)</f>
        <v/>
      </c>
      <c r="F669" s="182">
        <f>IFERROR(VLOOKUP($B669,calc_data,F$14+1,0),0)</f>
        <v/>
      </c>
      <c r="G669" s="141">
        <f>IFERROR(VLOOKUP($B669,calc_data,G$14+1,0),0)</f>
        <v/>
      </c>
      <c r="H669" s="141">
        <f>IFERROR(VLOOKUP($B669,calc_data,H$14+1,0),0)</f>
        <v/>
      </c>
      <c r="I669" s="142">
        <f>IFERROR(VLOOKUP($B669,calc_data,I$14+1,0),0)</f>
        <v/>
      </c>
      <c r="J669" s="141">
        <f>IFERROR(VLOOKUP($B669,calc_data,J$14+1,0),0)</f>
        <v/>
      </c>
      <c r="K669" s="141">
        <f>IFERROR(VLOOKUP($B669,calc_data,K$14+1,0),0)</f>
        <v/>
      </c>
      <c r="L669" s="141">
        <f>IFERROR(VLOOKUP($B669,calc_data,L$14+1,0),0)</f>
        <v/>
      </c>
      <c r="M669" s="177">
        <f>IFERROR(VLOOKUP($B669,calc_data,M$14+1,0),0)</f>
        <v/>
      </c>
      <c r="N669" s="177">
        <f>IFERROR(VLOOKUP($B669,calc_data,N$14+1,0),0)</f>
        <v/>
      </c>
      <c r="O669" s="45" t="n"/>
      <c r="Q669" s="57">
        <f>IF(K669&gt;0,"показать","скрыть")</f>
        <v/>
      </c>
    </row>
    <row r="670" ht="15.75" customHeight="1">
      <c r="B670" s="182" t="n">
        <v>654</v>
      </c>
      <c r="C670" s="182">
        <f>IFERROR(VLOOKUP($B670,calc_data,C$14+1,0),0)</f>
        <v/>
      </c>
      <c r="D670" s="182">
        <f>IFERROR(VLOOKUP($B670,calc_data,D$14+1,0),0)</f>
        <v/>
      </c>
      <c r="E670" s="183">
        <f>IFERROR(VLOOKUP($B670,calc_data,E$14+1,0),0)</f>
        <v/>
      </c>
      <c r="F670" s="182">
        <f>IFERROR(VLOOKUP($B670,calc_data,F$14+1,0),0)</f>
        <v/>
      </c>
      <c r="G670" s="141">
        <f>IFERROR(VLOOKUP($B670,calc_data,G$14+1,0),0)</f>
        <v/>
      </c>
      <c r="H670" s="141">
        <f>IFERROR(VLOOKUP($B670,calc_data,H$14+1,0),0)</f>
        <v/>
      </c>
      <c r="I670" s="142">
        <f>IFERROR(VLOOKUP($B670,calc_data,I$14+1,0),0)</f>
        <v/>
      </c>
      <c r="J670" s="141">
        <f>IFERROR(VLOOKUP($B670,calc_data,J$14+1,0),0)</f>
        <v/>
      </c>
      <c r="K670" s="141">
        <f>IFERROR(VLOOKUP($B670,calc_data,K$14+1,0),0)</f>
        <v/>
      </c>
      <c r="L670" s="141">
        <f>IFERROR(VLOOKUP($B670,calc_data,L$14+1,0),0)</f>
        <v/>
      </c>
      <c r="M670" s="177">
        <f>IFERROR(VLOOKUP($B670,calc_data,M$14+1,0),0)</f>
        <v/>
      </c>
      <c r="N670" s="177">
        <f>IFERROR(VLOOKUP($B670,calc_data,N$14+1,0),0)</f>
        <v/>
      </c>
      <c r="O670" s="45" t="n"/>
      <c r="Q670" s="57">
        <f>IF(K670&gt;0,"показать","скрыть")</f>
        <v/>
      </c>
    </row>
    <row r="671" ht="15.75" customHeight="1">
      <c r="B671" s="182" t="n">
        <v>655</v>
      </c>
      <c r="C671" s="182">
        <f>IFERROR(VLOOKUP($B671,calc_data,C$14+1,0),0)</f>
        <v/>
      </c>
      <c r="D671" s="182">
        <f>IFERROR(VLOOKUP($B671,calc_data,D$14+1,0),0)</f>
        <v/>
      </c>
      <c r="E671" s="183">
        <f>IFERROR(VLOOKUP($B671,calc_data,E$14+1,0),0)</f>
        <v/>
      </c>
      <c r="F671" s="182">
        <f>IFERROR(VLOOKUP($B671,calc_data,F$14+1,0),0)</f>
        <v/>
      </c>
      <c r="G671" s="141">
        <f>IFERROR(VLOOKUP($B671,calc_data,G$14+1,0),0)</f>
        <v/>
      </c>
      <c r="H671" s="141">
        <f>IFERROR(VLOOKUP($B671,calc_data,H$14+1,0),0)</f>
        <v/>
      </c>
      <c r="I671" s="142">
        <f>IFERROR(VLOOKUP($B671,calc_data,I$14+1,0),0)</f>
        <v/>
      </c>
      <c r="J671" s="141">
        <f>IFERROR(VLOOKUP($B671,calc_data,J$14+1,0),0)</f>
        <v/>
      </c>
      <c r="K671" s="141">
        <f>IFERROR(VLOOKUP($B671,calc_data,K$14+1,0),0)</f>
        <v/>
      </c>
      <c r="L671" s="141">
        <f>IFERROR(VLOOKUP($B671,calc_data,L$14+1,0),0)</f>
        <v/>
      </c>
      <c r="M671" s="177">
        <f>IFERROR(VLOOKUP($B671,calc_data,M$14+1,0),0)</f>
        <v/>
      </c>
      <c r="N671" s="177">
        <f>IFERROR(VLOOKUP($B671,calc_data,N$14+1,0),0)</f>
        <v/>
      </c>
      <c r="O671" s="45" t="n"/>
      <c r="Q671" s="57">
        <f>IF(K671&gt;0,"показать","скрыть")</f>
        <v/>
      </c>
    </row>
    <row r="672" ht="15.75" customHeight="1">
      <c r="B672" s="182" t="n">
        <v>656</v>
      </c>
      <c r="C672" s="182">
        <f>IFERROR(VLOOKUP($B672,calc_data,C$14+1,0),0)</f>
        <v/>
      </c>
      <c r="D672" s="182">
        <f>IFERROR(VLOOKUP($B672,calc_data,D$14+1,0),0)</f>
        <v/>
      </c>
      <c r="E672" s="183">
        <f>IFERROR(VLOOKUP($B672,calc_data,E$14+1,0),0)</f>
        <v/>
      </c>
      <c r="F672" s="182">
        <f>IFERROR(VLOOKUP($B672,calc_data,F$14+1,0),0)</f>
        <v/>
      </c>
      <c r="G672" s="141">
        <f>IFERROR(VLOOKUP($B672,calc_data,G$14+1,0),0)</f>
        <v/>
      </c>
      <c r="H672" s="141">
        <f>IFERROR(VLOOKUP($B672,calc_data,H$14+1,0),0)</f>
        <v/>
      </c>
      <c r="I672" s="142">
        <f>IFERROR(VLOOKUP($B672,calc_data,I$14+1,0),0)</f>
        <v/>
      </c>
      <c r="J672" s="141">
        <f>IFERROR(VLOOKUP($B672,calc_data,J$14+1,0),0)</f>
        <v/>
      </c>
      <c r="K672" s="141">
        <f>IFERROR(VLOOKUP($B672,calc_data,K$14+1,0),0)</f>
        <v/>
      </c>
      <c r="L672" s="141">
        <f>IFERROR(VLOOKUP($B672,calc_data,L$14+1,0),0)</f>
        <v/>
      </c>
      <c r="M672" s="177">
        <f>IFERROR(VLOOKUP($B672,calc_data,M$14+1,0),0)</f>
        <v/>
      </c>
      <c r="N672" s="177">
        <f>IFERROR(VLOOKUP($B672,calc_data,N$14+1,0),0)</f>
        <v/>
      </c>
      <c r="O672" s="45" t="n"/>
      <c r="Q672" s="57">
        <f>IF(K672&gt;0,"показать","скрыть")</f>
        <v/>
      </c>
    </row>
    <row r="673" ht="15.75" customHeight="1">
      <c r="B673" s="182" t="n">
        <v>657</v>
      </c>
      <c r="C673" s="182">
        <f>IFERROR(VLOOKUP($B673,calc_data,C$14+1,0),0)</f>
        <v/>
      </c>
      <c r="D673" s="182">
        <f>IFERROR(VLOOKUP($B673,calc_data,D$14+1,0),0)</f>
        <v/>
      </c>
      <c r="E673" s="183">
        <f>IFERROR(VLOOKUP($B673,calc_data,E$14+1,0),0)</f>
        <v/>
      </c>
      <c r="F673" s="182">
        <f>IFERROR(VLOOKUP($B673,calc_data,F$14+1,0),0)</f>
        <v/>
      </c>
      <c r="G673" s="141">
        <f>IFERROR(VLOOKUP($B673,calc_data,G$14+1,0),0)</f>
        <v/>
      </c>
      <c r="H673" s="141">
        <f>IFERROR(VLOOKUP($B673,calc_data,H$14+1,0),0)</f>
        <v/>
      </c>
      <c r="I673" s="142">
        <f>IFERROR(VLOOKUP($B673,calc_data,I$14+1,0),0)</f>
        <v/>
      </c>
      <c r="J673" s="141">
        <f>IFERROR(VLOOKUP($B673,calc_data,J$14+1,0),0)</f>
        <v/>
      </c>
      <c r="K673" s="141">
        <f>IFERROR(VLOOKUP($B673,calc_data,K$14+1,0),0)</f>
        <v/>
      </c>
      <c r="L673" s="141">
        <f>IFERROR(VLOOKUP($B673,calc_data,L$14+1,0),0)</f>
        <v/>
      </c>
      <c r="M673" s="177">
        <f>IFERROR(VLOOKUP($B673,calc_data,M$14+1,0),0)</f>
        <v/>
      </c>
      <c r="N673" s="177">
        <f>IFERROR(VLOOKUP($B673,calc_data,N$14+1,0),0)</f>
        <v/>
      </c>
      <c r="O673" s="45" t="n"/>
      <c r="Q673" s="57">
        <f>IF(K673&gt;0,"показать","скрыть")</f>
        <v/>
      </c>
    </row>
    <row r="674" ht="15.75" customHeight="1">
      <c r="B674" s="182" t="n">
        <v>658</v>
      </c>
      <c r="C674" s="182">
        <f>IFERROR(VLOOKUP($B674,calc_data,C$14+1,0),0)</f>
        <v/>
      </c>
      <c r="D674" s="182">
        <f>IFERROR(VLOOKUP($B674,calc_data,D$14+1,0),0)</f>
        <v/>
      </c>
      <c r="E674" s="183">
        <f>IFERROR(VLOOKUP($B674,calc_data,E$14+1,0),0)</f>
        <v/>
      </c>
      <c r="F674" s="182">
        <f>IFERROR(VLOOKUP($B674,calc_data,F$14+1,0),0)</f>
        <v/>
      </c>
      <c r="G674" s="141">
        <f>IFERROR(VLOOKUP($B674,calc_data,G$14+1,0),0)</f>
        <v/>
      </c>
      <c r="H674" s="141">
        <f>IFERROR(VLOOKUP($B674,calc_data,H$14+1,0),0)</f>
        <v/>
      </c>
      <c r="I674" s="142">
        <f>IFERROR(VLOOKUP($B674,calc_data,I$14+1,0),0)</f>
        <v/>
      </c>
      <c r="J674" s="141">
        <f>IFERROR(VLOOKUP($B674,calc_data,J$14+1,0),0)</f>
        <v/>
      </c>
      <c r="K674" s="141">
        <f>IFERROR(VLOOKUP($B674,calc_data,K$14+1,0),0)</f>
        <v/>
      </c>
      <c r="L674" s="141">
        <f>IFERROR(VLOOKUP($B674,calc_data,L$14+1,0),0)</f>
        <v/>
      </c>
      <c r="M674" s="177">
        <f>IFERROR(VLOOKUP($B674,calc_data,M$14+1,0),0)</f>
        <v/>
      </c>
      <c r="N674" s="177">
        <f>IFERROR(VLOOKUP($B674,calc_data,N$14+1,0),0)</f>
        <v/>
      </c>
      <c r="O674" s="45" t="n"/>
      <c r="Q674" s="57">
        <f>IF(K674&gt;0,"показать","скрыть")</f>
        <v/>
      </c>
    </row>
    <row r="675" ht="15.75" customHeight="1">
      <c r="B675" s="182" t="n">
        <v>659</v>
      </c>
      <c r="C675" s="182">
        <f>IFERROR(VLOOKUP($B675,calc_data,C$14+1,0),0)</f>
        <v/>
      </c>
      <c r="D675" s="182">
        <f>IFERROR(VLOOKUP($B675,calc_data,D$14+1,0),0)</f>
        <v/>
      </c>
      <c r="E675" s="183">
        <f>IFERROR(VLOOKUP($B675,calc_data,E$14+1,0),0)</f>
        <v/>
      </c>
      <c r="F675" s="182">
        <f>IFERROR(VLOOKUP($B675,calc_data,F$14+1,0),0)</f>
        <v/>
      </c>
      <c r="G675" s="141">
        <f>IFERROR(VLOOKUP($B675,calc_data,G$14+1,0),0)</f>
        <v/>
      </c>
      <c r="H675" s="141">
        <f>IFERROR(VLOOKUP($B675,calc_data,H$14+1,0),0)</f>
        <v/>
      </c>
      <c r="I675" s="142">
        <f>IFERROR(VLOOKUP($B675,calc_data,I$14+1,0),0)</f>
        <v/>
      </c>
      <c r="J675" s="141">
        <f>IFERROR(VLOOKUP($B675,calc_data,J$14+1,0),0)</f>
        <v/>
      </c>
      <c r="K675" s="141">
        <f>IFERROR(VLOOKUP($B675,calc_data,K$14+1,0),0)</f>
        <v/>
      </c>
      <c r="L675" s="141">
        <f>IFERROR(VLOOKUP($B675,calc_data,L$14+1,0),0)</f>
        <v/>
      </c>
      <c r="M675" s="177">
        <f>IFERROR(VLOOKUP($B675,calc_data,M$14+1,0),0)</f>
        <v/>
      </c>
      <c r="N675" s="177">
        <f>IFERROR(VLOOKUP($B675,calc_data,N$14+1,0),0)</f>
        <v/>
      </c>
      <c r="O675" s="45" t="n"/>
      <c r="Q675" s="57">
        <f>IF(K675&gt;0,"показать","скрыть")</f>
        <v/>
      </c>
    </row>
    <row r="676" ht="15.75" customHeight="1">
      <c r="B676" s="182" t="n">
        <v>660</v>
      </c>
      <c r="C676" s="182">
        <f>IFERROR(VLOOKUP($B676,calc_data,C$14+1,0),0)</f>
        <v/>
      </c>
      <c r="D676" s="182">
        <f>IFERROR(VLOOKUP($B676,calc_data,D$14+1,0),0)</f>
        <v/>
      </c>
      <c r="E676" s="183">
        <f>IFERROR(VLOOKUP($B676,calc_data,E$14+1,0),0)</f>
        <v/>
      </c>
      <c r="F676" s="182">
        <f>IFERROR(VLOOKUP($B676,calc_data,F$14+1,0),0)</f>
        <v/>
      </c>
      <c r="G676" s="141">
        <f>IFERROR(VLOOKUP($B676,calc_data,G$14+1,0),0)</f>
        <v/>
      </c>
      <c r="H676" s="141">
        <f>IFERROR(VLOOKUP($B676,calc_data,H$14+1,0),0)</f>
        <v/>
      </c>
      <c r="I676" s="142">
        <f>IFERROR(VLOOKUP($B676,calc_data,I$14+1,0),0)</f>
        <v/>
      </c>
      <c r="J676" s="141">
        <f>IFERROR(VLOOKUP($B676,calc_data,J$14+1,0),0)</f>
        <v/>
      </c>
      <c r="K676" s="141">
        <f>IFERROR(VLOOKUP($B676,calc_data,K$14+1,0),0)</f>
        <v/>
      </c>
      <c r="L676" s="141">
        <f>IFERROR(VLOOKUP($B676,calc_data,L$14+1,0),0)</f>
        <v/>
      </c>
      <c r="M676" s="177">
        <f>IFERROR(VLOOKUP($B676,calc_data,M$14+1,0),0)</f>
        <v/>
      </c>
      <c r="N676" s="177">
        <f>IFERROR(VLOOKUP($B676,calc_data,N$14+1,0),0)</f>
        <v/>
      </c>
      <c r="O676" s="45" t="n"/>
      <c r="Q676" s="57">
        <f>IF(K676&gt;0,"показать","скрыть")</f>
        <v/>
      </c>
    </row>
    <row r="677" ht="15.75" customHeight="1">
      <c r="B677" s="182" t="n">
        <v>661</v>
      </c>
      <c r="C677" s="182">
        <f>IFERROR(VLOOKUP($B677,calc_data,C$14+1,0),0)</f>
        <v/>
      </c>
      <c r="D677" s="182">
        <f>IFERROR(VLOOKUP($B677,calc_data,D$14+1,0),0)</f>
        <v/>
      </c>
      <c r="E677" s="183">
        <f>IFERROR(VLOOKUP($B677,calc_data,E$14+1,0),0)</f>
        <v/>
      </c>
      <c r="F677" s="182">
        <f>IFERROR(VLOOKUP($B677,calc_data,F$14+1,0),0)</f>
        <v/>
      </c>
      <c r="G677" s="141">
        <f>IFERROR(VLOOKUP($B677,calc_data,G$14+1,0),0)</f>
        <v/>
      </c>
      <c r="H677" s="141">
        <f>IFERROR(VLOOKUP($B677,calc_data,H$14+1,0),0)</f>
        <v/>
      </c>
      <c r="I677" s="142">
        <f>IFERROR(VLOOKUP($B677,calc_data,I$14+1,0),0)</f>
        <v/>
      </c>
      <c r="J677" s="141">
        <f>IFERROR(VLOOKUP($B677,calc_data,J$14+1,0),0)</f>
        <v/>
      </c>
      <c r="K677" s="141">
        <f>IFERROR(VLOOKUP($B677,calc_data,K$14+1,0),0)</f>
        <v/>
      </c>
      <c r="L677" s="141">
        <f>IFERROR(VLOOKUP($B677,calc_data,L$14+1,0),0)</f>
        <v/>
      </c>
      <c r="M677" s="177">
        <f>IFERROR(VLOOKUP($B677,calc_data,M$14+1,0),0)</f>
        <v/>
      </c>
      <c r="N677" s="177">
        <f>IFERROR(VLOOKUP($B677,calc_data,N$14+1,0),0)</f>
        <v/>
      </c>
      <c r="O677" s="45" t="n"/>
      <c r="Q677" s="57">
        <f>IF(K677&gt;0,"показать","скрыть")</f>
        <v/>
      </c>
    </row>
    <row r="678" ht="15.75" customHeight="1">
      <c r="B678" s="182" t="n">
        <v>662</v>
      </c>
      <c r="C678" s="182">
        <f>IFERROR(VLOOKUP($B678,calc_data,C$14+1,0),0)</f>
        <v/>
      </c>
      <c r="D678" s="182">
        <f>IFERROR(VLOOKUP($B678,calc_data,D$14+1,0),0)</f>
        <v/>
      </c>
      <c r="E678" s="183">
        <f>IFERROR(VLOOKUP($B678,calc_data,E$14+1,0),0)</f>
        <v/>
      </c>
      <c r="F678" s="182">
        <f>IFERROR(VLOOKUP($B678,calc_data,F$14+1,0),0)</f>
        <v/>
      </c>
      <c r="G678" s="141">
        <f>IFERROR(VLOOKUP($B678,calc_data,G$14+1,0),0)</f>
        <v/>
      </c>
      <c r="H678" s="141">
        <f>IFERROR(VLOOKUP($B678,calc_data,H$14+1,0),0)</f>
        <v/>
      </c>
      <c r="I678" s="142">
        <f>IFERROR(VLOOKUP($B678,calc_data,I$14+1,0),0)</f>
        <v/>
      </c>
      <c r="J678" s="141">
        <f>IFERROR(VLOOKUP($B678,calc_data,J$14+1,0),0)</f>
        <v/>
      </c>
      <c r="K678" s="141">
        <f>IFERROR(VLOOKUP($B678,calc_data,K$14+1,0),0)</f>
        <v/>
      </c>
      <c r="L678" s="141">
        <f>IFERROR(VLOOKUP($B678,calc_data,L$14+1,0),0)</f>
        <v/>
      </c>
      <c r="M678" s="177">
        <f>IFERROR(VLOOKUP($B678,calc_data,M$14+1,0),0)</f>
        <v/>
      </c>
      <c r="N678" s="177">
        <f>IFERROR(VLOOKUP($B678,calc_data,N$14+1,0),0)</f>
        <v/>
      </c>
      <c r="O678" s="45" t="n"/>
      <c r="Q678" s="57">
        <f>IF(K678&gt;0,"показать","скрыть")</f>
        <v/>
      </c>
    </row>
    <row r="679" ht="15.75" customHeight="1">
      <c r="B679" s="182" t="n">
        <v>663</v>
      </c>
      <c r="C679" s="182">
        <f>IFERROR(VLOOKUP($B679,calc_data,C$14+1,0),0)</f>
        <v/>
      </c>
      <c r="D679" s="182">
        <f>IFERROR(VLOOKUP($B679,calc_data,D$14+1,0),0)</f>
        <v/>
      </c>
      <c r="E679" s="183">
        <f>IFERROR(VLOOKUP($B679,calc_data,E$14+1,0),0)</f>
        <v/>
      </c>
      <c r="F679" s="182">
        <f>IFERROR(VLOOKUP($B679,calc_data,F$14+1,0),0)</f>
        <v/>
      </c>
      <c r="G679" s="141">
        <f>IFERROR(VLOOKUP($B679,calc_data,G$14+1,0),0)</f>
        <v/>
      </c>
      <c r="H679" s="141">
        <f>IFERROR(VLOOKUP($B679,calc_data,H$14+1,0),0)</f>
        <v/>
      </c>
      <c r="I679" s="142">
        <f>IFERROR(VLOOKUP($B679,calc_data,I$14+1,0),0)</f>
        <v/>
      </c>
      <c r="J679" s="141">
        <f>IFERROR(VLOOKUP($B679,calc_data,J$14+1,0),0)</f>
        <v/>
      </c>
      <c r="K679" s="141">
        <f>IFERROR(VLOOKUP($B679,calc_data,K$14+1,0),0)</f>
        <v/>
      </c>
      <c r="L679" s="141">
        <f>IFERROR(VLOOKUP($B679,calc_data,L$14+1,0),0)</f>
        <v/>
      </c>
      <c r="M679" s="177">
        <f>IFERROR(VLOOKUP($B679,calc_data,M$14+1,0),0)</f>
        <v/>
      </c>
      <c r="N679" s="177">
        <f>IFERROR(VLOOKUP($B679,calc_data,N$14+1,0),0)</f>
        <v/>
      </c>
      <c r="O679" s="45" t="n"/>
      <c r="Q679" s="57">
        <f>IF(K679&gt;0,"показать","скрыть")</f>
        <v/>
      </c>
    </row>
    <row r="680" ht="15.75" customHeight="1">
      <c r="B680" s="182" t="n">
        <v>664</v>
      </c>
      <c r="C680" s="182">
        <f>IFERROR(VLOOKUP($B680,calc_data,C$14+1,0),0)</f>
        <v/>
      </c>
      <c r="D680" s="182">
        <f>IFERROR(VLOOKUP($B680,calc_data,D$14+1,0),0)</f>
        <v/>
      </c>
      <c r="E680" s="183">
        <f>IFERROR(VLOOKUP($B680,calc_data,E$14+1,0),0)</f>
        <v/>
      </c>
      <c r="F680" s="182">
        <f>IFERROR(VLOOKUP($B680,calc_data,F$14+1,0),0)</f>
        <v/>
      </c>
      <c r="G680" s="141">
        <f>IFERROR(VLOOKUP($B680,calc_data,G$14+1,0),0)</f>
        <v/>
      </c>
      <c r="H680" s="141">
        <f>IFERROR(VLOOKUP($B680,calc_data,H$14+1,0),0)</f>
        <v/>
      </c>
      <c r="I680" s="142">
        <f>IFERROR(VLOOKUP($B680,calc_data,I$14+1,0),0)</f>
        <v/>
      </c>
      <c r="J680" s="141">
        <f>IFERROR(VLOOKUP($B680,calc_data,J$14+1,0),0)</f>
        <v/>
      </c>
      <c r="K680" s="141">
        <f>IFERROR(VLOOKUP($B680,calc_data,K$14+1,0),0)</f>
        <v/>
      </c>
      <c r="L680" s="141">
        <f>IFERROR(VLOOKUP($B680,calc_data,L$14+1,0),0)</f>
        <v/>
      </c>
      <c r="M680" s="177">
        <f>IFERROR(VLOOKUP($B680,calc_data,M$14+1,0),0)</f>
        <v/>
      </c>
      <c r="N680" s="177">
        <f>IFERROR(VLOOKUP($B680,calc_data,N$14+1,0),0)</f>
        <v/>
      </c>
      <c r="O680" s="45" t="n"/>
      <c r="Q680" s="57">
        <f>IF(K680&gt;0,"показать","скрыть")</f>
        <v/>
      </c>
    </row>
    <row r="681" ht="15.75" customHeight="1">
      <c r="B681" s="182" t="n">
        <v>665</v>
      </c>
      <c r="C681" s="182">
        <f>IFERROR(VLOOKUP($B681,calc_data,C$14+1,0),0)</f>
        <v/>
      </c>
      <c r="D681" s="182">
        <f>IFERROR(VLOOKUP($B681,calc_data,D$14+1,0),0)</f>
        <v/>
      </c>
      <c r="E681" s="183">
        <f>IFERROR(VLOOKUP($B681,calc_data,E$14+1,0),0)</f>
        <v/>
      </c>
      <c r="F681" s="182">
        <f>IFERROR(VLOOKUP($B681,calc_data,F$14+1,0),0)</f>
        <v/>
      </c>
      <c r="G681" s="141">
        <f>IFERROR(VLOOKUP($B681,calc_data,G$14+1,0),0)</f>
        <v/>
      </c>
      <c r="H681" s="141">
        <f>IFERROR(VLOOKUP($B681,calc_data,H$14+1,0),0)</f>
        <v/>
      </c>
      <c r="I681" s="142">
        <f>IFERROR(VLOOKUP($B681,calc_data,I$14+1,0),0)</f>
        <v/>
      </c>
      <c r="J681" s="141">
        <f>IFERROR(VLOOKUP($B681,calc_data,J$14+1,0),0)</f>
        <v/>
      </c>
      <c r="K681" s="141">
        <f>IFERROR(VLOOKUP($B681,calc_data,K$14+1,0),0)</f>
        <v/>
      </c>
      <c r="L681" s="141">
        <f>IFERROR(VLOOKUP($B681,calc_data,L$14+1,0),0)</f>
        <v/>
      </c>
      <c r="M681" s="177">
        <f>IFERROR(VLOOKUP($B681,calc_data,M$14+1,0),0)</f>
        <v/>
      </c>
      <c r="N681" s="177">
        <f>IFERROR(VLOOKUP($B681,calc_data,N$14+1,0),0)</f>
        <v/>
      </c>
      <c r="O681" s="45" t="n"/>
      <c r="Q681" s="57">
        <f>IF(K681&gt;0,"показать","скрыть")</f>
        <v/>
      </c>
    </row>
    <row r="682" ht="15.75" customHeight="1">
      <c r="B682" s="182" t="n">
        <v>666</v>
      </c>
      <c r="C682" s="182">
        <f>IFERROR(VLOOKUP($B682,calc_data,C$14+1,0),0)</f>
        <v/>
      </c>
      <c r="D682" s="182">
        <f>IFERROR(VLOOKUP($B682,calc_data,D$14+1,0),0)</f>
        <v/>
      </c>
      <c r="E682" s="183">
        <f>IFERROR(VLOOKUP($B682,calc_data,E$14+1,0),0)</f>
        <v/>
      </c>
      <c r="F682" s="182">
        <f>IFERROR(VLOOKUP($B682,calc_data,F$14+1,0),0)</f>
        <v/>
      </c>
      <c r="G682" s="141">
        <f>IFERROR(VLOOKUP($B682,calc_data,G$14+1,0),0)</f>
        <v/>
      </c>
      <c r="H682" s="141">
        <f>IFERROR(VLOOKUP($B682,calc_data,H$14+1,0),0)</f>
        <v/>
      </c>
      <c r="I682" s="142">
        <f>IFERROR(VLOOKUP($B682,calc_data,I$14+1,0),0)</f>
        <v/>
      </c>
      <c r="J682" s="141">
        <f>IFERROR(VLOOKUP($B682,calc_data,J$14+1,0),0)</f>
        <v/>
      </c>
      <c r="K682" s="141">
        <f>IFERROR(VLOOKUP($B682,calc_data,K$14+1,0),0)</f>
        <v/>
      </c>
      <c r="L682" s="141">
        <f>IFERROR(VLOOKUP($B682,calc_data,L$14+1,0),0)</f>
        <v/>
      </c>
      <c r="M682" s="177">
        <f>IFERROR(VLOOKUP($B682,calc_data,M$14+1,0),0)</f>
        <v/>
      </c>
      <c r="N682" s="177">
        <f>IFERROR(VLOOKUP($B682,calc_data,N$14+1,0),0)</f>
        <v/>
      </c>
      <c r="O682" s="45" t="n"/>
      <c r="Q682" s="57">
        <f>IF(K682&gt;0,"показать","скрыть")</f>
        <v/>
      </c>
    </row>
    <row r="683" ht="15.75" customHeight="1">
      <c r="B683" s="182" t="n">
        <v>667</v>
      </c>
      <c r="C683" s="182">
        <f>IFERROR(VLOOKUP($B683,calc_data,C$14+1,0),0)</f>
        <v/>
      </c>
      <c r="D683" s="182">
        <f>IFERROR(VLOOKUP($B683,calc_data,D$14+1,0),0)</f>
        <v/>
      </c>
      <c r="E683" s="183">
        <f>IFERROR(VLOOKUP($B683,calc_data,E$14+1,0),0)</f>
        <v/>
      </c>
      <c r="F683" s="182">
        <f>IFERROR(VLOOKUP($B683,calc_data,F$14+1,0),0)</f>
        <v/>
      </c>
      <c r="G683" s="141">
        <f>IFERROR(VLOOKUP($B683,calc_data,G$14+1,0),0)</f>
        <v/>
      </c>
      <c r="H683" s="141">
        <f>IFERROR(VLOOKUP($B683,calc_data,H$14+1,0),0)</f>
        <v/>
      </c>
      <c r="I683" s="142">
        <f>IFERROR(VLOOKUP($B683,calc_data,I$14+1,0),0)</f>
        <v/>
      </c>
      <c r="J683" s="141">
        <f>IFERROR(VLOOKUP($B683,calc_data,J$14+1,0),0)</f>
        <v/>
      </c>
      <c r="K683" s="141">
        <f>IFERROR(VLOOKUP($B683,calc_data,K$14+1,0),0)</f>
        <v/>
      </c>
      <c r="L683" s="141">
        <f>IFERROR(VLOOKUP($B683,calc_data,L$14+1,0),0)</f>
        <v/>
      </c>
      <c r="M683" s="177">
        <f>IFERROR(VLOOKUP($B683,calc_data,M$14+1,0),0)</f>
        <v/>
      </c>
      <c r="N683" s="177">
        <f>IFERROR(VLOOKUP($B683,calc_data,N$14+1,0),0)</f>
        <v/>
      </c>
      <c r="O683" s="45" t="n"/>
      <c r="Q683" s="57">
        <f>IF(K683&gt;0,"показать","скрыть")</f>
        <v/>
      </c>
    </row>
    <row r="684" ht="15.75" customHeight="1">
      <c r="B684" s="182" t="n">
        <v>668</v>
      </c>
      <c r="C684" s="182">
        <f>IFERROR(VLOOKUP($B684,calc_data,C$14+1,0),0)</f>
        <v/>
      </c>
      <c r="D684" s="182">
        <f>IFERROR(VLOOKUP($B684,calc_data,D$14+1,0),0)</f>
        <v/>
      </c>
      <c r="E684" s="183">
        <f>IFERROR(VLOOKUP($B684,calc_data,E$14+1,0),0)</f>
        <v/>
      </c>
      <c r="F684" s="182">
        <f>IFERROR(VLOOKUP($B684,calc_data,F$14+1,0),0)</f>
        <v/>
      </c>
      <c r="G684" s="141">
        <f>IFERROR(VLOOKUP($B684,calc_data,G$14+1,0),0)</f>
        <v/>
      </c>
      <c r="H684" s="141">
        <f>IFERROR(VLOOKUP($B684,calc_data,H$14+1,0),0)</f>
        <v/>
      </c>
      <c r="I684" s="142">
        <f>IFERROR(VLOOKUP($B684,calc_data,I$14+1,0),0)</f>
        <v/>
      </c>
      <c r="J684" s="141">
        <f>IFERROR(VLOOKUP($B684,calc_data,J$14+1,0),0)</f>
        <v/>
      </c>
      <c r="K684" s="141">
        <f>IFERROR(VLOOKUP($B684,calc_data,K$14+1,0),0)</f>
        <v/>
      </c>
      <c r="L684" s="141">
        <f>IFERROR(VLOOKUP($B684,calc_data,L$14+1,0),0)</f>
        <v/>
      </c>
      <c r="M684" s="177">
        <f>IFERROR(VLOOKUP($B684,calc_data,M$14+1,0),0)</f>
        <v/>
      </c>
      <c r="N684" s="177">
        <f>IFERROR(VLOOKUP($B684,calc_data,N$14+1,0),0)</f>
        <v/>
      </c>
      <c r="O684" s="45" t="n"/>
      <c r="Q684" s="57">
        <f>IF(K684&gt;0,"показать","скрыть")</f>
        <v/>
      </c>
    </row>
    <row r="685" ht="15.75" customHeight="1">
      <c r="B685" s="182" t="n">
        <v>669</v>
      </c>
      <c r="C685" s="182">
        <f>IFERROR(VLOOKUP($B685,calc_data,C$14+1,0),0)</f>
        <v/>
      </c>
      <c r="D685" s="182">
        <f>IFERROR(VLOOKUP($B685,calc_data,D$14+1,0),0)</f>
        <v/>
      </c>
      <c r="E685" s="183">
        <f>IFERROR(VLOOKUP($B685,calc_data,E$14+1,0),0)</f>
        <v/>
      </c>
      <c r="F685" s="182">
        <f>IFERROR(VLOOKUP($B685,calc_data,F$14+1,0),0)</f>
        <v/>
      </c>
      <c r="G685" s="141">
        <f>IFERROR(VLOOKUP($B685,calc_data,G$14+1,0),0)</f>
        <v/>
      </c>
      <c r="H685" s="141">
        <f>IFERROR(VLOOKUP($B685,calc_data,H$14+1,0),0)</f>
        <v/>
      </c>
      <c r="I685" s="142">
        <f>IFERROR(VLOOKUP($B685,calc_data,I$14+1,0),0)</f>
        <v/>
      </c>
      <c r="J685" s="141">
        <f>IFERROR(VLOOKUP($B685,calc_data,J$14+1,0),0)</f>
        <v/>
      </c>
      <c r="K685" s="141">
        <f>IFERROR(VLOOKUP($B685,calc_data,K$14+1,0),0)</f>
        <v/>
      </c>
      <c r="L685" s="141">
        <f>IFERROR(VLOOKUP($B685,calc_data,L$14+1,0),0)</f>
        <v/>
      </c>
      <c r="M685" s="177">
        <f>IFERROR(VLOOKUP($B685,calc_data,M$14+1,0),0)</f>
        <v/>
      </c>
      <c r="N685" s="177">
        <f>IFERROR(VLOOKUP($B685,calc_data,N$14+1,0),0)</f>
        <v/>
      </c>
      <c r="O685" s="45" t="n"/>
      <c r="Q685" s="57">
        <f>IF(K685&gt;0,"показать","скрыть")</f>
        <v/>
      </c>
    </row>
    <row r="686" ht="15.75" customHeight="1">
      <c r="B686" s="182" t="n">
        <v>670</v>
      </c>
      <c r="C686" s="182">
        <f>IFERROR(VLOOKUP($B686,calc_data,C$14+1,0),0)</f>
        <v/>
      </c>
      <c r="D686" s="182">
        <f>IFERROR(VLOOKUP($B686,calc_data,D$14+1,0),0)</f>
        <v/>
      </c>
      <c r="E686" s="183">
        <f>IFERROR(VLOOKUP($B686,calc_data,E$14+1,0),0)</f>
        <v/>
      </c>
      <c r="F686" s="182">
        <f>IFERROR(VLOOKUP($B686,calc_data,F$14+1,0),0)</f>
        <v/>
      </c>
      <c r="G686" s="141">
        <f>IFERROR(VLOOKUP($B686,calc_data,G$14+1,0),0)</f>
        <v/>
      </c>
      <c r="H686" s="141">
        <f>IFERROR(VLOOKUP($B686,calc_data,H$14+1,0),0)</f>
        <v/>
      </c>
      <c r="I686" s="142">
        <f>IFERROR(VLOOKUP($B686,calc_data,I$14+1,0),0)</f>
        <v/>
      </c>
      <c r="J686" s="141">
        <f>IFERROR(VLOOKUP($B686,calc_data,J$14+1,0),0)</f>
        <v/>
      </c>
      <c r="K686" s="141">
        <f>IFERROR(VLOOKUP($B686,calc_data,K$14+1,0),0)</f>
        <v/>
      </c>
      <c r="L686" s="141">
        <f>IFERROR(VLOOKUP($B686,calc_data,L$14+1,0),0)</f>
        <v/>
      </c>
      <c r="M686" s="177">
        <f>IFERROR(VLOOKUP($B686,calc_data,M$14+1,0),0)</f>
        <v/>
      </c>
      <c r="N686" s="177">
        <f>IFERROR(VLOOKUP($B686,calc_data,N$14+1,0),0)</f>
        <v/>
      </c>
      <c r="O686" s="45" t="n"/>
      <c r="Q686" s="57">
        <f>IF(K686&gt;0,"показать","скрыть")</f>
        <v/>
      </c>
    </row>
    <row r="687" ht="15.75" customHeight="1">
      <c r="B687" s="182" t="n">
        <v>671</v>
      </c>
      <c r="C687" s="182">
        <f>IFERROR(VLOOKUP($B687,calc_data,C$14+1,0),0)</f>
        <v/>
      </c>
      <c r="D687" s="182">
        <f>IFERROR(VLOOKUP($B687,calc_data,D$14+1,0),0)</f>
        <v/>
      </c>
      <c r="E687" s="183">
        <f>IFERROR(VLOOKUP($B687,calc_data,E$14+1,0),0)</f>
        <v/>
      </c>
      <c r="F687" s="182">
        <f>IFERROR(VLOOKUP($B687,calc_data,F$14+1,0),0)</f>
        <v/>
      </c>
      <c r="G687" s="141">
        <f>IFERROR(VLOOKUP($B687,calc_data,G$14+1,0),0)</f>
        <v/>
      </c>
      <c r="H687" s="141">
        <f>IFERROR(VLOOKUP($B687,calc_data,H$14+1,0),0)</f>
        <v/>
      </c>
      <c r="I687" s="142">
        <f>IFERROR(VLOOKUP($B687,calc_data,I$14+1,0),0)</f>
        <v/>
      </c>
      <c r="J687" s="141">
        <f>IFERROR(VLOOKUP($B687,calc_data,J$14+1,0),0)</f>
        <v/>
      </c>
      <c r="K687" s="141">
        <f>IFERROR(VLOOKUP($B687,calc_data,K$14+1,0),0)</f>
        <v/>
      </c>
      <c r="L687" s="141">
        <f>IFERROR(VLOOKUP($B687,calc_data,L$14+1,0),0)</f>
        <v/>
      </c>
      <c r="M687" s="177">
        <f>IFERROR(VLOOKUP($B687,calc_data,M$14+1,0),0)</f>
        <v/>
      </c>
      <c r="N687" s="177">
        <f>IFERROR(VLOOKUP($B687,calc_data,N$14+1,0),0)</f>
        <v/>
      </c>
      <c r="O687" s="45" t="n"/>
      <c r="Q687" s="57">
        <f>IF(K687&gt;0,"показать","скрыть")</f>
        <v/>
      </c>
    </row>
    <row r="688" ht="15.75" customHeight="1">
      <c r="B688" s="182" t="n">
        <v>672</v>
      </c>
      <c r="C688" s="182">
        <f>IFERROR(VLOOKUP($B688,calc_data,C$14+1,0),0)</f>
        <v/>
      </c>
      <c r="D688" s="182">
        <f>IFERROR(VLOOKUP($B688,calc_data,D$14+1,0),0)</f>
        <v/>
      </c>
      <c r="E688" s="183">
        <f>IFERROR(VLOOKUP($B688,calc_data,E$14+1,0),0)</f>
        <v/>
      </c>
      <c r="F688" s="182">
        <f>IFERROR(VLOOKUP($B688,calc_data,F$14+1,0),0)</f>
        <v/>
      </c>
      <c r="G688" s="141">
        <f>IFERROR(VLOOKUP($B688,calc_data,G$14+1,0),0)</f>
        <v/>
      </c>
      <c r="H688" s="141">
        <f>IFERROR(VLOOKUP($B688,calc_data,H$14+1,0),0)</f>
        <v/>
      </c>
      <c r="I688" s="142">
        <f>IFERROR(VLOOKUP($B688,calc_data,I$14+1,0),0)</f>
        <v/>
      </c>
      <c r="J688" s="141">
        <f>IFERROR(VLOOKUP($B688,calc_data,J$14+1,0),0)</f>
        <v/>
      </c>
      <c r="K688" s="141">
        <f>IFERROR(VLOOKUP($B688,calc_data,K$14+1,0),0)</f>
        <v/>
      </c>
      <c r="L688" s="141">
        <f>IFERROR(VLOOKUP($B688,calc_data,L$14+1,0),0)</f>
        <v/>
      </c>
      <c r="M688" s="177">
        <f>IFERROR(VLOOKUP($B688,calc_data,M$14+1,0),0)</f>
        <v/>
      </c>
      <c r="N688" s="177">
        <f>IFERROR(VLOOKUP($B688,calc_data,N$14+1,0),0)</f>
        <v/>
      </c>
      <c r="O688" s="45" t="n"/>
      <c r="Q688" s="57">
        <f>IF(K688&gt;0,"показать","скрыть")</f>
        <v/>
      </c>
    </row>
    <row r="689" ht="15.75" customHeight="1">
      <c r="B689" s="182" t="n">
        <v>673</v>
      </c>
      <c r="C689" s="182">
        <f>IFERROR(VLOOKUP($B689,calc_data,C$14+1,0),0)</f>
        <v/>
      </c>
      <c r="D689" s="182">
        <f>IFERROR(VLOOKUP($B689,calc_data,D$14+1,0),0)</f>
        <v/>
      </c>
      <c r="E689" s="183">
        <f>IFERROR(VLOOKUP($B689,calc_data,E$14+1,0),0)</f>
        <v/>
      </c>
      <c r="F689" s="182">
        <f>IFERROR(VLOOKUP($B689,calc_data,F$14+1,0),0)</f>
        <v/>
      </c>
      <c r="G689" s="141">
        <f>IFERROR(VLOOKUP($B689,calc_data,G$14+1,0),0)</f>
        <v/>
      </c>
      <c r="H689" s="141">
        <f>IFERROR(VLOOKUP($B689,calc_data,H$14+1,0),0)</f>
        <v/>
      </c>
      <c r="I689" s="142">
        <f>IFERROR(VLOOKUP($B689,calc_data,I$14+1,0),0)</f>
        <v/>
      </c>
      <c r="J689" s="141">
        <f>IFERROR(VLOOKUP($B689,calc_data,J$14+1,0),0)</f>
        <v/>
      </c>
      <c r="K689" s="141">
        <f>IFERROR(VLOOKUP($B689,calc_data,K$14+1,0),0)</f>
        <v/>
      </c>
      <c r="L689" s="141">
        <f>IFERROR(VLOOKUP($B689,calc_data,L$14+1,0),0)</f>
        <v/>
      </c>
      <c r="M689" s="177">
        <f>IFERROR(VLOOKUP($B689,calc_data,M$14+1,0),0)</f>
        <v/>
      </c>
      <c r="N689" s="177">
        <f>IFERROR(VLOOKUP($B689,calc_data,N$14+1,0),0)</f>
        <v/>
      </c>
      <c r="O689" s="45" t="n"/>
      <c r="Q689" s="57">
        <f>IF(K689&gt;0,"показать","скрыть")</f>
        <v/>
      </c>
    </row>
    <row r="690" ht="15.75" customHeight="1">
      <c r="B690" s="182" t="n">
        <v>674</v>
      </c>
      <c r="C690" s="182">
        <f>IFERROR(VLOOKUP($B690,calc_data,C$14+1,0),0)</f>
        <v/>
      </c>
      <c r="D690" s="182">
        <f>IFERROR(VLOOKUP($B690,calc_data,D$14+1,0),0)</f>
        <v/>
      </c>
      <c r="E690" s="183">
        <f>IFERROR(VLOOKUP($B690,calc_data,E$14+1,0),0)</f>
        <v/>
      </c>
      <c r="F690" s="182">
        <f>IFERROR(VLOOKUP($B690,calc_data,F$14+1,0),0)</f>
        <v/>
      </c>
      <c r="G690" s="141">
        <f>IFERROR(VLOOKUP($B690,calc_data,G$14+1,0),0)</f>
        <v/>
      </c>
      <c r="H690" s="141">
        <f>IFERROR(VLOOKUP($B690,calc_data,H$14+1,0),0)</f>
        <v/>
      </c>
      <c r="I690" s="142">
        <f>IFERROR(VLOOKUP($B690,calc_data,I$14+1,0),0)</f>
        <v/>
      </c>
      <c r="J690" s="141">
        <f>IFERROR(VLOOKUP($B690,calc_data,J$14+1,0),0)</f>
        <v/>
      </c>
      <c r="K690" s="141">
        <f>IFERROR(VLOOKUP($B690,calc_data,K$14+1,0),0)</f>
        <v/>
      </c>
      <c r="L690" s="141">
        <f>IFERROR(VLOOKUP($B690,calc_data,L$14+1,0),0)</f>
        <v/>
      </c>
      <c r="M690" s="177">
        <f>IFERROR(VLOOKUP($B690,calc_data,M$14+1,0),0)</f>
        <v/>
      </c>
      <c r="N690" s="177">
        <f>IFERROR(VLOOKUP($B690,calc_data,N$14+1,0),0)</f>
        <v/>
      </c>
      <c r="O690" s="45" t="n"/>
      <c r="Q690" s="57">
        <f>IF(K690&gt;0,"показать","скрыть")</f>
        <v/>
      </c>
    </row>
    <row r="691" ht="15.75" customHeight="1">
      <c r="B691" s="182" t="n">
        <v>675</v>
      </c>
      <c r="C691" s="182">
        <f>IFERROR(VLOOKUP($B691,calc_data,C$14+1,0),0)</f>
        <v/>
      </c>
      <c r="D691" s="182">
        <f>IFERROR(VLOOKUP($B691,calc_data,D$14+1,0),0)</f>
        <v/>
      </c>
      <c r="E691" s="183">
        <f>IFERROR(VLOOKUP($B691,calc_data,E$14+1,0),0)</f>
        <v/>
      </c>
      <c r="F691" s="182">
        <f>IFERROR(VLOOKUP($B691,calc_data,F$14+1,0),0)</f>
        <v/>
      </c>
      <c r="G691" s="141">
        <f>IFERROR(VLOOKUP($B691,calc_data,G$14+1,0),0)</f>
        <v/>
      </c>
      <c r="H691" s="141">
        <f>IFERROR(VLOOKUP($B691,calc_data,H$14+1,0),0)</f>
        <v/>
      </c>
      <c r="I691" s="142">
        <f>IFERROR(VLOOKUP($B691,calc_data,I$14+1,0),0)</f>
        <v/>
      </c>
      <c r="J691" s="141">
        <f>IFERROR(VLOOKUP($B691,calc_data,J$14+1,0),0)</f>
        <v/>
      </c>
      <c r="K691" s="141">
        <f>IFERROR(VLOOKUP($B691,calc_data,K$14+1,0),0)</f>
        <v/>
      </c>
      <c r="L691" s="141">
        <f>IFERROR(VLOOKUP($B691,calc_data,L$14+1,0),0)</f>
        <v/>
      </c>
      <c r="M691" s="177">
        <f>IFERROR(VLOOKUP($B691,calc_data,M$14+1,0),0)</f>
        <v/>
      </c>
      <c r="N691" s="177">
        <f>IFERROR(VLOOKUP($B691,calc_data,N$14+1,0),0)</f>
        <v/>
      </c>
      <c r="O691" s="45" t="n"/>
      <c r="Q691" s="57">
        <f>IF(K691&gt;0,"показать","скрыть")</f>
        <v/>
      </c>
    </row>
    <row r="692" ht="15.75" customHeight="1">
      <c r="B692" s="182" t="n">
        <v>676</v>
      </c>
      <c r="C692" s="182">
        <f>IFERROR(VLOOKUP($B692,calc_data,C$14+1,0),0)</f>
        <v/>
      </c>
      <c r="D692" s="182">
        <f>IFERROR(VLOOKUP($B692,calc_data,D$14+1,0),0)</f>
        <v/>
      </c>
      <c r="E692" s="183">
        <f>IFERROR(VLOOKUP($B692,calc_data,E$14+1,0),0)</f>
        <v/>
      </c>
      <c r="F692" s="182">
        <f>IFERROR(VLOOKUP($B692,calc_data,F$14+1,0),0)</f>
        <v/>
      </c>
      <c r="G692" s="141">
        <f>IFERROR(VLOOKUP($B692,calc_data,G$14+1,0),0)</f>
        <v/>
      </c>
      <c r="H692" s="141">
        <f>IFERROR(VLOOKUP($B692,calc_data,H$14+1,0),0)</f>
        <v/>
      </c>
      <c r="I692" s="142">
        <f>IFERROR(VLOOKUP($B692,calc_data,I$14+1,0),0)</f>
        <v/>
      </c>
      <c r="J692" s="141">
        <f>IFERROR(VLOOKUP($B692,calc_data,J$14+1,0),0)</f>
        <v/>
      </c>
      <c r="K692" s="141">
        <f>IFERROR(VLOOKUP($B692,calc_data,K$14+1,0),0)</f>
        <v/>
      </c>
      <c r="L692" s="141">
        <f>IFERROR(VLOOKUP($B692,calc_data,L$14+1,0),0)</f>
        <v/>
      </c>
      <c r="M692" s="177">
        <f>IFERROR(VLOOKUP($B692,calc_data,M$14+1,0),0)</f>
        <v/>
      </c>
      <c r="N692" s="177">
        <f>IFERROR(VLOOKUP($B692,calc_data,N$14+1,0),0)</f>
        <v/>
      </c>
      <c r="O692" s="45" t="n"/>
      <c r="Q692" s="57">
        <f>IF(K692&gt;0,"показать","скрыть")</f>
        <v/>
      </c>
    </row>
    <row r="693" ht="15.75" customHeight="1">
      <c r="B693" s="182" t="n">
        <v>677</v>
      </c>
      <c r="C693" s="182">
        <f>IFERROR(VLOOKUP($B693,calc_data,C$14+1,0),0)</f>
        <v/>
      </c>
      <c r="D693" s="182">
        <f>IFERROR(VLOOKUP($B693,calc_data,D$14+1,0),0)</f>
        <v/>
      </c>
      <c r="E693" s="183">
        <f>IFERROR(VLOOKUP($B693,calc_data,E$14+1,0),0)</f>
        <v/>
      </c>
      <c r="F693" s="182">
        <f>IFERROR(VLOOKUP($B693,calc_data,F$14+1,0),0)</f>
        <v/>
      </c>
      <c r="G693" s="141">
        <f>IFERROR(VLOOKUP($B693,calc_data,G$14+1,0),0)</f>
        <v/>
      </c>
      <c r="H693" s="141">
        <f>IFERROR(VLOOKUP($B693,calc_data,H$14+1,0),0)</f>
        <v/>
      </c>
      <c r="I693" s="142">
        <f>IFERROR(VLOOKUP($B693,calc_data,I$14+1,0),0)</f>
        <v/>
      </c>
      <c r="J693" s="141">
        <f>IFERROR(VLOOKUP($B693,calc_data,J$14+1,0),0)</f>
        <v/>
      </c>
      <c r="K693" s="141">
        <f>IFERROR(VLOOKUP($B693,calc_data,K$14+1,0),0)</f>
        <v/>
      </c>
      <c r="L693" s="141">
        <f>IFERROR(VLOOKUP($B693,calc_data,L$14+1,0),0)</f>
        <v/>
      </c>
      <c r="M693" s="177">
        <f>IFERROR(VLOOKUP($B693,calc_data,M$14+1,0),0)</f>
        <v/>
      </c>
      <c r="N693" s="177">
        <f>IFERROR(VLOOKUP($B693,calc_data,N$14+1,0),0)</f>
        <v/>
      </c>
      <c r="O693" s="45" t="n"/>
      <c r="Q693" s="57">
        <f>IF(K693&gt;0,"показать","скрыть")</f>
        <v/>
      </c>
    </row>
    <row r="694" ht="15.75" customHeight="1">
      <c r="B694" s="182" t="n">
        <v>678</v>
      </c>
      <c r="C694" s="182">
        <f>IFERROR(VLOOKUP($B694,calc_data,C$14+1,0),0)</f>
        <v/>
      </c>
      <c r="D694" s="182">
        <f>IFERROR(VLOOKUP($B694,calc_data,D$14+1,0),0)</f>
        <v/>
      </c>
      <c r="E694" s="183">
        <f>IFERROR(VLOOKUP($B694,calc_data,E$14+1,0),0)</f>
        <v/>
      </c>
      <c r="F694" s="182">
        <f>IFERROR(VLOOKUP($B694,calc_data,F$14+1,0),0)</f>
        <v/>
      </c>
      <c r="G694" s="141">
        <f>IFERROR(VLOOKUP($B694,calc_data,G$14+1,0),0)</f>
        <v/>
      </c>
      <c r="H694" s="141">
        <f>IFERROR(VLOOKUP($B694,calc_data,H$14+1,0),0)</f>
        <v/>
      </c>
      <c r="I694" s="142">
        <f>IFERROR(VLOOKUP($B694,calc_data,I$14+1,0),0)</f>
        <v/>
      </c>
      <c r="J694" s="141">
        <f>IFERROR(VLOOKUP($B694,calc_data,J$14+1,0),0)</f>
        <v/>
      </c>
      <c r="K694" s="141">
        <f>IFERROR(VLOOKUP($B694,calc_data,K$14+1,0),0)</f>
        <v/>
      </c>
      <c r="L694" s="141">
        <f>IFERROR(VLOOKUP($B694,calc_data,L$14+1,0),0)</f>
        <v/>
      </c>
      <c r="M694" s="177">
        <f>IFERROR(VLOOKUP($B694,calc_data,M$14+1,0),0)</f>
        <v/>
      </c>
      <c r="N694" s="177">
        <f>IFERROR(VLOOKUP($B694,calc_data,N$14+1,0),0)</f>
        <v/>
      </c>
      <c r="O694" s="45" t="n"/>
      <c r="Q694" s="57">
        <f>IF(K694&gt;0,"показать","скрыть")</f>
        <v/>
      </c>
    </row>
    <row r="695" ht="15.75" customHeight="1">
      <c r="B695" s="182" t="n">
        <v>679</v>
      </c>
      <c r="C695" s="182">
        <f>IFERROR(VLOOKUP($B695,calc_data,C$14+1,0),0)</f>
        <v/>
      </c>
      <c r="D695" s="182">
        <f>IFERROR(VLOOKUP($B695,calc_data,D$14+1,0),0)</f>
        <v/>
      </c>
      <c r="E695" s="183">
        <f>IFERROR(VLOOKUP($B695,calc_data,E$14+1,0),0)</f>
        <v/>
      </c>
      <c r="F695" s="182">
        <f>IFERROR(VLOOKUP($B695,calc_data,F$14+1,0),0)</f>
        <v/>
      </c>
      <c r="G695" s="141">
        <f>IFERROR(VLOOKUP($B695,calc_data,G$14+1,0),0)</f>
        <v/>
      </c>
      <c r="H695" s="141">
        <f>IFERROR(VLOOKUP($B695,calc_data,H$14+1,0),0)</f>
        <v/>
      </c>
      <c r="I695" s="142">
        <f>IFERROR(VLOOKUP($B695,calc_data,I$14+1,0),0)</f>
        <v/>
      </c>
      <c r="J695" s="141">
        <f>IFERROR(VLOOKUP($B695,calc_data,J$14+1,0),0)</f>
        <v/>
      </c>
      <c r="K695" s="141">
        <f>IFERROR(VLOOKUP($B695,calc_data,K$14+1,0),0)</f>
        <v/>
      </c>
      <c r="L695" s="141">
        <f>IFERROR(VLOOKUP($B695,calc_data,L$14+1,0),0)</f>
        <v/>
      </c>
      <c r="M695" s="177">
        <f>IFERROR(VLOOKUP($B695,calc_data,M$14+1,0),0)</f>
        <v/>
      </c>
      <c r="N695" s="177">
        <f>IFERROR(VLOOKUP($B695,calc_data,N$14+1,0),0)</f>
        <v/>
      </c>
      <c r="O695" s="45" t="n"/>
      <c r="Q695" s="57">
        <f>IF(K695&gt;0,"показать","скрыть")</f>
        <v/>
      </c>
    </row>
    <row r="696" ht="15.75" customHeight="1">
      <c r="B696" s="182" t="n">
        <v>680</v>
      </c>
      <c r="C696" s="182">
        <f>IFERROR(VLOOKUP($B696,calc_data,C$14+1,0),0)</f>
        <v/>
      </c>
      <c r="D696" s="182">
        <f>IFERROR(VLOOKUP($B696,calc_data,D$14+1,0),0)</f>
        <v/>
      </c>
      <c r="E696" s="183">
        <f>IFERROR(VLOOKUP($B696,calc_data,E$14+1,0),0)</f>
        <v/>
      </c>
      <c r="F696" s="182">
        <f>IFERROR(VLOOKUP($B696,calc_data,F$14+1,0),0)</f>
        <v/>
      </c>
      <c r="G696" s="141">
        <f>IFERROR(VLOOKUP($B696,calc_data,G$14+1,0),0)</f>
        <v/>
      </c>
      <c r="H696" s="141">
        <f>IFERROR(VLOOKUP($B696,calc_data,H$14+1,0),0)</f>
        <v/>
      </c>
      <c r="I696" s="142">
        <f>IFERROR(VLOOKUP($B696,calc_data,I$14+1,0),0)</f>
        <v/>
      </c>
      <c r="J696" s="141">
        <f>IFERROR(VLOOKUP($B696,calc_data,J$14+1,0),0)</f>
        <v/>
      </c>
      <c r="K696" s="141">
        <f>IFERROR(VLOOKUP($B696,calc_data,K$14+1,0),0)</f>
        <v/>
      </c>
      <c r="L696" s="141">
        <f>IFERROR(VLOOKUP($B696,calc_data,L$14+1,0),0)</f>
        <v/>
      </c>
      <c r="M696" s="177">
        <f>IFERROR(VLOOKUP($B696,calc_data,M$14+1,0),0)</f>
        <v/>
      </c>
      <c r="N696" s="177">
        <f>IFERROR(VLOOKUP($B696,calc_data,N$14+1,0),0)</f>
        <v/>
      </c>
      <c r="O696" s="45" t="n"/>
      <c r="Q696" s="57">
        <f>IF(K696&gt;0,"показать","скрыть")</f>
        <v/>
      </c>
    </row>
    <row r="697" ht="15.75" customHeight="1">
      <c r="B697" s="182" t="n">
        <v>681</v>
      </c>
      <c r="C697" s="182">
        <f>IFERROR(VLOOKUP($B697,calc_data,C$14+1,0),0)</f>
        <v/>
      </c>
      <c r="D697" s="182">
        <f>IFERROR(VLOOKUP($B697,calc_data,D$14+1,0),0)</f>
        <v/>
      </c>
      <c r="E697" s="183">
        <f>IFERROR(VLOOKUP($B697,calc_data,E$14+1,0),0)</f>
        <v/>
      </c>
      <c r="F697" s="182">
        <f>IFERROR(VLOOKUP($B697,calc_data,F$14+1,0),0)</f>
        <v/>
      </c>
      <c r="G697" s="141">
        <f>IFERROR(VLOOKUP($B697,calc_data,G$14+1,0),0)</f>
        <v/>
      </c>
      <c r="H697" s="141">
        <f>IFERROR(VLOOKUP($B697,calc_data,H$14+1,0),0)</f>
        <v/>
      </c>
      <c r="I697" s="142">
        <f>IFERROR(VLOOKUP($B697,calc_data,I$14+1,0),0)</f>
        <v/>
      </c>
      <c r="J697" s="141">
        <f>IFERROR(VLOOKUP($B697,calc_data,J$14+1,0),0)</f>
        <v/>
      </c>
      <c r="K697" s="141">
        <f>IFERROR(VLOOKUP($B697,calc_data,K$14+1,0),0)</f>
        <v/>
      </c>
      <c r="L697" s="141">
        <f>IFERROR(VLOOKUP($B697,calc_data,L$14+1,0),0)</f>
        <v/>
      </c>
      <c r="M697" s="177">
        <f>IFERROR(VLOOKUP($B697,calc_data,M$14+1,0),0)</f>
        <v/>
      </c>
      <c r="N697" s="177">
        <f>IFERROR(VLOOKUP($B697,calc_data,N$14+1,0),0)</f>
        <v/>
      </c>
      <c r="O697" s="45" t="n"/>
      <c r="Q697" s="57">
        <f>IF(K697&gt;0,"показать","скрыть")</f>
        <v/>
      </c>
    </row>
    <row r="698" ht="15.75" customHeight="1">
      <c r="B698" s="182" t="n">
        <v>682</v>
      </c>
      <c r="C698" s="182">
        <f>IFERROR(VLOOKUP($B698,calc_data,C$14+1,0),0)</f>
        <v/>
      </c>
      <c r="D698" s="182">
        <f>IFERROR(VLOOKUP($B698,calc_data,D$14+1,0),0)</f>
        <v/>
      </c>
      <c r="E698" s="183">
        <f>IFERROR(VLOOKUP($B698,calc_data,E$14+1,0),0)</f>
        <v/>
      </c>
      <c r="F698" s="182">
        <f>IFERROR(VLOOKUP($B698,calc_data,F$14+1,0),0)</f>
        <v/>
      </c>
      <c r="G698" s="141">
        <f>IFERROR(VLOOKUP($B698,calc_data,G$14+1,0),0)</f>
        <v/>
      </c>
      <c r="H698" s="141">
        <f>IFERROR(VLOOKUP($B698,calc_data,H$14+1,0),0)</f>
        <v/>
      </c>
      <c r="I698" s="142">
        <f>IFERROR(VLOOKUP($B698,calc_data,I$14+1,0),0)</f>
        <v/>
      </c>
      <c r="J698" s="141">
        <f>IFERROR(VLOOKUP($B698,calc_data,J$14+1,0),0)</f>
        <v/>
      </c>
      <c r="K698" s="141">
        <f>IFERROR(VLOOKUP($B698,calc_data,K$14+1,0),0)</f>
        <v/>
      </c>
      <c r="L698" s="141">
        <f>IFERROR(VLOOKUP($B698,calc_data,L$14+1,0),0)</f>
        <v/>
      </c>
      <c r="M698" s="177">
        <f>IFERROR(VLOOKUP($B698,calc_data,M$14+1,0),0)</f>
        <v/>
      </c>
      <c r="N698" s="177">
        <f>IFERROR(VLOOKUP($B698,calc_data,N$14+1,0),0)</f>
        <v/>
      </c>
      <c r="O698" s="45" t="n"/>
      <c r="Q698" s="57">
        <f>IF(K698&gt;0,"показать","скрыть")</f>
        <v/>
      </c>
    </row>
    <row r="699" ht="15.75" customHeight="1">
      <c r="B699" s="182" t="n">
        <v>683</v>
      </c>
      <c r="C699" s="182">
        <f>IFERROR(VLOOKUP($B699,calc_data,C$14+1,0),0)</f>
        <v/>
      </c>
      <c r="D699" s="182">
        <f>IFERROR(VLOOKUP($B699,calc_data,D$14+1,0),0)</f>
        <v/>
      </c>
      <c r="E699" s="183">
        <f>IFERROR(VLOOKUP($B699,calc_data,E$14+1,0),0)</f>
        <v/>
      </c>
      <c r="F699" s="182">
        <f>IFERROR(VLOOKUP($B699,calc_data,F$14+1,0),0)</f>
        <v/>
      </c>
      <c r="G699" s="141">
        <f>IFERROR(VLOOKUP($B699,calc_data,G$14+1,0),0)</f>
        <v/>
      </c>
      <c r="H699" s="141">
        <f>IFERROR(VLOOKUP($B699,calc_data,H$14+1,0),0)</f>
        <v/>
      </c>
      <c r="I699" s="142">
        <f>IFERROR(VLOOKUP($B699,calc_data,I$14+1,0),0)</f>
        <v/>
      </c>
      <c r="J699" s="141">
        <f>IFERROR(VLOOKUP($B699,calc_data,J$14+1,0),0)</f>
        <v/>
      </c>
      <c r="K699" s="141">
        <f>IFERROR(VLOOKUP($B699,calc_data,K$14+1,0),0)</f>
        <v/>
      </c>
      <c r="L699" s="141">
        <f>IFERROR(VLOOKUP($B699,calc_data,L$14+1,0),0)</f>
        <v/>
      </c>
      <c r="M699" s="177">
        <f>IFERROR(VLOOKUP($B699,calc_data,M$14+1,0),0)</f>
        <v/>
      </c>
      <c r="N699" s="177">
        <f>IFERROR(VLOOKUP($B699,calc_data,N$14+1,0),0)</f>
        <v/>
      </c>
      <c r="O699" s="45" t="n"/>
      <c r="Q699" s="57">
        <f>IF(K699&gt;0,"показать","скрыть")</f>
        <v/>
      </c>
    </row>
    <row r="700" ht="15.75" customHeight="1">
      <c r="B700" s="182" t="n">
        <v>684</v>
      </c>
      <c r="C700" s="182">
        <f>IFERROR(VLOOKUP($B700,calc_data,C$14+1,0),0)</f>
        <v/>
      </c>
      <c r="D700" s="182">
        <f>IFERROR(VLOOKUP($B700,calc_data,D$14+1,0),0)</f>
        <v/>
      </c>
      <c r="E700" s="183">
        <f>IFERROR(VLOOKUP($B700,calc_data,E$14+1,0),0)</f>
        <v/>
      </c>
      <c r="F700" s="182">
        <f>IFERROR(VLOOKUP($B700,calc_data,F$14+1,0),0)</f>
        <v/>
      </c>
      <c r="G700" s="141">
        <f>IFERROR(VLOOKUP($B700,calc_data,G$14+1,0),0)</f>
        <v/>
      </c>
      <c r="H700" s="141">
        <f>IFERROR(VLOOKUP($B700,calc_data,H$14+1,0),0)</f>
        <v/>
      </c>
      <c r="I700" s="142">
        <f>IFERROR(VLOOKUP($B700,calc_data,I$14+1,0),0)</f>
        <v/>
      </c>
      <c r="J700" s="141">
        <f>IFERROR(VLOOKUP($B700,calc_data,J$14+1,0),0)</f>
        <v/>
      </c>
      <c r="K700" s="141">
        <f>IFERROR(VLOOKUP($B700,calc_data,K$14+1,0),0)</f>
        <v/>
      </c>
      <c r="L700" s="141">
        <f>IFERROR(VLOOKUP($B700,calc_data,L$14+1,0),0)</f>
        <v/>
      </c>
      <c r="M700" s="177">
        <f>IFERROR(VLOOKUP($B700,calc_data,M$14+1,0),0)</f>
        <v/>
      </c>
      <c r="N700" s="177">
        <f>IFERROR(VLOOKUP($B700,calc_data,N$14+1,0),0)</f>
        <v/>
      </c>
      <c r="O700" s="45" t="n"/>
      <c r="Q700" s="57">
        <f>IF(K700&gt;0,"показать","скрыть")</f>
        <v/>
      </c>
    </row>
    <row r="701" ht="15.75" customHeight="1">
      <c r="B701" s="182" t="n">
        <v>685</v>
      </c>
      <c r="C701" s="182">
        <f>IFERROR(VLOOKUP($B701,calc_data,C$14+1,0),0)</f>
        <v/>
      </c>
      <c r="D701" s="182">
        <f>IFERROR(VLOOKUP($B701,calc_data,D$14+1,0),0)</f>
        <v/>
      </c>
      <c r="E701" s="183">
        <f>IFERROR(VLOOKUP($B701,calc_data,E$14+1,0),0)</f>
        <v/>
      </c>
      <c r="F701" s="182">
        <f>IFERROR(VLOOKUP($B701,calc_data,F$14+1,0),0)</f>
        <v/>
      </c>
      <c r="G701" s="141">
        <f>IFERROR(VLOOKUP($B701,calc_data,G$14+1,0),0)</f>
        <v/>
      </c>
      <c r="H701" s="141">
        <f>IFERROR(VLOOKUP($B701,calc_data,H$14+1,0),0)</f>
        <v/>
      </c>
      <c r="I701" s="142">
        <f>IFERROR(VLOOKUP($B701,calc_data,I$14+1,0),0)</f>
        <v/>
      </c>
      <c r="J701" s="141">
        <f>IFERROR(VLOOKUP($B701,calc_data,J$14+1,0),0)</f>
        <v/>
      </c>
      <c r="K701" s="141">
        <f>IFERROR(VLOOKUP($B701,calc_data,K$14+1,0),0)</f>
        <v/>
      </c>
      <c r="L701" s="141">
        <f>IFERROR(VLOOKUP($B701,calc_data,L$14+1,0),0)</f>
        <v/>
      </c>
      <c r="M701" s="177">
        <f>IFERROR(VLOOKUP($B701,calc_data,M$14+1,0),0)</f>
        <v/>
      </c>
      <c r="N701" s="177">
        <f>IFERROR(VLOOKUP($B701,calc_data,N$14+1,0),0)</f>
        <v/>
      </c>
      <c r="O701" s="45" t="n"/>
      <c r="Q701" s="57">
        <f>IF(K701&gt;0,"показать","скрыть")</f>
        <v/>
      </c>
    </row>
    <row r="702" ht="15.75" customHeight="1">
      <c r="B702" s="182" t="n">
        <v>686</v>
      </c>
      <c r="C702" s="182">
        <f>IFERROR(VLOOKUP($B702,calc_data,C$14+1,0),0)</f>
        <v/>
      </c>
      <c r="D702" s="182">
        <f>IFERROR(VLOOKUP($B702,calc_data,D$14+1,0),0)</f>
        <v/>
      </c>
      <c r="E702" s="183">
        <f>IFERROR(VLOOKUP($B702,calc_data,E$14+1,0),0)</f>
        <v/>
      </c>
      <c r="F702" s="182">
        <f>IFERROR(VLOOKUP($B702,calc_data,F$14+1,0),0)</f>
        <v/>
      </c>
      <c r="G702" s="141">
        <f>IFERROR(VLOOKUP($B702,calc_data,G$14+1,0),0)</f>
        <v/>
      </c>
      <c r="H702" s="141">
        <f>IFERROR(VLOOKUP($B702,calc_data,H$14+1,0),0)</f>
        <v/>
      </c>
      <c r="I702" s="142">
        <f>IFERROR(VLOOKUP($B702,calc_data,I$14+1,0),0)</f>
        <v/>
      </c>
      <c r="J702" s="141">
        <f>IFERROR(VLOOKUP($B702,calc_data,J$14+1,0),0)</f>
        <v/>
      </c>
      <c r="K702" s="141">
        <f>IFERROR(VLOOKUP($B702,calc_data,K$14+1,0),0)</f>
        <v/>
      </c>
      <c r="L702" s="141">
        <f>IFERROR(VLOOKUP($B702,calc_data,L$14+1,0),0)</f>
        <v/>
      </c>
      <c r="M702" s="177">
        <f>IFERROR(VLOOKUP($B702,calc_data,M$14+1,0),0)</f>
        <v/>
      </c>
      <c r="N702" s="177">
        <f>IFERROR(VLOOKUP($B702,calc_data,N$14+1,0),0)</f>
        <v/>
      </c>
      <c r="O702" s="45" t="n"/>
      <c r="Q702" s="57">
        <f>IF(K702&gt;0,"показать","скрыть")</f>
        <v/>
      </c>
    </row>
    <row r="703" ht="15.75" customHeight="1">
      <c r="B703" s="182" t="n">
        <v>687</v>
      </c>
      <c r="C703" s="182">
        <f>IFERROR(VLOOKUP($B703,calc_data,C$14+1,0),0)</f>
        <v/>
      </c>
      <c r="D703" s="182">
        <f>IFERROR(VLOOKUP($B703,calc_data,D$14+1,0),0)</f>
        <v/>
      </c>
      <c r="E703" s="183">
        <f>IFERROR(VLOOKUP($B703,calc_data,E$14+1,0),0)</f>
        <v/>
      </c>
      <c r="F703" s="182">
        <f>IFERROR(VLOOKUP($B703,calc_data,F$14+1,0),0)</f>
        <v/>
      </c>
      <c r="G703" s="141">
        <f>IFERROR(VLOOKUP($B703,calc_data,G$14+1,0),0)</f>
        <v/>
      </c>
      <c r="H703" s="141">
        <f>IFERROR(VLOOKUP($B703,calc_data,H$14+1,0),0)</f>
        <v/>
      </c>
      <c r="I703" s="142">
        <f>IFERROR(VLOOKUP($B703,calc_data,I$14+1,0),0)</f>
        <v/>
      </c>
      <c r="J703" s="141">
        <f>IFERROR(VLOOKUP($B703,calc_data,J$14+1,0),0)</f>
        <v/>
      </c>
      <c r="K703" s="141">
        <f>IFERROR(VLOOKUP($B703,calc_data,K$14+1,0),0)</f>
        <v/>
      </c>
      <c r="L703" s="141">
        <f>IFERROR(VLOOKUP($B703,calc_data,L$14+1,0),0)</f>
        <v/>
      </c>
      <c r="M703" s="177">
        <f>IFERROR(VLOOKUP($B703,calc_data,M$14+1,0),0)</f>
        <v/>
      </c>
      <c r="N703" s="177">
        <f>IFERROR(VLOOKUP($B703,calc_data,N$14+1,0),0)</f>
        <v/>
      </c>
      <c r="O703" s="45" t="n"/>
      <c r="Q703" s="57">
        <f>IF(K703&gt;0,"показать","скрыть")</f>
        <v/>
      </c>
    </row>
    <row r="704" ht="15.75" customHeight="1">
      <c r="B704" s="182" t="n">
        <v>688</v>
      </c>
      <c r="C704" s="182">
        <f>IFERROR(VLOOKUP($B704,calc_data,C$14+1,0),0)</f>
        <v/>
      </c>
      <c r="D704" s="182">
        <f>IFERROR(VLOOKUP($B704,calc_data,D$14+1,0),0)</f>
        <v/>
      </c>
      <c r="E704" s="183">
        <f>IFERROR(VLOOKUP($B704,calc_data,E$14+1,0),0)</f>
        <v/>
      </c>
      <c r="F704" s="182">
        <f>IFERROR(VLOOKUP($B704,calc_data,F$14+1,0),0)</f>
        <v/>
      </c>
      <c r="G704" s="141">
        <f>IFERROR(VLOOKUP($B704,calc_data,G$14+1,0),0)</f>
        <v/>
      </c>
      <c r="H704" s="141">
        <f>IFERROR(VLOOKUP($B704,calc_data,H$14+1,0),0)</f>
        <v/>
      </c>
      <c r="I704" s="142">
        <f>IFERROR(VLOOKUP($B704,calc_data,I$14+1,0),0)</f>
        <v/>
      </c>
      <c r="J704" s="141">
        <f>IFERROR(VLOOKUP($B704,calc_data,J$14+1,0),0)</f>
        <v/>
      </c>
      <c r="K704" s="141">
        <f>IFERROR(VLOOKUP($B704,calc_data,K$14+1,0),0)</f>
        <v/>
      </c>
      <c r="L704" s="141">
        <f>IFERROR(VLOOKUP($B704,calc_data,L$14+1,0),0)</f>
        <v/>
      </c>
      <c r="M704" s="177">
        <f>IFERROR(VLOOKUP($B704,calc_data,M$14+1,0),0)</f>
        <v/>
      </c>
      <c r="N704" s="177">
        <f>IFERROR(VLOOKUP($B704,calc_data,N$14+1,0),0)</f>
        <v/>
      </c>
      <c r="O704" s="45" t="n"/>
      <c r="Q704" s="57">
        <f>IF(K704&gt;0,"показать","скрыть")</f>
        <v/>
      </c>
    </row>
    <row r="705" ht="15.75" customHeight="1">
      <c r="B705" s="182" t="n">
        <v>689</v>
      </c>
      <c r="C705" s="182">
        <f>IFERROR(VLOOKUP($B705,calc_data,C$14+1,0),0)</f>
        <v/>
      </c>
      <c r="D705" s="182">
        <f>IFERROR(VLOOKUP($B705,calc_data,D$14+1,0),0)</f>
        <v/>
      </c>
      <c r="E705" s="183">
        <f>IFERROR(VLOOKUP($B705,calc_data,E$14+1,0),0)</f>
        <v/>
      </c>
      <c r="F705" s="182">
        <f>IFERROR(VLOOKUP($B705,calc_data,F$14+1,0),0)</f>
        <v/>
      </c>
      <c r="G705" s="141">
        <f>IFERROR(VLOOKUP($B705,calc_data,G$14+1,0),0)</f>
        <v/>
      </c>
      <c r="H705" s="141">
        <f>IFERROR(VLOOKUP($B705,calc_data,H$14+1,0),0)</f>
        <v/>
      </c>
      <c r="I705" s="142">
        <f>IFERROR(VLOOKUP($B705,calc_data,I$14+1,0),0)</f>
        <v/>
      </c>
      <c r="J705" s="141">
        <f>IFERROR(VLOOKUP($B705,calc_data,J$14+1,0),0)</f>
        <v/>
      </c>
      <c r="K705" s="141">
        <f>IFERROR(VLOOKUP($B705,calc_data,K$14+1,0),0)</f>
        <v/>
      </c>
      <c r="L705" s="141">
        <f>IFERROR(VLOOKUP($B705,calc_data,L$14+1,0),0)</f>
        <v/>
      </c>
      <c r="M705" s="177">
        <f>IFERROR(VLOOKUP($B705,calc_data,M$14+1,0),0)</f>
        <v/>
      </c>
      <c r="N705" s="177">
        <f>IFERROR(VLOOKUP($B705,calc_data,N$14+1,0),0)</f>
        <v/>
      </c>
      <c r="O705" s="45" t="n"/>
      <c r="Q705" s="57">
        <f>IF(K705&gt;0,"показать","скрыть")</f>
        <v/>
      </c>
    </row>
    <row r="706" ht="15.75" customHeight="1">
      <c r="B706" s="182" t="n">
        <v>690</v>
      </c>
      <c r="C706" s="182">
        <f>IFERROR(VLOOKUP($B706,calc_data,C$14+1,0),0)</f>
        <v/>
      </c>
      <c r="D706" s="182">
        <f>IFERROR(VLOOKUP($B706,calc_data,D$14+1,0),0)</f>
        <v/>
      </c>
      <c r="E706" s="183">
        <f>IFERROR(VLOOKUP($B706,calc_data,E$14+1,0),0)</f>
        <v/>
      </c>
      <c r="F706" s="182">
        <f>IFERROR(VLOOKUP($B706,calc_data,F$14+1,0),0)</f>
        <v/>
      </c>
      <c r="G706" s="141">
        <f>IFERROR(VLOOKUP($B706,calc_data,G$14+1,0),0)</f>
        <v/>
      </c>
      <c r="H706" s="141">
        <f>IFERROR(VLOOKUP($B706,calc_data,H$14+1,0),0)</f>
        <v/>
      </c>
      <c r="I706" s="142">
        <f>IFERROR(VLOOKUP($B706,calc_data,I$14+1,0),0)</f>
        <v/>
      </c>
      <c r="J706" s="141">
        <f>IFERROR(VLOOKUP($B706,calc_data,J$14+1,0),0)</f>
        <v/>
      </c>
      <c r="K706" s="141">
        <f>IFERROR(VLOOKUP($B706,calc_data,K$14+1,0),0)</f>
        <v/>
      </c>
      <c r="L706" s="141">
        <f>IFERROR(VLOOKUP($B706,calc_data,L$14+1,0),0)</f>
        <v/>
      </c>
      <c r="M706" s="177">
        <f>IFERROR(VLOOKUP($B706,calc_data,M$14+1,0),0)</f>
        <v/>
      </c>
      <c r="N706" s="177">
        <f>IFERROR(VLOOKUP($B706,calc_data,N$14+1,0),0)</f>
        <v/>
      </c>
      <c r="O706" s="45" t="n"/>
      <c r="Q706" s="57">
        <f>IF(K706&gt;0,"показать","скрыть")</f>
        <v/>
      </c>
    </row>
    <row r="707" ht="15.75" customHeight="1">
      <c r="B707" s="182" t="n">
        <v>691</v>
      </c>
      <c r="C707" s="182">
        <f>IFERROR(VLOOKUP($B707,calc_data,C$14+1,0),0)</f>
        <v/>
      </c>
      <c r="D707" s="182">
        <f>IFERROR(VLOOKUP($B707,calc_data,D$14+1,0),0)</f>
        <v/>
      </c>
      <c r="E707" s="183">
        <f>IFERROR(VLOOKUP($B707,calc_data,E$14+1,0),0)</f>
        <v/>
      </c>
      <c r="F707" s="182">
        <f>IFERROR(VLOOKUP($B707,calc_data,F$14+1,0),0)</f>
        <v/>
      </c>
      <c r="G707" s="141">
        <f>IFERROR(VLOOKUP($B707,calc_data,G$14+1,0),0)</f>
        <v/>
      </c>
      <c r="H707" s="141">
        <f>IFERROR(VLOOKUP($B707,calc_data,H$14+1,0),0)</f>
        <v/>
      </c>
      <c r="I707" s="142">
        <f>IFERROR(VLOOKUP($B707,calc_data,I$14+1,0),0)</f>
        <v/>
      </c>
      <c r="J707" s="141">
        <f>IFERROR(VLOOKUP($B707,calc_data,J$14+1,0),0)</f>
        <v/>
      </c>
      <c r="K707" s="141">
        <f>IFERROR(VLOOKUP($B707,calc_data,K$14+1,0),0)</f>
        <v/>
      </c>
      <c r="L707" s="141">
        <f>IFERROR(VLOOKUP($B707,calc_data,L$14+1,0),0)</f>
        <v/>
      </c>
      <c r="M707" s="177">
        <f>IFERROR(VLOOKUP($B707,calc_data,M$14+1,0),0)</f>
        <v/>
      </c>
      <c r="N707" s="177">
        <f>IFERROR(VLOOKUP($B707,calc_data,N$14+1,0),0)</f>
        <v/>
      </c>
      <c r="O707" s="45" t="n"/>
      <c r="Q707" s="57">
        <f>IF(K707&gt;0,"показать","скрыть")</f>
        <v/>
      </c>
    </row>
    <row r="708" ht="15.75" customHeight="1">
      <c r="B708" s="182" t="n">
        <v>692</v>
      </c>
      <c r="C708" s="182">
        <f>IFERROR(VLOOKUP($B708,calc_data,C$14+1,0),0)</f>
        <v/>
      </c>
      <c r="D708" s="182">
        <f>IFERROR(VLOOKUP($B708,calc_data,D$14+1,0),0)</f>
        <v/>
      </c>
      <c r="E708" s="183">
        <f>IFERROR(VLOOKUP($B708,calc_data,E$14+1,0),0)</f>
        <v/>
      </c>
      <c r="F708" s="182">
        <f>IFERROR(VLOOKUP($B708,calc_data,F$14+1,0),0)</f>
        <v/>
      </c>
      <c r="G708" s="141">
        <f>IFERROR(VLOOKUP($B708,calc_data,G$14+1,0),0)</f>
        <v/>
      </c>
      <c r="H708" s="141">
        <f>IFERROR(VLOOKUP($B708,calc_data,H$14+1,0),0)</f>
        <v/>
      </c>
      <c r="I708" s="142">
        <f>IFERROR(VLOOKUP($B708,calc_data,I$14+1,0),0)</f>
        <v/>
      </c>
      <c r="J708" s="141">
        <f>IFERROR(VLOOKUP($B708,calc_data,J$14+1,0),0)</f>
        <v/>
      </c>
      <c r="K708" s="141">
        <f>IFERROR(VLOOKUP($B708,calc_data,K$14+1,0),0)</f>
        <v/>
      </c>
      <c r="L708" s="141">
        <f>IFERROR(VLOOKUP($B708,calc_data,L$14+1,0),0)</f>
        <v/>
      </c>
      <c r="M708" s="177">
        <f>IFERROR(VLOOKUP($B708,calc_data,M$14+1,0),0)</f>
        <v/>
      </c>
      <c r="N708" s="177">
        <f>IFERROR(VLOOKUP($B708,calc_data,N$14+1,0),0)</f>
        <v/>
      </c>
      <c r="O708" s="45" t="n"/>
      <c r="Q708" s="57">
        <f>IF(K708&gt;0,"показать","скрыть")</f>
        <v/>
      </c>
    </row>
    <row r="709" ht="15.75" customHeight="1">
      <c r="B709" s="182" t="n">
        <v>693</v>
      </c>
      <c r="C709" s="182">
        <f>IFERROR(VLOOKUP($B709,calc_data,C$14+1,0),0)</f>
        <v/>
      </c>
      <c r="D709" s="182">
        <f>IFERROR(VLOOKUP($B709,calc_data,D$14+1,0),0)</f>
        <v/>
      </c>
      <c r="E709" s="183">
        <f>IFERROR(VLOOKUP($B709,calc_data,E$14+1,0),0)</f>
        <v/>
      </c>
      <c r="F709" s="182">
        <f>IFERROR(VLOOKUP($B709,calc_data,F$14+1,0),0)</f>
        <v/>
      </c>
      <c r="G709" s="141">
        <f>IFERROR(VLOOKUP($B709,calc_data,G$14+1,0),0)</f>
        <v/>
      </c>
      <c r="H709" s="141">
        <f>IFERROR(VLOOKUP($B709,calc_data,H$14+1,0),0)</f>
        <v/>
      </c>
      <c r="I709" s="142">
        <f>IFERROR(VLOOKUP($B709,calc_data,I$14+1,0),0)</f>
        <v/>
      </c>
      <c r="J709" s="141">
        <f>IFERROR(VLOOKUP($B709,calc_data,J$14+1,0),0)</f>
        <v/>
      </c>
      <c r="K709" s="141">
        <f>IFERROR(VLOOKUP($B709,calc_data,K$14+1,0),0)</f>
        <v/>
      </c>
      <c r="L709" s="141">
        <f>IFERROR(VLOOKUP($B709,calc_data,L$14+1,0),0)</f>
        <v/>
      </c>
      <c r="M709" s="177">
        <f>IFERROR(VLOOKUP($B709,calc_data,M$14+1,0),0)</f>
        <v/>
      </c>
      <c r="N709" s="177">
        <f>IFERROR(VLOOKUP($B709,calc_data,N$14+1,0),0)</f>
        <v/>
      </c>
      <c r="O709" s="45" t="n"/>
      <c r="Q709" s="57">
        <f>IF(K709&gt;0,"показать","скрыть")</f>
        <v/>
      </c>
    </row>
    <row r="710" ht="15.75" customHeight="1">
      <c r="B710" s="182" t="n">
        <v>694</v>
      </c>
      <c r="C710" s="182">
        <f>IFERROR(VLOOKUP($B710,calc_data,C$14+1,0),0)</f>
        <v/>
      </c>
      <c r="D710" s="182">
        <f>IFERROR(VLOOKUP($B710,calc_data,D$14+1,0),0)</f>
        <v/>
      </c>
      <c r="E710" s="183">
        <f>IFERROR(VLOOKUP($B710,calc_data,E$14+1,0),0)</f>
        <v/>
      </c>
      <c r="F710" s="182">
        <f>IFERROR(VLOOKUP($B710,calc_data,F$14+1,0),0)</f>
        <v/>
      </c>
      <c r="G710" s="141">
        <f>IFERROR(VLOOKUP($B710,calc_data,G$14+1,0),0)</f>
        <v/>
      </c>
      <c r="H710" s="141">
        <f>IFERROR(VLOOKUP($B710,calc_data,H$14+1,0),0)</f>
        <v/>
      </c>
      <c r="I710" s="142">
        <f>IFERROR(VLOOKUP($B710,calc_data,I$14+1,0),0)</f>
        <v/>
      </c>
      <c r="J710" s="141">
        <f>IFERROR(VLOOKUP($B710,calc_data,J$14+1,0),0)</f>
        <v/>
      </c>
      <c r="K710" s="141">
        <f>IFERROR(VLOOKUP($B710,calc_data,K$14+1,0),0)</f>
        <v/>
      </c>
      <c r="L710" s="141">
        <f>IFERROR(VLOOKUP($B710,calc_data,L$14+1,0),0)</f>
        <v/>
      </c>
      <c r="M710" s="177">
        <f>IFERROR(VLOOKUP($B710,calc_data,M$14+1,0),0)</f>
        <v/>
      </c>
      <c r="N710" s="177">
        <f>IFERROR(VLOOKUP($B710,calc_data,N$14+1,0),0)</f>
        <v/>
      </c>
      <c r="O710" s="45" t="n"/>
      <c r="Q710" s="57">
        <f>IF(K710&gt;0,"показать","скрыть")</f>
        <v/>
      </c>
    </row>
    <row r="711" ht="15.75" customHeight="1">
      <c r="B711" s="182" t="n">
        <v>695</v>
      </c>
      <c r="C711" s="182">
        <f>IFERROR(VLOOKUP($B711,calc_data,C$14+1,0),0)</f>
        <v/>
      </c>
      <c r="D711" s="182">
        <f>IFERROR(VLOOKUP($B711,calc_data,D$14+1,0),0)</f>
        <v/>
      </c>
      <c r="E711" s="183">
        <f>IFERROR(VLOOKUP($B711,calc_data,E$14+1,0),0)</f>
        <v/>
      </c>
      <c r="F711" s="182">
        <f>IFERROR(VLOOKUP($B711,calc_data,F$14+1,0),0)</f>
        <v/>
      </c>
      <c r="G711" s="141">
        <f>IFERROR(VLOOKUP($B711,calc_data,G$14+1,0),0)</f>
        <v/>
      </c>
      <c r="H711" s="141">
        <f>IFERROR(VLOOKUP($B711,calc_data,H$14+1,0),0)</f>
        <v/>
      </c>
      <c r="I711" s="142">
        <f>IFERROR(VLOOKUP($B711,calc_data,I$14+1,0),0)</f>
        <v/>
      </c>
      <c r="J711" s="141">
        <f>IFERROR(VLOOKUP($B711,calc_data,J$14+1,0),0)</f>
        <v/>
      </c>
      <c r="K711" s="141">
        <f>IFERROR(VLOOKUP($B711,calc_data,K$14+1,0),0)</f>
        <v/>
      </c>
      <c r="L711" s="141">
        <f>IFERROR(VLOOKUP($B711,calc_data,L$14+1,0),0)</f>
        <v/>
      </c>
      <c r="M711" s="177">
        <f>IFERROR(VLOOKUP($B711,calc_data,M$14+1,0),0)</f>
        <v/>
      </c>
      <c r="N711" s="177">
        <f>IFERROR(VLOOKUP($B711,calc_data,N$14+1,0),0)</f>
        <v/>
      </c>
      <c r="O711" s="45" t="n"/>
      <c r="Q711" s="57">
        <f>IF(K711&gt;0,"показать","скрыть")</f>
        <v/>
      </c>
    </row>
    <row r="712" ht="15.75" customHeight="1">
      <c r="B712" s="182" t="n">
        <v>696</v>
      </c>
      <c r="C712" s="182">
        <f>IFERROR(VLOOKUP($B712,calc_data,C$14+1,0),0)</f>
        <v/>
      </c>
      <c r="D712" s="182">
        <f>IFERROR(VLOOKUP($B712,calc_data,D$14+1,0),0)</f>
        <v/>
      </c>
      <c r="E712" s="183">
        <f>IFERROR(VLOOKUP($B712,calc_data,E$14+1,0),0)</f>
        <v/>
      </c>
      <c r="F712" s="182">
        <f>IFERROR(VLOOKUP($B712,calc_data,F$14+1,0),0)</f>
        <v/>
      </c>
      <c r="G712" s="141">
        <f>IFERROR(VLOOKUP($B712,calc_data,G$14+1,0),0)</f>
        <v/>
      </c>
      <c r="H712" s="141">
        <f>IFERROR(VLOOKUP($B712,calc_data,H$14+1,0),0)</f>
        <v/>
      </c>
      <c r="I712" s="142">
        <f>IFERROR(VLOOKUP($B712,calc_data,I$14+1,0),0)</f>
        <v/>
      </c>
      <c r="J712" s="141">
        <f>IFERROR(VLOOKUP($B712,calc_data,J$14+1,0),0)</f>
        <v/>
      </c>
      <c r="K712" s="141">
        <f>IFERROR(VLOOKUP($B712,calc_data,K$14+1,0),0)</f>
        <v/>
      </c>
      <c r="L712" s="141">
        <f>IFERROR(VLOOKUP($B712,calc_data,L$14+1,0),0)</f>
        <v/>
      </c>
      <c r="M712" s="177">
        <f>IFERROR(VLOOKUP($B712,calc_data,M$14+1,0),0)</f>
        <v/>
      </c>
      <c r="N712" s="177">
        <f>IFERROR(VLOOKUP($B712,calc_data,N$14+1,0),0)</f>
        <v/>
      </c>
      <c r="O712" s="45" t="n"/>
      <c r="Q712" s="57">
        <f>IF(K712&gt;0,"показать","скрыть")</f>
        <v/>
      </c>
    </row>
    <row r="713" ht="15.75" customHeight="1">
      <c r="B713" s="182" t="n">
        <v>697</v>
      </c>
      <c r="C713" s="182">
        <f>IFERROR(VLOOKUP($B713,calc_data,C$14+1,0),0)</f>
        <v/>
      </c>
      <c r="D713" s="182">
        <f>IFERROR(VLOOKUP($B713,calc_data,D$14+1,0),0)</f>
        <v/>
      </c>
      <c r="E713" s="183">
        <f>IFERROR(VLOOKUP($B713,calc_data,E$14+1,0),0)</f>
        <v/>
      </c>
      <c r="F713" s="182">
        <f>IFERROR(VLOOKUP($B713,calc_data,F$14+1,0),0)</f>
        <v/>
      </c>
      <c r="G713" s="141">
        <f>IFERROR(VLOOKUP($B713,calc_data,G$14+1,0),0)</f>
        <v/>
      </c>
      <c r="H713" s="141">
        <f>IFERROR(VLOOKUP($B713,calc_data,H$14+1,0),0)</f>
        <v/>
      </c>
      <c r="I713" s="142">
        <f>IFERROR(VLOOKUP($B713,calc_data,I$14+1,0),0)</f>
        <v/>
      </c>
      <c r="J713" s="141">
        <f>IFERROR(VLOOKUP($B713,calc_data,J$14+1,0),0)</f>
        <v/>
      </c>
      <c r="K713" s="141">
        <f>IFERROR(VLOOKUP($B713,calc_data,K$14+1,0),0)</f>
        <v/>
      </c>
      <c r="L713" s="141">
        <f>IFERROR(VLOOKUP($B713,calc_data,L$14+1,0),0)</f>
        <v/>
      </c>
      <c r="M713" s="177">
        <f>IFERROR(VLOOKUP($B713,calc_data,M$14+1,0),0)</f>
        <v/>
      </c>
      <c r="N713" s="177">
        <f>IFERROR(VLOOKUP($B713,calc_data,N$14+1,0),0)</f>
        <v/>
      </c>
      <c r="O713" s="45" t="n"/>
      <c r="Q713" s="57">
        <f>IF(K713&gt;0,"показать","скрыть")</f>
        <v/>
      </c>
    </row>
    <row r="714" ht="15.75" customHeight="1">
      <c r="B714" s="182" t="n">
        <v>698</v>
      </c>
      <c r="C714" s="182">
        <f>IFERROR(VLOOKUP($B714,calc_data,C$14+1,0),0)</f>
        <v/>
      </c>
      <c r="D714" s="182">
        <f>IFERROR(VLOOKUP($B714,calc_data,D$14+1,0),0)</f>
        <v/>
      </c>
      <c r="E714" s="183">
        <f>IFERROR(VLOOKUP($B714,calc_data,E$14+1,0),0)</f>
        <v/>
      </c>
      <c r="F714" s="182">
        <f>IFERROR(VLOOKUP($B714,calc_data,F$14+1,0),0)</f>
        <v/>
      </c>
      <c r="G714" s="141">
        <f>IFERROR(VLOOKUP($B714,calc_data,G$14+1,0),0)</f>
        <v/>
      </c>
      <c r="H714" s="141">
        <f>IFERROR(VLOOKUP($B714,calc_data,H$14+1,0),0)</f>
        <v/>
      </c>
      <c r="I714" s="142">
        <f>IFERROR(VLOOKUP($B714,calc_data,I$14+1,0),0)</f>
        <v/>
      </c>
      <c r="J714" s="141">
        <f>IFERROR(VLOOKUP($B714,calc_data,J$14+1,0),0)</f>
        <v/>
      </c>
      <c r="K714" s="141">
        <f>IFERROR(VLOOKUP($B714,calc_data,K$14+1,0),0)</f>
        <v/>
      </c>
      <c r="L714" s="141">
        <f>IFERROR(VLOOKUP($B714,calc_data,L$14+1,0),0)</f>
        <v/>
      </c>
      <c r="M714" s="177">
        <f>IFERROR(VLOOKUP($B714,calc_data,M$14+1,0),0)</f>
        <v/>
      </c>
      <c r="N714" s="177">
        <f>IFERROR(VLOOKUP($B714,calc_data,N$14+1,0),0)</f>
        <v/>
      </c>
      <c r="O714" s="45" t="n"/>
      <c r="Q714" s="57">
        <f>IF(K714&gt;0,"показать","скрыть")</f>
        <v/>
      </c>
    </row>
    <row r="715" ht="15.75" customHeight="1">
      <c r="B715" s="182" t="n">
        <v>699</v>
      </c>
      <c r="C715" s="182">
        <f>IFERROR(VLOOKUP($B715,calc_data,C$14+1,0),0)</f>
        <v/>
      </c>
      <c r="D715" s="182">
        <f>IFERROR(VLOOKUP($B715,calc_data,D$14+1,0),0)</f>
        <v/>
      </c>
      <c r="E715" s="183">
        <f>IFERROR(VLOOKUP($B715,calc_data,E$14+1,0),0)</f>
        <v/>
      </c>
      <c r="F715" s="182">
        <f>IFERROR(VLOOKUP($B715,calc_data,F$14+1,0),0)</f>
        <v/>
      </c>
      <c r="G715" s="141">
        <f>IFERROR(VLOOKUP($B715,calc_data,G$14+1,0),0)</f>
        <v/>
      </c>
      <c r="H715" s="141">
        <f>IFERROR(VLOOKUP($B715,calc_data,H$14+1,0),0)</f>
        <v/>
      </c>
      <c r="I715" s="142">
        <f>IFERROR(VLOOKUP($B715,calc_data,I$14+1,0),0)</f>
        <v/>
      </c>
      <c r="J715" s="141">
        <f>IFERROR(VLOOKUP($B715,calc_data,J$14+1,0),0)</f>
        <v/>
      </c>
      <c r="K715" s="141">
        <f>IFERROR(VLOOKUP($B715,calc_data,K$14+1,0),0)</f>
        <v/>
      </c>
      <c r="L715" s="141">
        <f>IFERROR(VLOOKUP($B715,calc_data,L$14+1,0),0)</f>
        <v/>
      </c>
      <c r="M715" s="177">
        <f>IFERROR(VLOOKUP($B715,calc_data,M$14+1,0),0)</f>
        <v/>
      </c>
      <c r="N715" s="177">
        <f>IFERROR(VLOOKUP($B715,calc_data,N$14+1,0),0)</f>
        <v/>
      </c>
      <c r="O715" s="45" t="n"/>
      <c r="Q715" s="57">
        <f>IF(K715&gt;0,"показать","скрыть")</f>
        <v/>
      </c>
    </row>
    <row r="716" ht="15.75" customHeight="1">
      <c r="B716" s="182" t="n">
        <v>700</v>
      </c>
      <c r="C716" s="182">
        <f>IFERROR(VLOOKUP($B716,calc_data,C$14+1,0),0)</f>
        <v/>
      </c>
      <c r="D716" s="182">
        <f>IFERROR(VLOOKUP($B716,calc_data,D$14+1,0),0)</f>
        <v/>
      </c>
      <c r="E716" s="183">
        <f>IFERROR(VLOOKUP($B716,calc_data,E$14+1,0),0)</f>
        <v/>
      </c>
      <c r="F716" s="182">
        <f>IFERROR(VLOOKUP($B716,calc_data,F$14+1,0),0)</f>
        <v/>
      </c>
      <c r="G716" s="141">
        <f>IFERROR(VLOOKUP($B716,calc_data,G$14+1,0),0)</f>
        <v/>
      </c>
      <c r="H716" s="141">
        <f>IFERROR(VLOOKUP($B716,calc_data,H$14+1,0),0)</f>
        <v/>
      </c>
      <c r="I716" s="142">
        <f>IFERROR(VLOOKUP($B716,calc_data,I$14+1,0),0)</f>
        <v/>
      </c>
      <c r="J716" s="141">
        <f>IFERROR(VLOOKUP($B716,calc_data,J$14+1,0),0)</f>
        <v/>
      </c>
      <c r="K716" s="141">
        <f>IFERROR(VLOOKUP($B716,calc_data,K$14+1,0),0)</f>
        <v/>
      </c>
      <c r="L716" s="141">
        <f>IFERROR(VLOOKUP($B716,calc_data,L$14+1,0),0)</f>
        <v/>
      </c>
      <c r="M716" s="177">
        <f>IFERROR(VLOOKUP($B716,calc_data,M$14+1,0),0)</f>
        <v/>
      </c>
      <c r="N716" s="177">
        <f>IFERROR(VLOOKUP($B716,calc_data,N$14+1,0),0)</f>
        <v/>
      </c>
      <c r="O716" s="45" t="n"/>
      <c r="Q716" s="57">
        <f>IF(K716&gt;0,"показать","скрыть")</f>
        <v/>
      </c>
    </row>
    <row r="717" ht="15.75" customHeight="1">
      <c r="B717" s="182" t="n">
        <v>701</v>
      </c>
      <c r="C717" s="182">
        <f>IFERROR(VLOOKUP($B717,calc_data,C$14+1,0),0)</f>
        <v/>
      </c>
      <c r="D717" s="182">
        <f>IFERROR(VLOOKUP($B717,calc_data,D$14+1,0),0)</f>
        <v/>
      </c>
      <c r="E717" s="183">
        <f>IFERROR(VLOOKUP($B717,calc_data,E$14+1,0),0)</f>
        <v/>
      </c>
      <c r="F717" s="182">
        <f>IFERROR(VLOOKUP($B717,calc_data,F$14+1,0),0)</f>
        <v/>
      </c>
      <c r="G717" s="141">
        <f>IFERROR(VLOOKUP($B717,calc_data,G$14+1,0),0)</f>
        <v/>
      </c>
      <c r="H717" s="141">
        <f>IFERROR(VLOOKUP($B717,calc_data,H$14+1,0),0)</f>
        <v/>
      </c>
      <c r="I717" s="142">
        <f>IFERROR(VLOOKUP($B717,calc_data,I$14+1,0),0)</f>
        <v/>
      </c>
      <c r="J717" s="141">
        <f>IFERROR(VLOOKUP($B717,calc_data,J$14+1,0),0)</f>
        <v/>
      </c>
      <c r="K717" s="141">
        <f>IFERROR(VLOOKUP($B717,calc_data,K$14+1,0),0)</f>
        <v/>
      </c>
      <c r="L717" s="141">
        <f>IFERROR(VLOOKUP($B717,calc_data,L$14+1,0),0)</f>
        <v/>
      </c>
      <c r="M717" s="177">
        <f>IFERROR(VLOOKUP($B717,calc_data,M$14+1,0),0)</f>
        <v/>
      </c>
      <c r="N717" s="177">
        <f>IFERROR(VLOOKUP($B717,calc_data,N$14+1,0),0)</f>
        <v/>
      </c>
      <c r="O717" s="45" t="n"/>
      <c r="Q717" s="57">
        <f>IF(K717&gt;0,"показать","скрыть")</f>
        <v/>
      </c>
    </row>
    <row r="718" ht="15.75" customHeight="1">
      <c r="B718" s="182" t="n">
        <v>702</v>
      </c>
      <c r="C718" s="182">
        <f>IFERROR(VLOOKUP($B718,calc_data,C$14+1,0),0)</f>
        <v/>
      </c>
      <c r="D718" s="182">
        <f>IFERROR(VLOOKUP($B718,calc_data,D$14+1,0),0)</f>
        <v/>
      </c>
      <c r="E718" s="183">
        <f>IFERROR(VLOOKUP($B718,calc_data,E$14+1,0),0)</f>
        <v/>
      </c>
      <c r="F718" s="182">
        <f>IFERROR(VLOOKUP($B718,calc_data,F$14+1,0),0)</f>
        <v/>
      </c>
      <c r="G718" s="141">
        <f>IFERROR(VLOOKUP($B718,calc_data,G$14+1,0),0)</f>
        <v/>
      </c>
      <c r="H718" s="141">
        <f>IFERROR(VLOOKUP($B718,calc_data,H$14+1,0),0)</f>
        <v/>
      </c>
      <c r="I718" s="142">
        <f>IFERROR(VLOOKUP($B718,calc_data,I$14+1,0),0)</f>
        <v/>
      </c>
      <c r="J718" s="141">
        <f>IFERROR(VLOOKUP($B718,calc_data,J$14+1,0),0)</f>
        <v/>
      </c>
      <c r="K718" s="141">
        <f>IFERROR(VLOOKUP($B718,calc_data,K$14+1,0),0)</f>
        <v/>
      </c>
      <c r="L718" s="141">
        <f>IFERROR(VLOOKUP($B718,calc_data,L$14+1,0),0)</f>
        <v/>
      </c>
      <c r="M718" s="177">
        <f>IFERROR(VLOOKUP($B718,calc_data,M$14+1,0),0)</f>
        <v/>
      </c>
      <c r="N718" s="177">
        <f>IFERROR(VLOOKUP($B718,calc_data,N$14+1,0),0)</f>
        <v/>
      </c>
      <c r="O718" s="45" t="n"/>
      <c r="Q718" s="57">
        <f>IF(K718&gt;0,"показать","скрыть")</f>
        <v/>
      </c>
    </row>
    <row r="719" ht="15.75" customHeight="1">
      <c r="B719" s="182" t="n">
        <v>703</v>
      </c>
      <c r="C719" s="182">
        <f>IFERROR(VLOOKUP($B719,calc_data,C$14+1,0),0)</f>
        <v/>
      </c>
      <c r="D719" s="182">
        <f>IFERROR(VLOOKUP($B719,calc_data,D$14+1,0),0)</f>
        <v/>
      </c>
      <c r="E719" s="183">
        <f>IFERROR(VLOOKUP($B719,calc_data,E$14+1,0),0)</f>
        <v/>
      </c>
      <c r="F719" s="182">
        <f>IFERROR(VLOOKUP($B719,calc_data,F$14+1,0),0)</f>
        <v/>
      </c>
      <c r="G719" s="141">
        <f>IFERROR(VLOOKUP($B719,calc_data,G$14+1,0),0)</f>
        <v/>
      </c>
      <c r="H719" s="141">
        <f>IFERROR(VLOOKUP($B719,calc_data,H$14+1,0),0)</f>
        <v/>
      </c>
      <c r="I719" s="142">
        <f>IFERROR(VLOOKUP($B719,calc_data,I$14+1,0),0)</f>
        <v/>
      </c>
      <c r="J719" s="141">
        <f>IFERROR(VLOOKUP($B719,calc_data,J$14+1,0),0)</f>
        <v/>
      </c>
      <c r="K719" s="141">
        <f>IFERROR(VLOOKUP($B719,calc_data,K$14+1,0),0)</f>
        <v/>
      </c>
      <c r="L719" s="141">
        <f>IFERROR(VLOOKUP($B719,calc_data,L$14+1,0),0)</f>
        <v/>
      </c>
      <c r="M719" s="177">
        <f>IFERROR(VLOOKUP($B719,calc_data,M$14+1,0),0)</f>
        <v/>
      </c>
      <c r="N719" s="177">
        <f>IFERROR(VLOOKUP($B719,calc_data,N$14+1,0),0)</f>
        <v/>
      </c>
      <c r="O719" s="45" t="n"/>
      <c r="Q719" s="57">
        <f>IF(K719&gt;0,"показать","скрыть")</f>
        <v/>
      </c>
    </row>
    <row r="720" ht="15.75" customHeight="1">
      <c r="B720" s="182" t="n">
        <v>704</v>
      </c>
      <c r="C720" s="182">
        <f>IFERROR(VLOOKUP($B720,calc_data,C$14+1,0),0)</f>
        <v/>
      </c>
      <c r="D720" s="182">
        <f>IFERROR(VLOOKUP($B720,calc_data,D$14+1,0),0)</f>
        <v/>
      </c>
      <c r="E720" s="183">
        <f>IFERROR(VLOOKUP($B720,calc_data,E$14+1,0),0)</f>
        <v/>
      </c>
      <c r="F720" s="182">
        <f>IFERROR(VLOOKUP($B720,calc_data,F$14+1,0),0)</f>
        <v/>
      </c>
      <c r="G720" s="141">
        <f>IFERROR(VLOOKUP($B720,calc_data,G$14+1,0),0)</f>
        <v/>
      </c>
      <c r="H720" s="141">
        <f>IFERROR(VLOOKUP($B720,calc_data,H$14+1,0),0)</f>
        <v/>
      </c>
      <c r="I720" s="142">
        <f>IFERROR(VLOOKUP($B720,calc_data,I$14+1,0),0)</f>
        <v/>
      </c>
      <c r="J720" s="141">
        <f>IFERROR(VLOOKUP($B720,calc_data,J$14+1,0),0)</f>
        <v/>
      </c>
      <c r="K720" s="141">
        <f>IFERROR(VLOOKUP($B720,calc_data,K$14+1,0),0)</f>
        <v/>
      </c>
      <c r="L720" s="141">
        <f>IFERROR(VLOOKUP($B720,calc_data,L$14+1,0),0)</f>
        <v/>
      </c>
      <c r="M720" s="177">
        <f>IFERROR(VLOOKUP($B720,calc_data,M$14+1,0),0)</f>
        <v/>
      </c>
      <c r="N720" s="177">
        <f>IFERROR(VLOOKUP($B720,calc_data,N$14+1,0),0)</f>
        <v/>
      </c>
      <c r="O720" s="45" t="n"/>
      <c r="Q720" s="57">
        <f>IF(K720&gt;0,"показать","скрыть")</f>
        <v/>
      </c>
    </row>
    <row r="721" ht="15.75" customHeight="1">
      <c r="B721" s="182" t="n">
        <v>705</v>
      </c>
      <c r="C721" s="182">
        <f>IFERROR(VLOOKUP($B721,calc_data,C$14+1,0),0)</f>
        <v/>
      </c>
      <c r="D721" s="182">
        <f>IFERROR(VLOOKUP($B721,calc_data,D$14+1,0),0)</f>
        <v/>
      </c>
      <c r="E721" s="183">
        <f>IFERROR(VLOOKUP($B721,calc_data,E$14+1,0),0)</f>
        <v/>
      </c>
      <c r="F721" s="182">
        <f>IFERROR(VLOOKUP($B721,calc_data,F$14+1,0),0)</f>
        <v/>
      </c>
      <c r="G721" s="141">
        <f>IFERROR(VLOOKUP($B721,calc_data,G$14+1,0),0)</f>
        <v/>
      </c>
      <c r="H721" s="141">
        <f>IFERROR(VLOOKUP($B721,calc_data,H$14+1,0),0)</f>
        <v/>
      </c>
      <c r="I721" s="142">
        <f>IFERROR(VLOOKUP($B721,calc_data,I$14+1,0),0)</f>
        <v/>
      </c>
      <c r="J721" s="141">
        <f>IFERROR(VLOOKUP($B721,calc_data,J$14+1,0),0)</f>
        <v/>
      </c>
      <c r="K721" s="141">
        <f>IFERROR(VLOOKUP($B721,calc_data,K$14+1,0),0)</f>
        <v/>
      </c>
      <c r="L721" s="141">
        <f>IFERROR(VLOOKUP($B721,calc_data,L$14+1,0),0)</f>
        <v/>
      </c>
      <c r="M721" s="177">
        <f>IFERROR(VLOOKUP($B721,calc_data,M$14+1,0),0)</f>
        <v/>
      </c>
      <c r="N721" s="177">
        <f>IFERROR(VLOOKUP($B721,calc_data,N$14+1,0),0)</f>
        <v/>
      </c>
      <c r="O721" s="45" t="n"/>
      <c r="Q721" s="57">
        <f>IF(K721&gt;0,"показать","скрыть")</f>
        <v/>
      </c>
    </row>
    <row r="722" ht="15.75" customHeight="1">
      <c r="B722" s="182" t="n">
        <v>706</v>
      </c>
      <c r="C722" s="182">
        <f>IFERROR(VLOOKUP($B722,calc_data,C$14+1,0),0)</f>
        <v/>
      </c>
      <c r="D722" s="182">
        <f>IFERROR(VLOOKUP($B722,calc_data,D$14+1,0),0)</f>
        <v/>
      </c>
      <c r="E722" s="183">
        <f>IFERROR(VLOOKUP($B722,calc_data,E$14+1,0),0)</f>
        <v/>
      </c>
      <c r="F722" s="182">
        <f>IFERROR(VLOOKUP($B722,calc_data,F$14+1,0),0)</f>
        <v/>
      </c>
      <c r="G722" s="141">
        <f>IFERROR(VLOOKUP($B722,calc_data,G$14+1,0),0)</f>
        <v/>
      </c>
      <c r="H722" s="141">
        <f>IFERROR(VLOOKUP($B722,calc_data,H$14+1,0),0)</f>
        <v/>
      </c>
      <c r="I722" s="142">
        <f>IFERROR(VLOOKUP($B722,calc_data,I$14+1,0),0)</f>
        <v/>
      </c>
      <c r="J722" s="141">
        <f>IFERROR(VLOOKUP($B722,calc_data,J$14+1,0),0)</f>
        <v/>
      </c>
      <c r="K722" s="141">
        <f>IFERROR(VLOOKUP($B722,calc_data,K$14+1,0),0)</f>
        <v/>
      </c>
      <c r="L722" s="141">
        <f>IFERROR(VLOOKUP($B722,calc_data,L$14+1,0),0)</f>
        <v/>
      </c>
      <c r="M722" s="177">
        <f>IFERROR(VLOOKUP($B722,calc_data,M$14+1,0),0)</f>
        <v/>
      </c>
      <c r="N722" s="177">
        <f>IFERROR(VLOOKUP($B722,calc_data,N$14+1,0),0)</f>
        <v/>
      </c>
      <c r="O722" s="45" t="n"/>
      <c r="Q722" s="57">
        <f>IF(K722&gt;0,"показать","скрыть")</f>
        <v/>
      </c>
    </row>
    <row r="723" ht="15.75" customHeight="1">
      <c r="B723" s="182" t="n">
        <v>707</v>
      </c>
      <c r="C723" s="182">
        <f>IFERROR(VLOOKUP($B723,calc_data,C$14+1,0),0)</f>
        <v/>
      </c>
      <c r="D723" s="182">
        <f>IFERROR(VLOOKUP($B723,calc_data,D$14+1,0),0)</f>
        <v/>
      </c>
      <c r="E723" s="183">
        <f>IFERROR(VLOOKUP($B723,calc_data,E$14+1,0),0)</f>
        <v/>
      </c>
      <c r="F723" s="182">
        <f>IFERROR(VLOOKUP($B723,calc_data,F$14+1,0),0)</f>
        <v/>
      </c>
      <c r="G723" s="141">
        <f>IFERROR(VLOOKUP($B723,calc_data,G$14+1,0),0)</f>
        <v/>
      </c>
      <c r="H723" s="141">
        <f>IFERROR(VLOOKUP($B723,calc_data,H$14+1,0),0)</f>
        <v/>
      </c>
      <c r="I723" s="142">
        <f>IFERROR(VLOOKUP($B723,calc_data,I$14+1,0),0)</f>
        <v/>
      </c>
      <c r="J723" s="141">
        <f>IFERROR(VLOOKUP($B723,calc_data,J$14+1,0),0)</f>
        <v/>
      </c>
      <c r="K723" s="141">
        <f>IFERROR(VLOOKUP($B723,calc_data,K$14+1,0),0)</f>
        <v/>
      </c>
      <c r="L723" s="141">
        <f>IFERROR(VLOOKUP($B723,calc_data,L$14+1,0),0)</f>
        <v/>
      </c>
      <c r="M723" s="177">
        <f>IFERROR(VLOOKUP($B723,calc_data,M$14+1,0),0)</f>
        <v/>
      </c>
      <c r="N723" s="177">
        <f>IFERROR(VLOOKUP($B723,calc_data,N$14+1,0),0)</f>
        <v/>
      </c>
      <c r="O723" s="45" t="n"/>
      <c r="Q723" s="57">
        <f>IF(K723&gt;0,"показать","скрыть")</f>
        <v/>
      </c>
    </row>
    <row r="724" ht="15.75" customHeight="1">
      <c r="B724" s="182" t="n">
        <v>708</v>
      </c>
      <c r="C724" s="182">
        <f>IFERROR(VLOOKUP($B724,calc_data,C$14+1,0),0)</f>
        <v/>
      </c>
      <c r="D724" s="182">
        <f>IFERROR(VLOOKUP($B724,calc_data,D$14+1,0),0)</f>
        <v/>
      </c>
      <c r="E724" s="183">
        <f>IFERROR(VLOOKUP($B724,calc_data,E$14+1,0),0)</f>
        <v/>
      </c>
      <c r="F724" s="182">
        <f>IFERROR(VLOOKUP($B724,calc_data,F$14+1,0),0)</f>
        <v/>
      </c>
      <c r="G724" s="141">
        <f>IFERROR(VLOOKUP($B724,calc_data,G$14+1,0),0)</f>
        <v/>
      </c>
      <c r="H724" s="141">
        <f>IFERROR(VLOOKUP($B724,calc_data,H$14+1,0),0)</f>
        <v/>
      </c>
      <c r="I724" s="142">
        <f>IFERROR(VLOOKUP($B724,calc_data,I$14+1,0),0)</f>
        <v/>
      </c>
      <c r="J724" s="141">
        <f>IFERROR(VLOOKUP($B724,calc_data,J$14+1,0),0)</f>
        <v/>
      </c>
      <c r="K724" s="141">
        <f>IFERROR(VLOOKUP($B724,calc_data,K$14+1,0),0)</f>
        <v/>
      </c>
      <c r="L724" s="141">
        <f>IFERROR(VLOOKUP($B724,calc_data,L$14+1,0),0)</f>
        <v/>
      </c>
      <c r="M724" s="177">
        <f>IFERROR(VLOOKUP($B724,calc_data,M$14+1,0),0)</f>
        <v/>
      </c>
      <c r="N724" s="177">
        <f>IFERROR(VLOOKUP($B724,calc_data,N$14+1,0),0)</f>
        <v/>
      </c>
      <c r="O724" s="45" t="n"/>
      <c r="Q724" s="57">
        <f>IF(K724&gt;0,"показать","скрыть")</f>
        <v/>
      </c>
    </row>
    <row r="725" ht="15.75" customHeight="1">
      <c r="B725" s="182" t="n">
        <v>709</v>
      </c>
      <c r="C725" s="182">
        <f>IFERROR(VLOOKUP($B725,calc_data,C$14+1,0),0)</f>
        <v/>
      </c>
      <c r="D725" s="182">
        <f>IFERROR(VLOOKUP($B725,calc_data,D$14+1,0),0)</f>
        <v/>
      </c>
      <c r="E725" s="183">
        <f>IFERROR(VLOOKUP($B725,calc_data,E$14+1,0),0)</f>
        <v/>
      </c>
      <c r="F725" s="182">
        <f>IFERROR(VLOOKUP($B725,calc_data,F$14+1,0),0)</f>
        <v/>
      </c>
      <c r="G725" s="141">
        <f>IFERROR(VLOOKUP($B725,calc_data,G$14+1,0),0)</f>
        <v/>
      </c>
      <c r="H725" s="141">
        <f>IFERROR(VLOOKUP($B725,calc_data,H$14+1,0),0)</f>
        <v/>
      </c>
      <c r="I725" s="142">
        <f>IFERROR(VLOOKUP($B725,calc_data,I$14+1,0),0)</f>
        <v/>
      </c>
      <c r="J725" s="141">
        <f>IFERROR(VLOOKUP($B725,calc_data,J$14+1,0),0)</f>
        <v/>
      </c>
      <c r="K725" s="141">
        <f>IFERROR(VLOOKUP($B725,calc_data,K$14+1,0),0)</f>
        <v/>
      </c>
      <c r="L725" s="141">
        <f>IFERROR(VLOOKUP($B725,calc_data,L$14+1,0),0)</f>
        <v/>
      </c>
      <c r="M725" s="177">
        <f>IFERROR(VLOOKUP($B725,calc_data,M$14+1,0),0)</f>
        <v/>
      </c>
      <c r="N725" s="177">
        <f>IFERROR(VLOOKUP($B725,calc_data,N$14+1,0),0)</f>
        <v/>
      </c>
      <c r="O725" s="45" t="n"/>
      <c r="Q725" s="57">
        <f>IF(K725&gt;0,"показать","скрыть")</f>
        <v/>
      </c>
    </row>
    <row r="726" ht="15.75" customHeight="1">
      <c r="B726" s="182" t="n">
        <v>710</v>
      </c>
      <c r="C726" s="182">
        <f>IFERROR(VLOOKUP($B726,calc_data,C$14+1,0),0)</f>
        <v/>
      </c>
      <c r="D726" s="182">
        <f>IFERROR(VLOOKUP($B726,calc_data,D$14+1,0),0)</f>
        <v/>
      </c>
      <c r="E726" s="183">
        <f>IFERROR(VLOOKUP($B726,calc_data,E$14+1,0),0)</f>
        <v/>
      </c>
      <c r="F726" s="182">
        <f>IFERROR(VLOOKUP($B726,calc_data,F$14+1,0),0)</f>
        <v/>
      </c>
      <c r="G726" s="141">
        <f>IFERROR(VLOOKUP($B726,calc_data,G$14+1,0),0)</f>
        <v/>
      </c>
      <c r="H726" s="141">
        <f>IFERROR(VLOOKUP($B726,calc_data,H$14+1,0),0)</f>
        <v/>
      </c>
      <c r="I726" s="142">
        <f>IFERROR(VLOOKUP($B726,calc_data,I$14+1,0),0)</f>
        <v/>
      </c>
      <c r="J726" s="141">
        <f>IFERROR(VLOOKUP($B726,calc_data,J$14+1,0),0)</f>
        <v/>
      </c>
      <c r="K726" s="141">
        <f>IFERROR(VLOOKUP($B726,calc_data,K$14+1,0),0)</f>
        <v/>
      </c>
      <c r="L726" s="141">
        <f>IFERROR(VLOOKUP($B726,calc_data,L$14+1,0),0)</f>
        <v/>
      </c>
      <c r="M726" s="177">
        <f>IFERROR(VLOOKUP($B726,calc_data,M$14+1,0),0)</f>
        <v/>
      </c>
      <c r="N726" s="177">
        <f>IFERROR(VLOOKUP($B726,calc_data,N$14+1,0),0)</f>
        <v/>
      </c>
      <c r="O726" s="45" t="n"/>
      <c r="Q726" s="57">
        <f>IF(K726&gt;0,"показать","скрыть")</f>
        <v/>
      </c>
    </row>
    <row r="727" ht="15.75" customHeight="1">
      <c r="B727" s="182" t="n">
        <v>711</v>
      </c>
      <c r="C727" s="182">
        <f>IFERROR(VLOOKUP($B727,calc_data,C$14+1,0),0)</f>
        <v/>
      </c>
      <c r="D727" s="182">
        <f>IFERROR(VLOOKUP($B727,calc_data,D$14+1,0),0)</f>
        <v/>
      </c>
      <c r="E727" s="183">
        <f>IFERROR(VLOOKUP($B727,calc_data,E$14+1,0),0)</f>
        <v/>
      </c>
      <c r="F727" s="182">
        <f>IFERROR(VLOOKUP($B727,calc_data,F$14+1,0),0)</f>
        <v/>
      </c>
      <c r="G727" s="141">
        <f>IFERROR(VLOOKUP($B727,calc_data,G$14+1,0),0)</f>
        <v/>
      </c>
      <c r="H727" s="141">
        <f>IFERROR(VLOOKUP($B727,calc_data,H$14+1,0),0)</f>
        <v/>
      </c>
      <c r="I727" s="142">
        <f>IFERROR(VLOOKUP($B727,calc_data,I$14+1,0),0)</f>
        <v/>
      </c>
      <c r="J727" s="141">
        <f>IFERROR(VLOOKUP($B727,calc_data,J$14+1,0),0)</f>
        <v/>
      </c>
      <c r="K727" s="141">
        <f>IFERROR(VLOOKUP($B727,calc_data,K$14+1,0),0)</f>
        <v/>
      </c>
      <c r="L727" s="141">
        <f>IFERROR(VLOOKUP($B727,calc_data,L$14+1,0),0)</f>
        <v/>
      </c>
      <c r="M727" s="177">
        <f>IFERROR(VLOOKUP($B727,calc_data,M$14+1,0),0)</f>
        <v/>
      </c>
      <c r="N727" s="177">
        <f>IFERROR(VLOOKUP($B727,calc_data,N$14+1,0),0)</f>
        <v/>
      </c>
      <c r="O727" s="45" t="n"/>
      <c r="Q727" s="57">
        <f>IF(K727&gt;0,"показать","скрыть")</f>
        <v/>
      </c>
    </row>
    <row r="728" ht="15.75" customHeight="1">
      <c r="B728" s="182" t="n">
        <v>712</v>
      </c>
      <c r="C728" s="182">
        <f>IFERROR(VLOOKUP($B728,calc_data,C$14+1,0),0)</f>
        <v/>
      </c>
      <c r="D728" s="182">
        <f>IFERROR(VLOOKUP($B728,calc_data,D$14+1,0),0)</f>
        <v/>
      </c>
      <c r="E728" s="183">
        <f>IFERROR(VLOOKUP($B728,calc_data,E$14+1,0),0)</f>
        <v/>
      </c>
      <c r="F728" s="182">
        <f>IFERROR(VLOOKUP($B728,calc_data,F$14+1,0),0)</f>
        <v/>
      </c>
      <c r="G728" s="141">
        <f>IFERROR(VLOOKUP($B728,calc_data,G$14+1,0),0)</f>
        <v/>
      </c>
      <c r="H728" s="141">
        <f>IFERROR(VLOOKUP($B728,calc_data,H$14+1,0),0)</f>
        <v/>
      </c>
      <c r="I728" s="142">
        <f>IFERROR(VLOOKUP($B728,calc_data,I$14+1,0),0)</f>
        <v/>
      </c>
      <c r="J728" s="141">
        <f>IFERROR(VLOOKUP($B728,calc_data,J$14+1,0),0)</f>
        <v/>
      </c>
      <c r="K728" s="141">
        <f>IFERROR(VLOOKUP($B728,calc_data,K$14+1,0),0)</f>
        <v/>
      </c>
      <c r="L728" s="141">
        <f>IFERROR(VLOOKUP($B728,calc_data,L$14+1,0),0)</f>
        <v/>
      </c>
      <c r="M728" s="177">
        <f>IFERROR(VLOOKUP($B728,calc_data,M$14+1,0),0)</f>
        <v/>
      </c>
      <c r="N728" s="177">
        <f>IFERROR(VLOOKUP($B728,calc_data,N$14+1,0),0)</f>
        <v/>
      </c>
      <c r="O728" s="45" t="n"/>
      <c r="Q728" s="57">
        <f>IF(K728&gt;0,"показать","скрыть")</f>
        <v/>
      </c>
    </row>
    <row r="729" ht="15.75" customHeight="1">
      <c r="B729" s="182" t="n">
        <v>713</v>
      </c>
      <c r="C729" s="182">
        <f>IFERROR(VLOOKUP($B729,calc_data,C$14+1,0),0)</f>
        <v/>
      </c>
      <c r="D729" s="182">
        <f>IFERROR(VLOOKUP($B729,calc_data,D$14+1,0),0)</f>
        <v/>
      </c>
      <c r="E729" s="183">
        <f>IFERROR(VLOOKUP($B729,calc_data,E$14+1,0),0)</f>
        <v/>
      </c>
      <c r="F729" s="182">
        <f>IFERROR(VLOOKUP($B729,calc_data,F$14+1,0),0)</f>
        <v/>
      </c>
      <c r="G729" s="141">
        <f>IFERROR(VLOOKUP($B729,calc_data,G$14+1,0),0)</f>
        <v/>
      </c>
      <c r="H729" s="141">
        <f>IFERROR(VLOOKUP($B729,calc_data,H$14+1,0),0)</f>
        <v/>
      </c>
      <c r="I729" s="142">
        <f>IFERROR(VLOOKUP($B729,calc_data,I$14+1,0),0)</f>
        <v/>
      </c>
      <c r="J729" s="141">
        <f>IFERROR(VLOOKUP($B729,calc_data,J$14+1,0),0)</f>
        <v/>
      </c>
      <c r="K729" s="141">
        <f>IFERROR(VLOOKUP($B729,calc_data,K$14+1,0),0)</f>
        <v/>
      </c>
      <c r="L729" s="141">
        <f>IFERROR(VLOOKUP($B729,calc_data,L$14+1,0),0)</f>
        <v/>
      </c>
      <c r="M729" s="177">
        <f>IFERROR(VLOOKUP($B729,calc_data,M$14+1,0),0)</f>
        <v/>
      </c>
      <c r="N729" s="177">
        <f>IFERROR(VLOOKUP($B729,calc_data,N$14+1,0),0)</f>
        <v/>
      </c>
      <c r="O729" s="45" t="n"/>
      <c r="Q729" s="57">
        <f>IF(K729&gt;0,"показать","скрыть")</f>
        <v/>
      </c>
    </row>
    <row r="730" ht="15.75" customHeight="1">
      <c r="B730" s="182" t="n">
        <v>714</v>
      </c>
      <c r="C730" s="182">
        <f>IFERROR(VLOOKUP($B730,calc_data,C$14+1,0),0)</f>
        <v/>
      </c>
      <c r="D730" s="182">
        <f>IFERROR(VLOOKUP($B730,calc_data,D$14+1,0),0)</f>
        <v/>
      </c>
      <c r="E730" s="183">
        <f>IFERROR(VLOOKUP($B730,calc_data,E$14+1,0),0)</f>
        <v/>
      </c>
      <c r="F730" s="182">
        <f>IFERROR(VLOOKUP($B730,calc_data,F$14+1,0),0)</f>
        <v/>
      </c>
      <c r="G730" s="141">
        <f>IFERROR(VLOOKUP($B730,calc_data,G$14+1,0),0)</f>
        <v/>
      </c>
      <c r="H730" s="141">
        <f>IFERROR(VLOOKUP($B730,calc_data,H$14+1,0),0)</f>
        <v/>
      </c>
      <c r="I730" s="142">
        <f>IFERROR(VLOOKUP($B730,calc_data,I$14+1,0),0)</f>
        <v/>
      </c>
      <c r="J730" s="141">
        <f>IFERROR(VLOOKUP($B730,calc_data,J$14+1,0),0)</f>
        <v/>
      </c>
      <c r="K730" s="141">
        <f>IFERROR(VLOOKUP($B730,calc_data,K$14+1,0),0)</f>
        <v/>
      </c>
      <c r="L730" s="141">
        <f>IFERROR(VLOOKUP($B730,calc_data,L$14+1,0),0)</f>
        <v/>
      </c>
      <c r="M730" s="177">
        <f>IFERROR(VLOOKUP($B730,calc_data,M$14+1,0),0)</f>
        <v/>
      </c>
      <c r="N730" s="177">
        <f>IFERROR(VLOOKUP($B730,calc_data,N$14+1,0),0)</f>
        <v/>
      </c>
      <c r="O730" s="45" t="n"/>
      <c r="Q730" s="57">
        <f>IF(K730&gt;0,"показать","скрыть")</f>
        <v/>
      </c>
    </row>
    <row r="731" ht="15.75" customHeight="1">
      <c r="B731" s="182" t="n">
        <v>715</v>
      </c>
      <c r="C731" s="182">
        <f>IFERROR(VLOOKUP($B731,calc_data,C$14+1,0),0)</f>
        <v/>
      </c>
      <c r="D731" s="182">
        <f>IFERROR(VLOOKUP($B731,calc_data,D$14+1,0),0)</f>
        <v/>
      </c>
      <c r="E731" s="183">
        <f>IFERROR(VLOOKUP($B731,calc_data,E$14+1,0),0)</f>
        <v/>
      </c>
      <c r="F731" s="182">
        <f>IFERROR(VLOOKUP($B731,calc_data,F$14+1,0),0)</f>
        <v/>
      </c>
      <c r="G731" s="141">
        <f>IFERROR(VLOOKUP($B731,calc_data,G$14+1,0),0)</f>
        <v/>
      </c>
      <c r="H731" s="141">
        <f>IFERROR(VLOOKUP($B731,calc_data,H$14+1,0),0)</f>
        <v/>
      </c>
      <c r="I731" s="142">
        <f>IFERROR(VLOOKUP($B731,calc_data,I$14+1,0),0)</f>
        <v/>
      </c>
      <c r="J731" s="141">
        <f>IFERROR(VLOOKUP($B731,calc_data,J$14+1,0),0)</f>
        <v/>
      </c>
      <c r="K731" s="141">
        <f>IFERROR(VLOOKUP($B731,calc_data,K$14+1,0),0)</f>
        <v/>
      </c>
      <c r="L731" s="141">
        <f>IFERROR(VLOOKUP($B731,calc_data,L$14+1,0),0)</f>
        <v/>
      </c>
      <c r="M731" s="177">
        <f>IFERROR(VLOOKUP($B731,calc_data,M$14+1,0),0)</f>
        <v/>
      </c>
      <c r="N731" s="177">
        <f>IFERROR(VLOOKUP($B731,calc_data,N$14+1,0),0)</f>
        <v/>
      </c>
      <c r="O731" s="45" t="n"/>
      <c r="Q731" s="57">
        <f>IF(K731&gt;0,"показать","скрыть")</f>
        <v/>
      </c>
    </row>
    <row r="732" ht="15.75" customHeight="1">
      <c r="B732" s="182" t="n">
        <v>716</v>
      </c>
      <c r="C732" s="182">
        <f>IFERROR(VLOOKUP($B732,calc_data,C$14+1,0),0)</f>
        <v/>
      </c>
      <c r="D732" s="182">
        <f>IFERROR(VLOOKUP($B732,calc_data,D$14+1,0),0)</f>
        <v/>
      </c>
      <c r="E732" s="183">
        <f>IFERROR(VLOOKUP($B732,calc_data,E$14+1,0),0)</f>
        <v/>
      </c>
      <c r="F732" s="182">
        <f>IFERROR(VLOOKUP($B732,calc_data,F$14+1,0),0)</f>
        <v/>
      </c>
      <c r="G732" s="141">
        <f>IFERROR(VLOOKUP($B732,calc_data,G$14+1,0),0)</f>
        <v/>
      </c>
      <c r="H732" s="141">
        <f>IFERROR(VLOOKUP($B732,calc_data,H$14+1,0),0)</f>
        <v/>
      </c>
      <c r="I732" s="142">
        <f>IFERROR(VLOOKUP($B732,calc_data,I$14+1,0),0)</f>
        <v/>
      </c>
      <c r="J732" s="141">
        <f>IFERROR(VLOOKUP($B732,calc_data,J$14+1,0),0)</f>
        <v/>
      </c>
      <c r="K732" s="141">
        <f>IFERROR(VLOOKUP($B732,calc_data,K$14+1,0),0)</f>
        <v/>
      </c>
      <c r="L732" s="141">
        <f>IFERROR(VLOOKUP($B732,calc_data,L$14+1,0),0)</f>
        <v/>
      </c>
      <c r="M732" s="177">
        <f>IFERROR(VLOOKUP($B732,calc_data,M$14+1,0),0)</f>
        <v/>
      </c>
      <c r="N732" s="177">
        <f>IFERROR(VLOOKUP($B732,calc_data,N$14+1,0),0)</f>
        <v/>
      </c>
      <c r="O732" s="45" t="n"/>
      <c r="Q732" s="57">
        <f>IF(K732&gt;0,"показать","скрыть")</f>
        <v/>
      </c>
    </row>
    <row r="733" ht="15.75" customHeight="1">
      <c r="B733" s="182" t="n">
        <v>717</v>
      </c>
      <c r="C733" s="182">
        <f>IFERROR(VLOOKUP($B733,calc_data,C$14+1,0),0)</f>
        <v/>
      </c>
      <c r="D733" s="182">
        <f>IFERROR(VLOOKUP($B733,calc_data,D$14+1,0),0)</f>
        <v/>
      </c>
      <c r="E733" s="183">
        <f>IFERROR(VLOOKUP($B733,calc_data,E$14+1,0),0)</f>
        <v/>
      </c>
      <c r="F733" s="182">
        <f>IFERROR(VLOOKUP($B733,calc_data,F$14+1,0),0)</f>
        <v/>
      </c>
      <c r="G733" s="141">
        <f>IFERROR(VLOOKUP($B733,calc_data,G$14+1,0),0)</f>
        <v/>
      </c>
      <c r="H733" s="141">
        <f>IFERROR(VLOOKUP($B733,calc_data,H$14+1,0),0)</f>
        <v/>
      </c>
      <c r="I733" s="142">
        <f>IFERROR(VLOOKUP($B733,calc_data,I$14+1,0),0)</f>
        <v/>
      </c>
      <c r="J733" s="141">
        <f>IFERROR(VLOOKUP($B733,calc_data,J$14+1,0),0)</f>
        <v/>
      </c>
      <c r="K733" s="141">
        <f>IFERROR(VLOOKUP($B733,calc_data,K$14+1,0),0)</f>
        <v/>
      </c>
      <c r="L733" s="141">
        <f>IFERROR(VLOOKUP($B733,calc_data,L$14+1,0),0)</f>
        <v/>
      </c>
      <c r="M733" s="177">
        <f>IFERROR(VLOOKUP($B733,calc_data,M$14+1,0),0)</f>
        <v/>
      </c>
      <c r="N733" s="177">
        <f>IFERROR(VLOOKUP($B733,calc_data,N$14+1,0),0)</f>
        <v/>
      </c>
      <c r="O733" s="45" t="n"/>
      <c r="Q733" s="57">
        <f>IF(K733&gt;0,"показать","скрыть")</f>
        <v/>
      </c>
    </row>
    <row r="734" ht="15.75" customHeight="1">
      <c r="B734" s="182" t="n">
        <v>718</v>
      </c>
      <c r="C734" s="182">
        <f>IFERROR(VLOOKUP($B734,calc_data,C$14+1,0),0)</f>
        <v/>
      </c>
      <c r="D734" s="182">
        <f>IFERROR(VLOOKUP($B734,calc_data,D$14+1,0),0)</f>
        <v/>
      </c>
      <c r="E734" s="183">
        <f>IFERROR(VLOOKUP($B734,calc_data,E$14+1,0),0)</f>
        <v/>
      </c>
      <c r="F734" s="182">
        <f>IFERROR(VLOOKUP($B734,calc_data,F$14+1,0),0)</f>
        <v/>
      </c>
      <c r="G734" s="141">
        <f>IFERROR(VLOOKUP($B734,calc_data,G$14+1,0),0)</f>
        <v/>
      </c>
      <c r="H734" s="141">
        <f>IFERROR(VLOOKUP($B734,calc_data,H$14+1,0),0)</f>
        <v/>
      </c>
      <c r="I734" s="142">
        <f>IFERROR(VLOOKUP($B734,calc_data,I$14+1,0),0)</f>
        <v/>
      </c>
      <c r="J734" s="141">
        <f>IFERROR(VLOOKUP($B734,calc_data,J$14+1,0),0)</f>
        <v/>
      </c>
      <c r="K734" s="141">
        <f>IFERROR(VLOOKUP($B734,calc_data,K$14+1,0),0)</f>
        <v/>
      </c>
      <c r="L734" s="141">
        <f>IFERROR(VLOOKUP($B734,calc_data,L$14+1,0),0)</f>
        <v/>
      </c>
      <c r="M734" s="177">
        <f>IFERROR(VLOOKUP($B734,calc_data,M$14+1,0),0)</f>
        <v/>
      </c>
      <c r="N734" s="177">
        <f>IFERROR(VLOOKUP($B734,calc_data,N$14+1,0),0)</f>
        <v/>
      </c>
      <c r="O734" s="45" t="n"/>
      <c r="Q734" s="57">
        <f>IF(K734&gt;0,"показать","скрыть")</f>
        <v/>
      </c>
    </row>
    <row r="735" ht="15.75" customHeight="1">
      <c r="B735" s="182" t="n">
        <v>719</v>
      </c>
      <c r="C735" s="182">
        <f>IFERROR(VLOOKUP($B735,calc_data,C$14+1,0),0)</f>
        <v/>
      </c>
      <c r="D735" s="182">
        <f>IFERROR(VLOOKUP($B735,calc_data,D$14+1,0),0)</f>
        <v/>
      </c>
      <c r="E735" s="183">
        <f>IFERROR(VLOOKUP($B735,calc_data,E$14+1,0),0)</f>
        <v/>
      </c>
      <c r="F735" s="182">
        <f>IFERROR(VLOOKUP($B735,calc_data,F$14+1,0),0)</f>
        <v/>
      </c>
      <c r="G735" s="141">
        <f>IFERROR(VLOOKUP($B735,calc_data,G$14+1,0),0)</f>
        <v/>
      </c>
      <c r="H735" s="141">
        <f>IFERROR(VLOOKUP($B735,calc_data,H$14+1,0),0)</f>
        <v/>
      </c>
      <c r="I735" s="142">
        <f>IFERROR(VLOOKUP($B735,calc_data,I$14+1,0),0)</f>
        <v/>
      </c>
      <c r="J735" s="141">
        <f>IFERROR(VLOOKUP($B735,calc_data,J$14+1,0),0)</f>
        <v/>
      </c>
      <c r="K735" s="141">
        <f>IFERROR(VLOOKUP($B735,calc_data,K$14+1,0),0)</f>
        <v/>
      </c>
      <c r="L735" s="141">
        <f>IFERROR(VLOOKUP($B735,calc_data,L$14+1,0),0)</f>
        <v/>
      </c>
      <c r="M735" s="177">
        <f>IFERROR(VLOOKUP($B735,calc_data,M$14+1,0),0)</f>
        <v/>
      </c>
      <c r="N735" s="177">
        <f>IFERROR(VLOOKUP($B735,calc_data,N$14+1,0),0)</f>
        <v/>
      </c>
      <c r="O735" s="45" t="n"/>
      <c r="Q735" s="57">
        <f>IF(K735&gt;0,"показать","скрыть")</f>
        <v/>
      </c>
    </row>
    <row r="736" ht="15.75" customHeight="1">
      <c r="B736" s="182" t="n">
        <v>720</v>
      </c>
      <c r="C736" s="182">
        <f>IFERROR(VLOOKUP($B736,calc_data,C$14+1,0),0)</f>
        <v/>
      </c>
      <c r="D736" s="182">
        <f>IFERROR(VLOOKUP($B736,calc_data,D$14+1,0),0)</f>
        <v/>
      </c>
      <c r="E736" s="183">
        <f>IFERROR(VLOOKUP($B736,calc_data,E$14+1,0),0)</f>
        <v/>
      </c>
      <c r="F736" s="182">
        <f>IFERROR(VLOOKUP($B736,calc_data,F$14+1,0),0)</f>
        <v/>
      </c>
      <c r="G736" s="141">
        <f>IFERROR(VLOOKUP($B736,calc_data,G$14+1,0),0)</f>
        <v/>
      </c>
      <c r="H736" s="141">
        <f>IFERROR(VLOOKUP($B736,calc_data,H$14+1,0),0)</f>
        <v/>
      </c>
      <c r="I736" s="142">
        <f>IFERROR(VLOOKUP($B736,calc_data,I$14+1,0),0)</f>
        <v/>
      </c>
      <c r="J736" s="141">
        <f>IFERROR(VLOOKUP($B736,calc_data,J$14+1,0),0)</f>
        <v/>
      </c>
      <c r="K736" s="141">
        <f>IFERROR(VLOOKUP($B736,calc_data,K$14+1,0),0)</f>
        <v/>
      </c>
      <c r="L736" s="141">
        <f>IFERROR(VLOOKUP($B736,calc_data,L$14+1,0),0)</f>
        <v/>
      </c>
      <c r="M736" s="177">
        <f>IFERROR(VLOOKUP($B736,calc_data,M$14+1,0),0)</f>
        <v/>
      </c>
      <c r="N736" s="177">
        <f>IFERROR(VLOOKUP($B736,calc_data,N$14+1,0),0)</f>
        <v/>
      </c>
      <c r="O736" s="45" t="n"/>
      <c r="Q736" s="57">
        <f>IF(K736&gt;0,"показать","скрыть")</f>
        <v/>
      </c>
    </row>
    <row r="737" ht="15.75" customHeight="1">
      <c r="B737" s="182" t="n">
        <v>721</v>
      </c>
      <c r="C737" s="182">
        <f>IFERROR(VLOOKUP($B737,calc_data,C$14+1,0),0)</f>
        <v/>
      </c>
      <c r="D737" s="182">
        <f>IFERROR(VLOOKUP($B737,calc_data,D$14+1,0),0)</f>
        <v/>
      </c>
      <c r="E737" s="183">
        <f>IFERROR(VLOOKUP($B737,calc_data,E$14+1,0),0)</f>
        <v/>
      </c>
      <c r="F737" s="182">
        <f>IFERROR(VLOOKUP($B737,calc_data,F$14+1,0),0)</f>
        <v/>
      </c>
      <c r="G737" s="141">
        <f>IFERROR(VLOOKUP($B737,calc_data,G$14+1,0),0)</f>
        <v/>
      </c>
      <c r="H737" s="141">
        <f>IFERROR(VLOOKUP($B737,calc_data,H$14+1,0),0)</f>
        <v/>
      </c>
      <c r="I737" s="142">
        <f>IFERROR(VLOOKUP($B737,calc_data,I$14+1,0),0)</f>
        <v/>
      </c>
      <c r="J737" s="141">
        <f>IFERROR(VLOOKUP($B737,calc_data,J$14+1,0),0)</f>
        <v/>
      </c>
      <c r="K737" s="141">
        <f>IFERROR(VLOOKUP($B737,calc_data,K$14+1,0),0)</f>
        <v/>
      </c>
      <c r="L737" s="141">
        <f>IFERROR(VLOOKUP($B737,calc_data,L$14+1,0),0)</f>
        <v/>
      </c>
      <c r="M737" s="177">
        <f>IFERROR(VLOOKUP($B737,calc_data,M$14+1,0),0)</f>
        <v/>
      </c>
      <c r="N737" s="177">
        <f>IFERROR(VLOOKUP($B737,calc_data,N$14+1,0),0)</f>
        <v/>
      </c>
      <c r="O737" s="45" t="n"/>
      <c r="Q737" s="57">
        <f>IF(K737&gt;0,"показать","скрыть")</f>
        <v/>
      </c>
    </row>
    <row r="738" ht="15.75" customHeight="1">
      <c r="B738" s="182" t="n">
        <v>722</v>
      </c>
      <c r="C738" s="182">
        <f>IFERROR(VLOOKUP($B738,calc_data,C$14+1,0),0)</f>
        <v/>
      </c>
      <c r="D738" s="182">
        <f>IFERROR(VLOOKUP($B738,calc_data,D$14+1,0),0)</f>
        <v/>
      </c>
      <c r="E738" s="183">
        <f>IFERROR(VLOOKUP($B738,calc_data,E$14+1,0),0)</f>
        <v/>
      </c>
      <c r="F738" s="182">
        <f>IFERROR(VLOOKUP($B738,calc_data,F$14+1,0),0)</f>
        <v/>
      </c>
      <c r="G738" s="141">
        <f>IFERROR(VLOOKUP($B738,calc_data,G$14+1,0),0)</f>
        <v/>
      </c>
      <c r="H738" s="141">
        <f>IFERROR(VLOOKUP($B738,calc_data,H$14+1,0),0)</f>
        <v/>
      </c>
      <c r="I738" s="142">
        <f>IFERROR(VLOOKUP($B738,calc_data,I$14+1,0),0)</f>
        <v/>
      </c>
      <c r="J738" s="141">
        <f>IFERROR(VLOOKUP($B738,calc_data,J$14+1,0),0)</f>
        <v/>
      </c>
      <c r="K738" s="141">
        <f>IFERROR(VLOOKUP($B738,calc_data,K$14+1,0),0)</f>
        <v/>
      </c>
      <c r="L738" s="141">
        <f>IFERROR(VLOOKUP($B738,calc_data,L$14+1,0),0)</f>
        <v/>
      </c>
      <c r="M738" s="177">
        <f>IFERROR(VLOOKUP($B738,calc_data,M$14+1,0),0)</f>
        <v/>
      </c>
      <c r="N738" s="177">
        <f>IFERROR(VLOOKUP($B738,calc_data,N$14+1,0),0)</f>
        <v/>
      </c>
      <c r="O738" s="45" t="n"/>
      <c r="Q738" s="57">
        <f>IF(K738&gt;0,"показать","скрыть")</f>
        <v/>
      </c>
    </row>
    <row r="739" ht="15.75" customHeight="1">
      <c r="B739" s="182" t="n">
        <v>723</v>
      </c>
      <c r="C739" s="182">
        <f>IFERROR(VLOOKUP($B739,calc_data,C$14+1,0),0)</f>
        <v/>
      </c>
      <c r="D739" s="182">
        <f>IFERROR(VLOOKUP($B739,calc_data,D$14+1,0),0)</f>
        <v/>
      </c>
      <c r="E739" s="183">
        <f>IFERROR(VLOOKUP($B739,calc_data,E$14+1,0),0)</f>
        <v/>
      </c>
      <c r="F739" s="182">
        <f>IFERROR(VLOOKUP($B739,calc_data,F$14+1,0),0)</f>
        <v/>
      </c>
      <c r="G739" s="141">
        <f>IFERROR(VLOOKUP($B739,calc_data,G$14+1,0),0)</f>
        <v/>
      </c>
      <c r="H739" s="141">
        <f>IFERROR(VLOOKUP($B739,calc_data,H$14+1,0),0)</f>
        <v/>
      </c>
      <c r="I739" s="142">
        <f>IFERROR(VLOOKUP($B739,calc_data,I$14+1,0),0)</f>
        <v/>
      </c>
      <c r="J739" s="141">
        <f>IFERROR(VLOOKUP($B739,calc_data,J$14+1,0),0)</f>
        <v/>
      </c>
      <c r="K739" s="141">
        <f>IFERROR(VLOOKUP($B739,calc_data,K$14+1,0),0)</f>
        <v/>
      </c>
      <c r="L739" s="141">
        <f>IFERROR(VLOOKUP($B739,calc_data,L$14+1,0),0)</f>
        <v/>
      </c>
      <c r="M739" s="177">
        <f>IFERROR(VLOOKUP($B739,calc_data,M$14+1,0),0)</f>
        <v/>
      </c>
      <c r="N739" s="177">
        <f>IFERROR(VLOOKUP($B739,calc_data,N$14+1,0),0)</f>
        <v/>
      </c>
      <c r="O739" s="45" t="n"/>
      <c r="Q739" s="57">
        <f>IF(K739&gt;0,"показать","скрыть")</f>
        <v/>
      </c>
    </row>
    <row r="740" ht="15.75" customHeight="1">
      <c r="B740" s="182" t="n">
        <v>724</v>
      </c>
      <c r="C740" s="182">
        <f>IFERROR(VLOOKUP($B740,calc_data,C$14+1,0),0)</f>
        <v/>
      </c>
      <c r="D740" s="182">
        <f>IFERROR(VLOOKUP($B740,calc_data,D$14+1,0),0)</f>
        <v/>
      </c>
      <c r="E740" s="183">
        <f>IFERROR(VLOOKUP($B740,calc_data,E$14+1,0),0)</f>
        <v/>
      </c>
      <c r="F740" s="182">
        <f>IFERROR(VLOOKUP($B740,calc_data,F$14+1,0),0)</f>
        <v/>
      </c>
      <c r="G740" s="141">
        <f>IFERROR(VLOOKUP($B740,calc_data,G$14+1,0),0)</f>
        <v/>
      </c>
      <c r="H740" s="141">
        <f>IFERROR(VLOOKUP($B740,calc_data,H$14+1,0),0)</f>
        <v/>
      </c>
      <c r="I740" s="142">
        <f>IFERROR(VLOOKUP($B740,calc_data,I$14+1,0),0)</f>
        <v/>
      </c>
      <c r="J740" s="141">
        <f>IFERROR(VLOOKUP($B740,calc_data,J$14+1,0),0)</f>
        <v/>
      </c>
      <c r="K740" s="141">
        <f>IFERROR(VLOOKUP($B740,calc_data,K$14+1,0),0)</f>
        <v/>
      </c>
      <c r="L740" s="141">
        <f>IFERROR(VLOOKUP($B740,calc_data,L$14+1,0),0)</f>
        <v/>
      </c>
      <c r="M740" s="177">
        <f>IFERROR(VLOOKUP($B740,calc_data,M$14+1,0),0)</f>
        <v/>
      </c>
      <c r="N740" s="177">
        <f>IFERROR(VLOOKUP($B740,calc_data,N$14+1,0),0)</f>
        <v/>
      </c>
      <c r="O740" s="45" t="n"/>
      <c r="Q740" s="57">
        <f>IF(K740&gt;0,"показать","скрыть")</f>
        <v/>
      </c>
    </row>
    <row r="741" ht="15.75" customHeight="1">
      <c r="B741" s="182" t="n">
        <v>725</v>
      </c>
      <c r="C741" s="182">
        <f>IFERROR(VLOOKUP($B741,calc_data,C$14+1,0),0)</f>
        <v/>
      </c>
      <c r="D741" s="182">
        <f>IFERROR(VLOOKUP($B741,calc_data,D$14+1,0),0)</f>
        <v/>
      </c>
      <c r="E741" s="183">
        <f>IFERROR(VLOOKUP($B741,calc_data,E$14+1,0),0)</f>
        <v/>
      </c>
      <c r="F741" s="182">
        <f>IFERROR(VLOOKUP($B741,calc_data,F$14+1,0),0)</f>
        <v/>
      </c>
      <c r="G741" s="141">
        <f>IFERROR(VLOOKUP($B741,calc_data,G$14+1,0),0)</f>
        <v/>
      </c>
      <c r="H741" s="141">
        <f>IFERROR(VLOOKUP($B741,calc_data,H$14+1,0),0)</f>
        <v/>
      </c>
      <c r="I741" s="142">
        <f>IFERROR(VLOOKUP($B741,calc_data,I$14+1,0),0)</f>
        <v/>
      </c>
      <c r="J741" s="141">
        <f>IFERROR(VLOOKUP($B741,calc_data,J$14+1,0),0)</f>
        <v/>
      </c>
      <c r="K741" s="141">
        <f>IFERROR(VLOOKUP($B741,calc_data,K$14+1,0),0)</f>
        <v/>
      </c>
      <c r="L741" s="141">
        <f>IFERROR(VLOOKUP($B741,calc_data,L$14+1,0),0)</f>
        <v/>
      </c>
      <c r="M741" s="177">
        <f>IFERROR(VLOOKUP($B741,calc_data,M$14+1,0),0)</f>
        <v/>
      </c>
      <c r="N741" s="177">
        <f>IFERROR(VLOOKUP($B741,calc_data,N$14+1,0),0)</f>
        <v/>
      </c>
      <c r="O741" s="45" t="n"/>
      <c r="Q741" s="57">
        <f>IF(K741&gt;0,"показать","скрыть")</f>
        <v/>
      </c>
    </row>
    <row r="742" ht="15.75" customHeight="1">
      <c r="B742" s="182" t="n">
        <v>726</v>
      </c>
      <c r="C742" s="182">
        <f>IFERROR(VLOOKUP($B742,calc_data,C$14+1,0),0)</f>
        <v/>
      </c>
      <c r="D742" s="182">
        <f>IFERROR(VLOOKUP($B742,calc_data,D$14+1,0),0)</f>
        <v/>
      </c>
      <c r="E742" s="183">
        <f>IFERROR(VLOOKUP($B742,calc_data,E$14+1,0),0)</f>
        <v/>
      </c>
      <c r="F742" s="182">
        <f>IFERROR(VLOOKUP($B742,calc_data,F$14+1,0),0)</f>
        <v/>
      </c>
      <c r="G742" s="141">
        <f>IFERROR(VLOOKUP($B742,calc_data,G$14+1,0),0)</f>
        <v/>
      </c>
      <c r="H742" s="141">
        <f>IFERROR(VLOOKUP($B742,calc_data,H$14+1,0),0)</f>
        <v/>
      </c>
      <c r="I742" s="142">
        <f>IFERROR(VLOOKUP($B742,calc_data,I$14+1,0),0)</f>
        <v/>
      </c>
      <c r="J742" s="141">
        <f>IFERROR(VLOOKUP($B742,calc_data,J$14+1,0),0)</f>
        <v/>
      </c>
      <c r="K742" s="141">
        <f>IFERROR(VLOOKUP($B742,calc_data,K$14+1,0),0)</f>
        <v/>
      </c>
      <c r="L742" s="141">
        <f>IFERROR(VLOOKUP($B742,calc_data,L$14+1,0),0)</f>
        <v/>
      </c>
      <c r="M742" s="177">
        <f>IFERROR(VLOOKUP($B742,calc_data,M$14+1,0),0)</f>
        <v/>
      </c>
      <c r="N742" s="177">
        <f>IFERROR(VLOOKUP($B742,calc_data,N$14+1,0),0)</f>
        <v/>
      </c>
      <c r="O742" s="45" t="n"/>
      <c r="Q742" s="57">
        <f>IF(K742&gt;0,"показать","скрыть")</f>
        <v/>
      </c>
    </row>
    <row r="743" ht="15.75" customHeight="1">
      <c r="B743" s="182" t="n">
        <v>727</v>
      </c>
      <c r="C743" s="182">
        <f>IFERROR(VLOOKUP($B743,calc_data,C$14+1,0),0)</f>
        <v/>
      </c>
      <c r="D743" s="182">
        <f>IFERROR(VLOOKUP($B743,calc_data,D$14+1,0),0)</f>
        <v/>
      </c>
      <c r="E743" s="183">
        <f>IFERROR(VLOOKUP($B743,calc_data,E$14+1,0),0)</f>
        <v/>
      </c>
      <c r="F743" s="182">
        <f>IFERROR(VLOOKUP($B743,calc_data,F$14+1,0),0)</f>
        <v/>
      </c>
      <c r="G743" s="141">
        <f>IFERROR(VLOOKUP($B743,calc_data,G$14+1,0),0)</f>
        <v/>
      </c>
      <c r="H743" s="141">
        <f>IFERROR(VLOOKUP($B743,calc_data,H$14+1,0),0)</f>
        <v/>
      </c>
      <c r="I743" s="142">
        <f>IFERROR(VLOOKUP($B743,calc_data,I$14+1,0),0)</f>
        <v/>
      </c>
      <c r="J743" s="141">
        <f>IFERROR(VLOOKUP($B743,calc_data,J$14+1,0),0)</f>
        <v/>
      </c>
      <c r="K743" s="141">
        <f>IFERROR(VLOOKUP($B743,calc_data,K$14+1,0),0)</f>
        <v/>
      </c>
      <c r="L743" s="141">
        <f>IFERROR(VLOOKUP($B743,calc_data,L$14+1,0),0)</f>
        <v/>
      </c>
      <c r="M743" s="177">
        <f>IFERROR(VLOOKUP($B743,calc_data,M$14+1,0),0)</f>
        <v/>
      </c>
      <c r="N743" s="177">
        <f>IFERROR(VLOOKUP($B743,calc_data,N$14+1,0),0)</f>
        <v/>
      </c>
      <c r="O743" s="45" t="n"/>
      <c r="Q743" s="57">
        <f>IF(K743&gt;0,"показать","скрыть")</f>
        <v/>
      </c>
    </row>
    <row r="744" ht="15.75" customHeight="1">
      <c r="B744" s="182" t="n">
        <v>728</v>
      </c>
      <c r="C744" s="182">
        <f>IFERROR(VLOOKUP($B744,calc_data,C$14+1,0),0)</f>
        <v/>
      </c>
      <c r="D744" s="182">
        <f>IFERROR(VLOOKUP($B744,calc_data,D$14+1,0),0)</f>
        <v/>
      </c>
      <c r="E744" s="183">
        <f>IFERROR(VLOOKUP($B744,calc_data,E$14+1,0),0)</f>
        <v/>
      </c>
      <c r="F744" s="182">
        <f>IFERROR(VLOOKUP($B744,calc_data,F$14+1,0),0)</f>
        <v/>
      </c>
      <c r="G744" s="141">
        <f>IFERROR(VLOOKUP($B744,calc_data,G$14+1,0),0)</f>
        <v/>
      </c>
      <c r="H744" s="141">
        <f>IFERROR(VLOOKUP($B744,calc_data,H$14+1,0),0)</f>
        <v/>
      </c>
      <c r="I744" s="142">
        <f>IFERROR(VLOOKUP($B744,calc_data,I$14+1,0),0)</f>
        <v/>
      </c>
      <c r="J744" s="141">
        <f>IFERROR(VLOOKUP($B744,calc_data,J$14+1,0),0)</f>
        <v/>
      </c>
      <c r="K744" s="141">
        <f>IFERROR(VLOOKUP($B744,calc_data,K$14+1,0),0)</f>
        <v/>
      </c>
      <c r="L744" s="141">
        <f>IFERROR(VLOOKUP($B744,calc_data,L$14+1,0),0)</f>
        <v/>
      </c>
      <c r="M744" s="177">
        <f>IFERROR(VLOOKUP($B744,calc_data,M$14+1,0),0)</f>
        <v/>
      </c>
      <c r="N744" s="177">
        <f>IFERROR(VLOOKUP($B744,calc_data,N$14+1,0),0)</f>
        <v/>
      </c>
      <c r="O744" s="45" t="n"/>
      <c r="Q744" s="57">
        <f>IF(K744&gt;0,"показать","скрыть")</f>
        <v/>
      </c>
    </row>
    <row r="745" ht="15.75" customHeight="1">
      <c r="B745" s="182" t="n">
        <v>729</v>
      </c>
      <c r="C745" s="182">
        <f>IFERROR(VLOOKUP($B745,calc_data,C$14+1,0),0)</f>
        <v/>
      </c>
      <c r="D745" s="182">
        <f>IFERROR(VLOOKUP($B745,calc_data,D$14+1,0),0)</f>
        <v/>
      </c>
      <c r="E745" s="183">
        <f>IFERROR(VLOOKUP($B745,calc_data,E$14+1,0),0)</f>
        <v/>
      </c>
      <c r="F745" s="182">
        <f>IFERROR(VLOOKUP($B745,calc_data,F$14+1,0),0)</f>
        <v/>
      </c>
      <c r="G745" s="141">
        <f>IFERROR(VLOOKUP($B745,calc_data,G$14+1,0),0)</f>
        <v/>
      </c>
      <c r="H745" s="141">
        <f>IFERROR(VLOOKUP($B745,calc_data,H$14+1,0),0)</f>
        <v/>
      </c>
      <c r="I745" s="142">
        <f>IFERROR(VLOOKUP($B745,calc_data,I$14+1,0),0)</f>
        <v/>
      </c>
      <c r="J745" s="141">
        <f>IFERROR(VLOOKUP($B745,calc_data,J$14+1,0),0)</f>
        <v/>
      </c>
      <c r="K745" s="141">
        <f>IFERROR(VLOOKUP($B745,calc_data,K$14+1,0),0)</f>
        <v/>
      </c>
      <c r="L745" s="141">
        <f>IFERROR(VLOOKUP($B745,calc_data,L$14+1,0),0)</f>
        <v/>
      </c>
      <c r="M745" s="177">
        <f>IFERROR(VLOOKUP($B745,calc_data,M$14+1,0),0)</f>
        <v/>
      </c>
      <c r="N745" s="177">
        <f>IFERROR(VLOOKUP($B745,calc_data,N$14+1,0),0)</f>
        <v/>
      </c>
      <c r="O745" s="45" t="n"/>
      <c r="Q745" s="57">
        <f>IF(K745&gt;0,"показать","скрыть")</f>
        <v/>
      </c>
    </row>
    <row r="746" ht="15.75" customHeight="1">
      <c r="B746" s="182" t="n">
        <v>730</v>
      </c>
      <c r="C746" s="182">
        <f>IFERROR(VLOOKUP($B746,calc_data,C$14+1,0),0)</f>
        <v/>
      </c>
      <c r="D746" s="182">
        <f>IFERROR(VLOOKUP($B746,calc_data,D$14+1,0),0)</f>
        <v/>
      </c>
      <c r="E746" s="183">
        <f>IFERROR(VLOOKUP($B746,calc_data,E$14+1,0),0)</f>
        <v/>
      </c>
      <c r="F746" s="182">
        <f>IFERROR(VLOOKUP($B746,calc_data,F$14+1,0),0)</f>
        <v/>
      </c>
      <c r="G746" s="141">
        <f>IFERROR(VLOOKUP($B746,calc_data,G$14+1,0),0)</f>
        <v/>
      </c>
      <c r="H746" s="141">
        <f>IFERROR(VLOOKUP($B746,calc_data,H$14+1,0),0)</f>
        <v/>
      </c>
      <c r="I746" s="142">
        <f>IFERROR(VLOOKUP($B746,calc_data,I$14+1,0),0)</f>
        <v/>
      </c>
      <c r="J746" s="141">
        <f>IFERROR(VLOOKUP($B746,calc_data,J$14+1,0),0)</f>
        <v/>
      </c>
      <c r="K746" s="141">
        <f>IFERROR(VLOOKUP($B746,calc_data,K$14+1,0),0)</f>
        <v/>
      </c>
      <c r="L746" s="141">
        <f>IFERROR(VLOOKUP($B746,calc_data,L$14+1,0),0)</f>
        <v/>
      </c>
      <c r="M746" s="177">
        <f>IFERROR(VLOOKUP($B746,calc_data,M$14+1,0),0)</f>
        <v/>
      </c>
      <c r="N746" s="177">
        <f>IFERROR(VLOOKUP($B746,calc_data,N$14+1,0),0)</f>
        <v/>
      </c>
      <c r="O746" s="45" t="n"/>
      <c r="Q746" s="57">
        <f>IF(K746&gt;0,"показать","скрыть")</f>
        <v/>
      </c>
    </row>
    <row r="747" ht="15.75" customHeight="1">
      <c r="B747" s="182" t="n">
        <v>731</v>
      </c>
      <c r="C747" s="182">
        <f>IFERROR(VLOOKUP($B747,calc_data,C$14+1,0),0)</f>
        <v/>
      </c>
      <c r="D747" s="182">
        <f>IFERROR(VLOOKUP($B747,calc_data,D$14+1,0),0)</f>
        <v/>
      </c>
      <c r="E747" s="183">
        <f>IFERROR(VLOOKUP($B747,calc_data,E$14+1,0),0)</f>
        <v/>
      </c>
      <c r="F747" s="182">
        <f>IFERROR(VLOOKUP($B747,calc_data,F$14+1,0),0)</f>
        <v/>
      </c>
      <c r="G747" s="141">
        <f>IFERROR(VLOOKUP($B747,calc_data,G$14+1,0),0)</f>
        <v/>
      </c>
      <c r="H747" s="141">
        <f>IFERROR(VLOOKUP($B747,calc_data,H$14+1,0),0)</f>
        <v/>
      </c>
      <c r="I747" s="142">
        <f>IFERROR(VLOOKUP($B747,calc_data,I$14+1,0),0)</f>
        <v/>
      </c>
      <c r="J747" s="141">
        <f>IFERROR(VLOOKUP($B747,calc_data,J$14+1,0),0)</f>
        <v/>
      </c>
      <c r="K747" s="141">
        <f>IFERROR(VLOOKUP($B747,calc_data,K$14+1,0),0)</f>
        <v/>
      </c>
      <c r="L747" s="141">
        <f>IFERROR(VLOOKUP($B747,calc_data,L$14+1,0),0)</f>
        <v/>
      </c>
      <c r="M747" s="177">
        <f>IFERROR(VLOOKUP($B747,calc_data,M$14+1,0),0)</f>
        <v/>
      </c>
      <c r="N747" s="177">
        <f>IFERROR(VLOOKUP($B747,calc_data,N$14+1,0),0)</f>
        <v/>
      </c>
      <c r="O747" s="45" t="n"/>
      <c r="Q747" s="57">
        <f>IF(K747&gt;0,"показать","скрыть")</f>
        <v/>
      </c>
    </row>
    <row r="748" ht="15.75" customHeight="1">
      <c r="B748" s="182" t="n">
        <v>732</v>
      </c>
      <c r="C748" s="182">
        <f>IFERROR(VLOOKUP($B748,calc_data,C$14+1,0),0)</f>
        <v/>
      </c>
      <c r="D748" s="182">
        <f>IFERROR(VLOOKUP($B748,calc_data,D$14+1,0),0)</f>
        <v/>
      </c>
      <c r="E748" s="183">
        <f>IFERROR(VLOOKUP($B748,calc_data,E$14+1,0),0)</f>
        <v/>
      </c>
      <c r="F748" s="182">
        <f>IFERROR(VLOOKUP($B748,calc_data,F$14+1,0),0)</f>
        <v/>
      </c>
      <c r="G748" s="141">
        <f>IFERROR(VLOOKUP($B748,calc_data,G$14+1,0),0)</f>
        <v/>
      </c>
      <c r="H748" s="141">
        <f>IFERROR(VLOOKUP($B748,calc_data,H$14+1,0),0)</f>
        <v/>
      </c>
      <c r="I748" s="142">
        <f>IFERROR(VLOOKUP($B748,calc_data,I$14+1,0),0)</f>
        <v/>
      </c>
      <c r="J748" s="141">
        <f>IFERROR(VLOOKUP($B748,calc_data,J$14+1,0),0)</f>
        <v/>
      </c>
      <c r="K748" s="141">
        <f>IFERROR(VLOOKUP($B748,calc_data,K$14+1,0),0)</f>
        <v/>
      </c>
      <c r="L748" s="141">
        <f>IFERROR(VLOOKUP($B748,calc_data,L$14+1,0),0)</f>
        <v/>
      </c>
      <c r="M748" s="177">
        <f>IFERROR(VLOOKUP($B748,calc_data,M$14+1,0),0)</f>
        <v/>
      </c>
      <c r="N748" s="177">
        <f>IFERROR(VLOOKUP($B748,calc_data,N$14+1,0),0)</f>
        <v/>
      </c>
      <c r="O748" s="45" t="n"/>
      <c r="Q748" s="57">
        <f>IF(K748&gt;0,"показать","скрыть")</f>
        <v/>
      </c>
    </row>
    <row r="749" ht="15.75" customHeight="1">
      <c r="B749" s="182" t="n">
        <v>733</v>
      </c>
      <c r="C749" s="182">
        <f>IFERROR(VLOOKUP($B749,calc_data,C$14+1,0),0)</f>
        <v/>
      </c>
      <c r="D749" s="182">
        <f>IFERROR(VLOOKUP($B749,calc_data,D$14+1,0),0)</f>
        <v/>
      </c>
      <c r="E749" s="183">
        <f>IFERROR(VLOOKUP($B749,calc_data,E$14+1,0),0)</f>
        <v/>
      </c>
      <c r="F749" s="182">
        <f>IFERROR(VLOOKUP($B749,calc_data,F$14+1,0),0)</f>
        <v/>
      </c>
      <c r="G749" s="141">
        <f>IFERROR(VLOOKUP($B749,calc_data,G$14+1,0),0)</f>
        <v/>
      </c>
      <c r="H749" s="141">
        <f>IFERROR(VLOOKUP($B749,calc_data,H$14+1,0),0)</f>
        <v/>
      </c>
      <c r="I749" s="142">
        <f>IFERROR(VLOOKUP($B749,calc_data,I$14+1,0),0)</f>
        <v/>
      </c>
      <c r="J749" s="141">
        <f>IFERROR(VLOOKUP($B749,calc_data,J$14+1,0),0)</f>
        <v/>
      </c>
      <c r="K749" s="141">
        <f>IFERROR(VLOOKUP($B749,calc_data,K$14+1,0),0)</f>
        <v/>
      </c>
      <c r="L749" s="141">
        <f>IFERROR(VLOOKUP($B749,calc_data,L$14+1,0),0)</f>
        <v/>
      </c>
      <c r="M749" s="177">
        <f>IFERROR(VLOOKUP($B749,calc_data,M$14+1,0),0)</f>
        <v/>
      </c>
      <c r="N749" s="177">
        <f>IFERROR(VLOOKUP($B749,calc_data,N$14+1,0),0)</f>
        <v/>
      </c>
      <c r="O749" s="45" t="n"/>
      <c r="Q749" s="57">
        <f>IF(K749&gt;0,"показать","скрыть")</f>
        <v/>
      </c>
    </row>
    <row r="750" ht="15.75" customHeight="1">
      <c r="B750" s="182" t="n">
        <v>734</v>
      </c>
      <c r="C750" s="182">
        <f>IFERROR(VLOOKUP($B750,calc_data,C$14+1,0),0)</f>
        <v/>
      </c>
      <c r="D750" s="182">
        <f>IFERROR(VLOOKUP($B750,calc_data,D$14+1,0),0)</f>
        <v/>
      </c>
      <c r="E750" s="183">
        <f>IFERROR(VLOOKUP($B750,calc_data,E$14+1,0),0)</f>
        <v/>
      </c>
      <c r="F750" s="182">
        <f>IFERROR(VLOOKUP($B750,calc_data,F$14+1,0),0)</f>
        <v/>
      </c>
      <c r="G750" s="141">
        <f>IFERROR(VLOOKUP($B750,calc_data,G$14+1,0),0)</f>
        <v/>
      </c>
      <c r="H750" s="141">
        <f>IFERROR(VLOOKUP($B750,calc_data,H$14+1,0),0)</f>
        <v/>
      </c>
      <c r="I750" s="142">
        <f>IFERROR(VLOOKUP($B750,calc_data,I$14+1,0),0)</f>
        <v/>
      </c>
      <c r="J750" s="141">
        <f>IFERROR(VLOOKUP($B750,calc_data,J$14+1,0),0)</f>
        <v/>
      </c>
      <c r="K750" s="141">
        <f>IFERROR(VLOOKUP($B750,calc_data,K$14+1,0),0)</f>
        <v/>
      </c>
      <c r="L750" s="141">
        <f>IFERROR(VLOOKUP($B750,calc_data,L$14+1,0),0)</f>
        <v/>
      </c>
      <c r="M750" s="177">
        <f>IFERROR(VLOOKUP($B750,calc_data,M$14+1,0),0)</f>
        <v/>
      </c>
      <c r="N750" s="177">
        <f>IFERROR(VLOOKUP($B750,calc_data,N$14+1,0),0)</f>
        <v/>
      </c>
      <c r="O750" s="45" t="n"/>
      <c r="Q750" s="57">
        <f>IF(K750&gt;0,"показать","скрыть")</f>
        <v/>
      </c>
    </row>
    <row r="751" ht="15.75" customHeight="1">
      <c r="B751" s="182" t="n">
        <v>735</v>
      </c>
      <c r="C751" s="182">
        <f>IFERROR(VLOOKUP($B751,calc_data,C$14+1,0),0)</f>
        <v/>
      </c>
      <c r="D751" s="182">
        <f>IFERROR(VLOOKUP($B751,calc_data,D$14+1,0),0)</f>
        <v/>
      </c>
      <c r="E751" s="183">
        <f>IFERROR(VLOOKUP($B751,calc_data,E$14+1,0),0)</f>
        <v/>
      </c>
      <c r="F751" s="182">
        <f>IFERROR(VLOOKUP($B751,calc_data,F$14+1,0),0)</f>
        <v/>
      </c>
      <c r="G751" s="141">
        <f>IFERROR(VLOOKUP($B751,calc_data,G$14+1,0),0)</f>
        <v/>
      </c>
      <c r="H751" s="141">
        <f>IFERROR(VLOOKUP($B751,calc_data,H$14+1,0),0)</f>
        <v/>
      </c>
      <c r="I751" s="142">
        <f>IFERROR(VLOOKUP($B751,calc_data,I$14+1,0),0)</f>
        <v/>
      </c>
      <c r="J751" s="141">
        <f>IFERROR(VLOOKUP($B751,calc_data,J$14+1,0),0)</f>
        <v/>
      </c>
      <c r="K751" s="141">
        <f>IFERROR(VLOOKUP($B751,calc_data,K$14+1,0),0)</f>
        <v/>
      </c>
      <c r="L751" s="141">
        <f>IFERROR(VLOOKUP($B751,calc_data,L$14+1,0),0)</f>
        <v/>
      </c>
      <c r="M751" s="177">
        <f>IFERROR(VLOOKUP($B751,calc_data,M$14+1,0),0)</f>
        <v/>
      </c>
      <c r="N751" s="177">
        <f>IFERROR(VLOOKUP($B751,calc_data,N$14+1,0),0)</f>
        <v/>
      </c>
      <c r="O751" s="45" t="n"/>
      <c r="Q751" s="57">
        <f>IF(K751&gt;0,"показать","скрыть")</f>
        <v/>
      </c>
    </row>
    <row r="752" ht="15.75" customHeight="1">
      <c r="B752" s="182" t="n">
        <v>736</v>
      </c>
      <c r="C752" s="182">
        <f>IFERROR(VLOOKUP($B752,calc_data,C$14+1,0),0)</f>
        <v/>
      </c>
      <c r="D752" s="182">
        <f>IFERROR(VLOOKUP($B752,calc_data,D$14+1,0),0)</f>
        <v/>
      </c>
      <c r="E752" s="183">
        <f>IFERROR(VLOOKUP($B752,calc_data,E$14+1,0),0)</f>
        <v/>
      </c>
      <c r="F752" s="182">
        <f>IFERROR(VLOOKUP($B752,calc_data,F$14+1,0),0)</f>
        <v/>
      </c>
      <c r="G752" s="141">
        <f>IFERROR(VLOOKUP($B752,calc_data,G$14+1,0),0)</f>
        <v/>
      </c>
      <c r="H752" s="141">
        <f>IFERROR(VLOOKUP($B752,calc_data,H$14+1,0),0)</f>
        <v/>
      </c>
      <c r="I752" s="142">
        <f>IFERROR(VLOOKUP($B752,calc_data,I$14+1,0),0)</f>
        <v/>
      </c>
      <c r="J752" s="141">
        <f>IFERROR(VLOOKUP($B752,calc_data,J$14+1,0),0)</f>
        <v/>
      </c>
      <c r="K752" s="141">
        <f>IFERROR(VLOOKUP($B752,calc_data,K$14+1,0),0)</f>
        <v/>
      </c>
      <c r="L752" s="141">
        <f>IFERROR(VLOOKUP($B752,calc_data,L$14+1,0),0)</f>
        <v/>
      </c>
      <c r="M752" s="177">
        <f>IFERROR(VLOOKUP($B752,calc_data,M$14+1,0),0)</f>
        <v/>
      </c>
      <c r="N752" s="177">
        <f>IFERROR(VLOOKUP($B752,calc_data,N$14+1,0),0)</f>
        <v/>
      </c>
      <c r="O752" s="45" t="n"/>
      <c r="Q752" s="57">
        <f>IF(K752&gt;0,"показать","скрыть")</f>
        <v/>
      </c>
    </row>
    <row r="753" ht="15.75" customHeight="1">
      <c r="B753" s="182" t="n">
        <v>737</v>
      </c>
      <c r="C753" s="182">
        <f>IFERROR(VLOOKUP($B753,calc_data,C$14+1,0),0)</f>
        <v/>
      </c>
      <c r="D753" s="182">
        <f>IFERROR(VLOOKUP($B753,calc_data,D$14+1,0),0)</f>
        <v/>
      </c>
      <c r="E753" s="183">
        <f>IFERROR(VLOOKUP($B753,calc_data,E$14+1,0),0)</f>
        <v/>
      </c>
      <c r="F753" s="182">
        <f>IFERROR(VLOOKUP($B753,calc_data,F$14+1,0),0)</f>
        <v/>
      </c>
      <c r="G753" s="141">
        <f>IFERROR(VLOOKUP($B753,calc_data,G$14+1,0),0)</f>
        <v/>
      </c>
      <c r="H753" s="141">
        <f>IFERROR(VLOOKUP($B753,calc_data,H$14+1,0),0)</f>
        <v/>
      </c>
      <c r="I753" s="142">
        <f>IFERROR(VLOOKUP($B753,calc_data,I$14+1,0),0)</f>
        <v/>
      </c>
      <c r="J753" s="141">
        <f>IFERROR(VLOOKUP($B753,calc_data,J$14+1,0),0)</f>
        <v/>
      </c>
      <c r="K753" s="141">
        <f>IFERROR(VLOOKUP($B753,calc_data,K$14+1,0),0)</f>
        <v/>
      </c>
      <c r="L753" s="141">
        <f>IFERROR(VLOOKUP($B753,calc_data,L$14+1,0),0)</f>
        <v/>
      </c>
      <c r="M753" s="177">
        <f>IFERROR(VLOOKUP($B753,calc_data,M$14+1,0),0)</f>
        <v/>
      </c>
      <c r="N753" s="177">
        <f>IFERROR(VLOOKUP($B753,calc_data,N$14+1,0),0)</f>
        <v/>
      </c>
      <c r="O753" s="45" t="n"/>
      <c r="Q753" s="57">
        <f>IF(K753&gt;0,"показать","скрыть")</f>
        <v/>
      </c>
    </row>
    <row r="754" ht="15.75" customHeight="1">
      <c r="B754" s="182" t="n">
        <v>738</v>
      </c>
      <c r="C754" s="182">
        <f>IFERROR(VLOOKUP($B754,calc_data,C$14+1,0),0)</f>
        <v/>
      </c>
      <c r="D754" s="182">
        <f>IFERROR(VLOOKUP($B754,calc_data,D$14+1,0),0)</f>
        <v/>
      </c>
      <c r="E754" s="183">
        <f>IFERROR(VLOOKUP($B754,calc_data,E$14+1,0),0)</f>
        <v/>
      </c>
      <c r="F754" s="182">
        <f>IFERROR(VLOOKUP($B754,calc_data,F$14+1,0),0)</f>
        <v/>
      </c>
      <c r="G754" s="141">
        <f>IFERROR(VLOOKUP($B754,calc_data,G$14+1,0),0)</f>
        <v/>
      </c>
      <c r="H754" s="141">
        <f>IFERROR(VLOOKUP($B754,calc_data,H$14+1,0),0)</f>
        <v/>
      </c>
      <c r="I754" s="142">
        <f>IFERROR(VLOOKUP($B754,calc_data,I$14+1,0),0)</f>
        <v/>
      </c>
      <c r="J754" s="141">
        <f>IFERROR(VLOOKUP($B754,calc_data,J$14+1,0),0)</f>
        <v/>
      </c>
      <c r="K754" s="141">
        <f>IFERROR(VLOOKUP($B754,calc_data,K$14+1,0),0)</f>
        <v/>
      </c>
      <c r="L754" s="141">
        <f>IFERROR(VLOOKUP($B754,calc_data,L$14+1,0),0)</f>
        <v/>
      </c>
      <c r="M754" s="177">
        <f>IFERROR(VLOOKUP($B754,calc_data,M$14+1,0),0)</f>
        <v/>
      </c>
      <c r="N754" s="177">
        <f>IFERROR(VLOOKUP($B754,calc_data,N$14+1,0),0)</f>
        <v/>
      </c>
      <c r="O754" s="45" t="n"/>
      <c r="Q754" s="57">
        <f>IF(K754&gt;0,"показать","скрыть")</f>
        <v/>
      </c>
    </row>
    <row r="755" ht="15.75" customHeight="1">
      <c r="B755" s="182" t="n">
        <v>739</v>
      </c>
      <c r="C755" s="182">
        <f>IFERROR(VLOOKUP($B755,calc_data,C$14+1,0),0)</f>
        <v/>
      </c>
      <c r="D755" s="182">
        <f>IFERROR(VLOOKUP($B755,calc_data,D$14+1,0),0)</f>
        <v/>
      </c>
      <c r="E755" s="183">
        <f>IFERROR(VLOOKUP($B755,calc_data,E$14+1,0),0)</f>
        <v/>
      </c>
      <c r="F755" s="182">
        <f>IFERROR(VLOOKUP($B755,calc_data,F$14+1,0),0)</f>
        <v/>
      </c>
      <c r="G755" s="141">
        <f>IFERROR(VLOOKUP($B755,calc_data,G$14+1,0),0)</f>
        <v/>
      </c>
      <c r="H755" s="141">
        <f>IFERROR(VLOOKUP($B755,calc_data,H$14+1,0),0)</f>
        <v/>
      </c>
      <c r="I755" s="142">
        <f>IFERROR(VLOOKUP($B755,calc_data,I$14+1,0),0)</f>
        <v/>
      </c>
      <c r="J755" s="141">
        <f>IFERROR(VLOOKUP($B755,calc_data,J$14+1,0),0)</f>
        <v/>
      </c>
      <c r="K755" s="141">
        <f>IFERROR(VLOOKUP($B755,calc_data,K$14+1,0),0)</f>
        <v/>
      </c>
      <c r="L755" s="141">
        <f>IFERROR(VLOOKUP($B755,calc_data,L$14+1,0),0)</f>
        <v/>
      </c>
      <c r="M755" s="177">
        <f>IFERROR(VLOOKUP($B755,calc_data,M$14+1,0),0)</f>
        <v/>
      </c>
      <c r="N755" s="177">
        <f>IFERROR(VLOOKUP($B755,calc_data,N$14+1,0),0)</f>
        <v/>
      </c>
      <c r="O755" s="45" t="n"/>
      <c r="Q755" s="57">
        <f>IF(K755&gt;0,"показать","скрыть")</f>
        <v/>
      </c>
    </row>
    <row r="756" ht="15.75" customHeight="1">
      <c r="B756" s="182" t="n">
        <v>740</v>
      </c>
      <c r="C756" s="182">
        <f>IFERROR(VLOOKUP($B756,calc_data,C$14+1,0),0)</f>
        <v/>
      </c>
      <c r="D756" s="182">
        <f>IFERROR(VLOOKUP($B756,calc_data,D$14+1,0),0)</f>
        <v/>
      </c>
      <c r="E756" s="183">
        <f>IFERROR(VLOOKUP($B756,calc_data,E$14+1,0),0)</f>
        <v/>
      </c>
      <c r="F756" s="182">
        <f>IFERROR(VLOOKUP($B756,calc_data,F$14+1,0),0)</f>
        <v/>
      </c>
      <c r="G756" s="141">
        <f>IFERROR(VLOOKUP($B756,calc_data,G$14+1,0),0)</f>
        <v/>
      </c>
      <c r="H756" s="141">
        <f>IFERROR(VLOOKUP($B756,calc_data,H$14+1,0),0)</f>
        <v/>
      </c>
      <c r="I756" s="142">
        <f>IFERROR(VLOOKUP($B756,calc_data,I$14+1,0),0)</f>
        <v/>
      </c>
      <c r="J756" s="141">
        <f>IFERROR(VLOOKUP($B756,calc_data,J$14+1,0),0)</f>
        <v/>
      </c>
      <c r="K756" s="141">
        <f>IFERROR(VLOOKUP($B756,calc_data,K$14+1,0),0)</f>
        <v/>
      </c>
      <c r="L756" s="141">
        <f>IFERROR(VLOOKUP($B756,calc_data,L$14+1,0),0)</f>
        <v/>
      </c>
      <c r="M756" s="177">
        <f>IFERROR(VLOOKUP($B756,calc_data,M$14+1,0),0)</f>
        <v/>
      </c>
      <c r="N756" s="177">
        <f>IFERROR(VLOOKUP($B756,calc_data,N$14+1,0),0)</f>
        <v/>
      </c>
      <c r="O756" s="45" t="n"/>
      <c r="Q756" s="57">
        <f>IF(K756&gt;0,"показать","скрыть")</f>
        <v/>
      </c>
    </row>
    <row r="757" ht="15.75" customHeight="1">
      <c r="B757" s="182" t="n">
        <v>741</v>
      </c>
      <c r="C757" s="182">
        <f>IFERROR(VLOOKUP($B757,calc_data,C$14+1,0),0)</f>
        <v/>
      </c>
      <c r="D757" s="182">
        <f>IFERROR(VLOOKUP($B757,calc_data,D$14+1,0),0)</f>
        <v/>
      </c>
      <c r="E757" s="183">
        <f>IFERROR(VLOOKUP($B757,calc_data,E$14+1,0),0)</f>
        <v/>
      </c>
      <c r="F757" s="182">
        <f>IFERROR(VLOOKUP($B757,calc_data,F$14+1,0),0)</f>
        <v/>
      </c>
      <c r="G757" s="141">
        <f>IFERROR(VLOOKUP($B757,calc_data,G$14+1,0),0)</f>
        <v/>
      </c>
      <c r="H757" s="141">
        <f>IFERROR(VLOOKUP($B757,calc_data,H$14+1,0),0)</f>
        <v/>
      </c>
      <c r="I757" s="142">
        <f>IFERROR(VLOOKUP($B757,calc_data,I$14+1,0),0)</f>
        <v/>
      </c>
      <c r="J757" s="141">
        <f>IFERROR(VLOOKUP($B757,calc_data,J$14+1,0),0)</f>
        <v/>
      </c>
      <c r="K757" s="141">
        <f>IFERROR(VLOOKUP($B757,calc_data,K$14+1,0),0)</f>
        <v/>
      </c>
      <c r="L757" s="141">
        <f>IFERROR(VLOOKUP($B757,calc_data,L$14+1,0),0)</f>
        <v/>
      </c>
      <c r="M757" s="177">
        <f>IFERROR(VLOOKUP($B757,calc_data,M$14+1,0),0)</f>
        <v/>
      </c>
      <c r="N757" s="177">
        <f>IFERROR(VLOOKUP($B757,calc_data,N$14+1,0),0)</f>
        <v/>
      </c>
      <c r="O757" s="45" t="n"/>
      <c r="Q757" s="57">
        <f>IF(K757&gt;0,"показать","скрыть")</f>
        <v/>
      </c>
    </row>
    <row r="758" ht="15.75" customHeight="1">
      <c r="B758" s="182" t="n">
        <v>742</v>
      </c>
      <c r="C758" s="182">
        <f>IFERROR(VLOOKUP($B758,calc_data,C$14+1,0),0)</f>
        <v/>
      </c>
      <c r="D758" s="182">
        <f>IFERROR(VLOOKUP($B758,calc_data,D$14+1,0),0)</f>
        <v/>
      </c>
      <c r="E758" s="183">
        <f>IFERROR(VLOOKUP($B758,calc_data,E$14+1,0),0)</f>
        <v/>
      </c>
      <c r="F758" s="182">
        <f>IFERROR(VLOOKUP($B758,calc_data,F$14+1,0),0)</f>
        <v/>
      </c>
      <c r="G758" s="141">
        <f>IFERROR(VLOOKUP($B758,calc_data,G$14+1,0),0)</f>
        <v/>
      </c>
      <c r="H758" s="141">
        <f>IFERROR(VLOOKUP($B758,calc_data,H$14+1,0),0)</f>
        <v/>
      </c>
      <c r="I758" s="142">
        <f>IFERROR(VLOOKUP($B758,calc_data,I$14+1,0),0)</f>
        <v/>
      </c>
      <c r="J758" s="141">
        <f>IFERROR(VLOOKUP($B758,calc_data,J$14+1,0),0)</f>
        <v/>
      </c>
      <c r="K758" s="141">
        <f>IFERROR(VLOOKUP($B758,calc_data,K$14+1,0),0)</f>
        <v/>
      </c>
      <c r="L758" s="141">
        <f>IFERROR(VLOOKUP($B758,calc_data,L$14+1,0),0)</f>
        <v/>
      </c>
      <c r="M758" s="177">
        <f>IFERROR(VLOOKUP($B758,calc_data,M$14+1,0),0)</f>
        <v/>
      </c>
      <c r="N758" s="177">
        <f>IFERROR(VLOOKUP($B758,calc_data,N$14+1,0),0)</f>
        <v/>
      </c>
      <c r="O758" s="45" t="n"/>
      <c r="Q758" s="57">
        <f>IF(K758&gt;0,"показать","скрыть")</f>
        <v/>
      </c>
    </row>
    <row r="759" ht="15.75" customHeight="1">
      <c r="B759" s="182" t="n">
        <v>743</v>
      </c>
      <c r="C759" s="182">
        <f>IFERROR(VLOOKUP($B759,calc_data,C$14+1,0),0)</f>
        <v/>
      </c>
      <c r="D759" s="182">
        <f>IFERROR(VLOOKUP($B759,calc_data,D$14+1,0),0)</f>
        <v/>
      </c>
      <c r="E759" s="183">
        <f>IFERROR(VLOOKUP($B759,calc_data,E$14+1,0),0)</f>
        <v/>
      </c>
      <c r="F759" s="182">
        <f>IFERROR(VLOOKUP($B759,calc_data,F$14+1,0),0)</f>
        <v/>
      </c>
      <c r="G759" s="141">
        <f>IFERROR(VLOOKUP($B759,calc_data,G$14+1,0),0)</f>
        <v/>
      </c>
      <c r="H759" s="141">
        <f>IFERROR(VLOOKUP($B759,calc_data,H$14+1,0),0)</f>
        <v/>
      </c>
      <c r="I759" s="142">
        <f>IFERROR(VLOOKUP($B759,calc_data,I$14+1,0),0)</f>
        <v/>
      </c>
      <c r="J759" s="141">
        <f>IFERROR(VLOOKUP($B759,calc_data,J$14+1,0),0)</f>
        <v/>
      </c>
      <c r="K759" s="141">
        <f>IFERROR(VLOOKUP($B759,calc_data,K$14+1,0),0)</f>
        <v/>
      </c>
      <c r="L759" s="141">
        <f>IFERROR(VLOOKUP($B759,calc_data,L$14+1,0),0)</f>
        <v/>
      </c>
      <c r="M759" s="177">
        <f>IFERROR(VLOOKUP($B759,calc_data,M$14+1,0),0)</f>
        <v/>
      </c>
      <c r="N759" s="177">
        <f>IFERROR(VLOOKUP($B759,calc_data,N$14+1,0),0)</f>
        <v/>
      </c>
      <c r="O759" s="45" t="n"/>
      <c r="Q759" s="57">
        <f>IF(K759&gt;0,"показать","скрыть")</f>
        <v/>
      </c>
    </row>
    <row r="760" ht="15.75" customHeight="1">
      <c r="B760" s="182" t="n">
        <v>744</v>
      </c>
      <c r="C760" s="182">
        <f>IFERROR(VLOOKUP($B760,calc_data,C$14+1,0),0)</f>
        <v/>
      </c>
      <c r="D760" s="182">
        <f>IFERROR(VLOOKUP($B760,calc_data,D$14+1,0),0)</f>
        <v/>
      </c>
      <c r="E760" s="183">
        <f>IFERROR(VLOOKUP($B760,calc_data,E$14+1,0),0)</f>
        <v/>
      </c>
      <c r="F760" s="182">
        <f>IFERROR(VLOOKUP($B760,calc_data,F$14+1,0),0)</f>
        <v/>
      </c>
      <c r="G760" s="141">
        <f>IFERROR(VLOOKUP($B760,calc_data,G$14+1,0),0)</f>
        <v/>
      </c>
      <c r="H760" s="141">
        <f>IFERROR(VLOOKUP($B760,calc_data,H$14+1,0),0)</f>
        <v/>
      </c>
      <c r="I760" s="142">
        <f>IFERROR(VLOOKUP($B760,calc_data,I$14+1,0),0)</f>
        <v/>
      </c>
      <c r="J760" s="141">
        <f>IFERROR(VLOOKUP($B760,calc_data,J$14+1,0),0)</f>
        <v/>
      </c>
      <c r="K760" s="141">
        <f>IFERROR(VLOOKUP($B760,calc_data,K$14+1,0),0)</f>
        <v/>
      </c>
      <c r="L760" s="141">
        <f>IFERROR(VLOOKUP($B760,calc_data,L$14+1,0),0)</f>
        <v/>
      </c>
      <c r="M760" s="177">
        <f>IFERROR(VLOOKUP($B760,calc_data,M$14+1,0),0)</f>
        <v/>
      </c>
      <c r="N760" s="177">
        <f>IFERROR(VLOOKUP($B760,calc_data,N$14+1,0),0)</f>
        <v/>
      </c>
      <c r="O760" s="45" t="n"/>
      <c r="Q760" s="57">
        <f>IF(K760&gt;0,"показать","скрыть")</f>
        <v/>
      </c>
    </row>
    <row r="761" ht="15.75" customHeight="1">
      <c r="B761" s="182" t="n">
        <v>745</v>
      </c>
      <c r="C761" s="182">
        <f>IFERROR(VLOOKUP($B761,calc_data,C$14+1,0),0)</f>
        <v/>
      </c>
      <c r="D761" s="182">
        <f>IFERROR(VLOOKUP($B761,calc_data,D$14+1,0),0)</f>
        <v/>
      </c>
      <c r="E761" s="183">
        <f>IFERROR(VLOOKUP($B761,calc_data,E$14+1,0),0)</f>
        <v/>
      </c>
      <c r="F761" s="182">
        <f>IFERROR(VLOOKUP($B761,calc_data,F$14+1,0),0)</f>
        <v/>
      </c>
      <c r="G761" s="141">
        <f>IFERROR(VLOOKUP($B761,calc_data,G$14+1,0),0)</f>
        <v/>
      </c>
      <c r="H761" s="141">
        <f>IFERROR(VLOOKUP($B761,calc_data,H$14+1,0),0)</f>
        <v/>
      </c>
      <c r="I761" s="142">
        <f>IFERROR(VLOOKUP($B761,calc_data,I$14+1,0),0)</f>
        <v/>
      </c>
      <c r="J761" s="141">
        <f>IFERROR(VLOOKUP($B761,calc_data,J$14+1,0),0)</f>
        <v/>
      </c>
      <c r="K761" s="141">
        <f>IFERROR(VLOOKUP($B761,calc_data,K$14+1,0),0)</f>
        <v/>
      </c>
      <c r="L761" s="141">
        <f>IFERROR(VLOOKUP($B761,calc_data,L$14+1,0),0)</f>
        <v/>
      </c>
      <c r="M761" s="177">
        <f>IFERROR(VLOOKUP($B761,calc_data,M$14+1,0),0)</f>
        <v/>
      </c>
      <c r="N761" s="177">
        <f>IFERROR(VLOOKUP($B761,calc_data,N$14+1,0),0)</f>
        <v/>
      </c>
      <c r="O761" s="45" t="n"/>
      <c r="Q761" s="57">
        <f>IF(K761&gt;0,"показать","скрыть")</f>
        <v/>
      </c>
    </row>
    <row r="762" ht="15.75" customHeight="1">
      <c r="B762" s="182" t="n">
        <v>746</v>
      </c>
      <c r="C762" s="182">
        <f>IFERROR(VLOOKUP($B762,calc_data,C$14+1,0),0)</f>
        <v/>
      </c>
      <c r="D762" s="182">
        <f>IFERROR(VLOOKUP($B762,calc_data,D$14+1,0),0)</f>
        <v/>
      </c>
      <c r="E762" s="183">
        <f>IFERROR(VLOOKUP($B762,calc_data,E$14+1,0),0)</f>
        <v/>
      </c>
      <c r="F762" s="182">
        <f>IFERROR(VLOOKUP($B762,calc_data,F$14+1,0),0)</f>
        <v/>
      </c>
      <c r="G762" s="141">
        <f>IFERROR(VLOOKUP($B762,calc_data,G$14+1,0),0)</f>
        <v/>
      </c>
      <c r="H762" s="141">
        <f>IFERROR(VLOOKUP($B762,calc_data,H$14+1,0),0)</f>
        <v/>
      </c>
      <c r="I762" s="142">
        <f>IFERROR(VLOOKUP($B762,calc_data,I$14+1,0),0)</f>
        <v/>
      </c>
      <c r="J762" s="141">
        <f>IFERROR(VLOOKUP($B762,calc_data,J$14+1,0),0)</f>
        <v/>
      </c>
      <c r="K762" s="141">
        <f>IFERROR(VLOOKUP($B762,calc_data,K$14+1,0),0)</f>
        <v/>
      </c>
      <c r="L762" s="141">
        <f>IFERROR(VLOOKUP($B762,calc_data,L$14+1,0),0)</f>
        <v/>
      </c>
      <c r="M762" s="177">
        <f>IFERROR(VLOOKUP($B762,calc_data,M$14+1,0),0)</f>
        <v/>
      </c>
      <c r="N762" s="177">
        <f>IFERROR(VLOOKUP($B762,calc_data,N$14+1,0),0)</f>
        <v/>
      </c>
      <c r="O762" s="45" t="n"/>
      <c r="Q762" s="57">
        <f>IF(K762&gt;0,"показать","скрыть")</f>
        <v/>
      </c>
    </row>
    <row r="763" ht="15.75" customHeight="1">
      <c r="B763" s="182" t="n">
        <v>747</v>
      </c>
      <c r="C763" s="182">
        <f>IFERROR(VLOOKUP($B763,calc_data,C$14+1,0),0)</f>
        <v/>
      </c>
      <c r="D763" s="182">
        <f>IFERROR(VLOOKUP($B763,calc_data,D$14+1,0),0)</f>
        <v/>
      </c>
      <c r="E763" s="183">
        <f>IFERROR(VLOOKUP($B763,calc_data,E$14+1,0),0)</f>
        <v/>
      </c>
      <c r="F763" s="182">
        <f>IFERROR(VLOOKUP($B763,calc_data,F$14+1,0),0)</f>
        <v/>
      </c>
      <c r="G763" s="141">
        <f>IFERROR(VLOOKUP($B763,calc_data,G$14+1,0),0)</f>
        <v/>
      </c>
      <c r="H763" s="141">
        <f>IFERROR(VLOOKUP($B763,calc_data,H$14+1,0),0)</f>
        <v/>
      </c>
      <c r="I763" s="142">
        <f>IFERROR(VLOOKUP($B763,calc_data,I$14+1,0),0)</f>
        <v/>
      </c>
      <c r="J763" s="141">
        <f>IFERROR(VLOOKUP($B763,calc_data,J$14+1,0),0)</f>
        <v/>
      </c>
      <c r="K763" s="141">
        <f>IFERROR(VLOOKUP($B763,calc_data,K$14+1,0),0)</f>
        <v/>
      </c>
      <c r="L763" s="141">
        <f>IFERROR(VLOOKUP($B763,calc_data,L$14+1,0),0)</f>
        <v/>
      </c>
      <c r="M763" s="177">
        <f>IFERROR(VLOOKUP($B763,calc_data,M$14+1,0),0)</f>
        <v/>
      </c>
      <c r="N763" s="177">
        <f>IFERROR(VLOOKUP($B763,calc_data,N$14+1,0),0)</f>
        <v/>
      </c>
      <c r="O763" s="45" t="n"/>
      <c r="Q763" s="57">
        <f>IF(K763&gt;0,"показать","скрыть")</f>
        <v/>
      </c>
    </row>
    <row r="764" ht="15.75" customHeight="1">
      <c r="B764" s="182" t="n">
        <v>748</v>
      </c>
      <c r="C764" s="182">
        <f>IFERROR(VLOOKUP($B764,calc_data,C$14+1,0),0)</f>
        <v/>
      </c>
      <c r="D764" s="182">
        <f>IFERROR(VLOOKUP($B764,calc_data,D$14+1,0),0)</f>
        <v/>
      </c>
      <c r="E764" s="183">
        <f>IFERROR(VLOOKUP($B764,calc_data,E$14+1,0),0)</f>
        <v/>
      </c>
      <c r="F764" s="182">
        <f>IFERROR(VLOOKUP($B764,calc_data,F$14+1,0),0)</f>
        <v/>
      </c>
      <c r="G764" s="141">
        <f>IFERROR(VLOOKUP($B764,calc_data,G$14+1,0),0)</f>
        <v/>
      </c>
      <c r="H764" s="141">
        <f>IFERROR(VLOOKUP($B764,calc_data,H$14+1,0),0)</f>
        <v/>
      </c>
      <c r="I764" s="142">
        <f>IFERROR(VLOOKUP($B764,calc_data,I$14+1,0),0)</f>
        <v/>
      </c>
      <c r="J764" s="141">
        <f>IFERROR(VLOOKUP($B764,calc_data,J$14+1,0),0)</f>
        <v/>
      </c>
      <c r="K764" s="141">
        <f>IFERROR(VLOOKUP($B764,calc_data,K$14+1,0),0)</f>
        <v/>
      </c>
      <c r="L764" s="141">
        <f>IFERROR(VLOOKUP($B764,calc_data,L$14+1,0),0)</f>
        <v/>
      </c>
      <c r="M764" s="177">
        <f>IFERROR(VLOOKUP($B764,calc_data,M$14+1,0),0)</f>
        <v/>
      </c>
      <c r="N764" s="177">
        <f>IFERROR(VLOOKUP($B764,calc_data,N$14+1,0),0)</f>
        <v/>
      </c>
      <c r="O764" s="45" t="n"/>
      <c r="Q764" s="57">
        <f>IF(K764&gt;0,"показать","скрыть")</f>
        <v/>
      </c>
    </row>
    <row r="765" ht="15.75" customHeight="1">
      <c r="B765" s="182" t="n">
        <v>749</v>
      </c>
      <c r="C765" s="182">
        <f>IFERROR(VLOOKUP($B765,calc_data,C$14+1,0),0)</f>
        <v/>
      </c>
      <c r="D765" s="182">
        <f>IFERROR(VLOOKUP($B765,calc_data,D$14+1,0),0)</f>
        <v/>
      </c>
      <c r="E765" s="183">
        <f>IFERROR(VLOOKUP($B765,calc_data,E$14+1,0),0)</f>
        <v/>
      </c>
      <c r="F765" s="182">
        <f>IFERROR(VLOOKUP($B765,calc_data,F$14+1,0),0)</f>
        <v/>
      </c>
      <c r="G765" s="141">
        <f>IFERROR(VLOOKUP($B765,calc_data,G$14+1,0),0)</f>
        <v/>
      </c>
      <c r="H765" s="141">
        <f>IFERROR(VLOOKUP($B765,calc_data,H$14+1,0),0)</f>
        <v/>
      </c>
      <c r="I765" s="142">
        <f>IFERROR(VLOOKUP($B765,calc_data,I$14+1,0),0)</f>
        <v/>
      </c>
      <c r="J765" s="141">
        <f>IFERROR(VLOOKUP($B765,calc_data,J$14+1,0),0)</f>
        <v/>
      </c>
      <c r="K765" s="141">
        <f>IFERROR(VLOOKUP($B765,calc_data,K$14+1,0),0)</f>
        <v/>
      </c>
      <c r="L765" s="141">
        <f>IFERROR(VLOOKUP($B765,calc_data,L$14+1,0),0)</f>
        <v/>
      </c>
      <c r="M765" s="177">
        <f>IFERROR(VLOOKUP($B765,calc_data,M$14+1,0),0)</f>
        <v/>
      </c>
      <c r="N765" s="177">
        <f>IFERROR(VLOOKUP($B765,calc_data,N$14+1,0),0)</f>
        <v/>
      </c>
      <c r="O765" s="45" t="n"/>
      <c r="Q765" s="57">
        <f>IF(K765&gt;0,"показать","скрыть")</f>
        <v/>
      </c>
    </row>
    <row r="766" ht="15.75" customHeight="1">
      <c r="B766" s="182" t="n">
        <v>750</v>
      </c>
      <c r="C766" s="182">
        <f>IFERROR(VLOOKUP($B766,calc_data,C$14+1,0),0)</f>
        <v/>
      </c>
      <c r="D766" s="182">
        <f>IFERROR(VLOOKUP($B766,calc_data,D$14+1,0),0)</f>
        <v/>
      </c>
      <c r="E766" s="183">
        <f>IFERROR(VLOOKUP($B766,calc_data,E$14+1,0),0)</f>
        <v/>
      </c>
      <c r="F766" s="182">
        <f>IFERROR(VLOOKUP($B766,calc_data,F$14+1,0),0)</f>
        <v/>
      </c>
      <c r="G766" s="141">
        <f>IFERROR(VLOOKUP($B766,calc_data,G$14+1,0),0)</f>
        <v/>
      </c>
      <c r="H766" s="141">
        <f>IFERROR(VLOOKUP($B766,calc_data,H$14+1,0),0)</f>
        <v/>
      </c>
      <c r="I766" s="142">
        <f>IFERROR(VLOOKUP($B766,calc_data,I$14+1,0),0)</f>
        <v/>
      </c>
      <c r="J766" s="141">
        <f>IFERROR(VLOOKUP($B766,calc_data,J$14+1,0),0)</f>
        <v/>
      </c>
      <c r="K766" s="141">
        <f>IFERROR(VLOOKUP($B766,calc_data,K$14+1,0),0)</f>
        <v/>
      </c>
      <c r="L766" s="141">
        <f>IFERROR(VLOOKUP($B766,calc_data,L$14+1,0),0)</f>
        <v/>
      </c>
      <c r="M766" s="177">
        <f>IFERROR(VLOOKUP($B766,calc_data,M$14+1,0),0)</f>
        <v/>
      </c>
      <c r="N766" s="177">
        <f>IFERROR(VLOOKUP($B766,calc_data,N$14+1,0),0)</f>
        <v/>
      </c>
      <c r="O766" s="45" t="n"/>
      <c r="Q766" s="57">
        <f>IF(K766&gt;0,"показать","скрыть")</f>
        <v/>
      </c>
    </row>
    <row r="767" ht="15.75" customHeight="1">
      <c r="B767" s="182" t="n">
        <v>751</v>
      </c>
      <c r="C767" s="182">
        <f>IFERROR(VLOOKUP($B767,calc_data,C$14+1,0),0)</f>
        <v/>
      </c>
      <c r="D767" s="182">
        <f>IFERROR(VLOOKUP($B767,calc_data,D$14+1,0),0)</f>
        <v/>
      </c>
      <c r="E767" s="183">
        <f>IFERROR(VLOOKUP($B767,calc_data,E$14+1,0),0)</f>
        <v/>
      </c>
      <c r="F767" s="182">
        <f>IFERROR(VLOOKUP($B767,calc_data,F$14+1,0),0)</f>
        <v/>
      </c>
      <c r="G767" s="141">
        <f>IFERROR(VLOOKUP($B767,calc_data,G$14+1,0),0)</f>
        <v/>
      </c>
      <c r="H767" s="141">
        <f>IFERROR(VLOOKUP($B767,calc_data,H$14+1,0),0)</f>
        <v/>
      </c>
      <c r="I767" s="142">
        <f>IFERROR(VLOOKUP($B767,calc_data,I$14+1,0),0)</f>
        <v/>
      </c>
      <c r="J767" s="141">
        <f>IFERROR(VLOOKUP($B767,calc_data,J$14+1,0),0)</f>
        <v/>
      </c>
      <c r="K767" s="141">
        <f>IFERROR(VLOOKUP($B767,calc_data,K$14+1,0),0)</f>
        <v/>
      </c>
      <c r="L767" s="141">
        <f>IFERROR(VLOOKUP($B767,calc_data,L$14+1,0),0)</f>
        <v/>
      </c>
      <c r="M767" s="177">
        <f>IFERROR(VLOOKUP($B767,calc_data,M$14+1,0),0)</f>
        <v/>
      </c>
      <c r="N767" s="177">
        <f>IFERROR(VLOOKUP($B767,calc_data,N$14+1,0),0)</f>
        <v/>
      </c>
      <c r="O767" s="45" t="n"/>
      <c r="Q767" s="57">
        <f>IF(K767&gt;0,"показать","скрыть")</f>
        <v/>
      </c>
    </row>
    <row r="768" ht="15.75" customHeight="1">
      <c r="B768" s="182" t="n">
        <v>752</v>
      </c>
      <c r="C768" s="182">
        <f>IFERROR(VLOOKUP($B768,calc_data,C$14+1,0),0)</f>
        <v/>
      </c>
      <c r="D768" s="182">
        <f>IFERROR(VLOOKUP($B768,calc_data,D$14+1,0),0)</f>
        <v/>
      </c>
      <c r="E768" s="183">
        <f>IFERROR(VLOOKUP($B768,calc_data,E$14+1,0),0)</f>
        <v/>
      </c>
      <c r="F768" s="182">
        <f>IFERROR(VLOOKUP($B768,calc_data,F$14+1,0),0)</f>
        <v/>
      </c>
      <c r="G768" s="141">
        <f>IFERROR(VLOOKUP($B768,calc_data,G$14+1,0),0)</f>
        <v/>
      </c>
      <c r="H768" s="141">
        <f>IFERROR(VLOOKUP($B768,calc_data,H$14+1,0),0)</f>
        <v/>
      </c>
      <c r="I768" s="142">
        <f>IFERROR(VLOOKUP($B768,calc_data,I$14+1,0),0)</f>
        <v/>
      </c>
      <c r="J768" s="141">
        <f>IFERROR(VLOOKUP($B768,calc_data,J$14+1,0),0)</f>
        <v/>
      </c>
      <c r="K768" s="141">
        <f>IFERROR(VLOOKUP($B768,calc_data,K$14+1,0),0)</f>
        <v/>
      </c>
      <c r="L768" s="141">
        <f>IFERROR(VLOOKUP($B768,calc_data,L$14+1,0),0)</f>
        <v/>
      </c>
      <c r="M768" s="177">
        <f>IFERROR(VLOOKUP($B768,calc_data,M$14+1,0),0)</f>
        <v/>
      </c>
      <c r="N768" s="177">
        <f>IFERROR(VLOOKUP($B768,calc_data,N$14+1,0),0)</f>
        <v/>
      </c>
      <c r="O768" s="45" t="n"/>
      <c r="Q768" s="57">
        <f>IF(K768&gt;0,"показать","скрыть")</f>
        <v/>
      </c>
    </row>
    <row r="769" ht="15.75" customHeight="1">
      <c r="B769" s="182" t="n">
        <v>753</v>
      </c>
      <c r="C769" s="182">
        <f>IFERROR(VLOOKUP($B769,calc_data,C$14+1,0),0)</f>
        <v/>
      </c>
      <c r="D769" s="182">
        <f>IFERROR(VLOOKUP($B769,calc_data,D$14+1,0),0)</f>
        <v/>
      </c>
      <c r="E769" s="183">
        <f>IFERROR(VLOOKUP($B769,calc_data,E$14+1,0),0)</f>
        <v/>
      </c>
      <c r="F769" s="182">
        <f>IFERROR(VLOOKUP($B769,calc_data,F$14+1,0),0)</f>
        <v/>
      </c>
      <c r="G769" s="141">
        <f>IFERROR(VLOOKUP($B769,calc_data,G$14+1,0),0)</f>
        <v/>
      </c>
      <c r="H769" s="141">
        <f>IFERROR(VLOOKUP($B769,calc_data,H$14+1,0),0)</f>
        <v/>
      </c>
      <c r="I769" s="142">
        <f>IFERROR(VLOOKUP($B769,calc_data,I$14+1,0),0)</f>
        <v/>
      </c>
      <c r="J769" s="141">
        <f>IFERROR(VLOOKUP($B769,calc_data,J$14+1,0),0)</f>
        <v/>
      </c>
      <c r="K769" s="141">
        <f>IFERROR(VLOOKUP($B769,calc_data,K$14+1,0),0)</f>
        <v/>
      </c>
      <c r="L769" s="141">
        <f>IFERROR(VLOOKUP($B769,calc_data,L$14+1,0),0)</f>
        <v/>
      </c>
      <c r="M769" s="177">
        <f>IFERROR(VLOOKUP($B769,calc_data,M$14+1,0),0)</f>
        <v/>
      </c>
      <c r="N769" s="177">
        <f>IFERROR(VLOOKUP($B769,calc_data,N$14+1,0),0)</f>
        <v/>
      </c>
      <c r="O769" s="45" t="n"/>
      <c r="Q769" s="57">
        <f>IF(K769&gt;0,"показать","скрыть")</f>
        <v/>
      </c>
    </row>
    <row r="770" ht="15.75" customHeight="1">
      <c r="B770" s="182" t="n">
        <v>754</v>
      </c>
      <c r="C770" s="182">
        <f>IFERROR(VLOOKUP($B770,calc_data,C$14+1,0),0)</f>
        <v/>
      </c>
      <c r="D770" s="182">
        <f>IFERROR(VLOOKUP($B770,calc_data,D$14+1,0),0)</f>
        <v/>
      </c>
      <c r="E770" s="183">
        <f>IFERROR(VLOOKUP($B770,calc_data,E$14+1,0),0)</f>
        <v/>
      </c>
      <c r="F770" s="182">
        <f>IFERROR(VLOOKUP($B770,calc_data,F$14+1,0),0)</f>
        <v/>
      </c>
      <c r="G770" s="141">
        <f>IFERROR(VLOOKUP($B770,calc_data,G$14+1,0),0)</f>
        <v/>
      </c>
      <c r="H770" s="141">
        <f>IFERROR(VLOOKUP($B770,calc_data,H$14+1,0),0)</f>
        <v/>
      </c>
      <c r="I770" s="142">
        <f>IFERROR(VLOOKUP($B770,calc_data,I$14+1,0),0)</f>
        <v/>
      </c>
      <c r="J770" s="141">
        <f>IFERROR(VLOOKUP($B770,calc_data,J$14+1,0),0)</f>
        <v/>
      </c>
      <c r="K770" s="141">
        <f>IFERROR(VLOOKUP($B770,calc_data,K$14+1,0),0)</f>
        <v/>
      </c>
      <c r="L770" s="141">
        <f>IFERROR(VLOOKUP($B770,calc_data,L$14+1,0),0)</f>
        <v/>
      </c>
      <c r="M770" s="177">
        <f>IFERROR(VLOOKUP($B770,calc_data,M$14+1,0),0)</f>
        <v/>
      </c>
      <c r="N770" s="177">
        <f>IFERROR(VLOOKUP($B770,calc_data,N$14+1,0),0)</f>
        <v/>
      </c>
      <c r="O770" s="45" t="n"/>
      <c r="Q770" s="57">
        <f>IF(K770&gt;0,"показать","скрыть")</f>
        <v/>
      </c>
    </row>
    <row r="771" ht="15.75" customHeight="1">
      <c r="B771" s="182" t="n">
        <v>755</v>
      </c>
      <c r="C771" s="182">
        <f>IFERROR(VLOOKUP($B771,calc_data,C$14+1,0),0)</f>
        <v/>
      </c>
      <c r="D771" s="182">
        <f>IFERROR(VLOOKUP($B771,calc_data,D$14+1,0),0)</f>
        <v/>
      </c>
      <c r="E771" s="183">
        <f>IFERROR(VLOOKUP($B771,calc_data,E$14+1,0),0)</f>
        <v/>
      </c>
      <c r="F771" s="182">
        <f>IFERROR(VLOOKUP($B771,calc_data,F$14+1,0),0)</f>
        <v/>
      </c>
      <c r="G771" s="141">
        <f>IFERROR(VLOOKUP($B771,calc_data,G$14+1,0),0)</f>
        <v/>
      </c>
      <c r="H771" s="141">
        <f>IFERROR(VLOOKUP($B771,calc_data,H$14+1,0),0)</f>
        <v/>
      </c>
      <c r="I771" s="142">
        <f>IFERROR(VLOOKUP($B771,calc_data,I$14+1,0),0)</f>
        <v/>
      </c>
      <c r="J771" s="141">
        <f>IFERROR(VLOOKUP($B771,calc_data,J$14+1,0),0)</f>
        <v/>
      </c>
      <c r="K771" s="141">
        <f>IFERROR(VLOOKUP($B771,calc_data,K$14+1,0),0)</f>
        <v/>
      </c>
      <c r="L771" s="141">
        <f>IFERROR(VLOOKUP($B771,calc_data,L$14+1,0),0)</f>
        <v/>
      </c>
      <c r="M771" s="177">
        <f>IFERROR(VLOOKUP($B771,calc_data,M$14+1,0),0)</f>
        <v/>
      </c>
      <c r="N771" s="177">
        <f>IFERROR(VLOOKUP($B771,calc_data,N$14+1,0),0)</f>
        <v/>
      </c>
      <c r="O771" s="45" t="n"/>
      <c r="Q771" s="57">
        <f>IF(K771&gt;0,"показать","скрыть")</f>
        <v/>
      </c>
    </row>
    <row r="772" ht="15.75" customHeight="1">
      <c r="B772" s="182" t="n">
        <v>756</v>
      </c>
      <c r="C772" s="182">
        <f>IFERROR(VLOOKUP($B772,calc_data,C$14+1,0),0)</f>
        <v/>
      </c>
      <c r="D772" s="182">
        <f>IFERROR(VLOOKUP($B772,calc_data,D$14+1,0),0)</f>
        <v/>
      </c>
      <c r="E772" s="183">
        <f>IFERROR(VLOOKUP($B772,calc_data,E$14+1,0),0)</f>
        <v/>
      </c>
      <c r="F772" s="182">
        <f>IFERROR(VLOOKUP($B772,calc_data,F$14+1,0),0)</f>
        <v/>
      </c>
      <c r="G772" s="141">
        <f>IFERROR(VLOOKUP($B772,calc_data,G$14+1,0),0)</f>
        <v/>
      </c>
      <c r="H772" s="141">
        <f>IFERROR(VLOOKUP($B772,calc_data,H$14+1,0),0)</f>
        <v/>
      </c>
      <c r="I772" s="142">
        <f>IFERROR(VLOOKUP($B772,calc_data,I$14+1,0),0)</f>
        <v/>
      </c>
      <c r="J772" s="141">
        <f>IFERROR(VLOOKUP($B772,calc_data,J$14+1,0),0)</f>
        <v/>
      </c>
      <c r="K772" s="141">
        <f>IFERROR(VLOOKUP($B772,calc_data,K$14+1,0),0)</f>
        <v/>
      </c>
      <c r="L772" s="141">
        <f>IFERROR(VLOOKUP($B772,calc_data,L$14+1,0),0)</f>
        <v/>
      </c>
      <c r="M772" s="177">
        <f>IFERROR(VLOOKUP($B772,calc_data,M$14+1,0),0)</f>
        <v/>
      </c>
      <c r="N772" s="177">
        <f>IFERROR(VLOOKUP($B772,calc_data,N$14+1,0),0)</f>
        <v/>
      </c>
      <c r="O772" s="45" t="n"/>
      <c r="Q772" s="57">
        <f>IF(K772&gt;0,"показать","скрыть")</f>
        <v/>
      </c>
    </row>
    <row r="773" ht="15.75" customHeight="1">
      <c r="B773" s="182" t="n">
        <v>757</v>
      </c>
      <c r="C773" s="182">
        <f>IFERROR(VLOOKUP($B773,calc_data,C$14+1,0),0)</f>
        <v/>
      </c>
      <c r="D773" s="182">
        <f>IFERROR(VLOOKUP($B773,calc_data,D$14+1,0),0)</f>
        <v/>
      </c>
      <c r="E773" s="183">
        <f>IFERROR(VLOOKUP($B773,calc_data,E$14+1,0),0)</f>
        <v/>
      </c>
      <c r="F773" s="182">
        <f>IFERROR(VLOOKUP($B773,calc_data,F$14+1,0),0)</f>
        <v/>
      </c>
      <c r="G773" s="141">
        <f>IFERROR(VLOOKUP($B773,calc_data,G$14+1,0),0)</f>
        <v/>
      </c>
      <c r="H773" s="141">
        <f>IFERROR(VLOOKUP($B773,calc_data,H$14+1,0),0)</f>
        <v/>
      </c>
      <c r="I773" s="142">
        <f>IFERROR(VLOOKUP($B773,calc_data,I$14+1,0),0)</f>
        <v/>
      </c>
      <c r="J773" s="141">
        <f>IFERROR(VLOOKUP($B773,calc_data,J$14+1,0),0)</f>
        <v/>
      </c>
      <c r="K773" s="141">
        <f>IFERROR(VLOOKUP($B773,calc_data,K$14+1,0),0)</f>
        <v/>
      </c>
      <c r="L773" s="141">
        <f>IFERROR(VLOOKUP($B773,calc_data,L$14+1,0),0)</f>
        <v/>
      </c>
      <c r="M773" s="177">
        <f>IFERROR(VLOOKUP($B773,calc_data,M$14+1,0),0)</f>
        <v/>
      </c>
      <c r="N773" s="177">
        <f>IFERROR(VLOOKUP($B773,calc_data,N$14+1,0),0)</f>
        <v/>
      </c>
      <c r="O773" s="45" t="n"/>
      <c r="Q773" s="57">
        <f>IF(K773&gt;0,"показать","скрыть")</f>
        <v/>
      </c>
    </row>
    <row r="774" ht="15.75" customHeight="1">
      <c r="B774" s="182" t="n">
        <v>758</v>
      </c>
      <c r="C774" s="182">
        <f>IFERROR(VLOOKUP($B774,calc_data,C$14+1,0),0)</f>
        <v/>
      </c>
      <c r="D774" s="182">
        <f>IFERROR(VLOOKUP($B774,calc_data,D$14+1,0),0)</f>
        <v/>
      </c>
      <c r="E774" s="183">
        <f>IFERROR(VLOOKUP($B774,calc_data,E$14+1,0),0)</f>
        <v/>
      </c>
      <c r="F774" s="182">
        <f>IFERROR(VLOOKUP($B774,calc_data,F$14+1,0),0)</f>
        <v/>
      </c>
      <c r="G774" s="141">
        <f>IFERROR(VLOOKUP($B774,calc_data,G$14+1,0),0)</f>
        <v/>
      </c>
      <c r="H774" s="141">
        <f>IFERROR(VLOOKUP($B774,calc_data,H$14+1,0),0)</f>
        <v/>
      </c>
      <c r="I774" s="142">
        <f>IFERROR(VLOOKUP($B774,calc_data,I$14+1,0),0)</f>
        <v/>
      </c>
      <c r="J774" s="141">
        <f>IFERROR(VLOOKUP($B774,calc_data,J$14+1,0),0)</f>
        <v/>
      </c>
      <c r="K774" s="141">
        <f>IFERROR(VLOOKUP($B774,calc_data,K$14+1,0),0)</f>
        <v/>
      </c>
      <c r="L774" s="141">
        <f>IFERROR(VLOOKUP($B774,calc_data,L$14+1,0),0)</f>
        <v/>
      </c>
      <c r="M774" s="177">
        <f>IFERROR(VLOOKUP($B774,calc_data,M$14+1,0),0)</f>
        <v/>
      </c>
      <c r="N774" s="177">
        <f>IFERROR(VLOOKUP($B774,calc_data,N$14+1,0),0)</f>
        <v/>
      </c>
      <c r="O774" s="45" t="n"/>
      <c r="Q774" s="57">
        <f>IF(K774&gt;0,"показать","скрыть")</f>
        <v/>
      </c>
    </row>
    <row r="775" ht="15.75" customHeight="1">
      <c r="B775" s="182" t="n">
        <v>759</v>
      </c>
      <c r="C775" s="182">
        <f>IFERROR(VLOOKUP($B775,calc_data,C$14+1,0),0)</f>
        <v/>
      </c>
      <c r="D775" s="182">
        <f>IFERROR(VLOOKUP($B775,calc_data,D$14+1,0),0)</f>
        <v/>
      </c>
      <c r="E775" s="183">
        <f>IFERROR(VLOOKUP($B775,calc_data,E$14+1,0),0)</f>
        <v/>
      </c>
      <c r="F775" s="182">
        <f>IFERROR(VLOOKUP($B775,calc_data,F$14+1,0),0)</f>
        <v/>
      </c>
      <c r="G775" s="141">
        <f>IFERROR(VLOOKUP($B775,calc_data,G$14+1,0),0)</f>
        <v/>
      </c>
      <c r="H775" s="141">
        <f>IFERROR(VLOOKUP($B775,calc_data,H$14+1,0),0)</f>
        <v/>
      </c>
      <c r="I775" s="142">
        <f>IFERROR(VLOOKUP($B775,calc_data,I$14+1,0),0)</f>
        <v/>
      </c>
      <c r="J775" s="141">
        <f>IFERROR(VLOOKUP($B775,calc_data,J$14+1,0),0)</f>
        <v/>
      </c>
      <c r="K775" s="141">
        <f>IFERROR(VLOOKUP($B775,calc_data,K$14+1,0),0)</f>
        <v/>
      </c>
      <c r="L775" s="141">
        <f>IFERROR(VLOOKUP($B775,calc_data,L$14+1,0),0)</f>
        <v/>
      </c>
      <c r="M775" s="177">
        <f>IFERROR(VLOOKUP($B775,calc_data,M$14+1,0),0)</f>
        <v/>
      </c>
      <c r="N775" s="177">
        <f>IFERROR(VLOOKUP($B775,calc_data,N$14+1,0),0)</f>
        <v/>
      </c>
      <c r="O775" s="45" t="n"/>
      <c r="Q775" s="57">
        <f>IF(K775&gt;0,"показать","скрыть")</f>
        <v/>
      </c>
    </row>
    <row r="776" ht="15.75" customHeight="1">
      <c r="B776" s="182" t="n">
        <v>760</v>
      </c>
      <c r="C776" s="182">
        <f>IFERROR(VLOOKUP($B776,calc_data,C$14+1,0),0)</f>
        <v/>
      </c>
      <c r="D776" s="182">
        <f>IFERROR(VLOOKUP($B776,calc_data,D$14+1,0),0)</f>
        <v/>
      </c>
      <c r="E776" s="183">
        <f>IFERROR(VLOOKUP($B776,calc_data,E$14+1,0),0)</f>
        <v/>
      </c>
      <c r="F776" s="182">
        <f>IFERROR(VLOOKUP($B776,calc_data,F$14+1,0),0)</f>
        <v/>
      </c>
      <c r="G776" s="141">
        <f>IFERROR(VLOOKUP($B776,calc_data,G$14+1,0),0)</f>
        <v/>
      </c>
      <c r="H776" s="141">
        <f>IFERROR(VLOOKUP($B776,calc_data,H$14+1,0),0)</f>
        <v/>
      </c>
      <c r="I776" s="142">
        <f>IFERROR(VLOOKUP($B776,calc_data,I$14+1,0),0)</f>
        <v/>
      </c>
      <c r="J776" s="141">
        <f>IFERROR(VLOOKUP($B776,calc_data,J$14+1,0),0)</f>
        <v/>
      </c>
      <c r="K776" s="141">
        <f>IFERROR(VLOOKUP($B776,calc_data,K$14+1,0),0)</f>
        <v/>
      </c>
      <c r="L776" s="141">
        <f>IFERROR(VLOOKUP($B776,calc_data,L$14+1,0),0)</f>
        <v/>
      </c>
      <c r="M776" s="177">
        <f>IFERROR(VLOOKUP($B776,calc_data,M$14+1,0),0)</f>
        <v/>
      </c>
      <c r="N776" s="177">
        <f>IFERROR(VLOOKUP($B776,calc_data,N$14+1,0),0)</f>
        <v/>
      </c>
      <c r="O776" s="45" t="n"/>
      <c r="Q776" s="57">
        <f>IF(K776&gt;0,"показать","скрыть")</f>
        <v/>
      </c>
    </row>
    <row r="777" ht="15.75" customHeight="1">
      <c r="B777" s="182" t="n">
        <v>761</v>
      </c>
      <c r="C777" s="182">
        <f>IFERROR(VLOOKUP($B777,calc_data,C$14+1,0),0)</f>
        <v/>
      </c>
      <c r="D777" s="182">
        <f>IFERROR(VLOOKUP($B777,calc_data,D$14+1,0),0)</f>
        <v/>
      </c>
      <c r="E777" s="183">
        <f>IFERROR(VLOOKUP($B777,calc_data,E$14+1,0),0)</f>
        <v/>
      </c>
      <c r="F777" s="182">
        <f>IFERROR(VLOOKUP($B777,calc_data,F$14+1,0),0)</f>
        <v/>
      </c>
      <c r="G777" s="141">
        <f>IFERROR(VLOOKUP($B777,calc_data,G$14+1,0),0)</f>
        <v/>
      </c>
      <c r="H777" s="141">
        <f>IFERROR(VLOOKUP($B777,calc_data,H$14+1,0),0)</f>
        <v/>
      </c>
      <c r="I777" s="142">
        <f>IFERROR(VLOOKUP($B777,calc_data,I$14+1,0),0)</f>
        <v/>
      </c>
      <c r="J777" s="141">
        <f>IFERROR(VLOOKUP($B777,calc_data,J$14+1,0),0)</f>
        <v/>
      </c>
      <c r="K777" s="141">
        <f>IFERROR(VLOOKUP($B777,calc_data,K$14+1,0),0)</f>
        <v/>
      </c>
      <c r="L777" s="141">
        <f>IFERROR(VLOOKUP($B777,calc_data,L$14+1,0),0)</f>
        <v/>
      </c>
      <c r="M777" s="177">
        <f>IFERROR(VLOOKUP($B777,calc_data,M$14+1,0),0)</f>
        <v/>
      </c>
      <c r="N777" s="177">
        <f>IFERROR(VLOOKUP($B777,calc_data,N$14+1,0),0)</f>
        <v/>
      </c>
      <c r="O777" s="45" t="n"/>
      <c r="Q777" s="57">
        <f>IF(K777&gt;0,"показать","скрыть")</f>
        <v/>
      </c>
    </row>
    <row r="778" ht="15.75" customHeight="1">
      <c r="B778" s="182" t="n">
        <v>762</v>
      </c>
      <c r="C778" s="182">
        <f>IFERROR(VLOOKUP($B778,calc_data,C$14+1,0),0)</f>
        <v/>
      </c>
      <c r="D778" s="182">
        <f>IFERROR(VLOOKUP($B778,calc_data,D$14+1,0),0)</f>
        <v/>
      </c>
      <c r="E778" s="183">
        <f>IFERROR(VLOOKUP($B778,calc_data,E$14+1,0),0)</f>
        <v/>
      </c>
      <c r="F778" s="182">
        <f>IFERROR(VLOOKUP($B778,calc_data,F$14+1,0),0)</f>
        <v/>
      </c>
      <c r="G778" s="141">
        <f>IFERROR(VLOOKUP($B778,calc_data,G$14+1,0),0)</f>
        <v/>
      </c>
      <c r="H778" s="141">
        <f>IFERROR(VLOOKUP($B778,calc_data,H$14+1,0),0)</f>
        <v/>
      </c>
      <c r="I778" s="142">
        <f>IFERROR(VLOOKUP($B778,calc_data,I$14+1,0),0)</f>
        <v/>
      </c>
      <c r="J778" s="141">
        <f>IFERROR(VLOOKUP($B778,calc_data,J$14+1,0),0)</f>
        <v/>
      </c>
      <c r="K778" s="141">
        <f>IFERROR(VLOOKUP($B778,calc_data,K$14+1,0),0)</f>
        <v/>
      </c>
      <c r="L778" s="141">
        <f>IFERROR(VLOOKUP($B778,calc_data,L$14+1,0),0)</f>
        <v/>
      </c>
      <c r="M778" s="177">
        <f>IFERROR(VLOOKUP($B778,calc_data,M$14+1,0),0)</f>
        <v/>
      </c>
      <c r="N778" s="177">
        <f>IFERROR(VLOOKUP($B778,calc_data,N$14+1,0),0)</f>
        <v/>
      </c>
      <c r="O778" s="45" t="n"/>
      <c r="Q778" s="57">
        <f>IF(K778&gt;0,"показать","скрыть")</f>
        <v/>
      </c>
    </row>
    <row r="779" ht="15.75" customHeight="1">
      <c r="B779" s="182" t="n">
        <v>763</v>
      </c>
      <c r="C779" s="182">
        <f>IFERROR(VLOOKUP($B779,calc_data,C$14+1,0),0)</f>
        <v/>
      </c>
      <c r="D779" s="182">
        <f>IFERROR(VLOOKUP($B779,calc_data,D$14+1,0),0)</f>
        <v/>
      </c>
      <c r="E779" s="183">
        <f>IFERROR(VLOOKUP($B779,calc_data,E$14+1,0),0)</f>
        <v/>
      </c>
      <c r="F779" s="182">
        <f>IFERROR(VLOOKUP($B779,calc_data,F$14+1,0),0)</f>
        <v/>
      </c>
      <c r="G779" s="141">
        <f>IFERROR(VLOOKUP($B779,calc_data,G$14+1,0),0)</f>
        <v/>
      </c>
      <c r="H779" s="141">
        <f>IFERROR(VLOOKUP($B779,calc_data,H$14+1,0),0)</f>
        <v/>
      </c>
      <c r="I779" s="142">
        <f>IFERROR(VLOOKUP($B779,calc_data,I$14+1,0),0)</f>
        <v/>
      </c>
      <c r="J779" s="141">
        <f>IFERROR(VLOOKUP($B779,calc_data,J$14+1,0),0)</f>
        <v/>
      </c>
      <c r="K779" s="141">
        <f>IFERROR(VLOOKUP($B779,calc_data,K$14+1,0),0)</f>
        <v/>
      </c>
      <c r="L779" s="141">
        <f>IFERROR(VLOOKUP($B779,calc_data,L$14+1,0),0)</f>
        <v/>
      </c>
      <c r="M779" s="177">
        <f>IFERROR(VLOOKUP($B779,calc_data,M$14+1,0),0)</f>
        <v/>
      </c>
      <c r="N779" s="177">
        <f>IFERROR(VLOOKUP($B779,calc_data,N$14+1,0),0)</f>
        <v/>
      </c>
      <c r="O779" s="45" t="n"/>
      <c r="Q779" s="57">
        <f>IF(K779&gt;0,"показать","скрыть")</f>
        <v/>
      </c>
    </row>
    <row r="780" ht="15.75" customHeight="1">
      <c r="B780" s="182" t="n">
        <v>764</v>
      </c>
      <c r="C780" s="182">
        <f>IFERROR(VLOOKUP($B780,calc_data,C$14+1,0),0)</f>
        <v/>
      </c>
      <c r="D780" s="182">
        <f>IFERROR(VLOOKUP($B780,calc_data,D$14+1,0),0)</f>
        <v/>
      </c>
      <c r="E780" s="183">
        <f>IFERROR(VLOOKUP($B780,calc_data,E$14+1,0),0)</f>
        <v/>
      </c>
      <c r="F780" s="182">
        <f>IFERROR(VLOOKUP($B780,calc_data,F$14+1,0),0)</f>
        <v/>
      </c>
      <c r="G780" s="141">
        <f>IFERROR(VLOOKUP($B780,calc_data,G$14+1,0),0)</f>
        <v/>
      </c>
      <c r="H780" s="141">
        <f>IFERROR(VLOOKUP($B780,calc_data,H$14+1,0),0)</f>
        <v/>
      </c>
      <c r="I780" s="142">
        <f>IFERROR(VLOOKUP($B780,calc_data,I$14+1,0),0)</f>
        <v/>
      </c>
      <c r="J780" s="141">
        <f>IFERROR(VLOOKUP($B780,calc_data,J$14+1,0),0)</f>
        <v/>
      </c>
      <c r="K780" s="141">
        <f>IFERROR(VLOOKUP($B780,calc_data,K$14+1,0),0)</f>
        <v/>
      </c>
      <c r="L780" s="141">
        <f>IFERROR(VLOOKUP($B780,calc_data,L$14+1,0),0)</f>
        <v/>
      </c>
      <c r="M780" s="177">
        <f>IFERROR(VLOOKUP($B780,calc_data,M$14+1,0),0)</f>
        <v/>
      </c>
      <c r="N780" s="177">
        <f>IFERROR(VLOOKUP($B780,calc_data,N$14+1,0),0)</f>
        <v/>
      </c>
      <c r="O780" s="45" t="n"/>
      <c r="Q780" s="57">
        <f>IF(K780&gt;0,"показать","скрыть")</f>
        <v/>
      </c>
    </row>
    <row r="781" ht="15.75" customHeight="1">
      <c r="B781" s="182" t="n">
        <v>765</v>
      </c>
      <c r="C781" s="182">
        <f>IFERROR(VLOOKUP($B781,calc_data,C$14+1,0),0)</f>
        <v/>
      </c>
      <c r="D781" s="182">
        <f>IFERROR(VLOOKUP($B781,calc_data,D$14+1,0),0)</f>
        <v/>
      </c>
      <c r="E781" s="183">
        <f>IFERROR(VLOOKUP($B781,calc_data,E$14+1,0),0)</f>
        <v/>
      </c>
      <c r="F781" s="182">
        <f>IFERROR(VLOOKUP($B781,calc_data,F$14+1,0),0)</f>
        <v/>
      </c>
      <c r="G781" s="141">
        <f>IFERROR(VLOOKUP($B781,calc_data,G$14+1,0),0)</f>
        <v/>
      </c>
      <c r="H781" s="141">
        <f>IFERROR(VLOOKUP($B781,calc_data,H$14+1,0),0)</f>
        <v/>
      </c>
      <c r="I781" s="142">
        <f>IFERROR(VLOOKUP($B781,calc_data,I$14+1,0),0)</f>
        <v/>
      </c>
      <c r="J781" s="141">
        <f>IFERROR(VLOOKUP($B781,calc_data,J$14+1,0),0)</f>
        <v/>
      </c>
      <c r="K781" s="141">
        <f>IFERROR(VLOOKUP($B781,calc_data,K$14+1,0),0)</f>
        <v/>
      </c>
      <c r="L781" s="141">
        <f>IFERROR(VLOOKUP($B781,calc_data,L$14+1,0),0)</f>
        <v/>
      </c>
      <c r="M781" s="177">
        <f>IFERROR(VLOOKUP($B781,calc_data,M$14+1,0),0)</f>
        <v/>
      </c>
      <c r="N781" s="177">
        <f>IFERROR(VLOOKUP($B781,calc_data,N$14+1,0),0)</f>
        <v/>
      </c>
      <c r="O781" s="45" t="n"/>
      <c r="Q781" s="57">
        <f>IF(K781&gt;0,"показать","скрыть")</f>
        <v/>
      </c>
    </row>
    <row r="782" ht="15.75" customHeight="1">
      <c r="B782" s="182" t="n">
        <v>766</v>
      </c>
      <c r="C782" s="182">
        <f>IFERROR(VLOOKUP($B782,calc_data,C$14+1,0),0)</f>
        <v/>
      </c>
      <c r="D782" s="182">
        <f>IFERROR(VLOOKUP($B782,calc_data,D$14+1,0),0)</f>
        <v/>
      </c>
      <c r="E782" s="183">
        <f>IFERROR(VLOOKUP($B782,calc_data,E$14+1,0),0)</f>
        <v/>
      </c>
      <c r="F782" s="182">
        <f>IFERROR(VLOOKUP($B782,calc_data,F$14+1,0),0)</f>
        <v/>
      </c>
      <c r="G782" s="141">
        <f>IFERROR(VLOOKUP($B782,calc_data,G$14+1,0),0)</f>
        <v/>
      </c>
      <c r="H782" s="141">
        <f>IFERROR(VLOOKUP($B782,calc_data,H$14+1,0),0)</f>
        <v/>
      </c>
      <c r="I782" s="142">
        <f>IFERROR(VLOOKUP($B782,calc_data,I$14+1,0),0)</f>
        <v/>
      </c>
      <c r="J782" s="141">
        <f>IFERROR(VLOOKUP($B782,calc_data,J$14+1,0),0)</f>
        <v/>
      </c>
      <c r="K782" s="141">
        <f>IFERROR(VLOOKUP($B782,calc_data,K$14+1,0),0)</f>
        <v/>
      </c>
      <c r="L782" s="141">
        <f>IFERROR(VLOOKUP($B782,calc_data,L$14+1,0),0)</f>
        <v/>
      </c>
      <c r="M782" s="177">
        <f>IFERROR(VLOOKUP($B782,calc_data,M$14+1,0),0)</f>
        <v/>
      </c>
      <c r="N782" s="177">
        <f>IFERROR(VLOOKUP($B782,calc_data,N$14+1,0),0)</f>
        <v/>
      </c>
      <c r="O782" s="45" t="n"/>
      <c r="Q782" s="57">
        <f>IF(K782&gt;0,"показать","скрыть")</f>
        <v/>
      </c>
    </row>
    <row r="783" ht="15.75" customHeight="1">
      <c r="B783" s="182" t="n">
        <v>767</v>
      </c>
      <c r="C783" s="182">
        <f>IFERROR(VLOOKUP($B783,calc_data,C$14+1,0),0)</f>
        <v/>
      </c>
      <c r="D783" s="182">
        <f>IFERROR(VLOOKUP($B783,calc_data,D$14+1,0),0)</f>
        <v/>
      </c>
      <c r="E783" s="183">
        <f>IFERROR(VLOOKUP($B783,calc_data,E$14+1,0),0)</f>
        <v/>
      </c>
      <c r="F783" s="182">
        <f>IFERROR(VLOOKUP($B783,calc_data,F$14+1,0),0)</f>
        <v/>
      </c>
      <c r="G783" s="141">
        <f>IFERROR(VLOOKUP($B783,calc_data,G$14+1,0),0)</f>
        <v/>
      </c>
      <c r="H783" s="141">
        <f>IFERROR(VLOOKUP($B783,calc_data,H$14+1,0),0)</f>
        <v/>
      </c>
      <c r="I783" s="142">
        <f>IFERROR(VLOOKUP($B783,calc_data,I$14+1,0),0)</f>
        <v/>
      </c>
      <c r="J783" s="141">
        <f>IFERROR(VLOOKUP($B783,calc_data,J$14+1,0),0)</f>
        <v/>
      </c>
      <c r="K783" s="141">
        <f>IFERROR(VLOOKUP($B783,calc_data,K$14+1,0),0)</f>
        <v/>
      </c>
      <c r="L783" s="141">
        <f>IFERROR(VLOOKUP($B783,calc_data,L$14+1,0),0)</f>
        <v/>
      </c>
      <c r="M783" s="177">
        <f>IFERROR(VLOOKUP($B783,calc_data,M$14+1,0),0)</f>
        <v/>
      </c>
      <c r="N783" s="177">
        <f>IFERROR(VLOOKUP($B783,calc_data,N$14+1,0),0)</f>
        <v/>
      </c>
      <c r="O783" s="45" t="n"/>
      <c r="Q783" s="57">
        <f>IF(K783&gt;0,"показать","скрыть")</f>
        <v/>
      </c>
    </row>
    <row r="784" ht="15.75" customHeight="1">
      <c r="B784" s="182" t="n">
        <v>768</v>
      </c>
      <c r="C784" s="182">
        <f>IFERROR(VLOOKUP($B784,calc_data,C$14+1,0),0)</f>
        <v/>
      </c>
      <c r="D784" s="182">
        <f>IFERROR(VLOOKUP($B784,calc_data,D$14+1,0),0)</f>
        <v/>
      </c>
      <c r="E784" s="183">
        <f>IFERROR(VLOOKUP($B784,calc_data,E$14+1,0),0)</f>
        <v/>
      </c>
      <c r="F784" s="182">
        <f>IFERROR(VLOOKUP($B784,calc_data,F$14+1,0),0)</f>
        <v/>
      </c>
      <c r="G784" s="141">
        <f>IFERROR(VLOOKUP($B784,calc_data,G$14+1,0),0)</f>
        <v/>
      </c>
      <c r="H784" s="141">
        <f>IFERROR(VLOOKUP($B784,calc_data,H$14+1,0),0)</f>
        <v/>
      </c>
      <c r="I784" s="142">
        <f>IFERROR(VLOOKUP($B784,calc_data,I$14+1,0),0)</f>
        <v/>
      </c>
      <c r="J784" s="141">
        <f>IFERROR(VLOOKUP($B784,calc_data,J$14+1,0),0)</f>
        <v/>
      </c>
      <c r="K784" s="141">
        <f>IFERROR(VLOOKUP($B784,calc_data,K$14+1,0),0)</f>
        <v/>
      </c>
      <c r="L784" s="141">
        <f>IFERROR(VLOOKUP($B784,calc_data,L$14+1,0),0)</f>
        <v/>
      </c>
      <c r="M784" s="177">
        <f>IFERROR(VLOOKUP($B784,calc_data,M$14+1,0),0)</f>
        <v/>
      </c>
      <c r="N784" s="177">
        <f>IFERROR(VLOOKUP($B784,calc_data,N$14+1,0),0)</f>
        <v/>
      </c>
      <c r="O784" s="45" t="n"/>
      <c r="Q784" s="57">
        <f>IF(K784&gt;0,"показать","скрыть")</f>
        <v/>
      </c>
    </row>
    <row r="785" ht="15.75" customHeight="1">
      <c r="B785" s="182" t="n">
        <v>769</v>
      </c>
      <c r="C785" s="182">
        <f>IFERROR(VLOOKUP($B785,calc_data,C$14+1,0),0)</f>
        <v/>
      </c>
      <c r="D785" s="182">
        <f>IFERROR(VLOOKUP($B785,calc_data,D$14+1,0),0)</f>
        <v/>
      </c>
      <c r="E785" s="183">
        <f>IFERROR(VLOOKUP($B785,calc_data,E$14+1,0),0)</f>
        <v/>
      </c>
      <c r="F785" s="182">
        <f>IFERROR(VLOOKUP($B785,calc_data,F$14+1,0),0)</f>
        <v/>
      </c>
      <c r="G785" s="141">
        <f>IFERROR(VLOOKUP($B785,calc_data,G$14+1,0),0)</f>
        <v/>
      </c>
      <c r="H785" s="141">
        <f>IFERROR(VLOOKUP($B785,calc_data,H$14+1,0),0)</f>
        <v/>
      </c>
      <c r="I785" s="142">
        <f>IFERROR(VLOOKUP($B785,calc_data,I$14+1,0),0)</f>
        <v/>
      </c>
      <c r="J785" s="141">
        <f>IFERROR(VLOOKUP($B785,calc_data,J$14+1,0),0)</f>
        <v/>
      </c>
      <c r="K785" s="141">
        <f>IFERROR(VLOOKUP($B785,calc_data,K$14+1,0),0)</f>
        <v/>
      </c>
      <c r="L785" s="141">
        <f>IFERROR(VLOOKUP($B785,calc_data,L$14+1,0),0)</f>
        <v/>
      </c>
      <c r="M785" s="177">
        <f>IFERROR(VLOOKUP($B785,calc_data,M$14+1,0),0)</f>
        <v/>
      </c>
      <c r="N785" s="177">
        <f>IFERROR(VLOOKUP($B785,calc_data,N$14+1,0),0)</f>
        <v/>
      </c>
      <c r="O785" s="45" t="n"/>
      <c r="Q785" s="57">
        <f>IF(K785&gt;0,"показать","скрыть")</f>
        <v/>
      </c>
    </row>
    <row r="786" ht="15.75" customHeight="1">
      <c r="B786" s="182" t="n">
        <v>770</v>
      </c>
      <c r="C786" s="182">
        <f>IFERROR(VLOOKUP($B786,calc_data,C$14+1,0),0)</f>
        <v/>
      </c>
      <c r="D786" s="182">
        <f>IFERROR(VLOOKUP($B786,calc_data,D$14+1,0),0)</f>
        <v/>
      </c>
      <c r="E786" s="183">
        <f>IFERROR(VLOOKUP($B786,calc_data,E$14+1,0),0)</f>
        <v/>
      </c>
      <c r="F786" s="182">
        <f>IFERROR(VLOOKUP($B786,calc_data,F$14+1,0),0)</f>
        <v/>
      </c>
      <c r="G786" s="141">
        <f>IFERROR(VLOOKUP($B786,calc_data,G$14+1,0),0)</f>
        <v/>
      </c>
      <c r="H786" s="141">
        <f>IFERROR(VLOOKUP($B786,calc_data,H$14+1,0),0)</f>
        <v/>
      </c>
      <c r="I786" s="142">
        <f>IFERROR(VLOOKUP($B786,calc_data,I$14+1,0),0)</f>
        <v/>
      </c>
      <c r="J786" s="141">
        <f>IFERROR(VLOOKUP($B786,calc_data,J$14+1,0),0)</f>
        <v/>
      </c>
      <c r="K786" s="141">
        <f>IFERROR(VLOOKUP($B786,calc_data,K$14+1,0),0)</f>
        <v/>
      </c>
      <c r="L786" s="141">
        <f>IFERROR(VLOOKUP($B786,calc_data,L$14+1,0),0)</f>
        <v/>
      </c>
      <c r="M786" s="177">
        <f>IFERROR(VLOOKUP($B786,calc_data,M$14+1,0),0)</f>
        <v/>
      </c>
      <c r="N786" s="177">
        <f>IFERROR(VLOOKUP($B786,calc_data,N$14+1,0),0)</f>
        <v/>
      </c>
      <c r="O786" s="45" t="n"/>
      <c r="Q786" s="57">
        <f>IF(K786&gt;0,"показать","скрыть")</f>
        <v/>
      </c>
    </row>
    <row r="787" ht="15.75" customHeight="1">
      <c r="B787" s="182" t="n">
        <v>771</v>
      </c>
      <c r="C787" s="182">
        <f>IFERROR(VLOOKUP($B787,calc_data,C$14+1,0),0)</f>
        <v/>
      </c>
      <c r="D787" s="182">
        <f>IFERROR(VLOOKUP($B787,calc_data,D$14+1,0),0)</f>
        <v/>
      </c>
      <c r="E787" s="183">
        <f>IFERROR(VLOOKUP($B787,calc_data,E$14+1,0),0)</f>
        <v/>
      </c>
      <c r="F787" s="182">
        <f>IFERROR(VLOOKUP($B787,calc_data,F$14+1,0),0)</f>
        <v/>
      </c>
      <c r="G787" s="141">
        <f>IFERROR(VLOOKUP($B787,calc_data,G$14+1,0),0)</f>
        <v/>
      </c>
      <c r="H787" s="141">
        <f>IFERROR(VLOOKUP($B787,calc_data,H$14+1,0),0)</f>
        <v/>
      </c>
      <c r="I787" s="142">
        <f>IFERROR(VLOOKUP($B787,calc_data,I$14+1,0),0)</f>
        <v/>
      </c>
      <c r="J787" s="141">
        <f>IFERROR(VLOOKUP($B787,calc_data,J$14+1,0),0)</f>
        <v/>
      </c>
      <c r="K787" s="141">
        <f>IFERROR(VLOOKUP($B787,calc_data,K$14+1,0),0)</f>
        <v/>
      </c>
      <c r="L787" s="141">
        <f>IFERROR(VLOOKUP($B787,calc_data,L$14+1,0),0)</f>
        <v/>
      </c>
      <c r="M787" s="177">
        <f>IFERROR(VLOOKUP($B787,calc_data,M$14+1,0),0)</f>
        <v/>
      </c>
      <c r="N787" s="177">
        <f>IFERROR(VLOOKUP($B787,calc_data,N$14+1,0),0)</f>
        <v/>
      </c>
      <c r="O787" s="45" t="n"/>
      <c r="Q787" s="57">
        <f>IF(K787&gt;0,"показать","скрыть")</f>
        <v/>
      </c>
    </row>
    <row r="788" ht="15.75" customHeight="1">
      <c r="B788" s="182" t="n">
        <v>772</v>
      </c>
      <c r="C788" s="182">
        <f>IFERROR(VLOOKUP($B788,calc_data,C$14+1,0),0)</f>
        <v/>
      </c>
      <c r="D788" s="182">
        <f>IFERROR(VLOOKUP($B788,calc_data,D$14+1,0),0)</f>
        <v/>
      </c>
      <c r="E788" s="183">
        <f>IFERROR(VLOOKUP($B788,calc_data,E$14+1,0),0)</f>
        <v/>
      </c>
      <c r="F788" s="182">
        <f>IFERROR(VLOOKUP($B788,calc_data,F$14+1,0),0)</f>
        <v/>
      </c>
      <c r="G788" s="141">
        <f>IFERROR(VLOOKUP($B788,calc_data,G$14+1,0),0)</f>
        <v/>
      </c>
      <c r="H788" s="141">
        <f>IFERROR(VLOOKUP($B788,calc_data,H$14+1,0),0)</f>
        <v/>
      </c>
      <c r="I788" s="142">
        <f>IFERROR(VLOOKUP($B788,calc_data,I$14+1,0),0)</f>
        <v/>
      </c>
      <c r="J788" s="141">
        <f>IFERROR(VLOOKUP($B788,calc_data,J$14+1,0),0)</f>
        <v/>
      </c>
      <c r="K788" s="141">
        <f>IFERROR(VLOOKUP($B788,calc_data,K$14+1,0),0)</f>
        <v/>
      </c>
      <c r="L788" s="141">
        <f>IFERROR(VLOOKUP($B788,calc_data,L$14+1,0),0)</f>
        <v/>
      </c>
      <c r="M788" s="177">
        <f>IFERROR(VLOOKUP($B788,calc_data,M$14+1,0),0)</f>
        <v/>
      </c>
      <c r="N788" s="177">
        <f>IFERROR(VLOOKUP($B788,calc_data,N$14+1,0),0)</f>
        <v/>
      </c>
      <c r="O788" s="45" t="n"/>
      <c r="Q788" s="57">
        <f>IF(K788&gt;0,"показать","скрыть")</f>
        <v/>
      </c>
    </row>
    <row r="789" ht="15.75" customHeight="1">
      <c r="B789" s="182" t="n">
        <v>773</v>
      </c>
      <c r="C789" s="182">
        <f>IFERROR(VLOOKUP($B789,calc_data,C$14+1,0),0)</f>
        <v/>
      </c>
      <c r="D789" s="182">
        <f>IFERROR(VLOOKUP($B789,calc_data,D$14+1,0),0)</f>
        <v/>
      </c>
      <c r="E789" s="183">
        <f>IFERROR(VLOOKUP($B789,calc_data,E$14+1,0),0)</f>
        <v/>
      </c>
      <c r="F789" s="182">
        <f>IFERROR(VLOOKUP($B789,calc_data,F$14+1,0),0)</f>
        <v/>
      </c>
      <c r="G789" s="141">
        <f>IFERROR(VLOOKUP($B789,calc_data,G$14+1,0),0)</f>
        <v/>
      </c>
      <c r="H789" s="141">
        <f>IFERROR(VLOOKUP($B789,calc_data,H$14+1,0),0)</f>
        <v/>
      </c>
      <c r="I789" s="142">
        <f>IFERROR(VLOOKUP($B789,calc_data,I$14+1,0),0)</f>
        <v/>
      </c>
      <c r="J789" s="141">
        <f>IFERROR(VLOOKUP($B789,calc_data,J$14+1,0),0)</f>
        <v/>
      </c>
      <c r="K789" s="141">
        <f>IFERROR(VLOOKUP($B789,calc_data,K$14+1,0),0)</f>
        <v/>
      </c>
      <c r="L789" s="141">
        <f>IFERROR(VLOOKUP($B789,calc_data,L$14+1,0),0)</f>
        <v/>
      </c>
      <c r="M789" s="177">
        <f>IFERROR(VLOOKUP($B789,calc_data,M$14+1,0),0)</f>
        <v/>
      </c>
      <c r="N789" s="177">
        <f>IFERROR(VLOOKUP($B789,calc_data,N$14+1,0),0)</f>
        <v/>
      </c>
      <c r="O789" s="45" t="n"/>
      <c r="Q789" s="57">
        <f>IF(K789&gt;0,"показать","скрыть")</f>
        <v/>
      </c>
    </row>
    <row r="790" ht="15.75" customHeight="1">
      <c r="B790" s="182" t="n">
        <v>774</v>
      </c>
      <c r="C790" s="182">
        <f>IFERROR(VLOOKUP($B790,calc_data,C$14+1,0),0)</f>
        <v/>
      </c>
      <c r="D790" s="182">
        <f>IFERROR(VLOOKUP($B790,calc_data,D$14+1,0),0)</f>
        <v/>
      </c>
      <c r="E790" s="183">
        <f>IFERROR(VLOOKUP($B790,calc_data,E$14+1,0),0)</f>
        <v/>
      </c>
      <c r="F790" s="182">
        <f>IFERROR(VLOOKUP($B790,calc_data,F$14+1,0),0)</f>
        <v/>
      </c>
      <c r="G790" s="141">
        <f>IFERROR(VLOOKUP($B790,calc_data,G$14+1,0),0)</f>
        <v/>
      </c>
      <c r="H790" s="141">
        <f>IFERROR(VLOOKUP($B790,calc_data,H$14+1,0),0)</f>
        <v/>
      </c>
      <c r="I790" s="142">
        <f>IFERROR(VLOOKUP($B790,calc_data,I$14+1,0),0)</f>
        <v/>
      </c>
      <c r="J790" s="141">
        <f>IFERROR(VLOOKUP($B790,calc_data,J$14+1,0),0)</f>
        <v/>
      </c>
      <c r="K790" s="141">
        <f>IFERROR(VLOOKUP($B790,calc_data,K$14+1,0),0)</f>
        <v/>
      </c>
      <c r="L790" s="141">
        <f>IFERROR(VLOOKUP($B790,calc_data,L$14+1,0),0)</f>
        <v/>
      </c>
      <c r="M790" s="177">
        <f>IFERROR(VLOOKUP($B790,calc_data,M$14+1,0),0)</f>
        <v/>
      </c>
      <c r="N790" s="177">
        <f>IFERROR(VLOOKUP($B790,calc_data,N$14+1,0),0)</f>
        <v/>
      </c>
      <c r="O790" s="45" t="n"/>
      <c r="Q790" s="57">
        <f>IF(K790&gt;0,"показать","скрыть")</f>
        <v/>
      </c>
    </row>
    <row r="791" ht="15.75" customHeight="1">
      <c r="B791" s="182" t="n">
        <v>775</v>
      </c>
      <c r="C791" s="182">
        <f>IFERROR(VLOOKUP($B791,calc_data,C$14+1,0),0)</f>
        <v/>
      </c>
      <c r="D791" s="182">
        <f>IFERROR(VLOOKUP($B791,calc_data,D$14+1,0),0)</f>
        <v/>
      </c>
      <c r="E791" s="183">
        <f>IFERROR(VLOOKUP($B791,calc_data,E$14+1,0),0)</f>
        <v/>
      </c>
      <c r="F791" s="182">
        <f>IFERROR(VLOOKUP($B791,calc_data,F$14+1,0),0)</f>
        <v/>
      </c>
      <c r="G791" s="141">
        <f>IFERROR(VLOOKUP($B791,calc_data,G$14+1,0),0)</f>
        <v/>
      </c>
      <c r="H791" s="141">
        <f>IFERROR(VLOOKUP($B791,calc_data,H$14+1,0),0)</f>
        <v/>
      </c>
      <c r="I791" s="142">
        <f>IFERROR(VLOOKUP($B791,calc_data,I$14+1,0),0)</f>
        <v/>
      </c>
      <c r="J791" s="141">
        <f>IFERROR(VLOOKUP($B791,calc_data,J$14+1,0),0)</f>
        <v/>
      </c>
      <c r="K791" s="141">
        <f>IFERROR(VLOOKUP($B791,calc_data,K$14+1,0),0)</f>
        <v/>
      </c>
      <c r="L791" s="141">
        <f>IFERROR(VLOOKUP($B791,calc_data,L$14+1,0),0)</f>
        <v/>
      </c>
      <c r="M791" s="177">
        <f>IFERROR(VLOOKUP($B791,calc_data,M$14+1,0),0)</f>
        <v/>
      </c>
      <c r="N791" s="177">
        <f>IFERROR(VLOOKUP($B791,calc_data,N$14+1,0),0)</f>
        <v/>
      </c>
      <c r="O791" s="45" t="n"/>
      <c r="Q791" s="57">
        <f>IF(K791&gt;0,"показать","скрыть")</f>
        <v/>
      </c>
    </row>
    <row r="792" ht="15.75" customHeight="1">
      <c r="B792" s="182" t="n">
        <v>776</v>
      </c>
      <c r="C792" s="182">
        <f>IFERROR(VLOOKUP($B792,calc_data,C$14+1,0),0)</f>
        <v/>
      </c>
      <c r="D792" s="182">
        <f>IFERROR(VLOOKUP($B792,calc_data,D$14+1,0),0)</f>
        <v/>
      </c>
      <c r="E792" s="183">
        <f>IFERROR(VLOOKUP($B792,calc_data,E$14+1,0),0)</f>
        <v/>
      </c>
      <c r="F792" s="182">
        <f>IFERROR(VLOOKUP($B792,calc_data,F$14+1,0),0)</f>
        <v/>
      </c>
      <c r="G792" s="141">
        <f>IFERROR(VLOOKUP($B792,calc_data,G$14+1,0),0)</f>
        <v/>
      </c>
      <c r="H792" s="141">
        <f>IFERROR(VLOOKUP($B792,calc_data,H$14+1,0),0)</f>
        <v/>
      </c>
      <c r="I792" s="142">
        <f>IFERROR(VLOOKUP($B792,calc_data,I$14+1,0),0)</f>
        <v/>
      </c>
      <c r="J792" s="141">
        <f>IFERROR(VLOOKUP($B792,calc_data,J$14+1,0),0)</f>
        <v/>
      </c>
      <c r="K792" s="141">
        <f>IFERROR(VLOOKUP($B792,calc_data,K$14+1,0),0)</f>
        <v/>
      </c>
      <c r="L792" s="141">
        <f>IFERROR(VLOOKUP($B792,calc_data,L$14+1,0),0)</f>
        <v/>
      </c>
      <c r="M792" s="177">
        <f>IFERROR(VLOOKUP($B792,calc_data,M$14+1,0),0)</f>
        <v/>
      </c>
      <c r="N792" s="177">
        <f>IFERROR(VLOOKUP($B792,calc_data,N$14+1,0),0)</f>
        <v/>
      </c>
      <c r="O792" s="45" t="n"/>
      <c r="Q792" s="57">
        <f>IF(K792&gt;0,"показать","скрыть")</f>
        <v/>
      </c>
    </row>
    <row r="793" ht="15.75" customHeight="1">
      <c r="B793" s="182" t="n">
        <v>777</v>
      </c>
      <c r="C793" s="182">
        <f>IFERROR(VLOOKUP($B793,calc_data,C$14+1,0),0)</f>
        <v/>
      </c>
      <c r="D793" s="182">
        <f>IFERROR(VLOOKUP($B793,calc_data,D$14+1,0),0)</f>
        <v/>
      </c>
      <c r="E793" s="183">
        <f>IFERROR(VLOOKUP($B793,calc_data,E$14+1,0),0)</f>
        <v/>
      </c>
      <c r="F793" s="182">
        <f>IFERROR(VLOOKUP($B793,calc_data,F$14+1,0),0)</f>
        <v/>
      </c>
      <c r="G793" s="141">
        <f>IFERROR(VLOOKUP($B793,calc_data,G$14+1,0),0)</f>
        <v/>
      </c>
      <c r="H793" s="141">
        <f>IFERROR(VLOOKUP($B793,calc_data,H$14+1,0),0)</f>
        <v/>
      </c>
      <c r="I793" s="142">
        <f>IFERROR(VLOOKUP($B793,calc_data,I$14+1,0),0)</f>
        <v/>
      </c>
      <c r="J793" s="141">
        <f>IFERROR(VLOOKUP($B793,calc_data,J$14+1,0),0)</f>
        <v/>
      </c>
      <c r="K793" s="141">
        <f>IFERROR(VLOOKUP($B793,calc_data,K$14+1,0),0)</f>
        <v/>
      </c>
      <c r="L793" s="141">
        <f>IFERROR(VLOOKUP($B793,calc_data,L$14+1,0),0)</f>
        <v/>
      </c>
      <c r="M793" s="177">
        <f>IFERROR(VLOOKUP($B793,calc_data,M$14+1,0),0)</f>
        <v/>
      </c>
      <c r="N793" s="177">
        <f>IFERROR(VLOOKUP($B793,calc_data,N$14+1,0),0)</f>
        <v/>
      </c>
      <c r="O793" s="45" t="n"/>
      <c r="Q793" s="57">
        <f>IF(K793&gt;0,"показать","скрыть")</f>
        <v/>
      </c>
    </row>
    <row r="794" ht="15.75" customHeight="1">
      <c r="B794" s="182" t="n">
        <v>778</v>
      </c>
      <c r="C794" s="182">
        <f>IFERROR(VLOOKUP($B794,calc_data,C$14+1,0),0)</f>
        <v/>
      </c>
      <c r="D794" s="182">
        <f>IFERROR(VLOOKUP($B794,calc_data,D$14+1,0),0)</f>
        <v/>
      </c>
      <c r="E794" s="183">
        <f>IFERROR(VLOOKUP($B794,calc_data,E$14+1,0),0)</f>
        <v/>
      </c>
      <c r="F794" s="182">
        <f>IFERROR(VLOOKUP($B794,calc_data,F$14+1,0),0)</f>
        <v/>
      </c>
      <c r="G794" s="141">
        <f>IFERROR(VLOOKUP($B794,calc_data,G$14+1,0),0)</f>
        <v/>
      </c>
      <c r="H794" s="141">
        <f>IFERROR(VLOOKUP($B794,calc_data,H$14+1,0),0)</f>
        <v/>
      </c>
      <c r="I794" s="142">
        <f>IFERROR(VLOOKUP($B794,calc_data,I$14+1,0),0)</f>
        <v/>
      </c>
      <c r="J794" s="141">
        <f>IFERROR(VLOOKUP($B794,calc_data,J$14+1,0),0)</f>
        <v/>
      </c>
      <c r="K794" s="141">
        <f>IFERROR(VLOOKUP($B794,calc_data,K$14+1,0),0)</f>
        <v/>
      </c>
      <c r="L794" s="141">
        <f>IFERROR(VLOOKUP($B794,calc_data,L$14+1,0),0)</f>
        <v/>
      </c>
      <c r="M794" s="177">
        <f>IFERROR(VLOOKUP($B794,calc_data,M$14+1,0),0)</f>
        <v/>
      </c>
      <c r="N794" s="177">
        <f>IFERROR(VLOOKUP($B794,calc_data,N$14+1,0),0)</f>
        <v/>
      </c>
      <c r="O794" s="45" t="n"/>
      <c r="Q794" s="57">
        <f>IF(K794&gt;0,"показать","скрыть")</f>
        <v/>
      </c>
    </row>
    <row r="795" ht="15.75" customHeight="1">
      <c r="B795" s="182" t="n">
        <v>779</v>
      </c>
      <c r="C795" s="182">
        <f>IFERROR(VLOOKUP($B795,calc_data,C$14+1,0),0)</f>
        <v/>
      </c>
      <c r="D795" s="182">
        <f>IFERROR(VLOOKUP($B795,calc_data,D$14+1,0),0)</f>
        <v/>
      </c>
      <c r="E795" s="183">
        <f>IFERROR(VLOOKUP($B795,calc_data,E$14+1,0),0)</f>
        <v/>
      </c>
      <c r="F795" s="182">
        <f>IFERROR(VLOOKUP($B795,calc_data,F$14+1,0),0)</f>
        <v/>
      </c>
      <c r="G795" s="141">
        <f>IFERROR(VLOOKUP($B795,calc_data,G$14+1,0),0)</f>
        <v/>
      </c>
      <c r="H795" s="141">
        <f>IFERROR(VLOOKUP($B795,calc_data,H$14+1,0),0)</f>
        <v/>
      </c>
      <c r="I795" s="142">
        <f>IFERROR(VLOOKUP($B795,calc_data,I$14+1,0),0)</f>
        <v/>
      </c>
      <c r="J795" s="141">
        <f>IFERROR(VLOOKUP($B795,calc_data,J$14+1,0),0)</f>
        <v/>
      </c>
      <c r="K795" s="141">
        <f>IFERROR(VLOOKUP($B795,calc_data,K$14+1,0),0)</f>
        <v/>
      </c>
      <c r="L795" s="141">
        <f>IFERROR(VLOOKUP($B795,calc_data,L$14+1,0),0)</f>
        <v/>
      </c>
      <c r="M795" s="177">
        <f>IFERROR(VLOOKUP($B795,calc_data,M$14+1,0),0)</f>
        <v/>
      </c>
      <c r="N795" s="177">
        <f>IFERROR(VLOOKUP($B795,calc_data,N$14+1,0),0)</f>
        <v/>
      </c>
      <c r="O795" s="45" t="n"/>
      <c r="Q795" s="57">
        <f>IF(K795&gt;0,"показать","скрыть")</f>
        <v/>
      </c>
    </row>
    <row r="796" ht="15.75" customHeight="1">
      <c r="B796" s="182" t="n">
        <v>780</v>
      </c>
      <c r="C796" s="182">
        <f>IFERROR(VLOOKUP($B796,calc_data,C$14+1,0),0)</f>
        <v/>
      </c>
      <c r="D796" s="182">
        <f>IFERROR(VLOOKUP($B796,calc_data,D$14+1,0),0)</f>
        <v/>
      </c>
      <c r="E796" s="183">
        <f>IFERROR(VLOOKUP($B796,calc_data,E$14+1,0),0)</f>
        <v/>
      </c>
      <c r="F796" s="182">
        <f>IFERROR(VLOOKUP($B796,calc_data,F$14+1,0),0)</f>
        <v/>
      </c>
      <c r="G796" s="141">
        <f>IFERROR(VLOOKUP($B796,calc_data,G$14+1,0),0)</f>
        <v/>
      </c>
      <c r="H796" s="141">
        <f>IFERROR(VLOOKUP($B796,calc_data,H$14+1,0),0)</f>
        <v/>
      </c>
      <c r="I796" s="142">
        <f>IFERROR(VLOOKUP($B796,calc_data,I$14+1,0),0)</f>
        <v/>
      </c>
      <c r="J796" s="141">
        <f>IFERROR(VLOOKUP($B796,calc_data,J$14+1,0),0)</f>
        <v/>
      </c>
      <c r="K796" s="141">
        <f>IFERROR(VLOOKUP($B796,calc_data,K$14+1,0),0)</f>
        <v/>
      </c>
      <c r="L796" s="141">
        <f>IFERROR(VLOOKUP($B796,calc_data,L$14+1,0),0)</f>
        <v/>
      </c>
      <c r="M796" s="177">
        <f>IFERROR(VLOOKUP($B796,calc_data,M$14+1,0),0)</f>
        <v/>
      </c>
      <c r="N796" s="177">
        <f>IFERROR(VLOOKUP($B796,calc_data,N$14+1,0),0)</f>
        <v/>
      </c>
      <c r="O796" s="45" t="n"/>
      <c r="Q796" s="57">
        <f>IF(K796&gt;0,"показать","скрыть")</f>
        <v/>
      </c>
    </row>
    <row r="797" ht="15.75" customHeight="1">
      <c r="B797" s="182" t="n">
        <v>781</v>
      </c>
      <c r="C797" s="182">
        <f>IFERROR(VLOOKUP($B797,calc_data,C$14+1,0),0)</f>
        <v/>
      </c>
      <c r="D797" s="182">
        <f>IFERROR(VLOOKUP($B797,calc_data,D$14+1,0),0)</f>
        <v/>
      </c>
      <c r="E797" s="183">
        <f>IFERROR(VLOOKUP($B797,calc_data,E$14+1,0),0)</f>
        <v/>
      </c>
      <c r="F797" s="182">
        <f>IFERROR(VLOOKUP($B797,calc_data,F$14+1,0),0)</f>
        <v/>
      </c>
      <c r="G797" s="141">
        <f>IFERROR(VLOOKUP($B797,calc_data,G$14+1,0),0)</f>
        <v/>
      </c>
      <c r="H797" s="141">
        <f>IFERROR(VLOOKUP($B797,calc_data,H$14+1,0),0)</f>
        <v/>
      </c>
      <c r="I797" s="142">
        <f>IFERROR(VLOOKUP($B797,calc_data,I$14+1,0),0)</f>
        <v/>
      </c>
      <c r="J797" s="141">
        <f>IFERROR(VLOOKUP($B797,calc_data,J$14+1,0),0)</f>
        <v/>
      </c>
      <c r="K797" s="141">
        <f>IFERROR(VLOOKUP($B797,calc_data,K$14+1,0),0)</f>
        <v/>
      </c>
      <c r="L797" s="141">
        <f>IFERROR(VLOOKUP($B797,calc_data,L$14+1,0),0)</f>
        <v/>
      </c>
      <c r="M797" s="177">
        <f>IFERROR(VLOOKUP($B797,calc_data,M$14+1,0),0)</f>
        <v/>
      </c>
      <c r="N797" s="177">
        <f>IFERROR(VLOOKUP($B797,calc_data,N$14+1,0),0)</f>
        <v/>
      </c>
      <c r="O797" s="45" t="n"/>
      <c r="Q797" s="57">
        <f>IF(K797&gt;0,"показать","скрыть")</f>
        <v/>
      </c>
    </row>
    <row r="798" ht="15.75" customHeight="1">
      <c r="B798" s="182" t="n">
        <v>782</v>
      </c>
      <c r="C798" s="182">
        <f>IFERROR(VLOOKUP($B798,calc_data,C$14+1,0),0)</f>
        <v/>
      </c>
      <c r="D798" s="182">
        <f>IFERROR(VLOOKUP($B798,calc_data,D$14+1,0),0)</f>
        <v/>
      </c>
      <c r="E798" s="183">
        <f>IFERROR(VLOOKUP($B798,calc_data,E$14+1,0),0)</f>
        <v/>
      </c>
      <c r="F798" s="182">
        <f>IFERROR(VLOOKUP($B798,calc_data,F$14+1,0),0)</f>
        <v/>
      </c>
      <c r="G798" s="141">
        <f>IFERROR(VLOOKUP($B798,calc_data,G$14+1,0),0)</f>
        <v/>
      </c>
      <c r="H798" s="141">
        <f>IFERROR(VLOOKUP($B798,calc_data,H$14+1,0),0)</f>
        <v/>
      </c>
      <c r="I798" s="142">
        <f>IFERROR(VLOOKUP($B798,calc_data,I$14+1,0),0)</f>
        <v/>
      </c>
      <c r="J798" s="141">
        <f>IFERROR(VLOOKUP($B798,calc_data,J$14+1,0),0)</f>
        <v/>
      </c>
      <c r="K798" s="141">
        <f>IFERROR(VLOOKUP($B798,calc_data,K$14+1,0),0)</f>
        <v/>
      </c>
      <c r="L798" s="141">
        <f>IFERROR(VLOOKUP($B798,calc_data,L$14+1,0),0)</f>
        <v/>
      </c>
      <c r="M798" s="177">
        <f>IFERROR(VLOOKUP($B798,calc_data,M$14+1,0),0)</f>
        <v/>
      </c>
      <c r="N798" s="177">
        <f>IFERROR(VLOOKUP($B798,calc_data,N$14+1,0),0)</f>
        <v/>
      </c>
      <c r="O798" s="45" t="n"/>
      <c r="Q798" s="57">
        <f>IF(K798&gt;0,"показать","скрыть")</f>
        <v/>
      </c>
    </row>
    <row r="799" ht="15.75" customHeight="1">
      <c r="B799" s="182" t="n">
        <v>783</v>
      </c>
      <c r="C799" s="182">
        <f>IFERROR(VLOOKUP($B799,calc_data,C$14+1,0),0)</f>
        <v/>
      </c>
      <c r="D799" s="182">
        <f>IFERROR(VLOOKUP($B799,calc_data,D$14+1,0),0)</f>
        <v/>
      </c>
      <c r="E799" s="183">
        <f>IFERROR(VLOOKUP($B799,calc_data,E$14+1,0),0)</f>
        <v/>
      </c>
      <c r="F799" s="182">
        <f>IFERROR(VLOOKUP($B799,calc_data,F$14+1,0),0)</f>
        <v/>
      </c>
      <c r="G799" s="141">
        <f>IFERROR(VLOOKUP($B799,calc_data,G$14+1,0),0)</f>
        <v/>
      </c>
      <c r="H799" s="141">
        <f>IFERROR(VLOOKUP($B799,calc_data,H$14+1,0),0)</f>
        <v/>
      </c>
      <c r="I799" s="142">
        <f>IFERROR(VLOOKUP($B799,calc_data,I$14+1,0),0)</f>
        <v/>
      </c>
      <c r="J799" s="141">
        <f>IFERROR(VLOOKUP($B799,calc_data,J$14+1,0),0)</f>
        <v/>
      </c>
      <c r="K799" s="141">
        <f>IFERROR(VLOOKUP($B799,calc_data,K$14+1,0),0)</f>
        <v/>
      </c>
      <c r="L799" s="141">
        <f>IFERROR(VLOOKUP($B799,calc_data,L$14+1,0),0)</f>
        <v/>
      </c>
      <c r="M799" s="177">
        <f>IFERROR(VLOOKUP($B799,calc_data,M$14+1,0),0)</f>
        <v/>
      </c>
      <c r="N799" s="177">
        <f>IFERROR(VLOOKUP($B799,calc_data,N$14+1,0),0)</f>
        <v/>
      </c>
      <c r="O799" s="45" t="n"/>
      <c r="Q799" s="57">
        <f>IF(K799&gt;0,"показать","скрыть")</f>
        <v/>
      </c>
    </row>
    <row r="800" ht="15.75" customHeight="1">
      <c r="B800" s="182" t="n">
        <v>784</v>
      </c>
      <c r="C800" s="182">
        <f>IFERROR(VLOOKUP($B800,calc_data,C$14+1,0),0)</f>
        <v/>
      </c>
      <c r="D800" s="182">
        <f>IFERROR(VLOOKUP($B800,calc_data,D$14+1,0),0)</f>
        <v/>
      </c>
      <c r="E800" s="183">
        <f>IFERROR(VLOOKUP($B800,calc_data,E$14+1,0),0)</f>
        <v/>
      </c>
      <c r="F800" s="182">
        <f>IFERROR(VLOOKUP($B800,calc_data,F$14+1,0),0)</f>
        <v/>
      </c>
      <c r="G800" s="141">
        <f>IFERROR(VLOOKUP($B800,calc_data,G$14+1,0),0)</f>
        <v/>
      </c>
      <c r="H800" s="141">
        <f>IFERROR(VLOOKUP($B800,calc_data,H$14+1,0),0)</f>
        <v/>
      </c>
      <c r="I800" s="142">
        <f>IFERROR(VLOOKUP($B800,calc_data,I$14+1,0),0)</f>
        <v/>
      </c>
      <c r="J800" s="141">
        <f>IFERROR(VLOOKUP($B800,calc_data,J$14+1,0),0)</f>
        <v/>
      </c>
      <c r="K800" s="141">
        <f>IFERROR(VLOOKUP($B800,calc_data,K$14+1,0),0)</f>
        <v/>
      </c>
      <c r="L800" s="141">
        <f>IFERROR(VLOOKUP($B800,calc_data,L$14+1,0),0)</f>
        <v/>
      </c>
      <c r="M800" s="177">
        <f>IFERROR(VLOOKUP($B800,calc_data,M$14+1,0),0)</f>
        <v/>
      </c>
      <c r="N800" s="177">
        <f>IFERROR(VLOOKUP($B800,calc_data,N$14+1,0),0)</f>
        <v/>
      </c>
      <c r="O800" s="45" t="n"/>
      <c r="Q800" s="57">
        <f>IF(K800&gt;0,"показать","скрыть")</f>
        <v/>
      </c>
    </row>
    <row r="801" ht="15.75" customHeight="1">
      <c r="B801" s="182" t="n">
        <v>785</v>
      </c>
      <c r="C801" s="182">
        <f>IFERROR(VLOOKUP($B801,calc_data,C$14+1,0),0)</f>
        <v/>
      </c>
      <c r="D801" s="182">
        <f>IFERROR(VLOOKUP($B801,calc_data,D$14+1,0),0)</f>
        <v/>
      </c>
      <c r="E801" s="183">
        <f>IFERROR(VLOOKUP($B801,calc_data,E$14+1,0),0)</f>
        <v/>
      </c>
      <c r="F801" s="182">
        <f>IFERROR(VLOOKUP($B801,calc_data,F$14+1,0),0)</f>
        <v/>
      </c>
      <c r="G801" s="141">
        <f>IFERROR(VLOOKUP($B801,calc_data,G$14+1,0),0)</f>
        <v/>
      </c>
      <c r="H801" s="141">
        <f>IFERROR(VLOOKUP($B801,calc_data,H$14+1,0),0)</f>
        <v/>
      </c>
      <c r="I801" s="142">
        <f>IFERROR(VLOOKUP($B801,calc_data,I$14+1,0),0)</f>
        <v/>
      </c>
      <c r="J801" s="141">
        <f>IFERROR(VLOOKUP($B801,calc_data,J$14+1,0),0)</f>
        <v/>
      </c>
      <c r="K801" s="141">
        <f>IFERROR(VLOOKUP($B801,calc_data,K$14+1,0),0)</f>
        <v/>
      </c>
      <c r="L801" s="141">
        <f>IFERROR(VLOOKUP($B801,calc_data,L$14+1,0),0)</f>
        <v/>
      </c>
      <c r="M801" s="177">
        <f>IFERROR(VLOOKUP($B801,calc_data,M$14+1,0),0)</f>
        <v/>
      </c>
      <c r="N801" s="177">
        <f>IFERROR(VLOOKUP($B801,calc_data,N$14+1,0),0)</f>
        <v/>
      </c>
      <c r="O801" s="45" t="n"/>
      <c r="Q801" s="57">
        <f>IF(K801&gt;0,"показать","скрыть")</f>
        <v/>
      </c>
    </row>
    <row r="802" ht="15.75" customHeight="1">
      <c r="B802" s="182" t="n">
        <v>786</v>
      </c>
      <c r="C802" s="182">
        <f>IFERROR(VLOOKUP($B802,calc_data,C$14+1,0),0)</f>
        <v/>
      </c>
      <c r="D802" s="182">
        <f>IFERROR(VLOOKUP($B802,calc_data,D$14+1,0),0)</f>
        <v/>
      </c>
      <c r="E802" s="183">
        <f>IFERROR(VLOOKUP($B802,calc_data,E$14+1,0),0)</f>
        <v/>
      </c>
      <c r="F802" s="182">
        <f>IFERROR(VLOOKUP($B802,calc_data,F$14+1,0),0)</f>
        <v/>
      </c>
      <c r="G802" s="141">
        <f>IFERROR(VLOOKUP($B802,calc_data,G$14+1,0),0)</f>
        <v/>
      </c>
      <c r="H802" s="141">
        <f>IFERROR(VLOOKUP($B802,calc_data,H$14+1,0),0)</f>
        <v/>
      </c>
      <c r="I802" s="142">
        <f>IFERROR(VLOOKUP($B802,calc_data,I$14+1,0),0)</f>
        <v/>
      </c>
      <c r="J802" s="141">
        <f>IFERROR(VLOOKUP($B802,calc_data,J$14+1,0),0)</f>
        <v/>
      </c>
      <c r="K802" s="141">
        <f>IFERROR(VLOOKUP($B802,calc_data,K$14+1,0),0)</f>
        <v/>
      </c>
      <c r="L802" s="141">
        <f>IFERROR(VLOOKUP($B802,calc_data,L$14+1,0),0)</f>
        <v/>
      </c>
      <c r="M802" s="177">
        <f>IFERROR(VLOOKUP($B802,calc_data,M$14+1,0),0)</f>
        <v/>
      </c>
      <c r="N802" s="177">
        <f>IFERROR(VLOOKUP($B802,calc_data,N$14+1,0),0)</f>
        <v/>
      </c>
      <c r="O802" s="45" t="n"/>
      <c r="Q802" s="57">
        <f>IF(K802&gt;0,"показать","скрыть")</f>
        <v/>
      </c>
    </row>
    <row r="803" ht="15.75" customHeight="1">
      <c r="B803" s="182" t="n">
        <v>787</v>
      </c>
      <c r="C803" s="182">
        <f>IFERROR(VLOOKUP($B803,calc_data,C$14+1,0),0)</f>
        <v/>
      </c>
      <c r="D803" s="182">
        <f>IFERROR(VLOOKUP($B803,calc_data,D$14+1,0),0)</f>
        <v/>
      </c>
      <c r="E803" s="183">
        <f>IFERROR(VLOOKUP($B803,calc_data,E$14+1,0),0)</f>
        <v/>
      </c>
      <c r="F803" s="182">
        <f>IFERROR(VLOOKUP($B803,calc_data,F$14+1,0),0)</f>
        <v/>
      </c>
      <c r="G803" s="141">
        <f>IFERROR(VLOOKUP($B803,calc_data,G$14+1,0),0)</f>
        <v/>
      </c>
      <c r="H803" s="141">
        <f>IFERROR(VLOOKUP($B803,calc_data,H$14+1,0),0)</f>
        <v/>
      </c>
      <c r="I803" s="142">
        <f>IFERROR(VLOOKUP($B803,calc_data,I$14+1,0),0)</f>
        <v/>
      </c>
      <c r="J803" s="141">
        <f>IFERROR(VLOOKUP($B803,calc_data,J$14+1,0),0)</f>
        <v/>
      </c>
      <c r="K803" s="141">
        <f>IFERROR(VLOOKUP($B803,calc_data,K$14+1,0),0)</f>
        <v/>
      </c>
      <c r="L803" s="141">
        <f>IFERROR(VLOOKUP($B803,calc_data,L$14+1,0),0)</f>
        <v/>
      </c>
      <c r="M803" s="177">
        <f>IFERROR(VLOOKUP($B803,calc_data,M$14+1,0),0)</f>
        <v/>
      </c>
      <c r="N803" s="177">
        <f>IFERROR(VLOOKUP($B803,calc_data,N$14+1,0),0)</f>
        <v/>
      </c>
      <c r="O803" s="45" t="n"/>
      <c r="Q803" s="57">
        <f>IF(K803&gt;0,"показать","скрыть")</f>
        <v/>
      </c>
    </row>
    <row r="804" ht="15.75" customHeight="1">
      <c r="B804" s="182" t="n">
        <v>788</v>
      </c>
      <c r="C804" s="182">
        <f>IFERROR(VLOOKUP($B804,calc_data,C$14+1,0),0)</f>
        <v/>
      </c>
      <c r="D804" s="182">
        <f>IFERROR(VLOOKUP($B804,calc_data,D$14+1,0),0)</f>
        <v/>
      </c>
      <c r="E804" s="183">
        <f>IFERROR(VLOOKUP($B804,calc_data,E$14+1,0),0)</f>
        <v/>
      </c>
      <c r="F804" s="182">
        <f>IFERROR(VLOOKUP($B804,calc_data,F$14+1,0),0)</f>
        <v/>
      </c>
      <c r="G804" s="141">
        <f>IFERROR(VLOOKUP($B804,calc_data,G$14+1,0),0)</f>
        <v/>
      </c>
      <c r="H804" s="141">
        <f>IFERROR(VLOOKUP($B804,calc_data,H$14+1,0),0)</f>
        <v/>
      </c>
      <c r="I804" s="142">
        <f>IFERROR(VLOOKUP($B804,calc_data,I$14+1,0),0)</f>
        <v/>
      </c>
      <c r="J804" s="141">
        <f>IFERROR(VLOOKUP($B804,calc_data,J$14+1,0),0)</f>
        <v/>
      </c>
      <c r="K804" s="141">
        <f>IFERROR(VLOOKUP($B804,calc_data,K$14+1,0),0)</f>
        <v/>
      </c>
      <c r="L804" s="141">
        <f>IFERROR(VLOOKUP($B804,calc_data,L$14+1,0),0)</f>
        <v/>
      </c>
      <c r="M804" s="177">
        <f>IFERROR(VLOOKUP($B804,calc_data,M$14+1,0),0)</f>
        <v/>
      </c>
      <c r="N804" s="177">
        <f>IFERROR(VLOOKUP($B804,calc_data,N$14+1,0),0)</f>
        <v/>
      </c>
      <c r="O804" s="45" t="n"/>
      <c r="Q804" s="57">
        <f>IF(K804&gt;0,"показать","скрыть")</f>
        <v/>
      </c>
    </row>
    <row r="805" ht="15.75" customHeight="1">
      <c r="B805" s="182" t="n">
        <v>789</v>
      </c>
      <c r="C805" s="182">
        <f>IFERROR(VLOOKUP($B805,calc_data,C$14+1,0),0)</f>
        <v/>
      </c>
      <c r="D805" s="182">
        <f>IFERROR(VLOOKUP($B805,calc_data,D$14+1,0),0)</f>
        <v/>
      </c>
      <c r="E805" s="183">
        <f>IFERROR(VLOOKUP($B805,calc_data,E$14+1,0),0)</f>
        <v/>
      </c>
      <c r="F805" s="182">
        <f>IFERROR(VLOOKUP($B805,calc_data,F$14+1,0),0)</f>
        <v/>
      </c>
      <c r="G805" s="141">
        <f>IFERROR(VLOOKUP($B805,calc_data,G$14+1,0),0)</f>
        <v/>
      </c>
      <c r="H805" s="141">
        <f>IFERROR(VLOOKUP($B805,calc_data,H$14+1,0),0)</f>
        <v/>
      </c>
      <c r="I805" s="142">
        <f>IFERROR(VLOOKUP($B805,calc_data,I$14+1,0),0)</f>
        <v/>
      </c>
      <c r="J805" s="141">
        <f>IFERROR(VLOOKUP($B805,calc_data,J$14+1,0),0)</f>
        <v/>
      </c>
      <c r="K805" s="141">
        <f>IFERROR(VLOOKUP($B805,calc_data,K$14+1,0),0)</f>
        <v/>
      </c>
      <c r="L805" s="141">
        <f>IFERROR(VLOOKUP($B805,calc_data,L$14+1,0),0)</f>
        <v/>
      </c>
      <c r="M805" s="177">
        <f>IFERROR(VLOOKUP($B805,calc_data,M$14+1,0),0)</f>
        <v/>
      </c>
      <c r="N805" s="177">
        <f>IFERROR(VLOOKUP($B805,calc_data,N$14+1,0),0)</f>
        <v/>
      </c>
      <c r="O805" s="45" t="n"/>
      <c r="Q805" s="57">
        <f>IF(K805&gt;0,"показать","скрыть")</f>
        <v/>
      </c>
    </row>
    <row r="806" ht="15.75" customHeight="1">
      <c r="B806" s="182" t="n">
        <v>790</v>
      </c>
      <c r="C806" s="182">
        <f>IFERROR(VLOOKUP($B806,calc_data,C$14+1,0),0)</f>
        <v/>
      </c>
      <c r="D806" s="182">
        <f>IFERROR(VLOOKUP($B806,calc_data,D$14+1,0),0)</f>
        <v/>
      </c>
      <c r="E806" s="183">
        <f>IFERROR(VLOOKUP($B806,calc_data,E$14+1,0),0)</f>
        <v/>
      </c>
      <c r="F806" s="182">
        <f>IFERROR(VLOOKUP($B806,calc_data,F$14+1,0),0)</f>
        <v/>
      </c>
      <c r="G806" s="141">
        <f>IFERROR(VLOOKUP($B806,calc_data,G$14+1,0),0)</f>
        <v/>
      </c>
      <c r="H806" s="141">
        <f>IFERROR(VLOOKUP($B806,calc_data,H$14+1,0),0)</f>
        <v/>
      </c>
      <c r="I806" s="142">
        <f>IFERROR(VLOOKUP($B806,calc_data,I$14+1,0),0)</f>
        <v/>
      </c>
      <c r="J806" s="141">
        <f>IFERROR(VLOOKUP($B806,calc_data,J$14+1,0),0)</f>
        <v/>
      </c>
      <c r="K806" s="141">
        <f>IFERROR(VLOOKUP($B806,calc_data,K$14+1,0),0)</f>
        <v/>
      </c>
      <c r="L806" s="141">
        <f>IFERROR(VLOOKUP($B806,calc_data,L$14+1,0),0)</f>
        <v/>
      </c>
      <c r="M806" s="177">
        <f>IFERROR(VLOOKUP($B806,calc_data,M$14+1,0),0)</f>
        <v/>
      </c>
      <c r="N806" s="177">
        <f>IFERROR(VLOOKUP($B806,calc_data,N$14+1,0),0)</f>
        <v/>
      </c>
      <c r="O806" s="45" t="n"/>
      <c r="Q806" s="57">
        <f>IF(K806&gt;0,"показать","скрыть")</f>
        <v/>
      </c>
    </row>
    <row r="807" ht="15.75" customHeight="1">
      <c r="B807" s="182" t="n">
        <v>791</v>
      </c>
      <c r="C807" s="182">
        <f>IFERROR(VLOOKUP($B807,calc_data,C$14+1,0),0)</f>
        <v/>
      </c>
      <c r="D807" s="182">
        <f>IFERROR(VLOOKUP($B807,calc_data,D$14+1,0),0)</f>
        <v/>
      </c>
      <c r="E807" s="183">
        <f>IFERROR(VLOOKUP($B807,calc_data,E$14+1,0),0)</f>
        <v/>
      </c>
      <c r="F807" s="182">
        <f>IFERROR(VLOOKUP($B807,calc_data,F$14+1,0),0)</f>
        <v/>
      </c>
      <c r="G807" s="141">
        <f>IFERROR(VLOOKUP($B807,calc_data,G$14+1,0),0)</f>
        <v/>
      </c>
      <c r="H807" s="141">
        <f>IFERROR(VLOOKUP($B807,calc_data,H$14+1,0),0)</f>
        <v/>
      </c>
      <c r="I807" s="142">
        <f>IFERROR(VLOOKUP($B807,calc_data,I$14+1,0),0)</f>
        <v/>
      </c>
      <c r="J807" s="141">
        <f>IFERROR(VLOOKUP($B807,calc_data,J$14+1,0),0)</f>
        <v/>
      </c>
      <c r="K807" s="141">
        <f>IFERROR(VLOOKUP($B807,calc_data,K$14+1,0),0)</f>
        <v/>
      </c>
      <c r="L807" s="141">
        <f>IFERROR(VLOOKUP($B807,calc_data,L$14+1,0),0)</f>
        <v/>
      </c>
      <c r="M807" s="177">
        <f>IFERROR(VLOOKUP($B807,calc_data,M$14+1,0),0)</f>
        <v/>
      </c>
      <c r="N807" s="177">
        <f>IFERROR(VLOOKUP($B807,calc_data,N$14+1,0),0)</f>
        <v/>
      </c>
      <c r="O807" s="45" t="n"/>
      <c r="Q807" s="57">
        <f>IF(K807&gt;0,"показать","скрыть")</f>
        <v/>
      </c>
    </row>
    <row r="808" ht="15.75" customHeight="1">
      <c r="B808" s="182" t="n">
        <v>792</v>
      </c>
      <c r="C808" s="182">
        <f>IFERROR(VLOOKUP($B808,calc_data,C$14+1,0),0)</f>
        <v/>
      </c>
      <c r="D808" s="182">
        <f>IFERROR(VLOOKUP($B808,calc_data,D$14+1,0),0)</f>
        <v/>
      </c>
      <c r="E808" s="183">
        <f>IFERROR(VLOOKUP($B808,calc_data,E$14+1,0),0)</f>
        <v/>
      </c>
      <c r="F808" s="182">
        <f>IFERROR(VLOOKUP($B808,calc_data,F$14+1,0),0)</f>
        <v/>
      </c>
      <c r="G808" s="141">
        <f>IFERROR(VLOOKUP($B808,calc_data,G$14+1,0),0)</f>
        <v/>
      </c>
      <c r="H808" s="141">
        <f>IFERROR(VLOOKUP($B808,calc_data,H$14+1,0),0)</f>
        <v/>
      </c>
      <c r="I808" s="142">
        <f>IFERROR(VLOOKUP($B808,calc_data,I$14+1,0),0)</f>
        <v/>
      </c>
      <c r="J808" s="141">
        <f>IFERROR(VLOOKUP($B808,calc_data,J$14+1,0),0)</f>
        <v/>
      </c>
      <c r="K808" s="141">
        <f>IFERROR(VLOOKUP($B808,calc_data,K$14+1,0),0)</f>
        <v/>
      </c>
      <c r="L808" s="141">
        <f>IFERROR(VLOOKUP($B808,calc_data,L$14+1,0),0)</f>
        <v/>
      </c>
      <c r="M808" s="177">
        <f>IFERROR(VLOOKUP($B808,calc_data,M$14+1,0),0)</f>
        <v/>
      </c>
      <c r="N808" s="177">
        <f>IFERROR(VLOOKUP($B808,calc_data,N$14+1,0),0)</f>
        <v/>
      </c>
      <c r="O808" s="45" t="n"/>
      <c r="Q808" s="57">
        <f>IF(K808&gt;0,"показать","скрыть")</f>
        <v/>
      </c>
    </row>
    <row r="809" ht="15.75" customHeight="1">
      <c r="B809" s="182" t="n">
        <v>793</v>
      </c>
      <c r="C809" s="182">
        <f>IFERROR(VLOOKUP($B809,calc_data,C$14+1,0),0)</f>
        <v/>
      </c>
      <c r="D809" s="182">
        <f>IFERROR(VLOOKUP($B809,calc_data,D$14+1,0),0)</f>
        <v/>
      </c>
      <c r="E809" s="183">
        <f>IFERROR(VLOOKUP($B809,calc_data,E$14+1,0),0)</f>
        <v/>
      </c>
      <c r="F809" s="182">
        <f>IFERROR(VLOOKUP($B809,calc_data,F$14+1,0),0)</f>
        <v/>
      </c>
      <c r="G809" s="141">
        <f>IFERROR(VLOOKUP($B809,calc_data,G$14+1,0),0)</f>
        <v/>
      </c>
      <c r="H809" s="141">
        <f>IFERROR(VLOOKUP($B809,calc_data,H$14+1,0),0)</f>
        <v/>
      </c>
      <c r="I809" s="142">
        <f>IFERROR(VLOOKUP($B809,calc_data,I$14+1,0),0)</f>
        <v/>
      </c>
      <c r="J809" s="141">
        <f>IFERROR(VLOOKUP($B809,calc_data,J$14+1,0),0)</f>
        <v/>
      </c>
      <c r="K809" s="141">
        <f>IFERROR(VLOOKUP($B809,calc_data,K$14+1,0),0)</f>
        <v/>
      </c>
      <c r="L809" s="141">
        <f>IFERROR(VLOOKUP($B809,calc_data,L$14+1,0),0)</f>
        <v/>
      </c>
      <c r="M809" s="177">
        <f>IFERROR(VLOOKUP($B809,calc_data,M$14+1,0),0)</f>
        <v/>
      </c>
      <c r="N809" s="177">
        <f>IFERROR(VLOOKUP($B809,calc_data,N$14+1,0),0)</f>
        <v/>
      </c>
      <c r="O809" s="45" t="n"/>
      <c r="Q809" s="57">
        <f>IF(K809&gt;0,"показать","скрыть")</f>
        <v/>
      </c>
    </row>
    <row r="810" ht="15.75" customHeight="1">
      <c r="B810" s="182" t="n">
        <v>794</v>
      </c>
      <c r="C810" s="182">
        <f>IFERROR(VLOOKUP($B810,calc_data,C$14+1,0),0)</f>
        <v/>
      </c>
      <c r="D810" s="182">
        <f>IFERROR(VLOOKUP($B810,calc_data,D$14+1,0),0)</f>
        <v/>
      </c>
      <c r="E810" s="183">
        <f>IFERROR(VLOOKUP($B810,calc_data,E$14+1,0),0)</f>
        <v/>
      </c>
      <c r="F810" s="182">
        <f>IFERROR(VLOOKUP($B810,calc_data,F$14+1,0),0)</f>
        <v/>
      </c>
      <c r="G810" s="141">
        <f>IFERROR(VLOOKUP($B810,calc_data,G$14+1,0),0)</f>
        <v/>
      </c>
      <c r="H810" s="141">
        <f>IFERROR(VLOOKUP($B810,calc_data,H$14+1,0),0)</f>
        <v/>
      </c>
      <c r="I810" s="142">
        <f>IFERROR(VLOOKUP($B810,calc_data,I$14+1,0),0)</f>
        <v/>
      </c>
      <c r="J810" s="141">
        <f>IFERROR(VLOOKUP($B810,calc_data,J$14+1,0),0)</f>
        <v/>
      </c>
      <c r="K810" s="141">
        <f>IFERROR(VLOOKUP($B810,calc_data,K$14+1,0),0)</f>
        <v/>
      </c>
      <c r="L810" s="141">
        <f>IFERROR(VLOOKUP($B810,calc_data,L$14+1,0),0)</f>
        <v/>
      </c>
      <c r="M810" s="177">
        <f>IFERROR(VLOOKUP($B810,calc_data,M$14+1,0),0)</f>
        <v/>
      </c>
      <c r="N810" s="177">
        <f>IFERROR(VLOOKUP($B810,calc_data,N$14+1,0),0)</f>
        <v/>
      </c>
      <c r="O810" s="45" t="n"/>
      <c r="Q810" s="57">
        <f>IF(K810&gt;0,"показать","скрыть")</f>
        <v/>
      </c>
    </row>
    <row r="811" ht="15.75" customHeight="1">
      <c r="B811" s="182" t="n">
        <v>795</v>
      </c>
      <c r="C811" s="182">
        <f>IFERROR(VLOOKUP($B811,calc_data,C$14+1,0),0)</f>
        <v/>
      </c>
      <c r="D811" s="182">
        <f>IFERROR(VLOOKUP($B811,calc_data,D$14+1,0),0)</f>
        <v/>
      </c>
      <c r="E811" s="183">
        <f>IFERROR(VLOOKUP($B811,calc_data,E$14+1,0),0)</f>
        <v/>
      </c>
      <c r="F811" s="182">
        <f>IFERROR(VLOOKUP($B811,calc_data,F$14+1,0),0)</f>
        <v/>
      </c>
      <c r="G811" s="141">
        <f>IFERROR(VLOOKUP($B811,calc_data,G$14+1,0),0)</f>
        <v/>
      </c>
      <c r="H811" s="141">
        <f>IFERROR(VLOOKUP($B811,calc_data,H$14+1,0),0)</f>
        <v/>
      </c>
      <c r="I811" s="142">
        <f>IFERROR(VLOOKUP($B811,calc_data,I$14+1,0),0)</f>
        <v/>
      </c>
      <c r="J811" s="141">
        <f>IFERROR(VLOOKUP($B811,calc_data,J$14+1,0),0)</f>
        <v/>
      </c>
      <c r="K811" s="141">
        <f>IFERROR(VLOOKUP($B811,calc_data,K$14+1,0),0)</f>
        <v/>
      </c>
      <c r="L811" s="141">
        <f>IFERROR(VLOOKUP($B811,calc_data,L$14+1,0),0)</f>
        <v/>
      </c>
      <c r="M811" s="177">
        <f>IFERROR(VLOOKUP($B811,calc_data,M$14+1,0),0)</f>
        <v/>
      </c>
      <c r="N811" s="177">
        <f>IFERROR(VLOOKUP($B811,calc_data,N$14+1,0),0)</f>
        <v/>
      </c>
      <c r="O811" s="45" t="n"/>
      <c r="Q811" s="57">
        <f>IF(K811&gt;0,"показать","скрыть")</f>
        <v/>
      </c>
    </row>
    <row r="812" ht="15.75" customHeight="1">
      <c r="B812" s="182" t="n">
        <v>796</v>
      </c>
      <c r="C812" s="182">
        <f>IFERROR(VLOOKUP($B812,calc_data,C$14+1,0),0)</f>
        <v/>
      </c>
      <c r="D812" s="182">
        <f>IFERROR(VLOOKUP($B812,calc_data,D$14+1,0),0)</f>
        <v/>
      </c>
      <c r="E812" s="183">
        <f>IFERROR(VLOOKUP($B812,calc_data,E$14+1,0),0)</f>
        <v/>
      </c>
      <c r="F812" s="182">
        <f>IFERROR(VLOOKUP($B812,calc_data,F$14+1,0),0)</f>
        <v/>
      </c>
      <c r="G812" s="141">
        <f>IFERROR(VLOOKUP($B812,calc_data,G$14+1,0),0)</f>
        <v/>
      </c>
      <c r="H812" s="141">
        <f>IFERROR(VLOOKUP($B812,calc_data,H$14+1,0),0)</f>
        <v/>
      </c>
      <c r="I812" s="142">
        <f>IFERROR(VLOOKUP($B812,calc_data,I$14+1,0),0)</f>
        <v/>
      </c>
      <c r="J812" s="141">
        <f>IFERROR(VLOOKUP($B812,calc_data,J$14+1,0),0)</f>
        <v/>
      </c>
      <c r="K812" s="141">
        <f>IFERROR(VLOOKUP($B812,calc_data,K$14+1,0),0)</f>
        <v/>
      </c>
      <c r="L812" s="141">
        <f>IFERROR(VLOOKUP($B812,calc_data,L$14+1,0),0)</f>
        <v/>
      </c>
      <c r="M812" s="177">
        <f>IFERROR(VLOOKUP($B812,calc_data,M$14+1,0),0)</f>
        <v/>
      </c>
      <c r="N812" s="177">
        <f>IFERROR(VLOOKUP($B812,calc_data,N$14+1,0),0)</f>
        <v/>
      </c>
      <c r="O812" s="45" t="n"/>
      <c r="Q812" s="57">
        <f>IF(K812&gt;0,"показать","скрыть")</f>
        <v/>
      </c>
    </row>
    <row r="813" ht="15.75" customHeight="1">
      <c r="B813" s="182" t="n">
        <v>797</v>
      </c>
      <c r="C813" s="182">
        <f>IFERROR(VLOOKUP($B813,calc_data,C$14+1,0),0)</f>
        <v/>
      </c>
      <c r="D813" s="182">
        <f>IFERROR(VLOOKUP($B813,calc_data,D$14+1,0),0)</f>
        <v/>
      </c>
      <c r="E813" s="183">
        <f>IFERROR(VLOOKUP($B813,calc_data,E$14+1,0),0)</f>
        <v/>
      </c>
      <c r="F813" s="182">
        <f>IFERROR(VLOOKUP($B813,calc_data,F$14+1,0),0)</f>
        <v/>
      </c>
      <c r="G813" s="141">
        <f>IFERROR(VLOOKUP($B813,calc_data,G$14+1,0),0)</f>
        <v/>
      </c>
      <c r="H813" s="141">
        <f>IFERROR(VLOOKUP($B813,calc_data,H$14+1,0),0)</f>
        <v/>
      </c>
      <c r="I813" s="142">
        <f>IFERROR(VLOOKUP($B813,calc_data,I$14+1,0),0)</f>
        <v/>
      </c>
      <c r="J813" s="141">
        <f>IFERROR(VLOOKUP($B813,calc_data,J$14+1,0),0)</f>
        <v/>
      </c>
      <c r="K813" s="141">
        <f>IFERROR(VLOOKUP($B813,calc_data,K$14+1,0),0)</f>
        <v/>
      </c>
      <c r="L813" s="141">
        <f>IFERROR(VLOOKUP($B813,calc_data,L$14+1,0),0)</f>
        <v/>
      </c>
      <c r="M813" s="177">
        <f>IFERROR(VLOOKUP($B813,calc_data,M$14+1,0),0)</f>
        <v/>
      </c>
      <c r="N813" s="177">
        <f>IFERROR(VLOOKUP($B813,calc_data,N$14+1,0),0)</f>
        <v/>
      </c>
      <c r="O813" s="45" t="n"/>
      <c r="Q813" s="57">
        <f>IF(K813&gt;0,"показать","скрыть")</f>
        <v/>
      </c>
    </row>
    <row r="814" ht="15.75" customHeight="1">
      <c r="B814" s="182" t="n">
        <v>798</v>
      </c>
      <c r="C814" s="182">
        <f>IFERROR(VLOOKUP($B814,calc_data,C$14+1,0),0)</f>
        <v/>
      </c>
      <c r="D814" s="182">
        <f>IFERROR(VLOOKUP($B814,calc_data,D$14+1,0),0)</f>
        <v/>
      </c>
      <c r="E814" s="183">
        <f>IFERROR(VLOOKUP($B814,calc_data,E$14+1,0),0)</f>
        <v/>
      </c>
      <c r="F814" s="182">
        <f>IFERROR(VLOOKUP($B814,calc_data,F$14+1,0),0)</f>
        <v/>
      </c>
      <c r="G814" s="141">
        <f>IFERROR(VLOOKUP($B814,calc_data,G$14+1,0),0)</f>
        <v/>
      </c>
      <c r="H814" s="141">
        <f>IFERROR(VLOOKUP($B814,calc_data,H$14+1,0),0)</f>
        <v/>
      </c>
      <c r="I814" s="142">
        <f>IFERROR(VLOOKUP($B814,calc_data,I$14+1,0),0)</f>
        <v/>
      </c>
      <c r="J814" s="141">
        <f>IFERROR(VLOOKUP($B814,calc_data,J$14+1,0),0)</f>
        <v/>
      </c>
      <c r="K814" s="141">
        <f>IFERROR(VLOOKUP($B814,calc_data,K$14+1,0),0)</f>
        <v/>
      </c>
      <c r="L814" s="141">
        <f>IFERROR(VLOOKUP($B814,calc_data,L$14+1,0),0)</f>
        <v/>
      </c>
      <c r="M814" s="177">
        <f>IFERROR(VLOOKUP($B814,calc_data,M$14+1,0),0)</f>
        <v/>
      </c>
      <c r="N814" s="177">
        <f>IFERROR(VLOOKUP($B814,calc_data,N$14+1,0),0)</f>
        <v/>
      </c>
      <c r="O814" s="45" t="n"/>
      <c r="Q814" s="57">
        <f>IF(K814&gt;0,"показать","скрыть")</f>
        <v/>
      </c>
    </row>
    <row r="815" ht="15.75" customHeight="1">
      <c r="B815" s="182" t="n">
        <v>799</v>
      </c>
      <c r="C815" s="182">
        <f>IFERROR(VLOOKUP($B815,calc_data,C$14+1,0),0)</f>
        <v/>
      </c>
      <c r="D815" s="182">
        <f>IFERROR(VLOOKUP($B815,calc_data,D$14+1,0),0)</f>
        <v/>
      </c>
      <c r="E815" s="183">
        <f>IFERROR(VLOOKUP($B815,calc_data,E$14+1,0),0)</f>
        <v/>
      </c>
      <c r="F815" s="182">
        <f>IFERROR(VLOOKUP($B815,calc_data,F$14+1,0),0)</f>
        <v/>
      </c>
      <c r="G815" s="141">
        <f>IFERROR(VLOOKUP($B815,calc_data,G$14+1,0),0)</f>
        <v/>
      </c>
      <c r="H815" s="141">
        <f>IFERROR(VLOOKUP($B815,calc_data,H$14+1,0),0)</f>
        <v/>
      </c>
      <c r="I815" s="142">
        <f>IFERROR(VLOOKUP($B815,calc_data,I$14+1,0),0)</f>
        <v/>
      </c>
      <c r="J815" s="141">
        <f>IFERROR(VLOOKUP($B815,calc_data,J$14+1,0),0)</f>
        <v/>
      </c>
      <c r="K815" s="141">
        <f>IFERROR(VLOOKUP($B815,calc_data,K$14+1,0),0)</f>
        <v/>
      </c>
      <c r="L815" s="141">
        <f>IFERROR(VLOOKUP($B815,calc_data,L$14+1,0),0)</f>
        <v/>
      </c>
      <c r="M815" s="177">
        <f>IFERROR(VLOOKUP($B815,calc_data,M$14+1,0),0)</f>
        <v/>
      </c>
      <c r="N815" s="177">
        <f>IFERROR(VLOOKUP($B815,calc_data,N$14+1,0),0)</f>
        <v/>
      </c>
      <c r="O815" s="45" t="n"/>
      <c r="Q815" s="57">
        <f>IF(K815&gt;0,"показать","скрыть")</f>
        <v/>
      </c>
    </row>
    <row r="816" ht="15.75" customHeight="1">
      <c r="B816" s="182" t="n">
        <v>800</v>
      </c>
      <c r="C816" s="182">
        <f>IFERROR(VLOOKUP($B816,calc_data,C$14+1,0),0)</f>
        <v/>
      </c>
      <c r="D816" s="182">
        <f>IFERROR(VLOOKUP($B816,calc_data,D$14+1,0),0)</f>
        <v/>
      </c>
      <c r="E816" s="183">
        <f>IFERROR(VLOOKUP($B816,calc_data,E$14+1,0),0)</f>
        <v/>
      </c>
      <c r="F816" s="182">
        <f>IFERROR(VLOOKUP($B816,calc_data,F$14+1,0),0)</f>
        <v/>
      </c>
      <c r="G816" s="141">
        <f>IFERROR(VLOOKUP($B816,calc_data,G$14+1,0),0)</f>
        <v/>
      </c>
      <c r="H816" s="141">
        <f>IFERROR(VLOOKUP($B816,calc_data,H$14+1,0),0)</f>
        <v/>
      </c>
      <c r="I816" s="142">
        <f>IFERROR(VLOOKUP($B816,calc_data,I$14+1,0),0)</f>
        <v/>
      </c>
      <c r="J816" s="141">
        <f>IFERROR(VLOOKUP($B816,calc_data,J$14+1,0),0)</f>
        <v/>
      </c>
      <c r="K816" s="141">
        <f>IFERROR(VLOOKUP($B816,calc_data,K$14+1,0),0)</f>
        <v/>
      </c>
      <c r="L816" s="141">
        <f>IFERROR(VLOOKUP($B816,calc_data,L$14+1,0),0)</f>
        <v/>
      </c>
      <c r="M816" s="177">
        <f>IFERROR(VLOOKUP($B816,calc_data,M$14+1,0),0)</f>
        <v/>
      </c>
      <c r="N816" s="177">
        <f>IFERROR(VLOOKUP($B816,calc_data,N$14+1,0),0)</f>
        <v/>
      </c>
      <c r="O816" s="45" t="n"/>
      <c r="Q816" s="57">
        <f>IF(K816&gt;0,"показать","скрыть")</f>
        <v/>
      </c>
    </row>
    <row r="817" ht="15.75" customHeight="1">
      <c r="B817" s="182" t="n">
        <v>801</v>
      </c>
      <c r="C817" s="182">
        <f>IFERROR(VLOOKUP($B817,calc_data,C$14+1,0),0)</f>
        <v/>
      </c>
      <c r="D817" s="182">
        <f>IFERROR(VLOOKUP($B817,calc_data,D$14+1,0),0)</f>
        <v/>
      </c>
      <c r="E817" s="183">
        <f>IFERROR(VLOOKUP($B817,calc_data,E$14+1,0),0)</f>
        <v/>
      </c>
      <c r="F817" s="182">
        <f>IFERROR(VLOOKUP($B817,calc_data,F$14+1,0),0)</f>
        <v/>
      </c>
      <c r="G817" s="141">
        <f>IFERROR(VLOOKUP($B817,calc_data,G$14+1,0),0)</f>
        <v/>
      </c>
      <c r="H817" s="141">
        <f>IFERROR(VLOOKUP($B817,calc_data,H$14+1,0),0)</f>
        <v/>
      </c>
      <c r="I817" s="142">
        <f>IFERROR(VLOOKUP($B817,calc_data,I$14+1,0),0)</f>
        <v/>
      </c>
      <c r="J817" s="141">
        <f>IFERROR(VLOOKUP($B817,calc_data,J$14+1,0),0)</f>
        <v/>
      </c>
      <c r="K817" s="141">
        <f>IFERROR(VLOOKUP($B817,calc_data,K$14+1,0),0)</f>
        <v/>
      </c>
      <c r="L817" s="141">
        <f>IFERROR(VLOOKUP($B817,calc_data,L$14+1,0),0)</f>
        <v/>
      </c>
      <c r="M817" s="177">
        <f>IFERROR(VLOOKUP($B817,calc_data,M$14+1,0),0)</f>
        <v/>
      </c>
      <c r="N817" s="177">
        <f>IFERROR(VLOOKUP($B817,calc_data,N$14+1,0),0)</f>
        <v/>
      </c>
      <c r="O817" s="45" t="n"/>
      <c r="Q817" s="57">
        <f>IF(K817&gt;0,"показать","скрыть")</f>
        <v/>
      </c>
    </row>
    <row r="818" ht="15.75" customHeight="1">
      <c r="B818" s="182" t="n">
        <v>802</v>
      </c>
      <c r="C818" s="182">
        <f>IFERROR(VLOOKUP($B818,calc_data,C$14+1,0),0)</f>
        <v/>
      </c>
      <c r="D818" s="182">
        <f>IFERROR(VLOOKUP($B818,calc_data,D$14+1,0),0)</f>
        <v/>
      </c>
      <c r="E818" s="183">
        <f>IFERROR(VLOOKUP($B818,calc_data,E$14+1,0),0)</f>
        <v/>
      </c>
      <c r="F818" s="182">
        <f>IFERROR(VLOOKUP($B818,calc_data,F$14+1,0),0)</f>
        <v/>
      </c>
      <c r="G818" s="141">
        <f>IFERROR(VLOOKUP($B818,calc_data,G$14+1,0),0)</f>
        <v/>
      </c>
      <c r="H818" s="141">
        <f>IFERROR(VLOOKUP($B818,calc_data,H$14+1,0),0)</f>
        <v/>
      </c>
      <c r="I818" s="142">
        <f>IFERROR(VLOOKUP($B818,calc_data,I$14+1,0),0)</f>
        <v/>
      </c>
      <c r="J818" s="141">
        <f>IFERROR(VLOOKUP($B818,calc_data,J$14+1,0),0)</f>
        <v/>
      </c>
      <c r="K818" s="141">
        <f>IFERROR(VLOOKUP($B818,calc_data,K$14+1,0),0)</f>
        <v/>
      </c>
      <c r="L818" s="141">
        <f>IFERROR(VLOOKUP($B818,calc_data,L$14+1,0),0)</f>
        <v/>
      </c>
      <c r="M818" s="177">
        <f>IFERROR(VLOOKUP($B818,calc_data,M$14+1,0),0)</f>
        <v/>
      </c>
      <c r="N818" s="177">
        <f>IFERROR(VLOOKUP($B818,calc_data,N$14+1,0),0)</f>
        <v/>
      </c>
      <c r="O818" s="45" t="n"/>
      <c r="Q818" s="57">
        <f>IF(K818&gt;0,"показать","скрыть")</f>
        <v/>
      </c>
    </row>
    <row r="819" ht="15.75" customHeight="1">
      <c r="B819" s="182" t="n">
        <v>803</v>
      </c>
      <c r="C819" s="182">
        <f>IFERROR(VLOOKUP($B819,calc_data,C$14+1,0),0)</f>
        <v/>
      </c>
      <c r="D819" s="182">
        <f>IFERROR(VLOOKUP($B819,calc_data,D$14+1,0),0)</f>
        <v/>
      </c>
      <c r="E819" s="183">
        <f>IFERROR(VLOOKUP($B819,calc_data,E$14+1,0),0)</f>
        <v/>
      </c>
      <c r="F819" s="182">
        <f>IFERROR(VLOOKUP($B819,calc_data,F$14+1,0),0)</f>
        <v/>
      </c>
      <c r="G819" s="141">
        <f>IFERROR(VLOOKUP($B819,calc_data,G$14+1,0),0)</f>
        <v/>
      </c>
      <c r="H819" s="141">
        <f>IFERROR(VLOOKUP($B819,calc_data,H$14+1,0),0)</f>
        <v/>
      </c>
      <c r="I819" s="142">
        <f>IFERROR(VLOOKUP($B819,calc_data,I$14+1,0),0)</f>
        <v/>
      </c>
      <c r="J819" s="141">
        <f>IFERROR(VLOOKUP($B819,calc_data,J$14+1,0),0)</f>
        <v/>
      </c>
      <c r="K819" s="141">
        <f>IFERROR(VLOOKUP($B819,calc_data,K$14+1,0),0)</f>
        <v/>
      </c>
      <c r="L819" s="141">
        <f>IFERROR(VLOOKUP($B819,calc_data,L$14+1,0),0)</f>
        <v/>
      </c>
      <c r="M819" s="177">
        <f>IFERROR(VLOOKUP($B819,calc_data,M$14+1,0),0)</f>
        <v/>
      </c>
      <c r="N819" s="177">
        <f>IFERROR(VLOOKUP($B819,calc_data,N$14+1,0),0)</f>
        <v/>
      </c>
      <c r="O819" s="45" t="n"/>
      <c r="Q819" s="57">
        <f>IF(K819&gt;0,"показать","скрыть")</f>
        <v/>
      </c>
    </row>
    <row r="820" ht="15.75" customHeight="1">
      <c r="B820" s="182" t="n">
        <v>804</v>
      </c>
      <c r="C820" s="182">
        <f>IFERROR(VLOOKUP($B820,calc_data,C$14+1,0),0)</f>
        <v/>
      </c>
      <c r="D820" s="182">
        <f>IFERROR(VLOOKUP($B820,calc_data,D$14+1,0),0)</f>
        <v/>
      </c>
      <c r="E820" s="183">
        <f>IFERROR(VLOOKUP($B820,calc_data,E$14+1,0),0)</f>
        <v/>
      </c>
      <c r="F820" s="182">
        <f>IFERROR(VLOOKUP($B820,calc_data,F$14+1,0),0)</f>
        <v/>
      </c>
      <c r="G820" s="141">
        <f>IFERROR(VLOOKUP($B820,calc_data,G$14+1,0),0)</f>
        <v/>
      </c>
      <c r="H820" s="141">
        <f>IFERROR(VLOOKUP($B820,calc_data,H$14+1,0),0)</f>
        <v/>
      </c>
      <c r="I820" s="142">
        <f>IFERROR(VLOOKUP($B820,calc_data,I$14+1,0),0)</f>
        <v/>
      </c>
      <c r="J820" s="141">
        <f>IFERROR(VLOOKUP($B820,calc_data,J$14+1,0),0)</f>
        <v/>
      </c>
      <c r="K820" s="141">
        <f>IFERROR(VLOOKUP($B820,calc_data,K$14+1,0),0)</f>
        <v/>
      </c>
      <c r="L820" s="141">
        <f>IFERROR(VLOOKUP($B820,calc_data,L$14+1,0),0)</f>
        <v/>
      </c>
      <c r="M820" s="177">
        <f>IFERROR(VLOOKUP($B820,calc_data,M$14+1,0),0)</f>
        <v/>
      </c>
      <c r="N820" s="177">
        <f>IFERROR(VLOOKUP($B820,calc_data,N$14+1,0),0)</f>
        <v/>
      </c>
      <c r="O820" s="45" t="n"/>
      <c r="Q820" s="57">
        <f>IF(K820&gt;0,"показать","скрыть")</f>
        <v/>
      </c>
    </row>
    <row r="821" ht="15.75" customHeight="1">
      <c r="B821" s="182" t="n">
        <v>805</v>
      </c>
      <c r="C821" s="182">
        <f>IFERROR(VLOOKUP($B821,calc_data,C$14+1,0),0)</f>
        <v/>
      </c>
      <c r="D821" s="182">
        <f>IFERROR(VLOOKUP($B821,calc_data,D$14+1,0),0)</f>
        <v/>
      </c>
      <c r="E821" s="183">
        <f>IFERROR(VLOOKUP($B821,calc_data,E$14+1,0),0)</f>
        <v/>
      </c>
      <c r="F821" s="182">
        <f>IFERROR(VLOOKUP($B821,calc_data,F$14+1,0),0)</f>
        <v/>
      </c>
      <c r="G821" s="141">
        <f>IFERROR(VLOOKUP($B821,calc_data,G$14+1,0),0)</f>
        <v/>
      </c>
      <c r="H821" s="141">
        <f>IFERROR(VLOOKUP($B821,calc_data,H$14+1,0),0)</f>
        <v/>
      </c>
      <c r="I821" s="142">
        <f>IFERROR(VLOOKUP($B821,calc_data,I$14+1,0),0)</f>
        <v/>
      </c>
      <c r="J821" s="141">
        <f>IFERROR(VLOOKUP($B821,calc_data,J$14+1,0),0)</f>
        <v/>
      </c>
      <c r="K821" s="141">
        <f>IFERROR(VLOOKUP($B821,calc_data,K$14+1,0),0)</f>
        <v/>
      </c>
      <c r="L821" s="141">
        <f>IFERROR(VLOOKUP($B821,calc_data,L$14+1,0),0)</f>
        <v/>
      </c>
      <c r="M821" s="177">
        <f>IFERROR(VLOOKUP($B821,calc_data,M$14+1,0),0)</f>
        <v/>
      </c>
      <c r="N821" s="177">
        <f>IFERROR(VLOOKUP($B821,calc_data,N$14+1,0),0)</f>
        <v/>
      </c>
      <c r="O821" s="45" t="n"/>
      <c r="Q821" s="57">
        <f>IF(K821&gt;0,"показать","скрыть")</f>
        <v/>
      </c>
    </row>
    <row r="822" ht="15.75" customHeight="1">
      <c r="B822" s="182" t="n">
        <v>806</v>
      </c>
      <c r="C822" s="182">
        <f>IFERROR(VLOOKUP($B822,calc_data,C$14+1,0),0)</f>
        <v/>
      </c>
      <c r="D822" s="182">
        <f>IFERROR(VLOOKUP($B822,calc_data,D$14+1,0),0)</f>
        <v/>
      </c>
      <c r="E822" s="183">
        <f>IFERROR(VLOOKUP($B822,calc_data,E$14+1,0),0)</f>
        <v/>
      </c>
      <c r="F822" s="182">
        <f>IFERROR(VLOOKUP($B822,calc_data,F$14+1,0),0)</f>
        <v/>
      </c>
      <c r="G822" s="141">
        <f>IFERROR(VLOOKUP($B822,calc_data,G$14+1,0),0)</f>
        <v/>
      </c>
      <c r="H822" s="141">
        <f>IFERROR(VLOOKUP($B822,calc_data,H$14+1,0),0)</f>
        <v/>
      </c>
      <c r="I822" s="142">
        <f>IFERROR(VLOOKUP($B822,calc_data,I$14+1,0),0)</f>
        <v/>
      </c>
      <c r="J822" s="141">
        <f>IFERROR(VLOOKUP($B822,calc_data,J$14+1,0),0)</f>
        <v/>
      </c>
      <c r="K822" s="141">
        <f>IFERROR(VLOOKUP($B822,calc_data,K$14+1,0),0)</f>
        <v/>
      </c>
      <c r="L822" s="141">
        <f>IFERROR(VLOOKUP($B822,calc_data,L$14+1,0),0)</f>
        <v/>
      </c>
      <c r="M822" s="177">
        <f>IFERROR(VLOOKUP($B822,calc_data,M$14+1,0),0)</f>
        <v/>
      </c>
      <c r="N822" s="177">
        <f>IFERROR(VLOOKUP($B822,calc_data,N$14+1,0),0)</f>
        <v/>
      </c>
      <c r="O822" s="45" t="n"/>
      <c r="Q822" s="57">
        <f>IF(K822&gt;0,"показать","скрыть")</f>
        <v/>
      </c>
    </row>
    <row r="823" ht="15.75" customHeight="1">
      <c r="B823" s="182" t="n">
        <v>807</v>
      </c>
      <c r="C823" s="182">
        <f>IFERROR(VLOOKUP($B823,calc_data,C$14+1,0),0)</f>
        <v/>
      </c>
      <c r="D823" s="182">
        <f>IFERROR(VLOOKUP($B823,calc_data,D$14+1,0),0)</f>
        <v/>
      </c>
      <c r="E823" s="183">
        <f>IFERROR(VLOOKUP($B823,calc_data,E$14+1,0),0)</f>
        <v/>
      </c>
      <c r="F823" s="182">
        <f>IFERROR(VLOOKUP($B823,calc_data,F$14+1,0),0)</f>
        <v/>
      </c>
      <c r="G823" s="141">
        <f>IFERROR(VLOOKUP($B823,calc_data,G$14+1,0),0)</f>
        <v/>
      </c>
      <c r="H823" s="141">
        <f>IFERROR(VLOOKUP($B823,calc_data,H$14+1,0),0)</f>
        <v/>
      </c>
      <c r="I823" s="142">
        <f>IFERROR(VLOOKUP($B823,calc_data,I$14+1,0),0)</f>
        <v/>
      </c>
      <c r="J823" s="141">
        <f>IFERROR(VLOOKUP($B823,calc_data,J$14+1,0),0)</f>
        <v/>
      </c>
      <c r="K823" s="141">
        <f>IFERROR(VLOOKUP($B823,calc_data,K$14+1,0),0)</f>
        <v/>
      </c>
      <c r="L823" s="141">
        <f>IFERROR(VLOOKUP($B823,calc_data,L$14+1,0),0)</f>
        <v/>
      </c>
      <c r="M823" s="177">
        <f>IFERROR(VLOOKUP($B823,calc_data,M$14+1,0),0)</f>
        <v/>
      </c>
      <c r="N823" s="177">
        <f>IFERROR(VLOOKUP($B823,calc_data,N$14+1,0),0)</f>
        <v/>
      </c>
      <c r="O823" s="45" t="n"/>
      <c r="Q823" s="57">
        <f>IF(K823&gt;0,"показать","скрыть")</f>
        <v/>
      </c>
    </row>
    <row r="824" ht="15.75" customHeight="1">
      <c r="B824" s="182" t="n">
        <v>808</v>
      </c>
      <c r="C824" s="182">
        <f>IFERROR(VLOOKUP($B824,calc_data,C$14+1,0),0)</f>
        <v/>
      </c>
      <c r="D824" s="182">
        <f>IFERROR(VLOOKUP($B824,calc_data,D$14+1,0),0)</f>
        <v/>
      </c>
      <c r="E824" s="183">
        <f>IFERROR(VLOOKUP($B824,calc_data,E$14+1,0),0)</f>
        <v/>
      </c>
      <c r="F824" s="182">
        <f>IFERROR(VLOOKUP($B824,calc_data,F$14+1,0),0)</f>
        <v/>
      </c>
      <c r="G824" s="141">
        <f>IFERROR(VLOOKUP($B824,calc_data,G$14+1,0),0)</f>
        <v/>
      </c>
      <c r="H824" s="141">
        <f>IFERROR(VLOOKUP($B824,calc_data,H$14+1,0),0)</f>
        <v/>
      </c>
      <c r="I824" s="142">
        <f>IFERROR(VLOOKUP($B824,calc_data,I$14+1,0),0)</f>
        <v/>
      </c>
      <c r="J824" s="141">
        <f>IFERROR(VLOOKUP($B824,calc_data,J$14+1,0),0)</f>
        <v/>
      </c>
      <c r="K824" s="141">
        <f>IFERROR(VLOOKUP($B824,calc_data,K$14+1,0),0)</f>
        <v/>
      </c>
      <c r="L824" s="141">
        <f>IFERROR(VLOOKUP($B824,calc_data,L$14+1,0),0)</f>
        <v/>
      </c>
      <c r="M824" s="177">
        <f>IFERROR(VLOOKUP($B824,calc_data,M$14+1,0),0)</f>
        <v/>
      </c>
      <c r="N824" s="177">
        <f>IFERROR(VLOOKUP($B824,calc_data,N$14+1,0),0)</f>
        <v/>
      </c>
      <c r="O824" s="45" t="n"/>
      <c r="Q824" s="57">
        <f>IF(K824&gt;0,"показать","скрыть")</f>
        <v/>
      </c>
    </row>
    <row r="825" ht="15.75" customHeight="1">
      <c r="B825" s="182" t="n">
        <v>809</v>
      </c>
      <c r="C825" s="182">
        <f>IFERROR(VLOOKUP($B825,calc_data,C$14+1,0),0)</f>
        <v/>
      </c>
      <c r="D825" s="182">
        <f>IFERROR(VLOOKUP($B825,calc_data,D$14+1,0),0)</f>
        <v/>
      </c>
      <c r="E825" s="183">
        <f>IFERROR(VLOOKUP($B825,calc_data,E$14+1,0),0)</f>
        <v/>
      </c>
      <c r="F825" s="182">
        <f>IFERROR(VLOOKUP($B825,calc_data,F$14+1,0),0)</f>
        <v/>
      </c>
      <c r="G825" s="141">
        <f>IFERROR(VLOOKUP($B825,calc_data,G$14+1,0),0)</f>
        <v/>
      </c>
      <c r="H825" s="141">
        <f>IFERROR(VLOOKUP($B825,calc_data,H$14+1,0),0)</f>
        <v/>
      </c>
      <c r="I825" s="142">
        <f>IFERROR(VLOOKUP($B825,calc_data,I$14+1,0),0)</f>
        <v/>
      </c>
      <c r="J825" s="141">
        <f>IFERROR(VLOOKUP($B825,calc_data,J$14+1,0),0)</f>
        <v/>
      </c>
      <c r="K825" s="141">
        <f>IFERROR(VLOOKUP($B825,calc_data,K$14+1,0),0)</f>
        <v/>
      </c>
      <c r="L825" s="141">
        <f>IFERROR(VLOOKUP($B825,calc_data,L$14+1,0),0)</f>
        <v/>
      </c>
      <c r="M825" s="177">
        <f>IFERROR(VLOOKUP($B825,calc_data,M$14+1,0),0)</f>
        <v/>
      </c>
      <c r="N825" s="177">
        <f>IFERROR(VLOOKUP($B825,calc_data,N$14+1,0),0)</f>
        <v/>
      </c>
      <c r="O825" s="45" t="n"/>
      <c r="Q825" s="57">
        <f>IF(K825&gt;0,"показать","скрыть")</f>
        <v/>
      </c>
    </row>
    <row r="826" ht="15.75" customHeight="1">
      <c r="B826" s="182" t="n">
        <v>810</v>
      </c>
      <c r="C826" s="182">
        <f>IFERROR(VLOOKUP($B826,calc_data,C$14+1,0),0)</f>
        <v/>
      </c>
      <c r="D826" s="182">
        <f>IFERROR(VLOOKUP($B826,calc_data,D$14+1,0),0)</f>
        <v/>
      </c>
      <c r="E826" s="183">
        <f>IFERROR(VLOOKUP($B826,calc_data,E$14+1,0),0)</f>
        <v/>
      </c>
      <c r="F826" s="182">
        <f>IFERROR(VLOOKUP($B826,calc_data,F$14+1,0),0)</f>
        <v/>
      </c>
      <c r="G826" s="141">
        <f>IFERROR(VLOOKUP($B826,calc_data,G$14+1,0),0)</f>
        <v/>
      </c>
      <c r="H826" s="141">
        <f>IFERROR(VLOOKUP($B826,calc_data,H$14+1,0),0)</f>
        <v/>
      </c>
      <c r="I826" s="142">
        <f>IFERROR(VLOOKUP($B826,calc_data,I$14+1,0),0)</f>
        <v/>
      </c>
      <c r="J826" s="141">
        <f>IFERROR(VLOOKUP($B826,calc_data,J$14+1,0),0)</f>
        <v/>
      </c>
      <c r="K826" s="141">
        <f>IFERROR(VLOOKUP($B826,calc_data,K$14+1,0),0)</f>
        <v/>
      </c>
      <c r="L826" s="141">
        <f>IFERROR(VLOOKUP($B826,calc_data,L$14+1,0),0)</f>
        <v/>
      </c>
      <c r="M826" s="177">
        <f>IFERROR(VLOOKUP($B826,calc_data,M$14+1,0),0)</f>
        <v/>
      </c>
      <c r="N826" s="177">
        <f>IFERROR(VLOOKUP($B826,calc_data,N$14+1,0),0)</f>
        <v/>
      </c>
      <c r="O826" s="45" t="n"/>
      <c r="Q826" s="57">
        <f>IF(K826&gt;0,"показать","скрыть")</f>
        <v/>
      </c>
    </row>
    <row r="827" ht="15.75" customHeight="1">
      <c r="B827" s="182" t="n">
        <v>811</v>
      </c>
      <c r="C827" s="182">
        <f>IFERROR(VLOOKUP($B827,calc_data,C$14+1,0),0)</f>
        <v/>
      </c>
      <c r="D827" s="182">
        <f>IFERROR(VLOOKUP($B827,calc_data,D$14+1,0),0)</f>
        <v/>
      </c>
      <c r="E827" s="183">
        <f>IFERROR(VLOOKUP($B827,calc_data,E$14+1,0),0)</f>
        <v/>
      </c>
      <c r="F827" s="182">
        <f>IFERROR(VLOOKUP($B827,calc_data,F$14+1,0),0)</f>
        <v/>
      </c>
      <c r="G827" s="141">
        <f>IFERROR(VLOOKUP($B827,calc_data,G$14+1,0),0)</f>
        <v/>
      </c>
      <c r="H827" s="141">
        <f>IFERROR(VLOOKUP($B827,calc_data,H$14+1,0),0)</f>
        <v/>
      </c>
      <c r="I827" s="142">
        <f>IFERROR(VLOOKUP($B827,calc_data,I$14+1,0),0)</f>
        <v/>
      </c>
      <c r="J827" s="141">
        <f>IFERROR(VLOOKUP($B827,calc_data,J$14+1,0),0)</f>
        <v/>
      </c>
      <c r="K827" s="141">
        <f>IFERROR(VLOOKUP($B827,calc_data,K$14+1,0),0)</f>
        <v/>
      </c>
      <c r="L827" s="141">
        <f>IFERROR(VLOOKUP($B827,calc_data,L$14+1,0),0)</f>
        <v/>
      </c>
      <c r="M827" s="177">
        <f>IFERROR(VLOOKUP($B827,calc_data,M$14+1,0),0)</f>
        <v/>
      </c>
      <c r="N827" s="177">
        <f>IFERROR(VLOOKUP($B827,calc_data,N$14+1,0),0)</f>
        <v/>
      </c>
      <c r="O827" s="45" t="n"/>
      <c r="Q827" s="57">
        <f>IF(K827&gt;0,"показать","скрыть")</f>
        <v/>
      </c>
    </row>
    <row r="828" ht="15.75" customHeight="1">
      <c r="B828" s="182" t="n">
        <v>812</v>
      </c>
      <c r="C828" s="182">
        <f>IFERROR(VLOOKUP($B828,calc_data,C$14+1,0),0)</f>
        <v/>
      </c>
      <c r="D828" s="182">
        <f>IFERROR(VLOOKUP($B828,calc_data,D$14+1,0),0)</f>
        <v/>
      </c>
      <c r="E828" s="183">
        <f>IFERROR(VLOOKUP($B828,calc_data,E$14+1,0),0)</f>
        <v/>
      </c>
      <c r="F828" s="182">
        <f>IFERROR(VLOOKUP($B828,calc_data,F$14+1,0),0)</f>
        <v/>
      </c>
      <c r="G828" s="141">
        <f>IFERROR(VLOOKUP($B828,calc_data,G$14+1,0),0)</f>
        <v/>
      </c>
      <c r="H828" s="141">
        <f>IFERROR(VLOOKUP($B828,calc_data,H$14+1,0),0)</f>
        <v/>
      </c>
      <c r="I828" s="142">
        <f>IFERROR(VLOOKUP($B828,calc_data,I$14+1,0),0)</f>
        <v/>
      </c>
      <c r="J828" s="141">
        <f>IFERROR(VLOOKUP($B828,calc_data,J$14+1,0),0)</f>
        <v/>
      </c>
      <c r="K828" s="141">
        <f>IFERROR(VLOOKUP($B828,calc_data,K$14+1,0),0)</f>
        <v/>
      </c>
      <c r="L828" s="141">
        <f>IFERROR(VLOOKUP($B828,calc_data,L$14+1,0),0)</f>
        <v/>
      </c>
      <c r="M828" s="177">
        <f>IFERROR(VLOOKUP($B828,calc_data,M$14+1,0),0)</f>
        <v/>
      </c>
      <c r="N828" s="177">
        <f>IFERROR(VLOOKUP($B828,calc_data,N$14+1,0),0)</f>
        <v/>
      </c>
      <c r="O828" s="45" t="n"/>
      <c r="Q828" s="57">
        <f>IF(K828&gt;0,"показать","скрыть")</f>
        <v/>
      </c>
    </row>
    <row r="829" ht="15.75" customHeight="1">
      <c r="B829" s="182" t="n">
        <v>813</v>
      </c>
      <c r="C829" s="182">
        <f>IFERROR(VLOOKUP($B829,calc_data,C$14+1,0),0)</f>
        <v/>
      </c>
      <c r="D829" s="182">
        <f>IFERROR(VLOOKUP($B829,calc_data,D$14+1,0),0)</f>
        <v/>
      </c>
      <c r="E829" s="183">
        <f>IFERROR(VLOOKUP($B829,calc_data,E$14+1,0),0)</f>
        <v/>
      </c>
      <c r="F829" s="182">
        <f>IFERROR(VLOOKUP($B829,calc_data,F$14+1,0),0)</f>
        <v/>
      </c>
      <c r="G829" s="141">
        <f>IFERROR(VLOOKUP($B829,calc_data,G$14+1,0),0)</f>
        <v/>
      </c>
      <c r="H829" s="141">
        <f>IFERROR(VLOOKUP($B829,calc_data,H$14+1,0),0)</f>
        <v/>
      </c>
      <c r="I829" s="142">
        <f>IFERROR(VLOOKUP($B829,calc_data,I$14+1,0),0)</f>
        <v/>
      </c>
      <c r="J829" s="141">
        <f>IFERROR(VLOOKUP($B829,calc_data,J$14+1,0),0)</f>
        <v/>
      </c>
      <c r="K829" s="141">
        <f>IFERROR(VLOOKUP($B829,calc_data,K$14+1,0),0)</f>
        <v/>
      </c>
      <c r="L829" s="141">
        <f>IFERROR(VLOOKUP($B829,calc_data,L$14+1,0),0)</f>
        <v/>
      </c>
      <c r="M829" s="177">
        <f>IFERROR(VLOOKUP($B829,calc_data,M$14+1,0),0)</f>
        <v/>
      </c>
      <c r="N829" s="177">
        <f>IFERROR(VLOOKUP($B829,calc_data,N$14+1,0),0)</f>
        <v/>
      </c>
      <c r="O829" s="45" t="n"/>
      <c r="Q829" s="57">
        <f>IF(K829&gt;0,"показать","скрыть")</f>
        <v/>
      </c>
    </row>
    <row r="830" ht="15.75" customHeight="1">
      <c r="B830" s="182" t="n">
        <v>814</v>
      </c>
      <c r="C830" s="182">
        <f>IFERROR(VLOOKUP($B830,calc_data,C$14+1,0),0)</f>
        <v/>
      </c>
      <c r="D830" s="182">
        <f>IFERROR(VLOOKUP($B830,calc_data,D$14+1,0),0)</f>
        <v/>
      </c>
      <c r="E830" s="183">
        <f>IFERROR(VLOOKUP($B830,calc_data,E$14+1,0),0)</f>
        <v/>
      </c>
      <c r="F830" s="182">
        <f>IFERROR(VLOOKUP($B830,calc_data,F$14+1,0),0)</f>
        <v/>
      </c>
      <c r="G830" s="141">
        <f>IFERROR(VLOOKUP($B830,calc_data,G$14+1,0),0)</f>
        <v/>
      </c>
      <c r="H830" s="141">
        <f>IFERROR(VLOOKUP($B830,calc_data,H$14+1,0),0)</f>
        <v/>
      </c>
      <c r="I830" s="142">
        <f>IFERROR(VLOOKUP($B830,calc_data,I$14+1,0),0)</f>
        <v/>
      </c>
      <c r="J830" s="141">
        <f>IFERROR(VLOOKUP($B830,calc_data,J$14+1,0),0)</f>
        <v/>
      </c>
      <c r="K830" s="141">
        <f>IFERROR(VLOOKUP($B830,calc_data,K$14+1,0),0)</f>
        <v/>
      </c>
      <c r="L830" s="141">
        <f>IFERROR(VLOOKUP($B830,calc_data,L$14+1,0),0)</f>
        <v/>
      </c>
      <c r="M830" s="177">
        <f>IFERROR(VLOOKUP($B830,calc_data,M$14+1,0),0)</f>
        <v/>
      </c>
      <c r="N830" s="177">
        <f>IFERROR(VLOOKUP($B830,calc_data,N$14+1,0),0)</f>
        <v/>
      </c>
      <c r="O830" s="45" t="n"/>
      <c r="Q830" s="57">
        <f>IF(K830&gt;0,"показать","скрыть")</f>
        <v/>
      </c>
    </row>
    <row r="831" ht="15.75" customHeight="1">
      <c r="B831" s="182" t="n">
        <v>815</v>
      </c>
      <c r="C831" s="182">
        <f>IFERROR(VLOOKUP($B831,calc_data,C$14+1,0),0)</f>
        <v/>
      </c>
      <c r="D831" s="182">
        <f>IFERROR(VLOOKUP($B831,calc_data,D$14+1,0),0)</f>
        <v/>
      </c>
      <c r="E831" s="183">
        <f>IFERROR(VLOOKUP($B831,calc_data,E$14+1,0),0)</f>
        <v/>
      </c>
      <c r="F831" s="182">
        <f>IFERROR(VLOOKUP($B831,calc_data,F$14+1,0),0)</f>
        <v/>
      </c>
      <c r="G831" s="141">
        <f>IFERROR(VLOOKUP($B831,calc_data,G$14+1,0),0)</f>
        <v/>
      </c>
      <c r="H831" s="141">
        <f>IFERROR(VLOOKUP($B831,calc_data,H$14+1,0),0)</f>
        <v/>
      </c>
      <c r="I831" s="142">
        <f>IFERROR(VLOOKUP($B831,calc_data,I$14+1,0),0)</f>
        <v/>
      </c>
      <c r="J831" s="141">
        <f>IFERROR(VLOOKUP($B831,calc_data,J$14+1,0),0)</f>
        <v/>
      </c>
      <c r="K831" s="141">
        <f>IFERROR(VLOOKUP($B831,calc_data,K$14+1,0),0)</f>
        <v/>
      </c>
      <c r="L831" s="141">
        <f>IFERROR(VLOOKUP($B831,calc_data,L$14+1,0),0)</f>
        <v/>
      </c>
      <c r="M831" s="177">
        <f>IFERROR(VLOOKUP($B831,calc_data,M$14+1,0),0)</f>
        <v/>
      </c>
      <c r="N831" s="177">
        <f>IFERROR(VLOOKUP($B831,calc_data,N$14+1,0),0)</f>
        <v/>
      </c>
      <c r="O831" s="45" t="n"/>
      <c r="Q831" s="57">
        <f>IF(K831&gt;0,"показать","скрыть")</f>
        <v/>
      </c>
    </row>
    <row r="832" ht="15.75" customHeight="1">
      <c r="B832" s="182" t="n">
        <v>816</v>
      </c>
      <c r="C832" s="182">
        <f>IFERROR(VLOOKUP($B832,calc_data,C$14+1,0),0)</f>
        <v/>
      </c>
      <c r="D832" s="182">
        <f>IFERROR(VLOOKUP($B832,calc_data,D$14+1,0),0)</f>
        <v/>
      </c>
      <c r="E832" s="183">
        <f>IFERROR(VLOOKUP($B832,calc_data,E$14+1,0),0)</f>
        <v/>
      </c>
      <c r="F832" s="182">
        <f>IFERROR(VLOOKUP($B832,calc_data,F$14+1,0),0)</f>
        <v/>
      </c>
      <c r="G832" s="141">
        <f>IFERROR(VLOOKUP($B832,calc_data,G$14+1,0),0)</f>
        <v/>
      </c>
      <c r="H832" s="141">
        <f>IFERROR(VLOOKUP($B832,calc_data,H$14+1,0),0)</f>
        <v/>
      </c>
      <c r="I832" s="142">
        <f>IFERROR(VLOOKUP($B832,calc_data,I$14+1,0),0)</f>
        <v/>
      </c>
      <c r="J832" s="141">
        <f>IFERROR(VLOOKUP($B832,calc_data,J$14+1,0),0)</f>
        <v/>
      </c>
      <c r="K832" s="141">
        <f>IFERROR(VLOOKUP($B832,calc_data,K$14+1,0),0)</f>
        <v/>
      </c>
      <c r="L832" s="141">
        <f>IFERROR(VLOOKUP($B832,calc_data,L$14+1,0),0)</f>
        <v/>
      </c>
      <c r="M832" s="177">
        <f>IFERROR(VLOOKUP($B832,calc_data,M$14+1,0),0)</f>
        <v/>
      </c>
      <c r="N832" s="177">
        <f>IFERROR(VLOOKUP($B832,calc_data,N$14+1,0),0)</f>
        <v/>
      </c>
      <c r="O832" s="45" t="n"/>
      <c r="Q832" s="57">
        <f>IF(K832&gt;0,"показать","скрыть")</f>
        <v/>
      </c>
    </row>
    <row r="833" ht="15.75" customHeight="1">
      <c r="B833" s="182" t="n">
        <v>817</v>
      </c>
      <c r="C833" s="182">
        <f>IFERROR(VLOOKUP($B833,calc_data,C$14+1,0),0)</f>
        <v/>
      </c>
      <c r="D833" s="182">
        <f>IFERROR(VLOOKUP($B833,calc_data,D$14+1,0),0)</f>
        <v/>
      </c>
      <c r="E833" s="183">
        <f>IFERROR(VLOOKUP($B833,calc_data,E$14+1,0),0)</f>
        <v/>
      </c>
      <c r="F833" s="182">
        <f>IFERROR(VLOOKUP($B833,calc_data,F$14+1,0),0)</f>
        <v/>
      </c>
      <c r="G833" s="141">
        <f>IFERROR(VLOOKUP($B833,calc_data,G$14+1,0),0)</f>
        <v/>
      </c>
      <c r="H833" s="141">
        <f>IFERROR(VLOOKUP($B833,calc_data,H$14+1,0),0)</f>
        <v/>
      </c>
      <c r="I833" s="142">
        <f>IFERROR(VLOOKUP($B833,calc_data,I$14+1,0),0)</f>
        <v/>
      </c>
      <c r="J833" s="141">
        <f>IFERROR(VLOOKUP($B833,calc_data,J$14+1,0),0)</f>
        <v/>
      </c>
      <c r="K833" s="141">
        <f>IFERROR(VLOOKUP($B833,calc_data,K$14+1,0),0)</f>
        <v/>
      </c>
      <c r="L833" s="141">
        <f>IFERROR(VLOOKUP($B833,calc_data,L$14+1,0),0)</f>
        <v/>
      </c>
      <c r="M833" s="177">
        <f>IFERROR(VLOOKUP($B833,calc_data,M$14+1,0),0)</f>
        <v/>
      </c>
      <c r="N833" s="177">
        <f>IFERROR(VLOOKUP($B833,calc_data,N$14+1,0),0)</f>
        <v/>
      </c>
      <c r="O833" s="45" t="n"/>
      <c r="Q833" s="57">
        <f>IF(K833&gt;0,"показать","скрыть")</f>
        <v/>
      </c>
    </row>
    <row r="834" ht="15.75" customHeight="1">
      <c r="B834" s="182" t="n">
        <v>818</v>
      </c>
      <c r="C834" s="182">
        <f>IFERROR(VLOOKUP($B834,calc_data,C$14+1,0),0)</f>
        <v/>
      </c>
      <c r="D834" s="182">
        <f>IFERROR(VLOOKUP($B834,calc_data,D$14+1,0),0)</f>
        <v/>
      </c>
      <c r="E834" s="183">
        <f>IFERROR(VLOOKUP($B834,calc_data,E$14+1,0),0)</f>
        <v/>
      </c>
      <c r="F834" s="182">
        <f>IFERROR(VLOOKUP($B834,calc_data,F$14+1,0),0)</f>
        <v/>
      </c>
      <c r="G834" s="141">
        <f>IFERROR(VLOOKUP($B834,calc_data,G$14+1,0),0)</f>
        <v/>
      </c>
      <c r="H834" s="141">
        <f>IFERROR(VLOOKUP($B834,calc_data,H$14+1,0),0)</f>
        <v/>
      </c>
      <c r="I834" s="142">
        <f>IFERROR(VLOOKUP($B834,calc_data,I$14+1,0),0)</f>
        <v/>
      </c>
      <c r="J834" s="141">
        <f>IFERROR(VLOOKUP($B834,calc_data,J$14+1,0),0)</f>
        <v/>
      </c>
      <c r="K834" s="141">
        <f>IFERROR(VLOOKUP($B834,calc_data,K$14+1,0),0)</f>
        <v/>
      </c>
      <c r="L834" s="141">
        <f>IFERROR(VLOOKUP($B834,calc_data,L$14+1,0),0)</f>
        <v/>
      </c>
      <c r="M834" s="177">
        <f>IFERROR(VLOOKUP($B834,calc_data,M$14+1,0),0)</f>
        <v/>
      </c>
      <c r="N834" s="177">
        <f>IFERROR(VLOOKUP($B834,calc_data,N$14+1,0),0)</f>
        <v/>
      </c>
      <c r="O834" s="45" t="n"/>
      <c r="Q834" s="57">
        <f>IF(K834&gt;0,"показать","скрыть")</f>
        <v/>
      </c>
    </row>
    <row r="835" ht="15.75" customHeight="1">
      <c r="B835" s="182" t="n">
        <v>819</v>
      </c>
      <c r="C835" s="182">
        <f>IFERROR(VLOOKUP($B835,calc_data,C$14+1,0),0)</f>
        <v/>
      </c>
      <c r="D835" s="182">
        <f>IFERROR(VLOOKUP($B835,calc_data,D$14+1,0),0)</f>
        <v/>
      </c>
      <c r="E835" s="183">
        <f>IFERROR(VLOOKUP($B835,calc_data,E$14+1,0),0)</f>
        <v/>
      </c>
      <c r="F835" s="182">
        <f>IFERROR(VLOOKUP($B835,calc_data,F$14+1,0),0)</f>
        <v/>
      </c>
      <c r="G835" s="141">
        <f>IFERROR(VLOOKUP($B835,calc_data,G$14+1,0),0)</f>
        <v/>
      </c>
      <c r="H835" s="141">
        <f>IFERROR(VLOOKUP($B835,calc_data,H$14+1,0),0)</f>
        <v/>
      </c>
      <c r="I835" s="142">
        <f>IFERROR(VLOOKUP($B835,calc_data,I$14+1,0),0)</f>
        <v/>
      </c>
      <c r="J835" s="141">
        <f>IFERROR(VLOOKUP($B835,calc_data,J$14+1,0),0)</f>
        <v/>
      </c>
      <c r="K835" s="141">
        <f>IFERROR(VLOOKUP($B835,calc_data,K$14+1,0),0)</f>
        <v/>
      </c>
      <c r="L835" s="141">
        <f>IFERROR(VLOOKUP($B835,calc_data,L$14+1,0),0)</f>
        <v/>
      </c>
      <c r="M835" s="177">
        <f>IFERROR(VLOOKUP($B835,calc_data,M$14+1,0),0)</f>
        <v/>
      </c>
      <c r="N835" s="177">
        <f>IFERROR(VLOOKUP($B835,calc_data,N$14+1,0),0)</f>
        <v/>
      </c>
      <c r="O835" s="45" t="n"/>
      <c r="Q835" s="57">
        <f>IF(K835&gt;0,"показать","скрыть")</f>
        <v/>
      </c>
    </row>
    <row r="836" ht="15.75" customHeight="1">
      <c r="B836" s="182" t="n">
        <v>820</v>
      </c>
      <c r="C836" s="182">
        <f>IFERROR(VLOOKUP($B836,calc_data,C$14+1,0),0)</f>
        <v/>
      </c>
      <c r="D836" s="182">
        <f>IFERROR(VLOOKUP($B836,calc_data,D$14+1,0),0)</f>
        <v/>
      </c>
      <c r="E836" s="183">
        <f>IFERROR(VLOOKUP($B836,calc_data,E$14+1,0),0)</f>
        <v/>
      </c>
      <c r="F836" s="182">
        <f>IFERROR(VLOOKUP($B836,calc_data,F$14+1,0),0)</f>
        <v/>
      </c>
      <c r="G836" s="141">
        <f>IFERROR(VLOOKUP($B836,calc_data,G$14+1,0),0)</f>
        <v/>
      </c>
      <c r="H836" s="141">
        <f>IFERROR(VLOOKUP($B836,calc_data,H$14+1,0),0)</f>
        <v/>
      </c>
      <c r="I836" s="142">
        <f>IFERROR(VLOOKUP($B836,calc_data,I$14+1,0),0)</f>
        <v/>
      </c>
      <c r="J836" s="141">
        <f>IFERROR(VLOOKUP($B836,calc_data,J$14+1,0),0)</f>
        <v/>
      </c>
      <c r="K836" s="141">
        <f>IFERROR(VLOOKUP($B836,calc_data,K$14+1,0),0)</f>
        <v/>
      </c>
      <c r="L836" s="141">
        <f>IFERROR(VLOOKUP($B836,calc_data,L$14+1,0),0)</f>
        <v/>
      </c>
      <c r="M836" s="177">
        <f>IFERROR(VLOOKUP($B836,calc_data,M$14+1,0),0)</f>
        <v/>
      </c>
      <c r="N836" s="177">
        <f>IFERROR(VLOOKUP($B836,calc_data,N$14+1,0),0)</f>
        <v/>
      </c>
      <c r="O836" s="45" t="n"/>
      <c r="Q836" s="57">
        <f>IF(K836&gt;0,"показать","скрыть")</f>
        <v/>
      </c>
    </row>
    <row r="837" ht="15.75" customHeight="1">
      <c r="B837" s="182" t="n">
        <v>821</v>
      </c>
      <c r="C837" s="182">
        <f>IFERROR(VLOOKUP($B837,calc_data,C$14+1,0),0)</f>
        <v/>
      </c>
      <c r="D837" s="182">
        <f>IFERROR(VLOOKUP($B837,calc_data,D$14+1,0),0)</f>
        <v/>
      </c>
      <c r="E837" s="183">
        <f>IFERROR(VLOOKUP($B837,calc_data,E$14+1,0),0)</f>
        <v/>
      </c>
      <c r="F837" s="182">
        <f>IFERROR(VLOOKUP($B837,calc_data,F$14+1,0),0)</f>
        <v/>
      </c>
      <c r="G837" s="141">
        <f>IFERROR(VLOOKUP($B837,calc_data,G$14+1,0),0)</f>
        <v/>
      </c>
      <c r="H837" s="141">
        <f>IFERROR(VLOOKUP($B837,calc_data,H$14+1,0),0)</f>
        <v/>
      </c>
      <c r="I837" s="142">
        <f>IFERROR(VLOOKUP($B837,calc_data,I$14+1,0),0)</f>
        <v/>
      </c>
      <c r="J837" s="141">
        <f>IFERROR(VLOOKUP($B837,calc_data,J$14+1,0),0)</f>
        <v/>
      </c>
      <c r="K837" s="141">
        <f>IFERROR(VLOOKUP($B837,calc_data,K$14+1,0),0)</f>
        <v/>
      </c>
      <c r="L837" s="141">
        <f>IFERROR(VLOOKUP($B837,calc_data,L$14+1,0),0)</f>
        <v/>
      </c>
      <c r="M837" s="177">
        <f>IFERROR(VLOOKUP($B837,calc_data,M$14+1,0),0)</f>
        <v/>
      </c>
      <c r="N837" s="177">
        <f>IFERROR(VLOOKUP($B837,calc_data,N$14+1,0),0)</f>
        <v/>
      </c>
      <c r="O837" s="45" t="n"/>
      <c r="Q837" s="57">
        <f>IF(K837&gt;0,"показать","скрыть")</f>
        <v/>
      </c>
    </row>
    <row r="838" ht="15.75" customHeight="1">
      <c r="B838" s="182" t="n">
        <v>822</v>
      </c>
      <c r="C838" s="182">
        <f>IFERROR(VLOOKUP($B838,calc_data,C$14+1,0),0)</f>
        <v/>
      </c>
      <c r="D838" s="182">
        <f>IFERROR(VLOOKUP($B838,calc_data,D$14+1,0),0)</f>
        <v/>
      </c>
      <c r="E838" s="183">
        <f>IFERROR(VLOOKUP($B838,calc_data,E$14+1,0),0)</f>
        <v/>
      </c>
      <c r="F838" s="182">
        <f>IFERROR(VLOOKUP($B838,calc_data,F$14+1,0),0)</f>
        <v/>
      </c>
      <c r="G838" s="141">
        <f>IFERROR(VLOOKUP($B838,calc_data,G$14+1,0),0)</f>
        <v/>
      </c>
      <c r="H838" s="141">
        <f>IFERROR(VLOOKUP($B838,calc_data,H$14+1,0),0)</f>
        <v/>
      </c>
      <c r="I838" s="142">
        <f>IFERROR(VLOOKUP($B838,calc_data,I$14+1,0),0)</f>
        <v/>
      </c>
      <c r="J838" s="141">
        <f>IFERROR(VLOOKUP($B838,calc_data,J$14+1,0),0)</f>
        <v/>
      </c>
      <c r="K838" s="141">
        <f>IFERROR(VLOOKUP($B838,calc_data,K$14+1,0),0)</f>
        <v/>
      </c>
      <c r="L838" s="141">
        <f>IFERROR(VLOOKUP($B838,calc_data,L$14+1,0),0)</f>
        <v/>
      </c>
      <c r="M838" s="177">
        <f>IFERROR(VLOOKUP($B838,calc_data,M$14+1,0),0)</f>
        <v/>
      </c>
      <c r="N838" s="177">
        <f>IFERROR(VLOOKUP($B838,calc_data,N$14+1,0),0)</f>
        <v/>
      </c>
      <c r="O838" s="45" t="n"/>
      <c r="Q838" s="57">
        <f>IF(K838&gt;0,"показать","скрыть")</f>
        <v/>
      </c>
    </row>
    <row r="839" ht="15.75" customHeight="1">
      <c r="B839" s="182" t="n">
        <v>823</v>
      </c>
      <c r="C839" s="182">
        <f>IFERROR(VLOOKUP($B839,calc_data,C$14+1,0),0)</f>
        <v/>
      </c>
      <c r="D839" s="182">
        <f>IFERROR(VLOOKUP($B839,calc_data,D$14+1,0),0)</f>
        <v/>
      </c>
      <c r="E839" s="183">
        <f>IFERROR(VLOOKUP($B839,calc_data,E$14+1,0),0)</f>
        <v/>
      </c>
      <c r="F839" s="182">
        <f>IFERROR(VLOOKUP($B839,calc_data,F$14+1,0),0)</f>
        <v/>
      </c>
      <c r="G839" s="141">
        <f>IFERROR(VLOOKUP($B839,calc_data,G$14+1,0),0)</f>
        <v/>
      </c>
      <c r="H839" s="141">
        <f>IFERROR(VLOOKUP($B839,calc_data,H$14+1,0),0)</f>
        <v/>
      </c>
      <c r="I839" s="142">
        <f>IFERROR(VLOOKUP($B839,calc_data,I$14+1,0),0)</f>
        <v/>
      </c>
      <c r="J839" s="141">
        <f>IFERROR(VLOOKUP($B839,calc_data,J$14+1,0),0)</f>
        <v/>
      </c>
      <c r="K839" s="141">
        <f>IFERROR(VLOOKUP($B839,calc_data,K$14+1,0),0)</f>
        <v/>
      </c>
      <c r="L839" s="141">
        <f>IFERROR(VLOOKUP($B839,calc_data,L$14+1,0),0)</f>
        <v/>
      </c>
      <c r="M839" s="177">
        <f>IFERROR(VLOOKUP($B839,calc_data,M$14+1,0),0)</f>
        <v/>
      </c>
      <c r="N839" s="177">
        <f>IFERROR(VLOOKUP($B839,calc_data,N$14+1,0),0)</f>
        <v/>
      </c>
      <c r="O839" s="45" t="n"/>
      <c r="Q839" s="57">
        <f>IF(K839&gt;0,"показать","скрыть")</f>
        <v/>
      </c>
    </row>
    <row r="840" ht="15.75" customHeight="1">
      <c r="B840" s="182" t="n">
        <v>824</v>
      </c>
      <c r="C840" s="182">
        <f>IFERROR(VLOOKUP($B840,calc_data,C$14+1,0),0)</f>
        <v/>
      </c>
      <c r="D840" s="182">
        <f>IFERROR(VLOOKUP($B840,calc_data,D$14+1,0),0)</f>
        <v/>
      </c>
      <c r="E840" s="183">
        <f>IFERROR(VLOOKUP($B840,calc_data,E$14+1,0),0)</f>
        <v/>
      </c>
      <c r="F840" s="182">
        <f>IFERROR(VLOOKUP($B840,calc_data,F$14+1,0),0)</f>
        <v/>
      </c>
      <c r="G840" s="141">
        <f>IFERROR(VLOOKUP($B840,calc_data,G$14+1,0),0)</f>
        <v/>
      </c>
      <c r="H840" s="141">
        <f>IFERROR(VLOOKUP($B840,calc_data,H$14+1,0),0)</f>
        <v/>
      </c>
      <c r="I840" s="142">
        <f>IFERROR(VLOOKUP($B840,calc_data,I$14+1,0),0)</f>
        <v/>
      </c>
      <c r="J840" s="141">
        <f>IFERROR(VLOOKUP($B840,calc_data,J$14+1,0),0)</f>
        <v/>
      </c>
      <c r="K840" s="141">
        <f>IFERROR(VLOOKUP($B840,calc_data,K$14+1,0),0)</f>
        <v/>
      </c>
      <c r="L840" s="141">
        <f>IFERROR(VLOOKUP($B840,calc_data,L$14+1,0),0)</f>
        <v/>
      </c>
      <c r="M840" s="177">
        <f>IFERROR(VLOOKUP($B840,calc_data,M$14+1,0),0)</f>
        <v/>
      </c>
      <c r="N840" s="177">
        <f>IFERROR(VLOOKUP($B840,calc_data,N$14+1,0),0)</f>
        <v/>
      </c>
      <c r="O840" s="45" t="n"/>
      <c r="Q840" s="57">
        <f>IF(K840&gt;0,"показать","скрыть")</f>
        <v/>
      </c>
    </row>
    <row r="841" ht="15.75" customHeight="1">
      <c r="B841" s="182" t="n">
        <v>825</v>
      </c>
      <c r="C841" s="182">
        <f>IFERROR(VLOOKUP($B841,calc_data,C$14+1,0),0)</f>
        <v/>
      </c>
      <c r="D841" s="182">
        <f>IFERROR(VLOOKUP($B841,calc_data,D$14+1,0),0)</f>
        <v/>
      </c>
      <c r="E841" s="183">
        <f>IFERROR(VLOOKUP($B841,calc_data,E$14+1,0),0)</f>
        <v/>
      </c>
      <c r="F841" s="182">
        <f>IFERROR(VLOOKUP($B841,calc_data,F$14+1,0),0)</f>
        <v/>
      </c>
      <c r="G841" s="141">
        <f>IFERROR(VLOOKUP($B841,calc_data,G$14+1,0),0)</f>
        <v/>
      </c>
      <c r="H841" s="141">
        <f>IFERROR(VLOOKUP($B841,calc_data,H$14+1,0),0)</f>
        <v/>
      </c>
      <c r="I841" s="142">
        <f>IFERROR(VLOOKUP($B841,calc_data,I$14+1,0),0)</f>
        <v/>
      </c>
      <c r="J841" s="141">
        <f>IFERROR(VLOOKUP($B841,calc_data,J$14+1,0),0)</f>
        <v/>
      </c>
      <c r="K841" s="141">
        <f>IFERROR(VLOOKUP($B841,calc_data,K$14+1,0),0)</f>
        <v/>
      </c>
      <c r="L841" s="141">
        <f>IFERROR(VLOOKUP($B841,calc_data,L$14+1,0),0)</f>
        <v/>
      </c>
      <c r="M841" s="177">
        <f>IFERROR(VLOOKUP($B841,calc_data,M$14+1,0),0)</f>
        <v/>
      </c>
      <c r="N841" s="177">
        <f>IFERROR(VLOOKUP($B841,calc_data,N$14+1,0),0)</f>
        <v/>
      </c>
      <c r="O841" s="45" t="n"/>
      <c r="Q841" s="57">
        <f>IF(K841&gt;0,"показать","скрыть")</f>
        <v/>
      </c>
    </row>
    <row r="842" ht="15.75" customHeight="1">
      <c r="B842" s="182" t="n">
        <v>826</v>
      </c>
      <c r="C842" s="182">
        <f>IFERROR(VLOOKUP($B842,calc_data,C$14+1,0),0)</f>
        <v/>
      </c>
      <c r="D842" s="182">
        <f>IFERROR(VLOOKUP($B842,calc_data,D$14+1,0),0)</f>
        <v/>
      </c>
      <c r="E842" s="183">
        <f>IFERROR(VLOOKUP($B842,calc_data,E$14+1,0),0)</f>
        <v/>
      </c>
      <c r="F842" s="182">
        <f>IFERROR(VLOOKUP($B842,calc_data,F$14+1,0),0)</f>
        <v/>
      </c>
      <c r="G842" s="141">
        <f>IFERROR(VLOOKUP($B842,calc_data,G$14+1,0),0)</f>
        <v/>
      </c>
      <c r="H842" s="141">
        <f>IFERROR(VLOOKUP($B842,calc_data,H$14+1,0),0)</f>
        <v/>
      </c>
      <c r="I842" s="142">
        <f>IFERROR(VLOOKUP($B842,calc_data,I$14+1,0),0)</f>
        <v/>
      </c>
      <c r="J842" s="141">
        <f>IFERROR(VLOOKUP($B842,calc_data,J$14+1,0),0)</f>
        <v/>
      </c>
      <c r="K842" s="141">
        <f>IFERROR(VLOOKUP($B842,calc_data,K$14+1,0),0)</f>
        <v/>
      </c>
      <c r="L842" s="141">
        <f>IFERROR(VLOOKUP($B842,calc_data,L$14+1,0),0)</f>
        <v/>
      </c>
      <c r="M842" s="177">
        <f>IFERROR(VLOOKUP($B842,calc_data,M$14+1,0),0)</f>
        <v/>
      </c>
      <c r="N842" s="177">
        <f>IFERROR(VLOOKUP($B842,calc_data,N$14+1,0),0)</f>
        <v/>
      </c>
      <c r="O842" s="45" t="n"/>
      <c r="Q842" s="57">
        <f>IF(K842&gt;0,"показать","скрыть")</f>
        <v/>
      </c>
    </row>
    <row r="843" ht="15.75" customHeight="1">
      <c r="B843" s="182" t="n">
        <v>827</v>
      </c>
      <c r="C843" s="182">
        <f>IFERROR(VLOOKUP($B843,calc_data,C$14+1,0),0)</f>
        <v/>
      </c>
      <c r="D843" s="182">
        <f>IFERROR(VLOOKUP($B843,calc_data,D$14+1,0),0)</f>
        <v/>
      </c>
      <c r="E843" s="183">
        <f>IFERROR(VLOOKUP($B843,calc_data,E$14+1,0),0)</f>
        <v/>
      </c>
      <c r="F843" s="182">
        <f>IFERROR(VLOOKUP($B843,calc_data,F$14+1,0),0)</f>
        <v/>
      </c>
      <c r="G843" s="141">
        <f>IFERROR(VLOOKUP($B843,calc_data,G$14+1,0),0)</f>
        <v/>
      </c>
      <c r="H843" s="141">
        <f>IFERROR(VLOOKUP($B843,calc_data,H$14+1,0),0)</f>
        <v/>
      </c>
      <c r="I843" s="142">
        <f>IFERROR(VLOOKUP($B843,calc_data,I$14+1,0),0)</f>
        <v/>
      </c>
      <c r="J843" s="141">
        <f>IFERROR(VLOOKUP($B843,calc_data,J$14+1,0),0)</f>
        <v/>
      </c>
      <c r="K843" s="141">
        <f>IFERROR(VLOOKUP($B843,calc_data,K$14+1,0),0)</f>
        <v/>
      </c>
      <c r="L843" s="141">
        <f>IFERROR(VLOOKUP($B843,calc_data,L$14+1,0),0)</f>
        <v/>
      </c>
      <c r="M843" s="177">
        <f>IFERROR(VLOOKUP($B843,calc_data,M$14+1,0),0)</f>
        <v/>
      </c>
      <c r="N843" s="177">
        <f>IFERROR(VLOOKUP($B843,calc_data,N$14+1,0),0)</f>
        <v/>
      </c>
      <c r="O843" s="45" t="n"/>
      <c r="Q843" s="57">
        <f>IF(K843&gt;0,"показать","скрыть")</f>
        <v/>
      </c>
    </row>
    <row r="844" ht="15.75" customHeight="1">
      <c r="B844" s="182" t="n">
        <v>828</v>
      </c>
      <c r="C844" s="182">
        <f>IFERROR(VLOOKUP($B844,calc_data,C$14+1,0),0)</f>
        <v/>
      </c>
      <c r="D844" s="182">
        <f>IFERROR(VLOOKUP($B844,calc_data,D$14+1,0),0)</f>
        <v/>
      </c>
      <c r="E844" s="183">
        <f>IFERROR(VLOOKUP($B844,calc_data,E$14+1,0),0)</f>
        <v/>
      </c>
      <c r="F844" s="182">
        <f>IFERROR(VLOOKUP($B844,calc_data,F$14+1,0),0)</f>
        <v/>
      </c>
      <c r="G844" s="141">
        <f>IFERROR(VLOOKUP($B844,calc_data,G$14+1,0),0)</f>
        <v/>
      </c>
      <c r="H844" s="141">
        <f>IFERROR(VLOOKUP($B844,calc_data,H$14+1,0),0)</f>
        <v/>
      </c>
      <c r="I844" s="142">
        <f>IFERROR(VLOOKUP($B844,calc_data,I$14+1,0),0)</f>
        <v/>
      </c>
      <c r="J844" s="141">
        <f>IFERROR(VLOOKUP($B844,calc_data,J$14+1,0),0)</f>
        <v/>
      </c>
      <c r="K844" s="141">
        <f>IFERROR(VLOOKUP($B844,calc_data,K$14+1,0),0)</f>
        <v/>
      </c>
      <c r="L844" s="141">
        <f>IFERROR(VLOOKUP($B844,calc_data,L$14+1,0),0)</f>
        <v/>
      </c>
      <c r="M844" s="177">
        <f>IFERROR(VLOOKUP($B844,calc_data,M$14+1,0),0)</f>
        <v/>
      </c>
      <c r="N844" s="177">
        <f>IFERROR(VLOOKUP($B844,calc_data,N$14+1,0),0)</f>
        <v/>
      </c>
      <c r="O844" s="45" t="n"/>
      <c r="Q844" s="57">
        <f>IF(K844&gt;0,"показать","скрыть")</f>
        <v/>
      </c>
    </row>
    <row r="845" ht="15.75" customHeight="1">
      <c r="B845" s="182" t="n">
        <v>829</v>
      </c>
      <c r="C845" s="182">
        <f>IFERROR(VLOOKUP($B845,calc_data,C$14+1,0),0)</f>
        <v/>
      </c>
      <c r="D845" s="182">
        <f>IFERROR(VLOOKUP($B845,calc_data,D$14+1,0),0)</f>
        <v/>
      </c>
      <c r="E845" s="183">
        <f>IFERROR(VLOOKUP($B845,calc_data,E$14+1,0),0)</f>
        <v/>
      </c>
      <c r="F845" s="182">
        <f>IFERROR(VLOOKUP($B845,calc_data,F$14+1,0),0)</f>
        <v/>
      </c>
      <c r="G845" s="141">
        <f>IFERROR(VLOOKUP($B845,calc_data,G$14+1,0),0)</f>
        <v/>
      </c>
      <c r="H845" s="141">
        <f>IFERROR(VLOOKUP($B845,calc_data,H$14+1,0),0)</f>
        <v/>
      </c>
      <c r="I845" s="142">
        <f>IFERROR(VLOOKUP($B845,calc_data,I$14+1,0),0)</f>
        <v/>
      </c>
      <c r="J845" s="141">
        <f>IFERROR(VLOOKUP($B845,calc_data,J$14+1,0),0)</f>
        <v/>
      </c>
      <c r="K845" s="141">
        <f>IFERROR(VLOOKUP($B845,calc_data,K$14+1,0),0)</f>
        <v/>
      </c>
      <c r="L845" s="141">
        <f>IFERROR(VLOOKUP($B845,calc_data,L$14+1,0),0)</f>
        <v/>
      </c>
      <c r="M845" s="177">
        <f>IFERROR(VLOOKUP($B845,calc_data,M$14+1,0),0)</f>
        <v/>
      </c>
      <c r="N845" s="177">
        <f>IFERROR(VLOOKUP($B845,calc_data,N$14+1,0),0)</f>
        <v/>
      </c>
      <c r="O845" s="45" t="n"/>
      <c r="Q845" s="57">
        <f>IF(K845&gt;0,"показать","скрыть")</f>
        <v/>
      </c>
    </row>
    <row r="846" ht="15.75" customHeight="1">
      <c r="B846" s="182" t="n">
        <v>830</v>
      </c>
      <c r="C846" s="182">
        <f>IFERROR(VLOOKUP($B846,calc_data,C$14+1,0),0)</f>
        <v/>
      </c>
      <c r="D846" s="182">
        <f>IFERROR(VLOOKUP($B846,calc_data,D$14+1,0),0)</f>
        <v/>
      </c>
      <c r="E846" s="183">
        <f>IFERROR(VLOOKUP($B846,calc_data,E$14+1,0),0)</f>
        <v/>
      </c>
      <c r="F846" s="182">
        <f>IFERROR(VLOOKUP($B846,calc_data,F$14+1,0),0)</f>
        <v/>
      </c>
      <c r="G846" s="141">
        <f>IFERROR(VLOOKUP($B846,calc_data,G$14+1,0),0)</f>
        <v/>
      </c>
      <c r="H846" s="141">
        <f>IFERROR(VLOOKUP($B846,calc_data,H$14+1,0),0)</f>
        <v/>
      </c>
      <c r="I846" s="142">
        <f>IFERROR(VLOOKUP($B846,calc_data,I$14+1,0),0)</f>
        <v/>
      </c>
      <c r="J846" s="141">
        <f>IFERROR(VLOOKUP($B846,calc_data,J$14+1,0),0)</f>
        <v/>
      </c>
      <c r="K846" s="141">
        <f>IFERROR(VLOOKUP($B846,calc_data,K$14+1,0),0)</f>
        <v/>
      </c>
      <c r="L846" s="141">
        <f>IFERROR(VLOOKUP($B846,calc_data,L$14+1,0),0)</f>
        <v/>
      </c>
      <c r="M846" s="177">
        <f>IFERROR(VLOOKUP($B846,calc_data,M$14+1,0),0)</f>
        <v/>
      </c>
      <c r="N846" s="177">
        <f>IFERROR(VLOOKUP($B846,calc_data,N$14+1,0),0)</f>
        <v/>
      </c>
      <c r="O846" s="45" t="n"/>
      <c r="Q846" s="57">
        <f>IF(K846&gt;0,"показать","скрыть")</f>
        <v/>
      </c>
    </row>
    <row r="847" ht="15.75" customHeight="1">
      <c r="B847" s="182" t="n">
        <v>831</v>
      </c>
      <c r="C847" s="182">
        <f>IFERROR(VLOOKUP($B847,calc_data,C$14+1,0),0)</f>
        <v/>
      </c>
      <c r="D847" s="182">
        <f>IFERROR(VLOOKUP($B847,calc_data,D$14+1,0),0)</f>
        <v/>
      </c>
      <c r="E847" s="183">
        <f>IFERROR(VLOOKUP($B847,calc_data,E$14+1,0),0)</f>
        <v/>
      </c>
      <c r="F847" s="182">
        <f>IFERROR(VLOOKUP($B847,calc_data,F$14+1,0),0)</f>
        <v/>
      </c>
      <c r="G847" s="141">
        <f>IFERROR(VLOOKUP($B847,calc_data,G$14+1,0),0)</f>
        <v/>
      </c>
      <c r="H847" s="141">
        <f>IFERROR(VLOOKUP($B847,calc_data,H$14+1,0),0)</f>
        <v/>
      </c>
      <c r="I847" s="142">
        <f>IFERROR(VLOOKUP($B847,calc_data,I$14+1,0),0)</f>
        <v/>
      </c>
      <c r="J847" s="141">
        <f>IFERROR(VLOOKUP($B847,calc_data,J$14+1,0),0)</f>
        <v/>
      </c>
      <c r="K847" s="141">
        <f>IFERROR(VLOOKUP($B847,calc_data,K$14+1,0),0)</f>
        <v/>
      </c>
      <c r="L847" s="141">
        <f>IFERROR(VLOOKUP($B847,calc_data,L$14+1,0),0)</f>
        <v/>
      </c>
      <c r="M847" s="177">
        <f>IFERROR(VLOOKUP($B847,calc_data,M$14+1,0),0)</f>
        <v/>
      </c>
      <c r="N847" s="177">
        <f>IFERROR(VLOOKUP($B847,calc_data,N$14+1,0),0)</f>
        <v/>
      </c>
      <c r="O847" s="45" t="n"/>
      <c r="Q847" s="57">
        <f>IF(K847&gt;0,"показать","скрыть")</f>
        <v/>
      </c>
    </row>
    <row r="848" ht="15.75" customHeight="1">
      <c r="B848" s="182" t="n">
        <v>832</v>
      </c>
      <c r="C848" s="182">
        <f>IFERROR(VLOOKUP($B848,calc_data,C$14+1,0),0)</f>
        <v/>
      </c>
      <c r="D848" s="182">
        <f>IFERROR(VLOOKUP($B848,calc_data,D$14+1,0),0)</f>
        <v/>
      </c>
      <c r="E848" s="183">
        <f>IFERROR(VLOOKUP($B848,calc_data,E$14+1,0),0)</f>
        <v/>
      </c>
      <c r="F848" s="182">
        <f>IFERROR(VLOOKUP($B848,calc_data,F$14+1,0),0)</f>
        <v/>
      </c>
      <c r="G848" s="141">
        <f>IFERROR(VLOOKUP($B848,calc_data,G$14+1,0),0)</f>
        <v/>
      </c>
      <c r="H848" s="141">
        <f>IFERROR(VLOOKUP($B848,calc_data,H$14+1,0),0)</f>
        <v/>
      </c>
      <c r="I848" s="142">
        <f>IFERROR(VLOOKUP($B848,calc_data,I$14+1,0),0)</f>
        <v/>
      </c>
      <c r="J848" s="141">
        <f>IFERROR(VLOOKUP($B848,calc_data,J$14+1,0),0)</f>
        <v/>
      </c>
      <c r="K848" s="141">
        <f>IFERROR(VLOOKUP($B848,calc_data,K$14+1,0),0)</f>
        <v/>
      </c>
      <c r="L848" s="141">
        <f>IFERROR(VLOOKUP($B848,calc_data,L$14+1,0),0)</f>
        <v/>
      </c>
      <c r="M848" s="177">
        <f>IFERROR(VLOOKUP($B848,calc_data,M$14+1,0),0)</f>
        <v/>
      </c>
      <c r="N848" s="177">
        <f>IFERROR(VLOOKUP($B848,calc_data,N$14+1,0),0)</f>
        <v/>
      </c>
      <c r="O848" s="45" t="n"/>
      <c r="Q848" s="57">
        <f>IF(K848&gt;0,"показать","скрыть")</f>
        <v/>
      </c>
    </row>
    <row r="849" ht="15.75" customHeight="1">
      <c r="B849" s="182" t="n">
        <v>833</v>
      </c>
      <c r="C849" s="182">
        <f>IFERROR(VLOOKUP($B849,calc_data,C$14+1,0),0)</f>
        <v/>
      </c>
      <c r="D849" s="182">
        <f>IFERROR(VLOOKUP($B849,calc_data,D$14+1,0),0)</f>
        <v/>
      </c>
      <c r="E849" s="183">
        <f>IFERROR(VLOOKUP($B849,calc_data,E$14+1,0),0)</f>
        <v/>
      </c>
      <c r="F849" s="182">
        <f>IFERROR(VLOOKUP($B849,calc_data,F$14+1,0),0)</f>
        <v/>
      </c>
      <c r="G849" s="141">
        <f>IFERROR(VLOOKUP($B849,calc_data,G$14+1,0),0)</f>
        <v/>
      </c>
      <c r="H849" s="141">
        <f>IFERROR(VLOOKUP($B849,calc_data,H$14+1,0),0)</f>
        <v/>
      </c>
      <c r="I849" s="142">
        <f>IFERROR(VLOOKUP($B849,calc_data,I$14+1,0),0)</f>
        <v/>
      </c>
      <c r="J849" s="141">
        <f>IFERROR(VLOOKUP($B849,calc_data,J$14+1,0),0)</f>
        <v/>
      </c>
      <c r="K849" s="141">
        <f>IFERROR(VLOOKUP($B849,calc_data,K$14+1,0),0)</f>
        <v/>
      </c>
      <c r="L849" s="141">
        <f>IFERROR(VLOOKUP($B849,calc_data,L$14+1,0),0)</f>
        <v/>
      </c>
      <c r="M849" s="177">
        <f>IFERROR(VLOOKUP($B849,calc_data,M$14+1,0),0)</f>
        <v/>
      </c>
      <c r="N849" s="177">
        <f>IFERROR(VLOOKUP($B849,calc_data,N$14+1,0),0)</f>
        <v/>
      </c>
      <c r="O849" s="45" t="n"/>
      <c r="Q849" s="57">
        <f>IF(K849&gt;0,"показать","скрыть")</f>
        <v/>
      </c>
    </row>
    <row r="850" ht="15.75" customHeight="1">
      <c r="B850" s="182" t="n">
        <v>834</v>
      </c>
      <c r="C850" s="182">
        <f>IFERROR(VLOOKUP($B850,calc_data,C$14+1,0),0)</f>
        <v/>
      </c>
      <c r="D850" s="182">
        <f>IFERROR(VLOOKUP($B850,calc_data,D$14+1,0),0)</f>
        <v/>
      </c>
      <c r="E850" s="183">
        <f>IFERROR(VLOOKUP($B850,calc_data,E$14+1,0),0)</f>
        <v/>
      </c>
      <c r="F850" s="182">
        <f>IFERROR(VLOOKUP($B850,calc_data,F$14+1,0),0)</f>
        <v/>
      </c>
      <c r="G850" s="141">
        <f>IFERROR(VLOOKUP($B850,calc_data,G$14+1,0),0)</f>
        <v/>
      </c>
      <c r="H850" s="141">
        <f>IFERROR(VLOOKUP($B850,calc_data,H$14+1,0),0)</f>
        <v/>
      </c>
      <c r="I850" s="142">
        <f>IFERROR(VLOOKUP($B850,calc_data,I$14+1,0),0)</f>
        <v/>
      </c>
      <c r="J850" s="141">
        <f>IFERROR(VLOOKUP($B850,calc_data,J$14+1,0),0)</f>
        <v/>
      </c>
      <c r="K850" s="141">
        <f>IFERROR(VLOOKUP($B850,calc_data,K$14+1,0),0)</f>
        <v/>
      </c>
      <c r="L850" s="141">
        <f>IFERROR(VLOOKUP($B850,calc_data,L$14+1,0),0)</f>
        <v/>
      </c>
      <c r="M850" s="177">
        <f>IFERROR(VLOOKUP($B850,calc_data,M$14+1,0),0)</f>
        <v/>
      </c>
      <c r="N850" s="177">
        <f>IFERROR(VLOOKUP($B850,calc_data,N$14+1,0),0)</f>
        <v/>
      </c>
      <c r="O850" s="45" t="n"/>
      <c r="Q850" s="57">
        <f>IF(K850&gt;0,"показать","скрыть")</f>
        <v/>
      </c>
    </row>
    <row r="851" ht="15.75" customHeight="1">
      <c r="B851" s="182" t="n">
        <v>835</v>
      </c>
      <c r="C851" s="182">
        <f>IFERROR(VLOOKUP($B851,calc_data,C$14+1,0),0)</f>
        <v/>
      </c>
      <c r="D851" s="182">
        <f>IFERROR(VLOOKUP($B851,calc_data,D$14+1,0),0)</f>
        <v/>
      </c>
      <c r="E851" s="183">
        <f>IFERROR(VLOOKUP($B851,calc_data,E$14+1,0),0)</f>
        <v/>
      </c>
      <c r="F851" s="182">
        <f>IFERROR(VLOOKUP($B851,calc_data,F$14+1,0),0)</f>
        <v/>
      </c>
      <c r="G851" s="141">
        <f>IFERROR(VLOOKUP($B851,calc_data,G$14+1,0),0)</f>
        <v/>
      </c>
      <c r="H851" s="141">
        <f>IFERROR(VLOOKUP($B851,calc_data,H$14+1,0),0)</f>
        <v/>
      </c>
      <c r="I851" s="142">
        <f>IFERROR(VLOOKUP($B851,calc_data,I$14+1,0),0)</f>
        <v/>
      </c>
      <c r="J851" s="141">
        <f>IFERROR(VLOOKUP($B851,calc_data,J$14+1,0),0)</f>
        <v/>
      </c>
      <c r="K851" s="141">
        <f>IFERROR(VLOOKUP($B851,calc_data,K$14+1,0),0)</f>
        <v/>
      </c>
      <c r="L851" s="141">
        <f>IFERROR(VLOOKUP($B851,calc_data,L$14+1,0),0)</f>
        <v/>
      </c>
      <c r="M851" s="177">
        <f>IFERROR(VLOOKUP($B851,calc_data,M$14+1,0),0)</f>
        <v/>
      </c>
      <c r="N851" s="177">
        <f>IFERROR(VLOOKUP($B851,calc_data,N$14+1,0),0)</f>
        <v/>
      </c>
      <c r="O851" s="45" t="n"/>
      <c r="Q851" s="57">
        <f>IF(K851&gt;0,"показать","скрыть")</f>
        <v/>
      </c>
    </row>
    <row r="852" ht="15.75" customHeight="1">
      <c r="B852" s="182" t="n">
        <v>836</v>
      </c>
      <c r="C852" s="182">
        <f>IFERROR(VLOOKUP($B852,calc_data,C$14+1,0),0)</f>
        <v/>
      </c>
      <c r="D852" s="182">
        <f>IFERROR(VLOOKUP($B852,calc_data,D$14+1,0),0)</f>
        <v/>
      </c>
      <c r="E852" s="183">
        <f>IFERROR(VLOOKUP($B852,calc_data,E$14+1,0),0)</f>
        <v/>
      </c>
      <c r="F852" s="182">
        <f>IFERROR(VLOOKUP($B852,calc_data,F$14+1,0),0)</f>
        <v/>
      </c>
      <c r="G852" s="141">
        <f>IFERROR(VLOOKUP($B852,calc_data,G$14+1,0),0)</f>
        <v/>
      </c>
      <c r="H852" s="141">
        <f>IFERROR(VLOOKUP($B852,calc_data,H$14+1,0),0)</f>
        <v/>
      </c>
      <c r="I852" s="142">
        <f>IFERROR(VLOOKUP($B852,calc_data,I$14+1,0),0)</f>
        <v/>
      </c>
      <c r="J852" s="141">
        <f>IFERROR(VLOOKUP($B852,calc_data,J$14+1,0),0)</f>
        <v/>
      </c>
      <c r="K852" s="141">
        <f>IFERROR(VLOOKUP($B852,calc_data,K$14+1,0),0)</f>
        <v/>
      </c>
      <c r="L852" s="141">
        <f>IFERROR(VLOOKUP($B852,calc_data,L$14+1,0),0)</f>
        <v/>
      </c>
      <c r="M852" s="177">
        <f>IFERROR(VLOOKUP($B852,calc_data,M$14+1,0),0)</f>
        <v/>
      </c>
      <c r="N852" s="177">
        <f>IFERROR(VLOOKUP($B852,calc_data,N$14+1,0),0)</f>
        <v/>
      </c>
      <c r="O852" s="45" t="n"/>
      <c r="Q852" s="57">
        <f>IF(K852&gt;0,"показать","скрыть")</f>
        <v/>
      </c>
    </row>
    <row r="853" ht="15.75" customHeight="1">
      <c r="B853" s="182" t="n">
        <v>837</v>
      </c>
      <c r="C853" s="182">
        <f>IFERROR(VLOOKUP($B853,calc_data,C$14+1,0),0)</f>
        <v/>
      </c>
      <c r="D853" s="182">
        <f>IFERROR(VLOOKUP($B853,calc_data,D$14+1,0),0)</f>
        <v/>
      </c>
      <c r="E853" s="183">
        <f>IFERROR(VLOOKUP($B853,calc_data,E$14+1,0),0)</f>
        <v/>
      </c>
      <c r="F853" s="182">
        <f>IFERROR(VLOOKUP($B853,calc_data,F$14+1,0),0)</f>
        <v/>
      </c>
      <c r="G853" s="141">
        <f>IFERROR(VLOOKUP($B853,calc_data,G$14+1,0),0)</f>
        <v/>
      </c>
      <c r="H853" s="141">
        <f>IFERROR(VLOOKUP($B853,calc_data,H$14+1,0),0)</f>
        <v/>
      </c>
      <c r="I853" s="142">
        <f>IFERROR(VLOOKUP($B853,calc_data,I$14+1,0),0)</f>
        <v/>
      </c>
      <c r="J853" s="141">
        <f>IFERROR(VLOOKUP($B853,calc_data,J$14+1,0),0)</f>
        <v/>
      </c>
      <c r="K853" s="141">
        <f>IFERROR(VLOOKUP($B853,calc_data,K$14+1,0),0)</f>
        <v/>
      </c>
      <c r="L853" s="141">
        <f>IFERROR(VLOOKUP($B853,calc_data,L$14+1,0),0)</f>
        <v/>
      </c>
      <c r="M853" s="177">
        <f>IFERROR(VLOOKUP($B853,calc_data,M$14+1,0),0)</f>
        <v/>
      </c>
      <c r="N853" s="177">
        <f>IFERROR(VLOOKUP($B853,calc_data,N$14+1,0),0)</f>
        <v/>
      </c>
      <c r="O853" s="45" t="n"/>
      <c r="Q853" s="57">
        <f>IF(K853&gt;0,"показать","скрыть")</f>
        <v/>
      </c>
    </row>
    <row r="854" ht="15.75" customHeight="1">
      <c r="B854" s="182" t="n">
        <v>838</v>
      </c>
      <c r="C854" s="182">
        <f>IFERROR(VLOOKUP($B854,calc_data,C$14+1,0),0)</f>
        <v/>
      </c>
      <c r="D854" s="182">
        <f>IFERROR(VLOOKUP($B854,calc_data,D$14+1,0),0)</f>
        <v/>
      </c>
      <c r="E854" s="183">
        <f>IFERROR(VLOOKUP($B854,calc_data,E$14+1,0),0)</f>
        <v/>
      </c>
      <c r="F854" s="182">
        <f>IFERROR(VLOOKUP($B854,calc_data,F$14+1,0),0)</f>
        <v/>
      </c>
      <c r="G854" s="141">
        <f>IFERROR(VLOOKUP($B854,calc_data,G$14+1,0),0)</f>
        <v/>
      </c>
      <c r="H854" s="141">
        <f>IFERROR(VLOOKUP($B854,calc_data,H$14+1,0),0)</f>
        <v/>
      </c>
      <c r="I854" s="142">
        <f>IFERROR(VLOOKUP($B854,calc_data,I$14+1,0),0)</f>
        <v/>
      </c>
      <c r="J854" s="141">
        <f>IFERROR(VLOOKUP($B854,calc_data,J$14+1,0),0)</f>
        <v/>
      </c>
      <c r="K854" s="141">
        <f>IFERROR(VLOOKUP($B854,calc_data,K$14+1,0),0)</f>
        <v/>
      </c>
      <c r="L854" s="141">
        <f>IFERROR(VLOOKUP($B854,calc_data,L$14+1,0),0)</f>
        <v/>
      </c>
      <c r="M854" s="177">
        <f>IFERROR(VLOOKUP($B854,calc_data,M$14+1,0),0)</f>
        <v/>
      </c>
      <c r="N854" s="177">
        <f>IFERROR(VLOOKUP($B854,calc_data,N$14+1,0),0)</f>
        <v/>
      </c>
      <c r="O854" s="45" t="n"/>
      <c r="Q854" s="57">
        <f>IF(K854&gt;0,"показать","скрыть")</f>
        <v/>
      </c>
    </row>
    <row r="855" ht="15.75" customHeight="1">
      <c r="B855" s="182" t="n">
        <v>839</v>
      </c>
      <c r="C855" s="182">
        <f>IFERROR(VLOOKUP($B855,calc_data,C$14+1,0),0)</f>
        <v/>
      </c>
      <c r="D855" s="182">
        <f>IFERROR(VLOOKUP($B855,calc_data,D$14+1,0),0)</f>
        <v/>
      </c>
      <c r="E855" s="183">
        <f>IFERROR(VLOOKUP($B855,calc_data,E$14+1,0),0)</f>
        <v/>
      </c>
      <c r="F855" s="182">
        <f>IFERROR(VLOOKUP($B855,calc_data,F$14+1,0),0)</f>
        <v/>
      </c>
      <c r="G855" s="141">
        <f>IFERROR(VLOOKUP($B855,calc_data,G$14+1,0),0)</f>
        <v/>
      </c>
      <c r="H855" s="141">
        <f>IFERROR(VLOOKUP($B855,calc_data,H$14+1,0),0)</f>
        <v/>
      </c>
      <c r="I855" s="142">
        <f>IFERROR(VLOOKUP($B855,calc_data,I$14+1,0),0)</f>
        <v/>
      </c>
      <c r="J855" s="141">
        <f>IFERROR(VLOOKUP($B855,calc_data,J$14+1,0),0)</f>
        <v/>
      </c>
      <c r="K855" s="141">
        <f>IFERROR(VLOOKUP($B855,calc_data,K$14+1,0),0)</f>
        <v/>
      </c>
      <c r="L855" s="141">
        <f>IFERROR(VLOOKUP($B855,calc_data,L$14+1,0),0)</f>
        <v/>
      </c>
      <c r="M855" s="177">
        <f>IFERROR(VLOOKUP($B855,calc_data,M$14+1,0),0)</f>
        <v/>
      </c>
      <c r="N855" s="177">
        <f>IFERROR(VLOOKUP($B855,calc_data,N$14+1,0),0)</f>
        <v/>
      </c>
      <c r="O855" s="45" t="n"/>
      <c r="Q855" s="57">
        <f>IF(K855&gt;0,"показать","скрыть")</f>
        <v/>
      </c>
    </row>
    <row r="856" ht="15.75" customHeight="1">
      <c r="B856" s="182" t="n">
        <v>840</v>
      </c>
      <c r="C856" s="182">
        <f>IFERROR(VLOOKUP($B856,calc_data,C$14+1,0),0)</f>
        <v/>
      </c>
      <c r="D856" s="182">
        <f>IFERROR(VLOOKUP($B856,calc_data,D$14+1,0),0)</f>
        <v/>
      </c>
      <c r="E856" s="183">
        <f>IFERROR(VLOOKUP($B856,calc_data,E$14+1,0),0)</f>
        <v/>
      </c>
      <c r="F856" s="182">
        <f>IFERROR(VLOOKUP($B856,calc_data,F$14+1,0),0)</f>
        <v/>
      </c>
      <c r="G856" s="141">
        <f>IFERROR(VLOOKUP($B856,calc_data,G$14+1,0),0)</f>
        <v/>
      </c>
      <c r="H856" s="141">
        <f>IFERROR(VLOOKUP($B856,calc_data,H$14+1,0),0)</f>
        <v/>
      </c>
      <c r="I856" s="142">
        <f>IFERROR(VLOOKUP($B856,calc_data,I$14+1,0),0)</f>
        <v/>
      </c>
      <c r="J856" s="141">
        <f>IFERROR(VLOOKUP($B856,calc_data,J$14+1,0),0)</f>
        <v/>
      </c>
      <c r="K856" s="141">
        <f>IFERROR(VLOOKUP($B856,calc_data,K$14+1,0),0)</f>
        <v/>
      </c>
      <c r="L856" s="141">
        <f>IFERROR(VLOOKUP($B856,calc_data,L$14+1,0),0)</f>
        <v/>
      </c>
      <c r="M856" s="177">
        <f>IFERROR(VLOOKUP($B856,calc_data,M$14+1,0),0)</f>
        <v/>
      </c>
      <c r="N856" s="177">
        <f>IFERROR(VLOOKUP($B856,calc_data,N$14+1,0),0)</f>
        <v/>
      </c>
      <c r="O856" s="45" t="n"/>
      <c r="Q856" s="57">
        <f>IF(K856&gt;0,"показать","скрыть")</f>
        <v/>
      </c>
    </row>
    <row r="857" ht="15.75" customHeight="1">
      <c r="B857" s="182" t="n">
        <v>841</v>
      </c>
      <c r="C857" s="182">
        <f>IFERROR(VLOOKUP($B857,calc_data,C$14+1,0),0)</f>
        <v/>
      </c>
      <c r="D857" s="182">
        <f>IFERROR(VLOOKUP($B857,calc_data,D$14+1,0),0)</f>
        <v/>
      </c>
      <c r="E857" s="183">
        <f>IFERROR(VLOOKUP($B857,calc_data,E$14+1,0),0)</f>
        <v/>
      </c>
      <c r="F857" s="182">
        <f>IFERROR(VLOOKUP($B857,calc_data,F$14+1,0),0)</f>
        <v/>
      </c>
      <c r="G857" s="141">
        <f>IFERROR(VLOOKUP($B857,calc_data,G$14+1,0),0)</f>
        <v/>
      </c>
      <c r="H857" s="141">
        <f>IFERROR(VLOOKUP($B857,calc_data,H$14+1,0),0)</f>
        <v/>
      </c>
      <c r="I857" s="142">
        <f>IFERROR(VLOOKUP($B857,calc_data,I$14+1,0),0)</f>
        <v/>
      </c>
      <c r="J857" s="141">
        <f>IFERROR(VLOOKUP($B857,calc_data,J$14+1,0),0)</f>
        <v/>
      </c>
      <c r="K857" s="141">
        <f>IFERROR(VLOOKUP($B857,calc_data,K$14+1,0),0)</f>
        <v/>
      </c>
      <c r="L857" s="141">
        <f>IFERROR(VLOOKUP($B857,calc_data,L$14+1,0),0)</f>
        <v/>
      </c>
      <c r="M857" s="177">
        <f>IFERROR(VLOOKUP($B857,calc_data,M$14+1,0),0)</f>
        <v/>
      </c>
      <c r="N857" s="177">
        <f>IFERROR(VLOOKUP($B857,calc_data,N$14+1,0),0)</f>
        <v/>
      </c>
      <c r="O857" s="45" t="n"/>
      <c r="Q857" s="57">
        <f>IF(K857&gt;0,"показать","скрыть")</f>
        <v/>
      </c>
    </row>
    <row r="858" ht="15.75" customHeight="1">
      <c r="B858" s="182" t="n">
        <v>842</v>
      </c>
      <c r="C858" s="182">
        <f>IFERROR(VLOOKUP($B858,calc_data,C$14+1,0),0)</f>
        <v/>
      </c>
      <c r="D858" s="182">
        <f>IFERROR(VLOOKUP($B858,calc_data,D$14+1,0),0)</f>
        <v/>
      </c>
      <c r="E858" s="183">
        <f>IFERROR(VLOOKUP($B858,calc_data,E$14+1,0),0)</f>
        <v/>
      </c>
      <c r="F858" s="182">
        <f>IFERROR(VLOOKUP($B858,calc_data,F$14+1,0),0)</f>
        <v/>
      </c>
      <c r="G858" s="141">
        <f>IFERROR(VLOOKUP($B858,calc_data,G$14+1,0),0)</f>
        <v/>
      </c>
      <c r="H858" s="141">
        <f>IFERROR(VLOOKUP($B858,calc_data,H$14+1,0),0)</f>
        <v/>
      </c>
      <c r="I858" s="142">
        <f>IFERROR(VLOOKUP($B858,calc_data,I$14+1,0),0)</f>
        <v/>
      </c>
      <c r="J858" s="141">
        <f>IFERROR(VLOOKUP($B858,calc_data,J$14+1,0),0)</f>
        <v/>
      </c>
      <c r="K858" s="141">
        <f>IFERROR(VLOOKUP($B858,calc_data,K$14+1,0),0)</f>
        <v/>
      </c>
      <c r="L858" s="141">
        <f>IFERROR(VLOOKUP($B858,calc_data,L$14+1,0),0)</f>
        <v/>
      </c>
      <c r="M858" s="177">
        <f>IFERROR(VLOOKUP($B858,calc_data,M$14+1,0),0)</f>
        <v/>
      </c>
      <c r="N858" s="177">
        <f>IFERROR(VLOOKUP($B858,calc_data,N$14+1,0),0)</f>
        <v/>
      </c>
      <c r="O858" s="45" t="n"/>
      <c r="Q858" s="57">
        <f>IF(K858&gt;0,"показать","скрыть")</f>
        <v/>
      </c>
    </row>
    <row r="859" ht="15.75" customHeight="1">
      <c r="B859" s="182" t="n">
        <v>843</v>
      </c>
      <c r="C859" s="182">
        <f>IFERROR(VLOOKUP($B859,calc_data,C$14+1,0),0)</f>
        <v/>
      </c>
      <c r="D859" s="182">
        <f>IFERROR(VLOOKUP($B859,calc_data,D$14+1,0),0)</f>
        <v/>
      </c>
      <c r="E859" s="183">
        <f>IFERROR(VLOOKUP($B859,calc_data,E$14+1,0),0)</f>
        <v/>
      </c>
      <c r="F859" s="182">
        <f>IFERROR(VLOOKUP($B859,calc_data,F$14+1,0),0)</f>
        <v/>
      </c>
      <c r="G859" s="141">
        <f>IFERROR(VLOOKUP($B859,calc_data,G$14+1,0),0)</f>
        <v/>
      </c>
      <c r="H859" s="141">
        <f>IFERROR(VLOOKUP($B859,calc_data,H$14+1,0),0)</f>
        <v/>
      </c>
      <c r="I859" s="142">
        <f>IFERROR(VLOOKUP($B859,calc_data,I$14+1,0),0)</f>
        <v/>
      </c>
      <c r="J859" s="141">
        <f>IFERROR(VLOOKUP($B859,calc_data,J$14+1,0),0)</f>
        <v/>
      </c>
      <c r="K859" s="141">
        <f>IFERROR(VLOOKUP($B859,calc_data,K$14+1,0),0)</f>
        <v/>
      </c>
      <c r="L859" s="141">
        <f>IFERROR(VLOOKUP($B859,calc_data,L$14+1,0),0)</f>
        <v/>
      </c>
      <c r="M859" s="177">
        <f>IFERROR(VLOOKUP($B859,calc_data,M$14+1,0),0)</f>
        <v/>
      </c>
      <c r="N859" s="177">
        <f>IFERROR(VLOOKUP($B859,calc_data,N$14+1,0),0)</f>
        <v/>
      </c>
      <c r="O859" s="45" t="n"/>
      <c r="Q859" s="57">
        <f>IF(K859&gt;0,"показать","скрыть")</f>
        <v/>
      </c>
    </row>
    <row r="860" ht="15.75" customHeight="1">
      <c r="B860" s="182" t="n">
        <v>844</v>
      </c>
      <c r="C860" s="182">
        <f>IFERROR(VLOOKUP($B860,calc_data,C$14+1,0),0)</f>
        <v/>
      </c>
      <c r="D860" s="182">
        <f>IFERROR(VLOOKUP($B860,calc_data,D$14+1,0),0)</f>
        <v/>
      </c>
      <c r="E860" s="183">
        <f>IFERROR(VLOOKUP($B860,calc_data,E$14+1,0),0)</f>
        <v/>
      </c>
      <c r="F860" s="182">
        <f>IFERROR(VLOOKUP($B860,calc_data,F$14+1,0),0)</f>
        <v/>
      </c>
      <c r="G860" s="141">
        <f>IFERROR(VLOOKUP($B860,calc_data,G$14+1,0),0)</f>
        <v/>
      </c>
      <c r="H860" s="141">
        <f>IFERROR(VLOOKUP($B860,calc_data,H$14+1,0),0)</f>
        <v/>
      </c>
      <c r="I860" s="142">
        <f>IFERROR(VLOOKUP($B860,calc_data,I$14+1,0),0)</f>
        <v/>
      </c>
      <c r="J860" s="141">
        <f>IFERROR(VLOOKUP($B860,calc_data,J$14+1,0),0)</f>
        <v/>
      </c>
      <c r="K860" s="141">
        <f>IFERROR(VLOOKUP($B860,calc_data,K$14+1,0),0)</f>
        <v/>
      </c>
      <c r="L860" s="141">
        <f>IFERROR(VLOOKUP($B860,calc_data,L$14+1,0),0)</f>
        <v/>
      </c>
      <c r="M860" s="177">
        <f>IFERROR(VLOOKUP($B860,calc_data,M$14+1,0),0)</f>
        <v/>
      </c>
      <c r="N860" s="177">
        <f>IFERROR(VLOOKUP($B860,calc_data,N$14+1,0),0)</f>
        <v/>
      </c>
      <c r="O860" s="45" t="n"/>
      <c r="Q860" s="57">
        <f>IF(K860&gt;0,"показать","скрыть")</f>
        <v/>
      </c>
    </row>
    <row r="861" ht="15.75" customHeight="1">
      <c r="B861" s="182" t="n">
        <v>845</v>
      </c>
      <c r="C861" s="182">
        <f>IFERROR(VLOOKUP($B861,calc_data,C$14+1,0),0)</f>
        <v/>
      </c>
      <c r="D861" s="182">
        <f>IFERROR(VLOOKUP($B861,calc_data,D$14+1,0),0)</f>
        <v/>
      </c>
      <c r="E861" s="183">
        <f>IFERROR(VLOOKUP($B861,calc_data,E$14+1,0),0)</f>
        <v/>
      </c>
      <c r="F861" s="182">
        <f>IFERROR(VLOOKUP($B861,calc_data,F$14+1,0),0)</f>
        <v/>
      </c>
      <c r="G861" s="141">
        <f>IFERROR(VLOOKUP($B861,calc_data,G$14+1,0),0)</f>
        <v/>
      </c>
      <c r="H861" s="141">
        <f>IFERROR(VLOOKUP($B861,calc_data,H$14+1,0),0)</f>
        <v/>
      </c>
      <c r="I861" s="142">
        <f>IFERROR(VLOOKUP($B861,calc_data,I$14+1,0),0)</f>
        <v/>
      </c>
      <c r="J861" s="141">
        <f>IFERROR(VLOOKUP($B861,calc_data,J$14+1,0),0)</f>
        <v/>
      </c>
      <c r="K861" s="141">
        <f>IFERROR(VLOOKUP($B861,calc_data,K$14+1,0),0)</f>
        <v/>
      </c>
      <c r="L861" s="141">
        <f>IFERROR(VLOOKUP($B861,calc_data,L$14+1,0),0)</f>
        <v/>
      </c>
      <c r="M861" s="177">
        <f>IFERROR(VLOOKUP($B861,calc_data,M$14+1,0),0)</f>
        <v/>
      </c>
      <c r="N861" s="177">
        <f>IFERROR(VLOOKUP($B861,calc_data,N$14+1,0),0)</f>
        <v/>
      </c>
      <c r="O861" s="45" t="n"/>
      <c r="Q861" s="57">
        <f>IF(K861&gt;0,"показать","скрыть")</f>
        <v/>
      </c>
    </row>
    <row r="862" ht="15.75" customHeight="1">
      <c r="B862" s="182" t="n">
        <v>846</v>
      </c>
      <c r="C862" s="182">
        <f>IFERROR(VLOOKUP($B862,calc_data,C$14+1,0),0)</f>
        <v/>
      </c>
      <c r="D862" s="182">
        <f>IFERROR(VLOOKUP($B862,calc_data,D$14+1,0),0)</f>
        <v/>
      </c>
      <c r="E862" s="183">
        <f>IFERROR(VLOOKUP($B862,calc_data,E$14+1,0),0)</f>
        <v/>
      </c>
      <c r="F862" s="182">
        <f>IFERROR(VLOOKUP($B862,calc_data,F$14+1,0),0)</f>
        <v/>
      </c>
      <c r="G862" s="141">
        <f>IFERROR(VLOOKUP($B862,calc_data,G$14+1,0),0)</f>
        <v/>
      </c>
      <c r="H862" s="141">
        <f>IFERROR(VLOOKUP($B862,calc_data,H$14+1,0),0)</f>
        <v/>
      </c>
      <c r="I862" s="142">
        <f>IFERROR(VLOOKUP($B862,calc_data,I$14+1,0),0)</f>
        <v/>
      </c>
      <c r="J862" s="141">
        <f>IFERROR(VLOOKUP($B862,calc_data,J$14+1,0),0)</f>
        <v/>
      </c>
      <c r="K862" s="141">
        <f>IFERROR(VLOOKUP($B862,calc_data,K$14+1,0),0)</f>
        <v/>
      </c>
      <c r="L862" s="141">
        <f>IFERROR(VLOOKUP($B862,calc_data,L$14+1,0),0)</f>
        <v/>
      </c>
      <c r="M862" s="177">
        <f>IFERROR(VLOOKUP($B862,calc_data,M$14+1,0),0)</f>
        <v/>
      </c>
      <c r="N862" s="177">
        <f>IFERROR(VLOOKUP($B862,calc_data,N$14+1,0),0)</f>
        <v/>
      </c>
      <c r="O862" s="45" t="n"/>
      <c r="Q862" s="57">
        <f>IF(K862&gt;0,"показать","скрыть")</f>
        <v/>
      </c>
    </row>
    <row r="863" ht="15.75" customHeight="1">
      <c r="B863" s="182" t="n">
        <v>847</v>
      </c>
      <c r="C863" s="182">
        <f>IFERROR(VLOOKUP($B863,calc_data,C$14+1,0),0)</f>
        <v/>
      </c>
      <c r="D863" s="182">
        <f>IFERROR(VLOOKUP($B863,calc_data,D$14+1,0),0)</f>
        <v/>
      </c>
      <c r="E863" s="183">
        <f>IFERROR(VLOOKUP($B863,calc_data,E$14+1,0),0)</f>
        <v/>
      </c>
      <c r="F863" s="182">
        <f>IFERROR(VLOOKUP($B863,calc_data,F$14+1,0),0)</f>
        <v/>
      </c>
      <c r="G863" s="141">
        <f>IFERROR(VLOOKUP($B863,calc_data,G$14+1,0),0)</f>
        <v/>
      </c>
      <c r="H863" s="141">
        <f>IFERROR(VLOOKUP($B863,calc_data,H$14+1,0),0)</f>
        <v/>
      </c>
      <c r="I863" s="142">
        <f>IFERROR(VLOOKUP($B863,calc_data,I$14+1,0),0)</f>
        <v/>
      </c>
      <c r="J863" s="141">
        <f>IFERROR(VLOOKUP($B863,calc_data,J$14+1,0),0)</f>
        <v/>
      </c>
      <c r="K863" s="141">
        <f>IFERROR(VLOOKUP($B863,calc_data,K$14+1,0),0)</f>
        <v/>
      </c>
      <c r="L863" s="141">
        <f>IFERROR(VLOOKUP($B863,calc_data,L$14+1,0),0)</f>
        <v/>
      </c>
      <c r="M863" s="177">
        <f>IFERROR(VLOOKUP($B863,calc_data,M$14+1,0),0)</f>
        <v/>
      </c>
      <c r="N863" s="177">
        <f>IFERROR(VLOOKUP($B863,calc_data,N$14+1,0),0)</f>
        <v/>
      </c>
      <c r="O863" s="45" t="n"/>
      <c r="Q863" s="57">
        <f>IF(K863&gt;0,"показать","скрыть")</f>
        <v/>
      </c>
    </row>
    <row r="864" ht="15.75" customHeight="1">
      <c r="B864" s="182" t="n">
        <v>848</v>
      </c>
      <c r="C864" s="182">
        <f>IFERROR(VLOOKUP($B864,calc_data,C$14+1,0),0)</f>
        <v/>
      </c>
      <c r="D864" s="182">
        <f>IFERROR(VLOOKUP($B864,calc_data,D$14+1,0),0)</f>
        <v/>
      </c>
      <c r="E864" s="183">
        <f>IFERROR(VLOOKUP($B864,calc_data,E$14+1,0),0)</f>
        <v/>
      </c>
      <c r="F864" s="182">
        <f>IFERROR(VLOOKUP($B864,calc_data,F$14+1,0),0)</f>
        <v/>
      </c>
      <c r="G864" s="141">
        <f>IFERROR(VLOOKUP($B864,calc_data,G$14+1,0),0)</f>
        <v/>
      </c>
      <c r="H864" s="141">
        <f>IFERROR(VLOOKUP($B864,calc_data,H$14+1,0),0)</f>
        <v/>
      </c>
      <c r="I864" s="142">
        <f>IFERROR(VLOOKUP($B864,calc_data,I$14+1,0),0)</f>
        <v/>
      </c>
      <c r="J864" s="141">
        <f>IFERROR(VLOOKUP($B864,calc_data,J$14+1,0),0)</f>
        <v/>
      </c>
      <c r="K864" s="141">
        <f>IFERROR(VLOOKUP($B864,calc_data,K$14+1,0),0)</f>
        <v/>
      </c>
      <c r="L864" s="141">
        <f>IFERROR(VLOOKUP($B864,calc_data,L$14+1,0),0)</f>
        <v/>
      </c>
      <c r="M864" s="177">
        <f>IFERROR(VLOOKUP($B864,calc_data,M$14+1,0),0)</f>
        <v/>
      </c>
      <c r="N864" s="177">
        <f>IFERROR(VLOOKUP($B864,calc_data,N$14+1,0),0)</f>
        <v/>
      </c>
      <c r="O864" s="45" t="n"/>
      <c r="Q864" s="57">
        <f>IF(K864&gt;0,"показать","скрыть")</f>
        <v/>
      </c>
    </row>
    <row r="865" ht="15.75" customHeight="1">
      <c r="B865" s="182" t="n">
        <v>849</v>
      </c>
      <c r="C865" s="182">
        <f>IFERROR(VLOOKUP($B865,calc_data,C$14+1,0),0)</f>
        <v/>
      </c>
      <c r="D865" s="182">
        <f>IFERROR(VLOOKUP($B865,calc_data,D$14+1,0),0)</f>
        <v/>
      </c>
      <c r="E865" s="183">
        <f>IFERROR(VLOOKUP($B865,calc_data,E$14+1,0),0)</f>
        <v/>
      </c>
      <c r="F865" s="182">
        <f>IFERROR(VLOOKUP($B865,calc_data,F$14+1,0),0)</f>
        <v/>
      </c>
      <c r="G865" s="141">
        <f>IFERROR(VLOOKUP($B865,calc_data,G$14+1,0),0)</f>
        <v/>
      </c>
      <c r="H865" s="141">
        <f>IFERROR(VLOOKUP($B865,calc_data,H$14+1,0),0)</f>
        <v/>
      </c>
      <c r="I865" s="142">
        <f>IFERROR(VLOOKUP($B865,calc_data,I$14+1,0),0)</f>
        <v/>
      </c>
      <c r="J865" s="141">
        <f>IFERROR(VLOOKUP($B865,calc_data,J$14+1,0),0)</f>
        <v/>
      </c>
      <c r="K865" s="141">
        <f>IFERROR(VLOOKUP($B865,calc_data,K$14+1,0),0)</f>
        <v/>
      </c>
      <c r="L865" s="141">
        <f>IFERROR(VLOOKUP($B865,calc_data,L$14+1,0),0)</f>
        <v/>
      </c>
      <c r="M865" s="177">
        <f>IFERROR(VLOOKUP($B865,calc_data,M$14+1,0),0)</f>
        <v/>
      </c>
      <c r="N865" s="177">
        <f>IFERROR(VLOOKUP($B865,calc_data,N$14+1,0),0)</f>
        <v/>
      </c>
      <c r="O865" s="45" t="n"/>
      <c r="Q865" s="57">
        <f>IF(K865&gt;0,"показать","скрыть")</f>
        <v/>
      </c>
    </row>
    <row r="866" ht="15.75" customHeight="1">
      <c r="B866" s="182" t="n">
        <v>850</v>
      </c>
      <c r="C866" s="182">
        <f>IFERROR(VLOOKUP($B866,calc_data,C$14+1,0),0)</f>
        <v/>
      </c>
      <c r="D866" s="182">
        <f>IFERROR(VLOOKUP($B866,calc_data,D$14+1,0),0)</f>
        <v/>
      </c>
      <c r="E866" s="183">
        <f>IFERROR(VLOOKUP($B866,calc_data,E$14+1,0),0)</f>
        <v/>
      </c>
      <c r="F866" s="182">
        <f>IFERROR(VLOOKUP($B866,calc_data,F$14+1,0),0)</f>
        <v/>
      </c>
      <c r="G866" s="141">
        <f>IFERROR(VLOOKUP($B866,calc_data,G$14+1,0),0)</f>
        <v/>
      </c>
      <c r="H866" s="141">
        <f>IFERROR(VLOOKUP($B866,calc_data,H$14+1,0),0)</f>
        <v/>
      </c>
      <c r="I866" s="142">
        <f>IFERROR(VLOOKUP($B866,calc_data,I$14+1,0),0)</f>
        <v/>
      </c>
      <c r="J866" s="141">
        <f>IFERROR(VLOOKUP($B866,calc_data,J$14+1,0),0)</f>
        <v/>
      </c>
      <c r="K866" s="141">
        <f>IFERROR(VLOOKUP($B866,calc_data,K$14+1,0),0)</f>
        <v/>
      </c>
      <c r="L866" s="141">
        <f>IFERROR(VLOOKUP($B866,calc_data,L$14+1,0),0)</f>
        <v/>
      </c>
      <c r="M866" s="177">
        <f>IFERROR(VLOOKUP($B866,calc_data,M$14+1,0),0)</f>
        <v/>
      </c>
      <c r="N866" s="177">
        <f>IFERROR(VLOOKUP($B866,calc_data,N$14+1,0),0)</f>
        <v/>
      </c>
      <c r="O866" s="45" t="n"/>
      <c r="Q866" s="57">
        <f>IF(K866&gt;0,"показать","скрыть")</f>
        <v/>
      </c>
    </row>
    <row r="867" ht="15.75" customHeight="1">
      <c r="B867" s="182" t="n">
        <v>851</v>
      </c>
      <c r="C867" s="182">
        <f>IFERROR(VLOOKUP($B867,calc_data,C$14+1,0),0)</f>
        <v/>
      </c>
      <c r="D867" s="182">
        <f>IFERROR(VLOOKUP($B867,calc_data,D$14+1,0),0)</f>
        <v/>
      </c>
      <c r="E867" s="183">
        <f>IFERROR(VLOOKUP($B867,calc_data,E$14+1,0),0)</f>
        <v/>
      </c>
      <c r="F867" s="182">
        <f>IFERROR(VLOOKUP($B867,calc_data,F$14+1,0),0)</f>
        <v/>
      </c>
      <c r="G867" s="141">
        <f>IFERROR(VLOOKUP($B867,calc_data,G$14+1,0),0)</f>
        <v/>
      </c>
      <c r="H867" s="141">
        <f>IFERROR(VLOOKUP($B867,calc_data,H$14+1,0),0)</f>
        <v/>
      </c>
      <c r="I867" s="142">
        <f>IFERROR(VLOOKUP($B867,calc_data,I$14+1,0),0)</f>
        <v/>
      </c>
      <c r="J867" s="141">
        <f>IFERROR(VLOOKUP($B867,calc_data,J$14+1,0),0)</f>
        <v/>
      </c>
      <c r="K867" s="141">
        <f>IFERROR(VLOOKUP($B867,calc_data,K$14+1,0),0)</f>
        <v/>
      </c>
      <c r="L867" s="141">
        <f>IFERROR(VLOOKUP($B867,calc_data,L$14+1,0),0)</f>
        <v/>
      </c>
      <c r="M867" s="177">
        <f>IFERROR(VLOOKUP($B867,calc_data,M$14+1,0),0)</f>
        <v/>
      </c>
      <c r="N867" s="177">
        <f>IFERROR(VLOOKUP($B867,calc_data,N$14+1,0),0)</f>
        <v/>
      </c>
      <c r="O867" s="45" t="n"/>
      <c r="Q867" s="57">
        <f>IF(K867&gt;0,"показать","скрыть")</f>
        <v/>
      </c>
    </row>
    <row r="868" ht="15.75" customHeight="1">
      <c r="B868" s="182" t="n">
        <v>852</v>
      </c>
      <c r="C868" s="182">
        <f>IFERROR(VLOOKUP($B868,calc_data,C$14+1,0),0)</f>
        <v/>
      </c>
      <c r="D868" s="182">
        <f>IFERROR(VLOOKUP($B868,calc_data,D$14+1,0),0)</f>
        <v/>
      </c>
      <c r="E868" s="183">
        <f>IFERROR(VLOOKUP($B868,calc_data,E$14+1,0),0)</f>
        <v/>
      </c>
      <c r="F868" s="182">
        <f>IFERROR(VLOOKUP($B868,calc_data,F$14+1,0),0)</f>
        <v/>
      </c>
      <c r="G868" s="141">
        <f>IFERROR(VLOOKUP($B868,calc_data,G$14+1,0),0)</f>
        <v/>
      </c>
      <c r="H868" s="141">
        <f>IFERROR(VLOOKUP($B868,calc_data,H$14+1,0),0)</f>
        <v/>
      </c>
      <c r="I868" s="142">
        <f>IFERROR(VLOOKUP($B868,calc_data,I$14+1,0),0)</f>
        <v/>
      </c>
      <c r="J868" s="141">
        <f>IFERROR(VLOOKUP($B868,calc_data,J$14+1,0),0)</f>
        <v/>
      </c>
      <c r="K868" s="141">
        <f>IFERROR(VLOOKUP($B868,calc_data,K$14+1,0),0)</f>
        <v/>
      </c>
      <c r="L868" s="141">
        <f>IFERROR(VLOOKUP($B868,calc_data,L$14+1,0),0)</f>
        <v/>
      </c>
      <c r="M868" s="177">
        <f>IFERROR(VLOOKUP($B868,calc_data,M$14+1,0),0)</f>
        <v/>
      </c>
      <c r="N868" s="177">
        <f>IFERROR(VLOOKUP($B868,calc_data,N$14+1,0),0)</f>
        <v/>
      </c>
      <c r="O868" s="45" t="n"/>
      <c r="Q868" s="57">
        <f>IF(K868&gt;0,"показать","скрыть")</f>
        <v/>
      </c>
    </row>
    <row r="869" ht="15.75" customHeight="1">
      <c r="B869" s="182" t="n">
        <v>853</v>
      </c>
      <c r="C869" s="182">
        <f>IFERROR(VLOOKUP($B869,calc_data,C$14+1,0),0)</f>
        <v/>
      </c>
      <c r="D869" s="182">
        <f>IFERROR(VLOOKUP($B869,calc_data,D$14+1,0),0)</f>
        <v/>
      </c>
      <c r="E869" s="183">
        <f>IFERROR(VLOOKUP($B869,calc_data,E$14+1,0),0)</f>
        <v/>
      </c>
      <c r="F869" s="182">
        <f>IFERROR(VLOOKUP($B869,calc_data,F$14+1,0),0)</f>
        <v/>
      </c>
      <c r="G869" s="141">
        <f>IFERROR(VLOOKUP($B869,calc_data,G$14+1,0),0)</f>
        <v/>
      </c>
      <c r="H869" s="141">
        <f>IFERROR(VLOOKUP($B869,calc_data,H$14+1,0),0)</f>
        <v/>
      </c>
      <c r="I869" s="142">
        <f>IFERROR(VLOOKUP($B869,calc_data,I$14+1,0),0)</f>
        <v/>
      </c>
      <c r="J869" s="141">
        <f>IFERROR(VLOOKUP($B869,calc_data,J$14+1,0),0)</f>
        <v/>
      </c>
      <c r="K869" s="141">
        <f>IFERROR(VLOOKUP($B869,calc_data,K$14+1,0),0)</f>
        <v/>
      </c>
      <c r="L869" s="141">
        <f>IFERROR(VLOOKUP($B869,calc_data,L$14+1,0),0)</f>
        <v/>
      </c>
      <c r="M869" s="177">
        <f>IFERROR(VLOOKUP($B869,calc_data,M$14+1,0),0)</f>
        <v/>
      </c>
      <c r="N869" s="177">
        <f>IFERROR(VLOOKUP($B869,calc_data,N$14+1,0),0)</f>
        <v/>
      </c>
      <c r="O869" s="45" t="n"/>
      <c r="Q869" s="57">
        <f>IF(K869&gt;0,"показать","скрыть")</f>
        <v/>
      </c>
    </row>
    <row r="870" ht="15.75" customHeight="1">
      <c r="B870" s="182" t="n">
        <v>854</v>
      </c>
      <c r="C870" s="182">
        <f>IFERROR(VLOOKUP($B870,calc_data,C$14+1,0),0)</f>
        <v/>
      </c>
      <c r="D870" s="182">
        <f>IFERROR(VLOOKUP($B870,calc_data,D$14+1,0),0)</f>
        <v/>
      </c>
      <c r="E870" s="183">
        <f>IFERROR(VLOOKUP($B870,calc_data,E$14+1,0),0)</f>
        <v/>
      </c>
      <c r="F870" s="182">
        <f>IFERROR(VLOOKUP($B870,calc_data,F$14+1,0),0)</f>
        <v/>
      </c>
      <c r="G870" s="141">
        <f>IFERROR(VLOOKUP($B870,calc_data,G$14+1,0),0)</f>
        <v/>
      </c>
      <c r="H870" s="141">
        <f>IFERROR(VLOOKUP($B870,calc_data,H$14+1,0),0)</f>
        <v/>
      </c>
      <c r="I870" s="142">
        <f>IFERROR(VLOOKUP($B870,calc_data,I$14+1,0),0)</f>
        <v/>
      </c>
      <c r="J870" s="141">
        <f>IFERROR(VLOOKUP($B870,calc_data,J$14+1,0),0)</f>
        <v/>
      </c>
      <c r="K870" s="141">
        <f>IFERROR(VLOOKUP($B870,calc_data,K$14+1,0),0)</f>
        <v/>
      </c>
      <c r="L870" s="141">
        <f>IFERROR(VLOOKUP($B870,calc_data,L$14+1,0),0)</f>
        <v/>
      </c>
      <c r="M870" s="177">
        <f>IFERROR(VLOOKUP($B870,calc_data,M$14+1,0),0)</f>
        <v/>
      </c>
      <c r="N870" s="177">
        <f>IFERROR(VLOOKUP($B870,calc_data,N$14+1,0),0)</f>
        <v/>
      </c>
      <c r="O870" s="45" t="n"/>
      <c r="Q870" s="57">
        <f>IF(K870&gt;0,"показать","скрыть")</f>
        <v/>
      </c>
    </row>
    <row r="871" ht="15.75" customHeight="1">
      <c r="B871" s="182" t="n">
        <v>855</v>
      </c>
      <c r="C871" s="182">
        <f>IFERROR(VLOOKUP($B871,calc_data,C$14+1,0),0)</f>
        <v/>
      </c>
      <c r="D871" s="182">
        <f>IFERROR(VLOOKUP($B871,calc_data,D$14+1,0),0)</f>
        <v/>
      </c>
      <c r="E871" s="183">
        <f>IFERROR(VLOOKUP($B871,calc_data,E$14+1,0),0)</f>
        <v/>
      </c>
      <c r="F871" s="182">
        <f>IFERROR(VLOOKUP($B871,calc_data,F$14+1,0),0)</f>
        <v/>
      </c>
      <c r="G871" s="141">
        <f>IFERROR(VLOOKUP($B871,calc_data,G$14+1,0),0)</f>
        <v/>
      </c>
      <c r="H871" s="141">
        <f>IFERROR(VLOOKUP($B871,calc_data,H$14+1,0),0)</f>
        <v/>
      </c>
      <c r="I871" s="142">
        <f>IFERROR(VLOOKUP($B871,calc_data,I$14+1,0),0)</f>
        <v/>
      </c>
      <c r="J871" s="141">
        <f>IFERROR(VLOOKUP($B871,calc_data,J$14+1,0),0)</f>
        <v/>
      </c>
      <c r="K871" s="141">
        <f>IFERROR(VLOOKUP($B871,calc_data,K$14+1,0),0)</f>
        <v/>
      </c>
      <c r="L871" s="141">
        <f>IFERROR(VLOOKUP($B871,calc_data,L$14+1,0),0)</f>
        <v/>
      </c>
      <c r="M871" s="177">
        <f>IFERROR(VLOOKUP($B871,calc_data,M$14+1,0),0)</f>
        <v/>
      </c>
      <c r="N871" s="177">
        <f>IFERROR(VLOOKUP($B871,calc_data,N$14+1,0),0)</f>
        <v/>
      </c>
      <c r="O871" s="45" t="n"/>
      <c r="Q871" s="57">
        <f>IF(K871&gt;0,"показать","скрыть")</f>
        <v/>
      </c>
    </row>
    <row r="872" ht="15.75" customHeight="1">
      <c r="B872" s="182" t="n">
        <v>856</v>
      </c>
      <c r="C872" s="182">
        <f>IFERROR(VLOOKUP($B872,calc_data,C$14+1,0),0)</f>
        <v/>
      </c>
      <c r="D872" s="182">
        <f>IFERROR(VLOOKUP($B872,calc_data,D$14+1,0),0)</f>
        <v/>
      </c>
      <c r="E872" s="183">
        <f>IFERROR(VLOOKUP($B872,calc_data,E$14+1,0),0)</f>
        <v/>
      </c>
      <c r="F872" s="182">
        <f>IFERROR(VLOOKUP($B872,calc_data,F$14+1,0),0)</f>
        <v/>
      </c>
      <c r="G872" s="141">
        <f>IFERROR(VLOOKUP($B872,calc_data,G$14+1,0),0)</f>
        <v/>
      </c>
      <c r="H872" s="141">
        <f>IFERROR(VLOOKUP($B872,calc_data,H$14+1,0),0)</f>
        <v/>
      </c>
      <c r="I872" s="142">
        <f>IFERROR(VLOOKUP($B872,calc_data,I$14+1,0),0)</f>
        <v/>
      </c>
      <c r="J872" s="141">
        <f>IFERROR(VLOOKUP($B872,calc_data,J$14+1,0),0)</f>
        <v/>
      </c>
      <c r="K872" s="141">
        <f>IFERROR(VLOOKUP($B872,calc_data,K$14+1,0),0)</f>
        <v/>
      </c>
      <c r="L872" s="141">
        <f>IFERROR(VLOOKUP($B872,calc_data,L$14+1,0),0)</f>
        <v/>
      </c>
      <c r="M872" s="177">
        <f>IFERROR(VLOOKUP($B872,calc_data,M$14+1,0),0)</f>
        <v/>
      </c>
      <c r="N872" s="177">
        <f>IFERROR(VLOOKUP($B872,calc_data,N$14+1,0),0)</f>
        <v/>
      </c>
      <c r="O872" s="45" t="n"/>
      <c r="Q872" s="57">
        <f>IF(K872&gt;0,"показать","скрыть")</f>
        <v/>
      </c>
    </row>
    <row r="873" ht="15.75" customHeight="1">
      <c r="B873" s="182" t="n">
        <v>857</v>
      </c>
      <c r="C873" s="182">
        <f>IFERROR(VLOOKUP($B873,calc_data,C$14+1,0),0)</f>
        <v/>
      </c>
      <c r="D873" s="182">
        <f>IFERROR(VLOOKUP($B873,calc_data,D$14+1,0),0)</f>
        <v/>
      </c>
      <c r="E873" s="183">
        <f>IFERROR(VLOOKUP($B873,calc_data,E$14+1,0),0)</f>
        <v/>
      </c>
      <c r="F873" s="182">
        <f>IFERROR(VLOOKUP($B873,calc_data,F$14+1,0),0)</f>
        <v/>
      </c>
      <c r="G873" s="141">
        <f>IFERROR(VLOOKUP($B873,calc_data,G$14+1,0),0)</f>
        <v/>
      </c>
      <c r="H873" s="141">
        <f>IFERROR(VLOOKUP($B873,calc_data,H$14+1,0),0)</f>
        <v/>
      </c>
      <c r="I873" s="142">
        <f>IFERROR(VLOOKUP($B873,calc_data,I$14+1,0),0)</f>
        <v/>
      </c>
      <c r="J873" s="141">
        <f>IFERROR(VLOOKUP($B873,calc_data,J$14+1,0),0)</f>
        <v/>
      </c>
      <c r="K873" s="141">
        <f>IFERROR(VLOOKUP($B873,calc_data,K$14+1,0),0)</f>
        <v/>
      </c>
      <c r="L873" s="141">
        <f>IFERROR(VLOOKUP($B873,calc_data,L$14+1,0),0)</f>
        <v/>
      </c>
      <c r="M873" s="177">
        <f>IFERROR(VLOOKUP($B873,calc_data,M$14+1,0),0)</f>
        <v/>
      </c>
      <c r="N873" s="177">
        <f>IFERROR(VLOOKUP($B873,calc_data,N$14+1,0),0)</f>
        <v/>
      </c>
      <c r="O873" s="45" t="n"/>
      <c r="Q873" s="57">
        <f>IF(K873&gt;0,"показать","скрыть")</f>
        <v/>
      </c>
    </row>
    <row r="874" ht="15.75" customHeight="1">
      <c r="B874" s="182" t="n">
        <v>858</v>
      </c>
      <c r="C874" s="182">
        <f>IFERROR(VLOOKUP($B874,calc_data,C$14+1,0),0)</f>
        <v/>
      </c>
      <c r="D874" s="182">
        <f>IFERROR(VLOOKUP($B874,calc_data,D$14+1,0),0)</f>
        <v/>
      </c>
      <c r="E874" s="183">
        <f>IFERROR(VLOOKUP($B874,calc_data,E$14+1,0),0)</f>
        <v/>
      </c>
      <c r="F874" s="182">
        <f>IFERROR(VLOOKUP($B874,calc_data,F$14+1,0),0)</f>
        <v/>
      </c>
      <c r="G874" s="141">
        <f>IFERROR(VLOOKUP($B874,calc_data,G$14+1,0),0)</f>
        <v/>
      </c>
      <c r="H874" s="141">
        <f>IFERROR(VLOOKUP($B874,calc_data,H$14+1,0),0)</f>
        <v/>
      </c>
      <c r="I874" s="142">
        <f>IFERROR(VLOOKUP($B874,calc_data,I$14+1,0),0)</f>
        <v/>
      </c>
      <c r="J874" s="141">
        <f>IFERROR(VLOOKUP($B874,calc_data,J$14+1,0),0)</f>
        <v/>
      </c>
      <c r="K874" s="141">
        <f>IFERROR(VLOOKUP($B874,calc_data,K$14+1,0),0)</f>
        <v/>
      </c>
      <c r="L874" s="141">
        <f>IFERROR(VLOOKUP($B874,calc_data,L$14+1,0),0)</f>
        <v/>
      </c>
      <c r="M874" s="177">
        <f>IFERROR(VLOOKUP($B874,calc_data,M$14+1,0),0)</f>
        <v/>
      </c>
      <c r="N874" s="177">
        <f>IFERROR(VLOOKUP($B874,calc_data,N$14+1,0),0)</f>
        <v/>
      </c>
      <c r="O874" s="45" t="n"/>
      <c r="Q874" s="57">
        <f>IF(K874&gt;0,"показать","скрыть")</f>
        <v/>
      </c>
    </row>
    <row r="875" ht="15.75" customHeight="1">
      <c r="B875" s="182" t="n">
        <v>859</v>
      </c>
      <c r="C875" s="182">
        <f>IFERROR(VLOOKUP($B875,calc_data,C$14+1,0),0)</f>
        <v/>
      </c>
      <c r="D875" s="182">
        <f>IFERROR(VLOOKUP($B875,calc_data,D$14+1,0),0)</f>
        <v/>
      </c>
      <c r="E875" s="183">
        <f>IFERROR(VLOOKUP($B875,calc_data,E$14+1,0),0)</f>
        <v/>
      </c>
      <c r="F875" s="182">
        <f>IFERROR(VLOOKUP($B875,calc_data,F$14+1,0),0)</f>
        <v/>
      </c>
      <c r="G875" s="141">
        <f>IFERROR(VLOOKUP($B875,calc_data,G$14+1,0),0)</f>
        <v/>
      </c>
      <c r="H875" s="141">
        <f>IFERROR(VLOOKUP($B875,calc_data,H$14+1,0),0)</f>
        <v/>
      </c>
      <c r="I875" s="142">
        <f>IFERROR(VLOOKUP($B875,calc_data,I$14+1,0),0)</f>
        <v/>
      </c>
      <c r="J875" s="141">
        <f>IFERROR(VLOOKUP($B875,calc_data,J$14+1,0),0)</f>
        <v/>
      </c>
      <c r="K875" s="141">
        <f>IFERROR(VLOOKUP($B875,calc_data,K$14+1,0),0)</f>
        <v/>
      </c>
      <c r="L875" s="141">
        <f>IFERROR(VLOOKUP($B875,calc_data,L$14+1,0),0)</f>
        <v/>
      </c>
      <c r="M875" s="177">
        <f>IFERROR(VLOOKUP($B875,calc_data,M$14+1,0),0)</f>
        <v/>
      </c>
      <c r="N875" s="177">
        <f>IFERROR(VLOOKUP($B875,calc_data,N$14+1,0),0)</f>
        <v/>
      </c>
      <c r="O875" s="45" t="n"/>
      <c r="Q875" s="57">
        <f>IF(K875&gt;0,"показать","скрыть")</f>
        <v/>
      </c>
    </row>
    <row r="876" ht="15.75" customHeight="1">
      <c r="B876" s="182" t="n">
        <v>860</v>
      </c>
      <c r="C876" s="182">
        <f>IFERROR(VLOOKUP($B876,calc_data,C$14+1,0),0)</f>
        <v/>
      </c>
      <c r="D876" s="182">
        <f>IFERROR(VLOOKUP($B876,calc_data,D$14+1,0),0)</f>
        <v/>
      </c>
      <c r="E876" s="183">
        <f>IFERROR(VLOOKUP($B876,calc_data,E$14+1,0),0)</f>
        <v/>
      </c>
      <c r="F876" s="182">
        <f>IFERROR(VLOOKUP($B876,calc_data,F$14+1,0),0)</f>
        <v/>
      </c>
      <c r="G876" s="141">
        <f>IFERROR(VLOOKUP($B876,calc_data,G$14+1,0),0)</f>
        <v/>
      </c>
      <c r="H876" s="141">
        <f>IFERROR(VLOOKUP($B876,calc_data,H$14+1,0),0)</f>
        <v/>
      </c>
      <c r="I876" s="142">
        <f>IFERROR(VLOOKUP($B876,calc_data,I$14+1,0),0)</f>
        <v/>
      </c>
      <c r="J876" s="141">
        <f>IFERROR(VLOOKUP($B876,calc_data,J$14+1,0),0)</f>
        <v/>
      </c>
      <c r="K876" s="141">
        <f>IFERROR(VLOOKUP($B876,calc_data,K$14+1,0),0)</f>
        <v/>
      </c>
      <c r="L876" s="141">
        <f>IFERROR(VLOOKUP($B876,calc_data,L$14+1,0),0)</f>
        <v/>
      </c>
      <c r="M876" s="177">
        <f>IFERROR(VLOOKUP($B876,calc_data,M$14+1,0),0)</f>
        <v/>
      </c>
      <c r="N876" s="177">
        <f>IFERROR(VLOOKUP($B876,calc_data,N$14+1,0),0)</f>
        <v/>
      </c>
      <c r="O876" s="45" t="n"/>
      <c r="Q876" s="57">
        <f>IF(K876&gt;0,"показать","скрыть")</f>
        <v/>
      </c>
    </row>
    <row r="877" ht="15.75" customHeight="1">
      <c r="B877" s="182" t="n">
        <v>861</v>
      </c>
      <c r="C877" s="182">
        <f>IFERROR(VLOOKUP($B877,calc_data,C$14+1,0),0)</f>
        <v/>
      </c>
      <c r="D877" s="182">
        <f>IFERROR(VLOOKUP($B877,calc_data,D$14+1,0),0)</f>
        <v/>
      </c>
      <c r="E877" s="183">
        <f>IFERROR(VLOOKUP($B877,calc_data,E$14+1,0),0)</f>
        <v/>
      </c>
      <c r="F877" s="182">
        <f>IFERROR(VLOOKUP($B877,calc_data,F$14+1,0),0)</f>
        <v/>
      </c>
      <c r="G877" s="141">
        <f>IFERROR(VLOOKUP($B877,calc_data,G$14+1,0),0)</f>
        <v/>
      </c>
      <c r="H877" s="141">
        <f>IFERROR(VLOOKUP($B877,calc_data,H$14+1,0),0)</f>
        <v/>
      </c>
      <c r="I877" s="142">
        <f>IFERROR(VLOOKUP($B877,calc_data,I$14+1,0),0)</f>
        <v/>
      </c>
      <c r="J877" s="141">
        <f>IFERROR(VLOOKUP($B877,calc_data,J$14+1,0),0)</f>
        <v/>
      </c>
      <c r="K877" s="141">
        <f>IFERROR(VLOOKUP($B877,calc_data,K$14+1,0),0)</f>
        <v/>
      </c>
      <c r="L877" s="141">
        <f>IFERROR(VLOOKUP($B877,calc_data,L$14+1,0),0)</f>
        <v/>
      </c>
      <c r="M877" s="177">
        <f>IFERROR(VLOOKUP($B877,calc_data,M$14+1,0),0)</f>
        <v/>
      </c>
      <c r="N877" s="177">
        <f>IFERROR(VLOOKUP($B877,calc_data,N$14+1,0),0)</f>
        <v/>
      </c>
      <c r="O877" s="45" t="n"/>
      <c r="Q877" s="57">
        <f>IF(K877&gt;0,"показать","скрыть")</f>
        <v/>
      </c>
    </row>
    <row r="878" ht="15.75" customHeight="1">
      <c r="B878" s="182" t="n">
        <v>862</v>
      </c>
      <c r="C878" s="182">
        <f>IFERROR(VLOOKUP($B878,calc_data,C$14+1,0),0)</f>
        <v/>
      </c>
      <c r="D878" s="182">
        <f>IFERROR(VLOOKUP($B878,calc_data,D$14+1,0),0)</f>
        <v/>
      </c>
      <c r="E878" s="183">
        <f>IFERROR(VLOOKUP($B878,calc_data,E$14+1,0),0)</f>
        <v/>
      </c>
      <c r="F878" s="182">
        <f>IFERROR(VLOOKUP($B878,calc_data,F$14+1,0),0)</f>
        <v/>
      </c>
      <c r="G878" s="141">
        <f>IFERROR(VLOOKUP($B878,calc_data,G$14+1,0),0)</f>
        <v/>
      </c>
      <c r="H878" s="141">
        <f>IFERROR(VLOOKUP($B878,calc_data,H$14+1,0),0)</f>
        <v/>
      </c>
      <c r="I878" s="142">
        <f>IFERROR(VLOOKUP($B878,calc_data,I$14+1,0),0)</f>
        <v/>
      </c>
      <c r="J878" s="141">
        <f>IFERROR(VLOOKUP($B878,calc_data,J$14+1,0),0)</f>
        <v/>
      </c>
      <c r="K878" s="141">
        <f>IFERROR(VLOOKUP($B878,calc_data,K$14+1,0),0)</f>
        <v/>
      </c>
      <c r="L878" s="141">
        <f>IFERROR(VLOOKUP($B878,calc_data,L$14+1,0),0)</f>
        <v/>
      </c>
      <c r="M878" s="177">
        <f>IFERROR(VLOOKUP($B878,calc_data,M$14+1,0),0)</f>
        <v/>
      </c>
      <c r="N878" s="177">
        <f>IFERROR(VLOOKUP($B878,calc_data,N$14+1,0),0)</f>
        <v/>
      </c>
      <c r="O878" s="45" t="n"/>
      <c r="Q878" s="57">
        <f>IF(K878&gt;0,"показать","скрыть")</f>
        <v/>
      </c>
    </row>
    <row r="879" ht="15.75" customHeight="1">
      <c r="B879" s="182" t="n">
        <v>863</v>
      </c>
      <c r="C879" s="182">
        <f>IFERROR(VLOOKUP($B879,calc_data,C$14+1,0),0)</f>
        <v/>
      </c>
      <c r="D879" s="182">
        <f>IFERROR(VLOOKUP($B879,calc_data,D$14+1,0),0)</f>
        <v/>
      </c>
      <c r="E879" s="183">
        <f>IFERROR(VLOOKUP($B879,calc_data,E$14+1,0),0)</f>
        <v/>
      </c>
      <c r="F879" s="182">
        <f>IFERROR(VLOOKUP($B879,calc_data,F$14+1,0),0)</f>
        <v/>
      </c>
      <c r="G879" s="141">
        <f>IFERROR(VLOOKUP($B879,calc_data,G$14+1,0),0)</f>
        <v/>
      </c>
      <c r="H879" s="141">
        <f>IFERROR(VLOOKUP($B879,calc_data,H$14+1,0),0)</f>
        <v/>
      </c>
      <c r="I879" s="142">
        <f>IFERROR(VLOOKUP($B879,calc_data,I$14+1,0),0)</f>
        <v/>
      </c>
      <c r="J879" s="141">
        <f>IFERROR(VLOOKUP($B879,calc_data,J$14+1,0),0)</f>
        <v/>
      </c>
      <c r="K879" s="141">
        <f>IFERROR(VLOOKUP($B879,calc_data,K$14+1,0),0)</f>
        <v/>
      </c>
      <c r="L879" s="141">
        <f>IFERROR(VLOOKUP($B879,calc_data,L$14+1,0),0)</f>
        <v/>
      </c>
      <c r="M879" s="177">
        <f>IFERROR(VLOOKUP($B879,calc_data,M$14+1,0),0)</f>
        <v/>
      </c>
      <c r="N879" s="177">
        <f>IFERROR(VLOOKUP($B879,calc_data,N$14+1,0),0)</f>
        <v/>
      </c>
      <c r="O879" s="45" t="n"/>
      <c r="Q879" s="57">
        <f>IF(K879&gt;0,"показать","скрыть")</f>
        <v/>
      </c>
    </row>
    <row r="880" ht="15.75" customHeight="1">
      <c r="B880" s="182" t="n">
        <v>864</v>
      </c>
      <c r="C880" s="182">
        <f>IFERROR(VLOOKUP($B880,calc_data,C$14+1,0),0)</f>
        <v/>
      </c>
      <c r="D880" s="182">
        <f>IFERROR(VLOOKUP($B880,calc_data,D$14+1,0),0)</f>
        <v/>
      </c>
      <c r="E880" s="183">
        <f>IFERROR(VLOOKUP($B880,calc_data,E$14+1,0),0)</f>
        <v/>
      </c>
      <c r="F880" s="182">
        <f>IFERROR(VLOOKUP($B880,calc_data,F$14+1,0),0)</f>
        <v/>
      </c>
      <c r="G880" s="141">
        <f>IFERROR(VLOOKUP($B880,calc_data,G$14+1,0),0)</f>
        <v/>
      </c>
      <c r="H880" s="141">
        <f>IFERROR(VLOOKUP($B880,calc_data,H$14+1,0),0)</f>
        <v/>
      </c>
      <c r="I880" s="142">
        <f>IFERROR(VLOOKUP($B880,calc_data,I$14+1,0),0)</f>
        <v/>
      </c>
      <c r="J880" s="141">
        <f>IFERROR(VLOOKUP($B880,calc_data,J$14+1,0),0)</f>
        <v/>
      </c>
      <c r="K880" s="141">
        <f>IFERROR(VLOOKUP($B880,calc_data,K$14+1,0),0)</f>
        <v/>
      </c>
      <c r="L880" s="141">
        <f>IFERROR(VLOOKUP($B880,calc_data,L$14+1,0),0)</f>
        <v/>
      </c>
      <c r="M880" s="177">
        <f>IFERROR(VLOOKUP($B880,calc_data,M$14+1,0),0)</f>
        <v/>
      </c>
      <c r="N880" s="177">
        <f>IFERROR(VLOOKUP($B880,calc_data,N$14+1,0),0)</f>
        <v/>
      </c>
      <c r="O880" s="45" t="n"/>
      <c r="Q880" s="57">
        <f>IF(K880&gt;0,"показать","скрыть")</f>
        <v/>
      </c>
    </row>
    <row r="881" ht="15.75" customHeight="1">
      <c r="B881" s="182" t="n">
        <v>865</v>
      </c>
      <c r="C881" s="182">
        <f>IFERROR(VLOOKUP($B881,calc_data,C$14+1,0),0)</f>
        <v/>
      </c>
      <c r="D881" s="182">
        <f>IFERROR(VLOOKUP($B881,calc_data,D$14+1,0),0)</f>
        <v/>
      </c>
      <c r="E881" s="183">
        <f>IFERROR(VLOOKUP($B881,calc_data,E$14+1,0),0)</f>
        <v/>
      </c>
      <c r="F881" s="182">
        <f>IFERROR(VLOOKUP($B881,calc_data,F$14+1,0),0)</f>
        <v/>
      </c>
      <c r="G881" s="141">
        <f>IFERROR(VLOOKUP($B881,calc_data,G$14+1,0),0)</f>
        <v/>
      </c>
      <c r="H881" s="141">
        <f>IFERROR(VLOOKUP($B881,calc_data,H$14+1,0),0)</f>
        <v/>
      </c>
      <c r="I881" s="142">
        <f>IFERROR(VLOOKUP($B881,calc_data,I$14+1,0),0)</f>
        <v/>
      </c>
      <c r="J881" s="141">
        <f>IFERROR(VLOOKUP($B881,calc_data,J$14+1,0),0)</f>
        <v/>
      </c>
      <c r="K881" s="141">
        <f>IFERROR(VLOOKUP($B881,calc_data,K$14+1,0),0)</f>
        <v/>
      </c>
      <c r="L881" s="141">
        <f>IFERROR(VLOOKUP($B881,calc_data,L$14+1,0),0)</f>
        <v/>
      </c>
      <c r="M881" s="177">
        <f>IFERROR(VLOOKUP($B881,calc_data,M$14+1,0),0)</f>
        <v/>
      </c>
      <c r="N881" s="177">
        <f>IFERROR(VLOOKUP($B881,calc_data,N$14+1,0),0)</f>
        <v/>
      </c>
      <c r="O881" s="45" t="n"/>
      <c r="Q881" s="57">
        <f>IF(K881&gt;0,"показать","скрыть")</f>
        <v/>
      </c>
    </row>
    <row r="882" ht="15.75" customHeight="1">
      <c r="B882" s="182" t="n">
        <v>866</v>
      </c>
      <c r="C882" s="182">
        <f>IFERROR(VLOOKUP($B882,calc_data,C$14+1,0),0)</f>
        <v/>
      </c>
      <c r="D882" s="182">
        <f>IFERROR(VLOOKUP($B882,calc_data,D$14+1,0),0)</f>
        <v/>
      </c>
      <c r="E882" s="183">
        <f>IFERROR(VLOOKUP($B882,calc_data,E$14+1,0),0)</f>
        <v/>
      </c>
      <c r="F882" s="182">
        <f>IFERROR(VLOOKUP($B882,calc_data,F$14+1,0),0)</f>
        <v/>
      </c>
      <c r="G882" s="141">
        <f>IFERROR(VLOOKUP($B882,calc_data,G$14+1,0),0)</f>
        <v/>
      </c>
      <c r="H882" s="141">
        <f>IFERROR(VLOOKUP($B882,calc_data,H$14+1,0),0)</f>
        <v/>
      </c>
      <c r="I882" s="142">
        <f>IFERROR(VLOOKUP($B882,calc_data,I$14+1,0),0)</f>
        <v/>
      </c>
      <c r="J882" s="141">
        <f>IFERROR(VLOOKUP($B882,calc_data,J$14+1,0),0)</f>
        <v/>
      </c>
      <c r="K882" s="141">
        <f>IFERROR(VLOOKUP($B882,calc_data,K$14+1,0),0)</f>
        <v/>
      </c>
      <c r="L882" s="141">
        <f>IFERROR(VLOOKUP($B882,calc_data,L$14+1,0),0)</f>
        <v/>
      </c>
      <c r="M882" s="177">
        <f>IFERROR(VLOOKUP($B882,calc_data,M$14+1,0),0)</f>
        <v/>
      </c>
      <c r="N882" s="177">
        <f>IFERROR(VLOOKUP($B882,calc_data,N$14+1,0),0)</f>
        <v/>
      </c>
      <c r="O882" s="45" t="n"/>
      <c r="Q882" s="57">
        <f>IF(K882&gt;0,"показать","скрыть")</f>
        <v/>
      </c>
    </row>
    <row r="883" ht="15.75" customHeight="1">
      <c r="B883" s="182" t="n">
        <v>867</v>
      </c>
      <c r="C883" s="182">
        <f>IFERROR(VLOOKUP($B883,calc_data,C$14+1,0),0)</f>
        <v/>
      </c>
      <c r="D883" s="182">
        <f>IFERROR(VLOOKUP($B883,calc_data,D$14+1,0),0)</f>
        <v/>
      </c>
      <c r="E883" s="183">
        <f>IFERROR(VLOOKUP($B883,calc_data,E$14+1,0),0)</f>
        <v/>
      </c>
      <c r="F883" s="182">
        <f>IFERROR(VLOOKUP($B883,calc_data,F$14+1,0),0)</f>
        <v/>
      </c>
      <c r="G883" s="141">
        <f>IFERROR(VLOOKUP($B883,calc_data,G$14+1,0),0)</f>
        <v/>
      </c>
      <c r="H883" s="141">
        <f>IFERROR(VLOOKUP($B883,calc_data,H$14+1,0),0)</f>
        <v/>
      </c>
      <c r="I883" s="142">
        <f>IFERROR(VLOOKUP($B883,calc_data,I$14+1,0),0)</f>
        <v/>
      </c>
      <c r="J883" s="141">
        <f>IFERROR(VLOOKUP($B883,calc_data,J$14+1,0),0)</f>
        <v/>
      </c>
      <c r="K883" s="141">
        <f>IFERROR(VLOOKUP($B883,calc_data,K$14+1,0),0)</f>
        <v/>
      </c>
      <c r="L883" s="141">
        <f>IFERROR(VLOOKUP($B883,calc_data,L$14+1,0),0)</f>
        <v/>
      </c>
      <c r="M883" s="177">
        <f>IFERROR(VLOOKUP($B883,calc_data,M$14+1,0),0)</f>
        <v/>
      </c>
      <c r="N883" s="177">
        <f>IFERROR(VLOOKUP($B883,calc_data,N$14+1,0),0)</f>
        <v/>
      </c>
      <c r="O883" s="45" t="n"/>
      <c r="Q883" s="57">
        <f>IF(K883&gt;0,"показать","скрыть")</f>
        <v/>
      </c>
    </row>
    <row r="884" ht="15.75" customHeight="1">
      <c r="B884" s="182" t="n">
        <v>868</v>
      </c>
      <c r="C884" s="182">
        <f>IFERROR(VLOOKUP($B884,calc_data,C$14+1,0),0)</f>
        <v/>
      </c>
      <c r="D884" s="182">
        <f>IFERROR(VLOOKUP($B884,calc_data,D$14+1,0),0)</f>
        <v/>
      </c>
      <c r="E884" s="183">
        <f>IFERROR(VLOOKUP($B884,calc_data,E$14+1,0),0)</f>
        <v/>
      </c>
      <c r="F884" s="182">
        <f>IFERROR(VLOOKUP($B884,calc_data,F$14+1,0),0)</f>
        <v/>
      </c>
      <c r="G884" s="141">
        <f>IFERROR(VLOOKUP($B884,calc_data,G$14+1,0),0)</f>
        <v/>
      </c>
      <c r="H884" s="141">
        <f>IFERROR(VLOOKUP($B884,calc_data,H$14+1,0),0)</f>
        <v/>
      </c>
      <c r="I884" s="142">
        <f>IFERROR(VLOOKUP($B884,calc_data,I$14+1,0),0)</f>
        <v/>
      </c>
      <c r="J884" s="141">
        <f>IFERROR(VLOOKUP($B884,calc_data,J$14+1,0),0)</f>
        <v/>
      </c>
      <c r="K884" s="141">
        <f>IFERROR(VLOOKUP($B884,calc_data,K$14+1,0),0)</f>
        <v/>
      </c>
      <c r="L884" s="141">
        <f>IFERROR(VLOOKUP($B884,calc_data,L$14+1,0),0)</f>
        <v/>
      </c>
      <c r="M884" s="177">
        <f>IFERROR(VLOOKUP($B884,calc_data,M$14+1,0),0)</f>
        <v/>
      </c>
      <c r="N884" s="177">
        <f>IFERROR(VLOOKUP($B884,calc_data,N$14+1,0),0)</f>
        <v/>
      </c>
      <c r="O884" s="45" t="n"/>
      <c r="Q884" s="57">
        <f>IF(K884&gt;0,"показать","скрыть")</f>
        <v/>
      </c>
    </row>
    <row r="885" ht="15.75" customHeight="1">
      <c r="B885" s="182" t="n">
        <v>869</v>
      </c>
      <c r="C885" s="182">
        <f>IFERROR(VLOOKUP($B885,calc_data,C$14+1,0),0)</f>
        <v/>
      </c>
      <c r="D885" s="182">
        <f>IFERROR(VLOOKUP($B885,calc_data,D$14+1,0),0)</f>
        <v/>
      </c>
      <c r="E885" s="183">
        <f>IFERROR(VLOOKUP($B885,calc_data,E$14+1,0),0)</f>
        <v/>
      </c>
      <c r="F885" s="182">
        <f>IFERROR(VLOOKUP($B885,calc_data,F$14+1,0),0)</f>
        <v/>
      </c>
      <c r="G885" s="141">
        <f>IFERROR(VLOOKUP($B885,calc_data,G$14+1,0),0)</f>
        <v/>
      </c>
      <c r="H885" s="141">
        <f>IFERROR(VLOOKUP($B885,calc_data,H$14+1,0),0)</f>
        <v/>
      </c>
      <c r="I885" s="142">
        <f>IFERROR(VLOOKUP($B885,calc_data,I$14+1,0),0)</f>
        <v/>
      </c>
      <c r="J885" s="141">
        <f>IFERROR(VLOOKUP($B885,calc_data,J$14+1,0),0)</f>
        <v/>
      </c>
      <c r="K885" s="141">
        <f>IFERROR(VLOOKUP($B885,calc_data,K$14+1,0),0)</f>
        <v/>
      </c>
      <c r="L885" s="141">
        <f>IFERROR(VLOOKUP($B885,calc_data,L$14+1,0),0)</f>
        <v/>
      </c>
      <c r="M885" s="177">
        <f>IFERROR(VLOOKUP($B885,calc_data,M$14+1,0),0)</f>
        <v/>
      </c>
      <c r="N885" s="177">
        <f>IFERROR(VLOOKUP($B885,calc_data,N$14+1,0),0)</f>
        <v/>
      </c>
      <c r="O885" s="45" t="n"/>
      <c r="Q885" s="57">
        <f>IF(K885&gt;0,"показать","скрыть")</f>
        <v/>
      </c>
    </row>
    <row r="886" ht="15.75" customHeight="1">
      <c r="B886" s="182" t="n">
        <v>870</v>
      </c>
      <c r="C886" s="182">
        <f>IFERROR(VLOOKUP($B886,calc_data,C$14+1,0),0)</f>
        <v/>
      </c>
      <c r="D886" s="182">
        <f>IFERROR(VLOOKUP($B886,calc_data,D$14+1,0),0)</f>
        <v/>
      </c>
      <c r="E886" s="183">
        <f>IFERROR(VLOOKUP($B886,calc_data,E$14+1,0),0)</f>
        <v/>
      </c>
      <c r="F886" s="182">
        <f>IFERROR(VLOOKUP($B886,calc_data,F$14+1,0),0)</f>
        <v/>
      </c>
      <c r="G886" s="141">
        <f>IFERROR(VLOOKUP($B886,calc_data,G$14+1,0),0)</f>
        <v/>
      </c>
      <c r="H886" s="141">
        <f>IFERROR(VLOOKUP($B886,calc_data,H$14+1,0),0)</f>
        <v/>
      </c>
      <c r="I886" s="142">
        <f>IFERROR(VLOOKUP($B886,calc_data,I$14+1,0),0)</f>
        <v/>
      </c>
      <c r="J886" s="141">
        <f>IFERROR(VLOOKUP($B886,calc_data,J$14+1,0),0)</f>
        <v/>
      </c>
      <c r="K886" s="141">
        <f>IFERROR(VLOOKUP($B886,calc_data,K$14+1,0),0)</f>
        <v/>
      </c>
      <c r="L886" s="141">
        <f>IFERROR(VLOOKUP($B886,calc_data,L$14+1,0),0)</f>
        <v/>
      </c>
      <c r="M886" s="177">
        <f>IFERROR(VLOOKUP($B886,calc_data,M$14+1,0),0)</f>
        <v/>
      </c>
      <c r="N886" s="177">
        <f>IFERROR(VLOOKUP($B886,calc_data,N$14+1,0),0)</f>
        <v/>
      </c>
      <c r="O886" s="45" t="n"/>
      <c r="Q886" s="57">
        <f>IF(K886&gt;0,"показать","скрыть")</f>
        <v/>
      </c>
    </row>
    <row r="887" ht="15.75" customHeight="1">
      <c r="B887" s="182" t="n">
        <v>871</v>
      </c>
      <c r="C887" s="182">
        <f>IFERROR(VLOOKUP($B887,calc_data,C$14+1,0),0)</f>
        <v/>
      </c>
      <c r="D887" s="182">
        <f>IFERROR(VLOOKUP($B887,calc_data,D$14+1,0),0)</f>
        <v/>
      </c>
      <c r="E887" s="183">
        <f>IFERROR(VLOOKUP($B887,calc_data,E$14+1,0),0)</f>
        <v/>
      </c>
      <c r="F887" s="182">
        <f>IFERROR(VLOOKUP($B887,calc_data,F$14+1,0),0)</f>
        <v/>
      </c>
      <c r="G887" s="141">
        <f>IFERROR(VLOOKUP($B887,calc_data,G$14+1,0),0)</f>
        <v/>
      </c>
      <c r="H887" s="141">
        <f>IFERROR(VLOOKUP($B887,calc_data,H$14+1,0),0)</f>
        <v/>
      </c>
      <c r="I887" s="142">
        <f>IFERROR(VLOOKUP($B887,calc_data,I$14+1,0),0)</f>
        <v/>
      </c>
      <c r="J887" s="141">
        <f>IFERROR(VLOOKUP($B887,calc_data,J$14+1,0),0)</f>
        <v/>
      </c>
      <c r="K887" s="141">
        <f>IFERROR(VLOOKUP($B887,calc_data,K$14+1,0),0)</f>
        <v/>
      </c>
      <c r="L887" s="141">
        <f>IFERROR(VLOOKUP($B887,calc_data,L$14+1,0),0)</f>
        <v/>
      </c>
      <c r="M887" s="177">
        <f>IFERROR(VLOOKUP($B887,calc_data,M$14+1,0),0)</f>
        <v/>
      </c>
      <c r="N887" s="177">
        <f>IFERROR(VLOOKUP($B887,calc_data,N$14+1,0),0)</f>
        <v/>
      </c>
      <c r="O887" s="45" t="n"/>
      <c r="Q887" s="57">
        <f>IF(K887&gt;0,"показать","скрыть")</f>
        <v/>
      </c>
    </row>
    <row r="888" ht="15.75" customHeight="1">
      <c r="B888" s="182" t="n">
        <v>872</v>
      </c>
      <c r="C888" s="182">
        <f>IFERROR(VLOOKUP($B888,calc_data,C$14+1,0),0)</f>
        <v/>
      </c>
      <c r="D888" s="182">
        <f>IFERROR(VLOOKUP($B888,calc_data,D$14+1,0),0)</f>
        <v/>
      </c>
      <c r="E888" s="183">
        <f>IFERROR(VLOOKUP($B888,calc_data,E$14+1,0),0)</f>
        <v/>
      </c>
      <c r="F888" s="182">
        <f>IFERROR(VLOOKUP($B888,calc_data,F$14+1,0),0)</f>
        <v/>
      </c>
      <c r="G888" s="141">
        <f>IFERROR(VLOOKUP($B888,calc_data,G$14+1,0),0)</f>
        <v/>
      </c>
      <c r="H888" s="141">
        <f>IFERROR(VLOOKUP($B888,calc_data,H$14+1,0),0)</f>
        <v/>
      </c>
      <c r="I888" s="142">
        <f>IFERROR(VLOOKUP($B888,calc_data,I$14+1,0),0)</f>
        <v/>
      </c>
      <c r="J888" s="141">
        <f>IFERROR(VLOOKUP($B888,calc_data,J$14+1,0),0)</f>
        <v/>
      </c>
      <c r="K888" s="141">
        <f>IFERROR(VLOOKUP($B888,calc_data,K$14+1,0),0)</f>
        <v/>
      </c>
      <c r="L888" s="141">
        <f>IFERROR(VLOOKUP($B888,calc_data,L$14+1,0),0)</f>
        <v/>
      </c>
      <c r="M888" s="177">
        <f>IFERROR(VLOOKUP($B888,calc_data,M$14+1,0),0)</f>
        <v/>
      </c>
      <c r="N888" s="177">
        <f>IFERROR(VLOOKUP($B888,calc_data,N$14+1,0),0)</f>
        <v/>
      </c>
      <c r="O888" s="45" t="n"/>
      <c r="Q888" s="57">
        <f>IF(K888&gt;0,"показать","скрыть")</f>
        <v/>
      </c>
    </row>
    <row r="889" ht="15.75" customHeight="1">
      <c r="B889" s="182" t="n">
        <v>873</v>
      </c>
      <c r="C889" s="182">
        <f>IFERROR(VLOOKUP($B889,calc_data,C$14+1,0),0)</f>
        <v/>
      </c>
      <c r="D889" s="182">
        <f>IFERROR(VLOOKUP($B889,calc_data,D$14+1,0),0)</f>
        <v/>
      </c>
      <c r="E889" s="183">
        <f>IFERROR(VLOOKUP($B889,calc_data,E$14+1,0),0)</f>
        <v/>
      </c>
      <c r="F889" s="182">
        <f>IFERROR(VLOOKUP($B889,calc_data,F$14+1,0),0)</f>
        <v/>
      </c>
      <c r="G889" s="141">
        <f>IFERROR(VLOOKUP($B889,calc_data,G$14+1,0),0)</f>
        <v/>
      </c>
      <c r="H889" s="141">
        <f>IFERROR(VLOOKUP($B889,calc_data,H$14+1,0),0)</f>
        <v/>
      </c>
      <c r="I889" s="142">
        <f>IFERROR(VLOOKUP($B889,calc_data,I$14+1,0),0)</f>
        <v/>
      </c>
      <c r="J889" s="141">
        <f>IFERROR(VLOOKUP($B889,calc_data,J$14+1,0),0)</f>
        <v/>
      </c>
      <c r="K889" s="141">
        <f>IFERROR(VLOOKUP($B889,calc_data,K$14+1,0),0)</f>
        <v/>
      </c>
      <c r="L889" s="141">
        <f>IFERROR(VLOOKUP($B889,calc_data,L$14+1,0),0)</f>
        <v/>
      </c>
      <c r="M889" s="177">
        <f>IFERROR(VLOOKUP($B889,calc_data,M$14+1,0),0)</f>
        <v/>
      </c>
      <c r="N889" s="177">
        <f>IFERROR(VLOOKUP($B889,calc_data,N$14+1,0),0)</f>
        <v/>
      </c>
      <c r="O889" s="45" t="n"/>
      <c r="Q889" s="57">
        <f>IF(K889&gt;0,"показать","скрыть")</f>
        <v/>
      </c>
    </row>
    <row r="890" ht="15.75" customHeight="1">
      <c r="B890" s="182" t="n">
        <v>874</v>
      </c>
      <c r="C890" s="182">
        <f>IFERROR(VLOOKUP($B890,calc_data,C$14+1,0),0)</f>
        <v/>
      </c>
      <c r="D890" s="182">
        <f>IFERROR(VLOOKUP($B890,calc_data,D$14+1,0),0)</f>
        <v/>
      </c>
      <c r="E890" s="183">
        <f>IFERROR(VLOOKUP($B890,calc_data,E$14+1,0),0)</f>
        <v/>
      </c>
      <c r="F890" s="182">
        <f>IFERROR(VLOOKUP($B890,calc_data,F$14+1,0),0)</f>
        <v/>
      </c>
      <c r="G890" s="141">
        <f>IFERROR(VLOOKUP($B890,calc_data,G$14+1,0),0)</f>
        <v/>
      </c>
      <c r="H890" s="141">
        <f>IFERROR(VLOOKUP($B890,calc_data,H$14+1,0),0)</f>
        <v/>
      </c>
      <c r="I890" s="142">
        <f>IFERROR(VLOOKUP($B890,calc_data,I$14+1,0),0)</f>
        <v/>
      </c>
      <c r="J890" s="141">
        <f>IFERROR(VLOOKUP($B890,calc_data,J$14+1,0),0)</f>
        <v/>
      </c>
      <c r="K890" s="141">
        <f>IFERROR(VLOOKUP($B890,calc_data,K$14+1,0),0)</f>
        <v/>
      </c>
      <c r="L890" s="141">
        <f>IFERROR(VLOOKUP($B890,calc_data,L$14+1,0),0)</f>
        <v/>
      </c>
      <c r="M890" s="177">
        <f>IFERROR(VLOOKUP($B890,calc_data,M$14+1,0),0)</f>
        <v/>
      </c>
      <c r="N890" s="177">
        <f>IFERROR(VLOOKUP($B890,calc_data,N$14+1,0),0)</f>
        <v/>
      </c>
      <c r="O890" s="45" t="n"/>
      <c r="Q890" s="57">
        <f>IF(K890&gt;0,"показать","скрыть")</f>
        <v/>
      </c>
    </row>
    <row r="891" ht="15.75" customHeight="1">
      <c r="B891" s="182" t="n">
        <v>875</v>
      </c>
      <c r="C891" s="182">
        <f>IFERROR(VLOOKUP($B891,calc_data,C$14+1,0),0)</f>
        <v/>
      </c>
      <c r="D891" s="182">
        <f>IFERROR(VLOOKUP($B891,calc_data,D$14+1,0),0)</f>
        <v/>
      </c>
      <c r="E891" s="183">
        <f>IFERROR(VLOOKUP($B891,calc_data,E$14+1,0),0)</f>
        <v/>
      </c>
      <c r="F891" s="182">
        <f>IFERROR(VLOOKUP($B891,calc_data,F$14+1,0),0)</f>
        <v/>
      </c>
      <c r="G891" s="141">
        <f>IFERROR(VLOOKUP($B891,calc_data,G$14+1,0),0)</f>
        <v/>
      </c>
      <c r="H891" s="141">
        <f>IFERROR(VLOOKUP($B891,calc_data,H$14+1,0),0)</f>
        <v/>
      </c>
      <c r="I891" s="142">
        <f>IFERROR(VLOOKUP($B891,calc_data,I$14+1,0),0)</f>
        <v/>
      </c>
      <c r="J891" s="141">
        <f>IFERROR(VLOOKUP($B891,calc_data,J$14+1,0),0)</f>
        <v/>
      </c>
      <c r="K891" s="141">
        <f>IFERROR(VLOOKUP($B891,calc_data,K$14+1,0),0)</f>
        <v/>
      </c>
      <c r="L891" s="141">
        <f>IFERROR(VLOOKUP($B891,calc_data,L$14+1,0),0)</f>
        <v/>
      </c>
      <c r="M891" s="177">
        <f>IFERROR(VLOOKUP($B891,calc_data,M$14+1,0),0)</f>
        <v/>
      </c>
      <c r="N891" s="177">
        <f>IFERROR(VLOOKUP($B891,calc_data,N$14+1,0),0)</f>
        <v/>
      </c>
      <c r="O891" s="45" t="n"/>
      <c r="Q891" s="57">
        <f>IF(K891&gt;0,"показать","скрыть")</f>
        <v/>
      </c>
    </row>
    <row r="892" ht="15.75" customHeight="1">
      <c r="B892" s="182" t="n">
        <v>876</v>
      </c>
      <c r="C892" s="182">
        <f>IFERROR(VLOOKUP($B892,calc_data,C$14+1,0),0)</f>
        <v/>
      </c>
      <c r="D892" s="182">
        <f>IFERROR(VLOOKUP($B892,calc_data,D$14+1,0),0)</f>
        <v/>
      </c>
      <c r="E892" s="183">
        <f>IFERROR(VLOOKUP($B892,calc_data,E$14+1,0),0)</f>
        <v/>
      </c>
      <c r="F892" s="182">
        <f>IFERROR(VLOOKUP($B892,calc_data,F$14+1,0),0)</f>
        <v/>
      </c>
      <c r="G892" s="141">
        <f>IFERROR(VLOOKUP($B892,calc_data,G$14+1,0),0)</f>
        <v/>
      </c>
      <c r="H892" s="141">
        <f>IFERROR(VLOOKUP($B892,calc_data,H$14+1,0),0)</f>
        <v/>
      </c>
      <c r="I892" s="142">
        <f>IFERROR(VLOOKUP($B892,calc_data,I$14+1,0),0)</f>
        <v/>
      </c>
      <c r="J892" s="141">
        <f>IFERROR(VLOOKUP($B892,calc_data,J$14+1,0),0)</f>
        <v/>
      </c>
      <c r="K892" s="141">
        <f>IFERROR(VLOOKUP($B892,calc_data,K$14+1,0),0)</f>
        <v/>
      </c>
      <c r="L892" s="141">
        <f>IFERROR(VLOOKUP($B892,calc_data,L$14+1,0),0)</f>
        <v/>
      </c>
      <c r="M892" s="177">
        <f>IFERROR(VLOOKUP($B892,calc_data,M$14+1,0),0)</f>
        <v/>
      </c>
      <c r="N892" s="177">
        <f>IFERROR(VLOOKUP($B892,calc_data,N$14+1,0),0)</f>
        <v/>
      </c>
      <c r="O892" s="45" t="n"/>
      <c r="Q892" s="57">
        <f>IF(K892&gt;0,"показать","скрыть")</f>
        <v/>
      </c>
    </row>
    <row r="893" ht="15.75" customHeight="1">
      <c r="B893" s="182" t="n">
        <v>877</v>
      </c>
      <c r="C893" s="182">
        <f>IFERROR(VLOOKUP($B893,calc_data,C$14+1,0),0)</f>
        <v/>
      </c>
      <c r="D893" s="182">
        <f>IFERROR(VLOOKUP($B893,calc_data,D$14+1,0),0)</f>
        <v/>
      </c>
      <c r="E893" s="183">
        <f>IFERROR(VLOOKUP($B893,calc_data,E$14+1,0),0)</f>
        <v/>
      </c>
      <c r="F893" s="182">
        <f>IFERROR(VLOOKUP($B893,calc_data,F$14+1,0),0)</f>
        <v/>
      </c>
      <c r="G893" s="141">
        <f>IFERROR(VLOOKUP($B893,calc_data,G$14+1,0),0)</f>
        <v/>
      </c>
      <c r="H893" s="141">
        <f>IFERROR(VLOOKUP($B893,calc_data,H$14+1,0),0)</f>
        <v/>
      </c>
      <c r="I893" s="142">
        <f>IFERROR(VLOOKUP($B893,calc_data,I$14+1,0),0)</f>
        <v/>
      </c>
      <c r="J893" s="141">
        <f>IFERROR(VLOOKUP($B893,calc_data,J$14+1,0),0)</f>
        <v/>
      </c>
      <c r="K893" s="141">
        <f>IFERROR(VLOOKUP($B893,calc_data,K$14+1,0),0)</f>
        <v/>
      </c>
      <c r="L893" s="141">
        <f>IFERROR(VLOOKUP($B893,calc_data,L$14+1,0),0)</f>
        <v/>
      </c>
      <c r="M893" s="177">
        <f>IFERROR(VLOOKUP($B893,calc_data,M$14+1,0),0)</f>
        <v/>
      </c>
      <c r="N893" s="177">
        <f>IFERROR(VLOOKUP($B893,calc_data,N$14+1,0),0)</f>
        <v/>
      </c>
      <c r="O893" s="45" t="n"/>
      <c r="Q893" s="57">
        <f>IF(K893&gt;0,"показать","скрыть")</f>
        <v/>
      </c>
    </row>
    <row r="894" ht="15.75" customHeight="1">
      <c r="B894" s="182" t="n">
        <v>878</v>
      </c>
      <c r="C894" s="182">
        <f>IFERROR(VLOOKUP($B894,calc_data,C$14+1,0),0)</f>
        <v/>
      </c>
      <c r="D894" s="182">
        <f>IFERROR(VLOOKUP($B894,calc_data,D$14+1,0),0)</f>
        <v/>
      </c>
      <c r="E894" s="183">
        <f>IFERROR(VLOOKUP($B894,calc_data,E$14+1,0),0)</f>
        <v/>
      </c>
      <c r="F894" s="182">
        <f>IFERROR(VLOOKUP($B894,calc_data,F$14+1,0),0)</f>
        <v/>
      </c>
      <c r="G894" s="141">
        <f>IFERROR(VLOOKUP($B894,calc_data,G$14+1,0),0)</f>
        <v/>
      </c>
      <c r="H894" s="141">
        <f>IFERROR(VLOOKUP($B894,calc_data,H$14+1,0),0)</f>
        <v/>
      </c>
      <c r="I894" s="142">
        <f>IFERROR(VLOOKUP($B894,calc_data,I$14+1,0),0)</f>
        <v/>
      </c>
      <c r="J894" s="141">
        <f>IFERROR(VLOOKUP($B894,calc_data,J$14+1,0),0)</f>
        <v/>
      </c>
      <c r="K894" s="141">
        <f>IFERROR(VLOOKUP($B894,calc_data,K$14+1,0),0)</f>
        <v/>
      </c>
      <c r="L894" s="141">
        <f>IFERROR(VLOOKUP($B894,calc_data,L$14+1,0),0)</f>
        <v/>
      </c>
      <c r="M894" s="177">
        <f>IFERROR(VLOOKUP($B894,calc_data,M$14+1,0),0)</f>
        <v/>
      </c>
      <c r="N894" s="177">
        <f>IFERROR(VLOOKUP($B894,calc_data,N$14+1,0),0)</f>
        <v/>
      </c>
      <c r="O894" s="45" t="n"/>
      <c r="Q894" s="57">
        <f>IF(K894&gt;0,"показать","скрыть")</f>
        <v/>
      </c>
    </row>
    <row r="895" ht="15.75" customHeight="1">
      <c r="B895" s="182" t="n">
        <v>879</v>
      </c>
      <c r="C895" s="182">
        <f>IFERROR(VLOOKUP($B895,calc_data,C$14+1,0),0)</f>
        <v/>
      </c>
      <c r="D895" s="182">
        <f>IFERROR(VLOOKUP($B895,calc_data,D$14+1,0),0)</f>
        <v/>
      </c>
      <c r="E895" s="183">
        <f>IFERROR(VLOOKUP($B895,calc_data,E$14+1,0),0)</f>
        <v/>
      </c>
      <c r="F895" s="182">
        <f>IFERROR(VLOOKUP($B895,calc_data,F$14+1,0),0)</f>
        <v/>
      </c>
      <c r="G895" s="141">
        <f>IFERROR(VLOOKUP($B895,calc_data,G$14+1,0),0)</f>
        <v/>
      </c>
      <c r="H895" s="141">
        <f>IFERROR(VLOOKUP($B895,calc_data,H$14+1,0),0)</f>
        <v/>
      </c>
      <c r="I895" s="142">
        <f>IFERROR(VLOOKUP($B895,calc_data,I$14+1,0),0)</f>
        <v/>
      </c>
      <c r="J895" s="141">
        <f>IFERROR(VLOOKUP($B895,calc_data,J$14+1,0),0)</f>
        <v/>
      </c>
      <c r="K895" s="141">
        <f>IFERROR(VLOOKUP($B895,calc_data,K$14+1,0),0)</f>
        <v/>
      </c>
      <c r="L895" s="141">
        <f>IFERROR(VLOOKUP($B895,calc_data,L$14+1,0),0)</f>
        <v/>
      </c>
      <c r="M895" s="177">
        <f>IFERROR(VLOOKUP($B895,calc_data,M$14+1,0),0)</f>
        <v/>
      </c>
      <c r="N895" s="177">
        <f>IFERROR(VLOOKUP($B895,calc_data,N$14+1,0),0)</f>
        <v/>
      </c>
      <c r="O895" s="45" t="n"/>
      <c r="Q895" s="57">
        <f>IF(K895&gt;0,"показать","скрыть")</f>
        <v/>
      </c>
    </row>
    <row r="896" ht="15.75" customHeight="1">
      <c r="B896" s="182" t="n">
        <v>880</v>
      </c>
      <c r="C896" s="182">
        <f>IFERROR(VLOOKUP($B896,calc_data,C$14+1,0),0)</f>
        <v/>
      </c>
      <c r="D896" s="182">
        <f>IFERROR(VLOOKUP($B896,calc_data,D$14+1,0),0)</f>
        <v/>
      </c>
      <c r="E896" s="183">
        <f>IFERROR(VLOOKUP($B896,calc_data,E$14+1,0),0)</f>
        <v/>
      </c>
      <c r="F896" s="182">
        <f>IFERROR(VLOOKUP($B896,calc_data,F$14+1,0),0)</f>
        <v/>
      </c>
      <c r="G896" s="141">
        <f>IFERROR(VLOOKUP($B896,calc_data,G$14+1,0),0)</f>
        <v/>
      </c>
      <c r="H896" s="141">
        <f>IFERROR(VLOOKUP($B896,calc_data,H$14+1,0),0)</f>
        <v/>
      </c>
      <c r="I896" s="142">
        <f>IFERROR(VLOOKUP($B896,calc_data,I$14+1,0),0)</f>
        <v/>
      </c>
      <c r="J896" s="141">
        <f>IFERROR(VLOOKUP($B896,calc_data,J$14+1,0),0)</f>
        <v/>
      </c>
      <c r="K896" s="141">
        <f>IFERROR(VLOOKUP($B896,calc_data,K$14+1,0),0)</f>
        <v/>
      </c>
      <c r="L896" s="141">
        <f>IFERROR(VLOOKUP($B896,calc_data,L$14+1,0),0)</f>
        <v/>
      </c>
      <c r="M896" s="177">
        <f>IFERROR(VLOOKUP($B896,calc_data,M$14+1,0),0)</f>
        <v/>
      </c>
      <c r="N896" s="177">
        <f>IFERROR(VLOOKUP($B896,calc_data,N$14+1,0),0)</f>
        <v/>
      </c>
      <c r="O896" s="45" t="n"/>
      <c r="Q896" s="57">
        <f>IF(K896&gt;0,"показать","скрыть")</f>
        <v/>
      </c>
    </row>
    <row r="897" ht="15.75" customHeight="1">
      <c r="B897" s="182" t="n">
        <v>881</v>
      </c>
      <c r="C897" s="182">
        <f>IFERROR(VLOOKUP($B897,calc_data,C$14+1,0),0)</f>
        <v/>
      </c>
      <c r="D897" s="182">
        <f>IFERROR(VLOOKUP($B897,calc_data,D$14+1,0),0)</f>
        <v/>
      </c>
      <c r="E897" s="183">
        <f>IFERROR(VLOOKUP($B897,calc_data,E$14+1,0),0)</f>
        <v/>
      </c>
      <c r="F897" s="182">
        <f>IFERROR(VLOOKUP($B897,calc_data,F$14+1,0),0)</f>
        <v/>
      </c>
      <c r="G897" s="141">
        <f>IFERROR(VLOOKUP($B897,calc_data,G$14+1,0),0)</f>
        <v/>
      </c>
      <c r="H897" s="141">
        <f>IFERROR(VLOOKUP($B897,calc_data,H$14+1,0),0)</f>
        <v/>
      </c>
      <c r="I897" s="142">
        <f>IFERROR(VLOOKUP($B897,calc_data,I$14+1,0),0)</f>
        <v/>
      </c>
      <c r="J897" s="141">
        <f>IFERROR(VLOOKUP($B897,calc_data,J$14+1,0),0)</f>
        <v/>
      </c>
      <c r="K897" s="141">
        <f>IFERROR(VLOOKUP($B897,calc_data,K$14+1,0),0)</f>
        <v/>
      </c>
      <c r="L897" s="141">
        <f>IFERROR(VLOOKUP($B897,calc_data,L$14+1,0),0)</f>
        <v/>
      </c>
      <c r="M897" s="177">
        <f>IFERROR(VLOOKUP($B897,calc_data,M$14+1,0),0)</f>
        <v/>
      </c>
      <c r="N897" s="177">
        <f>IFERROR(VLOOKUP($B897,calc_data,N$14+1,0),0)</f>
        <v/>
      </c>
      <c r="O897" s="45" t="n"/>
      <c r="Q897" s="57">
        <f>IF(K897&gt;0,"показать","скрыть")</f>
        <v/>
      </c>
    </row>
    <row r="898" ht="15.75" customHeight="1">
      <c r="B898" s="182" t="n">
        <v>882</v>
      </c>
      <c r="C898" s="182">
        <f>IFERROR(VLOOKUP($B898,calc_data,C$14+1,0),0)</f>
        <v/>
      </c>
      <c r="D898" s="182">
        <f>IFERROR(VLOOKUP($B898,calc_data,D$14+1,0),0)</f>
        <v/>
      </c>
      <c r="E898" s="183">
        <f>IFERROR(VLOOKUP($B898,calc_data,E$14+1,0),0)</f>
        <v/>
      </c>
      <c r="F898" s="182">
        <f>IFERROR(VLOOKUP($B898,calc_data,F$14+1,0),0)</f>
        <v/>
      </c>
      <c r="G898" s="141">
        <f>IFERROR(VLOOKUP($B898,calc_data,G$14+1,0),0)</f>
        <v/>
      </c>
      <c r="H898" s="141">
        <f>IFERROR(VLOOKUP($B898,calc_data,H$14+1,0),0)</f>
        <v/>
      </c>
      <c r="I898" s="142">
        <f>IFERROR(VLOOKUP($B898,calc_data,I$14+1,0),0)</f>
        <v/>
      </c>
      <c r="J898" s="141">
        <f>IFERROR(VLOOKUP($B898,calc_data,J$14+1,0),0)</f>
        <v/>
      </c>
      <c r="K898" s="141">
        <f>IFERROR(VLOOKUP($B898,calc_data,K$14+1,0),0)</f>
        <v/>
      </c>
      <c r="L898" s="141">
        <f>IFERROR(VLOOKUP($B898,calc_data,L$14+1,0),0)</f>
        <v/>
      </c>
      <c r="M898" s="177">
        <f>IFERROR(VLOOKUP($B898,calc_data,M$14+1,0),0)</f>
        <v/>
      </c>
      <c r="N898" s="177">
        <f>IFERROR(VLOOKUP($B898,calc_data,N$14+1,0),0)</f>
        <v/>
      </c>
      <c r="O898" s="45" t="n"/>
      <c r="Q898" s="57">
        <f>IF(K898&gt;0,"показать","скрыть")</f>
        <v/>
      </c>
    </row>
    <row r="899" ht="15.75" customHeight="1">
      <c r="B899" s="182" t="n">
        <v>883</v>
      </c>
      <c r="C899" s="182">
        <f>IFERROR(VLOOKUP($B899,calc_data,C$14+1,0),0)</f>
        <v/>
      </c>
      <c r="D899" s="182">
        <f>IFERROR(VLOOKUP($B899,calc_data,D$14+1,0),0)</f>
        <v/>
      </c>
      <c r="E899" s="183">
        <f>IFERROR(VLOOKUP($B899,calc_data,E$14+1,0),0)</f>
        <v/>
      </c>
      <c r="F899" s="182">
        <f>IFERROR(VLOOKUP($B899,calc_data,F$14+1,0),0)</f>
        <v/>
      </c>
      <c r="G899" s="141">
        <f>IFERROR(VLOOKUP($B899,calc_data,G$14+1,0),0)</f>
        <v/>
      </c>
      <c r="H899" s="141">
        <f>IFERROR(VLOOKUP($B899,calc_data,H$14+1,0),0)</f>
        <v/>
      </c>
      <c r="I899" s="142">
        <f>IFERROR(VLOOKUP($B899,calc_data,I$14+1,0),0)</f>
        <v/>
      </c>
      <c r="J899" s="141">
        <f>IFERROR(VLOOKUP($B899,calc_data,J$14+1,0),0)</f>
        <v/>
      </c>
      <c r="K899" s="141">
        <f>IFERROR(VLOOKUP($B899,calc_data,K$14+1,0),0)</f>
        <v/>
      </c>
      <c r="L899" s="141">
        <f>IFERROR(VLOOKUP($B899,calc_data,L$14+1,0),0)</f>
        <v/>
      </c>
      <c r="M899" s="177">
        <f>IFERROR(VLOOKUP($B899,calc_data,M$14+1,0),0)</f>
        <v/>
      </c>
      <c r="N899" s="177">
        <f>IFERROR(VLOOKUP($B899,calc_data,N$14+1,0),0)</f>
        <v/>
      </c>
      <c r="O899" s="45" t="n"/>
      <c r="Q899" s="57">
        <f>IF(K899&gt;0,"показать","скрыть")</f>
        <v/>
      </c>
    </row>
    <row r="900" ht="15.75" customHeight="1">
      <c r="B900" s="182" t="n">
        <v>884</v>
      </c>
      <c r="C900" s="182">
        <f>IFERROR(VLOOKUP($B900,calc_data,C$14+1,0),0)</f>
        <v/>
      </c>
      <c r="D900" s="182">
        <f>IFERROR(VLOOKUP($B900,calc_data,D$14+1,0),0)</f>
        <v/>
      </c>
      <c r="E900" s="183">
        <f>IFERROR(VLOOKUP($B900,calc_data,E$14+1,0),0)</f>
        <v/>
      </c>
      <c r="F900" s="182">
        <f>IFERROR(VLOOKUP($B900,calc_data,F$14+1,0),0)</f>
        <v/>
      </c>
      <c r="G900" s="141">
        <f>IFERROR(VLOOKUP($B900,calc_data,G$14+1,0),0)</f>
        <v/>
      </c>
      <c r="H900" s="141">
        <f>IFERROR(VLOOKUP($B900,calc_data,H$14+1,0),0)</f>
        <v/>
      </c>
      <c r="I900" s="142">
        <f>IFERROR(VLOOKUP($B900,calc_data,I$14+1,0),0)</f>
        <v/>
      </c>
      <c r="J900" s="141">
        <f>IFERROR(VLOOKUP($B900,calc_data,J$14+1,0),0)</f>
        <v/>
      </c>
      <c r="K900" s="141">
        <f>IFERROR(VLOOKUP($B900,calc_data,K$14+1,0),0)</f>
        <v/>
      </c>
      <c r="L900" s="141">
        <f>IFERROR(VLOOKUP($B900,calc_data,L$14+1,0),0)</f>
        <v/>
      </c>
      <c r="M900" s="177">
        <f>IFERROR(VLOOKUP($B900,calc_data,M$14+1,0),0)</f>
        <v/>
      </c>
      <c r="N900" s="177">
        <f>IFERROR(VLOOKUP($B900,calc_data,N$14+1,0),0)</f>
        <v/>
      </c>
      <c r="O900" s="45" t="n"/>
      <c r="Q900" s="57">
        <f>IF(K900&gt;0,"показать","скрыть")</f>
        <v/>
      </c>
    </row>
    <row r="901" ht="15.75" customHeight="1">
      <c r="B901" s="182" t="n">
        <v>885</v>
      </c>
      <c r="C901" s="182">
        <f>IFERROR(VLOOKUP($B901,calc_data,C$14+1,0),0)</f>
        <v/>
      </c>
      <c r="D901" s="182">
        <f>IFERROR(VLOOKUP($B901,calc_data,D$14+1,0),0)</f>
        <v/>
      </c>
      <c r="E901" s="183">
        <f>IFERROR(VLOOKUP($B901,calc_data,E$14+1,0),0)</f>
        <v/>
      </c>
      <c r="F901" s="182">
        <f>IFERROR(VLOOKUP($B901,calc_data,F$14+1,0),0)</f>
        <v/>
      </c>
      <c r="G901" s="141">
        <f>IFERROR(VLOOKUP($B901,calc_data,G$14+1,0),0)</f>
        <v/>
      </c>
      <c r="H901" s="141">
        <f>IFERROR(VLOOKUP($B901,calc_data,H$14+1,0),0)</f>
        <v/>
      </c>
      <c r="I901" s="142">
        <f>IFERROR(VLOOKUP($B901,calc_data,I$14+1,0),0)</f>
        <v/>
      </c>
      <c r="J901" s="141">
        <f>IFERROR(VLOOKUP($B901,calc_data,J$14+1,0),0)</f>
        <v/>
      </c>
      <c r="K901" s="141">
        <f>IFERROR(VLOOKUP($B901,calc_data,K$14+1,0),0)</f>
        <v/>
      </c>
      <c r="L901" s="141">
        <f>IFERROR(VLOOKUP($B901,calc_data,L$14+1,0),0)</f>
        <v/>
      </c>
      <c r="M901" s="177">
        <f>IFERROR(VLOOKUP($B901,calc_data,M$14+1,0),0)</f>
        <v/>
      </c>
      <c r="N901" s="177">
        <f>IFERROR(VLOOKUP($B901,calc_data,N$14+1,0),0)</f>
        <v/>
      </c>
      <c r="O901" s="45" t="n"/>
      <c r="Q901" s="57">
        <f>IF(K901&gt;0,"показать","скрыть")</f>
        <v/>
      </c>
    </row>
    <row r="902" ht="15.75" customHeight="1">
      <c r="B902" s="182" t="n">
        <v>886</v>
      </c>
      <c r="C902" s="182">
        <f>IFERROR(VLOOKUP($B902,calc_data,C$14+1,0),0)</f>
        <v/>
      </c>
      <c r="D902" s="182">
        <f>IFERROR(VLOOKUP($B902,calc_data,D$14+1,0),0)</f>
        <v/>
      </c>
      <c r="E902" s="183">
        <f>IFERROR(VLOOKUP($B902,calc_data,E$14+1,0),0)</f>
        <v/>
      </c>
      <c r="F902" s="182">
        <f>IFERROR(VLOOKUP($B902,calc_data,F$14+1,0),0)</f>
        <v/>
      </c>
      <c r="G902" s="141">
        <f>IFERROR(VLOOKUP($B902,calc_data,G$14+1,0),0)</f>
        <v/>
      </c>
      <c r="H902" s="141">
        <f>IFERROR(VLOOKUP($B902,calc_data,H$14+1,0),0)</f>
        <v/>
      </c>
      <c r="I902" s="142">
        <f>IFERROR(VLOOKUP($B902,calc_data,I$14+1,0),0)</f>
        <v/>
      </c>
      <c r="J902" s="141">
        <f>IFERROR(VLOOKUP($B902,calc_data,J$14+1,0),0)</f>
        <v/>
      </c>
      <c r="K902" s="141">
        <f>IFERROR(VLOOKUP($B902,calc_data,K$14+1,0),0)</f>
        <v/>
      </c>
      <c r="L902" s="141">
        <f>IFERROR(VLOOKUP($B902,calc_data,L$14+1,0),0)</f>
        <v/>
      </c>
      <c r="M902" s="177">
        <f>IFERROR(VLOOKUP($B902,calc_data,M$14+1,0),0)</f>
        <v/>
      </c>
      <c r="N902" s="177">
        <f>IFERROR(VLOOKUP($B902,calc_data,N$14+1,0),0)</f>
        <v/>
      </c>
      <c r="O902" s="45" t="n"/>
      <c r="Q902" s="57">
        <f>IF(K902&gt;0,"показать","скрыть")</f>
        <v/>
      </c>
    </row>
    <row r="903" ht="15.75" customHeight="1">
      <c r="B903" s="182" t="n">
        <v>887</v>
      </c>
      <c r="C903" s="182">
        <f>IFERROR(VLOOKUP($B903,calc_data,C$14+1,0),0)</f>
        <v/>
      </c>
      <c r="D903" s="182">
        <f>IFERROR(VLOOKUP($B903,calc_data,D$14+1,0),0)</f>
        <v/>
      </c>
      <c r="E903" s="183">
        <f>IFERROR(VLOOKUP($B903,calc_data,E$14+1,0),0)</f>
        <v/>
      </c>
      <c r="F903" s="182">
        <f>IFERROR(VLOOKUP($B903,calc_data,F$14+1,0),0)</f>
        <v/>
      </c>
      <c r="G903" s="141">
        <f>IFERROR(VLOOKUP($B903,calc_data,G$14+1,0),0)</f>
        <v/>
      </c>
      <c r="H903" s="141">
        <f>IFERROR(VLOOKUP($B903,calc_data,H$14+1,0),0)</f>
        <v/>
      </c>
      <c r="I903" s="142">
        <f>IFERROR(VLOOKUP($B903,calc_data,I$14+1,0),0)</f>
        <v/>
      </c>
      <c r="J903" s="141">
        <f>IFERROR(VLOOKUP($B903,calc_data,J$14+1,0),0)</f>
        <v/>
      </c>
      <c r="K903" s="141">
        <f>IFERROR(VLOOKUP($B903,calc_data,K$14+1,0),0)</f>
        <v/>
      </c>
      <c r="L903" s="141">
        <f>IFERROR(VLOOKUP($B903,calc_data,L$14+1,0),0)</f>
        <v/>
      </c>
      <c r="M903" s="177">
        <f>IFERROR(VLOOKUP($B903,calc_data,M$14+1,0),0)</f>
        <v/>
      </c>
      <c r="N903" s="177">
        <f>IFERROR(VLOOKUP($B903,calc_data,N$14+1,0),0)</f>
        <v/>
      </c>
      <c r="O903" s="45" t="n"/>
      <c r="Q903" s="57">
        <f>IF(K903&gt;0,"показать","скрыть")</f>
        <v/>
      </c>
    </row>
    <row r="904" ht="15.75" customHeight="1">
      <c r="B904" s="182" t="n">
        <v>888</v>
      </c>
      <c r="C904" s="182">
        <f>IFERROR(VLOOKUP($B904,calc_data,C$14+1,0),0)</f>
        <v/>
      </c>
      <c r="D904" s="182">
        <f>IFERROR(VLOOKUP($B904,calc_data,D$14+1,0),0)</f>
        <v/>
      </c>
      <c r="E904" s="183">
        <f>IFERROR(VLOOKUP($B904,calc_data,E$14+1,0),0)</f>
        <v/>
      </c>
      <c r="F904" s="182">
        <f>IFERROR(VLOOKUP($B904,calc_data,F$14+1,0),0)</f>
        <v/>
      </c>
      <c r="G904" s="141">
        <f>IFERROR(VLOOKUP($B904,calc_data,G$14+1,0),0)</f>
        <v/>
      </c>
      <c r="H904" s="141">
        <f>IFERROR(VLOOKUP($B904,calc_data,H$14+1,0),0)</f>
        <v/>
      </c>
      <c r="I904" s="142">
        <f>IFERROR(VLOOKUP($B904,calc_data,I$14+1,0),0)</f>
        <v/>
      </c>
      <c r="J904" s="141">
        <f>IFERROR(VLOOKUP($B904,calc_data,J$14+1,0),0)</f>
        <v/>
      </c>
      <c r="K904" s="141">
        <f>IFERROR(VLOOKUP($B904,calc_data,K$14+1,0),0)</f>
        <v/>
      </c>
      <c r="L904" s="141">
        <f>IFERROR(VLOOKUP($B904,calc_data,L$14+1,0),0)</f>
        <v/>
      </c>
      <c r="M904" s="177">
        <f>IFERROR(VLOOKUP($B904,calc_data,M$14+1,0),0)</f>
        <v/>
      </c>
      <c r="N904" s="177">
        <f>IFERROR(VLOOKUP($B904,calc_data,N$14+1,0),0)</f>
        <v/>
      </c>
      <c r="O904" s="45" t="n"/>
      <c r="Q904" s="57">
        <f>IF(K904&gt;0,"показать","скрыть")</f>
        <v/>
      </c>
    </row>
    <row r="905" ht="15.75" customHeight="1">
      <c r="B905" s="182" t="n">
        <v>889</v>
      </c>
      <c r="C905" s="182">
        <f>IFERROR(VLOOKUP($B905,calc_data,C$14+1,0),0)</f>
        <v/>
      </c>
      <c r="D905" s="182">
        <f>IFERROR(VLOOKUP($B905,calc_data,D$14+1,0),0)</f>
        <v/>
      </c>
      <c r="E905" s="183">
        <f>IFERROR(VLOOKUP($B905,calc_data,E$14+1,0),0)</f>
        <v/>
      </c>
      <c r="F905" s="182">
        <f>IFERROR(VLOOKUP($B905,calc_data,F$14+1,0),0)</f>
        <v/>
      </c>
      <c r="G905" s="141">
        <f>IFERROR(VLOOKUP($B905,calc_data,G$14+1,0),0)</f>
        <v/>
      </c>
      <c r="H905" s="141">
        <f>IFERROR(VLOOKUP($B905,calc_data,H$14+1,0),0)</f>
        <v/>
      </c>
      <c r="I905" s="142">
        <f>IFERROR(VLOOKUP($B905,calc_data,I$14+1,0),0)</f>
        <v/>
      </c>
      <c r="J905" s="141">
        <f>IFERROR(VLOOKUP($B905,calc_data,J$14+1,0),0)</f>
        <v/>
      </c>
      <c r="K905" s="141">
        <f>IFERROR(VLOOKUP($B905,calc_data,K$14+1,0),0)</f>
        <v/>
      </c>
      <c r="L905" s="141">
        <f>IFERROR(VLOOKUP($B905,calc_data,L$14+1,0),0)</f>
        <v/>
      </c>
      <c r="M905" s="177">
        <f>IFERROR(VLOOKUP($B905,calc_data,M$14+1,0),0)</f>
        <v/>
      </c>
      <c r="N905" s="177">
        <f>IFERROR(VLOOKUP($B905,calc_data,N$14+1,0),0)</f>
        <v/>
      </c>
      <c r="O905" s="45" t="n"/>
      <c r="Q905" s="57">
        <f>IF(K905&gt;0,"показать","скрыть")</f>
        <v/>
      </c>
    </row>
    <row r="906" ht="15.75" customHeight="1">
      <c r="B906" s="182" t="n">
        <v>890</v>
      </c>
      <c r="C906" s="182">
        <f>IFERROR(VLOOKUP($B906,calc_data,C$14+1,0),0)</f>
        <v/>
      </c>
      <c r="D906" s="182">
        <f>IFERROR(VLOOKUP($B906,calc_data,D$14+1,0),0)</f>
        <v/>
      </c>
      <c r="E906" s="183">
        <f>IFERROR(VLOOKUP($B906,calc_data,E$14+1,0),0)</f>
        <v/>
      </c>
      <c r="F906" s="182">
        <f>IFERROR(VLOOKUP($B906,calc_data,F$14+1,0),0)</f>
        <v/>
      </c>
      <c r="G906" s="141">
        <f>IFERROR(VLOOKUP($B906,calc_data,G$14+1,0),0)</f>
        <v/>
      </c>
      <c r="H906" s="141">
        <f>IFERROR(VLOOKUP($B906,calc_data,H$14+1,0),0)</f>
        <v/>
      </c>
      <c r="I906" s="142">
        <f>IFERROR(VLOOKUP($B906,calc_data,I$14+1,0),0)</f>
        <v/>
      </c>
      <c r="J906" s="141">
        <f>IFERROR(VLOOKUP($B906,calc_data,J$14+1,0),0)</f>
        <v/>
      </c>
      <c r="K906" s="141">
        <f>IFERROR(VLOOKUP($B906,calc_data,K$14+1,0),0)</f>
        <v/>
      </c>
      <c r="L906" s="141">
        <f>IFERROR(VLOOKUP($B906,calc_data,L$14+1,0),0)</f>
        <v/>
      </c>
      <c r="M906" s="177">
        <f>IFERROR(VLOOKUP($B906,calc_data,M$14+1,0),0)</f>
        <v/>
      </c>
      <c r="N906" s="177">
        <f>IFERROR(VLOOKUP($B906,calc_data,N$14+1,0),0)</f>
        <v/>
      </c>
      <c r="O906" s="45" t="n"/>
      <c r="Q906" s="57">
        <f>IF(K906&gt;0,"показать","скрыть")</f>
        <v/>
      </c>
    </row>
    <row r="907" ht="15.75" customHeight="1">
      <c r="B907" s="182" t="n">
        <v>891</v>
      </c>
      <c r="C907" s="182">
        <f>IFERROR(VLOOKUP($B907,calc_data,C$14+1,0),0)</f>
        <v/>
      </c>
      <c r="D907" s="182">
        <f>IFERROR(VLOOKUP($B907,calc_data,D$14+1,0),0)</f>
        <v/>
      </c>
      <c r="E907" s="183">
        <f>IFERROR(VLOOKUP($B907,calc_data,E$14+1,0),0)</f>
        <v/>
      </c>
      <c r="F907" s="182">
        <f>IFERROR(VLOOKUP($B907,calc_data,F$14+1,0),0)</f>
        <v/>
      </c>
      <c r="G907" s="141">
        <f>IFERROR(VLOOKUP($B907,calc_data,G$14+1,0),0)</f>
        <v/>
      </c>
      <c r="H907" s="141">
        <f>IFERROR(VLOOKUP($B907,calc_data,H$14+1,0),0)</f>
        <v/>
      </c>
      <c r="I907" s="142">
        <f>IFERROR(VLOOKUP($B907,calc_data,I$14+1,0),0)</f>
        <v/>
      </c>
      <c r="J907" s="141">
        <f>IFERROR(VLOOKUP($B907,calc_data,J$14+1,0),0)</f>
        <v/>
      </c>
      <c r="K907" s="141">
        <f>IFERROR(VLOOKUP($B907,calc_data,K$14+1,0),0)</f>
        <v/>
      </c>
      <c r="L907" s="141">
        <f>IFERROR(VLOOKUP($B907,calc_data,L$14+1,0),0)</f>
        <v/>
      </c>
      <c r="M907" s="177">
        <f>IFERROR(VLOOKUP($B907,calc_data,M$14+1,0),0)</f>
        <v/>
      </c>
      <c r="N907" s="177">
        <f>IFERROR(VLOOKUP($B907,calc_data,N$14+1,0),0)</f>
        <v/>
      </c>
      <c r="O907" s="45" t="n"/>
      <c r="Q907" s="57">
        <f>IF(K907&gt;0,"показать","скрыть")</f>
        <v/>
      </c>
    </row>
    <row r="908" ht="15.75" customHeight="1">
      <c r="B908" s="182" t="n">
        <v>892</v>
      </c>
      <c r="C908" s="182">
        <f>IFERROR(VLOOKUP($B908,calc_data,C$14+1,0),0)</f>
        <v/>
      </c>
      <c r="D908" s="182">
        <f>IFERROR(VLOOKUP($B908,calc_data,D$14+1,0),0)</f>
        <v/>
      </c>
      <c r="E908" s="183">
        <f>IFERROR(VLOOKUP($B908,calc_data,E$14+1,0),0)</f>
        <v/>
      </c>
      <c r="F908" s="182">
        <f>IFERROR(VLOOKUP($B908,calc_data,F$14+1,0),0)</f>
        <v/>
      </c>
      <c r="G908" s="141">
        <f>IFERROR(VLOOKUP($B908,calc_data,G$14+1,0),0)</f>
        <v/>
      </c>
      <c r="H908" s="141">
        <f>IFERROR(VLOOKUP($B908,calc_data,H$14+1,0),0)</f>
        <v/>
      </c>
      <c r="I908" s="142">
        <f>IFERROR(VLOOKUP($B908,calc_data,I$14+1,0),0)</f>
        <v/>
      </c>
      <c r="J908" s="141">
        <f>IFERROR(VLOOKUP($B908,calc_data,J$14+1,0),0)</f>
        <v/>
      </c>
      <c r="K908" s="141">
        <f>IFERROR(VLOOKUP($B908,calc_data,K$14+1,0),0)</f>
        <v/>
      </c>
      <c r="L908" s="141">
        <f>IFERROR(VLOOKUP($B908,calc_data,L$14+1,0),0)</f>
        <v/>
      </c>
      <c r="M908" s="177">
        <f>IFERROR(VLOOKUP($B908,calc_data,M$14+1,0),0)</f>
        <v/>
      </c>
      <c r="N908" s="177">
        <f>IFERROR(VLOOKUP($B908,calc_data,N$14+1,0),0)</f>
        <v/>
      </c>
      <c r="O908" s="45" t="n"/>
      <c r="Q908" s="57">
        <f>IF(K908&gt;0,"показать","скрыть")</f>
        <v/>
      </c>
    </row>
    <row r="909" ht="15.75" customHeight="1">
      <c r="B909" s="182" t="n">
        <v>893</v>
      </c>
      <c r="C909" s="182">
        <f>IFERROR(VLOOKUP($B909,calc_data,C$14+1,0),0)</f>
        <v/>
      </c>
      <c r="D909" s="182">
        <f>IFERROR(VLOOKUP($B909,calc_data,D$14+1,0),0)</f>
        <v/>
      </c>
      <c r="E909" s="183">
        <f>IFERROR(VLOOKUP($B909,calc_data,E$14+1,0),0)</f>
        <v/>
      </c>
      <c r="F909" s="182">
        <f>IFERROR(VLOOKUP($B909,calc_data,F$14+1,0),0)</f>
        <v/>
      </c>
      <c r="G909" s="141">
        <f>IFERROR(VLOOKUP($B909,calc_data,G$14+1,0),0)</f>
        <v/>
      </c>
      <c r="H909" s="141">
        <f>IFERROR(VLOOKUP($B909,calc_data,H$14+1,0),0)</f>
        <v/>
      </c>
      <c r="I909" s="142">
        <f>IFERROR(VLOOKUP($B909,calc_data,I$14+1,0),0)</f>
        <v/>
      </c>
      <c r="J909" s="141">
        <f>IFERROR(VLOOKUP($B909,calc_data,J$14+1,0),0)</f>
        <v/>
      </c>
      <c r="K909" s="141">
        <f>IFERROR(VLOOKUP($B909,calc_data,K$14+1,0),0)</f>
        <v/>
      </c>
      <c r="L909" s="141">
        <f>IFERROR(VLOOKUP($B909,calc_data,L$14+1,0),0)</f>
        <v/>
      </c>
      <c r="M909" s="177">
        <f>IFERROR(VLOOKUP($B909,calc_data,M$14+1,0),0)</f>
        <v/>
      </c>
      <c r="N909" s="177">
        <f>IFERROR(VLOOKUP($B909,calc_data,N$14+1,0),0)</f>
        <v/>
      </c>
      <c r="O909" s="45" t="n"/>
      <c r="Q909" s="57">
        <f>IF(K909&gt;0,"показать","скрыть")</f>
        <v/>
      </c>
    </row>
    <row r="910" ht="15.75" customHeight="1">
      <c r="B910" s="182" t="n">
        <v>894</v>
      </c>
      <c r="C910" s="182">
        <f>IFERROR(VLOOKUP($B910,calc_data,C$14+1,0),0)</f>
        <v/>
      </c>
      <c r="D910" s="182">
        <f>IFERROR(VLOOKUP($B910,calc_data,D$14+1,0),0)</f>
        <v/>
      </c>
      <c r="E910" s="183">
        <f>IFERROR(VLOOKUP($B910,calc_data,E$14+1,0),0)</f>
        <v/>
      </c>
      <c r="F910" s="182">
        <f>IFERROR(VLOOKUP($B910,calc_data,F$14+1,0),0)</f>
        <v/>
      </c>
      <c r="G910" s="141">
        <f>IFERROR(VLOOKUP($B910,calc_data,G$14+1,0),0)</f>
        <v/>
      </c>
      <c r="H910" s="141">
        <f>IFERROR(VLOOKUP($B910,calc_data,H$14+1,0),0)</f>
        <v/>
      </c>
      <c r="I910" s="142">
        <f>IFERROR(VLOOKUP($B910,calc_data,I$14+1,0),0)</f>
        <v/>
      </c>
      <c r="J910" s="141">
        <f>IFERROR(VLOOKUP($B910,calc_data,J$14+1,0),0)</f>
        <v/>
      </c>
      <c r="K910" s="141">
        <f>IFERROR(VLOOKUP($B910,calc_data,K$14+1,0),0)</f>
        <v/>
      </c>
      <c r="L910" s="141">
        <f>IFERROR(VLOOKUP($B910,calc_data,L$14+1,0),0)</f>
        <v/>
      </c>
      <c r="M910" s="177">
        <f>IFERROR(VLOOKUP($B910,calc_data,M$14+1,0),0)</f>
        <v/>
      </c>
      <c r="N910" s="177">
        <f>IFERROR(VLOOKUP($B910,calc_data,N$14+1,0),0)</f>
        <v/>
      </c>
      <c r="O910" s="45" t="n"/>
      <c r="Q910" s="57">
        <f>IF(K910&gt;0,"показать","скрыть")</f>
        <v/>
      </c>
    </row>
    <row r="911" ht="15.75" customHeight="1">
      <c r="B911" s="182" t="n">
        <v>895</v>
      </c>
      <c r="C911" s="182">
        <f>IFERROR(VLOOKUP($B911,calc_data,C$14+1,0),0)</f>
        <v/>
      </c>
      <c r="D911" s="182">
        <f>IFERROR(VLOOKUP($B911,calc_data,D$14+1,0),0)</f>
        <v/>
      </c>
      <c r="E911" s="183">
        <f>IFERROR(VLOOKUP($B911,calc_data,E$14+1,0),0)</f>
        <v/>
      </c>
      <c r="F911" s="182">
        <f>IFERROR(VLOOKUP($B911,calc_data,F$14+1,0),0)</f>
        <v/>
      </c>
      <c r="G911" s="141">
        <f>IFERROR(VLOOKUP($B911,calc_data,G$14+1,0),0)</f>
        <v/>
      </c>
      <c r="H911" s="141">
        <f>IFERROR(VLOOKUP($B911,calc_data,H$14+1,0),0)</f>
        <v/>
      </c>
      <c r="I911" s="142">
        <f>IFERROR(VLOOKUP($B911,calc_data,I$14+1,0),0)</f>
        <v/>
      </c>
      <c r="J911" s="141">
        <f>IFERROR(VLOOKUP($B911,calc_data,J$14+1,0),0)</f>
        <v/>
      </c>
      <c r="K911" s="141">
        <f>IFERROR(VLOOKUP($B911,calc_data,K$14+1,0),0)</f>
        <v/>
      </c>
      <c r="L911" s="141">
        <f>IFERROR(VLOOKUP($B911,calc_data,L$14+1,0),0)</f>
        <v/>
      </c>
      <c r="M911" s="177">
        <f>IFERROR(VLOOKUP($B911,calc_data,M$14+1,0),0)</f>
        <v/>
      </c>
      <c r="N911" s="177">
        <f>IFERROR(VLOOKUP($B911,calc_data,N$14+1,0),0)</f>
        <v/>
      </c>
      <c r="O911" s="45" t="n"/>
      <c r="Q911" s="57">
        <f>IF(K911&gt;0,"показать","скрыть")</f>
        <v/>
      </c>
    </row>
    <row r="912" ht="15.75" customHeight="1">
      <c r="B912" s="182" t="n">
        <v>896</v>
      </c>
      <c r="C912" s="182">
        <f>IFERROR(VLOOKUP($B912,calc_data,C$14+1,0),0)</f>
        <v/>
      </c>
      <c r="D912" s="182">
        <f>IFERROR(VLOOKUP($B912,calc_data,D$14+1,0),0)</f>
        <v/>
      </c>
      <c r="E912" s="183">
        <f>IFERROR(VLOOKUP($B912,calc_data,E$14+1,0),0)</f>
        <v/>
      </c>
      <c r="F912" s="182">
        <f>IFERROR(VLOOKUP($B912,calc_data,F$14+1,0),0)</f>
        <v/>
      </c>
      <c r="G912" s="141">
        <f>IFERROR(VLOOKUP($B912,calc_data,G$14+1,0),0)</f>
        <v/>
      </c>
      <c r="H912" s="141">
        <f>IFERROR(VLOOKUP($B912,calc_data,H$14+1,0),0)</f>
        <v/>
      </c>
      <c r="I912" s="142">
        <f>IFERROR(VLOOKUP($B912,calc_data,I$14+1,0),0)</f>
        <v/>
      </c>
      <c r="J912" s="141">
        <f>IFERROR(VLOOKUP($B912,calc_data,J$14+1,0),0)</f>
        <v/>
      </c>
      <c r="K912" s="141">
        <f>IFERROR(VLOOKUP($B912,calc_data,K$14+1,0),0)</f>
        <v/>
      </c>
      <c r="L912" s="141">
        <f>IFERROR(VLOOKUP($B912,calc_data,L$14+1,0),0)</f>
        <v/>
      </c>
      <c r="M912" s="177">
        <f>IFERROR(VLOOKUP($B912,calc_data,M$14+1,0),0)</f>
        <v/>
      </c>
      <c r="N912" s="177">
        <f>IFERROR(VLOOKUP($B912,calc_data,N$14+1,0),0)</f>
        <v/>
      </c>
      <c r="O912" s="45" t="n"/>
      <c r="Q912" s="57">
        <f>IF(K912&gt;0,"показать","скрыть")</f>
        <v/>
      </c>
    </row>
    <row r="913" ht="15.75" customHeight="1">
      <c r="B913" s="182" t="n">
        <v>897</v>
      </c>
      <c r="C913" s="182">
        <f>IFERROR(VLOOKUP($B913,calc_data,C$14+1,0),0)</f>
        <v/>
      </c>
      <c r="D913" s="182">
        <f>IFERROR(VLOOKUP($B913,calc_data,D$14+1,0),0)</f>
        <v/>
      </c>
      <c r="E913" s="183">
        <f>IFERROR(VLOOKUP($B913,calc_data,E$14+1,0),0)</f>
        <v/>
      </c>
      <c r="F913" s="182">
        <f>IFERROR(VLOOKUP($B913,calc_data,F$14+1,0),0)</f>
        <v/>
      </c>
      <c r="G913" s="141">
        <f>IFERROR(VLOOKUP($B913,calc_data,G$14+1,0),0)</f>
        <v/>
      </c>
      <c r="H913" s="141">
        <f>IFERROR(VLOOKUP($B913,calc_data,H$14+1,0),0)</f>
        <v/>
      </c>
      <c r="I913" s="142">
        <f>IFERROR(VLOOKUP($B913,calc_data,I$14+1,0),0)</f>
        <v/>
      </c>
      <c r="J913" s="141">
        <f>IFERROR(VLOOKUP($B913,calc_data,J$14+1,0),0)</f>
        <v/>
      </c>
      <c r="K913" s="141">
        <f>IFERROR(VLOOKUP($B913,calc_data,K$14+1,0),0)</f>
        <v/>
      </c>
      <c r="L913" s="141">
        <f>IFERROR(VLOOKUP($B913,calc_data,L$14+1,0),0)</f>
        <v/>
      </c>
      <c r="M913" s="177">
        <f>IFERROR(VLOOKUP($B913,calc_data,M$14+1,0),0)</f>
        <v/>
      </c>
      <c r="N913" s="177">
        <f>IFERROR(VLOOKUP($B913,calc_data,N$14+1,0),0)</f>
        <v/>
      </c>
      <c r="O913" s="45" t="n"/>
      <c r="Q913" s="57">
        <f>IF(K913&gt;0,"показать","скрыть")</f>
        <v/>
      </c>
    </row>
    <row r="914" ht="15.75" customHeight="1">
      <c r="B914" s="182" t="n">
        <v>898</v>
      </c>
      <c r="C914" s="182">
        <f>IFERROR(VLOOKUP($B914,calc_data,C$14+1,0),0)</f>
        <v/>
      </c>
      <c r="D914" s="182">
        <f>IFERROR(VLOOKUP($B914,calc_data,D$14+1,0),0)</f>
        <v/>
      </c>
      <c r="E914" s="183">
        <f>IFERROR(VLOOKUP($B914,calc_data,E$14+1,0),0)</f>
        <v/>
      </c>
      <c r="F914" s="182">
        <f>IFERROR(VLOOKUP($B914,calc_data,F$14+1,0),0)</f>
        <v/>
      </c>
      <c r="G914" s="141">
        <f>IFERROR(VLOOKUP($B914,calc_data,G$14+1,0),0)</f>
        <v/>
      </c>
      <c r="H914" s="141">
        <f>IFERROR(VLOOKUP($B914,calc_data,H$14+1,0),0)</f>
        <v/>
      </c>
      <c r="I914" s="142">
        <f>IFERROR(VLOOKUP($B914,calc_data,I$14+1,0),0)</f>
        <v/>
      </c>
      <c r="J914" s="141">
        <f>IFERROR(VLOOKUP($B914,calc_data,J$14+1,0),0)</f>
        <v/>
      </c>
      <c r="K914" s="141">
        <f>IFERROR(VLOOKUP($B914,calc_data,K$14+1,0),0)</f>
        <v/>
      </c>
      <c r="L914" s="141">
        <f>IFERROR(VLOOKUP($B914,calc_data,L$14+1,0),0)</f>
        <v/>
      </c>
      <c r="M914" s="177">
        <f>IFERROR(VLOOKUP($B914,calc_data,M$14+1,0),0)</f>
        <v/>
      </c>
      <c r="N914" s="177">
        <f>IFERROR(VLOOKUP($B914,calc_data,N$14+1,0),0)</f>
        <v/>
      </c>
      <c r="O914" s="45" t="n"/>
      <c r="Q914" s="57">
        <f>IF(K914&gt;0,"показать","скрыть")</f>
        <v/>
      </c>
    </row>
    <row r="915" ht="15.75" customHeight="1">
      <c r="B915" s="182" t="n">
        <v>899</v>
      </c>
      <c r="C915" s="182">
        <f>IFERROR(VLOOKUP($B915,calc_data,C$14+1,0),0)</f>
        <v/>
      </c>
      <c r="D915" s="182">
        <f>IFERROR(VLOOKUP($B915,calc_data,D$14+1,0),0)</f>
        <v/>
      </c>
      <c r="E915" s="183">
        <f>IFERROR(VLOOKUP($B915,calc_data,E$14+1,0),0)</f>
        <v/>
      </c>
      <c r="F915" s="182">
        <f>IFERROR(VLOOKUP($B915,calc_data,F$14+1,0),0)</f>
        <v/>
      </c>
      <c r="G915" s="141">
        <f>IFERROR(VLOOKUP($B915,calc_data,G$14+1,0),0)</f>
        <v/>
      </c>
      <c r="H915" s="141">
        <f>IFERROR(VLOOKUP($B915,calc_data,H$14+1,0),0)</f>
        <v/>
      </c>
      <c r="I915" s="142">
        <f>IFERROR(VLOOKUP($B915,calc_data,I$14+1,0),0)</f>
        <v/>
      </c>
      <c r="J915" s="141">
        <f>IFERROR(VLOOKUP($B915,calc_data,J$14+1,0),0)</f>
        <v/>
      </c>
      <c r="K915" s="141">
        <f>IFERROR(VLOOKUP($B915,calc_data,K$14+1,0),0)</f>
        <v/>
      </c>
      <c r="L915" s="141">
        <f>IFERROR(VLOOKUP($B915,calc_data,L$14+1,0),0)</f>
        <v/>
      </c>
      <c r="M915" s="177">
        <f>IFERROR(VLOOKUP($B915,calc_data,M$14+1,0),0)</f>
        <v/>
      </c>
      <c r="N915" s="177">
        <f>IFERROR(VLOOKUP($B915,calc_data,N$14+1,0),0)</f>
        <v/>
      </c>
      <c r="O915" s="45" t="n"/>
      <c r="Q915" s="57">
        <f>IF(K915&gt;0,"показать","скрыть")</f>
        <v/>
      </c>
    </row>
    <row r="916" ht="15.75" customHeight="1">
      <c r="B916" s="182" t="n">
        <v>900</v>
      </c>
      <c r="C916" s="182">
        <f>IFERROR(VLOOKUP($B916,calc_data,C$14+1,0),0)</f>
        <v/>
      </c>
      <c r="D916" s="182">
        <f>IFERROR(VLOOKUP($B916,calc_data,D$14+1,0),0)</f>
        <v/>
      </c>
      <c r="E916" s="183">
        <f>IFERROR(VLOOKUP($B916,calc_data,E$14+1,0),0)</f>
        <v/>
      </c>
      <c r="F916" s="182">
        <f>IFERROR(VLOOKUP($B916,calc_data,F$14+1,0),0)</f>
        <v/>
      </c>
      <c r="G916" s="141">
        <f>IFERROR(VLOOKUP($B916,calc_data,G$14+1,0),0)</f>
        <v/>
      </c>
      <c r="H916" s="141">
        <f>IFERROR(VLOOKUP($B916,calc_data,H$14+1,0),0)</f>
        <v/>
      </c>
      <c r="I916" s="142">
        <f>IFERROR(VLOOKUP($B916,calc_data,I$14+1,0),0)</f>
        <v/>
      </c>
      <c r="J916" s="141">
        <f>IFERROR(VLOOKUP($B916,calc_data,J$14+1,0),0)</f>
        <v/>
      </c>
      <c r="K916" s="141">
        <f>IFERROR(VLOOKUP($B916,calc_data,K$14+1,0),0)</f>
        <v/>
      </c>
      <c r="L916" s="141">
        <f>IFERROR(VLOOKUP($B916,calc_data,L$14+1,0),0)</f>
        <v/>
      </c>
      <c r="M916" s="177">
        <f>IFERROR(VLOOKUP($B916,calc_data,M$14+1,0),0)</f>
        <v/>
      </c>
      <c r="N916" s="177">
        <f>IFERROR(VLOOKUP($B916,calc_data,N$14+1,0),0)</f>
        <v/>
      </c>
      <c r="O916" s="45" t="n"/>
      <c r="Q916" s="57">
        <f>IF(K916&gt;0,"показать","скрыть")</f>
        <v/>
      </c>
    </row>
    <row r="917" ht="15.75" customHeight="1">
      <c r="B917" s="182" t="n">
        <v>901</v>
      </c>
      <c r="C917" s="182">
        <f>IFERROR(VLOOKUP($B917,calc_data,C$14+1,0),0)</f>
        <v/>
      </c>
      <c r="D917" s="182">
        <f>IFERROR(VLOOKUP($B917,calc_data,D$14+1,0),0)</f>
        <v/>
      </c>
      <c r="E917" s="183">
        <f>IFERROR(VLOOKUP($B917,calc_data,E$14+1,0),0)</f>
        <v/>
      </c>
      <c r="F917" s="182">
        <f>IFERROR(VLOOKUP($B917,calc_data,F$14+1,0),0)</f>
        <v/>
      </c>
      <c r="G917" s="141">
        <f>IFERROR(VLOOKUP($B917,calc_data,G$14+1,0),0)</f>
        <v/>
      </c>
      <c r="H917" s="141">
        <f>IFERROR(VLOOKUP($B917,calc_data,H$14+1,0),0)</f>
        <v/>
      </c>
      <c r="I917" s="142">
        <f>IFERROR(VLOOKUP($B917,calc_data,I$14+1,0),0)</f>
        <v/>
      </c>
      <c r="J917" s="141">
        <f>IFERROR(VLOOKUP($B917,calc_data,J$14+1,0),0)</f>
        <v/>
      </c>
      <c r="K917" s="141">
        <f>IFERROR(VLOOKUP($B917,calc_data,K$14+1,0),0)</f>
        <v/>
      </c>
      <c r="L917" s="141">
        <f>IFERROR(VLOOKUP($B917,calc_data,L$14+1,0),0)</f>
        <v/>
      </c>
      <c r="M917" s="177">
        <f>IFERROR(VLOOKUP($B917,calc_data,M$14+1,0),0)</f>
        <v/>
      </c>
      <c r="N917" s="177">
        <f>IFERROR(VLOOKUP($B917,calc_data,N$14+1,0),0)</f>
        <v/>
      </c>
      <c r="O917" s="45" t="n"/>
      <c r="Q917" s="57">
        <f>IF(K917&gt;0,"показать","скрыть")</f>
        <v/>
      </c>
    </row>
    <row r="918" ht="15.75" customHeight="1">
      <c r="B918" s="182" t="n">
        <v>902</v>
      </c>
      <c r="C918" s="182">
        <f>IFERROR(VLOOKUP($B918,calc_data,C$14+1,0),0)</f>
        <v/>
      </c>
      <c r="D918" s="182">
        <f>IFERROR(VLOOKUP($B918,calc_data,D$14+1,0),0)</f>
        <v/>
      </c>
      <c r="E918" s="183">
        <f>IFERROR(VLOOKUP($B918,calc_data,E$14+1,0),0)</f>
        <v/>
      </c>
      <c r="F918" s="182">
        <f>IFERROR(VLOOKUP($B918,calc_data,F$14+1,0),0)</f>
        <v/>
      </c>
      <c r="G918" s="141">
        <f>IFERROR(VLOOKUP($B918,calc_data,G$14+1,0),0)</f>
        <v/>
      </c>
      <c r="H918" s="141">
        <f>IFERROR(VLOOKUP($B918,calc_data,H$14+1,0),0)</f>
        <v/>
      </c>
      <c r="I918" s="142">
        <f>IFERROR(VLOOKUP($B918,calc_data,I$14+1,0),0)</f>
        <v/>
      </c>
      <c r="J918" s="141">
        <f>IFERROR(VLOOKUP($B918,calc_data,J$14+1,0),0)</f>
        <v/>
      </c>
      <c r="K918" s="141">
        <f>IFERROR(VLOOKUP($B918,calc_data,K$14+1,0),0)</f>
        <v/>
      </c>
      <c r="L918" s="141">
        <f>IFERROR(VLOOKUP($B918,calc_data,L$14+1,0),0)</f>
        <v/>
      </c>
      <c r="M918" s="177">
        <f>IFERROR(VLOOKUP($B918,calc_data,M$14+1,0),0)</f>
        <v/>
      </c>
      <c r="N918" s="177">
        <f>IFERROR(VLOOKUP($B918,calc_data,N$14+1,0),0)</f>
        <v/>
      </c>
      <c r="O918" s="45" t="n"/>
      <c r="Q918" s="57">
        <f>IF(K918&gt;0,"показать","скрыть")</f>
        <v/>
      </c>
    </row>
    <row r="919" ht="15.75" customHeight="1">
      <c r="B919" s="182" t="n">
        <v>903</v>
      </c>
      <c r="C919" s="182">
        <f>IFERROR(VLOOKUP($B919,calc_data,C$14+1,0),0)</f>
        <v/>
      </c>
      <c r="D919" s="182">
        <f>IFERROR(VLOOKUP($B919,calc_data,D$14+1,0),0)</f>
        <v/>
      </c>
      <c r="E919" s="183">
        <f>IFERROR(VLOOKUP($B919,calc_data,E$14+1,0),0)</f>
        <v/>
      </c>
      <c r="F919" s="182">
        <f>IFERROR(VLOOKUP($B919,calc_data,F$14+1,0),0)</f>
        <v/>
      </c>
      <c r="G919" s="141">
        <f>IFERROR(VLOOKUP($B919,calc_data,G$14+1,0),0)</f>
        <v/>
      </c>
      <c r="H919" s="141">
        <f>IFERROR(VLOOKUP($B919,calc_data,H$14+1,0),0)</f>
        <v/>
      </c>
      <c r="I919" s="142">
        <f>IFERROR(VLOOKUP($B919,calc_data,I$14+1,0),0)</f>
        <v/>
      </c>
      <c r="J919" s="141">
        <f>IFERROR(VLOOKUP($B919,calc_data,J$14+1,0),0)</f>
        <v/>
      </c>
      <c r="K919" s="141">
        <f>IFERROR(VLOOKUP($B919,calc_data,K$14+1,0),0)</f>
        <v/>
      </c>
      <c r="L919" s="141">
        <f>IFERROR(VLOOKUP($B919,calc_data,L$14+1,0),0)</f>
        <v/>
      </c>
      <c r="M919" s="177">
        <f>IFERROR(VLOOKUP($B919,calc_data,M$14+1,0),0)</f>
        <v/>
      </c>
      <c r="N919" s="177">
        <f>IFERROR(VLOOKUP($B919,calc_data,N$14+1,0),0)</f>
        <v/>
      </c>
      <c r="O919" s="45" t="n"/>
      <c r="Q919" s="57">
        <f>IF(K919&gt;0,"показать","скрыть")</f>
        <v/>
      </c>
    </row>
    <row r="920" ht="15.75" customHeight="1">
      <c r="B920" s="182" t="n">
        <v>904</v>
      </c>
      <c r="C920" s="182">
        <f>IFERROR(VLOOKUP($B920,calc_data,C$14+1,0),0)</f>
        <v/>
      </c>
      <c r="D920" s="182">
        <f>IFERROR(VLOOKUP($B920,calc_data,D$14+1,0),0)</f>
        <v/>
      </c>
      <c r="E920" s="183">
        <f>IFERROR(VLOOKUP($B920,calc_data,E$14+1,0),0)</f>
        <v/>
      </c>
      <c r="F920" s="182">
        <f>IFERROR(VLOOKUP($B920,calc_data,F$14+1,0),0)</f>
        <v/>
      </c>
      <c r="G920" s="141">
        <f>IFERROR(VLOOKUP($B920,calc_data,G$14+1,0),0)</f>
        <v/>
      </c>
      <c r="H920" s="141">
        <f>IFERROR(VLOOKUP($B920,calc_data,H$14+1,0),0)</f>
        <v/>
      </c>
      <c r="I920" s="142">
        <f>IFERROR(VLOOKUP($B920,calc_data,I$14+1,0),0)</f>
        <v/>
      </c>
      <c r="J920" s="141">
        <f>IFERROR(VLOOKUP($B920,calc_data,J$14+1,0),0)</f>
        <v/>
      </c>
      <c r="K920" s="141">
        <f>IFERROR(VLOOKUP($B920,calc_data,K$14+1,0),0)</f>
        <v/>
      </c>
      <c r="L920" s="141">
        <f>IFERROR(VLOOKUP($B920,calc_data,L$14+1,0),0)</f>
        <v/>
      </c>
      <c r="M920" s="177">
        <f>IFERROR(VLOOKUP($B920,calc_data,M$14+1,0),0)</f>
        <v/>
      </c>
      <c r="N920" s="177">
        <f>IFERROR(VLOOKUP($B920,calc_data,N$14+1,0),0)</f>
        <v/>
      </c>
      <c r="O920" s="45" t="n"/>
      <c r="Q920" s="57">
        <f>IF(K920&gt;0,"показать","скрыть")</f>
        <v/>
      </c>
    </row>
    <row r="921" ht="15.75" customHeight="1">
      <c r="B921" s="182" t="n">
        <v>905</v>
      </c>
      <c r="C921" s="182">
        <f>IFERROR(VLOOKUP($B921,calc_data,C$14+1,0),0)</f>
        <v/>
      </c>
      <c r="D921" s="182">
        <f>IFERROR(VLOOKUP($B921,calc_data,D$14+1,0),0)</f>
        <v/>
      </c>
      <c r="E921" s="183">
        <f>IFERROR(VLOOKUP($B921,calc_data,E$14+1,0),0)</f>
        <v/>
      </c>
      <c r="F921" s="182">
        <f>IFERROR(VLOOKUP($B921,calc_data,F$14+1,0),0)</f>
        <v/>
      </c>
      <c r="G921" s="141">
        <f>IFERROR(VLOOKUP($B921,calc_data,G$14+1,0),0)</f>
        <v/>
      </c>
      <c r="H921" s="141">
        <f>IFERROR(VLOOKUP($B921,calc_data,H$14+1,0),0)</f>
        <v/>
      </c>
      <c r="I921" s="142">
        <f>IFERROR(VLOOKUP($B921,calc_data,I$14+1,0),0)</f>
        <v/>
      </c>
      <c r="J921" s="141">
        <f>IFERROR(VLOOKUP($B921,calc_data,J$14+1,0),0)</f>
        <v/>
      </c>
      <c r="K921" s="141">
        <f>IFERROR(VLOOKUP($B921,calc_data,K$14+1,0),0)</f>
        <v/>
      </c>
      <c r="L921" s="141">
        <f>IFERROR(VLOOKUP($B921,calc_data,L$14+1,0),0)</f>
        <v/>
      </c>
      <c r="M921" s="177">
        <f>IFERROR(VLOOKUP($B921,calc_data,M$14+1,0),0)</f>
        <v/>
      </c>
      <c r="N921" s="177">
        <f>IFERROR(VLOOKUP($B921,calc_data,N$14+1,0),0)</f>
        <v/>
      </c>
      <c r="O921" s="45" t="n"/>
      <c r="Q921" s="57">
        <f>IF(K921&gt;0,"показать","скрыть")</f>
        <v/>
      </c>
    </row>
    <row r="922" ht="15.75" customHeight="1">
      <c r="B922" s="182" t="n">
        <v>906</v>
      </c>
      <c r="C922" s="182">
        <f>IFERROR(VLOOKUP($B922,calc_data,C$14+1,0),0)</f>
        <v/>
      </c>
      <c r="D922" s="182">
        <f>IFERROR(VLOOKUP($B922,calc_data,D$14+1,0),0)</f>
        <v/>
      </c>
      <c r="E922" s="183">
        <f>IFERROR(VLOOKUP($B922,calc_data,E$14+1,0),0)</f>
        <v/>
      </c>
      <c r="F922" s="182">
        <f>IFERROR(VLOOKUP($B922,calc_data,F$14+1,0),0)</f>
        <v/>
      </c>
      <c r="G922" s="141">
        <f>IFERROR(VLOOKUP($B922,calc_data,G$14+1,0),0)</f>
        <v/>
      </c>
      <c r="H922" s="141">
        <f>IFERROR(VLOOKUP($B922,calc_data,H$14+1,0),0)</f>
        <v/>
      </c>
      <c r="I922" s="142">
        <f>IFERROR(VLOOKUP($B922,calc_data,I$14+1,0),0)</f>
        <v/>
      </c>
      <c r="J922" s="141">
        <f>IFERROR(VLOOKUP($B922,calc_data,J$14+1,0),0)</f>
        <v/>
      </c>
      <c r="K922" s="141">
        <f>IFERROR(VLOOKUP($B922,calc_data,K$14+1,0),0)</f>
        <v/>
      </c>
      <c r="L922" s="141">
        <f>IFERROR(VLOOKUP($B922,calc_data,L$14+1,0),0)</f>
        <v/>
      </c>
      <c r="M922" s="177">
        <f>IFERROR(VLOOKUP($B922,calc_data,M$14+1,0),0)</f>
        <v/>
      </c>
      <c r="N922" s="177">
        <f>IFERROR(VLOOKUP($B922,calc_data,N$14+1,0),0)</f>
        <v/>
      </c>
      <c r="O922" s="45" t="n"/>
      <c r="Q922" s="57">
        <f>IF(K922&gt;0,"показать","скрыть")</f>
        <v/>
      </c>
    </row>
    <row r="923" ht="15.75" customHeight="1">
      <c r="B923" s="182" t="n">
        <v>907</v>
      </c>
      <c r="C923" s="182">
        <f>IFERROR(VLOOKUP($B923,calc_data,C$14+1,0),0)</f>
        <v/>
      </c>
      <c r="D923" s="182">
        <f>IFERROR(VLOOKUP($B923,calc_data,D$14+1,0),0)</f>
        <v/>
      </c>
      <c r="E923" s="183">
        <f>IFERROR(VLOOKUP($B923,calc_data,E$14+1,0),0)</f>
        <v/>
      </c>
      <c r="F923" s="182">
        <f>IFERROR(VLOOKUP($B923,calc_data,F$14+1,0),0)</f>
        <v/>
      </c>
      <c r="G923" s="141">
        <f>IFERROR(VLOOKUP($B923,calc_data,G$14+1,0),0)</f>
        <v/>
      </c>
      <c r="H923" s="141">
        <f>IFERROR(VLOOKUP($B923,calc_data,H$14+1,0),0)</f>
        <v/>
      </c>
      <c r="I923" s="142">
        <f>IFERROR(VLOOKUP($B923,calc_data,I$14+1,0),0)</f>
        <v/>
      </c>
      <c r="J923" s="141">
        <f>IFERROR(VLOOKUP($B923,calc_data,J$14+1,0),0)</f>
        <v/>
      </c>
      <c r="K923" s="141">
        <f>IFERROR(VLOOKUP($B923,calc_data,K$14+1,0),0)</f>
        <v/>
      </c>
      <c r="L923" s="141">
        <f>IFERROR(VLOOKUP($B923,calc_data,L$14+1,0),0)</f>
        <v/>
      </c>
      <c r="M923" s="177">
        <f>IFERROR(VLOOKUP($B923,calc_data,M$14+1,0),0)</f>
        <v/>
      </c>
      <c r="N923" s="177">
        <f>IFERROR(VLOOKUP($B923,calc_data,N$14+1,0),0)</f>
        <v/>
      </c>
      <c r="O923" s="45" t="n"/>
      <c r="Q923" s="57">
        <f>IF(K923&gt;0,"показать","скрыть")</f>
        <v/>
      </c>
    </row>
    <row r="924" ht="15.75" customHeight="1">
      <c r="B924" s="182" t="n">
        <v>908</v>
      </c>
      <c r="C924" s="182">
        <f>IFERROR(VLOOKUP($B924,calc_data,C$14+1,0),0)</f>
        <v/>
      </c>
      <c r="D924" s="182">
        <f>IFERROR(VLOOKUP($B924,calc_data,D$14+1,0),0)</f>
        <v/>
      </c>
      <c r="E924" s="183">
        <f>IFERROR(VLOOKUP($B924,calc_data,E$14+1,0),0)</f>
        <v/>
      </c>
      <c r="F924" s="182">
        <f>IFERROR(VLOOKUP($B924,calc_data,F$14+1,0),0)</f>
        <v/>
      </c>
      <c r="G924" s="141">
        <f>IFERROR(VLOOKUP($B924,calc_data,G$14+1,0),0)</f>
        <v/>
      </c>
      <c r="H924" s="141">
        <f>IFERROR(VLOOKUP($B924,calc_data,H$14+1,0),0)</f>
        <v/>
      </c>
      <c r="I924" s="142">
        <f>IFERROR(VLOOKUP($B924,calc_data,I$14+1,0),0)</f>
        <v/>
      </c>
      <c r="J924" s="141">
        <f>IFERROR(VLOOKUP($B924,calc_data,J$14+1,0),0)</f>
        <v/>
      </c>
      <c r="K924" s="141">
        <f>IFERROR(VLOOKUP($B924,calc_data,K$14+1,0),0)</f>
        <v/>
      </c>
      <c r="L924" s="141">
        <f>IFERROR(VLOOKUP($B924,calc_data,L$14+1,0),0)</f>
        <v/>
      </c>
      <c r="M924" s="177">
        <f>IFERROR(VLOOKUP($B924,calc_data,M$14+1,0),0)</f>
        <v/>
      </c>
      <c r="N924" s="177">
        <f>IFERROR(VLOOKUP($B924,calc_data,N$14+1,0),0)</f>
        <v/>
      </c>
      <c r="O924" s="45" t="n"/>
      <c r="Q924" s="57">
        <f>IF(K924&gt;0,"показать","скрыть")</f>
        <v/>
      </c>
    </row>
    <row r="925" ht="15.75" customHeight="1">
      <c r="B925" s="182" t="n">
        <v>909</v>
      </c>
      <c r="C925" s="182">
        <f>IFERROR(VLOOKUP($B925,calc_data,C$14+1,0),0)</f>
        <v/>
      </c>
      <c r="D925" s="182">
        <f>IFERROR(VLOOKUP($B925,calc_data,D$14+1,0),0)</f>
        <v/>
      </c>
      <c r="E925" s="183">
        <f>IFERROR(VLOOKUP($B925,calc_data,E$14+1,0),0)</f>
        <v/>
      </c>
      <c r="F925" s="182">
        <f>IFERROR(VLOOKUP($B925,calc_data,F$14+1,0),0)</f>
        <v/>
      </c>
      <c r="G925" s="141">
        <f>IFERROR(VLOOKUP($B925,calc_data,G$14+1,0),0)</f>
        <v/>
      </c>
      <c r="H925" s="141">
        <f>IFERROR(VLOOKUP($B925,calc_data,H$14+1,0),0)</f>
        <v/>
      </c>
      <c r="I925" s="142">
        <f>IFERROR(VLOOKUP($B925,calc_data,I$14+1,0),0)</f>
        <v/>
      </c>
      <c r="J925" s="141">
        <f>IFERROR(VLOOKUP($B925,calc_data,J$14+1,0),0)</f>
        <v/>
      </c>
      <c r="K925" s="141">
        <f>IFERROR(VLOOKUP($B925,calc_data,K$14+1,0),0)</f>
        <v/>
      </c>
      <c r="L925" s="141">
        <f>IFERROR(VLOOKUP($B925,calc_data,L$14+1,0),0)</f>
        <v/>
      </c>
      <c r="M925" s="177">
        <f>IFERROR(VLOOKUP($B925,calc_data,M$14+1,0),0)</f>
        <v/>
      </c>
      <c r="N925" s="177">
        <f>IFERROR(VLOOKUP($B925,calc_data,N$14+1,0),0)</f>
        <v/>
      </c>
      <c r="O925" s="45" t="n"/>
      <c r="Q925" s="57">
        <f>IF(K925&gt;0,"показать","скрыть")</f>
        <v/>
      </c>
    </row>
    <row r="926" ht="15.75" customHeight="1">
      <c r="B926" s="182" t="n">
        <v>910</v>
      </c>
      <c r="C926" s="182">
        <f>IFERROR(VLOOKUP($B926,calc_data,C$14+1,0),0)</f>
        <v/>
      </c>
      <c r="D926" s="182">
        <f>IFERROR(VLOOKUP($B926,calc_data,D$14+1,0),0)</f>
        <v/>
      </c>
      <c r="E926" s="183">
        <f>IFERROR(VLOOKUP($B926,calc_data,E$14+1,0),0)</f>
        <v/>
      </c>
      <c r="F926" s="182">
        <f>IFERROR(VLOOKUP($B926,calc_data,F$14+1,0),0)</f>
        <v/>
      </c>
      <c r="G926" s="141">
        <f>IFERROR(VLOOKUP($B926,calc_data,G$14+1,0),0)</f>
        <v/>
      </c>
      <c r="H926" s="141">
        <f>IFERROR(VLOOKUP($B926,calc_data,H$14+1,0),0)</f>
        <v/>
      </c>
      <c r="I926" s="142">
        <f>IFERROR(VLOOKUP($B926,calc_data,I$14+1,0),0)</f>
        <v/>
      </c>
      <c r="J926" s="141">
        <f>IFERROR(VLOOKUP($B926,calc_data,J$14+1,0),0)</f>
        <v/>
      </c>
      <c r="K926" s="141">
        <f>IFERROR(VLOOKUP($B926,calc_data,K$14+1,0),0)</f>
        <v/>
      </c>
      <c r="L926" s="141">
        <f>IFERROR(VLOOKUP($B926,calc_data,L$14+1,0),0)</f>
        <v/>
      </c>
      <c r="M926" s="177">
        <f>IFERROR(VLOOKUP($B926,calc_data,M$14+1,0),0)</f>
        <v/>
      </c>
      <c r="N926" s="177">
        <f>IFERROR(VLOOKUP($B926,calc_data,N$14+1,0),0)</f>
        <v/>
      </c>
      <c r="O926" s="45" t="n"/>
      <c r="Q926" s="57">
        <f>IF(K926&gt;0,"показать","скрыть")</f>
        <v/>
      </c>
    </row>
    <row r="927" ht="15.75" customHeight="1">
      <c r="B927" s="182" t="n">
        <v>911</v>
      </c>
      <c r="C927" s="182">
        <f>IFERROR(VLOOKUP($B927,calc_data,C$14+1,0),0)</f>
        <v/>
      </c>
      <c r="D927" s="182">
        <f>IFERROR(VLOOKUP($B927,calc_data,D$14+1,0),0)</f>
        <v/>
      </c>
      <c r="E927" s="183">
        <f>IFERROR(VLOOKUP($B927,calc_data,E$14+1,0),0)</f>
        <v/>
      </c>
      <c r="F927" s="182">
        <f>IFERROR(VLOOKUP($B927,calc_data,F$14+1,0),0)</f>
        <v/>
      </c>
      <c r="G927" s="141">
        <f>IFERROR(VLOOKUP($B927,calc_data,G$14+1,0),0)</f>
        <v/>
      </c>
      <c r="H927" s="141">
        <f>IFERROR(VLOOKUP($B927,calc_data,H$14+1,0),0)</f>
        <v/>
      </c>
      <c r="I927" s="142">
        <f>IFERROR(VLOOKUP($B927,calc_data,I$14+1,0),0)</f>
        <v/>
      </c>
      <c r="J927" s="141">
        <f>IFERROR(VLOOKUP($B927,calc_data,J$14+1,0),0)</f>
        <v/>
      </c>
      <c r="K927" s="141">
        <f>IFERROR(VLOOKUP($B927,calc_data,K$14+1,0),0)</f>
        <v/>
      </c>
      <c r="L927" s="141">
        <f>IFERROR(VLOOKUP($B927,calc_data,L$14+1,0),0)</f>
        <v/>
      </c>
      <c r="M927" s="177">
        <f>IFERROR(VLOOKUP($B927,calc_data,M$14+1,0),0)</f>
        <v/>
      </c>
      <c r="N927" s="177">
        <f>IFERROR(VLOOKUP($B927,calc_data,N$14+1,0),0)</f>
        <v/>
      </c>
      <c r="O927" s="45" t="n"/>
      <c r="Q927" s="57">
        <f>IF(K927&gt;0,"показать","скрыть")</f>
        <v/>
      </c>
    </row>
    <row r="928" ht="15.75" customHeight="1">
      <c r="B928" s="182" t="n">
        <v>912</v>
      </c>
      <c r="C928" s="182">
        <f>IFERROR(VLOOKUP($B928,calc_data,C$14+1,0),0)</f>
        <v/>
      </c>
      <c r="D928" s="182">
        <f>IFERROR(VLOOKUP($B928,calc_data,D$14+1,0),0)</f>
        <v/>
      </c>
      <c r="E928" s="183">
        <f>IFERROR(VLOOKUP($B928,calc_data,E$14+1,0),0)</f>
        <v/>
      </c>
      <c r="F928" s="182">
        <f>IFERROR(VLOOKUP($B928,calc_data,F$14+1,0),0)</f>
        <v/>
      </c>
      <c r="G928" s="141">
        <f>IFERROR(VLOOKUP($B928,calc_data,G$14+1,0),0)</f>
        <v/>
      </c>
      <c r="H928" s="141">
        <f>IFERROR(VLOOKUP($B928,calc_data,H$14+1,0),0)</f>
        <v/>
      </c>
      <c r="I928" s="142">
        <f>IFERROR(VLOOKUP($B928,calc_data,I$14+1,0),0)</f>
        <v/>
      </c>
      <c r="J928" s="141">
        <f>IFERROR(VLOOKUP($B928,calc_data,J$14+1,0),0)</f>
        <v/>
      </c>
      <c r="K928" s="141">
        <f>IFERROR(VLOOKUP($B928,calc_data,K$14+1,0),0)</f>
        <v/>
      </c>
      <c r="L928" s="141">
        <f>IFERROR(VLOOKUP($B928,calc_data,L$14+1,0),0)</f>
        <v/>
      </c>
      <c r="M928" s="177">
        <f>IFERROR(VLOOKUP($B928,calc_data,M$14+1,0),0)</f>
        <v/>
      </c>
      <c r="N928" s="177">
        <f>IFERROR(VLOOKUP($B928,calc_data,N$14+1,0),0)</f>
        <v/>
      </c>
      <c r="O928" s="45" t="n"/>
      <c r="Q928" s="57">
        <f>IF(K928&gt;0,"показать","скрыть")</f>
        <v/>
      </c>
    </row>
    <row r="929" ht="15.75" customHeight="1">
      <c r="B929" s="182" t="n">
        <v>913</v>
      </c>
      <c r="C929" s="182">
        <f>IFERROR(VLOOKUP($B929,calc_data,C$14+1,0),0)</f>
        <v/>
      </c>
      <c r="D929" s="182">
        <f>IFERROR(VLOOKUP($B929,calc_data,D$14+1,0),0)</f>
        <v/>
      </c>
      <c r="E929" s="183">
        <f>IFERROR(VLOOKUP($B929,calc_data,E$14+1,0),0)</f>
        <v/>
      </c>
      <c r="F929" s="182">
        <f>IFERROR(VLOOKUP($B929,calc_data,F$14+1,0),0)</f>
        <v/>
      </c>
      <c r="G929" s="141">
        <f>IFERROR(VLOOKUP($B929,calc_data,G$14+1,0),0)</f>
        <v/>
      </c>
      <c r="H929" s="141">
        <f>IFERROR(VLOOKUP($B929,calc_data,H$14+1,0),0)</f>
        <v/>
      </c>
      <c r="I929" s="142">
        <f>IFERROR(VLOOKUP($B929,calc_data,I$14+1,0),0)</f>
        <v/>
      </c>
      <c r="J929" s="141">
        <f>IFERROR(VLOOKUP($B929,calc_data,J$14+1,0),0)</f>
        <v/>
      </c>
      <c r="K929" s="141">
        <f>IFERROR(VLOOKUP($B929,calc_data,K$14+1,0),0)</f>
        <v/>
      </c>
      <c r="L929" s="141">
        <f>IFERROR(VLOOKUP($B929,calc_data,L$14+1,0),0)</f>
        <v/>
      </c>
      <c r="M929" s="177">
        <f>IFERROR(VLOOKUP($B929,calc_data,M$14+1,0),0)</f>
        <v/>
      </c>
      <c r="N929" s="177">
        <f>IFERROR(VLOOKUP($B929,calc_data,N$14+1,0),0)</f>
        <v/>
      </c>
      <c r="O929" s="45" t="n"/>
      <c r="Q929" s="57">
        <f>IF(K929&gt;0,"показать","скрыть")</f>
        <v/>
      </c>
    </row>
    <row r="930" ht="15.75" customHeight="1">
      <c r="B930" s="182" t="n">
        <v>914</v>
      </c>
      <c r="C930" s="182">
        <f>IFERROR(VLOOKUP($B930,calc_data,C$14+1,0),0)</f>
        <v/>
      </c>
      <c r="D930" s="182">
        <f>IFERROR(VLOOKUP($B930,calc_data,D$14+1,0),0)</f>
        <v/>
      </c>
      <c r="E930" s="183">
        <f>IFERROR(VLOOKUP($B930,calc_data,E$14+1,0),0)</f>
        <v/>
      </c>
      <c r="F930" s="182">
        <f>IFERROR(VLOOKUP($B930,calc_data,F$14+1,0),0)</f>
        <v/>
      </c>
      <c r="G930" s="141">
        <f>IFERROR(VLOOKUP($B930,calc_data,G$14+1,0),0)</f>
        <v/>
      </c>
      <c r="H930" s="141">
        <f>IFERROR(VLOOKUP($B930,calc_data,H$14+1,0),0)</f>
        <v/>
      </c>
      <c r="I930" s="142">
        <f>IFERROR(VLOOKUP($B930,calc_data,I$14+1,0),0)</f>
        <v/>
      </c>
      <c r="J930" s="141">
        <f>IFERROR(VLOOKUP($B930,calc_data,J$14+1,0),0)</f>
        <v/>
      </c>
      <c r="K930" s="141">
        <f>IFERROR(VLOOKUP($B930,calc_data,K$14+1,0),0)</f>
        <v/>
      </c>
      <c r="L930" s="141">
        <f>IFERROR(VLOOKUP($B930,calc_data,L$14+1,0),0)</f>
        <v/>
      </c>
      <c r="M930" s="177">
        <f>IFERROR(VLOOKUP($B930,calc_data,M$14+1,0),0)</f>
        <v/>
      </c>
      <c r="N930" s="177">
        <f>IFERROR(VLOOKUP($B930,calc_data,N$14+1,0),0)</f>
        <v/>
      </c>
      <c r="O930" s="45" t="n"/>
      <c r="Q930" s="57">
        <f>IF(K930&gt;0,"показать","скрыть")</f>
        <v/>
      </c>
    </row>
    <row r="931" ht="15.75" customHeight="1">
      <c r="B931" s="182" t="n">
        <v>915</v>
      </c>
      <c r="C931" s="182">
        <f>IFERROR(VLOOKUP($B931,calc_data,C$14+1,0),0)</f>
        <v/>
      </c>
      <c r="D931" s="182">
        <f>IFERROR(VLOOKUP($B931,calc_data,D$14+1,0),0)</f>
        <v/>
      </c>
      <c r="E931" s="183">
        <f>IFERROR(VLOOKUP($B931,calc_data,E$14+1,0),0)</f>
        <v/>
      </c>
      <c r="F931" s="182">
        <f>IFERROR(VLOOKUP($B931,calc_data,F$14+1,0),0)</f>
        <v/>
      </c>
      <c r="G931" s="141">
        <f>IFERROR(VLOOKUP($B931,calc_data,G$14+1,0),0)</f>
        <v/>
      </c>
      <c r="H931" s="141">
        <f>IFERROR(VLOOKUP($B931,calc_data,H$14+1,0),0)</f>
        <v/>
      </c>
      <c r="I931" s="142">
        <f>IFERROR(VLOOKUP($B931,calc_data,I$14+1,0),0)</f>
        <v/>
      </c>
      <c r="J931" s="141">
        <f>IFERROR(VLOOKUP($B931,calc_data,J$14+1,0),0)</f>
        <v/>
      </c>
      <c r="K931" s="141">
        <f>IFERROR(VLOOKUP($B931,calc_data,K$14+1,0),0)</f>
        <v/>
      </c>
      <c r="L931" s="141">
        <f>IFERROR(VLOOKUP($B931,calc_data,L$14+1,0),0)</f>
        <v/>
      </c>
      <c r="M931" s="177">
        <f>IFERROR(VLOOKUP($B931,calc_data,M$14+1,0),0)</f>
        <v/>
      </c>
      <c r="N931" s="177">
        <f>IFERROR(VLOOKUP($B931,calc_data,N$14+1,0),0)</f>
        <v/>
      </c>
      <c r="O931" s="45" t="n"/>
      <c r="Q931" s="57">
        <f>IF(K931&gt;0,"показать","скрыть")</f>
        <v/>
      </c>
    </row>
    <row r="932" ht="15.75" customHeight="1">
      <c r="B932" s="182" t="n">
        <v>916</v>
      </c>
      <c r="C932" s="182">
        <f>IFERROR(VLOOKUP($B932,calc_data,C$14+1,0),0)</f>
        <v/>
      </c>
      <c r="D932" s="182">
        <f>IFERROR(VLOOKUP($B932,calc_data,D$14+1,0),0)</f>
        <v/>
      </c>
      <c r="E932" s="183">
        <f>IFERROR(VLOOKUP($B932,calc_data,E$14+1,0),0)</f>
        <v/>
      </c>
      <c r="F932" s="182">
        <f>IFERROR(VLOOKUP($B932,calc_data,F$14+1,0),0)</f>
        <v/>
      </c>
      <c r="G932" s="141">
        <f>IFERROR(VLOOKUP($B932,calc_data,G$14+1,0),0)</f>
        <v/>
      </c>
      <c r="H932" s="141">
        <f>IFERROR(VLOOKUP($B932,calc_data,H$14+1,0),0)</f>
        <v/>
      </c>
      <c r="I932" s="142">
        <f>IFERROR(VLOOKUP($B932,calc_data,I$14+1,0),0)</f>
        <v/>
      </c>
      <c r="J932" s="141">
        <f>IFERROR(VLOOKUP($B932,calc_data,J$14+1,0),0)</f>
        <v/>
      </c>
      <c r="K932" s="141">
        <f>IFERROR(VLOOKUP($B932,calc_data,K$14+1,0),0)</f>
        <v/>
      </c>
      <c r="L932" s="141">
        <f>IFERROR(VLOOKUP($B932,calc_data,L$14+1,0),0)</f>
        <v/>
      </c>
      <c r="M932" s="177">
        <f>IFERROR(VLOOKUP($B932,calc_data,M$14+1,0),0)</f>
        <v/>
      </c>
      <c r="N932" s="177">
        <f>IFERROR(VLOOKUP($B932,calc_data,N$14+1,0),0)</f>
        <v/>
      </c>
      <c r="O932" s="45" t="n"/>
      <c r="Q932" s="57">
        <f>IF(K932&gt;0,"показать","скрыть")</f>
        <v/>
      </c>
    </row>
    <row r="933" ht="15.75" customHeight="1">
      <c r="B933" s="182" t="n">
        <v>917</v>
      </c>
      <c r="C933" s="182">
        <f>IFERROR(VLOOKUP($B933,calc_data,C$14+1,0),0)</f>
        <v/>
      </c>
      <c r="D933" s="182">
        <f>IFERROR(VLOOKUP($B933,calc_data,D$14+1,0),0)</f>
        <v/>
      </c>
      <c r="E933" s="183">
        <f>IFERROR(VLOOKUP($B933,calc_data,E$14+1,0),0)</f>
        <v/>
      </c>
      <c r="F933" s="182">
        <f>IFERROR(VLOOKUP($B933,calc_data,F$14+1,0),0)</f>
        <v/>
      </c>
      <c r="G933" s="141">
        <f>IFERROR(VLOOKUP($B933,calc_data,G$14+1,0),0)</f>
        <v/>
      </c>
      <c r="H933" s="141">
        <f>IFERROR(VLOOKUP($B933,calc_data,H$14+1,0),0)</f>
        <v/>
      </c>
      <c r="I933" s="142">
        <f>IFERROR(VLOOKUP($B933,calc_data,I$14+1,0),0)</f>
        <v/>
      </c>
      <c r="J933" s="141">
        <f>IFERROR(VLOOKUP($B933,calc_data,J$14+1,0),0)</f>
        <v/>
      </c>
      <c r="K933" s="141">
        <f>IFERROR(VLOOKUP($B933,calc_data,K$14+1,0),0)</f>
        <v/>
      </c>
      <c r="L933" s="141">
        <f>IFERROR(VLOOKUP($B933,calc_data,L$14+1,0),0)</f>
        <v/>
      </c>
      <c r="M933" s="177">
        <f>IFERROR(VLOOKUP($B933,calc_data,M$14+1,0),0)</f>
        <v/>
      </c>
      <c r="N933" s="177">
        <f>IFERROR(VLOOKUP($B933,calc_data,N$14+1,0),0)</f>
        <v/>
      </c>
      <c r="O933" s="45" t="n"/>
      <c r="Q933" s="57">
        <f>IF(K933&gt;0,"показать","скрыть")</f>
        <v/>
      </c>
    </row>
    <row r="934" ht="15.75" customHeight="1">
      <c r="B934" s="182" t="n">
        <v>918</v>
      </c>
      <c r="C934" s="182">
        <f>IFERROR(VLOOKUP($B934,calc_data,C$14+1,0),0)</f>
        <v/>
      </c>
      <c r="D934" s="182">
        <f>IFERROR(VLOOKUP($B934,calc_data,D$14+1,0),0)</f>
        <v/>
      </c>
      <c r="E934" s="183">
        <f>IFERROR(VLOOKUP($B934,calc_data,E$14+1,0),0)</f>
        <v/>
      </c>
      <c r="F934" s="182">
        <f>IFERROR(VLOOKUP($B934,calc_data,F$14+1,0),0)</f>
        <v/>
      </c>
      <c r="G934" s="141">
        <f>IFERROR(VLOOKUP($B934,calc_data,G$14+1,0),0)</f>
        <v/>
      </c>
      <c r="H934" s="141">
        <f>IFERROR(VLOOKUP($B934,calc_data,H$14+1,0),0)</f>
        <v/>
      </c>
      <c r="I934" s="142">
        <f>IFERROR(VLOOKUP($B934,calc_data,I$14+1,0),0)</f>
        <v/>
      </c>
      <c r="J934" s="141">
        <f>IFERROR(VLOOKUP($B934,calc_data,J$14+1,0),0)</f>
        <v/>
      </c>
      <c r="K934" s="141">
        <f>IFERROR(VLOOKUP($B934,calc_data,K$14+1,0),0)</f>
        <v/>
      </c>
      <c r="L934" s="141">
        <f>IFERROR(VLOOKUP($B934,calc_data,L$14+1,0),0)</f>
        <v/>
      </c>
      <c r="M934" s="177">
        <f>IFERROR(VLOOKUP($B934,calc_data,M$14+1,0),0)</f>
        <v/>
      </c>
      <c r="N934" s="177">
        <f>IFERROR(VLOOKUP($B934,calc_data,N$14+1,0),0)</f>
        <v/>
      </c>
      <c r="O934" s="45" t="n"/>
      <c r="Q934" s="57">
        <f>IF(K934&gt;0,"показать","скрыть")</f>
        <v/>
      </c>
    </row>
    <row r="935" ht="15.75" customHeight="1">
      <c r="B935" s="182" t="n">
        <v>919</v>
      </c>
      <c r="C935" s="182">
        <f>IFERROR(VLOOKUP($B935,calc_data,C$14+1,0),0)</f>
        <v/>
      </c>
      <c r="D935" s="182">
        <f>IFERROR(VLOOKUP($B935,calc_data,D$14+1,0),0)</f>
        <v/>
      </c>
      <c r="E935" s="183">
        <f>IFERROR(VLOOKUP($B935,calc_data,E$14+1,0),0)</f>
        <v/>
      </c>
      <c r="F935" s="182">
        <f>IFERROR(VLOOKUP($B935,calc_data,F$14+1,0),0)</f>
        <v/>
      </c>
      <c r="G935" s="141">
        <f>IFERROR(VLOOKUP($B935,calc_data,G$14+1,0),0)</f>
        <v/>
      </c>
      <c r="H935" s="141">
        <f>IFERROR(VLOOKUP($B935,calc_data,H$14+1,0),0)</f>
        <v/>
      </c>
      <c r="I935" s="142">
        <f>IFERROR(VLOOKUP($B935,calc_data,I$14+1,0),0)</f>
        <v/>
      </c>
      <c r="J935" s="141">
        <f>IFERROR(VLOOKUP($B935,calc_data,J$14+1,0),0)</f>
        <v/>
      </c>
      <c r="K935" s="141">
        <f>IFERROR(VLOOKUP($B935,calc_data,K$14+1,0),0)</f>
        <v/>
      </c>
      <c r="L935" s="141">
        <f>IFERROR(VLOOKUP($B935,calc_data,L$14+1,0),0)</f>
        <v/>
      </c>
      <c r="M935" s="177">
        <f>IFERROR(VLOOKUP($B935,calc_data,M$14+1,0),0)</f>
        <v/>
      </c>
      <c r="N935" s="177">
        <f>IFERROR(VLOOKUP($B935,calc_data,N$14+1,0),0)</f>
        <v/>
      </c>
      <c r="O935" s="45" t="n"/>
      <c r="Q935" s="57">
        <f>IF(K935&gt;0,"показать","скрыть")</f>
        <v/>
      </c>
    </row>
    <row r="936" ht="15.75" customHeight="1">
      <c r="B936" s="182" t="n">
        <v>920</v>
      </c>
      <c r="C936" s="182">
        <f>IFERROR(VLOOKUP($B936,calc_data,C$14+1,0),0)</f>
        <v/>
      </c>
      <c r="D936" s="182">
        <f>IFERROR(VLOOKUP($B936,calc_data,D$14+1,0),0)</f>
        <v/>
      </c>
      <c r="E936" s="183">
        <f>IFERROR(VLOOKUP($B936,calc_data,E$14+1,0),0)</f>
        <v/>
      </c>
      <c r="F936" s="182">
        <f>IFERROR(VLOOKUP($B936,calc_data,F$14+1,0),0)</f>
        <v/>
      </c>
      <c r="G936" s="141">
        <f>IFERROR(VLOOKUP($B936,calc_data,G$14+1,0),0)</f>
        <v/>
      </c>
      <c r="H936" s="141">
        <f>IFERROR(VLOOKUP($B936,calc_data,H$14+1,0),0)</f>
        <v/>
      </c>
      <c r="I936" s="142">
        <f>IFERROR(VLOOKUP($B936,calc_data,I$14+1,0),0)</f>
        <v/>
      </c>
      <c r="J936" s="141">
        <f>IFERROR(VLOOKUP($B936,calc_data,J$14+1,0),0)</f>
        <v/>
      </c>
      <c r="K936" s="141">
        <f>IFERROR(VLOOKUP($B936,calc_data,K$14+1,0),0)</f>
        <v/>
      </c>
      <c r="L936" s="141">
        <f>IFERROR(VLOOKUP($B936,calc_data,L$14+1,0),0)</f>
        <v/>
      </c>
      <c r="M936" s="177">
        <f>IFERROR(VLOOKUP($B936,calc_data,M$14+1,0),0)</f>
        <v/>
      </c>
      <c r="N936" s="177">
        <f>IFERROR(VLOOKUP($B936,calc_data,N$14+1,0),0)</f>
        <v/>
      </c>
      <c r="O936" s="45" t="n"/>
      <c r="Q936" s="57">
        <f>IF(K936&gt;0,"показать","скрыть")</f>
        <v/>
      </c>
    </row>
    <row r="937" ht="15.75" customHeight="1">
      <c r="B937" s="182" t="n">
        <v>921</v>
      </c>
      <c r="C937" s="182">
        <f>IFERROR(VLOOKUP($B937,calc_data,C$14+1,0),0)</f>
        <v/>
      </c>
      <c r="D937" s="182">
        <f>IFERROR(VLOOKUP($B937,calc_data,D$14+1,0),0)</f>
        <v/>
      </c>
      <c r="E937" s="183">
        <f>IFERROR(VLOOKUP($B937,calc_data,E$14+1,0),0)</f>
        <v/>
      </c>
      <c r="F937" s="182">
        <f>IFERROR(VLOOKUP($B937,calc_data,F$14+1,0),0)</f>
        <v/>
      </c>
      <c r="G937" s="141">
        <f>IFERROR(VLOOKUP($B937,calc_data,G$14+1,0),0)</f>
        <v/>
      </c>
      <c r="H937" s="141">
        <f>IFERROR(VLOOKUP($B937,calc_data,H$14+1,0),0)</f>
        <v/>
      </c>
      <c r="I937" s="142">
        <f>IFERROR(VLOOKUP($B937,calc_data,I$14+1,0),0)</f>
        <v/>
      </c>
      <c r="J937" s="141">
        <f>IFERROR(VLOOKUP($B937,calc_data,J$14+1,0),0)</f>
        <v/>
      </c>
      <c r="K937" s="141">
        <f>IFERROR(VLOOKUP($B937,calc_data,K$14+1,0),0)</f>
        <v/>
      </c>
      <c r="L937" s="141">
        <f>IFERROR(VLOOKUP($B937,calc_data,L$14+1,0),0)</f>
        <v/>
      </c>
      <c r="M937" s="177">
        <f>IFERROR(VLOOKUP($B937,calc_data,M$14+1,0),0)</f>
        <v/>
      </c>
      <c r="N937" s="177">
        <f>IFERROR(VLOOKUP($B937,calc_data,N$14+1,0),0)</f>
        <v/>
      </c>
      <c r="O937" s="45" t="n"/>
      <c r="Q937" s="57">
        <f>IF(K937&gt;0,"показать","скрыть")</f>
        <v/>
      </c>
    </row>
    <row r="938" ht="15.75" customHeight="1">
      <c r="B938" s="182" t="n">
        <v>922</v>
      </c>
      <c r="C938" s="182">
        <f>IFERROR(VLOOKUP($B938,calc_data,C$14+1,0),0)</f>
        <v/>
      </c>
      <c r="D938" s="182">
        <f>IFERROR(VLOOKUP($B938,calc_data,D$14+1,0),0)</f>
        <v/>
      </c>
      <c r="E938" s="183">
        <f>IFERROR(VLOOKUP($B938,calc_data,E$14+1,0),0)</f>
        <v/>
      </c>
      <c r="F938" s="182">
        <f>IFERROR(VLOOKUP($B938,calc_data,F$14+1,0),0)</f>
        <v/>
      </c>
      <c r="G938" s="141">
        <f>IFERROR(VLOOKUP($B938,calc_data,G$14+1,0),0)</f>
        <v/>
      </c>
      <c r="H938" s="141">
        <f>IFERROR(VLOOKUP($B938,calc_data,H$14+1,0),0)</f>
        <v/>
      </c>
      <c r="I938" s="142">
        <f>IFERROR(VLOOKUP($B938,calc_data,I$14+1,0),0)</f>
        <v/>
      </c>
      <c r="J938" s="141">
        <f>IFERROR(VLOOKUP($B938,calc_data,J$14+1,0),0)</f>
        <v/>
      </c>
      <c r="K938" s="141">
        <f>IFERROR(VLOOKUP($B938,calc_data,K$14+1,0),0)</f>
        <v/>
      </c>
      <c r="L938" s="141">
        <f>IFERROR(VLOOKUP($B938,calc_data,L$14+1,0),0)</f>
        <v/>
      </c>
      <c r="M938" s="177">
        <f>IFERROR(VLOOKUP($B938,calc_data,M$14+1,0),0)</f>
        <v/>
      </c>
      <c r="N938" s="177">
        <f>IFERROR(VLOOKUP($B938,calc_data,N$14+1,0),0)</f>
        <v/>
      </c>
      <c r="O938" s="45" t="n"/>
      <c r="Q938" s="57">
        <f>IF(K938&gt;0,"показать","скрыть")</f>
        <v/>
      </c>
    </row>
    <row r="939" ht="15.75" customHeight="1">
      <c r="B939" s="182" t="n">
        <v>923</v>
      </c>
      <c r="C939" s="182">
        <f>IFERROR(VLOOKUP($B939,calc_data,C$14+1,0),0)</f>
        <v/>
      </c>
      <c r="D939" s="182">
        <f>IFERROR(VLOOKUP($B939,calc_data,D$14+1,0),0)</f>
        <v/>
      </c>
      <c r="E939" s="183">
        <f>IFERROR(VLOOKUP($B939,calc_data,E$14+1,0),0)</f>
        <v/>
      </c>
      <c r="F939" s="182">
        <f>IFERROR(VLOOKUP($B939,calc_data,F$14+1,0),0)</f>
        <v/>
      </c>
      <c r="G939" s="141">
        <f>IFERROR(VLOOKUP($B939,calc_data,G$14+1,0),0)</f>
        <v/>
      </c>
      <c r="H939" s="141">
        <f>IFERROR(VLOOKUP($B939,calc_data,H$14+1,0),0)</f>
        <v/>
      </c>
      <c r="I939" s="142">
        <f>IFERROR(VLOOKUP($B939,calc_data,I$14+1,0),0)</f>
        <v/>
      </c>
      <c r="J939" s="141">
        <f>IFERROR(VLOOKUP($B939,calc_data,J$14+1,0),0)</f>
        <v/>
      </c>
      <c r="K939" s="141">
        <f>IFERROR(VLOOKUP($B939,calc_data,K$14+1,0),0)</f>
        <v/>
      </c>
      <c r="L939" s="141">
        <f>IFERROR(VLOOKUP($B939,calc_data,L$14+1,0),0)</f>
        <v/>
      </c>
      <c r="M939" s="177">
        <f>IFERROR(VLOOKUP($B939,calc_data,M$14+1,0),0)</f>
        <v/>
      </c>
      <c r="N939" s="177">
        <f>IFERROR(VLOOKUP($B939,calc_data,N$14+1,0),0)</f>
        <v/>
      </c>
      <c r="O939" s="45" t="n"/>
      <c r="Q939" s="57">
        <f>IF(K939&gt;0,"показать","скрыть")</f>
        <v/>
      </c>
    </row>
    <row r="940" ht="15.75" customHeight="1">
      <c r="B940" s="182" t="n">
        <v>924</v>
      </c>
      <c r="C940" s="182">
        <f>IFERROR(VLOOKUP($B940,calc_data,C$14+1,0),0)</f>
        <v/>
      </c>
      <c r="D940" s="182">
        <f>IFERROR(VLOOKUP($B940,calc_data,D$14+1,0),0)</f>
        <v/>
      </c>
      <c r="E940" s="183">
        <f>IFERROR(VLOOKUP($B940,calc_data,E$14+1,0),0)</f>
        <v/>
      </c>
      <c r="F940" s="182">
        <f>IFERROR(VLOOKUP($B940,calc_data,F$14+1,0),0)</f>
        <v/>
      </c>
      <c r="G940" s="141">
        <f>IFERROR(VLOOKUP($B940,calc_data,G$14+1,0),0)</f>
        <v/>
      </c>
      <c r="H940" s="141">
        <f>IFERROR(VLOOKUP($B940,calc_data,H$14+1,0),0)</f>
        <v/>
      </c>
      <c r="I940" s="142">
        <f>IFERROR(VLOOKUP($B940,calc_data,I$14+1,0),0)</f>
        <v/>
      </c>
      <c r="J940" s="141">
        <f>IFERROR(VLOOKUP($B940,calc_data,J$14+1,0),0)</f>
        <v/>
      </c>
      <c r="K940" s="141">
        <f>IFERROR(VLOOKUP($B940,calc_data,K$14+1,0),0)</f>
        <v/>
      </c>
      <c r="L940" s="141">
        <f>IFERROR(VLOOKUP($B940,calc_data,L$14+1,0),0)</f>
        <v/>
      </c>
      <c r="M940" s="177">
        <f>IFERROR(VLOOKUP($B940,calc_data,M$14+1,0),0)</f>
        <v/>
      </c>
      <c r="N940" s="177">
        <f>IFERROR(VLOOKUP($B940,calc_data,N$14+1,0),0)</f>
        <v/>
      </c>
      <c r="O940" s="45" t="n"/>
      <c r="Q940" s="57">
        <f>IF(K940&gt;0,"показать","скрыть")</f>
        <v/>
      </c>
    </row>
    <row r="941" ht="15.75" customHeight="1">
      <c r="B941" s="182" t="n">
        <v>925</v>
      </c>
      <c r="C941" s="182">
        <f>IFERROR(VLOOKUP($B941,calc_data,C$14+1,0),0)</f>
        <v/>
      </c>
      <c r="D941" s="182">
        <f>IFERROR(VLOOKUP($B941,calc_data,D$14+1,0),0)</f>
        <v/>
      </c>
      <c r="E941" s="183">
        <f>IFERROR(VLOOKUP($B941,calc_data,E$14+1,0),0)</f>
        <v/>
      </c>
      <c r="F941" s="182">
        <f>IFERROR(VLOOKUP($B941,calc_data,F$14+1,0),0)</f>
        <v/>
      </c>
      <c r="G941" s="141">
        <f>IFERROR(VLOOKUP($B941,calc_data,G$14+1,0),0)</f>
        <v/>
      </c>
      <c r="H941" s="141">
        <f>IFERROR(VLOOKUP($B941,calc_data,H$14+1,0),0)</f>
        <v/>
      </c>
      <c r="I941" s="142">
        <f>IFERROR(VLOOKUP($B941,calc_data,I$14+1,0),0)</f>
        <v/>
      </c>
      <c r="J941" s="141">
        <f>IFERROR(VLOOKUP($B941,calc_data,J$14+1,0),0)</f>
        <v/>
      </c>
      <c r="K941" s="141">
        <f>IFERROR(VLOOKUP($B941,calc_data,K$14+1,0),0)</f>
        <v/>
      </c>
      <c r="L941" s="141">
        <f>IFERROR(VLOOKUP($B941,calc_data,L$14+1,0),0)</f>
        <v/>
      </c>
      <c r="M941" s="177">
        <f>IFERROR(VLOOKUP($B941,calc_data,M$14+1,0),0)</f>
        <v/>
      </c>
      <c r="N941" s="177">
        <f>IFERROR(VLOOKUP($B941,calc_data,N$14+1,0),0)</f>
        <v/>
      </c>
      <c r="O941" s="45" t="n"/>
      <c r="Q941" s="57">
        <f>IF(K941&gt;0,"показать","скрыть")</f>
        <v/>
      </c>
    </row>
    <row r="942" ht="15.75" customHeight="1">
      <c r="B942" s="182" t="n">
        <v>926</v>
      </c>
      <c r="C942" s="182">
        <f>IFERROR(VLOOKUP($B942,calc_data,C$14+1,0),0)</f>
        <v/>
      </c>
      <c r="D942" s="182">
        <f>IFERROR(VLOOKUP($B942,calc_data,D$14+1,0),0)</f>
        <v/>
      </c>
      <c r="E942" s="183">
        <f>IFERROR(VLOOKUP($B942,calc_data,E$14+1,0),0)</f>
        <v/>
      </c>
      <c r="F942" s="182">
        <f>IFERROR(VLOOKUP($B942,calc_data,F$14+1,0),0)</f>
        <v/>
      </c>
      <c r="G942" s="141">
        <f>IFERROR(VLOOKUP($B942,calc_data,G$14+1,0),0)</f>
        <v/>
      </c>
      <c r="H942" s="141">
        <f>IFERROR(VLOOKUP($B942,calc_data,H$14+1,0),0)</f>
        <v/>
      </c>
      <c r="I942" s="142">
        <f>IFERROR(VLOOKUP($B942,calc_data,I$14+1,0),0)</f>
        <v/>
      </c>
      <c r="J942" s="141">
        <f>IFERROR(VLOOKUP($B942,calc_data,J$14+1,0),0)</f>
        <v/>
      </c>
      <c r="K942" s="141">
        <f>IFERROR(VLOOKUP($B942,calc_data,K$14+1,0),0)</f>
        <v/>
      </c>
      <c r="L942" s="141">
        <f>IFERROR(VLOOKUP($B942,calc_data,L$14+1,0),0)</f>
        <v/>
      </c>
      <c r="M942" s="177">
        <f>IFERROR(VLOOKUP($B942,calc_data,M$14+1,0),0)</f>
        <v/>
      </c>
      <c r="N942" s="177">
        <f>IFERROR(VLOOKUP($B942,calc_data,N$14+1,0),0)</f>
        <v/>
      </c>
      <c r="O942" s="45" t="n"/>
      <c r="Q942" s="57">
        <f>IF(K942&gt;0,"показать","скрыть")</f>
        <v/>
      </c>
    </row>
    <row r="943" ht="15.75" customHeight="1">
      <c r="B943" s="182" t="n">
        <v>927</v>
      </c>
      <c r="C943" s="182">
        <f>IFERROR(VLOOKUP($B943,calc_data,C$14+1,0),0)</f>
        <v/>
      </c>
      <c r="D943" s="182">
        <f>IFERROR(VLOOKUP($B943,calc_data,D$14+1,0),0)</f>
        <v/>
      </c>
      <c r="E943" s="183">
        <f>IFERROR(VLOOKUP($B943,calc_data,E$14+1,0),0)</f>
        <v/>
      </c>
      <c r="F943" s="182">
        <f>IFERROR(VLOOKUP($B943,calc_data,F$14+1,0),0)</f>
        <v/>
      </c>
      <c r="G943" s="141">
        <f>IFERROR(VLOOKUP($B943,calc_data,G$14+1,0),0)</f>
        <v/>
      </c>
      <c r="H943" s="141">
        <f>IFERROR(VLOOKUP($B943,calc_data,H$14+1,0),0)</f>
        <v/>
      </c>
      <c r="I943" s="142">
        <f>IFERROR(VLOOKUP($B943,calc_data,I$14+1,0),0)</f>
        <v/>
      </c>
      <c r="J943" s="141">
        <f>IFERROR(VLOOKUP($B943,calc_data,J$14+1,0),0)</f>
        <v/>
      </c>
      <c r="K943" s="141">
        <f>IFERROR(VLOOKUP($B943,calc_data,K$14+1,0),0)</f>
        <v/>
      </c>
      <c r="L943" s="141">
        <f>IFERROR(VLOOKUP($B943,calc_data,L$14+1,0),0)</f>
        <v/>
      </c>
      <c r="M943" s="177">
        <f>IFERROR(VLOOKUP($B943,calc_data,M$14+1,0),0)</f>
        <v/>
      </c>
      <c r="N943" s="177">
        <f>IFERROR(VLOOKUP($B943,calc_data,N$14+1,0),0)</f>
        <v/>
      </c>
      <c r="O943" s="45" t="n"/>
      <c r="Q943" s="57">
        <f>IF(K943&gt;0,"показать","скрыть")</f>
        <v/>
      </c>
    </row>
    <row r="944" ht="15.75" customHeight="1">
      <c r="B944" s="182" t="n">
        <v>928</v>
      </c>
      <c r="C944" s="182">
        <f>IFERROR(VLOOKUP($B944,calc_data,C$14+1,0),0)</f>
        <v/>
      </c>
      <c r="D944" s="182">
        <f>IFERROR(VLOOKUP($B944,calc_data,D$14+1,0),0)</f>
        <v/>
      </c>
      <c r="E944" s="183">
        <f>IFERROR(VLOOKUP($B944,calc_data,E$14+1,0),0)</f>
        <v/>
      </c>
      <c r="F944" s="182">
        <f>IFERROR(VLOOKUP($B944,calc_data,F$14+1,0),0)</f>
        <v/>
      </c>
      <c r="G944" s="141">
        <f>IFERROR(VLOOKUP($B944,calc_data,G$14+1,0),0)</f>
        <v/>
      </c>
      <c r="H944" s="141">
        <f>IFERROR(VLOOKUP($B944,calc_data,H$14+1,0),0)</f>
        <v/>
      </c>
      <c r="I944" s="142">
        <f>IFERROR(VLOOKUP($B944,calc_data,I$14+1,0),0)</f>
        <v/>
      </c>
      <c r="J944" s="141">
        <f>IFERROR(VLOOKUP($B944,calc_data,J$14+1,0),0)</f>
        <v/>
      </c>
      <c r="K944" s="141">
        <f>IFERROR(VLOOKUP($B944,calc_data,K$14+1,0),0)</f>
        <v/>
      </c>
      <c r="L944" s="141">
        <f>IFERROR(VLOOKUP($B944,calc_data,L$14+1,0),0)</f>
        <v/>
      </c>
      <c r="M944" s="177">
        <f>IFERROR(VLOOKUP($B944,calc_data,M$14+1,0),0)</f>
        <v/>
      </c>
      <c r="N944" s="177">
        <f>IFERROR(VLOOKUP($B944,calc_data,N$14+1,0),0)</f>
        <v/>
      </c>
      <c r="O944" s="45" t="n"/>
      <c r="Q944" s="57">
        <f>IF(K944&gt;0,"показать","скрыть")</f>
        <v/>
      </c>
    </row>
    <row r="945" ht="15.75" customHeight="1">
      <c r="B945" s="182" t="n">
        <v>929</v>
      </c>
      <c r="C945" s="182">
        <f>IFERROR(VLOOKUP($B945,calc_data,C$14+1,0),0)</f>
        <v/>
      </c>
      <c r="D945" s="182">
        <f>IFERROR(VLOOKUP($B945,calc_data,D$14+1,0),0)</f>
        <v/>
      </c>
      <c r="E945" s="183">
        <f>IFERROR(VLOOKUP($B945,calc_data,E$14+1,0),0)</f>
        <v/>
      </c>
      <c r="F945" s="182">
        <f>IFERROR(VLOOKUP($B945,calc_data,F$14+1,0),0)</f>
        <v/>
      </c>
      <c r="G945" s="141">
        <f>IFERROR(VLOOKUP($B945,calc_data,G$14+1,0),0)</f>
        <v/>
      </c>
      <c r="H945" s="141">
        <f>IFERROR(VLOOKUP($B945,calc_data,H$14+1,0),0)</f>
        <v/>
      </c>
      <c r="I945" s="142">
        <f>IFERROR(VLOOKUP($B945,calc_data,I$14+1,0),0)</f>
        <v/>
      </c>
      <c r="J945" s="141">
        <f>IFERROR(VLOOKUP($B945,calc_data,J$14+1,0),0)</f>
        <v/>
      </c>
      <c r="K945" s="141">
        <f>IFERROR(VLOOKUP($B945,calc_data,K$14+1,0),0)</f>
        <v/>
      </c>
      <c r="L945" s="141">
        <f>IFERROR(VLOOKUP($B945,calc_data,L$14+1,0),0)</f>
        <v/>
      </c>
      <c r="M945" s="177">
        <f>IFERROR(VLOOKUP($B945,calc_data,M$14+1,0),0)</f>
        <v/>
      </c>
      <c r="N945" s="177">
        <f>IFERROR(VLOOKUP($B945,calc_data,N$14+1,0),0)</f>
        <v/>
      </c>
      <c r="O945" s="45" t="n"/>
      <c r="Q945" s="57">
        <f>IF(K945&gt;0,"показать","скрыть")</f>
        <v/>
      </c>
    </row>
    <row r="946" ht="15.75" customHeight="1">
      <c r="B946" s="182" t="n">
        <v>930</v>
      </c>
      <c r="C946" s="182">
        <f>IFERROR(VLOOKUP($B946,calc_data,C$14+1,0),0)</f>
        <v/>
      </c>
      <c r="D946" s="182">
        <f>IFERROR(VLOOKUP($B946,calc_data,D$14+1,0),0)</f>
        <v/>
      </c>
      <c r="E946" s="183">
        <f>IFERROR(VLOOKUP($B946,calc_data,E$14+1,0),0)</f>
        <v/>
      </c>
      <c r="F946" s="182">
        <f>IFERROR(VLOOKUP($B946,calc_data,F$14+1,0),0)</f>
        <v/>
      </c>
      <c r="G946" s="141">
        <f>IFERROR(VLOOKUP($B946,calc_data,G$14+1,0),0)</f>
        <v/>
      </c>
      <c r="H946" s="141">
        <f>IFERROR(VLOOKUP($B946,calc_data,H$14+1,0),0)</f>
        <v/>
      </c>
      <c r="I946" s="142">
        <f>IFERROR(VLOOKUP($B946,calc_data,I$14+1,0),0)</f>
        <v/>
      </c>
      <c r="J946" s="141">
        <f>IFERROR(VLOOKUP($B946,calc_data,J$14+1,0),0)</f>
        <v/>
      </c>
      <c r="K946" s="141">
        <f>IFERROR(VLOOKUP($B946,calc_data,K$14+1,0),0)</f>
        <v/>
      </c>
      <c r="L946" s="141">
        <f>IFERROR(VLOOKUP($B946,calc_data,L$14+1,0),0)</f>
        <v/>
      </c>
      <c r="M946" s="177">
        <f>IFERROR(VLOOKUP($B946,calc_data,M$14+1,0),0)</f>
        <v/>
      </c>
      <c r="N946" s="177">
        <f>IFERROR(VLOOKUP($B946,calc_data,N$14+1,0),0)</f>
        <v/>
      </c>
      <c r="O946" s="45" t="n"/>
      <c r="Q946" s="57">
        <f>IF(K946&gt;0,"показать","скрыть")</f>
        <v/>
      </c>
    </row>
    <row r="947" ht="15.75" customHeight="1">
      <c r="B947" s="182" t="n">
        <v>931</v>
      </c>
      <c r="C947" s="182">
        <f>IFERROR(VLOOKUP($B947,calc_data,C$14+1,0),0)</f>
        <v/>
      </c>
      <c r="D947" s="182">
        <f>IFERROR(VLOOKUP($B947,calc_data,D$14+1,0),0)</f>
        <v/>
      </c>
      <c r="E947" s="183">
        <f>IFERROR(VLOOKUP($B947,calc_data,E$14+1,0),0)</f>
        <v/>
      </c>
      <c r="F947" s="182">
        <f>IFERROR(VLOOKUP($B947,calc_data,F$14+1,0),0)</f>
        <v/>
      </c>
      <c r="G947" s="141">
        <f>IFERROR(VLOOKUP($B947,calc_data,G$14+1,0),0)</f>
        <v/>
      </c>
      <c r="H947" s="141">
        <f>IFERROR(VLOOKUP($B947,calc_data,H$14+1,0),0)</f>
        <v/>
      </c>
      <c r="I947" s="142">
        <f>IFERROR(VLOOKUP($B947,calc_data,I$14+1,0),0)</f>
        <v/>
      </c>
      <c r="J947" s="141">
        <f>IFERROR(VLOOKUP($B947,calc_data,J$14+1,0),0)</f>
        <v/>
      </c>
      <c r="K947" s="141">
        <f>IFERROR(VLOOKUP($B947,calc_data,K$14+1,0),0)</f>
        <v/>
      </c>
      <c r="L947" s="141">
        <f>IFERROR(VLOOKUP($B947,calc_data,L$14+1,0),0)</f>
        <v/>
      </c>
      <c r="M947" s="177">
        <f>IFERROR(VLOOKUP($B947,calc_data,M$14+1,0),0)</f>
        <v/>
      </c>
      <c r="N947" s="177">
        <f>IFERROR(VLOOKUP($B947,calc_data,N$14+1,0),0)</f>
        <v/>
      </c>
      <c r="O947" s="45" t="n"/>
      <c r="Q947" s="57">
        <f>IF(K947&gt;0,"показать","скрыть")</f>
        <v/>
      </c>
    </row>
    <row r="948" ht="15.75" customHeight="1">
      <c r="B948" s="182" t="n">
        <v>932</v>
      </c>
      <c r="C948" s="182">
        <f>IFERROR(VLOOKUP($B948,calc_data,C$14+1,0),0)</f>
        <v/>
      </c>
      <c r="D948" s="182">
        <f>IFERROR(VLOOKUP($B948,calc_data,D$14+1,0),0)</f>
        <v/>
      </c>
      <c r="E948" s="183">
        <f>IFERROR(VLOOKUP($B948,calc_data,E$14+1,0),0)</f>
        <v/>
      </c>
      <c r="F948" s="182">
        <f>IFERROR(VLOOKUP($B948,calc_data,F$14+1,0),0)</f>
        <v/>
      </c>
      <c r="G948" s="141">
        <f>IFERROR(VLOOKUP($B948,calc_data,G$14+1,0),0)</f>
        <v/>
      </c>
      <c r="H948" s="141">
        <f>IFERROR(VLOOKUP($B948,calc_data,H$14+1,0),0)</f>
        <v/>
      </c>
      <c r="I948" s="142">
        <f>IFERROR(VLOOKUP($B948,calc_data,I$14+1,0),0)</f>
        <v/>
      </c>
      <c r="J948" s="141">
        <f>IFERROR(VLOOKUP($B948,calc_data,J$14+1,0),0)</f>
        <v/>
      </c>
      <c r="K948" s="141">
        <f>IFERROR(VLOOKUP($B948,calc_data,K$14+1,0),0)</f>
        <v/>
      </c>
      <c r="L948" s="141">
        <f>IFERROR(VLOOKUP($B948,calc_data,L$14+1,0),0)</f>
        <v/>
      </c>
      <c r="M948" s="177">
        <f>IFERROR(VLOOKUP($B948,calc_data,M$14+1,0),0)</f>
        <v/>
      </c>
      <c r="N948" s="177">
        <f>IFERROR(VLOOKUP($B948,calc_data,N$14+1,0),0)</f>
        <v/>
      </c>
      <c r="O948" s="45" t="n"/>
      <c r="Q948" s="57">
        <f>IF(K948&gt;0,"показать","скрыть")</f>
        <v/>
      </c>
    </row>
    <row r="949" ht="15.75" customHeight="1">
      <c r="B949" s="182" t="n">
        <v>933</v>
      </c>
      <c r="C949" s="182">
        <f>IFERROR(VLOOKUP($B949,calc_data,C$14+1,0),0)</f>
        <v/>
      </c>
      <c r="D949" s="182">
        <f>IFERROR(VLOOKUP($B949,calc_data,D$14+1,0),0)</f>
        <v/>
      </c>
      <c r="E949" s="183">
        <f>IFERROR(VLOOKUP($B949,calc_data,E$14+1,0),0)</f>
        <v/>
      </c>
      <c r="F949" s="182">
        <f>IFERROR(VLOOKUP($B949,calc_data,F$14+1,0),0)</f>
        <v/>
      </c>
      <c r="G949" s="141">
        <f>IFERROR(VLOOKUP($B949,calc_data,G$14+1,0),0)</f>
        <v/>
      </c>
      <c r="H949" s="141">
        <f>IFERROR(VLOOKUP($B949,calc_data,H$14+1,0),0)</f>
        <v/>
      </c>
      <c r="I949" s="142">
        <f>IFERROR(VLOOKUP($B949,calc_data,I$14+1,0),0)</f>
        <v/>
      </c>
      <c r="J949" s="141">
        <f>IFERROR(VLOOKUP($B949,calc_data,J$14+1,0),0)</f>
        <v/>
      </c>
      <c r="K949" s="141">
        <f>IFERROR(VLOOKUP($B949,calc_data,K$14+1,0),0)</f>
        <v/>
      </c>
      <c r="L949" s="141">
        <f>IFERROR(VLOOKUP($B949,calc_data,L$14+1,0),0)</f>
        <v/>
      </c>
      <c r="M949" s="177">
        <f>IFERROR(VLOOKUP($B949,calc_data,M$14+1,0),0)</f>
        <v/>
      </c>
      <c r="N949" s="177">
        <f>IFERROR(VLOOKUP($B949,calc_data,N$14+1,0),0)</f>
        <v/>
      </c>
      <c r="O949" s="45" t="n"/>
      <c r="Q949" s="57">
        <f>IF(K949&gt;0,"показать","скрыть")</f>
        <v/>
      </c>
    </row>
    <row r="950" ht="15.75" customHeight="1">
      <c r="B950" s="182" t="n">
        <v>934</v>
      </c>
      <c r="C950" s="182">
        <f>IFERROR(VLOOKUP($B950,calc_data,C$14+1,0),0)</f>
        <v/>
      </c>
      <c r="D950" s="182">
        <f>IFERROR(VLOOKUP($B950,calc_data,D$14+1,0),0)</f>
        <v/>
      </c>
      <c r="E950" s="183">
        <f>IFERROR(VLOOKUP($B950,calc_data,E$14+1,0),0)</f>
        <v/>
      </c>
      <c r="F950" s="182">
        <f>IFERROR(VLOOKUP($B950,calc_data,F$14+1,0),0)</f>
        <v/>
      </c>
      <c r="G950" s="141">
        <f>IFERROR(VLOOKUP($B950,calc_data,G$14+1,0),0)</f>
        <v/>
      </c>
      <c r="H950" s="141">
        <f>IFERROR(VLOOKUP($B950,calc_data,H$14+1,0),0)</f>
        <v/>
      </c>
      <c r="I950" s="142">
        <f>IFERROR(VLOOKUP($B950,calc_data,I$14+1,0),0)</f>
        <v/>
      </c>
      <c r="J950" s="141">
        <f>IFERROR(VLOOKUP($B950,calc_data,J$14+1,0),0)</f>
        <v/>
      </c>
      <c r="K950" s="141">
        <f>IFERROR(VLOOKUP($B950,calc_data,K$14+1,0),0)</f>
        <v/>
      </c>
      <c r="L950" s="141">
        <f>IFERROR(VLOOKUP($B950,calc_data,L$14+1,0),0)</f>
        <v/>
      </c>
      <c r="M950" s="177">
        <f>IFERROR(VLOOKUP($B950,calc_data,M$14+1,0),0)</f>
        <v/>
      </c>
      <c r="N950" s="177">
        <f>IFERROR(VLOOKUP($B950,calc_data,N$14+1,0),0)</f>
        <v/>
      </c>
      <c r="O950" s="45" t="n"/>
      <c r="Q950" s="57">
        <f>IF(K950&gt;0,"показать","скрыть")</f>
        <v/>
      </c>
    </row>
    <row r="951" ht="15.75" customHeight="1">
      <c r="B951" s="182" t="n">
        <v>935</v>
      </c>
      <c r="C951" s="182">
        <f>IFERROR(VLOOKUP($B951,calc_data,C$14+1,0),0)</f>
        <v/>
      </c>
      <c r="D951" s="182">
        <f>IFERROR(VLOOKUP($B951,calc_data,D$14+1,0),0)</f>
        <v/>
      </c>
      <c r="E951" s="183">
        <f>IFERROR(VLOOKUP($B951,calc_data,E$14+1,0),0)</f>
        <v/>
      </c>
      <c r="F951" s="182">
        <f>IFERROR(VLOOKUP($B951,calc_data,F$14+1,0),0)</f>
        <v/>
      </c>
      <c r="G951" s="141">
        <f>IFERROR(VLOOKUP($B951,calc_data,G$14+1,0),0)</f>
        <v/>
      </c>
      <c r="H951" s="141">
        <f>IFERROR(VLOOKUP($B951,calc_data,H$14+1,0),0)</f>
        <v/>
      </c>
      <c r="I951" s="142">
        <f>IFERROR(VLOOKUP($B951,calc_data,I$14+1,0),0)</f>
        <v/>
      </c>
      <c r="J951" s="141">
        <f>IFERROR(VLOOKUP($B951,calc_data,J$14+1,0),0)</f>
        <v/>
      </c>
      <c r="K951" s="141">
        <f>IFERROR(VLOOKUP($B951,calc_data,K$14+1,0),0)</f>
        <v/>
      </c>
      <c r="L951" s="141">
        <f>IFERROR(VLOOKUP($B951,calc_data,L$14+1,0),0)</f>
        <v/>
      </c>
      <c r="M951" s="177">
        <f>IFERROR(VLOOKUP($B951,calc_data,M$14+1,0),0)</f>
        <v/>
      </c>
      <c r="N951" s="177">
        <f>IFERROR(VLOOKUP($B951,calc_data,N$14+1,0),0)</f>
        <v/>
      </c>
      <c r="O951" s="45" t="n"/>
      <c r="Q951" s="57">
        <f>IF(K951&gt;0,"показать","скрыть")</f>
        <v/>
      </c>
    </row>
    <row r="952" ht="15.75" customHeight="1">
      <c r="B952" s="182" t="n">
        <v>936</v>
      </c>
      <c r="C952" s="182">
        <f>IFERROR(VLOOKUP($B952,calc_data,C$14+1,0),0)</f>
        <v/>
      </c>
      <c r="D952" s="182">
        <f>IFERROR(VLOOKUP($B952,calc_data,D$14+1,0),0)</f>
        <v/>
      </c>
      <c r="E952" s="183">
        <f>IFERROR(VLOOKUP($B952,calc_data,E$14+1,0),0)</f>
        <v/>
      </c>
      <c r="F952" s="182">
        <f>IFERROR(VLOOKUP($B952,calc_data,F$14+1,0),0)</f>
        <v/>
      </c>
      <c r="G952" s="141">
        <f>IFERROR(VLOOKUP($B952,calc_data,G$14+1,0),0)</f>
        <v/>
      </c>
      <c r="H952" s="141">
        <f>IFERROR(VLOOKUP($B952,calc_data,H$14+1,0),0)</f>
        <v/>
      </c>
      <c r="I952" s="142">
        <f>IFERROR(VLOOKUP($B952,calc_data,I$14+1,0),0)</f>
        <v/>
      </c>
      <c r="J952" s="141">
        <f>IFERROR(VLOOKUP($B952,calc_data,J$14+1,0),0)</f>
        <v/>
      </c>
      <c r="K952" s="141">
        <f>IFERROR(VLOOKUP($B952,calc_data,K$14+1,0),0)</f>
        <v/>
      </c>
      <c r="L952" s="141">
        <f>IFERROR(VLOOKUP($B952,calc_data,L$14+1,0),0)</f>
        <v/>
      </c>
      <c r="M952" s="177">
        <f>IFERROR(VLOOKUP($B952,calc_data,M$14+1,0),0)</f>
        <v/>
      </c>
      <c r="N952" s="177">
        <f>IFERROR(VLOOKUP($B952,calc_data,N$14+1,0),0)</f>
        <v/>
      </c>
      <c r="O952" s="45" t="n"/>
      <c r="Q952" s="57">
        <f>IF(K952&gt;0,"показать","скрыть")</f>
        <v/>
      </c>
    </row>
    <row r="953" ht="15.75" customHeight="1">
      <c r="B953" s="182" t="n">
        <v>937</v>
      </c>
      <c r="C953" s="182">
        <f>IFERROR(VLOOKUP($B953,calc_data,C$14+1,0),0)</f>
        <v/>
      </c>
      <c r="D953" s="182">
        <f>IFERROR(VLOOKUP($B953,calc_data,D$14+1,0),0)</f>
        <v/>
      </c>
      <c r="E953" s="183">
        <f>IFERROR(VLOOKUP($B953,calc_data,E$14+1,0),0)</f>
        <v/>
      </c>
      <c r="F953" s="182">
        <f>IFERROR(VLOOKUP($B953,calc_data,F$14+1,0),0)</f>
        <v/>
      </c>
      <c r="G953" s="141">
        <f>IFERROR(VLOOKUP($B953,calc_data,G$14+1,0),0)</f>
        <v/>
      </c>
      <c r="H953" s="141">
        <f>IFERROR(VLOOKUP($B953,calc_data,H$14+1,0),0)</f>
        <v/>
      </c>
      <c r="I953" s="142">
        <f>IFERROR(VLOOKUP($B953,calc_data,I$14+1,0),0)</f>
        <v/>
      </c>
      <c r="J953" s="141">
        <f>IFERROR(VLOOKUP($B953,calc_data,J$14+1,0),0)</f>
        <v/>
      </c>
      <c r="K953" s="141">
        <f>IFERROR(VLOOKUP($B953,calc_data,K$14+1,0),0)</f>
        <v/>
      </c>
      <c r="L953" s="141">
        <f>IFERROR(VLOOKUP($B953,calc_data,L$14+1,0),0)</f>
        <v/>
      </c>
      <c r="M953" s="177">
        <f>IFERROR(VLOOKUP($B953,calc_data,M$14+1,0),0)</f>
        <v/>
      </c>
      <c r="N953" s="177">
        <f>IFERROR(VLOOKUP($B953,calc_data,N$14+1,0),0)</f>
        <v/>
      </c>
      <c r="O953" s="45" t="n"/>
      <c r="Q953" s="57">
        <f>IF(K953&gt;0,"показать","скрыть")</f>
        <v/>
      </c>
    </row>
    <row r="954" ht="15.75" customHeight="1">
      <c r="B954" s="182" t="n">
        <v>938</v>
      </c>
      <c r="C954" s="182">
        <f>IFERROR(VLOOKUP($B954,calc_data,C$14+1,0),0)</f>
        <v/>
      </c>
      <c r="D954" s="182">
        <f>IFERROR(VLOOKUP($B954,calc_data,D$14+1,0),0)</f>
        <v/>
      </c>
      <c r="E954" s="183">
        <f>IFERROR(VLOOKUP($B954,calc_data,E$14+1,0),0)</f>
        <v/>
      </c>
      <c r="F954" s="182">
        <f>IFERROR(VLOOKUP($B954,calc_data,F$14+1,0),0)</f>
        <v/>
      </c>
      <c r="G954" s="141">
        <f>IFERROR(VLOOKUP($B954,calc_data,G$14+1,0),0)</f>
        <v/>
      </c>
      <c r="H954" s="141">
        <f>IFERROR(VLOOKUP($B954,calc_data,H$14+1,0),0)</f>
        <v/>
      </c>
      <c r="I954" s="142">
        <f>IFERROR(VLOOKUP($B954,calc_data,I$14+1,0),0)</f>
        <v/>
      </c>
      <c r="J954" s="141">
        <f>IFERROR(VLOOKUP($B954,calc_data,J$14+1,0),0)</f>
        <v/>
      </c>
      <c r="K954" s="141">
        <f>IFERROR(VLOOKUP($B954,calc_data,K$14+1,0),0)</f>
        <v/>
      </c>
      <c r="L954" s="141">
        <f>IFERROR(VLOOKUP($B954,calc_data,L$14+1,0),0)</f>
        <v/>
      </c>
      <c r="M954" s="177">
        <f>IFERROR(VLOOKUP($B954,calc_data,M$14+1,0),0)</f>
        <v/>
      </c>
      <c r="N954" s="177">
        <f>IFERROR(VLOOKUP($B954,calc_data,N$14+1,0),0)</f>
        <v/>
      </c>
      <c r="O954" s="45" t="n"/>
      <c r="Q954" s="57">
        <f>IF(K954&gt;0,"показать","скрыть")</f>
        <v/>
      </c>
    </row>
    <row r="955" ht="15.75" customHeight="1">
      <c r="B955" s="182" t="n">
        <v>939</v>
      </c>
      <c r="C955" s="182">
        <f>IFERROR(VLOOKUP($B955,calc_data,C$14+1,0),0)</f>
        <v/>
      </c>
      <c r="D955" s="182">
        <f>IFERROR(VLOOKUP($B955,calc_data,D$14+1,0),0)</f>
        <v/>
      </c>
      <c r="E955" s="183">
        <f>IFERROR(VLOOKUP($B955,calc_data,E$14+1,0),0)</f>
        <v/>
      </c>
      <c r="F955" s="182">
        <f>IFERROR(VLOOKUP($B955,calc_data,F$14+1,0),0)</f>
        <v/>
      </c>
      <c r="G955" s="141">
        <f>IFERROR(VLOOKUP($B955,calc_data,G$14+1,0),0)</f>
        <v/>
      </c>
      <c r="H955" s="141">
        <f>IFERROR(VLOOKUP($B955,calc_data,H$14+1,0),0)</f>
        <v/>
      </c>
      <c r="I955" s="142">
        <f>IFERROR(VLOOKUP($B955,calc_data,I$14+1,0),0)</f>
        <v/>
      </c>
      <c r="J955" s="141">
        <f>IFERROR(VLOOKUP($B955,calc_data,J$14+1,0),0)</f>
        <v/>
      </c>
      <c r="K955" s="141">
        <f>IFERROR(VLOOKUP($B955,calc_data,K$14+1,0),0)</f>
        <v/>
      </c>
      <c r="L955" s="141">
        <f>IFERROR(VLOOKUP($B955,calc_data,L$14+1,0),0)</f>
        <v/>
      </c>
      <c r="M955" s="177">
        <f>IFERROR(VLOOKUP($B955,calc_data,M$14+1,0),0)</f>
        <v/>
      </c>
      <c r="N955" s="177">
        <f>IFERROR(VLOOKUP($B955,calc_data,N$14+1,0),0)</f>
        <v/>
      </c>
      <c r="O955" s="45" t="n"/>
      <c r="Q955" s="57">
        <f>IF(K955&gt;0,"показать","скрыть")</f>
        <v/>
      </c>
    </row>
    <row r="956" ht="15.75" customHeight="1">
      <c r="B956" s="182" t="n">
        <v>940</v>
      </c>
      <c r="C956" s="182">
        <f>IFERROR(VLOOKUP($B956,calc_data,C$14+1,0),0)</f>
        <v/>
      </c>
      <c r="D956" s="182">
        <f>IFERROR(VLOOKUP($B956,calc_data,D$14+1,0),0)</f>
        <v/>
      </c>
      <c r="E956" s="183">
        <f>IFERROR(VLOOKUP($B956,calc_data,E$14+1,0),0)</f>
        <v/>
      </c>
      <c r="F956" s="182">
        <f>IFERROR(VLOOKUP($B956,calc_data,F$14+1,0),0)</f>
        <v/>
      </c>
      <c r="G956" s="141">
        <f>IFERROR(VLOOKUP($B956,calc_data,G$14+1,0),0)</f>
        <v/>
      </c>
      <c r="H956" s="141">
        <f>IFERROR(VLOOKUP($B956,calc_data,H$14+1,0),0)</f>
        <v/>
      </c>
      <c r="I956" s="142">
        <f>IFERROR(VLOOKUP($B956,calc_data,I$14+1,0),0)</f>
        <v/>
      </c>
      <c r="J956" s="141">
        <f>IFERROR(VLOOKUP($B956,calc_data,J$14+1,0),0)</f>
        <v/>
      </c>
      <c r="K956" s="141">
        <f>IFERROR(VLOOKUP($B956,calc_data,K$14+1,0),0)</f>
        <v/>
      </c>
      <c r="L956" s="141">
        <f>IFERROR(VLOOKUP($B956,calc_data,L$14+1,0),0)</f>
        <v/>
      </c>
      <c r="M956" s="177">
        <f>IFERROR(VLOOKUP($B956,calc_data,M$14+1,0),0)</f>
        <v/>
      </c>
      <c r="N956" s="177">
        <f>IFERROR(VLOOKUP($B956,calc_data,N$14+1,0),0)</f>
        <v/>
      </c>
      <c r="O956" s="45" t="n"/>
      <c r="Q956" s="57">
        <f>IF(K956&gt;0,"показать","скрыть")</f>
        <v/>
      </c>
    </row>
    <row r="957" ht="15.75" customHeight="1">
      <c r="B957" s="182" t="n">
        <v>941</v>
      </c>
      <c r="C957" s="182">
        <f>IFERROR(VLOOKUP($B957,calc_data,C$14+1,0),0)</f>
        <v/>
      </c>
      <c r="D957" s="182">
        <f>IFERROR(VLOOKUP($B957,calc_data,D$14+1,0),0)</f>
        <v/>
      </c>
      <c r="E957" s="183">
        <f>IFERROR(VLOOKUP($B957,calc_data,E$14+1,0),0)</f>
        <v/>
      </c>
      <c r="F957" s="182">
        <f>IFERROR(VLOOKUP($B957,calc_data,F$14+1,0),0)</f>
        <v/>
      </c>
      <c r="G957" s="141">
        <f>IFERROR(VLOOKUP($B957,calc_data,G$14+1,0),0)</f>
        <v/>
      </c>
      <c r="H957" s="141">
        <f>IFERROR(VLOOKUP($B957,calc_data,H$14+1,0),0)</f>
        <v/>
      </c>
      <c r="I957" s="142">
        <f>IFERROR(VLOOKUP($B957,calc_data,I$14+1,0),0)</f>
        <v/>
      </c>
      <c r="J957" s="141">
        <f>IFERROR(VLOOKUP($B957,calc_data,J$14+1,0),0)</f>
        <v/>
      </c>
      <c r="K957" s="141">
        <f>IFERROR(VLOOKUP($B957,calc_data,K$14+1,0),0)</f>
        <v/>
      </c>
      <c r="L957" s="141">
        <f>IFERROR(VLOOKUP($B957,calc_data,L$14+1,0),0)</f>
        <v/>
      </c>
      <c r="M957" s="177">
        <f>IFERROR(VLOOKUP($B957,calc_data,M$14+1,0),0)</f>
        <v/>
      </c>
      <c r="N957" s="177">
        <f>IFERROR(VLOOKUP($B957,calc_data,N$14+1,0),0)</f>
        <v/>
      </c>
      <c r="O957" s="45" t="n"/>
      <c r="Q957" s="57">
        <f>IF(K957&gt;0,"показать","скрыть")</f>
        <v/>
      </c>
    </row>
    <row r="958" ht="15.75" customHeight="1">
      <c r="B958" s="182" t="n">
        <v>942</v>
      </c>
      <c r="C958" s="182">
        <f>IFERROR(VLOOKUP($B958,calc_data,C$14+1,0),0)</f>
        <v/>
      </c>
      <c r="D958" s="182">
        <f>IFERROR(VLOOKUP($B958,calc_data,D$14+1,0),0)</f>
        <v/>
      </c>
      <c r="E958" s="183">
        <f>IFERROR(VLOOKUP($B958,calc_data,E$14+1,0),0)</f>
        <v/>
      </c>
      <c r="F958" s="182">
        <f>IFERROR(VLOOKUP($B958,calc_data,F$14+1,0),0)</f>
        <v/>
      </c>
      <c r="G958" s="141">
        <f>IFERROR(VLOOKUP($B958,calc_data,G$14+1,0),0)</f>
        <v/>
      </c>
      <c r="H958" s="141">
        <f>IFERROR(VLOOKUP($B958,calc_data,H$14+1,0),0)</f>
        <v/>
      </c>
      <c r="I958" s="142">
        <f>IFERROR(VLOOKUP($B958,calc_data,I$14+1,0),0)</f>
        <v/>
      </c>
      <c r="J958" s="141">
        <f>IFERROR(VLOOKUP($B958,calc_data,J$14+1,0),0)</f>
        <v/>
      </c>
      <c r="K958" s="141">
        <f>IFERROR(VLOOKUP($B958,calc_data,K$14+1,0),0)</f>
        <v/>
      </c>
      <c r="L958" s="141">
        <f>IFERROR(VLOOKUP($B958,calc_data,L$14+1,0),0)</f>
        <v/>
      </c>
      <c r="M958" s="177">
        <f>IFERROR(VLOOKUP($B958,calc_data,M$14+1,0),0)</f>
        <v/>
      </c>
      <c r="N958" s="177">
        <f>IFERROR(VLOOKUP($B958,calc_data,N$14+1,0),0)</f>
        <v/>
      </c>
      <c r="O958" s="45" t="n"/>
      <c r="Q958" s="57">
        <f>IF(K958&gt;0,"показать","скрыть")</f>
        <v/>
      </c>
    </row>
    <row r="959" ht="15.75" customHeight="1">
      <c r="B959" s="182" t="n">
        <v>943</v>
      </c>
      <c r="C959" s="182">
        <f>IFERROR(VLOOKUP($B959,calc_data,C$14+1,0),0)</f>
        <v/>
      </c>
      <c r="D959" s="182">
        <f>IFERROR(VLOOKUP($B959,calc_data,D$14+1,0),0)</f>
        <v/>
      </c>
      <c r="E959" s="183">
        <f>IFERROR(VLOOKUP($B959,calc_data,E$14+1,0),0)</f>
        <v/>
      </c>
      <c r="F959" s="182">
        <f>IFERROR(VLOOKUP($B959,calc_data,F$14+1,0),0)</f>
        <v/>
      </c>
      <c r="G959" s="141">
        <f>IFERROR(VLOOKUP($B959,calc_data,G$14+1,0),0)</f>
        <v/>
      </c>
      <c r="H959" s="141">
        <f>IFERROR(VLOOKUP($B959,calc_data,H$14+1,0),0)</f>
        <v/>
      </c>
      <c r="I959" s="142">
        <f>IFERROR(VLOOKUP($B959,calc_data,I$14+1,0),0)</f>
        <v/>
      </c>
      <c r="J959" s="141">
        <f>IFERROR(VLOOKUP($B959,calc_data,J$14+1,0),0)</f>
        <v/>
      </c>
      <c r="K959" s="141">
        <f>IFERROR(VLOOKUP($B959,calc_data,K$14+1,0),0)</f>
        <v/>
      </c>
      <c r="L959" s="141">
        <f>IFERROR(VLOOKUP($B959,calc_data,L$14+1,0),0)</f>
        <v/>
      </c>
      <c r="M959" s="177">
        <f>IFERROR(VLOOKUP($B959,calc_data,M$14+1,0),0)</f>
        <v/>
      </c>
      <c r="N959" s="177">
        <f>IFERROR(VLOOKUP($B959,calc_data,N$14+1,0),0)</f>
        <v/>
      </c>
      <c r="O959" s="45" t="n"/>
      <c r="Q959" s="57">
        <f>IF(K959&gt;0,"показать","скрыть")</f>
        <v/>
      </c>
    </row>
    <row r="960" ht="15.75" customHeight="1">
      <c r="B960" s="182" t="n">
        <v>944</v>
      </c>
      <c r="C960" s="182">
        <f>IFERROR(VLOOKUP($B960,calc_data,C$14+1,0),0)</f>
        <v/>
      </c>
      <c r="D960" s="182">
        <f>IFERROR(VLOOKUP($B960,calc_data,D$14+1,0),0)</f>
        <v/>
      </c>
      <c r="E960" s="183">
        <f>IFERROR(VLOOKUP($B960,calc_data,E$14+1,0),0)</f>
        <v/>
      </c>
      <c r="F960" s="182">
        <f>IFERROR(VLOOKUP($B960,calc_data,F$14+1,0),0)</f>
        <v/>
      </c>
      <c r="G960" s="141">
        <f>IFERROR(VLOOKUP($B960,calc_data,G$14+1,0),0)</f>
        <v/>
      </c>
      <c r="H960" s="141">
        <f>IFERROR(VLOOKUP($B960,calc_data,H$14+1,0),0)</f>
        <v/>
      </c>
      <c r="I960" s="142">
        <f>IFERROR(VLOOKUP($B960,calc_data,I$14+1,0),0)</f>
        <v/>
      </c>
      <c r="J960" s="141">
        <f>IFERROR(VLOOKUP($B960,calc_data,J$14+1,0),0)</f>
        <v/>
      </c>
      <c r="K960" s="141">
        <f>IFERROR(VLOOKUP($B960,calc_data,K$14+1,0),0)</f>
        <v/>
      </c>
      <c r="L960" s="141">
        <f>IFERROR(VLOOKUP($B960,calc_data,L$14+1,0),0)</f>
        <v/>
      </c>
      <c r="M960" s="177">
        <f>IFERROR(VLOOKUP($B960,calc_data,M$14+1,0),0)</f>
        <v/>
      </c>
      <c r="N960" s="177">
        <f>IFERROR(VLOOKUP($B960,calc_data,N$14+1,0),0)</f>
        <v/>
      </c>
      <c r="O960" s="45" t="n"/>
      <c r="Q960" s="57">
        <f>IF(K960&gt;0,"показать","скрыть")</f>
        <v/>
      </c>
    </row>
    <row r="961" ht="15.75" customHeight="1">
      <c r="B961" s="182" t="n">
        <v>945</v>
      </c>
      <c r="C961" s="182">
        <f>IFERROR(VLOOKUP($B961,calc_data,C$14+1,0),0)</f>
        <v/>
      </c>
      <c r="D961" s="182">
        <f>IFERROR(VLOOKUP($B961,calc_data,D$14+1,0),0)</f>
        <v/>
      </c>
      <c r="E961" s="183">
        <f>IFERROR(VLOOKUP($B961,calc_data,E$14+1,0),0)</f>
        <v/>
      </c>
      <c r="F961" s="182">
        <f>IFERROR(VLOOKUP($B961,calc_data,F$14+1,0),0)</f>
        <v/>
      </c>
      <c r="G961" s="141">
        <f>IFERROR(VLOOKUP($B961,calc_data,G$14+1,0),0)</f>
        <v/>
      </c>
      <c r="H961" s="141">
        <f>IFERROR(VLOOKUP($B961,calc_data,H$14+1,0),0)</f>
        <v/>
      </c>
      <c r="I961" s="142">
        <f>IFERROR(VLOOKUP($B961,calc_data,I$14+1,0),0)</f>
        <v/>
      </c>
      <c r="J961" s="141">
        <f>IFERROR(VLOOKUP($B961,calc_data,J$14+1,0),0)</f>
        <v/>
      </c>
      <c r="K961" s="141">
        <f>IFERROR(VLOOKUP($B961,calc_data,K$14+1,0),0)</f>
        <v/>
      </c>
      <c r="L961" s="141">
        <f>IFERROR(VLOOKUP($B961,calc_data,L$14+1,0),0)</f>
        <v/>
      </c>
      <c r="M961" s="177">
        <f>IFERROR(VLOOKUP($B961,calc_data,M$14+1,0),0)</f>
        <v/>
      </c>
      <c r="N961" s="177">
        <f>IFERROR(VLOOKUP($B961,calc_data,N$14+1,0),0)</f>
        <v/>
      </c>
      <c r="O961" s="45" t="n"/>
      <c r="Q961" s="57">
        <f>IF(K961&gt;0,"показать","скрыть")</f>
        <v/>
      </c>
    </row>
    <row r="962" ht="15.75" customHeight="1">
      <c r="B962" s="182" t="n">
        <v>946</v>
      </c>
      <c r="C962" s="182">
        <f>IFERROR(VLOOKUP($B962,calc_data,C$14+1,0),0)</f>
        <v/>
      </c>
      <c r="D962" s="182">
        <f>IFERROR(VLOOKUP($B962,calc_data,D$14+1,0),0)</f>
        <v/>
      </c>
      <c r="E962" s="183">
        <f>IFERROR(VLOOKUP($B962,calc_data,E$14+1,0),0)</f>
        <v/>
      </c>
      <c r="F962" s="182">
        <f>IFERROR(VLOOKUP($B962,calc_data,F$14+1,0),0)</f>
        <v/>
      </c>
      <c r="G962" s="141">
        <f>IFERROR(VLOOKUP($B962,calc_data,G$14+1,0),0)</f>
        <v/>
      </c>
      <c r="H962" s="141">
        <f>IFERROR(VLOOKUP($B962,calc_data,H$14+1,0),0)</f>
        <v/>
      </c>
      <c r="I962" s="142">
        <f>IFERROR(VLOOKUP($B962,calc_data,I$14+1,0),0)</f>
        <v/>
      </c>
      <c r="J962" s="141">
        <f>IFERROR(VLOOKUP($B962,calc_data,J$14+1,0),0)</f>
        <v/>
      </c>
      <c r="K962" s="141">
        <f>IFERROR(VLOOKUP($B962,calc_data,K$14+1,0),0)</f>
        <v/>
      </c>
      <c r="L962" s="141">
        <f>IFERROR(VLOOKUP($B962,calc_data,L$14+1,0),0)</f>
        <v/>
      </c>
      <c r="M962" s="177">
        <f>IFERROR(VLOOKUP($B962,calc_data,M$14+1,0),0)</f>
        <v/>
      </c>
      <c r="N962" s="177">
        <f>IFERROR(VLOOKUP($B962,calc_data,N$14+1,0),0)</f>
        <v/>
      </c>
      <c r="O962" s="45" t="n"/>
      <c r="Q962" s="57">
        <f>IF(K962&gt;0,"показать","скрыть")</f>
        <v/>
      </c>
    </row>
    <row r="963" ht="15.75" customHeight="1">
      <c r="B963" s="182" t="n">
        <v>947</v>
      </c>
      <c r="C963" s="182">
        <f>IFERROR(VLOOKUP($B963,calc_data,C$14+1,0),0)</f>
        <v/>
      </c>
      <c r="D963" s="182">
        <f>IFERROR(VLOOKUP($B963,calc_data,D$14+1,0),0)</f>
        <v/>
      </c>
      <c r="E963" s="183">
        <f>IFERROR(VLOOKUP($B963,calc_data,E$14+1,0),0)</f>
        <v/>
      </c>
      <c r="F963" s="182">
        <f>IFERROR(VLOOKUP($B963,calc_data,F$14+1,0),0)</f>
        <v/>
      </c>
      <c r="G963" s="141">
        <f>IFERROR(VLOOKUP($B963,calc_data,G$14+1,0),0)</f>
        <v/>
      </c>
      <c r="H963" s="141">
        <f>IFERROR(VLOOKUP($B963,calc_data,H$14+1,0),0)</f>
        <v/>
      </c>
      <c r="I963" s="142">
        <f>IFERROR(VLOOKUP($B963,calc_data,I$14+1,0),0)</f>
        <v/>
      </c>
      <c r="J963" s="141">
        <f>IFERROR(VLOOKUP($B963,calc_data,J$14+1,0),0)</f>
        <v/>
      </c>
      <c r="K963" s="141">
        <f>IFERROR(VLOOKUP($B963,calc_data,K$14+1,0),0)</f>
        <v/>
      </c>
      <c r="L963" s="141">
        <f>IFERROR(VLOOKUP($B963,calc_data,L$14+1,0),0)</f>
        <v/>
      </c>
      <c r="M963" s="177">
        <f>IFERROR(VLOOKUP($B963,calc_data,M$14+1,0),0)</f>
        <v/>
      </c>
      <c r="N963" s="177">
        <f>IFERROR(VLOOKUP($B963,calc_data,N$14+1,0),0)</f>
        <v/>
      </c>
      <c r="O963" s="45" t="n"/>
      <c r="Q963" s="57">
        <f>IF(K963&gt;0,"показать","скрыть")</f>
        <v/>
      </c>
    </row>
    <row r="964" ht="15.75" customHeight="1">
      <c r="B964" s="182" t="n">
        <v>948</v>
      </c>
      <c r="C964" s="182">
        <f>IFERROR(VLOOKUP($B964,calc_data,C$14+1,0),0)</f>
        <v/>
      </c>
      <c r="D964" s="182">
        <f>IFERROR(VLOOKUP($B964,calc_data,D$14+1,0),0)</f>
        <v/>
      </c>
      <c r="E964" s="183">
        <f>IFERROR(VLOOKUP($B964,calc_data,E$14+1,0),0)</f>
        <v/>
      </c>
      <c r="F964" s="182">
        <f>IFERROR(VLOOKUP($B964,calc_data,F$14+1,0),0)</f>
        <v/>
      </c>
      <c r="G964" s="141">
        <f>IFERROR(VLOOKUP($B964,calc_data,G$14+1,0),0)</f>
        <v/>
      </c>
      <c r="H964" s="141">
        <f>IFERROR(VLOOKUP($B964,calc_data,H$14+1,0),0)</f>
        <v/>
      </c>
      <c r="I964" s="142">
        <f>IFERROR(VLOOKUP($B964,calc_data,I$14+1,0),0)</f>
        <v/>
      </c>
      <c r="J964" s="141">
        <f>IFERROR(VLOOKUP($B964,calc_data,J$14+1,0),0)</f>
        <v/>
      </c>
      <c r="K964" s="141">
        <f>IFERROR(VLOOKUP($B964,calc_data,K$14+1,0),0)</f>
        <v/>
      </c>
      <c r="L964" s="141">
        <f>IFERROR(VLOOKUP($B964,calc_data,L$14+1,0),0)</f>
        <v/>
      </c>
      <c r="M964" s="177">
        <f>IFERROR(VLOOKUP($B964,calc_data,M$14+1,0),0)</f>
        <v/>
      </c>
      <c r="N964" s="177">
        <f>IFERROR(VLOOKUP($B964,calc_data,N$14+1,0),0)</f>
        <v/>
      </c>
      <c r="O964" s="45" t="n"/>
      <c r="Q964" s="57">
        <f>IF(K964&gt;0,"показать","скрыть")</f>
        <v/>
      </c>
    </row>
    <row r="965" ht="15.75" customHeight="1">
      <c r="B965" s="182" t="n">
        <v>949</v>
      </c>
      <c r="C965" s="182">
        <f>IFERROR(VLOOKUP($B965,calc_data,C$14+1,0),0)</f>
        <v/>
      </c>
      <c r="D965" s="182">
        <f>IFERROR(VLOOKUP($B965,calc_data,D$14+1,0),0)</f>
        <v/>
      </c>
      <c r="E965" s="183">
        <f>IFERROR(VLOOKUP($B965,calc_data,E$14+1,0),0)</f>
        <v/>
      </c>
      <c r="F965" s="182">
        <f>IFERROR(VLOOKUP($B965,calc_data,F$14+1,0),0)</f>
        <v/>
      </c>
      <c r="G965" s="141">
        <f>IFERROR(VLOOKUP($B965,calc_data,G$14+1,0),0)</f>
        <v/>
      </c>
      <c r="H965" s="141">
        <f>IFERROR(VLOOKUP($B965,calc_data,H$14+1,0),0)</f>
        <v/>
      </c>
      <c r="I965" s="142">
        <f>IFERROR(VLOOKUP($B965,calc_data,I$14+1,0),0)</f>
        <v/>
      </c>
      <c r="J965" s="141">
        <f>IFERROR(VLOOKUP($B965,calc_data,J$14+1,0),0)</f>
        <v/>
      </c>
      <c r="K965" s="141">
        <f>IFERROR(VLOOKUP($B965,calc_data,K$14+1,0),0)</f>
        <v/>
      </c>
      <c r="L965" s="141">
        <f>IFERROR(VLOOKUP($B965,calc_data,L$14+1,0),0)</f>
        <v/>
      </c>
      <c r="M965" s="177">
        <f>IFERROR(VLOOKUP($B965,calc_data,M$14+1,0),0)</f>
        <v/>
      </c>
      <c r="N965" s="177">
        <f>IFERROR(VLOOKUP($B965,calc_data,N$14+1,0),0)</f>
        <v/>
      </c>
      <c r="O965" s="45" t="n"/>
      <c r="Q965" s="57">
        <f>IF(K965&gt;0,"показать","скрыть")</f>
        <v/>
      </c>
    </row>
    <row r="966" ht="15.75" customHeight="1">
      <c r="B966" s="182" t="n">
        <v>950</v>
      </c>
      <c r="C966" s="182">
        <f>IFERROR(VLOOKUP($B966,calc_data,C$14+1,0),0)</f>
        <v/>
      </c>
      <c r="D966" s="182">
        <f>IFERROR(VLOOKUP($B966,calc_data,D$14+1,0),0)</f>
        <v/>
      </c>
      <c r="E966" s="183">
        <f>IFERROR(VLOOKUP($B966,calc_data,E$14+1,0),0)</f>
        <v/>
      </c>
      <c r="F966" s="182">
        <f>IFERROR(VLOOKUP($B966,calc_data,F$14+1,0),0)</f>
        <v/>
      </c>
      <c r="G966" s="141">
        <f>IFERROR(VLOOKUP($B966,calc_data,G$14+1,0),0)</f>
        <v/>
      </c>
      <c r="H966" s="141">
        <f>IFERROR(VLOOKUP($B966,calc_data,H$14+1,0),0)</f>
        <v/>
      </c>
      <c r="I966" s="142">
        <f>IFERROR(VLOOKUP($B966,calc_data,I$14+1,0),0)</f>
        <v/>
      </c>
      <c r="J966" s="141">
        <f>IFERROR(VLOOKUP($B966,calc_data,J$14+1,0),0)</f>
        <v/>
      </c>
      <c r="K966" s="141">
        <f>IFERROR(VLOOKUP($B966,calc_data,K$14+1,0),0)</f>
        <v/>
      </c>
      <c r="L966" s="141">
        <f>IFERROR(VLOOKUP($B966,calc_data,L$14+1,0),0)</f>
        <v/>
      </c>
      <c r="M966" s="177">
        <f>IFERROR(VLOOKUP($B966,calc_data,M$14+1,0),0)</f>
        <v/>
      </c>
      <c r="N966" s="177">
        <f>IFERROR(VLOOKUP($B966,calc_data,N$14+1,0),0)</f>
        <v/>
      </c>
      <c r="O966" s="45" t="n"/>
      <c r="Q966" s="57">
        <f>IF(K966&gt;0,"показать","скрыть")</f>
        <v/>
      </c>
    </row>
    <row r="967" ht="15.75" customHeight="1">
      <c r="B967" s="182" t="n">
        <v>951</v>
      </c>
      <c r="C967" s="182">
        <f>IFERROR(VLOOKUP($B967,calc_data,C$14+1,0),0)</f>
        <v/>
      </c>
      <c r="D967" s="182">
        <f>IFERROR(VLOOKUP($B967,calc_data,D$14+1,0),0)</f>
        <v/>
      </c>
      <c r="E967" s="183">
        <f>IFERROR(VLOOKUP($B967,calc_data,E$14+1,0),0)</f>
        <v/>
      </c>
      <c r="F967" s="182">
        <f>IFERROR(VLOOKUP($B967,calc_data,F$14+1,0),0)</f>
        <v/>
      </c>
      <c r="G967" s="141">
        <f>IFERROR(VLOOKUP($B967,calc_data,G$14+1,0),0)</f>
        <v/>
      </c>
      <c r="H967" s="141">
        <f>IFERROR(VLOOKUP($B967,calc_data,H$14+1,0),0)</f>
        <v/>
      </c>
      <c r="I967" s="142">
        <f>IFERROR(VLOOKUP($B967,calc_data,I$14+1,0),0)</f>
        <v/>
      </c>
      <c r="J967" s="141">
        <f>IFERROR(VLOOKUP($B967,calc_data,J$14+1,0),0)</f>
        <v/>
      </c>
      <c r="K967" s="141">
        <f>IFERROR(VLOOKUP($B967,calc_data,K$14+1,0),0)</f>
        <v/>
      </c>
      <c r="L967" s="141">
        <f>IFERROR(VLOOKUP($B967,calc_data,L$14+1,0),0)</f>
        <v/>
      </c>
      <c r="M967" s="177">
        <f>IFERROR(VLOOKUP($B967,calc_data,M$14+1,0),0)</f>
        <v/>
      </c>
      <c r="N967" s="177">
        <f>IFERROR(VLOOKUP($B967,calc_data,N$14+1,0),0)</f>
        <v/>
      </c>
      <c r="O967" s="45" t="n"/>
      <c r="Q967" s="57">
        <f>IF(K967&gt;0,"показать","скрыть")</f>
        <v/>
      </c>
    </row>
    <row r="968" ht="15.75" customHeight="1">
      <c r="B968" s="182" t="n">
        <v>952</v>
      </c>
      <c r="C968" s="182">
        <f>IFERROR(VLOOKUP($B968,calc_data,C$14+1,0),0)</f>
        <v/>
      </c>
      <c r="D968" s="182">
        <f>IFERROR(VLOOKUP($B968,calc_data,D$14+1,0),0)</f>
        <v/>
      </c>
      <c r="E968" s="183">
        <f>IFERROR(VLOOKUP($B968,calc_data,E$14+1,0),0)</f>
        <v/>
      </c>
      <c r="F968" s="182">
        <f>IFERROR(VLOOKUP($B968,calc_data,F$14+1,0),0)</f>
        <v/>
      </c>
      <c r="G968" s="141">
        <f>IFERROR(VLOOKUP($B968,calc_data,G$14+1,0),0)</f>
        <v/>
      </c>
      <c r="H968" s="141">
        <f>IFERROR(VLOOKUP($B968,calc_data,H$14+1,0),0)</f>
        <v/>
      </c>
      <c r="I968" s="142">
        <f>IFERROR(VLOOKUP($B968,calc_data,I$14+1,0),0)</f>
        <v/>
      </c>
      <c r="J968" s="141">
        <f>IFERROR(VLOOKUP($B968,calc_data,J$14+1,0),0)</f>
        <v/>
      </c>
      <c r="K968" s="141">
        <f>IFERROR(VLOOKUP($B968,calc_data,K$14+1,0),0)</f>
        <v/>
      </c>
      <c r="L968" s="141">
        <f>IFERROR(VLOOKUP($B968,calc_data,L$14+1,0),0)</f>
        <v/>
      </c>
      <c r="M968" s="177">
        <f>IFERROR(VLOOKUP($B968,calc_data,M$14+1,0),0)</f>
        <v/>
      </c>
      <c r="N968" s="177">
        <f>IFERROR(VLOOKUP($B968,calc_data,N$14+1,0),0)</f>
        <v/>
      </c>
      <c r="O968" s="45" t="n"/>
      <c r="Q968" s="57">
        <f>IF(K968&gt;0,"показать","скрыть")</f>
        <v/>
      </c>
    </row>
    <row r="969" ht="15.75" customHeight="1">
      <c r="B969" s="182" t="n">
        <v>953</v>
      </c>
      <c r="C969" s="182">
        <f>IFERROR(VLOOKUP($B969,calc_data,C$14+1,0),0)</f>
        <v/>
      </c>
      <c r="D969" s="182">
        <f>IFERROR(VLOOKUP($B969,calc_data,D$14+1,0),0)</f>
        <v/>
      </c>
      <c r="E969" s="183">
        <f>IFERROR(VLOOKUP($B969,calc_data,E$14+1,0),0)</f>
        <v/>
      </c>
      <c r="F969" s="182">
        <f>IFERROR(VLOOKUP($B969,calc_data,F$14+1,0),0)</f>
        <v/>
      </c>
      <c r="G969" s="141">
        <f>IFERROR(VLOOKUP($B969,calc_data,G$14+1,0),0)</f>
        <v/>
      </c>
      <c r="H969" s="141">
        <f>IFERROR(VLOOKUP($B969,calc_data,H$14+1,0),0)</f>
        <v/>
      </c>
      <c r="I969" s="142">
        <f>IFERROR(VLOOKUP($B969,calc_data,I$14+1,0),0)</f>
        <v/>
      </c>
      <c r="J969" s="141">
        <f>IFERROR(VLOOKUP($B969,calc_data,J$14+1,0),0)</f>
        <v/>
      </c>
      <c r="K969" s="141">
        <f>IFERROR(VLOOKUP($B969,calc_data,K$14+1,0),0)</f>
        <v/>
      </c>
      <c r="L969" s="141">
        <f>IFERROR(VLOOKUP($B969,calc_data,L$14+1,0),0)</f>
        <v/>
      </c>
      <c r="M969" s="177">
        <f>IFERROR(VLOOKUP($B969,calc_data,M$14+1,0),0)</f>
        <v/>
      </c>
      <c r="N969" s="177">
        <f>IFERROR(VLOOKUP($B969,calc_data,N$14+1,0),0)</f>
        <v/>
      </c>
      <c r="O969" s="45" t="n"/>
      <c r="Q969" s="57">
        <f>IF(K969&gt;0,"показать","скрыть")</f>
        <v/>
      </c>
    </row>
    <row r="970" ht="15.75" customHeight="1">
      <c r="B970" s="182" t="n">
        <v>954</v>
      </c>
      <c r="C970" s="182">
        <f>IFERROR(VLOOKUP($B970,calc_data,C$14+1,0),0)</f>
        <v/>
      </c>
      <c r="D970" s="182">
        <f>IFERROR(VLOOKUP($B970,calc_data,D$14+1,0),0)</f>
        <v/>
      </c>
      <c r="E970" s="183">
        <f>IFERROR(VLOOKUP($B970,calc_data,E$14+1,0),0)</f>
        <v/>
      </c>
      <c r="F970" s="182">
        <f>IFERROR(VLOOKUP($B970,calc_data,F$14+1,0),0)</f>
        <v/>
      </c>
      <c r="G970" s="141">
        <f>IFERROR(VLOOKUP($B970,calc_data,G$14+1,0),0)</f>
        <v/>
      </c>
      <c r="H970" s="141">
        <f>IFERROR(VLOOKUP($B970,calc_data,H$14+1,0),0)</f>
        <v/>
      </c>
      <c r="I970" s="142">
        <f>IFERROR(VLOOKUP($B970,calc_data,I$14+1,0),0)</f>
        <v/>
      </c>
      <c r="J970" s="141">
        <f>IFERROR(VLOOKUP($B970,calc_data,J$14+1,0),0)</f>
        <v/>
      </c>
      <c r="K970" s="141">
        <f>IFERROR(VLOOKUP($B970,calc_data,K$14+1,0),0)</f>
        <v/>
      </c>
      <c r="L970" s="141">
        <f>IFERROR(VLOOKUP($B970,calc_data,L$14+1,0),0)</f>
        <v/>
      </c>
      <c r="M970" s="177">
        <f>IFERROR(VLOOKUP($B970,calc_data,M$14+1,0),0)</f>
        <v/>
      </c>
      <c r="N970" s="177">
        <f>IFERROR(VLOOKUP($B970,calc_data,N$14+1,0),0)</f>
        <v/>
      </c>
      <c r="O970" s="45" t="n"/>
      <c r="Q970" s="57">
        <f>IF(K970&gt;0,"показать","скрыть")</f>
        <v/>
      </c>
    </row>
    <row r="971" ht="15.75" customHeight="1">
      <c r="B971" s="182" t="n">
        <v>955</v>
      </c>
      <c r="C971" s="182">
        <f>IFERROR(VLOOKUP($B971,calc_data,C$14+1,0),0)</f>
        <v/>
      </c>
      <c r="D971" s="182">
        <f>IFERROR(VLOOKUP($B971,calc_data,D$14+1,0),0)</f>
        <v/>
      </c>
      <c r="E971" s="183">
        <f>IFERROR(VLOOKUP($B971,calc_data,E$14+1,0),0)</f>
        <v/>
      </c>
      <c r="F971" s="182">
        <f>IFERROR(VLOOKUP($B971,calc_data,F$14+1,0),0)</f>
        <v/>
      </c>
      <c r="G971" s="141">
        <f>IFERROR(VLOOKUP($B971,calc_data,G$14+1,0),0)</f>
        <v/>
      </c>
      <c r="H971" s="141">
        <f>IFERROR(VLOOKUP($B971,calc_data,H$14+1,0),0)</f>
        <v/>
      </c>
      <c r="I971" s="142">
        <f>IFERROR(VLOOKUP($B971,calc_data,I$14+1,0),0)</f>
        <v/>
      </c>
      <c r="J971" s="141">
        <f>IFERROR(VLOOKUP($B971,calc_data,J$14+1,0),0)</f>
        <v/>
      </c>
      <c r="K971" s="141">
        <f>IFERROR(VLOOKUP($B971,calc_data,K$14+1,0),0)</f>
        <v/>
      </c>
      <c r="L971" s="141">
        <f>IFERROR(VLOOKUP($B971,calc_data,L$14+1,0),0)</f>
        <v/>
      </c>
      <c r="M971" s="177">
        <f>IFERROR(VLOOKUP($B971,calc_data,M$14+1,0),0)</f>
        <v/>
      </c>
      <c r="N971" s="177">
        <f>IFERROR(VLOOKUP($B971,calc_data,N$14+1,0),0)</f>
        <v/>
      </c>
      <c r="O971" s="45" t="n"/>
      <c r="Q971" s="57">
        <f>IF(K971&gt;0,"показать","скрыть")</f>
        <v/>
      </c>
    </row>
    <row r="972" ht="15.75" customHeight="1">
      <c r="B972" s="182" t="n">
        <v>956</v>
      </c>
      <c r="C972" s="182">
        <f>IFERROR(VLOOKUP($B972,calc_data,C$14+1,0),0)</f>
        <v/>
      </c>
      <c r="D972" s="182">
        <f>IFERROR(VLOOKUP($B972,calc_data,D$14+1,0),0)</f>
        <v/>
      </c>
      <c r="E972" s="183">
        <f>IFERROR(VLOOKUP($B972,calc_data,E$14+1,0),0)</f>
        <v/>
      </c>
      <c r="F972" s="182">
        <f>IFERROR(VLOOKUP($B972,calc_data,F$14+1,0),0)</f>
        <v/>
      </c>
      <c r="G972" s="141">
        <f>IFERROR(VLOOKUP($B972,calc_data,G$14+1,0),0)</f>
        <v/>
      </c>
      <c r="H972" s="141">
        <f>IFERROR(VLOOKUP($B972,calc_data,H$14+1,0),0)</f>
        <v/>
      </c>
      <c r="I972" s="142">
        <f>IFERROR(VLOOKUP($B972,calc_data,I$14+1,0),0)</f>
        <v/>
      </c>
      <c r="J972" s="141">
        <f>IFERROR(VLOOKUP($B972,calc_data,J$14+1,0),0)</f>
        <v/>
      </c>
      <c r="K972" s="141">
        <f>IFERROR(VLOOKUP($B972,calc_data,K$14+1,0),0)</f>
        <v/>
      </c>
      <c r="L972" s="141">
        <f>IFERROR(VLOOKUP($B972,calc_data,L$14+1,0),0)</f>
        <v/>
      </c>
      <c r="M972" s="177">
        <f>IFERROR(VLOOKUP($B972,calc_data,M$14+1,0),0)</f>
        <v/>
      </c>
      <c r="N972" s="177">
        <f>IFERROR(VLOOKUP($B972,calc_data,N$14+1,0),0)</f>
        <v/>
      </c>
      <c r="O972" s="45" t="n"/>
      <c r="Q972" s="57">
        <f>IF(K972&gt;0,"показать","скрыть")</f>
        <v/>
      </c>
    </row>
    <row r="973" ht="15.75" customHeight="1">
      <c r="B973" s="182" t="n">
        <v>957</v>
      </c>
      <c r="C973" s="182">
        <f>IFERROR(VLOOKUP($B973,calc_data,C$14+1,0),0)</f>
        <v/>
      </c>
      <c r="D973" s="182">
        <f>IFERROR(VLOOKUP($B973,calc_data,D$14+1,0),0)</f>
        <v/>
      </c>
      <c r="E973" s="183">
        <f>IFERROR(VLOOKUP($B973,calc_data,E$14+1,0),0)</f>
        <v/>
      </c>
      <c r="F973" s="182">
        <f>IFERROR(VLOOKUP($B973,calc_data,F$14+1,0),0)</f>
        <v/>
      </c>
      <c r="G973" s="141">
        <f>IFERROR(VLOOKUP($B973,calc_data,G$14+1,0),0)</f>
        <v/>
      </c>
      <c r="H973" s="141">
        <f>IFERROR(VLOOKUP($B973,calc_data,H$14+1,0),0)</f>
        <v/>
      </c>
      <c r="I973" s="142">
        <f>IFERROR(VLOOKUP($B973,calc_data,I$14+1,0),0)</f>
        <v/>
      </c>
      <c r="J973" s="141">
        <f>IFERROR(VLOOKUP($B973,calc_data,J$14+1,0),0)</f>
        <v/>
      </c>
      <c r="K973" s="141">
        <f>IFERROR(VLOOKUP($B973,calc_data,K$14+1,0),0)</f>
        <v/>
      </c>
      <c r="L973" s="141">
        <f>IFERROR(VLOOKUP($B973,calc_data,L$14+1,0),0)</f>
        <v/>
      </c>
      <c r="M973" s="177">
        <f>IFERROR(VLOOKUP($B973,calc_data,M$14+1,0),0)</f>
        <v/>
      </c>
      <c r="N973" s="177">
        <f>IFERROR(VLOOKUP($B973,calc_data,N$14+1,0),0)</f>
        <v/>
      </c>
      <c r="O973" s="45" t="n"/>
      <c r="Q973" s="57">
        <f>IF(K973&gt;0,"показать","скрыть")</f>
        <v/>
      </c>
    </row>
    <row r="974" ht="15.75" customHeight="1">
      <c r="B974" s="182" t="n">
        <v>958</v>
      </c>
      <c r="C974" s="182">
        <f>IFERROR(VLOOKUP($B974,calc_data,C$14+1,0),0)</f>
        <v/>
      </c>
      <c r="D974" s="182">
        <f>IFERROR(VLOOKUP($B974,calc_data,D$14+1,0),0)</f>
        <v/>
      </c>
      <c r="E974" s="183">
        <f>IFERROR(VLOOKUP($B974,calc_data,E$14+1,0),0)</f>
        <v/>
      </c>
      <c r="F974" s="182">
        <f>IFERROR(VLOOKUP($B974,calc_data,F$14+1,0),0)</f>
        <v/>
      </c>
      <c r="G974" s="141">
        <f>IFERROR(VLOOKUP($B974,calc_data,G$14+1,0),0)</f>
        <v/>
      </c>
      <c r="H974" s="141">
        <f>IFERROR(VLOOKUP($B974,calc_data,H$14+1,0),0)</f>
        <v/>
      </c>
      <c r="I974" s="142">
        <f>IFERROR(VLOOKUP($B974,calc_data,I$14+1,0),0)</f>
        <v/>
      </c>
      <c r="J974" s="141">
        <f>IFERROR(VLOOKUP($B974,calc_data,J$14+1,0),0)</f>
        <v/>
      </c>
      <c r="K974" s="141">
        <f>IFERROR(VLOOKUP($B974,calc_data,K$14+1,0),0)</f>
        <v/>
      </c>
      <c r="L974" s="141">
        <f>IFERROR(VLOOKUP($B974,calc_data,L$14+1,0),0)</f>
        <v/>
      </c>
      <c r="M974" s="177">
        <f>IFERROR(VLOOKUP($B974,calc_data,M$14+1,0),0)</f>
        <v/>
      </c>
      <c r="N974" s="177">
        <f>IFERROR(VLOOKUP($B974,calc_data,N$14+1,0),0)</f>
        <v/>
      </c>
      <c r="O974" s="45" t="n"/>
      <c r="Q974" s="57">
        <f>IF(K974&gt;0,"показать","скрыть")</f>
        <v/>
      </c>
    </row>
    <row r="975" ht="15.75" customHeight="1">
      <c r="B975" s="182" t="n">
        <v>959</v>
      </c>
      <c r="C975" s="182">
        <f>IFERROR(VLOOKUP($B975,calc_data,C$14+1,0),0)</f>
        <v/>
      </c>
      <c r="D975" s="182">
        <f>IFERROR(VLOOKUP($B975,calc_data,D$14+1,0),0)</f>
        <v/>
      </c>
      <c r="E975" s="183">
        <f>IFERROR(VLOOKUP($B975,calc_data,E$14+1,0),0)</f>
        <v/>
      </c>
      <c r="F975" s="182">
        <f>IFERROR(VLOOKUP($B975,calc_data,F$14+1,0),0)</f>
        <v/>
      </c>
      <c r="G975" s="141">
        <f>IFERROR(VLOOKUP($B975,calc_data,G$14+1,0),0)</f>
        <v/>
      </c>
      <c r="H975" s="141">
        <f>IFERROR(VLOOKUP($B975,calc_data,H$14+1,0),0)</f>
        <v/>
      </c>
      <c r="I975" s="142">
        <f>IFERROR(VLOOKUP($B975,calc_data,I$14+1,0),0)</f>
        <v/>
      </c>
      <c r="J975" s="141">
        <f>IFERROR(VLOOKUP($B975,calc_data,J$14+1,0),0)</f>
        <v/>
      </c>
      <c r="K975" s="141">
        <f>IFERROR(VLOOKUP($B975,calc_data,K$14+1,0),0)</f>
        <v/>
      </c>
      <c r="L975" s="141">
        <f>IFERROR(VLOOKUP($B975,calc_data,L$14+1,0),0)</f>
        <v/>
      </c>
      <c r="M975" s="177">
        <f>IFERROR(VLOOKUP($B975,calc_data,M$14+1,0),0)</f>
        <v/>
      </c>
      <c r="N975" s="177">
        <f>IFERROR(VLOOKUP($B975,calc_data,N$14+1,0),0)</f>
        <v/>
      </c>
      <c r="O975" s="45" t="n"/>
      <c r="Q975" s="57">
        <f>IF(K975&gt;0,"показать","скрыть")</f>
        <v/>
      </c>
    </row>
    <row r="976" ht="15.75" customHeight="1">
      <c r="B976" s="182" t="n">
        <v>960</v>
      </c>
      <c r="C976" s="182">
        <f>IFERROR(VLOOKUP($B976,calc_data,C$14+1,0),0)</f>
        <v/>
      </c>
      <c r="D976" s="182">
        <f>IFERROR(VLOOKUP($B976,calc_data,D$14+1,0),0)</f>
        <v/>
      </c>
      <c r="E976" s="183">
        <f>IFERROR(VLOOKUP($B976,calc_data,E$14+1,0),0)</f>
        <v/>
      </c>
      <c r="F976" s="182">
        <f>IFERROR(VLOOKUP($B976,calc_data,F$14+1,0),0)</f>
        <v/>
      </c>
      <c r="G976" s="141">
        <f>IFERROR(VLOOKUP($B976,calc_data,G$14+1,0),0)</f>
        <v/>
      </c>
      <c r="H976" s="141">
        <f>IFERROR(VLOOKUP($B976,calc_data,H$14+1,0),0)</f>
        <v/>
      </c>
      <c r="I976" s="142">
        <f>IFERROR(VLOOKUP($B976,calc_data,I$14+1,0),0)</f>
        <v/>
      </c>
      <c r="J976" s="141">
        <f>IFERROR(VLOOKUP($B976,calc_data,J$14+1,0),0)</f>
        <v/>
      </c>
      <c r="K976" s="141">
        <f>IFERROR(VLOOKUP($B976,calc_data,K$14+1,0),0)</f>
        <v/>
      </c>
      <c r="L976" s="141">
        <f>IFERROR(VLOOKUP($B976,calc_data,L$14+1,0),0)</f>
        <v/>
      </c>
      <c r="M976" s="177">
        <f>IFERROR(VLOOKUP($B976,calc_data,M$14+1,0),0)</f>
        <v/>
      </c>
      <c r="N976" s="177">
        <f>IFERROR(VLOOKUP($B976,calc_data,N$14+1,0),0)</f>
        <v/>
      </c>
      <c r="O976" s="45" t="n"/>
      <c r="Q976" s="57">
        <f>IF(K976&gt;0,"показать","скрыть")</f>
        <v/>
      </c>
    </row>
    <row r="977" ht="15.75" customHeight="1">
      <c r="B977" s="182" t="n">
        <v>961</v>
      </c>
      <c r="C977" s="182">
        <f>IFERROR(VLOOKUP($B977,calc_data,C$14+1,0),0)</f>
        <v/>
      </c>
      <c r="D977" s="182">
        <f>IFERROR(VLOOKUP($B977,calc_data,D$14+1,0),0)</f>
        <v/>
      </c>
      <c r="E977" s="183">
        <f>IFERROR(VLOOKUP($B977,calc_data,E$14+1,0),0)</f>
        <v/>
      </c>
      <c r="F977" s="182">
        <f>IFERROR(VLOOKUP($B977,calc_data,F$14+1,0),0)</f>
        <v/>
      </c>
      <c r="G977" s="141">
        <f>IFERROR(VLOOKUP($B977,calc_data,G$14+1,0),0)</f>
        <v/>
      </c>
      <c r="H977" s="141">
        <f>IFERROR(VLOOKUP($B977,calc_data,H$14+1,0),0)</f>
        <v/>
      </c>
      <c r="I977" s="142">
        <f>IFERROR(VLOOKUP($B977,calc_data,I$14+1,0),0)</f>
        <v/>
      </c>
      <c r="J977" s="141">
        <f>IFERROR(VLOOKUP($B977,calc_data,J$14+1,0),0)</f>
        <v/>
      </c>
      <c r="K977" s="141">
        <f>IFERROR(VLOOKUP($B977,calc_data,K$14+1,0),0)</f>
        <v/>
      </c>
      <c r="L977" s="141">
        <f>IFERROR(VLOOKUP($B977,calc_data,L$14+1,0),0)</f>
        <v/>
      </c>
      <c r="M977" s="177">
        <f>IFERROR(VLOOKUP($B977,calc_data,M$14+1,0),0)</f>
        <v/>
      </c>
      <c r="N977" s="177">
        <f>IFERROR(VLOOKUP($B977,calc_data,N$14+1,0),0)</f>
        <v/>
      </c>
      <c r="O977" s="45" t="n"/>
      <c r="Q977" s="57">
        <f>IF(K977&gt;0,"показать","скрыть")</f>
        <v/>
      </c>
    </row>
    <row r="978" ht="15.75" customHeight="1">
      <c r="B978" s="182" t="n">
        <v>962</v>
      </c>
      <c r="C978" s="182">
        <f>IFERROR(VLOOKUP($B978,calc_data,C$14+1,0),0)</f>
        <v/>
      </c>
      <c r="D978" s="182">
        <f>IFERROR(VLOOKUP($B978,calc_data,D$14+1,0),0)</f>
        <v/>
      </c>
      <c r="E978" s="183">
        <f>IFERROR(VLOOKUP($B978,calc_data,E$14+1,0),0)</f>
        <v/>
      </c>
      <c r="F978" s="182">
        <f>IFERROR(VLOOKUP($B978,calc_data,F$14+1,0),0)</f>
        <v/>
      </c>
      <c r="G978" s="141">
        <f>IFERROR(VLOOKUP($B978,calc_data,G$14+1,0),0)</f>
        <v/>
      </c>
      <c r="H978" s="141">
        <f>IFERROR(VLOOKUP($B978,calc_data,H$14+1,0),0)</f>
        <v/>
      </c>
      <c r="I978" s="142">
        <f>IFERROR(VLOOKUP($B978,calc_data,I$14+1,0),0)</f>
        <v/>
      </c>
      <c r="J978" s="141">
        <f>IFERROR(VLOOKUP($B978,calc_data,J$14+1,0),0)</f>
        <v/>
      </c>
      <c r="K978" s="141">
        <f>IFERROR(VLOOKUP($B978,calc_data,K$14+1,0),0)</f>
        <v/>
      </c>
      <c r="L978" s="141">
        <f>IFERROR(VLOOKUP($B978,calc_data,L$14+1,0),0)</f>
        <v/>
      </c>
      <c r="M978" s="177">
        <f>IFERROR(VLOOKUP($B978,calc_data,M$14+1,0),0)</f>
        <v/>
      </c>
      <c r="N978" s="177">
        <f>IFERROR(VLOOKUP($B978,calc_data,N$14+1,0),0)</f>
        <v/>
      </c>
      <c r="O978" s="45" t="n"/>
      <c r="Q978" s="57">
        <f>IF(K978&gt;0,"показать","скрыть")</f>
        <v/>
      </c>
    </row>
    <row r="979" ht="15.75" customHeight="1">
      <c r="B979" s="182" t="n">
        <v>963</v>
      </c>
      <c r="C979" s="182">
        <f>IFERROR(VLOOKUP($B979,calc_data,C$14+1,0),0)</f>
        <v/>
      </c>
      <c r="D979" s="182">
        <f>IFERROR(VLOOKUP($B979,calc_data,D$14+1,0),0)</f>
        <v/>
      </c>
      <c r="E979" s="183">
        <f>IFERROR(VLOOKUP($B979,calc_data,E$14+1,0),0)</f>
        <v/>
      </c>
      <c r="F979" s="182">
        <f>IFERROR(VLOOKUP($B979,calc_data,F$14+1,0),0)</f>
        <v/>
      </c>
      <c r="G979" s="141">
        <f>IFERROR(VLOOKUP($B979,calc_data,G$14+1,0),0)</f>
        <v/>
      </c>
      <c r="H979" s="141">
        <f>IFERROR(VLOOKUP($B979,calc_data,H$14+1,0),0)</f>
        <v/>
      </c>
      <c r="I979" s="142">
        <f>IFERROR(VLOOKUP($B979,calc_data,I$14+1,0),0)</f>
        <v/>
      </c>
      <c r="J979" s="141">
        <f>IFERROR(VLOOKUP($B979,calc_data,J$14+1,0),0)</f>
        <v/>
      </c>
      <c r="K979" s="141">
        <f>IFERROR(VLOOKUP($B979,calc_data,K$14+1,0),0)</f>
        <v/>
      </c>
      <c r="L979" s="141">
        <f>IFERROR(VLOOKUP($B979,calc_data,L$14+1,0),0)</f>
        <v/>
      </c>
      <c r="M979" s="177">
        <f>IFERROR(VLOOKUP($B979,calc_data,M$14+1,0),0)</f>
        <v/>
      </c>
      <c r="N979" s="177">
        <f>IFERROR(VLOOKUP($B979,calc_data,N$14+1,0),0)</f>
        <v/>
      </c>
      <c r="O979" s="45" t="n"/>
      <c r="Q979" s="57">
        <f>IF(K979&gt;0,"показать","скрыть")</f>
        <v/>
      </c>
    </row>
    <row r="980" ht="15.75" customHeight="1">
      <c r="B980" s="182" t="n">
        <v>964</v>
      </c>
      <c r="C980" s="182">
        <f>IFERROR(VLOOKUP($B980,calc_data,C$14+1,0),0)</f>
        <v/>
      </c>
      <c r="D980" s="182">
        <f>IFERROR(VLOOKUP($B980,calc_data,D$14+1,0),0)</f>
        <v/>
      </c>
      <c r="E980" s="183">
        <f>IFERROR(VLOOKUP($B980,calc_data,E$14+1,0),0)</f>
        <v/>
      </c>
      <c r="F980" s="182">
        <f>IFERROR(VLOOKUP($B980,calc_data,F$14+1,0),0)</f>
        <v/>
      </c>
      <c r="G980" s="141">
        <f>IFERROR(VLOOKUP($B980,calc_data,G$14+1,0),0)</f>
        <v/>
      </c>
      <c r="H980" s="141">
        <f>IFERROR(VLOOKUP($B980,calc_data,H$14+1,0),0)</f>
        <v/>
      </c>
      <c r="I980" s="142">
        <f>IFERROR(VLOOKUP($B980,calc_data,I$14+1,0),0)</f>
        <v/>
      </c>
      <c r="J980" s="141">
        <f>IFERROR(VLOOKUP($B980,calc_data,J$14+1,0),0)</f>
        <v/>
      </c>
      <c r="K980" s="141">
        <f>IFERROR(VLOOKUP($B980,calc_data,K$14+1,0),0)</f>
        <v/>
      </c>
      <c r="L980" s="141">
        <f>IFERROR(VLOOKUP($B980,calc_data,L$14+1,0),0)</f>
        <v/>
      </c>
      <c r="M980" s="177">
        <f>IFERROR(VLOOKUP($B980,calc_data,M$14+1,0),0)</f>
        <v/>
      </c>
      <c r="N980" s="177">
        <f>IFERROR(VLOOKUP($B980,calc_data,N$14+1,0),0)</f>
        <v/>
      </c>
      <c r="O980" s="45" t="n"/>
      <c r="Q980" s="57">
        <f>IF(K980&gt;0,"показать","скрыть")</f>
        <v/>
      </c>
    </row>
    <row r="981" ht="15.75" customHeight="1">
      <c r="B981" s="182" t="n">
        <v>965</v>
      </c>
      <c r="C981" s="182">
        <f>IFERROR(VLOOKUP($B981,calc_data,C$14+1,0),0)</f>
        <v/>
      </c>
      <c r="D981" s="182">
        <f>IFERROR(VLOOKUP($B981,calc_data,D$14+1,0),0)</f>
        <v/>
      </c>
      <c r="E981" s="183">
        <f>IFERROR(VLOOKUP($B981,calc_data,E$14+1,0),0)</f>
        <v/>
      </c>
      <c r="F981" s="182">
        <f>IFERROR(VLOOKUP($B981,calc_data,F$14+1,0),0)</f>
        <v/>
      </c>
      <c r="G981" s="141">
        <f>IFERROR(VLOOKUP($B981,calc_data,G$14+1,0),0)</f>
        <v/>
      </c>
      <c r="H981" s="141">
        <f>IFERROR(VLOOKUP($B981,calc_data,H$14+1,0),0)</f>
        <v/>
      </c>
      <c r="I981" s="142">
        <f>IFERROR(VLOOKUP($B981,calc_data,I$14+1,0),0)</f>
        <v/>
      </c>
      <c r="J981" s="141">
        <f>IFERROR(VLOOKUP($B981,calc_data,J$14+1,0),0)</f>
        <v/>
      </c>
      <c r="K981" s="141">
        <f>IFERROR(VLOOKUP($B981,calc_data,K$14+1,0),0)</f>
        <v/>
      </c>
      <c r="L981" s="141">
        <f>IFERROR(VLOOKUP($B981,calc_data,L$14+1,0),0)</f>
        <v/>
      </c>
      <c r="M981" s="177">
        <f>IFERROR(VLOOKUP($B981,calc_data,M$14+1,0),0)</f>
        <v/>
      </c>
      <c r="N981" s="177">
        <f>IFERROR(VLOOKUP($B981,calc_data,N$14+1,0),0)</f>
        <v/>
      </c>
      <c r="O981" s="45" t="n"/>
      <c r="Q981" s="57">
        <f>IF(K981&gt;0,"показать","скрыть")</f>
        <v/>
      </c>
    </row>
    <row r="982" ht="15.75" customHeight="1">
      <c r="B982" s="182" t="n">
        <v>966</v>
      </c>
      <c r="C982" s="182">
        <f>IFERROR(VLOOKUP($B982,calc_data,C$14+1,0),0)</f>
        <v/>
      </c>
      <c r="D982" s="182">
        <f>IFERROR(VLOOKUP($B982,calc_data,D$14+1,0),0)</f>
        <v/>
      </c>
      <c r="E982" s="183">
        <f>IFERROR(VLOOKUP($B982,calc_data,E$14+1,0),0)</f>
        <v/>
      </c>
      <c r="F982" s="182">
        <f>IFERROR(VLOOKUP($B982,calc_data,F$14+1,0),0)</f>
        <v/>
      </c>
      <c r="G982" s="141">
        <f>IFERROR(VLOOKUP($B982,calc_data,G$14+1,0),0)</f>
        <v/>
      </c>
      <c r="H982" s="141">
        <f>IFERROR(VLOOKUP($B982,calc_data,H$14+1,0),0)</f>
        <v/>
      </c>
      <c r="I982" s="142">
        <f>IFERROR(VLOOKUP($B982,calc_data,I$14+1,0),0)</f>
        <v/>
      </c>
      <c r="J982" s="141">
        <f>IFERROR(VLOOKUP($B982,calc_data,J$14+1,0),0)</f>
        <v/>
      </c>
      <c r="K982" s="141">
        <f>IFERROR(VLOOKUP($B982,calc_data,K$14+1,0),0)</f>
        <v/>
      </c>
      <c r="L982" s="141">
        <f>IFERROR(VLOOKUP($B982,calc_data,L$14+1,0),0)</f>
        <v/>
      </c>
      <c r="M982" s="177">
        <f>IFERROR(VLOOKUP($B982,calc_data,M$14+1,0),0)</f>
        <v/>
      </c>
      <c r="N982" s="177">
        <f>IFERROR(VLOOKUP($B982,calc_data,N$14+1,0),0)</f>
        <v/>
      </c>
      <c r="O982" s="45" t="n"/>
      <c r="Q982" s="57">
        <f>IF(K982&gt;0,"показать","скрыть")</f>
        <v/>
      </c>
    </row>
    <row r="983" ht="15.75" customHeight="1">
      <c r="B983" s="182" t="n">
        <v>967</v>
      </c>
      <c r="C983" s="182">
        <f>IFERROR(VLOOKUP($B983,calc_data,C$14+1,0),0)</f>
        <v/>
      </c>
      <c r="D983" s="182">
        <f>IFERROR(VLOOKUP($B983,calc_data,D$14+1,0),0)</f>
        <v/>
      </c>
      <c r="E983" s="183">
        <f>IFERROR(VLOOKUP($B983,calc_data,E$14+1,0),0)</f>
        <v/>
      </c>
      <c r="F983" s="182">
        <f>IFERROR(VLOOKUP($B983,calc_data,F$14+1,0),0)</f>
        <v/>
      </c>
      <c r="G983" s="141">
        <f>IFERROR(VLOOKUP($B983,calc_data,G$14+1,0),0)</f>
        <v/>
      </c>
      <c r="H983" s="141">
        <f>IFERROR(VLOOKUP($B983,calc_data,H$14+1,0),0)</f>
        <v/>
      </c>
      <c r="I983" s="142">
        <f>IFERROR(VLOOKUP($B983,calc_data,I$14+1,0),0)</f>
        <v/>
      </c>
      <c r="J983" s="141">
        <f>IFERROR(VLOOKUP($B983,calc_data,J$14+1,0),0)</f>
        <v/>
      </c>
      <c r="K983" s="141">
        <f>IFERROR(VLOOKUP($B983,calc_data,K$14+1,0),0)</f>
        <v/>
      </c>
      <c r="L983" s="141">
        <f>IFERROR(VLOOKUP($B983,calc_data,L$14+1,0),0)</f>
        <v/>
      </c>
      <c r="M983" s="177">
        <f>IFERROR(VLOOKUP($B983,calc_data,M$14+1,0),0)</f>
        <v/>
      </c>
      <c r="N983" s="177">
        <f>IFERROR(VLOOKUP($B983,calc_data,N$14+1,0),0)</f>
        <v/>
      </c>
      <c r="O983" s="45" t="n"/>
      <c r="Q983" s="57">
        <f>IF(K983&gt;0,"показать","скрыть")</f>
        <v/>
      </c>
    </row>
    <row r="984" ht="15.75" customHeight="1">
      <c r="B984" s="182" t="n">
        <v>968</v>
      </c>
      <c r="C984" s="182">
        <f>IFERROR(VLOOKUP($B984,calc_data,C$14+1,0),0)</f>
        <v/>
      </c>
      <c r="D984" s="182">
        <f>IFERROR(VLOOKUP($B984,calc_data,D$14+1,0),0)</f>
        <v/>
      </c>
      <c r="E984" s="183">
        <f>IFERROR(VLOOKUP($B984,calc_data,E$14+1,0),0)</f>
        <v/>
      </c>
      <c r="F984" s="182">
        <f>IFERROR(VLOOKUP($B984,calc_data,F$14+1,0),0)</f>
        <v/>
      </c>
      <c r="G984" s="141">
        <f>IFERROR(VLOOKUP($B984,calc_data,G$14+1,0),0)</f>
        <v/>
      </c>
      <c r="H984" s="141">
        <f>IFERROR(VLOOKUP($B984,calc_data,H$14+1,0),0)</f>
        <v/>
      </c>
      <c r="I984" s="142">
        <f>IFERROR(VLOOKUP($B984,calc_data,I$14+1,0),0)</f>
        <v/>
      </c>
      <c r="J984" s="141">
        <f>IFERROR(VLOOKUP($B984,calc_data,J$14+1,0),0)</f>
        <v/>
      </c>
      <c r="K984" s="141">
        <f>IFERROR(VLOOKUP($B984,calc_data,K$14+1,0),0)</f>
        <v/>
      </c>
      <c r="L984" s="141">
        <f>IFERROR(VLOOKUP($B984,calc_data,L$14+1,0),0)</f>
        <v/>
      </c>
      <c r="M984" s="177">
        <f>IFERROR(VLOOKUP($B984,calc_data,M$14+1,0),0)</f>
        <v/>
      </c>
      <c r="N984" s="177">
        <f>IFERROR(VLOOKUP($B984,calc_data,N$14+1,0),0)</f>
        <v/>
      </c>
      <c r="O984" s="45" t="n"/>
      <c r="Q984" s="57">
        <f>IF(K984&gt;0,"показать","скрыть")</f>
        <v/>
      </c>
    </row>
    <row r="985" ht="15.75" customHeight="1">
      <c r="B985" s="182" t="n">
        <v>969</v>
      </c>
      <c r="C985" s="182">
        <f>IFERROR(VLOOKUP($B985,calc_data,C$14+1,0),0)</f>
        <v/>
      </c>
      <c r="D985" s="182">
        <f>IFERROR(VLOOKUP($B985,calc_data,D$14+1,0),0)</f>
        <v/>
      </c>
      <c r="E985" s="183">
        <f>IFERROR(VLOOKUP($B985,calc_data,E$14+1,0),0)</f>
        <v/>
      </c>
      <c r="F985" s="182">
        <f>IFERROR(VLOOKUP($B985,calc_data,F$14+1,0),0)</f>
        <v/>
      </c>
      <c r="G985" s="141">
        <f>IFERROR(VLOOKUP($B985,calc_data,G$14+1,0),0)</f>
        <v/>
      </c>
      <c r="H985" s="141">
        <f>IFERROR(VLOOKUP($B985,calc_data,H$14+1,0),0)</f>
        <v/>
      </c>
      <c r="I985" s="142">
        <f>IFERROR(VLOOKUP($B985,calc_data,I$14+1,0),0)</f>
        <v/>
      </c>
      <c r="J985" s="141">
        <f>IFERROR(VLOOKUP($B985,calc_data,J$14+1,0),0)</f>
        <v/>
      </c>
      <c r="K985" s="141">
        <f>IFERROR(VLOOKUP($B985,calc_data,K$14+1,0),0)</f>
        <v/>
      </c>
      <c r="L985" s="141">
        <f>IFERROR(VLOOKUP($B985,calc_data,L$14+1,0),0)</f>
        <v/>
      </c>
      <c r="M985" s="177">
        <f>IFERROR(VLOOKUP($B985,calc_data,M$14+1,0),0)</f>
        <v/>
      </c>
      <c r="N985" s="177">
        <f>IFERROR(VLOOKUP($B985,calc_data,N$14+1,0),0)</f>
        <v/>
      </c>
      <c r="O985" s="45" t="n"/>
      <c r="Q985" s="57">
        <f>IF(K985&gt;0,"показать","скрыть")</f>
        <v/>
      </c>
    </row>
    <row r="986" ht="15.75" customHeight="1">
      <c r="B986" s="182" t="n">
        <v>970</v>
      </c>
      <c r="C986" s="182">
        <f>IFERROR(VLOOKUP($B986,calc_data,C$14+1,0),0)</f>
        <v/>
      </c>
      <c r="D986" s="182">
        <f>IFERROR(VLOOKUP($B986,calc_data,D$14+1,0),0)</f>
        <v/>
      </c>
      <c r="E986" s="183">
        <f>IFERROR(VLOOKUP($B986,calc_data,E$14+1,0),0)</f>
        <v/>
      </c>
      <c r="F986" s="182">
        <f>IFERROR(VLOOKUP($B986,calc_data,F$14+1,0),0)</f>
        <v/>
      </c>
      <c r="G986" s="141">
        <f>IFERROR(VLOOKUP($B986,calc_data,G$14+1,0),0)</f>
        <v/>
      </c>
      <c r="H986" s="141">
        <f>IFERROR(VLOOKUP($B986,calc_data,H$14+1,0),0)</f>
        <v/>
      </c>
      <c r="I986" s="142">
        <f>IFERROR(VLOOKUP($B986,calc_data,I$14+1,0),0)</f>
        <v/>
      </c>
      <c r="J986" s="141">
        <f>IFERROR(VLOOKUP($B986,calc_data,J$14+1,0),0)</f>
        <v/>
      </c>
      <c r="K986" s="141">
        <f>IFERROR(VLOOKUP($B986,calc_data,K$14+1,0),0)</f>
        <v/>
      </c>
      <c r="L986" s="141">
        <f>IFERROR(VLOOKUP($B986,calc_data,L$14+1,0),0)</f>
        <v/>
      </c>
      <c r="M986" s="177">
        <f>IFERROR(VLOOKUP($B986,calc_data,M$14+1,0),0)</f>
        <v/>
      </c>
      <c r="N986" s="177">
        <f>IFERROR(VLOOKUP($B986,calc_data,N$14+1,0),0)</f>
        <v/>
      </c>
      <c r="O986" s="45" t="n"/>
      <c r="Q986" s="57">
        <f>IF(K986&gt;0,"показать","скрыть")</f>
        <v/>
      </c>
    </row>
    <row r="987" ht="15.75" customHeight="1">
      <c r="B987" s="182" t="n">
        <v>971</v>
      </c>
      <c r="C987" s="182">
        <f>IFERROR(VLOOKUP($B987,calc_data,C$14+1,0),0)</f>
        <v/>
      </c>
      <c r="D987" s="182">
        <f>IFERROR(VLOOKUP($B987,calc_data,D$14+1,0),0)</f>
        <v/>
      </c>
      <c r="E987" s="183">
        <f>IFERROR(VLOOKUP($B987,calc_data,E$14+1,0),0)</f>
        <v/>
      </c>
      <c r="F987" s="182">
        <f>IFERROR(VLOOKUP($B987,calc_data,F$14+1,0),0)</f>
        <v/>
      </c>
      <c r="G987" s="141">
        <f>IFERROR(VLOOKUP($B987,calc_data,G$14+1,0),0)</f>
        <v/>
      </c>
      <c r="H987" s="141">
        <f>IFERROR(VLOOKUP($B987,calc_data,H$14+1,0),0)</f>
        <v/>
      </c>
      <c r="I987" s="142">
        <f>IFERROR(VLOOKUP($B987,calc_data,I$14+1,0),0)</f>
        <v/>
      </c>
      <c r="J987" s="141">
        <f>IFERROR(VLOOKUP($B987,calc_data,J$14+1,0),0)</f>
        <v/>
      </c>
      <c r="K987" s="141">
        <f>IFERROR(VLOOKUP($B987,calc_data,K$14+1,0),0)</f>
        <v/>
      </c>
      <c r="L987" s="141">
        <f>IFERROR(VLOOKUP($B987,calc_data,L$14+1,0),0)</f>
        <v/>
      </c>
      <c r="M987" s="177">
        <f>IFERROR(VLOOKUP($B987,calc_data,M$14+1,0),0)</f>
        <v/>
      </c>
      <c r="N987" s="177">
        <f>IFERROR(VLOOKUP($B987,calc_data,N$14+1,0),0)</f>
        <v/>
      </c>
      <c r="O987" s="45" t="n"/>
      <c r="Q987" s="57">
        <f>IF(K987&gt;0,"показать","скрыть")</f>
        <v/>
      </c>
    </row>
    <row r="988" ht="15.75" customHeight="1">
      <c r="B988" s="182" t="n">
        <v>972</v>
      </c>
      <c r="C988" s="182">
        <f>IFERROR(VLOOKUP($B988,calc_data,C$14+1,0),0)</f>
        <v/>
      </c>
      <c r="D988" s="182">
        <f>IFERROR(VLOOKUP($B988,calc_data,D$14+1,0),0)</f>
        <v/>
      </c>
      <c r="E988" s="183">
        <f>IFERROR(VLOOKUP($B988,calc_data,E$14+1,0),0)</f>
        <v/>
      </c>
      <c r="F988" s="182">
        <f>IFERROR(VLOOKUP($B988,calc_data,F$14+1,0),0)</f>
        <v/>
      </c>
      <c r="G988" s="141">
        <f>IFERROR(VLOOKUP($B988,calc_data,G$14+1,0),0)</f>
        <v/>
      </c>
      <c r="H988" s="141">
        <f>IFERROR(VLOOKUP($B988,calc_data,H$14+1,0),0)</f>
        <v/>
      </c>
      <c r="I988" s="142">
        <f>IFERROR(VLOOKUP($B988,calc_data,I$14+1,0),0)</f>
        <v/>
      </c>
      <c r="J988" s="141">
        <f>IFERROR(VLOOKUP($B988,calc_data,J$14+1,0),0)</f>
        <v/>
      </c>
      <c r="K988" s="141">
        <f>IFERROR(VLOOKUP($B988,calc_data,K$14+1,0),0)</f>
        <v/>
      </c>
      <c r="L988" s="141">
        <f>IFERROR(VLOOKUP($B988,calc_data,L$14+1,0),0)</f>
        <v/>
      </c>
      <c r="M988" s="177">
        <f>IFERROR(VLOOKUP($B988,calc_data,M$14+1,0),0)</f>
        <v/>
      </c>
      <c r="N988" s="177">
        <f>IFERROR(VLOOKUP($B988,calc_data,N$14+1,0),0)</f>
        <v/>
      </c>
      <c r="O988" s="45" t="n"/>
      <c r="Q988" s="57">
        <f>IF(K988&gt;0,"показать","скрыть")</f>
        <v/>
      </c>
    </row>
    <row r="989" ht="15.75" customHeight="1">
      <c r="B989" s="182" t="n">
        <v>973</v>
      </c>
      <c r="C989" s="182">
        <f>IFERROR(VLOOKUP($B989,calc_data,C$14+1,0),0)</f>
        <v/>
      </c>
      <c r="D989" s="182">
        <f>IFERROR(VLOOKUP($B989,calc_data,D$14+1,0),0)</f>
        <v/>
      </c>
      <c r="E989" s="183">
        <f>IFERROR(VLOOKUP($B989,calc_data,E$14+1,0),0)</f>
        <v/>
      </c>
      <c r="F989" s="182">
        <f>IFERROR(VLOOKUP($B989,calc_data,F$14+1,0),0)</f>
        <v/>
      </c>
      <c r="G989" s="141">
        <f>IFERROR(VLOOKUP($B989,calc_data,G$14+1,0),0)</f>
        <v/>
      </c>
      <c r="H989" s="141">
        <f>IFERROR(VLOOKUP($B989,calc_data,H$14+1,0),0)</f>
        <v/>
      </c>
      <c r="I989" s="142">
        <f>IFERROR(VLOOKUP($B989,calc_data,I$14+1,0),0)</f>
        <v/>
      </c>
      <c r="J989" s="141">
        <f>IFERROR(VLOOKUP($B989,calc_data,J$14+1,0),0)</f>
        <v/>
      </c>
      <c r="K989" s="141">
        <f>IFERROR(VLOOKUP($B989,calc_data,K$14+1,0),0)</f>
        <v/>
      </c>
      <c r="L989" s="141">
        <f>IFERROR(VLOOKUP($B989,calc_data,L$14+1,0),0)</f>
        <v/>
      </c>
      <c r="M989" s="177">
        <f>IFERROR(VLOOKUP($B989,calc_data,M$14+1,0),0)</f>
        <v/>
      </c>
      <c r="N989" s="177">
        <f>IFERROR(VLOOKUP($B989,calc_data,N$14+1,0),0)</f>
        <v/>
      </c>
      <c r="O989" s="45" t="n"/>
      <c r="Q989" s="57">
        <f>IF(K989&gt;0,"показать","скрыть")</f>
        <v/>
      </c>
    </row>
    <row r="990" ht="15.75" customHeight="1">
      <c r="B990" s="182" t="n">
        <v>974</v>
      </c>
      <c r="C990" s="182">
        <f>IFERROR(VLOOKUP($B990,calc_data,C$14+1,0),0)</f>
        <v/>
      </c>
      <c r="D990" s="182">
        <f>IFERROR(VLOOKUP($B990,calc_data,D$14+1,0),0)</f>
        <v/>
      </c>
      <c r="E990" s="183">
        <f>IFERROR(VLOOKUP($B990,calc_data,E$14+1,0),0)</f>
        <v/>
      </c>
      <c r="F990" s="182">
        <f>IFERROR(VLOOKUP($B990,calc_data,F$14+1,0),0)</f>
        <v/>
      </c>
      <c r="G990" s="141">
        <f>IFERROR(VLOOKUP($B990,calc_data,G$14+1,0),0)</f>
        <v/>
      </c>
      <c r="H990" s="141">
        <f>IFERROR(VLOOKUP($B990,calc_data,H$14+1,0),0)</f>
        <v/>
      </c>
      <c r="I990" s="142">
        <f>IFERROR(VLOOKUP($B990,calc_data,I$14+1,0),0)</f>
        <v/>
      </c>
      <c r="J990" s="141">
        <f>IFERROR(VLOOKUP($B990,calc_data,J$14+1,0),0)</f>
        <v/>
      </c>
      <c r="K990" s="141">
        <f>IFERROR(VLOOKUP($B990,calc_data,K$14+1,0),0)</f>
        <v/>
      </c>
      <c r="L990" s="141">
        <f>IFERROR(VLOOKUP($B990,calc_data,L$14+1,0),0)</f>
        <v/>
      </c>
      <c r="M990" s="177">
        <f>IFERROR(VLOOKUP($B990,calc_data,M$14+1,0),0)</f>
        <v/>
      </c>
      <c r="N990" s="177">
        <f>IFERROR(VLOOKUP($B990,calc_data,N$14+1,0),0)</f>
        <v/>
      </c>
      <c r="O990" s="45" t="n"/>
      <c r="Q990" s="57">
        <f>IF(K990&gt;0,"показать","скрыть")</f>
        <v/>
      </c>
    </row>
    <row r="991" ht="15.75" customHeight="1">
      <c r="B991" s="182" t="n">
        <v>975</v>
      </c>
      <c r="C991" s="182">
        <f>IFERROR(VLOOKUP($B991,calc_data,C$14+1,0),0)</f>
        <v/>
      </c>
      <c r="D991" s="182">
        <f>IFERROR(VLOOKUP($B991,calc_data,D$14+1,0),0)</f>
        <v/>
      </c>
      <c r="E991" s="183">
        <f>IFERROR(VLOOKUP($B991,calc_data,E$14+1,0),0)</f>
        <v/>
      </c>
      <c r="F991" s="182">
        <f>IFERROR(VLOOKUP($B991,calc_data,F$14+1,0),0)</f>
        <v/>
      </c>
      <c r="G991" s="141">
        <f>IFERROR(VLOOKUP($B991,calc_data,G$14+1,0),0)</f>
        <v/>
      </c>
      <c r="H991" s="141">
        <f>IFERROR(VLOOKUP($B991,calc_data,H$14+1,0),0)</f>
        <v/>
      </c>
      <c r="I991" s="142">
        <f>IFERROR(VLOOKUP($B991,calc_data,I$14+1,0),0)</f>
        <v/>
      </c>
      <c r="J991" s="141">
        <f>IFERROR(VLOOKUP($B991,calc_data,J$14+1,0),0)</f>
        <v/>
      </c>
      <c r="K991" s="141">
        <f>IFERROR(VLOOKUP($B991,calc_data,K$14+1,0),0)</f>
        <v/>
      </c>
      <c r="L991" s="141">
        <f>IFERROR(VLOOKUP($B991,calc_data,L$14+1,0),0)</f>
        <v/>
      </c>
      <c r="M991" s="177">
        <f>IFERROR(VLOOKUP($B991,calc_data,M$14+1,0),0)</f>
        <v/>
      </c>
      <c r="N991" s="177">
        <f>IFERROR(VLOOKUP($B991,calc_data,N$14+1,0),0)</f>
        <v/>
      </c>
      <c r="O991" s="45" t="n"/>
      <c r="Q991" s="57">
        <f>IF(K991&gt;0,"показать","скрыть")</f>
        <v/>
      </c>
    </row>
    <row r="992" ht="15.75" customHeight="1">
      <c r="B992" s="182" t="n">
        <v>976</v>
      </c>
      <c r="C992" s="182">
        <f>IFERROR(VLOOKUP($B992,calc_data,C$14+1,0),0)</f>
        <v/>
      </c>
      <c r="D992" s="182">
        <f>IFERROR(VLOOKUP($B992,calc_data,D$14+1,0),0)</f>
        <v/>
      </c>
      <c r="E992" s="183">
        <f>IFERROR(VLOOKUP($B992,calc_data,E$14+1,0),0)</f>
        <v/>
      </c>
      <c r="F992" s="182">
        <f>IFERROR(VLOOKUP($B992,calc_data,F$14+1,0),0)</f>
        <v/>
      </c>
      <c r="G992" s="141">
        <f>IFERROR(VLOOKUP($B992,calc_data,G$14+1,0),0)</f>
        <v/>
      </c>
      <c r="H992" s="141">
        <f>IFERROR(VLOOKUP($B992,calc_data,H$14+1,0),0)</f>
        <v/>
      </c>
      <c r="I992" s="142">
        <f>IFERROR(VLOOKUP($B992,calc_data,I$14+1,0),0)</f>
        <v/>
      </c>
      <c r="J992" s="141">
        <f>IFERROR(VLOOKUP($B992,calc_data,J$14+1,0),0)</f>
        <v/>
      </c>
      <c r="K992" s="141">
        <f>IFERROR(VLOOKUP($B992,calc_data,K$14+1,0),0)</f>
        <v/>
      </c>
      <c r="L992" s="141">
        <f>IFERROR(VLOOKUP($B992,calc_data,L$14+1,0),0)</f>
        <v/>
      </c>
      <c r="M992" s="177">
        <f>IFERROR(VLOOKUP($B992,calc_data,M$14+1,0),0)</f>
        <v/>
      </c>
      <c r="N992" s="177">
        <f>IFERROR(VLOOKUP($B992,calc_data,N$14+1,0),0)</f>
        <v/>
      </c>
      <c r="O992" s="45" t="n"/>
      <c r="Q992" s="57">
        <f>IF(K992&gt;0,"показать","скрыть")</f>
        <v/>
      </c>
    </row>
    <row r="993" ht="15.75" customHeight="1">
      <c r="B993" s="182" t="n">
        <v>977</v>
      </c>
      <c r="C993" s="182">
        <f>IFERROR(VLOOKUP($B993,calc_data,C$14+1,0),0)</f>
        <v/>
      </c>
      <c r="D993" s="182">
        <f>IFERROR(VLOOKUP($B993,calc_data,D$14+1,0),0)</f>
        <v/>
      </c>
      <c r="E993" s="183">
        <f>IFERROR(VLOOKUP($B993,calc_data,E$14+1,0),0)</f>
        <v/>
      </c>
      <c r="F993" s="182">
        <f>IFERROR(VLOOKUP($B993,calc_data,F$14+1,0),0)</f>
        <v/>
      </c>
      <c r="G993" s="141">
        <f>IFERROR(VLOOKUP($B993,calc_data,G$14+1,0),0)</f>
        <v/>
      </c>
      <c r="H993" s="141">
        <f>IFERROR(VLOOKUP($B993,calc_data,H$14+1,0),0)</f>
        <v/>
      </c>
      <c r="I993" s="142">
        <f>IFERROR(VLOOKUP($B993,calc_data,I$14+1,0),0)</f>
        <v/>
      </c>
      <c r="J993" s="141">
        <f>IFERROR(VLOOKUP($B993,calc_data,J$14+1,0),0)</f>
        <v/>
      </c>
      <c r="K993" s="141">
        <f>IFERROR(VLOOKUP($B993,calc_data,K$14+1,0),0)</f>
        <v/>
      </c>
      <c r="L993" s="141">
        <f>IFERROR(VLOOKUP($B993,calc_data,L$14+1,0),0)</f>
        <v/>
      </c>
      <c r="M993" s="177">
        <f>IFERROR(VLOOKUP($B993,calc_data,M$14+1,0),0)</f>
        <v/>
      </c>
      <c r="N993" s="177">
        <f>IFERROR(VLOOKUP($B993,calc_data,N$14+1,0),0)</f>
        <v/>
      </c>
      <c r="O993" s="45" t="n"/>
      <c r="Q993" s="57">
        <f>IF(K993&gt;0,"показать","скрыть")</f>
        <v/>
      </c>
    </row>
    <row r="994" ht="15.75" customHeight="1">
      <c r="B994" s="182" t="n">
        <v>978</v>
      </c>
      <c r="C994" s="182">
        <f>IFERROR(VLOOKUP($B994,calc_data,C$14+1,0),0)</f>
        <v/>
      </c>
      <c r="D994" s="182">
        <f>IFERROR(VLOOKUP($B994,calc_data,D$14+1,0),0)</f>
        <v/>
      </c>
      <c r="E994" s="183">
        <f>IFERROR(VLOOKUP($B994,calc_data,E$14+1,0),0)</f>
        <v/>
      </c>
      <c r="F994" s="182">
        <f>IFERROR(VLOOKUP($B994,calc_data,F$14+1,0),0)</f>
        <v/>
      </c>
      <c r="G994" s="141">
        <f>IFERROR(VLOOKUP($B994,calc_data,G$14+1,0),0)</f>
        <v/>
      </c>
      <c r="H994" s="141">
        <f>IFERROR(VLOOKUP($B994,calc_data,H$14+1,0),0)</f>
        <v/>
      </c>
      <c r="I994" s="142">
        <f>IFERROR(VLOOKUP($B994,calc_data,I$14+1,0),0)</f>
        <v/>
      </c>
      <c r="J994" s="141">
        <f>IFERROR(VLOOKUP($B994,calc_data,J$14+1,0),0)</f>
        <v/>
      </c>
      <c r="K994" s="141">
        <f>IFERROR(VLOOKUP($B994,calc_data,K$14+1,0),0)</f>
        <v/>
      </c>
      <c r="L994" s="141">
        <f>IFERROR(VLOOKUP($B994,calc_data,L$14+1,0),0)</f>
        <v/>
      </c>
      <c r="M994" s="177">
        <f>IFERROR(VLOOKUP($B994,calc_data,M$14+1,0),0)</f>
        <v/>
      </c>
      <c r="N994" s="177">
        <f>IFERROR(VLOOKUP($B994,calc_data,N$14+1,0),0)</f>
        <v/>
      </c>
      <c r="O994" s="45" t="n"/>
      <c r="Q994" s="57">
        <f>IF(K994&gt;0,"показать","скрыть")</f>
        <v/>
      </c>
    </row>
    <row r="995" ht="15.75" customHeight="1">
      <c r="B995" s="182" t="n">
        <v>979</v>
      </c>
      <c r="C995" s="182">
        <f>IFERROR(VLOOKUP($B995,calc_data,C$14+1,0),0)</f>
        <v/>
      </c>
      <c r="D995" s="182">
        <f>IFERROR(VLOOKUP($B995,calc_data,D$14+1,0),0)</f>
        <v/>
      </c>
      <c r="E995" s="183">
        <f>IFERROR(VLOOKUP($B995,calc_data,E$14+1,0),0)</f>
        <v/>
      </c>
      <c r="F995" s="182">
        <f>IFERROR(VLOOKUP($B995,calc_data,F$14+1,0),0)</f>
        <v/>
      </c>
      <c r="G995" s="141">
        <f>IFERROR(VLOOKUP($B995,calc_data,G$14+1,0),0)</f>
        <v/>
      </c>
      <c r="H995" s="141">
        <f>IFERROR(VLOOKUP($B995,calc_data,H$14+1,0),0)</f>
        <v/>
      </c>
      <c r="I995" s="142">
        <f>IFERROR(VLOOKUP($B995,calc_data,I$14+1,0),0)</f>
        <v/>
      </c>
      <c r="J995" s="141">
        <f>IFERROR(VLOOKUP($B995,calc_data,J$14+1,0),0)</f>
        <v/>
      </c>
      <c r="K995" s="141">
        <f>IFERROR(VLOOKUP($B995,calc_data,K$14+1,0),0)</f>
        <v/>
      </c>
      <c r="L995" s="141">
        <f>IFERROR(VLOOKUP($B995,calc_data,L$14+1,0),0)</f>
        <v/>
      </c>
      <c r="M995" s="177">
        <f>IFERROR(VLOOKUP($B995,calc_data,M$14+1,0),0)</f>
        <v/>
      </c>
      <c r="N995" s="177">
        <f>IFERROR(VLOOKUP($B995,calc_data,N$14+1,0),0)</f>
        <v/>
      </c>
      <c r="O995" s="45" t="n"/>
      <c r="Q995" s="57">
        <f>IF(K995&gt;0,"показать","скрыть")</f>
        <v/>
      </c>
    </row>
    <row r="996" ht="15.75" customHeight="1">
      <c r="B996" s="182" t="n">
        <v>980</v>
      </c>
      <c r="C996" s="182">
        <f>IFERROR(VLOOKUP($B996,calc_data,C$14+1,0),0)</f>
        <v/>
      </c>
      <c r="D996" s="182">
        <f>IFERROR(VLOOKUP($B996,calc_data,D$14+1,0),0)</f>
        <v/>
      </c>
      <c r="E996" s="183">
        <f>IFERROR(VLOOKUP($B996,calc_data,E$14+1,0),0)</f>
        <v/>
      </c>
      <c r="F996" s="182">
        <f>IFERROR(VLOOKUP($B996,calc_data,F$14+1,0),0)</f>
        <v/>
      </c>
      <c r="G996" s="141">
        <f>IFERROR(VLOOKUP($B996,calc_data,G$14+1,0),0)</f>
        <v/>
      </c>
      <c r="H996" s="141">
        <f>IFERROR(VLOOKUP($B996,calc_data,H$14+1,0),0)</f>
        <v/>
      </c>
      <c r="I996" s="142">
        <f>IFERROR(VLOOKUP($B996,calc_data,I$14+1,0),0)</f>
        <v/>
      </c>
      <c r="J996" s="141">
        <f>IFERROR(VLOOKUP($B996,calc_data,J$14+1,0),0)</f>
        <v/>
      </c>
      <c r="K996" s="141">
        <f>IFERROR(VLOOKUP($B996,calc_data,K$14+1,0),0)</f>
        <v/>
      </c>
      <c r="L996" s="141">
        <f>IFERROR(VLOOKUP($B996,calc_data,L$14+1,0),0)</f>
        <v/>
      </c>
      <c r="M996" s="177">
        <f>IFERROR(VLOOKUP($B996,calc_data,M$14+1,0),0)</f>
        <v/>
      </c>
      <c r="N996" s="177">
        <f>IFERROR(VLOOKUP($B996,calc_data,N$14+1,0),0)</f>
        <v/>
      </c>
      <c r="O996" s="45" t="n"/>
      <c r="Q996" s="57">
        <f>IF(K996&gt;0,"показать","скрыть")</f>
        <v/>
      </c>
    </row>
    <row r="997" ht="15.75" customHeight="1">
      <c r="B997" s="182" t="n">
        <v>981</v>
      </c>
      <c r="C997" s="182">
        <f>IFERROR(VLOOKUP($B997,calc_data,C$14+1,0),0)</f>
        <v/>
      </c>
      <c r="D997" s="182">
        <f>IFERROR(VLOOKUP($B997,calc_data,D$14+1,0),0)</f>
        <v/>
      </c>
      <c r="E997" s="183">
        <f>IFERROR(VLOOKUP($B997,calc_data,E$14+1,0),0)</f>
        <v/>
      </c>
      <c r="F997" s="182">
        <f>IFERROR(VLOOKUP($B997,calc_data,F$14+1,0),0)</f>
        <v/>
      </c>
      <c r="G997" s="141">
        <f>IFERROR(VLOOKUP($B997,calc_data,G$14+1,0),0)</f>
        <v/>
      </c>
      <c r="H997" s="141">
        <f>IFERROR(VLOOKUP($B997,calc_data,H$14+1,0),0)</f>
        <v/>
      </c>
      <c r="I997" s="142">
        <f>IFERROR(VLOOKUP($B997,calc_data,I$14+1,0),0)</f>
        <v/>
      </c>
      <c r="J997" s="141">
        <f>IFERROR(VLOOKUP($B997,calc_data,J$14+1,0),0)</f>
        <v/>
      </c>
      <c r="K997" s="141">
        <f>IFERROR(VLOOKUP($B997,calc_data,K$14+1,0),0)</f>
        <v/>
      </c>
      <c r="L997" s="141">
        <f>IFERROR(VLOOKUP($B997,calc_data,L$14+1,0),0)</f>
        <v/>
      </c>
      <c r="M997" s="177">
        <f>IFERROR(VLOOKUP($B997,calc_data,M$14+1,0),0)</f>
        <v/>
      </c>
      <c r="N997" s="177">
        <f>IFERROR(VLOOKUP($B997,calc_data,N$14+1,0),0)</f>
        <v/>
      </c>
      <c r="O997" s="45" t="n"/>
      <c r="Q997" s="57">
        <f>IF(K997&gt;0,"показать","скрыть")</f>
        <v/>
      </c>
    </row>
    <row r="998" ht="15.75" customHeight="1">
      <c r="B998" s="182" t="n">
        <v>982</v>
      </c>
      <c r="C998" s="182">
        <f>IFERROR(VLOOKUP($B998,calc_data,C$14+1,0),0)</f>
        <v/>
      </c>
      <c r="D998" s="182">
        <f>IFERROR(VLOOKUP($B998,calc_data,D$14+1,0),0)</f>
        <v/>
      </c>
      <c r="E998" s="183">
        <f>IFERROR(VLOOKUP($B998,calc_data,E$14+1,0),0)</f>
        <v/>
      </c>
      <c r="F998" s="182">
        <f>IFERROR(VLOOKUP($B998,calc_data,F$14+1,0),0)</f>
        <v/>
      </c>
      <c r="G998" s="141">
        <f>IFERROR(VLOOKUP($B998,calc_data,G$14+1,0),0)</f>
        <v/>
      </c>
      <c r="H998" s="141">
        <f>IFERROR(VLOOKUP($B998,calc_data,H$14+1,0),0)</f>
        <v/>
      </c>
      <c r="I998" s="142">
        <f>IFERROR(VLOOKUP($B998,calc_data,I$14+1,0),0)</f>
        <v/>
      </c>
      <c r="J998" s="141">
        <f>IFERROR(VLOOKUP($B998,calc_data,J$14+1,0),0)</f>
        <v/>
      </c>
      <c r="K998" s="141">
        <f>IFERROR(VLOOKUP($B998,calc_data,K$14+1,0),0)</f>
        <v/>
      </c>
      <c r="L998" s="141">
        <f>IFERROR(VLOOKUP($B998,calc_data,L$14+1,0),0)</f>
        <v/>
      </c>
      <c r="M998" s="177">
        <f>IFERROR(VLOOKUP($B998,calc_data,M$14+1,0),0)</f>
        <v/>
      </c>
      <c r="N998" s="177">
        <f>IFERROR(VLOOKUP($B998,calc_data,N$14+1,0),0)</f>
        <v/>
      </c>
      <c r="O998" s="45" t="n"/>
      <c r="Q998" s="57">
        <f>IF(K998&gt;0,"показать","скрыть")</f>
        <v/>
      </c>
    </row>
    <row r="999" ht="15.75" customHeight="1">
      <c r="B999" s="182" t="n">
        <v>983</v>
      </c>
      <c r="C999" s="182">
        <f>IFERROR(VLOOKUP($B999,calc_data,C$14+1,0),0)</f>
        <v/>
      </c>
      <c r="D999" s="182">
        <f>IFERROR(VLOOKUP($B999,calc_data,D$14+1,0),0)</f>
        <v/>
      </c>
      <c r="E999" s="183">
        <f>IFERROR(VLOOKUP($B999,calc_data,E$14+1,0),0)</f>
        <v/>
      </c>
      <c r="F999" s="182">
        <f>IFERROR(VLOOKUP($B999,calc_data,F$14+1,0),0)</f>
        <v/>
      </c>
      <c r="G999" s="141">
        <f>IFERROR(VLOOKUP($B999,calc_data,G$14+1,0),0)</f>
        <v/>
      </c>
      <c r="H999" s="141">
        <f>IFERROR(VLOOKUP($B999,calc_data,H$14+1,0),0)</f>
        <v/>
      </c>
      <c r="I999" s="142">
        <f>IFERROR(VLOOKUP($B999,calc_data,I$14+1,0),0)</f>
        <v/>
      </c>
      <c r="J999" s="141">
        <f>IFERROR(VLOOKUP($B999,calc_data,J$14+1,0),0)</f>
        <v/>
      </c>
      <c r="K999" s="141">
        <f>IFERROR(VLOOKUP($B999,calc_data,K$14+1,0),0)</f>
        <v/>
      </c>
      <c r="L999" s="141">
        <f>IFERROR(VLOOKUP($B999,calc_data,L$14+1,0),0)</f>
        <v/>
      </c>
      <c r="M999" s="177">
        <f>IFERROR(VLOOKUP($B999,calc_data,M$14+1,0),0)</f>
        <v/>
      </c>
      <c r="N999" s="177">
        <f>IFERROR(VLOOKUP($B999,calc_data,N$14+1,0),0)</f>
        <v/>
      </c>
      <c r="O999" s="45" t="n"/>
      <c r="Q999" s="57">
        <f>IF(K999&gt;0,"показать","скрыть")</f>
        <v/>
      </c>
    </row>
    <row r="1000" ht="15.75" customHeight="1">
      <c r="B1000" s="182" t="n">
        <v>984</v>
      </c>
      <c r="C1000" s="182">
        <f>IFERROR(VLOOKUP($B1000,calc_data,C$14+1,0),0)</f>
        <v/>
      </c>
      <c r="D1000" s="182">
        <f>IFERROR(VLOOKUP($B1000,calc_data,D$14+1,0),0)</f>
        <v/>
      </c>
      <c r="E1000" s="183">
        <f>IFERROR(VLOOKUP($B1000,calc_data,E$14+1,0),0)</f>
        <v/>
      </c>
      <c r="F1000" s="182">
        <f>IFERROR(VLOOKUP($B1000,calc_data,F$14+1,0),0)</f>
        <v/>
      </c>
      <c r="G1000" s="141">
        <f>IFERROR(VLOOKUP($B1000,calc_data,G$14+1,0),0)</f>
        <v/>
      </c>
      <c r="H1000" s="141">
        <f>IFERROR(VLOOKUP($B1000,calc_data,H$14+1,0),0)</f>
        <v/>
      </c>
      <c r="I1000" s="142">
        <f>IFERROR(VLOOKUP($B1000,calc_data,I$14+1,0),0)</f>
        <v/>
      </c>
      <c r="J1000" s="141">
        <f>IFERROR(VLOOKUP($B1000,calc_data,J$14+1,0),0)</f>
        <v/>
      </c>
      <c r="K1000" s="141">
        <f>IFERROR(VLOOKUP($B1000,calc_data,K$14+1,0),0)</f>
        <v/>
      </c>
      <c r="L1000" s="141">
        <f>IFERROR(VLOOKUP($B1000,calc_data,L$14+1,0),0)</f>
        <v/>
      </c>
      <c r="M1000" s="177">
        <f>IFERROR(VLOOKUP($B1000,calc_data,M$14+1,0),0)</f>
        <v/>
      </c>
      <c r="N1000" s="177">
        <f>IFERROR(VLOOKUP($B1000,calc_data,N$14+1,0),0)</f>
        <v/>
      </c>
      <c r="O1000" s="45" t="n"/>
      <c r="Q1000" s="57">
        <f>IF(K1000&gt;0,"показать","скрыть")</f>
        <v/>
      </c>
    </row>
    <row r="1001" ht="15.75" customHeight="1">
      <c r="B1001" s="182" t="n">
        <v>985</v>
      </c>
      <c r="C1001" s="182">
        <f>IFERROR(VLOOKUP($B1001,calc_data,C$14+1,0),0)</f>
        <v/>
      </c>
      <c r="D1001" s="182">
        <f>IFERROR(VLOOKUP($B1001,calc_data,D$14+1,0),0)</f>
        <v/>
      </c>
      <c r="E1001" s="183">
        <f>IFERROR(VLOOKUP($B1001,calc_data,E$14+1,0),0)</f>
        <v/>
      </c>
      <c r="F1001" s="182">
        <f>IFERROR(VLOOKUP($B1001,calc_data,F$14+1,0),0)</f>
        <v/>
      </c>
      <c r="G1001" s="141">
        <f>IFERROR(VLOOKUP($B1001,calc_data,G$14+1,0),0)</f>
        <v/>
      </c>
      <c r="H1001" s="141">
        <f>IFERROR(VLOOKUP($B1001,calc_data,H$14+1,0),0)</f>
        <v/>
      </c>
      <c r="I1001" s="142">
        <f>IFERROR(VLOOKUP($B1001,calc_data,I$14+1,0),0)</f>
        <v/>
      </c>
      <c r="J1001" s="141">
        <f>IFERROR(VLOOKUP($B1001,calc_data,J$14+1,0),0)</f>
        <v/>
      </c>
      <c r="K1001" s="141">
        <f>IFERROR(VLOOKUP($B1001,calc_data,K$14+1,0),0)</f>
        <v/>
      </c>
      <c r="L1001" s="141">
        <f>IFERROR(VLOOKUP($B1001,calc_data,L$14+1,0),0)</f>
        <v/>
      </c>
      <c r="M1001" s="177">
        <f>IFERROR(VLOOKUP($B1001,calc_data,M$14+1,0),0)</f>
        <v/>
      </c>
      <c r="N1001" s="177">
        <f>IFERROR(VLOOKUP($B1001,calc_data,N$14+1,0),0)</f>
        <v/>
      </c>
      <c r="O1001" s="45" t="n"/>
      <c r="Q1001" s="57">
        <f>IF(K1001&gt;0,"показать","скрыть")</f>
        <v/>
      </c>
    </row>
    <row r="1002" ht="15.75" customHeight="1">
      <c r="B1002" s="182" t="n">
        <v>986</v>
      </c>
      <c r="C1002" s="182">
        <f>IFERROR(VLOOKUP($B1002,calc_data,C$14+1,0),0)</f>
        <v/>
      </c>
      <c r="D1002" s="182">
        <f>IFERROR(VLOOKUP($B1002,calc_data,D$14+1,0),0)</f>
        <v/>
      </c>
      <c r="E1002" s="183">
        <f>IFERROR(VLOOKUP($B1002,calc_data,E$14+1,0),0)</f>
        <v/>
      </c>
      <c r="F1002" s="182">
        <f>IFERROR(VLOOKUP($B1002,calc_data,F$14+1,0),0)</f>
        <v/>
      </c>
      <c r="G1002" s="141">
        <f>IFERROR(VLOOKUP($B1002,calc_data,G$14+1,0),0)</f>
        <v/>
      </c>
      <c r="H1002" s="141">
        <f>IFERROR(VLOOKUP($B1002,calc_data,H$14+1,0),0)</f>
        <v/>
      </c>
      <c r="I1002" s="142">
        <f>IFERROR(VLOOKUP($B1002,calc_data,I$14+1,0),0)</f>
        <v/>
      </c>
      <c r="J1002" s="141">
        <f>IFERROR(VLOOKUP($B1002,calc_data,J$14+1,0),0)</f>
        <v/>
      </c>
      <c r="K1002" s="141">
        <f>IFERROR(VLOOKUP($B1002,calc_data,K$14+1,0),0)</f>
        <v/>
      </c>
      <c r="L1002" s="141">
        <f>IFERROR(VLOOKUP($B1002,calc_data,L$14+1,0),0)</f>
        <v/>
      </c>
      <c r="M1002" s="177">
        <f>IFERROR(VLOOKUP($B1002,calc_data,M$14+1,0),0)</f>
        <v/>
      </c>
      <c r="N1002" s="177">
        <f>IFERROR(VLOOKUP($B1002,calc_data,N$14+1,0),0)</f>
        <v/>
      </c>
      <c r="O1002" s="45" t="n"/>
      <c r="Q1002" s="57">
        <f>IF(K1002&gt;0,"показать","скрыть")</f>
        <v/>
      </c>
    </row>
    <row r="1003" ht="15.75" customHeight="1">
      <c r="B1003" s="182" t="n">
        <v>987</v>
      </c>
      <c r="C1003" s="182">
        <f>IFERROR(VLOOKUP($B1003,calc_data,C$14+1,0),0)</f>
        <v/>
      </c>
      <c r="D1003" s="182">
        <f>IFERROR(VLOOKUP($B1003,calc_data,D$14+1,0),0)</f>
        <v/>
      </c>
      <c r="E1003" s="183">
        <f>IFERROR(VLOOKUP($B1003,calc_data,E$14+1,0),0)</f>
        <v/>
      </c>
      <c r="F1003" s="182">
        <f>IFERROR(VLOOKUP($B1003,calc_data,F$14+1,0),0)</f>
        <v/>
      </c>
      <c r="G1003" s="141">
        <f>IFERROR(VLOOKUP($B1003,calc_data,G$14+1,0),0)</f>
        <v/>
      </c>
      <c r="H1003" s="141">
        <f>IFERROR(VLOOKUP($B1003,calc_data,H$14+1,0),0)</f>
        <v/>
      </c>
      <c r="I1003" s="142">
        <f>IFERROR(VLOOKUP($B1003,calc_data,I$14+1,0),0)</f>
        <v/>
      </c>
      <c r="J1003" s="141">
        <f>IFERROR(VLOOKUP($B1003,calc_data,J$14+1,0),0)</f>
        <v/>
      </c>
      <c r="K1003" s="141">
        <f>IFERROR(VLOOKUP($B1003,calc_data,K$14+1,0),0)</f>
        <v/>
      </c>
      <c r="L1003" s="141">
        <f>IFERROR(VLOOKUP($B1003,calc_data,L$14+1,0),0)</f>
        <v/>
      </c>
      <c r="M1003" s="177">
        <f>IFERROR(VLOOKUP($B1003,calc_data,M$14+1,0),0)</f>
        <v/>
      </c>
      <c r="N1003" s="177">
        <f>IFERROR(VLOOKUP($B1003,calc_data,N$14+1,0),0)</f>
        <v/>
      </c>
      <c r="O1003" s="45" t="n"/>
      <c r="Q1003" s="57">
        <f>IF(K1003&gt;0,"показать","скрыть")</f>
        <v/>
      </c>
    </row>
    <row r="1004" ht="15.75" customHeight="1">
      <c r="B1004" s="182" t="n">
        <v>988</v>
      </c>
      <c r="C1004" s="182">
        <f>IFERROR(VLOOKUP($B1004,calc_data,C$14+1,0),0)</f>
        <v/>
      </c>
      <c r="D1004" s="182">
        <f>IFERROR(VLOOKUP($B1004,calc_data,D$14+1,0),0)</f>
        <v/>
      </c>
      <c r="E1004" s="183">
        <f>IFERROR(VLOOKUP($B1004,calc_data,E$14+1,0),0)</f>
        <v/>
      </c>
      <c r="F1004" s="182">
        <f>IFERROR(VLOOKUP($B1004,calc_data,F$14+1,0),0)</f>
        <v/>
      </c>
      <c r="G1004" s="141">
        <f>IFERROR(VLOOKUP($B1004,calc_data,G$14+1,0),0)</f>
        <v/>
      </c>
      <c r="H1004" s="141">
        <f>IFERROR(VLOOKUP($B1004,calc_data,H$14+1,0),0)</f>
        <v/>
      </c>
      <c r="I1004" s="142">
        <f>IFERROR(VLOOKUP($B1004,calc_data,I$14+1,0),0)</f>
        <v/>
      </c>
      <c r="J1004" s="141">
        <f>IFERROR(VLOOKUP($B1004,calc_data,J$14+1,0),0)</f>
        <v/>
      </c>
      <c r="K1004" s="141">
        <f>IFERROR(VLOOKUP($B1004,calc_data,K$14+1,0),0)</f>
        <v/>
      </c>
      <c r="L1004" s="141">
        <f>IFERROR(VLOOKUP($B1004,calc_data,L$14+1,0),0)</f>
        <v/>
      </c>
      <c r="M1004" s="177">
        <f>IFERROR(VLOOKUP($B1004,calc_data,M$14+1,0),0)</f>
        <v/>
      </c>
      <c r="N1004" s="177">
        <f>IFERROR(VLOOKUP($B1004,calc_data,N$14+1,0),0)</f>
        <v/>
      </c>
      <c r="O1004" s="45" t="n"/>
      <c r="Q1004" s="57">
        <f>IF(K1004&gt;0,"показать","скрыть")</f>
        <v/>
      </c>
    </row>
    <row r="1005" ht="15.75" customHeight="1">
      <c r="B1005" s="182" t="n">
        <v>989</v>
      </c>
      <c r="C1005" s="182">
        <f>IFERROR(VLOOKUP($B1005,calc_data,C$14+1,0),0)</f>
        <v/>
      </c>
      <c r="D1005" s="182">
        <f>IFERROR(VLOOKUP($B1005,calc_data,D$14+1,0),0)</f>
        <v/>
      </c>
      <c r="E1005" s="183">
        <f>IFERROR(VLOOKUP($B1005,calc_data,E$14+1,0),0)</f>
        <v/>
      </c>
      <c r="F1005" s="182">
        <f>IFERROR(VLOOKUP($B1005,calc_data,F$14+1,0),0)</f>
        <v/>
      </c>
      <c r="G1005" s="141">
        <f>IFERROR(VLOOKUP($B1005,calc_data,G$14+1,0),0)</f>
        <v/>
      </c>
      <c r="H1005" s="141">
        <f>IFERROR(VLOOKUP($B1005,calc_data,H$14+1,0),0)</f>
        <v/>
      </c>
      <c r="I1005" s="142">
        <f>IFERROR(VLOOKUP($B1005,calc_data,I$14+1,0),0)</f>
        <v/>
      </c>
      <c r="J1005" s="141">
        <f>IFERROR(VLOOKUP($B1005,calc_data,J$14+1,0),0)</f>
        <v/>
      </c>
      <c r="K1005" s="141">
        <f>IFERROR(VLOOKUP($B1005,calc_data,K$14+1,0),0)</f>
        <v/>
      </c>
      <c r="L1005" s="141">
        <f>IFERROR(VLOOKUP($B1005,calc_data,L$14+1,0),0)</f>
        <v/>
      </c>
      <c r="M1005" s="177">
        <f>IFERROR(VLOOKUP($B1005,calc_data,M$14+1,0),0)</f>
        <v/>
      </c>
      <c r="N1005" s="177">
        <f>IFERROR(VLOOKUP($B1005,calc_data,N$14+1,0),0)</f>
        <v/>
      </c>
      <c r="O1005" s="45" t="n"/>
      <c r="Q1005" s="57">
        <f>IF(K1005&gt;0,"показать","скрыть")</f>
        <v/>
      </c>
    </row>
    <row r="1006" ht="15.75" customHeight="1">
      <c r="B1006" s="182" t="n">
        <v>990</v>
      </c>
      <c r="C1006" s="182">
        <f>IFERROR(VLOOKUP($B1006,calc_data,C$14+1,0),0)</f>
        <v/>
      </c>
      <c r="D1006" s="182">
        <f>IFERROR(VLOOKUP($B1006,calc_data,D$14+1,0),0)</f>
        <v/>
      </c>
      <c r="E1006" s="183">
        <f>IFERROR(VLOOKUP($B1006,calc_data,E$14+1,0),0)</f>
        <v/>
      </c>
      <c r="F1006" s="182">
        <f>IFERROR(VLOOKUP($B1006,calc_data,F$14+1,0),0)</f>
        <v/>
      </c>
      <c r="G1006" s="141">
        <f>IFERROR(VLOOKUP($B1006,calc_data,G$14+1,0),0)</f>
        <v/>
      </c>
      <c r="H1006" s="141">
        <f>IFERROR(VLOOKUP($B1006,calc_data,H$14+1,0),0)</f>
        <v/>
      </c>
      <c r="I1006" s="142">
        <f>IFERROR(VLOOKUP($B1006,calc_data,I$14+1,0),0)</f>
        <v/>
      </c>
      <c r="J1006" s="141">
        <f>IFERROR(VLOOKUP($B1006,calc_data,J$14+1,0),0)</f>
        <v/>
      </c>
      <c r="K1006" s="141">
        <f>IFERROR(VLOOKUP($B1006,calc_data,K$14+1,0),0)</f>
        <v/>
      </c>
      <c r="L1006" s="141">
        <f>IFERROR(VLOOKUP($B1006,calc_data,L$14+1,0),0)</f>
        <v/>
      </c>
      <c r="M1006" s="177">
        <f>IFERROR(VLOOKUP($B1006,calc_data,M$14+1,0),0)</f>
        <v/>
      </c>
      <c r="N1006" s="177">
        <f>IFERROR(VLOOKUP($B1006,calc_data,N$14+1,0),0)</f>
        <v/>
      </c>
      <c r="O1006" s="45" t="n"/>
      <c r="Q1006" s="57">
        <f>IF(K1006&gt;0,"показать","скрыть")</f>
        <v/>
      </c>
    </row>
    <row r="1007" ht="15.75" customHeight="1">
      <c r="B1007" s="182" t="n">
        <v>991</v>
      </c>
      <c r="C1007" s="182">
        <f>IFERROR(VLOOKUP($B1007,calc_data,C$14+1,0),0)</f>
        <v/>
      </c>
      <c r="D1007" s="182">
        <f>IFERROR(VLOOKUP($B1007,calc_data,D$14+1,0),0)</f>
        <v/>
      </c>
      <c r="E1007" s="183">
        <f>IFERROR(VLOOKUP($B1007,calc_data,E$14+1,0),0)</f>
        <v/>
      </c>
      <c r="F1007" s="182">
        <f>IFERROR(VLOOKUP($B1007,calc_data,F$14+1,0),0)</f>
        <v/>
      </c>
      <c r="G1007" s="141">
        <f>IFERROR(VLOOKUP($B1007,calc_data,G$14+1,0),0)</f>
        <v/>
      </c>
      <c r="H1007" s="141">
        <f>IFERROR(VLOOKUP($B1007,calc_data,H$14+1,0),0)</f>
        <v/>
      </c>
      <c r="I1007" s="142">
        <f>IFERROR(VLOOKUP($B1007,calc_data,I$14+1,0),0)</f>
        <v/>
      </c>
      <c r="J1007" s="141">
        <f>IFERROR(VLOOKUP($B1007,calc_data,J$14+1,0),0)</f>
        <v/>
      </c>
      <c r="K1007" s="141">
        <f>IFERROR(VLOOKUP($B1007,calc_data,K$14+1,0),0)</f>
        <v/>
      </c>
      <c r="L1007" s="141">
        <f>IFERROR(VLOOKUP($B1007,calc_data,L$14+1,0),0)</f>
        <v/>
      </c>
      <c r="M1007" s="177">
        <f>IFERROR(VLOOKUP($B1007,calc_data,M$14+1,0),0)</f>
        <v/>
      </c>
      <c r="N1007" s="177">
        <f>IFERROR(VLOOKUP($B1007,calc_data,N$14+1,0),0)</f>
        <v/>
      </c>
      <c r="O1007" s="45" t="n"/>
      <c r="Q1007" s="57">
        <f>IF(K1007&gt;0,"показать","скрыть")</f>
        <v/>
      </c>
    </row>
    <row r="1008" ht="15.75" customHeight="1">
      <c r="B1008" s="182" t="n">
        <v>992</v>
      </c>
      <c r="C1008" s="182">
        <f>IFERROR(VLOOKUP($B1008,calc_data,C$14+1,0),0)</f>
        <v/>
      </c>
      <c r="D1008" s="182">
        <f>IFERROR(VLOOKUP($B1008,calc_data,D$14+1,0),0)</f>
        <v/>
      </c>
      <c r="E1008" s="183">
        <f>IFERROR(VLOOKUP($B1008,calc_data,E$14+1,0),0)</f>
        <v/>
      </c>
      <c r="F1008" s="182">
        <f>IFERROR(VLOOKUP($B1008,calc_data,F$14+1,0),0)</f>
        <v/>
      </c>
      <c r="G1008" s="141">
        <f>IFERROR(VLOOKUP($B1008,calc_data,G$14+1,0),0)</f>
        <v/>
      </c>
      <c r="H1008" s="141">
        <f>IFERROR(VLOOKUP($B1008,calc_data,H$14+1,0),0)</f>
        <v/>
      </c>
      <c r="I1008" s="142">
        <f>IFERROR(VLOOKUP($B1008,calc_data,I$14+1,0),0)</f>
        <v/>
      </c>
      <c r="J1008" s="141">
        <f>IFERROR(VLOOKUP($B1008,calc_data,J$14+1,0),0)</f>
        <v/>
      </c>
      <c r="K1008" s="141">
        <f>IFERROR(VLOOKUP($B1008,calc_data,K$14+1,0),0)</f>
        <v/>
      </c>
      <c r="L1008" s="141">
        <f>IFERROR(VLOOKUP($B1008,calc_data,L$14+1,0),0)</f>
        <v/>
      </c>
      <c r="M1008" s="177">
        <f>IFERROR(VLOOKUP($B1008,calc_data,M$14+1,0),0)</f>
        <v/>
      </c>
      <c r="N1008" s="177">
        <f>IFERROR(VLOOKUP($B1008,calc_data,N$14+1,0),0)</f>
        <v/>
      </c>
      <c r="O1008" s="45" t="n"/>
      <c r="Q1008" s="57">
        <f>IF(K1008&gt;0,"показать","скрыть")</f>
        <v/>
      </c>
    </row>
    <row r="1009" ht="15.75" customHeight="1">
      <c r="B1009" s="182" t="n">
        <v>993</v>
      </c>
      <c r="C1009" s="182">
        <f>IFERROR(VLOOKUP($B1009,calc_data,C$14+1,0),0)</f>
        <v/>
      </c>
      <c r="D1009" s="182">
        <f>IFERROR(VLOOKUP($B1009,calc_data,D$14+1,0),0)</f>
        <v/>
      </c>
      <c r="E1009" s="183">
        <f>IFERROR(VLOOKUP($B1009,calc_data,E$14+1,0),0)</f>
        <v/>
      </c>
      <c r="F1009" s="182">
        <f>IFERROR(VLOOKUP($B1009,calc_data,F$14+1,0),0)</f>
        <v/>
      </c>
      <c r="G1009" s="141">
        <f>IFERROR(VLOOKUP($B1009,calc_data,G$14+1,0),0)</f>
        <v/>
      </c>
      <c r="H1009" s="141">
        <f>IFERROR(VLOOKUP($B1009,calc_data,H$14+1,0),0)</f>
        <v/>
      </c>
      <c r="I1009" s="142">
        <f>IFERROR(VLOOKUP($B1009,calc_data,I$14+1,0),0)</f>
        <v/>
      </c>
      <c r="J1009" s="141">
        <f>IFERROR(VLOOKUP($B1009,calc_data,J$14+1,0),0)</f>
        <v/>
      </c>
      <c r="K1009" s="141">
        <f>IFERROR(VLOOKUP($B1009,calc_data,K$14+1,0),0)</f>
        <v/>
      </c>
      <c r="L1009" s="141">
        <f>IFERROR(VLOOKUP($B1009,calc_data,L$14+1,0),0)</f>
        <v/>
      </c>
      <c r="M1009" s="177">
        <f>IFERROR(VLOOKUP($B1009,calc_data,M$14+1,0),0)</f>
        <v/>
      </c>
      <c r="N1009" s="177">
        <f>IFERROR(VLOOKUP($B1009,calc_data,N$14+1,0),0)</f>
        <v/>
      </c>
      <c r="O1009" s="45" t="n"/>
      <c r="Q1009" s="57">
        <f>IF(K1009&gt;0,"показать","скрыть")</f>
        <v/>
      </c>
    </row>
    <row r="1010" ht="15.75" customHeight="1">
      <c r="B1010" s="182" t="n">
        <v>994</v>
      </c>
      <c r="C1010" s="182">
        <f>IFERROR(VLOOKUP($B1010,calc_data,C$14+1,0),0)</f>
        <v/>
      </c>
      <c r="D1010" s="182">
        <f>IFERROR(VLOOKUP($B1010,calc_data,D$14+1,0),0)</f>
        <v/>
      </c>
      <c r="E1010" s="183">
        <f>IFERROR(VLOOKUP($B1010,calc_data,E$14+1,0),0)</f>
        <v/>
      </c>
      <c r="F1010" s="182">
        <f>IFERROR(VLOOKUP($B1010,calc_data,F$14+1,0),0)</f>
        <v/>
      </c>
      <c r="G1010" s="141">
        <f>IFERROR(VLOOKUP($B1010,calc_data,G$14+1,0),0)</f>
        <v/>
      </c>
      <c r="H1010" s="141">
        <f>IFERROR(VLOOKUP($B1010,calc_data,H$14+1,0),0)</f>
        <v/>
      </c>
      <c r="I1010" s="142">
        <f>IFERROR(VLOOKUP($B1010,calc_data,I$14+1,0),0)</f>
        <v/>
      </c>
      <c r="J1010" s="141">
        <f>IFERROR(VLOOKUP($B1010,calc_data,J$14+1,0),0)</f>
        <v/>
      </c>
      <c r="K1010" s="141">
        <f>IFERROR(VLOOKUP($B1010,calc_data,K$14+1,0),0)</f>
        <v/>
      </c>
      <c r="L1010" s="141">
        <f>IFERROR(VLOOKUP($B1010,calc_data,L$14+1,0),0)</f>
        <v/>
      </c>
      <c r="M1010" s="177">
        <f>IFERROR(VLOOKUP($B1010,calc_data,M$14+1,0),0)</f>
        <v/>
      </c>
      <c r="N1010" s="177">
        <f>IFERROR(VLOOKUP($B1010,calc_data,N$14+1,0),0)</f>
        <v/>
      </c>
      <c r="O1010" s="45" t="n"/>
      <c r="Q1010" s="57">
        <f>IF(K1010&gt;0,"показать","скрыть")</f>
        <v/>
      </c>
    </row>
    <row r="1011" ht="15.75" customHeight="1">
      <c r="B1011" s="182" t="n">
        <v>995</v>
      </c>
      <c r="C1011" s="182">
        <f>IFERROR(VLOOKUP($B1011,calc_data,C$14+1,0),0)</f>
        <v/>
      </c>
      <c r="D1011" s="182">
        <f>IFERROR(VLOOKUP($B1011,calc_data,D$14+1,0),0)</f>
        <v/>
      </c>
      <c r="E1011" s="183">
        <f>IFERROR(VLOOKUP($B1011,calc_data,E$14+1,0),0)</f>
        <v/>
      </c>
      <c r="F1011" s="182">
        <f>IFERROR(VLOOKUP($B1011,calc_data,F$14+1,0),0)</f>
        <v/>
      </c>
      <c r="G1011" s="141">
        <f>IFERROR(VLOOKUP($B1011,calc_data,G$14+1,0),0)</f>
        <v/>
      </c>
      <c r="H1011" s="141">
        <f>IFERROR(VLOOKUP($B1011,calc_data,H$14+1,0),0)</f>
        <v/>
      </c>
      <c r="I1011" s="142">
        <f>IFERROR(VLOOKUP($B1011,calc_data,I$14+1,0),0)</f>
        <v/>
      </c>
      <c r="J1011" s="141">
        <f>IFERROR(VLOOKUP($B1011,calc_data,J$14+1,0),0)</f>
        <v/>
      </c>
      <c r="K1011" s="141">
        <f>IFERROR(VLOOKUP($B1011,calc_data,K$14+1,0),0)</f>
        <v/>
      </c>
      <c r="L1011" s="141">
        <f>IFERROR(VLOOKUP($B1011,calc_data,L$14+1,0),0)</f>
        <v/>
      </c>
      <c r="M1011" s="177">
        <f>IFERROR(VLOOKUP($B1011,calc_data,M$14+1,0),0)</f>
        <v/>
      </c>
      <c r="N1011" s="177">
        <f>IFERROR(VLOOKUP($B1011,calc_data,N$14+1,0),0)</f>
        <v/>
      </c>
      <c r="O1011" s="45" t="n"/>
      <c r="Q1011" s="57">
        <f>IF(K1011&gt;0,"показать","скрыть")</f>
        <v/>
      </c>
    </row>
    <row r="1012" ht="15.75" customHeight="1">
      <c r="B1012" s="182" t="n">
        <v>996</v>
      </c>
      <c r="C1012" s="182">
        <f>IFERROR(VLOOKUP($B1012,calc_data,C$14+1,0),0)</f>
        <v/>
      </c>
      <c r="D1012" s="182">
        <f>IFERROR(VLOOKUP($B1012,calc_data,D$14+1,0),0)</f>
        <v/>
      </c>
      <c r="E1012" s="183">
        <f>IFERROR(VLOOKUP($B1012,calc_data,E$14+1,0),0)</f>
        <v/>
      </c>
      <c r="F1012" s="182">
        <f>IFERROR(VLOOKUP($B1012,calc_data,F$14+1,0),0)</f>
        <v/>
      </c>
      <c r="G1012" s="141">
        <f>IFERROR(VLOOKUP($B1012,calc_data,G$14+1,0),0)</f>
        <v/>
      </c>
      <c r="H1012" s="141">
        <f>IFERROR(VLOOKUP($B1012,calc_data,H$14+1,0),0)</f>
        <v/>
      </c>
      <c r="I1012" s="142">
        <f>IFERROR(VLOOKUP($B1012,calc_data,I$14+1,0),0)</f>
        <v/>
      </c>
      <c r="J1012" s="141">
        <f>IFERROR(VLOOKUP($B1012,calc_data,J$14+1,0),0)</f>
        <v/>
      </c>
      <c r="K1012" s="141">
        <f>IFERROR(VLOOKUP($B1012,calc_data,K$14+1,0),0)</f>
        <v/>
      </c>
      <c r="L1012" s="141">
        <f>IFERROR(VLOOKUP($B1012,calc_data,L$14+1,0),0)</f>
        <v/>
      </c>
      <c r="M1012" s="177">
        <f>IFERROR(VLOOKUP($B1012,calc_data,M$14+1,0),0)</f>
        <v/>
      </c>
      <c r="N1012" s="177">
        <f>IFERROR(VLOOKUP($B1012,calc_data,N$14+1,0),0)</f>
        <v/>
      </c>
      <c r="O1012" s="45" t="n"/>
      <c r="Q1012" s="57">
        <f>IF(K1012&gt;0,"показать","скрыть")</f>
        <v/>
      </c>
    </row>
    <row r="1013" ht="15.75" customHeight="1">
      <c r="B1013" s="182" t="n">
        <v>997</v>
      </c>
      <c r="C1013" s="182">
        <f>IFERROR(VLOOKUP($B1013,calc_data,C$14+1,0),0)</f>
        <v/>
      </c>
      <c r="D1013" s="182">
        <f>IFERROR(VLOOKUP($B1013,calc_data,D$14+1,0),0)</f>
        <v/>
      </c>
      <c r="E1013" s="183">
        <f>IFERROR(VLOOKUP($B1013,calc_data,E$14+1,0),0)</f>
        <v/>
      </c>
      <c r="F1013" s="182">
        <f>IFERROR(VLOOKUP($B1013,calc_data,F$14+1,0),0)</f>
        <v/>
      </c>
      <c r="G1013" s="141">
        <f>IFERROR(VLOOKUP($B1013,calc_data,G$14+1,0),0)</f>
        <v/>
      </c>
      <c r="H1013" s="141">
        <f>IFERROR(VLOOKUP($B1013,calc_data,H$14+1,0),0)</f>
        <v/>
      </c>
      <c r="I1013" s="142">
        <f>IFERROR(VLOOKUP($B1013,calc_data,I$14+1,0),0)</f>
        <v/>
      </c>
      <c r="J1013" s="141">
        <f>IFERROR(VLOOKUP($B1013,calc_data,J$14+1,0),0)</f>
        <v/>
      </c>
      <c r="K1013" s="141">
        <f>IFERROR(VLOOKUP($B1013,calc_data,K$14+1,0),0)</f>
        <v/>
      </c>
      <c r="L1013" s="141">
        <f>IFERROR(VLOOKUP($B1013,calc_data,L$14+1,0),0)</f>
        <v/>
      </c>
      <c r="M1013" s="177">
        <f>IFERROR(VLOOKUP($B1013,calc_data,M$14+1,0),0)</f>
        <v/>
      </c>
      <c r="N1013" s="177">
        <f>IFERROR(VLOOKUP($B1013,calc_data,N$14+1,0),0)</f>
        <v/>
      </c>
      <c r="O1013" s="45" t="n"/>
      <c r="Q1013" s="57">
        <f>IF(K1013&gt;0,"показать","скрыть")</f>
        <v/>
      </c>
    </row>
    <row r="1014" ht="15.75" customHeight="1">
      <c r="B1014" s="182" t="n">
        <v>998</v>
      </c>
      <c r="C1014" s="182">
        <f>IFERROR(VLOOKUP($B1014,calc_data,C$14+1,0),0)</f>
        <v/>
      </c>
      <c r="D1014" s="182">
        <f>IFERROR(VLOOKUP($B1014,calc_data,D$14+1,0),0)</f>
        <v/>
      </c>
      <c r="E1014" s="183">
        <f>IFERROR(VLOOKUP($B1014,calc_data,E$14+1,0),0)</f>
        <v/>
      </c>
      <c r="F1014" s="182">
        <f>IFERROR(VLOOKUP($B1014,calc_data,F$14+1,0),0)</f>
        <v/>
      </c>
      <c r="G1014" s="141">
        <f>IFERROR(VLOOKUP($B1014,calc_data,G$14+1,0),0)</f>
        <v/>
      </c>
      <c r="H1014" s="141">
        <f>IFERROR(VLOOKUP($B1014,calc_data,H$14+1,0),0)</f>
        <v/>
      </c>
      <c r="I1014" s="142">
        <f>IFERROR(VLOOKUP($B1014,calc_data,I$14+1,0),0)</f>
        <v/>
      </c>
      <c r="J1014" s="141">
        <f>IFERROR(VLOOKUP($B1014,calc_data,J$14+1,0),0)</f>
        <v/>
      </c>
      <c r="K1014" s="141">
        <f>IFERROR(VLOOKUP($B1014,calc_data,K$14+1,0),0)</f>
        <v/>
      </c>
      <c r="L1014" s="141">
        <f>IFERROR(VLOOKUP($B1014,calc_data,L$14+1,0),0)</f>
        <v/>
      </c>
      <c r="M1014" s="177">
        <f>IFERROR(VLOOKUP($B1014,calc_data,M$14+1,0),0)</f>
        <v/>
      </c>
      <c r="N1014" s="177">
        <f>IFERROR(VLOOKUP($B1014,calc_data,N$14+1,0),0)</f>
        <v/>
      </c>
      <c r="O1014" s="45" t="n"/>
      <c r="Q1014" s="57">
        <f>IF(K1014&gt;0,"показать","скрыть")</f>
        <v/>
      </c>
    </row>
    <row r="1015" ht="15.75" customHeight="1">
      <c r="B1015" s="182" t="n">
        <v>999</v>
      </c>
      <c r="C1015" s="182">
        <f>IFERROR(VLOOKUP($B1015,calc_data,C$14+1,0),0)</f>
        <v/>
      </c>
      <c r="D1015" s="182">
        <f>IFERROR(VLOOKUP($B1015,calc_data,D$14+1,0),0)</f>
        <v/>
      </c>
      <c r="E1015" s="183">
        <f>IFERROR(VLOOKUP($B1015,calc_data,E$14+1,0),0)</f>
        <v/>
      </c>
      <c r="F1015" s="182">
        <f>IFERROR(VLOOKUP($B1015,calc_data,F$14+1,0),0)</f>
        <v/>
      </c>
      <c r="G1015" s="141">
        <f>IFERROR(VLOOKUP($B1015,calc_data,G$14+1,0),0)</f>
        <v/>
      </c>
      <c r="H1015" s="141">
        <f>IFERROR(VLOOKUP($B1015,calc_data,H$14+1,0),0)</f>
        <v/>
      </c>
      <c r="I1015" s="142">
        <f>IFERROR(VLOOKUP($B1015,calc_data,I$14+1,0),0)</f>
        <v/>
      </c>
      <c r="J1015" s="141">
        <f>IFERROR(VLOOKUP($B1015,calc_data,J$14+1,0),0)</f>
        <v/>
      </c>
      <c r="K1015" s="141">
        <f>IFERROR(VLOOKUP($B1015,calc_data,K$14+1,0),0)</f>
        <v/>
      </c>
      <c r="L1015" s="141">
        <f>IFERROR(VLOOKUP($B1015,calc_data,L$14+1,0),0)</f>
        <v/>
      </c>
      <c r="M1015" s="177">
        <f>IFERROR(VLOOKUP($B1015,calc_data,M$14+1,0),0)</f>
        <v/>
      </c>
      <c r="N1015" s="177">
        <f>IFERROR(VLOOKUP($B1015,calc_data,N$14+1,0),0)</f>
        <v/>
      </c>
      <c r="O1015" s="45" t="n"/>
      <c r="Q1015" s="57">
        <f>IF(K1015&gt;0,"показать","скрыть")</f>
        <v/>
      </c>
    </row>
    <row r="1016" ht="15.75" customHeight="1">
      <c r="B1016" s="182" t="n">
        <v>1000</v>
      </c>
      <c r="C1016" s="182">
        <f>IFERROR(VLOOKUP($B1016,calc_data,C$14+1,0),0)</f>
        <v/>
      </c>
      <c r="D1016" s="182">
        <f>IFERROR(VLOOKUP($B1016,calc_data,D$14+1,0),0)</f>
        <v/>
      </c>
      <c r="E1016" s="183">
        <f>IFERROR(VLOOKUP($B1016,calc_data,E$14+1,0),0)</f>
        <v/>
      </c>
      <c r="F1016" s="182">
        <f>IFERROR(VLOOKUP($B1016,calc_data,F$14+1,0),0)</f>
        <v/>
      </c>
      <c r="G1016" s="141">
        <f>IFERROR(VLOOKUP($B1016,calc_data,G$14+1,0),0)</f>
        <v/>
      </c>
      <c r="H1016" s="141">
        <f>IFERROR(VLOOKUP($B1016,calc_data,H$14+1,0),0)</f>
        <v/>
      </c>
      <c r="I1016" s="142">
        <f>IFERROR(VLOOKUP($B1016,calc_data,I$14+1,0),0)</f>
        <v/>
      </c>
      <c r="J1016" s="141">
        <f>IFERROR(VLOOKUP($B1016,calc_data,J$14+1,0),0)</f>
        <v/>
      </c>
      <c r="K1016" s="141">
        <f>IFERROR(VLOOKUP($B1016,calc_data,K$14+1,0),0)</f>
        <v/>
      </c>
      <c r="L1016" s="141">
        <f>IFERROR(VLOOKUP($B1016,calc_data,L$14+1,0),0)</f>
        <v/>
      </c>
      <c r="M1016" s="177">
        <f>IFERROR(VLOOKUP($B1016,calc_data,M$14+1,0),0)</f>
        <v/>
      </c>
      <c r="N1016" s="177">
        <f>IFERROR(VLOOKUP($B1016,calc_data,N$14+1,0),0)</f>
        <v/>
      </c>
      <c r="O1016" s="45" t="n"/>
      <c r="Q1016" s="57">
        <f>IF(K1016&gt;0,"показать","скрыть")</f>
        <v/>
      </c>
    </row>
    <row r="1017" ht="15.75" customHeight="1">
      <c r="B1017" s="182" t="n">
        <v>1001</v>
      </c>
      <c r="C1017" s="182">
        <f>IFERROR(VLOOKUP($B1017,calc_data,C$14+1,0),0)</f>
        <v/>
      </c>
      <c r="D1017" s="182">
        <f>IFERROR(VLOOKUP($B1017,calc_data,D$14+1,0),0)</f>
        <v/>
      </c>
      <c r="E1017" s="183">
        <f>IFERROR(VLOOKUP($B1017,calc_data,E$14+1,0),0)</f>
        <v/>
      </c>
      <c r="F1017" s="182">
        <f>IFERROR(VLOOKUP($B1017,calc_data,F$14+1,0),0)</f>
        <v/>
      </c>
      <c r="G1017" s="141">
        <f>IFERROR(VLOOKUP($B1017,calc_data,G$14+1,0),0)</f>
        <v/>
      </c>
      <c r="H1017" s="141">
        <f>IFERROR(VLOOKUP($B1017,calc_data,H$14+1,0),0)</f>
        <v/>
      </c>
      <c r="I1017" s="142">
        <f>IFERROR(VLOOKUP($B1017,calc_data,I$14+1,0),0)</f>
        <v/>
      </c>
      <c r="J1017" s="141">
        <f>IFERROR(VLOOKUP($B1017,calc_data,J$14+1,0),0)</f>
        <v/>
      </c>
      <c r="K1017" s="141">
        <f>IFERROR(VLOOKUP($B1017,calc_data,K$14+1,0),0)</f>
        <v/>
      </c>
      <c r="L1017" s="141">
        <f>IFERROR(VLOOKUP($B1017,calc_data,L$14+1,0),0)</f>
        <v/>
      </c>
      <c r="M1017" s="177">
        <f>IFERROR(VLOOKUP($B1017,calc_data,M$14+1,0),0)</f>
        <v/>
      </c>
      <c r="N1017" s="177">
        <f>IFERROR(VLOOKUP($B1017,calc_data,N$14+1,0),0)</f>
        <v/>
      </c>
      <c r="O1017" s="45" t="n"/>
      <c r="Q1017" s="57">
        <f>IF(K1017&gt;0,"показать","скрыть")</f>
        <v/>
      </c>
    </row>
    <row r="1018" ht="15.75" customHeight="1">
      <c r="B1018" s="182" t="n">
        <v>1002</v>
      </c>
      <c r="C1018" s="182">
        <f>IFERROR(VLOOKUP($B1018,calc_data,C$14+1,0),0)</f>
        <v/>
      </c>
      <c r="D1018" s="182">
        <f>IFERROR(VLOOKUP($B1018,calc_data,D$14+1,0),0)</f>
        <v/>
      </c>
      <c r="E1018" s="183">
        <f>IFERROR(VLOOKUP($B1018,calc_data,E$14+1,0),0)</f>
        <v/>
      </c>
      <c r="F1018" s="182">
        <f>IFERROR(VLOOKUP($B1018,calc_data,F$14+1,0),0)</f>
        <v/>
      </c>
      <c r="G1018" s="141">
        <f>IFERROR(VLOOKUP($B1018,calc_data,G$14+1,0),0)</f>
        <v/>
      </c>
      <c r="H1018" s="141">
        <f>IFERROR(VLOOKUP($B1018,calc_data,H$14+1,0),0)</f>
        <v/>
      </c>
      <c r="I1018" s="142">
        <f>IFERROR(VLOOKUP($B1018,calc_data,I$14+1,0),0)</f>
        <v/>
      </c>
      <c r="J1018" s="141">
        <f>IFERROR(VLOOKUP($B1018,calc_data,J$14+1,0),0)</f>
        <v/>
      </c>
      <c r="K1018" s="141">
        <f>IFERROR(VLOOKUP($B1018,calc_data,K$14+1,0),0)</f>
        <v/>
      </c>
      <c r="L1018" s="141">
        <f>IFERROR(VLOOKUP($B1018,calc_data,L$14+1,0),0)</f>
        <v/>
      </c>
      <c r="M1018" s="177">
        <f>IFERROR(VLOOKUP($B1018,calc_data,M$14+1,0),0)</f>
        <v/>
      </c>
      <c r="N1018" s="177">
        <f>IFERROR(VLOOKUP($B1018,calc_data,N$14+1,0),0)</f>
        <v/>
      </c>
      <c r="O1018" s="45" t="n"/>
      <c r="Q1018" s="57">
        <f>IF(K1018&gt;0,"показать","скрыть")</f>
        <v/>
      </c>
    </row>
    <row r="1019" ht="15.75" customHeight="1">
      <c r="B1019" s="182" t="n">
        <v>1003</v>
      </c>
      <c r="C1019" s="182">
        <f>IFERROR(VLOOKUP($B1019,calc_data,C$14+1,0),0)</f>
        <v/>
      </c>
      <c r="D1019" s="182">
        <f>IFERROR(VLOOKUP($B1019,calc_data,D$14+1,0),0)</f>
        <v/>
      </c>
      <c r="E1019" s="183">
        <f>IFERROR(VLOOKUP($B1019,calc_data,E$14+1,0),0)</f>
        <v/>
      </c>
      <c r="F1019" s="182">
        <f>IFERROR(VLOOKUP($B1019,calc_data,F$14+1,0),0)</f>
        <v/>
      </c>
      <c r="G1019" s="141">
        <f>IFERROR(VLOOKUP($B1019,calc_data,G$14+1,0),0)</f>
        <v/>
      </c>
      <c r="H1019" s="141">
        <f>IFERROR(VLOOKUP($B1019,calc_data,H$14+1,0),0)</f>
        <v/>
      </c>
      <c r="I1019" s="142">
        <f>IFERROR(VLOOKUP($B1019,calc_data,I$14+1,0),0)</f>
        <v/>
      </c>
      <c r="J1019" s="141">
        <f>IFERROR(VLOOKUP($B1019,calc_data,J$14+1,0),0)</f>
        <v/>
      </c>
      <c r="K1019" s="141">
        <f>IFERROR(VLOOKUP($B1019,calc_data,K$14+1,0),0)</f>
        <v/>
      </c>
      <c r="L1019" s="141">
        <f>IFERROR(VLOOKUP($B1019,calc_data,L$14+1,0),0)</f>
        <v/>
      </c>
      <c r="M1019" s="177">
        <f>IFERROR(VLOOKUP($B1019,calc_data,M$14+1,0),0)</f>
        <v/>
      </c>
      <c r="N1019" s="177">
        <f>IFERROR(VLOOKUP($B1019,calc_data,N$14+1,0),0)</f>
        <v/>
      </c>
      <c r="O1019" s="45" t="n"/>
      <c r="Q1019" s="57">
        <f>IF(K1019&gt;0,"показать","скрыть")</f>
        <v/>
      </c>
    </row>
    <row r="1020" ht="15.75" customHeight="1">
      <c r="B1020" s="182" t="n">
        <v>1004</v>
      </c>
      <c r="C1020" s="182">
        <f>IFERROR(VLOOKUP($B1020,calc_data,C$14+1,0),0)</f>
        <v/>
      </c>
      <c r="D1020" s="182">
        <f>IFERROR(VLOOKUP($B1020,calc_data,D$14+1,0),0)</f>
        <v/>
      </c>
      <c r="E1020" s="183">
        <f>IFERROR(VLOOKUP($B1020,calc_data,E$14+1,0),0)</f>
        <v/>
      </c>
      <c r="F1020" s="182">
        <f>IFERROR(VLOOKUP($B1020,calc_data,F$14+1,0),0)</f>
        <v/>
      </c>
      <c r="G1020" s="141">
        <f>IFERROR(VLOOKUP($B1020,calc_data,G$14+1,0),0)</f>
        <v/>
      </c>
      <c r="H1020" s="141">
        <f>IFERROR(VLOOKUP($B1020,calc_data,H$14+1,0),0)</f>
        <v/>
      </c>
      <c r="I1020" s="142">
        <f>IFERROR(VLOOKUP($B1020,calc_data,I$14+1,0),0)</f>
        <v/>
      </c>
      <c r="J1020" s="141">
        <f>IFERROR(VLOOKUP($B1020,calc_data,J$14+1,0),0)</f>
        <v/>
      </c>
      <c r="K1020" s="141">
        <f>IFERROR(VLOOKUP($B1020,calc_data,K$14+1,0),0)</f>
        <v/>
      </c>
      <c r="L1020" s="141">
        <f>IFERROR(VLOOKUP($B1020,calc_data,L$14+1,0),0)</f>
        <v/>
      </c>
      <c r="M1020" s="177">
        <f>IFERROR(VLOOKUP($B1020,calc_data,M$14+1,0),0)</f>
        <v/>
      </c>
      <c r="N1020" s="177">
        <f>IFERROR(VLOOKUP($B1020,calc_data,N$14+1,0),0)</f>
        <v/>
      </c>
      <c r="O1020" s="45" t="n"/>
      <c r="Q1020" s="57">
        <f>IF(K1020&gt;0,"показать","скрыть")</f>
        <v/>
      </c>
    </row>
    <row r="1021" ht="15.75" customHeight="1">
      <c r="B1021" s="182" t="n">
        <v>1005</v>
      </c>
      <c r="C1021" s="182">
        <f>IFERROR(VLOOKUP($B1021,calc_data,C$14+1,0),0)</f>
        <v/>
      </c>
      <c r="D1021" s="182">
        <f>IFERROR(VLOOKUP($B1021,calc_data,D$14+1,0),0)</f>
        <v/>
      </c>
      <c r="E1021" s="183">
        <f>IFERROR(VLOOKUP($B1021,calc_data,E$14+1,0),0)</f>
        <v/>
      </c>
      <c r="F1021" s="182">
        <f>IFERROR(VLOOKUP($B1021,calc_data,F$14+1,0),0)</f>
        <v/>
      </c>
      <c r="G1021" s="141">
        <f>IFERROR(VLOOKUP($B1021,calc_data,G$14+1,0),0)</f>
        <v/>
      </c>
      <c r="H1021" s="141">
        <f>IFERROR(VLOOKUP($B1021,calc_data,H$14+1,0),0)</f>
        <v/>
      </c>
      <c r="I1021" s="142">
        <f>IFERROR(VLOOKUP($B1021,calc_data,I$14+1,0),0)</f>
        <v/>
      </c>
      <c r="J1021" s="141">
        <f>IFERROR(VLOOKUP($B1021,calc_data,J$14+1,0),0)</f>
        <v/>
      </c>
      <c r="K1021" s="141">
        <f>IFERROR(VLOOKUP($B1021,calc_data,K$14+1,0),0)</f>
        <v/>
      </c>
      <c r="L1021" s="141">
        <f>IFERROR(VLOOKUP($B1021,calc_data,L$14+1,0),0)</f>
        <v/>
      </c>
      <c r="M1021" s="177">
        <f>IFERROR(VLOOKUP($B1021,calc_data,M$14+1,0),0)</f>
        <v/>
      </c>
      <c r="N1021" s="177">
        <f>IFERROR(VLOOKUP($B1021,calc_data,N$14+1,0),0)</f>
        <v/>
      </c>
      <c r="O1021" s="45" t="n"/>
      <c r="Q1021" s="57">
        <f>IF(K1021&gt;0,"показать","скрыть")</f>
        <v/>
      </c>
    </row>
    <row r="1022" ht="15.75" customHeight="1">
      <c r="B1022" s="182" t="n">
        <v>1006</v>
      </c>
      <c r="C1022" s="182">
        <f>IFERROR(VLOOKUP($B1022,calc_data,C$14+1,0),0)</f>
        <v/>
      </c>
      <c r="D1022" s="182">
        <f>IFERROR(VLOOKUP($B1022,calc_data,D$14+1,0),0)</f>
        <v/>
      </c>
      <c r="E1022" s="183">
        <f>IFERROR(VLOOKUP($B1022,calc_data,E$14+1,0),0)</f>
        <v/>
      </c>
      <c r="F1022" s="182">
        <f>IFERROR(VLOOKUP($B1022,calc_data,F$14+1,0),0)</f>
        <v/>
      </c>
      <c r="G1022" s="141">
        <f>IFERROR(VLOOKUP($B1022,calc_data,G$14+1,0),0)</f>
        <v/>
      </c>
      <c r="H1022" s="141">
        <f>IFERROR(VLOOKUP($B1022,calc_data,H$14+1,0),0)</f>
        <v/>
      </c>
      <c r="I1022" s="142">
        <f>IFERROR(VLOOKUP($B1022,calc_data,I$14+1,0),0)</f>
        <v/>
      </c>
      <c r="J1022" s="141">
        <f>IFERROR(VLOOKUP($B1022,calc_data,J$14+1,0),0)</f>
        <v/>
      </c>
      <c r="K1022" s="141">
        <f>IFERROR(VLOOKUP($B1022,calc_data,K$14+1,0),0)</f>
        <v/>
      </c>
      <c r="L1022" s="141">
        <f>IFERROR(VLOOKUP($B1022,calc_data,L$14+1,0),0)</f>
        <v/>
      </c>
      <c r="M1022" s="177">
        <f>IFERROR(VLOOKUP($B1022,calc_data,M$14+1,0),0)</f>
        <v/>
      </c>
      <c r="N1022" s="177">
        <f>IFERROR(VLOOKUP($B1022,calc_data,N$14+1,0),0)</f>
        <v/>
      </c>
      <c r="O1022" s="45" t="n"/>
      <c r="Q1022" s="57">
        <f>IF(K1022&gt;0,"показать","скрыть")</f>
        <v/>
      </c>
    </row>
    <row r="1023" ht="15.75" customHeight="1">
      <c r="B1023" s="182" t="n">
        <v>1007</v>
      </c>
      <c r="C1023" s="182">
        <f>IFERROR(VLOOKUP($B1023,calc_data,C$14+1,0),0)</f>
        <v/>
      </c>
      <c r="D1023" s="182">
        <f>IFERROR(VLOOKUP($B1023,calc_data,D$14+1,0),0)</f>
        <v/>
      </c>
      <c r="E1023" s="183">
        <f>IFERROR(VLOOKUP($B1023,calc_data,E$14+1,0),0)</f>
        <v/>
      </c>
      <c r="F1023" s="182">
        <f>IFERROR(VLOOKUP($B1023,calc_data,F$14+1,0),0)</f>
        <v/>
      </c>
      <c r="G1023" s="141">
        <f>IFERROR(VLOOKUP($B1023,calc_data,G$14+1,0),0)</f>
        <v/>
      </c>
      <c r="H1023" s="141">
        <f>IFERROR(VLOOKUP($B1023,calc_data,H$14+1,0),0)</f>
        <v/>
      </c>
      <c r="I1023" s="142">
        <f>IFERROR(VLOOKUP($B1023,calc_data,I$14+1,0),0)</f>
        <v/>
      </c>
      <c r="J1023" s="141">
        <f>IFERROR(VLOOKUP($B1023,calc_data,J$14+1,0),0)</f>
        <v/>
      </c>
      <c r="K1023" s="141">
        <f>IFERROR(VLOOKUP($B1023,calc_data,K$14+1,0),0)</f>
        <v/>
      </c>
      <c r="L1023" s="141">
        <f>IFERROR(VLOOKUP($B1023,calc_data,L$14+1,0),0)</f>
        <v/>
      </c>
      <c r="M1023" s="177">
        <f>IFERROR(VLOOKUP($B1023,calc_data,M$14+1,0),0)</f>
        <v/>
      </c>
      <c r="N1023" s="177">
        <f>IFERROR(VLOOKUP($B1023,calc_data,N$14+1,0),0)</f>
        <v/>
      </c>
      <c r="O1023" s="45" t="n"/>
      <c r="Q1023" s="57">
        <f>IF(K1023&gt;0,"показать","скрыть")</f>
        <v/>
      </c>
    </row>
    <row r="1024" ht="15.75" customHeight="1">
      <c r="B1024" s="182" t="n">
        <v>1008</v>
      </c>
      <c r="C1024" s="182">
        <f>IFERROR(VLOOKUP($B1024,calc_data,C$14+1,0),0)</f>
        <v/>
      </c>
      <c r="D1024" s="182">
        <f>IFERROR(VLOOKUP($B1024,calc_data,D$14+1,0),0)</f>
        <v/>
      </c>
      <c r="E1024" s="183">
        <f>IFERROR(VLOOKUP($B1024,calc_data,E$14+1,0),0)</f>
        <v/>
      </c>
      <c r="F1024" s="182">
        <f>IFERROR(VLOOKUP($B1024,calc_data,F$14+1,0),0)</f>
        <v/>
      </c>
      <c r="G1024" s="141">
        <f>IFERROR(VLOOKUP($B1024,calc_data,G$14+1,0),0)</f>
        <v/>
      </c>
      <c r="H1024" s="141">
        <f>IFERROR(VLOOKUP($B1024,calc_data,H$14+1,0),0)</f>
        <v/>
      </c>
      <c r="I1024" s="142">
        <f>IFERROR(VLOOKUP($B1024,calc_data,I$14+1,0),0)</f>
        <v/>
      </c>
      <c r="J1024" s="141">
        <f>IFERROR(VLOOKUP($B1024,calc_data,J$14+1,0),0)</f>
        <v/>
      </c>
      <c r="K1024" s="141">
        <f>IFERROR(VLOOKUP($B1024,calc_data,K$14+1,0),0)</f>
        <v/>
      </c>
      <c r="L1024" s="141">
        <f>IFERROR(VLOOKUP($B1024,calc_data,L$14+1,0),0)</f>
        <v/>
      </c>
      <c r="M1024" s="177">
        <f>IFERROR(VLOOKUP($B1024,calc_data,M$14+1,0),0)</f>
        <v/>
      </c>
      <c r="N1024" s="177">
        <f>IFERROR(VLOOKUP($B1024,calc_data,N$14+1,0),0)</f>
        <v/>
      </c>
      <c r="O1024" s="45" t="n"/>
      <c r="Q1024" s="57">
        <f>IF(K1024&gt;0,"показать","скрыть")</f>
        <v/>
      </c>
    </row>
    <row r="1025" ht="15.75" customHeight="1">
      <c r="B1025" s="182" t="n">
        <v>1009</v>
      </c>
      <c r="C1025" s="182">
        <f>IFERROR(VLOOKUP($B1025,calc_data,C$14+1,0),0)</f>
        <v/>
      </c>
      <c r="D1025" s="182">
        <f>IFERROR(VLOOKUP($B1025,calc_data,D$14+1,0),0)</f>
        <v/>
      </c>
      <c r="E1025" s="183">
        <f>IFERROR(VLOOKUP($B1025,calc_data,E$14+1,0),0)</f>
        <v/>
      </c>
      <c r="F1025" s="182">
        <f>IFERROR(VLOOKUP($B1025,calc_data,F$14+1,0),0)</f>
        <v/>
      </c>
      <c r="G1025" s="141">
        <f>IFERROR(VLOOKUP($B1025,calc_data,G$14+1,0),0)</f>
        <v/>
      </c>
      <c r="H1025" s="141">
        <f>IFERROR(VLOOKUP($B1025,calc_data,H$14+1,0),0)</f>
        <v/>
      </c>
      <c r="I1025" s="142">
        <f>IFERROR(VLOOKUP($B1025,calc_data,I$14+1,0),0)</f>
        <v/>
      </c>
      <c r="J1025" s="141">
        <f>IFERROR(VLOOKUP($B1025,calc_data,J$14+1,0),0)</f>
        <v/>
      </c>
      <c r="K1025" s="141">
        <f>IFERROR(VLOOKUP($B1025,calc_data,K$14+1,0),0)</f>
        <v/>
      </c>
      <c r="L1025" s="141">
        <f>IFERROR(VLOOKUP($B1025,calc_data,L$14+1,0),0)</f>
        <v/>
      </c>
      <c r="M1025" s="177">
        <f>IFERROR(VLOOKUP($B1025,calc_data,M$14+1,0),0)</f>
        <v/>
      </c>
      <c r="N1025" s="177">
        <f>IFERROR(VLOOKUP($B1025,calc_data,N$14+1,0),0)</f>
        <v/>
      </c>
      <c r="O1025" s="45" t="n"/>
      <c r="Q1025" s="57">
        <f>IF(K1025&gt;0,"показать","скрыть")</f>
        <v/>
      </c>
    </row>
    <row r="1026" ht="15.75" customHeight="1">
      <c r="B1026" s="182" t="n">
        <v>1010</v>
      </c>
      <c r="C1026" s="182">
        <f>IFERROR(VLOOKUP($B1026,calc_data,C$14+1,0),0)</f>
        <v/>
      </c>
      <c r="D1026" s="182">
        <f>IFERROR(VLOOKUP($B1026,calc_data,D$14+1,0),0)</f>
        <v/>
      </c>
      <c r="E1026" s="183">
        <f>IFERROR(VLOOKUP($B1026,calc_data,E$14+1,0),0)</f>
        <v/>
      </c>
      <c r="F1026" s="182">
        <f>IFERROR(VLOOKUP($B1026,calc_data,F$14+1,0),0)</f>
        <v/>
      </c>
      <c r="G1026" s="141">
        <f>IFERROR(VLOOKUP($B1026,calc_data,G$14+1,0),0)</f>
        <v/>
      </c>
      <c r="H1026" s="141">
        <f>IFERROR(VLOOKUP($B1026,calc_data,H$14+1,0),0)</f>
        <v/>
      </c>
      <c r="I1026" s="142">
        <f>IFERROR(VLOOKUP($B1026,calc_data,I$14+1,0),0)</f>
        <v/>
      </c>
      <c r="J1026" s="141">
        <f>IFERROR(VLOOKUP($B1026,calc_data,J$14+1,0),0)</f>
        <v/>
      </c>
      <c r="K1026" s="141">
        <f>IFERROR(VLOOKUP($B1026,calc_data,K$14+1,0),0)</f>
        <v/>
      </c>
      <c r="L1026" s="141">
        <f>IFERROR(VLOOKUP($B1026,calc_data,L$14+1,0),0)</f>
        <v/>
      </c>
      <c r="M1026" s="177">
        <f>IFERROR(VLOOKUP($B1026,calc_data,M$14+1,0),0)</f>
        <v/>
      </c>
      <c r="N1026" s="177">
        <f>IFERROR(VLOOKUP($B1026,calc_data,N$14+1,0),0)</f>
        <v/>
      </c>
      <c r="O1026" s="45" t="n"/>
      <c r="Q1026" s="57">
        <f>IF(K1026&gt;0,"показать","скрыть")</f>
        <v/>
      </c>
    </row>
    <row r="1027" ht="15.75" customHeight="1">
      <c r="B1027" s="182" t="n">
        <v>1011</v>
      </c>
      <c r="C1027" s="182">
        <f>IFERROR(VLOOKUP($B1027,calc_data,C$14+1,0),0)</f>
        <v/>
      </c>
      <c r="D1027" s="182">
        <f>IFERROR(VLOOKUP($B1027,calc_data,D$14+1,0),0)</f>
        <v/>
      </c>
      <c r="E1027" s="183">
        <f>IFERROR(VLOOKUP($B1027,calc_data,E$14+1,0),0)</f>
        <v/>
      </c>
      <c r="F1027" s="182">
        <f>IFERROR(VLOOKUP($B1027,calc_data,F$14+1,0),0)</f>
        <v/>
      </c>
      <c r="G1027" s="141">
        <f>IFERROR(VLOOKUP($B1027,calc_data,G$14+1,0),0)</f>
        <v/>
      </c>
      <c r="H1027" s="141">
        <f>IFERROR(VLOOKUP($B1027,calc_data,H$14+1,0),0)</f>
        <v/>
      </c>
      <c r="I1027" s="142">
        <f>IFERROR(VLOOKUP($B1027,calc_data,I$14+1,0),0)</f>
        <v/>
      </c>
      <c r="J1027" s="141">
        <f>IFERROR(VLOOKUP($B1027,calc_data,J$14+1,0),0)</f>
        <v/>
      </c>
      <c r="K1027" s="141">
        <f>IFERROR(VLOOKUP($B1027,calc_data,K$14+1,0),0)</f>
        <v/>
      </c>
      <c r="L1027" s="141">
        <f>IFERROR(VLOOKUP($B1027,calc_data,L$14+1,0),0)</f>
        <v/>
      </c>
      <c r="M1027" s="177">
        <f>IFERROR(VLOOKUP($B1027,calc_data,M$14+1,0),0)</f>
        <v/>
      </c>
      <c r="N1027" s="177">
        <f>IFERROR(VLOOKUP($B1027,calc_data,N$14+1,0),0)</f>
        <v/>
      </c>
      <c r="O1027" s="45" t="n"/>
      <c r="Q1027" s="57">
        <f>IF(K1027&gt;0,"показать","скрыть")</f>
        <v/>
      </c>
    </row>
    <row r="1028" ht="15.75" customHeight="1">
      <c r="B1028" s="182" t="n">
        <v>1012</v>
      </c>
      <c r="C1028" s="182">
        <f>IFERROR(VLOOKUP($B1028,calc_data,C$14+1,0),0)</f>
        <v/>
      </c>
      <c r="D1028" s="182">
        <f>IFERROR(VLOOKUP($B1028,calc_data,D$14+1,0),0)</f>
        <v/>
      </c>
      <c r="E1028" s="183">
        <f>IFERROR(VLOOKUP($B1028,calc_data,E$14+1,0),0)</f>
        <v/>
      </c>
      <c r="F1028" s="182">
        <f>IFERROR(VLOOKUP($B1028,calc_data,F$14+1,0),0)</f>
        <v/>
      </c>
      <c r="G1028" s="141">
        <f>IFERROR(VLOOKUP($B1028,calc_data,G$14+1,0),0)</f>
        <v/>
      </c>
      <c r="H1028" s="141">
        <f>IFERROR(VLOOKUP($B1028,calc_data,H$14+1,0),0)</f>
        <v/>
      </c>
      <c r="I1028" s="142">
        <f>IFERROR(VLOOKUP($B1028,calc_data,I$14+1,0),0)</f>
        <v/>
      </c>
      <c r="J1028" s="141">
        <f>IFERROR(VLOOKUP($B1028,calc_data,J$14+1,0),0)</f>
        <v/>
      </c>
      <c r="K1028" s="141">
        <f>IFERROR(VLOOKUP($B1028,calc_data,K$14+1,0),0)</f>
        <v/>
      </c>
      <c r="L1028" s="141">
        <f>IFERROR(VLOOKUP($B1028,calc_data,L$14+1,0),0)</f>
        <v/>
      </c>
      <c r="M1028" s="177">
        <f>IFERROR(VLOOKUP($B1028,calc_data,M$14+1,0),0)</f>
        <v/>
      </c>
      <c r="N1028" s="177">
        <f>IFERROR(VLOOKUP($B1028,calc_data,N$14+1,0),0)</f>
        <v/>
      </c>
      <c r="O1028" s="45" t="n"/>
      <c r="Q1028" s="57">
        <f>IF(K1028&gt;0,"показать","скрыть")</f>
        <v/>
      </c>
    </row>
    <row r="1029" ht="15.75" customHeight="1">
      <c r="B1029" s="182" t="n">
        <v>1013</v>
      </c>
      <c r="C1029" s="182">
        <f>IFERROR(VLOOKUP($B1029,calc_data,C$14+1,0),0)</f>
        <v/>
      </c>
      <c r="D1029" s="182">
        <f>IFERROR(VLOOKUP($B1029,calc_data,D$14+1,0),0)</f>
        <v/>
      </c>
      <c r="E1029" s="183">
        <f>IFERROR(VLOOKUP($B1029,calc_data,E$14+1,0),0)</f>
        <v/>
      </c>
      <c r="F1029" s="182">
        <f>IFERROR(VLOOKUP($B1029,calc_data,F$14+1,0),0)</f>
        <v/>
      </c>
      <c r="G1029" s="141">
        <f>IFERROR(VLOOKUP($B1029,calc_data,G$14+1,0),0)</f>
        <v/>
      </c>
      <c r="H1029" s="141">
        <f>IFERROR(VLOOKUP($B1029,calc_data,H$14+1,0),0)</f>
        <v/>
      </c>
      <c r="I1029" s="142">
        <f>IFERROR(VLOOKUP($B1029,calc_data,I$14+1,0),0)</f>
        <v/>
      </c>
      <c r="J1029" s="141">
        <f>IFERROR(VLOOKUP($B1029,calc_data,J$14+1,0),0)</f>
        <v/>
      </c>
      <c r="K1029" s="141">
        <f>IFERROR(VLOOKUP($B1029,calc_data,K$14+1,0),0)</f>
        <v/>
      </c>
      <c r="L1029" s="141">
        <f>IFERROR(VLOOKUP($B1029,calc_data,L$14+1,0),0)</f>
        <v/>
      </c>
      <c r="M1029" s="177">
        <f>IFERROR(VLOOKUP($B1029,calc_data,M$14+1,0),0)</f>
        <v/>
      </c>
      <c r="N1029" s="177">
        <f>IFERROR(VLOOKUP($B1029,calc_data,N$14+1,0),0)</f>
        <v/>
      </c>
      <c r="O1029" s="45" t="n"/>
      <c r="Q1029" s="57">
        <f>IF(K1029&gt;0,"показать","скрыть")</f>
        <v/>
      </c>
    </row>
    <row r="1030" ht="15.75" customHeight="1">
      <c r="B1030" s="182" t="n">
        <v>1014</v>
      </c>
      <c r="C1030" s="182">
        <f>IFERROR(VLOOKUP($B1030,calc_data,C$14+1,0),0)</f>
        <v/>
      </c>
      <c r="D1030" s="182">
        <f>IFERROR(VLOOKUP($B1030,calc_data,D$14+1,0),0)</f>
        <v/>
      </c>
      <c r="E1030" s="183">
        <f>IFERROR(VLOOKUP($B1030,calc_data,E$14+1,0),0)</f>
        <v/>
      </c>
      <c r="F1030" s="182">
        <f>IFERROR(VLOOKUP($B1030,calc_data,F$14+1,0),0)</f>
        <v/>
      </c>
      <c r="G1030" s="141">
        <f>IFERROR(VLOOKUP($B1030,calc_data,G$14+1,0),0)</f>
        <v/>
      </c>
      <c r="H1030" s="141">
        <f>IFERROR(VLOOKUP($B1030,calc_data,H$14+1,0),0)</f>
        <v/>
      </c>
      <c r="I1030" s="142">
        <f>IFERROR(VLOOKUP($B1030,calc_data,I$14+1,0),0)</f>
        <v/>
      </c>
      <c r="J1030" s="141">
        <f>IFERROR(VLOOKUP($B1030,calc_data,J$14+1,0),0)</f>
        <v/>
      </c>
      <c r="K1030" s="141">
        <f>IFERROR(VLOOKUP($B1030,calc_data,K$14+1,0),0)</f>
        <v/>
      </c>
      <c r="L1030" s="141">
        <f>IFERROR(VLOOKUP($B1030,calc_data,L$14+1,0),0)</f>
        <v/>
      </c>
      <c r="M1030" s="177">
        <f>IFERROR(VLOOKUP($B1030,calc_data,M$14+1,0),0)</f>
        <v/>
      </c>
      <c r="N1030" s="177">
        <f>IFERROR(VLOOKUP($B1030,calc_data,N$14+1,0),0)</f>
        <v/>
      </c>
      <c r="O1030" s="45" t="n"/>
      <c r="Q1030" s="57">
        <f>IF(K1030&gt;0,"показать","скрыть")</f>
        <v/>
      </c>
    </row>
    <row r="1031" ht="15.75" customHeight="1">
      <c r="B1031" s="182" t="n">
        <v>1015</v>
      </c>
      <c r="C1031" s="182">
        <f>IFERROR(VLOOKUP($B1031,calc_data,C$14+1,0),0)</f>
        <v/>
      </c>
      <c r="D1031" s="182">
        <f>IFERROR(VLOOKUP($B1031,calc_data,D$14+1,0),0)</f>
        <v/>
      </c>
      <c r="E1031" s="183">
        <f>IFERROR(VLOOKUP($B1031,calc_data,E$14+1,0),0)</f>
        <v/>
      </c>
      <c r="F1031" s="182">
        <f>IFERROR(VLOOKUP($B1031,calc_data,F$14+1,0),0)</f>
        <v/>
      </c>
      <c r="G1031" s="141">
        <f>IFERROR(VLOOKUP($B1031,calc_data,G$14+1,0),0)</f>
        <v/>
      </c>
      <c r="H1031" s="141">
        <f>IFERROR(VLOOKUP($B1031,calc_data,H$14+1,0),0)</f>
        <v/>
      </c>
      <c r="I1031" s="142">
        <f>IFERROR(VLOOKUP($B1031,calc_data,I$14+1,0),0)</f>
        <v/>
      </c>
      <c r="J1031" s="141">
        <f>IFERROR(VLOOKUP($B1031,calc_data,J$14+1,0),0)</f>
        <v/>
      </c>
      <c r="K1031" s="141">
        <f>IFERROR(VLOOKUP($B1031,calc_data,K$14+1,0),0)</f>
        <v/>
      </c>
      <c r="L1031" s="141">
        <f>IFERROR(VLOOKUP($B1031,calc_data,L$14+1,0),0)</f>
        <v/>
      </c>
      <c r="M1031" s="177">
        <f>IFERROR(VLOOKUP($B1031,calc_data,M$14+1,0),0)</f>
        <v/>
      </c>
      <c r="N1031" s="177">
        <f>IFERROR(VLOOKUP($B1031,calc_data,N$14+1,0),0)</f>
        <v/>
      </c>
      <c r="O1031" s="45" t="n"/>
      <c r="Q1031" s="57">
        <f>IF(K1031&gt;0,"показать","скрыть")</f>
        <v/>
      </c>
    </row>
    <row r="1032" ht="15.75" customHeight="1">
      <c r="B1032" s="182" t="n">
        <v>1016</v>
      </c>
      <c r="C1032" s="182">
        <f>IFERROR(VLOOKUP($B1032,calc_data,C$14+1,0),0)</f>
        <v/>
      </c>
      <c r="D1032" s="182">
        <f>IFERROR(VLOOKUP($B1032,calc_data,D$14+1,0),0)</f>
        <v/>
      </c>
      <c r="E1032" s="183">
        <f>IFERROR(VLOOKUP($B1032,calc_data,E$14+1,0),0)</f>
        <v/>
      </c>
      <c r="F1032" s="182">
        <f>IFERROR(VLOOKUP($B1032,calc_data,F$14+1,0),0)</f>
        <v/>
      </c>
      <c r="G1032" s="141">
        <f>IFERROR(VLOOKUP($B1032,calc_data,G$14+1,0),0)</f>
        <v/>
      </c>
      <c r="H1032" s="141">
        <f>IFERROR(VLOOKUP($B1032,calc_data,H$14+1,0),0)</f>
        <v/>
      </c>
      <c r="I1032" s="142">
        <f>IFERROR(VLOOKUP($B1032,calc_data,I$14+1,0),0)</f>
        <v/>
      </c>
      <c r="J1032" s="141">
        <f>IFERROR(VLOOKUP($B1032,calc_data,J$14+1,0),0)</f>
        <v/>
      </c>
      <c r="K1032" s="141">
        <f>IFERROR(VLOOKUP($B1032,calc_data,K$14+1,0),0)</f>
        <v/>
      </c>
      <c r="L1032" s="141">
        <f>IFERROR(VLOOKUP($B1032,calc_data,L$14+1,0),0)</f>
        <v/>
      </c>
      <c r="M1032" s="177">
        <f>IFERROR(VLOOKUP($B1032,calc_data,M$14+1,0),0)</f>
        <v/>
      </c>
      <c r="N1032" s="177">
        <f>IFERROR(VLOOKUP($B1032,calc_data,N$14+1,0),0)</f>
        <v/>
      </c>
      <c r="O1032" s="45" t="n"/>
      <c r="Q1032" s="57">
        <f>IF(K1032&gt;0,"показать","скрыть")</f>
        <v/>
      </c>
    </row>
    <row r="1033" ht="15.75" customHeight="1">
      <c r="B1033" s="182" t="n">
        <v>1017</v>
      </c>
      <c r="C1033" s="182">
        <f>IFERROR(VLOOKUP($B1033,calc_data,C$14+1,0),0)</f>
        <v/>
      </c>
      <c r="D1033" s="182">
        <f>IFERROR(VLOOKUP($B1033,calc_data,D$14+1,0),0)</f>
        <v/>
      </c>
      <c r="E1033" s="183">
        <f>IFERROR(VLOOKUP($B1033,calc_data,E$14+1,0),0)</f>
        <v/>
      </c>
      <c r="F1033" s="182">
        <f>IFERROR(VLOOKUP($B1033,calc_data,F$14+1,0),0)</f>
        <v/>
      </c>
      <c r="G1033" s="141">
        <f>IFERROR(VLOOKUP($B1033,calc_data,G$14+1,0),0)</f>
        <v/>
      </c>
      <c r="H1033" s="141">
        <f>IFERROR(VLOOKUP($B1033,calc_data,H$14+1,0),0)</f>
        <v/>
      </c>
      <c r="I1033" s="142">
        <f>IFERROR(VLOOKUP($B1033,calc_data,I$14+1,0),0)</f>
        <v/>
      </c>
      <c r="J1033" s="141">
        <f>IFERROR(VLOOKUP($B1033,calc_data,J$14+1,0),0)</f>
        <v/>
      </c>
      <c r="K1033" s="141">
        <f>IFERROR(VLOOKUP($B1033,calc_data,K$14+1,0),0)</f>
        <v/>
      </c>
      <c r="L1033" s="141">
        <f>IFERROR(VLOOKUP($B1033,calc_data,L$14+1,0),0)</f>
        <v/>
      </c>
      <c r="M1033" s="177">
        <f>IFERROR(VLOOKUP($B1033,calc_data,M$14+1,0),0)</f>
        <v/>
      </c>
      <c r="N1033" s="177">
        <f>IFERROR(VLOOKUP($B1033,calc_data,N$14+1,0),0)</f>
        <v/>
      </c>
      <c r="O1033" s="45" t="n"/>
      <c r="Q1033" s="57">
        <f>IF(K1033&gt;0,"показать","скрыть")</f>
        <v/>
      </c>
    </row>
    <row r="1034" ht="15.75" customHeight="1">
      <c r="B1034" s="182" t="n">
        <v>1018</v>
      </c>
      <c r="C1034" s="182">
        <f>IFERROR(VLOOKUP($B1034,calc_data,C$14+1,0),0)</f>
        <v/>
      </c>
      <c r="D1034" s="182">
        <f>IFERROR(VLOOKUP($B1034,calc_data,D$14+1,0),0)</f>
        <v/>
      </c>
      <c r="E1034" s="183">
        <f>IFERROR(VLOOKUP($B1034,calc_data,E$14+1,0),0)</f>
        <v/>
      </c>
      <c r="F1034" s="182">
        <f>IFERROR(VLOOKUP($B1034,calc_data,F$14+1,0),0)</f>
        <v/>
      </c>
      <c r="G1034" s="141">
        <f>IFERROR(VLOOKUP($B1034,calc_data,G$14+1,0),0)</f>
        <v/>
      </c>
      <c r="H1034" s="141">
        <f>IFERROR(VLOOKUP($B1034,calc_data,H$14+1,0),0)</f>
        <v/>
      </c>
      <c r="I1034" s="142">
        <f>IFERROR(VLOOKUP($B1034,calc_data,I$14+1,0),0)</f>
        <v/>
      </c>
      <c r="J1034" s="141">
        <f>IFERROR(VLOOKUP($B1034,calc_data,J$14+1,0),0)</f>
        <v/>
      </c>
      <c r="K1034" s="141">
        <f>IFERROR(VLOOKUP($B1034,calc_data,K$14+1,0),0)</f>
        <v/>
      </c>
      <c r="L1034" s="141">
        <f>IFERROR(VLOOKUP($B1034,calc_data,L$14+1,0),0)</f>
        <v/>
      </c>
      <c r="M1034" s="177">
        <f>IFERROR(VLOOKUP($B1034,calc_data,M$14+1,0),0)</f>
        <v/>
      </c>
      <c r="N1034" s="177">
        <f>IFERROR(VLOOKUP($B1034,calc_data,N$14+1,0),0)</f>
        <v/>
      </c>
      <c r="O1034" s="45" t="n"/>
      <c r="Q1034" s="57">
        <f>IF(K1034&gt;0,"показать","скрыть")</f>
        <v/>
      </c>
    </row>
    <row r="1035" ht="15.75" customHeight="1">
      <c r="B1035" s="182" t="n">
        <v>1019</v>
      </c>
      <c r="C1035" s="182">
        <f>IFERROR(VLOOKUP($B1035,calc_data,C$14+1,0),0)</f>
        <v/>
      </c>
      <c r="D1035" s="182">
        <f>IFERROR(VLOOKUP($B1035,calc_data,D$14+1,0),0)</f>
        <v/>
      </c>
      <c r="E1035" s="183">
        <f>IFERROR(VLOOKUP($B1035,calc_data,E$14+1,0),0)</f>
        <v/>
      </c>
      <c r="F1035" s="182">
        <f>IFERROR(VLOOKUP($B1035,calc_data,F$14+1,0),0)</f>
        <v/>
      </c>
      <c r="G1035" s="141">
        <f>IFERROR(VLOOKUP($B1035,calc_data,G$14+1,0),0)</f>
        <v/>
      </c>
      <c r="H1035" s="141">
        <f>IFERROR(VLOOKUP($B1035,calc_data,H$14+1,0),0)</f>
        <v/>
      </c>
      <c r="I1035" s="142">
        <f>IFERROR(VLOOKUP($B1035,calc_data,I$14+1,0),0)</f>
        <v/>
      </c>
      <c r="J1035" s="141">
        <f>IFERROR(VLOOKUP($B1035,calc_data,J$14+1,0),0)</f>
        <v/>
      </c>
      <c r="K1035" s="141">
        <f>IFERROR(VLOOKUP($B1035,calc_data,K$14+1,0),0)</f>
        <v/>
      </c>
      <c r="L1035" s="141">
        <f>IFERROR(VLOOKUP($B1035,calc_data,L$14+1,0),0)</f>
        <v/>
      </c>
      <c r="M1035" s="177">
        <f>IFERROR(VLOOKUP($B1035,calc_data,M$14+1,0),0)</f>
        <v/>
      </c>
      <c r="N1035" s="177">
        <f>IFERROR(VLOOKUP($B1035,calc_data,N$14+1,0),0)</f>
        <v/>
      </c>
      <c r="O1035" s="45" t="n"/>
      <c r="Q1035" s="57">
        <f>IF(K1035&gt;0,"показать","скрыть")</f>
        <v/>
      </c>
    </row>
    <row r="1036" ht="15.75" customHeight="1">
      <c r="B1036" s="182" t="n">
        <v>1020</v>
      </c>
      <c r="C1036" s="182">
        <f>IFERROR(VLOOKUP($B1036,calc_data,C$14+1,0),0)</f>
        <v/>
      </c>
      <c r="D1036" s="182">
        <f>IFERROR(VLOOKUP($B1036,calc_data,D$14+1,0),0)</f>
        <v/>
      </c>
      <c r="E1036" s="183">
        <f>IFERROR(VLOOKUP($B1036,calc_data,E$14+1,0),0)</f>
        <v/>
      </c>
      <c r="F1036" s="182">
        <f>IFERROR(VLOOKUP($B1036,calc_data,F$14+1,0),0)</f>
        <v/>
      </c>
      <c r="G1036" s="141">
        <f>IFERROR(VLOOKUP($B1036,calc_data,G$14+1,0),0)</f>
        <v/>
      </c>
      <c r="H1036" s="141">
        <f>IFERROR(VLOOKUP($B1036,calc_data,H$14+1,0),0)</f>
        <v/>
      </c>
      <c r="I1036" s="142">
        <f>IFERROR(VLOOKUP($B1036,calc_data,I$14+1,0),0)</f>
        <v/>
      </c>
      <c r="J1036" s="141">
        <f>IFERROR(VLOOKUP($B1036,calc_data,J$14+1,0),0)</f>
        <v/>
      </c>
      <c r="K1036" s="141">
        <f>IFERROR(VLOOKUP($B1036,calc_data,K$14+1,0),0)</f>
        <v/>
      </c>
      <c r="L1036" s="141">
        <f>IFERROR(VLOOKUP($B1036,calc_data,L$14+1,0),0)</f>
        <v/>
      </c>
      <c r="M1036" s="177">
        <f>IFERROR(VLOOKUP($B1036,calc_data,M$14+1,0),0)</f>
        <v/>
      </c>
      <c r="N1036" s="177">
        <f>IFERROR(VLOOKUP($B1036,calc_data,N$14+1,0),0)</f>
        <v/>
      </c>
      <c r="O1036" s="45" t="n"/>
      <c r="Q1036" s="57">
        <f>IF(K1036&gt;0,"показать","скрыть")</f>
        <v/>
      </c>
    </row>
    <row r="1037" ht="15.75" customHeight="1">
      <c r="B1037" s="182" t="n">
        <v>1021</v>
      </c>
      <c r="C1037" s="182">
        <f>IFERROR(VLOOKUP($B1037,calc_data,C$14+1,0),0)</f>
        <v/>
      </c>
      <c r="D1037" s="182">
        <f>IFERROR(VLOOKUP($B1037,calc_data,D$14+1,0),0)</f>
        <v/>
      </c>
      <c r="E1037" s="183">
        <f>IFERROR(VLOOKUP($B1037,calc_data,E$14+1,0),0)</f>
        <v/>
      </c>
      <c r="F1037" s="182">
        <f>IFERROR(VLOOKUP($B1037,calc_data,F$14+1,0),0)</f>
        <v/>
      </c>
      <c r="G1037" s="141">
        <f>IFERROR(VLOOKUP($B1037,calc_data,G$14+1,0),0)</f>
        <v/>
      </c>
      <c r="H1037" s="141">
        <f>IFERROR(VLOOKUP($B1037,calc_data,H$14+1,0),0)</f>
        <v/>
      </c>
      <c r="I1037" s="142">
        <f>IFERROR(VLOOKUP($B1037,calc_data,I$14+1,0),0)</f>
        <v/>
      </c>
      <c r="J1037" s="141">
        <f>IFERROR(VLOOKUP($B1037,calc_data,J$14+1,0),0)</f>
        <v/>
      </c>
      <c r="K1037" s="141">
        <f>IFERROR(VLOOKUP($B1037,calc_data,K$14+1,0),0)</f>
        <v/>
      </c>
      <c r="L1037" s="141">
        <f>IFERROR(VLOOKUP($B1037,calc_data,L$14+1,0),0)</f>
        <v/>
      </c>
      <c r="M1037" s="177">
        <f>IFERROR(VLOOKUP($B1037,calc_data,M$14+1,0),0)</f>
        <v/>
      </c>
      <c r="N1037" s="177">
        <f>IFERROR(VLOOKUP($B1037,calc_data,N$14+1,0),0)</f>
        <v/>
      </c>
      <c r="O1037" s="45" t="n"/>
      <c r="Q1037" s="57">
        <f>IF(K1037&gt;0,"показать","скрыть")</f>
        <v/>
      </c>
    </row>
    <row r="1038" ht="15.75" customHeight="1">
      <c r="B1038" s="182" t="n">
        <v>1022</v>
      </c>
      <c r="C1038" s="182">
        <f>IFERROR(VLOOKUP($B1038,calc_data,C$14+1,0),0)</f>
        <v/>
      </c>
      <c r="D1038" s="182">
        <f>IFERROR(VLOOKUP($B1038,calc_data,D$14+1,0),0)</f>
        <v/>
      </c>
      <c r="E1038" s="183">
        <f>IFERROR(VLOOKUP($B1038,calc_data,E$14+1,0),0)</f>
        <v/>
      </c>
      <c r="F1038" s="182">
        <f>IFERROR(VLOOKUP($B1038,calc_data,F$14+1,0),0)</f>
        <v/>
      </c>
      <c r="G1038" s="141">
        <f>IFERROR(VLOOKUP($B1038,calc_data,G$14+1,0),0)</f>
        <v/>
      </c>
      <c r="H1038" s="141">
        <f>IFERROR(VLOOKUP($B1038,calc_data,H$14+1,0),0)</f>
        <v/>
      </c>
      <c r="I1038" s="142">
        <f>IFERROR(VLOOKUP($B1038,calc_data,I$14+1,0),0)</f>
        <v/>
      </c>
      <c r="J1038" s="141">
        <f>IFERROR(VLOOKUP($B1038,calc_data,J$14+1,0),0)</f>
        <v/>
      </c>
      <c r="K1038" s="141">
        <f>IFERROR(VLOOKUP($B1038,calc_data,K$14+1,0),0)</f>
        <v/>
      </c>
      <c r="L1038" s="141">
        <f>IFERROR(VLOOKUP($B1038,calc_data,L$14+1,0),0)</f>
        <v/>
      </c>
      <c r="M1038" s="177">
        <f>IFERROR(VLOOKUP($B1038,calc_data,M$14+1,0),0)</f>
        <v/>
      </c>
      <c r="N1038" s="177">
        <f>IFERROR(VLOOKUP($B1038,calc_data,N$14+1,0),0)</f>
        <v/>
      </c>
      <c r="O1038" s="45" t="n"/>
      <c r="Q1038" s="57">
        <f>IF(K1038&gt;0,"показать","скрыть")</f>
        <v/>
      </c>
    </row>
    <row r="1039" ht="15.75" customHeight="1">
      <c r="B1039" s="182" t="n">
        <v>1023</v>
      </c>
      <c r="C1039" s="182">
        <f>IFERROR(VLOOKUP($B1039,calc_data,C$14+1,0),0)</f>
        <v/>
      </c>
      <c r="D1039" s="182">
        <f>IFERROR(VLOOKUP($B1039,calc_data,D$14+1,0),0)</f>
        <v/>
      </c>
      <c r="E1039" s="183">
        <f>IFERROR(VLOOKUP($B1039,calc_data,E$14+1,0),0)</f>
        <v/>
      </c>
      <c r="F1039" s="182">
        <f>IFERROR(VLOOKUP($B1039,calc_data,F$14+1,0),0)</f>
        <v/>
      </c>
      <c r="G1039" s="141">
        <f>IFERROR(VLOOKUP($B1039,calc_data,G$14+1,0),0)</f>
        <v/>
      </c>
      <c r="H1039" s="141">
        <f>IFERROR(VLOOKUP($B1039,calc_data,H$14+1,0),0)</f>
        <v/>
      </c>
      <c r="I1039" s="142">
        <f>IFERROR(VLOOKUP($B1039,calc_data,I$14+1,0),0)</f>
        <v/>
      </c>
      <c r="J1039" s="141">
        <f>IFERROR(VLOOKUP($B1039,calc_data,J$14+1,0),0)</f>
        <v/>
      </c>
      <c r="K1039" s="141">
        <f>IFERROR(VLOOKUP($B1039,calc_data,K$14+1,0),0)</f>
        <v/>
      </c>
      <c r="L1039" s="141">
        <f>IFERROR(VLOOKUP($B1039,calc_data,L$14+1,0),0)</f>
        <v/>
      </c>
      <c r="M1039" s="177">
        <f>IFERROR(VLOOKUP($B1039,calc_data,M$14+1,0),0)</f>
        <v/>
      </c>
      <c r="N1039" s="177">
        <f>IFERROR(VLOOKUP($B1039,calc_data,N$14+1,0),0)</f>
        <v/>
      </c>
      <c r="O1039" s="45" t="n"/>
      <c r="Q1039" s="57">
        <f>IF(K1039&gt;0,"показать","скрыть")</f>
        <v/>
      </c>
    </row>
    <row r="1040" ht="15.75" customHeight="1">
      <c r="B1040" s="182" t="n">
        <v>1024</v>
      </c>
      <c r="C1040" s="182">
        <f>IFERROR(VLOOKUP($B1040,calc_data,C$14+1,0),0)</f>
        <v/>
      </c>
      <c r="D1040" s="182">
        <f>IFERROR(VLOOKUP($B1040,calc_data,D$14+1,0),0)</f>
        <v/>
      </c>
      <c r="E1040" s="183">
        <f>IFERROR(VLOOKUP($B1040,calc_data,E$14+1,0),0)</f>
        <v/>
      </c>
      <c r="F1040" s="182">
        <f>IFERROR(VLOOKUP($B1040,calc_data,F$14+1,0),0)</f>
        <v/>
      </c>
      <c r="G1040" s="141">
        <f>IFERROR(VLOOKUP($B1040,calc_data,G$14+1,0),0)</f>
        <v/>
      </c>
      <c r="H1040" s="141">
        <f>IFERROR(VLOOKUP($B1040,calc_data,H$14+1,0),0)</f>
        <v/>
      </c>
      <c r="I1040" s="142">
        <f>IFERROR(VLOOKUP($B1040,calc_data,I$14+1,0),0)</f>
        <v/>
      </c>
      <c r="J1040" s="141">
        <f>IFERROR(VLOOKUP($B1040,calc_data,J$14+1,0),0)</f>
        <v/>
      </c>
      <c r="K1040" s="141">
        <f>IFERROR(VLOOKUP($B1040,calc_data,K$14+1,0),0)</f>
        <v/>
      </c>
      <c r="L1040" s="141">
        <f>IFERROR(VLOOKUP($B1040,calc_data,L$14+1,0),0)</f>
        <v/>
      </c>
      <c r="M1040" s="177">
        <f>IFERROR(VLOOKUP($B1040,calc_data,M$14+1,0),0)</f>
        <v/>
      </c>
      <c r="N1040" s="177">
        <f>IFERROR(VLOOKUP($B1040,calc_data,N$14+1,0),0)</f>
        <v/>
      </c>
      <c r="O1040" s="45" t="n"/>
      <c r="Q1040" s="57">
        <f>IF(K1040&gt;0,"показать","скрыть")</f>
        <v/>
      </c>
    </row>
    <row r="1041" ht="15.75" customHeight="1">
      <c r="B1041" s="182" t="n">
        <v>1025</v>
      </c>
      <c r="C1041" s="182">
        <f>IFERROR(VLOOKUP($B1041,calc_data,C$14+1,0),0)</f>
        <v/>
      </c>
      <c r="D1041" s="182">
        <f>IFERROR(VLOOKUP($B1041,calc_data,D$14+1,0),0)</f>
        <v/>
      </c>
      <c r="E1041" s="183">
        <f>IFERROR(VLOOKUP($B1041,calc_data,E$14+1,0),0)</f>
        <v/>
      </c>
      <c r="F1041" s="182">
        <f>IFERROR(VLOOKUP($B1041,calc_data,F$14+1,0),0)</f>
        <v/>
      </c>
      <c r="G1041" s="141">
        <f>IFERROR(VLOOKUP($B1041,calc_data,G$14+1,0),0)</f>
        <v/>
      </c>
      <c r="H1041" s="141">
        <f>IFERROR(VLOOKUP($B1041,calc_data,H$14+1,0),0)</f>
        <v/>
      </c>
      <c r="I1041" s="142">
        <f>IFERROR(VLOOKUP($B1041,calc_data,I$14+1,0),0)</f>
        <v/>
      </c>
      <c r="J1041" s="141">
        <f>IFERROR(VLOOKUP($B1041,calc_data,J$14+1,0),0)</f>
        <v/>
      </c>
      <c r="K1041" s="141">
        <f>IFERROR(VLOOKUP($B1041,calc_data,K$14+1,0),0)</f>
        <v/>
      </c>
      <c r="L1041" s="141">
        <f>IFERROR(VLOOKUP($B1041,calc_data,L$14+1,0),0)</f>
        <v/>
      </c>
      <c r="M1041" s="177">
        <f>IFERROR(VLOOKUP($B1041,calc_data,M$14+1,0),0)</f>
        <v/>
      </c>
      <c r="N1041" s="177">
        <f>IFERROR(VLOOKUP($B1041,calc_data,N$14+1,0),0)</f>
        <v/>
      </c>
      <c r="O1041" s="45" t="n"/>
      <c r="Q1041" s="57">
        <f>IF(K1041&gt;0,"показать","скрыть")</f>
        <v/>
      </c>
    </row>
    <row r="1042" ht="15.75" customHeight="1">
      <c r="B1042" s="182" t="n">
        <v>1026</v>
      </c>
      <c r="C1042" s="182">
        <f>IFERROR(VLOOKUP($B1042,calc_data,C$14+1,0),0)</f>
        <v/>
      </c>
      <c r="D1042" s="182">
        <f>IFERROR(VLOOKUP($B1042,calc_data,D$14+1,0),0)</f>
        <v/>
      </c>
      <c r="E1042" s="183">
        <f>IFERROR(VLOOKUP($B1042,calc_data,E$14+1,0),0)</f>
        <v/>
      </c>
      <c r="F1042" s="182">
        <f>IFERROR(VLOOKUP($B1042,calc_data,F$14+1,0),0)</f>
        <v/>
      </c>
      <c r="G1042" s="141">
        <f>IFERROR(VLOOKUP($B1042,calc_data,G$14+1,0),0)</f>
        <v/>
      </c>
      <c r="H1042" s="141">
        <f>IFERROR(VLOOKUP($B1042,calc_data,H$14+1,0),0)</f>
        <v/>
      </c>
      <c r="I1042" s="142">
        <f>IFERROR(VLOOKUP($B1042,calc_data,I$14+1,0),0)</f>
        <v/>
      </c>
      <c r="J1042" s="141">
        <f>IFERROR(VLOOKUP($B1042,calc_data,J$14+1,0),0)</f>
        <v/>
      </c>
      <c r="K1042" s="141">
        <f>IFERROR(VLOOKUP($B1042,calc_data,K$14+1,0),0)</f>
        <v/>
      </c>
      <c r="L1042" s="141">
        <f>IFERROR(VLOOKUP($B1042,calc_data,L$14+1,0),0)</f>
        <v/>
      </c>
      <c r="M1042" s="177">
        <f>IFERROR(VLOOKUP($B1042,calc_data,M$14+1,0),0)</f>
        <v/>
      </c>
      <c r="N1042" s="177">
        <f>IFERROR(VLOOKUP($B1042,calc_data,N$14+1,0),0)</f>
        <v/>
      </c>
      <c r="O1042" s="45" t="n"/>
      <c r="Q1042" s="57">
        <f>IF(K1042&gt;0,"показать","скрыть")</f>
        <v/>
      </c>
    </row>
    <row r="1043" ht="15.75" customHeight="1">
      <c r="B1043" s="182" t="n">
        <v>1027</v>
      </c>
      <c r="C1043" s="182">
        <f>IFERROR(VLOOKUP($B1043,calc_data,C$14+1,0),0)</f>
        <v/>
      </c>
      <c r="D1043" s="182">
        <f>IFERROR(VLOOKUP($B1043,calc_data,D$14+1,0),0)</f>
        <v/>
      </c>
      <c r="E1043" s="183">
        <f>IFERROR(VLOOKUP($B1043,calc_data,E$14+1,0),0)</f>
        <v/>
      </c>
      <c r="F1043" s="182">
        <f>IFERROR(VLOOKUP($B1043,calc_data,F$14+1,0),0)</f>
        <v/>
      </c>
      <c r="G1043" s="141">
        <f>IFERROR(VLOOKUP($B1043,calc_data,G$14+1,0),0)</f>
        <v/>
      </c>
      <c r="H1043" s="141">
        <f>IFERROR(VLOOKUP($B1043,calc_data,H$14+1,0),0)</f>
        <v/>
      </c>
      <c r="I1043" s="142">
        <f>IFERROR(VLOOKUP($B1043,calc_data,I$14+1,0),0)</f>
        <v/>
      </c>
      <c r="J1043" s="141">
        <f>IFERROR(VLOOKUP($B1043,calc_data,J$14+1,0),0)</f>
        <v/>
      </c>
      <c r="K1043" s="141">
        <f>IFERROR(VLOOKUP($B1043,calc_data,K$14+1,0),0)</f>
        <v/>
      </c>
      <c r="L1043" s="141">
        <f>IFERROR(VLOOKUP($B1043,calc_data,L$14+1,0),0)</f>
        <v/>
      </c>
      <c r="M1043" s="177">
        <f>IFERROR(VLOOKUP($B1043,calc_data,M$14+1,0),0)</f>
        <v/>
      </c>
      <c r="N1043" s="177">
        <f>IFERROR(VLOOKUP($B1043,calc_data,N$14+1,0),0)</f>
        <v/>
      </c>
      <c r="O1043" s="45" t="n"/>
      <c r="Q1043" s="57">
        <f>IF(K1043&gt;0,"показать","скрыть")</f>
        <v/>
      </c>
    </row>
    <row r="1044" ht="15.75" customHeight="1">
      <c r="B1044" s="182" t="n">
        <v>1028</v>
      </c>
      <c r="C1044" s="182">
        <f>IFERROR(VLOOKUP($B1044,calc_data,C$14+1,0),0)</f>
        <v/>
      </c>
      <c r="D1044" s="182">
        <f>IFERROR(VLOOKUP($B1044,calc_data,D$14+1,0),0)</f>
        <v/>
      </c>
      <c r="E1044" s="183">
        <f>IFERROR(VLOOKUP($B1044,calc_data,E$14+1,0),0)</f>
        <v/>
      </c>
      <c r="F1044" s="182">
        <f>IFERROR(VLOOKUP($B1044,calc_data,F$14+1,0),0)</f>
        <v/>
      </c>
      <c r="G1044" s="141">
        <f>IFERROR(VLOOKUP($B1044,calc_data,G$14+1,0),0)</f>
        <v/>
      </c>
      <c r="H1044" s="141">
        <f>IFERROR(VLOOKUP($B1044,calc_data,H$14+1,0),0)</f>
        <v/>
      </c>
      <c r="I1044" s="142">
        <f>IFERROR(VLOOKUP($B1044,calc_data,I$14+1,0),0)</f>
        <v/>
      </c>
      <c r="J1044" s="141">
        <f>IFERROR(VLOOKUP($B1044,calc_data,J$14+1,0),0)</f>
        <v/>
      </c>
      <c r="K1044" s="141">
        <f>IFERROR(VLOOKUP($B1044,calc_data,K$14+1,0),0)</f>
        <v/>
      </c>
      <c r="L1044" s="141">
        <f>IFERROR(VLOOKUP($B1044,calc_data,L$14+1,0),0)</f>
        <v/>
      </c>
      <c r="M1044" s="177">
        <f>IFERROR(VLOOKUP($B1044,calc_data,M$14+1,0),0)</f>
        <v/>
      </c>
      <c r="N1044" s="177">
        <f>IFERROR(VLOOKUP($B1044,calc_data,N$14+1,0),0)</f>
        <v/>
      </c>
      <c r="O1044" s="45" t="n"/>
      <c r="Q1044" s="57">
        <f>IF(K1044&gt;0,"показать","скрыть")</f>
        <v/>
      </c>
    </row>
    <row r="1045" ht="15.75" customHeight="1">
      <c r="B1045" s="182" t="n">
        <v>1029</v>
      </c>
      <c r="C1045" s="182">
        <f>IFERROR(VLOOKUP($B1045,calc_data,C$14+1,0),0)</f>
        <v/>
      </c>
      <c r="D1045" s="182">
        <f>IFERROR(VLOOKUP($B1045,calc_data,D$14+1,0),0)</f>
        <v/>
      </c>
      <c r="E1045" s="183">
        <f>IFERROR(VLOOKUP($B1045,calc_data,E$14+1,0),0)</f>
        <v/>
      </c>
      <c r="F1045" s="182">
        <f>IFERROR(VLOOKUP($B1045,calc_data,F$14+1,0),0)</f>
        <v/>
      </c>
      <c r="G1045" s="141">
        <f>IFERROR(VLOOKUP($B1045,calc_data,G$14+1,0),0)</f>
        <v/>
      </c>
      <c r="H1045" s="141">
        <f>IFERROR(VLOOKUP($B1045,calc_data,H$14+1,0),0)</f>
        <v/>
      </c>
      <c r="I1045" s="142">
        <f>IFERROR(VLOOKUP($B1045,calc_data,I$14+1,0),0)</f>
        <v/>
      </c>
      <c r="J1045" s="141">
        <f>IFERROR(VLOOKUP($B1045,calc_data,J$14+1,0),0)</f>
        <v/>
      </c>
      <c r="K1045" s="141">
        <f>IFERROR(VLOOKUP($B1045,calc_data,K$14+1,0),0)</f>
        <v/>
      </c>
      <c r="L1045" s="141">
        <f>IFERROR(VLOOKUP($B1045,calc_data,L$14+1,0),0)</f>
        <v/>
      </c>
      <c r="M1045" s="177">
        <f>IFERROR(VLOOKUP($B1045,calc_data,M$14+1,0),0)</f>
        <v/>
      </c>
      <c r="N1045" s="177">
        <f>IFERROR(VLOOKUP($B1045,calc_data,N$14+1,0),0)</f>
        <v/>
      </c>
      <c r="O1045" s="45" t="n"/>
      <c r="Q1045" s="57">
        <f>IF(K1045&gt;0,"показать","скрыть")</f>
        <v/>
      </c>
    </row>
    <row r="1046" ht="15.75" customHeight="1">
      <c r="B1046" s="182" t="n">
        <v>1030</v>
      </c>
      <c r="C1046" s="182">
        <f>IFERROR(VLOOKUP($B1046,calc_data,C$14+1,0),0)</f>
        <v/>
      </c>
      <c r="D1046" s="182">
        <f>IFERROR(VLOOKUP($B1046,calc_data,D$14+1,0),0)</f>
        <v/>
      </c>
      <c r="E1046" s="183">
        <f>IFERROR(VLOOKUP($B1046,calc_data,E$14+1,0),0)</f>
        <v/>
      </c>
      <c r="F1046" s="182">
        <f>IFERROR(VLOOKUP($B1046,calc_data,F$14+1,0),0)</f>
        <v/>
      </c>
      <c r="G1046" s="141">
        <f>IFERROR(VLOOKUP($B1046,calc_data,G$14+1,0),0)</f>
        <v/>
      </c>
      <c r="H1046" s="141">
        <f>IFERROR(VLOOKUP($B1046,calc_data,H$14+1,0),0)</f>
        <v/>
      </c>
      <c r="I1046" s="142">
        <f>IFERROR(VLOOKUP($B1046,calc_data,I$14+1,0),0)</f>
        <v/>
      </c>
      <c r="J1046" s="141">
        <f>IFERROR(VLOOKUP($B1046,calc_data,J$14+1,0),0)</f>
        <v/>
      </c>
      <c r="K1046" s="141">
        <f>IFERROR(VLOOKUP($B1046,calc_data,K$14+1,0),0)</f>
        <v/>
      </c>
      <c r="L1046" s="141">
        <f>IFERROR(VLOOKUP($B1046,calc_data,L$14+1,0),0)</f>
        <v/>
      </c>
      <c r="M1046" s="177">
        <f>IFERROR(VLOOKUP($B1046,calc_data,M$14+1,0),0)</f>
        <v/>
      </c>
      <c r="N1046" s="177">
        <f>IFERROR(VLOOKUP($B1046,calc_data,N$14+1,0),0)</f>
        <v/>
      </c>
      <c r="O1046" s="45" t="n"/>
      <c r="Q1046" s="57">
        <f>IF(K1046&gt;0,"показать","скрыть")</f>
        <v/>
      </c>
    </row>
    <row r="1047" ht="15.75" customHeight="1">
      <c r="B1047" s="182" t="n">
        <v>1031</v>
      </c>
      <c r="C1047" s="182">
        <f>IFERROR(VLOOKUP($B1047,calc_data,C$14+1,0),0)</f>
        <v/>
      </c>
      <c r="D1047" s="182">
        <f>IFERROR(VLOOKUP($B1047,calc_data,D$14+1,0),0)</f>
        <v/>
      </c>
      <c r="E1047" s="183">
        <f>IFERROR(VLOOKUP($B1047,calc_data,E$14+1,0),0)</f>
        <v/>
      </c>
      <c r="F1047" s="182">
        <f>IFERROR(VLOOKUP($B1047,calc_data,F$14+1,0),0)</f>
        <v/>
      </c>
      <c r="G1047" s="141">
        <f>IFERROR(VLOOKUP($B1047,calc_data,G$14+1,0),0)</f>
        <v/>
      </c>
      <c r="H1047" s="141">
        <f>IFERROR(VLOOKUP($B1047,calc_data,H$14+1,0),0)</f>
        <v/>
      </c>
      <c r="I1047" s="142">
        <f>IFERROR(VLOOKUP($B1047,calc_data,I$14+1,0),0)</f>
        <v/>
      </c>
      <c r="J1047" s="141">
        <f>IFERROR(VLOOKUP($B1047,calc_data,J$14+1,0),0)</f>
        <v/>
      </c>
      <c r="K1047" s="141">
        <f>IFERROR(VLOOKUP($B1047,calc_data,K$14+1,0),0)</f>
        <v/>
      </c>
      <c r="L1047" s="141">
        <f>IFERROR(VLOOKUP($B1047,calc_data,L$14+1,0),0)</f>
        <v/>
      </c>
      <c r="M1047" s="177">
        <f>IFERROR(VLOOKUP($B1047,calc_data,M$14+1,0),0)</f>
        <v/>
      </c>
      <c r="N1047" s="177">
        <f>IFERROR(VLOOKUP($B1047,calc_data,N$14+1,0),0)</f>
        <v/>
      </c>
      <c r="O1047" s="45" t="n"/>
      <c r="Q1047" s="57">
        <f>IF(K1047&gt;0,"показать","скрыть")</f>
        <v/>
      </c>
    </row>
    <row r="1048" ht="15.75" customHeight="1">
      <c r="B1048" s="182" t="n">
        <v>1032</v>
      </c>
      <c r="C1048" s="182">
        <f>IFERROR(VLOOKUP($B1048,calc_data,C$14+1,0),0)</f>
        <v/>
      </c>
      <c r="D1048" s="182">
        <f>IFERROR(VLOOKUP($B1048,calc_data,D$14+1,0),0)</f>
        <v/>
      </c>
      <c r="E1048" s="183">
        <f>IFERROR(VLOOKUP($B1048,calc_data,E$14+1,0),0)</f>
        <v/>
      </c>
      <c r="F1048" s="182">
        <f>IFERROR(VLOOKUP($B1048,calc_data,F$14+1,0),0)</f>
        <v/>
      </c>
      <c r="G1048" s="141">
        <f>IFERROR(VLOOKUP($B1048,calc_data,G$14+1,0),0)</f>
        <v/>
      </c>
      <c r="H1048" s="141">
        <f>IFERROR(VLOOKUP($B1048,calc_data,H$14+1,0),0)</f>
        <v/>
      </c>
      <c r="I1048" s="142">
        <f>IFERROR(VLOOKUP($B1048,calc_data,I$14+1,0),0)</f>
        <v/>
      </c>
      <c r="J1048" s="141">
        <f>IFERROR(VLOOKUP($B1048,calc_data,J$14+1,0),0)</f>
        <v/>
      </c>
      <c r="K1048" s="141">
        <f>IFERROR(VLOOKUP($B1048,calc_data,K$14+1,0),0)</f>
        <v/>
      </c>
      <c r="L1048" s="141">
        <f>IFERROR(VLOOKUP($B1048,calc_data,L$14+1,0),0)</f>
        <v/>
      </c>
      <c r="M1048" s="177">
        <f>IFERROR(VLOOKUP($B1048,calc_data,M$14+1,0),0)</f>
        <v/>
      </c>
      <c r="N1048" s="177">
        <f>IFERROR(VLOOKUP($B1048,calc_data,N$14+1,0),0)</f>
        <v/>
      </c>
      <c r="O1048" s="45" t="n"/>
      <c r="Q1048" s="57">
        <f>IF(K1048&gt;0,"показать","скрыть")</f>
        <v/>
      </c>
    </row>
    <row r="1049" ht="15.75" customHeight="1">
      <c r="B1049" s="182" t="n">
        <v>1033</v>
      </c>
      <c r="C1049" s="182">
        <f>IFERROR(VLOOKUP($B1049,calc_data,C$14+1,0),0)</f>
        <v/>
      </c>
      <c r="D1049" s="182">
        <f>IFERROR(VLOOKUP($B1049,calc_data,D$14+1,0),0)</f>
        <v/>
      </c>
      <c r="E1049" s="183">
        <f>IFERROR(VLOOKUP($B1049,calc_data,E$14+1,0),0)</f>
        <v/>
      </c>
      <c r="F1049" s="182">
        <f>IFERROR(VLOOKUP($B1049,calc_data,F$14+1,0),0)</f>
        <v/>
      </c>
      <c r="G1049" s="141">
        <f>IFERROR(VLOOKUP($B1049,calc_data,G$14+1,0),0)</f>
        <v/>
      </c>
      <c r="H1049" s="141">
        <f>IFERROR(VLOOKUP($B1049,calc_data,H$14+1,0),0)</f>
        <v/>
      </c>
      <c r="I1049" s="142">
        <f>IFERROR(VLOOKUP($B1049,calc_data,I$14+1,0),0)</f>
        <v/>
      </c>
      <c r="J1049" s="141">
        <f>IFERROR(VLOOKUP($B1049,calc_data,J$14+1,0),0)</f>
        <v/>
      </c>
      <c r="K1049" s="141">
        <f>IFERROR(VLOOKUP($B1049,calc_data,K$14+1,0),0)</f>
        <v/>
      </c>
      <c r="L1049" s="141">
        <f>IFERROR(VLOOKUP($B1049,calc_data,L$14+1,0),0)</f>
        <v/>
      </c>
      <c r="M1049" s="177">
        <f>IFERROR(VLOOKUP($B1049,calc_data,M$14+1,0),0)</f>
        <v/>
      </c>
      <c r="N1049" s="177">
        <f>IFERROR(VLOOKUP($B1049,calc_data,N$14+1,0),0)</f>
        <v/>
      </c>
      <c r="O1049" s="45" t="n"/>
      <c r="Q1049" s="57">
        <f>IF(K1049&gt;0,"показать","скрыть")</f>
        <v/>
      </c>
    </row>
    <row r="1050" ht="15.75" customHeight="1">
      <c r="B1050" s="182" t="n">
        <v>1034</v>
      </c>
      <c r="C1050" s="182">
        <f>IFERROR(VLOOKUP($B1050,calc_data,C$14+1,0),0)</f>
        <v/>
      </c>
      <c r="D1050" s="182">
        <f>IFERROR(VLOOKUP($B1050,calc_data,D$14+1,0),0)</f>
        <v/>
      </c>
      <c r="E1050" s="183">
        <f>IFERROR(VLOOKUP($B1050,calc_data,E$14+1,0),0)</f>
        <v/>
      </c>
      <c r="F1050" s="182">
        <f>IFERROR(VLOOKUP($B1050,calc_data,F$14+1,0),0)</f>
        <v/>
      </c>
      <c r="G1050" s="141">
        <f>IFERROR(VLOOKUP($B1050,calc_data,G$14+1,0),0)</f>
        <v/>
      </c>
      <c r="H1050" s="141">
        <f>IFERROR(VLOOKUP($B1050,calc_data,H$14+1,0),0)</f>
        <v/>
      </c>
      <c r="I1050" s="142">
        <f>IFERROR(VLOOKUP($B1050,calc_data,I$14+1,0),0)</f>
        <v/>
      </c>
      <c r="J1050" s="141">
        <f>IFERROR(VLOOKUP($B1050,calc_data,J$14+1,0),0)</f>
        <v/>
      </c>
      <c r="K1050" s="141">
        <f>IFERROR(VLOOKUP($B1050,calc_data,K$14+1,0),0)</f>
        <v/>
      </c>
      <c r="L1050" s="141">
        <f>IFERROR(VLOOKUP($B1050,calc_data,L$14+1,0),0)</f>
        <v/>
      </c>
      <c r="M1050" s="177">
        <f>IFERROR(VLOOKUP($B1050,calc_data,M$14+1,0),0)</f>
        <v/>
      </c>
      <c r="N1050" s="177">
        <f>IFERROR(VLOOKUP($B1050,calc_data,N$14+1,0),0)</f>
        <v/>
      </c>
      <c r="O1050" s="45" t="n"/>
      <c r="Q1050" s="57">
        <f>IF(K1050&gt;0,"показать","скрыть")</f>
        <v/>
      </c>
    </row>
    <row r="1051" ht="15.75" customHeight="1">
      <c r="B1051" s="182" t="n">
        <v>1035</v>
      </c>
      <c r="C1051" s="182">
        <f>IFERROR(VLOOKUP($B1051,calc_data,C$14+1,0),0)</f>
        <v/>
      </c>
      <c r="D1051" s="182">
        <f>IFERROR(VLOOKUP($B1051,calc_data,D$14+1,0),0)</f>
        <v/>
      </c>
      <c r="E1051" s="183">
        <f>IFERROR(VLOOKUP($B1051,calc_data,E$14+1,0),0)</f>
        <v/>
      </c>
      <c r="F1051" s="182">
        <f>IFERROR(VLOOKUP($B1051,calc_data,F$14+1,0),0)</f>
        <v/>
      </c>
      <c r="G1051" s="141">
        <f>IFERROR(VLOOKUP($B1051,calc_data,G$14+1,0),0)</f>
        <v/>
      </c>
      <c r="H1051" s="141">
        <f>IFERROR(VLOOKUP($B1051,calc_data,H$14+1,0),0)</f>
        <v/>
      </c>
      <c r="I1051" s="142">
        <f>IFERROR(VLOOKUP($B1051,calc_data,I$14+1,0),0)</f>
        <v/>
      </c>
      <c r="J1051" s="141">
        <f>IFERROR(VLOOKUP($B1051,calc_data,J$14+1,0),0)</f>
        <v/>
      </c>
      <c r="K1051" s="141">
        <f>IFERROR(VLOOKUP($B1051,calc_data,K$14+1,0),0)</f>
        <v/>
      </c>
      <c r="L1051" s="141">
        <f>IFERROR(VLOOKUP($B1051,calc_data,L$14+1,0),0)</f>
        <v/>
      </c>
      <c r="M1051" s="177">
        <f>IFERROR(VLOOKUP($B1051,calc_data,M$14+1,0),0)</f>
        <v/>
      </c>
      <c r="N1051" s="177">
        <f>IFERROR(VLOOKUP($B1051,calc_data,N$14+1,0),0)</f>
        <v/>
      </c>
      <c r="O1051" s="45" t="n"/>
      <c r="Q1051" s="57">
        <f>IF(K1051&gt;0,"показать","скрыть")</f>
        <v/>
      </c>
    </row>
    <row r="1052" ht="15.75" customHeight="1">
      <c r="B1052" s="182" t="n">
        <v>1036</v>
      </c>
      <c r="C1052" s="182">
        <f>IFERROR(VLOOKUP($B1052,calc_data,C$14+1,0),0)</f>
        <v/>
      </c>
      <c r="D1052" s="182">
        <f>IFERROR(VLOOKUP($B1052,calc_data,D$14+1,0),0)</f>
        <v/>
      </c>
      <c r="E1052" s="183">
        <f>IFERROR(VLOOKUP($B1052,calc_data,E$14+1,0),0)</f>
        <v/>
      </c>
      <c r="F1052" s="182">
        <f>IFERROR(VLOOKUP($B1052,calc_data,F$14+1,0),0)</f>
        <v/>
      </c>
      <c r="G1052" s="141">
        <f>IFERROR(VLOOKUP($B1052,calc_data,G$14+1,0),0)</f>
        <v/>
      </c>
      <c r="H1052" s="141">
        <f>IFERROR(VLOOKUP($B1052,calc_data,H$14+1,0),0)</f>
        <v/>
      </c>
      <c r="I1052" s="142">
        <f>IFERROR(VLOOKUP($B1052,calc_data,I$14+1,0),0)</f>
        <v/>
      </c>
      <c r="J1052" s="141">
        <f>IFERROR(VLOOKUP($B1052,calc_data,J$14+1,0),0)</f>
        <v/>
      </c>
      <c r="K1052" s="141">
        <f>IFERROR(VLOOKUP($B1052,calc_data,K$14+1,0),0)</f>
        <v/>
      </c>
      <c r="L1052" s="141">
        <f>IFERROR(VLOOKUP($B1052,calc_data,L$14+1,0),0)</f>
        <v/>
      </c>
      <c r="M1052" s="177">
        <f>IFERROR(VLOOKUP($B1052,calc_data,M$14+1,0),0)</f>
        <v/>
      </c>
      <c r="N1052" s="177">
        <f>IFERROR(VLOOKUP($B1052,calc_data,N$14+1,0),0)</f>
        <v/>
      </c>
      <c r="O1052" s="45" t="n"/>
      <c r="Q1052" s="57">
        <f>IF(K1052&gt;0,"показать","скрыть")</f>
        <v/>
      </c>
    </row>
    <row r="1053" ht="15.75" customHeight="1">
      <c r="B1053" s="182" t="n">
        <v>1037</v>
      </c>
      <c r="C1053" s="182">
        <f>IFERROR(VLOOKUP($B1053,calc_data,C$14+1,0),0)</f>
        <v/>
      </c>
      <c r="D1053" s="182">
        <f>IFERROR(VLOOKUP($B1053,calc_data,D$14+1,0),0)</f>
        <v/>
      </c>
      <c r="E1053" s="183">
        <f>IFERROR(VLOOKUP($B1053,calc_data,E$14+1,0),0)</f>
        <v/>
      </c>
      <c r="F1053" s="182">
        <f>IFERROR(VLOOKUP($B1053,calc_data,F$14+1,0),0)</f>
        <v/>
      </c>
      <c r="G1053" s="141">
        <f>IFERROR(VLOOKUP($B1053,calc_data,G$14+1,0),0)</f>
        <v/>
      </c>
      <c r="H1053" s="141">
        <f>IFERROR(VLOOKUP($B1053,calc_data,H$14+1,0),0)</f>
        <v/>
      </c>
      <c r="I1053" s="142">
        <f>IFERROR(VLOOKUP($B1053,calc_data,I$14+1,0),0)</f>
        <v/>
      </c>
      <c r="J1053" s="141">
        <f>IFERROR(VLOOKUP($B1053,calc_data,J$14+1,0),0)</f>
        <v/>
      </c>
      <c r="K1053" s="141">
        <f>IFERROR(VLOOKUP($B1053,calc_data,K$14+1,0),0)</f>
        <v/>
      </c>
      <c r="L1053" s="141">
        <f>IFERROR(VLOOKUP($B1053,calc_data,L$14+1,0),0)</f>
        <v/>
      </c>
      <c r="M1053" s="177">
        <f>IFERROR(VLOOKUP($B1053,calc_data,M$14+1,0),0)</f>
        <v/>
      </c>
      <c r="N1053" s="177">
        <f>IFERROR(VLOOKUP($B1053,calc_data,N$14+1,0),0)</f>
        <v/>
      </c>
      <c r="O1053" s="45" t="n"/>
      <c r="Q1053" s="57">
        <f>IF(K1053&gt;0,"показать","скрыть")</f>
        <v/>
      </c>
    </row>
    <row r="1054" ht="15.75" customHeight="1">
      <c r="B1054" s="182" t="n">
        <v>1038</v>
      </c>
      <c r="C1054" s="182">
        <f>IFERROR(VLOOKUP($B1054,calc_data,C$14+1,0),0)</f>
        <v/>
      </c>
      <c r="D1054" s="182">
        <f>IFERROR(VLOOKUP($B1054,calc_data,D$14+1,0),0)</f>
        <v/>
      </c>
      <c r="E1054" s="183">
        <f>IFERROR(VLOOKUP($B1054,calc_data,E$14+1,0),0)</f>
        <v/>
      </c>
      <c r="F1054" s="182">
        <f>IFERROR(VLOOKUP($B1054,calc_data,F$14+1,0),0)</f>
        <v/>
      </c>
      <c r="G1054" s="141">
        <f>IFERROR(VLOOKUP($B1054,calc_data,G$14+1,0),0)</f>
        <v/>
      </c>
      <c r="H1054" s="141">
        <f>IFERROR(VLOOKUP($B1054,calc_data,H$14+1,0),0)</f>
        <v/>
      </c>
      <c r="I1054" s="142">
        <f>IFERROR(VLOOKUP($B1054,calc_data,I$14+1,0),0)</f>
        <v/>
      </c>
      <c r="J1054" s="141">
        <f>IFERROR(VLOOKUP($B1054,calc_data,J$14+1,0),0)</f>
        <v/>
      </c>
      <c r="K1054" s="141">
        <f>IFERROR(VLOOKUP($B1054,calc_data,K$14+1,0),0)</f>
        <v/>
      </c>
      <c r="L1054" s="141">
        <f>IFERROR(VLOOKUP($B1054,calc_data,L$14+1,0),0)</f>
        <v/>
      </c>
      <c r="M1054" s="177">
        <f>IFERROR(VLOOKUP($B1054,calc_data,M$14+1,0),0)</f>
        <v/>
      </c>
      <c r="N1054" s="177">
        <f>IFERROR(VLOOKUP($B1054,calc_data,N$14+1,0),0)</f>
        <v/>
      </c>
      <c r="O1054" s="45" t="n"/>
      <c r="Q1054" s="57">
        <f>IF(K1054&gt;0,"показать","скрыть")</f>
        <v/>
      </c>
    </row>
    <row r="1055" ht="15.75" customHeight="1">
      <c r="B1055" s="182" t="n">
        <v>1039</v>
      </c>
      <c r="C1055" s="182">
        <f>IFERROR(VLOOKUP($B1055,calc_data,C$14+1,0),0)</f>
        <v/>
      </c>
      <c r="D1055" s="182">
        <f>IFERROR(VLOOKUP($B1055,calc_data,D$14+1,0),0)</f>
        <v/>
      </c>
      <c r="E1055" s="183">
        <f>IFERROR(VLOOKUP($B1055,calc_data,E$14+1,0),0)</f>
        <v/>
      </c>
      <c r="F1055" s="182">
        <f>IFERROR(VLOOKUP($B1055,calc_data,F$14+1,0),0)</f>
        <v/>
      </c>
      <c r="G1055" s="141">
        <f>IFERROR(VLOOKUP($B1055,calc_data,G$14+1,0),0)</f>
        <v/>
      </c>
      <c r="H1055" s="141">
        <f>IFERROR(VLOOKUP($B1055,calc_data,H$14+1,0),0)</f>
        <v/>
      </c>
      <c r="I1055" s="142">
        <f>IFERROR(VLOOKUP($B1055,calc_data,I$14+1,0),0)</f>
        <v/>
      </c>
      <c r="J1055" s="141">
        <f>IFERROR(VLOOKUP($B1055,calc_data,J$14+1,0),0)</f>
        <v/>
      </c>
      <c r="K1055" s="141">
        <f>IFERROR(VLOOKUP($B1055,calc_data,K$14+1,0),0)</f>
        <v/>
      </c>
      <c r="L1055" s="141">
        <f>IFERROR(VLOOKUP($B1055,calc_data,L$14+1,0),0)</f>
        <v/>
      </c>
      <c r="M1055" s="177">
        <f>IFERROR(VLOOKUP($B1055,calc_data,M$14+1,0),0)</f>
        <v/>
      </c>
      <c r="N1055" s="177">
        <f>IFERROR(VLOOKUP($B1055,calc_data,N$14+1,0),0)</f>
        <v/>
      </c>
      <c r="O1055" s="45" t="n"/>
      <c r="Q1055" s="57">
        <f>IF(K1055&gt;0,"показать","скрыть")</f>
        <v/>
      </c>
    </row>
    <row r="1056" ht="15.75" customHeight="1">
      <c r="B1056" s="182" t="n">
        <v>1040</v>
      </c>
      <c r="C1056" s="182">
        <f>IFERROR(VLOOKUP($B1056,calc_data,C$14+1,0),0)</f>
        <v/>
      </c>
      <c r="D1056" s="182">
        <f>IFERROR(VLOOKUP($B1056,calc_data,D$14+1,0),0)</f>
        <v/>
      </c>
      <c r="E1056" s="183">
        <f>IFERROR(VLOOKUP($B1056,calc_data,E$14+1,0),0)</f>
        <v/>
      </c>
      <c r="F1056" s="182">
        <f>IFERROR(VLOOKUP($B1056,calc_data,F$14+1,0),0)</f>
        <v/>
      </c>
      <c r="G1056" s="141">
        <f>IFERROR(VLOOKUP($B1056,calc_data,G$14+1,0),0)</f>
        <v/>
      </c>
      <c r="H1056" s="141">
        <f>IFERROR(VLOOKUP($B1056,calc_data,H$14+1,0),0)</f>
        <v/>
      </c>
      <c r="I1056" s="142">
        <f>IFERROR(VLOOKUP($B1056,calc_data,I$14+1,0),0)</f>
        <v/>
      </c>
      <c r="J1056" s="141">
        <f>IFERROR(VLOOKUP($B1056,calc_data,J$14+1,0),0)</f>
        <v/>
      </c>
      <c r="K1056" s="141">
        <f>IFERROR(VLOOKUP($B1056,calc_data,K$14+1,0),0)</f>
        <v/>
      </c>
      <c r="L1056" s="141">
        <f>IFERROR(VLOOKUP($B1056,calc_data,L$14+1,0),0)</f>
        <v/>
      </c>
      <c r="M1056" s="177">
        <f>IFERROR(VLOOKUP($B1056,calc_data,M$14+1,0),0)</f>
        <v/>
      </c>
      <c r="N1056" s="177">
        <f>IFERROR(VLOOKUP($B1056,calc_data,N$14+1,0),0)</f>
        <v/>
      </c>
      <c r="O1056" s="45" t="n"/>
      <c r="Q1056" s="57">
        <f>IF(K1056&gt;0,"показать","скрыть")</f>
        <v/>
      </c>
    </row>
    <row r="1057" ht="15.75" customHeight="1">
      <c r="B1057" s="182" t="n">
        <v>1041</v>
      </c>
      <c r="C1057" s="182">
        <f>IFERROR(VLOOKUP($B1057,calc_data,C$14+1,0),0)</f>
        <v/>
      </c>
      <c r="D1057" s="182">
        <f>IFERROR(VLOOKUP($B1057,calc_data,D$14+1,0),0)</f>
        <v/>
      </c>
      <c r="E1057" s="183">
        <f>IFERROR(VLOOKUP($B1057,calc_data,E$14+1,0),0)</f>
        <v/>
      </c>
      <c r="F1057" s="182">
        <f>IFERROR(VLOOKUP($B1057,calc_data,F$14+1,0),0)</f>
        <v/>
      </c>
      <c r="G1057" s="141">
        <f>IFERROR(VLOOKUP($B1057,calc_data,G$14+1,0),0)</f>
        <v/>
      </c>
      <c r="H1057" s="141">
        <f>IFERROR(VLOOKUP($B1057,calc_data,H$14+1,0),0)</f>
        <v/>
      </c>
      <c r="I1057" s="142">
        <f>IFERROR(VLOOKUP($B1057,calc_data,I$14+1,0),0)</f>
        <v/>
      </c>
      <c r="J1057" s="141">
        <f>IFERROR(VLOOKUP($B1057,calc_data,J$14+1,0),0)</f>
        <v/>
      </c>
      <c r="K1057" s="141">
        <f>IFERROR(VLOOKUP($B1057,calc_data,K$14+1,0),0)</f>
        <v/>
      </c>
      <c r="L1057" s="141">
        <f>IFERROR(VLOOKUP($B1057,calc_data,L$14+1,0),0)</f>
        <v/>
      </c>
      <c r="M1057" s="177">
        <f>IFERROR(VLOOKUP($B1057,calc_data,M$14+1,0),0)</f>
        <v/>
      </c>
      <c r="N1057" s="177">
        <f>IFERROR(VLOOKUP($B1057,calc_data,N$14+1,0),0)</f>
        <v/>
      </c>
      <c r="O1057" s="45" t="n"/>
      <c r="Q1057" s="57">
        <f>IF(K1057&gt;0,"показать","скрыть")</f>
        <v/>
      </c>
    </row>
    <row r="1058" ht="15.75" customHeight="1">
      <c r="B1058" s="182" t="n">
        <v>1042</v>
      </c>
      <c r="C1058" s="182">
        <f>IFERROR(VLOOKUP($B1058,calc_data,C$14+1,0),0)</f>
        <v/>
      </c>
      <c r="D1058" s="182">
        <f>IFERROR(VLOOKUP($B1058,calc_data,D$14+1,0),0)</f>
        <v/>
      </c>
      <c r="E1058" s="183">
        <f>IFERROR(VLOOKUP($B1058,calc_data,E$14+1,0),0)</f>
        <v/>
      </c>
      <c r="F1058" s="182">
        <f>IFERROR(VLOOKUP($B1058,calc_data,F$14+1,0),0)</f>
        <v/>
      </c>
      <c r="G1058" s="141">
        <f>IFERROR(VLOOKUP($B1058,calc_data,G$14+1,0),0)</f>
        <v/>
      </c>
      <c r="H1058" s="141">
        <f>IFERROR(VLOOKUP($B1058,calc_data,H$14+1,0),0)</f>
        <v/>
      </c>
      <c r="I1058" s="142">
        <f>IFERROR(VLOOKUP($B1058,calc_data,I$14+1,0),0)</f>
        <v/>
      </c>
      <c r="J1058" s="141">
        <f>IFERROR(VLOOKUP($B1058,calc_data,J$14+1,0),0)</f>
        <v/>
      </c>
      <c r="K1058" s="141">
        <f>IFERROR(VLOOKUP($B1058,calc_data,K$14+1,0),0)</f>
        <v/>
      </c>
      <c r="L1058" s="141">
        <f>IFERROR(VLOOKUP($B1058,calc_data,L$14+1,0),0)</f>
        <v/>
      </c>
      <c r="M1058" s="177">
        <f>IFERROR(VLOOKUP($B1058,calc_data,M$14+1,0),0)</f>
        <v/>
      </c>
      <c r="N1058" s="177">
        <f>IFERROR(VLOOKUP($B1058,calc_data,N$14+1,0),0)</f>
        <v/>
      </c>
      <c r="O1058" s="45" t="n"/>
      <c r="Q1058" s="57">
        <f>IF(K1058&gt;0,"показать","скрыть")</f>
        <v/>
      </c>
    </row>
    <row r="1059" ht="15.75" customHeight="1">
      <c r="B1059" s="182" t="n">
        <v>1043</v>
      </c>
      <c r="C1059" s="182">
        <f>IFERROR(VLOOKUP($B1059,calc_data,C$14+1,0),0)</f>
        <v/>
      </c>
      <c r="D1059" s="182">
        <f>IFERROR(VLOOKUP($B1059,calc_data,D$14+1,0),0)</f>
        <v/>
      </c>
      <c r="E1059" s="183">
        <f>IFERROR(VLOOKUP($B1059,calc_data,E$14+1,0),0)</f>
        <v/>
      </c>
      <c r="F1059" s="182">
        <f>IFERROR(VLOOKUP($B1059,calc_data,F$14+1,0),0)</f>
        <v/>
      </c>
      <c r="G1059" s="141">
        <f>IFERROR(VLOOKUP($B1059,calc_data,G$14+1,0),0)</f>
        <v/>
      </c>
      <c r="H1059" s="141">
        <f>IFERROR(VLOOKUP($B1059,calc_data,H$14+1,0),0)</f>
        <v/>
      </c>
      <c r="I1059" s="142">
        <f>IFERROR(VLOOKUP($B1059,calc_data,I$14+1,0),0)</f>
        <v/>
      </c>
      <c r="J1059" s="141">
        <f>IFERROR(VLOOKUP($B1059,calc_data,J$14+1,0),0)</f>
        <v/>
      </c>
      <c r="K1059" s="141">
        <f>IFERROR(VLOOKUP($B1059,calc_data,K$14+1,0),0)</f>
        <v/>
      </c>
      <c r="L1059" s="141">
        <f>IFERROR(VLOOKUP($B1059,calc_data,L$14+1,0),0)</f>
        <v/>
      </c>
      <c r="M1059" s="177">
        <f>IFERROR(VLOOKUP($B1059,calc_data,M$14+1,0),0)</f>
        <v/>
      </c>
      <c r="N1059" s="177">
        <f>IFERROR(VLOOKUP($B1059,calc_data,N$14+1,0),0)</f>
        <v/>
      </c>
      <c r="O1059" s="45" t="n"/>
      <c r="Q1059" s="57">
        <f>IF(K1059&gt;0,"показать","скрыть")</f>
        <v/>
      </c>
    </row>
    <row r="1060" ht="15.75" customHeight="1">
      <c r="B1060" s="182" t="n">
        <v>1044</v>
      </c>
      <c r="C1060" s="182">
        <f>IFERROR(VLOOKUP($B1060,calc_data,C$14+1,0),0)</f>
        <v/>
      </c>
      <c r="D1060" s="182">
        <f>IFERROR(VLOOKUP($B1060,calc_data,D$14+1,0),0)</f>
        <v/>
      </c>
      <c r="E1060" s="183">
        <f>IFERROR(VLOOKUP($B1060,calc_data,E$14+1,0),0)</f>
        <v/>
      </c>
      <c r="F1060" s="182">
        <f>IFERROR(VLOOKUP($B1060,calc_data,F$14+1,0),0)</f>
        <v/>
      </c>
      <c r="G1060" s="141">
        <f>IFERROR(VLOOKUP($B1060,calc_data,G$14+1,0),0)</f>
        <v/>
      </c>
      <c r="H1060" s="141">
        <f>IFERROR(VLOOKUP($B1060,calc_data,H$14+1,0),0)</f>
        <v/>
      </c>
      <c r="I1060" s="142">
        <f>IFERROR(VLOOKUP($B1060,calc_data,I$14+1,0),0)</f>
        <v/>
      </c>
      <c r="J1060" s="141">
        <f>IFERROR(VLOOKUP($B1060,calc_data,J$14+1,0),0)</f>
        <v/>
      </c>
      <c r="K1060" s="141">
        <f>IFERROR(VLOOKUP($B1060,calc_data,K$14+1,0),0)</f>
        <v/>
      </c>
      <c r="L1060" s="141">
        <f>IFERROR(VLOOKUP($B1060,calc_data,L$14+1,0),0)</f>
        <v/>
      </c>
      <c r="M1060" s="177">
        <f>IFERROR(VLOOKUP($B1060,calc_data,M$14+1,0),0)</f>
        <v/>
      </c>
      <c r="N1060" s="177">
        <f>IFERROR(VLOOKUP($B1060,calc_data,N$14+1,0),0)</f>
        <v/>
      </c>
      <c r="O1060" s="45" t="n"/>
      <c r="Q1060" s="57">
        <f>IF(K1060&gt;0,"показать","скрыть")</f>
        <v/>
      </c>
    </row>
    <row r="1061" ht="15.75" customHeight="1">
      <c r="B1061" s="182" t="n">
        <v>1045</v>
      </c>
      <c r="C1061" s="182">
        <f>IFERROR(VLOOKUP($B1061,calc_data,C$14+1,0),0)</f>
        <v/>
      </c>
      <c r="D1061" s="182">
        <f>IFERROR(VLOOKUP($B1061,calc_data,D$14+1,0),0)</f>
        <v/>
      </c>
      <c r="E1061" s="183">
        <f>IFERROR(VLOOKUP($B1061,calc_data,E$14+1,0),0)</f>
        <v/>
      </c>
      <c r="F1061" s="182">
        <f>IFERROR(VLOOKUP($B1061,calc_data,F$14+1,0),0)</f>
        <v/>
      </c>
      <c r="G1061" s="141">
        <f>IFERROR(VLOOKUP($B1061,calc_data,G$14+1,0),0)</f>
        <v/>
      </c>
      <c r="H1061" s="141">
        <f>IFERROR(VLOOKUP($B1061,calc_data,H$14+1,0),0)</f>
        <v/>
      </c>
      <c r="I1061" s="142">
        <f>IFERROR(VLOOKUP($B1061,calc_data,I$14+1,0),0)</f>
        <v/>
      </c>
      <c r="J1061" s="141">
        <f>IFERROR(VLOOKUP($B1061,calc_data,J$14+1,0),0)</f>
        <v/>
      </c>
      <c r="K1061" s="141">
        <f>IFERROR(VLOOKUP($B1061,calc_data,K$14+1,0),0)</f>
        <v/>
      </c>
      <c r="L1061" s="141">
        <f>IFERROR(VLOOKUP($B1061,calc_data,L$14+1,0),0)</f>
        <v/>
      </c>
      <c r="M1061" s="177">
        <f>IFERROR(VLOOKUP($B1061,calc_data,M$14+1,0),0)</f>
        <v/>
      </c>
      <c r="N1061" s="177">
        <f>IFERROR(VLOOKUP($B1061,calc_data,N$14+1,0),0)</f>
        <v/>
      </c>
      <c r="O1061" s="45" t="n"/>
      <c r="Q1061" s="57">
        <f>IF(K1061&gt;0,"показать","скрыть")</f>
        <v/>
      </c>
    </row>
    <row r="1062" ht="15.75" customHeight="1">
      <c r="B1062" s="182" t="n">
        <v>1046</v>
      </c>
      <c r="C1062" s="182">
        <f>IFERROR(VLOOKUP($B1062,calc_data,C$14+1,0),0)</f>
        <v/>
      </c>
      <c r="D1062" s="182">
        <f>IFERROR(VLOOKUP($B1062,calc_data,D$14+1,0),0)</f>
        <v/>
      </c>
      <c r="E1062" s="183">
        <f>IFERROR(VLOOKUP($B1062,calc_data,E$14+1,0),0)</f>
        <v/>
      </c>
      <c r="F1062" s="182">
        <f>IFERROR(VLOOKUP($B1062,calc_data,F$14+1,0),0)</f>
        <v/>
      </c>
      <c r="G1062" s="141">
        <f>IFERROR(VLOOKUP($B1062,calc_data,G$14+1,0),0)</f>
        <v/>
      </c>
      <c r="H1062" s="141">
        <f>IFERROR(VLOOKUP($B1062,calc_data,H$14+1,0),0)</f>
        <v/>
      </c>
      <c r="I1062" s="142">
        <f>IFERROR(VLOOKUP($B1062,calc_data,I$14+1,0),0)</f>
        <v/>
      </c>
      <c r="J1062" s="141">
        <f>IFERROR(VLOOKUP($B1062,calc_data,J$14+1,0),0)</f>
        <v/>
      </c>
      <c r="K1062" s="141">
        <f>IFERROR(VLOOKUP($B1062,calc_data,K$14+1,0),0)</f>
        <v/>
      </c>
      <c r="L1062" s="141">
        <f>IFERROR(VLOOKUP($B1062,calc_data,L$14+1,0),0)</f>
        <v/>
      </c>
      <c r="M1062" s="177">
        <f>IFERROR(VLOOKUP($B1062,calc_data,M$14+1,0),0)</f>
        <v/>
      </c>
      <c r="N1062" s="177">
        <f>IFERROR(VLOOKUP($B1062,calc_data,N$14+1,0),0)</f>
        <v/>
      </c>
      <c r="O1062" s="45" t="n"/>
      <c r="Q1062" s="57">
        <f>IF(K1062&gt;0,"показать","скрыть")</f>
        <v/>
      </c>
    </row>
    <row r="1063" ht="15.75" customHeight="1">
      <c r="B1063" s="182" t="n">
        <v>1047</v>
      </c>
      <c r="C1063" s="182">
        <f>IFERROR(VLOOKUP($B1063,calc_data,C$14+1,0),0)</f>
        <v/>
      </c>
      <c r="D1063" s="182">
        <f>IFERROR(VLOOKUP($B1063,calc_data,D$14+1,0),0)</f>
        <v/>
      </c>
      <c r="E1063" s="183">
        <f>IFERROR(VLOOKUP($B1063,calc_data,E$14+1,0),0)</f>
        <v/>
      </c>
      <c r="F1063" s="182">
        <f>IFERROR(VLOOKUP($B1063,calc_data,F$14+1,0),0)</f>
        <v/>
      </c>
      <c r="G1063" s="141">
        <f>IFERROR(VLOOKUP($B1063,calc_data,G$14+1,0),0)</f>
        <v/>
      </c>
      <c r="H1063" s="141">
        <f>IFERROR(VLOOKUP($B1063,calc_data,H$14+1,0),0)</f>
        <v/>
      </c>
      <c r="I1063" s="142">
        <f>IFERROR(VLOOKUP($B1063,calc_data,I$14+1,0),0)</f>
        <v/>
      </c>
      <c r="J1063" s="141">
        <f>IFERROR(VLOOKUP($B1063,calc_data,J$14+1,0),0)</f>
        <v/>
      </c>
      <c r="K1063" s="141">
        <f>IFERROR(VLOOKUP($B1063,calc_data,K$14+1,0),0)</f>
        <v/>
      </c>
      <c r="L1063" s="141">
        <f>IFERROR(VLOOKUP($B1063,calc_data,L$14+1,0),0)</f>
        <v/>
      </c>
      <c r="M1063" s="177">
        <f>IFERROR(VLOOKUP($B1063,calc_data,M$14+1,0),0)</f>
        <v/>
      </c>
      <c r="N1063" s="177">
        <f>IFERROR(VLOOKUP($B1063,calc_data,N$14+1,0),0)</f>
        <v/>
      </c>
      <c r="O1063" s="45" t="n"/>
      <c r="Q1063" s="57">
        <f>IF(K1063&gt;0,"показать","скрыть")</f>
        <v/>
      </c>
    </row>
    <row r="1064" ht="15.75" customHeight="1">
      <c r="B1064" s="182" t="n">
        <v>1048</v>
      </c>
      <c r="C1064" s="182">
        <f>IFERROR(VLOOKUP($B1064,calc_data,C$14+1,0),0)</f>
        <v/>
      </c>
      <c r="D1064" s="182">
        <f>IFERROR(VLOOKUP($B1064,calc_data,D$14+1,0),0)</f>
        <v/>
      </c>
      <c r="E1064" s="183">
        <f>IFERROR(VLOOKUP($B1064,calc_data,E$14+1,0),0)</f>
        <v/>
      </c>
      <c r="F1064" s="182">
        <f>IFERROR(VLOOKUP($B1064,calc_data,F$14+1,0),0)</f>
        <v/>
      </c>
      <c r="G1064" s="141">
        <f>IFERROR(VLOOKUP($B1064,calc_data,G$14+1,0),0)</f>
        <v/>
      </c>
      <c r="H1064" s="141">
        <f>IFERROR(VLOOKUP($B1064,calc_data,H$14+1,0),0)</f>
        <v/>
      </c>
      <c r="I1064" s="142">
        <f>IFERROR(VLOOKUP($B1064,calc_data,I$14+1,0),0)</f>
        <v/>
      </c>
      <c r="J1064" s="141">
        <f>IFERROR(VLOOKUP($B1064,calc_data,J$14+1,0),0)</f>
        <v/>
      </c>
      <c r="K1064" s="141">
        <f>IFERROR(VLOOKUP($B1064,calc_data,K$14+1,0),0)</f>
        <v/>
      </c>
      <c r="L1064" s="141">
        <f>IFERROR(VLOOKUP($B1064,calc_data,L$14+1,0),0)</f>
        <v/>
      </c>
      <c r="M1064" s="177">
        <f>IFERROR(VLOOKUP($B1064,calc_data,M$14+1,0),0)</f>
        <v/>
      </c>
      <c r="N1064" s="177">
        <f>IFERROR(VLOOKUP($B1064,calc_data,N$14+1,0),0)</f>
        <v/>
      </c>
      <c r="O1064" s="45" t="n"/>
      <c r="Q1064" s="57">
        <f>IF(K1064&gt;0,"показать","скрыть")</f>
        <v/>
      </c>
    </row>
    <row r="1065" ht="15.75" customHeight="1">
      <c r="B1065" s="182" t="n">
        <v>1049</v>
      </c>
      <c r="C1065" s="182">
        <f>IFERROR(VLOOKUP($B1065,calc_data,C$14+1,0),0)</f>
        <v/>
      </c>
      <c r="D1065" s="182">
        <f>IFERROR(VLOOKUP($B1065,calc_data,D$14+1,0),0)</f>
        <v/>
      </c>
      <c r="E1065" s="183">
        <f>IFERROR(VLOOKUP($B1065,calc_data,E$14+1,0),0)</f>
        <v/>
      </c>
      <c r="F1065" s="182">
        <f>IFERROR(VLOOKUP($B1065,calc_data,F$14+1,0),0)</f>
        <v/>
      </c>
      <c r="G1065" s="141">
        <f>IFERROR(VLOOKUP($B1065,calc_data,G$14+1,0),0)</f>
        <v/>
      </c>
      <c r="H1065" s="141">
        <f>IFERROR(VLOOKUP($B1065,calc_data,H$14+1,0),0)</f>
        <v/>
      </c>
      <c r="I1065" s="142">
        <f>IFERROR(VLOOKUP($B1065,calc_data,I$14+1,0),0)</f>
        <v/>
      </c>
      <c r="J1065" s="141">
        <f>IFERROR(VLOOKUP($B1065,calc_data,J$14+1,0),0)</f>
        <v/>
      </c>
      <c r="K1065" s="141">
        <f>IFERROR(VLOOKUP($B1065,calc_data,K$14+1,0),0)</f>
        <v/>
      </c>
      <c r="L1065" s="141">
        <f>IFERROR(VLOOKUP($B1065,calc_data,L$14+1,0),0)</f>
        <v/>
      </c>
      <c r="M1065" s="177">
        <f>IFERROR(VLOOKUP($B1065,calc_data,M$14+1,0),0)</f>
        <v/>
      </c>
      <c r="N1065" s="177">
        <f>IFERROR(VLOOKUP($B1065,calc_data,N$14+1,0),0)</f>
        <v/>
      </c>
      <c r="O1065" s="45" t="n"/>
      <c r="Q1065" s="57">
        <f>IF(K1065&gt;0,"показать","скрыть")</f>
        <v/>
      </c>
    </row>
    <row r="1066" ht="15.75" customHeight="1">
      <c r="B1066" s="182" t="n">
        <v>1050</v>
      </c>
      <c r="C1066" s="182">
        <f>IFERROR(VLOOKUP($B1066,calc_data,C$14+1,0),0)</f>
        <v/>
      </c>
      <c r="D1066" s="182">
        <f>IFERROR(VLOOKUP($B1066,calc_data,D$14+1,0),0)</f>
        <v/>
      </c>
      <c r="E1066" s="183">
        <f>IFERROR(VLOOKUP($B1066,calc_data,E$14+1,0),0)</f>
        <v/>
      </c>
      <c r="F1066" s="182">
        <f>IFERROR(VLOOKUP($B1066,calc_data,F$14+1,0),0)</f>
        <v/>
      </c>
      <c r="G1066" s="141">
        <f>IFERROR(VLOOKUP($B1066,calc_data,G$14+1,0),0)</f>
        <v/>
      </c>
      <c r="H1066" s="141">
        <f>IFERROR(VLOOKUP($B1066,calc_data,H$14+1,0),0)</f>
        <v/>
      </c>
      <c r="I1066" s="142">
        <f>IFERROR(VLOOKUP($B1066,calc_data,I$14+1,0),0)</f>
        <v/>
      </c>
      <c r="J1066" s="141">
        <f>IFERROR(VLOOKUP($B1066,calc_data,J$14+1,0),0)</f>
        <v/>
      </c>
      <c r="K1066" s="141">
        <f>IFERROR(VLOOKUP($B1066,calc_data,K$14+1,0),0)</f>
        <v/>
      </c>
      <c r="L1066" s="141">
        <f>IFERROR(VLOOKUP($B1066,calc_data,L$14+1,0),0)</f>
        <v/>
      </c>
      <c r="M1066" s="177">
        <f>IFERROR(VLOOKUP($B1066,calc_data,M$14+1,0),0)</f>
        <v/>
      </c>
      <c r="N1066" s="177">
        <f>IFERROR(VLOOKUP($B1066,calc_data,N$14+1,0),0)</f>
        <v/>
      </c>
      <c r="O1066" s="45" t="n"/>
      <c r="Q1066" s="57">
        <f>IF(K1066&gt;0,"показать","скрыть")</f>
        <v/>
      </c>
    </row>
    <row r="1067" ht="15.75" customHeight="1">
      <c r="B1067" s="182" t="n">
        <v>1051</v>
      </c>
      <c r="C1067" s="182">
        <f>IFERROR(VLOOKUP($B1067,calc_data,C$14+1,0),0)</f>
        <v/>
      </c>
      <c r="D1067" s="182">
        <f>IFERROR(VLOOKUP($B1067,calc_data,D$14+1,0),0)</f>
        <v/>
      </c>
      <c r="E1067" s="183">
        <f>IFERROR(VLOOKUP($B1067,calc_data,E$14+1,0),0)</f>
        <v/>
      </c>
      <c r="F1067" s="182">
        <f>IFERROR(VLOOKUP($B1067,calc_data,F$14+1,0),0)</f>
        <v/>
      </c>
      <c r="G1067" s="141">
        <f>IFERROR(VLOOKUP($B1067,calc_data,G$14+1,0),0)</f>
        <v/>
      </c>
      <c r="H1067" s="141">
        <f>IFERROR(VLOOKUP($B1067,calc_data,H$14+1,0),0)</f>
        <v/>
      </c>
      <c r="I1067" s="142">
        <f>IFERROR(VLOOKUP($B1067,calc_data,I$14+1,0),0)</f>
        <v/>
      </c>
      <c r="J1067" s="141">
        <f>IFERROR(VLOOKUP($B1067,calc_data,J$14+1,0),0)</f>
        <v/>
      </c>
      <c r="K1067" s="141">
        <f>IFERROR(VLOOKUP($B1067,calc_data,K$14+1,0),0)</f>
        <v/>
      </c>
      <c r="L1067" s="141">
        <f>IFERROR(VLOOKUP($B1067,calc_data,L$14+1,0),0)</f>
        <v/>
      </c>
      <c r="M1067" s="177">
        <f>IFERROR(VLOOKUP($B1067,calc_data,M$14+1,0),0)</f>
        <v/>
      </c>
      <c r="N1067" s="177">
        <f>IFERROR(VLOOKUP($B1067,calc_data,N$14+1,0),0)</f>
        <v/>
      </c>
      <c r="O1067" s="45" t="n"/>
      <c r="Q1067" s="57">
        <f>IF(K1067&gt;0,"показать","скрыть")</f>
        <v/>
      </c>
    </row>
    <row r="1068" ht="15.75" customHeight="1">
      <c r="B1068" s="182" t="n">
        <v>1052</v>
      </c>
      <c r="C1068" s="182">
        <f>IFERROR(VLOOKUP($B1068,calc_data,C$14+1,0),0)</f>
        <v/>
      </c>
      <c r="D1068" s="182">
        <f>IFERROR(VLOOKUP($B1068,calc_data,D$14+1,0),0)</f>
        <v/>
      </c>
      <c r="E1068" s="183">
        <f>IFERROR(VLOOKUP($B1068,calc_data,E$14+1,0),0)</f>
        <v/>
      </c>
      <c r="F1068" s="182">
        <f>IFERROR(VLOOKUP($B1068,calc_data,F$14+1,0),0)</f>
        <v/>
      </c>
      <c r="G1068" s="141">
        <f>IFERROR(VLOOKUP($B1068,calc_data,G$14+1,0),0)</f>
        <v/>
      </c>
      <c r="H1068" s="141">
        <f>IFERROR(VLOOKUP($B1068,calc_data,H$14+1,0),0)</f>
        <v/>
      </c>
      <c r="I1068" s="142">
        <f>IFERROR(VLOOKUP($B1068,calc_data,I$14+1,0),0)</f>
        <v/>
      </c>
      <c r="J1068" s="141">
        <f>IFERROR(VLOOKUP($B1068,calc_data,J$14+1,0),0)</f>
        <v/>
      </c>
      <c r="K1068" s="141">
        <f>IFERROR(VLOOKUP($B1068,calc_data,K$14+1,0),0)</f>
        <v/>
      </c>
      <c r="L1068" s="141">
        <f>IFERROR(VLOOKUP($B1068,calc_data,L$14+1,0),0)</f>
        <v/>
      </c>
      <c r="M1068" s="177">
        <f>IFERROR(VLOOKUP($B1068,calc_data,M$14+1,0),0)</f>
        <v/>
      </c>
      <c r="N1068" s="177">
        <f>IFERROR(VLOOKUP($B1068,calc_data,N$14+1,0),0)</f>
        <v/>
      </c>
      <c r="O1068" s="45" t="n"/>
      <c r="Q1068" s="57">
        <f>IF(K1068&gt;0,"показать","скрыть")</f>
        <v/>
      </c>
    </row>
    <row r="1069" ht="15.75" customHeight="1">
      <c r="B1069" s="182" t="n">
        <v>1053</v>
      </c>
      <c r="C1069" s="182">
        <f>IFERROR(VLOOKUP($B1069,calc_data,C$14+1,0),0)</f>
        <v/>
      </c>
      <c r="D1069" s="182">
        <f>IFERROR(VLOOKUP($B1069,calc_data,D$14+1,0),0)</f>
        <v/>
      </c>
      <c r="E1069" s="183">
        <f>IFERROR(VLOOKUP($B1069,calc_data,E$14+1,0),0)</f>
        <v/>
      </c>
      <c r="F1069" s="182">
        <f>IFERROR(VLOOKUP($B1069,calc_data,F$14+1,0),0)</f>
        <v/>
      </c>
      <c r="G1069" s="141">
        <f>IFERROR(VLOOKUP($B1069,calc_data,G$14+1,0),0)</f>
        <v/>
      </c>
      <c r="H1069" s="141">
        <f>IFERROR(VLOOKUP($B1069,calc_data,H$14+1,0),0)</f>
        <v/>
      </c>
      <c r="I1069" s="142">
        <f>IFERROR(VLOOKUP($B1069,calc_data,I$14+1,0),0)</f>
        <v/>
      </c>
      <c r="J1069" s="141">
        <f>IFERROR(VLOOKUP($B1069,calc_data,J$14+1,0),0)</f>
        <v/>
      </c>
      <c r="K1069" s="141">
        <f>IFERROR(VLOOKUP($B1069,calc_data,K$14+1,0),0)</f>
        <v/>
      </c>
      <c r="L1069" s="141">
        <f>IFERROR(VLOOKUP($B1069,calc_data,L$14+1,0),0)</f>
        <v/>
      </c>
      <c r="M1069" s="177">
        <f>IFERROR(VLOOKUP($B1069,calc_data,M$14+1,0),0)</f>
        <v/>
      </c>
      <c r="N1069" s="177">
        <f>IFERROR(VLOOKUP($B1069,calc_data,N$14+1,0),0)</f>
        <v/>
      </c>
      <c r="O1069" s="45" t="n"/>
      <c r="Q1069" s="57">
        <f>IF(K1069&gt;0,"показать","скрыть")</f>
        <v/>
      </c>
    </row>
    <row r="1070" ht="15.75" customHeight="1">
      <c r="B1070" s="182" t="n">
        <v>1054</v>
      </c>
      <c r="C1070" s="182">
        <f>IFERROR(VLOOKUP($B1070,calc_data,C$14+1,0),0)</f>
        <v/>
      </c>
      <c r="D1070" s="182">
        <f>IFERROR(VLOOKUP($B1070,calc_data,D$14+1,0),0)</f>
        <v/>
      </c>
      <c r="E1070" s="183">
        <f>IFERROR(VLOOKUP($B1070,calc_data,E$14+1,0),0)</f>
        <v/>
      </c>
      <c r="F1070" s="182">
        <f>IFERROR(VLOOKUP($B1070,calc_data,F$14+1,0),0)</f>
        <v/>
      </c>
      <c r="G1070" s="141">
        <f>IFERROR(VLOOKUP($B1070,calc_data,G$14+1,0),0)</f>
        <v/>
      </c>
      <c r="H1070" s="141">
        <f>IFERROR(VLOOKUP($B1070,calc_data,H$14+1,0),0)</f>
        <v/>
      </c>
      <c r="I1070" s="142">
        <f>IFERROR(VLOOKUP($B1070,calc_data,I$14+1,0),0)</f>
        <v/>
      </c>
      <c r="J1070" s="141">
        <f>IFERROR(VLOOKUP($B1070,calc_data,J$14+1,0),0)</f>
        <v/>
      </c>
      <c r="K1070" s="141">
        <f>IFERROR(VLOOKUP($B1070,calc_data,K$14+1,0),0)</f>
        <v/>
      </c>
      <c r="L1070" s="141">
        <f>IFERROR(VLOOKUP($B1070,calc_data,L$14+1,0),0)</f>
        <v/>
      </c>
      <c r="M1070" s="177">
        <f>IFERROR(VLOOKUP($B1070,calc_data,M$14+1,0),0)</f>
        <v/>
      </c>
      <c r="N1070" s="177">
        <f>IFERROR(VLOOKUP($B1070,calc_data,N$14+1,0),0)</f>
        <v/>
      </c>
      <c r="O1070" s="45" t="n"/>
      <c r="Q1070" s="57">
        <f>IF(K1070&gt;0,"показать","скрыть")</f>
        <v/>
      </c>
    </row>
    <row r="1071" ht="15.75" customHeight="1">
      <c r="B1071" s="182" t="n">
        <v>1055</v>
      </c>
      <c r="C1071" s="182">
        <f>IFERROR(VLOOKUP($B1071,calc_data,C$14+1,0),0)</f>
        <v/>
      </c>
      <c r="D1071" s="182">
        <f>IFERROR(VLOOKUP($B1071,calc_data,D$14+1,0),0)</f>
        <v/>
      </c>
      <c r="E1071" s="183">
        <f>IFERROR(VLOOKUP($B1071,calc_data,E$14+1,0),0)</f>
        <v/>
      </c>
      <c r="F1071" s="182">
        <f>IFERROR(VLOOKUP($B1071,calc_data,F$14+1,0),0)</f>
        <v/>
      </c>
      <c r="G1071" s="141">
        <f>IFERROR(VLOOKUP($B1071,calc_data,G$14+1,0),0)</f>
        <v/>
      </c>
      <c r="H1071" s="141">
        <f>IFERROR(VLOOKUP($B1071,calc_data,H$14+1,0),0)</f>
        <v/>
      </c>
      <c r="I1071" s="142">
        <f>IFERROR(VLOOKUP($B1071,calc_data,I$14+1,0),0)</f>
        <v/>
      </c>
      <c r="J1071" s="141">
        <f>IFERROR(VLOOKUP($B1071,calc_data,J$14+1,0),0)</f>
        <v/>
      </c>
      <c r="K1071" s="141">
        <f>IFERROR(VLOOKUP($B1071,calc_data,K$14+1,0),0)</f>
        <v/>
      </c>
      <c r="L1071" s="141">
        <f>IFERROR(VLOOKUP($B1071,calc_data,L$14+1,0),0)</f>
        <v/>
      </c>
      <c r="M1071" s="177">
        <f>IFERROR(VLOOKUP($B1071,calc_data,M$14+1,0),0)</f>
        <v/>
      </c>
      <c r="N1071" s="177">
        <f>IFERROR(VLOOKUP($B1071,calc_data,N$14+1,0),0)</f>
        <v/>
      </c>
      <c r="O1071" s="45" t="n"/>
      <c r="Q1071" s="57">
        <f>IF(K1071&gt;0,"показать","скрыть")</f>
        <v/>
      </c>
    </row>
    <row r="1072" ht="15.75" customHeight="1">
      <c r="B1072" s="182" t="n">
        <v>1056</v>
      </c>
      <c r="C1072" s="182">
        <f>IFERROR(VLOOKUP($B1072,calc_data,C$14+1,0),0)</f>
        <v/>
      </c>
      <c r="D1072" s="182">
        <f>IFERROR(VLOOKUP($B1072,calc_data,D$14+1,0),0)</f>
        <v/>
      </c>
      <c r="E1072" s="183">
        <f>IFERROR(VLOOKUP($B1072,calc_data,E$14+1,0),0)</f>
        <v/>
      </c>
      <c r="F1072" s="182">
        <f>IFERROR(VLOOKUP($B1072,calc_data,F$14+1,0),0)</f>
        <v/>
      </c>
      <c r="G1072" s="141">
        <f>IFERROR(VLOOKUP($B1072,calc_data,G$14+1,0),0)</f>
        <v/>
      </c>
      <c r="H1072" s="141">
        <f>IFERROR(VLOOKUP($B1072,calc_data,H$14+1,0),0)</f>
        <v/>
      </c>
      <c r="I1072" s="142">
        <f>IFERROR(VLOOKUP($B1072,calc_data,I$14+1,0),0)</f>
        <v/>
      </c>
      <c r="J1072" s="141">
        <f>IFERROR(VLOOKUP($B1072,calc_data,J$14+1,0),0)</f>
        <v/>
      </c>
      <c r="K1072" s="141">
        <f>IFERROR(VLOOKUP($B1072,calc_data,K$14+1,0),0)</f>
        <v/>
      </c>
      <c r="L1072" s="141">
        <f>IFERROR(VLOOKUP($B1072,calc_data,L$14+1,0),0)</f>
        <v/>
      </c>
      <c r="M1072" s="177">
        <f>IFERROR(VLOOKUP($B1072,calc_data,M$14+1,0),0)</f>
        <v/>
      </c>
      <c r="N1072" s="177">
        <f>IFERROR(VLOOKUP($B1072,calc_data,N$14+1,0),0)</f>
        <v/>
      </c>
      <c r="O1072" s="45" t="n"/>
      <c r="Q1072" s="57">
        <f>IF(K1072&gt;0,"показать","скрыть")</f>
        <v/>
      </c>
    </row>
    <row r="1073" ht="15.75" customHeight="1">
      <c r="B1073" s="182" t="n">
        <v>1057</v>
      </c>
      <c r="C1073" s="182">
        <f>IFERROR(VLOOKUP($B1073,calc_data,C$14+1,0),0)</f>
        <v/>
      </c>
      <c r="D1073" s="182">
        <f>IFERROR(VLOOKUP($B1073,calc_data,D$14+1,0),0)</f>
        <v/>
      </c>
      <c r="E1073" s="183">
        <f>IFERROR(VLOOKUP($B1073,calc_data,E$14+1,0),0)</f>
        <v/>
      </c>
      <c r="F1073" s="182">
        <f>IFERROR(VLOOKUP($B1073,calc_data,F$14+1,0),0)</f>
        <v/>
      </c>
      <c r="G1073" s="141">
        <f>IFERROR(VLOOKUP($B1073,calc_data,G$14+1,0),0)</f>
        <v/>
      </c>
      <c r="H1073" s="141">
        <f>IFERROR(VLOOKUP($B1073,calc_data,H$14+1,0),0)</f>
        <v/>
      </c>
      <c r="I1073" s="142">
        <f>IFERROR(VLOOKUP($B1073,calc_data,I$14+1,0),0)</f>
        <v/>
      </c>
      <c r="J1073" s="141">
        <f>IFERROR(VLOOKUP($B1073,calc_data,J$14+1,0),0)</f>
        <v/>
      </c>
      <c r="K1073" s="141">
        <f>IFERROR(VLOOKUP($B1073,calc_data,K$14+1,0),0)</f>
        <v/>
      </c>
      <c r="L1073" s="141">
        <f>IFERROR(VLOOKUP($B1073,calc_data,L$14+1,0),0)</f>
        <v/>
      </c>
      <c r="M1073" s="177">
        <f>IFERROR(VLOOKUP($B1073,calc_data,M$14+1,0),0)</f>
        <v/>
      </c>
      <c r="N1073" s="177">
        <f>IFERROR(VLOOKUP($B1073,calc_data,N$14+1,0),0)</f>
        <v/>
      </c>
      <c r="O1073" s="45" t="n"/>
      <c r="Q1073" s="57">
        <f>IF(K1073&gt;0,"показать","скрыть")</f>
        <v/>
      </c>
    </row>
    <row r="1074" ht="15.75" customHeight="1">
      <c r="B1074" s="182" t="n">
        <v>1058</v>
      </c>
      <c r="C1074" s="182">
        <f>IFERROR(VLOOKUP($B1074,calc_data,C$14+1,0),0)</f>
        <v/>
      </c>
      <c r="D1074" s="182">
        <f>IFERROR(VLOOKUP($B1074,calc_data,D$14+1,0),0)</f>
        <v/>
      </c>
      <c r="E1074" s="183">
        <f>IFERROR(VLOOKUP($B1074,calc_data,E$14+1,0),0)</f>
        <v/>
      </c>
      <c r="F1074" s="182">
        <f>IFERROR(VLOOKUP($B1074,calc_data,F$14+1,0),0)</f>
        <v/>
      </c>
      <c r="G1074" s="141">
        <f>IFERROR(VLOOKUP($B1074,calc_data,G$14+1,0),0)</f>
        <v/>
      </c>
      <c r="H1074" s="141">
        <f>IFERROR(VLOOKUP($B1074,calc_data,H$14+1,0),0)</f>
        <v/>
      </c>
      <c r="I1074" s="142">
        <f>IFERROR(VLOOKUP($B1074,calc_data,I$14+1,0),0)</f>
        <v/>
      </c>
      <c r="J1074" s="141">
        <f>IFERROR(VLOOKUP($B1074,calc_data,J$14+1,0),0)</f>
        <v/>
      </c>
      <c r="K1074" s="141">
        <f>IFERROR(VLOOKUP($B1074,calc_data,K$14+1,0),0)</f>
        <v/>
      </c>
      <c r="L1074" s="141">
        <f>IFERROR(VLOOKUP($B1074,calc_data,L$14+1,0),0)</f>
        <v/>
      </c>
      <c r="M1074" s="177">
        <f>IFERROR(VLOOKUP($B1074,calc_data,M$14+1,0),0)</f>
        <v/>
      </c>
      <c r="N1074" s="177">
        <f>IFERROR(VLOOKUP($B1074,calc_data,N$14+1,0),0)</f>
        <v/>
      </c>
      <c r="O1074" s="45" t="n"/>
      <c r="Q1074" s="57">
        <f>IF(K1074&gt;0,"показать","скрыть")</f>
        <v/>
      </c>
    </row>
    <row r="1075" ht="15.75" customHeight="1">
      <c r="B1075" s="182" t="n">
        <v>1059</v>
      </c>
      <c r="C1075" s="182">
        <f>IFERROR(VLOOKUP($B1075,calc_data,C$14+1,0),0)</f>
        <v/>
      </c>
      <c r="D1075" s="182">
        <f>IFERROR(VLOOKUP($B1075,calc_data,D$14+1,0),0)</f>
        <v/>
      </c>
      <c r="E1075" s="183">
        <f>IFERROR(VLOOKUP($B1075,calc_data,E$14+1,0),0)</f>
        <v/>
      </c>
      <c r="F1075" s="182">
        <f>IFERROR(VLOOKUP($B1075,calc_data,F$14+1,0),0)</f>
        <v/>
      </c>
      <c r="G1075" s="141">
        <f>IFERROR(VLOOKUP($B1075,calc_data,G$14+1,0),0)</f>
        <v/>
      </c>
      <c r="H1075" s="141">
        <f>IFERROR(VLOOKUP($B1075,calc_data,H$14+1,0),0)</f>
        <v/>
      </c>
      <c r="I1075" s="142">
        <f>IFERROR(VLOOKUP($B1075,calc_data,I$14+1,0),0)</f>
        <v/>
      </c>
      <c r="J1075" s="141">
        <f>IFERROR(VLOOKUP($B1075,calc_data,J$14+1,0),0)</f>
        <v/>
      </c>
      <c r="K1075" s="141">
        <f>IFERROR(VLOOKUP($B1075,calc_data,K$14+1,0),0)</f>
        <v/>
      </c>
      <c r="L1075" s="141">
        <f>IFERROR(VLOOKUP($B1075,calc_data,L$14+1,0),0)</f>
        <v/>
      </c>
      <c r="M1075" s="177">
        <f>IFERROR(VLOOKUP($B1075,calc_data,M$14+1,0),0)</f>
        <v/>
      </c>
      <c r="N1075" s="177">
        <f>IFERROR(VLOOKUP($B1075,calc_data,N$14+1,0),0)</f>
        <v/>
      </c>
      <c r="O1075" s="45" t="n"/>
      <c r="Q1075" s="57">
        <f>IF(K1075&gt;0,"показать","скрыть")</f>
        <v/>
      </c>
    </row>
    <row r="1076" ht="15.75" customHeight="1">
      <c r="B1076" s="182" t="n">
        <v>1060</v>
      </c>
      <c r="C1076" s="182">
        <f>IFERROR(VLOOKUP($B1076,calc_data,C$14+1,0),0)</f>
        <v/>
      </c>
      <c r="D1076" s="182">
        <f>IFERROR(VLOOKUP($B1076,calc_data,D$14+1,0),0)</f>
        <v/>
      </c>
      <c r="E1076" s="183">
        <f>IFERROR(VLOOKUP($B1076,calc_data,E$14+1,0),0)</f>
        <v/>
      </c>
      <c r="F1076" s="182">
        <f>IFERROR(VLOOKUP($B1076,calc_data,F$14+1,0),0)</f>
        <v/>
      </c>
      <c r="G1076" s="141">
        <f>IFERROR(VLOOKUP($B1076,calc_data,G$14+1,0),0)</f>
        <v/>
      </c>
      <c r="H1076" s="141">
        <f>IFERROR(VLOOKUP($B1076,calc_data,H$14+1,0),0)</f>
        <v/>
      </c>
      <c r="I1076" s="142">
        <f>IFERROR(VLOOKUP($B1076,calc_data,I$14+1,0),0)</f>
        <v/>
      </c>
      <c r="J1076" s="141">
        <f>IFERROR(VLOOKUP($B1076,calc_data,J$14+1,0),0)</f>
        <v/>
      </c>
      <c r="K1076" s="141">
        <f>IFERROR(VLOOKUP($B1076,calc_data,K$14+1,0),0)</f>
        <v/>
      </c>
      <c r="L1076" s="141">
        <f>IFERROR(VLOOKUP($B1076,calc_data,L$14+1,0),0)</f>
        <v/>
      </c>
      <c r="M1076" s="177">
        <f>IFERROR(VLOOKUP($B1076,calc_data,M$14+1,0),0)</f>
        <v/>
      </c>
      <c r="N1076" s="177">
        <f>IFERROR(VLOOKUP($B1076,calc_data,N$14+1,0),0)</f>
        <v/>
      </c>
      <c r="O1076" s="45" t="n"/>
      <c r="Q1076" s="57">
        <f>IF(K1076&gt;0,"показать","скрыть")</f>
        <v/>
      </c>
    </row>
    <row r="1077" ht="15.75" customHeight="1">
      <c r="B1077" s="182" t="n">
        <v>1061</v>
      </c>
      <c r="C1077" s="182">
        <f>IFERROR(VLOOKUP($B1077,calc_data,C$14+1,0),0)</f>
        <v/>
      </c>
      <c r="D1077" s="182">
        <f>IFERROR(VLOOKUP($B1077,calc_data,D$14+1,0),0)</f>
        <v/>
      </c>
      <c r="E1077" s="183">
        <f>IFERROR(VLOOKUP($B1077,calc_data,E$14+1,0),0)</f>
        <v/>
      </c>
      <c r="F1077" s="182">
        <f>IFERROR(VLOOKUP($B1077,calc_data,F$14+1,0),0)</f>
        <v/>
      </c>
      <c r="G1077" s="141">
        <f>IFERROR(VLOOKUP($B1077,calc_data,G$14+1,0),0)</f>
        <v/>
      </c>
      <c r="H1077" s="141">
        <f>IFERROR(VLOOKUP($B1077,calc_data,H$14+1,0),0)</f>
        <v/>
      </c>
      <c r="I1077" s="142">
        <f>IFERROR(VLOOKUP($B1077,calc_data,I$14+1,0),0)</f>
        <v/>
      </c>
      <c r="J1077" s="141">
        <f>IFERROR(VLOOKUP($B1077,calc_data,J$14+1,0),0)</f>
        <v/>
      </c>
      <c r="K1077" s="141">
        <f>IFERROR(VLOOKUP($B1077,calc_data,K$14+1,0),0)</f>
        <v/>
      </c>
      <c r="L1077" s="141">
        <f>IFERROR(VLOOKUP($B1077,calc_data,L$14+1,0),0)</f>
        <v/>
      </c>
      <c r="M1077" s="177">
        <f>IFERROR(VLOOKUP($B1077,calc_data,M$14+1,0),0)</f>
        <v/>
      </c>
      <c r="N1077" s="177">
        <f>IFERROR(VLOOKUP($B1077,calc_data,N$14+1,0),0)</f>
        <v/>
      </c>
      <c r="O1077" s="45" t="n"/>
      <c r="Q1077" s="57">
        <f>IF(K1077&gt;0,"показать","скрыть")</f>
        <v/>
      </c>
    </row>
    <row r="1078" ht="15.75" customHeight="1">
      <c r="B1078" s="182" t="n">
        <v>1062</v>
      </c>
      <c r="C1078" s="182">
        <f>IFERROR(VLOOKUP($B1078,calc_data,C$14+1,0),0)</f>
        <v/>
      </c>
      <c r="D1078" s="182">
        <f>IFERROR(VLOOKUP($B1078,calc_data,D$14+1,0),0)</f>
        <v/>
      </c>
      <c r="E1078" s="183">
        <f>IFERROR(VLOOKUP($B1078,calc_data,E$14+1,0),0)</f>
        <v/>
      </c>
      <c r="F1078" s="182">
        <f>IFERROR(VLOOKUP($B1078,calc_data,F$14+1,0),0)</f>
        <v/>
      </c>
      <c r="G1078" s="141">
        <f>IFERROR(VLOOKUP($B1078,calc_data,G$14+1,0),0)</f>
        <v/>
      </c>
      <c r="H1078" s="141">
        <f>IFERROR(VLOOKUP($B1078,calc_data,H$14+1,0),0)</f>
        <v/>
      </c>
      <c r="I1078" s="142">
        <f>IFERROR(VLOOKUP($B1078,calc_data,I$14+1,0),0)</f>
        <v/>
      </c>
      <c r="J1078" s="141">
        <f>IFERROR(VLOOKUP($B1078,calc_data,J$14+1,0),0)</f>
        <v/>
      </c>
      <c r="K1078" s="141">
        <f>IFERROR(VLOOKUP($B1078,calc_data,K$14+1,0),0)</f>
        <v/>
      </c>
      <c r="L1078" s="141">
        <f>IFERROR(VLOOKUP($B1078,calc_data,L$14+1,0),0)</f>
        <v/>
      </c>
      <c r="M1078" s="177">
        <f>IFERROR(VLOOKUP($B1078,calc_data,M$14+1,0),0)</f>
        <v/>
      </c>
      <c r="N1078" s="177">
        <f>IFERROR(VLOOKUP($B1078,calc_data,N$14+1,0),0)</f>
        <v/>
      </c>
      <c r="O1078" s="45" t="n"/>
      <c r="Q1078" s="57">
        <f>IF(K1078&gt;0,"показать","скрыть")</f>
        <v/>
      </c>
    </row>
    <row r="1079" ht="15.75" customHeight="1">
      <c r="B1079" s="182" t="n">
        <v>1063</v>
      </c>
      <c r="C1079" s="182">
        <f>IFERROR(VLOOKUP($B1079,calc_data,C$14+1,0),0)</f>
        <v/>
      </c>
      <c r="D1079" s="182">
        <f>IFERROR(VLOOKUP($B1079,calc_data,D$14+1,0),0)</f>
        <v/>
      </c>
      <c r="E1079" s="183">
        <f>IFERROR(VLOOKUP($B1079,calc_data,E$14+1,0),0)</f>
        <v/>
      </c>
      <c r="F1079" s="182">
        <f>IFERROR(VLOOKUP($B1079,calc_data,F$14+1,0),0)</f>
        <v/>
      </c>
      <c r="G1079" s="141">
        <f>IFERROR(VLOOKUP($B1079,calc_data,G$14+1,0),0)</f>
        <v/>
      </c>
      <c r="H1079" s="141">
        <f>IFERROR(VLOOKUP($B1079,calc_data,H$14+1,0),0)</f>
        <v/>
      </c>
      <c r="I1079" s="142">
        <f>IFERROR(VLOOKUP($B1079,calc_data,I$14+1,0),0)</f>
        <v/>
      </c>
      <c r="J1079" s="141">
        <f>IFERROR(VLOOKUP($B1079,calc_data,J$14+1,0),0)</f>
        <v/>
      </c>
      <c r="K1079" s="141">
        <f>IFERROR(VLOOKUP($B1079,calc_data,K$14+1,0),0)</f>
        <v/>
      </c>
      <c r="L1079" s="141">
        <f>IFERROR(VLOOKUP($B1079,calc_data,L$14+1,0),0)</f>
        <v/>
      </c>
      <c r="M1079" s="177">
        <f>IFERROR(VLOOKUP($B1079,calc_data,M$14+1,0),0)</f>
        <v/>
      </c>
      <c r="N1079" s="177">
        <f>IFERROR(VLOOKUP($B1079,calc_data,N$14+1,0),0)</f>
        <v/>
      </c>
      <c r="O1079" s="45" t="n"/>
      <c r="Q1079" s="57">
        <f>IF(K1079&gt;0,"показать","скрыть")</f>
        <v/>
      </c>
    </row>
    <row r="1080" ht="15.75" customHeight="1">
      <c r="B1080" s="182" t="n">
        <v>1064</v>
      </c>
      <c r="C1080" s="182">
        <f>IFERROR(VLOOKUP($B1080,calc_data,C$14+1,0),0)</f>
        <v/>
      </c>
      <c r="D1080" s="182">
        <f>IFERROR(VLOOKUP($B1080,calc_data,D$14+1,0),0)</f>
        <v/>
      </c>
      <c r="E1080" s="183">
        <f>IFERROR(VLOOKUP($B1080,calc_data,E$14+1,0),0)</f>
        <v/>
      </c>
      <c r="F1080" s="182">
        <f>IFERROR(VLOOKUP($B1080,calc_data,F$14+1,0),0)</f>
        <v/>
      </c>
      <c r="G1080" s="141">
        <f>IFERROR(VLOOKUP($B1080,calc_data,G$14+1,0),0)</f>
        <v/>
      </c>
      <c r="H1080" s="141">
        <f>IFERROR(VLOOKUP($B1080,calc_data,H$14+1,0),0)</f>
        <v/>
      </c>
      <c r="I1080" s="142">
        <f>IFERROR(VLOOKUP($B1080,calc_data,I$14+1,0),0)</f>
        <v/>
      </c>
      <c r="J1080" s="141">
        <f>IFERROR(VLOOKUP($B1080,calc_data,J$14+1,0),0)</f>
        <v/>
      </c>
      <c r="K1080" s="141">
        <f>IFERROR(VLOOKUP($B1080,calc_data,K$14+1,0),0)</f>
        <v/>
      </c>
      <c r="L1080" s="141">
        <f>IFERROR(VLOOKUP($B1080,calc_data,L$14+1,0),0)</f>
        <v/>
      </c>
      <c r="M1080" s="177">
        <f>IFERROR(VLOOKUP($B1080,calc_data,M$14+1,0),0)</f>
        <v/>
      </c>
      <c r="N1080" s="177">
        <f>IFERROR(VLOOKUP($B1080,calc_data,N$14+1,0),0)</f>
        <v/>
      </c>
      <c r="O1080" s="45" t="n"/>
      <c r="Q1080" s="57">
        <f>IF(K1080&gt;0,"показать","скрыть")</f>
        <v/>
      </c>
    </row>
    <row r="1081" ht="15.75" customHeight="1">
      <c r="B1081" s="182" t="n">
        <v>1065</v>
      </c>
      <c r="C1081" s="182">
        <f>IFERROR(VLOOKUP($B1081,calc_data,C$14+1,0),0)</f>
        <v/>
      </c>
      <c r="D1081" s="182">
        <f>IFERROR(VLOOKUP($B1081,calc_data,D$14+1,0),0)</f>
        <v/>
      </c>
      <c r="E1081" s="183">
        <f>IFERROR(VLOOKUP($B1081,calc_data,E$14+1,0),0)</f>
        <v/>
      </c>
      <c r="F1081" s="182">
        <f>IFERROR(VLOOKUP($B1081,calc_data,F$14+1,0),0)</f>
        <v/>
      </c>
      <c r="G1081" s="141">
        <f>IFERROR(VLOOKUP($B1081,calc_data,G$14+1,0),0)</f>
        <v/>
      </c>
      <c r="H1081" s="141">
        <f>IFERROR(VLOOKUP($B1081,calc_data,H$14+1,0),0)</f>
        <v/>
      </c>
      <c r="I1081" s="142">
        <f>IFERROR(VLOOKUP($B1081,calc_data,I$14+1,0),0)</f>
        <v/>
      </c>
      <c r="J1081" s="141">
        <f>IFERROR(VLOOKUP($B1081,calc_data,J$14+1,0),0)</f>
        <v/>
      </c>
      <c r="K1081" s="141">
        <f>IFERROR(VLOOKUP($B1081,calc_data,K$14+1,0),0)</f>
        <v/>
      </c>
      <c r="L1081" s="141">
        <f>IFERROR(VLOOKUP($B1081,calc_data,L$14+1,0),0)</f>
        <v/>
      </c>
      <c r="M1081" s="177">
        <f>IFERROR(VLOOKUP($B1081,calc_data,M$14+1,0),0)</f>
        <v/>
      </c>
      <c r="N1081" s="177">
        <f>IFERROR(VLOOKUP($B1081,calc_data,N$14+1,0),0)</f>
        <v/>
      </c>
      <c r="O1081" s="45" t="n"/>
      <c r="Q1081" s="57">
        <f>IF(K1081&gt;0,"показать","скрыть")</f>
        <v/>
      </c>
    </row>
    <row r="1082" ht="15.75" customHeight="1">
      <c r="B1082" s="182" t="n">
        <v>1066</v>
      </c>
      <c r="C1082" s="182">
        <f>IFERROR(VLOOKUP($B1082,calc_data,C$14+1,0),0)</f>
        <v/>
      </c>
      <c r="D1082" s="182">
        <f>IFERROR(VLOOKUP($B1082,calc_data,D$14+1,0),0)</f>
        <v/>
      </c>
      <c r="E1082" s="183">
        <f>IFERROR(VLOOKUP($B1082,calc_data,E$14+1,0),0)</f>
        <v/>
      </c>
      <c r="F1082" s="182">
        <f>IFERROR(VLOOKUP($B1082,calc_data,F$14+1,0),0)</f>
        <v/>
      </c>
      <c r="G1082" s="141">
        <f>IFERROR(VLOOKUP($B1082,calc_data,G$14+1,0),0)</f>
        <v/>
      </c>
      <c r="H1082" s="141">
        <f>IFERROR(VLOOKUP($B1082,calc_data,H$14+1,0),0)</f>
        <v/>
      </c>
      <c r="I1082" s="142">
        <f>IFERROR(VLOOKUP($B1082,calc_data,I$14+1,0),0)</f>
        <v/>
      </c>
      <c r="J1082" s="141">
        <f>IFERROR(VLOOKUP($B1082,calc_data,J$14+1,0),0)</f>
        <v/>
      </c>
      <c r="K1082" s="141">
        <f>IFERROR(VLOOKUP($B1082,calc_data,K$14+1,0),0)</f>
        <v/>
      </c>
      <c r="L1082" s="141">
        <f>IFERROR(VLOOKUP($B1082,calc_data,L$14+1,0),0)</f>
        <v/>
      </c>
      <c r="M1082" s="177">
        <f>IFERROR(VLOOKUP($B1082,calc_data,M$14+1,0),0)</f>
        <v/>
      </c>
      <c r="N1082" s="177">
        <f>IFERROR(VLOOKUP($B1082,calc_data,N$14+1,0),0)</f>
        <v/>
      </c>
      <c r="O1082" s="45" t="n"/>
      <c r="Q1082" s="57">
        <f>IF(K1082&gt;0,"показать","скрыть")</f>
        <v/>
      </c>
    </row>
    <row r="1083" ht="15.75" customHeight="1">
      <c r="B1083" s="182" t="n">
        <v>1067</v>
      </c>
      <c r="C1083" s="182">
        <f>IFERROR(VLOOKUP($B1083,calc_data,C$14+1,0),0)</f>
        <v/>
      </c>
      <c r="D1083" s="182">
        <f>IFERROR(VLOOKUP($B1083,calc_data,D$14+1,0),0)</f>
        <v/>
      </c>
      <c r="E1083" s="183">
        <f>IFERROR(VLOOKUP($B1083,calc_data,E$14+1,0),0)</f>
        <v/>
      </c>
      <c r="F1083" s="182">
        <f>IFERROR(VLOOKUP($B1083,calc_data,F$14+1,0),0)</f>
        <v/>
      </c>
      <c r="G1083" s="141">
        <f>IFERROR(VLOOKUP($B1083,calc_data,G$14+1,0),0)</f>
        <v/>
      </c>
      <c r="H1083" s="141">
        <f>IFERROR(VLOOKUP($B1083,calc_data,H$14+1,0),0)</f>
        <v/>
      </c>
      <c r="I1083" s="142">
        <f>IFERROR(VLOOKUP($B1083,calc_data,I$14+1,0),0)</f>
        <v/>
      </c>
      <c r="J1083" s="141">
        <f>IFERROR(VLOOKUP($B1083,calc_data,J$14+1,0),0)</f>
        <v/>
      </c>
      <c r="K1083" s="141">
        <f>IFERROR(VLOOKUP($B1083,calc_data,K$14+1,0),0)</f>
        <v/>
      </c>
      <c r="L1083" s="141">
        <f>IFERROR(VLOOKUP($B1083,calc_data,L$14+1,0),0)</f>
        <v/>
      </c>
      <c r="M1083" s="177">
        <f>IFERROR(VLOOKUP($B1083,calc_data,M$14+1,0),0)</f>
        <v/>
      </c>
      <c r="N1083" s="177">
        <f>IFERROR(VLOOKUP($B1083,calc_data,N$14+1,0),0)</f>
        <v/>
      </c>
      <c r="O1083" s="45" t="n"/>
      <c r="Q1083" s="57">
        <f>IF(K1083&gt;0,"показать","скрыть")</f>
        <v/>
      </c>
    </row>
    <row r="1084" ht="15.75" customHeight="1">
      <c r="B1084" s="182" t="n">
        <v>1068</v>
      </c>
      <c r="C1084" s="182">
        <f>IFERROR(VLOOKUP($B1084,calc_data,C$14+1,0),0)</f>
        <v/>
      </c>
      <c r="D1084" s="182">
        <f>IFERROR(VLOOKUP($B1084,calc_data,D$14+1,0),0)</f>
        <v/>
      </c>
      <c r="E1084" s="183">
        <f>IFERROR(VLOOKUP($B1084,calc_data,E$14+1,0),0)</f>
        <v/>
      </c>
      <c r="F1084" s="182">
        <f>IFERROR(VLOOKUP($B1084,calc_data,F$14+1,0),0)</f>
        <v/>
      </c>
      <c r="G1084" s="141">
        <f>IFERROR(VLOOKUP($B1084,calc_data,G$14+1,0),0)</f>
        <v/>
      </c>
      <c r="H1084" s="141">
        <f>IFERROR(VLOOKUP($B1084,calc_data,H$14+1,0),0)</f>
        <v/>
      </c>
      <c r="I1084" s="142">
        <f>IFERROR(VLOOKUP($B1084,calc_data,I$14+1,0),0)</f>
        <v/>
      </c>
      <c r="J1084" s="141">
        <f>IFERROR(VLOOKUP($B1084,calc_data,J$14+1,0),0)</f>
        <v/>
      </c>
      <c r="K1084" s="141">
        <f>IFERROR(VLOOKUP($B1084,calc_data,K$14+1,0),0)</f>
        <v/>
      </c>
      <c r="L1084" s="141">
        <f>IFERROR(VLOOKUP($B1084,calc_data,L$14+1,0),0)</f>
        <v/>
      </c>
      <c r="M1084" s="177">
        <f>IFERROR(VLOOKUP($B1084,calc_data,M$14+1,0),0)</f>
        <v/>
      </c>
      <c r="N1084" s="177">
        <f>IFERROR(VLOOKUP($B1084,calc_data,N$14+1,0),0)</f>
        <v/>
      </c>
      <c r="O1084" s="45" t="n"/>
      <c r="Q1084" s="57">
        <f>IF(K1084&gt;0,"показать","скрыть")</f>
        <v/>
      </c>
    </row>
    <row r="1085" ht="15.75" customHeight="1">
      <c r="B1085" s="182" t="n">
        <v>1069</v>
      </c>
      <c r="C1085" s="182">
        <f>IFERROR(VLOOKUP($B1085,calc_data,C$14+1,0),0)</f>
        <v/>
      </c>
      <c r="D1085" s="182">
        <f>IFERROR(VLOOKUP($B1085,calc_data,D$14+1,0),0)</f>
        <v/>
      </c>
      <c r="E1085" s="183">
        <f>IFERROR(VLOOKUP($B1085,calc_data,E$14+1,0),0)</f>
        <v/>
      </c>
      <c r="F1085" s="182">
        <f>IFERROR(VLOOKUP($B1085,calc_data,F$14+1,0),0)</f>
        <v/>
      </c>
      <c r="G1085" s="141">
        <f>IFERROR(VLOOKUP($B1085,calc_data,G$14+1,0),0)</f>
        <v/>
      </c>
      <c r="H1085" s="141">
        <f>IFERROR(VLOOKUP($B1085,calc_data,H$14+1,0),0)</f>
        <v/>
      </c>
      <c r="I1085" s="142">
        <f>IFERROR(VLOOKUP($B1085,calc_data,I$14+1,0),0)</f>
        <v/>
      </c>
      <c r="J1085" s="141">
        <f>IFERROR(VLOOKUP($B1085,calc_data,J$14+1,0),0)</f>
        <v/>
      </c>
      <c r="K1085" s="141">
        <f>IFERROR(VLOOKUP($B1085,calc_data,K$14+1,0),0)</f>
        <v/>
      </c>
      <c r="L1085" s="141">
        <f>IFERROR(VLOOKUP($B1085,calc_data,L$14+1,0),0)</f>
        <v/>
      </c>
      <c r="M1085" s="177">
        <f>IFERROR(VLOOKUP($B1085,calc_data,M$14+1,0),0)</f>
        <v/>
      </c>
      <c r="N1085" s="177">
        <f>IFERROR(VLOOKUP($B1085,calc_data,N$14+1,0),0)</f>
        <v/>
      </c>
      <c r="O1085" s="45" t="n"/>
      <c r="Q1085" s="57">
        <f>IF(K1085&gt;0,"показать","скрыть")</f>
        <v/>
      </c>
    </row>
    <row r="1086" ht="15.75" customHeight="1">
      <c r="B1086" s="182" t="n">
        <v>1070</v>
      </c>
      <c r="C1086" s="182">
        <f>IFERROR(VLOOKUP($B1086,calc_data,C$14+1,0),0)</f>
        <v/>
      </c>
      <c r="D1086" s="182">
        <f>IFERROR(VLOOKUP($B1086,calc_data,D$14+1,0),0)</f>
        <v/>
      </c>
      <c r="E1086" s="183">
        <f>IFERROR(VLOOKUP($B1086,calc_data,E$14+1,0),0)</f>
        <v/>
      </c>
      <c r="F1086" s="182">
        <f>IFERROR(VLOOKUP($B1086,calc_data,F$14+1,0),0)</f>
        <v/>
      </c>
      <c r="G1086" s="141">
        <f>IFERROR(VLOOKUP($B1086,calc_data,G$14+1,0),0)</f>
        <v/>
      </c>
      <c r="H1086" s="141">
        <f>IFERROR(VLOOKUP($B1086,calc_data,H$14+1,0),0)</f>
        <v/>
      </c>
      <c r="I1086" s="142">
        <f>IFERROR(VLOOKUP($B1086,calc_data,I$14+1,0),0)</f>
        <v/>
      </c>
      <c r="J1086" s="141">
        <f>IFERROR(VLOOKUP($B1086,calc_data,J$14+1,0),0)</f>
        <v/>
      </c>
      <c r="K1086" s="141">
        <f>IFERROR(VLOOKUP($B1086,calc_data,K$14+1,0),0)</f>
        <v/>
      </c>
      <c r="L1086" s="141">
        <f>IFERROR(VLOOKUP($B1086,calc_data,L$14+1,0),0)</f>
        <v/>
      </c>
      <c r="M1086" s="177">
        <f>IFERROR(VLOOKUP($B1086,calc_data,M$14+1,0),0)</f>
        <v/>
      </c>
      <c r="N1086" s="177">
        <f>IFERROR(VLOOKUP($B1086,calc_data,N$14+1,0),0)</f>
        <v/>
      </c>
      <c r="O1086" s="45" t="n"/>
      <c r="Q1086" s="57">
        <f>IF(K1086&gt;0,"показать","скрыть")</f>
        <v/>
      </c>
    </row>
    <row r="1087" ht="15.75" customHeight="1">
      <c r="B1087" s="182" t="n">
        <v>1071</v>
      </c>
      <c r="C1087" s="182">
        <f>IFERROR(VLOOKUP($B1087,calc_data,C$14+1,0),0)</f>
        <v/>
      </c>
      <c r="D1087" s="182">
        <f>IFERROR(VLOOKUP($B1087,calc_data,D$14+1,0),0)</f>
        <v/>
      </c>
      <c r="E1087" s="183">
        <f>IFERROR(VLOOKUP($B1087,calc_data,E$14+1,0),0)</f>
        <v/>
      </c>
      <c r="F1087" s="182">
        <f>IFERROR(VLOOKUP($B1087,calc_data,F$14+1,0),0)</f>
        <v/>
      </c>
      <c r="G1087" s="141">
        <f>IFERROR(VLOOKUP($B1087,calc_data,G$14+1,0),0)</f>
        <v/>
      </c>
      <c r="H1087" s="141">
        <f>IFERROR(VLOOKUP($B1087,calc_data,H$14+1,0),0)</f>
        <v/>
      </c>
      <c r="I1087" s="142">
        <f>IFERROR(VLOOKUP($B1087,calc_data,I$14+1,0),0)</f>
        <v/>
      </c>
      <c r="J1087" s="141">
        <f>IFERROR(VLOOKUP($B1087,calc_data,J$14+1,0),0)</f>
        <v/>
      </c>
      <c r="K1087" s="141">
        <f>IFERROR(VLOOKUP($B1087,calc_data,K$14+1,0),0)</f>
        <v/>
      </c>
      <c r="L1087" s="141">
        <f>IFERROR(VLOOKUP($B1087,calc_data,L$14+1,0),0)</f>
        <v/>
      </c>
      <c r="M1087" s="177">
        <f>IFERROR(VLOOKUP($B1087,calc_data,M$14+1,0),0)</f>
        <v/>
      </c>
      <c r="N1087" s="177">
        <f>IFERROR(VLOOKUP($B1087,calc_data,N$14+1,0),0)</f>
        <v/>
      </c>
      <c r="O1087" s="45" t="n"/>
      <c r="Q1087" s="57">
        <f>IF(K1087&gt;0,"показать","скрыть")</f>
        <v/>
      </c>
    </row>
    <row r="1088" ht="15.75" customHeight="1">
      <c r="B1088" s="182" t="n">
        <v>1072</v>
      </c>
      <c r="C1088" s="182">
        <f>IFERROR(VLOOKUP($B1088,calc_data,C$14+1,0),0)</f>
        <v/>
      </c>
      <c r="D1088" s="182">
        <f>IFERROR(VLOOKUP($B1088,calc_data,D$14+1,0),0)</f>
        <v/>
      </c>
      <c r="E1088" s="183">
        <f>IFERROR(VLOOKUP($B1088,calc_data,E$14+1,0),0)</f>
        <v/>
      </c>
      <c r="F1088" s="182">
        <f>IFERROR(VLOOKUP($B1088,calc_data,F$14+1,0),0)</f>
        <v/>
      </c>
      <c r="G1088" s="141">
        <f>IFERROR(VLOOKUP($B1088,calc_data,G$14+1,0),0)</f>
        <v/>
      </c>
      <c r="H1088" s="141">
        <f>IFERROR(VLOOKUP($B1088,calc_data,H$14+1,0),0)</f>
        <v/>
      </c>
      <c r="I1088" s="142">
        <f>IFERROR(VLOOKUP($B1088,calc_data,I$14+1,0),0)</f>
        <v/>
      </c>
      <c r="J1088" s="141">
        <f>IFERROR(VLOOKUP($B1088,calc_data,J$14+1,0),0)</f>
        <v/>
      </c>
      <c r="K1088" s="141">
        <f>IFERROR(VLOOKUP($B1088,calc_data,K$14+1,0),0)</f>
        <v/>
      </c>
      <c r="L1088" s="141">
        <f>IFERROR(VLOOKUP($B1088,calc_data,L$14+1,0),0)</f>
        <v/>
      </c>
      <c r="M1088" s="177">
        <f>IFERROR(VLOOKUP($B1088,calc_data,M$14+1,0),0)</f>
        <v/>
      </c>
      <c r="N1088" s="177">
        <f>IFERROR(VLOOKUP($B1088,calc_data,N$14+1,0),0)</f>
        <v/>
      </c>
      <c r="O1088" s="45" t="n"/>
      <c r="Q1088" s="57">
        <f>IF(K1088&gt;0,"показать","скрыть")</f>
        <v/>
      </c>
    </row>
    <row r="1089" ht="15.75" customHeight="1">
      <c r="B1089" s="182" t="n">
        <v>1073</v>
      </c>
      <c r="C1089" s="182">
        <f>IFERROR(VLOOKUP($B1089,calc_data,C$14+1,0),0)</f>
        <v/>
      </c>
      <c r="D1089" s="182">
        <f>IFERROR(VLOOKUP($B1089,calc_data,D$14+1,0),0)</f>
        <v/>
      </c>
      <c r="E1089" s="183">
        <f>IFERROR(VLOOKUP($B1089,calc_data,E$14+1,0),0)</f>
        <v/>
      </c>
      <c r="F1089" s="182">
        <f>IFERROR(VLOOKUP($B1089,calc_data,F$14+1,0),0)</f>
        <v/>
      </c>
      <c r="G1089" s="141">
        <f>IFERROR(VLOOKUP($B1089,calc_data,G$14+1,0),0)</f>
        <v/>
      </c>
      <c r="H1089" s="141">
        <f>IFERROR(VLOOKUP($B1089,calc_data,H$14+1,0),0)</f>
        <v/>
      </c>
      <c r="I1089" s="142">
        <f>IFERROR(VLOOKUP($B1089,calc_data,I$14+1,0),0)</f>
        <v/>
      </c>
      <c r="J1089" s="141">
        <f>IFERROR(VLOOKUP($B1089,calc_data,J$14+1,0),0)</f>
        <v/>
      </c>
      <c r="K1089" s="141">
        <f>IFERROR(VLOOKUP($B1089,calc_data,K$14+1,0),0)</f>
        <v/>
      </c>
      <c r="L1089" s="141">
        <f>IFERROR(VLOOKUP($B1089,calc_data,L$14+1,0),0)</f>
        <v/>
      </c>
      <c r="M1089" s="177">
        <f>IFERROR(VLOOKUP($B1089,calc_data,M$14+1,0),0)</f>
        <v/>
      </c>
      <c r="N1089" s="177">
        <f>IFERROR(VLOOKUP($B1089,calc_data,N$14+1,0),0)</f>
        <v/>
      </c>
      <c r="O1089" s="45" t="n"/>
      <c r="Q1089" s="57">
        <f>IF(K1089&gt;0,"показать","скрыть")</f>
        <v/>
      </c>
    </row>
    <row r="1090" ht="15.75" customHeight="1">
      <c r="B1090" s="182" t="n">
        <v>1074</v>
      </c>
      <c r="C1090" s="182">
        <f>IFERROR(VLOOKUP($B1090,calc_data,C$14+1,0),0)</f>
        <v/>
      </c>
      <c r="D1090" s="182">
        <f>IFERROR(VLOOKUP($B1090,calc_data,D$14+1,0),0)</f>
        <v/>
      </c>
      <c r="E1090" s="183">
        <f>IFERROR(VLOOKUP($B1090,calc_data,E$14+1,0),0)</f>
        <v/>
      </c>
      <c r="F1090" s="182">
        <f>IFERROR(VLOOKUP($B1090,calc_data,F$14+1,0),0)</f>
        <v/>
      </c>
      <c r="G1090" s="141">
        <f>IFERROR(VLOOKUP($B1090,calc_data,G$14+1,0),0)</f>
        <v/>
      </c>
      <c r="H1090" s="141">
        <f>IFERROR(VLOOKUP($B1090,calc_data,H$14+1,0),0)</f>
        <v/>
      </c>
      <c r="I1090" s="142">
        <f>IFERROR(VLOOKUP($B1090,calc_data,I$14+1,0),0)</f>
        <v/>
      </c>
      <c r="J1090" s="141">
        <f>IFERROR(VLOOKUP($B1090,calc_data,J$14+1,0),0)</f>
        <v/>
      </c>
      <c r="K1090" s="141">
        <f>IFERROR(VLOOKUP($B1090,calc_data,K$14+1,0),0)</f>
        <v/>
      </c>
      <c r="L1090" s="141">
        <f>IFERROR(VLOOKUP($B1090,calc_data,L$14+1,0),0)</f>
        <v/>
      </c>
      <c r="M1090" s="177">
        <f>IFERROR(VLOOKUP($B1090,calc_data,M$14+1,0),0)</f>
        <v/>
      </c>
      <c r="N1090" s="177">
        <f>IFERROR(VLOOKUP($B1090,calc_data,N$14+1,0),0)</f>
        <v/>
      </c>
      <c r="O1090" s="45" t="n"/>
      <c r="Q1090" s="57">
        <f>IF(K1090&gt;0,"показать","скрыть")</f>
        <v/>
      </c>
    </row>
    <row r="1091" ht="15.75" customHeight="1">
      <c r="B1091" s="182" t="n">
        <v>1075</v>
      </c>
      <c r="C1091" s="182">
        <f>IFERROR(VLOOKUP($B1091,calc_data,C$14+1,0),0)</f>
        <v/>
      </c>
      <c r="D1091" s="182">
        <f>IFERROR(VLOOKUP($B1091,calc_data,D$14+1,0),0)</f>
        <v/>
      </c>
      <c r="E1091" s="183">
        <f>IFERROR(VLOOKUP($B1091,calc_data,E$14+1,0),0)</f>
        <v/>
      </c>
      <c r="F1091" s="182">
        <f>IFERROR(VLOOKUP($B1091,calc_data,F$14+1,0),0)</f>
        <v/>
      </c>
      <c r="G1091" s="141">
        <f>IFERROR(VLOOKUP($B1091,calc_data,G$14+1,0),0)</f>
        <v/>
      </c>
      <c r="H1091" s="141">
        <f>IFERROR(VLOOKUP($B1091,calc_data,H$14+1,0),0)</f>
        <v/>
      </c>
      <c r="I1091" s="142">
        <f>IFERROR(VLOOKUP($B1091,calc_data,I$14+1,0),0)</f>
        <v/>
      </c>
      <c r="J1091" s="141">
        <f>IFERROR(VLOOKUP($B1091,calc_data,J$14+1,0),0)</f>
        <v/>
      </c>
      <c r="K1091" s="141">
        <f>IFERROR(VLOOKUP($B1091,calc_data,K$14+1,0),0)</f>
        <v/>
      </c>
      <c r="L1091" s="141">
        <f>IFERROR(VLOOKUP($B1091,calc_data,L$14+1,0),0)</f>
        <v/>
      </c>
      <c r="M1091" s="177">
        <f>IFERROR(VLOOKUP($B1091,calc_data,M$14+1,0),0)</f>
        <v/>
      </c>
      <c r="N1091" s="177">
        <f>IFERROR(VLOOKUP($B1091,calc_data,N$14+1,0),0)</f>
        <v/>
      </c>
      <c r="O1091" s="45" t="n"/>
      <c r="Q1091" s="57">
        <f>IF(K1091&gt;0,"показать","скрыть")</f>
        <v/>
      </c>
    </row>
    <row r="1092" ht="15.75" customHeight="1">
      <c r="B1092" s="182" t="n">
        <v>1076</v>
      </c>
      <c r="C1092" s="182">
        <f>IFERROR(VLOOKUP($B1092,calc_data,C$14+1,0),0)</f>
        <v/>
      </c>
      <c r="D1092" s="182">
        <f>IFERROR(VLOOKUP($B1092,calc_data,D$14+1,0),0)</f>
        <v/>
      </c>
      <c r="E1092" s="183">
        <f>IFERROR(VLOOKUP($B1092,calc_data,E$14+1,0),0)</f>
        <v/>
      </c>
      <c r="F1092" s="182">
        <f>IFERROR(VLOOKUP($B1092,calc_data,F$14+1,0),0)</f>
        <v/>
      </c>
      <c r="G1092" s="141">
        <f>IFERROR(VLOOKUP($B1092,calc_data,G$14+1,0),0)</f>
        <v/>
      </c>
      <c r="H1092" s="141">
        <f>IFERROR(VLOOKUP($B1092,calc_data,H$14+1,0),0)</f>
        <v/>
      </c>
      <c r="I1092" s="142">
        <f>IFERROR(VLOOKUP($B1092,calc_data,I$14+1,0),0)</f>
        <v/>
      </c>
      <c r="J1092" s="141">
        <f>IFERROR(VLOOKUP($B1092,calc_data,J$14+1,0),0)</f>
        <v/>
      </c>
      <c r="K1092" s="141">
        <f>IFERROR(VLOOKUP($B1092,calc_data,K$14+1,0),0)</f>
        <v/>
      </c>
      <c r="L1092" s="141">
        <f>IFERROR(VLOOKUP($B1092,calc_data,L$14+1,0),0)</f>
        <v/>
      </c>
      <c r="M1092" s="177">
        <f>IFERROR(VLOOKUP($B1092,calc_data,M$14+1,0),0)</f>
        <v/>
      </c>
      <c r="N1092" s="177">
        <f>IFERROR(VLOOKUP($B1092,calc_data,N$14+1,0),0)</f>
        <v/>
      </c>
      <c r="O1092" s="45" t="n"/>
      <c r="Q1092" s="57">
        <f>IF(K1092&gt;0,"показать","скрыть")</f>
        <v/>
      </c>
    </row>
    <row r="1093" ht="15.75" customHeight="1">
      <c r="B1093" s="182" t="n">
        <v>1077</v>
      </c>
      <c r="C1093" s="182">
        <f>IFERROR(VLOOKUP($B1093,calc_data,C$14+1,0),0)</f>
        <v/>
      </c>
      <c r="D1093" s="182">
        <f>IFERROR(VLOOKUP($B1093,calc_data,D$14+1,0),0)</f>
        <v/>
      </c>
      <c r="E1093" s="183">
        <f>IFERROR(VLOOKUP($B1093,calc_data,E$14+1,0),0)</f>
        <v/>
      </c>
      <c r="F1093" s="182">
        <f>IFERROR(VLOOKUP($B1093,calc_data,F$14+1,0),0)</f>
        <v/>
      </c>
      <c r="G1093" s="141">
        <f>IFERROR(VLOOKUP($B1093,calc_data,G$14+1,0),0)</f>
        <v/>
      </c>
      <c r="H1093" s="141">
        <f>IFERROR(VLOOKUP($B1093,calc_data,H$14+1,0),0)</f>
        <v/>
      </c>
      <c r="I1093" s="142">
        <f>IFERROR(VLOOKUP($B1093,calc_data,I$14+1,0),0)</f>
        <v/>
      </c>
      <c r="J1093" s="141">
        <f>IFERROR(VLOOKUP($B1093,calc_data,J$14+1,0),0)</f>
        <v/>
      </c>
      <c r="K1093" s="141">
        <f>IFERROR(VLOOKUP($B1093,calc_data,K$14+1,0),0)</f>
        <v/>
      </c>
      <c r="L1093" s="141">
        <f>IFERROR(VLOOKUP($B1093,calc_data,L$14+1,0),0)</f>
        <v/>
      </c>
      <c r="M1093" s="177">
        <f>IFERROR(VLOOKUP($B1093,calc_data,M$14+1,0),0)</f>
        <v/>
      </c>
      <c r="N1093" s="177">
        <f>IFERROR(VLOOKUP($B1093,calc_data,N$14+1,0),0)</f>
        <v/>
      </c>
      <c r="O1093" s="45" t="n"/>
      <c r="Q1093" s="57">
        <f>IF(K1093&gt;0,"показать","скрыть")</f>
        <v/>
      </c>
    </row>
    <row r="1094" ht="15.75" customHeight="1">
      <c r="B1094" s="182" t="n">
        <v>1078</v>
      </c>
      <c r="C1094" s="182">
        <f>IFERROR(VLOOKUP($B1094,calc_data,C$14+1,0),0)</f>
        <v/>
      </c>
      <c r="D1094" s="182">
        <f>IFERROR(VLOOKUP($B1094,calc_data,D$14+1,0),0)</f>
        <v/>
      </c>
      <c r="E1094" s="183">
        <f>IFERROR(VLOOKUP($B1094,calc_data,E$14+1,0),0)</f>
        <v/>
      </c>
      <c r="F1094" s="182">
        <f>IFERROR(VLOOKUP($B1094,calc_data,F$14+1,0),0)</f>
        <v/>
      </c>
      <c r="G1094" s="141">
        <f>IFERROR(VLOOKUP($B1094,calc_data,G$14+1,0),0)</f>
        <v/>
      </c>
      <c r="H1094" s="141">
        <f>IFERROR(VLOOKUP($B1094,calc_data,H$14+1,0),0)</f>
        <v/>
      </c>
      <c r="I1094" s="142">
        <f>IFERROR(VLOOKUP($B1094,calc_data,I$14+1,0),0)</f>
        <v/>
      </c>
      <c r="J1094" s="141">
        <f>IFERROR(VLOOKUP($B1094,calc_data,J$14+1,0),0)</f>
        <v/>
      </c>
      <c r="K1094" s="141">
        <f>IFERROR(VLOOKUP($B1094,calc_data,K$14+1,0),0)</f>
        <v/>
      </c>
      <c r="L1094" s="141">
        <f>IFERROR(VLOOKUP($B1094,calc_data,L$14+1,0),0)</f>
        <v/>
      </c>
      <c r="M1094" s="177">
        <f>IFERROR(VLOOKUP($B1094,calc_data,M$14+1,0),0)</f>
        <v/>
      </c>
      <c r="N1094" s="177">
        <f>IFERROR(VLOOKUP($B1094,calc_data,N$14+1,0),0)</f>
        <v/>
      </c>
      <c r="O1094" s="45" t="n"/>
      <c r="Q1094" s="57">
        <f>IF(K1094&gt;0,"показать","скрыть")</f>
        <v/>
      </c>
    </row>
    <row r="1095" ht="15.75" customHeight="1">
      <c r="B1095" s="182" t="n">
        <v>1079</v>
      </c>
      <c r="C1095" s="182">
        <f>IFERROR(VLOOKUP($B1095,calc_data,C$14+1,0),0)</f>
        <v/>
      </c>
      <c r="D1095" s="182">
        <f>IFERROR(VLOOKUP($B1095,calc_data,D$14+1,0),0)</f>
        <v/>
      </c>
      <c r="E1095" s="183">
        <f>IFERROR(VLOOKUP($B1095,calc_data,E$14+1,0),0)</f>
        <v/>
      </c>
      <c r="F1095" s="182">
        <f>IFERROR(VLOOKUP($B1095,calc_data,F$14+1,0),0)</f>
        <v/>
      </c>
      <c r="G1095" s="141">
        <f>IFERROR(VLOOKUP($B1095,calc_data,G$14+1,0),0)</f>
        <v/>
      </c>
      <c r="H1095" s="141">
        <f>IFERROR(VLOOKUP($B1095,calc_data,H$14+1,0),0)</f>
        <v/>
      </c>
      <c r="I1095" s="142">
        <f>IFERROR(VLOOKUP($B1095,calc_data,I$14+1,0),0)</f>
        <v/>
      </c>
      <c r="J1095" s="141">
        <f>IFERROR(VLOOKUP($B1095,calc_data,J$14+1,0),0)</f>
        <v/>
      </c>
      <c r="K1095" s="141">
        <f>IFERROR(VLOOKUP($B1095,calc_data,K$14+1,0),0)</f>
        <v/>
      </c>
      <c r="L1095" s="141">
        <f>IFERROR(VLOOKUP($B1095,calc_data,L$14+1,0),0)</f>
        <v/>
      </c>
      <c r="M1095" s="177">
        <f>IFERROR(VLOOKUP($B1095,calc_data,M$14+1,0),0)</f>
        <v/>
      </c>
      <c r="N1095" s="177">
        <f>IFERROR(VLOOKUP($B1095,calc_data,N$14+1,0),0)</f>
        <v/>
      </c>
      <c r="O1095" s="45" t="n"/>
      <c r="Q1095" s="57">
        <f>IF(K1095&gt;0,"показать","скрыть")</f>
        <v/>
      </c>
    </row>
    <row r="1096" ht="15.75" customHeight="1">
      <c r="B1096" s="182" t="n">
        <v>1080</v>
      </c>
      <c r="C1096" s="182">
        <f>IFERROR(VLOOKUP($B1096,calc_data,C$14+1,0),0)</f>
        <v/>
      </c>
      <c r="D1096" s="182">
        <f>IFERROR(VLOOKUP($B1096,calc_data,D$14+1,0),0)</f>
        <v/>
      </c>
      <c r="E1096" s="183">
        <f>IFERROR(VLOOKUP($B1096,calc_data,E$14+1,0),0)</f>
        <v/>
      </c>
      <c r="F1096" s="182">
        <f>IFERROR(VLOOKUP($B1096,calc_data,F$14+1,0),0)</f>
        <v/>
      </c>
      <c r="G1096" s="141">
        <f>IFERROR(VLOOKUP($B1096,calc_data,G$14+1,0),0)</f>
        <v/>
      </c>
      <c r="H1096" s="141">
        <f>IFERROR(VLOOKUP($B1096,calc_data,H$14+1,0),0)</f>
        <v/>
      </c>
      <c r="I1096" s="142">
        <f>IFERROR(VLOOKUP($B1096,calc_data,I$14+1,0),0)</f>
        <v/>
      </c>
      <c r="J1096" s="141">
        <f>IFERROR(VLOOKUP($B1096,calc_data,J$14+1,0),0)</f>
        <v/>
      </c>
      <c r="K1096" s="141">
        <f>IFERROR(VLOOKUP($B1096,calc_data,K$14+1,0),0)</f>
        <v/>
      </c>
      <c r="L1096" s="141">
        <f>IFERROR(VLOOKUP($B1096,calc_data,L$14+1,0),0)</f>
        <v/>
      </c>
      <c r="M1096" s="177">
        <f>IFERROR(VLOOKUP($B1096,calc_data,M$14+1,0),0)</f>
        <v/>
      </c>
      <c r="N1096" s="177">
        <f>IFERROR(VLOOKUP($B1096,calc_data,N$14+1,0),0)</f>
        <v/>
      </c>
      <c r="O1096" s="45" t="n"/>
      <c r="Q1096" s="57">
        <f>IF(K1096&gt;0,"показать","скрыть")</f>
        <v/>
      </c>
    </row>
    <row r="1097" ht="15.75" customHeight="1">
      <c r="B1097" s="182" t="n">
        <v>1081</v>
      </c>
      <c r="C1097" s="182">
        <f>IFERROR(VLOOKUP($B1097,calc_data,C$14+1,0),0)</f>
        <v/>
      </c>
      <c r="D1097" s="182">
        <f>IFERROR(VLOOKUP($B1097,calc_data,D$14+1,0),0)</f>
        <v/>
      </c>
      <c r="E1097" s="183">
        <f>IFERROR(VLOOKUP($B1097,calc_data,E$14+1,0),0)</f>
        <v/>
      </c>
      <c r="F1097" s="182">
        <f>IFERROR(VLOOKUP($B1097,calc_data,F$14+1,0),0)</f>
        <v/>
      </c>
      <c r="G1097" s="141">
        <f>IFERROR(VLOOKUP($B1097,calc_data,G$14+1,0),0)</f>
        <v/>
      </c>
      <c r="H1097" s="141">
        <f>IFERROR(VLOOKUP($B1097,calc_data,H$14+1,0),0)</f>
        <v/>
      </c>
      <c r="I1097" s="142">
        <f>IFERROR(VLOOKUP($B1097,calc_data,I$14+1,0),0)</f>
        <v/>
      </c>
      <c r="J1097" s="141">
        <f>IFERROR(VLOOKUP($B1097,calc_data,J$14+1,0),0)</f>
        <v/>
      </c>
      <c r="K1097" s="141">
        <f>IFERROR(VLOOKUP($B1097,calc_data,K$14+1,0),0)</f>
        <v/>
      </c>
      <c r="L1097" s="141">
        <f>IFERROR(VLOOKUP($B1097,calc_data,L$14+1,0),0)</f>
        <v/>
      </c>
      <c r="M1097" s="177">
        <f>IFERROR(VLOOKUP($B1097,calc_data,M$14+1,0),0)</f>
        <v/>
      </c>
      <c r="N1097" s="177">
        <f>IFERROR(VLOOKUP($B1097,calc_data,N$14+1,0),0)</f>
        <v/>
      </c>
      <c r="O1097" s="45" t="n"/>
      <c r="Q1097" s="57">
        <f>IF(K1097&gt;0,"показать","скрыть")</f>
        <v/>
      </c>
    </row>
    <row r="1098" ht="15.75" customHeight="1">
      <c r="B1098" s="182" t="n">
        <v>1082</v>
      </c>
      <c r="C1098" s="182">
        <f>IFERROR(VLOOKUP($B1098,calc_data,C$14+1,0),0)</f>
        <v/>
      </c>
      <c r="D1098" s="182">
        <f>IFERROR(VLOOKUP($B1098,calc_data,D$14+1,0),0)</f>
        <v/>
      </c>
      <c r="E1098" s="183">
        <f>IFERROR(VLOOKUP($B1098,calc_data,E$14+1,0),0)</f>
        <v/>
      </c>
      <c r="F1098" s="182">
        <f>IFERROR(VLOOKUP($B1098,calc_data,F$14+1,0),0)</f>
        <v/>
      </c>
      <c r="G1098" s="141">
        <f>IFERROR(VLOOKUP($B1098,calc_data,G$14+1,0),0)</f>
        <v/>
      </c>
      <c r="H1098" s="141">
        <f>IFERROR(VLOOKUP($B1098,calc_data,H$14+1,0),0)</f>
        <v/>
      </c>
      <c r="I1098" s="142">
        <f>IFERROR(VLOOKUP($B1098,calc_data,I$14+1,0),0)</f>
        <v/>
      </c>
      <c r="J1098" s="141">
        <f>IFERROR(VLOOKUP($B1098,calc_data,J$14+1,0),0)</f>
        <v/>
      </c>
      <c r="K1098" s="141">
        <f>IFERROR(VLOOKUP($B1098,calc_data,K$14+1,0),0)</f>
        <v/>
      </c>
      <c r="L1098" s="141">
        <f>IFERROR(VLOOKUP($B1098,calc_data,L$14+1,0),0)</f>
        <v/>
      </c>
      <c r="M1098" s="177">
        <f>IFERROR(VLOOKUP($B1098,calc_data,M$14+1,0),0)</f>
        <v/>
      </c>
      <c r="N1098" s="177">
        <f>IFERROR(VLOOKUP($B1098,calc_data,N$14+1,0),0)</f>
        <v/>
      </c>
      <c r="O1098" s="45" t="n"/>
      <c r="Q1098" s="57">
        <f>IF(K1098&gt;0,"показать","скрыть")</f>
        <v/>
      </c>
    </row>
    <row r="1099" ht="15.75" customHeight="1">
      <c r="B1099" s="182" t="n">
        <v>1083</v>
      </c>
      <c r="C1099" s="182">
        <f>IFERROR(VLOOKUP($B1099,calc_data,C$14+1,0),0)</f>
        <v/>
      </c>
      <c r="D1099" s="182">
        <f>IFERROR(VLOOKUP($B1099,calc_data,D$14+1,0),0)</f>
        <v/>
      </c>
      <c r="E1099" s="183">
        <f>IFERROR(VLOOKUP($B1099,calc_data,E$14+1,0),0)</f>
        <v/>
      </c>
      <c r="F1099" s="182">
        <f>IFERROR(VLOOKUP($B1099,calc_data,F$14+1,0),0)</f>
        <v/>
      </c>
      <c r="G1099" s="141">
        <f>IFERROR(VLOOKUP($B1099,calc_data,G$14+1,0),0)</f>
        <v/>
      </c>
      <c r="H1099" s="141">
        <f>IFERROR(VLOOKUP($B1099,calc_data,H$14+1,0),0)</f>
        <v/>
      </c>
      <c r="I1099" s="142">
        <f>IFERROR(VLOOKUP($B1099,calc_data,I$14+1,0),0)</f>
        <v/>
      </c>
      <c r="J1099" s="141">
        <f>IFERROR(VLOOKUP($B1099,calc_data,J$14+1,0),0)</f>
        <v/>
      </c>
      <c r="K1099" s="141">
        <f>IFERROR(VLOOKUP($B1099,calc_data,K$14+1,0),0)</f>
        <v/>
      </c>
      <c r="L1099" s="141">
        <f>IFERROR(VLOOKUP($B1099,calc_data,L$14+1,0),0)</f>
        <v/>
      </c>
      <c r="M1099" s="177">
        <f>IFERROR(VLOOKUP($B1099,calc_data,M$14+1,0),0)</f>
        <v/>
      </c>
      <c r="N1099" s="177">
        <f>IFERROR(VLOOKUP($B1099,calc_data,N$14+1,0),0)</f>
        <v/>
      </c>
      <c r="O1099" s="45" t="n"/>
      <c r="Q1099" s="57">
        <f>IF(K1099&gt;0,"показать","скрыть")</f>
        <v/>
      </c>
    </row>
    <row r="1100" ht="15.75" customHeight="1">
      <c r="B1100" s="182" t="n">
        <v>1084</v>
      </c>
      <c r="C1100" s="182">
        <f>IFERROR(VLOOKUP($B1100,calc_data,C$14+1,0),0)</f>
        <v/>
      </c>
      <c r="D1100" s="182">
        <f>IFERROR(VLOOKUP($B1100,calc_data,D$14+1,0),0)</f>
        <v/>
      </c>
      <c r="E1100" s="183">
        <f>IFERROR(VLOOKUP($B1100,calc_data,E$14+1,0),0)</f>
        <v/>
      </c>
      <c r="F1100" s="182">
        <f>IFERROR(VLOOKUP($B1100,calc_data,F$14+1,0),0)</f>
        <v/>
      </c>
      <c r="G1100" s="141">
        <f>IFERROR(VLOOKUP($B1100,calc_data,G$14+1,0),0)</f>
        <v/>
      </c>
      <c r="H1100" s="141">
        <f>IFERROR(VLOOKUP($B1100,calc_data,H$14+1,0),0)</f>
        <v/>
      </c>
      <c r="I1100" s="142">
        <f>IFERROR(VLOOKUP($B1100,calc_data,I$14+1,0),0)</f>
        <v/>
      </c>
      <c r="J1100" s="141">
        <f>IFERROR(VLOOKUP($B1100,calc_data,J$14+1,0),0)</f>
        <v/>
      </c>
      <c r="K1100" s="141">
        <f>IFERROR(VLOOKUP($B1100,calc_data,K$14+1,0),0)</f>
        <v/>
      </c>
      <c r="L1100" s="141">
        <f>IFERROR(VLOOKUP($B1100,calc_data,L$14+1,0),0)</f>
        <v/>
      </c>
      <c r="M1100" s="177">
        <f>IFERROR(VLOOKUP($B1100,calc_data,M$14+1,0),0)</f>
        <v/>
      </c>
      <c r="N1100" s="177">
        <f>IFERROR(VLOOKUP($B1100,calc_data,N$14+1,0),0)</f>
        <v/>
      </c>
      <c r="O1100" s="45" t="n"/>
      <c r="Q1100" s="57">
        <f>IF(K1100&gt;0,"показать","скрыть")</f>
        <v/>
      </c>
    </row>
    <row r="1101" ht="15.75" customHeight="1">
      <c r="B1101" s="182" t="n">
        <v>1085</v>
      </c>
      <c r="C1101" s="182">
        <f>IFERROR(VLOOKUP($B1101,calc_data,C$14+1,0),0)</f>
        <v/>
      </c>
      <c r="D1101" s="182">
        <f>IFERROR(VLOOKUP($B1101,calc_data,D$14+1,0),0)</f>
        <v/>
      </c>
      <c r="E1101" s="183">
        <f>IFERROR(VLOOKUP($B1101,calc_data,E$14+1,0),0)</f>
        <v/>
      </c>
      <c r="F1101" s="182">
        <f>IFERROR(VLOOKUP($B1101,calc_data,F$14+1,0),0)</f>
        <v/>
      </c>
      <c r="G1101" s="141">
        <f>IFERROR(VLOOKUP($B1101,calc_data,G$14+1,0),0)</f>
        <v/>
      </c>
      <c r="H1101" s="141">
        <f>IFERROR(VLOOKUP($B1101,calc_data,H$14+1,0),0)</f>
        <v/>
      </c>
      <c r="I1101" s="142">
        <f>IFERROR(VLOOKUP($B1101,calc_data,I$14+1,0),0)</f>
        <v/>
      </c>
      <c r="J1101" s="141">
        <f>IFERROR(VLOOKUP($B1101,calc_data,J$14+1,0),0)</f>
        <v/>
      </c>
      <c r="K1101" s="141">
        <f>IFERROR(VLOOKUP($B1101,calc_data,K$14+1,0),0)</f>
        <v/>
      </c>
      <c r="L1101" s="141">
        <f>IFERROR(VLOOKUP($B1101,calc_data,L$14+1,0),0)</f>
        <v/>
      </c>
      <c r="M1101" s="177">
        <f>IFERROR(VLOOKUP($B1101,calc_data,M$14+1,0),0)</f>
        <v/>
      </c>
      <c r="N1101" s="177">
        <f>IFERROR(VLOOKUP($B1101,calc_data,N$14+1,0),0)</f>
        <v/>
      </c>
      <c r="O1101" s="45" t="n"/>
      <c r="Q1101" s="57">
        <f>IF(K1101&gt;0,"показать","скрыть")</f>
        <v/>
      </c>
    </row>
    <row r="1102" ht="15.75" customHeight="1">
      <c r="B1102" s="182" t="n">
        <v>1086</v>
      </c>
      <c r="C1102" s="182">
        <f>IFERROR(VLOOKUP($B1102,calc_data,C$14+1,0),0)</f>
        <v/>
      </c>
      <c r="D1102" s="182">
        <f>IFERROR(VLOOKUP($B1102,calc_data,D$14+1,0),0)</f>
        <v/>
      </c>
      <c r="E1102" s="183">
        <f>IFERROR(VLOOKUP($B1102,calc_data,E$14+1,0),0)</f>
        <v/>
      </c>
      <c r="F1102" s="182">
        <f>IFERROR(VLOOKUP($B1102,calc_data,F$14+1,0),0)</f>
        <v/>
      </c>
      <c r="G1102" s="141">
        <f>IFERROR(VLOOKUP($B1102,calc_data,G$14+1,0),0)</f>
        <v/>
      </c>
      <c r="H1102" s="141">
        <f>IFERROR(VLOOKUP($B1102,calc_data,H$14+1,0),0)</f>
        <v/>
      </c>
      <c r="I1102" s="142">
        <f>IFERROR(VLOOKUP($B1102,calc_data,I$14+1,0),0)</f>
        <v/>
      </c>
      <c r="J1102" s="141">
        <f>IFERROR(VLOOKUP($B1102,calc_data,J$14+1,0),0)</f>
        <v/>
      </c>
      <c r="K1102" s="141">
        <f>IFERROR(VLOOKUP($B1102,calc_data,K$14+1,0),0)</f>
        <v/>
      </c>
      <c r="L1102" s="141">
        <f>IFERROR(VLOOKUP($B1102,calc_data,L$14+1,0),0)</f>
        <v/>
      </c>
      <c r="M1102" s="177">
        <f>IFERROR(VLOOKUP($B1102,calc_data,M$14+1,0),0)</f>
        <v/>
      </c>
      <c r="N1102" s="177">
        <f>IFERROR(VLOOKUP($B1102,calc_data,N$14+1,0),0)</f>
        <v/>
      </c>
      <c r="O1102" s="45" t="n"/>
      <c r="Q1102" s="57">
        <f>IF(K1102&gt;0,"показать","скрыть")</f>
        <v/>
      </c>
    </row>
    <row r="1103" ht="15.75" customHeight="1">
      <c r="B1103" s="182" t="n">
        <v>1087</v>
      </c>
      <c r="C1103" s="182">
        <f>IFERROR(VLOOKUP($B1103,calc_data,C$14+1,0),0)</f>
        <v/>
      </c>
      <c r="D1103" s="182">
        <f>IFERROR(VLOOKUP($B1103,calc_data,D$14+1,0),0)</f>
        <v/>
      </c>
      <c r="E1103" s="183">
        <f>IFERROR(VLOOKUP($B1103,calc_data,E$14+1,0),0)</f>
        <v/>
      </c>
      <c r="F1103" s="182">
        <f>IFERROR(VLOOKUP($B1103,calc_data,F$14+1,0),0)</f>
        <v/>
      </c>
      <c r="G1103" s="141">
        <f>IFERROR(VLOOKUP($B1103,calc_data,G$14+1,0),0)</f>
        <v/>
      </c>
      <c r="H1103" s="141">
        <f>IFERROR(VLOOKUP($B1103,calc_data,H$14+1,0),0)</f>
        <v/>
      </c>
      <c r="I1103" s="142">
        <f>IFERROR(VLOOKUP($B1103,calc_data,I$14+1,0),0)</f>
        <v/>
      </c>
      <c r="J1103" s="141">
        <f>IFERROR(VLOOKUP($B1103,calc_data,J$14+1,0),0)</f>
        <v/>
      </c>
      <c r="K1103" s="141">
        <f>IFERROR(VLOOKUP($B1103,calc_data,K$14+1,0),0)</f>
        <v/>
      </c>
      <c r="L1103" s="141">
        <f>IFERROR(VLOOKUP($B1103,calc_data,L$14+1,0),0)</f>
        <v/>
      </c>
      <c r="M1103" s="177">
        <f>IFERROR(VLOOKUP($B1103,calc_data,M$14+1,0),0)</f>
        <v/>
      </c>
      <c r="N1103" s="177">
        <f>IFERROR(VLOOKUP($B1103,calc_data,N$14+1,0),0)</f>
        <v/>
      </c>
      <c r="O1103" s="45" t="n"/>
      <c r="Q1103" s="57">
        <f>IF(K1103&gt;0,"показать","скрыть")</f>
        <v/>
      </c>
    </row>
    <row r="1104" ht="15.75" customHeight="1">
      <c r="B1104" s="182" t="n">
        <v>1088</v>
      </c>
      <c r="C1104" s="182">
        <f>IFERROR(VLOOKUP($B1104,calc_data,C$14+1,0),0)</f>
        <v/>
      </c>
      <c r="D1104" s="182">
        <f>IFERROR(VLOOKUP($B1104,calc_data,D$14+1,0),0)</f>
        <v/>
      </c>
      <c r="E1104" s="183">
        <f>IFERROR(VLOOKUP($B1104,calc_data,E$14+1,0),0)</f>
        <v/>
      </c>
      <c r="F1104" s="182">
        <f>IFERROR(VLOOKUP($B1104,calc_data,F$14+1,0),0)</f>
        <v/>
      </c>
      <c r="G1104" s="141">
        <f>IFERROR(VLOOKUP($B1104,calc_data,G$14+1,0),0)</f>
        <v/>
      </c>
      <c r="H1104" s="141">
        <f>IFERROR(VLOOKUP($B1104,calc_data,H$14+1,0),0)</f>
        <v/>
      </c>
      <c r="I1104" s="142">
        <f>IFERROR(VLOOKUP($B1104,calc_data,I$14+1,0),0)</f>
        <v/>
      </c>
      <c r="J1104" s="141">
        <f>IFERROR(VLOOKUP($B1104,calc_data,J$14+1,0),0)</f>
        <v/>
      </c>
      <c r="K1104" s="141">
        <f>IFERROR(VLOOKUP($B1104,calc_data,K$14+1,0),0)</f>
        <v/>
      </c>
      <c r="L1104" s="141">
        <f>IFERROR(VLOOKUP($B1104,calc_data,L$14+1,0),0)</f>
        <v/>
      </c>
      <c r="M1104" s="177">
        <f>IFERROR(VLOOKUP($B1104,calc_data,M$14+1,0),0)</f>
        <v/>
      </c>
      <c r="N1104" s="177">
        <f>IFERROR(VLOOKUP($B1104,calc_data,N$14+1,0),0)</f>
        <v/>
      </c>
      <c r="O1104" s="45" t="n"/>
      <c r="Q1104" s="57">
        <f>IF(K1104&gt;0,"показать","скрыть")</f>
        <v/>
      </c>
    </row>
    <row r="1105" ht="15.75" customHeight="1">
      <c r="B1105" s="182" t="n">
        <v>1089</v>
      </c>
      <c r="C1105" s="182">
        <f>IFERROR(VLOOKUP($B1105,calc_data,C$14+1,0),0)</f>
        <v/>
      </c>
      <c r="D1105" s="182">
        <f>IFERROR(VLOOKUP($B1105,calc_data,D$14+1,0),0)</f>
        <v/>
      </c>
      <c r="E1105" s="183">
        <f>IFERROR(VLOOKUP($B1105,calc_data,E$14+1,0),0)</f>
        <v/>
      </c>
      <c r="F1105" s="182">
        <f>IFERROR(VLOOKUP($B1105,calc_data,F$14+1,0),0)</f>
        <v/>
      </c>
      <c r="G1105" s="141">
        <f>IFERROR(VLOOKUP($B1105,calc_data,G$14+1,0),0)</f>
        <v/>
      </c>
      <c r="H1105" s="141">
        <f>IFERROR(VLOOKUP($B1105,calc_data,H$14+1,0),0)</f>
        <v/>
      </c>
      <c r="I1105" s="142">
        <f>IFERROR(VLOOKUP($B1105,calc_data,I$14+1,0),0)</f>
        <v/>
      </c>
      <c r="J1105" s="141">
        <f>IFERROR(VLOOKUP($B1105,calc_data,J$14+1,0),0)</f>
        <v/>
      </c>
      <c r="K1105" s="141">
        <f>IFERROR(VLOOKUP($B1105,calc_data,K$14+1,0),0)</f>
        <v/>
      </c>
      <c r="L1105" s="141">
        <f>IFERROR(VLOOKUP($B1105,calc_data,L$14+1,0),0)</f>
        <v/>
      </c>
      <c r="M1105" s="177">
        <f>IFERROR(VLOOKUP($B1105,calc_data,M$14+1,0),0)</f>
        <v/>
      </c>
      <c r="N1105" s="177">
        <f>IFERROR(VLOOKUP($B1105,calc_data,N$14+1,0),0)</f>
        <v/>
      </c>
      <c r="O1105" s="45" t="n"/>
      <c r="Q1105" s="57">
        <f>IF(K1105&gt;0,"показать","скрыть")</f>
        <v/>
      </c>
    </row>
    <row r="1106" ht="15.75" customHeight="1">
      <c r="B1106" s="182" t="n">
        <v>1090</v>
      </c>
      <c r="C1106" s="182">
        <f>IFERROR(VLOOKUP($B1106,calc_data,C$14+1,0),0)</f>
        <v/>
      </c>
      <c r="D1106" s="182">
        <f>IFERROR(VLOOKUP($B1106,calc_data,D$14+1,0),0)</f>
        <v/>
      </c>
      <c r="E1106" s="183">
        <f>IFERROR(VLOOKUP($B1106,calc_data,E$14+1,0),0)</f>
        <v/>
      </c>
      <c r="F1106" s="182">
        <f>IFERROR(VLOOKUP($B1106,calc_data,F$14+1,0),0)</f>
        <v/>
      </c>
      <c r="G1106" s="141">
        <f>IFERROR(VLOOKUP($B1106,calc_data,G$14+1,0),0)</f>
        <v/>
      </c>
      <c r="H1106" s="141">
        <f>IFERROR(VLOOKUP($B1106,calc_data,H$14+1,0),0)</f>
        <v/>
      </c>
      <c r="I1106" s="142">
        <f>IFERROR(VLOOKUP($B1106,calc_data,I$14+1,0),0)</f>
        <v/>
      </c>
      <c r="J1106" s="141">
        <f>IFERROR(VLOOKUP($B1106,calc_data,J$14+1,0),0)</f>
        <v/>
      </c>
      <c r="K1106" s="141">
        <f>IFERROR(VLOOKUP($B1106,calc_data,K$14+1,0),0)</f>
        <v/>
      </c>
      <c r="L1106" s="141">
        <f>IFERROR(VLOOKUP($B1106,calc_data,L$14+1,0),0)</f>
        <v/>
      </c>
      <c r="M1106" s="177">
        <f>IFERROR(VLOOKUP($B1106,calc_data,M$14+1,0),0)</f>
        <v/>
      </c>
      <c r="N1106" s="177">
        <f>IFERROR(VLOOKUP($B1106,calc_data,N$14+1,0),0)</f>
        <v/>
      </c>
      <c r="O1106" s="45" t="n"/>
      <c r="Q1106" s="57">
        <f>IF(K1106&gt;0,"показать","скрыть")</f>
        <v/>
      </c>
    </row>
    <row r="1107" ht="15.75" customHeight="1">
      <c r="B1107" s="182" t="n">
        <v>1091</v>
      </c>
      <c r="C1107" s="182">
        <f>IFERROR(VLOOKUP($B1107,calc_data,C$14+1,0),0)</f>
        <v/>
      </c>
      <c r="D1107" s="182">
        <f>IFERROR(VLOOKUP($B1107,calc_data,D$14+1,0),0)</f>
        <v/>
      </c>
      <c r="E1107" s="183">
        <f>IFERROR(VLOOKUP($B1107,calc_data,E$14+1,0),0)</f>
        <v/>
      </c>
      <c r="F1107" s="182">
        <f>IFERROR(VLOOKUP($B1107,calc_data,F$14+1,0),0)</f>
        <v/>
      </c>
      <c r="G1107" s="141">
        <f>IFERROR(VLOOKUP($B1107,calc_data,G$14+1,0),0)</f>
        <v/>
      </c>
      <c r="H1107" s="141">
        <f>IFERROR(VLOOKUP($B1107,calc_data,H$14+1,0),0)</f>
        <v/>
      </c>
      <c r="I1107" s="142">
        <f>IFERROR(VLOOKUP($B1107,calc_data,I$14+1,0),0)</f>
        <v/>
      </c>
      <c r="J1107" s="141">
        <f>IFERROR(VLOOKUP($B1107,calc_data,J$14+1,0),0)</f>
        <v/>
      </c>
      <c r="K1107" s="141">
        <f>IFERROR(VLOOKUP($B1107,calc_data,K$14+1,0),0)</f>
        <v/>
      </c>
      <c r="L1107" s="141">
        <f>IFERROR(VLOOKUP($B1107,calc_data,L$14+1,0),0)</f>
        <v/>
      </c>
      <c r="M1107" s="177">
        <f>IFERROR(VLOOKUP($B1107,calc_data,M$14+1,0),0)</f>
        <v/>
      </c>
      <c r="N1107" s="177">
        <f>IFERROR(VLOOKUP($B1107,calc_data,N$14+1,0),0)</f>
        <v/>
      </c>
      <c r="O1107" s="45" t="n"/>
      <c r="Q1107" s="57">
        <f>IF(K1107&gt;0,"показать","скрыть")</f>
        <v/>
      </c>
    </row>
    <row r="1108" ht="15.75" customHeight="1">
      <c r="B1108" s="182" t="n">
        <v>1092</v>
      </c>
      <c r="C1108" s="182">
        <f>IFERROR(VLOOKUP($B1108,calc_data,C$14+1,0),0)</f>
        <v/>
      </c>
      <c r="D1108" s="182">
        <f>IFERROR(VLOOKUP($B1108,calc_data,D$14+1,0),0)</f>
        <v/>
      </c>
      <c r="E1108" s="183">
        <f>IFERROR(VLOOKUP($B1108,calc_data,E$14+1,0),0)</f>
        <v/>
      </c>
      <c r="F1108" s="182">
        <f>IFERROR(VLOOKUP($B1108,calc_data,F$14+1,0),0)</f>
        <v/>
      </c>
      <c r="G1108" s="141">
        <f>IFERROR(VLOOKUP($B1108,calc_data,G$14+1,0),0)</f>
        <v/>
      </c>
      <c r="H1108" s="141">
        <f>IFERROR(VLOOKUP($B1108,calc_data,H$14+1,0),0)</f>
        <v/>
      </c>
      <c r="I1108" s="142">
        <f>IFERROR(VLOOKUP($B1108,calc_data,I$14+1,0),0)</f>
        <v/>
      </c>
      <c r="J1108" s="141">
        <f>IFERROR(VLOOKUP($B1108,calc_data,J$14+1,0),0)</f>
        <v/>
      </c>
      <c r="K1108" s="141">
        <f>IFERROR(VLOOKUP($B1108,calc_data,K$14+1,0),0)</f>
        <v/>
      </c>
      <c r="L1108" s="141">
        <f>IFERROR(VLOOKUP($B1108,calc_data,L$14+1,0),0)</f>
        <v/>
      </c>
      <c r="M1108" s="177">
        <f>IFERROR(VLOOKUP($B1108,calc_data,M$14+1,0),0)</f>
        <v/>
      </c>
      <c r="N1108" s="177">
        <f>IFERROR(VLOOKUP($B1108,calc_data,N$14+1,0),0)</f>
        <v/>
      </c>
      <c r="O1108" s="45" t="n"/>
      <c r="Q1108" s="57">
        <f>IF(K1108&gt;0,"показать","скрыть")</f>
        <v/>
      </c>
    </row>
    <row r="1109" ht="15.75" customHeight="1">
      <c r="B1109" s="182" t="n">
        <v>1093</v>
      </c>
      <c r="C1109" s="182">
        <f>IFERROR(VLOOKUP($B1109,calc_data,C$14+1,0),0)</f>
        <v/>
      </c>
      <c r="D1109" s="182">
        <f>IFERROR(VLOOKUP($B1109,calc_data,D$14+1,0),0)</f>
        <v/>
      </c>
      <c r="E1109" s="183">
        <f>IFERROR(VLOOKUP($B1109,calc_data,E$14+1,0),0)</f>
        <v/>
      </c>
      <c r="F1109" s="182">
        <f>IFERROR(VLOOKUP($B1109,calc_data,F$14+1,0),0)</f>
        <v/>
      </c>
      <c r="G1109" s="141">
        <f>IFERROR(VLOOKUP($B1109,calc_data,G$14+1,0),0)</f>
        <v/>
      </c>
      <c r="H1109" s="141">
        <f>IFERROR(VLOOKUP($B1109,calc_data,H$14+1,0),0)</f>
        <v/>
      </c>
      <c r="I1109" s="142">
        <f>IFERROR(VLOOKUP($B1109,calc_data,I$14+1,0),0)</f>
        <v/>
      </c>
      <c r="J1109" s="141">
        <f>IFERROR(VLOOKUP($B1109,calc_data,J$14+1,0),0)</f>
        <v/>
      </c>
      <c r="K1109" s="141">
        <f>IFERROR(VLOOKUP($B1109,calc_data,K$14+1,0),0)</f>
        <v/>
      </c>
      <c r="L1109" s="141">
        <f>IFERROR(VLOOKUP($B1109,calc_data,L$14+1,0),0)</f>
        <v/>
      </c>
      <c r="M1109" s="177">
        <f>IFERROR(VLOOKUP($B1109,calc_data,M$14+1,0),0)</f>
        <v/>
      </c>
      <c r="N1109" s="177">
        <f>IFERROR(VLOOKUP($B1109,calc_data,N$14+1,0),0)</f>
        <v/>
      </c>
      <c r="O1109" s="45" t="n"/>
      <c r="Q1109" s="57">
        <f>IF(K1109&gt;0,"показать","скрыть")</f>
        <v/>
      </c>
    </row>
    <row r="1110" ht="15.75" customHeight="1">
      <c r="B1110" s="182" t="n">
        <v>1094</v>
      </c>
      <c r="C1110" s="182">
        <f>IFERROR(VLOOKUP($B1110,calc_data,C$14+1,0),0)</f>
        <v/>
      </c>
      <c r="D1110" s="182">
        <f>IFERROR(VLOOKUP($B1110,calc_data,D$14+1,0),0)</f>
        <v/>
      </c>
      <c r="E1110" s="183">
        <f>IFERROR(VLOOKUP($B1110,calc_data,E$14+1,0),0)</f>
        <v/>
      </c>
      <c r="F1110" s="182">
        <f>IFERROR(VLOOKUP($B1110,calc_data,F$14+1,0),0)</f>
        <v/>
      </c>
      <c r="G1110" s="141">
        <f>IFERROR(VLOOKUP($B1110,calc_data,G$14+1,0),0)</f>
        <v/>
      </c>
      <c r="H1110" s="141">
        <f>IFERROR(VLOOKUP($B1110,calc_data,H$14+1,0),0)</f>
        <v/>
      </c>
      <c r="I1110" s="142">
        <f>IFERROR(VLOOKUP($B1110,calc_data,I$14+1,0),0)</f>
        <v/>
      </c>
      <c r="J1110" s="141">
        <f>IFERROR(VLOOKUP($B1110,calc_data,J$14+1,0),0)</f>
        <v/>
      </c>
      <c r="K1110" s="141">
        <f>IFERROR(VLOOKUP($B1110,calc_data,K$14+1,0),0)</f>
        <v/>
      </c>
      <c r="L1110" s="141">
        <f>IFERROR(VLOOKUP($B1110,calc_data,L$14+1,0),0)</f>
        <v/>
      </c>
      <c r="M1110" s="177">
        <f>IFERROR(VLOOKUP($B1110,calc_data,M$14+1,0),0)</f>
        <v/>
      </c>
      <c r="N1110" s="177">
        <f>IFERROR(VLOOKUP($B1110,calc_data,N$14+1,0),0)</f>
        <v/>
      </c>
      <c r="O1110" s="45" t="n"/>
      <c r="Q1110" s="57">
        <f>IF(K1110&gt;0,"показать","скрыть")</f>
        <v/>
      </c>
    </row>
    <row r="1111" ht="15.75" customHeight="1">
      <c r="B1111" s="182" t="n">
        <v>1095</v>
      </c>
      <c r="C1111" s="182">
        <f>IFERROR(VLOOKUP($B1111,calc_data,C$14+1,0),0)</f>
        <v/>
      </c>
      <c r="D1111" s="182">
        <f>IFERROR(VLOOKUP($B1111,calc_data,D$14+1,0),0)</f>
        <v/>
      </c>
      <c r="E1111" s="183">
        <f>IFERROR(VLOOKUP($B1111,calc_data,E$14+1,0),0)</f>
        <v/>
      </c>
      <c r="F1111" s="182">
        <f>IFERROR(VLOOKUP($B1111,calc_data,F$14+1,0),0)</f>
        <v/>
      </c>
      <c r="G1111" s="141">
        <f>IFERROR(VLOOKUP($B1111,calc_data,G$14+1,0),0)</f>
        <v/>
      </c>
      <c r="H1111" s="141">
        <f>IFERROR(VLOOKUP($B1111,calc_data,H$14+1,0),0)</f>
        <v/>
      </c>
      <c r="I1111" s="142">
        <f>IFERROR(VLOOKUP($B1111,calc_data,I$14+1,0),0)</f>
        <v/>
      </c>
      <c r="J1111" s="141">
        <f>IFERROR(VLOOKUP($B1111,calc_data,J$14+1,0),0)</f>
        <v/>
      </c>
      <c r="K1111" s="141">
        <f>IFERROR(VLOOKUP($B1111,calc_data,K$14+1,0),0)</f>
        <v/>
      </c>
      <c r="L1111" s="141">
        <f>IFERROR(VLOOKUP($B1111,calc_data,L$14+1,0),0)</f>
        <v/>
      </c>
      <c r="M1111" s="177">
        <f>IFERROR(VLOOKUP($B1111,calc_data,M$14+1,0),0)</f>
        <v/>
      </c>
      <c r="N1111" s="177">
        <f>IFERROR(VLOOKUP($B1111,calc_data,N$14+1,0),0)</f>
        <v/>
      </c>
      <c r="O1111" s="45" t="n"/>
      <c r="Q1111" s="57">
        <f>IF(K1111&gt;0,"показать","скрыть")</f>
        <v/>
      </c>
    </row>
    <row r="1112" ht="15.75" customHeight="1">
      <c r="B1112" s="182" t="n">
        <v>1096</v>
      </c>
      <c r="C1112" s="182">
        <f>IFERROR(VLOOKUP($B1112,calc_data,C$14+1,0),0)</f>
        <v/>
      </c>
      <c r="D1112" s="182">
        <f>IFERROR(VLOOKUP($B1112,calc_data,D$14+1,0),0)</f>
        <v/>
      </c>
      <c r="E1112" s="183">
        <f>IFERROR(VLOOKUP($B1112,calc_data,E$14+1,0),0)</f>
        <v/>
      </c>
      <c r="F1112" s="182">
        <f>IFERROR(VLOOKUP($B1112,calc_data,F$14+1,0),0)</f>
        <v/>
      </c>
      <c r="G1112" s="141">
        <f>IFERROR(VLOOKUP($B1112,calc_data,G$14+1,0),0)</f>
        <v/>
      </c>
      <c r="H1112" s="141">
        <f>IFERROR(VLOOKUP($B1112,calc_data,H$14+1,0),0)</f>
        <v/>
      </c>
      <c r="I1112" s="142">
        <f>IFERROR(VLOOKUP($B1112,calc_data,I$14+1,0),0)</f>
        <v/>
      </c>
      <c r="J1112" s="141">
        <f>IFERROR(VLOOKUP($B1112,calc_data,J$14+1,0),0)</f>
        <v/>
      </c>
      <c r="K1112" s="141">
        <f>IFERROR(VLOOKUP($B1112,calc_data,K$14+1,0),0)</f>
        <v/>
      </c>
      <c r="L1112" s="141">
        <f>IFERROR(VLOOKUP($B1112,calc_data,L$14+1,0),0)</f>
        <v/>
      </c>
      <c r="M1112" s="177">
        <f>IFERROR(VLOOKUP($B1112,calc_data,M$14+1,0),0)</f>
        <v/>
      </c>
      <c r="N1112" s="177">
        <f>IFERROR(VLOOKUP($B1112,calc_data,N$14+1,0),0)</f>
        <v/>
      </c>
      <c r="O1112" s="45" t="n"/>
      <c r="Q1112" s="57">
        <f>IF(K1112&gt;0,"показать","скрыть")</f>
        <v/>
      </c>
    </row>
    <row r="1113" ht="15.75" customHeight="1">
      <c r="B1113" s="182" t="n">
        <v>1097</v>
      </c>
      <c r="C1113" s="182">
        <f>IFERROR(VLOOKUP($B1113,calc_data,C$14+1,0),0)</f>
        <v/>
      </c>
      <c r="D1113" s="182">
        <f>IFERROR(VLOOKUP($B1113,calc_data,D$14+1,0),0)</f>
        <v/>
      </c>
      <c r="E1113" s="183">
        <f>IFERROR(VLOOKUP($B1113,calc_data,E$14+1,0),0)</f>
        <v/>
      </c>
      <c r="F1113" s="182">
        <f>IFERROR(VLOOKUP($B1113,calc_data,F$14+1,0),0)</f>
        <v/>
      </c>
      <c r="G1113" s="141">
        <f>IFERROR(VLOOKUP($B1113,calc_data,G$14+1,0),0)</f>
        <v/>
      </c>
      <c r="H1113" s="141">
        <f>IFERROR(VLOOKUP($B1113,calc_data,H$14+1,0),0)</f>
        <v/>
      </c>
      <c r="I1113" s="142">
        <f>IFERROR(VLOOKUP($B1113,calc_data,I$14+1,0),0)</f>
        <v/>
      </c>
      <c r="J1113" s="141">
        <f>IFERROR(VLOOKUP($B1113,calc_data,J$14+1,0),0)</f>
        <v/>
      </c>
      <c r="K1113" s="141">
        <f>IFERROR(VLOOKUP($B1113,calc_data,K$14+1,0),0)</f>
        <v/>
      </c>
      <c r="L1113" s="141">
        <f>IFERROR(VLOOKUP($B1113,calc_data,L$14+1,0),0)</f>
        <v/>
      </c>
      <c r="M1113" s="177">
        <f>IFERROR(VLOOKUP($B1113,calc_data,M$14+1,0),0)</f>
        <v/>
      </c>
      <c r="N1113" s="177">
        <f>IFERROR(VLOOKUP($B1113,calc_data,N$14+1,0),0)</f>
        <v/>
      </c>
      <c r="O1113" s="45" t="n"/>
      <c r="Q1113" s="57">
        <f>IF(K1113&gt;0,"показать","скрыть")</f>
        <v/>
      </c>
    </row>
    <row r="1114" ht="15.75" customHeight="1">
      <c r="B1114" s="182" t="n">
        <v>1098</v>
      </c>
      <c r="C1114" s="182">
        <f>IFERROR(VLOOKUP($B1114,calc_data,C$14+1,0),0)</f>
        <v/>
      </c>
      <c r="D1114" s="182">
        <f>IFERROR(VLOOKUP($B1114,calc_data,D$14+1,0),0)</f>
        <v/>
      </c>
      <c r="E1114" s="183">
        <f>IFERROR(VLOOKUP($B1114,calc_data,E$14+1,0),0)</f>
        <v/>
      </c>
      <c r="F1114" s="182">
        <f>IFERROR(VLOOKUP($B1114,calc_data,F$14+1,0),0)</f>
        <v/>
      </c>
      <c r="G1114" s="141">
        <f>IFERROR(VLOOKUP($B1114,calc_data,G$14+1,0),0)</f>
        <v/>
      </c>
      <c r="H1114" s="141">
        <f>IFERROR(VLOOKUP($B1114,calc_data,H$14+1,0),0)</f>
        <v/>
      </c>
      <c r="I1114" s="142">
        <f>IFERROR(VLOOKUP($B1114,calc_data,I$14+1,0),0)</f>
        <v/>
      </c>
      <c r="J1114" s="141">
        <f>IFERROR(VLOOKUP($B1114,calc_data,J$14+1,0),0)</f>
        <v/>
      </c>
      <c r="K1114" s="141">
        <f>IFERROR(VLOOKUP($B1114,calc_data,K$14+1,0),0)</f>
        <v/>
      </c>
      <c r="L1114" s="141">
        <f>IFERROR(VLOOKUP($B1114,calc_data,L$14+1,0),0)</f>
        <v/>
      </c>
      <c r="M1114" s="177">
        <f>IFERROR(VLOOKUP($B1114,calc_data,M$14+1,0),0)</f>
        <v/>
      </c>
      <c r="N1114" s="177">
        <f>IFERROR(VLOOKUP($B1114,calc_data,N$14+1,0),0)</f>
        <v/>
      </c>
      <c r="O1114" s="45" t="n"/>
      <c r="Q1114" s="57">
        <f>IF(K1114&gt;0,"показать","скрыть")</f>
        <v/>
      </c>
    </row>
    <row r="1115" ht="15.75" customHeight="1">
      <c r="B1115" s="182" t="n">
        <v>1099</v>
      </c>
      <c r="C1115" s="182">
        <f>IFERROR(VLOOKUP($B1115,calc_data,C$14+1,0),0)</f>
        <v/>
      </c>
      <c r="D1115" s="182">
        <f>IFERROR(VLOOKUP($B1115,calc_data,D$14+1,0),0)</f>
        <v/>
      </c>
      <c r="E1115" s="183">
        <f>IFERROR(VLOOKUP($B1115,calc_data,E$14+1,0),0)</f>
        <v/>
      </c>
      <c r="F1115" s="182">
        <f>IFERROR(VLOOKUP($B1115,calc_data,F$14+1,0),0)</f>
        <v/>
      </c>
      <c r="G1115" s="141">
        <f>IFERROR(VLOOKUP($B1115,calc_data,G$14+1,0),0)</f>
        <v/>
      </c>
      <c r="H1115" s="141">
        <f>IFERROR(VLOOKUP($B1115,calc_data,H$14+1,0),0)</f>
        <v/>
      </c>
      <c r="I1115" s="142">
        <f>IFERROR(VLOOKUP($B1115,calc_data,I$14+1,0),0)</f>
        <v/>
      </c>
      <c r="J1115" s="141">
        <f>IFERROR(VLOOKUP($B1115,calc_data,J$14+1,0),0)</f>
        <v/>
      </c>
      <c r="K1115" s="141">
        <f>IFERROR(VLOOKUP($B1115,calc_data,K$14+1,0),0)</f>
        <v/>
      </c>
      <c r="L1115" s="141">
        <f>IFERROR(VLOOKUP($B1115,calc_data,L$14+1,0),0)</f>
        <v/>
      </c>
      <c r="M1115" s="177">
        <f>IFERROR(VLOOKUP($B1115,calc_data,M$14+1,0),0)</f>
        <v/>
      </c>
      <c r="N1115" s="177">
        <f>IFERROR(VLOOKUP($B1115,calc_data,N$14+1,0),0)</f>
        <v/>
      </c>
      <c r="O1115" s="45" t="n"/>
      <c r="Q1115" s="57">
        <f>IF(K1115&gt;0,"показать","скрыть")</f>
        <v/>
      </c>
    </row>
    <row r="1116" ht="15.75" customHeight="1">
      <c r="B1116" s="182" t="n">
        <v>1100</v>
      </c>
      <c r="C1116" s="182">
        <f>IFERROR(VLOOKUP($B1116,calc_data,C$14+1,0),0)</f>
        <v/>
      </c>
      <c r="D1116" s="182">
        <f>IFERROR(VLOOKUP($B1116,calc_data,D$14+1,0),0)</f>
        <v/>
      </c>
      <c r="E1116" s="183">
        <f>IFERROR(VLOOKUP($B1116,calc_data,E$14+1,0),0)</f>
        <v/>
      </c>
      <c r="F1116" s="182">
        <f>IFERROR(VLOOKUP($B1116,calc_data,F$14+1,0),0)</f>
        <v/>
      </c>
      <c r="G1116" s="141">
        <f>IFERROR(VLOOKUP($B1116,calc_data,G$14+1,0),0)</f>
        <v/>
      </c>
      <c r="H1116" s="141">
        <f>IFERROR(VLOOKUP($B1116,calc_data,H$14+1,0),0)</f>
        <v/>
      </c>
      <c r="I1116" s="142">
        <f>IFERROR(VLOOKUP($B1116,calc_data,I$14+1,0),0)</f>
        <v/>
      </c>
      <c r="J1116" s="141">
        <f>IFERROR(VLOOKUP($B1116,calc_data,J$14+1,0),0)</f>
        <v/>
      </c>
      <c r="K1116" s="141">
        <f>IFERROR(VLOOKUP($B1116,calc_data,K$14+1,0),0)</f>
        <v/>
      </c>
      <c r="L1116" s="141">
        <f>IFERROR(VLOOKUP($B1116,calc_data,L$14+1,0),0)</f>
        <v/>
      </c>
      <c r="M1116" s="177">
        <f>IFERROR(VLOOKUP($B1116,calc_data,M$14+1,0),0)</f>
        <v/>
      </c>
      <c r="N1116" s="177">
        <f>IFERROR(VLOOKUP($B1116,calc_data,N$14+1,0),0)</f>
        <v/>
      </c>
      <c r="O1116" s="45" t="n"/>
      <c r="Q1116" s="57">
        <f>IF(K1116&gt;0,"показать","скрыть")</f>
        <v/>
      </c>
    </row>
    <row r="1117" ht="15.75" customHeight="1">
      <c r="B1117" s="182" t="n">
        <v>1101</v>
      </c>
      <c r="C1117" s="182">
        <f>IFERROR(VLOOKUP($B1117,calc_data,C$14+1,0),0)</f>
        <v/>
      </c>
      <c r="D1117" s="182">
        <f>IFERROR(VLOOKUP($B1117,calc_data,D$14+1,0),0)</f>
        <v/>
      </c>
      <c r="E1117" s="183">
        <f>IFERROR(VLOOKUP($B1117,calc_data,E$14+1,0),0)</f>
        <v/>
      </c>
      <c r="F1117" s="182">
        <f>IFERROR(VLOOKUP($B1117,calc_data,F$14+1,0),0)</f>
        <v/>
      </c>
      <c r="G1117" s="141">
        <f>IFERROR(VLOOKUP($B1117,calc_data,G$14+1,0),0)</f>
        <v/>
      </c>
      <c r="H1117" s="141">
        <f>IFERROR(VLOOKUP($B1117,calc_data,H$14+1,0),0)</f>
        <v/>
      </c>
      <c r="I1117" s="142">
        <f>IFERROR(VLOOKUP($B1117,calc_data,I$14+1,0),0)</f>
        <v/>
      </c>
      <c r="J1117" s="141">
        <f>IFERROR(VLOOKUP($B1117,calc_data,J$14+1,0),0)</f>
        <v/>
      </c>
      <c r="K1117" s="141">
        <f>IFERROR(VLOOKUP($B1117,calc_data,K$14+1,0),0)</f>
        <v/>
      </c>
      <c r="L1117" s="141">
        <f>IFERROR(VLOOKUP($B1117,calc_data,L$14+1,0),0)</f>
        <v/>
      </c>
      <c r="M1117" s="177">
        <f>IFERROR(VLOOKUP($B1117,calc_data,M$14+1,0),0)</f>
        <v/>
      </c>
      <c r="N1117" s="177">
        <f>IFERROR(VLOOKUP($B1117,calc_data,N$14+1,0),0)</f>
        <v/>
      </c>
      <c r="O1117" s="45" t="n"/>
      <c r="Q1117" s="57">
        <f>IF(K1117&gt;0,"показать","скрыть")</f>
        <v/>
      </c>
    </row>
    <row r="1118" ht="15.75" customHeight="1">
      <c r="B1118" s="182" t="n">
        <v>1102</v>
      </c>
      <c r="C1118" s="182">
        <f>IFERROR(VLOOKUP($B1118,calc_data,C$14+1,0),0)</f>
        <v/>
      </c>
      <c r="D1118" s="182">
        <f>IFERROR(VLOOKUP($B1118,calc_data,D$14+1,0),0)</f>
        <v/>
      </c>
      <c r="E1118" s="183">
        <f>IFERROR(VLOOKUP($B1118,calc_data,E$14+1,0),0)</f>
        <v/>
      </c>
      <c r="F1118" s="182">
        <f>IFERROR(VLOOKUP($B1118,calc_data,F$14+1,0),0)</f>
        <v/>
      </c>
      <c r="G1118" s="141">
        <f>IFERROR(VLOOKUP($B1118,calc_data,G$14+1,0),0)</f>
        <v/>
      </c>
      <c r="H1118" s="141">
        <f>IFERROR(VLOOKUP($B1118,calc_data,H$14+1,0),0)</f>
        <v/>
      </c>
      <c r="I1118" s="142">
        <f>IFERROR(VLOOKUP($B1118,calc_data,I$14+1,0),0)</f>
        <v/>
      </c>
      <c r="J1118" s="141">
        <f>IFERROR(VLOOKUP($B1118,calc_data,J$14+1,0),0)</f>
        <v/>
      </c>
      <c r="K1118" s="141">
        <f>IFERROR(VLOOKUP($B1118,calc_data,K$14+1,0),0)</f>
        <v/>
      </c>
      <c r="L1118" s="141">
        <f>IFERROR(VLOOKUP($B1118,calc_data,L$14+1,0),0)</f>
        <v/>
      </c>
      <c r="M1118" s="177">
        <f>IFERROR(VLOOKUP($B1118,calc_data,M$14+1,0),0)</f>
        <v/>
      </c>
      <c r="N1118" s="177">
        <f>IFERROR(VLOOKUP($B1118,calc_data,N$14+1,0),0)</f>
        <v/>
      </c>
      <c r="O1118" s="45" t="n"/>
      <c r="Q1118" s="57">
        <f>IF(K1118&gt;0,"показать","скрыть")</f>
        <v/>
      </c>
    </row>
    <row r="1119" ht="15.75" customHeight="1">
      <c r="B1119" s="182" t="n">
        <v>1103</v>
      </c>
      <c r="C1119" s="182">
        <f>IFERROR(VLOOKUP($B1119,calc_data,C$14+1,0),0)</f>
        <v/>
      </c>
      <c r="D1119" s="182">
        <f>IFERROR(VLOOKUP($B1119,calc_data,D$14+1,0),0)</f>
        <v/>
      </c>
      <c r="E1119" s="183">
        <f>IFERROR(VLOOKUP($B1119,calc_data,E$14+1,0),0)</f>
        <v/>
      </c>
      <c r="F1119" s="182">
        <f>IFERROR(VLOOKUP($B1119,calc_data,F$14+1,0),0)</f>
        <v/>
      </c>
      <c r="G1119" s="141">
        <f>IFERROR(VLOOKUP($B1119,calc_data,G$14+1,0),0)</f>
        <v/>
      </c>
      <c r="H1119" s="141">
        <f>IFERROR(VLOOKUP($B1119,calc_data,H$14+1,0),0)</f>
        <v/>
      </c>
      <c r="I1119" s="142">
        <f>IFERROR(VLOOKUP($B1119,calc_data,I$14+1,0),0)</f>
        <v/>
      </c>
      <c r="J1119" s="141">
        <f>IFERROR(VLOOKUP($B1119,calc_data,J$14+1,0),0)</f>
        <v/>
      </c>
      <c r="K1119" s="141">
        <f>IFERROR(VLOOKUP($B1119,calc_data,K$14+1,0),0)</f>
        <v/>
      </c>
      <c r="L1119" s="141">
        <f>IFERROR(VLOOKUP($B1119,calc_data,L$14+1,0),0)</f>
        <v/>
      </c>
      <c r="M1119" s="177">
        <f>IFERROR(VLOOKUP($B1119,calc_data,M$14+1,0),0)</f>
        <v/>
      </c>
      <c r="N1119" s="177">
        <f>IFERROR(VLOOKUP($B1119,calc_data,N$14+1,0),0)</f>
        <v/>
      </c>
      <c r="O1119" s="45" t="n"/>
      <c r="Q1119" s="57">
        <f>IF(K1119&gt;0,"показать","скрыть")</f>
        <v/>
      </c>
    </row>
    <row r="1120" ht="15.75" customHeight="1">
      <c r="B1120" s="182" t="n">
        <v>1104</v>
      </c>
      <c r="C1120" s="182">
        <f>IFERROR(VLOOKUP($B1120,calc_data,C$14+1,0),0)</f>
        <v/>
      </c>
      <c r="D1120" s="182">
        <f>IFERROR(VLOOKUP($B1120,calc_data,D$14+1,0),0)</f>
        <v/>
      </c>
      <c r="E1120" s="183">
        <f>IFERROR(VLOOKUP($B1120,calc_data,E$14+1,0),0)</f>
        <v/>
      </c>
      <c r="F1120" s="182">
        <f>IFERROR(VLOOKUP($B1120,calc_data,F$14+1,0),0)</f>
        <v/>
      </c>
      <c r="G1120" s="141">
        <f>IFERROR(VLOOKUP($B1120,calc_data,G$14+1,0),0)</f>
        <v/>
      </c>
      <c r="H1120" s="141">
        <f>IFERROR(VLOOKUP($B1120,calc_data,H$14+1,0),0)</f>
        <v/>
      </c>
      <c r="I1120" s="142">
        <f>IFERROR(VLOOKUP($B1120,calc_data,I$14+1,0),0)</f>
        <v/>
      </c>
      <c r="J1120" s="141">
        <f>IFERROR(VLOOKUP($B1120,calc_data,J$14+1,0),0)</f>
        <v/>
      </c>
      <c r="K1120" s="141">
        <f>IFERROR(VLOOKUP($B1120,calc_data,K$14+1,0),0)</f>
        <v/>
      </c>
      <c r="L1120" s="141">
        <f>IFERROR(VLOOKUP($B1120,calc_data,L$14+1,0),0)</f>
        <v/>
      </c>
      <c r="M1120" s="177">
        <f>IFERROR(VLOOKUP($B1120,calc_data,M$14+1,0),0)</f>
        <v/>
      </c>
      <c r="N1120" s="177">
        <f>IFERROR(VLOOKUP($B1120,calc_data,N$14+1,0),0)</f>
        <v/>
      </c>
      <c r="O1120" s="45" t="n"/>
      <c r="Q1120" s="57">
        <f>IF(K1120&gt;0,"показать","скрыть")</f>
        <v/>
      </c>
    </row>
    <row r="1121" ht="15.75" customHeight="1">
      <c r="B1121" s="182" t="n">
        <v>1105</v>
      </c>
      <c r="C1121" s="182">
        <f>IFERROR(VLOOKUP($B1121,calc_data,C$14+1,0),0)</f>
        <v/>
      </c>
      <c r="D1121" s="182">
        <f>IFERROR(VLOOKUP($B1121,calc_data,D$14+1,0),0)</f>
        <v/>
      </c>
      <c r="E1121" s="183">
        <f>IFERROR(VLOOKUP($B1121,calc_data,E$14+1,0),0)</f>
        <v/>
      </c>
      <c r="F1121" s="182">
        <f>IFERROR(VLOOKUP($B1121,calc_data,F$14+1,0),0)</f>
        <v/>
      </c>
      <c r="G1121" s="141">
        <f>IFERROR(VLOOKUP($B1121,calc_data,G$14+1,0),0)</f>
        <v/>
      </c>
      <c r="H1121" s="141">
        <f>IFERROR(VLOOKUP($B1121,calc_data,H$14+1,0),0)</f>
        <v/>
      </c>
      <c r="I1121" s="142">
        <f>IFERROR(VLOOKUP($B1121,calc_data,I$14+1,0),0)</f>
        <v/>
      </c>
      <c r="J1121" s="141">
        <f>IFERROR(VLOOKUP($B1121,calc_data,J$14+1,0),0)</f>
        <v/>
      </c>
      <c r="K1121" s="141">
        <f>IFERROR(VLOOKUP($B1121,calc_data,K$14+1,0),0)</f>
        <v/>
      </c>
      <c r="L1121" s="141">
        <f>IFERROR(VLOOKUP($B1121,calc_data,L$14+1,0),0)</f>
        <v/>
      </c>
      <c r="M1121" s="177">
        <f>IFERROR(VLOOKUP($B1121,calc_data,M$14+1,0),0)</f>
        <v/>
      </c>
      <c r="N1121" s="177">
        <f>IFERROR(VLOOKUP($B1121,calc_data,N$14+1,0),0)</f>
        <v/>
      </c>
      <c r="O1121" s="45" t="n"/>
      <c r="Q1121" s="57">
        <f>IF(K1121&gt;0,"показать","скрыть")</f>
        <v/>
      </c>
    </row>
    <row r="1122" ht="15.75" customHeight="1">
      <c r="B1122" s="182" t="n">
        <v>1106</v>
      </c>
      <c r="C1122" s="182">
        <f>IFERROR(VLOOKUP($B1122,calc_data,C$14+1,0),0)</f>
        <v/>
      </c>
      <c r="D1122" s="182">
        <f>IFERROR(VLOOKUP($B1122,calc_data,D$14+1,0),0)</f>
        <v/>
      </c>
      <c r="E1122" s="183">
        <f>IFERROR(VLOOKUP($B1122,calc_data,E$14+1,0),0)</f>
        <v/>
      </c>
      <c r="F1122" s="182">
        <f>IFERROR(VLOOKUP($B1122,calc_data,F$14+1,0),0)</f>
        <v/>
      </c>
      <c r="G1122" s="141">
        <f>IFERROR(VLOOKUP($B1122,calc_data,G$14+1,0),0)</f>
        <v/>
      </c>
      <c r="H1122" s="141">
        <f>IFERROR(VLOOKUP($B1122,calc_data,H$14+1,0),0)</f>
        <v/>
      </c>
      <c r="I1122" s="142">
        <f>IFERROR(VLOOKUP($B1122,calc_data,I$14+1,0),0)</f>
        <v/>
      </c>
      <c r="J1122" s="141">
        <f>IFERROR(VLOOKUP($B1122,calc_data,J$14+1,0),0)</f>
        <v/>
      </c>
      <c r="K1122" s="141">
        <f>IFERROR(VLOOKUP($B1122,calc_data,K$14+1,0),0)</f>
        <v/>
      </c>
      <c r="L1122" s="141">
        <f>IFERROR(VLOOKUP($B1122,calc_data,L$14+1,0),0)</f>
        <v/>
      </c>
      <c r="M1122" s="177">
        <f>IFERROR(VLOOKUP($B1122,calc_data,M$14+1,0),0)</f>
        <v/>
      </c>
      <c r="N1122" s="177">
        <f>IFERROR(VLOOKUP($B1122,calc_data,N$14+1,0),0)</f>
        <v/>
      </c>
      <c r="O1122" s="45" t="n"/>
      <c r="Q1122" s="57">
        <f>IF(K1122&gt;0,"показать","скрыть")</f>
        <v/>
      </c>
    </row>
    <row r="1123" ht="15.75" customHeight="1">
      <c r="B1123" s="182" t="n">
        <v>1107</v>
      </c>
      <c r="C1123" s="182">
        <f>IFERROR(VLOOKUP($B1123,calc_data,C$14+1,0),0)</f>
        <v/>
      </c>
      <c r="D1123" s="182">
        <f>IFERROR(VLOOKUP($B1123,calc_data,D$14+1,0),0)</f>
        <v/>
      </c>
      <c r="E1123" s="183">
        <f>IFERROR(VLOOKUP($B1123,calc_data,E$14+1,0),0)</f>
        <v/>
      </c>
      <c r="F1123" s="182">
        <f>IFERROR(VLOOKUP($B1123,calc_data,F$14+1,0),0)</f>
        <v/>
      </c>
      <c r="G1123" s="141">
        <f>IFERROR(VLOOKUP($B1123,calc_data,G$14+1,0),0)</f>
        <v/>
      </c>
      <c r="H1123" s="141">
        <f>IFERROR(VLOOKUP($B1123,calc_data,H$14+1,0),0)</f>
        <v/>
      </c>
      <c r="I1123" s="142">
        <f>IFERROR(VLOOKUP($B1123,calc_data,I$14+1,0),0)</f>
        <v/>
      </c>
      <c r="J1123" s="141">
        <f>IFERROR(VLOOKUP($B1123,calc_data,J$14+1,0),0)</f>
        <v/>
      </c>
      <c r="K1123" s="141">
        <f>IFERROR(VLOOKUP($B1123,calc_data,K$14+1,0),0)</f>
        <v/>
      </c>
      <c r="L1123" s="141">
        <f>IFERROR(VLOOKUP($B1123,calc_data,L$14+1,0),0)</f>
        <v/>
      </c>
      <c r="M1123" s="177">
        <f>IFERROR(VLOOKUP($B1123,calc_data,M$14+1,0),0)</f>
        <v/>
      </c>
      <c r="N1123" s="177">
        <f>IFERROR(VLOOKUP($B1123,calc_data,N$14+1,0),0)</f>
        <v/>
      </c>
      <c r="O1123" s="45" t="n"/>
      <c r="Q1123" s="57">
        <f>IF(K1123&gt;0,"показать","скрыть")</f>
        <v/>
      </c>
    </row>
    <row r="1124" ht="15.75" customHeight="1">
      <c r="B1124" s="182" t="n">
        <v>1108</v>
      </c>
      <c r="C1124" s="182">
        <f>IFERROR(VLOOKUP($B1124,calc_data,C$14+1,0),0)</f>
        <v/>
      </c>
      <c r="D1124" s="182">
        <f>IFERROR(VLOOKUP($B1124,calc_data,D$14+1,0),0)</f>
        <v/>
      </c>
      <c r="E1124" s="183">
        <f>IFERROR(VLOOKUP($B1124,calc_data,E$14+1,0),0)</f>
        <v/>
      </c>
      <c r="F1124" s="182">
        <f>IFERROR(VLOOKUP($B1124,calc_data,F$14+1,0),0)</f>
        <v/>
      </c>
      <c r="G1124" s="141">
        <f>IFERROR(VLOOKUP($B1124,calc_data,G$14+1,0),0)</f>
        <v/>
      </c>
      <c r="H1124" s="141">
        <f>IFERROR(VLOOKUP($B1124,calc_data,H$14+1,0),0)</f>
        <v/>
      </c>
      <c r="I1124" s="142">
        <f>IFERROR(VLOOKUP($B1124,calc_data,I$14+1,0),0)</f>
        <v/>
      </c>
      <c r="J1124" s="141">
        <f>IFERROR(VLOOKUP($B1124,calc_data,J$14+1,0),0)</f>
        <v/>
      </c>
      <c r="K1124" s="141">
        <f>IFERROR(VLOOKUP($B1124,calc_data,K$14+1,0),0)</f>
        <v/>
      </c>
      <c r="L1124" s="141">
        <f>IFERROR(VLOOKUP($B1124,calc_data,L$14+1,0),0)</f>
        <v/>
      </c>
      <c r="M1124" s="177">
        <f>IFERROR(VLOOKUP($B1124,calc_data,M$14+1,0),0)</f>
        <v/>
      </c>
      <c r="N1124" s="177">
        <f>IFERROR(VLOOKUP($B1124,calc_data,N$14+1,0),0)</f>
        <v/>
      </c>
      <c r="O1124" s="45" t="n"/>
      <c r="Q1124" s="57">
        <f>IF(K1124&gt;0,"показать","скрыть")</f>
        <v/>
      </c>
    </row>
    <row r="1125" ht="15.75" customHeight="1">
      <c r="B1125" s="182" t="n">
        <v>1109</v>
      </c>
      <c r="C1125" s="182">
        <f>IFERROR(VLOOKUP($B1125,calc_data,C$14+1,0),0)</f>
        <v/>
      </c>
      <c r="D1125" s="182">
        <f>IFERROR(VLOOKUP($B1125,calc_data,D$14+1,0),0)</f>
        <v/>
      </c>
      <c r="E1125" s="183">
        <f>IFERROR(VLOOKUP($B1125,calc_data,E$14+1,0),0)</f>
        <v/>
      </c>
      <c r="F1125" s="182">
        <f>IFERROR(VLOOKUP($B1125,calc_data,F$14+1,0),0)</f>
        <v/>
      </c>
      <c r="G1125" s="141">
        <f>IFERROR(VLOOKUP($B1125,calc_data,G$14+1,0),0)</f>
        <v/>
      </c>
      <c r="H1125" s="141">
        <f>IFERROR(VLOOKUP($B1125,calc_data,H$14+1,0),0)</f>
        <v/>
      </c>
      <c r="I1125" s="142">
        <f>IFERROR(VLOOKUP($B1125,calc_data,I$14+1,0),0)</f>
        <v/>
      </c>
      <c r="J1125" s="141">
        <f>IFERROR(VLOOKUP($B1125,calc_data,J$14+1,0),0)</f>
        <v/>
      </c>
      <c r="K1125" s="141">
        <f>IFERROR(VLOOKUP($B1125,calc_data,K$14+1,0),0)</f>
        <v/>
      </c>
      <c r="L1125" s="141">
        <f>IFERROR(VLOOKUP($B1125,calc_data,L$14+1,0),0)</f>
        <v/>
      </c>
      <c r="M1125" s="177">
        <f>IFERROR(VLOOKUP($B1125,calc_data,M$14+1,0),0)</f>
        <v/>
      </c>
      <c r="N1125" s="177">
        <f>IFERROR(VLOOKUP($B1125,calc_data,N$14+1,0),0)</f>
        <v/>
      </c>
      <c r="O1125" s="45" t="n"/>
      <c r="Q1125" s="57">
        <f>IF(K1125&gt;0,"показать","скрыть")</f>
        <v/>
      </c>
    </row>
    <row r="1126" ht="15.75" customHeight="1">
      <c r="B1126" s="182" t="n">
        <v>1110</v>
      </c>
      <c r="C1126" s="182">
        <f>IFERROR(VLOOKUP($B1126,calc_data,C$14+1,0),0)</f>
        <v/>
      </c>
      <c r="D1126" s="182">
        <f>IFERROR(VLOOKUP($B1126,calc_data,D$14+1,0),0)</f>
        <v/>
      </c>
      <c r="E1126" s="183">
        <f>IFERROR(VLOOKUP($B1126,calc_data,E$14+1,0),0)</f>
        <v/>
      </c>
      <c r="F1126" s="182">
        <f>IFERROR(VLOOKUP($B1126,calc_data,F$14+1,0),0)</f>
        <v/>
      </c>
      <c r="G1126" s="141">
        <f>IFERROR(VLOOKUP($B1126,calc_data,G$14+1,0),0)</f>
        <v/>
      </c>
      <c r="H1126" s="141">
        <f>IFERROR(VLOOKUP($B1126,calc_data,H$14+1,0),0)</f>
        <v/>
      </c>
      <c r="I1126" s="142">
        <f>IFERROR(VLOOKUP($B1126,calc_data,I$14+1,0),0)</f>
        <v/>
      </c>
      <c r="J1126" s="141">
        <f>IFERROR(VLOOKUP($B1126,calc_data,J$14+1,0),0)</f>
        <v/>
      </c>
      <c r="K1126" s="141">
        <f>IFERROR(VLOOKUP($B1126,calc_data,K$14+1,0),0)</f>
        <v/>
      </c>
      <c r="L1126" s="141">
        <f>IFERROR(VLOOKUP($B1126,calc_data,L$14+1,0),0)</f>
        <v/>
      </c>
      <c r="M1126" s="177">
        <f>IFERROR(VLOOKUP($B1126,calc_data,M$14+1,0),0)</f>
        <v/>
      </c>
      <c r="N1126" s="177">
        <f>IFERROR(VLOOKUP($B1126,calc_data,N$14+1,0),0)</f>
        <v/>
      </c>
      <c r="O1126" s="45" t="n"/>
      <c r="Q1126" s="57">
        <f>IF(K1126&gt;0,"показать","скрыть")</f>
        <v/>
      </c>
    </row>
    <row r="1127" ht="15.75" customHeight="1">
      <c r="B1127" s="182" t="n">
        <v>1111</v>
      </c>
      <c r="C1127" s="182">
        <f>IFERROR(VLOOKUP($B1127,calc_data,C$14+1,0),0)</f>
        <v/>
      </c>
      <c r="D1127" s="182">
        <f>IFERROR(VLOOKUP($B1127,calc_data,D$14+1,0),0)</f>
        <v/>
      </c>
      <c r="E1127" s="183">
        <f>IFERROR(VLOOKUP($B1127,calc_data,E$14+1,0),0)</f>
        <v/>
      </c>
      <c r="F1127" s="182">
        <f>IFERROR(VLOOKUP($B1127,calc_data,F$14+1,0),0)</f>
        <v/>
      </c>
      <c r="G1127" s="141">
        <f>IFERROR(VLOOKUP($B1127,calc_data,G$14+1,0),0)</f>
        <v/>
      </c>
      <c r="H1127" s="141">
        <f>IFERROR(VLOOKUP($B1127,calc_data,H$14+1,0),0)</f>
        <v/>
      </c>
      <c r="I1127" s="142">
        <f>IFERROR(VLOOKUP($B1127,calc_data,I$14+1,0),0)</f>
        <v/>
      </c>
      <c r="J1127" s="141">
        <f>IFERROR(VLOOKUP($B1127,calc_data,J$14+1,0),0)</f>
        <v/>
      </c>
      <c r="K1127" s="141">
        <f>IFERROR(VLOOKUP($B1127,calc_data,K$14+1,0),0)</f>
        <v/>
      </c>
      <c r="L1127" s="141">
        <f>IFERROR(VLOOKUP($B1127,calc_data,L$14+1,0),0)</f>
        <v/>
      </c>
      <c r="M1127" s="177">
        <f>IFERROR(VLOOKUP($B1127,calc_data,M$14+1,0),0)</f>
        <v/>
      </c>
      <c r="N1127" s="177">
        <f>IFERROR(VLOOKUP($B1127,calc_data,N$14+1,0),0)</f>
        <v/>
      </c>
      <c r="O1127" s="45" t="n"/>
      <c r="Q1127" s="57">
        <f>IF(K1127&gt;0,"показать","скрыть")</f>
        <v/>
      </c>
    </row>
    <row r="1128" ht="15.75" customHeight="1">
      <c r="B1128" s="182" t="n">
        <v>1112</v>
      </c>
      <c r="C1128" s="182">
        <f>IFERROR(VLOOKUP($B1128,calc_data,C$14+1,0),0)</f>
        <v/>
      </c>
      <c r="D1128" s="182">
        <f>IFERROR(VLOOKUP($B1128,calc_data,D$14+1,0),0)</f>
        <v/>
      </c>
      <c r="E1128" s="183">
        <f>IFERROR(VLOOKUP($B1128,calc_data,E$14+1,0),0)</f>
        <v/>
      </c>
      <c r="F1128" s="182">
        <f>IFERROR(VLOOKUP($B1128,calc_data,F$14+1,0),0)</f>
        <v/>
      </c>
      <c r="G1128" s="141">
        <f>IFERROR(VLOOKUP($B1128,calc_data,G$14+1,0),0)</f>
        <v/>
      </c>
      <c r="H1128" s="141">
        <f>IFERROR(VLOOKUP($B1128,calc_data,H$14+1,0),0)</f>
        <v/>
      </c>
      <c r="I1128" s="142">
        <f>IFERROR(VLOOKUP($B1128,calc_data,I$14+1,0),0)</f>
        <v/>
      </c>
      <c r="J1128" s="141">
        <f>IFERROR(VLOOKUP($B1128,calc_data,J$14+1,0),0)</f>
        <v/>
      </c>
      <c r="K1128" s="141">
        <f>IFERROR(VLOOKUP($B1128,calc_data,K$14+1,0),0)</f>
        <v/>
      </c>
      <c r="L1128" s="141">
        <f>IFERROR(VLOOKUP($B1128,calc_data,L$14+1,0),0)</f>
        <v/>
      </c>
      <c r="M1128" s="177">
        <f>IFERROR(VLOOKUP($B1128,calc_data,M$14+1,0),0)</f>
        <v/>
      </c>
      <c r="N1128" s="177">
        <f>IFERROR(VLOOKUP($B1128,calc_data,N$14+1,0),0)</f>
        <v/>
      </c>
      <c r="O1128" s="45" t="n"/>
      <c r="Q1128" s="57">
        <f>IF(K1128&gt;0,"показать","скрыть")</f>
        <v/>
      </c>
    </row>
    <row r="1129" ht="15.75" customHeight="1">
      <c r="B1129" s="182" t="n">
        <v>1113</v>
      </c>
      <c r="C1129" s="182">
        <f>IFERROR(VLOOKUP($B1129,calc_data,C$14+1,0),0)</f>
        <v/>
      </c>
      <c r="D1129" s="182">
        <f>IFERROR(VLOOKUP($B1129,calc_data,D$14+1,0),0)</f>
        <v/>
      </c>
      <c r="E1129" s="183">
        <f>IFERROR(VLOOKUP($B1129,calc_data,E$14+1,0),0)</f>
        <v/>
      </c>
      <c r="F1129" s="182">
        <f>IFERROR(VLOOKUP($B1129,calc_data,F$14+1,0),0)</f>
        <v/>
      </c>
      <c r="G1129" s="141">
        <f>IFERROR(VLOOKUP($B1129,calc_data,G$14+1,0),0)</f>
        <v/>
      </c>
      <c r="H1129" s="141">
        <f>IFERROR(VLOOKUP($B1129,calc_data,H$14+1,0),0)</f>
        <v/>
      </c>
      <c r="I1129" s="142">
        <f>IFERROR(VLOOKUP($B1129,calc_data,I$14+1,0),0)</f>
        <v/>
      </c>
      <c r="J1129" s="141">
        <f>IFERROR(VLOOKUP($B1129,calc_data,J$14+1,0),0)</f>
        <v/>
      </c>
      <c r="K1129" s="141">
        <f>IFERROR(VLOOKUP($B1129,calc_data,K$14+1,0),0)</f>
        <v/>
      </c>
      <c r="L1129" s="141">
        <f>IFERROR(VLOOKUP($B1129,calc_data,L$14+1,0),0)</f>
        <v/>
      </c>
      <c r="M1129" s="177">
        <f>IFERROR(VLOOKUP($B1129,calc_data,M$14+1,0),0)</f>
        <v/>
      </c>
      <c r="N1129" s="177">
        <f>IFERROR(VLOOKUP($B1129,calc_data,N$14+1,0),0)</f>
        <v/>
      </c>
      <c r="O1129" s="45" t="n"/>
      <c r="Q1129" s="57">
        <f>IF(K1129&gt;0,"показать","скрыть")</f>
        <v/>
      </c>
    </row>
    <row r="1130" ht="15.75" customHeight="1">
      <c r="B1130" s="182" t="n">
        <v>1114</v>
      </c>
      <c r="C1130" s="182">
        <f>IFERROR(VLOOKUP($B1130,calc_data,C$14+1,0),0)</f>
        <v/>
      </c>
      <c r="D1130" s="182">
        <f>IFERROR(VLOOKUP($B1130,calc_data,D$14+1,0),0)</f>
        <v/>
      </c>
      <c r="E1130" s="183">
        <f>IFERROR(VLOOKUP($B1130,calc_data,E$14+1,0),0)</f>
        <v/>
      </c>
      <c r="F1130" s="182">
        <f>IFERROR(VLOOKUP($B1130,calc_data,F$14+1,0),0)</f>
        <v/>
      </c>
      <c r="G1130" s="141">
        <f>IFERROR(VLOOKUP($B1130,calc_data,G$14+1,0),0)</f>
        <v/>
      </c>
      <c r="H1130" s="141">
        <f>IFERROR(VLOOKUP($B1130,calc_data,H$14+1,0),0)</f>
        <v/>
      </c>
      <c r="I1130" s="142">
        <f>IFERROR(VLOOKUP($B1130,calc_data,I$14+1,0),0)</f>
        <v/>
      </c>
      <c r="J1130" s="141">
        <f>IFERROR(VLOOKUP($B1130,calc_data,J$14+1,0),0)</f>
        <v/>
      </c>
      <c r="K1130" s="141">
        <f>IFERROR(VLOOKUP($B1130,calc_data,K$14+1,0),0)</f>
        <v/>
      </c>
      <c r="L1130" s="141">
        <f>IFERROR(VLOOKUP($B1130,calc_data,L$14+1,0),0)</f>
        <v/>
      </c>
      <c r="M1130" s="177">
        <f>IFERROR(VLOOKUP($B1130,calc_data,M$14+1,0),0)</f>
        <v/>
      </c>
      <c r="N1130" s="177">
        <f>IFERROR(VLOOKUP($B1130,calc_data,N$14+1,0),0)</f>
        <v/>
      </c>
      <c r="O1130" s="45" t="n"/>
      <c r="Q1130" s="57">
        <f>IF(K1130&gt;0,"показать","скрыть")</f>
        <v/>
      </c>
    </row>
    <row r="1131" ht="15.75" customHeight="1">
      <c r="B1131" s="182" t="n">
        <v>1115</v>
      </c>
      <c r="C1131" s="182">
        <f>IFERROR(VLOOKUP($B1131,calc_data,C$14+1,0),0)</f>
        <v/>
      </c>
      <c r="D1131" s="182">
        <f>IFERROR(VLOOKUP($B1131,calc_data,D$14+1,0),0)</f>
        <v/>
      </c>
      <c r="E1131" s="183">
        <f>IFERROR(VLOOKUP($B1131,calc_data,E$14+1,0),0)</f>
        <v/>
      </c>
      <c r="F1131" s="182">
        <f>IFERROR(VLOOKUP($B1131,calc_data,F$14+1,0),0)</f>
        <v/>
      </c>
      <c r="G1131" s="141">
        <f>IFERROR(VLOOKUP($B1131,calc_data,G$14+1,0),0)</f>
        <v/>
      </c>
      <c r="H1131" s="141">
        <f>IFERROR(VLOOKUP($B1131,calc_data,H$14+1,0),0)</f>
        <v/>
      </c>
      <c r="I1131" s="142">
        <f>IFERROR(VLOOKUP($B1131,calc_data,I$14+1,0),0)</f>
        <v/>
      </c>
      <c r="J1131" s="141">
        <f>IFERROR(VLOOKUP($B1131,calc_data,J$14+1,0),0)</f>
        <v/>
      </c>
      <c r="K1131" s="141">
        <f>IFERROR(VLOOKUP($B1131,calc_data,K$14+1,0),0)</f>
        <v/>
      </c>
      <c r="L1131" s="141">
        <f>IFERROR(VLOOKUP($B1131,calc_data,L$14+1,0),0)</f>
        <v/>
      </c>
      <c r="M1131" s="177">
        <f>IFERROR(VLOOKUP($B1131,calc_data,M$14+1,0),0)</f>
        <v/>
      </c>
      <c r="N1131" s="177">
        <f>IFERROR(VLOOKUP($B1131,calc_data,N$14+1,0),0)</f>
        <v/>
      </c>
      <c r="O1131" s="45" t="n"/>
      <c r="Q1131" s="57">
        <f>IF(K1131&gt;0,"показать","скрыть")</f>
        <v/>
      </c>
    </row>
    <row r="1132" ht="15.75" customHeight="1">
      <c r="B1132" s="182" t="n">
        <v>1116</v>
      </c>
      <c r="C1132" s="182">
        <f>IFERROR(VLOOKUP($B1132,calc_data,C$14+1,0),0)</f>
        <v/>
      </c>
      <c r="D1132" s="182">
        <f>IFERROR(VLOOKUP($B1132,calc_data,D$14+1,0),0)</f>
        <v/>
      </c>
      <c r="E1132" s="183">
        <f>IFERROR(VLOOKUP($B1132,calc_data,E$14+1,0),0)</f>
        <v/>
      </c>
      <c r="F1132" s="182">
        <f>IFERROR(VLOOKUP($B1132,calc_data,F$14+1,0),0)</f>
        <v/>
      </c>
      <c r="G1132" s="141">
        <f>IFERROR(VLOOKUP($B1132,calc_data,G$14+1,0),0)</f>
        <v/>
      </c>
      <c r="H1132" s="141">
        <f>IFERROR(VLOOKUP($B1132,calc_data,H$14+1,0),0)</f>
        <v/>
      </c>
      <c r="I1132" s="142">
        <f>IFERROR(VLOOKUP($B1132,calc_data,I$14+1,0),0)</f>
        <v/>
      </c>
      <c r="J1132" s="141">
        <f>IFERROR(VLOOKUP($B1132,calc_data,J$14+1,0),0)</f>
        <v/>
      </c>
      <c r="K1132" s="141">
        <f>IFERROR(VLOOKUP($B1132,calc_data,K$14+1,0),0)</f>
        <v/>
      </c>
      <c r="L1132" s="141">
        <f>IFERROR(VLOOKUP($B1132,calc_data,L$14+1,0),0)</f>
        <v/>
      </c>
      <c r="M1132" s="177">
        <f>IFERROR(VLOOKUP($B1132,calc_data,M$14+1,0),0)</f>
        <v/>
      </c>
      <c r="N1132" s="177">
        <f>IFERROR(VLOOKUP($B1132,calc_data,N$14+1,0),0)</f>
        <v/>
      </c>
      <c r="O1132" s="45" t="n"/>
      <c r="Q1132" s="57">
        <f>IF(K1132&gt;0,"показать","скрыть")</f>
        <v/>
      </c>
    </row>
    <row r="1133" ht="15.75" customHeight="1">
      <c r="B1133" s="182" t="n">
        <v>1117</v>
      </c>
      <c r="C1133" s="182">
        <f>IFERROR(VLOOKUP($B1133,calc_data,C$14+1,0),0)</f>
        <v/>
      </c>
      <c r="D1133" s="182">
        <f>IFERROR(VLOOKUP($B1133,calc_data,D$14+1,0),0)</f>
        <v/>
      </c>
      <c r="E1133" s="183">
        <f>IFERROR(VLOOKUP($B1133,calc_data,E$14+1,0),0)</f>
        <v/>
      </c>
      <c r="F1133" s="182">
        <f>IFERROR(VLOOKUP($B1133,calc_data,F$14+1,0),0)</f>
        <v/>
      </c>
      <c r="G1133" s="141">
        <f>IFERROR(VLOOKUP($B1133,calc_data,G$14+1,0),0)</f>
        <v/>
      </c>
      <c r="H1133" s="141">
        <f>IFERROR(VLOOKUP($B1133,calc_data,H$14+1,0),0)</f>
        <v/>
      </c>
      <c r="I1133" s="142">
        <f>IFERROR(VLOOKUP($B1133,calc_data,I$14+1,0),0)</f>
        <v/>
      </c>
      <c r="J1133" s="141">
        <f>IFERROR(VLOOKUP($B1133,calc_data,J$14+1,0),0)</f>
        <v/>
      </c>
      <c r="K1133" s="141">
        <f>IFERROR(VLOOKUP($B1133,calc_data,K$14+1,0),0)</f>
        <v/>
      </c>
      <c r="L1133" s="141">
        <f>IFERROR(VLOOKUP($B1133,calc_data,L$14+1,0),0)</f>
        <v/>
      </c>
      <c r="M1133" s="177">
        <f>IFERROR(VLOOKUP($B1133,calc_data,M$14+1,0),0)</f>
        <v/>
      </c>
      <c r="N1133" s="177">
        <f>IFERROR(VLOOKUP($B1133,calc_data,N$14+1,0),0)</f>
        <v/>
      </c>
      <c r="O1133" s="45" t="n"/>
      <c r="Q1133" s="57">
        <f>IF(K1133&gt;0,"показать","скрыть")</f>
        <v/>
      </c>
    </row>
    <row r="1134" ht="15.75" customHeight="1">
      <c r="B1134" s="182" t="n">
        <v>1118</v>
      </c>
      <c r="C1134" s="182">
        <f>IFERROR(VLOOKUP($B1134,calc_data,C$14+1,0),0)</f>
        <v/>
      </c>
      <c r="D1134" s="182">
        <f>IFERROR(VLOOKUP($B1134,calc_data,D$14+1,0),0)</f>
        <v/>
      </c>
      <c r="E1134" s="183">
        <f>IFERROR(VLOOKUP($B1134,calc_data,E$14+1,0),0)</f>
        <v/>
      </c>
      <c r="F1134" s="182">
        <f>IFERROR(VLOOKUP($B1134,calc_data,F$14+1,0),0)</f>
        <v/>
      </c>
      <c r="G1134" s="141">
        <f>IFERROR(VLOOKUP($B1134,calc_data,G$14+1,0),0)</f>
        <v/>
      </c>
      <c r="H1134" s="141">
        <f>IFERROR(VLOOKUP($B1134,calc_data,H$14+1,0),0)</f>
        <v/>
      </c>
      <c r="I1134" s="142">
        <f>IFERROR(VLOOKUP($B1134,calc_data,I$14+1,0),0)</f>
        <v/>
      </c>
      <c r="J1134" s="141">
        <f>IFERROR(VLOOKUP($B1134,calc_data,J$14+1,0),0)</f>
        <v/>
      </c>
      <c r="K1134" s="141">
        <f>IFERROR(VLOOKUP($B1134,calc_data,K$14+1,0),0)</f>
        <v/>
      </c>
      <c r="L1134" s="141">
        <f>IFERROR(VLOOKUP($B1134,calc_data,L$14+1,0),0)</f>
        <v/>
      </c>
      <c r="M1134" s="177">
        <f>IFERROR(VLOOKUP($B1134,calc_data,M$14+1,0),0)</f>
        <v/>
      </c>
      <c r="N1134" s="177">
        <f>IFERROR(VLOOKUP($B1134,calc_data,N$14+1,0),0)</f>
        <v/>
      </c>
      <c r="O1134" s="45" t="n"/>
      <c r="Q1134" s="57">
        <f>IF(K1134&gt;0,"показать","скрыть")</f>
        <v/>
      </c>
    </row>
    <row r="1135" ht="15.75" customHeight="1">
      <c r="B1135" s="182" t="n">
        <v>1119</v>
      </c>
      <c r="C1135" s="182">
        <f>IFERROR(VLOOKUP($B1135,calc_data,C$14+1,0),0)</f>
        <v/>
      </c>
      <c r="D1135" s="182">
        <f>IFERROR(VLOOKUP($B1135,calc_data,D$14+1,0),0)</f>
        <v/>
      </c>
      <c r="E1135" s="183">
        <f>IFERROR(VLOOKUP($B1135,calc_data,E$14+1,0),0)</f>
        <v/>
      </c>
      <c r="F1135" s="182">
        <f>IFERROR(VLOOKUP($B1135,calc_data,F$14+1,0),0)</f>
        <v/>
      </c>
      <c r="G1135" s="141">
        <f>IFERROR(VLOOKUP($B1135,calc_data,G$14+1,0),0)</f>
        <v/>
      </c>
      <c r="H1135" s="141">
        <f>IFERROR(VLOOKUP($B1135,calc_data,H$14+1,0),0)</f>
        <v/>
      </c>
      <c r="I1135" s="142">
        <f>IFERROR(VLOOKUP($B1135,calc_data,I$14+1,0),0)</f>
        <v/>
      </c>
      <c r="J1135" s="141">
        <f>IFERROR(VLOOKUP($B1135,calc_data,J$14+1,0),0)</f>
        <v/>
      </c>
      <c r="K1135" s="141">
        <f>IFERROR(VLOOKUP($B1135,calc_data,K$14+1,0),0)</f>
        <v/>
      </c>
      <c r="L1135" s="141">
        <f>IFERROR(VLOOKUP($B1135,calc_data,L$14+1,0),0)</f>
        <v/>
      </c>
      <c r="M1135" s="177">
        <f>IFERROR(VLOOKUP($B1135,calc_data,M$14+1,0),0)</f>
        <v/>
      </c>
      <c r="N1135" s="177">
        <f>IFERROR(VLOOKUP($B1135,calc_data,N$14+1,0),0)</f>
        <v/>
      </c>
      <c r="O1135" s="45" t="n"/>
      <c r="Q1135" s="57">
        <f>IF(K1135&gt;0,"показать","скрыть")</f>
        <v/>
      </c>
    </row>
    <row r="1136" ht="15.75" customHeight="1">
      <c r="B1136" s="182" t="n">
        <v>1120</v>
      </c>
      <c r="C1136" s="182">
        <f>IFERROR(VLOOKUP($B1136,calc_data,C$14+1,0),0)</f>
        <v/>
      </c>
      <c r="D1136" s="182">
        <f>IFERROR(VLOOKUP($B1136,calc_data,D$14+1,0),0)</f>
        <v/>
      </c>
      <c r="E1136" s="183">
        <f>IFERROR(VLOOKUP($B1136,calc_data,E$14+1,0),0)</f>
        <v/>
      </c>
      <c r="F1136" s="182">
        <f>IFERROR(VLOOKUP($B1136,calc_data,F$14+1,0),0)</f>
        <v/>
      </c>
      <c r="G1136" s="141">
        <f>IFERROR(VLOOKUP($B1136,calc_data,G$14+1,0),0)</f>
        <v/>
      </c>
      <c r="H1136" s="141">
        <f>IFERROR(VLOOKUP($B1136,calc_data,H$14+1,0),0)</f>
        <v/>
      </c>
      <c r="I1136" s="142">
        <f>IFERROR(VLOOKUP($B1136,calc_data,I$14+1,0),0)</f>
        <v/>
      </c>
      <c r="J1136" s="141">
        <f>IFERROR(VLOOKUP($B1136,calc_data,J$14+1,0),0)</f>
        <v/>
      </c>
      <c r="K1136" s="141">
        <f>IFERROR(VLOOKUP($B1136,calc_data,K$14+1,0),0)</f>
        <v/>
      </c>
      <c r="L1136" s="141">
        <f>IFERROR(VLOOKUP($B1136,calc_data,L$14+1,0),0)</f>
        <v/>
      </c>
      <c r="M1136" s="177">
        <f>IFERROR(VLOOKUP($B1136,calc_data,M$14+1,0),0)</f>
        <v/>
      </c>
      <c r="N1136" s="177">
        <f>IFERROR(VLOOKUP($B1136,calc_data,N$14+1,0),0)</f>
        <v/>
      </c>
      <c r="O1136" s="45" t="n"/>
      <c r="Q1136" s="57">
        <f>IF(K1136&gt;0,"показать","скрыть")</f>
        <v/>
      </c>
    </row>
    <row r="1137" ht="15.75" customHeight="1">
      <c r="B1137" s="182" t="n">
        <v>1121</v>
      </c>
      <c r="C1137" s="182">
        <f>IFERROR(VLOOKUP($B1137,calc_data,C$14+1,0),0)</f>
        <v/>
      </c>
      <c r="D1137" s="182">
        <f>IFERROR(VLOOKUP($B1137,calc_data,D$14+1,0),0)</f>
        <v/>
      </c>
      <c r="E1137" s="183">
        <f>IFERROR(VLOOKUP($B1137,calc_data,E$14+1,0),0)</f>
        <v/>
      </c>
      <c r="F1137" s="182">
        <f>IFERROR(VLOOKUP($B1137,calc_data,F$14+1,0),0)</f>
        <v/>
      </c>
      <c r="G1137" s="141">
        <f>IFERROR(VLOOKUP($B1137,calc_data,G$14+1,0),0)</f>
        <v/>
      </c>
      <c r="H1137" s="141">
        <f>IFERROR(VLOOKUP($B1137,calc_data,H$14+1,0),0)</f>
        <v/>
      </c>
      <c r="I1137" s="142">
        <f>IFERROR(VLOOKUP($B1137,calc_data,I$14+1,0),0)</f>
        <v/>
      </c>
      <c r="J1137" s="141">
        <f>IFERROR(VLOOKUP($B1137,calc_data,J$14+1,0),0)</f>
        <v/>
      </c>
      <c r="K1137" s="141">
        <f>IFERROR(VLOOKUP($B1137,calc_data,K$14+1,0),0)</f>
        <v/>
      </c>
      <c r="L1137" s="141">
        <f>IFERROR(VLOOKUP($B1137,calc_data,L$14+1,0),0)</f>
        <v/>
      </c>
      <c r="M1137" s="177">
        <f>IFERROR(VLOOKUP($B1137,calc_data,M$14+1,0),0)</f>
        <v/>
      </c>
      <c r="N1137" s="177">
        <f>IFERROR(VLOOKUP($B1137,calc_data,N$14+1,0),0)</f>
        <v/>
      </c>
      <c r="O1137" s="45" t="n"/>
      <c r="Q1137" s="57">
        <f>IF(K1137&gt;0,"показать","скрыть")</f>
        <v/>
      </c>
    </row>
    <row r="1138" ht="15.75" customHeight="1">
      <c r="B1138" s="182" t="n">
        <v>1122</v>
      </c>
      <c r="C1138" s="182">
        <f>IFERROR(VLOOKUP($B1138,calc_data,C$14+1,0),0)</f>
        <v/>
      </c>
      <c r="D1138" s="182">
        <f>IFERROR(VLOOKUP($B1138,calc_data,D$14+1,0),0)</f>
        <v/>
      </c>
      <c r="E1138" s="183">
        <f>IFERROR(VLOOKUP($B1138,calc_data,E$14+1,0),0)</f>
        <v/>
      </c>
      <c r="F1138" s="182">
        <f>IFERROR(VLOOKUP($B1138,calc_data,F$14+1,0),0)</f>
        <v/>
      </c>
      <c r="G1138" s="141">
        <f>IFERROR(VLOOKUP($B1138,calc_data,G$14+1,0),0)</f>
        <v/>
      </c>
      <c r="H1138" s="141">
        <f>IFERROR(VLOOKUP($B1138,calc_data,H$14+1,0),0)</f>
        <v/>
      </c>
      <c r="I1138" s="142">
        <f>IFERROR(VLOOKUP($B1138,calc_data,I$14+1,0),0)</f>
        <v/>
      </c>
      <c r="J1138" s="141">
        <f>IFERROR(VLOOKUP($B1138,calc_data,J$14+1,0),0)</f>
        <v/>
      </c>
      <c r="K1138" s="141">
        <f>IFERROR(VLOOKUP($B1138,calc_data,K$14+1,0),0)</f>
        <v/>
      </c>
      <c r="L1138" s="141">
        <f>IFERROR(VLOOKUP($B1138,calc_data,L$14+1,0),0)</f>
        <v/>
      </c>
      <c r="M1138" s="177">
        <f>IFERROR(VLOOKUP($B1138,calc_data,M$14+1,0),0)</f>
        <v/>
      </c>
      <c r="N1138" s="177">
        <f>IFERROR(VLOOKUP($B1138,calc_data,N$14+1,0),0)</f>
        <v/>
      </c>
      <c r="O1138" s="45" t="n"/>
      <c r="Q1138" s="57">
        <f>IF(K1138&gt;0,"показать","скрыть")</f>
        <v/>
      </c>
    </row>
    <row r="1139" ht="15.75" customHeight="1">
      <c r="B1139" s="182" t="n">
        <v>1123</v>
      </c>
      <c r="C1139" s="182">
        <f>IFERROR(VLOOKUP($B1139,calc_data,C$14+1,0),0)</f>
        <v/>
      </c>
      <c r="D1139" s="182">
        <f>IFERROR(VLOOKUP($B1139,calc_data,D$14+1,0),0)</f>
        <v/>
      </c>
      <c r="E1139" s="183">
        <f>IFERROR(VLOOKUP($B1139,calc_data,E$14+1,0),0)</f>
        <v/>
      </c>
      <c r="F1139" s="182">
        <f>IFERROR(VLOOKUP($B1139,calc_data,F$14+1,0),0)</f>
        <v/>
      </c>
      <c r="G1139" s="141">
        <f>IFERROR(VLOOKUP($B1139,calc_data,G$14+1,0),0)</f>
        <v/>
      </c>
      <c r="H1139" s="141">
        <f>IFERROR(VLOOKUP($B1139,calc_data,H$14+1,0),0)</f>
        <v/>
      </c>
      <c r="I1139" s="142">
        <f>IFERROR(VLOOKUP($B1139,calc_data,I$14+1,0),0)</f>
        <v/>
      </c>
      <c r="J1139" s="141">
        <f>IFERROR(VLOOKUP($B1139,calc_data,J$14+1,0),0)</f>
        <v/>
      </c>
      <c r="K1139" s="141">
        <f>IFERROR(VLOOKUP($B1139,calc_data,K$14+1,0),0)</f>
        <v/>
      </c>
      <c r="L1139" s="141">
        <f>IFERROR(VLOOKUP($B1139,calc_data,L$14+1,0),0)</f>
        <v/>
      </c>
      <c r="M1139" s="177">
        <f>IFERROR(VLOOKUP($B1139,calc_data,M$14+1,0),0)</f>
        <v/>
      </c>
      <c r="N1139" s="177">
        <f>IFERROR(VLOOKUP($B1139,calc_data,N$14+1,0),0)</f>
        <v/>
      </c>
      <c r="O1139" s="45" t="n"/>
      <c r="Q1139" s="57">
        <f>IF(K1139&gt;0,"показать","скрыть")</f>
        <v/>
      </c>
    </row>
    <row r="1140" ht="15.75" customHeight="1">
      <c r="B1140" s="182" t="n">
        <v>1124</v>
      </c>
      <c r="C1140" s="182">
        <f>IFERROR(VLOOKUP($B1140,calc_data,C$14+1,0),0)</f>
        <v/>
      </c>
      <c r="D1140" s="182">
        <f>IFERROR(VLOOKUP($B1140,calc_data,D$14+1,0),0)</f>
        <v/>
      </c>
      <c r="E1140" s="183">
        <f>IFERROR(VLOOKUP($B1140,calc_data,E$14+1,0),0)</f>
        <v/>
      </c>
      <c r="F1140" s="182">
        <f>IFERROR(VLOOKUP($B1140,calc_data,F$14+1,0),0)</f>
        <v/>
      </c>
      <c r="G1140" s="141">
        <f>IFERROR(VLOOKUP($B1140,calc_data,G$14+1,0),0)</f>
        <v/>
      </c>
      <c r="H1140" s="141">
        <f>IFERROR(VLOOKUP($B1140,calc_data,H$14+1,0),0)</f>
        <v/>
      </c>
      <c r="I1140" s="142">
        <f>IFERROR(VLOOKUP($B1140,calc_data,I$14+1,0),0)</f>
        <v/>
      </c>
      <c r="J1140" s="141">
        <f>IFERROR(VLOOKUP($B1140,calc_data,J$14+1,0),0)</f>
        <v/>
      </c>
      <c r="K1140" s="141">
        <f>IFERROR(VLOOKUP($B1140,calc_data,K$14+1,0),0)</f>
        <v/>
      </c>
      <c r="L1140" s="141">
        <f>IFERROR(VLOOKUP($B1140,calc_data,L$14+1,0),0)</f>
        <v/>
      </c>
      <c r="M1140" s="177">
        <f>IFERROR(VLOOKUP($B1140,calc_data,M$14+1,0),0)</f>
        <v/>
      </c>
      <c r="N1140" s="177">
        <f>IFERROR(VLOOKUP($B1140,calc_data,N$14+1,0),0)</f>
        <v/>
      </c>
      <c r="O1140" s="45" t="n"/>
      <c r="Q1140" s="57">
        <f>IF(K1140&gt;0,"показать","скрыть")</f>
        <v/>
      </c>
    </row>
    <row r="1141" ht="15.75" customHeight="1">
      <c r="B1141" s="182" t="n">
        <v>1125</v>
      </c>
      <c r="C1141" s="182">
        <f>IFERROR(VLOOKUP($B1141,calc_data,C$14+1,0),0)</f>
        <v/>
      </c>
      <c r="D1141" s="182">
        <f>IFERROR(VLOOKUP($B1141,calc_data,D$14+1,0),0)</f>
        <v/>
      </c>
      <c r="E1141" s="183">
        <f>IFERROR(VLOOKUP($B1141,calc_data,E$14+1,0),0)</f>
        <v/>
      </c>
      <c r="F1141" s="182">
        <f>IFERROR(VLOOKUP($B1141,calc_data,F$14+1,0),0)</f>
        <v/>
      </c>
      <c r="G1141" s="141">
        <f>IFERROR(VLOOKUP($B1141,calc_data,G$14+1,0),0)</f>
        <v/>
      </c>
      <c r="H1141" s="141">
        <f>IFERROR(VLOOKUP($B1141,calc_data,H$14+1,0),0)</f>
        <v/>
      </c>
      <c r="I1141" s="142">
        <f>IFERROR(VLOOKUP($B1141,calc_data,I$14+1,0),0)</f>
        <v/>
      </c>
      <c r="J1141" s="141">
        <f>IFERROR(VLOOKUP($B1141,calc_data,J$14+1,0),0)</f>
        <v/>
      </c>
      <c r="K1141" s="141">
        <f>IFERROR(VLOOKUP($B1141,calc_data,K$14+1,0),0)</f>
        <v/>
      </c>
      <c r="L1141" s="141">
        <f>IFERROR(VLOOKUP($B1141,calc_data,L$14+1,0),0)</f>
        <v/>
      </c>
      <c r="M1141" s="177">
        <f>IFERROR(VLOOKUP($B1141,calc_data,M$14+1,0),0)</f>
        <v/>
      </c>
      <c r="N1141" s="177">
        <f>IFERROR(VLOOKUP($B1141,calc_data,N$14+1,0),0)</f>
        <v/>
      </c>
      <c r="O1141" s="45" t="n"/>
      <c r="Q1141" s="57">
        <f>IF(K1141&gt;0,"показать","скрыть")</f>
        <v/>
      </c>
    </row>
    <row r="1142" ht="15.75" customHeight="1">
      <c r="B1142" s="182" t="n">
        <v>1126</v>
      </c>
      <c r="C1142" s="182">
        <f>IFERROR(VLOOKUP($B1142,calc_data,C$14+1,0),0)</f>
        <v/>
      </c>
      <c r="D1142" s="182">
        <f>IFERROR(VLOOKUP($B1142,calc_data,D$14+1,0),0)</f>
        <v/>
      </c>
      <c r="E1142" s="183">
        <f>IFERROR(VLOOKUP($B1142,calc_data,E$14+1,0),0)</f>
        <v/>
      </c>
      <c r="F1142" s="182">
        <f>IFERROR(VLOOKUP($B1142,calc_data,F$14+1,0),0)</f>
        <v/>
      </c>
      <c r="G1142" s="141">
        <f>IFERROR(VLOOKUP($B1142,calc_data,G$14+1,0),0)</f>
        <v/>
      </c>
      <c r="H1142" s="141">
        <f>IFERROR(VLOOKUP($B1142,calc_data,H$14+1,0),0)</f>
        <v/>
      </c>
      <c r="I1142" s="142">
        <f>IFERROR(VLOOKUP($B1142,calc_data,I$14+1,0),0)</f>
        <v/>
      </c>
      <c r="J1142" s="141">
        <f>IFERROR(VLOOKUP($B1142,calc_data,J$14+1,0),0)</f>
        <v/>
      </c>
      <c r="K1142" s="141">
        <f>IFERROR(VLOOKUP($B1142,calc_data,K$14+1,0),0)</f>
        <v/>
      </c>
      <c r="L1142" s="141">
        <f>IFERROR(VLOOKUP($B1142,calc_data,L$14+1,0),0)</f>
        <v/>
      </c>
      <c r="M1142" s="177">
        <f>IFERROR(VLOOKUP($B1142,calc_data,M$14+1,0),0)</f>
        <v/>
      </c>
      <c r="N1142" s="177">
        <f>IFERROR(VLOOKUP($B1142,calc_data,N$14+1,0),0)</f>
        <v/>
      </c>
      <c r="O1142" s="45" t="n"/>
      <c r="Q1142" s="57">
        <f>IF(K1142&gt;0,"показать","скрыть")</f>
        <v/>
      </c>
    </row>
    <row r="1143" ht="15.75" customHeight="1">
      <c r="B1143" s="182" t="n">
        <v>1127</v>
      </c>
      <c r="C1143" s="182">
        <f>IFERROR(VLOOKUP($B1143,calc_data,C$14+1,0),0)</f>
        <v/>
      </c>
      <c r="D1143" s="182">
        <f>IFERROR(VLOOKUP($B1143,calc_data,D$14+1,0),0)</f>
        <v/>
      </c>
      <c r="E1143" s="183">
        <f>IFERROR(VLOOKUP($B1143,calc_data,E$14+1,0),0)</f>
        <v/>
      </c>
      <c r="F1143" s="182">
        <f>IFERROR(VLOOKUP($B1143,calc_data,F$14+1,0),0)</f>
        <v/>
      </c>
      <c r="G1143" s="141">
        <f>IFERROR(VLOOKUP($B1143,calc_data,G$14+1,0),0)</f>
        <v/>
      </c>
      <c r="H1143" s="141">
        <f>IFERROR(VLOOKUP($B1143,calc_data,H$14+1,0),0)</f>
        <v/>
      </c>
      <c r="I1143" s="142">
        <f>IFERROR(VLOOKUP($B1143,calc_data,I$14+1,0),0)</f>
        <v/>
      </c>
      <c r="J1143" s="141">
        <f>IFERROR(VLOOKUP($B1143,calc_data,J$14+1,0),0)</f>
        <v/>
      </c>
      <c r="K1143" s="141">
        <f>IFERROR(VLOOKUP($B1143,calc_data,K$14+1,0),0)</f>
        <v/>
      </c>
      <c r="L1143" s="141">
        <f>IFERROR(VLOOKUP($B1143,calc_data,L$14+1,0),0)</f>
        <v/>
      </c>
      <c r="M1143" s="177">
        <f>IFERROR(VLOOKUP($B1143,calc_data,M$14+1,0),0)</f>
        <v/>
      </c>
      <c r="N1143" s="177">
        <f>IFERROR(VLOOKUP($B1143,calc_data,N$14+1,0),0)</f>
        <v/>
      </c>
      <c r="O1143" s="45" t="n"/>
      <c r="Q1143" s="57">
        <f>IF(K1143&gt;0,"показать","скрыть")</f>
        <v/>
      </c>
    </row>
    <row r="1144" ht="15.75" customHeight="1">
      <c r="B1144" s="182" t="n">
        <v>1128</v>
      </c>
      <c r="C1144" s="182">
        <f>IFERROR(VLOOKUP($B1144,calc_data,C$14+1,0),0)</f>
        <v/>
      </c>
      <c r="D1144" s="182">
        <f>IFERROR(VLOOKUP($B1144,calc_data,D$14+1,0),0)</f>
        <v/>
      </c>
      <c r="E1144" s="183">
        <f>IFERROR(VLOOKUP($B1144,calc_data,E$14+1,0),0)</f>
        <v/>
      </c>
      <c r="F1144" s="182">
        <f>IFERROR(VLOOKUP($B1144,calc_data,F$14+1,0),0)</f>
        <v/>
      </c>
      <c r="G1144" s="141">
        <f>IFERROR(VLOOKUP($B1144,calc_data,G$14+1,0),0)</f>
        <v/>
      </c>
      <c r="H1144" s="141">
        <f>IFERROR(VLOOKUP($B1144,calc_data,H$14+1,0),0)</f>
        <v/>
      </c>
      <c r="I1144" s="142">
        <f>IFERROR(VLOOKUP($B1144,calc_data,I$14+1,0),0)</f>
        <v/>
      </c>
      <c r="J1144" s="141">
        <f>IFERROR(VLOOKUP($B1144,calc_data,J$14+1,0),0)</f>
        <v/>
      </c>
      <c r="K1144" s="141">
        <f>IFERROR(VLOOKUP($B1144,calc_data,K$14+1,0),0)</f>
        <v/>
      </c>
      <c r="L1144" s="141">
        <f>IFERROR(VLOOKUP($B1144,calc_data,L$14+1,0),0)</f>
        <v/>
      </c>
      <c r="M1144" s="177">
        <f>IFERROR(VLOOKUP($B1144,calc_data,M$14+1,0),0)</f>
        <v/>
      </c>
      <c r="N1144" s="177">
        <f>IFERROR(VLOOKUP($B1144,calc_data,N$14+1,0),0)</f>
        <v/>
      </c>
      <c r="O1144" s="45" t="n"/>
      <c r="Q1144" s="57">
        <f>IF(K1144&gt;0,"показать","скрыть")</f>
        <v/>
      </c>
    </row>
    <row r="1145" ht="15.75" customHeight="1">
      <c r="B1145" s="182" t="n">
        <v>1129</v>
      </c>
      <c r="C1145" s="182">
        <f>IFERROR(VLOOKUP($B1145,calc_data,C$14+1,0),0)</f>
        <v/>
      </c>
      <c r="D1145" s="182">
        <f>IFERROR(VLOOKUP($B1145,calc_data,D$14+1,0),0)</f>
        <v/>
      </c>
      <c r="E1145" s="183">
        <f>IFERROR(VLOOKUP($B1145,calc_data,E$14+1,0),0)</f>
        <v/>
      </c>
      <c r="F1145" s="182">
        <f>IFERROR(VLOOKUP($B1145,calc_data,F$14+1,0),0)</f>
        <v/>
      </c>
      <c r="G1145" s="141">
        <f>IFERROR(VLOOKUP($B1145,calc_data,G$14+1,0),0)</f>
        <v/>
      </c>
      <c r="H1145" s="141">
        <f>IFERROR(VLOOKUP($B1145,calc_data,H$14+1,0),0)</f>
        <v/>
      </c>
      <c r="I1145" s="142">
        <f>IFERROR(VLOOKUP($B1145,calc_data,I$14+1,0),0)</f>
        <v/>
      </c>
      <c r="J1145" s="141">
        <f>IFERROR(VLOOKUP($B1145,calc_data,J$14+1,0),0)</f>
        <v/>
      </c>
      <c r="K1145" s="141">
        <f>IFERROR(VLOOKUP($B1145,calc_data,K$14+1,0),0)</f>
        <v/>
      </c>
      <c r="L1145" s="141">
        <f>IFERROR(VLOOKUP($B1145,calc_data,L$14+1,0),0)</f>
        <v/>
      </c>
      <c r="M1145" s="177">
        <f>IFERROR(VLOOKUP($B1145,calc_data,M$14+1,0),0)</f>
        <v/>
      </c>
      <c r="N1145" s="177">
        <f>IFERROR(VLOOKUP($B1145,calc_data,N$14+1,0),0)</f>
        <v/>
      </c>
      <c r="O1145" s="45" t="n"/>
      <c r="Q1145" s="57">
        <f>IF(K1145&gt;0,"показать","скрыть")</f>
        <v/>
      </c>
    </row>
    <row r="1146" ht="15.75" customHeight="1">
      <c r="B1146" s="182" t="n">
        <v>1130</v>
      </c>
      <c r="C1146" s="182">
        <f>IFERROR(VLOOKUP($B1146,calc_data,C$14+1,0),0)</f>
        <v/>
      </c>
      <c r="D1146" s="182">
        <f>IFERROR(VLOOKUP($B1146,calc_data,D$14+1,0),0)</f>
        <v/>
      </c>
      <c r="E1146" s="183">
        <f>IFERROR(VLOOKUP($B1146,calc_data,E$14+1,0),0)</f>
        <v/>
      </c>
      <c r="F1146" s="182">
        <f>IFERROR(VLOOKUP($B1146,calc_data,F$14+1,0),0)</f>
        <v/>
      </c>
      <c r="G1146" s="141">
        <f>IFERROR(VLOOKUP($B1146,calc_data,G$14+1,0),0)</f>
        <v/>
      </c>
      <c r="H1146" s="141">
        <f>IFERROR(VLOOKUP($B1146,calc_data,H$14+1,0),0)</f>
        <v/>
      </c>
      <c r="I1146" s="142">
        <f>IFERROR(VLOOKUP($B1146,calc_data,I$14+1,0),0)</f>
        <v/>
      </c>
      <c r="J1146" s="141">
        <f>IFERROR(VLOOKUP($B1146,calc_data,J$14+1,0),0)</f>
        <v/>
      </c>
      <c r="K1146" s="141">
        <f>IFERROR(VLOOKUP($B1146,calc_data,K$14+1,0),0)</f>
        <v/>
      </c>
      <c r="L1146" s="141">
        <f>IFERROR(VLOOKUP($B1146,calc_data,L$14+1,0),0)</f>
        <v/>
      </c>
      <c r="M1146" s="177">
        <f>IFERROR(VLOOKUP($B1146,calc_data,M$14+1,0),0)</f>
        <v/>
      </c>
      <c r="N1146" s="177">
        <f>IFERROR(VLOOKUP($B1146,calc_data,N$14+1,0),0)</f>
        <v/>
      </c>
      <c r="O1146" s="45" t="n"/>
      <c r="Q1146" s="57">
        <f>IF(K1146&gt;0,"показать","скрыть")</f>
        <v/>
      </c>
    </row>
    <row r="1147" ht="15.75" customHeight="1">
      <c r="B1147" s="182" t="n">
        <v>1131</v>
      </c>
      <c r="C1147" s="182">
        <f>IFERROR(VLOOKUP($B1147,calc_data,C$14+1,0),0)</f>
        <v/>
      </c>
      <c r="D1147" s="182">
        <f>IFERROR(VLOOKUP($B1147,calc_data,D$14+1,0),0)</f>
        <v/>
      </c>
      <c r="E1147" s="183">
        <f>IFERROR(VLOOKUP($B1147,calc_data,E$14+1,0),0)</f>
        <v/>
      </c>
      <c r="F1147" s="182">
        <f>IFERROR(VLOOKUP($B1147,calc_data,F$14+1,0),0)</f>
        <v/>
      </c>
      <c r="G1147" s="141">
        <f>IFERROR(VLOOKUP($B1147,calc_data,G$14+1,0),0)</f>
        <v/>
      </c>
      <c r="H1147" s="141">
        <f>IFERROR(VLOOKUP($B1147,calc_data,H$14+1,0),0)</f>
        <v/>
      </c>
      <c r="I1147" s="142">
        <f>IFERROR(VLOOKUP($B1147,calc_data,I$14+1,0),0)</f>
        <v/>
      </c>
      <c r="J1147" s="141">
        <f>IFERROR(VLOOKUP($B1147,calc_data,J$14+1,0),0)</f>
        <v/>
      </c>
      <c r="K1147" s="141">
        <f>IFERROR(VLOOKUP($B1147,calc_data,K$14+1,0),0)</f>
        <v/>
      </c>
      <c r="L1147" s="141">
        <f>IFERROR(VLOOKUP($B1147,calc_data,L$14+1,0),0)</f>
        <v/>
      </c>
      <c r="M1147" s="177">
        <f>IFERROR(VLOOKUP($B1147,calc_data,M$14+1,0),0)</f>
        <v/>
      </c>
      <c r="N1147" s="177">
        <f>IFERROR(VLOOKUP($B1147,calc_data,N$14+1,0),0)</f>
        <v/>
      </c>
      <c r="O1147" s="45" t="n"/>
      <c r="Q1147" s="57">
        <f>IF(K1147&gt;0,"показать","скрыть")</f>
        <v/>
      </c>
    </row>
    <row r="1148" ht="15.75" customHeight="1">
      <c r="B1148" s="182" t="n">
        <v>1132</v>
      </c>
      <c r="C1148" s="182">
        <f>IFERROR(VLOOKUP($B1148,calc_data,C$14+1,0),0)</f>
        <v/>
      </c>
      <c r="D1148" s="182">
        <f>IFERROR(VLOOKUP($B1148,calc_data,D$14+1,0),0)</f>
        <v/>
      </c>
      <c r="E1148" s="183">
        <f>IFERROR(VLOOKUP($B1148,calc_data,E$14+1,0),0)</f>
        <v/>
      </c>
      <c r="F1148" s="182">
        <f>IFERROR(VLOOKUP($B1148,calc_data,F$14+1,0),0)</f>
        <v/>
      </c>
      <c r="G1148" s="141">
        <f>IFERROR(VLOOKUP($B1148,calc_data,G$14+1,0),0)</f>
        <v/>
      </c>
      <c r="H1148" s="141">
        <f>IFERROR(VLOOKUP($B1148,calc_data,H$14+1,0),0)</f>
        <v/>
      </c>
      <c r="I1148" s="142">
        <f>IFERROR(VLOOKUP($B1148,calc_data,I$14+1,0),0)</f>
        <v/>
      </c>
      <c r="J1148" s="141">
        <f>IFERROR(VLOOKUP($B1148,calc_data,J$14+1,0),0)</f>
        <v/>
      </c>
      <c r="K1148" s="141">
        <f>IFERROR(VLOOKUP($B1148,calc_data,K$14+1,0),0)</f>
        <v/>
      </c>
      <c r="L1148" s="141">
        <f>IFERROR(VLOOKUP($B1148,calc_data,L$14+1,0),0)</f>
        <v/>
      </c>
      <c r="M1148" s="177">
        <f>IFERROR(VLOOKUP($B1148,calc_data,M$14+1,0),0)</f>
        <v/>
      </c>
      <c r="N1148" s="177">
        <f>IFERROR(VLOOKUP($B1148,calc_data,N$14+1,0),0)</f>
        <v/>
      </c>
      <c r="O1148" s="45" t="n"/>
      <c r="Q1148" s="57">
        <f>IF(K1148&gt;0,"показать","скрыть")</f>
        <v/>
      </c>
    </row>
    <row r="1149" ht="15.75" customHeight="1">
      <c r="B1149" s="182" t="n">
        <v>1133</v>
      </c>
      <c r="C1149" s="182">
        <f>IFERROR(VLOOKUP($B1149,calc_data,C$14+1,0),0)</f>
        <v/>
      </c>
      <c r="D1149" s="182">
        <f>IFERROR(VLOOKUP($B1149,calc_data,D$14+1,0),0)</f>
        <v/>
      </c>
      <c r="E1149" s="183">
        <f>IFERROR(VLOOKUP($B1149,calc_data,E$14+1,0),0)</f>
        <v/>
      </c>
      <c r="F1149" s="182">
        <f>IFERROR(VLOOKUP($B1149,calc_data,F$14+1,0),0)</f>
        <v/>
      </c>
      <c r="G1149" s="141">
        <f>IFERROR(VLOOKUP($B1149,calc_data,G$14+1,0),0)</f>
        <v/>
      </c>
      <c r="H1149" s="141">
        <f>IFERROR(VLOOKUP($B1149,calc_data,H$14+1,0),0)</f>
        <v/>
      </c>
      <c r="I1149" s="142">
        <f>IFERROR(VLOOKUP($B1149,calc_data,I$14+1,0),0)</f>
        <v/>
      </c>
      <c r="J1149" s="141">
        <f>IFERROR(VLOOKUP($B1149,calc_data,J$14+1,0),0)</f>
        <v/>
      </c>
      <c r="K1149" s="141">
        <f>IFERROR(VLOOKUP($B1149,calc_data,K$14+1,0),0)</f>
        <v/>
      </c>
      <c r="L1149" s="141">
        <f>IFERROR(VLOOKUP($B1149,calc_data,L$14+1,0),0)</f>
        <v/>
      </c>
      <c r="M1149" s="177">
        <f>IFERROR(VLOOKUP($B1149,calc_data,M$14+1,0),0)</f>
        <v/>
      </c>
      <c r="N1149" s="177">
        <f>IFERROR(VLOOKUP($B1149,calc_data,N$14+1,0),0)</f>
        <v/>
      </c>
      <c r="O1149" s="45" t="n"/>
      <c r="Q1149" s="57">
        <f>IF(K1149&gt;0,"показать","скрыть")</f>
        <v/>
      </c>
    </row>
    <row r="1150" ht="15.75" customHeight="1">
      <c r="B1150" s="182" t="n">
        <v>1134</v>
      </c>
      <c r="C1150" s="182">
        <f>IFERROR(VLOOKUP($B1150,calc_data,C$14+1,0),0)</f>
        <v/>
      </c>
      <c r="D1150" s="182">
        <f>IFERROR(VLOOKUP($B1150,calc_data,D$14+1,0),0)</f>
        <v/>
      </c>
      <c r="E1150" s="183">
        <f>IFERROR(VLOOKUP($B1150,calc_data,E$14+1,0),0)</f>
        <v/>
      </c>
      <c r="F1150" s="182">
        <f>IFERROR(VLOOKUP($B1150,calc_data,F$14+1,0),0)</f>
        <v/>
      </c>
      <c r="G1150" s="141">
        <f>IFERROR(VLOOKUP($B1150,calc_data,G$14+1,0),0)</f>
        <v/>
      </c>
      <c r="H1150" s="141">
        <f>IFERROR(VLOOKUP($B1150,calc_data,H$14+1,0),0)</f>
        <v/>
      </c>
      <c r="I1150" s="142">
        <f>IFERROR(VLOOKUP($B1150,calc_data,I$14+1,0),0)</f>
        <v/>
      </c>
      <c r="J1150" s="141">
        <f>IFERROR(VLOOKUP($B1150,calc_data,J$14+1,0),0)</f>
        <v/>
      </c>
      <c r="K1150" s="141">
        <f>IFERROR(VLOOKUP($B1150,calc_data,K$14+1,0),0)</f>
        <v/>
      </c>
      <c r="L1150" s="141">
        <f>IFERROR(VLOOKUP($B1150,calc_data,L$14+1,0),0)</f>
        <v/>
      </c>
      <c r="M1150" s="177">
        <f>IFERROR(VLOOKUP($B1150,calc_data,M$14+1,0),0)</f>
        <v/>
      </c>
      <c r="N1150" s="177">
        <f>IFERROR(VLOOKUP($B1150,calc_data,N$14+1,0),0)</f>
        <v/>
      </c>
      <c r="O1150" s="45" t="n"/>
      <c r="Q1150" s="57">
        <f>IF(K1150&gt;0,"показать","скрыть")</f>
        <v/>
      </c>
    </row>
    <row r="1151" ht="15.75" customHeight="1">
      <c r="B1151" s="182" t="n">
        <v>1135</v>
      </c>
      <c r="C1151" s="182">
        <f>IFERROR(VLOOKUP($B1151,calc_data,C$14+1,0),0)</f>
        <v/>
      </c>
      <c r="D1151" s="182">
        <f>IFERROR(VLOOKUP($B1151,calc_data,D$14+1,0),0)</f>
        <v/>
      </c>
      <c r="E1151" s="183">
        <f>IFERROR(VLOOKUP($B1151,calc_data,E$14+1,0),0)</f>
        <v/>
      </c>
      <c r="F1151" s="182">
        <f>IFERROR(VLOOKUP($B1151,calc_data,F$14+1,0),0)</f>
        <v/>
      </c>
      <c r="G1151" s="141">
        <f>IFERROR(VLOOKUP($B1151,calc_data,G$14+1,0),0)</f>
        <v/>
      </c>
      <c r="H1151" s="141">
        <f>IFERROR(VLOOKUP($B1151,calc_data,H$14+1,0),0)</f>
        <v/>
      </c>
      <c r="I1151" s="142">
        <f>IFERROR(VLOOKUP($B1151,calc_data,I$14+1,0),0)</f>
        <v/>
      </c>
      <c r="J1151" s="141">
        <f>IFERROR(VLOOKUP($B1151,calc_data,J$14+1,0),0)</f>
        <v/>
      </c>
      <c r="K1151" s="141">
        <f>IFERROR(VLOOKUP($B1151,calc_data,K$14+1,0),0)</f>
        <v/>
      </c>
      <c r="L1151" s="141">
        <f>IFERROR(VLOOKUP($B1151,calc_data,L$14+1,0),0)</f>
        <v/>
      </c>
      <c r="M1151" s="177">
        <f>IFERROR(VLOOKUP($B1151,calc_data,M$14+1,0),0)</f>
        <v/>
      </c>
      <c r="N1151" s="177">
        <f>IFERROR(VLOOKUP($B1151,calc_data,N$14+1,0),0)</f>
        <v/>
      </c>
      <c r="O1151" s="45" t="n"/>
      <c r="Q1151" s="57">
        <f>IF(K1151&gt;0,"показать","скрыть")</f>
        <v/>
      </c>
    </row>
    <row r="1152" ht="15.75" customHeight="1">
      <c r="B1152" s="182" t="n">
        <v>1136</v>
      </c>
      <c r="C1152" s="182">
        <f>IFERROR(VLOOKUP($B1152,calc_data,C$14+1,0),0)</f>
        <v/>
      </c>
      <c r="D1152" s="182">
        <f>IFERROR(VLOOKUP($B1152,calc_data,D$14+1,0),0)</f>
        <v/>
      </c>
      <c r="E1152" s="183">
        <f>IFERROR(VLOOKUP($B1152,calc_data,E$14+1,0),0)</f>
        <v/>
      </c>
      <c r="F1152" s="182">
        <f>IFERROR(VLOOKUP($B1152,calc_data,F$14+1,0),0)</f>
        <v/>
      </c>
      <c r="G1152" s="141">
        <f>IFERROR(VLOOKUP($B1152,calc_data,G$14+1,0),0)</f>
        <v/>
      </c>
      <c r="H1152" s="141">
        <f>IFERROR(VLOOKUP($B1152,calc_data,H$14+1,0),0)</f>
        <v/>
      </c>
      <c r="I1152" s="142">
        <f>IFERROR(VLOOKUP($B1152,calc_data,I$14+1,0),0)</f>
        <v/>
      </c>
      <c r="J1152" s="141">
        <f>IFERROR(VLOOKUP($B1152,calc_data,J$14+1,0),0)</f>
        <v/>
      </c>
      <c r="K1152" s="141">
        <f>IFERROR(VLOOKUP($B1152,calc_data,K$14+1,0),0)</f>
        <v/>
      </c>
      <c r="L1152" s="141">
        <f>IFERROR(VLOOKUP($B1152,calc_data,L$14+1,0),0)</f>
        <v/>
      </c>
      <c r="M1152" s="177">
        <f>IFERROR(VLOOKUP($B1152,calc_data,M$14+1,0),0)</f>
        <v/>
      </c>
      <c r="N1152" s="177">
        <f>IFERROR(VLOOKUP($B1152,calc_data,N$14+1,0),0)</f>
        <v/>
      </c>
      <c r="O1152" s="45" t="n"/>
      <c r="Q1152" s="57">
        <f>IF(K1152&gt;0,"показать","скрыть")</f>
        <v/>
      </c>
    </row>
    <row r="1153" ht="15.75" customHeight="1">
      <c r="B1153" s="182" t="n">
        <v>1137</v>
      </c>
      <c r="C1153" s="182">
        <f>IFERROR(VLOOKUP($B1153,calc_data,C$14+1,0),0)</f>
        <v/>
      </c>
      <c r="D1153" s="182">
        <f>IFERROR(VLOOKUP($B1153,calc_data,D$14+1,0),0)</f>
        <v/>
      </c>
      <c r="E1153" s="183">
        <f>IFERROR(VLOOKUP($B1153,calc_data,E$14+1,0),0)</f>
        <v/>
      </c>
      <c r="F1153" s="182">
        <f>IFERROR(VLOOKUP($B1153,calc_data,F$14+1,0),0)</f>
        <v/>
      </c>
      <c r="G1153" s="141">
        <f>IFERROR(VLOOKUP($B1153,calc_data,G$14+1,0),0)</f>
        <v/>
      </c>
      <c r="H1153" s="141">
        <f>IFERROR(VLOOKUP($B1153,calc_data,H$14+1,0),0)</f>
        <v/>
      </c>
      <c r="I1153" s="142">
        <f>IFERROR(VLOOKUP($B1153,calc_data,I$14+1,0),0)</f>
        <v/>
      </c>
      <c r="J1153" s="141">
        <f>IFERROR(VLOOKUP($B1153,calc_data,J$14+1,0),0)</f>
        <v/>
      </c>
      <c r="K1153" s="141">
        <f>IFERROR(VLOOKUP($B1153,calc_data,K$14+1,0),0)</f>
        <v/>
      </c>
      <c r="L1153" s="141">
        <f>IFERROR(VLOOKUP($B1153,calc_data,L$14+1,0),0)</f>
        <v/>
      </c>
      <c r="M1153" s="177">
        <f>IFERROR(VLOOKUP($B1153,calc_data,M$14+1,0),0)</f>
        <v/>
      </c>
      <c r="N1153" s="177">
        <f>IFERROR(VLOOKUP($B1153,calc_data,N$14+1,0),0)</f>
        <v/>
      </c>
      <c r="O1153" s="45" t="n"/>
      <c r="Q1153" s="57">
        <f>IF(K1153&gt;0,"показать","скрыть")</f>
        <v/>
      </c>
    </row>
    <row r="1154" ht="15.75" customHeight="1">
      <c r="B1154" s="182" t="n">
        <v>1138</v>
      </c>
      <c r="C1154" s="182">
        <f>IFERROR(VLOOKUP($B1154,calc_data,C$14+1,0),0)</f>
        <v/>
      </c>
      <c r="D1154" s="182">
        <f>IFERROR(VLOOKUP($B1154,calc_data,D$14+1,0),0)</f>
        <v/>
      </c>
      <c r="E1154" s="183">
        <f>IFERROR(VLOOKUP($B1154,calc_data,E$14+1,0),0)</f>
        <v/>
      </c>
      <c r="F1154" s="182">
        <f>IFERROR(VLOOKUP($B1154,calc_data,F$14+1,0),0)</f>
        <v/>
      </c>
      <c r="G1154" s="141">
        <f>IFERROR(VLOOKUP($B1154,calc_data,G$14+1,0),0)</f>
        <v/>
      </c>
      <c r="H1154" s="141">
        <f>IFERROR(VLOOKUP($B1154,calc_data,H$14+1,0),0)</f>
        <v/>
      </c>
      <c r="I1154" s="142">
        <f>IFERROR(VLOOKUP($B1154,calc_data,I$14+1,0),0)</f>
        <v/>
      </c>
      <c r="J1154" s="141">
        <f>IFERROR(VLOOKUP($B1154,calc_data,J$14+1,0),0)</f>
        <v/>
      </c>
      <c r="K1154" s="141">
        <f>IFERROR(VLOOKUP($B1154,calc_data,K$14+1,0),0)</f>
        <v/>
      </c>
      <c r="L1154" s="141">
        <f>IFERROR(VLOOKUP($B1154,calc_data,L$14+1,0),0)</f>
        <v/>
      </c>
      <c r="M1154" s="177">
        <f>IFERROR(VLOOKUP($B1154,calc_data,M$14+1,0),0)</f>
        <v/>
      </c>
      <c r="N1154" s="177">
        <f>IFERROR(VLOOKUP($B1154,calc_data,N$14+1,0),0)</f>
        <v/>
      </c>
      <c r="O1154" s="45" t="n"/>
      <c r="Q1154" s="57">
        <f>IF(K1154&gt;0,"показать","скрыть")</f>
        <v/>
      </c>
    </row>
    <row r="1155" ht="15.75" customHeight="1">
      <c r="B1155" s="182" t="n">
        <v>1139</v>
      </c>
      <c r="C1155" s="182">
        <f>IFERROR(VLOOKUP($B1155,calc_data,C$14+1,0),0)</f>
        <v/>
      </c>
      <c r="D1155" s="182">
        <f>IFERROR(VLOOKUP($B1155,calc_data,D$14+1,0),0)</f>
        <v/>
      </c>
      <c r="E1155" s="183">
        <f>IFERROR(VLOOKUP($B1155,calc_data,E$14+1,0),0)</f>
        <v/>
      </c>
      <c r="F1155" s="182">
        <f>IFERROR(VLOOKUP($B1155,calc_data,F$14+1,0),0)</f>
        <v/>
      </c>
      <c r="G1155" s="141">
        <f>IFERROR(VLOOKUP($B1155,calc_data,G$14+1,0),0)</f>
        <v/>
      </c>
      <c r="H1155" s="141">
        <f>IFERROR(VLOOKUP($B1155,calc_data,H$14+1,0),0)</f>
        <v/>
      </c>
      <c r="I1155" s="142">
        <f>IFERROR(VLOOKUP($B1155,calc_data,I$14+1,0),0)</f>
        <v/>
      </c>
      <c r="J1155" s="141">
        <f>IFERROR(VLOOKUP($B1155,calc_data,J$14+1,0),0)</f>
        <v/>
      </c>
      <c r="K1155" s="141">
        <f>IFERROR(VLOOKUP($B1155,calc_data,K$14+1,0),0)</f>
        <v/>
      </c>
      <c r="L1155" s="141">
        <f>IFERROR(VLOOKUP($B1155,calc_data,L$14+1,0),0)</f>
        <v/>
      </c>
      <c r="M1155" s="177">
        <f>IFERROR(VLOOKUP($B1155,calc_data,M$14+1,0),0)</f>
        <v/>
      </c>
      <c r="N1155" s="177">
        <f>IFERROR(VLOOKUP($B1155,calc_data,N$14+1,0),0)</f>
        <v/>
      </c>
      <c r="O1155" s="45" t="n"/>
      <c r="Q1155" s="57">
        <f>IF(K1155&gt;0,"показать","скрыть")</f>
        <v/>
      </c>
    </row>
    <row r="1156" ht="15.75" customHeight="1">
      <c r="B1156" s="182" t="n">
        <v>1140</v>
      </c>
      <c r="C1156" s="182">
        <f>IFERROR(VLOOKUP($B1156,calc_data,C$14+1,0),0)</f>
        <v/>
      </c>
      <c r="D1156" s="182">
        <f>IFERROR(VLOOKUP($B1156,calc_data,D$14+1,0),0)</f>
        <v/>
      </c>
      <c r="E1156" s="183">
        <f>IFERROR(VLOOKUP($B1156,calc_data,E$14+1,0),0)</f>
        <v/>
      </c>
      <c r="F1156" s="182">
        <f>IFERROR(VLOOKUP($B1156,calc_data,F$14+1,0),0)</f>
        <v/>
      </c>
      <c r="G1156" s="141">
        <f>IFERROR(VLOOKUP($B1156,calc_data,G$14+1,0),0)</f>
        <v/>
      </c>
      <c r="H1156" s="141">
        <f>IFERROR(VLOOKUP($B1156,calc_data,H$14+1,0),0)</f>
        <v/>
      </c>
      <c r="I1156" s="142">
        <f>IFERROR(VLOOKUP($B1156,calc_data,I$14+1,0),0)</f>
        <v/>
      </c>
      <c r="J1156" s="141">
        <f>IFERROR(VLOOKUP($B1156,calc_data,J$14+1,0),0)</f>
        <v/>
      </c>
      <c r="K1156" s="141">
        <f>IFERROR(VLOOKUP($B1156,calc_data,K$14+1,0),0)</f>
        <v/>
      </c>
      <c r="L1156" s="141">
        <f>IFERROR(VLOOKUP($B1156,calc_data,L$14+1,0),0)</f>
        <v/>
      </c>
      <c r="M1156" s="177">
        <f>IFERROR(VLOOKUP($B1156,calc_data,M$14+1,0),0)</f>
        <v/>
      </c>
      <c r="N1156" s="177">
        <f>IFERROR(VLOOKUP($B1156,calc_data,N$14+1,0),0)</f>
        <v/>
      </c>
      <c r="O1156" s="45" t="n"/>
      <c r="Q1156" s="57">
        <f>IF(K1156&gt;0,"показать","скрыть")</f>
        <v/>
      </c>
    </row>
    <row r="1157" ht="15.75" customHeight="1">
      <c r="B1157" s="182" t="n">
        <v>1141</v>
      </c>
      <c r="C1157" s="182">
        <f>IFERROR(VLOOKUP($B1157,calc_data,C$14+1,0),0)</f>
        <v/>
      </c>
      <c r="D1157" s="182">
        <f>IFERROR(VLOOKUP($B1157,calc_data,D$14+1,0),0)</f>
        <v/>
      </c>
      <c r="E1157" s="183">
        <f>IFERROR(VLOOKUP($B1157,calc_data,E$14+1,0),0)</f>
        <v/>
      </c>
      <c r="F1157" s="182">
        <f>IFERROR(VLOOKUP($B1157,calc_data,F$14+1,0),0)</f>
        <v/>
      </c>
      <c r="G1157" s="141">
        <f>IFERROR(VLOOKUP($B1157,calc_data,G$14+1,0),0)</f>
        <v/>
      </c>
      <c r="H1157" s="141">
        <f>IFERROR(VLOOKUP($B1157,calc_data,H$14+1,0),0)</f>
        <v/>
      </c>
      <c r="I1157" s="142">
        <f>IFERROR(VLOOKUP($B1157,calc_data,I$14+1,0),0)</f>
        <v/>
      </c>
      <c r="J1157" s="141">
        <f>IFERROR(VLOOKUP($B1157,calc_data,J$14+1,0),0)</f>
        <v/>
      </c>
      <c r="K1157" s="141">
        <f>IFERROR(VLOOKUP($B1157,calc_data,K$14+1,0),0)</f>
        <v/>
      </c>
      <c r="L1157" s="141">
        <f>IFERROR(VLOOKUP($B1157,calc_data,L$14+1,0),0)</f>
        <v/>
      </c>
      <c r="M1157" s="177">
        <f>IFERROR(VLOOKUP($B1157,calc_data,M$14+1,0),0)</f>
        <v/>
      </c>
      <c r="N1157" s="177">
        <f>IFERROR(VLOOKUP($B1157,calc_data,N$14+1,0),0)</f>
        <v/>
      </c>
      <c r="O1157" s="45" t="n"/>
      <c r="Q1157" s="57">
        <f>IF(K1157&gt;0,"показать","скрыть")</f>
        <v/>
      </c>
    </row>
    <row r="1158" ht="15.75" customHeight="1">
      <c r="B1158" s="182" t="n">
        <v>1142</v>
      </c>
      <c r="C1158" s="182">
        <f>IFERROR(VLOOKUP($B1158,calc_data,C$14+1,0),0)</f>
        <v/>
      </c>
      <c r="D1158" s="182">
        <f>IFERROR(VLOOKUP($B1158,calc_data,D$14+1,0),0)</f>
        <v/>
      </c>
      <c r="E1158" s="183">
        <f>IFERROR(VLOOKUP($B1158,calc_data,E$14+1,0),0)</f>
        <v/>
      </c>
      <c r="F1158" s="182">
        <f>IFERROR(VLOOKUP($B1158,calc_data,F$14+1,0),0)</f>
        <v/>
      </c>
      <c r="G1158" s="141">
        <f>IFERROR(VLOOKUP($B1158,calc_data,G$14+1,0),0)</f>
        <v/>
      </c>
      <c r="H1158" s="141">
        <f>IFERROR(VLOOKUP($B1158,calc_data,H$14+1,0),0)</f>
        <v/>
      </c>
      <c r="I1158" s="142">
        <f>IFERROR(VLOOKUP($B1158,calc_data,I$14+1,0),0)</f>
        <v/>
      </c>
      <c r="J1158" s="141">
        <f>IFERROR(VLOOKUP($B1158,calc_data,J$14+1,0),0)</f>
        <v/>
      </c>
      <c r="K1158" s="141">
        <f>IFERROR(VLOOKUP($B1158,calc_data,K$14+1,0),0)</f>
        <v/>
      </c>
      <c r="L1158" s="141">
        <f>IFERROR(VLOOKUP($B1158,calc_data,L$14+1,0),0)</f>
        <v/>
      </c>
      <c r="M1158" s="177">
        <f>IFERROR(VLOOKUP($B1158,calc_data,M$14+1,0),0)</f>
        <v/>
      </c>
      <c r="N1158" s="177">
        <f>IFERROR(VLOOKUP($B1158,calc_data,N$14+1,0),0)</f>
        <v/>
      </c>
      <c r="O1158" s="45" t="n"/>
      <c r="Q1158" s="57">
        <f>IF(K1158&gt;0,"показать","скрыть")</f>
        <v/>
      </c>
    </row>
    <row r="1159" ht="15.75" customHeight="1">
      <c r="B1159" s="182" t="n">
        <v>1143</v>
      </c>
      <c r="C1159" s="182">
        <f>IFERROR(VLOOKUP($B1159,calc_data,C$14+1,0),0)</f>
        <v/>
      </c>
      <c r="D1159" s="182">
        <f>IFERROR(VLOOKUP($B1159,calc_data,D$14+1,0),0)</f>
        <v/>
      </c>
      <c r="E1159" s="183">
        <f>IFERROR(VLOOKUP($B1159,calc_data,E$14+1,0),0)</f>
        <v/>
      </c>
      <c r="F1159" s="182">
        <f>IFERROR(VLOOKUP($B1159,calc_data,F$14+1,0),0)</f>
        <v/>
      </c>
      <c r="G1159" s="141">
        <f>IFERROR(VLOOKUP($B1159,calc_data,G$14+1,0),0)</f>
        <v/>
      </c>
      <c r="H1159" s="141">
        <f>IFERROR(VLOOKUP($B1159,calc_data,H$14+1,0),0)</f>
        <v/>
      </c>
      <c r="I1159" s="142">
        <f>IFERROR(VLOOKUP($B1159,calc_data,I$14+1,0),0)</f>
        <v/>
      </c>
      <c r="J1159" s="141">
        <f>IFERROR(VLOOKUP($B1159,calc_data,J$14+1,0),0)</f>
        <v/>
      </c>
      <c r="K1159" s="141">
        <f>IFERROR(VLOOKUP($B1159,calc_data,K$14+1,0),0)</f>
        <v/>
      </c>
      <c r="L1159" s="141">
        <f>IFERROR(VLOOKUP($B1159,calc_data,L$14+1,0),0)</f>
        <v/>
      </c>
      <c r="M1159" s="177">
        <f>IFERROR(VLOOKUP($B1159,calc_data,M$14+1,0),0)</f>
        <v/>
      </c>
      <c r="N1159" s="177">
        <f>IFERROR(VLOOKUP($B1159,calc_data,N$14+1,0),0)</f>
        <v/>
      </c>
      <c r="O1159" s="45" t="n"/>
      <c r="Q1159" s="57">
        <f>IF(K1159&gt;0,"показать","скрыть")</f>
        <v/>
      </c>
    </row>
    <row r="1160" ht="15.75" customHeight="1">
      <c r="B1160" s="182" t="n">
        <v>1144</v>
      </c>
      <c r="C1160" s="182">
        <f>IFERROR(VLOOKUP($B1160,calc_data,C$14+1,0),0)</f>
        <v/>
      </c>
      <c r="D1160" s="182">
        <f>IFERROR(VLOOKUP($B1160,calc_data,D$14+1,0),0)</f>
        <v/>
      </c>
      <c r="E1160" s="183">
        <f>IFERROR(VLOOKUP($B1160,calc_data,E$14+1,0),0)</f>
        <v/>
      </c>
      <c r="F1160" s="182">
        <f>IFERROR(VLOOKUP($B1160,calc_data,F$14+1,0),0)</f>
        <v/>
      </c>
      <c r="G1160" s="141">
        <f>IFERROR(VLOOKUP($B1160,calc_data,G$14+1,0),0)</f>
        <v/>
      </c>
      <c r="H1160" s="141">
        <f>IFERROR(VLOOKUP($B1160,calc_data,H$14+1,0),0)</f>
        <v/>
      </c>
      <c r="I1160" s="142">
        <f>IFERROR(VLOOKUP($B1160,calc_data,I$14+1,0),0)</f>
        <v/>
      </c>
      <c r="J1160" s="141">
        <f>IFERROR(VLOOKUP($B1160,calc_data,J$14+1,0),0)</f>
        <v/>
      </c>
      <c r="K1160" s="141">
        <f>IFERROR(VLOOKUP($B1160,calc_data,K$14+1,0),0)</f>
        <v/>
      </c>
      <c r="L1160" s="141">
        <f>IFERROR(VLOOKUP($B1160,calc_data,L$14+1,0),0)</f>
        <v/>
      </c>
      <c r="M1160" s="177">
        <f>IFERROR(VLOOKUP($B1160,calc_data,M$14+1,0),0)</f>
        <v/>
      </c>
      <c r="N1160" s="177">
        <f>IFERROR(VLOOKUP($B1160,calc_data,N$14+1,0),0)</f>
        <v/>
      </c>
      <c r="O1160" s="45" t="n"/>
      <c r="Q1160" s="57">
        <f>IF(K1160&gt;0,"показать","скрыть")</f>
        <v/>
      </c>
    </row>
    <row r="1161" ht="15.75" customHeight="1">
      <c r="B1161" s="182" t="n">
        <v>1145</v>
      </c>
      <c r="C1161" s="182">
        <f>IFERROR(VLOOKUP($B1161,calc_data,C$14+1,0),0)</f>
        <v/>
      </c>
      <c r="D1161" s="182">
        <f>IFERROR(VLOOKUP($B1161,calc_data,D$14+1,0),0)</f>
        <v/>
      </c>
      <c r="E1161" s="183">
        <f>IFERROR(VLOOKUP($B1161,calc_data,E$14+1,0),0)</f>
        <v/>
      </c>
      <c r="F1161" s="182">
        <f>IFERROR(VLOOKUP($B1161,calc_data,F$14+1,0),0)</f>
        <v/>
      </c>
      <c r="G1161" s="141">
        <f>IFERROR(VLOOKUP($B1161,calc_data,G$14+1,0),0)</f>
        <v/>
      </c>
      <c r="H1161" s="141">
        <f>IFERROR(VLOOKUP($B1161,calc_data,H$14+1,0),0)</f>
        <v/>
      </c>
      <c r="I1161" s="142">
        <f>IFERROR(VLOOKUP($B1161,calc_data,I$14+1,0),0)</f>
        <v/>
      </c>
      <c r="J1161" s="141">
        <f>IFERROR(VLOOKUP($B1161,calc_data,J$14+1,0),0)</f>
        <v/>
      </c>
      <c r="K1161" s="141">
        <f>IFERROR(VLOOKUP($B1161,calc_data,K$14+1,0),0)</f>
        <v/>
      </c>
      <c r="L1161" s="141">
        <f>IFERROR(VLOOKUP($B1161,calc_data,L$14+1,0),0)</f>
        <v/>
      </c>
      <c r="M1161" s="177">
        <f>IFERROR(VLOOKUP($B1161,calc_data,M$14+1,0),0)</f>
        <v/>
      </c>
      <c r="N1161" s="177">
        <f>IFERROR(VLOOKUP($B1161,calc_data,N$14+1,0),0)</f>
        <v/>
      </c>
      <c r="O1161" s="45" t="n"/>
      <c r="Q1161" s="57">
        <f>IF(K1161&gt;0,"показать","скрыть")</f>
        <v/>
      </c>
    </row>
    <row r="1162" ht="15.75" customHeight="1">
      <c r="B1162" s="182" t="n">
        <v>1146</v>
      </c>
      <c r="C1162" s="182">
        <f>IFERROR(VLOOKUP($B1162,calc_data,C$14+1,0),0)</f>
        <v/>
      </c>
      <c r="D1162" s="182">
        <f>IFERROR(VLOOKUP($B1162,calc_data,D$14+1,0),0)</f>
        <v/>
      </c>
      <c r="E1162" s="183">
        <f>IFERROR(VLOOKUP($B1162,calc_data,E$14+1,0),0)</f>
        <v/>
      </c>
      <c r="F1162" s="182">
        <f>IFERROR(VLOOKUP($B1162,calc_data,F$14+1,0),0)</f>
        <v/>
      </c>
      <c r="G1162" s="141">
        <f>IFERROR(VLOOKUP($B1162,calc_data,G$14+1,0),0)</f>
        <v/>
      </c>
      <c r="H1162" s="141">
        <f>IFERROR(VLOOKUP($B1162,calc_data,H$14+1,0),0)</f>
        <v/>
      </c>
      <c r="I1162" s="142">
        <f>IFERROR(VLOOKUP($B1162,calc_data,I$14+1,0),0)</f>
        <v/>
      </c>
      <c r="J1162" s="141">
        <f>IFERROR(VLOOKUP($B1162,calc_data,J$14+1,0),0)</f>
        <v/>
      </c>
      <c r="K1162" s="141">
        <f>IFERROR(VLOOKUP($B1162,calc_data,K$14+1,0),0)</f>
        <v/>
      </c>
      <c r="L1162" s="141">
        <f>IFERROR(VLOOKUP($B1162,calc_data,L$14+1,0),0)</f>
        <v/>
      </c>
      <c r="M1162" s="177">
        <f>IFERROR(VLOOKUP($B1162,calc_data,M$14+1,0),0)</f>
        <v/>
      </c>
      <c r="N1162" s="177">
        <f>IFERROR(VLOOKUP($B1162,calc_data,N$14+1,0),0)</f>
        <v/>
      </c>
      <c r="O1162" s="45" t="n"/>
      <c r="Q1162" s="57">
        <f>IF(K1162&gt;0,"показать","скрыть")</f>
        <v/>
      </c>
    </row>
    <row r="1163" ht="15.75" customHeight="1">
      <c r="B1163" s="182" t="n">
        <v>1147</v>
      </c>
      <c r="C1163" s="182">
        <f>IFERROR(VLOOKUP($B1163,calc_data,C$14+1,0),0)</f>
        <v/>
      </c>
      <c r="D1163" s="182">
        <f>IFERROR(VLOOKUP($B1163,calc_data,D$14+1,0),0)</f>
        <v/>
      </c>
      <c r="E1163" s="183">
        <f>IFERROR(VLOOKUP($B1163,calc_data,E$14+1,0),0)</f>
        <v/>
      </c>
      <c r="F1163" s="182">
        <f>IFERROR(VLOOKUP($B1163,calc_data,F$14+1,0),0)</f>
        <v/>
      </c>
      <c r="G1163" s="141">
        <f>IFERROR(VLOOKUP($B1163,calc_data,G$14+1,0),0)</f>
        <v/>
      </c>
      <c r="H1163" s="141">
        <f>IFERROR(VLOOKUP($B1163,calc_data,H$14+1,0),0)</f>
        <v/>
      </c>
      <c r="I1163" s="142">
        <f>IFERROR(VLOOKUP($B1163,calc_data,I$14+1,0),0)</f>
        <v/>
      </c>
      <c r="J1163" s="141">
        <f>IFERROR(VLOOKUP($B1163,calc_data,J$14+1,0),0)</f>
        <v/>
      </c>
      <c r="K1163" s="141">
        <f>IFERROR(VLOOKUP($B1163,calc_data,K$14+1,0),0)</f>
        <v/>
      </c>
      <c r="L1163" s="141">
        <f>IFERROR(VLOOKUP($B1163,calc_data,L$14+1,0),0)</f>
        <v/>
      </c>
      <c r="M1163" s="177">
        <f>IFERROR(VLOOKUP($B1163,calc_data,M$14+1,0),0)</f>
        <v/>
      </c>
      <c r="N1163" s="177">
        <f>IFERROR(VLOOKUP($B1163,calc_data,N$14+1,0),0)</f>
        <v/>
      </c>
      <c r="O1163" s="45" t="n"/>
      <c r="Q1163" s="57">
        <f>IF(K1163&gt;0,"показать","скрыть")</f>
        <v/>
      </c>
    </row>
    <row r="1164" ht="15.75" customHeight="1">
      <c r="B1164" s="182" t="n">
        <v>1148</v>
      </c>
      <c r="C1164" s="182">
        <f>IFERROR(VLOOKUP($B1164,calc_data,C$14+1,0),0)</f>
        <v/>
      </c>
      <c r="D1164" s="182">
        <f>IFERROR(VLOOKUP($B1164,calc_data,D$14+1,0),0)</f>
        <v/>
      </c>
      <c r="E1164" s="183">
        <f>IFERROR(VLOOKUP($B1164,calc_data,E$14+1,0),0)</f>
        <v/>
      </c>
      <c r="F1164" s="182">
        <f>IFERROR(VLOOKUP($B1164,calc_data,F$14+1,0),0)</f>
        <v/>
      </c>
      <c r="G1164" s="141">
        <f>IFERROR(VLOOKUP($B1164,calc_data,G$14+1,0),0)</f>
        <v/>
      </c>
      <c r="H1164" s="141">
        <f>IFERROR(VLOOKUP($B1164,calc_data,H$14+1,0),0)</f>
        <v/>
      </c>
      <c r="I1164" s="142">
        <f>IFERROR(VLOOKUP($B1164,calc_data,I$14+1,0),0)</f>
        <v/>
      </c>
      <c r="J1164" s="141">
        <f>IFERROR(VLOOKUP($B1164,calc_data,J$14+1,0),0)</f>
        <v/>
      </c>
      <c r="K1164" s="141">
        <f>IFERROR(VLOOKUP($B1164,calc_data,K$14+1,0),0)</f>
        <v/>
      </c>
      <c r="L1164" s="141">
        <f>IFERROR(VLOOKUP($B1164,calc_data,L$14+1,0),0)</f>
        <v/>
      </c>
      <c r="M1164" s="177">
        <f>IFERROR(VLOOKUP($B1164,calc_data,M$14+1,0),0)</f>
        <v/>
      </c>
      <c r="N1164" s="177">
        <f>IFERROR(VLOOKUP($B1164,calc_data,N$14+1,0),0)</f>
        <v/>
      </c>
      <c r="O1164" s="45" t="n"/>
      <c r="Q1164" s="57">
        <f>IF(K1164&gt;0,"показать","скрыть")</f>
        <v/>
      </c>
    </row>
    <row r="1165" ht="15.75" customHeight="1">
      <c r="B1165" s="182" t="n">
        <v>1149</v>
      </c>
      <c r="C1165" s="182">
        <f>IFERROR(VLOOKUP($B1165,calc_data,C$14+1,0),0)</f>
        <v/>
      </c>
      <c r="D1165" s="182">
        <f>IFERROR(VLOOKUP($B1165,calc_data,D$14+1,0),0)</f>
        <v/>
      </c>
      <c r="E1165" s="183">
        <f>IFERROR(VLOOKUP($B1165,calc_data,E$14+1,0),0)</f>
        <v/>
      </c>
      <c r="F1165" s="182">
        <f>IFERROR(VLOOKUP($B1165,calc_data,F$14+1,0),0)</f>
        <v/>
      </c>
      <c r="G1165" s="141">
        <f>IFERROR(VLOOKUP($B1165,calc_data,G$14+1,0),0)</f>
        <v/>
      </c>
      <c r="H1165" s="141">
        <f>IFERROR(VLOOKUP($B1165,calc_data,H$14+1,0),0)</f>
        <v/>
      </c>
      <c r="I1165" s="142">
        <f>IFERROR(VLOOKUP($B1165,calc_data,I$14+1,0),0)</f>
        <v/>
      </c>
      <c r="J1165" s="141">
        <f>IFERROR(VLOOKUP($B1165,calc_data,J$14+1,0),0)</f>
        <v/>
      </c>
      <c r="K1165" s="141">
        <f>IFERROR(VLOOKUP($B1165,calc_data,K$14+1,0),0)</f>
        <v/>
      </c>
      <c r="L1165" s="141">
        <f>IFERROR(VLOOKUP($B1165,calc_data,L$14+1,0),0)</f>
        <v/>
      </c>
      <c r="M1165" s="177">
        <f>IFERROR(VLOOKUP($B1165,calc_data,M$14+1,0),0)</f>
        <v/>
      </c>
      <c r="N1165" s="177">
        <f>IFERROR(VLOOKUP($B1165,calc_data,N$14+1,0),0)</f>
        <v/>
      </c>
      <c r="O1165" s="45" t="n"/>
      <c r="Q1165" s="57">
        <f>IF(K1165&gt;0,"показать","скрыть")</f>
        <v/>
      </c>
    </row>
    <row r="1166" ht="15.75" customHeight="1">
      <c r="B1166" s="182" t="n">
        <v>1150</v>
      </c>
      <c r="C1166" s="182">
        <f>IFERROR(VLOOKUP($B1166,calc_data,C$14+1,0),0)</f>
        <v/>
      </c>
      <c r="D1166" s="182">
        <f>IFERROR(VLOOKUP($B1166,calc_data,D$14+1,0),0)</f>
        <v/>
      </c>
      <c r="E1166" s="183">
        <f>IFERROR(VLOOKUP($B1166,calc_data,E$14+1,0),0)</f>
        <v/>
      </c>
      <c r="F1166" s="182">
        <f>IFERROR(VLOOKUP($B1166,calc_data,F$14+1,0),0)</f>
        <v/>
      </c>
      <c r="G1166" s="141">
        <f>IFERROR(VLOOKUP($B1166,calc_data,G$14+1,0),0)</f>
        <v/>
      </c>
      <c r="H1166" s="141">
        <f>IFERROR(VLOOKUP($B1166,calc_data,H$14+1,0),0)</f>
        <v/>
      </c>
      <c r="I1166" s="142">
        <f>IFERROR(VLOOKUP($B1166,calc_data,I$14+1,0),0)</f>
        <v/>
      </c>
      <c r="J1166" s="141">
        <f>IFERROR(VLOOKUP($B1166,calc_data,J$14+1,0),0)</f>
        <v/>
      </c>
      <c r="K1166" s="141">
        <f>IFERROR(VLOOKUP($B1166,calc_data,K$14+1,0),0)</f>
        <v/>
      </c>
      <c r="L1166" s="141">
        <f>IFERROR(VLOOKUP($B1166,calc_data,L$14+1,0),0)</f>
        <v/>
      </c>
      <c r="M1166" s="177">
        <f>IFERROR(VLOOKUP($B1166,calc_data,M$14+1,0),0)</f>
        <v/>
      </c>
      <c r="N1166" s="177">
        <f>IFERROR(VLOOKUP($B1166,calc_data,N$14+1,0),0)</f>
        <v/>
      </c>
      <c r="O1166" s="45" t="n"/>
      <c r="Q1166" s="57">
        <f>IF(K1166&gt;0,"показать","скрыть")</f>
        <v/>
      </c>
    </row>
    <row r="1167" ht="15.75" customHeight="1">
      <c r="B1167" s="182" t="n">
        <v>1151</v>
      </c>
      <c r="C1167" s="182">
        <f>IFERROR(VLOOKUP($B1167,calc_data,C$14+1,0),0)</f>
        <v/>
      </c>
      <c r="D1167" s="182">
        <f>IFERROR(VLOOKUP($B1167,calc_data,D$14+1,0),0)</f>
        <v/>
      </c>
      <c r="E1167" s="183">
        <f>IFERROR(VLOOKUP($B1167,calc_data,E$14+1,0),0)</f>
        <v/>
      </c>
      <c r="F1167" s="182">
        <f>IFERROR(VLOOKUP($B1167,calc_data,F$14+1,0),0)</f>
        <v/>
      </c>
      <c r="G1167" s="141">
        <f>IFERROR(VLOOKUP($B1167,calc_data,G$14+1,0),0)</f>
        <v/>
      </c>
      <c r="H1167" s="141">
        <f>IFERROR(VLOOKUP($B1167,calc_data,H$14+1,0),0)</f>
        <v/>
      </c>
      <c r="I1167" s="142">
        <f>IFERROR(VLOOKUP($B1167,calc_data,I$14+1,0),0)</f>
        <v/>
      </c>
      <c r="J1167" s="141">
        <f>IFERROR(VLOOKUP($B1167,calc_data,J$14+1,0),0)</f>
        <v/>
      </c>
      <c r="K1167" s="141">
        <f>IFERROR(VLOOKUP($B1167,calc_data,K$14+1,0),0)</f>
        <v/>
      </c>
      <c r="L1167" s="141">
        <f>IFERROR(VLOOKUP($B1167,calc_data,L$14+1,0),0)</f>
        <v/>
      </c>
      <c r="M1167" s="177">
        <f>IFERROR(VLOOKUP($B1167,calc_data,M$14+1,0),0)</f>
        <v/>
      </c>
      <c r="N1167" s="177">
        <f>IFERROR(VLOOKUP($B1167,calc_data,N$14+1,0),0)</f>
        <v/>
      </c>
      <c r="O1167" s="45" t="n"/>
      <c r="Q1167" s="57">
        <f>IF(K1167&gt;0,"показать","скрыть")</f>
        <v/>
      </c>
    </row>
    <row r="1168" ht="15.75" customHeight="1">
      <c r="B1168" s="182" t="n">
        <v>1152</v>
      </c>
      <c r="C1168" s="182">
        <f>IFERROR(VLOOKUP($B1168,calc_data,C$14+1,0),0)</f>
        <v/>
      </c>
      <c r="D1168" s="182">
        <f>IFERROR(VLOOKUP($B1168,calc_data,D$14+1,0),0)</f>
        <v/>
      </c>
      <c r="E1168" s="183">
        <f>IFERROR(VLOOKUP($B1168,calc_data,E$14+1,0),0)</f>
        <v/>
      </c>
      <c r="F1168" s="182">
        <f>IFERROR(VLOOKUP($B1168,calc_data,F$14+1,0),0)</f>
        <v/>
      </c>
      <c r="G1168" s="141">
        <f>IFERROR(VLOOKUP($B1168,calc_data,G$14+1,0),0)</f>
        <v/>
      </c>
      <c r="H1168" s="141">
        <f>IFERROR(VLOOKUP($B1168,calc_data,H$14+1,0),0)</f>
        <v/>
      </c>
      <c r="I1168" s="142">
        <f>IFERROR(VLOOKUP($B1168,calc_data,I$14+1,0),0)</f>
        <v/>
      </c>
      <c r="J1168" s="141">
        <f>IFERROR(VLOOKUP($B1168,calc_data,J$14+1,0),0)</f>
        <v/>
      </c>
      <c r="K1168" s="141">
        <f>IFERROR(VLOOKUP($B1168,calc_data,K$14+1,0),0)</f>
        <v/>
      </c>
      <c r="L1168" s="141">
        <f>IFERROR(VLOOKUP($B1168,calc_data,L$14+1,0),0)</f>
        <v/>
      </c>
      <c r="M1168" s="177">
        <f>IFERROR(VLOOKUP($B1168,calc_data,M$14+1,0),0)</f>
        <v/>
      </c>
      <c r="N1168" s="177">
        <f>IFERROR(VLOOKUP($B1168,calc_data,N$14+1,0),0)</f>
        <v/>
      </c>
      <c r="O1168" s="45" t="n"/>
      <c r="Q1168" s="57">
        <f>IF(K1168&gt;0,"показать","скрыть")</f>
        <v/>
      </c>
    </row>
    <row r="1169" ht="15.75" customHeight="1">
      <c r="B1169" s="182" t="n">
        <v>1153</v>
      </c>
      <c r="C1169" s="182">
        <f>IFERROR(VLOOKUP($B1169,calc_data,C$14+1,0),0)</f>
        <v/>
      </c>
      <c r="D1169" s="182">
        <f>IFERROR(VLOOKUP($B1169,calc_data,D$14+1,0),0)</f>
        <v/>
      </c>
      <c r="E1169" s="183">
        <f>IFERROR(VLOOKUP($B1169,calc_data,E$14+1,0),0)</f>
        <v/>
      </c>
      <c r="F1169" s="182">
        <f>IFERROR(VLOOKUP($B1169,calc_data,F$14+1,0),0)</f>
        <v/>
      </c>
      <c r="G1169" s="141">
        <f>IFERROR(VLOOKUP($B1169,calc_data,G$14+1,0),0)</f>
        <v/>
      </c>
      <c r="H1169" s="141">
        <f>IFERROR(VLOOKUP($B1169,calc_data,H$14+1,0),0)</f>
        <v/>
      </c>
      <c r="I1169" s="142">
        <f>IFERROR(VLOOKUP($B1169,calc_data,I$14+1,0),0)</f>
        <v/>
      </c>
      <c r="J1169" s="141">
        <f>IFERROR(VLOOKUP($B1169,calc_data,J$14+1,0),0)</f>
        <v/>
      </c>
      <c r="K1169" s="141">
        <f>IFERROR(VLOOKUP($B1169,calc_data,K$14+1,0),0)</f>
        <v/>
      </c>
      <c r="L1169" s="141">
        <f>IFERROR(VLOOKUP($B1169,calc_data,L$14+1,0),0)</f>
        <v/>
      </c>
      <c r="M1169" s="177">
        <f>IFERROR(VLOOKUP($B1169,calc_data,M$14+1,0),0)</f>
        <v/>
      </c>
      <c r="N1169" s="177">
        <f>IFERROR(VLOOKUP($B1169,calc_data,N$14+1,0),0)</f>
        <v/>
      </c>
      <c r="O1169" s="45" t="n"/>
      <c r="Q1169" s="57">
        <f>IF(K1169&gt;0,"показать","скрыть")</f>
        <v/>
      </c>
    </row>
    <row r="1170" ht="15.75" customHeight="1">
      <c r="B1170" s="182" t="n">
        <v>1154</v>
      </c>
      <c r="C1170" s="182">
        <f>IFERROR(VLOOKUP($B1170,calc_data,C$14+1,0),0)</f>
        <v/>
      </c>
      <c r="D1170" s="182">
        <f>IFERROR(VLOOKUP($B1170,calc_data,D$14+1,0),0)</f>
        <v/>
      </c>
      <c r="E1170" s="183">
        <f>IFERROR(VLOOKUP($B1170,calc_data,E$14+1,0),0)</f>
        <v/>
      </c>
      <c r="F1170" s="182">
        <f>IFERROR(VLOOKUP($B1170,calc_data,F$14+1,0),0)</f>
        <v/>
      </c>
      <c r="G1170" s="141">
        <f>IFERROR(VLOOKUP($B1170,calc_data,G$14+1,0),0)</f>
        <v/>
      </c>
      <c r="H1170" s="141">
        <f>IFERROR(VLOOKUP($B1170,calc_data,H$14+1,0),0)</f>
        <v/>
      </c>
      <c r="I1170" s="142">
        <f>IFERROR(VLOOKUP($B1170,calc_data,I$14+1,0),0)</f>
        <v/>
      </c>
      <c r="J1170" s="141">
        <f>IFERROR(VLOOKUP($B1170,calc_data,J$14+1,0),0)</f>
        <v/>
      </c>
      <c r="K1170" s="141">
        <f>IFERROR(VLOOKUP($B1170,calc_data,K$14+1,0),0)</f>
        <v/>
      </c>
      <c r="L1170" s="141">
        <f>IFERROR(VLOOKUP($B1170,calc_data,L$14+1,0),0)</f>
        <v/>
      </c>
      <c r="M1170" s="177">
        <f>IFERROR(VLOOKUP($B1170,calc_data,M$14+1,0),0)</f>
        <v/>
      </c>
      <c r="N1170" s="177">
        <f>IFERROR(VLOOKUP($B1170,calc_data,N$14+1,0),0)</f>
        <v/>
      </c>
      <c r="O1170" s="45" t="n"/>
      <c r="Q1170" s="57">
        <f>IF(K1170&gt;0,"показать","скрыть")</f>
        <v/>
      </c>
    </row>
    <row r="1171" ht="15.75" customHeight="1">
      <c r="B1171" s="182" t="n">
        <v>1155</v>
      </c>
      <c r="C1171" s="182">
        <f>IFERROR(VLOOKUP($B1171,calc_data,C$14+1,0),0)</f>
        <v/>
      </c>
      <c r="D1171" s="182">
        <f>IFERROR(VLOOKUP($B1171,calc_data,D$14+1,0),0)</f>
        <v/>
      </c>
      <c r="E1171" s="183">
        <f>IFERROR(VLOOKUP($B1171,calc_data,E$14+1,0),0)</f>
        <v/>
      </c>
      <c r="F1171" s="182">
        <f>IFERROR(VLOOKUP($B1171,calc_data,F$14+1,0),0)</f>
        <v/>
      </c>
      <c r="G1171" s="141">
        <f>IFERROR(VLOOKUP($B1171,calc_data,G$14+1,0),0)</f>
        <v/>
      </c>
      <c r="H1171" s="141">
        <f>IFERROR(VLOOKUP($B1171,calc_data,H$14+1,0),0)</f>
        <v/>
      </c>
      <c r="I1171" s="142">
        <f>IFERROR(VLOOKUP($B1171,calc_data,I$14+1,0),0)</f>
        <v/>
      </c>
      <c r="J1171" s="141">
        <f>IFERROR(VLOOKUP($B1171,calc_data,J$14+1,0),0)</f>
        <v/>
      </c>
      <c r="K1171" s="141">
        <f>IFERROR(VLOOKUP($B1171,calc_data,K$14+1,0),0)</f>
        <v/>
      </c>
      <c r="L1171" s="141">
        <f>IFERROR(VLOOKUP($B1171,calc_data,L$14+1,0),0)</f>
        <v/>
      </c>
      <c r="M1171" s="177">
        <f>IFERROR(VLOOKUP($B1171,calc_data,M$14+1,0),0)</f>
        <v/>
      </c>
      <c r="N1171" s="177">
        <f>IFERROR(VLOOKUP($B1171,calc_data,N$14+1,0),0)</f>
        <v/>
      </c>
      <c r="O1171" s="45" t="n"/>
      <c r="Q1171" s="57">
        <f>IF(K1171&gt;0,"показать","скрыть")</f>
        <v/>
      </c>
    </row>
    <row r="1172" ht="15.75" customHeight="1">
      <c r="B1172" s="182" t="n">
        <v>1156</v>
      </c>
      <c r="C1172" s="182">
        <f>IFERROR(VLOOKUP($B1172,calc_data,C$14+1,0),0)</f>
        <v/>
      </c>
      <c r="D1172" s="182">
        <f>IFERROR(VLOOKUP($B1172,calc_data,D$14+1,0),0)</f>
        <v/>
      </c>
      <c r="E1172" s="183">
        <f>IFERROR(VLOOKUP($B1172,calc_data,E$14+1,0),0)</f>
        <v/>
      </c>
      <c r="F1172" s="182">
        <f>IFERROR(VLOOKUP($B1172,calc_data,F$14+1,0),0)</f>
        <v/>
      </c>
      <c r="G1172" s="141">
        <f>IFERROR(VLOOKUP($B1172,calc_data,G$14+1,0),0)</f>
        <v/>
      </c>
      <c r="H1172" s="141">
        <f>IFERROR(VLOOKUP($B1172,calc_data,H$14+1,0),0)</f>
        <v/>
      </c>
      <c r="I1172" s="142">
        <f>IFERROR(VLOOKUP($B1172,calc_data,I$14+1,0),0)</f>
        <v/>
      </c>
      <c r="J1172" s="141">
        <f>IFERROR(VLOOKUP($B1172,calc_data,J$14+1,0),0)</f>
        <v/>
      </c>
      <c r="K1172" s="141">
        <f>IFERROR(VLOOKUP($B1172,calc_data,K$14+1,0),0)</f>
        <v/>
      </c>
      <c r="L1172" s="141">
        <f>IFERROR(VLOOKUP($B1172,calc_data,L$14+1,0),0)</f>
        <v/>
      </c>
      <c r="M1172" s="177">
        <f>IFERROR(VLOOKUP($B1172,calc_data,M$14+1,0),0)</f>
        <v/>
      </c>
      <c r="N1172" s="177">
        <f>IFERROR(VLOOKUP($B1172,calc_data,N$14+1,0),0)</f>
        <v/>
      </c>
      <c r="O1172" s="45" t="n"/>
      <c r="Q1172" s="57">
        <f>IF(K1172&gt;0,"показать","скрыть")</f>
        <v/>
      </c>
    </row>
    <row r="1173" ht="15.75" customHeight="1">
      <c r="B1173" s="182" t="n">
        <v>1157</v>
      </c>
      <c r="C1173" s="182">
        <f>IFERROR(VLOOKUP($B1173,calc_data,C$14+1,0),0)</f>
        <v/>
      </c>
      <c r="D1173" s="182">
        <f>IFERROR(VLOOKUP($B1173,calc_data,D$14+1,0),0)</f>
        <v/>
      </c>
      <c r="E1173" s="183">
        <f>IFERROR(VLOOKUP($B1173,calc_data,E$14+1,0),0)</f>
        <v/>
      </c>
      <c r="F1173" s="182">
        <f>IFERROR(VLOOKUP($B1173,calc_data,F$14+1,0),0)</f>
        <v/>
      </c>
      <c r="G1173" s="141">
        <f>IFERROR(VLOOKUP($B1173,calc_data,G$14+1,0),0)</f>
        <v/>
      </c>
      <c r="H1173" s="141">
        <f>IFERROR(VLOOKUP($B1173,calc_data,H$14+1,0),0)</f>
        <v/>
      </c>
      <c r="I1173" s="142">
        <f>IFERROR(VLOOKUP($B1173,calc_data,I$14+1,0),0)</f>
        <v/>
      </c>
      <c r="J1173" s="141">
        <f>IFERROR(VLOOKUP($B1173,calc_data,J$14+1,0),0)</f>
        <v/>
      </c>
      <c r="K1173" s="141">
        <f>IFERROR(VLOOKUP($B1173,calc_data,K$14+1,0),0)</f>
        <v/>
      </c>
      <c r="L1173" s="141">
        <f>IFERROR(VLOOKUP($B1173,calc_data,L$14+1,0),0)</f>
        <v/>
      </c>
      <c r="M1173" s="177">
        <f>IFERROR(VLOOKUP($B1173,calc_data,M$14+1,0),0)</f>
        <v/>
      </c>
      <c r="N1173" s="177">
        <f>IFERROR(VLOOKUP($B1173,calc_data,N$14+1,0),0)</f>
        <v/>
      </c>
      <c r="O1173" s="45" t="n"/>
      <c r="Q1173" s="57">
        <f>IF(K1173&gt;0,"показать","скрыть")</f>
        <v/>
      </c>
    </row>
    <row r="1174" ht="15.75" customHeight="1">
      <c r="B1174" s="182" t="n">
        <v>1158</v>
      </c>
      <c r="C1174" s="182">
        <f>IFERROR(VLOOKUP($B1174,calc_data,C$14+1,0),0)</f>
        <v/>
      </c>
      <c r="D1174" s="182">
        <f>IFERROR(VLOOKUP($B1174,calc_data,D$14+1,0),0)</f>
        <v/>
      </c>
      <c r="E1174" s="183">
        <f>IFERROR(VLOOKUP($B1174,calc_data,E$14+1,0),0)</f>
        <v/>
      </c>
      <c r="F1174" s="182">
        <f>IFERROR(VLOOKUP($B1174,calc_data,F$14+1,0),0)</f>
        <v/>
      </c>
      <c r="G1174" s="141">
        <f>IFERROR(VLOOKUP($B1174,calc_data,G$14+1,0),0)</f>
        <v/>
      </c>
      <c r="H1174" s="141">
        <f>IFERROR(VLOOKUP($B1174,calc_data,H$14+1,0),0)</f>
        <v/>
      </c>
      <c r="I1174" s="142">
        <f>IFERROR(VLOOKUP($B1174,calc_data,I$14+1,0),0)</f>
        <v/>
      </c>
      <c r="J1174" s="141">
        <f>IFERROR(VLOOKUP($B1174,calc_data,J$14+1,0),0)</f>
        <v/>
      </c>
      <c r="K1174" s="141">
        <f>IFERROR(VLOOKUP($B1174,calc_data,K$14+1,0),0)</f>
        <v/>
      </c>
      <c r="L1174" s="141">
        <f>IFERROR(VLOOKUP($B1174,calc_data,L$14+1,0),0)</f>
        <v/>
      </c>
      <c r="M1174" s="177">
        <f>IFERROR(VLOOKUP($B1174,calc_data,M$14+1,0),0)</f>
        <v/>
      </c>
      <c r="N1174" s="177">
        <f>IFERROR(VLOOKUP($B1174,calc_data,N$14+1,0),0)</f>
        <v/>
      </c>
      <c r="O1174" s="45" t="n"/>
      <c r="Q1174" s="57">
        <f>IF(K1174&gt;0,"показать","скрыть")</f>
        <v/>
      </c>
    </row>
    <row r="1175" ht="15.75" customHeight="1">
      <c r="B1175" s="182" t="n">
        <v>1159</v>
      </c>
      <c r="C1175" s="182">
        <f>IFERROR(VLOOKUP($B1175,calc_data,C$14+1,0),0)</f>
        <v/>
      </c>
      <c r="D1175" s="182">
        <f>IFERROR(VLOOKUP($B1175,calc_data,D$14+1,0),0)</f>
        <v/>
      </c>
      <c r="E1175" s="183">
        <f>IFERROR(VLOOKUP($B1175,calc_data,E$14+1,0),0)</f>
        <v/>
      </c>
      <c r="F1175" s="182">
        <f>IFERROR(VLOOKUP($B1175,calc_data,F$14+1,0),0)</f>
        <v/>
      </c>
      <c r="G1175" s="141">
        <f>IFERROR(VLOOKUP($B1175,calc_data,G$14+1,0),0)</f>
        <v/>
      </c>
      <c r="H1175" s="141">
        <f>IFERROR(VLOOKUP($B1175,calc_data,H$14+1,0),0)</f>
        <v/>
      </c>
      <c r="I1175" s="142">
        <f>IFERROR(VLOOKUP($B1175,calc_data,I$14+1,0),0)</f>
        <v/>
      </c>
      <c r="J1175" s="141">
        <f>IFERROR(VLOOKUP($B1175,calc_data,J$14+1,0),0)</f>
        <v/>
      </c>
      <c r="K1175" s="141">
        <f>IFERROR(VLOOKUP($B1175,calc_data,K$14+1,0),0)</f>
        <v/>
      </c>
      <c r="L1175" s="141">
        <f>IFERROR(VLOOKUP($B1175,calc_data,L$14+1,0),0)</f>
        <v/>
      </c>
      <c r="M1175" s="177">
        <f>IFERROR(VLOOKUP($B1175,calc_data,M$14+1,0),0)</f>
        <v/>
      </c>
      <c r="N1175" s="177">
        <f>IFERROR(VLOOKUP($B1175,calc_data,N$14+1,0),0)</f>
        <v/>
      </c>
      <c r="O1175" s="45" t="n"/>
      <c r="Q1175" s="57">
        <f>IF(K1175&gt;0,"показать","скрыть")</f>
        <v/>
      </c>
    </row>
    <row r="1176" ht="15.75" customHeight="1">
      <c r="B1176" s="182" t="n">
        <v>1160</v>
      </c>
      <c r="C1176" s="182">
        <f>IFERROR(VLOOKUP($B1176,calc_data,C$14+1,0),0)</f>
        <v/>
      </c>
      <c r="D1176" s="182">
        <f>IFERROR(VLOOKUP($B1176,calc_data,D$14+1,0),0)</f>
        <v/>
      </c>
      <c r="E1176" s="183">
        <f>IFERROR(VLOOKUP($B1176,calc_data,E$14+1,0),0)</f>
        <v/>
      </c>
      <c r="F1176" s="182">
        <f>IFERROR(VLOOKUP($B1176,calc_data,F$14+1,0),0)</f>
        <v/>
      </c>
      <c r="G1176" s="141">
        <f>IFERROR(VLOOKUP($B1176,calc_data,G$14+1,0),0)</f>
        <v/>
      </c>
      <c r="H1176" s="141">
        <f>IFERROR(VLOOKUP($B1176,calc_data,H$14+1,0),0)</f>
        <v/>
      </c>
      <c r="I1176" s="142">
        <f>IFERROR(VLOOKUP($B1176,calc_data,I$14+1,0),0)</f>
        <v/>
      </c>
      <c r="J1176" s="141">
        <f>IFERROR(VLOOKUP($B1176,calc_data,J$14+1,0),0)</f>
        <v/>
      </c>
      <c r="K1176" s="141">
        <f>IFERROR(VLOOKUP($B1176,calc_data,K$14+1,0),0)</f>
        <v/>
      </c>
      <c r="L1176" s="141">
        <f>IFERROR(VLOOKUP($B1176,calc_data,L$14+1,0),0)</f>
        <v/>
      </c>
      <c r="M1176" s="177">
        <f>IFERROR(VLOOKUP($B1176,calc_data,M$14+1,0),0)</f>
        <v/>
      </c>
      <c r="N1176" s="177">
        <f>IFERROR(VLOOKUP($B1176,calc_data,N$14+1,0),0)</f>
        <v/>
      </c>
      <c r="O1176" s="45" t="n"/>
      <c r="Q1176" s="57">
        <f>IF(K1176&gt;0,"показать","скрыть")</f>
        <v/>
      </c>
    </row>
    <row r="1177" ht="15.75" customHeight="1">
      <c r="B1177" s="182" t="n">
        <v>1161</v>
      </c>
      <c r="C1177" s="182">
        <f>IFERROR(VLOOKUP($B1177,calc_data,C$14+1,0),0)</f>
        <v/>
      </c>
      <c r="D1177" s="182">
        <f>IFERROR(VLOOKUP($B1177,calc_data,D$14+1,0),0)</f>
        <v/>
      </c>
      <c r="E1177" s="183">
        <f>IFERROR(VLOOKUP($B1177,calc_data,E$14+1,0),0)</f>
        <v/>
      </c>
      <c r="F1177" s="182">
        <f>IFERROR(VLOOKUP($B1177,calc_data,F$14+1,0),0)</f>
        <v/>
      </c>
      <c r="G1177" s="141">
        <f>IFERROR(VLOOKUP($B1177,calc_data,G$14+1,0),0)</f>
        <v/>
      </c>
      <c r="H1177" s="141">
        <f>IFERROR(VLOOKUP($B1177,calc_data,H$14+1,0),0)</f>
        <v/>
      </c>
      <c r="I1177" s="142">
        <f>IFERROR(VLOOKUP($B1177,calc_data,I$14+1,0),0)</f>
        <v/>
      </c>
      <c r="J1177" s="141">
        <f>IFERROR(VLOOKUP($B1177,calc_data,J$14+1,0),0)</f>
        <v/>
      </c>
      <c r="K1177" s="141">
        <f>IFERROR(VLOOKUP($B1177,calc_data,K$14+1,0),0)</f>
        <v/>
      </c>
      <c r="L1177" s="141">
        <f>IFERROR(VLOOKUP($B1177,calc_data,L$14+1,0),0)</f>
        <v/>
      </c>
      <c r="M1177" s="177">
        <f>IFERROR(VLOOKUP($B1177,calc_data,M$14+1,0),0)</f>
        <v/>
      </c>
      <c r="N1177" s="177">
        <f>IFERROR(VLOOKUP($B1177,calc_data,N$14+1,0),0)</f>
        <v/>
      </c>
      <c r="O1177" s="45" t="n"/>
      <c r="Q1177" s="57">
        <f>IF(K1177&gt;0,"показать","скрыть")</f>
        <v/>
      </c>
    </row>
    <row r="1178" ht="15.75" customHeight="1">
      <c r="B1178" s="182" t="n">
        <v>1162</v>
      </c>
      <c r="C1178" s="182">
        <f>IFERROR(VLOOKUP($B1178,calc_data,C$14+1,0),0)</f>
        <v/>
      </c>
      <c r="D1178" s="182">
        <f>IFERROR(VLOOKUP($B1178,calc_data,D$14+1,0),0)</f>
        <v/>
      </c>
      <c r="E1178" s="183">
        <f>IFERROR(VLOOKUP($B1178,calc_data,E$14+1,0),0)</f>
        <v/>
      </c>
      <c r="F1178" s="182">
        <f>IFERROR(VLOOKUP($B1178,calc_data,F$14+1,0),0)</f>
        <v/>
      </c>
      <c r="G1178" s="141">
        <f>IFERROR(VLOOKUP($B1178,calc_data,G$14+1,0),0)</f>
        <v/>
      </c>
      <c r="H1178" s="141">
        <f>IFERROR(VLOOKUP($B1178,calc_data,H$14+1,0),0)</f>
        <v/>
      </c>
      <c r="I1178" s="142">
        <f>IFERROR(VLOOKUP($B1178,calc_data,I$14+1,0),0)</f>
        <v/>
      </c>
      <c r="J1178" s="141">
        <f>IFERROR(VLOOKUP($B1178,calc_data,J$14+1,0),0)</f>
        <v/>
      </c>
      <c r="K1178" s="141">
        <f>IFERROR(VLOOKUP($B1178,calc_data,K$14+1,0),0)</f>
        <v/>
      </c>
      <c r="L1178" s="141">
        <f>IFERROR(VLOOKUP($B1178,calc_data,L$14+1,0),0)</f>
        <v/>
      </c>
      <c r="M1178" s="177">
        <f>IFERROR(VLOOKUP($B1178,calc_data,M$14+1,0),0)</f>
        <v/>
      </c>
      <c r="N1178" s="177">
        <f>IFERROR(VLOOKUP($B1178,calc_data,N$14+1,0),0)</f>
        <v/>
      </c>
      <c r="O1178" s="45" t="n"/>
      <c r="Q1178" s="57">
        <f>IF(K1178&gt;0,"показать","скрыть")</f>
        <v/>
      </c>
    </row>
    <row r="1179" ht="15.75" customHeight="1">
      <c r="B1179" s="182" t="n">
        <v>1163</v>
      </c>
      <c r="C1179" s="182">
        <f>IFERROR(VLOOKUP($B1179,calc_data,C$14+1,0),0)</f>
        <v/>
      </c>
      <c r="D1179" s="182">
        <f>IFERROR(VLOOKUP($B1179,calc_data,D$14+1,0),0)</f>
        <v/>
      </c>
      <c r="E1179" s="183">
        <f>IFERROR(VLOOKUP($B1179,calc_data,E$14+1,0),0)</f>
        <v/>
      </c>
      <c r="F1179" s="182">
        <f>IFERROR(VLOOKUP($B1179,calc_data,F$14+1,0),0)</f>
        <v/>
      </c>
      <c r="G1179" s="141">
        <f>IFERROR(VLOOKUP($B1179,calc_data,G$14+1,0),0)</f>
        <v/>
      </c>
      <c r="H1179" s="141">
        <f>IFERROR(VLOOKUP($B1179,calc_data,H$14+1,0),0)</f>
        <v/>
      </c>
      <c r="I1179" s="142">
        <f>IFERROR(VLOOKUP($B1179,calc_data,I$14+1,0),0)</f>
        <v/>
      </c>
      <c r="J1179" s="141">
        <f>IFERROR(VLOOKUP($B1179,calc_data,J$14+1,0),0)</f>
        <v/>
      </c>
      <c r="K1179" s="141">
        <f>IFERROR(VLOOKUP($B1179,calc_data,K$14+1,0),0)</f>
        <v/>
      </c>
      <c r="L1179" s="141">
        <f>IFERROR(VLOOKUP($B1179,calc_data,L$14+1,0),0)</f>
        <v/>
      </c>
      <c r="M1179" s="177">
        <f>IFERROR(VLOOKUP($B1179,calc_data,M$14+1,0),0)</f>
        <v/>
      </c>
      <c r="N1179" s="177">
        <f>IFERROR(VLOOKUP($B1179,calc_data,N$14+1,0),0)</f>
        <v/>
      </c>
      <c r="O1179" s="45" t="n"/>
      <c r="Q1179" s="57">
        <f>IF(K1179&gt;0,"показать","скрыть")</f>
        <v/>
      </c>
    </row>
    <row r="1180" ht="15.75" customHeight="1">
      <c r="B1180" s="182" t="n">
        <v>1164</v>
      </c>
      <c r="C1180" s="182">
        <f>IFERROR(VLOOKUP($B1180,calc_data,C$14+1,0),0)</f>
        <v/>
      </c>
      <c r="D1180" s="182">
        <f>IFERROR(VLOOKUP($B1180,calc_data,D$14+1,0),0)</f>
        <v/>
      </c>
      <c r="E1180" s="183">
        <f>IFERROR(VLOOKUP($B1180,calc_data,E$14+1,0),0)</f>
        <v/>
      </c>
      <c r="F1180" s="182">
        <f>IFERROR(VLOOKUP($B1180,calc_data,F$14+1,0),0)</f>
        <v/>
      </c>
      <c r="G1180" s="141">
        <f>IFERROR(VLOOKUP($B1180,calc_data,G$14+1,0),0)</f>
        <v/>
      </c>
      <c r="H1180" s="141">
        <f>IFERROR(VLOOKUP($B1180,calc_data,H$14+1,0),0)</f>
        <v/>
      </c>
      <c r="I1180" s="142">
        <f>IFERROR(VLOOKUP($B1180,calc_data,I$14+1,0),0)</f>
        <v/>
      </c>
      <c r="J1180" s="141">
        <f>IFERROR(VLOOKUP($B1180,calc_data,J$14+1,0),0)</f>
        <v/>
      </c>
      <c r="K1180" s="141">
        <f>IFERROR(VLOOKUP($B1180,calc_data,K$14+1,0),0)</f>
        <v/>
      </c>
      <c r="L1180" s="141">
        <f>IFERROR(VLOOKUP($B1180,calc_data,L$14+1,0),0)</f>
        <v/>
      </c>
      <c r="M1180" s="177">
        <f>IFERROR(VLOOKUP($B1180,calc_data,M$14+1,0),0)</f>
        <v/>
      </c>
      <c r="N1180" s="177">
        <f>IFERROR(VLOOKUP($B1180,calc_data,N$14+1,0),0)</f>
        <v/>
      </c>
      <c r="O1180" s="45" t="n"/>
      <c r="Q1180" s="57">
        <f>IF(K1180&gt;0,"показать","скрыть")</f>
        <v/>
      </c>
    </row>
    <row r="1181" ht="15.75" customHeight="1">
      <c r="B1181" s="182" t="n">
        <v>1165</v>
      </c>
      <c r="C1181" s="182">
        <f>IFERROR(VLOOKUP($B1181,calc_data,C$14+1,0),0)</f>
        <v/>
      </c>
      <c r="D1181" s="182">
        <f>IFERROR(VLOOKUP($B1181,calc_data,D$14+1,0),0)</f>
        <v/>
      </c>
      <c r="E1181" s="183">
        <f>IFERROR(VLOOKUP($B1181,calc_data,E$14+1,0),0)</f>
        <v/>
      </c>
      <c r="F1181" s="182">
        <f>IFERROR(VLOOKUP($B1181,calc_data,F$14+1,0),0)</f>
        <v/>
      </c>
      <c r="G1181" s="141">
        <f>IFERROR(VLOOKUP($B1181,calc_data,G$14+1,0),0)</f>
        <v/>
      </c>
      <c r="H1181" s="141">
        <f>IFERROR(VLOOKUP($B1181,calc_data,H$14+1,0),0)</f>
        <v/>
      </c>
      <c r="I1181" s="142">
        <f>IFERROR(VLOOKUP($B1181,calc_data,I$14+1,0),0)</f>
        <v/>
      </c>
      <c r="J1181" s="141">
        <f>IFERROR(VLOOKUP($B1181,calc_data,J$14+1,0),0)</f>
        <v/>
      </c>
      <c r="K1181" s="141">
        <f>IFERROR(VLOOKUP($B1181,calc_data,K$14+1,0),0)</f>
        <v/>
      </c>
      <c r="L1181" s="141">
        <f>IFERROR(VLOOKUP($B1181,calc_data,L$14+1,0),0)</f>
        <v/>
      </c>
      <c r="M1181" s="177">
        <f>IFERROR(VLOOKUP($B1181,calc_data,M$14+1,0),0)</f>
        <v/>
      </c>
      <c r="N1181" s="177">
        <f>IFERROR(VLOOKUP($B1181,calc_data,N$14+1,0),0)</f>
        <v/>
      </c>
      <c r="O1181" s="45" t="n"/>
      <c r="Q1181" s="57">
        <f>IF(K1181&gt;0,"показать","скрыть")</f>
        <v/>
      </c>
    </row>
    <row r="1182" ht="15.75" customHeight="1">
      <c r="B1182" s="182" t="n">
        <v>1166</v>
      </c>
      <c r="C1182" s="182">
        <f>IFERROR(VLOOKUP($B1182,calc_data,C$14+1,0),0)</f>
        <v/>
      </c>
      <c r="D1182" s="182">
        <f>IFERROR(VLOOKUP($B1182,calc_data,D$14+1,0),0)</f>
        <v/>
      </c>
      <c r="E1182" s="183">
        <f>IFERROR(VLOOKUP($B1182,calc_data,E$14+1,0),0)</f>
        <v/>
      </c>
      <c r="F1182" s="182">
        <f>IFERROR(VLOOKUP($B1182,calc_data,F$14+1,0),0)</f>
        <v/>
      </c>
      <c r="G1182" s="141">
        <f>IFERROR(VLOOKUP($B1182,calc_data,G$14+1,0),0)</f>
        <v/>
      </c>
      <c r="H1182" s="141">
        <f>IFERROR(VLOOKUP($B1182,calc_data,H$14+1,0),0)</f>
        <v/>
      </c>
      <c r="I1182" s="142">
        <f>IFERROR(VLOOKUP($B1182,calc_data,I$14+1,0),0)</f>
        <v/>
      </c>
      <c r="J1182" s="141">
        <f>IFERROR(VLOOKUP($B1182,calc_data,J$14+1,0),0)</f>
        <v/>
      </c>
      <c r="K1182" s="141">
        <f>IFERROR(VLOOKUP($B1182,calc_data,K$14+1,0),0)</f>
        <v/>
      </c>
      <c r="L1182" s="141">
        <f>IFERROR(VLOOKUP($B1182,calc_data,L$14+1,0),0)</f>
        <v/>
      </c>
      <c r="M1182" s="177">
        <f>IFERROR(VLOOKUP($B1182,calc_data,M$14+1,0),0)</f>
        <v/>
      </c>
      <c r="N1182" s="177">
        <f>IFERROR(VLOOKUP($B1182,calc_data,N$14+1,0),0)</f>
        <v/>
      </c>
      <c r="O1182" s="45" t="n"/>
      <c r="Q1182" s="57">
        <f>IF(K1182&gt;0,"показать","скрыть")</f>
        <v/>
      </c>
    </row>
    <row r="1183" ht="15.75" customHeight="1">
      <c r="B1183" s="182" t="n">
        <v>1167</v>
      </c>
      <c r="C1183" s="182">
        <f>IFERROR(VLOOKUP($B1183,calc_data,C$14+1,0),0)</f>
        <v/>
      </c>
      <c r="D1183" s="182">
        <f>IFERROR(VLOOKUP($B1183,calc_data,D$14+1,0),0)</f>
        <v/>
      </c>
      <c r="E1183" s="183">
        <f>IFERROR(VLOOKUP($B1183,calc_data,E$14+1,0),0)</f>
        <v/>
      </c>
      <c r="F1183" s="182">
        <f>IFERROR(VLOOKUP($B1183,calc_data,F$14+1,0),0)</f>
        <v/>
      </c>
      <c r="G1183" s="141">
        <f>IFERROR(VLOOKUP($B1183,calc_data,G$14+1,0),0)</f>
        <v/>
      </c>
      <c r="H1183" s="141">
        <f>IFERROR(VLOOKUP($B1183,calc_data,H$14+1,0),0)</f>
        <v/>
      </c>
      <c r="I1183" s="142">
        <f>IFERROR(VLOOKUP($B1183,calc_data,I$14+1,0),0)</f>
        <v/>
      </c>
      <c r="J1183" s="141">
        <f>IFERROR(VLOOKUP($B1183,calc_data,J$14+1,0),0)</f>
        <v/>
      </c>
      <c r="K1183" s="141">
        <f>IFERROR(VLOOKUP($B1183,calc_data,K$14+1,0),0)</f>
        <v/>
      </c>
      <c r="L1183" s="141">
        <f>IFERROR(VLOOKUP($B1183,calc_data,L$14+1,0),0)</f>
        <v/>
      </c>
      <c r="M1183" s="177">
        <f>IFERROR(VLOOKUP($B1183,calc_data,M$14+1,0),0)</f>
        <v/>
      </c>
      <c r="N1183" s="177">
        <f>IFERROR(VLOOKUP($B1183,calc_data,N$14+1,0),0)</f>
        <v/>
      </c>
      <c r="O1183" s="45" t="n"/>
      <c r="Q1183" s="57">
        <f>IF(K1183&gt;0,"показать","скрыть")</f>
        <v/>
      </c>
    </row>
    <row r="1184" ht="15.75" customHeight="1">
      <c r="B1184" s="182" t="n">
        <v>1168</v>
      </c>
      <c r="C1184" s="182">
        <f>IFERROR(VLOOKUP($B1184,calc_data,C$14+1,0),0)</f>
        <v/>
      </c>
      <c r="D1184" s="182">
        <f>IFERROR(VLOOKUP($B1184,calc_data,D$14+1,0),0)</f>
        <v/>
      </c>
      <c r="E1184" s="183">
        <f>IFERROR(VLOOKUP($B1184,calc_data,E$14+1,0),0)</f>
        <v/>
      </c>
      <c r="F1184" s="182">
        <f>IFERROR(VLOOKUP($B1184,calc_data,F$14+1,0),0)</f>
        <v/>
      </c>
      <c r="G1184" s="141">
        <f>IFERROR(VLOOKUP($B1184,calc_data,G$14+1,0),0)</f>
        <v/>
      </c>
      <c r="H1184" s="141">
        <f>IFERROR(VLOOKUP($B1184,calc_data,H$14+1,0),0)</f>
        <v/>
      </c>
      <c r="I1184" s="142">
        <f>IFERROR(VLOOKUP($B1184,calc_data,I$14+1,0),0)</f>
        <v/>
      </c>
      <c r="J1184" s="141">
        <f>IFERROR(VLOOKUP($B1184,calc_data,J$14+1,0),0)</f>
        <v/>
      </c>
      <c r="K1184" s="141">
        <f>IFERROR(VLOOKUP($B1184,calc_data,K$14+1,0),0)</f>
        <v/>
      </c>
      <c r="L1184" s="141">
        <f>IFERROR(VLOOKUP($B1184,calc_data,L$14+1,0),0)</f>
        <v/>
      </c>
      <c r="M1184" s="177">
        <f>IFERROR(VLOOKUP($B1184,calc_data,M$14+1,0),0)</f>
        <v/>
      </c>
      <c r="N1184" s="177">
        <f>IFERROR(VLOOKUP($B1184,calc_data,N$14+1,0),0)</f>
        <v/>
      </c>
      <c r="O1184" s="45" t="n"/>
      <c r="Q1184" s="57">
        <f>IF(K1184&gt;0,"показать","скрыть")</f>
        <v/>
      </c>
    </row>
    <row r="1185" ht="15.75" customHeight="1">
      <c r="B1185" s="182" t="n">
        <v>1169</v>
      </c>
      <c r="C1185" s="182">
        <f>IFERROR(VLOOKUP($B1185,calc_data,C$14+1,0),0)</f>
        <v/>
      </c>
      <c r="D1185" s="182">
        <f>IFERROR(VLOOKUP($B1185,calc_data,D$14+1,0),0)</f>
        <v/>
      </c>
      <c r="E1185" s="183">
        <f>IFERROR(VLOOKUP($B1185,calc_data,E$14+1,0),0)</f>
        <v/>
      </c>
      <c r="F1185" s="182">
        <f>IFERROR(VLOOKUP($B1185,calc_data,F$14+1,0),0)</f>
        <v/>
      </c>
      <c r="G1185" s="141">
        <f>IFERROR(VLOOKUP($B1185,calc_data,G$14+1,0),0)</f>
        <v/>
      </c>
      <c r="H1185" s="141">
        <f>IFERROR(VLOOKUP($B1185,calc_data,H$14+1,0),0)</f>
        <v/>
      </c>
      <c r="I1185" s="142">
        <f>IFERROR(VLOOKUP($B1185,calc_data,I$14+1,0),0)</f>
        <v/>
      </c>
      <c r="J1185" s="141">
        <f>IFERROR(VLOOKUP($B1185,calc_data,J$14+1,0),0)</f>
        <v/>
      </c>
      <c r="K1185" s="141">
        <f>IFERROR(VLOOKUP($B1185,calc_data,K$14+1,0),0)</f>
        <v/>
      </c>
      <c r="L1185" s="141">
        <f>IFERROR(VLOOKUP($B1185,calc_data,L$14+1,0),0)</f>
        <v/>
      </c>
      <c r="M1185" s="177">
        <f>IFERROR(VLOOKUP($B1185,calc_data,M$14+1,0),0)</f>
        <v/>
      </c>
      <c r="N1185" s="177">
        <f>IFERROR(VLOOKUP($B1185,calc_data,N$14+1,0),0)</f>
        <v/>
      </c>
      <c r="O1185" s="45" t="n"/>
      <c r="Q1185" s="57">
        <f>IF(K1185&gt;0,"показать","скрыть")</f>
        <v/>
      </c>
    </row>
    <row r="1186" ht="15.75" customHeight="1">
      <c r="B1186" s="182" t="n">
        <v>1170</v>
      </c>
      <c r="C1186" s="182">
        <f>IFERROR(VLOOKUP($B1186,calc_data,C$14+1,0),0)</f>
        <v/>
      </c>
      <c r="D1186" s="182">
        <f>IFERROR(VLOOKUP($B1186,calc_data,D$14+1,0),0)</f>
        <v/>
      </c>
      <c r="E1186" s="183">
        <f>IFERROR(VLOOKUP($B1186,calc_data,E$14+1,0),0)</f>
        <v/>
      </c>
      <c r="F1186" s="182">
        <f>IFERROR(VLOOKUP($B1186,calc_data,F$14+1,0),0)</f>
        <v/>
      </c>
      <c r="G1186" s="141">
        <f>IFERROR(VLOOKUP($B1186,calc_data,G$14+1,0),0)</f>
        <v/>
      </c>
      <c r="H1186" s="141">
        <f>IFERROR(VLOOKUP($B1186,calc_data,H$14+1,0),0)</f>
        <v/>
      </c>
      <c r="I1186" s="142">
        <f>IFERROR(VLOOKUP($B1186,calc_data,I$14+1,0),0)</f>
        <v/>
      </c>
      <c r="J1186" s="141">
        <f>IFERROR(VLOOKUP($B1186,calc_data,J$14+1,0),0)</f>
        <v/>
      </c>
      <c r="K1186" s="141">
        <f>IFERROR(VLOOKUP($B1186,calc_data,K$14+1,0),0)</f>
        <v/>
      </c>
      <c r="L1186" s="141">
        <f>IFERROR(VLOOKUP($B1186,calc_data,L$14+1,0),0)</f>
        <v/>
      </c>
      <c r="M1186" s="177">
        <f>IFERROR(VLOOKUP($B1186,calc_data,M$14+1,0),0)</f>
        <v/>
      </c>
      <c r="N1186" s="177">
        <f>IFERROR(VLOOKUP($B1186,calc_data,N$14+1,0),0)</f>
        <v/>
      </c>
      <c r="O1186" s="45" t="n"/>
      <c r="Q1186" s="57">
        <f>IF(K1186&gt;0,"показать","скрыть")</f>
        <v/>
      </c>
    </row>
    <row r="1187" ht="15.75" customHeight="1">
      <c r="B1187" s="182" t="n">
        <v>1171</v>
      </c>
      <c r="C1187" s="182">
        <f>IFERROR(VLOOKUP($B1187,calc_data,C$14+1,0),0)</f>
        <v/>
      </c>
      <c r="D1187" s="182">
        <f>IFERROR(VLOOKUP($B1187,calc_data,D$14+1,0),0)</f>
        <v/>
      </c>
      <c r="E1187" s="183">
        <f>IFERROR(VLOOKUP($B1187,calc_data,E$14+1,0),0)</f>
        <v/>
      </c>
      <c r="F1187" s="182">
        <f>IFERROR(VLOOKUP($B1187,calc_data,F$14+1,0),0)</f>
        <v/>
      </c>
      <c r="G1187" s="141">
        <f>IFERROR(VLOOKUP($B1187,calc_data,G$14+1,0),0)</f>
        <v/>
      </c>
      <c r="H1187" s="141">
        <f>IFERROR(VLOOKUP($B1187,calc_data,H$14+1,0),0)</f>
        <v/>
      </c>
      <c r="I1187" s="142">
        <f>IFERROR(VLOOKUP($B1187,calc_data,I$14+1,0),0)</f>
        <v/>
      </c>
      <c r="J1187" s="141">
        <f>IFERROR(VLOOKUP($B1187,calc_data,J$14+1,0),0)</f>
        <v/>
      </c>
      <c r="K1187" s="141">
        <f>IFERROR(VLOOKUP($B1187,calc_data,K$14+1,0),0)</f>
        <v/>
      </c>
      <c r="L1187" s="141">
        <f>IFERROR(VLOOKUP($B1187,calc_data,L$14+1,0),0)</f>
        <v/>
      </c>
      <c r="M1187" s="177">
        <f>IFERROR(VLOOKUP($B1187,calc_data,M$14+1,0),0)</f>
        <v/>
      </c>
      <c r="N1187" s="177">
        <f>IFERROR(VLOOKUP($B1187,calc_data,N$14+1,0),0)</f>
        <v/>
      </c>
      <c r="O1187" s="45" t="n"/>
      <c r="Q1187" s="57">
        <f>IF(K1187&gt;0,"показать","скрыть")</f>
        <v/>
      </c>
    </row>
    <row r="1188" ht="15.75" customHeight="1">
      <c r="B1188" s="182" t="n">
        <v>1172</v>
      </c>
      <c r="C1188" s="182">
        <f>IFERROR(VLOOKUP($B1188,calc_data,C$14+1,0),0)</f>
        <v/>
      </c>
      <c r="D1188" s="182">
        <f>IFERROR(VLOOKUP($B1188,calc_data,D$14+1,0),0)</f>
        <v/>
      </c>
      <c r="E1188" s="183">
        <f>IFERROR(VLOOKUP($B1188,calc_data,E$14+1,0),0)</f>
        <v/>
      </c>
      <c r="F1188" s="182">
        <f>IFERROR(VLOOKUP($B1188,calc_data,F$14+1,0),0)</f>
        <v/>
      </c>
      <c r="G1188" s="141">
        <f>IFERROR(VLOOKUP($B1188,calc_data,G$14+1,0),0)</f>
        <v/>
      </c>
      <c r="H1188" s="141">
        <f>IFERROR(VLOOKUP($B1188,calc_data,H$14+1,0),0)</f>
        <v/>
      </c>
      <c r="I1188" s="142">
        <f>IFERROR(VLOOKUP($B1188,calc_data,I$14+1,0),0)</f>
        <v/>
      </c>
      <c r="J1188" s="141">
        <f>IFERROR(VLOOKUP($B1188,calc_data,J$14+1,0),0)</f>
        <v/>
      </c>
      <c r="K1188" s="141">
        <f>IFERROR(VLOOKUP($B1188,calc_data,K$14+1,0),0)</f>
        <v/>
      </c>
      <c r="L1188" s="141">
        <f>IFERROR(VLOOKUP($B1188,calc_data,L$14+1,0),0)</f>
        <v/>
      </c>
      <c r="M1188" s="177">
        <f>IFERROR(VLOOKUP($B1188,calc_data,M$14+1,0),0)</f>
        <v/>
      </c>
      <c r="N1188" s="177">
        <f>IFERROR(VLOOKUP($B1188,calc_data,N$14+1,0),0)</f>
        <v/>
      </c>
      <c r="O1188" s="45" t="n"/>
      <c r="Q1188" s="57">
        <f>IF(K1188&gt;0,"показать","скрыть")</f>
        <v/>
      </c>
    </row>
    <row r="1189" ht="15.75" customHeight="1">
      <c r="B1189" s="182" t="n">
        <v>1173</v>
      </c>
      <c r="C1189" s="182">
        <f>IFERROR(VLOOKUP($B1189,calc_data,C$14+1,0),0)</f>
        <v/>
      </c>
      <c r="D1189" s="182">
        <f>IFERROR(VLOOKUP($B1189,calc_data,D$14+1,0),0)</f>
        <v/>
      </c>
      <c r="E1189" s="183">
        <f>IFERROR(VLOOKUP($B1189,calc_data,E$14+1,0),0)</f>
        <v/>
      </c>
      <c r="F1189" s="182">
        <f>IFERROR(VLOOKUP($B1189,calc_data,F$14+1,0),0)</f>
        <v/>
      </c>
      <c r="G1189" s="141">
        <f>IFERROR(VLOOKUP($B1189,calc_data,G$14+1,0),0)</f>
        <v/>
      </c>
      <c r="H1189" s="141">
        <f>IFERROR(VLOOKUP($B1189,calc_data,H$14+1,0),0)</f>
        <v/>
      </c>
      <c r="I1189" s="142">
        <f>IFERROR(VLOOKUP($B1189,calc_data,I$14+1,0),0)</f>
        <v/>
      </c>
      <c r="J1189" s="141">
        <f>IFERROR(VLOOKUP($B1189,calc_data,J$14+1,0),0)</f>
        <v/>
      </c>
      <c r="K1189" s="141">
        <f>IFERROR(VLOOKUP($B1189,calc_data,K$14+1,0),0)</f>
        <v/>
      </c>
      <c r="L1189" s="141">
        <f>IFERROR(VLOOKUP($B1189,calc_data,L$14+1,0),0)</f>
        <v/>
      </c>
      <c r="M1189" s="177">
        <f>IFERROR(VLOOKUP($B1189,calc_data,M$14+1,0),0)</f>
        <v/>
      </c>
      <c r="N1189" s="177">
        <f>IFERROR(VLOOKUP($B1189,calc_data,N$14+1,0),0)</f>
        <v/>
      </c>
      <c r="O1189" s="45" t="n"/>
      <c r="Q1189" s="57">
        <f>IF(K1189&gt;0,"показать","скрыть")</f>
        <v/>
      </c>
    </row>
    <row r="1190" ht="15.75" customHeight="1">
      <c r="B1190" s="182" t="n">
        <v>1174</v>
      </c>
      <c r="C1190" s="182">
        <f>IFERROR(VLOOKUP($B1190,calc_data,C$14+1,0),0)</f>
        <v/>
      </c>
      <c r="D1190" s="182">
        <f>IFERROR(VLOOKUP($B1190,calc_data,D$14+1,0),0)</f>
        <v/>
      </c>
      <c r="E1190" s="183">
        <f>IFERROR(VLOOKUP($B1190,calc_data,E$14+1,0),0)</f>
        <v/>
      </c>
      <c r="F1190" s="182">
        <f>IFERROR(VLOOKUP($B1190,calc_data,F$14+1,0),0)</f>
        <v/>
      </c>
      <c r="G1190" s="141">
        <f>IFERROR(VLOOKUP($B1190,calc_data,G$14+1,0),0)</f>
        <v/>
      </c>
      <c r="H1190" s="141">
        <f>IFERROR(VLOOKUP($B1190,calc_data,H$14+1,0),0)</f>
        <v/>
      </c>
      <c r="I1190" s="142">
        <f>IFERROR(VLOOKUP($B1190,calc_data,I$14+1,0),0)</f>
        <v/>
      </c>
      <c r="J1190" s="141">
        <f>IFERROR(VLOOKUP($B1190,calc_data,J$14+1,0),0)</f>
        <v/>
      </c>
      <c r="K1190" s="141">
        <f>IFERROR(VLOOKUP($B1190,calc_data,K$14+1,0),0)</f>
        <v/>
      </c>
      <c r="L1190" s="141">
        <f>IFERROR(VLOOKUP($B1190,calc_data,L$14+1,0),0)</f>
        <v/>
      </c>
      <c r="M1190" s="177">
        <f>IFERROR(VLOOKUP($B1190,calc_data,M$14+1,0),0)</f>
        <v/>
      </c>
      <c r="N1190" s="177">
        <f>IFERROR(VLOOKUP($B1190,calc_data,N$14+1,0),0)</f>
        <v/>
      </c>
      <c r="O1190" s="45" t="n"/>
      <c r="Q1190" s="57">
        <f>IF(K1190&gt;0,"показать","скрыть")</f>
        <v/>
      </c>
    </row>
    <row r="1191" ht="15.75" customHeight="1">
      <c r="B1191" s="182" t="n">
        <v>1175</v>
      </c>
      <c r="C1191" s="182">
        <f>IFERROR(VLOOKUP($B1191,calc_data,C$14+1,0),0)</f>
        <v/>
      </c>
      <c r="D1191" s="182">
        <f>IFERROR(VLOOKUP($B1191,calc_data,D$14+1,0),0)</f>
        <v/>
      </c>
      <c r="E1191" s="183">
        <f>IFERROR(VLOOKUP($B1191,calc_data,E$14+1,0),0)</f>
        <v/>
      </c>
      <c r="F1191" s="182">
        <f>IFERROR(VLOOKUP($B1191,calc_data,F$14+1,0),0)</f>
        <v/>
      </c>
      <c r="G1191" s="141">
        <f>IFERROR(VLOOKUP($B1191,calc_data,G$14+1,0),0)</f>
        <v/>
      </c>
      <c r="H1191" s="141">
        <f>IFERROR(VLOOKUP($B1191,calc_data,H$14+1,0),0)</f>
        <v/>
      </c>
      <c r="I1191" s="142">
        <f>IFERROR(VLOOKUP($B1191,calc_data,I$14+1,0),0)</f>
        <v/>
      </c>
      <c r="J1191" s="141">
        <f>IFERROR(VLOOKUP($B1191,calc_data,J$14+1,0),0)</f>
        <v/>
      </c>
      <c r="K1191" s="141">
        <f>IFERROR(VLOOKUP($B1191,calc_data,K$14+1,0),0)</f>
        <v/>
      </c>
      <c r="L1191" s="141">
        <f>IFERROR(VLOOKUP($B1191,calc_data,L$14+1,0),0)</f>
        <v/>
      </c>
      <c r="M1191" s="177">
        <f>IFERROR(VLOOKUP($B1191,calc_data,M$14+1,0),0)</f>
        <v/>
      </c>
      <c r="N1191" s="177">
        <f>IFERROR(VLOOKUP($B1191,calc_data,N$14+1,0),0)</f>
        <v/>
      </c>
      <c r="O1191" s="45" t="n"/>
      <c r="Q1191" s="57">
        <f>IF(K1191&gt;0,"показать","скрыть")</f>
        <v/>
      </c>
    </row>
    <row r="1192" ht="15.75" customHeight="1">
      <c r="B1192" s="182" t="n">
        <v>1176</v>
      </c>
      <c r="C1192" s="182">
        <f>IFERROR(VLOOKUP($B1192,calc_data,C$14+1,0),0)</f>
        <v/>
      </c>
      <c r="D1192" s="182">
        <f>IFERROR(VLOOKUP($B1192,calc_data,D$14+1,0),0)</f>
        <v/>
      </c>
      <c r="E1192" s="183">
        <f>IFERROR(VLOOKUP($B1192,calc_data,E$14+1,0),0)</f>
        <v/>
      </c>
      <c r="F1192" s="182">
        <f>IFERROR(VLOOKUP($B1192,calc_data,F$14+1,0),0)</f>
        <v/>
      </c>
      <c r="G1192" s="141">
        <f>IFERROR(VLOOKUP($B1192,calc_data,G$14+1,0),0)</f>
        <v/>
      </c>
      <c r="H1192" s="141">
        <f>IFERROR(VLOOKUP($B1192,calc_data,H$14+1,0),0)</f>
        <v/>
      </c>
      <c r="I1192" s="142">
        <f>IFERROR(VLOOKUP($B1192,calc_data,I$14+1,0),0)</f>
        <v/>
      </c>
      <c r="J1192" s="141">
        <f>IFERROR(VLOOKUP($B1192,calc_data,J$14+1,0),0)</f>
        <v/>
      </c>
      <c r="K1192" s="141">
        <f>IFERROR(VLOOKUP($B1192,calc_data,K$14+1,0),0)</f>
        <v/>
      </c>
      <c r="L1192" s="141">
        <f>IFERROR(VLOOKUP($B1192,calc_data,L$14+1,0),0)</f>
        <v/>
      </c>
      <c r="M1192" s="177">
        <f>IFERROR(VLOOKUP($B1192,calc_data,M$14+1,0),0)</f>
        <v/>
      </c>
      <c r="N1192" s="177">
        <f>IFERROR(VLOOKUP($B1192,calc_data,N$14+1,0),0)</f>
        <v/>
      </c>
      <c r="O1192" s="45" t="n"/>
      <c r="Q1192" s="57">
        <f>IF(K1192&gt;0,"показать","скрыть")</f>
        <v/>
      </c>
    </row>
    <row r="1193" ht="15.75" customHeight="1">
      <c r="B1193" s="182" t="n">
        <v>1177</v>
      </c>
      <c r="C1193" s="182">
        <f>IFERROR(VLOOKUP($B1193,calc_data,C$14+1,0),0)</f>
        <v/>
      </c>
      <c r="D1193" s="182">
        <f>IFERROR(VLOOKUP($B1193,calc_data,D$14+1,0),0)</f>
        <v/>
      </c>
      <c r="E1193" s="183">
        <f>IFERROR(VLOOKUP($B1193,calc_data,E$14+1,0),0)</f>
        <v/>
      </c>
      <c r="F1193" s="182">
        <f>IFERROR(VLOOKUP($B1193,calc_data,F$14+1,0),0)</f>
        <v/>
      </c>
      <c r="G1193" s="141">
        <f>IFERROR(VLOOKUP($B1193,calc_data,G$14+1,0),0)</f>
        <v/>
      </c>
      <c r="H1193" s="141">
        <f>IFERROR(VLOOKUP($B1193,calc_data,H$14+1,0),0)</f>
        <v/>
      </c>
      <c r="I1193" s="142">
        <f>IFERROR(VLOOKUP($B1193,calc_data,I$14+1,0),0)</f>
        <v/>
      </c>
      <c r="J1193" s="141">
        <f>IFERROR(VLOOKUP($B1193,calc_data,J$14+1,0),0)</f>
        <v/>
      </c>
      <c r="K1193" s="141">
        <f>IFERROR(VLOOKUP($B1193,calc_data,K$14+1,0),0)</f>
        <v/>
      </c>
      <c r="L1193" s="141">
        <f>IFERROR(VLOOKUP($B1193,calc_data,L$14+1,0),0)</f>
        <v/>
      </c>
      <c r="M1193" s="177">
        <f>IFERROR(VLOOKUP($B1193,calc_data,M$14+1,0),0)</f>
        <v/>
      </c>
      <c r="N1193" s="177">
        <f>IFERROR(VLOOKUP($B1193,calc_data,N$14+1,0),0)</f>
        <v/>
      </c>
      <c r="O1193" s="45" t="n"/>
      <c r="Q1193" s="57">
        <f>IF(K1193&gt;0,"показать","скрыть")</f>
        <v/>
      </c>
    </row>
    <row r="1194" ht="15.75" customHeight="1">
      <c r="B1194" s="182" t="n">
        <v>1178</v>
      </c>
      <c r="C1194" s="182">
        <f>IFERROR(VLOOKUP($B1194,calc_data,C$14+1,0),0)</f>
        <v/>
      </c>
      <c r="D1194" s="182">
        <f>IFERROR(VLOOKUP($B1194,calc_data,D$14+1,0),0)</f>
        <v/>
      </c>
      <c r="E1194" s="183">
        <f>IFERROR(VLOOKUP($B1194,calc_data,E$14+1,0),0)</f>
        <v/>
      </c>
      <c r="F1194" s="182">
        <f>IFERROR(VLOOKUP($B1194,calc_data,F$14+1,0),0)</f>
        <v/>
      </c>
      <c r="G1194" s="141">
        <f>IFERROR(VLOOKUP($B1194,calc_data,G$14+1,0),0)</f>
        <v/>
      </c>
      <c r="H1194" s="141">
        <f>IFERROR(VLOOKUP($B1194,calc_data,H$14+1,0),0)</f>
        <v/>
      </c>
      <c r="I1194" s="142">
        <f>IFERROR(VLOOKUP($B1194,calc_data,I$14+1,0),0)</f>
        <v/>
      </c>
      <c r="J1194" s="141">
        <f>IFERROR(VLOOKUP($B1194,calc_data,J$14+1,0),0)</f>
        <v/>
      </c>
      <c r="K1194" s="141">
        <f>IFERROR(VLOOKUP($B1194,calc_data,K$14+1,0),0)</f>
        <v/>
      </c>
      <c r="L1194" s="141">
        <f>IFERROR(VLOOKUP($B1194,calc_data,L$14+1,0),0)</f>
        <v/>
      </c>
      <c r="M1194" s="177">
        <f>IFERROR(VLOOKUP($B1194,calc_data,M$14+1,0),0)</f>
        <v/>
      </c>
      <c r="N1194" s="177">
        <f>IFERROR(VLOOKUP($B1194,calc_data,N$14+1,0),0)</f>
        <v/>
      </c>
      <c r="O1194" s="45" t="n"/>
      <c r="Q1194" s="57">
        <f>IF(K1194&gt;0,"показать","скрыть")</f>
        <v/>
      </c>
    </row>
    <row r="1195" ht="15.75" customHeight="1">
      <c r="B1195" s="182" t="n">
        <v>1179</v>
      </c>
      <c r="C1195" s="182">
        <f>IFERROR(VLOOKUP($B1195,calc_data,C$14+1,0),0)</f>
        <v/>
      </c>
      <c r="D1195" s="182">
        <f>IFERROR(VLOOKUP($B1195,calc_data,D$14+1,0),0)</f>
        <v/>
      </c>
      <c r="E1195" s="183">
        <f>IFERROR(VLOOKUP($B1195,calc_data,E$14+1,0),0)</f>
        <v/>
      </c>
      <c r="F1195" s="182">
        <f>IFERROR(VLOOKUP($B1195,calc_data,F$14+1,0),0)</f>
        <v/>
      </c>
      <c r="G1195" s="141">
        <f>IFERROR(VLOOKUP($B1195,calc_data,G$14+1,0),0)</f>
        <v/>
      </c>
      <c r="H1195" s="141">
        <f>IFERROR(VLOOKUP($B1195,calc_data,H$14+1,0),0)</f>
        <v/>
      </c>
      <c r="I1195" s="142">
        <f>IFERROR(VLOOKUP($B1195,calc_data,I$14+1,0),0)</f>
        <v/>
      </c>
      <c r="J1195" s="141">
        <f>IFERROR(VLOOKUP($B1195,calc_data,J$14+1,0),0)</f>
        <v/>
      </c>
      <c r="K1195" s="141">
        <f>IFERROR(VLOOKUP($B1195,calc_data,K$14+1,0),0)</f>
        <v/>
      </c>
      <c r="L1195" s="141">
        <f>IFERROR(VLOOKUP($B1195,calc_data,L$14+1,0),0)</f>
        <v/>
      </c>
      <c r="M1195" s="177">
        <f>IFERROR(VLOOKUP($B1195,calc_data,M$14+1,0),0)</f>
        <v/>
      </c>
      <c r="N1195" s="177">
        <f>IFERROR(VLOOKUP($B1195,calc_data,N$14+1,0),0)</f>
        <v/>
      </c>
      <c r="O1195" s="45" t="n"/>
      <c r="Q1195" s="57">
        <f>IF(K1195&gt;0,"показать","скрыть")</f>
        <v/>
      </c>
    </row>
    <row r="1196" ht="15.75" customHeight="1">
      <c r="B1196" s="182" t="n">
        <v>1180</v>
      </c>
      <c r="C1196" s="182">
        <f>IFERROR(VLOOKUP($B1196,calc_data,C$14+1,0),0)</f>
        <v/>
      </c>
      <c r="D1196" s="182">
        <f>IFERROR(VLOOKUP($B1196,calc_data,D$14+1,0),0)</f>
        <v/>
      </c>
      <c r="E1196" s="183">
        <f>IFERROR(VLOOKUP($B1196,calc_data,E$14+1,0),0)</f>
        <v/>
      </c>
      <c r="F1196" s="182">
        <f>IFERROR(VLOOKUP($B1196,calc_data,F$14+1,0),0)</f>
        <v/>
      </c>
      <c r="G1196" s="141">
        <f>IFERROR(VLOOKUP($B1196,calc_data,G$14+1,0),0)</f>
        <v/>
      </c>
      <c r="H1196" s="141">
        <f>IFERROR(VLOOKUP($B1196,calc_data,H$14+1,0),0)</f>
        <v/>
      </c>
      <c r="I1196" s="142">
        <f>IFERROR(VLOOKUP($B1196,calc_data,I$14+1,0),0)</f>
        <v/>
      </c>
      <c r="J1196" s="141">
        <f>IFERROR(VLOOKUP($B1196,calc_data,J$14+1,0),0)</f>
        <v/>
      </c>
      <c r="K1196" s="141">
        <f>IFERROR(VLOOKUP($B1196,calc_data,K$14+1,0),0)</f>
        <v/>
      </c>
      <c r="L1196" s="141">
        <f>IFERROR(VLOOKUP($B1196,calc_data,L$14+1,0),0)</f>
        <v/>
      </c>
      <c r="M1196" s="177">
        <f>IFERROR(VLOOKUP($B1196,calc_data,M$14+1,0),0)</f>
        <v/>
      </c>
      <c r="N1196" s="177">
        <f>IFERROR(VLOOKUP($B1196,calc_data,N$14+1,0),0)</f>
        <v/>
      </c>
      <c r="O1196" s="45" t="n"/>
      <c r="Q1196" s="57">
        <f>IF(K1196&gt;0,"показать","скрыть")</f>
        <v/>
      </c>
    </row>
    <row r="1197" ht="15.75" customHeight="1">
      <c r="B1197" s="182" t="n">
        <v>1181</v>
      </c>
      <c r="C1197" s="182">
        <f>IFERROR(VLOOKUP($B1197,calc_data,C$14+1,0),0)</f>
        <v/>
      </c>
      <c r="D1197" s="182">
        <f>IFERROR(VLOOKUP($B1197,calc_data,D$14+1,0),0)</f>
        <v/>
      </c>
      <c r="E1197" s="183">
        <f>IFERROR(VLOOKUP($B1197,calc_data,E$14+1,0),0)</f>
        <v/>
      </c>
      <c r="F1197" s="182">
        <f>IFERROR(VLOOKUP($B1197,calc_data,F$14+1,0),0)</f>
        <v/>
      </c>
      <c r="G1197" s="141">
        <f>IFERROR(VLOOKUP($B1197,calc_data,G$14+1,0),0)</f>
        <v/>
      </c>
      <c r="H1197" s="141">
        <f>IFERROR(VLOOKUP($B1197,calc_data,H$14+1,0),0)</f>
        <v/>
      </c>
      <c r="I1197" s="142">
        <f>IFERROR(VLOOKUP($B1197,calc_data,I$14+1,0),0)</f>
        <v/>
      </c>
      <c r="J1197" s="141">
        <f>IFERROR(VLOOKUP($B1197,calc_data,J$14+1,0),0)</f>
        <v/>
      </c>
      <c r="K1197" s="141">
        <f>IFERROR(VLOOKUP($B1197,calc_data,K$14+1,0),0)</f>
        <v/>
      </c>
      <c r="L1197" s="141">
        <f>IFERROR(VLOOKUP($B1197,calc_data,L$14+1,0),0)</f>
        <v/>
      </c>
      <c r="M1197" s="177">
        <f>IFERROR(VLOOKUP($B1197,calc_data,M$14+1,0),0)</f>
        <v/>
      </c>
      <c r="N1197" s="177">
        <f>IFERROR(VLOOKUP($B1197,calc_data,N$14+1,0),0)</f>
        <v/>
      </c>
      <c r="O1197" s="45" t="n"/>
      <c r="Q1197" s="57">
        <f>IF(K1197&gt;0,"показать","скрыть")</f>
        <v/>
      </c>
    </row>
    <row r="1198" ht="15.75" customHeight="1">
      <c r="B1198" s="182" t="n">
        <v>1182</v>
      </c>
      <c r="C1198" s="182">
        <f>IFERROR(VLOOKUP($B1198,calc_data,C$14+1,0),0)</f>
        <v/>
      </c>
      <c r="D1198" s="182">
        <f>IFERROR(VLOOKUP($B1198,calc_data,D$14+1,0),0)</f>
        <v/>
      </c>
      <c r="E1198" s="183">
        <f>IFERROR(VLOOKUP($B1198,calc_data,E$14+1,0),0)</f>
        <v/>
      </c>
      <c r="F1198" s="182">
        <f>IFERROR(VLOOKUP($B1198,calc_data,F$14+1,0),0)</f>
        <v/>
      </c>
      <c r="G1198" s="141">
        <f>IFERROR(VLOOKUP($B1198,calc_data,G$14+1,0),0)</f>
        <v/>
      </c>
      <c r="H1198" s="141">
        <f>IFERROR(VLOOKUP($B1198,calc_data,H$14+1,0),0)</f>
        <v/>
      </c>
      <c r="I1198" s="142">
        <f>IFERROR(VLOOKUP($B1198,calc_data,I$14+1,0),0)</f>
        <v/>
      </c>
      <c r="J1198" s="141">
        <f>IFERROR(VLOOKUP($B1198,calc_data,J$14+1,0),0)</f>
        <v/>
      </c>
      <c r="K1198" s="141">
        <f>IFERROR(VLOOKUP($B1198,calc_data,K$14+1,0),0)</f>
        <v/>
      </c>
      <c r="L1198" s="141">
        <f>IFERROR(VLOOKUP($B1198,calc_data,L$14+1,0),0)</f>
        <v/>
      </c>
      <c r="M1198" s="177">
        <f>IFERROR(VLOOKUP($B1198,calc_data,M$14+1,0),0)</f>
        <v/>
      </c>
      <c r="N1198" s="177">
        <f>IFERROR(VLOOKUP($B1198,calc_data,N$14+1,0),0)</f>
        <v/>
      </c>
      <c r="O1198" s="45" t="n"/>
      <c r="Q1198" s="57">
        <f>IF(K1198&gt;0,"показать","скрыть")</f>
        <v/>
      </c>
    </row>
    <row r="1199" ht="15.75" customHeight="1">
      <c r="B1199" s="182" t="n">
        <v>1183</v>
      </c>
      <c r="C1199" s="182">
        <f>IFERROR(VLOOKUP($B1199,calc_data,C$14+1,0),0)</f>
        <v/>
      </c>
      <c r="D1199" s="182">
        <f>IFERROR(VLOOKUP($B1199,calc_data,D$14+1,0),0)</f>
        <v/>
      </c>
      <c r="E1199" s="183">
        <f>IFERROR(VLOOKUP($B1199,calc_data,E$14+1,0),0)</f>
        <v/>
      </c>
      <c r="F1199" s="182">
        <f>IFERROR(VLOOKUP($B1199,calc_data,F$14+1,0),0)</f>
        <v/>
      </c>
      <c r="G1199" s="141">
        <f>IFERROR(VLOOKUP($B1199,calc_data,G$14+1,0),0)</f>
        <v/>
      </c>
      <c r="H1199" s="141">
        <f>IFERROR(VLOOKUP($B1199,calc_data,H$14+1,0),0)</f>
        <v/>
      </c>
      <c r="I1199" s="142">
        <f>IFERROR(VLOOKUP($B1199,calc_data,I$14+1,0),0)</f>
        <v/>
      </c>
      <c r="J1199" s="141">
        <f>IFERROR(VLOOKUP($B1199,calc_data,J$14+1,0),0)</f>
        <v/>
      </c>
      <c r="K1199" s="141">
        <f>IFERROR(VLOOKUP($B1199,calc_data,K$14+1,0),0)</f>
        <v/>
      </c>
      <c r="L1199" s="141">
        <f>IFERROR(VLOOKUP($B1199,calc_data,L$14+1,0),0)</f>
        <v/>
      </c>
      <c r="M1199" s="177">
        <f>IFERROR(VLOOKUP($B1199,calc_data,M$14+1,0),0)</f>
        <v/>
      </c>
      <c r="N1199" s="177">
        <f>IFERROR(VLOOKUP($B1199,calc_data,N$14+1,0),0)</f>
        <v/>
      </c>
      <c r="O1199" s="45" t="n"/>
      <c r="Q1199" s="57">
        <f>IF(K1199&gt;0,"показать","скрыть")</f>
        <v/>
      </c>
    </row>
    <row r="1200" ht="15.75" customHeight="1">
      <c r="B1200" s="182" t="n">
        <v>1184</v>
      </c>
      <c r="C1200" s="182">
        <f>IFERROR(VLOOKUP($B1200,calc_data,C$14+1,0),0)</f>
        <v/>
      </c>
      <c r="D1200" s="182">
        <f>IFERROR(VLOOKUP($B1200,calc_data,D$14+1,0),0)</f>
        <v/>
      </c>
      <c r="E1200" s="183">
        <f>IFERROR(VLOOKUP($B1200,calc_data,E$14+1,0),0)</f>
        <v/>
      </c>
      <c r="F1200" s="182">
        <f>IFERROR(VLOOKUP($B1200,calc_data,F$14+1,0),0)</f>
        <v/>
      </c>
      <c r="G1200" s="141">
        <f>IFERROR(VLOOKUP($B1200,calc_data,G$14+1,0),0)</f>
        <v/>
      </c>
      <c r="H1200" s="141">
        <f>IFERROR(VLOOKUP($B1200,calc_data,H$14+1,0),0)</f>
        <v/>
      </c>
      <c r="I1200" s="142">
        <f>IFERROR(VLOOKUP($B1200,calc_data,I$14+1,0),0)</f>
        <v/>
      </c>
      <c r="J1200" s="141">
        <f>IFERROR(VLOOKUP($B1200,calc_data,J$14+1,0),0)</f>
        <v/>
      </c>
      <c r="K1200" s="141">
        <f>IFERROR(VLOOKUP($B1200,calc_data,K$14+1,0),0)</f>
        <v/>
      </c>
      <c r="L1200" s="141">
        <f>IFERROR(VLOOKUP($B1200,calc_data,L$14+1,0),0)</f>
        <v/>
      </c>
      <c r="M1200" s="177">
        <f>IFERROR(VLOOKUP($B1200,calc_data,M$14+1,0),0)</f>
        <v/>
      </c>
      <c r="N1200" s="177">
        <f>IFERROR(VLOOKUP($B1200,calc_data,N$14+1,0),0)</f>
        <v/>
      </c>
      <c r="O1200" s="45" t="n"/>
      <c r="Q1200" s="57">
        <f>IF(K1200&gt;0,"показать","скрыть")</f>
        <v/>
      </c>
    </row>
    <row r="1201" ht="15.75" customHeight="1">
      <c r="B1201" s="182" t="n">
        <v>1185</v>
      </c>
      <c r="C1201" s="182">
        <f>IFERROR(VLOOKUP($B1201,calc_data,C$14+1,0),0)</f>
        <v/>
      </c>
      <c r="D1201" s="182">
        <f>IFERROR(VLOOKUP($B1201,calc_data,D$14+1,0),0)</f>
        <v/>
      </c>
      <c r="E1201" s="183">
        <f>IFERROR(VLOOKUP($B1201,calc_data,E$14+1,0),0)</f>
        <v/>
      </c>
      <c r="F1201" s="182">
        <f>IFERROR(VLOOKUP($B1201,calc_data,F$14+1,0),0)</f>
        <v/>
      </c>
      <c r="G1201" s="141">
        <f>IFERROR(VLOOKUP($B1201,calc_data,G$14+1,0),0)</f>
        <v/>
      </c>
      <c r="H1201" s="141">
        <f>IFERROR(VLOOKUP($B1201,calc_data,H$14+1,0),0)</f>
        <v/>
      </c>
      <c r="I1201" s="142">
        <f>IFERROR(VLOOKUP($B1201,calc_data,I$14+1,0),0)</f>
        <v/>
      </c>
      <c r="J1201" s="141">
        <f>IFERROR(VLOOKUP($B1201,calc_data,J$14+1,0),0)</f>
        <v/>
      </c>
      <c r="K1201" s="141">
        <f>IFERROR(VLOOKUP($B1201,calc_data,K$14+1,0),0)</f>
        <v/>
      </c>
      <c r="L1201" s="141">
        <f>IFERROR(VLOOKUP($B1201,calc_data,L$14+1,0),0)</f>
        <v/>
      </c>
      <c r="M1201" s="177">
        <f>IFERROR(VLOOKUP($B1201,calc_data,M$14+1,0),0)</f>
        <v/>
      </c>
      <c r="N1201" s="177">
        <f>IFERROR(VLOOKUP($B1201,calc_data,N$14+1,0),0)</f>
        <v/>
      </c>
      <c r="O1201" s="45" t="n"/>
      <c r="Q1201" s="57">
        <f>IF(K1201&gt;0,"показать","скрыть")</f>
        <v/>
      </c>
    </row>
    <row r="1202" ht="15.75" customHeight="1">
      <c r="B1202" s="182" t="n">
        <v>1186</v>
      </c>
      <c r="C1202" s="182">
        <f>IFERROR(VLOOKUP($B1202,calc_data,C$14+1,0),0)</f>
        <v/>
      </c>
      <c r="D1202" s="182">
        <f>IFERROR(VLOOKUP($B1202,calc_data,D$14+1,0),0)</f>
        <v/>
      </c>
      <c r="E1202" s="183">
        <f>IFERROR(VLOOKUP($B1202,calc_data,E$14+1,0),0)</f>
        <v/>
      </c>
      <c r="F1202" s="182">
        <f>IFERROR(VLOOKUP($B1202,calc_data,F$14+1,0),0)</f>
        <v/>
      </c>
      <c r="G1202" s="141">
        <f>IFERROR(VLOOKUP($B1202,calc_data,G$14+1,0),0)</f>
        <v/>
      </c>
      <c r="H1202" s="141">
        <f>IFERROR(VLOOKUP($B1202,calc_data,H$14+1,0),0)</f>
        <v/>
      </c>
      <c r="I1202" s="142">
        <f>IFERROR(VLOOKUP($B1202,calc_data,I$14+1,0),0)</f>
        <v/>
      </c>
      <c r="J1202" s="141">
        <f>IFERROR(VLOOKUP($B1202,calc_data,J$14+1,0),0)</f>
        <v/>
      </c>
      <c r="K1202" s="141">
        <f>IFERROR(VLOOKUP($B1202,calc_data,K$14+1,0),0)</f>
        <v/>
      </c>
      <c r="L1202" s="141">
        <f>IFERROR(VLOOKUP($B1202,calc_data,L$14+1,0),0)</f>
        <v/>
      </c>
      <c r="M1202" s="177">
        <f>IFERROR(VLOOKUP($B1202,calc_data,M$14+1,0),0)</f>
        <v/>
      </c>
      <c r="N1202" s="177">
        <f>IFERROR(VLOOKUP($B1202,calc_data,N$14+1,0),0)</f>
        <v/>
      </c>
      <c r="O1202" s="45" t="n"/>
      <c r="Q1202" s="57">
        <f>IF(K1202&gt;0,"показать","скрыть")</f>
        <v/>
      </c>
    </row>
    <row r="1203" ht="15.75" customHeight="1">
      <c r="B1203" s="182" t="n">
        <v>1187</v>
      </c>
      <c r="C1203" s="182">
        <f>IFERROR(VLOOKUP($B1203,calc_data,C$14+1,0),0)</f>
        <v/>
      </c>
      <c r="D1203" s="182">
        <f>IFERROR(VLOOKUP($B1203,calc_data,D$14+1,0),0)</f>
        <v/>
      </c>
      <c r="E1203" s="183">
        <f>IFERROR(VLOOKUP($B1203,calc_data,E$14+1,0),0)</f>
        <v/>
      </c>
      <c r="F1203" s="182">
        <f>IFERROR(VLOOKUP($B1203,calc_data,F$14+1,0),0)</f>
        <v/>
      </c>
      <c r="G1203" s="141">
        <f>IFERROR(VLOOKUP($B1203,calc_data,G$14+1,0),0)</f>
        <v/>
      </c>
      <c r="H1203" s="141">
        <f>IFERROR(VLOOKUP($B1203,calc_data,H$14+1,0),0)</f>
        <v/>
      </c>
      <c r="I1203" s="142">
        <f>IFERROR(VLOOKUP($B1203,calc_data,I$14+1,0),0)</f>
        <v/>
      </c>
      <c r="J1203" s="141">
        <f>IFERROR(VLOOKUP($B1203,calc_data,J$14+1,0),0)</f>
        <v/>
      </c>
      <c r="K1203" s="141">
        <f>IFERROR(VLOOKUP($B1203,calc_data,K$14+1,0),0)</f>
        <v/>
      </c>
      <c r="L1203" s="141">
        <f>IFERROR(VLOOKUP($B1203,calc_data,L$14+1,0),0)</f>
        <v/>
      </c>
      <c r="M1203" s="177">
        <f>IFERROR(VLOOKUP($B1203,calc_data,M$14+1,0),0)</f>
        <v/>
      </c>
      <c r="N1203" s="177">
        <f>IFERROR(VLOOKUP($B1203,calc_data,N$14+1,0),0)</f>
        <v/>
      </c>
      <c r="O1203" s="45" t="n"/>
      <c r="Q1203" s="57">
        <f>IF(K1203&gt;0,"показать","скрыть")</f>
        <v/>
      </c>
    </row>
    <row r="1204" ht="15.75" customHeight="1">
      <c r="B1204" s="182" t="n">
        <v>1188</v>
      </c>
      <c r="C1204" s="182">
        <f>IFERROR(VLOOKUP($B1204,calc_data,C$14+1,0),0)</f>
        <v/>
      </c>
      <c r="D1204" s="182">
        <f>IFERROR(VLOOKUP($B1204,calc_data,D$14+1,0),0)</f>
        <v/>
      </c>
      <c r="E1204" s="183">
        <f>IFERROR(VLOOKUP($B1204,calc_data,E$14+1,0),0)</f>
        <v/>
      </c>
      <c r="F1204" s="182">
        <f>IFERROR(VLOOKUP($B1204,calc_data,F$14+1,0),0)</f>
        <v/>
      </c>
      <c r="G1204" s="141">
        <f>IFERROR(VLOOKUP($B1204,calc_data,G$14+1,0),0)</f>
        <v/>
      </c>
      <c r="H1204" s="141">
        <f>IFERROR(VLOOKUP($B1204,calc_data,H$14+1,0),0)</f>
        <v/>
      </c>
      <c r="I1204" s="142">
        <f>IFERROR(VLOOKUP($B1204,calc_data,I$14+1,0),0)</f>
        <v/>
      </c>
      <c r="J1204" s="141">
        <f>IFERROR(VLOOKUP($B1204,calc_data,J$14+1,0),0)</f>
        <v/>
      </c>
      <c r="K1204" s="141">
        <f>IFERROR(VLOOKUP($B1204,calc_data,K$14+1,0),0)</f>
        <v/>
      </c>
      <c r="L1204" s="141">
        <f>IFERROR(VLOOKUP($B1204,calc_data,L$14+1,0),0)</f>
        <v/>
      </c>
      <c r="M1204" s="177">
        <f>IFERROR(VLOOKUP($B1204,calc_data,M$14+1,0),0)</f>
        <v/>
      </c>
      <c r="N1204" s="177">
        <f>IFERROR(VLOOKUP($B1204,calc_data,N$14+1,0),0)</f>
        <v/>
      </c>
      <c r="O1204" s="45" t="n"/>
      <c r="Q1204" s="57">
        <f>IF(K1204&gt;0,"показать","скрыть")</f>
        <v/>
      </c>
    </row>
    <row r="1205" ht="15.75" customHeight="1">
      <c r="B1205" s="182" t="n">
        <v>1189</v>
      </c>
      <c r="C1205" s="182">
        <f>IFERROR(VLOOKUP($B1205,calc_data,C$14+1,0),0)</f>
        <v/>
      </c>
      <c r="D1205" s="182">
        <f>IFERROR(VLOOKUP($B1205,calc_data,D$14+1,0),0)</f>
        <v/>
      </c>
      <c r="E1205" s="183">
        <f>IFERROR(VLOOKUP($B1205,calc_data,E$14+1,0),0)</f>
        <v/>
      </c>
      <c r="F1205" s="182">
        <f>IFERROR(VLOOKUP($B1205,calc_data,F$14+1,0),0)</f>
        <v/>
      </c>
      <c r="G1205" s="141">
        <f>IFERROR(VLOOKUP($B1205,calc_data,G$14+1,0),0)</f>
        <v/>
      </c>
      <c r="H1205" s="141">
        <f>IFERROR(VLOOKUP($B1205,calc_data,H$14+1,0),0)</f>
        <v/>
      </c>
      <c r="I1205" s="142">
        <f>IFERROR(VLOOKUP($B1205,calc_data,I$14+1,0),0)</f>
        <v/>
      </c>
      <c r="J1205" s="141">
        <f>IFERROR(VLOOKUP($B1205,calc_data,J$14+1,0),0)</f>
        <v/>
      </c>
      <c r="K1205" s="141">
        <f>IFERROR(VLOOKUP($B1205,calc_data,K$14+1,0),0)</f>
        <v/>
      </c>
      <c r="L1205" s="141">
        <f>IFERROR(VLOOKUP($B1205,calc_data,L$14+1,0),0)</f>
        <v/>
      </c>
      <c r="M1205" s="177">
        <f>IFERROR(VLOOKUP($B1205,calc_data,M$14+1,0),0)</f>
        <v/>
      </c>
      <c r="N1205" s="177">
        <f>IFERROR(VLOOKUP($B1205,calc_data,N$14+1,0),0)</f>
        <v/>
      </c>
      <c r="O1205" s="45" t="n"/>
      <c r="Q1205" s="57">
        <f>IF(K1205&gt;0,"показать","скрыть")</f>
        <v/>
      </c>
    </row>
    <row r="1206" ht="15.75" customHeight="1">
      <c r="B1206" s="182" t="n">
        <v>1190</v>
      </c>
      <c r="C1206" s="182">
        <f>IFERROR(VLOOKUP($B1206,calc_data,C$14+1,0),0)</f>
        <v/>
      </c>
      <c r="D1206" s="182">
        <f>IFERROR(VLOOKUP($B1206,calc_data,D$14+1,0),0)</f>
        <v/>
      </c>
      <c r="E1206" s="183">
        <f>IFERROR(VLOOKUP($B1206,calc_data,E$14+1,0),0)</f>
        <v/>
      </c>
      <c r="F1206" s="182">
        <f>IFERROR(VLOOKUP($B1206,calc_data,F$14+1,0),0)</f>
        <v/>
      </c>
      <c r="G1206" s="141">
        <f>IFERROR(VLOOKUP($B1206,calc_data,G$14+1,0),0)</f>
        <v/>
      </c>
      <c r="H1206" s="141">
        <f>IFERROR(VLOOKUP($B1206,calc_data,H$14+1,0),0)</f>
        <v/>
      </c>
      <c r="I1206" s="142">
        <f>IFERROR(VLOOKUP($B1206,calc_data,I$14+1,0),0)</f>
        <v/>
      </c>
      <c r="J1206" s="141">
        <f>IFERROR(VLOOKUP($B1206,calc_data,J$14+1,0),0)</f>
        <v/>
      </c>
      <c r="K1206" s="141">
        <f>IFERROR(VLOOKUP($B1206,calc_data,K$14+1,0),0)</f>
        <v/>
      </c>
      <c r="L1206" s="141">
        <f>IFERROR(VLOOKUP($B1206,calc_data,L$14+1,0),0)</f>
        <v/>
      </c>
      <c r="M1206" s="177">
        <f>IFERROR(VLOOKUP($B1206,calc_data,M$14+1,0),0)</f>
        <v/>
      </c>
      <c r="N1206" s="177">
        <f>IFERROR(VLOOKUP($B1206,calc_data,N$14+1,0),0)</f>
        <v/>
      </c>
      <c r="O1206" s="45" t="n"/>
      <c r="Q1206" s="57">
        <f>IF(K1206&gt;0,"показать","скрыть")</f>
        <v/>
      </c>
    </row>
    <row r="1207" ht="15.75" customHeight="1">
      <c r="B1207" s="182" t="n">
        <v>1191</v>
      </c>
      <c r="C1207" s="182">
        <f>IFERROR(VLOOKUP($B1207,calc_data,C$14+1,0),0)</f>
        <v/>
      </c>
      <c r="D1207" s="182">
        <f>IFERROR(VLOOKUP($B1207,calc_data,D$14+1,0),0)</f>
        <v/>
      </c>
      <c r="E1207" s="183">
        <f>IFERROR(VLOOKUP($B1207,calc_data,E$14+1,0),0)</f>
        <v/>
      </c>
      <c r="F1207" s="182">
        <f>IFERROR(VLOOKUP($B1207,calc_data,F$14+1,0),0)</f>
        <v/>
      </c>
      <c r="G1207" s="141">
        <f>IFERROR(VLOOKUP($B1207,calc_data,G$14+1,0),0)</f>
        <v/>
      </c>
      <c r="H1207" s="141">
        <f>IFERROR(VLOOKUP($B1207,calc_data,H$14+1,0),0)</f>
        <v/>
      </c>
      <c r="I1207" s="142">
        <f>IFERROR(VLOOKUP($B1207,calc_data,I$14+1,0),0)</f>
        <v/>
      </c>
      <c r="J1207" s="141">
        <f>IFERROR(VLOOKUP($B1207,calc_data,J$14+1,0),0)</f>
        <v/>
      </c>
      <c r="K1207" s="141">
        <f>IFERROR(VLOOKUP($B1207,calc_data,K$14+1,0),0)</f>
        <v/>
      </c>
      <c r="L1207" s="141">
        <f>IFERROR(VLOOKUP($B1207,calc_data,L$14+1,0),0)</f>
        <v/>
      </c>
      <c r="M1207" s="177">
        <f>IFERROR(VLOOKUP($B1207,calc_data,M$14+1,0),0)</f>
        <v/>
      </c>
      <c r="N1207" s="177">
        <f>IFERROR(VLOOKUP($B1207,calc_data,N$14+1,0),0)</f>
        <v/>
      </c>
      <c r="O1207" s="45" t="n"/>
      <c r="Q1207" s="57">
        <f>IF(K1207&gt;0,"показать","скрыть")</f>
        <v/>
      </c>
    </row>
    <row r="1208" ht="15.75" customHeight="1">
      <c r="B1208" s="182" t="n">
        <v>1192</v>
      </c>
      <c r="C1208" s="182">
        <f>IFERROR(VLOOKUP($B1208,calc_data,C$14+1,0),0)</f>
        <v/>
      </c>
      <c r="D1208" s="182">
        <f>IFERROR(VLOOKUP($B1208,calc_data,D$14+1,0),0)</f>
        <v/>
      </c>
      <c r="E1208" s="183">
        <f>IFERROR(VLOOKUP($B1208,calc_data,E$14+1,0),0)</f>
        <v/>
      </c>
      <c r="F1208" s="182">
        <f>IFERROR(VLOOKUP($B1208,calc_data,F$14+1,0),0)</f>
        <v/>
      </c>
      <c r="G1208" s="141">
        <f>IFERROR(VLOOKUP($B1208,calc_data,G$14+1,0),0)</f>
        <v/>
      </c>
      <c r="H1208" s="141">
        <f>IFERROR(VLOOKUP($B1208,calc_data,H$14+1,0),0)</f>
        <v/>
      </c>
      <c r="I1208" s="142">
        <f>IFERROR(VLOOKUP($B1208,calc_data,I$14+1,0),0)</f>
        <v/>
      </c>
      <c r="J1208" s="141">
        <f>IFERROR(VLOOKUP($B1208,calc_data,J$14+1,0),0)</f>
        <v/>
      </c>
      <c r="K1208" s="141">
        <f>IFERROR(VLOOKUP($B1208,calc_data,K$14+1,0),0)</f>
        <v/>
      </c>
      <c r="L1208" s="141">
        <f>IFERROR(VLOOKUP($B1208,calc_data,L$14+1,0),0)</f>
        <v/>
      </c>
      <c r="M1208" s="177">
        <f>IFERROR(VLOOKUP($B1208,calc_data,M$14+1,0),0)</f>
        <v/>
      </c>
      <c r="N1208" s="177">
        <f>IFERROR(VLOOKUP($B1208,calc_data,N$14+1,0),0)</f>
        <v/>
      </c>
      <c r="O1208" s="45" t="n"/>
      <c r="Q1208" s="57">
        <f>IF(K1208&gt;0,"показать","скрыть")</f>
        <v/>
      </c>
    </row>
    <row r="1209" ht="15.75" customHeight="1">
      <c r="B1209" s="182" t="n">
        <v>1193</v>
      </c>
      <c r="C1209" s="182">
        <f>IFERROR(VLOOKUP($B1209,calc_data,C$14+1,0),0)</f>
        <v/>
      </c>
      <c r="D1209" s="182">
        <f>IFERROR(VLOOKUP($B1209,calc_data,D$14+1,0),0)</f>
        <v/>
      </c>
      <c r="E1209" s="183">
        <f>IFERROR(VLOOKUP($B1209,calc_data,E$14+1,0),0)</f>
        <v/>
      </c>
      <c r="F1209" s="182">
        <f>IFERROR(VLOOKUP($B1209,calc_data,F$14+1,0),0)</f>
        <v/>
      </c>
      <c r="G1209" s="141">
        <f>IFERROR(VLOOKUP($B1209,calc_data,G$14+1,0),0)</f>
        <v/>
      </c>
      <c r="H1209" s="141">
        <f>IFERROR(VLOOKUP($B1209,calc_data,H$14+1,0),0)</f>
        <v/>
      </c>
      <c r="I1209" s="142">
        <f>IFERROR(VLOOKUP($B1209,calc_data,I$14+1,0),0)</f>
        <v/>
      </c>
      <c r="J1209" s="141">
        <f>IFERROR(VLOOKUP($B1209,calc_data,J$14+1,0),0)</f>
        <v/>
      </c>
      <c r="K1209" s="141">
        <f>IFERROR(VLOOKUP($B1209,calc_data,K$14+1,0),0)</f>
        <v/>
      </c>
      <c r="L1209" s="141">
        <f>IFERROR(VLOOKUP($B1209,calc_data,L$14+1,0),0)</f>
        <v/>
      </c>
      <c r="M1209" s="177">
        <f>IFERROR(VLOOKUP($B1209,calc_data,M$14+1,0),0)</f>
        <v/>
      </c>
      <c r="N1209" s="177">
        <f>IFERROR(VLOOKUP($B1209,calc_data,N$14+1,0),0)</f>
        <v/>
      </c>
      <c r="O1209" s="45" t="n"/>
      <c r="Q1209" s="57">
        <f>IF(K1209&gt;0,"показать","скрыть")</f>
        <v/>
      </c>
    </row>
    <row r="1210" ht="15.75" customHeight="1">
      <c r="B1210" s="182" t="n">
        <v>1194</v>
      </c>
      <c r="C1210" s="182">
        <f>IFERROR(VLOOKUP($B1210,calc_data,C$14+1,0),0)</f>
        <v/>
      </c>
      <c r="D1210" s="182">
        <f>IFERROR(VLOOKUP($B1210,calc_data,D$14+1,0),0)</f>
        <v/>
      </c>
      <c r="E1210" s="183">
        <f>IFERROR(VLOOKUP($B1210,calc_data,E$14+1,0),0)</f>
        <v/>
      </c>
      <c r="F1210" s="182">
        <f>IFERROR(VLOOKUP($B1210,calc_data,F$14+1,0),0)</f>
        <v/>
      </c>
      <c r="G1210" s="141">
        <f>IFERROR(VLOOKUP($B1210,calc_data,G$14+1,0),0)</f>
        <v/>
      </c>
      <c r="H1210" s="141">
        <f>IFERROR(VLOOKUP($B1210,calc_data,H$14+1,0),0)</f>
        <v/>
      </c>
      <c r="I1210" s="142">
        <f>IFERROR(VLOOKUP($B1210,calc_data,I$14+1,0),0)</f>
        <v/>
      </c>
      <c r="J1210" s="141">
        <f>IFERROR(VLOOKUP($B1210,calc_data,J$14+1,0),0)</f>
        <v/>
      </c>
      <c r="K1210" s="141">
        <f>IFERROR(VLOOKUP($B1210,calc_data,K$14+1,0),0)</f>
        <v/>
      </c>
      <c r="L1210" s="141">
        <f>IFERROR(VLOOKUP($B1210,calc_data,L$14+1,0),0)</f>
        <v/>
      </c>
      <c r="M1210" s="177">
        <f>IFERROR(VLOOKUP($B1210,calc_data,M$14+1,0),0)</f>
        <v/>
      </c>
      <c r="N1210" s="177">
        <f>IFERROR(VLOOKUP($B1210,calc_data,N$14+1,0),0)</f>
        <v/>
      </c>
      <c r="O1210" s="45" t="n"/>
      <c r="Q1210" s="57">
        <f>IF(K1210&gt;0,"показать","скрыть")</f>
        <v/>
      </c>
    </row>
    <row r="1211" ht="15.75" customHeight="1">
      <c r="B1211" s="182" t="n">
        <v>1195</v>
      </c>
      <c r="C1211" s="182">
        <f>IFERROR(VLOOKUP($B1211,calc_data,C$14+1,0),0)</f>
        <v/>
      </c>
      <c r="D1211" s="182">
        <f>IFERROR(VLOOKUP($B1211,calc_data,D$14+1,0),0)</f>
        <v/>
      </c>
      <c r="E1211" s="183">
        <f>IFERROR(VLOOKUP($B1211,calc_data,E$14+1,0),0)</f>
        <v/>
      </c>
      <c r="F1211" s="182">
        <f>IFERROR(VLOOKUP($B1211,calc_data,F$14+1,0),0)</f>
        <v/>
      </c>
      <c r="G1211" s="141">
        <f>IFERROR(VLOOKUP($B1211,calc_data,G$14+1,0),0)</f>
        <v/>
      </c>
      <c r="H1211" s="141">
        <f>IFERROR(VLOOKUP($B1211,calc_data,H$14+1,0),0)</f>
        <v/>
      </c>
      <c r="I1211" s="142">
        <f>IFERROR(VLOOKUP($B1211,calc_data,I$14+1,0),0)</f>
        <v/>
      </c>
      <c r="J1211" s="141">
        <f>IFERROR(VLOOKUP($B1211,calc_data,J$14+1,0),0)</f>
        <v/>
      </c>
      <c r="K1211" s="141">
        <f>IFERROR(VLOOKUP($B1211,calc_data,K$14+1,0),0)</f>
        <v/>
      </c>
      <c r="L1211" s="141">
        <f>IFERROR(VLOOKUP($B1211,calc_data,L$14+1,0),0)</f>
        <v/>
      </c>
      <c r="M1211" s="177">
        <f>IFERROR(VLOOKUP($B1211,calc_data,M$14+1,0),0)</f>
        <v/>
      </c>
      <c r="N1211" s="177">
        <f>IFERROR(VLOOKUP($B1211,calc_data,N$14+1,0),0)</f>
        <v/>
      </c>
      <c r="O1211" s="45" t="n"/>
      <c r="Q1211" s="57">
        <f>IF(K1211&gt;0,"показать","скрыть")</f>
        <v/>
      </c>
    </row>
    <row r="1212" ht="15.75" customHeight="1">
      <c r="B1212" s="182" t="n">
        <v>1196</v>
      </c>
      <c r="C1212" s="182">
        <f>IFERROR(VLOOKUP($B1212,calc_data,C$14+1,0),0)</f>
        <v/>
      </c>
      <c r="D1212" s="182">
        <f>IFERROR(VLOOKUP($B1212,calc_data,D$14+1,0),0)</f>
        <v/>
      </c>
      <c r="E1212" s="183">
        <f>IFERROR(VLOOKUP($B1212,calc_data,E$14+1,0),0)</f>
        <v/>
      </c>
      <c r="F1212" s="182">
        <f>IFERROR(VLOOKUP($B1212,calc_data,F$14+1,0),0)</f>
        <v/>
      </c>
      <c r="G1212" s="141">
        <f>IFERROR(VLOOKUP($B1212,calc_data,G$14+1,0),0)</f>
        <v/>
      </c>
      <c r="H1212" s="141">
        <f>IFERROR(VLOOKUP($B1212,calc_data,H$14+1,0),0)</f>
        <v/>
      </c>
      <c r="I1212" s="142">
        <f>IFERROR(VLOOKUP($B1212,calc_data,I$14+1,0),0)</f>
        <v/>
      </c>
      <c r="J1212" s="141">
        <f>IFERROR(VLOOKUP($B1212,calc_data,J$14+1,0),0)</f>
        <v/>
      </c>
      <c r="K1212" s="141">
        <f>IFERROR(VLOOKUP($B1212,calc_data,K$14+1,0),0)</f>
        <v/>
      </c>
      <c r="L1212" s="141">
        <f>IFERROR(VLOOKUP($B1212,calc_data,L$14+1,0),0)</f>
        <v/>
      </c>
      <c r="M1212" s="177">
        <f>IFERROR(VLOOKUP($B1212,calc_data,M$14+1,0),0)</f>
        <v/>
      </c>
      <c r="N1212" s="177">
        <f>IFERROR(VLOOKUP($B1212,calc_data,N$14+1,0),0)</f>
        <v/>
      </c>
      <c r="O1212" s="45" t="n"/>
      <c r="Q1212" s="57">
        <f>IF(K1212&gt;0,"показать","скрыть")</f>
        <v/>
      </c>
    </row>
    <row r="1213" ht="15.75" customHeight="1">
      <c r="B1213" s="182" t="n">
        <v>1197</v>
      </c>
      <c r="C1213" s="182">
        <f>IFERROR(VLOOKUP($B1213,calc_data,C$14+1,0),0)</f>
        <v/>
      </c>
      <c r="D1213" s="182">
        <f>IFERROR(VLOOKUP($B1213,calc_data,D$14+1,0),0)</f>
        <v/>
      </c>
      <c r="E1213" s="183">
        <f>IFERROR(VLOOKUP($B1213,calc_data,E$14+1,0),0)</f>
        <v/>
      </c>
      <c r="F1213" s="182">
        <f>IFERROR(VLOOKUP($B1213,calc_data,F$14+1,0),0)</f>
        <v/>
      </c>
      <c r="G1213" s="141">
        <f>IFERROR(VLOOKUP($B1213,calc_data,G$14+1,0),0)</f>
        <v/>
      </c>
      <c r="H1213" s="141">
        <f>IFERROR(VLOOKUP($B1213,calc_data,H$14+1,0),0)</f>
        <v/>
      </c>
      <c r="I1213" s="142">
        <f>IFERROR(VLOOKUP($B1213,calc_data,I$14+1,0),0)</f>
        <v/>
      </c>
      <c r="J1213" s="141">
        <f>IFERROR(VLOOKUP($B1213,calc_data,J$14+1,0),0)</f>
        <v/>
      </c>
      <c r="K1213" s="141">
        <f>IFERROR(VLOOKUP($B1213,calc_data,K$14+1,0),0)</f>
        <v/>
      </c>
      <c r="L1213" s="141">
        <f>IFERROR(VLOOKUP($B1213,calc_data,L$14+1,0),0)</f>
        <v/>
      </c>
      <c r="M1213" s="177">
        <f>IFERROR(VLOOKUP($B1213,calc_data,M$14+1,0),0)</f>
        <v/>
      </c>
      <c r="N1213" s="177">
        <f>IFERROR(VLOOKUP($B1213,calc_data,N$14+1,0),0)</f>
        <v/>
      </c>
      <c r="O1213" s="45" t="n"/>
      <c r="Q1213" s="57">
        <f>IF(K1213&gt;0,"показать","скрыть")</f>
        <v/>
      </c>
    </row>
    <row r="1214" ht="15.75" customHeight="1">
      <c r="B1214" s="182" t="n">
        <v>1198</v>
      </c>
      <c r="C1214" s="182">
        <f>IFERROR(VLOOKUP($B1214,calc_data,C$14+1,0),0)</f>
        <v/>
      </c>
      <c r="D1214" s="182">
        <f>IFERROR(VLOOKUP($B1214,calc_data,D$14+1,0),0)</f>
        <v/>
      </c>
      <c r="E1214" s="183">
        <f>IFERROR(VLOOKUP($B1214,calc_data,E$14+1,0),0)</f>
        <v/>
      </c>
      <c r="F1214" s="182">
        <f>IFERROR(VLOOKUP($B1214,calc_data,F$14+1,0),0)</f>
        <v/>
      </c>
      <c r="G1214" s="141">
        <f>IFERROR(VLOOKUP($B1214,calc_data,G$14+1,0),0)</f>
        <v/>
      </c>
      <c r="H1214" s="141">
        <f>IFERROR(VLOOKUP($B1214,calc_data,H$14+1,0),0)</f>
        <v/>
      </c>
      <c r="I1214" s="142">
        <f>IFERROR(VLOOKUP($B1214,calc_data,I$14+1,0),0)</f>
        <v/>
      </c>
      <c r="J1214" s="141">
        <f>IFERROR(VLOOKUP($B1214,calc_data,J$14+1,0),0)</f>
        <v/>
      </c>
      <c r="K1214" s="141">
        <f>IFERROR(VLOOKUP($B1214,calc_data,K$14+1,0),0)</f>
        <v/>
      </c>
      <c r="L1214" s="141">
        <f>IFERROR(VLOOKUP($B1214,calc_data,L$14+1,0),0)</f>
        <v/>
      </c>
      <c r="M1214" s="177">
        <f>IFERROR(VLOOKUP($B1214,calc_data,M$14+1,0),0)</f>
        <v/>
      </c>
      <c r="N1214" s="177">
        <f>IFERROR(VLOOKUP($B1214,calc_data,N$14+1,0),0)</f>
        <v/>
      </c>
      <c r="O1214" s="45" t="n"/>
      <c r="Q1214" s="57">
        <f>IF(K1214&gt;0,"показать","скрыть")</f>
        <v/>
      </c>
    </row>
    <row r="1215" ht="15.75" customHeight="1">
      <c r="B1215" s="182" t="n">
        <v>1199</v>
      </c>
      <c r="C1215" s="182">
        <f>IFERROR(VLOOKUP($B1215,calc_data,C$14+1,0),0)</f>
        <v/>
      </c>
      <c r="D1215" s="182">
        <f>IFERROR(VLOOKUP($B1215,calc_data,D$14+1,0),0)</f>
        <v/>
      </c>
      <c r="E1215" s="183">
        <f>IFERROR(VLOOKUP($B1215,calc_data,E$14+1,0),0)</f>
        <v/>
      </c>
      <c r="F1215" s="182">
        <f>IFERROR(VLOOKUP($B1215,calc_data,F$14+1,0),0)</f>
        <v/>
      </c>
      <c r="G1215" s="141">
        <f>IFERROR(VLOOKUP($B1215,calc_data,G$14+1,0),0)</f>
        <v/>
      </c>
      <c r="H1215" s="141">
        <f>IFERROR(VLOOKUP($B1215,calc_data,H$14+1,0),0)</f>
        <v/>
      </c>
      <c r="I1215" s="142">
        <f>IFERROR(VLOOKUP($B1215,calc_data,I$14+1,0),0)</f>
        <v/>
      </c>
      <c r="J1215" s="141">
        <f>IFERROR(VLOOKUP($B1215,calc_data,J$14+1,0),0)</f>
        <v/>
      </c>
      <c r="K1215" s="141">
        <f>IFERROR(VLOOKUP($B1215,calc_data,K$14+1,0),0)</f>
        <v/>
      </c>
      <c r="L1215" s="141">
        <f>IFERROR(VLOOKUP($B1215,calc_data,L$14+1,0),0)</f>
        <v/>
      </c>
      <c r="M1215" s="177">
        <f>IFERROR(VLOOKUP($B1215,calc_data,M$14+1,0),0)</f>
        <v/>
      </c>
      <c r="N1215" s="177">
        <f>IFERROR(VLOOKUP($B1215,calc_data,N$14+1,0),0)</f>
        <v/>
      </c>
      <c r="O1215" s="45" t="n"/>
      <c r="Q1215" s="57">
        <f>IF(K1215&gt;0,"показать","скрыть")</f>
        <v/>
      </c>
    </row>
    <row r="1216" ht="15.75" customHeight="1">
      <c r="B1216" s="182" t="n">
        <v>1200</v>
      </c>
      <c r="C1216" s="182">
        <f>IFERROR(VLOOKUP($B1216,calc_data,C$14+1,0),0)</f>
        <v/>
      </c>
      <c r="D1216" s="182">
        <f>IFERROR(VLOOKUP($B1216,calc_data,D$14+1,0),0)</f>
        <v/>
      </c>
      <c r="E1216" s="183">
        <f>IFERROR(VLOOKUP($B1216,calc_data,E$14+1,0),0)</f>
        <v/>
      </c>
      <c r="F1216" s="182">
        <f>IFERROR(VLOOKUP($B1216,calc_data,F$14+1,0),0)</f>
        <v/>
      </c>
      <c r="G1216" s="141">
        <f>IFERROR(VLOOKUP($B1216,calc_data,G$14+1,0),0)</f>
        <v/>
      </c>
      <c r="H1216" s="141">
        <f>IFERROR(VLOOKUP($B1216,calc_data,H$14+1,0),0)</f>
        <v/>
      </c>
      <c r="I1216" s="142">
        <f>IFERROR(VLOOKUP($B1216,calc_data,I$14+1,0),0)</f>
        <v/>
      </c>
      <c r="J1216" s="141">
        <f>IFERROR(VLOOKUP($B1216,calc_data,J$14+1,0),0)</f>
        <v/>
      </c>
      <c r="K1216" s="141">
        <f>IFERROR(VLOOKUP($B1216,calc_data,K$14+1,0),0)</f>
        <v/>
      </c>
      <c r="L1216" s="141">
        <f>IFERROR(VLOOKUP($B1216,calc_data,L$14+1,0),0)</f>
        <v/>
      </c>
      <c r="M1216" s="177">
        <f>IFERROR(VLOOKUP($B1216,calc_data,M$14+1,0),0)</f>
        <v/>
      </c>
      <c r="N1216" s="177">
        <f>IFERROR(VLOOKUP($B1216,calc_data,N$14+1,0),0)</f>
        <v/>
      </c>
      <c r="O1216" s="45" t="n"/>
      <c r="Q1216" s="57">
        <f>IF(K1216&gt;0,"показать","скрыть")</f>
        <v/>
      </c>
    </row>
    <row r="1217" ht="15.75" customHeight="1">
      <c r="B1217" s="182" t="n">
        <v>1201</v>
      </c>
      <c r="C1217" s="182">
        <f>IFERROR(VLOOKUP($B1217,calc_data,C$14+1,0),0)</f>
        <v/>
      </c>
      <c r="D1217" s="182">
        <f>IFERROR(VLOOKUP($B1217,calc_data,D$14+1,0),0)</f>
        <v/>
      </c>
      <c r="E1217" s="183">
        <f>IFERROR(VLOOKUP($B1217,calc_data,E$14+1,0),0)</f>
        <v/>
      </c>
      <c r="F1217" s="182">
        <f>IFERROR(VLOOKUP($B1217,calc_data,F$14+1,0),0)</f>
        <v/>
      </c>
      <c r="G1217" s="141">
        <f>IFERROR(VLOOKUP($B1217,calc_data,G$14+1,0),0)</f>
        <v/>
      </c>
      <c r="H1217" s="141">
        <f>IFERROR(VLOOKUP($B1217,calc_data,H$14+1,0),0)</f>
        <v/>
      </c>
      <c r="I1217" s="142">
        <f>IFERROR(VLOOKUP($B1217,calc_data,I$14+1,0),0)</f>
        <v/>
      </c>
      <c r="J1217" s="141">
        <f>IFERROR(VLOOKUP($B1217,calc_data,J$14+1,0),0)</f>
        <v/>
      </c>
      <c r="K1217" s="141">
        <f>IFERROR(VLOOKUP($B1217,calc_data,K$14+1,0),0)</f>
        <v/>
      </c>
      <c r="L1217" s="141">
        <f>IFERROR(VLOOKUP($B1217,calc_data,L$14+1,0),0)</f>
        <v/>
      </c>
      <c r="M1217" s="177">
        <f>IFERROR(VLOOKUP($B1217,calc_data,M$14+1,0),0)</f>
        <v/>
      </c>
      <c r="N1217" s="177">
        <f>IFERROR(VLOOKUP($B1217,calc_data,N$14+1,0),0)</f>
        <v/>
      </c>
      <c r="O1217" s="45" t="n"/>
      <c r="Q1217" s="57">
        <f>IF(K1217&gt;0,"показать","скрыть")</f>
        <v/>
      </c>
    </row>
    <row r="1218" ht="15.75" customHeight="1">
      <c r="B1218" s="182" t="n">
        <v>1202</v>
      </c>
      <c r="C1218" s="182">
        <f>IFERROR(VLOOKUP($B1218,calc_data,C$14+1,0),0)</f>
        <v/>
      </c>
      <c r="D1218" s="182">
        <f>IFERROR(VLOOKUP($B1218,calc_data,D$14+1,0),0)</f>
        <v/>
      </c>
      <c r="E1218" s="183">
        <f>IFERROR(VLOOKUP($B1218,calc_data,E$14+1,0),0)</f>
        <v/>
      </c>
      <c r="F1218" s="182">
        <f>IFERROR(VLOOKUP($B1218,calc_data,F$14+1,0),0)</f>
        <v/>
      </c>
      <c r="G1218" s="141">
        <f>IFERROR(VLOOKUP($B1218,calc_data,G$14+1,0),0)</f>
        <v/>
      </c>
      <c r="H1218" s="141">
        <f>IFERROR(VLOOKUP($B1218,calc_data,H$14+1,0),0)</f>
        <v/>
      </c>
      <c r="I1218" s="142">
        <f>IFERROR(VLOOKUP($B1218,calc_data,I$14+1,0),0)</f>
        <v/>
      </c>
      <c r="J1218" s="141">
        <f>IFERROR(VLOOKUP($B1218,calc_data,J$14+1,0),0)</f>
        <v/>
      </c>
      <c r="K1218" s="141">
        <f>IFERROR(VLOOKUP($B1218,calc_data,K$14+1,0),0)</f>
        <v/>
      </c>
      <c r="L1218" s="141">
        <f>IFERROR(VLOOKUP($B1218,calc_data,L$14+1,0),0)</f>
        <v/>
      </c>
      <c r="M1218" s="177">
        <f>IFERROR(VLOOKUP($B1218,calc_data,M$14+1,0),0)</f>
        <v/>
      </c>
      <c r="N1218" s="177">
        <f>IFERROR(VLOOKUP($B1218,calc_data,N$14+1,0),0)</f>
        <v/>
      </c>
      <c r="O1218" s="45" t="n"/>
      <c r="Q1218" s="57">
        <f>IF(K1218&gt;0,"показать","скрыть")</f>
        <v/>
      </c>
    </row>
    <row r="1219" ht="15.75" customHeight="1">
      <c r="B1219" s="182" t="n">
        <v>1203</v>
      </c>
      <c r="C1219" s="182">
        <f>IFERROR(VLOOKUP($B1219,calc_data,C$14+1,0),0)</f>
        <v/>
      </c>
      <c r="D1219" s="182">
        <f>IFERROR(VLOOKUP($B1219,calc_data,D$14+1,0),0)</f>
        <v/>
      </c>
      <c r="E1219" s="183">
        <f>IFERROR(VLOOKUP($B1219,calc_data,E$14+1,0),0)</f>
        <v/>
      </c>
      <c r="F1219" s="182">
        <f>IFERROR(VLOOKUP($B1219,calc_data,F$14+1,0),0)</f>
        <v/>
      </c>
      <c r="G1219" s="141">
        <f>IFERROR(VLOOKUP($B1219,calc_data,G$14+1,0),0)</f>
        <v/>
      </c>
      <c r="H1219" s="141">
        <f>IFERROR(VLOOKUP($B1219,calc_data,H$14+1,0),0)</f>
        <v/>
      </c>
      <c r="I1219" s="142">
        <f>IFERROR(VLOOKUP($B1219,calc_data,I$14+1,0),0)</f>
        <v/>
      </c>
      <c r="J1219" s="141">
        <f>IFERROR(VLOOKUP($B1219,calc_data,J$14+1,0),0)</f>
        <v/>
      </c>
      <c r="K1219" s="141">
        <f>IFERROR(VLOOKUP($B1219,calc_data,K$14+1,0),0)</f>
        <v/>
      </c>
      <c r="L1219" s="141">
        <f>IFERROR(VLOOKUP($B1219,calc_data,L$14+1,0),0)</f>
        <v/>
      </c>
      <c r="M1219" s="177">
        <f>IFERROR(VLOOKUP($B1219,calc_data,M$14+1,0),0)</f>
        <v/>
      </c>
      <c r="N1219" s="177">
        <f>IFERROR(VLOOKUP($B1219,calc_data,N$14+1,0),0)</f>
        <v/>
      </c>
      <c r="O1219" s="45" t="n"/>
      <c r="Q1219" s="57">
        <f>IF(K1219&gt;0,"показать","скрыть")</f>
        <v/>
      </c>
    </row>
    <row r="1220" ht="15.75" customHeight="1">
      <c r="B1220" s="182" t="n">
        <v>1204</v>
      </c>
      <c r="C1220" s="182">
        <f>IFERROR(VLOOKUP($B1220,calc_data,C$14+1,0),0)</f>
        <v/>
      </c>
      <c r="D1220" s="182">
        <f>IFERROR(VLOOKUP($B1220,calc_data,D$14+1,0),0)</f>
        <v/>
      </c>
      <c r="E1220" s="183">
        <f>IFERROR(VLOOKUP($B1220,calc_data,E$14+1,0),0)</f>
        <v/>
      </c>
      <c r="F1220" s="182">
        <f>IFERROR(VLOOKUP($B1220,calc_data,F$14+1,0),0)</f>
        <v/>
      </c>
      <c r="G1220" s="141">
        <f>IFERROR(VLOOKUP($B1220,calc_data,G$14+1,0),0)</f>
        <v/>
      </c>
      <c r="H1220" s="141">
        <f>IFERROR(VLOOKUP($B1220,calc_data,H$14+1,0),0)</f>
        <v/>
      </c>
      <c r="I1220" s="142">
        <f>IFERROR(VLOOKUP($B1220,calc_data,I$14+1,0),0)</f>
        <v/>
      </c>
      <c r="J1220" s="141">
        <f>IFERROR(VLOOKUP($B1220,calc_data,J$14+1,0),0)</f>
        <v/>
      </c>
      <c r="K1220" s="141">
        <f>IFERROR(VLOOKUP($B1220,calc_data,K$14+1,0),0)</f>
        <v/>
      </c>
      <c r="L1220" s="141">
        <f>IFERROR(VLOOKUP($B1220,calc_data,L$14+1,0),0)</f>
        <v/>
      </c>
      <c r="M1220" s="177">
        <f>IFERROR(VLOOKUP($B1220,calc_data,M$14+1,0),0)</f>
        <v/>
      </c>
      <c r="N1220" s="177">
        <f>IFERROR(VLOOKUP($B1220,calc_data,N$14+1,0),0)</f>
        <v/>
      </c>
      <c r="O1220" s="45" t="n"/>
      <c r="Q1220" s="57">
        <f>IF(K1220&gt;0,"показать","скрыть")</f>
        <v/>
      </c>
    </row>
    <row r="1221" ht="15.75" customHeight="1">
      <c r="B1221" s="182" t="n">
        <v>1205</v>
      </c>
      <c r="C1221" s="182">
        <f>IFERROR(VLOOKUP($B1221,calc_data,C$14+1,0),0)</f>
        <v/>
      </c>
      <c r="D1221" s="182">
        <f>IFERROR(VLOOKUP($B1221,calc_data,D$14+1,0),0)</f>
        <v/>
      </c>
      <c r="E1221" s="183">
        <f>IFERROR(VLOOKUP($B1221,calc_data,E$14+1,0),0)</f>
        <v/>
      </c>
      <c r="F1221" s="182">
        <f>IFERROR(VLOOKUP($B1221,calc_data,F$14+1,0),0)</f>
        <v/>
      </c>
      <c r="G1221" s="141">
        <f>IFERROR(VLOOKUP($B1221,calc_data,G$14+1,0),0)</f>
        <v/>
      </c>
      <c r="H1221" s="141">
        <f>IFERROR(VLOOKUP($B1221,calc_data,H$14+1,0),0)</f>
        <v/>
      </c>
      <c r="I1221" s="142">
        <f>IFERROR(VLOOKUP($B1221,calc_data,I$14+1,0),0)</f>
        <v/>
      </c>
      <c r="J1221" s="141">
        <f>IFERROR(VLOOKUP($B1221,calc_data,J$14+1,0),0)</f>
        <v/>
      </c>
      <c r="K1221" s="141">
        <f>IFERROR(VLOOKUP($B1221,calc_data,K$14+1,0),0)</f>
        <v/>
      </c>
      <c r="L1221" s="141">
        <f>IFERROR(VLOOKUP($B1221,calc_data,L$14+1,0),0)</f>
        <v/>
      </c>
      <c r="M1221" s="177">
        <f>IFERROR(VLOOKUP($B1221,calc_data,M$14+1,0),0)</f>
        <v/>
      </c>
      <c r="N1221" s="177">
        <f>IFERROR(VLOOKUP($B1221,calc_data,N$14+1,0),0)</f>
        <v/>
      </c>
      <c r="O1221" s="45" t="n"/>
      <c r="Q1221" s="57">
        <f>IF(K1221&gt;0,"показать","скрыть")</f>
        <v/>
      </c>
    </row>
    <row r="1222" ht="15.75" customHeight="1">
      <c r="B1222" s="182" t="n">
        <v>1206</v>
      </c>
      <c r="C1222" s="182">
        <f>IFERROR(VLOOKUP($B1222,calc_data,C$14+1,0),0)</f>
        <v/>
      </c>
      <c r="D1222" s="182">
        <f>IFERROR(VLOOKUP($B1222,calc_data,D$14+1,0),0)</f>
        <v/>
      </c>
      <c r="E1222" s="183">
        <f>IFERROR(VLOOKUP($B1222,calc_data,E$14+1,0),0)</f>
        <v/>
      </c>
      <c r="F1222" s="182">
        <f>IFERROR(VLOOKUP($B1222,calc_data,F$14+1,0),0)</f>
        <v/>
      </c>
      <c r="G1222" s="141">
        <f>IFERROR(VLOOKUP($B1222,calc_data,G$14+1,0),0)</f>
        <v/>
      </c>
      <c r="H1222" s="141">
        <f>IFERROR(VLOOKUP($B1222,calc_data,H$14+1,0),0)</f>
        <v/>
      </c>
      <c r="I1222" s="142">
        <f>IFERROR(VLOOKUP($B1222,calc_data,I$14+1,0),0)</f>
        <v/>
      </c>
      <c r="J1222" s="141">
        <f>IFERROR(VLOOKUP($B1222,calc_data,J$14+1,0),0)</f>
        <v/>
      </c>
      <c r="K1222" s="141">
        <f>IFERROR(VLOOKUP($B1222,calc_data,K$14+1,0),0)</f>
        <v/>
      </c>
      <c r="L1222" s="141">
        <f>IFERROR(VLOOKUP($B1222,calc_data,L$14+1,0),0)</f>
        <v/>
      </c>
      <c r="M1222" s="177">
        <f>IFERROR(VLOOKUP($B1222,calc_data,M$14+1,0),0)</f>
        <v/>
      </c>
      <c r="N1222" s="177">
        <f>IFERROR(VLOOKUP($B1222,calc_data,N$14+1,0),0)</f>
        <v/>
      </c>
      <c r="O1222" s="45" t="n"/>
      <c r="Q1222" s="57">
        <f>IF(K1222&gt;0,"показать","скрыть")</f>
        <v/>
      </c>
    </row>
    <row r="1223" ht="15.75" customHeight="1">
      <c r="B1223" s="182" t="n">
        <v>1207</v>
      </c>
      <c r="C1223" s="182">
        <f>IFERROR(VLOOKUP($B1223,calc_data,C$14+1,0),0)</f>
        <v/>
      </c>
      <c r="D1223" s="182">
        <f>IFERROR(VLOOKUP($B1223,calc_data,D$14+1,0),0)</f>
        <v/>
      </c>
      <c r="E1223" s="183">
        <f>IFERROR(VLOOKUP($B1223,calc_data,E$14+1,0),0)</f>
        <v/>
      </c>
      <c r="F1223" s="182">
        <f>IFERROR(VLOOKUP($B1223,calc_data,F$14+1,0),0)</f>
        <v/>
      </c>
      <c r="G1223" s="141">
        <f>IFERROR(VLOOKUP($B1223,calc_data,G$14+1,0),0)</f>
        <v/>
      </c>
      <c r="H1223" s="141">
        <f>IFERROR(VLOOKUP($B1223,calc_data,H$14+1,0),0)</f>
        <v/>
      </c>
      <c r="I1223" s="142">
        <f>IFERROR(VLOOKUP($B1223,calc_data,I$14+1,0),0)</f>
        <v/>
      </c>
      <c r="J1223" s="141">
        <f>IFERROR(VLOOKUP($B1223,calc_data,J$14+1,0),0)</f>
        <v/>
      </c>
      <c r="K1223" s="141">
        <f>IFERROR(VLOOKUP($B1223,calc_data,K$14+1,0),0)</f>
        <v/>
      </c>
      <c r="L1223" s="141">
        <f>IFERROR(VLOOKUP($B1223,calc_data,L$14+1,0),0)</f>
        <v/>
      </c>
      <c r="M1223" s="177">
        <f>IFERROR(VLOOKUP($B1223,calc_data,M$14+1,0),0)</f>
        <v/>
      </c>
      <c r="N1223" s="177">
        <f>IFERROR(VLOOKUP($B1223,calc_data,N$14+1,0),0)</f>
        <v/>
      </c>
      <c r="O1223" s="45" t="n"/>
      <c r="Q1223" s="57">
        <f>IF(K1223&gt;0,"показать","скрыть")</f>
        <v/>
      </c>
    </row>
    <row r="1224" ht="15.75" customHeight="1">
      <c r="B1224" s="182" t="n">
        <v>1208</v>
      </c>
      <c r="C1224" s="182">
        <f>IFERROR(VLOOKUP($B1224,calc_data,C$14+1,0),0)</f>
        <v/>
      </c>
      <c r="D1224" s="182">
        <f>IFERROR(VLOOKUP($B1224,calc_data,D$14+1,0),0)</f>
        <v/>
      </c>
      <c r="E1224" s="183">
        <f>IFERROR(VLOOKUP($B1224,calc_data,E$14+1,0),0)</f>
        <v/>
      </c>
      <c r="F1224" s="182">
        <f>IFERROR(VLOOKUP($B1224,calc_data,F$14+1,0),0)</f>
        <v/>
      </c>
      <c r="G1224" s="141">
        <f>IFERROR(VLOOKUP($B1224,calc_data,G$14+1,0),0)</f>
        <v/>
      </c>
      <c r="H1224" s="141">
        <f>IFERROR(VLOOKUP($B1224,calc_data,H$14+1,0),0)</f>
        <v/>
      </c>
      <c r="I1224" s="142">
        <f>IFERROR(VLOOKUP($B1224,calc_data,I$14+1,0),0)</f>
        <v/>
      </c>
      <c r="J1224" s="141">
        <f>IFERROR(VLOOKUP($B1224,calc_data,J$14+1,0),0)</f>
        <v/>
      </c>
      <c r="K1224" s="141">
        <f>IFERROR(VLOOKUP($B1224,calc_data,K$14+1,0),0)</f>
        <v/>
      </c>
      <c r="L1224" s="141">
        <f>IFERROR(VLOOKUP($B1224,calc_data,L$14+1,0),0)</f>
        <v/>
      </c>
      <c r="M1224" s="177">
        <f>IFERROR(VLOOKUP($B1224,calc_data,M$14+1,0),0)</f>
        <v/>
      </c>
      <c r="N1224" s="177">
        <f>IFERROR(VLOOKUP($B1224,calc_data,N$14+1,0),0)</f>
        <v/>
      </c>
      <c r="O1224" s="45" t="n"/>
      <c r="Q1224" s="57">
        <f>IF(K1224&gt;0,"показать","скрыть")</f>
        <v/>
      </c>
    </row>
    <row r="1225" ht="15.75" customHeight="1">
      <c r="B1225" s="182" t="n">
        <v>1209</v>
      </c>
      <c r="C1225" s="182">
        <f>IFERROR(VLOOKUP($B1225,calc_data,C$14+1,0),0)</f>
        <v/>
      </c>
      <c r="D1225" s="182">
        <f>IFERROR(VLOOKUP($B1225,calc_data,D$14+1,0),0)</f>
        <v/>
      </c>
      <c r="E1225" s="183">
        <f>IFERROR(VLOOKUP($B1225,calc_data,E$14+1,0),0)</f>
        <v/>
      </c>
      <c r="F1225" s="182">
        <f>IFERROR(VLOOKUP($B1225,calc_data,F$14+1,0),0)</f>
        <v/>
      </c>
      <c r="G1225" s="141">
        <f>IFERROR(VLOOKUP($B1225,calc_data,G$14+1,0),0)</f>
        <v/>
      </c>
      <c r="H1225" s="141">
        <f>IFERROR(VLOOKUP($B1225,calc_data,H$14+1,0),0)</f>
        <v/>
      </c>
      <c r="I1225" s="142">
        <f>IFERROR(VLOOKUP($B1225,calc_data,I$14+1,0),0)</f>
        <v/>
      </c>
      <c r="J1225" s="141">
        <f>IFERROR(VLOOKUP($B1225,calc_data,J$14+1,0),0)</f>
        <v/>
      </c>
      <c r="K1225" s="141">
        <f>IFERROR(VLOOKUP($B1225,calc_data,K$14+1,0),0)</f>
        <v/>
      </c>
      <c r="L1225" s="141">
        <f>IFERROR(VLOOKUP($B1225,calc_data,L$14+1,0),0)</f>
        <v/>
      </c>
      <c r="M1225" s="177">
        <f>IFERROR(VLOOKUP($B1225,calc_data,M$14+1,0),0)</f>
        <v/>
      </c>
      <c r="N1225" s="177">
        <f>IFERROR(VLOOKUP($B1225,calc_data,N$14+1,0),0)</f>
        <v/>
      </c>
      <c r="O1225" s="45" t="n"/>
      <c r="Q1225" s="57">
        <f>IF(K1225&gt;0,"показать","скрыть")</f>
        <v/>
      </c>
    </row>
    <row r="1226" ht="15.75" customHeight="1">
      <c r="B1226" s="182" t="n">
        <v>1210</v>
      </c>
      <c r="C1226" s="182">
        <f>IFERROR(VLOOKUP($B1226,calc_data,C$14+1,0),0)</f>
        <v/>
      </c>
      <c r="D1226" s="182">
        <f>IFERROR(VLOOKUP($B1226,calc_data,D$14+1,0),0)</f>
        <v/>
      </c>
      <c r="E1226" s="183">
        <f>IFERROR(VLOOKUP($B1226,calc_data,E$14+1,0),0)</f>
        <v/>
      </c>
      <c r="F1226" s="182">
        <f>IFERROR(VLOOKUP($B1226,calc_data,F$14+1,0),0)</f>
        <v/>
      </c>
      <c r="G1226" s="141">
        <f>IFERROR(VLOOKUP($B1226,calc_data,G$14+1,0),0)</f>
        <v/>
      </c>
      <c r="H1226" s="141">
        <f>IFERROR(VLOOKUP($B1226,calc_data,H$14+1,0),0)</f>
        <v/>
      </c>
      <c r="I1226" s="142">
        <f>IFERROR(VLOOKUP($B1226,calc_data,I$14+1,0),0)</f>
        <v/>
      </c>
      <c r="J1226" s="141">
        <f>IFERROR(VLOOKUP($B1226,calc_data,J$14+1,0),0)</f>
        <v/>
      </c>
      <c r="K1226" s="141">
        <f>IFERROR(VLOOKUP($B1226,calc_data,K$14+1,0),0)</f>
        <v/>
      </c>
      <c r="L1226" s="141">
        <f>IFERROR(VLOOKUP($B1226,calc_data,L$14+1,0),0)</f>
        <v/>
      </c>
      <c r="M1226" s="177">
        <f>IFERROR(VLOOKUP($B1226,calc_data,M$14+1,0),0)</f>
        <v/>
      </c>
      <c r="N1226" s="177">
        <f>IFERROR(VLOOKUP($B1226,calc_data,N$14+1,0),0)</f>
        <v/>
      </c>
      <c r="O1226" s="45" t="n"/>
      <c r="Q1226" s="57">
        <f>IF(K1226&gt;0,"показать","скрыть")</f>
        <v/>
      </c>
    </row>
    <row r="1227" ht="15.75" customHeight="1">
      <c r="B1227" s="182" t="n">
        <v>1211</v>
      </c>
      <c r="C1227" s="182">
        <f>IFERROR(VLOOKUP($B1227,calc_data,C$14+1,0),0)</f>
        <v/>
      </c>
      <c r="D1227" s="182">
        <f>IFERROR(VLOOKUP($B1227,calc_data,D$14+1,0),0)</f>
        <v/>
      </c>
      <c r="E1227" s="183">
        <f>IFERROR(VLOOKUP($B1227,calc_data,E$14+1,0),0)</f>
        <v/>
      </c>
      <c r="F1227" s="182">
        <f>IFERROR(VLOOKUP($B1227,calc_data,F$14+1,0),0)</f>
        <v/>
      </c>
      <c r="G1227" s="141">
        <f>IFERROR(VLOOKUP($B1227,calc_data,G$14+1,0),0)</f>
        <v/>
      </c>
      <c r="H1227" s="141">
        <f>IFERROR(VLOOKUP($B1227,calc_data,H$14+1,0),0)</f>
        <v/>
      </c>
      <c r="I1227" s="142">
        <f>IFERROR(VLOOKUP($B1227,calc_data,I$14+1,0),0)</f>
        <v/>
      </c>
      <c r="J1227" s="141">
        <f>IFERROR(VLOOKUP($B1227,calc_data,J$14+1,0),0)</f>
        <v/>
      </c>
      <c r="K1227" s="141">
        <f>IFERROR(VLOOKUP($B1227,calc_data,K$14+1,0),0)</f>
        <v/>
      </c>
      <c r="L1227" s="141">
        <f>IFERROR(VLOOKUP($B1227,calc_data,L$14+1,0),0)</f>
        <v/>
      </c>
      <c r="M1227" s="177">
        <f>IFERROR(VLOOKUP($B1227,calc_data,M$14+1,0),0)</f>
        <v/>
      </c>
      <c r="N1227" s="177">
        <f>IFERROR(VLOOKUP($B1227,calc_data,N$14+1,0),0)</f>
        <v/>
      </c>
      <c r="O1227" s="45" t="n"/>
      <c r="Q1227" s="57">
        <f>IF(K1227&gt;0,"показать","скрыть")</f>
        <v/>
      </c>
    </row>
    <row r="1228" ht="15.75" customHeight="1">
      <c r="B1228" s="182" t="n">
        <v>1212</v>
      </c>
      <c r="C1228" s="182">
        <f>IFERROR(VLOOKUP($B1228,calc_data,C$14+1,0),0)</f>
        <v/>
      </c>
      <c r="D1228" s="182">
        <f>IFERROR(VLOOKUP($B1228,calc_data,D$14+1,0),0)</f>
        <v/>
      </c>
      <c r="E1228" s="183">
        <f>IFERROR(VLOOKUP($B1228,calc_data,E$14+1,0),0)</f>
        <v/>
      </c>
      <c r="F1228" s="182">
        <f>IFERROR(VLOOKUP($B1228,calc_data,F$14+1,0),0)</f>
        <v/>
      </c>
      <c r="G1228" s="141">
        <f>IFERROR(VLOOKUP($B1228,calc_data,G$14+1,0),0)</f>
        <v/>
      </c>
      <c r="H1228" s="141">
        <f>IFERROR(VLOOKUP($B1228,calc_data,H$14+1,0),0)</f>
        <v/>
      </c>
      <c r="I1228" s="142">
        <f>IFERROR(VLOOKUP($B1228,calc_data,I$14+1,0),0)</f>
        <v/>
      </c>
      <c r="J1228" s="141">
        <f>IFERROR(VLOOKUP($B1228,calc_data,J$14+1,0),0)</f>
        <v/>
      </c>
      <c r="K1228" s="141">
        <f>IFERROR(VLOOKUP($B1228,calc_data,K$14+1,0),0)</f>
        <v/>
      </c>
      <c r="L1228" s="141">
        <f>IFERROR(VLOOKUP($B1228,calc_data,L$14+1,0),0)</f>
        <v/>
      </c>
      <c r="M1228" s="177">
        <f>IFERROR(VLOOKUP($B1228,calc_data,M$14+1,0),0)</f>
        <v/>
      </c>
      <c r="N1228" s="177">
        <f>IFERROR(VLOOKUP($B1228,calc_data,N$14+1,0),0)</f>
        <v/>
      </c>
      <c r="O1228" s="45" t="n"/>
      <c r="Q1228" s="57">
        <f>IF(K1228&gt;0,"показать","скрыть")</f>
        <v/>
      </c>
    </row>
    <row r="1229" ht="15.75" customHeight="1">
      <c r="B1229" s="182" t="n">
        <v>1213</v>
      </c>
      <c r="C1229" s="182">
        <f>IFERROR(VLOOKUP($B1229,calc_data,C$14+1,0),0)</f>
        <v/>
      </c>
      <c r="D1229" s="182">
        <f>IFERROR(VLOOKUP($B1229,calc_data,D$14+1,0),0)</f>
        <v/>
      </c>
      <c r="E1229" s="183">
        <f>IFERROR(VLOOKUP($B1229,calc_data,E$14+1,0),0)</f>
        <v/>
      </c>
      <c r="F1229" s="182">
        <f>IFERROR(VLOOKUP($B1229,calc_data,F$14+1,0),0)</f>
        <v/>
      </c>
      <c r="G1229" s="141">
        <f>IFERROR(VLOOKUP($B1229,calc_data,G$14+1,0),0)</f>
        <v/>
      </c>
      <c r="H1229" s="141">
        <f>IFERROR(VLOOKUP($B1229,calc_data,H$14+1,0),0)</f>
        <v/>
      </c>
      <c r="I1229" s="142">
        <f>IFERROR(VLOOKUP($B1229,calc_data,I$14+1,0),0)</f>
        <v/>
      </c>
      <c r="J1229" s="141">
        <f>IFERROR(VLOOKUP($B1229,calc_data,J$14+1,0),0)</f>
        <v/>
      </c>
      <c r="K1229" s="141">
        <f>IFERROR(VLOOKUP($B1229,calc_data,K$14+1,0),0)</f>
        <v/>
      </c>
      <c r="L1229" s="141">
        <f>IFERROR(VLOOKUP($B1229,calc_data,L$14+1,0),0)</f>
        <v/>
      </c>
      <c r="M1229" s="177">
        <f>IFERROR(VLOOKUP($B1229,calc_data,M$14+1,0),0)</f>
        <v/>
      </c>
      <c r="N1229" s="177">
        <f>IFERROR(VLOOKUP($B1229,calc_data,N$14+1,0),0)</f>
        <v/>
      </c>
      <c r="O1229" s="45" t="n"/>
      <c r="Q1229" s="57">
        <f>IF(K1229&gt;0,"показать","скрыть")</f>
        <v/>
      </c>
    </row>
    <row r="1230" ht="15.75" customHeight="1">
      <c r="B1230" s="182" t="n">
        <v>1214</v>
      </c>
      <c r="C1230" s="182">
        <f>IFERROR(VLOOKUP($B1230,calc_data,C$14+1,0),0)</f>
        <v/>
      </c>
      <c r="D1230" s="182">
        <f>IFERROR(VLOOKUP($B1230,calc_data,D$14+1,0),0)</f>
        <v/>
      </c>
      <c r="E1230" s="183">
        <f>IFERROR(VLOOKUP($B1230,calc_data,E$14+1,0),0)</f>
        <v/>
      </c>
      <c r="F1230" s="182">
        <f>IFERROR(VLOOKUP($B1230,calc_data,F$14+1,0),0)</f>
        <v/>
      </c>
      <c r="G1230" s="141">
        <f>IFERROR(VLOOKUP($B1230,calc_data,G$14+1,0),0)</f>
        <v/>
      </c>
      <c r="H1230" s="141">
        <f>IFERROR(VLOOKUP($B1230,calc_data,H$14+1,0),0)</f>
        <v/>
      </c>
      <c r="I1230" s="142">
        <f>IFERROR(VLOOKUP($B1230,calc_data,I$14+1,0),0)</f>
        <v/>
      </c>
      <c r="J1230" s="141">
        <f>IFERROR(VLOOKUP($B1230,calc_data,J$14+1,0),0)</f>
        <v/>
      </c>
      <c r="K1230" s="141">
        <f>IFERROR(VLOOKUP($B1230,calc_data,K$14+1,0),0)</f>
        <v/>
      </c>
      <c r="L1230" s="141">
        <f>IFERROR(VLOOKUP($B1230,calc_data,L$14+1,0),0)</f>
        <v/>
      </c>
      <c r="M1230" s="177">
        <f>IFERROR(VLOOKUP($B1230,calc_data,M$14+1,0),0)</f>
        <v/>
      </c>
      <c r="N1230" s="177">
        <f>IFERROR(VLOOKUP($B1230,calc_data,N$14+1,0),0)</f>
        <v/>
      </c>
      <c r="O1230" s="45" t="n"/>
      <c r="Q1230" s="57">
        <f>IF(K1230&gt;0,"показать","скрыть")</f>
        <v/>
      </c>
    </row>
    <row r="1231" ht="15.75" customHeight="1">
      <c r="B1231" s="182" t="n">
        <v>1215</v>
      </c>
      <c r="C1231" s="182">
        <f>IFERROR(VLOOKUP($B1231,calc_data,C$14+1,0),0)</f>
        <v/>
      </c>
      <c r="D1231" s="182">
        <f>IFERROR(VLOOKUP($B1231,calc_data,D$14+1,0),0)</f>
        <v/>
      </c>
      <c r="E1231" s="183">
        <f>IFERROR(VLOOKUP($B1231,calc_data,E$14+1,0),0)</f>
        <v/>
      </c>
      <c r="F1231" s="182">
        <f>IFERROR(VLOOKUP($B1231,calc_data,F$14+1,0),0)</f>
        <v/>
      </c>
      <c r="G1231" s="141">
        <f>IFERROR(VLOOKUP($B1231,calc_data,G$14+1,0),0)</f>
        <v/>
      </c>
      <c r="H1231" s="141">
        <f>IFERROR(VLOOKUP($B1231,calc_data,H$14+1,0),0)</f>
        <v/>
      </c>
      <c r="I1231" s="142">
        <f>IFERROR(VLOOKUP($B1231,calc_data,I$14+1,0),0)</f>
        <v/>
      </c>
      <c r="J1231" s="141">
        <f>IFERROR(VLOOKUP($B1231,calc_data,J$14+1,0),0)</f>
        <v/>
      </c>
      <c r="K1231" s="141">
        <f>IFERROR(VLOOKUP($B1231,calc_data,K$14+1,0),0)</f>
        <v/>
      </c>
      <c r="L1231" s="141">
        <f>IFERROR(VLOOKUP($B1231,calc_data,L$14+1,0),0)</f>
        <v/>
      </c>
      <c r="M1231" s="177">
        <f>IFERROR(VLOOKUP($B1231,calc_data,M$14+1,0),0)</f>
        <v/>
      </c>
      <c r="N1231" s="177">
        <f>IFERROR(VLOOKUP($B1231,calc_data,N$14+1,0),0)</f>
        <v/>
      </c>
      <c r="O1231" s="45" t="n"/>
      <c r="Q1231" s="57">
        <f>IF(K1231&gt;0,"показать","скрыть")</f>
        <v/>
      </c>
    </row>
    <row r="1232" ht="15.75" customHeight="1">
      <c r="B1232" s="182" t="n">
        <v>1216</v>
      </c>
      <c r="C1232" s="182">
        <f>IFERROR(VLOOKUP($B1232,calc_data,C$14+1,0),0)</f>
        <v/>
      </c>
      <c r="D1232" s="182">
        <f>IFERROR(VLOOKUP($B1232,calc_data,D$14+1,0),0)</f>
        <v/>
      </c>
      <c r="E1232" s="183">
        <f>IFERROR(VLOOKUP($B1232,calc_data,E$14+1,0),0)</f>
        <v/>
      </c>
      <c r="F1232" s="182">
        <f>IFERROR(VLOOKUP($B1232,calc_data,F$14+1,0),0)</f>
        <v/>
      </c>
      <c r="G1232" s="141">
        <f>IFERROR(VLOOKUP($B1232,calc_data,G$14+1,0),0)</f>
        <v/>
      </c>
      <c r="H1232" s="141">
        <f>IFERROR(VLOOKUP($B1232,calc_data,H$14+1,0),0)</f>
        <v/>
      </c>
      <c r="I1232" s="142">
        <f>IFERROR(VLOOKUP($B1232,calc_data,I$14+1,0),0)</f>
        <v/>
      </c>
      <c r="J1232" s="141">
        <f>IFERROR(VLOOKUP($B1232,calc_data,J$14+1,0),0)</f>
        <v/>
      </c>
      <c r="K1232" s="141">
        <f>IFERROR(VLOOKUP($B1232,calc_data,K$14+1,0),0)</f>
        <v/>
      </c>
      <c r="L1232" s="141">
        <f>IFERROR(VLOOKUP($B1232,calc_data,L$14+1,0),0)</f>
        <v/>
      </c>
      <c r="M1232" s="177">
        <f>IFERROR(VLOOKUP($B1232,calc_data,M$14+1,0),0)</f>
        <v/>
      </c>
      <c r="N1232" s="177">
        <f>IFERROR(VLOOKUP($B1232,calc_data,N$14+1,0),0)</f>
        <v/>
      </c>
      <c r="O1232" s="45" t="n"/>
      <c r="Q1232" s="57">
        <f>IF(K1232&gt;0,"показать","скрыть")</f>
        <v/>
      </c>
    </row>
    <row r="1233" ht="15.75" customHeight="1">
      <c r="B1233" s="182" t="n">
        <v>1217</v>
      </c>
      <c r="C1233" s="182">
        <f>IFERROR(VLOOKUP($B1233,calc_data,C$14+1,0),0)</f>
        <v/>
      </c>
      <c r="D1233" s="182">
        <f>IFERROR(VLOOKUP($B1233,calc_data,D$14+1,0),0)</f>
        <v/>
      </c>
      <c r="E1233" s="183">
        <f>IFERROR(VLOOKUP($B1233,calc_data,E$14+1,0),0)</f>
        <v/>
      </c>
      <c r="F1233" s="182">
        <f>IFERROR(VLOOKUP($B1233,calc_data,F$14+1,0),0)</f>
        <v/>
      </c>
      <c r="G1233" s="141">
        <f>IFERROR(VLOOKUP($B1233,calc_data,G$14+1,0),0)</f>
        <v/>
      </c>
      <c r="H1233" s="141">
        <f>IFERROR(VLOOKUP($B1233,calc_data,H$14+1,0),0)</f>
        <v/>
      </c>
      <c r="I1233" s="142">
        <f>IFERROR(VLOOKUP($B1233,calc_data,I$14+1,0),0)</f>
        <v/>
      </c>
      <c r="J1233" s="141">
        <f>IFERROR(VLOOKUP($B1233,calc_data,J$14+1,0),0)</f>
        <v/>
      </c>
      <c r="K1233" s="141">
        <f>IFERROR(VLOOKUP($B1233,calc_data,K$14+1,0),0)</f>
        <v/>
      </c>
      <c r="L1233" s="141">
        <f>IFERROR(VLOOKUP($B1233,calc_data,L$14+1,0),0)</f>
        <v/>
      </c>
      <c r="M1233" s="177">
        <f>IFERROR(VLOOKUP($B1233,calc_data,M$14+1,0),0)</f>
        <v/>
      </c>
      <c r="N1233" s="177">
        <f>IFERROR(VLOOKUP($B1233,calc_data,N$14+1,0),0)</f>
        <v/>
      </c>
      <c r="O1233" s="45" t="n"/>
      <c r="Q1233" s="57">
        <f>IF(K1233&gt;0,"показать","скрыть")</f>
        <v/>
      </c>
    </row>
    <row r="1234" ht="15.75" customHeight="1">
      <c r="B1234" s="182" t="n">
        <v>1218</v>
      </c>
      <c r="C1234" s="182">
        <f>IFERROR(VLOOKUP($B1234,calc_data,C$14+1,0),0)</f>
        <v/>
      </c>
      <c r="D1234" s="182">
        <f>IFERROR(VLOOKUP($B1234,calc_data,D$14+1,0),0)</f>
        <v/>
      </c>
      <c r="E1234" s="183">
        <f>IFERROR(VLOOKUP($B1234,calc_data,E$14+1,0),0)</f>
        <v/>
      </c>
      <c r="F1234" s="182">
        <f>IFERROR(VLOOKUP($B1234,calc_data,F$14+1,0),0)</f>
        <v/>
      </c>
      <c r="G1234" s="141">
        <f>IFERROR(VLOOKUP($B1234,calc_data,G$14+1,0),0)</f>
        <v/>
      </c>
      <c r="H1234" s="141">
        <f>IFERROR(VLOOKUP($B1234,calc_data,H$14+1,0),0)</f>
        <v/>
      </c>
      <c r="I1234" s="142">
        <f>IFERROR(VLOOKUP($B1234,calc_data,I$14+1,0),0)</f>
        <v/>
      </c>
      <c r="J1234" s="141">
        <f>IFERROR(VLOOKUP($B1234,calc_data,J$14+1,0),0)</f>
        <v/>
      </c>
      <c r="K1234" s="141">
        <f>IFERROR(VLOOKUP($B1234,calc_data,K$14+1,0),0)</f>
        <v/>
      </c>
      <c r="L1234" s="141">
        <f>IFERROR(VLOOKUP($B1234,calc_data,L$14+1,0),0)</f>
        <v/>
      </c>
      <c r="M1234" s="177">
        <f>IFERROR(VLOOKUP($B1234,calc_data,M$14+1,0),0)</f>
        <v/>
      </c>
      <c r="N1234" s="177">
        <f>IFERROR(VLOOKUP($B1234,calc_data,N$14+1,0),0)</f>
        <v/>
      </c>
      <c r="O1234" s="45" t="n"/>
      <c r="Q1234" s="57">
        <f>IF(K1234&gt;0,"показать","скрыть")</f>
        <v/>
      </c>
    </row>
    <row r="1235" ht="15.75" customHeight="1">
      <c r="B1235" s="182" t="n">
        <v>1219</v>
      </c>
      <c r="C1235" s="182">
        <f>IFERROR(VLOOKUP($B1235,calc_data,C$14+1,0),0)</f>
        <v/>
      </c>
      <c r="D1235" s="182">
        <f>IFERROR(VLOOKUP($B1235,calc_data,D$14+1,0),0)</f>
        <v/>
      </c>
      <c r="E1235" s="183">
        <f>IFERROR(VLOOKUP($B1235,calc_data,E$14+1,0),0)</f>
        <v/>
      </c>
      <c r="F1235" s="182">
        <f>IFERROR(VLOOKUP($B1235,calc_data,F$14+1,0),0)</f>
        <v/>
      </c>
      <c r="G1235" s="141">
        <f>IFERROR(VLOOKUP($B1235,calc_data,G$14+1,0),0)</f>
        <v/>
      </c>
      <c r="H1235" s="141">
        <f>IFERROR(VLOOKUP($B1235,calc_data,H$14+1,0),0)</f>
        <v/>
      </c>
      <c r="I1235" s="142">
        <f>IFERROR(VLOOKUP($B1235,calc_data,I$14+1,0),0)</f>
        <v/>
      </c>
      <c r="J1235" s="141">
        <f>IFERROR(VLOOKUP($B1235,calc_data,J$14+1,0),0)</f>
        <v/>
      </c>
      <c r="K1235" s="141">
        <f>IFERROR(VLOOKUP($B1235,calc_data,K$14+1,0),0)</f>
        <v/>
      </c>
      <c r="L1235" s="141">
        <f>IFERROR(VLOOKUP($B1235,calc_data,L$14+1,0),0)</f>
        <v/>
      </c>
      <c r="M1235" s="177">
        <f>IFERROR(VLOOKUP($B1235,calc_data,M$14+1,0),0)</f>
        <v/>
      </c>
      <c r="N1235" s="177">
        <f>IFERROR(VLOOKUP($B1235,calc_data,N$14+1,0),0)</f>
        <v/>
      </c>
      <c r="O1235" s="45" t="n"/>
      <c r="Q1235" s="57">
        <f>IF(K1235&gt;0,"показать","скрыть")</f>
        <v/>
      </c>
    </row>
    <row r="1236" ht="15.75" customHeight="1">
      <c r="B1236" s="182" t="n">
        <v>1220</v>
      </c>
      <c r="C1236" s="182">
        <f>IFERROR(VLOOKUP($B1236,calc_data,C$14+1,0),0)</f>
        <v/>
      </c>
      <c r="D1236" s="182">
        <f>IFERROR(VLOOKUP($B1236,calc_data,D$14+1,0),0)</f>
        <v/>
      </c>
      <c r="E1236" s="183">
        <f>IFERROR(VLOOKUP($B1236,calc_data,E$14+1,0),0)</f>
        <v/>
      </c>
      <c r="F1236" s="182">
        <f>IFERROR(VLOOKUP($B1236,calc_data,F$14+1,0),0)</f>
        <v/>
      </c>
      <c r="G1236" s="141">
        <f>IFERROR(VLOOKUP($B1236,calc_data,G$14+1,0),0)</f>
        <v/>
      </c>
      <c r="H1236" s="141">
        <f>IFERROR(VLOOKUP($B1236,calc_data,H$14+1,0),0)</f>
        <v/>
      </c>
      <c r="I1236" s="142">
        <f>IFERROR(VLOOKUP($B1236,calc_data,I$14+1,0),0)</f>
        <v/>
      </c>
      <c r="J1236" s="141">
        <f>IFERROR(VLOOKUP($B1236,calc_data,J$14+1,0),0)</f>
        <v/>
      </c>
      <c r="K1236" s="141">
        <f>IFERROR(VLOOKUP($B1236,calc_data,K$14+1,0),0)</f>
        <v/>
      </c>
      <c r="L1236" s="141">
        <f>IFERROR(VLOOKUP($B1236,calc_data,L$14+1,0),0)</f>
        <v/>
      </c>
      <c r="M1236" s="177">
        <f>IFERROR(VLOOKUP($B1236,calc_data,M$14+1,0),0)</f>
        <v/>
      </c>
      <c r="N1236" s="177">
        <f>IFERROR(VLOOKUP($B1236,calc_data,N$14+1,0),0)</f>
        <v/>
      </c>
      <c r="O1236" s="45" t="n"/>
      <c r="Q1236" s="57">
        <f>IF(K1236&gt;0,"показать","скрыть")</f>
        <v/>
      </c>
    </row>
    <row r="1237" ht="15.75" customHeight="1">
      <c r="B1237" s="182" t="n">
        <v>1221</v>
      </c>
      <c r="C1237" s="182">
        <f>IFERROR(VLOOKUP($B1237,calc_data,C$14+1,0),0)</f>
        <v/>
      </c>
      <c r="D1237" s="182">
        <f>IFERROR(VLOOKUP($B1237,calc_data,D$14+1,0),0)</f>
        <v/>
      </c>
      <c r="E1237" s="183">
        <f>IFERROR(VLOOKUP($B1237,calc_data,E$14+1,0),0)</f>
        <v/>
      </c>
      <c r="F1237" s="182">
        <f>IFERROR(VLOOKUP($B1237,calc_data,F$14+1,0),0)</f>
        <v/>
      </c>
      <c r="G1237" s="141">
        <f>IFERROR(VLOOKUP($B1237,calc_data,G$14+1,0),0)</f>
        <v/>
      </c>
      <c r="H1237" s="141">
        <f>IFERROR(VLOOKUP($B1237,calc_data,H$14+1,0),0)</f>
        <v/>
      </c>
      <c r="I1237" s="142">
        <f>IFERROR(VLOOKUP($B1237,calc_data,I$14+1,0),0)</f>
        <v/>
      </c>
      <c r="J1237" s="141">
        <f>IFERROR(VLOOKUP($B1237,calc_data,J$14+1,0),0)</f>
        <v/>
      </c>
      <c r="K1237" s="141">
        <f>IFERROR(VLOOKUP($B1237,calc_data,K$14+1,0),0)</f>
        <v/>
      </c>
      <c r="L1237" s="141">
        <f>IFERROR(VLOOKUP($B1237,calc_data,L$14+1,0),0)</f>
        <v/>
      </c>
      <c r="M1237" s="177">
        <f>IFERROR(VLOOKUP($B1237,calc_data,M$14+1,0),0)</f>
        <v/>
      </c>
      <c r="N1237" s="177">
        <f>IFERROR(VLOOKUP($B1237,calc_data,N$14+1,0),0)</f>
        <v/>
      </c>
      <c r="O1237" s="45" t="n"/>
      <c r="Q1237" s="57">
        <f>IF(K1237&gt;0,"показать","скрыть")</f>
        <v/>
      </c>
    </row>
    <row r="1238" ht="15.75" customHeight="1">
      <c r="B1238" s="182" t="n">
        <v>1222</v>
      </c>
      <c r="C1238" s="182">
        <f>IFERROR(VLOOKUP($B1238,calc_data,C$14+1,0),0)</f>
        <v/>
      </c>
      <c r="D1238" s="182">
        <f>IFERROR(VLOOKUP($B1238,calc_data,D$14+1,0),0)</f>
        <v/>
      </c>
      <c r="E1238" s="183">
        <f>IFERROR(VLOOKUP($B1238,calc_data,E$14+1,0),0)</f>
        <v/>
      </c>
      <c r="F1238" s="182">
        <f>IFERROR(VLOOKUP($B1238,calc_data,F$14+1,0),0)</f>
        <v/>
      </c>
      <c r="G1238" s="141">
        <f>IFERROR(VLOOKUP($B1238,calc_data,G$14+1,0),0)</f>
        <v/>
      </c>
      <c r="H1238" s="141">
        <f>IFERROR(VLOOKUP($B1238,calc_data,H$14+1,0),0)</f>
        <v/>
      </c>
      <c r="I1238" s="142">
        <f>IFERROR(VLOOKUP($B1238,calc_data,I$14+1,0),0)</f>
        <v/>
      </c>
      <c r="J1238" s="141">
        <f>IFERROR(VLOOKUP($B1238,calc_data,J$14+1,0),0)</f>
        <v/>
      </c>
      <c r="K1238" s="141">
        <f>IFERROR(VLOOKUP($B1238,calc_data,K$14+1,0),0)</f>
        <v/>
      </c>
      <c r="L1238" s="141">
        <f>IFERROR(VLOOKUP($B1238,calc_data,L$14+1,0),0)</f>
        <v/>
      </c>
      <c r="M1238" s="177">
        <f>IFERROR(VLOOKUP($B1238,calc_data,M$14+1,0),0)</f>
        <v/>
      </c>
      <c r="N1238" s="177">
        <f>IFERROR(VLOOKUP($B1238,calc_data,N$14+1,0),0)</f>
        <v/>
      </c>
      <c r="O1238" s="45" t="n"/>
      <c r="Q1238" s="57">
        <f>IF(K1238&gt;0,"показать","скрыть")</f>
        <v/>
      </c>
    </row>
    <row r="1239" ht="15.75" customHeight="1">
      <c r="B1239" s="182" t="n">
        <v>1223</v>
      </c>
      <c r="C1239" s="182">
        <f>IFERROR(VLOOKUP($B1239,calc_data,C$14+1,0),0)</f>
        <v/>
      </c>
      <c r="D1239" s="182">
        <f>IFERROR(VLOOKUP($B1239,calc_data,D$14+1,0),0)</f>
        <v/>
      </c>
      <c r="E1239" s="183">
        <f>IFERROR(VLOOKUP($B1239,calc_data,E$14+1,0),0)</f>
        <v/>
      </c>
      <c r="F1239" s="182">
        <f>IFERROR(VLOOKUP($B1239,calc_data,F$14+1,0),0)</f>
        <v/>
      </c>
      <c r="G1239" s="141">
        <f>IFERROR(VLOOKUP($B1239,calc_data,G$14+1,0),0)</f>
        <v/>
      </c>
      <c r="H1239" s="141">
        <f>IFERROR(VLOOKUP($B1239,calc_data,H$14+1,0),0)</f>
        <v/>
      </c>
      <c r="I1239" s="142">
        <f>IFERROR(VLOOKUP($B1239,calc_data,I$14+1,0),0)</f>
        <v/>
      </c>
      <c r="J1239" s="141">
        <f>IFERROR(VLOOKUP($B1239,calc_data,J$14+1,0),0)</f>
        <v/>
      </c>
      <c r="K1239" s="141">
        <f>IFERROR(VLOOKUP($B1239,calc_data,K$14+1,0),0)</f>
        <v/>
      </c>
      <c r="L1239" s="141">
        <f>IFERROR(VLOOKUP($B1239,calc_data,L$14+1,0),0)</f>
        <v/>
      </c>
      <c r="M1239" s="177">
        <f>IFERROR(VLOOKUP($B1239,calc_data,M$14+1,0),0)</f>
        <v/>
      </c>
      <c r="N1239" s="177">
        <f>IFERROR(VLOOKUP($B1239,calc_data,N$14+1,0),0)</f>
        <v/>
      </c>
      <c r="O1239" s="45" t="n"/>
      <c r="Q1239" s="57">
        <f>IF(K1239&gt;0,"показать","скрыть")</f>
        <v/>
      </c>
    </row>
    <row r="1240" ht="15.75" customHeight="1">
      <c r="B1240" s="182" t="n">
        <v>1224</v>
      </c>
      <c r="C1240" s="182">
        <f>IFERROR(VLOOKUP($B1240,calc_data,C$14+1,0),0)</f>
        <v/>
      </c>
      <c r="D1240" s="182">
        <f>IFERROR(VLOOKUP($B1240,calc_data,D$14+1,0),0)</f>
        <v/>
      </c>
      <c r="E1240" s="183">
        <f>IFERROR(VLOOKUP($B1240,calc_data,E$14+1,0),0)</f>
        <v/>
      </c>
      <c r="F1240" s="182">
        <f>IFERROR(VLOOKUP($B1240,calc_data,F$14+1,0),0)</f>
        <v/>
      </c>
      <c r="G1240" s="141">
        <f>IFERROR(VLOOKUP($B1240,calc_data,G$14+1,0),0)</f>
        <v/>
      </c>
      <c r="H1240" s="141">
        <f>IFERROR(VLOOKUP($B1240,calc_data,H$14+1,0),0)</f>
        <v/>
      </c>
      <c r="I1240" s="142">
        <f>IFERROR(VLOOKUP($B1240,calc_data,I$14+1,0),0)</f>
        <v/>
      </c>
      <c r="J1240" s="141">
        <f>IFERROR(VLOOKUP($B1240,calc_data,J$14+1,0),0)</f>
        <v/>
      </c>
      <c r="K1240" s="141">
        <f>IFERROR(VLOOKUP($B1240,calc_data,K$14+1,0),0)</f>
        <v/>
      </c>
      <c r="L1240" s="141">
        <f>IFERROR(VLOOKUP($B1240,calc_data,L$14+1,0),0)</f>
        <v/>
      </c>
      <c r="M1240" s="177">
        <f>IFERROR(VLOOKUP($B1240,calc_data,M$14+1,0),0)</f>
        <v/>
      </c>
      <c r="N1240" s="177">
        <f>IFERROR(VLOOKUP($B1240,calc_data,N$14+1,0),0)</f>
        <v/>
      </c>
      <c r="O1240" s="45" t="n"/>
      <c r="Q1240" s="57">
        <f>IF(K1240&gt;0,"показать","скрыть")</f>
        <v/>
      </c>
    </row>
    <row r="1241" ht="15.75" customHeight="1">
      <c r="B1241" s="182" t="n">
        <v>1225</v>
      </c>
      <c r="C1241" s="182">
        <f>IFERROR(VLOOKUP($B1241,calc_data,C$14+1,0),0)</f>
        <v/>
      </c>
      <c r="D1241" s="182">
        <f>IFERROR(VLOOKUP($B1241,calc_data,D$14+1,0),0)</f>
        <v/>
      </c>
      <c r="E1241" s="183">
        <f>IFERROR(VLOOKUP($B1241,calc_data,E$14+1,0),0)</f>
        <v/>
      </c>
      <c r="F1241" s="182">
        <f>IFERROR(VLOOKUP($B1241,calc_data,F$14+1,0),0)</f>
        <v/>
      </c>
      <c r="G1241" s="141">
        <f>IFERROR(VLOOKUP($B1241,calc_data,G$14+1,0),0)</f>
        <v/>
      </c>
      <c r="H1241" s="141">
        <f>IFERROR(VLOOKUP($B1241,calc_data,H$14+1,0),0)</f>
        <v/>
      </c>
      <c r="I1241" s="142">
        <f>IFERROR(VLOOKUP($B1241,calc_data,I$14+1,0),0)</f>
        <v/>
      </c>
      <c r="J1241" s="141">
        <f>IFERROR(VLOOKUP($B1241,calc_data,J$14+1,0),0)</f>
        <v/>
      </c>
      <c r="K1241" s="141">
        <f>IFERROR(VLOOKUP($B1241,calc_data,K$14+1,0),0)</f>
        <v/>
      </c>
      <c r="L1241" s="141">
        <f>IFERROR(VLOOKUP($B1241,calc_data,L$14+1,0),0)</f>
        <v/>
      </c>
      <c r="M1241" s="177">
        <f>IFERROR(VLOOKUP($B1241,calc_data,M$14+1,0),0)</f>
        <v/>
      </c>
      <c r="N1241" s="177">
        <f>IFERROR(VLOOKUP($B1241,calc_data,N$14+1,0),0)</f>
        <v/>
      </c>
      <c r="O1241" s="45" t="n"/>
      <c r="Q1241" s="57">
        <f>IF(K1241&gt;0,"показать","скрыть")</f>
        <v/>
      </c>
    </row>
    <row r="1242" ht="15.75" customHeight="1">
      <c r="B1242" s="182" t="n">
        <v>1226</v>
      </c>
      <c r="C1242" s="182">
        <f>IFERROR(VLOOKUP($B1242,calc_data,C$14+1,0),0)</f>
        <v/>
      </c>
      <c r="D1242" s="182">
        <f>IFERROR(VLOOKUP($B1242,calc_data,D$14+1,0),0)</f>
        <v/>
      </c>
      <c r="E1242" s="183">
        <f>IFERROR(VLOOKUP($B1242,calc_data,E$14+1,0),0)</f>
        <v/>
      </c>
      <c r="F1242" s="182">
        <f>IFERROR(VLOOKUP($B1242,calc_data,F$14+1,0),0)</f>
        <v/>
      </c>
      <c r="G1242" s="141">
        <f>IFERROR(VLOOKUP($B1242,calc_data,G$14+1,0),0)</f>
        <v/>
      </c>
      <c r="H1242" s="141">
        <f>IFERROR(VLOOKUP($B1242,calc_data,H$14+1,0),0)</f>
        <v/>
      </c>
      <c r="I1242" s="142">
        <f>IFERROR(VLOOKUP($B1242,calc_data,I$14+1,0),0)</f>
        <v/>
      </c>
      <c r="J1242" s="141">
        <f>IFERROR(VLOOKUP($B1242,calc_data,J$14+1,0),0)</f>
        <v/>
      </c>
      <c r="K1242" s="141">
        <f>IFERROR(VLOOKUP($B1242,calc_data,K$14+1,0),0)</f>
        <v/>
      </c>
      <c r="L1242" s="141">
        <f>IFERROR(VLOOKUP($B1242,calc_data,L$14+1,0),0)</f>
        <v/>
      </c>
      <c r="M1242" s="177">
        <f>IFERROR(VLOOKUP($B1242,calc_data,M$14+1,0),0)</f>
        <v/>
      </c>
      <c r="N1242" s="177">
        <f>IFERROR(VLOOKUP($B1242,calc_data,N$14+1,0),0)</f>
        <v/>
      </c>
      <c r="O1242" s="45" t="n"/>
      <c r="Q1242" s="57">
        <f>IF(K1242&gt;0,"показать","скрыть")</f>
        <v/>
      </c>
    </row>
    <row r="1243" ht="15.75" customHeight="1">
      <c r="B1243" s="182" t="n">
        <v>1227</v>
      </c>
      <c r="C1243" s="182">
        <f>IFERROR(VLOOKUP($B1243,calc_data,C$14+1,0),0)</f>
        <v/>
      </c>
      <c r="D1243" s="182">
        <f>IFERROR(VLOOKUP($B1243,calc_data,D$14+1,0),0)</f>
        <v/>
      </c>
      <c r="E1243" s="183">
        <f>IFERROR(VLOOKUP($B1243,calc_data,E$14+1,0),0)</f>
        <v/>
      </c>
      <c r="F1243" s="182">
        <f>IFERROR(VLOOKUP($B1243,calc_data,F$14+1,0),0)</f>
        <v/>
      </c>
      <c r="G1243" s="141">
        <f>IFERROR(VLOOKUP($B1243,calc_data,G$14+1,0),0)</f>
        <v/>
      </c>
      <c r="H1243" s="141">
        <f>IFERROR(VLOOKUP($B1243,calc_data,H$14+1,0),0)</f>
        <v/>
      </c>
      <c r="I1243" s="142">
        <f>IFERROR(VLOOKUP($B1243,calc_data,I$14+1,0),0)</f>
        <v/>
      </c>
      <c r="J1243" s="141">
        <f>IFERROR(VLOOKUP($B1243,calc_data,J$14+1,0),0)</f>
        <v/>
      </c>
      <c r="K1243" s="141">
        <f>IFERROR(VLOOKUP($B1243,calc_data,K$14+1,0),0)</f>
        <v/>
      </c>
      <c r="L1243" s="141">
        <f>IFERROR(VLOOKUP($B1243,calc_data,L$14+1,0),0)</f>
        <v/>
      </c>
      <c r="M1243" s="177">
        <f>IFERROR(VLOOKUP($B1243,calc_data,M$14+1,0),0)</f>
        <v/>
      </c>
      <c r="N1243" s="177">
        <f>IFERROR(VLOOKUP($B1243,calc_data,N$14+1,0),0)</f>
        <v/>
      </c>
      <c r="O1243" s="45" t="n"/>
      <c r="Q1243" s="57">
        <f>IF(K1243&gt;0,"показать","скрыть")</f>
        <v/>
      </c>
    </row>
    <row r="1244" ht="15.75" customHeight="1">
      <c r="B1244" s="182" t="n">
        <v>1228</v>
      </c>
      <c r="C1244" s="182">
        <f>IFERROR(VLOOKUP($B1244,calc_data,C$14+1,0),0)</f>
        <v/>
      </c>
      <c r="D1244" s="182">
        <f>IFERROR(VLOOKUP($B1244,calc_data,D$14+1,0),0)</f>
        <v/>
      </c>
      <c r="E1244" s="183">
        <f>IFERROR(VLOOKUP($B1244,calc_data,E$14+1,0),0)</f>
        <v/>
      </c>
      <c r="F1244" s="182">
        <f>IFERROR(VLOOKUP($B1244,calc_data,F$14+1,0),0)</f>
        <v/>
      </c>
      <c r="G1244" s="141">
        <f>IFERROR(VLOOKUP($B1244,calc_data,G$14+1,0),0)</f>
        <v/>
      </c>
      <c r="H1244" s="141">
        <f>IFERROR(VLOOKUP($B1244,calc_data,H$14+1,0),0)</f>
        <v/>
      </c>
      <c r="I1244" s="142">
        <f>IFERROR(VLOOKUP($B1244,calc_data,I$14+1,0),0)</f>
        <v/>
      </c>
      <c r="J1244" s="141">
        <f>IFERROR(VLOOKUP($B1244,calc_data,J$14+1,0),0)</f>
        <v/>
      </c>
      <c r="K1244" s="141">
        <f>IFERROR(VLOOKUP($B1244,calc_data,K$14+1,0),0)</f>
        <v/>
      </c>
      <c r="L1244" s="141">
        <f>IFERROR(VLOOKUP($B1244,calc_data,L$14+1,0),0)</f>
        <v/>
      </c>
      <c r="M1244" s="177">
        <f>IFERROR(VLOOKUP($B1244,calc_data,M$14+1,0),0)</f>
        <v/>
      </c>
      <c r="N1244" s="177">
        <f>IFERROR(VLOOKUP($B1244,calc_data,N$14+1,0),0)</f>
        <v/>
      </c>
      <c r="O1244" s="45" t="n"/>
      <c r="Q1244" s="57">
        <f>IF(K1244&gt;0,"показать","скрыть")</f>
        <v/>
      </c>
    </row>
    <row r="1245" ht="15.75" customHeight="1">
      <c r="B1245" s="182" t="n">
        <v>1229</v>
      </c>
      <c r="C1245" s="182">
        <f>IFERROR(VLOOKUP($B1245,calc_data,C$14+1,0),0)</f>
        <v/>
      </c>
      <c r="D1245" s="182">
        <f>IFERROR(VLOOKUP($B1245,calc_data,D$14+1,0),0)</f>
        <v/>
      </c>
      <c r="E1245" s="183">
        <f>IFERROR(VLOOKUP($B1245,calc_data,E$14+1,0),0)</f>
        <v/>
      </c>
      <c r="F1245" s="182">
        <f>IFERROR(VLOOKUP($B1245,calc_data,F$14+1,0),0)</f>
        <v/>
      </c>
      <c r="G1245" s="141">
        <f>IFERROR(VLOOKUP($B1245,calc_data,G$14+1,0),0)</f>
        <v/>
      </c>
      <c r="H1245" s="141">
        <f>IFERROR(VLOOKUP($B1245,calc_data,H$14+1,0),0)</f>
        <v/>
      </c>
      <c r="I1245" s="142">
        <f>IFERROR(VLOOKUP($B1245,calc_data,I$14+1,0),0)</f>
        <v/>
      </c>
      <c r="J1245" s="141">
        <f>IFERROR(VLOOKUP($B1245,calc_data,J$14+1,0),0)</f>
        <v/>
      </c>
      <c r="K1245" s="141">
        <f>IFERROR(VLOOKUP($B1245,calc_data,K$14+1,0),0)</f>
        <v/>
      </c>
      <c r="L1245" s="141">
        <f>IFERROR(VLOOKUP($B1245,calc_data,L$14+1,0),0)</f>
        <v/>
      </c>
      <c r="M1245" s="177">
        <f>IFERROR(VLOOKUP($B1245,calc_data,M$14+1,0),0)</f>
        <v/>
      </c>
      <c r="N1245" s="177">
        <f>IFERROR(VLOOKUP($B1245,calc_data,N$14+1,0),0)</f>
        <v/>
      </c>
      <c r="O1245" s="45" t="n"/>
      <c r="Q1245" s="57">
        <f>IF(K1245&gt;0,"показать","скрыть")</f>
        <v/>
      </c>
    </row>
    <row r="1246" ht="15.75" customHeight="1">
      <c r="B1246" s="182" t="n">
        <v>1230</v>
      </c>
      <c r="C1246" s="182">
        <f>IFERROR(VLOOKUP($B1246,calc_data,C$14+1,0),0)</f>
        <v/>
      </c>
      <c r="D1246" s="182">
        <f>IFERROR(VLOOKUP($B1246,calc_data,D$14+1,0),0)</f>
        <v/>
      </c>
      <c r="E1246" s="183">
        <f>IFERROR(VLOOKUP($B1246,calc_data,E$14+1,0),0)</f>
        <v/>
      </c>
      <c r="F1246" s="182">
        <f>IFERROR(VLOOKUP($B1246,calc_data,F$14+1,0),0)</f>
        <v/>
      </c>
      <c r="G1246" s="141">
        <f>IFERROR(VLOOKUP($B1246,calc_data,G$14+1,0),0)</f>
        <v/>
      </c>
      <c r="H1246" s="141">
        <f>IFERROR(VLOOKUP($B1246,calc_data,H$14+1,0),0)</f>
        <v/>
      </c>
      <c r="I1246" s="142">
        <f>IFERROR(VLOOKUP($B1246,calc_data,I$14+1,0),0)</f>
        <v/>
      </c>
      <c r="J1246" s="141">
        <f>IFERROR(VLOOKUP($B1246,calc_data,J$14+1,0),0)</f>
        <v/>
      </c>
      <c r="K1246" s="141">
        <f>IFERROR(VLOOKUP($B1246,calc_data,K$14+1,0),0)</f>
        <v/>
      </c>
      <c r="L1246" s="141">
        <f>IFERROR(VLOOKUP($B1246,calc_data,L$14+1,0),0)</f>
        <v/>
      </c>
      <c r="M1246" s="177">
        <f>IFERROR(VLOOKUP($B1246,calc_data,M$14+1,0),0)</f>
        <v/>
      </c>
      <c r="N1246" s="177">
        <f>IFERROR(VLOOKUP($B1246,calc_data,N$14+1,0),0)</f>
        <v/>
      </c>
      <c r="O1246" s="45" t="n"/>
      <c r="Q1246" s="57">
        <f>IF(K1246&gt;0,"показать","скрыть")</f>
        <v/>
      </c>
    </row>
    <row r="1247" ht="15.75" customHeight="1">
      <c r="B1247" s="182" t="n">
        <v>1231</v>
      </c>
      <c r="C1247" s="182">
        <f>IFERROR(VLOOKUP($B1247,calc_data,C$14+1,0),0)</f>
        <v/>
      </c>
      <c r="D1247" s="182">
        <f>IFERROR(VLOOKUP($B1247,calc_data,D$14+1,0),0)</f>
        <v/>
      </c>
      <c r="E1247" s="183">
        <f>IFERROR(VLOOKUP($B1247,calc_data,E$14+1,0),0)</f>
        <v/>
      </c>
      <c r="F1247" s="182">
        <f>IFERROR(VLOOKUP($B1247,calc_data,F$14+1,0),0)</f>
        <v/>
      </c>
      <c r="G1247" s="141">
        <f>IFERROR(VLOOKUP($B1247,calc_data,G$14+1,0),0)</f>
        <v/>
      </c>
      <c r="H1247" s="141">
        <f>IFERROR(VLOOKUP($B1247,calc_data,H$14+1,0),0)</f>
        <v/>
      </c>
      <c r="I1247" s="142">
        <f>IFERROR(VLOOKUP($B1247,calc_data,I$14+1,0),0)</f>
        <v/>
      </c>
      <c r="J1247" s="141">
        <f>IFERROR(VLOOKUP($B1247,calc_data,J$14+1,0),0)</f>
        <v/>
      </c>
      <c r="K1247" s="141">
        <f>IFERROR(VLOOKUP($B1247,calc_data,K$14+1,0),0)</f>
        <v/>
      </c>
      <c r="L1247" s="141">
        <f>IFERROR(VLOOKUP($B1247,calc_data,L$14+1,0),0)</f>
        <v/>
      </c>
      <c r="M1247" s="177">
        <f>IFERROR(VLOOKUP($B1247,calc_data,M$14+1,0),0)</f>
        <v/>
      </c>
      <c r="N1247" s="177">
        <f>IFERROR(VLOOKUP($B1247,calc_data,N$14+1,0),0)</f>
        <v/>
      </c>
      <c r="O1247" s="45" t="n"/>
      <c r="Q1247" s="57">
        <f>IF(K1247&gt;0,"показать","скрыть")</f>
        <v/>
      </c>
    </row>
    <row r="1248" ht="15.75" customHeight="1">
      <c r="B1248" s="182" t="n">
        <v>1232</v>
      </c>
      <c r="C1248" s="182">
        <f>IFERROR(VLOOKUP($B1248,calc_data,C$14+1,0),0)</f>
        <v/>
      </c>
      <c r="D1248" s="182">
        <f>IFERROR(VLOOKUP($B1248,calc_data,D$14+1,0),0)</f>
        <v/>
      </c>
      <c r="E1248" s="183">
        <f>IFERROR(VLOOKUP($B1248,calc_data,E$14+1,0),0)</f>
        <v/>
      </c>
      <c r="F1248" s="182">
        <f>IFERROR(VLOOKUP($B1248,calc_data,F$14+1,0),0)</f>
        <v/>
      </c>
      <c r="G1248" s="141">
        <f>IFERROR(VLOOKUP($B1248,calc_data,G$14+1,0),0)</f>
        <v/>
      </c>
      <c r="H1248" s="141">
        <f>IFERROR(VLOOKUP($B1248,calc_data,H$14+1,0),0)</f>
        <v/>
      </c>
      <c r="I1248" s="142">
        <f>IFERROR(VLOOKUP($B1248,calc_data,I$14+1,0),0)</f>
        <v/>
      </c>
      <c r="J1248" s="141">
        <f>IFERROR(VLOOKUP($B1248,calc_data,J$14+1,0),0)</f>
        <v/>
      </c>
      <c r="K1248" s="141">
        <f>IFERROR(VLOOKUP($B1248,calc_data,K$14+1,0),0)</f>
        <v/>
      </c>
      <c r="L1248" s="141">
        <f>IFERROR(VLOOKUP($B1248,calc_data,L$14+1,0),0)</f>
        <v/>
      </c>
      <c r="M1248" s="177">
        <f>IFERROR(VLOOKUP($B1248,calc_data,M$14+1,0),0)</f>
        <v/>
      </c>
      <c r="N1248" s="177">
        <f>IFERROR(VLOOKUP($B1248,calc_data,N$14+1,0),0)</f>
        <v/>
      </c>
      <c r="O1248" s="45" t="n"/>
      <c r="Q1248" s="57">
        <f>IF(K1248&gt;0,"показать","скрыть")</f>
        <v/>
      </c>
    </row>
    <row r="1249" ht="15.75" customHeight="1">
      <c r="B1249" s="182" t="n">
        <v>1233</v>
      </c>
      <c r="C1249" s="182">
        <f>IFERROR(VLOOKUP($B1249,calc_data,C$14+1,0),0)</f>
        <v/>
      </c>
      <c r="D1249" s="182">
        <f>IFERROR(VLOOKUP($B1249,calc_data,D$14+1,0),0)</f>
        <v/>
      </c>
      <c r="E1249" s="183">
        <f>IFERROR(VLOOKUP($B1249,calc_data,E$14+1,0),0)</f>
        <v/>
      </c>
      <c r="F1249" s="182">
        <f>IFERROR(VLOOKUP($B1249,calc_data,F$14+1,0),0)</f>
        <v/>
      </c>
      <c r="G1249" s="141">
        <f>IFERROR(VLOOKUP($B1249,calc_data,G$14+1,0),0)</f>
        <v/>
      </c>
      <c r="H1249" s="141">
        <f>IFERROR(VLOOKUP($B1249,calc_data,H$14+1,0),0)</f>
        <v/>
      </c>
      <c r="I1249" s="142">
        <f>IFERROR(VLOOKUP($B1249,calc_data,I$14+1,0),0)</f>
        <v/>
      </c>
      <c r="J1249" s="141">
        <f>IFERROR(VLOOKUP($B1249,calc_data,J$14+1,0),0)</f>
        <v/>
      </c>
      <c r="K1249" s="141">
        <f>IFERROR(VLOOKUP($B1249,calc_data,K$14+1,0),0)</f>
        <v/>
      </c>
      <c r="L1249" s="141">
        <f>IFERROR(VLOOKUP($B1249,calc_data,L$14+1,0),0)</f>
        <v/>
      </c>
      <c r="M1249" s="177">
        <f>IFERROR(VLOOKUP($B1249,calc_data,M$14+1,0),0)</f>
        <v/>
      </c>
      <c r="N1249" s="177">
        <f>IFERROR(VLOOKUP($B1249,calc_data,N$14+1,0),0)</f>
        <v/>
      </c>
      <c r="O1249" s="45" t="n"/>
      <c r="Q1249" s="57">
        <f>IF(K1249&gt;0,"показать","скрыть")</f>
        <v/>
      </c>
    </row>
    <row r="1250" ht="15.75" customHeight="1">
      <c r="B1250" s="182" t="n">
        <v>1234</v>
      </c>
      <c r="C1250" s="182">
        <f>IFERROR(VLOOKUP($B1250,calc_data,C$14+1,0),0)</f>
        <v/>
      </c>
      <c r="D1250" s="182">
        <f>IFERROR(VLOOKUP($B1250,calc_data,D$14+1,0),0)</f>
        <v/>
      </c>
      <c r="E1250" s="183">
        <f>IFERROR(VLOOKUP($B1250,calc_data,E$14+1,0),0)</f>
        <v/>
      </c>
      <c r="F1250" s="182">
        <f>IFERROR(VLOOKUP($B1250,calc_data,F$14+1,0),0)</f>
        <v/>
      </c>
      <c r="G1250" s="141">
        <f>IFERROR(VLOOKUP($B1250,calc_data,G$14+1,0),0)</f>
        <v/>
      </c>
      <c r="H1250" s="141">
        <f>IFERROR(VLOOKUP($B1250,calc_data,H$14+1,0),0)</f>
        <v/>
      </c>
      <c r="I1250" s="142">
        <f>IFERROR(VLOOKUP($B1250,calc_data,I$14+1,0),0)</f>
        <v/>
      </c>
      <c r="J1250" s="141">
        <f>IFERROR(VLOOKUP($B1250,calc_data,J$14+1,0),0)</f>
        <v/>
      </c>
      <c r="K1250" s="141">
        <f>IFERROR(VLOOKUP($B1250,calc_data,K$14+1,0),0)</f>
        <v/>
      </c>
      <c r="L1250" s="141">
        <f>IFERROR(VLOOKUP($B1250,calc_data,L$14+1,0),0)</f>
        <v/>
      </c>
      <c r="M1250" s="177">
        <f>IFERROR(VLOOKUP($B1250,calc_data,M$14+1,0),0)</f>
        <v/>
      </c>
      <c r="N1250" s="177">
        <f>IFERROR(VLOOKUP($B1250,calc_data,N$14+1,0),0)</f>
        <v/>
      </c>
      <c r="O1250" s="45" t="n"/>
      <c r="Q1250" s="57">
        <f>IF(K1250&gt;0,"показать","скрыть")</f>
        <v/>
      </c>
    </row>
    <row r="1251" ht="15.75" customHeight="1">
      <c r="B1251" s="182" t="n">
        <v>1235</v>
      </c>
      <c r="C1251" s="182">
        <f>IFERROR(VLOOKUP($B1251,calc_data,C$14+1,0),0)</f>
        <v/>
      </c>
      <c r="D1251" s="182">
        <f>IFERROR(VLOOKUP($B1251,calc_data,D$14+1,0),0)</f>
        <v/>
      </c>
      <c r="E1251" s="183">
        <f>IFERROR(VLOOKUP($B1251,calc_data,E$14+1,0),0)</f>
        <v/>
      </c>
      <c r="F1251" s="182">
        <f>IFERROR(VLOOKUP($B1251,calc_data,F$14+1,0),0)</f>
        <v/>
      </c>
      <c r="G1251" s="141">
        <f>IFERROR(VLOOKUP($B1251,calc_data,G$14+1,0),0)</f>
        <v/>
      </c>
      <c r="H1251" s="141">
        <f>IFERROR(VLOOKUP($B1251,calc_data,H$14+1,0),0)</f>
        <v/>
      </c>
      <c r="I1251" s="142">
        <f>IFERROR(VLOOKUP($B1251,calc_data,I$14+1,0),0)</f>
        <v/>
      </c>
      <c r="J1251" s="141">
        <f>IFERROR(VLOOKUP($B1251,calc_data,J$14+1,0),0)</f>
        <v/>
      </c>
      <c r="K1251" s="141">
        <f>IFERROR(VLOOKUP($B1251,calc_data,K$14+1,0),0)</f>
        <v/>
      </c>
      <c r="L1251" s="141">
        <f>IFERROR(VLOOKUP($B1251,calc_data,L$14+1,0),0)</f>
        <v/>
      </c>
      <c r="M1251" s="177">
        <f>IFERROR(VLOOKUP($B1251,calc_data,M$14+1,0),0)</f>
        <v/>
      </c>
      <c r="N1251" s="177">
        <f>IFERROR(VLOOKUP($B1251,calc_data,N$14+1,0),0)</f>
        <v/>
      </c>
      <c r="O1251" s="45" t="n"/>
      <c r="Q1251" s="57">
        <f>IF(K1251&gt;0,"показать","скрыть")</f>
        <v/>
      </c>
    </row>
    <row r="1252" ht="15.75" customHeight="1">
      <c r="B1252" s="182" t="n">
        <v>1236</v>
      </c>
      <c r="C1252" s="182">
        <f>IFERROR(VLOOKUP($B1252,calc_data,C$14+1,0),0)</f>
        <v/>
      </c>
      <c r="D1252" s="182">
        <f>IFERROR(VLOOKUP($B1252,calc_data,D$14+1,0),0)</f>
        <v/>
      </c>
      <c r="E1252" s="183">
        <f>IFERROR(VLOOKUP($B1252,calc_data,E$14+1,0),0)</f>
        <v/>
      </c>
      <c r="F1252" s="182">
        <f>IFERROR(VLOOKUP($B1252,calc_data,F$14+1,0),0)</f>
        <v/>
      </c>
      <c r="G1252" s="141">
        <f>IFERROR(VLOOKUP($B1252,calc_data,G$14+1,0),0)</f>
        <v/>
      </c>
      <c r="H1252" s="141">
        <f>IFERROR(VLOOKUP($B1252,calc_data,H$14+1,0),0)</f>
        <v/>
      </c>
      <c r="I1252" s="142">
        <f>IFERROR(VLOOKUP($B1252,calc_data,I$14+1,0),0)</f>
        <v/>
      </c>
      <c r="J1252" s="141">
        <f>IFERROR(VLOOKUP($B1252,calc_data,J$14+1,0),0)</f>
        <v/>
      </c>
      <c r="K1252" s="141">
        <f>IFERROR(VLOOKUP($B1252,calc_data,K$14+1,0),0)</f>
        <v/>
      </c>
      <c r="L1252" s="141">
        <f>IFERROR(VLOOKUP($B1252,calc_data,L$14+1,0),0)</f>
        <v/>
      </c>
      <c r="M1252" s="177">
        <f>IFERROR(VLOOKUP($B1252,calc_data,M$14+1,0),0)</f>
        <v/>
      </c>
      <c r="N1252" s="177">
        <f>IFERROR(VLOOKUP($B1252,calc_data,N$14+1,0),0)</f>
        <v/>
      </c>
      <c r="O1252" s="45" t="n"/>
      <c r="Q1252" s="57">
        <f>IF(K1252&gt;0,"показать","скрыть")</f>
        <v/>
      </c>
    </row>
    <row r="1253" ht="15.75" customHeight="1">
      <c r="B1253" s="182" t="n">
        <v>1237</v>
      </c>
      <c r="C1253" s="182">
        <f>IFERROR(VLOOKUP($B1253,calc_data,C$14+1,0),0)</f>
        <v/>
      </c>
      <c r="D1253" s="182">
        <f>IFERROR(VLOOKUP($B1253,calc_data,D$14+1,0),0)</f>
        <v/>
      </c>
      <c r="E1253" s="183">
        <f>IFERROR(VLOOKUP($B1253,calc_data,E$14+1,0),0)</f>
        <v/>
      </c>
      <c r="F1253" s="182">
        <f>IFERROR(VLOOKUP($B1253,calc_data,F$14+1,0),0)</f>
        <v/>
      </c>
      <c r="G1253" s="141">
        <f>IFERROR(VLOOKUP($B1253,calc_data,G$14+1,0),0)</f>
        <v/>
      </c>
      <c r="H1253" s="141">
        <f>IFERROR(VLOOKUP($B1253,calc_data,H$14+1,0),0)</f>
        <v/>
      </c>
      <c r="I1253" s="142">
        <f>IFERROR(VLOOKUP($B1253,calc_data,I$14+1,0),0)</f>
        <v/>
      </c>
      <c r="J1253" s="141">
        <f>IFERROR(VLOOKUP($B1253,calc_data,J$14+1,0),0)</f>
        <v/>
      </c>
      <c r="K1253" s="141">
        <f>IFERROR(VLOOKUP($B1253,calc_data,K$14+1,0),0)</f>
        <v/>
      </c>
      <c r="L1253" s="141">
        <f>IFERROR(VLOOKUP($B1253,calc_data,L$14+1,0),0)</f>
        <v/>
      </c>
      <c r="M1253" s="177">
        <f>IFERROR(VLOOKUP($B1253,calc_data,M$14+1,0),0)</f>
        <v/>
      </c>
      <c r="N1253" s="177">
        <f>IFERROR(VLOOKUP($B1253,calc_data,N$14+1,0),0)</f>
        <v/>
      </c>
      <c r="O1253" s="45" t="n"/>
      <c r="Q1253" s="57">
        <f>IF(K1253&gt;0,"показать","скрыть")</f>
        <v/>
      </c>
    </row>
    <row r="1254" ht="15.75" customHeight="1">
      <c r="B1254" s="182" t="n">
        <v>1238</v>
      </c>
      <c r="C1254" s="182">
        <f>IFERROR(VLOOKUP($B1254,calc_data,C$14+1,0),0)</f>
        <v/>
      </c>
      <c r="D1254" s="182">
        <f>IFERROR(VLOOKUP($B1254,calc_data,D$14+1,0),0)</f>
        <v/>
      </c>
      <c r="E1254" s="183">
        <f>IFERROR(VLOOKUP($B1254,calc_data,E$14+1,0),0)</f>
        <v/>
      </c>
      <c r="F1254" s="182">
        <f>IFERROR(VLOOKUP($B1254,calc_data,F$14+1,0),0)</f>
        <v/>
      </c>
      <c r="G1254" s="141">
        <f>IFERROR(VLOOKUP($B1254,calc_data,G$14+1,0),0)</f>
        <v/>
      </c>
      <c r="H1254" s="141">
        <f>IFERROR(VLOOKUP($B1254,calc_data,H$14+1,0),0)</f>
        <v/>
      </c>
      <c r="I1254" s="142">
        <f>IFERROR(VLOOKUP($B1254,calc_data,I$14+1,0),0)</f>
        <v/>
      </c>
      <c r="J1254" s="141">
        <f>IFERROR(VLOOKUP($B1254,calc_data,J$14+1,0),0)</f>
        <v/>
      </c>
      <c r="K1254" s="141">
        <f>IFERROR(VLOOKUP($B1254,calc_data,K$14+1,0),0)</f>
        <v/>
      </c>
      <c r="L1254" s="141">
        <f>IFERROR(VLOOKUP($B1254,calc_data,L$14+1,0),0)</f>
        <v/>
      </c>
      <c r="M1254" s="177">
        <f>IFERROR(VLOOKUP($B1254,calc_data,M$14+1,0),0)</f>
        <v/>
      </c>
      <c r="N1254" s="177">
        <f>IFERROR(VLOOKUP($B1254,calc_data,N$14+1,0),0)</f>
        <v/>
      </c>
      <c r="O1254" s="45" t="n"/>
      <c r="Q1254" s="57">
        <f>IF(K1254&gt;0,"показать","скрыть")</f>
        <v/>
      </c>
    </row>
    <row r="1255" ht="15.75" customHeight="1">
      <c r="B1255" s="182" t="n">
        <v>1239</v>
      </c>
      <c r="C1255" s="182">
        <f>IFERROR(VLOOKUP($B1255,calc_data,C$14+1,0),0)</f>
        <v/>
      </c>
      <c r="D1255" s="182">
        <f>IFERROR(VLOOKUP($B1255,calc_data,D$14+1,0),0)</f>
        <v/>
      </c>
      <c r="E1255" s="183">
        <f>IFERROR(VLOOKUP($B1255,calc_data,E$14+1,0),0)</f>
        <v/>
      </c>
      <c r="F1255" s="182">
        <f>IFERROR(VLOOKUP($B1255,calc_data,F$14+1,0),0)</f>
        <v/>
      </c>
      <c r="G1255" s="141">
        <f>IFERROR(VLOOKUP($B1255,calc_data,G$14+1,0),0)</f>
        <v/>
      </c>
      <c r="H1255" s="141">
        <f>IFERROR(VLOOKUP($B1255,calc_data,H$14+1,0),0)</f>
        <v/>
      </c>
      <c r="I1255" s="142">
        <f>IFERROR(VLOOKUP($B1255,calc_data,I$14+1,0),0)</f>
        <v/>
      </c>
      <c r="J1255" s="141">
        <f>IFERROR(VLOOKUP($B1255,calc_data,J$14+1,0),0)</f>
        <v/>
      </c>
      <c r="K1255" s="141">
        <f>IFERROR(VLOOKUP($B1255,calc_data,K$14+1,0),0)</f>
        <v/>
      </c>
      <c r="L1255" s="141">
        <f>IFERROR(VLOOKUP($B1255,calc_data,L$14+1,0),0)</f>
        <v/>
      </c>
      <c r="M1255" s="177">
        <f>IFERROR(VLOOKUP($B1255,calc_data,M$14+1,0),0)</f>
        <v/>
      </c>
      <c r="N1255" s="177">
        <f>IFERROR(VLOOKUP($B1255,calc_data,N$14+1,0),0)</f>
        <v/>
      </c>
      <c r="O1255" s="45" t="n"/>
      <c r="Q1255" s="57">
        <f>IF(K1255&gt;0,"показать","скрыть")</f>
        <v/>
      </c>
    </row>
    <row r="1256" ht="15.75" customHeight="1">
      <c r="B1256" s="182" t="n">
        <v>1240</v>
      </c>
      <c r="C1256" s="182">
        <f>IFERROR(VLOOKUP($B1256,calc_data,C$14+1,0),0)</f>
        <v/>
      </c>
      <c r="D1256" s="182">
        <f>IFERROR(VLOOKUP($B1256,calc_data,D$14+1,0),0)</f>
        <v/>
      </c>
      <c r="E1256" s="183">
        <f>IFERROR(VLOOKUP($B1256,calc_data,E$14+1,0),0)</f>
        <v/>
      </c>
      <c r="F1256" s="182">
        <f>IFERROR(VLOOKUP($B1256,calc_data,F$14+1,0),0)</f>
        <v/>
      </c>
      <c r="G1256" s="141">
        <f>IFERROR(VLOOKUP($B1256,calc_data,G$14+1,0),0)</f>
        <v/>
      </c>
      <c r="H1256" s="141">
        <f>IFERROR(VLOOKUP($B1256,calc_data,H$14+1,0),0)</f>
        <v/>
      </c>
      <c r="I1256" s="142">
        <f>IFERROR(VLOOKUP($B1256,calc_data,I$14+1,0),0)</f>
        <v/>
      </c>
      <c r="J1256" s="141">
        <f>IFERROR(VLOOKUP($B1256,calc_data,J$14+1,0),0)</f>
        <v/>
      </c>
      <c r="K1256" s="141">
        <f>IFERROR(VLOOKUP($B1256,calc_data,K$14+1,0),0)</f>
        <v/>
      </c>
      <c r="L1256" s="141">
        <f>IFERROR(VLOOKUP($B1256,calc_data,L$14+1,0),0)</f>
        <v/>
      </c>
      <c r="M1256" s="177">
        <f>IFERROR(VLOOKUP($B1256,calc_data,M$14+1,0),0)</f>
        <v/>
      </c>
      <c r="N1256" s="177">
        <f>IFERROR(VLOOKUP($B1256,calc_data,N$14+1,0),0)</f>
        <v/>
      </c>
      <c r="O1256" s="45" t="n"/>
      <c r="Q1256" s="57">
        <f>IF(K1256&gt;0,"показать","скрыть")</f>
        <v/>
      </c>
    </row>
    <row r="1257" ht="15.75" customHeight="1">
      <c r="B1257" s="182" t="n">
        <v>1241</v>
      </c>
      <c r="C1257" s="182">
        <f>IFERROR(VLOOKUP($B1257,calc_data,C$14+1,0),0)</f>
        <v/>
      </c>
      <c r="D1257" s="182">
        <f>IFERROR(VLOOKUP($B1257,calc_data,D$14+1,0),0)</f>
        <v/>
      </c>
      <c r="E1257" s="183">
        <f>IFERROR(VLOOKUP($B1257,calc_data,E$14+1,0),0)</f>
        <v/>
      </c>
      <c r="F1257" s="182">
        <f>IFERROR(VLOOKUP($B1257,calc_data,F$14+1,0),0)</f>
        <v/>
      </c>
      <c r="G1257" s="141">
        <f>IFERROR(VLOOKUP($B1257,calc_data,G$14+1,0),0)</f>
        <v/>
      </c>
      <c r="H1257" s="141">
        <f>IFERROR(VLOOKUP($B1257,calc_data,H$14+1,0),0)</f>
        <v/>
      </c>
      <c r="I1257" s="142">
        <f>IFERROR(VLOOKUP($B1257,calc_data,I$14+1,0),0)</f>
        <v/>
      </c>
      <c r="J1257" s="141">
        <f>IFERROR(VLOOKUP($B1257,calc_data,J$14+1,0),0)</f>
        <v/>
      </c>
      <c r="K1257" s="141">
        <f>IFERROR(VLOOKUP($B1257,calc_data,K$14+1,0),0)</f>
        <v/>
      </c>
      <c r="L1257" s="141">
        <f>IFERROR(VLOOKUP($B1257,calc_data,L$14+1,0),0)</f>
        <v/>
      </c>
      <c r="M1257" s="177">
        <f>IFERROR(VLOOKUP($B1257,calc_data,M$14+1,0),0)</f>
        <v/>
      </c>
      <c r="N1257" s="177">
        <f>IFERROR(VLOOKUP($B1257,calc_data,N$14+1,0),0)</f>
        <v/>
      </c>
      <c r="O1257" s="45" t="n"/>
      <c r="Q1257" s="57">
        <f>IF(K1257&gt;0,"показать","скрыть")</f>
        <v/>
      </c>
    </row>
    <row r="1258" ht="15.75" customHeight="1">
      <c r="B1258" s="182" t="n">
        <v>1242</v>
      </c>
      <c r="C1258" s="182">
        <f>IFERROR(VLOOKUP($B1258,calc_data,C$14+1,0),0)</f>
        <v/>
      </c>
      <c r="D1258" s="182">
        <f>IFERROR(VLOOKUP($B1258,calc_data,D$14+1,0),0)</f>
        <v/>
      </c>
      <c r="E1258" s="183">
        <f>IFERROR(VLOOKUP($B1258,calc_data,E$14+1,0),0)</f>
        <v/>
      </c>
      <c r="F1258" s="182">
        <f>IFERROR(VLOOKUP($B1258,calc_data,F$14+1,0),0)</f>
        <v/>
      </c>
      <c r="G1258" s="141">
        <f>IFERROR(VLOOKUP($B1258,calc_data,G$14+1,0),0)</f>
        <v/>
      </c>
      <c r="H1258" s="141">
        <f>IFERROR(VLOOKUP($B1258,calc_data,H$14+1,0),0)</f>
        <v/>
      </c>
      <c r="I1258" s="142">
        <f>IFERROR(VLOOKUP($B1258,calc_data,I$14+1,0),0)</f>
        <v/>
      </c>
      <c r="J1258" s="141">
        <f>IFERROR(VLOOKUP($B1258,calc_data,J$14+1,0),0)</f>
        <v/>
      </c>
      <c r="K1258" s="141">
        <f>IFERROR(VLOOKUP($B1258,calc_data,K$14+1,0),0)</f>
        <v/>
      </c>
      <c r="L1258" s="141">
        <f>IFERROR(VLOOKUP($B1258,calc_data,L$14+1,0),0)</f>
        <v/>
      </c>
      <c r="M1258" s="177">
        <f>IFERROR(VLOOKUP($B1258,calc_data,M$14+1,0),0)</f>
        <v/>
      </c>
      <c r="N1258" s="177">
        <f>IFERROR(VLOOKUP($B1258,calc_data,N$14+1,0),0)</f>
        <v/>
      </c>
      <c r="O1258" s="45" t="n"/>
      <c r="Q1258" s="57">
        <f>IF(K1258&gt;0,"показать","скрыть")</f>
        <v/>
      </c>
    </row>
    <row r="1259" ht="15.75" customHeight="1">
      <c r="B1259" s="182" t="n">
        <v>1243</v>
      </c>
      <c r="C1259" s="182">
        <f>IFERROR(VLOOKUP($B1259,calc_data,C$14+1,0),0)</f>
        <v/>
      </c>
      <c r="D1259" s="182">
        <f>IFERROR(VLOOKUP($B1259,calc_data,D$14+1,0),0)</f>
        <v/>
      </c>
      <c r="E1259" s="183">
        <f>IFERROR(VLOOKUP($B1259,calc_data,E$14+1,0),0)</f>
        <v/>
      </c>
      <c r="F1259" s="182">
        <f>IFERROR(VLOOKUP($B1259,calc_data,F$14+1,0),0)</f>
        <v/>
      </c>
      <c r="G1259" s="141">
        <f>IFERROR(VLOOKUP($B1259,calc_data,G$14+1,0),0)</f>
        <v/>
      </c>
      <c r="H1259" s="141">
        <f>IFERROR(VLOOKUP($B1259,calc_data,H$14+1,0),0)</f>
        <v/>
      </c>
      <c r="I1259" s="142">
        <f>IFERROR(VLOOKUP($B1259,calc_data,I$14+1,0),0)</f>
        <v/>
      </c>
      <c r="J1259" s="141">
        <f>IFERROR(VLOOKUP($B1259,calc_data,J$14+1,0),0)</f>
        <v/>
      </c>
      <c r="K1259" s="141">
        <f>IFERROR(VLOOKUP($B1259,calc_data,K$14+1,0),0)</f>
        <v/>
      </c>
      <c r="L1259" s="141">
        <f>IFERROR(VLOOKUP($B1259,calc_data,L$14+1,0),0)</f>
        <v/>
      </c>
      <c r="M1259" s="177">
        <f>IFERROR(VLOOKUP($B1259,calc_data,M$14+1,0),0)</f>
        <v/>
      </c>
      <c r="N1259" s="177">
        <f>IFERROR(VLOOKUP($B1259,calc_data,N$14+1,0),0)</f>
        <v/>
      </c>
      <c r="O1259" s="45" t="n"/>
      <c r="Q1259" s="57">
        <f>IF(K1259&gt;0,"показать","скрыть")</f>
        <v/>
      </c>
    </row>
    <row r="1260" ht="15.75" customHeight="1">
      <c r="B1260" s="182" t="n">
        <v>1244</v>
      </c>
      <c r="C1260" s="182">
        <f>IFERROR(VLOOKUP($B1260,calc_data,C$14+1,0),0)</f>
        <v/>
      </c>
      <c r="D1260" s="182">
        <f>IFERROR(VLOOKUP($B1260,calc_data,D$14+1,0),0)</f>
        <v/>
      </c>
      <c r="E1260" s="183">
        <f>IFERROR(VLOOKUP($B1260,calc_data,E$14+1,0),0)</f>
        <v/>
      </c>
      <c r="F1260" s="182">
        <f>IFERROR(VLOOKUP($B1260,calc_data,F$14+1,0),0)</f>
        <v/>
      </c>
      <c r="G1260" s="141">
        <f>IFERROR(VLOOKUP($B1260,calc_data,G$14+1,0),0)</f>
        <v/>
      </c>
      <c r="H1260" s="141">
        <f>IFERROR(VLOOKUP($B1260,calc_data,H$14+1,0),0)</f>
        <v/>
      </c>
      <c r="I1260" s="142">
        <f>IFERROR(VLOOKUP($B1260,calc_data,I$14+1,0),0)</f>
        <v/>
      </c>
      <c r="J1260" s="141">
        <f>IFERROR(VLOOKUP($B1260,calc_data,J$14+1,0),0)</f>
        <v/>
      </c>
      <c r="K1260" s="141">
        <f>IFERROR(VLOOKUP($B1260,calc_data,K$14+1,0),0)</f>
        <v/>
      </c>
      <c r="L1260" s="141">
        <f>IFERROR(VLOOKUP($B1260,calc_data,L$14+1,0),0)</f>
        <v/>
      </c>
      <c r="M1260" s="177">
        <f>IFERROR(VLOOKUP($B1260,calc_data,M$14+1,0),0)</f>
        <v/>
      </c>
      <c r="N1260" s="177">
        <f>IFERROR(VLOOKUP($B1260,calc_data,N$14+1,0),0)</f>
        <v/>
      </c>
      <c r="O1260" s="45" t="n"/>
      <c r="Q1260" s="57">
        <f>IF(K1260&gt;0,"показать","скрыть")</f>
        <v/>
      </c>
    </row>
    <row r="1261" ht="15.75" customHeight="1">
      <c r="B1261" s="182" t="n">
        <v>1245</v>
      </c>
      <c r="C1261" s="182">
        <f>IFERROR(VLOOKUP($B1261,calc_data,C$14+1,0),0)</f>
        <v/>
      </c>
      <c r="D1261" s="182">
        <f>IFERROR(VLOOKUP($B1261,calc_data,D$14+1,0),0)</f>
        <v/>
      </c>
      <c r="E1261" s="183">
        <f>IFERROR(VLOOKUP($B1261,calc_data,E$14+1,0),0)</f>
        <v/>
      </c>
      <c r="F1261" s="182">
        <f>IFERROR(VLOOKUP($B1261,calc_data,F$14+1,0),0)</f>
        <v/>
      </c>
      <c r="G1261" s="141">
        <f>IFERROR(VLOOKUP($B1261,calc_data,G$14+1,0),0)</f>
        <v/>
      </c>
      <c r="H1261" s="141">
        <f>IFERROR(VLOOKUP($B1261,calc_data,H$14+1,0),0)</f>
        <v/>
      </c>
      <c r="I1261" s="142">
        <f>IFERROR(VLOOKUP($B1261,calc_data,I$14+1,0),0)</f>
        <v/>
      </c>
      <c r="J1261" s="141">
        <f>IFERROR(VLOOKUP($B1261,calc_data,J$14+1,0),0)</f>
        <v/>
      </c>
      <c r="K1261" s="141">
        <f>IFERROR(VLOOKUP($B1261,calc_data,K$14+1,0),0)</f>
        <v/>
      </c>
      <c r="L1261" s="141">
        <f>IFERROR(VLOOKUP($B1261,calc_data,L$14+1,0),0)</f>
        <v/>
      </c>
      <c r="M1261" s="177">
        <f>IFERROR(VLOOKUP($B1261,calc_data,M$14+1,0),0)</f>
        <v/>
      </c>
      <c r="N1261" s="177">
        <f>IFERROR(VLOOKUP($B1261,calc_data,N$14+1,0),0)</f>
        <v/>
      </c>
      <c r="O1261" s="45" t="n"/>
      <c r="Q1261" s="57">
        <f>IF(K1261&gt;0,"показать","скрыть")</f>
        <v/>
      </c>
    </row>
    <row r="1262" ht="15.75" customHeight="1">
      <c r="B1262" s="182" t="n">
        <v>1246</v>
      </c>
      <c r="C1262" s="182">
        <f>IFERROR(VLOOKUP($B1262,calc_data,C$14+1,0),0)</f>
        <v/>
      </c>
      <c r="D1262" s="182">
        <f>IFERROR(VLOOKUP($B1262,calc_data,D$14+1,0),0)</f>
        <v/>
      </c>
      <c r="E1262" s="183">
        <f>IFERROR(VLOOKUP($B1262,calc_data,E$14+1,0),0)</f>
        <v/>
      </c>
      <c r="F1262" s="182">
        <f>IFERROR(VLOOKUP($B1262,calc_data,F$14+1,0),0)</f>
        <v/>
      </c>
      <c r="G1262" s="141">
        <f>IFERROR(VLOOKUP($B1262,calc_data,G$14+1,0),0)</f>
        <v/>
      </c>
      <c r="H1262" s="141">
        <f>IFERROR(VLOOKUP($B1262,calc_data,H$14+1,0),0)</f>
        <v/>
      </c>
      <c r="I1262" s="142">
        <f>IFERROR(VLOOKUP($B1262,calc_data,I$14+1,0),0)</f>
        <v/>
      </c>
      <c r="J1262" s="141">
        <f>IFERROR(VLOOKUP($B1262,calc_data,J$14+1,0),0)</f>
        <v/>
      </c>
      <c r="K1262" s="141">
        <f>IFERROR(VLOOKUP($B1262,calc_data,K$14+1,0),0)</f>
        <v/>
      </c>
      <c r="L1262" s="141">
        <f>IFERROR(VLOOKUP($B1262,calc_data,L$14+1,0),0)</f>
        <v/>
      </c>
      <c r="M1262" s="177">
        <f>IFERROR(VLOOKUP($B1262,calc_data,M$14+1,0),0)</f>
        <v/>
      </c>
      <c r="N1262" s="177">
        <f>IFERROR(VLOOKUP($B1262,calc_data,N$14+1,0),0)</f>
        <v/>
      </c>
      <c r="O1262" s="45" t="n"/>
      <c r="Q1262" s="57">
        <f>IF(K1262&gt;0,"показать","скрыть")</f>
        <v/>
      </c>
    </row>
    <row r="1263" ht="15.75" customHeight="1">
      <c r="B1263" s="182" t="n">
        <v>1247</v>
      </c>
      <c r="C1263" s="182">
        <f>IFERROR(VLOOKUP($B1263,calc_data,C$14+1,0),0)</f>
        <v/>
      </c>
      <c r="D1263" s="182">
        <f>IFERROR(VLOOKUP($B1263,calc_data,D$14+1,0),0)</f>
        <v/>
      </c>
      <c r="E1263" s="183">
        <f>IFERROR(VLOOKUP($B1263,calc_data,E$14+1,0),0)</f>
        <v/>
      </c>
      <c r="F1263" s="182">
        <f>IFERROR(VLOOKUP($B1263,calc_data,F$14+1,0),0)</f>
        <v/>
      </c>
      <c r="G1263" s="141">
        <f>IFERROR(VLOOKUP($B1263,calc_data,G$14+1,0),0)</f>
        <v/>
      </c>
      <c r="H1263" s="141">
        <f>IFERROR(VLOOKUP($B1263,calc_data,H$14+1,0),0)</f>
        <v/>
      </c>
      <c r="I1263" s="142">
        <f>IFERROR(VLOOKUP($B1263,calc_data,I$14+1,0),0)</f>
        <v/>
      </c>
      <c r="J1263" s="141">
        <f>IFERROR(VLOOKUP($B1263,calc_data,J$14+1,0),0)</f>
        <v/>
      </c>
      <c r="K1263" s="141">
        <f>IFERROR(VLOOKUP($B1263,calc_data,K$14+1,0),0)</f>
        <v/>
      </c>
      <c r="L1263" s="141">
        <f>IFERROR(VLOOKUP($B1263,calc_data,L$14+1,0),0)</f>
        <v/>
      </c>
      <c r="M1263" s="177">
        <f>IFERROR(VLOOKUP($B1263,calc_data,M$14+1,0),0)</f>
        <v/>
      </c>
      <c r="N1263" s="177">
        <f>IFERROR(VLOOKUP($B1263,calc_data,N$14+1,0),0)</f>
        <v/>
      </c>
      <c r="O1263" s="45" t="n"/>
      <c r="Q1263" s="57">
        <f>IF(K1263&gt;0,"показать","скрыть")</f>
        <v/>
      </c>
    </row>
    <row r="1264" ht="15.75" customHeight="1">
      <c r="B1264" s="182" t="n">
        <v>1248</v>
      </c>
      <c r="C1264" s="182">
        <f>IFERROR(VLOOKUP($B1264,calc_data,C$14+1,0),0)</f>
        <v/>
      </c>
      <c r="D1264" s="182">
        <f>IFERROR(VLOOKUP($B1264,calc_data,D$14+1,0),0)</f>
        <v/>
      </c>
      <c r="E1264" s="183">
        <f>IFERROR(VLOOKUP($B1264,calc_data,E$14+1,0),0)</f>
        <v/>
      </c>
      <c r="F1264" s="182">
        <f>IFERROR(VLOOKUP($B1264,calc_data,F$14+1,0),0)</f>
        <v/>
      </c>
      <c r="G1264" s="141">
        <f>IFERROR(VLOOKUP($B1264,calc_data,G$14+1,0),0)</f>
        <v/>
      </c>
      <c r="H1264" s="141">
        <f>IFERROR(VLOOKUP($B1264,calc_data,H$14+1,0),0)</f>
        <v/>
      </c>
      <c r="I1264" s="142">
        <f>IFERROR(VLOOKUP($B1264,calc_data,I$14+1,0),0)</f>
        <v/>
      </c>
      <c r="J1264" s="141">
        <f>IFERROR(VLOOKUP($B1264,calc_data,J$14+1,0),0)</f>
        <v/>
      </c>
      <c r="K1264" s="141">
        <f>IFERROR(VLOOKUP($B1264,calc_data,K$14+1,0),0)</f>
        <v/>
      </c>
      <c r="L1264" s="141">
        <f>IFERROR(VLOOKUP($B1264,calc_data,L$14+1,0),0)</f>
        <v/>
      </c>
      <c r="M1264" s="177">
        <f>IFERROR(VLOOKUP($B1264,calc_data,M$14+1,0),0)</f>
        <v/>
      </c>
      <c r="N1264" s="177">
        <f>IFERROR(VLOOKUP($B1264,calc_data,N$14+1,0),0)</f>
        <v/>
      </c>
      <c r="O1264" s="45" t="n"/>
      <c r="Q1264" s="57">
        <f>IF(K1264&gt;0,"показать","скрыть")</f>
        <v/>
      </c>
    </row>
    <row r="1265" ht="15.75" customHeight="1">
      <c r="B1265" s="182" t="n">
        <v>1249</v>
      </c>
      <c r="C1265" s="182">
        <f>IFERROR(VLOOKUP($B1265,calc_data,C$14+1,0),0)</f>
        <v/>
      </c>
      <c r="D1265" s="182">
        <f>IFERROR(VLOOKUP($B1265,calc_data,D$14+1,0),0)</f>
        <v/>
      </c>
      <c r="E1265" s="183">
        <f>IFERROR(VLOOKUP($B1265,calc_data,E$14+1,0),0)</f>
        <v/>
      </c>
      <c r="F1265" s="182">
        <f>IFERROR(VLOOKUP($B1265,calc_data,F$14+1,0),0)</f>
        <v/>
      </c>
      <c r="G1265" s="141">
        <f>IFERROR(VLOOKUP($B1265,calc_data,G$14+1,0),0)</f>
        <v/>
      </c>
      <c r="H1265" s="141">
        <f>IFERROR(VLOOKUP($B1265,calc_data,H$14+1,0),0)</f>
        <v/>
      </c>
      <c r="I1265" s="142">
        <f>IFERROR(VLOOKUP($B1265,calc_data,I$14+1,0),0)</f>
        <v/>
      </c>
      <c r="J1265" s="141">
        <f>IFERROR(VLOOKUP($B1265,calc_data,J$14+1,0),0)</f>
        <v/>
      </c>
      <c r="K1265" s="141">
        <f>IFERROR(VLOOKUP($B1265,calc_data,K$14+1,0),0)</f>
        <v/>
      </c>
      <c r="L1265" s="141">
        <f>IFERROR(VLOOKUP($B1265,calc_data,L$14+1,0),0)</f>
        <v/>
      </c>
      <c r="M1265" s="177">
        <f>IFERROR(VLOOKUP($B1265,calc_data,M$14+1,0),0)</f>
        <v/>
      </c>
      <c r="N1265" s="177">
        <f>IFERROR(VLOOKUP($B1265,calc_data,N$14+1,0),0)</f>
        <v/>
      </c>
      <c r="O1265" s="45" t="n"/>
      <c r="Q1265" s="57">
        <f>IF(K1265&gt;0,"показать","скрыть")</f>
        <v/>
      </c>
    </row>
    <row r="1266" ht="15.75" customHeight="1">
      <c r="B1266" s="182" t="n">
        <v>1250</v>
      </c>
      <c r="C1266" s="182">
        <f>IFERROR(VLOOKUP($B1266,calc_data,C$14+1,0),0)</f>
        <v/>
      </c>
      <c r="D1266" s="182">
        <f>IFERROR(VLOOKUP($B1266,calc_data,D$14+1,0),0)</f>
        <v/>
      </c>
      <c r="E1266" s="183">
        <f>IFERROR(VLOOKUP($B1266,calc_data,E$14+1,0),0)</f>
        <v/>
      </c>
      <c r="F1266" s="182">
        <f>IFERROR(VLOOKUP($B1266,calc_data,F$14+1,0),0)</f>
        <v/>
      </c>
      <c r="G1266" s="141">
        <f>IFERROR(VLOOKUP($B1266,calc_data,G$14+1,0),0)</f>
        <v/>
      </c>
      <c r="H1266" s="141">
        <f>IFERROR(VLOOKUP($B1266,calc_data,H$14+1,0),0)</f>
        <v/>
      </c>
      <c r="I1266" s="142">
        <f>IFERROR(VLOOKUP($B1266,calc_data,I$14+1,0),0)</f>
        <v/>
      </c>
      <c r="J1266" s="141">
        <f>IFERROR(VLOOKUP($B1266,calc_data,J$14+1,0),0)</f>
        <v/>
      </c>
      <c r="K1266" s="141">
        <f>IFERROR(VLOOKUP($B1266,calc_data,K$14+1,0),0)</f>
        <v/>
      </c>
      <c r="L1266" s="141">
        <f>IFERROR(VLOOKUP($B1266,calc_data,L$14+1,0),0)</f>
        <v/>
      </c>
      <c r="M1266" s="177">
        <f>IFERROR(VLOOKUP($B1266,calc_data,M$14+1,0),0)</f>
        <v/>
      </c>
      <c r="N1266" s="177">
        <f>IFERROR(VLOOKUP($B1266,calc_data,N$14+1,0),0)</f>
        <v/>
      </c>
      <c r="O1266" s="45" t="n"/>
      <c r="Q1266" s="57">
        <f>IF(K1266&gt;0,"показать","скрыть")</f>
        <v/>
      </c>
    </row>
    <row r="1267" ht="15.75" customHeight="1">
      <c r="B1267" s="182" t="n">
        <v>1251</v>
      </c>
      <c r="C1267" s="182">
        <f>IFERROR(VLOOKUP($B1267,calc_data,C$14+1,0),0)</f>
        <v/>
      </c>
      <c r="D1267" s="182">
        <f>IFERROR(VLOOKUP($B1267,calc_data,D$14+1,0),0)</f>
        <v/>
      </c>
      <c r="E1267" s="183">
        <f>IFERROR(VLOOKUP($B1267,calc_data,E$14+1,0),0)</f>
        <v/>
      </c>
      <c r="F1267" s="182">
        <f>IFERROR(VLOOKUP($B1267,calc_data,F$14+1,0),0)</f>
        <v/>
      </c>
      <c r="G1267" s="141">
        <f>IFERROR(VLOOKUP($B1267,calc_data,G$14+1,0),0)</f>
        <v/>
      </c>
      <c r="H1267" s="141">
        <f>IFERROR(VLOOKUP($B1267,calc_data,H$14+1,0),0)</f>
        <v/>
      </c>
      <c r="I1267" s="142">
        <f>IFERROR(VLOOKUP($B1267,calc_data,I$14+1,0),0)</f>
        <v/>
      </c>
      <c r="J1267" s="141">
        <f>IFERROR(VLOOKUP($B1267,calc_data,J$14+1,0),0)</f>
        <v/>
      </c>
      <c r="K1267" s="141">
        <f>IFERROR(VLOOKUP($B1267,calc_data,K$14+1,0),0)</f>
        <v/>
      </c>
      <c r="L1267" s="141">
        <f>IFERROR(VLOOKUP($B1267,calc_data,L$14+1,0),0)</f>
        <v/>
      </c>
      <c r="M1267" s="177">
        <f>IFERROR(VLOOKUP($B1267,calc_data,M$14+1,0),0)</f>
        <v/>
      </c>
      <c r="N1267" s="177">
        <f>IFERROR(VLOOKUP($B1267,calc_data,N$14+1,0),0)</f>
        <v/>
      </c>
      <c r="O1267" s="45" t="n"/>
      <c r="Q1267" s="57">
        <f>IF(K1267&gt;0,"показать","скрыть")</f>
        <v/>
      </c>
    </row>
    <row r="1268" ht="15.75" customHeight="1">
      <c r="B1268" s="182" t="n">
        <v>1252</v>
      </c>
      <c r="C1268" s="182">
        <f>IFERROR(VLOOKUP($B1268,calc_data,C$14+1,0),0)</f>
        <v/>
      </c>
      <c r="D1268" s="182">
        <f>IFERROR(VLOOKUP($B1268,calc_data,D$14+1,0),0)</f>
        <v/>
      </c>
      <c r="E1268" s="183">
        <f>IFERROR(VLOOKUP($B1268,calc_data,E$14+1,0),0)</f>
        <v/>
      </c>
      <c r="F1268" s="182">
        <f>IFERROR(VLOOKUP($B1268,calc_data,F$14+1,0),0)</f>
        <v/>
      </c>
      <c r="G1268" s="141">
        <f>IFERROR(VLOOKUP($B1268,calc_data,G$14+1,0),0)</f>
        <v/>
      </c>
      <c r="H1268" s="141">
        <f>IFERROR(VLOOKUP($B1268,calc_data,H$14+1,0),0)</f>
        <v/>
      </c>
      <c r="I1268" s="142">
        <f>IFERROR(VLOOKUP($B1268,calc_data,I$14+1,0),0)</f>
        <v/>
      </c>
      <c r="J1268" s="141">
        <f>IFERROR(VLOOKUP($B1268,calc_data,J$14+1,0),0)</f>
        <v/>
      </c>
      <c r="K1268" s="141">
        <f>IFERROR(VLOOKUP($B1268,calc_data,K$14+1,0),0)</f>
        <v/>
      </c>
      <c r="L1268" s="141">
        <f>IFERROR(VLOOKUP($B1268,calc_data,L$14+1,0),0)</f>
        <v/>
      </c>
      <c r="M1268" s="177">
        <f>IFERROR(VLOOKUP($B1268,calc_data,M$14+1,0),0)</f>
        <v/>
      </c>
      <c r="N1268" s="177">
        <f>IFERROR(VLOOKUP($B1268,calc_data,N$14+1,0),0)</f>
        <v/>
      </c>
      <c r="O1268" s="45" t="n"/>
      <c r="Q1268" s="57">
        <f>IF(K1268&gt;0,"показать","скрыть")</f>
        <v/>
      </c>
    </row>
    <row r="1269" ht="15.75" customHeight="1">
      <c r="B1269" s="182" t="n">
        <v>1253</v>
      </c>
      <c r="C1269" s="182">
        <f>IFERROR(VLOOKUP($B1269,calc_data,C$14+1,0),0)</f>
        <v/>
      </c>
      <c r="D1269" s="182">
        <f>IFERROR(VLOOKUP($B1269,calc_data,D$14+1,0),0)</f>
        <v/>
      </c>
      <c r="E1269" s="183">
        <f>IFERROR(VLOOKUP($B1269,calc_data,E$14+1,0),0)</f>
        <v/>
      </c>
      <c r="F1269" s="182">
        <f>IFERROR(VLOOKUP($B1269,calc_data,F$14+1,0),0)</f>
        <v/>
      </c>
      <c r="G1269" s="141">
        <f>IFERROR(VLOOKUP($B1269,calc_data,G$14+1,0),0)</f>
        <v/>
      </c>
      <c r="H1269" s="141">
        <f>IFERROR(VLOOKUP($B1269,calc_data,H$14+1,0),0)</f>
        <v/>
      </c>
      <c r="I1269" s="142">
        <f>IFERROR(VLOOKUP($B1269,calc_data,I$14+1,0),0)</f>
        <v/>
      </c>
      <c r="J1269" s="141">
        <f>IFERROR(VLOOKUP($B1269,calc_data,J$14+1,0),0)</f>
        <v/>
      </c>
      <c r="K1269" s="141">
        <f>IFERROR(VLOOKUP($B1269,calc_data,K$14+1,0),0)</f>
        <v/>
      </c>
      <c r="L1269" s="141">
        <f>IFERROR(VLOOKUP($B1269,calc_data,L$14+1,0),0)</f>
        <v/>
      </c>
      <c r="M1269" s="177">
        <f>IFERROR(VLOOKUP($B1269,calc_data,M$14+1,0),0)</f>
        <v/>
      </c>
      <c r="N1269" s="177">
        <f>IFERROR(VLOOKUP($B1269,calc_data,N$14+1,0),0)</f>
        <v/>
      </c>
      <c r="O1269" s="45" t="n"/>
      <c r="Q1269" s="57">
        <f>IF(K1269&gt;0,"показать","скрыть")</f>
        <v/>
      </c>
    </row>
    <row r="1270" ht="15.75" customHeight="1">
      <c r="B1270" s="182" t="n">
        <v>1254</v>
      </c>
      <c r="C1270" s="182">
        <f>IFERROR(VLOOKUP($B1270,calc_data,C$14+1,0),0)</f>
        <v/>
      </c>
      <c r="D1270" s="182">
        <f>IFERROR(VLOOKUP($B1270,calc_data,D$14+1,0),0)</f>
        <v/>
      </c>
      <c r="E1270" s="183">
        <f>IFERROR(VLOOKUP($B1270,calc_data,E$14+1,0),0)</f>
        <v/>
      </c>
      <c r="F1270" s="182">
        <f>IFERROR(VLOOKUP($B1270,calc_data,F$14+1,0),0)</f>
        <v/>
      </c>
      <c r="G1270" s="141">
        <f>IFERROR(VLOOKUP($B1270,calc_data,G$14+1,0),0)</f>
        <v/>
      </c>
      <c r="H1270" s="141">
        <f>IFERROR(VLOOKUP($B1270,calc_data,H$14+1,0),0)</f>
        <v/>
      </c>
      <c r="I1270" s="142">
        <f>IFERROR(VLOOKUP($B1270,calc_data,I$14+1,0),0)</f>
        <v/>
      </c>
      <c r="J1270" s="141">
        <f>IFERROR(VLOOKUP($B1270,calc_data,J$14+1,0),0)</f>
        <v/>
      </c>
      <c r="K1270" s="141">
        <f>IFERROR(VLOOKUP($B1270,calc_data,K$14+1,0),0)</f>
        <v/>
      </c>
      <c r="L1270" s="141">
        <f>IFERROR(VLOOKUP($B1270,calc_data,L$14+1,0),0)</f>
        <v/>
      </c>
      <c r="M1270" s="177">
        <f>IFERROR(VLOOKUP($B1270,calc_data,M$14+1,0),0)</f>
        <v/>
      </c>
      <c r="N1270" s="177">
        <f>IFERROR(VLOOKUP($B1270,calc_data,N$14+1,0),0)</f>
        <v/>
      </c>
      <c r="O1270" s="45" t="n"/>
      <c r="Q1270" s="57">
        <f>IF(K1270&gt;0,"показать","скрыть")</f>
        <v/>
      </c>
    </row>
    <row r="1271" ht="15.75" customHeight="1">
      <c r="B1271" s="182" t="n">
        <v>1255</v>
      </c>
      <c r="C1271" s="182">
        <f>IFERROR(VLOOKUP($B1271,calc_data,C$14+1,0),0)</f>
        <v/>
      </c>
      <c r="D1271" s="182">
        <f>IFERROR(VLOOKUP($B1271,calc_data,D$14+1,0),0)</f>
        <v/>
      </c>
      <c r="E1271" s="183">
        <f>IFERROR(VLOOKUP($B1271,calc_data,E$14+1,0),0)</f>
        <v/>
      </c>
      <c r="F1271" s="182">
        <f>IFERROR(VLOOKUP($B1271,calc_data,F$14+1,0),0)</f>
        <v/>
      </c>
      <c r="G1271" s="141">
        <f>IFERROR(VLOOKUP($B1271,calc_data,G$14+1,0),0)</f>
        <v/>
      </c>
      <c r="H1271" s="141">
        <f>IFERROR(VLOOKUP($B1271,calc_data,H$14+1,0),0)</f>
        <v/>
      </c>
      <c r="I1271" s="142">
        <f>IFERROR(VLOOKUP($B1271,calc_data,I$14+1,0),0)</f>
        <v/>
      </c>
      <c r="J1271" s="141">
        <f>IFERROR(VLOOKUP($B1271,calc_data,J$14+1,0),0)</f>
        <v/>
      </c>
      <c r="K1271" s="141">
        <f>IFERROR(VLOOKUP($B1271,calc_data,K$14+1,0),0)</f>
        <v/>
      </c>
      <c r="L1271" s="141">
        <f>IFERROR(VLOOKUP($B1271,calc_data,L$14+1,0),0)</f>
        <v/>
      </c>
      <c r="M1271" s="177">
        <f>IFERROR(VLOOKUP($B1271,calc_data,M$14+1,0),0)</f>
        <v/>
      </c>
      <c r="N1271" s="177">
        <f>IFERROR(VLOOKUP($B1271,calc_data,N$14+1,0),0)</f>
        <v/>
      </c>
      <c r="O1271" s="45" t="n"/>
      <c r="Q1271" s="57">
        <f>IF(K1271&gt;0,"показать","скрыть")</f>
        <v/>
      </c>
    </row>
    <row r="1272" ht="15.75" customHeight="1">
      <c r="B1272" s="182" t="n">
        <v>1256</v>
      </c>
      <c r="C1272" s="182">
        <f>IFERROR(VLOOKUP($B1272,calc_data,C$14+1,0),0)</f>
        <v/>
      </c>
      <c r="D1272" s="182">
        <f>IFERROR(VLOOKUP($B1272,calc_data,D$14+1,0),0)</f>
        <v/>
      </c>
      <c r="E1272" s="183">
        <f>IFERROR(VLOOKUP($B1272,calc_data,E$14+1,0),0)</f>
        <v/>
      </c>
      <c r="F1272" s="182">
        <f>IFERROR(VLOOKUP($B1272,calc_data,F$14+1,0),0)</f>
        <v/>
      </c>
      <c r="G1272" s="141">
        <f>IFERROR(VLOOKUP($B1272,calc_data,G$14+1,0),0)</f>
        <v/>
      </c>
      <c r="H1272" s="141">
        <f>IFERROR(VLOOKUP($B1272,calc_data,H$14+1,0),0)</f>
        <v/>
      </c>
      <c r="I1272" s="142">
        <f>IFERROR(VLOOKUP($B1272,calc_data,I$14+1,0),0)</f>
        <v/>
      </c>
      <c r="J1272" s="141">
        <f>IFERROR(VLOOKUP($B1272,calc_data,J$14+1,0),0)</f>
        <v/>
      </c>
      <c r="K1272" s="141">
        <f>IFERROR(VLOOKUP($B1272,calc_data,K$14+1,0),0)</f>
        <v/>
      </c>
      <c r="L1272" s="141">
        <f>IFERROR(VLOOKUP($B1272,calc_data,L$14+1,0),0)</f>
        <v/>
      </c>
      <c r="M1272" s="177">
        <f>IFERROR(VLOOKUP($B1272,calc_data,M$14+1,0),0)</f>
        <v/>
      </c>
      <c r="N1272" s="177">
        <f>IFERROR(VLOOKUP($B1272,calc_data,N$14+1,0),0)</f>
        <v/>
      </c>
      <c r="O1272" s="45" t="n"/>
      <c r="Q1272" s="57">
        <f>IF(K1272&gt;0,"показать","скрыть")</f>
        <v/>
      </c>
    </row>
    <row r="1273" ht="15.75" customHeight="1">
      <c r="B1273" s="182" t="n">
        <v>1257</v>
      </c>
      <c r="C1273" s="182">
        <f>IFERROR(VLOOKUP($B1273,calc_data,C$14+1,0),0)</f>
        <v/>
      </c>
      <c r="D1273" s="182">
        <f>IFERROR(VLOOKUP($B1273,calc_data,D$14+1,0),0)</f>
        <v/>
      </c>
      <c r="E1273" s="183">
        <f>IFERROR(VLOOKUP($B1273,calc_data,E$14+1,0),0)</f>
        <v/>
      </c>
      <c r="F1273" s="182">
        <f>IFERROR(VLOOKUP($B1273,calc_data,F$14+1,0),0)</f>
        <v/>
      </c>
      <c r="G1273" s="141">
        <f>IFERROR(VLOOKUP($B1273,calc_data,G$14+1,0),0)</f>
        <v/>
      </c>
      <c r="H1273" s="141">
        <f>IFERROR(VLOOKUP($B1273,calc_data,H$14+1,0),0)</f>
        <v/>
      </c>
      <c r="I1273" s="142">
        <f>IFERROR(VLOOKUP($B1273,calc_data,I$14+1,0),0)</f>
        <v/>
      </c>
      <c r="J1273" s="141">
        <f>IFERROR(VLOOKUP($B1273,calc_data,J$14+1,0),0)</f>
        <v/>
      </c>
      <c r="K1273" s="141">
        <f>IFERROR(VLOOKUP($B1273,calc_data,K$14+1,0),0)</f>
        <v/>
      </c>
      <c r="L1273" s="141">
        <f>IFERROR(VLOOKUP($B1273,calc_data,L$14+1,0),0)</f>
        <v/>
      </c>
      <c r="M1273" s="177">
        <f>IFERROR(VLOOKUP($B1273,calc_data,M$14+1,0),0)</f>
        <v/>
      </c>
      <c r="N1273" s="177">
        <f>IFERROR(VLOOKUP($B1273,calc_data,N$14+1,0),0)</f>
        <v/>
      </c>
      <c r="O1273" s="45" t="n"/>
      <c r="Q1273" s="57">
        <f>IF(K1273&gt;0,"показать","скрыть")</f>
        <v/>
      </c>
    </row>
    <row r="1274" ht="15.75" customHeight="1">
      <c r="B1274" s="182" t="n">
        <v>1258</v>
      </c>
      <c r="C1274" s="182">
        <f>IFERROR(VLOOKUP($B1274,calc_data,C$14+1,0),0)</f>
        <v/>
      </c>
      <c r="D1274" s="182">
        <f>IFERROR(VLOOKUP($B1274,calc_data,D$14+1,0),0)</f>
        <v/>
      </c>
      <c r="E1274" s="183">
        <f>IFERROR(VLOOKUP($B1274,calc_data,E$14+1,0),0)</f>
        <v/>
      </c>
      <c r="F1274" s="182">
        <f>IFERROR(VLOOKUP($B1274,calc_data,F$14+1,0),0)</f>
        <v/>
      </c>
      <c r="G1274" s="141">
        <f>IFERROR(VLOOKUP($B1274,calc_data,G$14+1,0),0)</f>
        <v/>
      </c>
      <c r="H1274" s="141">
        <f>IFERROR(VLOOKUP($B1274,calc_data,H$14+1,0),0)</f>
        <v/>
      </c>
      <c r="I1274" s="142">
        <f>IFERROR(VLOOKUP($B1274,calc_data,I$14+1,0),0)</f>
        <v/>
      </c>
      <c r="J1274" s="141">
        <f>IFERROR(VLOOKUP($B1274,calc_data,J$14+1,0),0)</f>
        <v/>
      </c>
      <c r="K1274" s="141">
        <f>IFERROR(VLOOKUP($B1274,calc_data,K$14+1,0),0)</f>
        <v/>
      </c>
      <c r="L1274" s="141">
        <f>IFERROR(VLOOKUP($B1274,calc_data,L$14+1,0),0)</f>
        <v/>
      </c>
      <c r="M1274" s="177">
        <f>IFERROR(VLOOKUP($B1274,calc_data,M$14+1,0),0)</f>
        <v/>
      </c>
      <c r="N1274" s="177">
        <f>IFERROR(VLOOKUP($B1274,calc_data,N$14+1,0),0)</f>
        <v/>
      </c>
      <c r="O1274" s="45" t="n"/>
      <c r="Q1274" s="57">
        <f>IF(K1274&gt;0,"показать","скрыть")</f>
        <v/>
      </c>
    </row>
    <row r="1275" ht="15.75" customHeight="1">
      <c r="B1275" s="182" t="n">
        <v>1259</v>
      </c>
      <c r="C1275" s="182">
        <f>IFERROR(VLOOKUP($B1275,calc_data,C$14+1,0),0)</f>
        <v/>
      </c>
      <c r="D1275" s="182">
        <f>IFERROR(VLOOKUP($B1275,calc_data,D$14+1,0),0)</f>
        <v/>
      </c>
      <c r="E1275" s="183">
        <f>IFERROR(VLOOKUP($B1275,calc_data,E$14+1,0),0)</f>
        <v/>
      </c>
      <c r="F1275" s="182">
        <f>IFERROR(VLOOKUP($B1275,calc_data,F$14+1,0),0)</f>
        <v/>
      </c>
      <c r="G1275" s="141">
        <f>IFERROR(VLOOKUP($B1275,calc_data,G$14+1,0),0)</f>
        <v/>
      </c>
      <c r="H1275" s="141">
        <f>IFERROR(VLOOKUP($B1275,calc_data,H$14+1,0),0)</f>
        <v/>
      </c>
      <c r="I1275" s="142">
        <f>IFERROR(VLOOKUP($B1275,calc_data,I$14+1,0),0)</f>
        <v/>
      </c>
      <c r="J1275" s="141">
        <f>IFERROR(VLOOKUP($B1275,calc_data,J$14+1,0),0)</f>
        <v/>
      </c>
      <c r="K1275" s="141">
        <f>IFERROR(VLOOKUP($B1275,calc_data,K$14+1,0),0)</f>
        <v/>
      </c>
      <c r="L1275" s="141">
        <f>IFERROR(VLOOKUP($B1275,calc_data,L$14+1,0),0)</f>
        <v/>
      </c>
      <c r="M1275" s="177">
        <f>IFERROR(VLOOKUP($B1275,calc_data,M$14+1,0),0)</f>
        <v/>
      </c>
      <c r="N1275" s="177">
        <f>IFERROR(VLOOKUP($B1275,calc_data,N$14+1,0),0)</f>
        <v/>
      </c>
      <c r="O1275" s="45" t="n"/>
      <c r="Q1275" s="57">
        <f>IF(K1275&gt;0,"показать","скрыть")</f>
        <v/>
      </c>
    </row>
    <row r="1276" ht="15.75" customHeight="1">
      <c r="B1276" s="182" t="n">
        <v>1260</v>
      </c>
      <c r="C1276" s="182">
        <f>IFERROR(VLOOKUP($B1276,calc_data,C$14+1,0),0)</f>
        <v/>
      </c>
      <c r="D1276" s="182">
        <f>IFERROR(VLOOKUP($B1276,calc_data,D$14+1,0),0)</f>
        <v/>
      </c>
      <c r="E1276" s="183">
        <f>IFERROR(VLOOKUP($B1276,calc_data,E$14+1,0),0)</f>
        <v/>
      </c>
      <c r="F1276" s="182">
        <f>IFERROR(VLOOKUP($B1276,calc_data,F$14+1,0),0)</f>
        <v/>
      </c>
      <c r="G1276" s="141">
        <f>IFERROR(VLOOKUP($B1276,calc_data,G$14+1,0),0)</f>
        <v/>
      </c>
      <c r="H1276" s="141">
        <f>IFERROR(VLOOKUP($B1276,calc_data,H$14+1,0),0)</f>
        <v/>
      </c>
      <c r="I1276" s="142">
        <f>IFERROR(VLOOKUP($B1276,calc_data,I$14+1,0),0)</f>
        <v/>
      </c>
      <c r="J1276" s="141">
        <f>IFERROR(VLOOKUP($B1276,calc_data,J$14+1,0),0)</f>
        <v/>
      </c>
      <c r="K1276" s="141">
        <f>IFERROR(VLOOKUP($B1276,calc_data,K$14+1,0),0)</f>
        <v/>
      </c>
      <c r="L1276" s="141">
        <f>IFERROR(VLOOKUP($B1276,calc_data,L$14+1,0),0)</f>
        <v/>
      </c>
      <c r="M1276" s="177">
        <f>IFERROR(VLOOKUP($B1276,calc_data,M$14+1,0),0)</f>
        <v/>
      </c>
      <c r="N1276" s="177">
        <f>IFERROR(VLOOKUP($B1276,calc_data,N$14+1,0),0)</f>
        <v/>
      </c>
      <c r="O1276" s="45" t="n"/>
      <c r="Q1276" s="57">
        <f>IF(K1276&gt;0,"показать","скрыть")</f>
        <v/>
      </c>
    </row>
    <row r="1277" ht="15.75" customHeight="1">
      <c r="B1277" s="182" t="n">
        <v>1261</v>
      </c>
      <c r="C1277" s="182">
        <f>IFERROR(VLOOKUP($B1277,calc_data,C$14+1,0),0)</f>
        <v/>
      </c>
      <c r="D1277" s="182">
        <f>IFERROR(VLOOKUP($B1277,calc_data,D$14+1,0),0)</f>
        <v/>
      </c>
      <c r="E1277" s="183">
        <f>IFERROR(VLOOKUP($B1277,calc_data,E$14+1,0),0)</f>
        <v/>
      </c>
      <c r="F1277" s="182">
        <f>IFERROR(VLOOKUP($B1277,calc_data,F$14+1,0),0)</f>
        <v/>
      </c>
      <c r="G1277" s="141">
        <f>IFERROR(VLOOKUP($B1277,calc_data,G$14+1,0),0)</f>
        <v/>
      </c>
      <c r="H1277" s="141">
        <f>IFERROR(VLOOKUP($B1277,calc_data,H$14+1,0),0)</f>
        <v/>
      </c>
      <c r="I1277" s="142">
        <f>IFERROR(VLOOKUP($B1277,calc_data,I$14+1,0),0)</f>
        <v/>
      </c>
      <c r="J1277" s="141">
        <f>IFERROR(VLOOKUP($B1277,calc_data,J$14+1,0),0)</f>
        <v/>
      </c>
      <c r="K1277" s="141">
        <f>IFERROR(VLOOKUP($B1277,calc_data,K$14+1,0),0)</f>
        <v/>
      </c>
      <c r="L1277" s="141">
        <f>IFERROR(VLOOKUP($B1277,calc_data,L$14+1,0),0)</f>
        <v/>
      </c>
      <c r="M1277" s="177">
        <f>IFERROR(VLOOKUP($B1277,calc_data,M$14+1,0),0)</f>
        <v/>
      </c>
      <c r="N1277" s="177">
        <f>IFERROR(VLOOKUP($B1277,calc_data,N$14+1,0),0)</f>
        <v/>
      </c>
      <c r="O1277" s="45" t="n"/>
      <c r="Q1277" s="57">
        <f>IF(K1277&gt;0,"показать","скрыть")</f>
        <v/>
      </c>
    </row>
    <row r="1278" ht="15.75" customHeight="1">
      <c r="B1278" s="182" t="n">
        <v>1262</v>
      </c>
      <c r="C1278" s="182">
        <f>IFERROR(VLOOKUP($B1278,calc_data,C$14+1,0),0)</f>
        <v/>
      </c>
      <c r="D1278" s="182">
        <f>IFERROR(VLOOKUP($B1278,calc_data,D$14+1,0),0)</f>
        <v/>
      </c>
      <c r="E1278" s="183">
        <f>IFERROR(VLOOKUP($B1278,calc_data,E$14+1,0),0)</f>
        <v/>
      </c>
      <c r="F1278" s="182">
        <f>IFERROR(VLOOKUP($B1278,calc_data,F$14+1,0),0)</f>
        <v/>
      </c>
      <c r="G1278" s="141">
        <f>IFERROR(VLOOKUP($B1278,calc_data,G$14+1,0),0)</f>
        <v/>
      </c>
      <c r="H1278" s="141">
        <f>IFERROR(VLOOKUP($B1278,calc_data,H$14+1,0),0)</f>
        <v/>
      </c>
      <c r="I1278" s="142">
        <f>IFERROR(VLOOKUP($B1278,calc_data,I$14+1,0),0)</f>
        <v/>
      </c>
      <c r="J1278" s="141">
        <f>IFERROR(VLOOKUP($B1278,calc_data,J$14+1,0),0)</f>
        <v/>
      </c>
      <c r="K1278" s="141">
        <f>IFERROR(VLOOKUP($B1278,calc_data,K$14+1,0),0)</f>
        <v/>
      </c>
      <c r="L1278" s="141">
        <f>IFERROR(VLOOKUP($B1278,calc_data,L$14+1,0),0)</f>
        <v/>
      </c>
      <c r="M1278" s="177">
        <f>IFERROR(VLOOKUP($B1278,calc_data,M$14+1,0),0)</f>
        <v/>
      </c>
      <c r="N1278" s="177">
        <f>IFERROR(VLOOKUP($B1278,calc_data,N$14+1,0),0)</f>
        <v/>
      </c>
      <c r="O1278" s="45" t="n"/>
      <c r="Q1278" s="57">
        <f>IF(K1278&gt;0,"показать","скрыть")</f>
        <v/>
      </c>
    </row>
    <row r="1279" ht="15.75" customHeight="1">
      <c r="B1279" s="182" t="n">
        <v>1263</v>
      </c>
      <c r="C1279" s="182">
        <f>IFERROR(VLOOKUP($B1279,calc_data,C$14+1,0),0)</f>
        <v/>
      </c>
      <c r="D1279" s="182">
        <f>IFERROR(VLOOKUP($B1279,calc_data,D$14+1,0),0)</f>
        <v/>
      </c>
      <c r="E1279" s="183">
        <f>IFERROR(VLOOKUP($B1279,calc_data,E$14+1,0),0)</f>
        <v/>
      </c>
      <c r="F1279" s="182">
        <f>IFERROR(VLOOKUP($B1279,calc_data,F$14+1,0),0)</f>
        <v/>
      </c>
      <c r="G1279" s="141">
        <f>IFERROR(VLOOKUP($B1279,calc_data,G$14+1,0),0)</f>
        <v/>
      </c>
      <c r="H1279" s="141">
        <f>IFERROR(VLOOKUP($B1279,calc_data,H$14+1,0),0)</f>
        <v/>
      </c>
      <c r="I1279" s="142">
        <f>IFERROR(VLOOKUP($B1279,calc_data,I$14+1,0),0)</f>
        <v/>
      </c>
      <c r="J1279" s="141">
        <f>IFERROR(VLOOKUP($B1279,calc_data,J$14+1,0),0)</f>
        <v/>
      </c>
      <c r="K1279" s="141">
        <f>IFERROR(VLOOKUP($B1279,calc_data,K$14+1,0),0)</f>
        <v/>
      </c>
      <c r="L1279" s="141">
        <f>IFERROR(VLOOKUP($B1279,calc_data,L$14+1,0),0)</f>
        <v/>
      </c>
      <c r="M1279" s="177">
        <f>IFERROR(VLOOKUP($B1279,calc_data,M$14+1,0),0)</f>
        <v/>
      </c>
      <c r="N1279" s="177">
        <f>IFERROR(VLOOKUP($B1279,calc_data,N$14+1,0),0)</f>
        <v/>
      </c>
      <c r="O1279" s="45" t="n"/>
      <c r="Q1279" s="57">
        <f>IF(K1279&gt;0,"показать","скрыть")</f>
        <v/>
      </c>
    </row>
    <row r="1280" ht="15.75" customHeight="1">
      <c r="B1280" s="182" t="n">
        <v>1264</v>
      </c>
      <c r="C1280" s="182">
        <f>IFERROR(VLOOKUP($B1280,calc_data,C$14+1,0),0)</f>
        <v/>
      </c>
      <c r="D1280" s="182">
        <f>IFERROR(VLOOKUP($B1280,calc_data,D$14+1,0),0)</f>
        <v/>
      </c>
      <c r="E1280" s="183">
        <f>IFERROR(VLOOKUP($B1280,calc_data,E$14+1,0),0)</f>
        <v/>
      </c>
      <c r="F1280" s="182">
        <f>IFERROR(VLOOKUP($B1280,calc_data,F$14+1,0),0)</f>
        <v/>
      </c>
      <c r="G1280" s="141">
        <f>IFERROR(VLOOKUP($B1280,calc_data,G$14+1,0),0)</f>
        <v/>
      </c>
      <c r="H1280" s="141">
        <f>IFERROR(VLOOKUP($B1280,calc_data,H$14+1,0),0)</f>
        <v/>
      </c>
      <c r="I1280" s="142">
        <f>IFERROR(VLOOKUP($B1280,calc_data,I$14+1,0),0)</f>
        <v/>
      </c>
      <c r="J1280" s="141">
        <f>IFERROR(VLOOKUP($B1280,calc_data,J$14+1,0),0)</f>
        <v/>
      </c>
      <c r="K1280" s="141">
        <f>IFERROR(VLOOKUP($B1280,calc_data,K$14+1,0),0)</f>
        <v/>
      </c>
      <c r="L1280" s="141">
        <f>IFERROR(VLOOKUP($B1280,calc_data,L$14+1,0),0)</f>
        <v/>
      </c>
      <c r="M1280" s="177">
        <f>IFERROR(VLOOKUP($B1280,calc_data,M$14+1,0),0)</f>
        <v/>
      </c>
      <c r="N1280" s="177">
        <f>IFERROR(VLOOKUP($B1280,calc_data,N$14+1,0),0)</f>
        <v/>
      </c>
      <c r="O1280" s="45" t="n"/>
      <c r="Q1280" s="57">
        <f>IF(K1280&gt;0,"показать","скрыть")</f>
        <v/>
      </c>
    </row>
    <row r="1281" ht="15.75" customHeight="1">
      <c r="B1281" s="182" t="n">
        <v>1265</v>
      </c>
      <c r="C1281" s="182">
        <f>IFERROR(VLOOKUP($B1281,calc_data,C$14+1,0),0)</f>
        <v/>
      </c>
      <c r="D1281" s="182">
        <f>IFERROR(VLOOKUP($B1281,calc_data,D$14+1,0),0)</f>
        <v/>
      </c>
      <c r="E1281" s="183">
        <f>IFERROR(VLOOKUP($B1281,calc_data,E$14+1,0),0)</f>
        <v/>
      </c>
      <c r="F1281" s="182">
        <f>IFERROR(VLOOKUP($B1281,calc_data,F$14+1,0),0)</f>
        <v/>
      </c>
      <c r="G1281" s="141">
        <f>IFERROR(VLOOKUP($B1281,calc_data,G$14+1,0),0)</f>
        <v/>
      </c>
      <c r="H1281" s="141">
        <f>IFERROR(VLOOKUP($B1281,calc_data,H$14+1,0),0)</f>
        <v/>
      </c>
      <c r="I1281" s="142">
        <f>IFERROR(VLOOKUP($B1281,calc_data,I$14+1,0),0)</f>
        <v/>
      </c>
      <c r="J1281" s="141">
        <f>IFERROR(VLOOKUP($B1281,calc_data,J$14+1,0),0)</f>
        <v/>
      </c>
      <c r="K1281" s="141">
        <f>IFERROR(VLOOKUP($B1281,calc_data,K$14+1,0),0)</f>
        <v/>
      </c>
      <c r="L1281" s="141">
        <f>IFERROR(VLOOKUP($B1281,calc_data,L$14+1,0),0)</f>
        <v/>
      </c>
      <c r="M1281" s="177">
        <f>IFERROR(VLOOKUP($B1281,calc_data,M$14+1,0),0)</f>
        <v/>
      </c>
      <c r="N1281" s="177">
        <f>IFERROR(VLOOKUP($B1281,calc_data,N$14+1,0),0)</f>
        <v/>
      </c>
      <c r="O1281" s="45" t="n"/>
      <c r="Q1281" s="57">
        <f>IF(K1281&gt;0,"показать","скрыть")</f>
        <v/>
      </c>
    </row>
    <row r="1282" ht="15.75" customHeight="1">
      <c r="B1282" s="182" t="n">
        <v>1266</v>
      </c>
      <c r="C1282" s="182">
        <f>IFERROR(VLOOKUP($B1282,calc_data,C$14+1,0),0)</f>
        <v/>
      </c>
      <c r="D1282" s="182">
        <f>IFERROR(VLOOKUP($B1282,calc_data,D$14+1,0),0)</f>
        <v/>
      </c>
      <c r="E1282" s="183">
        <f>IFERROR(VLOOKUP($B1282,calc_data,E$14+1,0),0)</f>
        <v/>
      </c>
      <c r="F1282" s="182">
        <f>IFERROR(VLOOKUP($B1282,calc_data,F$14+1,0),0)</f>
        <v/>
      </c>
      <c r="G1282" s="141">
        <f>IFERROR(VLOOKUP($B1282,calc_data,G$14+1,0),0)</f>
        <v/>
      </c>
      <c r="H1282" s="141">
        <f>IFERROR(VLOOKUP($B1282,calc_data,H$14+1,0),0)</f>
        <v/>
      </c>
      <c r="I1282" s="142">
        <f>IFERROR(VLOOKUP($B1282,calc_data,I$14+1,0),0)</f>
        <v/>
      </c>
      <c r="J1282" s="141">
        <f>IFERROR(VLOOKUP($B1282,calc_data,J$14+1,0),0)</f>
        <v/>
      </c>
      <c r="K1282" s="141">
        <f>IFERROR(VLOOKUP($B1282,calc_data,K$14+1,0),0)</f>
        <v/>
      </c>
      <c r="L1282" s="141">
        <f>IFERROR(VLOOKUP($B1282,calc_data,L$14+1,0),0)</f>
        <v/>
      </c>
      <c r="M1282" s="177">
        <f>IFERROR(VLOOKUP($B1282,calc_data,M$14+1,0),0)</f>
        <v/>
      </c>
      <c r="N1282" s="177">
        <f>IFERROR(VLOOKUP($B1282,calc_data,N$14+1,0),0)</f>
        <v/>
      </c>
      <c r="O1282" s="45" t="n"/>
      <c r="Q1282" s="57">
        <f>IF(K1282&gt;0,"показать","скрыть")</f>
        <v/>
      </c>
    </row>
    <row r="1283" ht="15.75" customHeight="1">
      <c r="B1283" s="182" t="n">
        <v>1267</v>
      </c>
      <c r="C1283" s="182">
        <f>IFERROR(VLOOKUP($B1283,calc_data,C$14+1,0),0)</f>
        <v/>
      </c>
      <c r="D1283" s="182">
        <f>IFERROR(VLOOKUP($B1283,calc_data,D$14+1,0),0)</f>
        <v/>
      </c>
      <c r="E1283" s="183">
        <f>IFERROR(VLOOKUP($B1283,calc_data,E$14+1,0),0)</f>
        <v/>
      </c>
      <c r="F1283" s="182">
        <f>IFERROR(VLOOKUP($B1283,calc_data,F$14+1,0),0)</f>
        <v/>
      </c>
      <c r="G1283" s="141">
        <f>IFERROR(VLOOKUP($B1283,calc_data,G$14+1,0),0)</f>
        <v/>
      </c>
      <c r="H1283" s="141">
        <f>IFERROR(VLOOKUP($B1283,calc_data,H$14+1,0),0)</f>
        <v/>
      </c>
      <c r="I1283" s="142">
        <f>IFERROR(VLOOKUP($B1283,calc_data,I$14+1,0),0)</f>
        <v/>
      </c>
      <c r="J1283" s="141">
        <f>IFERROR(VLOOKUP($B1283,calc_data,J$14+1,0),0)</f>
        <v/>
      </c>
      <c r="K1283" s="141">
        <f>IFERROR(VLOOKUP($B1283,calc_data,K$14+1,0),0)</f>
        <v/>
      </c>
      <c r="L1283" s="141">
        <f>IFERROR(VLOOKUP($B1283,calc_data,L$14+1,0),0)</f>
        <v/>
      </c>
      <c r="M1283" s="177">
        <f>IFERROR(VLOOKUP($B1283,calc_data,M$14+1,0),0)</f>
        <v/>
      </c>
      <c r="N1283" s="177">
        <f>IFERROR(VLOOKUP($B1283,calc_data,N$14+1,0),0)</f>
        <v/>
      </c>
      <c r="O1283" s="45" t="n"/>
      <c r="Q1283" s="57">
        <f>IF(K1283&gt;0,"показать","скрыть")</f>
        <v/>
      </c>
    </row>
    <row r="1284" ht="15.75" customHeight="1">
      <c r="B1284" s="182" t="n">
        <v>1268</v>
      </c>
      <c r="C1284" s="182">
        <f>IFERROR(VLOOKUP($B1284,calc_data,C$14+1,0),0)</f>
        <v/>
      </c>
      <c r="D1284" s="182">
        <f>IFERROR(VLOOKUP($B1284,calc_data,D$14+1,0),0)</f>
        <v/>
      </c>
      <c r="E1284" s="183">
        <f>IFERROR(VLOOKUP($B1284,calc_data,E$14+1,0),0)</f>
        <v/>
      </c>
      <c r="F1284" s="182">
        <f>IFERROR(VLOOKUP($B1284,calc_data,F$14+1,0),0)</f>
        <v/>
      </c>
      <c r="G1284" s="141">
        <f>IFERROR(VLOOKUP($B1284,calc_data,G$14+1,0),0)</f>
        <v/>
      </c>
      <c r="H1284" s="141">
        <f>IFERROR(VLOOKUP($B1284,calc_data,H$14+1,0),0)</f>
        <v/>
      </c>
      <c r="I1284" s="142">
        <f>IFERROR(VLOOKUP($B1284,calc_data,I$14+1,0),0)</f>
        <v/>
      </c>
      <c r="J1284" s="141">
        <f>IFERROR(VLOOKUP($B1284,calc_data,J$14+1,0),0)</f>
        <v/>
      </c>
      <c r="K1284" s="141">
        <f>IFERROR(VLOOKUP($B1284,calc_data,K$14+1,0),0)</f>
        <v/>
      </c>
      <c r="L1284" s="141">
        <f>IFERROR(VLOOKUP($B1284,calc_data,L$14+1,0),0)</f>
        <v/>
      </c>
      <c r="M1284" s="177">
        <f>IFERROR(VLOOKUP($B1284,calc_data,M$14+1,0),0)</f>
        <v/>
      </c>
      <c r="N1284" s="177">
        <f>IFERROR(VLOOKUP($B1284,calc_data,N$14+1,0),0)</f>
        <v/>
      </c>
      <c r="O1284" s="45" t="n"/>
      <c r="Q1284" s="57">
        <f>IF(K1284&gt;0,"показать","скрыть")</f>
        <v/>
      </c>
    </row>
    <row r="1285" ht="15.75" customHeight="1">
      <c r="B1285" s="182" t="n">
        <v>1269</v>
      </c>
      <c r="C1285" s="182">
        <f>IFERROR(VLOOKUP($B1285,calc_data,C$14+1,0),0)</f>
        <v/>
      </c>
      <c r="D1285" s="182">
        <f>IFERROR(VLOOKUP($B1285,calc_data,D$14+1,0),0)</f>
        <v/>
      </c>
      <c r="E1285" s="183">
        <f>IFERROR(VLOOKUP($B1285,calc_data,E$14+1,0),0)</f>
        <v/>
      </c>
      <c r="F1285" s="182">
        <f>IFERROR(VLOOKUP($B1285,calc_data,F$14+1,0),0)</f>
        <v/>
      </c>
      <c r="G1285" s="141">
        <f>IFERROR(VLOOKUP($B1285,calc_data,G$14+1,0),0)</f>
        <v/>
      </c>
      <c r="H1285" s="141">
        <f>IFERROR(VLOOKUP($B1285,calc_data,H$14+1,0),0)</f>
        <v/>
      </c>
      <c r="I1285" s="142">
        <f>IFERROR(VLOOKUP($B1285,calc_data,I$14+1,0),0)</f>
        <v/>
      </c>
      <c r="J1285" s="141">
        <f>IFERROR(VLOOKUP($B1285,calc_data,J$14+1,0),0)</f>
        <v/>
      </c>
      <c r="K1285" s="141">
        <f>IFERROR(VLOOKUP($B1285,calc_data,K$14+1,0),0)</f>
        <v/>
      </c>
      <c r="L1285" s="141">
        <f>IFERROR(VLOOKUP($B1285,calc_data,L$14+1,0),0)</f>
        <v/>
      </c>
      <c r="M1285" s="177">
        <f>IFERROR(VLOOKUP($B1285,calc_data,M$14+1,0),0)</f>
        <v/>
      </c>
      <c r="N1285" s="177">
        <f>IFERROR(VLOOKUP($B1285,calc_data,N$14+1,0),0)</f>
        <v/>
      </c>
      <c r="O1285" s="45" t="n"/>
      <c r="Q1285" s="57">
        <f>IF(K1285&gt;0,"показать","скрыть")</f>
        <v/>
      </c>
    </row>
    <row r="1286" ht="15.75" customHeight="1">
      <c r="B1286" s="182" t="n">
        <v>1270</v>
      </c>
      <c r="C1286" s="182">
        <f>IFERROR(VLOOKUP($B1286,calc_data,C$14+1,0),0)</f>
        <v/>
      </c>
      <c r="D1286" s="182">
        <f>IFERROR(VLOOKUP($B1286,calc_data,D$14+1,0),0)</f>
        <v/>
      </c>
      <c r="E1286" s="183">
        <f>IFERROR(VLOOKUP($B1286,calc_data,E$14+1,0),0)</f>
        <v/>
      </c>
      <c r="F1286" s="182">
        <f>IFERROR(VLOOKUP($B1286,calc_data,F$14+1,0),0)</f>
        <v/>
      </c>
      <c r="G1286" s="141">
        <f>IFERROR(VLOOKUP($B1286,calc_data,G$14+1,0),0)</f>
        <v/>
      </c>
      <c r="H1286" s="141">
        <f>IFERROR(VLOOKUP($B1286,calc_data,H$14+1,0),0)</f>
        <v/>
      </c>
      <c r="I1286" s="142">
        <f>IFERROR(VLOOKUP($B1286,calc_data,I$14+1,0),0)</f>
        <v/>
      </c>
      <c r="J1286" s="141">
        <f>IFERROR(VLOOKUP($B1286,calc_data,J$14+1,0),0)</f>
        <v/>
      </c>
      <c r="K1286" s="141">
        <f>IFERROR(VLOOKUP($B1286,calc_data,K$14+1,0),0)</f>
        <v/>
      </c>
      <c r="L1286" s="141">
        <f>IFERROR(VLOOKUP($B1286,calc_data,L$14+1,0),0)</f>
        <v/>
      </c>
      <c r="M1286" s="177">
        <f>IFERROR(VLOOKUP($B1286,calc_data,M$14+1,0),0)</f>
        <v/>
      </c>
      <c r="N1286" s="177">
        <f>IFERROR(VLOOKUP($B1286,calc_data,N$14+1,0),0)</f>
        <v/>
      </c>
      <c r="O1286" s="45" t="n"/>
      <c r="Q1286" s="57">
        <f>IF(K1286&gt;0,"показать","скрыть")</f>
        <v/>
      </c>
    </row>
    <row r="1287" ht="15.75" customHeight="1">
      <c r="B1287" s="182" t="n">
        <v>1271</v>
      </c>
      <c r="C1287" s="182">
        <f>IFERROR(VLOOKUP($B1287,calc_data,C$14+1,0),0)</f>
        <v/>
      </c>
      <c r="D1287" s="182">
        <f>IFERROR(VLOOKUP($B1287,calc_data,D$14+1,0),0)</f>
        <v/>
      </c>
      <c r="E1287" s="183">
        <f>IFERROR(VLOOKUP($B1287,calc_data,E$14+1,0),0)</f>
        <v/>
      </c>
      <c r="F1287" s="182">
        <f>IFERROR(VLOOKUP($B1287,calc_data,F$14+1,0),0)</f>
        <v/>
      </c>
      <c r="G1287" s="141">
        <f>IFERROR(VLOOKUP($B1287,calc_data,G$14+1,0),0)</f>
        <v/>
      </c>
      <c r="H1287" s="141">
        <f>IFERROR(VLOOKUP($B1287,calc_data,H$14+1,0),0)</f>
        <v/>
      </c>
      <c r="I1287" s="142">
        <f>IFERROR(VLOOKUP($B1287,calc_data,I$14+1,0),0)</f>
        <v/>
      </c>
      <c r="J1287" s="141">
        <f>IFERROR(VLOOKUP($B1287,calc_data,J$14+1,0),0)</f>
        <v/>
      </c>
      <c r="K1287" s="141">
        <f>IFERROR(VLOOKUP($B1287,calc_data,K$14+1,0),0)</f>
        <v/>
      </c>
      <c r="L1287" s="141">
        <f>IFERROR(VLOOKUP($B1287,calc_data,L$14+1,0),0)</f>
        <v/>
      </c>
      <c r="M1287" s="177">
        <f>IFERROR(VLOOKUP($B1287,calc_data,M$14+1,0),0)</f>
        <v/>
      </c>
      <c r="N1287" s="177">
        <f>IFERROR(VLOOKUP($B1287,calc_data,N$14+1,0),0)</f>
        <v/>
      </c>
      <c r="O1287" s="45" t="n"/>
      <c r="Q1287" s="57">
        <f>IF(K1287&gt;0,"показать","скрыть")</f>
        <v/>
      </c>
    </row>
    <row r="1288" ht="15.75" customHeight="1">
      <c r="B1288" s="182" t="n">
        <v>1272</v>
      </c>
      <c r="C1288" s="182">
        <f>IFERROR(VLOOKUP($B1288,calc_data,C$14+1,0),0)</f>
        <v/>
      </c>
      <c r="D1288" s="182">
        <f>IFERROR(VLOOKUP($B1288,calc_data,D$14+1,0),0)</f>
        <v/>
      </c>
      <c r="E1288" s="183">
        <f>IFERROR(VLOOKUP($B1288,calc_data,E$14+1,0),0)</f>
        <v/>
      </c>
      <c r="F1288" s="182">
        <f>IFERROR(VLOOKUP($B1288,calc_data,F$14+1,0),0)</f>
        <v/>
      </c>
      <c r="G1288" s="141">
        <f>IFERROR(VLOOKUP($B1288,calc_data,G$14+1,0),0)</f>
        <v/>
      </c>
      <c r="H1288" s="141">
        <f>IFERROR(VLOOKUP($B1288,calc_data,H$14+1,0),0)</f>
        <v/>
      </c>
      <c r="I1288" s="142">
        <f>IFERROR(VLOOKUP($B1288,calc_data,I$14+1,0),0)</f>
        <v/>
      </c>
      <c r="J1288" s="141">
        <f>IFERROR(VLOOKUP($B1288,calc_data,J$14+1,0),0)</f>
        <v/>
      </c>
      <c r="K1288" s="141">
        <f>IFERROR(VLOOKUP($B1288,calc_data,K$14+1,0),0)</f>
        <v/>
      </c>
      <c r="L1288" s="141">
        <f>IFERROR(VLOOKUP($B1288,calc_data,L$14+1,0),0)</f>
        <v/>
      </c>
      <c r="M1288" s="177">
        <f>IFERROR(VLOOKUP($B1288,calc_data,M$14+1,0),0)</f>
        <v/>
      </c>
      <c r="N1288" s="177">
        <f>IFERROR(VLOOKUP($B1288,calc_data,N$14+1,0),0)</f>
        <v/>
      </c>
      <c r="O1288" s="45" t="n"/>
      <c r="Q1288" s="57">
        <f>IF(K1288&gt;0,"показать","скрыть")</f>
        <v/>
      </c>
    </row>
    <row r="1289" ht="15.75" customHeight="1">
      <c r="B1289" s="182" t="n">
        <v>1273</v>
      </c>
      <c r="C1289" s="182">
        <f>IFERROR(VLOOKUP($B1289,calc_data,C$14+1,0),0)</f>
        <v/>
      </c>
      <c r="D1289" s="182">
        <f>IFERROR(VLOOKUP($B1289,calc_data,D$14+1,0),0)</f>
        <v/>
      </c>
      <c r="E1289" s="183">
        <f>IFERROR(VLOOKUP($B1289,calc_data,E$14+1,0),0)</f>
        <v/>
      </c>
      <c r="F1289" s="182">
        <f>IFERROR(VLOOKUP($B1289,calc_data,F$14+1,0),0)</f>
        <v/>
      </c>
      <c r="G1289" s="141">
        <f>IFERROR(VLOOKUP($B1289,calc_data,G$14+1,0),0)</f>
        <v/>
      </c>
      <c r="H1289" s="141">
        <f>IFERROR(VLOOKUP($B1289,calc_data,H$14+1,0),0)</f>
        <v/>
      </c>
      <c r="I1289" s="142">
        <f>IFERROR(VLOOKUP($B1289,calc_data,I$14+1,0),0)</f>
        <v/>
      </c>
      <c r="J1289" s="141">
        <f>IFERROR(VLOOKUP($B1289,calc_data,J$14+1,0),0)</f>
        <v/>
      </c>
      <c r="K1289" s="141">
        <f>IFERROR(VLOOKUP($B1289,calc_data,K$14+1,0),0)</f>
        <v/>
      </c>
      <c r="L1289" s="141">
        <f>IFERROR(VLOOKUP($B1289,calc_data,L$14+1,0),0)</f>
        <v/>
      </c>
      <c r="M1289" s="177">
        <f>IFERROR(VLOOKUP($B1289,calc_data,M$14+1,0),0)</f>
        <v/>
      </c>
      <c r="N1289" s="177">
        <f>IFERROR(VLOOKUP($B1289,calc_data,N$14+1,0),0)</f>
        <v/>
      </c>
      <c r="O1289" s="45" t="n"/>
      <c r="Q1289" s="57">
        <f>IF(K1289&gt;0,"показать","скрыть")</f>
        <v/>
      </c>
    </row>
    <row r="1290" ht="15.75" customHeight="1">
      <c r="B1290" s="182" t="n">
        <v>1274</v>
      </c>
      <c r="C1290" s="182">
        <f>IFERROR(VLOOKUP($B1290,calc_data,C$14+1,0),0)</f>
        <v/>
      </c>
      <c r="D1290" s="182">
        <f>IFERROR(VLOOKUP($B1290,calc_data,D$14+1,0),0)</f>
        <v/>
      </c>
      <c r="E1290" s="183">
        <f>IFERROR(VLOOKUP($B1290,calc_data,E$14+1,0),0)</f>
        <v/>
      </c>
      <c r="F1290" s="182">
        <f>IFERROR(VLOOKUP($B1290,calc_data,F$14+1,0),0)</f>
        <v/>
      </c>
      <c r="G1290" s="141">
        <f>IFERROR(VLOOKUP($B1290,calc_data,G$14+1,0),0)</f>
        <v/>
      </c>
      <c r="H1290" s="141">
        <f>IFERROR(VLOOKUP($B1290,calc_data,H$14+1,0),0)</f>
        <v/>
      </c>
      <c r="I1290" s="142">
        <f>IFERROR(VLOOKUP($B1290,calc_data,I$14+1,0),0)</f>
        <v/>
      </c>
      <c r="J1290" s="141">
        <f>IFERROR(VLOOKUP($B1290,calc_data,J$14+1,0),0)</f>
        <v/>
      </c>
      <c r="K1290" s="141">
        <f>IFERROR(VLOOKUP($B1290,calc_data,K$14+1,0),0)</f>
        <v/>
      </c>
      <c r="L1290" s="141">
        <f>IFERROR(VLOOKUP($B1290,calc_data,L$14+1,0),0)</f>
        <v/>
      </c>
      <c r="M1290" s="177">
        <f>IFERROR(VLOOKUP($B1290,calc_data,M$14+1,0),0)</f>
        <v/>
      </c>
      <c r="N1290" s="177">
        <f>IFERROR(VLOOKUP($B1290,calc_data,N$14+1,0),0)</f>
        <v/>
      </c>
      <c r="O1290" s="45" t="n"/>
      <c r="Q1290" s="57">
        <f>IF(K1290&gt;0,"показать","скрыть")</f>
        <v/>
      </c>
    </row>
    <row r="1291" ht="15.75" customHeight="1">
      <c r="B1291" s="182" t="n">
        <v>1275</v>
      </c>
      <c r="C1291" s="182">
        <f>IFERROR(VLOOKUP($B1291,calc_data,C$14+1,0),0)</f>
        <v/>
      </c>
      <c r="D1291" s="182">
        <f>IFERROR(VLOOKUP($B1291,calc_data,D$14+1,0),0)</f>
        <v/>
      </c>
      <c r="E1291" s="183">
        <f>IFERROR(VLOOKUP($B1291,calc_data,E$14+1,0),0)</f>
        <v/>
      </c>
      <c r="F1291" s="182">
        <f>IFERROR(VLOOKUP($B1291,calc_data,F$14+1,0),0)</f>
        <v/>
      </c>
      <c r="G1291" s="141">
        <f>IFERROR(VLOOKUP($B1291,calc_data,G$14+1,0),0)</f>
        <v/>
      </c>
      <c r="H1291" s="141">
        <f>IFERROR(VLOOKUP($B1291,calc_data,H$14+1,0),0)</f>
        <v/>
      </c>
      <c r="I1291" s="142">
        <f>IFERROR(VLOOKUP($B1291,calc_data,I$14+1,0),0)</f>
        <v/>
      </c>
      <c r="J1291" s="141">
        <f>IFERROR(VLOOKUP($B1291,calc_data,J$14+1,0),0)</f>
        <v/>
      </c>
      <c r="K1291" s="141">
        <f>IFERROR(VLOOKUP($B1291,calc_data,K$14+1,0),0)</f>
        <v/>
      </c>
      <c r="L1291" s="141">
        <f>IFERROR(VLOOKUP($B1291,calc_data,L$14+1,0),0)</f>
        <v/>
      </c>
      <c r="M1291" s="177">
        <f>IFERROR(VLOOKUP($B1291,calc_data,M$14+1,0),0)</f>
        <v/>
      </c>
      <c r="N1291" s="177">
        <f>IFERROR(VLOOKUP($B1291,calc_data,N$14+1,0),0)</f>
        <v/>
      </c>
      <c r="O1291" s="45" t="n"/>
      <c r="Q1291" s="57">
        <f>IF(K1291&gt;0,"показать","скрыть")</f>
        <v/>
      </c>
    </row>
    <row r="1292" ht="15.75" customHeight="1">
      <c r="B1292" s="182" t="n">
        <v>1276</v>
      </c>
      <c r="C1292" s="182">
        <f>IFERROR(VLOOKUP($B1292,calc_data,C$14+1,0),0)</f>
        <v/>
      </c>
      <c r="D1292" s="182">
        <f>IFERROR(VLOOKUP($B1292,calc_data,D$14+1,0),0)</f>
        <v/>
      </c>
      <c r="E1292" s="183">
        <f>IFERROR(VLOOKUP($B1292,calc_data,E$14+1,0),0)</f>
        <v/>
      </c>
      <c r="F1292" s="182">
        <f>IFERROR(VLOOKUP($B1292,calc_data,F$14+1,0),0)</f>
        <v/>
      </c>
      <c r="G1292" s="141">
        <f>IFERROR(VLOOKUP($B1292,calc_data,G$14+1,0),0)</f>
        <v/>
      </c>
      <c r="H1292" s="141">
        <f>IFERROR(VLOOKUP($B1292,calc_data,H$14+1,0),0)</f>
        <v/>
      </c>
      <c r="I1292" s="142">
        <f>IFERROR(VLOOKUP($B1292,calc_data,I$14+1,0),0)</f>
        <v/>
      </c>
      <c r="J1292" s="141">
        <f>IFERROR(VLOOKUP($B1292,calc_data,J$14+1,0),0)</f>
        <v/>
      </c>
      <c r="K1292" s="141">
        <f>IFERROR(VLOOKUP($B1292,calc_data,K$14+1,0),0)</f>
        <v/>
      </c>
      <c r="L1292" s="141">
        <f>IFERROR(VLOOKUP($B1292,calc_data,L$14+1,0),0)</f>
        <v/>
      </c>
      <c r="M1292" s="177">
        <f>IFERROR(VLOOKUP($B1292,calc_data,M$14+1,0),0)</f>
        <v/>
      </c>
      <c r="N1292" s="177">
        <f>IFERROR(VLOOKUP($B1292,calc_data,N$14+1,0),0)</f>
        <v/>
      </c>
      <c r="O1292" s="45" t="n"/>
      <c r="Q1292" s="57">
        <f>IF(K1292&gt;0,"показать","скрыть")</f>
        <v/>
      </c>
    </row>
    <row r="1293" ht="15.75" customHeight="1">
      <c r="B1293" s="182" t="n">
        <v>1277</v>
      </c>
      <c r="C1293" s="182">
        <f>IFERROR(VLOOKUP($B1293,calc_data,C$14+1,0),0)</f>
        <v/>
      </c>
      <c r="D1293" s="182">
        <f>IFERROR(VLOOKUP($B1293,calc_data,D$14+1,0),0)</f>
        <v/>
      </c>
      <c r="E1293" s="183">
        <f>IFERROR(VLOOKUP($B1293,calc_data,E$14+1,0),0)</f>
        <v/>
      </c>
      <c r="F1293" s="182">
        <f>IFERROR(VLOOKUP($B1293,calc_data,F$14+1,0),0)</f>
        <v/>
      </c>
      <c r="G1293" s="141">
        <f>IFERROR(VLOOKUP($B1293,calc_data,G$14+1,0),0)</f>
        <v/>
      </c>
      <c r="H1293" s="141">
        <f>IFERROR(VLOOKUP($B1293,calc_data,H$14+1,0),0)</f>
        <v/>
      </c>
      <c r="I1293" s="142">
        <f>IFERROR(VLOOKUP($B1293,calc_data,I$14+1,0),0)</f>
        <v/>
      </c>
      <c r="J1293" s="141">
        <f>IFERROR(VLOOKUP($B1293,calc_data,J$14+1,0),0)</f>
        <v/>
      </c>
      <c r="K1293" s="141">
        <f>IFERROR(VLOOKUP($B1293,calc_data,K$14+1,0),0)</f>
        <v/>
      </c>
      <c r="L1293" s="141">
        <f>IFERROR(VLOOKUP($B1293,calc_data,L$14+1,0),0)</f>
        <v/>
      </c>
      <c r="M1293" s="177">
        <f>IFERROR(VLOOKUP($B1293,calc_data,M$14+1,0),0)</f>
        <v/>
      </c>
      <c r="N1293" s="177">
        <f>IFERROR(VLOOKUP($B1293,calc_data,N$14+1,0),0)</f>
        <v/>
      </c>
      <c r="O1293" s="45" t="n"/>
      <c r="Q1293" s="57">
        <f>IF(K1293&gt;0,"показать","скрыть")</f>
        <v/>
      </c>
    </row>
    <row r="1294" ht="15.75" customHeight="1">
      <c r="B1294" s="182" t="n">
        <v>1278</v>
      </c>
      <c r="C1294" s="182">
        <f>IFERROR(VLOOKUP($B1294,calc_data,C$14+1,0),0)</f>
        <v/>
      </c>
      <c r="D1294" s="182">
        <f>IFERROR(VLOOKUP($B1294,calc_data,D$14+1,0),0)</f>
        <v/>
      </c>
      <c r="E1294" s="183">
        <f>IFERROR(VLOOKUP($B1294,calc_data,E$14+1,0),0)</f>
        <v/>
      </c>
      <c r="F1294" s="182">
        <f>IFERROR(VLOOKUP($B1294,calc_data,F$14+1,0),0)</f>
        <v/>
      </c>
      <c r="G1294" s="141">
        <f>IFERROR(VLOOKUP($B1294,calc_data,G$14+1,0),0)</f>
        <v/>
      </c>
      <c r="H1294" s="141">
        <f>IFERROR(VLOOKUP($B1294,calc_data,H$14+1,0),0)</f>
        <v/>
      </c>
      <c r="I1294" s="142">
        <f>IFERROR(VLOOKUP($B1294,calc_data,I$14+1,0),0)</f>
        <v/>
      </c>
      <c r="J1294" s="141">
        <f>IFERROR(VLOOKUP($B1294,calc_data,J$14+1,0),0)</f>
        <v/>
      </c>
      <c r="K1294" s="141">
        <f>IFERROR(VLOOKUP($B1294,calc_data,K$14+1,0),0)</f>
        <v/>
      </c>
      <c r="L1294" s="141">
        <f>IFERROR(VLOOKUP($B1294,calc_data,L$14+1,0),0)</f>
        <v/>
      </c>
      <c r="M1294" s="177">
        <f>IFERROR(VLOOKUP($B1294,calc_data,M$14+1,0),0)</f>
        <v/>
      </c>
      <c r="N1294" s="177">
        <f>IFERROR(VLOOKUP($B1294,calc_data,N$14+1,0),0)</f>
        <v/>
      </c>
      <c r="O1294" s="45" t="n"/>
      <c r="Q1294" s="57">
        <f>IF(K1294&gt;0,"показать","скрыть")</f>
        <v/>
      </c>
    </row>
    <row r="1295" ht="15.75" customHeight="1">
      <c r="B1295" s="182" t="n">
        <v>1279</v>
      </c>
      <c r="C1295" s="182">
        <f>IFERROR(VLOOKUP($B1295,calc_data,C$14+1,0),0)</f>
        <v/>
      </c>
      <c r="D1295" s="182">
        <f>IFERROR(VLOOKUP($B1295,calc_data,D$14+1,0),0)</f>
        <v/>
      </c>
      <c r="E1295" s="183">
        <f>IFERROR(VLOOKUP($B1295,calc_data,E$14+1,0),0)</f>
        <v/>
      </c>
      <c r="F1295" s="182">
        <f>IFERROR(VLOOKUP($B1295,calc_data,F$14+1,0),0)</f>
        <v/>
      </c>
      <c r="G1295" s="141">
        <f>IFERROR(VLOOKUP($B1295,calc_data,G$14+1,0),0)</f>
        <v/>
      </c>
      <c r="H1295" s="141">
        <f>IFERROR(VLOOKUP($B1295,calc_data,H$14+1,0),0)</f>
        <v/>
      </c>
      <c r="I1295" s="142">
        <f>IFERROR(VLOOKUP($B1295,calc_data,I$14+1,0),0)</f>
        <v/>
      </c>
      <c r="J1295" s="141">
        <f>IFERROR(VLOOKUP($B1295,calc_data,J$14+1,0),0)</f>
        <v/>
      </c>
      <c r="K1295" s="141">
        <f>IFERROR(VLOOKUP($B1295,calc_data,K$14+1,0),0)</f>
        <v/>
      </c>
      <c r="L1295" s="141">
        <f>IFERROR(VLOOKUP($B1295,calc_data,L$14+1,0),0)</f>
        <v/>
      </c>
      <c r="M1295" s="177">
        <f>IFERROR(VLOOKUP($B1295,calc_data,M$14+1,0),0)</f>
        <v/>
      </c>
      <c r="N1295" s="177">
        <f>IFERROR(VLOOKUP($B1295,calc_data,N$14+1,0),0)</f>
        <v/>
      </c>
      <c r="O1295" s="45" t="n"/>
      <c r="Q1295" s="57">
        <f>IF(K1295&gt;0,"показать","скрыть")</f>
        <v/>
      </c>
    </row>
    <row r="1296" ht="15.75" customHeight="1">
      <c r="B1296" s="182" t="n">
        <v>1280</v>
      </c>
      <c r="C1296" s="182">
        <f>IFERROR(VLOOKUP($B1296,calc_data,C$14+1,0),0)</f>
        <v/>
      </c>
      <c r="D1296" s="182">
        <f>IFERROR(VLOOKUP($B1296,calc_data,D$14+1,0),0)</f>
        <v/>
      </c>
      <c r="E1296" s="183">
        <f>IFERROR(VLOOKUP($B1296,calc_data,E$14+1,0),0)</f>
        <v/>
      </c>
      <c r="F1296" s="182">
        <f>IFERROR(VLOOKUP($B1296,calc_data,F$14+1,0),0)</f>
        <v/>
      </c>
      <c r="G1296" s="141">
        <f>IFERROR(VLOOKUP($B1296,calc_data,G$14+1,0),0)</f>
        <v/>
      </c>
      <c r="H1296" s="141">
        <f>IFERROR(VLOOKUP($B1296,calc_data,H$14+1,0),0)</f>
        <v/>
      </c>
      <c r="I1296" s="142">
        <f>IFERROR(VLOOKUP($B1296,calc_data,I$14+1,0),0)</f>
        <v/>
      </c>
      <c r="J1296" s="141">
        <f>IFERROR(VLOOKUP($B1296,calc_data,J$14+1,0),0)</f>
        <v/>
      </c>
      <c r="K1296" s="141">
        <f>IFERROR(VLOOKUP($B1296,calc_data,K$14+1,0),0)</f>
        <v/>
      </c>
      <c r="L1296" s="141">
        <f>IFERROR(VLOOKUP($B1296,calc_data,L$14+1,0),0)</f>
        <v/>
      </c>
      <c r="M1296" s="177">
        <f>IFERROR(VLOOKUP($B1296,calc_data,M$14+1,0),0)</f>
        <v/>
      </c>
      <c r="N1296" s="177">
        <f>IFERROR(VLOOKUP($B1296,calc_data,N$14+1,0),0)</f>
        <v/>
      </c>
      <c r="O1296" s="45" t="n"/>
      <c r="Q1296" s="57">
        <f>IF(K1296&gt;0,"показать","скрыть")</f>
        <v/>
      </c>
    </row>
    <row r="1297" ht="15.75" customHeight="1">
      <c r="B1297" s="182" t="n">
        <v>1281</v>
      </c>
      <c r="C1297" s="182">
        <f>IFERROR(VLOOKUP($B1297,calc_data,C$14+1,0),0)</f>
        <v/>
      </c>
      <c r="D1297" s="182">
        <f>IFERROR(VLOOKUP($B1297,calc_data,D$14+1,0),0)</f>
        <v/>
      </c>
      <c r="E1297" s="183">
        <f>IFERROR(VLOOKUP($B1297,calc_data,E$14+1,0),0)</f>
        <v/>
      </c>
      <c r="F1297" s="182">
        <f>IFERROR(VLOOKUP($B1297,calc_data,F$14+1,0),0)</f>
        <v/>
      </c>
      <c r="G1297" s="141">
        <f>IFERROR(VLOOKUP($B1297,calc_data,G$14+1,0),0)</f>
        <v/>
      </c>
      <c r="H1297" s="141">
        <f>IFERROR(VLOOKUP($B1297,calc_data,H$14+1,0),0)</f>
        <v/>
      </c>
      <c r="I1297" s="142">
        <f>IFERROR(VLOOKUP($B1297,calc_data,I$14+1,0),0)</f>
        <v/>
      </c>
      <c r="J1297" s="141">
        <f>IFERROR(VLOOKUP($B1297,calc_data,J$14+1,0),0)</f>
        <v/>
      </c>
      <c r="K1297" s="141">
        <f>IFERROR(VLOOKUP($B1297,calc_data,K$14+1,0),0)</f>
        <v/>
      </c>
      <c r="L1297" s="141">
        <f>IFERROR(VLOOKUP($B1297,calc_data,L$14+1,0),0)</f>
        <v/>
      </c>
      <c r="M1297" s="177">
        <f>IFERROR(VLOOKUP($B1297,calc_data,M$14+1,0),0)</f>
        <v/>
      </c>
      <c r="N1297" s="177">
        <f>IFERROR(VLOOKUP($B1297,calc_data,N$14+1,0),0)</f>
        <v/>
      </c>
      <c r="O1297" s="45" t="n"/>
      <c r="Q1297" s="57">
        <f>IF(K1297&gt;0,"показать","скрыть")</f>
        <v/>
      </c>
    </row>
    <row r="1298" ht="15.75" customHeight="1">
      <c r="B1298" s="182" t="n">
        <v>1282</v>
      </c>
      <c r="C1298" s="182">
        <f>IFERROR(VLOOKUP($B1298,calc_data,C$14+1,0),0)</f>
        <v/>
      </c>
      <c r="D1298" s="182">
        <f>IFERROR(VLOOKUP($B1298,calc_data,D$14+1,0),0)</f>
        <v/>
      </c>
      <c r="E1298" s="183">
        <f>IFERROR(VLOOKUP($B1298,calc_data,E$14+1,0),0)</f>
        <v/>
      </c>
      <c r="F1298" s="182">
        <f>IFERROR(VLOOKUP($B1298,calc_data,F$14+1,0),0)</f>
        <v/>
      </c>
      <c r="G1298" s="141">
        <f>IFERROR(VLOOKUP($B1298,calc_data,G$14+1,0),0)</f>
        <v/>
      </c>
      <c r="H1298" s="141">
        <f>IFERROR(VLOOKUP($B1298,calc_data,H$14+1,0),0)</f>
        <v/>
      </c>
      <c r="I1298" s="142">
        <f>IFERROR(VLOOKUP($B1298,calc_data,I$14+1,0),0)</f>
        <v/>
      </c>
      <c r="J1298" s="141">
        <f>IFERROR(VLOOKUP($B1298,calc_data,J$14+1,0),0)</f>
        <v/>
      </c>
      <c r="K1298" s="141">
        <f>IFERROR(VLOOKUP($B1298,calc_data,K$14+1,0),0)</f>
        <v/>
      </c>
      <c r="L1298" s="141">
        <f>IFERROR(VLOOKUP($B1298,calc_data,L$14+1,0),0)</f>
        <v/>
      </c>
      <c r="M1298" s="177">
        <f>IFERROR(VLOOKUP($B1298,calc_data,M$14+1,0),0)</f>
        <v/>
      </c>
      <c r="N1298" s="177">
        <f>IFERROR(VLOOKUP($B1298,calc_data,N$14+1,0),0)</f>
        <v/>
      </c>
      <c r="O1298" s="45" t="n"/>
      <c r="Q1298" s="57">
        <f>IF(K1298&gt;0,"показать","скрыть")</f>
        <v/>
      </c>
    </row>
    <row r="1299" ht="15.75" customHeight="1">
      <c r="B1299" s="182" t="n">
        <v>1283</v>
      </c>
      <c r="C1299" s="182">
        <f>IFERROR(VLOOKUP($B1299,calc_data,C$14+1,0),0)</f>
        <v/>
      </c>
      <c r="D1299" s="182">
        <f>IFERROR(VLOOKUP($B1299,calc_data,D$14+1,0),0)</f>
        <v/>
      </c>
      <c r="E1299" s="183">
        <f>IFERROR(VLOOKUP($B1299,calc_data,E$14+1,0),0)</f>
        <v/>
      </c>
      <c r="F1299" s="182">
        <f>IFERROR(VLOOKUP($B1299,calc_data,F$14+1,0),0)</f>
        <v/>
      </c>
      <c r="G1299" s="141">
        <f>IFERROR(VLOOKUP($B1299,calc_data,G$14+1,0),0)</f>
        <v/>
      </c>
      <c r="H1299" s="141">
        <f>IFERROR(VLOOKUP($B1299,calc_data,H$14+1,0),0)</f>
        <v/>
      </c>
      <c r="I1299" s="142">
        <f>IFERROR(VLOOKUP($B1299,calc_data,I$14+1,0),0)</f>
        <v/>
      </c>
      <c r="J1299" s="141">
        <f>IFERROR(VLOOKUP($B1299,calc_data,J$14+1,0),0)</f>
        <v/>
      </c>
      <c r="K1299" s="141">
        <f>IFERROR(VLOOKUP($B1299,calc_data,K$14+1,0),0)</f>
        <v/>
      </c>
      <c r="L1299" s="141">
        <f>IFERROR(VLOOKUP($B1299,calc_data,L$14+1,0),0)</f>
        <v/>
      </c>
      <c r="M1299" s="177">
        <f>IFERROR(VLOOKUP($B1299,calc_data,M$14+1,0),0)</f>
        <v/>
      </c>
      <c r="N1299" s="177">
        <f>IFERROR(VLOOKUP($B1299,calc_data,N$14+1,0),0)</f>
        <v/>
      </c>
      <c r="O1299" s="45" t="n"/>
      <c r="Q1299" s="57">
        <f>IF(K1299&gt;0,"показать","скрыть")</f>
        <v/>
      </c>
    </row>
    <row r="1300" ht="15.75" customHeight="1">
      <c r="B1300" s="182" t="n">
        <v>1284</v>
      </c>
      <c r="C1300" s="182">
        <f>IFERROR(VLOOKUP($B1300,calc_data,C$14+1,0),0)</f>
        <v/>
      </c>
      <c r="D1300" s="182">
        <f>IFERROR(VLOOKUP($B1300,calc_data,D$14+1,0),0)</f>
        <v/>
      </c>
      <c r="E1300" s="183">
        <f>IFERROR(VLOOKUP($B1300,calc_data,E$14+1,0),0)</f>
        <v/>
      </c>
      <c r="F1300" s="182">
        <f>IFERROR(VLOOKUP($B1300,calc_data,F$14+1,0),0)</f>
        <v/>
      </c>
      <c r="G1300" s="141">
        <f>IFERROR(VLOOKUP($B1300,calc_data,G$14+1,0),0)</f>
        <v/>
      </c>
      <c r="H1300" s="141">
        <f>IFERROR(VLOOKUP($B1300,calc_data,H$14+1,0),0)</f>
        <v/>
      </c>
      <c r="I1300" s="142">
        <f>IFERROR(VLOOKUP($B1300,calc_data,I$14+1,0),0)</f>
        <v/>
      </c>
      <c r="J1300" s="141">
        <f>IFERROR(VLOOKUP($B1300,calc_data,J$14+1,0),0)</f>
        <v/>
      </c>
      <c r="K1300" s="141">
        <f>IFERROR(VLOOKUP($B1300,calc_data,K$14+1,0),0)</f>
        <v/>
      </c>
      <c r="L1300" s="141">
        <f>IFERROR(VLOOKUP($B1300,calc_data,L$14+1,0),0)</f>
        <v/>
      </c>
      <c r="M1300" s="177">
        <f>IFERROR(VLOOKUP($B1300,calc_data,M$14+1,0),0)</f>
        <v/>
      </c>
      <c r="N1300" s="177">
        <f>IFERROR(VLOOKUP($B1300,calc_data,N$14+1,0),0)</f>
        <v/>
      </c>
      <c r="O1300" s="45" t="n"/>
      <c r="Q1300" s="57">
        <f>IF(K1300&gt;0,"показать","скрыть")</f>
        <v/>
      </c>
    </row>
    <row r="1301" ht="15.75" customHeight="1">
      <c r="B1301" s="182" t="n">
        <v>1285</v>
      </c>
      <c r="C1301" s="182">
        <f>IFERROR(VLOOKUP($B1301,calc_data,C$14+1,0),0)</f>
        <v/>
      </c>
      <c r="D1301" s="182">
        <f>IFERROR(VLOOKUP($B1301,calc_data,D$14+1,0),0)</f>
        <v/>
      </c>
      <c r="E1301" s="183">
        <f>IFERROR(VLOOKUP($B1301,calc_data,E$14+1,0),0)</f>
        <v/>
      </c>
      <c r="F1301" s="182">
        <f>IFERROR(VLOOKUP($B1301,calc_data,F$14+1,0),0)</f>
        <v/>
      </c>
      <c r="G1301" s="141">
        <f>IFERROR(VLOOKUP($B1301,calc_data,G$14+1,0),0)</f>
        <v/>
      </c>
      <c r="H1301" s="141">
        <f>IFERROR(VLOOKUP($B1301,calc_data,H$14+1,0),0)</f>
        <v/>
      </c>
      <c r="I1301" s="142">
        <f>IFERROR(VLOOKUP($B1301,calc_data,I$14+1,0),0)</f>
        <v/>
      </c>
      <c r="J1301" s="141">
        <f>IFERROR(VLOOKUP($B1301,calc_data,J$14+1,0),0)</f>
        <v/>
      </c>
      <c r="K1301" s="141">
        <f>IFERROR(VLOOKUP($B1301,calc_data,K$14+1,0),0)</f>
        <v/>
      </c>
      <c r="L1301" s="141">
        <f>IFERROR(VLOOKUP($B1301,calc_data,L$14+1,0),0)</f>
        <v/>
      </c>
      <c r="M1301" s="177">
        <f>IFERROR(VLOOKUP($B1301,calc_data,M$14+1,0),0)</f>
        <v/>
      </c>
      <c r="N1301" s="177">
        <f>IFERROR(VLOOKUP($B1301,calc_data,N$14+1,0),0)</f>
        <v/>
      </c>
      <c r="O1301" s="45" t="n"/>
      <c r="Q1301" s="57">
        <f>IF(K1301&gt;0,"показать","скрыть")</f>
        <v/>
      </c>
    </row>
    <row r="1302" ht="15.75" customHeight="1">
      <c r="B1302" s="182" t="n">
        <v>1286</v>
      </c>
      <c r="C1302" s="182">
        <f>IFERROR(VLOOKUP($B1302,calc_data,C$14+1,0),0)</f>
        <v/>
      </c>
      <c r="D1302" s="182">
        <f>IFERROR(VLOOKUP($B1302,calc_data,D$14+1,0),0)</f>
        <v/>
      </c>
      <c r="E1302" s="183">
        <f>IFERROR(VLOOKUP($B1302,calc_data,E$14+1,0),0)</f>
        <v/>
      </c>
      <c r="F1302" s="182">
        <f>IFERROR(VLOOKUP($B1302,calc_data,F$14+1,0),0)</f>
        <v/>
      </c>
      <c r="G1302" s="141">
        <f>IFERROR(VLOOKUP($B1302,calc_data,G$14+1,0),0)</f>
        <v/>
      </c>
      <c r="H1302" s="141">
        <f>IFERROR(VLOOKUP($B1302,calc_data,H$14+1,0),0)</f>
        <v/>
      </c>
      <c r="I1302" s="142">
        <f>IFERROR(VLOOKUP($B1302,calc_data,I$14+1,0),0)</f>
        <v/>
      </c>
      <c r="J1302" s="141">
        <f>IFERROR(VLOOKUP($B1302,calc_data,J$14+1,0),0)</f>
        <v/>
      </c>
      <c r="K1302" s="141">
        <f>IFERROR(VLOOKUP($B1302,calc_data,K$14+1,0),0)</f>
        <v/>
      </c>
      <c r="L1302" s="141">
        <f>IFERROR(VLOOKUP($B1302,calc_data,L$14+1,0),0)</f>
        <v/>
      </c>
      <c r="M1302" s="177">
        <f>IFERROR(VLOOKUP($B1302,calc_data,M$14+1,0),0)</f>
        <v/>
      </c>
      <c r="N1302" s="177">
        <f>IFERROR(VLOOKUP($B1302,calc_data,N$14+1,0),0)</f>
        <v/>
      </c>
      <c r="O1302" s="45" t="n"/>
      <c r="Q1302" s="57">
        <f>IF(K1302&gt;0,"показать","скрыть")</f>
        <v/>
      </c>
    </row>
    <row r="1303" ht="15.75" customHeight="1">
      <c r="B1303" s="182" t="n">
        <v>1287</v>
      </c>
      <c r="C1303" s="182">
        <f>IFERROR(VLOOKUP($B1303,calc_data,C$14+1,0),0)</f>
        <v/>
      </c>
      <c r="D1303" s="182">
        <f>IFERROR(VLOOKUP($B1303,calc_data,D$14+1,0),0)</f>
        <v/>
      </c>
      <c r="E1303" s="183">
        <f>IFERROR(VLOOKUP($B1303,calc_data,E$14+1,0),0)</f>
        <v/>
      </c>
      <c r="F1303" s="182">
        <f>IFERROR(VLOOKUP($B1303,calc_data,F$14+1,0),0)</f>
        <v/>
      </c>
      <c r="G1303" s="141">
        <f>IFERROR(VLOOKUP($B1303,calc_data,G$14+1,0),0)</f>
        <v/>
      </c>
      <c r="H1303" s="141">
        <f>IFERROR(VLOOKUP($B1303,calc_data,H$14+1,0),0)</f>
        <v/>
      </c>
      <c r="I1303" s="142">
        <f>IFERROR(VLOOKUP($B1303,calc_data,I$14+1,0),0)</f>
        <v/>
      </c>
      <c r="J1303" s="141">
        <f>IFERROR(VLOOKUP($B1303,calc_data,J$14+1,0),0)</f>
        <v/>
      </c>
      <c r="K1303" s="141">
        <f>IFERROR(VLOOKUP($B1303,calc_data,K$14+1,0),0)</f>
        <v/>
      </c>
      <c r="L1303" s="141">
        <f>IFERROR(VLOOKUP($B1303,calc_data,L$14+1,0),0)</f>
        <v/>
      </c>
      <c r="M1303" s="177">
        <f>IFERROR(VLOOKUP($B1303,calc_data,M$14+1,0),0)</f>
        <v/>
      </c>
      <c r="N1303" s="177">
        <f>IFERROR(VLOOKUP($B1303,calc_data,N$14+1,0),0)</f>
        <v/>
      </c>
      <c r="O1303" s="45" t="n"/>
      <c r="Q1303" s="57">
        <f>IF(K1303&gt;0,"показать","скрыть")</f>
        <v/>
      </c>
    </row>
    <row r="1304" ht="15.75" customHeight="1">
      <c r="B1304" s="182" t="n">
        <v>1288</v>
      </c>
      <c r="C1304" s="182">
        <f>IFERROR(VLOOKUP($B1304,calc_data,C$14+1,0),0)</f>
        <v/>
      </c>
      <c r="D1304" s="182">
        <f>IFERROR(VLOOKUP($B1304,calc_data,D$14+1,0),0)</f>
        <v/>
      </c>
      <c r="E1304" s="183">
        <f>IFERROR(VLOOKUP($B1304,calc_data,E$14+1,0),0)</f>
        <v/>
      </c>
      <c r="F1304" s="182">
        <f>IFERROR(VLOOKUP($B1304,calc_data,F$14+1,0),0)</f>
        <v/>
      </c>
      <c r="G1304" s="141">
        <f>IFERROR(VLOOKUP($B1304,calc_data,G$14+1,0),0)</f>
        <v/>
      </c>
      <c r="H1304" s="141">
        <f>IFERROR(VLOOKUP($B1304,calc_data,H$14+1,0),0)</f>
        <v/>
      </c>
      <c r="I1304" s="142">
        <f>IFERROR(VLOOKUP($B1304,calc_data,I$14+1,0),0)</f>
        <v/>
      </c>
      <c r="J1304" s="141">
        <f>IFERROR(VLOOKUP($B1304,calc_data,J$14+1,0),0)</f>
        <v/>
      </c>
      <c r="K1304" s="141">
        <f>IFERROR(VLOOKUP($B1304,calc_data,K$14+1,0),0)</f>
        <v/>
      </c>
      <c r="L1304" s="141">
        <f>IFERROR(VLOOKUP($B1304,calc_data,L$14+1,0),0)</f>
        <v/>
      </c>
      <c r="M1304" s="177">
        <f>IFERROR(VLOOKUP($B1304,calc_data,M$14+1,0),0)</f>
        <v/>
      </c>
      <c r="N1304" s="177">
        <f>IFERROR(VLOOKUP($B1304,calc_data,N$14+1,0),0)</f>
        <v/>
      </c>
      <c r="O1304" s="45" t="n"/>
      <c r="Q1304" s="57">
        <f>IF(K1304&gt;0,"показать","скрыть")</f>
        <v/>
      </c>
    </row>
    <row r="1305" ht="15.75" customHeight="1">
      <c r="B1305" s="182" t="n">
        <v>1289</v>
      </c>
      <c r="C1305" s="182">
        <f>IFERROR(VLOOKUP($B1305,calc_data,C$14+1,0),0)</f>
        <v/>
      </c>
      <c r="D1305" s="182">
        <f>IFERROR(VLOOKUP($B1305,calc_data,D$14+1,0),0)</f>
        <v/>
      </c>
      <c r="E1305" s="183">
        <f>IFERROR(VLOOKUP($B1305,calc_data,E$14+1,0),0)</f>
        <v/>
      </c>
      <c r="F1305" s="182">
        <f>IFERROR(VLOOKUP($B1305,calc_data,F$14+1,0),0)</f>
        <v/>
      </c>
      <c r="G1305" s="141">
        <f>IFERROR(VLOOKUP($B1305,calc_data,G$14+1,0),0)</f>
        <v/>
      </c>
      <c r="H1305" s="141">
        <f>IFERROR(VLOOKUP($B1305,calc_data,H$14+1,0),0)</f>
        <v/>
      </c>
      <c r="I1305" s="142">
        <f>IFERROR(VLOOKUP($B1305,calc_data,I$14+1,0),0)</f>
        <v/>
      </c>
      <c r="J1305" s="141">
        <f>IFERROR(VLOOKUP($B1305,calc_data,J$14+1,0),0)</f>
        <v/>
      </c>
      <c r="K1305" s="141">
        <f>IFERROR(VLOOKUP($B1305,calc_data,K$14+1,0),0)</f>
        <v/>
      </c>
      <c r="L1305" s="141">
        <f>IFERROR(VLOOKUP($B1305,calc_data,L$14+1,0),0)</f>
        <v/>
      </c>
      <c r="M1305" s="177">
        <f>IFERROR(VLOOKUP($B1305,calc_data,M$14+1,0),0)</f>
        <v/>
      </c>
      <c r="N1305" s="177">
        <f>IFERROR(VLOOKUP($B1305,calc_data,N$14+1,0),0)</f>
        <v/>
      </c>
      <c r="O1305" s="45" t="n"/>
      <c r="Q1305" s="57">
        <f>IF(K1305&gt;0,"показать","скрыть")</f>
        <v/>
      </c>
    </row>
    <row r="1306" ht="15.75" customHeight="1">
      <c r="B1306" s="182" t="n">
        <v>1290</v>
      </c>
      <c r="C1306" s="182">
        <f>IFERROR(VLOOKUP($B1306,calc_data,C$14+1,0),0)</f>
        <v/>
      </c>
      <c r="D1306" s="182">
        <f>IFERROR(VLOOKUP($B1306,calc_data,D$14+1,0),0)</f>
        <v/>
      </c>
      <c r="E1306" s="183">
        <f>IFERROR(VLOOKUP($B1306,calc_data,E$14+1,0),0)</f>
        <v/>
      </c>
      <c r="F1306" s="182">
        <f>IFERROR(VLOOKUP($B1306,calc_data,F$14+1,0),0)</f>
        <v/>
      </c>
      <c r="G1306" s="141">
        <f>IFERROR(VLOOKUP($B1306,calc_data,G$14+1,0),0)</f>
        <v/>
      </c>
      <c r="H1306" s="141">
        <f>IFERROR(VLOOKUP($B1306,calc_data,H$14+1,0),0)</f>
        <v/>
      </c>
      <c r="I1306" s="142">
        <f>IFERROR(VLOOKUP($B1306,calc_data,I$14+1,0),0)</f>
        <v/>
      </c>
      <c r="J1306" s="141">
        <f>IFERROR(VLOOKUP($B1306,calc_data,J$14+1,0),0)</f>
        <v/>
      </c>
      <c r="K1306" s="141">
        <f>IFERROR(VLOOKUP($B1306,calc_data,K$14+1,0),0)</f>
        <v/>
      </c>
      <c r="L1306" s="141">
        <f>IFERROR(VLOOKUP($B1306,calc_data,L$14+1,0),0)</f>
        <v/>
      </c>
      <c r="M1306" s="177">
        <f>IFERROR(VLOOKUP($B1306,calc_data,M$14+1,0),0)</f>
        <v/>
      </c>
      <c r="N1306" s="177">
        <f>IFERROR(VLOOKUP($B1306,calc_data,N$14+1,0),0)</f>
        <v/>
      </c>
      <c r="O1306" s="45" t="n"/>
      <c r="Q1306" s="57">
        <f>IF(K1306&gt;0,"показать","скрыть")</f>
        <v/>
      </c>
    </row>
    <row r="1307" ht="15.75" customHeight="1">
      <c r="B1307" s="182" t="n">
        <v>1291</v>
      </c>
      <c r="C1307" s="182">
        <f>IFERROR(VLOOKUP($B1307,calc_data,C$14+1,0),0)</f>
        <v/>
      </c>
      <c r="D1307" s="182">
        <f>IFERROR(VLOOKUP($B1307,calc_data,D$14+1,0),0)</f>
        <v/>
      </c>
      <c r="E1307" s="183">
        <f>IFERROR(VLOOKUP($B1307,calc_data,E$14+1,0),0)</f>
        <v/>
      </c>
      <c r="F1307" s="182">
        <f>IFERROR(VLOOKUP($B1307,calc_data,F$14+1,0),0)</f>
        <v/>
      </c>
      <c r="G1307" s="141">
        <f>IFERROR(VLOOKUP($B1307,calc_data,G$14+1,0),0)</f>
        <v/>
      </c>
      <c r="H1307" s="141">
        <f>IFERROR(VLOOKUP($B1307,calc_data,H$14+1,0),0)</f>
        <v/>
      </c>
      <c r="I1307" s="142">
        <f>IFERROR(VLOOKUP($B1307,calc_data,I$14+1,0),0)</f>
        <v/>
      </c>
      <c r="J1307" s="141">
        <f>IFERROR(VLOOKUP($B1307,calc_data,J$14+1,0),0)</f>
        <v/>
      </c>
      <c r="K1307" s="141">
        <f>IFERROR(VLOOKUP($B1307,calc_data,K$14+1,0),0)</f>
        <v/>
      </c>
      <c r="L1307" s="141">
        <f>IFERROR(VLOOKUP($B1307,calc_data,L$14+1,0),0)</f>
        <v/>
      </c>
      <c r="M1307" s="177">
        <f>IFERROR(VLOOKUP($B1307,calc_data,M$14+1,0),0)</f>
        <v/>
      </c>
      <c r="N1307" s="177">
        <f>IFERROR(VLOOKUP($B1307,calc_data,N$14+1,0),0)</f>
        <v/>
      </c>
      <c r="O1307" s="45" t="n"/>
      <c r="Q1307" s="57">
        <f>IF(K1307&gt;0,"показать","скрыть")</f>
        <v/>
      </c>
    </row>
    <row r="1308" ht="15.75" customHeight="1">
      <c r="B1308" s="182" t="n">
        <v>1292</v>
      </c>
      <c r="C1308" s="182">
        <f>IFERROR(VLOOKUP($B1308,calc_data,C$14+1,0),0)</f>
        <v/>
      </c>
      <c r="D1308" s="182">
        <f>IFERROR(VLOOKUP($B1308,calc_data,D$14+1,0),0)</f>
        <v/>
      </c>
      <c r="E1308" s="183">
        <f>IFERROR(VLOOKUP($B1308,calc_data,E$14+1,0),0)</f>
        <v/>
      </c>
      <c r="F1308" s="182">
        <f>IFERROR(VLOOKUP($B1308,calc_data,F$14+1,0),0)</f>
        <v/>
      </c>
      <c r="G1308" s="141">
        <f>IFERROR(VLOOKUP($B1308,calc_data,G$14+1,0),0)</f>
        <v/>
      </c>
      <c r="H1308" s="141">
        <f>IFERROR(VLOOKUP($B1308,calc_data,H$14+1,0),0)</f>
        <v/>
      </c>
      <c r="I1308" s="142">
        <f>IFERROR(VLOOKUP($B1308,calc_data,I$14+1,0),0)</f>
        <v/>
      </c>
      <c r="J1308" s="141">
        <f>IFERROR(VLOOKUP($B1308,calc_data,J$14+1,0),0)</f>
        <v/>
      </c>
      <c r="K1308" s="141">
        <f>IFERROR(VLOOKUP($B1308,calc_data,K$14+1,0),0)</f>
        <v/>
      </c>
      <c r="L1308" s="141">
        <f>IFERROR(VLOOKUP($B1308,calc_data,L$14+1,0),0)</f>
        <v/>
      </c>
      <c r="M1308" s="177">
        <f>IFERROR(VLOOKUP($B1308,calc_data,M$14+1,0),0)</f>
        <v/>
      </c>
      <c r="N1308" s="177">
        <f>IFERROR(VLOOKUP($B1308,calc_data,N$14+1,0),0)</f>
        <v/>
      </c>
      <c r="O1308" s="45" t="n"/>
      <c r="Q1308" s="57">
        <f>IF(K1308&gt;0,"показать","скрыть")</f>
        <v/>
      </c>
    </row>
    <row r="1309" ht="15.75" customHeight="1">
      <c r="B1309" s="182" t="n">
        <v>1293</v>
      </c>
      <c r="C1309" s="182">
        <f>IFERROR(VLOOKUP($B1309,calc_data,C$14+1,0),0)</f>
        <v/>
      </c>
      <c r="D1309" s="182">
        <f>IFERROR(VLOOKUP($B1309,calc_data,D$14+1,0),0)</f>
        <v/>
      </c>
      <c r="E1309" s="183">
        <f>IFERROR(VLOOKUP($B1309,calc_data,E$14+1,0),0)</f>
        <v/>
      </c>
      <c r="F1309" s="182">
        <f>IFERROR(VLOOKUP($B1309,calc_data,F$14+1,0),0)</f>
        <v/>
      </c>
      <c r="G1309" s="141">
        <f>IFERROR(VLOOKUP($B1309,calc_data,G$14+1,0),0)</f>
        <v/>
      </c>
      <c r="H1309" s="141">
        <f>IFERROR(VLOOKUP($B1309,calc_data,H$14+1,0),0)</f>
        <v/>
      </c>
      <c r="I1309" s="142">
        <f>IFERROR(VLOOKUP($B1309,calc_data,I$14+1,0),0)</f>
        <v/>
      </c>
      <c r="J1309" s="141">
        <f>IFERROR(VLOOKUP($B1309,calc_data,J$14+1,0),0)</f>
        <v/>
      </c>
      <c r="K1309" s="141">
        <f>IFERROR(VLOOKUP($B1309,calc_data,K$14+1,0),0)</f>
        <v/>
      </c>
      <c r="L1309" s="141">
        <f>IFERROR(VLOOKUP($B1309,calc_data,L$14+1,0),0)</f>
        <v/>
      </c>
      <c r="M1309" s="177">
        <f>IFERROR(VLOOKUP($B1309,calc_data,M$14+1,0),0)</f>
        <v/>
      </c>
      <c r="N1309" s="177">
        <f>IFERROR(VLOOKUP($B1309,calc_data,N$14+1,0),0)</f>
        <v/>
      </c>
      <c r="O1309" s="45" t="n"/>
      <c r="Q1309" s="57">
        <f>IF(K1309&gt;0,"показать","скрыть")</f>
        <v/>
      </c>
    </row>
    <row r="1310" ht="15.75" customHeight="1">
      <c r="B1310" s="182" t="n">
        <v>1294</v>
      </c>
      <c r="C1310" s="182">
        <f>IFERROR(VLOOKUP($B1310,calc_data,C$14+1,0),0)</f>
        <v/>
      </c>
      <c r="D1310" s="182">
        <f>IFERROR(VLOOKUP($B1310,calc_data,D$14+1,0),0)</f>
        <v/>
      </c>
      <c r="E1310" s="183">
        <f>IFERROR(VLOOKUP($B1310,calc_data,E$14+1,0),0)</f>
        <v/>
      </c>
      <c r="F1310" s="182">
        <f>IFERROR(VLOOKUP($B1310,calc_data,F$14+1,0),0)</f>
        <v/>
      </c>
      <c r="G1310" s="141">
        <f>IFERROR(VLOOKUP($B1310,calc_data,G$14+1,0),0)</f>
        <v/>
      </c>
      <c r="H1310" s="141">
        <f>IFERROR(VLOOKUP($B1310,calc_data,H$14+1,0),0)</f>
        <v/>
      </c>
      <c r="I1310" s="142">
        <f>IFERROR(VLOOKUP($B1310,calc_data,I$14+1,0),0)</f>
        <v/>
      </c>
      <c r="J1310" s="141">
        <f>IFERROR(VLOOKUP($B1310,calc_data,J$14+1,0),0)</f>
        <v/>
      </c>
      <c r="K1310" s="141">
        <f>IFERROR(VLOOKUP($B1310,calc_data,K$14+1,0),0)</f>
        <v/>
      </c>
      <c r="L1310" s="141">
        <f>IFERROR(VLOOKUP($B1310,calc_data,L$14+1,0),0)</f>
        <v/>
      </c>
      <c r="M1310" s="177">
        <f>IFERROR(VLOOKUP($B1310,calc_data,M$14+1,0),0)</f>
        <v/>
      </c>
      <c r="N1310" s="177">
        <f>IFERROR(VLOOKUP($B1310,calc_data,N$14+1,0),0)</f>
        <v/>
      </c>
      <c r="O1310" s="45" t="n"/>
      <c r="Q1310" s="57">
        <f>IF(K1310&gt;0,"показать","скрыть")</f>
        <v/>
      </c>
    </row>
    <row r="1311" ht="15.75" customHeight="1">
      <c r="B1311" s="182" t="n">
        <v>1295</v>
      </c>
      <c r="C1311" s="182">
        <f>IFERROR(VLOOKUP($B1311,calc_data,C$14+1,0),0)</f>
        <v/>
      </c>
      <c r="D1311" s="182">
        <f>IFERROR(VLOOKUP($B1311,calc_data,D$14+1,0),0)</f>
        <v/>
      </c>
      <c r="E1311" s="183">
        <f>IFERROR(VLOOKUP($B1311,calc_data,E$14+1,0),0)</f>
        <v/>
      </c>
      <c r="F1311" s="182">
        <f>IFERROR(VLOOKUP($B1311,calc_data,F$14+1,0),0)</f>
        <v/>
      </c>
      <c r="G1311" s="141">
        <f>IFERROR(VLOOKUP($B1311,calc_data,G$14+1,0),0)</f>
        <v/>
      </c>
      <c r="H1311" s="141">
        <f>IFERROR(VLOOKUP($B1311,calc_data,H$14+1,0),0)</f>
        <v/>
      </c>
      <c r="I1311" s="142">
        <f>IFERROR(VLOOKUP($B1311,calc_data,I$14+1,0),0)</f>
        <v/>
      </c>
      <c r="J1311" s="141">
        <f>IFERROR(VLOOKUP($B1311,calc_data,J$14+1,0),0)</f>
        <v/>
      </c>
      <c r="K1311" s="141">
        <f>IFERROR(VLOOKUP($B1311,calc_data,K$14+1,0),0)</f>
        <v/>
      </c>
      <c r="L1311" s="141">
        <f>IFERROR(VLOOKUP($B1311,calc_data,L$14+1,0),0)</f>
        <v/>
      </c>
      <c r="M1311" s="177">
        <f>IFERROR(VLOOKUP($B1311,calc_data,M$14+1,0),0)</f>
        <v/>
      </c>
      <c r="N1311" s="177">
        <f>IFERROR(VLOOKUP($B1311,calc_data,N$14+1,0),0)</f>
        <v/>
      </c>
      <c r="O1311" s="45" t="n"/>
      <c r="Q1311" s="57">
        <f>IF(K1311&gt;0,"показать","скрыть")</f>
        <v/>
      </c>
    </row>
    <row r="1312" ht="15.75" customHeight="1">
      <c r="B1312" s="182" t="n">
        <v>1296</v>
      </c>
      <c r="C1312" s="182">
        <f>IFERROR(VLOOKUP($B1312,calc_data,C$14+1,0),0)</f>
        <v/>
      </c>
      <c r="D1312" s="182">
        <f>IFERROR(VLOOKUP($B1312,calc_data,D$14+1,0),0)</f>
        <v/>
      </c>
      <c r="E1312" s="183">
        <f>IFERROR(VLOOKUP($B1312,calc_data,E$14+1,0),0)</f>
        <v/>
      </c>
      <c r="F1312" s="182">
        <f>IFERROR(VLOOKUP($B1312,calc_data,F$14+1,0),0)</f>
        <v/>
      </c>
      <c r="G1312" s="141">
        <f>IFERROR(VLOOKUP($B1312,calc_data,G$14+1,0),0)</f>
        <v/>
      </c>
      <c r="H1312" s="141">
        <f>IFERROR(VLOOKUP($B1312,calc_data,H$14+1,0),0)</f>
        <v/>
      </c>
      <c r="I1312" s="142">
        <f>IFERROR(VLOOKUP($B1312,calc_data,I$14+1,0),0)</f>
        <v/>
      </c>
      <c r="J1312" s="141">
        <f>IFERROR(VLOOKUP($B1312,calc_data,J$14+1,0),0)</f>
        <v/>
      </c>
      <c r="K1312" s="141">
        <f>IFERROR(VLOOKUP($B1312,calc_data,K$14+1,0),0)</f>
        <v/>
      </c>
      <c r="L1312" s="141">
        <f>IFERROR(VLOOKUP($B1312,calc_data,L$14+1,0),0)</f>
        <v/>
      </c>
      <c r="M1312" s="177">
        <f>IFERROR(VLOOKUP($B1312,calc_data,M$14+1,0),0)</f>
        <v/>
      </c>
      <c r="N1312" s="177">
        <f>IFERROR(VLOOKUP($B1312,calc_data,N$14+1,0),0)</f>
        <v/>
      </c>
      <c r="O1312" s="45" t="n"/>
      <c r="Q1312" s="57">
        <f>IF(K1312&gt;0,"показать","скрыть")</f>
        <v/>
      </c>
    </row>
    <row r="1313" ht="15.75" customHeight="1">
      <c r="B1313" s="182" t="n">
        <v>1297</v>
      </c>
      <c r="C1313" s="182">
        <f>IFERROR(VLOOKUP($B1313,calc_data,C$14+1,0),0)</f>
        <v/>
      </c>
      <c r="D1313" s="182">
        <f>IFERROR(VLOOKUP($B1313,calc_data,D$14+1,0),0)</f>
        <v/>
      </c>
      <c r="E1313" s="183">
        <f>IFERROR(VLOOKUP($B1313,calc_data,E$14+1,0),0)</f>
        <v/>
      </c>
      <c r="F1313" s="182">
        <f>IFERROR(VLOOKUP($B1313,calc_data,F$14+1,0),0)</f>
        <v/>
      </c>
      <c r="G1313" s="141">
        <f>IFERROR(VLOOKUP($B1313,calc_data,G$14+1,0),0)</f>
        <v/>
      </c>
      <c r="H1313" s="141">
        <f>IFERROR(VLOOKUP($B1313,calc_data,H$14+1,0),0)</f>
        <v/>
      </c>
      <c r="I1313" s="142">
        <f>IFERROR(VLOOKUP($B1313,calc_data,I$14+1,0),0)</f>
        <v/>
      </c>
      <c r="J1313" s="141">
        <f>IFERROR(VLOOKUP($B1313,calc_data,J$14+1,0),0)</f>
        <v/>
      </c>
      <c r="K1313" s="141">
        <f>IFERROR(VLOOKUP($B1313,calc_data,K$14+1,0),0)</f>
        <v/>
      </c>
      <c r="L1313" s="141">
        <f>IFERROR(VLOOKUP($B1313,calc_data,L$14+1,0),0)</f>
        <v/>
      </c>
      <c r="M1313" s="177">
        <f>IFERROR(VLOOKUP($B1313,calc_data,M$14+1,0),0)</f>
        <v/>
      </c>
      <c r="N1313" s="177">
        <f>IFERROR(VLOOKUP($B1313,calc_data,N$14+1,0),0)</f>
        <v/>
      </c>
      <c r="O1313" s="45" t="n"/>
      <c r="Q1313" s="57">
        <f>IF(K1313&gt;0,"показать","скрыть")</f>
        <v/>
      </c>
    </row>
    <row r="1314" ht="15.75" customHeight="1">
      <c r="B1314" s="182" t="n">
        <v>1298</v>
      </c>
      <c r="C1314" s="182">
        <f>IFERROR(VLOOKUP($B1314,calc_data,C$14+1,0),0)</f>
        <v/>
      </c>
      <c r="D1314" s="182">
        <f>IFERROR(VLOOKUP($B1314,calc_data,D$14+1,0),0)</f>
        <v/>
      </c>
      <c r="E1314" s="183">
        <f>IFERROR(VLOOKUP($B1314,calc_data,E$14+1,0),0)</f>
        <v/>
      </c>
      <c r="F1314" s="182">
        <f>IFERROR(VLOOKUP($B1314,calc_data,F$14+1,0),0)</f>
        <v/>
      </c>
      <c r="G1314" s="141">
        <f>IFERROR(VLOOKUP($B1314,calc_data,G$14+1,0),0)</f>
        <v/>
      </c>
      <c r="H1314" s="141">
        <f>IFERROR(VLOOKUP($B1314,calc_data,H$14+1,0),0)</f>
        <v/>
      </c>
      <c r="I1314" s="142">
        <f>IFERROR(VLOOKUP($B1314,calc_data,I$14+1,0),0)</f>
        <v/>
      </c>
      <c r="J1314" s="141">
        <f>IFERROR(VLOOKUP($B1314,calc_data,J$14+1,0),0)</f>
        <v/>
      </c>
      <c r="K1314" s="141">
        <f>IFERROR(VLOOKUP($B1314,calc_data,K$14+1,0),0)</f>
        <v/>
      </c>
      <c r="L1314" s="141">
        <f>IFERROR(VLOOKUP($B1314,calc_data,L$14+1,0),0)</f>
        <v/>
      </c>
      <c r="M1314" s="177">
        <f>IFERROR(VLOOKUP($B1314,calc_data,M$14+1,0),0)</f>
        <v/>
      </c>
      <c r="N1314" s="177">
        <f>IFERROR(VLOOKUP($B1314,calc_data,N$14+1,0),0)</f>
        <v/>
      </c>
      <c r="O1314" s="45" t="n"/>
      <c r="Q1314" s="57">
        <f>IF(K1314&gt;0,"показать","скрыть")</f>
        <v/>
      </c>
    </row>
    <row r="1315" ht="15.75" customHeight="1">
      <c r="B1315" s="182" t="n">
        <v>1299</v>
      </c>
      <c r="C1315" s="182">
        <f>IFERROR(VLOOKUP($B1315,calc_data,C$14+1,0),0)</f>
        <v/>
      </c>
      <c r="D1315" s="182">
        <f>IFERROR(VLOOKUP($B1315,calc_data,D$14+1,0),0)</f>
        <v/>
      </c>
      <c r="E1315" s="183">
        <f>IFERROR(VLOOKUP($B1315,calc_data,E$14+1,0),0)</f>
        <v/>
      </c>
      <c r="F1315" s="182">
        <f>IFERROR(VLOOKUP($B1315,calc_data,F$14+1,0),0)</f>
        <v/>
      </c>
      <c r="G1315" s="141">
        <f>IFERROR(VLOOKUP($B1315,calc_data,G$14+1,0),0)</f>
        <v/>
      </c>
      <c r="H1315" s="141">
        <f>IFERROR(VLOOKUP($B1315,calc_data,H$14+1,0),0)</f>
        <v/>
      </c>
      <c r="I1315" s="142">
        <f>IFERROR(VLOOKUP($B1315,calc_data,I$14+1,0),0)</f>
        <v/>
      </c>
      <c r="J1315" s="141">
        <f>IFERROR(VLOOKUP($B1315,calc_data,J$14+1,0),0)</f>
        <v/>
      </c>
      <c r="K1315" s="141">
        <f>IFERROR(VLOOKUP($B1315,calc_data,K$14+1,0),0)</f>
        <v/>
      </c>
      <c r="L1315" s="141">
        <f>IFERROR(VLOOKUP($B1315,calc_data,L$14+1,0),0)</f>
        <v/>
      </c>
      <c r="M1315" s="177">
        <f>IFERROR(VLOOKUP($B1315,calc_data,M$14+1,0),0)</f>
        <v/>
      </c>
      <c r="N1315" s="177">
        <f>IFERROR(VLOOKUP($B1315,calc_data,N$14+1,0),0)</f>
        <v/>
      </c>
      <c r="O1315" s="45" t="n"/>
      <c r="Q1315" s="57">
        <f>IF(K1315&gt;0,"показать","скрыть")</f>
        <v/>
      </c>
    </row>
    <row r="1316" ht="15.75" customHeight="1">
      <c r="B1316" s="182" t="n">
        <v>1300</v>
      </c>
      <c r="C1316" s="182">
        <f>IFERROR(VLOOKUP($B1316,calc_data,C$14+1,0),0)</f>
        <v/>
      </c>
      <c r="D1316" s="182">
        <f>IFERROR(VLOOKUP($B1316,calc_data,D$14+1,0),0)</f>
        <v/>
      </c>
      <c r="E1316" s="183">
        <f>IFERROR(VLOOKUP($B1316,calc_data,E$14+1,0),0)</f>
        <v/>
      </c>
      <c r="F1316" s="182">
        <f>IFERROR(VLOOKUP($B1316,calc_data,F$14+1,0),0)</f>
        <v/>
      </c>
      <c r="G1316" s="141">
        <f>IFERROR(VLOOKUP($B1316,calc_data,G$14+1,0),0)</f>
        <v/>
      </c>
      <c r="H1316" s="141">
        <f>IFERROR(VLOOKUP($B1316,calc_data,H$14+1,0),0)</f>
        <v/>
      </c>
      <c r="I1316" s="142">
        <f>IFERROR(VLOOKUP($B1316,calc_data,I$14+1,0),0)</f>
        <v/>
      </c>
      <c r="J1316" s="141">
        <f>IFERROR(VLOOKUP($B1316,calc_data,J$14+1,0),0)</f>
        <v/>
      </c>
      <c r="K1316" s="141">
        <f>IFERROR(VLOOKUP($B1316,calc_data,K$14+1,0),0)</f>
        <v/>
      </c>
      <c r="L1316" s="141">
        <f>IFERROR(VLOOKUP($B1316,calc_data,L$14+1,0),0)</f>
        <v/>
      </c>
      <c r="M1316" s="177">
        <f>IFERROR(VLOOKUP($B1316,calc_data,M$14+1,0),0)</f>
        <v/>
      </c>
      <c r="N1316" s="177">
        <f>IFERROR(VLOOKUP($B1316,calc_data,N$14+1,0),0)</f>
        <v/>
      </c>
      <c r="O1316" s="45" t="n"/>
      <c r="Q1316" s="57">
        <f>IF(K1316&gt;0,"показать","скрыть")</f>
        <v/>
      </c>
    </row>
    <row r="1317" ht="15.75" customHeight="1">
      <c r="B1317" s="182" t="n">
        <v>1301</v>
      </c>
      <c r="C1317" s="182">
        <f>IFERROR(VLOOKUP($B1317,calc_data,C$14+1,0),0)</f>
        <v/>
      </c>
      <c r="D1317" s="182">
        <f>IFERROR(VLOOKUP($B1317,calc_data,D$14+1,0),0)</f>
        <v/>
      </c>
      <c r="E1317" s="183">
        <f>IFERROR(VLOOKUP($B1317,calc_data,E$14+1,0),0)</f>
        <v/>
      </c>
      <c r="F1317" s="182">
        <f>IFERROR(VLOOKUP($B1317,calc_data,F$14+1,0),0)</f>
        <v/>
      </c>
      <c r="G1317" s="141">
        <f>IFERROR(VLOOKUP($B1317,calc_data,G$14+1,0),0)</f>
        <v/>
      </c>
      <c r="H1317" s="141">
        <f>IFERROR(VLOOKUP($B1317,calc_data,H$14+1,0),0)</f>
        <v/>
      </c>
      <c r="I1317" s="142">
        <f>IFERROR(VLOOKUP($B1317,calc_data,I$14+1,0),0)</f>
        <v/>
      </c>
      <c r="J1317" s="141">
        <f>IFERROR(VLOOKUP($B1317,calc_data,J$14+1,0),0)</f>
        <v/>
      </c>
      <c r="K1317" s="141">
        <f>IFERROR(VLOOKUP($B1317,calc_data,K$14+1,0),0)</f>
        <v/>
      </c>
      <c r="L1317" s="141">
        <f>IFERROR(VLOOKUP($B1317,calc_data,L$14+1,0),0)</f>
        <v/>
      </c>
      <c r="M1317" s="177">
        <f>IFERROR(VLOOKUP($B1317,calc_data,M$14+1,0),0)</f>
        <v/>
      </c>
      <c r="N1317" s="177">
        <f>IFERROR(VLOOKUP($B1317,calc_data,N$14+1,0),0)</f>
        <v/>
      </c>
      <c r="O1317" s="45" t="n"/>
      <c r="Q1317" s="57">
        <f>IF(K1317&gt;0,"показать","скрыть")</f>
        <v/>
      </c>
    </row>
    <row r="1318" ht="15.75" customHeight="1">
      <c r="B1318" s="182" t="n">
        <v>1302</v>
      </c>
      <c r="C1318" s="182">
        <f>IFERROR(VLOOKUP($B1318,calc_data,C$14+1,0),0)</f>
        <v/>
      </c>
      <c r="D1318" s="182">
        <f>IFERROR(VLOOKUP($B1318,calc_data,D$14+1,0),0)</f>
        <v/>
      </c>
      <c r="E1318" s="183">
        <f>IFERROR(VLOOKUP($B1318,calc_data,E$14+1,0),0)</f>
        <v/>
      </c>
      <c r="F1318" s="182">
        <f>IFERROR(VLOOKUP($B1318,calc_data,F$14+1,0),0)</f>
        <v/>
      </c>
      <c r="G1318" s="141">
        <f>IFERROR(VLOOKUP($B1318,calc_data,G$14+1,0),0)</f>
        <v/>
      </c>
      <c r="H1318" s="141">
        <f>IFERROR(VLOOKUP($B1318,calc_data,H$14+1,0),0)</f>
        <v/>
      </c>
      <c r="I1318" s="142">
        <f>IFERROR(VLOOKUP($B1318,calc_data,I$14+1,0),0)</f>
        <v/>
      </c>
      <c r="J1318" s="141">
        <f>IFERROR(VLOOKUP($B1318,calc_data,J$14+1,0),0)</f>
        <v/>
      </c>
      <c r="K1318" s="141">
        <f>IFERROR(VLOOKUP($B1318,calc_data,K$14+1,0),0)</f>
        <v/>
      </c>
      <c r="L1318" s="141">
        <f>IFERROR(VLOOKUP($B1318,calc_data,L$14+1,0),0)</f>
        <v/>
      </c>
      <c r="M1318" s="177">
        <f>IFERROR(VLOOKUP($B1318,calc_data,M$14+1,0),0)</f>
        <v/>
      </c>
      <c r="N1318" s="177">
        <f>IFERROR(VLOOKUP($B1318,calc_data,N$14+1,0),0)</f>
        <v/>
      </c>
      <c r="O1318" s="45" t="n"/>
      <c r="Q1318" s="57">
        <f>IF(K1318&gt;0,"показать","скрыть")</f>
        <v/>
      </c>
    </row>
    <row r="1319" ht="15.75" customHeight="1">
      <c r="B1319" s="182" t="n">
        <v>1303</v>
      </c>
      <c r="C1319" s="182">
        <f>IFERROR(VLOOKUP($B1319,calc_data,C$14+1,0),0)</f>
        <v/>
      </c>
      <c r="D1319" s="182">
        <f>IFERROR(VLOOKUP($B1319,calc_data,D$14+1,0),0)</f>
        <v/>
      </c>
      <c r="E1319" s="183">
        <f>IFERROR(VLOOKUP($B1319,calc_data,E$14+1,0),0)</f>
        <v/>
      </c>
      <c r="F1319" s="182">
        <f>IFERROR(VLOOKUP($B1319,calc_data,F$14+1,0),0)</f>
        <v/>
      </c>
      <c r="G1319" s="141">
        <f>IFERROR(VLOOKUP($B1319,calc_data,G$14+1,0),0)</f>
        <v/>
      </c>
      <c r="H1319" s="141">
        <f>IFERROR(VLOOKUP($B1319,calc_data,H$14+1,0),0)</f>
        <v/>
      </c>
      <c r="I1319" s="142">
        <f>IFERROR(VLOOKUP($B1319,calc_data,I$14+1,0),0)</f>
        <v/>
      </c>
      <c r="J1319" s="141">
        <f>IFERROR(VLOOKUP($B1319,calc_data,J$14+1,0),0)</f>
        <v/>
      </c>
      <c r="K1319" s="141">
        <f>IFERROR(VLOOKUP($B1319,calc_data,K$14+1,0),0)</f>
        <v/>
      </c>
      <c r="L1319" s="141">
        <f>IFERROR(VLOOKUP($B1319,calc_data,L$14+1,0),0)</f>
        <v/>
      </c>
      <c r="M1319" s="177">
        <f>IFERROR(VLOOKUP($B1319,calc_data,M$14+1,0),0)</f>
        <v/>
      </c>
      <c r="N1319" s="177">
        <f>IFERROR(VLOOKUP($B1319,calc_data,N$14+1,0),0)</f>
        <v/>
      </c>
      <c r="O1319" s="45" t="n"/>
      <c r="Q1319" s="57">
        <f>IF(K1319&gt;0,"показать","скрыть")</f>
        <v/>
      </c>
    </row>
    <row r="1320" ht="15.75" customHeight="1">
      <c r="B1320" s="182" t="n">
        <v>1304</v>
      </c>
      <c r="C1320" s="182">
        <f>IFERROR(VLOOKUP($B1320,calc_data,C$14+1,0),0)</f>
        <v/>
      </c>
      <c r="D1320" s="182">
        <f>IFERROR(VLOOKUP($B1320,calc_data,D$14+1,0),0)</f>
        <v/>
      </c>
      <c r="E1320" s="183">
        <f>IFERROR(VLOOKUP($B1320,calc_data,E$14+1,0),0)</f>
        <v/>
      </c>
      <c r="F1320" s="182">
        <f>IFERROR(VLOOKUP($B1320,calc_data,F$14+1,0),0)</f>
        <v/>
      </c>
      <c r="G1320" s="141">
        <f>IFERROR(VLOOKUP($B1320,calc_data,G$14+1,0),0)</f>
        <v/>
      </c>
      <c r="H1320" s="141">
        <f>IFERROR(VLOOKUP($B1320,calc_data,H$14+1,0),0)</f>
        <v/>
      </c>
      <c r="I1320" s="142">
        <f>IFERROR(VLOOKUP($B1320,calc_data,I$14+1,0),0)</f>
        <v/>
      </c>
      <c r="J1320" s="141">
        <f>IFERROR(VLOOKUP($B1320,calc_data,J$14+1,0),0)</f>
        <v/>
      </c>
      <c r="K1320" s="141">
        <f>IFERROR(VLOOKUP($B1320,calc_data,K$14+1,0),0)</f>
        <v/>
      </c>
      <c r="L1320" s="141">
        <f>IFERROR(VLOOKUP($B1320,calc_data,L$14+1,0),0)</f>
        <v/>
      </c>
      <c r="M1320" s="177">
        <f>IFERROR(VLOOKUP($B1320,calc_data,M$14+1,0),0)</f>
        <v/>
      </c>
      <c r="N1320" s="177">
        <f>IFERROR(VLOOKUP($B1320,calc_data,N$14+1,0),0)</f>
        <v/>
      </c>
      <c r="O1320" s="45" t="n"/>
      <c r="Q1320" s="57">
        <f>IF(K1320&gt;0,"показать","скрыть")</f>
        <v/>
      </c>
    </row>
    <row r="1321" ht="15.75" customHeight="1">
      <c r="B1321" s="182" t="n">
        <v>1305</v>
      </c>
      <c r="C1321" s="182">
        <f>IFERROR(VLOOKUP($B1321,calc_data,C$14+1,0),0)</f>
        <v/>
      </c>
      <c r="D1321" s="182">
        <f>IFERROR(VLOOKUP($B1321,calc_data,D$14+1,0),0)</f>
        <v/>
      </c>
      <c r="E1321" s="183">
        <f>IFERROR(VLOOKUP($B1321,calc_data,E$14+1,0),0)</f>
        <v/>
      </c>
      <c r="F1321" s="182">
        <f>IFERROR(VLOOKUP($B1321,calc_data,F$14+1,0),0)</f>
        <v/>
      </c>
      <c r="G1321" s="141">
        <f>IFERROR(VLOOKUP($B1321,calc_data,G$14+1,0),0)</f>
        <v/>
      </c>
      <c r="H1321" s="141">
        <f>IFERROR(VLOOKUP($B1321,calc_data,H$14+1,0),0)</f>
        <v/>
      </c>
      <c r="I1321" s="142">
        <f>IFERROR(VLOOKUP($B1321,calc_data,I$14+1,0),0)</f>
        <v/>
      </c>
      <c r="J1321" s="141">
        <f>IFERROR(VLOOKUP($B1321,calc_data,J$14+1,0),0)</f>
        <v/>
      </c>
      <c r="K1321" s="141">
        <f>IFERROR(VLOOKUP($B1321,calc_data,K$14+1,0),0)</f>
        <v/>
      </c>
      <c r="L1321" s="141">
        <f>IFERROR(VLOOKUP($B1321,calc_data,L$14+1,0),0)</f>
        <v/>
      </c>
      <c r="M1321" s="177">
        <f>IFERROR(VLOOKUP($B1321,calc_data,M$14+1,0),0)</f>
        <v/>
      </c>
      <c r="N1321" s="177">
        <f>IFERROR(VLOOKUP($B1321,calc_data,N$14+1,0),0)</f>
        <v/>
      </c>
      <c r="O1321" s="45" t="n"/>
      <c r="Q1321" s="57">
        <f>IF(K1321&gt;0,"показать","скрыть")</f>
        <v/>
      </c>
    </row>
    <row r="1322" ht="15.75" customHeight="1">
      <c r="B1322" s="182" t="n">
        <v>1306</v>
      </c>
      <c r="C1322" s="182">
        <f>IFERROR(VLOOKUP($B1322,calc_data,C$14+1,0),0)</f>
        <v/>
      </c>
      <c r="D1322" s="182">
        <f>IFERROR(VLOOKUP($B1322,calc_data,D$14+1,0),0)</f>
        <v/>
      </c>
      <c r="E1322" s="183">
        <f>IFERROR(VLOOKUP($B1322,calc_data,E$14+1,0),0)</f>
        <v/>
      </c>
      <c r="F1322" s="182">
        <f>IFERROR(VLOOKUP($B1322,calc_data,F$14+1,0),0)</f>
        <v/>
      </c>
      <c r="G1322" s="141">
        <f>IFERROR(VLOOKUP($B1322,calc_data,G$14+1,0),0)</f>
        <v/>
      </c>
      <c r="H1322" s="141">
        <f>IFERROR(VLOOKUP($B1322,calc_data,H$14+1,0),0)</f>
        <v/>
      </c>
      <c r="I1322" s="142">
        <f>IFERROR(VLOOKUP($B1322,calc_data,I$14+1,0),0)</f>
        <v/>
      </c>
      <c r="J1322" s="141">
        <f>IFERROR(VLOOKUP($B1322,calc_data,J$14+1,0),0)</f>
        <v/>
      </c>
      <c r="K1322" s="141">
        <f>IFERROR(VLOOKUP($B1322,calc_data,K$14+1,0),0)</f>
        <v/>
      </c>
      <c r="L1322" s="141">
        <f>IFERROR(VLOOKUP($B1322,calc_data,L$14+1,0),0)</f>
        <v/>
      </c>
      <c r="M1322" s="177">
        <f>IFERROR(VLOOKUP($B1322,calc_data,M$14+1,0),0)</f>
        <v/>
      </c>
      <c r="N1322" s="177">
        <f>IFERROR(VLOOKUP($B1322,calc_data,N$14+1,0),0)</f>
        <v/>
      </c>
      <c r="O1322" s="45" t="n"/>
      <c r="Q1322" s="57">
        <f>IF(K1322&gt;0,"показать","скрыть")</f>
        <v/>
      </c>
    </row>
    <row r="1323" ht="15.75" customHeight="1">
      <c r="B1323" s="182" t="n">
        <v>1307</v>
      </c>
      <c r="C1323" s="182">
        <f>IFERROR(VLOOKUP($B1323,calc_data,C$14+1,0),0)</f>
        <v/>
      </c>
      <c r="D1323" s="182">
        <f>IFERROR(VLOOKUP($B1323,calc_data,D$14+1,0),0)</f>
        <v/>
      </c>
      <c r="E1323" s="183">
        <f>IFERROR(VLOOKUP($B1323,calc_data,E$14+1,0),0)</f>
        <v/>
      </c>
      <c r="F1323" s="182">
        <f>IFERROR(VLOOKUP($B1323,calc_data,F$14+1,0),0)</f>
        <v/>
      </c>
      <c r="G1323" s="141">
        <f>IFERROR(VLOOKUP($B1323,calc_data,G$14+1,0),0)</f>
        <v/>
      </c>
      <c r="H1323" s="141">
        <f>IFERROR(VLOOKUP($B1323,calc_data,H$14+1,0),0)</f>
        <v/>
      </c>
      <c r="I1323" s="142">
        <f>IFERROR(VLOOKUP($B1323,calc_data,I$14+1,0),0)</f>
        <v/>
      </c>
      <c r="J1323" s="141">
        <f>IFERROR(VLOOKUP($B1323,calc_data,J$14+1,0),0)</f>
        <v/>
      </c>
      <c r="K1323" s="141">
        <f>IFERROR(VLOOKUP($B1323,calc_data,K$14+1,0),0)</f>
        <v/>
      </c>
      <c r="L1323" s="141">
        <f>IFERROR(VLOOKUP($B1323,calc_data,L$14+1,0),0)</f>
        <v/>
      </c>
      <c r="M1323" s="177">
        <f>IFERROR(VLOOKUP($B1323,calc_data,M$14+1,0),0)</f>
        <v/>
      </c>
      <c r="N1323" s="177">
        <f>IFERROR(VLOOKUP($B1323,calc_data,N$14+1,0),0)</f>
        <v/>
      </c>
      <c r="O1323" s="45" t="n"/>
      <c r="Q1323" s="57">
        <f>IF(K1323&gt;0,"показать","скрыть")</f>
        <v/>
      </c>
    </row>
    <row r="1324" ht="15.75" customHeight="1">
      <c r="B1324" s="182" t="n">
        <v>1308</v>
      </c>
      <c r="C1324" s="182">
        <f>IFERROR(VLOOKUP($B1324,calc_data,C$14+1,0),0)</f>
        <v/>
      </c>
      <c r="D1324" s="182">
        <f>IFERROR(VLOOKUP($B1324,calc_data,D$14+1,0),0)</f>
        <v/>
      </c>
      <c r="E1324" s="183">
        <f>IFERROR(VLOOKUP($B1324,calc_data,E$14+1,0),0)</f>
        <v/>
      </c>
      <c r="F1324" s="182">
        <f>IFERROR(VLOOKUP($B1324,calc_data,F$14+1,0),0)</f>
        <v/>
      </c>
      <c r="G1324" s="141">
        <f>IFERROR(VLOOKUP($B1324,calc_data,G$14+1,0),0)</f>
        <v/>
      </c>
      <c r="H1324" s="141">
        <f>IFERROR(VLOOKUP($B1324,calc_data,H$14+1,0),0)</f>
        <v/>
      </c>
      <c r="I1324" s="142">
        <f>IFERROR(VLOOKUP($B1324,calc_data,I$14+1,0),0)</f>
        <v/>
      </c>
      <c r="J1324" s="141">
        <f>IFERROR(VLOOKUP($B1324,calc_data,J$14+1,0),0)</f>
        <v/>
      </c>
      <c r="K1324" s="141">
        <f>IFERROR(VLOOKUP($B1324,calc_data,K$14+1,0),0)</f>
        <v/>
      </c>
      <c r="L1324" s="141">
        <f>IFERROR(VLOOKUP($B1324,calc_data,L$14+1,0),0)</f>
        <v/>
      </c>
      <c r="M1324" s="177">
        <f>IFERROR(VLOOKUP($B1324,calc_data,M$14+1,0),0)</f>
        <v/>
      </c>
      <c r="N1324" s="177">
        <f>IFERROR(VLOOKUP($B1324,calc_data,N$14+1,0),0)</f>
        <v/>
      </c>
      <c r="O1324" s="45" t="n"/>
      <c r="Q1324" s="57">
        <f>IF(K1324&gt;0,"показать","скрыть")</f>
        <v/>
      </c>
    </row>
    <row r="1325" ht="15.75" customHeight="1">
      <c r="B1325" s="182" t="n">
        <v>1309</v>
      </c>
      <c r="C1325" s="182">
        <f>IFERROR(VLOOKUP($B1325,calc_data,C$14+1,0),0)</f>
        <v/>
      </c>
      <c r="D1325" s="182">
        <f>IFERROR(VLOOKUP($B1325,calc_data,D$14+1,0),0)</f>
        <v/>
      </c>
      <c r="E1325" s="183">
        <f>IFERROR(VLOOKUP($B1325,calc_data,E$14+1,0),0)</f>
        <v/>
      </c>
      <c r="F1325" s="182">
        <f>IFERROR(VLOOKUP($B1325,calc_data,F$14+1,0),0)</f>
        <v/>
      </c>
      <c r="G1325" s="141">
        <f>IFERROR(VLOOKUP($B1325,calc_data,G$14+1,0),0)</f>
        <v/>
      </c>
      <c r="H1325" s="141">
        <f>IFERROR(VLOOKUP($B1325,calc_data,H$14+1,0),0)</f>
        <v/>
      </c>
      <c r="I1325" s="142">
        <f>IFERROR(VLOOKUP($B1325,calc_data,I$14+1,0),0)</f>
        <v/>
      </c>
      <c r="J1325" s="141">
        <f>IFERROR(VLOOKUP($B1325,calc_data,J$14+1,0),0)</f>
        <v/>
      </c>
      <c r="K1325" s="141">
        <f>IFERROR(VLOOKUP($B1325,calc_data,K$14+1,0),0)</f>
        <v/>
      </c>
      <c r="L1325" s="141">
        <f>IFERROR(VLOOKUP($B1325,calc_data,L$14+1,0),0)</f>
        <v/>
      </c>
      <c r="M1325" s="177">
        <f>IFERROR(VLOOKUP($B1325,calc_data,M$14+1,0),0)</f>
        <v/>
      </c>
      <c r="N1325" s="177">
        <f>IFERROR(VLOOKUP($B1325,calc_data,N$14+1,0),0)</f>
        <v/>
      </c>
      <c r="O1325" s="45" t="n"/>
      <c r="Q1325" s="57">
        <f>IF(K1325&gt;0,"показать","скрыть")</f>
        <v/>
      </c>
    </row>
    <row r="1326" ht="15.75" customHeight="1">
      <c r="B1326" s="182" t="n">
        <v>1310</v>
      </c>
      <c r="C1326" s="182">
        <f>IFERROR(VLOOKUP($B1326,calc_data,C$14+1,0),0)</f>
        <v/>
      </c>
      <c r="D1326" s="182">
        <f>IFERROR(VLOOKUP($B1326,calc_data,D$14+1,0),0)</f>
        <v/>
      </c>
      <c r="E1326" s="183">
        <f>IFERROR(VLOOKUP($B1326,calc_data,E$14+1,0),0)</f>
        <v/>
      </c>
      <c r="F1326" s="182">
        <f>IFERROR(VLOOKUP($B1326,calc_data,F$14+1,0),0)</f>
        <v/>
      </c>
      <c r="G1326" s="141">
        <f>IFERROR(VLOOKUP($B1326,calc_data,G$14+1,0),0)</f>
        <v/>
      </c>
      <c r="H1326" s="141">
        <f>IFERROR(VLOOKUP($B1326,calc_data,H$14+1,0),0)</f>
        <v/>
      </c>
      <c r="I1326" s="142">
        <f>IFERROR(VLOOKUP($B1326,calc_data,I$14+1,0),0)</f>
        <v/>
      </c>
      <c r="J1326" s="141">
        <f>IFERROR(VLOOKUP($B1326,calc_data,J$14+1,0),0)</f>
        <v/>
      </c>
      <c r="K1326" s="141">
        <f>IFERROR(VLOOKUP($B1326,calc_data,K$14+1,0),0)</f>
        <v/>
      </c>
      <c r="L1326" s="141">
        <f>IFERROR(VLOOKUP($B1326,calc_data,L$14+1,0),0)</f>
        <v/>
      </c>
      <c r="M1326" s="177">
        <f>IFERROR(VLOOKUP($B1326,calc_data,M$14+1,0),0)</f>
        <v/>
      </c>
      <c r="N1326" s="177">
        <f>IFERROR(VLOOKUP($B1326,calc_data,N$14+1,0),0)</f>
        <v/>
      </c>
      <c r="O1326" s="45" t="n"/>
      <c r="Q1326" s="57">
        <f>IF(K1326&gt;0,"показать","скрыть")</f>
        <v/>
      </c>
    </row>
    <row r="1327" ht="15.75" customHeight="1">
      <c r="B1327" s="182" t="n">
        <v>1311</v>
      </c>
      <c r="C1327" s="182">
        <f>IFERROR(VLOOKUP($B1327,calc_data,C$14+1,0),0)</f>
        <v/>
      </c>
      <c r="D1327" s="182">
        <f>IFERROR(VLOOKUP($B1327,calc_data,D$14+1,0),0)</f>
        <v/>
      </c>
      <c r="E1327" s="183">
        <f>IFERROR(VLOOKUP($B1327,calc_data,E$14+1,0),0)</f>
        <v/>
      </c>
      <c r="F1327" s="182">
        <f>IFERROR(VLOOKUP($B1327,calc_data,F$14+1,0),0)</f>
        <v/>
      </c>
      <c r="G1327" s="141">
        <f>IFERROR(VLOOKUP($B1327,calc_data,G$14+1,0),0)</f>
        <v/>
      </c>
      <c r="H1327" s="141">
        <f>IFERROR(VLOOKUP($B1327,calc_data,H$14+1,0),0)</f>
        <v/>
      </c>
      <c r="I1327" s="142">
        <f>IFERROR(VLOOKUP($B1327,calc_data,I$14+1,0),0)</f>
        <v/>
      </c>
      <c r="J1327" s="141">
        <f>IFERROR(VLOOKUP($B1327,calc_data,J$14+1,0),0)</f>
        <v/>
      </c>
      <c r="K1327" s="141">
        <f>IFERROR(VLOOKUP($B1327,calc_data,K$14+1,0),0)</f>
        <v/>
      </c>
      <c r="L1327" s="141">
        <f>IFERROR(VLOOKUP($B1327,calc_data,L$14+1,0),0)</f>
        <v/>
      </c>
      <c r="M1327" s="177">
        <f>IFERROR(VLOOKUP($B1327,calc_data,M$14+1,0),0)</f>
        <v/>
      </c>
      <c r="N1327" s="177">
        <f>IFERROR(VLOOKUP($B1327,calc_data,N$14+1,0),0)</f>
        <v/>
      </c>
      <c r="O1327" s="45" t="n"/>
      <c r="Q1327" s="57">
        <f>IF(K1327&gt;0,"показать","скрыть")</f>
        <v/>
      </c>
    </row>
    <row r="1328" ht="15.75" customHeight="1">
      <c r="B1328" s="182" t="n">
        <v>1312</v>
      </c>
      <c r="C1328" s="182">
        <f>IFERROR(VLOOKUP($B1328,calc_data,C$14+1,0),0)</f>
        <v/>
      </c>
      <c r="D1328" s="182">
        <f>IFERROR(VLOOKUP($B1328,calc_data,D$14+1,0),0)</f>
        <v/>
      </c>
      <c r="E1328" s="183">
        <f>IFERROR(VLOOKUP($B1328,calc_data,E$14+1,0),0)</f>
        <v/>
      </c>
      <c r="F1328" s="182">
        <f>IFERROR(VLOOKUP($B1328,calc_data,F$14+1,0),0)</f>
        <v/>
      </c>
      <c r="G1328" s="141">
        <f>IFERROR(VLOOKUP($B1328,calc_data,G$14+1,0),0)</f>
        <v/>
      </c>
      <c r="H1328" s="141">
        <f>IFERROR(VLOOKUP($B1328,calc_data,H$14+1,0),0)</f>
        <v/>
      </c>
      <c r="I1328" s="142">
        <f>IFERROR(VLOOKUP($B1328,calc_data,I$14+1,0),0)</f>
        <v/>
      </c>
      <c r="J1328" s="141">
        <f>IFERROR(VLOOKUP($B1328,calc_data,J$14+1,0),0)</f>
        <v/>
      </c>
      <c r="K1328" s="141">
        <f>IFERROR(VLOOKUP($B1328,calc_data,K$14+1,0),0)</f>
        <v/>
      </c>
      <c r="L1328" s="141">
        <f>IFERROR(VLOOKUP($B1328,calc_data,L$14+1,0),0)</f>
        <v/>
      </c>
      <c r="M1328" s="177">
        <f>IFERROR(VLOOKUP($B1328,calc_data,M$14+1,0),0)</f>
        <v/>
      </c>
      <c r="N1328" s="177">
        <f>IFERROR(VLOOKUP($B1328,calc_data,N$14+1,0),0)</f>
        <v/>
      </c>
      <c r="O1328" s="45" t="n"/>
      <c r="Q1328" s="57">
        <f>IF(K1328&gt;0,"показать","скрыть")</f>
        <v/>
      </c>
    </row>
    <row r="1329" ht="15.75" customHeight="1">
      <c r="B1329" s="182" t="n">
        <v>1313</v>
      </c>
      <c r="C1329" s="182">
        <f>IFERROR(VLOOKUP($B1329,calc_data,C$14+1,0),0)</f>
        <v/>
      </c>
      <c r="D1329" s="182">
        <f>IFERROR(VLOOKUP($B1329,calc_data,D$14+1,0),0)</f>
        <v/>
      </c>
      <c r="E1329" s="183">
        <f>IFERROR(VLOOKUP($B1329,calc_data,E$14+1,0),0)</f>
        <v/>
      </c>
      <c r="F1329" s="182">
        <f>IFERROR(VLOOKUP($B1329,calc_data,F$14+1,0),0)</f>
        <v/>
      </c>
      <c r="G1329" s="141">
        <f>IFERROR(VLOOKUP($B1329,calc_data,G$14+1,0),0)</f>
        <v/>
      </c>
      <c r="H1329" s="141">
        <f>IFERROR(VLOOKUP($B1329,calc_data,H$14+1,0),0)</f>
        <v/>
      </c>
      <c r="I1329" s="142">
        <f>IFERROR(VLOOKUP($B1329,calc_data,I$14+1,0),0)</f>
        <v/>
      </c>
      <c r="J1329" s="141">
        <f>IFERROR(VLOOKUP($B1329,calc_data,J$14+1,0),0)</f>
        <v/>
      </c>
      <c r="K1329" s="141">
        <f>IFERROR(VLOOKUP($B1329,calc_data,K$14+1,0),0)</f>
        <v/>
      </c>
      <c r="L1329" s="141">
        <f>IFERROR(VLOOKUP($B1329,calc_data,L$14+1,0),0)</f>
        <v/>
      </c>
      <c r="M1329" s="177">
        <f>IFERROR(VLOOKUP($B1329,calc_data,M$14+1,0),0)</f>
        <v/>
      </c>
      <c r="N1329" s="177">
        <f>IFERROR(VLOOKUP($B1329,calc_data,N$14+1,0),0)</f>
        <v/>
      </c>
      <c r="O1329" s="45" t="n"/>
      <c r="Q1329" s="57">
        <f>IF(K1329&gt;0,"показать","скрыть")</f>
        <v/>
      </c>
    </row>
    <row r="1330" ht="15.75" customHeight="1">
      <c r="B1330" s="182" t="n">
        <v>1314</v>
      </c>
      <c r="C1330" s="182">
        <f>IFERROR(VLOOKUP($B1330,calc_data,C$14+1,0),0)</f>
        <v/>
      </c>
      <c r="D1330" s="182">
        <f>IFERROR(VLOOKUP($B1330,calc_data,D$14+1,0),0)</f>
        <v/>
      </c>
      <c r="E1330" s="183">
        <f>IFERROR(VLOOKUP($B1330,calc_data,E$14+1,0),0)</f>
        <v/>
      </c>
      <c r="F1330" s="182">
        <f>IFERROR(VLOOKUP($B1330,calc_data,F$14+1,0),0)</f>
        <v/>
      </c>
      <c r="G1330" s="141">
        <f>IFERROR(VLOOKUP($B1330,calc_data,G$14+1,0),0)</f>
        <v/>
      </c>
      <c r="H1330" s="141">
        <f>IFERROR(VLOOKUP($B1330,calc_data,H$14+1,0),0)</f>
        <v/>
      </c>
      <c r="I1330" s="142">
        <f>IFERROR(VLOOKUP($B1330,calc_data,I$14+1,0),0)</f>
        <v/>
      </c>
      <c r="J1330" s="141">
        <f>IFERROR(VLOOKUP($B1330,calc_data,J$14+1,0),0)</f>
        <v/>
      </c>
      <c r="K1330" s="141">
        <f>IFERROR(VLOOKUP($B1330,calc_data,K$14+1,0),0)</f>
        <v/>
      </c>
      <c r="L1330" s="141">
        <f>IFERROR(VLOOKUP($B1330,calc_data,L$14+1,0),0)</f>
        <v/>
      </c>
      <c r="M1330" s="177">
        <f>IFERROR(VLOOKUP($B1330,calc_data,M$14+1,0),0)</f>
        <v/>
      </c>
      <c r="N1330" s="177">
        <f>IFERROR(VLOOKUP($B1330,calc_data,N$14+1,0),0)</f>
        <v/>
      </c>
      <c r="O1330" s="45" t="n"/>
      <c r="Q1330" s="57">
        <f>IF(K1330&gt;0,"показать","скрыть")</f>
        <v/>
      </c>
    </row>
    <row r="1331" ht="15.75" customHeight="1">
      <c r="B1331" s="182" t="n">
        <v>1315</v>
      </c>
      <c r="C1331" s="182">
        <f>IFERROR(VLOOKUP($B1331,calc_data,C$14+1,0),0)</f>
        <v/>
      </c>
      <c r="D1331" s="182">
        <f>IFERROR(VLOOKUP($B1331,calc_data,D$14+1,0),0)</f>
        <v/>
      </c>
      <c r="E1331" s="183">
        <f>IFERROR(VLOOKUP($B1331,calc_data,E$14+1,0),0)</f>
        <v/>
      </c>
      <c r="F1331" s="182">
        <f>IFERROR(VLOOKUP($B1331,calc_data,F$14+1,0),0)</f>
        <v/>
      </c>
      <c r="G1331" s="141">
        <f>IFERROR(VLOOKUP($B1331,calc_data,G$14+1,0),0)</f>
        <v/>
      </c>
      <c r="H1331" s="141">
        <f>IFERROR(VLOOKUP($B1331,calc_data,H$14+1,0),0)</f>
        <v/>
      </c>
      <c r="I1331" s="142">
        <f>IFERROR(VLOOKUP($B1331,calc_data,I$14+1,0),0)</f>
        <v/>
      </c>
      <c r="J1331" s="141">
        <f>IFERROR(VLOOKUP($B1331,calc_data,J$14+1,0),0)</f>
        <v/>
      </c>
      <c r="K1331" s="141">
        <f>IFERROR(VLOOKUP($B1331,calc_data,K$14+1,0),0)</f>
        <v/>
      </c>
      <c r="L1331" s="141">
        <f>IFERROR(VLOOKUP($B1331,calc_data,L$14+1,0),0)</f>
        <v/>
      </c>
      <c r="M1331" s="177">
        <f>IFERROR(VLOOKUP($B1331,calc_data,M$14+1,0),0)</f>
        <v/>
      </c>
      <c r="N1331" s="177">
        <f>IFERROR(VLOOKUP($B1331,calc_data,N$14+1,0),0)</f>
        <v/>
      </c>
      <c r="O1331" s="45" t="n"/>
      <c r="Q1331" s="57">
        <f>IF(K1331&gt;0,"показать","скрыть")</f>
        <v/>
      </c>
    </row>
    <row r="1332" ht="15.75" customHeight="1">
      <c r="B1332" s="182" t="n">
        <v>1316</v>
      </c>
      <c r="C1332" s="182">
        <f>IFERROR(VLOOKUP($B1332,calc_data,C$14+1,0),0)</f>
        <v/>
      </c>
      <c r="D1332" s="182">
        <f>IFERROR(VLOOKUP($B1332,calc_data,D$14+1,0),0)</f>
        <v/>
      </c>
      <c r="E1332" s="183">
        <f>IFERROR(VLOOKUP($B1332,calc_data,E$14+1,0),0)</f>
        <v/>
      </c>
      <c r="F1332" s="182">
        <f>IFERROR(VLOOKUP($B1332,calc_data,F$14+1,0),0)</f>
        <v/>
      </c>
      <c r="G1332" s="141">
        <f>IFERROR(VLOOKUP($B1332,calc_data,G$14+1,0),0)</f>
        <v/>
      </c>
      <c r="H1332" s="141">
        <f>IFERROR(VLOOKUP($B1332,calc_data,H$14+1,0),0)</f>
        <v/>
      </c>
      <c r="I1332" s="142">
        <f>IFERROR(VLOOKUP($B1332,calc_data,I$14+1,0),0)</f>
        <v/>
      </c>
      <c r="J1332" s="141">
        <f>IFERROR(VLOOKUP($B1332,calc_data,J$14+1,0),0)</f>
        <v/>
      </c>
      <c r="K1332" s="141">
        <f>IFERROR(VLOOKUP($B1332,calc_data,K$14+1,0),0)</f>
        <v/>
      </c>
      <c r="L1332" s="141">
        <f>IFERROR(VLOOKUP($B1332,calc_data,L$14+1,0),0)</f>
        <v/>
      </c>
      <c r="M1332" s="177">
        <f>IFERROR(VLOOKUP($B1332,calc_data,M$14+1,0),0)</f>
        <v/>
      </c>
      <c r="N1332" s="177">
        <f>IFERROR(VLOOKUP($B1332,calc_data,N$14+1,0),0)</f>
        <v/>
      </c>
      <c r="O1332" s="45" t="n"/>
      <c r="Q1332" s="57">
        <f>IF(K1332&gt;0,"показать","скрыть")</f>
        <v/>
      </c>
    </row>
    <row r="1333" ht="15.75" customHeight="1">
      <c r="B1333" s="182" t="n">
        <v>1317</v>
      </c>
      <c r="C1333" s="182">
        <f>IFERROR(VLOOKUP($B1333,calc_data,C$14+1,0),0)</f>
        <v/>
      </c>
      <c r="D1333" s="182">
        <f>IFERROR(VLOOKUP($B1333,calc_data,D$14+1,0),0)</f>
        <v/>
      </c>
      <c r="E1333" s="183">
        <f>IFERROR(VLOOKUP($B1333,calc_data,E$14+1,0),0)</f>
        <v/>
      </c>
      <c r="F1333" s="182">
        <f>IFERROR(VLOOKUP($B1333,calc_data,F$14+1,0),0)</f>
        <v/>
      </c>
      <c r="G1333" s="141">
        <f>IFERROR(VLOOKUP($B1333,calc_data,G$14+1,0),0)</f>
        <v/>
      </c>
      <c r="H1333" s="141">
        <f>IFERROR(VLOOKUP($B1333,calc_data,H$14+1,0),0)</f>
        <v/>
      </c>
      <c r="I1333" s="142">
        <f>IFERROR(VLOOKUP($B1333,calc_data,I$14+1,0),0)</f>
        <v/>
      </c>
      <c r="J1333" s="141">
        <f>IFERROR(VLOOKUP($B1333,calc_data,J$14+1,0),0)</f>
        <v/>
      </c>
      <c r="K1333" s="141">
        <f>IFERROR(VLOOKUP($B1333,calc_data,K$14+1,0),0)</f>
        <v/>
      </c>
      <c r="L1333" s="141">
        <f>IFERROR(VLOOKUP($B1333,calc_data,L$14+1,0),0)</f>
        <v/>
      </c>
      <c r="M1333" s="177">
        <f>IFERROR(VLOOKUP($B1333,calc_data,M$14+1,0),0)</f>
        <v/>
      </c>
      <c r="N1333" s="177">
        <f>IFERROR(VLOOKUP($B1333,calc_data,N$14+1,0),0)</f>
        <v/>
      </c>
      <c r="O1333" s="45" t="n"/>
      <c r="Q1333" s="57">
        <f>IF(K1333&gt;0,"показать","скрыть")</f>
        <v/>
      </c>
    </row>
    <row r="1334" ht="15.75" customHeight="1">
      <c r="B1334" s="182" t="n">
        <v>1318</v>
      </c>
      <c r="C1334" s="182">
        <f>IFERROR(VLOOKUP($B1334,calc_data,C$14+1,0),0)</f>
        <v/>
      </c>
      <c r="D1334" s="182">
        <f>IFERROR(VLOOKUP($B1334,calc_data,D$14+1,0),0)</f>
        <v/>
      </c>
      <c r="E1334" s="183">
        <f>IFERROR(VLOOKUP($B1334,calc_data,E$14+1,0),0)</f>
        <v/>
      </c>
      <c r="F1334" s="182">
        <f>IFERROR(VLOOKUP($B1334,calc_data,F$14+1,0),0)</f>
        <v/>
      </c>
      <c r="G1334" s="141">
        <f>IFERROR(VLOOKUP($B1334,calc_data,G$14+1,0),0)</f>
        <v/>
      </c>
      <c r="H1334" s="141">
        <f>IFERROR(VLOOKUP($B1334,calc_data,H$14+1,0),0)</f>
        <v/>
      </c>
      <c r="I1334" s="142">
        <f>IFERROR(VLOOKUP($B1334,calc_data,I$14+1,0),0)</f>
        <v/>
      </c>
      <c r="J1334" s="141">
        <f>IFERROR(VLOOKUP($B1334,calc_data,J$14+1,0),0)</f>
        <v/>
      </c>
      <c r="K1334" s="141">
        <f>IFERROR(VLOOKUP($B1334,calc_data,K$14+1,0),0)</f>
        <v/>
      </c>
      <c r="L1334" s="141">
        <f>IFERROR(VLOOKUP($B1334,calc_data,L$14+1,0),0)</f>
        <v/>
      </c>
      <c r="M1334" s="177">
        <f>IFERROR(VLOOKUP($B1334,calc_data,M$14+1,0),0)</f>
        <v/>
      </c>
      <c r="N1334" s="177">
        <f>IFERROR(VLOOKUP($B1334,calc_data,N$14+1,0),0)</f>
        <v/>
      </c>
      <c r="O1334" s="45" t="n"/>
      <c r="Q1334" s="57">
        <f>IF(K1334&gt;0,"показать","скрыть")</f>
        <v/>
      </c>
    </row>
    <row r="1335" ht="15.75" customHeight="1">
      <c r="B1335" s="182" t="n">
        <v>1319</v>
      </c>
      <c r="C1335" s="182">
        <f>IFERROR(VLOOKUP($B1335,calc_data,C$14+1,0),0)</f>
        <v/>
      </c>
      <c r="D1335" s="182">
        <f>IFERROR(VLOOKUP($B1335,calc_data,D$14+1,0),0)</f>
        <v/>
      </c>
      <c r="E1335" s="183">
        <f>IFERROR(VLOOKUP($B1335,calc_data,E$14+1,0),0)</f>
        <v/>
      </c>
      <c r="F1335" s="182">
        <f>IFERROR(VLOOKUP($B1335,calc_data,F$14+1,0),0)</f>
        <v/>
      </c>
      <c r="G1335" s="141">
        <f>IFERROR(VLOOKUP($B1335,calc_data,G$14+1,0),0)</f>
        <v/>
      </c>
      <c r="H1335" s="141">
        <f>IFERROR(VLOOKUP($B1335,calc_data,H$14+1,0),0)</f>
        <v/>
      </c>
      <c r="I1335" s="142">
        <f>IFERROR(VLOOKUP($B1335,calc_data,I$14+1,0),0)</f>
        <v/>
      </c>
      <c r="J1335" s="141">
        <f>IFERROR(VLOOKUP($B1335,calc_data,J$14+1,0),0)</f>
        <v/>
      </c>
      <c r="K1335" s="141">
        <f>IFERROR(VLOOKUP($B1335,calc_data,K$14+1,0),0)</f>
        <v/>
      </c>
      <c r="L1335" s="141">
        <f>IFERROR(VLOOKUP($B1335,calc_data,L$14+1,0),0)</f>
        <v/>
      </c>
      <c r="M1335" s="177">
        <f>IFERROR(VLOOKUP($B1335,calc_data,M$14+1,0),0)</f>
        <v/>
      </c>
      <c r="N1335" s="177">
        <f>IFERROR(VLOOKUP($B1335,calc_data,N$14+1,0),0)</f>
        <v/>
      </c>
      <c r="O1335" s="45" t="n"/>
      <c r="Q1335" s="57">
        <f>IF(K1335&gt;0,"показать","скрыть")</f>
        <v/>
      </c>
    </row>
    <row r="1336" ht="15.75" customHeight="1">
      <c r="B1336" s="182" t="n">
        <v>1320</v>
      </c>
      <c r="C1336" s="182">
        <f>IFERROR(VLOOKUP($B1336,calc_data,C$14+1,0),0)</f>
        <v/>
      </c>
      <c r="D1336" s="182">
        <f>IFERROR(VLOOKUP($B1336,calc_data,D$14+1,0),0)</f>
        <v/>
      </c>
      <c r="E1336" s="183">
        <f>IFERROR(VLOOKUP($B1336,calc_data,E$14+1,0),0)</f>
        <v/>
      </c>
      <c r="F1336" s="182">
        <f>IFERROR(VLOOKUP($B1336,calc_data,F$14+1,0),0)</f>
        <v/>
      </c>
      <c r="G1336" s="141">
        <f>IFERROR(VLOOKUP($B1336,calc_data,G$14+1,0),0)</f>
        <v/>
      </c>
      <c r="H1336" s="141">
        <f>IFERROR(VLOOKUP($B1336,calc_data,H$14+1,0),0)</f>
        <v/>
      </c>
      <c r="I1336" s="142">
        <f>IFERROR(VLOOKUP($B1336,calc_data,I$14+1,0),0)</f>
        <v/>
      </c>
      <c r="J1336" s="141">
        <f>IFERROR(VLOOKUP($B1336,calc_data,J$14+1,0),0)</f>
        <v/>
      </c>
      <c r="K1336" s="141">
        <f>IFERROR(VLOOKUP($B1336,calc_data,K$14+1,0),0)</f>
        <v/>
      </c>
      <c r="L1336" s="141">
        <f>IFERROR(VLOOKUP($B1336,calc_data,L$14+1,0),0)</f>
        <v/>
      </c>
      <c r="M1336" s="177">
        <f>IFERROR(VLOOKUP($B1336,calc_data,M$14+1,0),0)</f>
        <v/>
      </c>
      <c r="N1336" s="177">
        <f>IFERROR(VLOOKUP($B1336,calc_data,N$14+1,0),0)</f>
        <v/>
      </c>
      <c r="O1336" s="45" t="n"/>
      <c r="Q1336" s="57">
        <f>IF(K1336&gt;0,"показать","скрыть")</f>
        <v/>
      </c>
    </row>
    <row r="1337" ht="15.75" customHeight="1">
      <c r="B1337" s="182" t="n">
        <v>1321</v>
      </c>
      <c r="C1337" s="182">
        <f>IFERROR(VLOOKUP($B1337,calc_data,C$14+1,0),0)</f>
        <v/>
      </c>
      <c r="D1337" s="182">
        <f>IFERROR(VLOOKUP($B1337,calc_data,D$14+1,0),0)</f>
        <v/>
      </c>
      <c r="E1337" s="183">
        <f>IFERROR(VLOOKUP($B1337,calc_data,E$14+1,0),0)</f>
        <v/>
      </c>
      <c r="F1337" s="182">
        <f>IFERROR(VLOOKUP($B1337,calc_data,F$14+1,0),0)</f>
        <v/>
      </c>
      <c r="G1337" s="141">
        <f>IFERROR(VLOOKUP($B1337,calc_data,G$14+1,0),0)</f>
        <v/>
      </c>
      <c r="H1337" s="141">
        <f>IFERROR(VLOOKUP($B1337,calc_data,H$14+1,0),0)</f>
        <v/>
      </c>
      <c r="I1337" s="142">
        <f>IFERROR(VLOOKUP($B1337,calc_data,I$14+1,0),0)</f>
        <v/>
      </c>
      <c r="J1337" s="141">
        <f>IFERROR(VLOOKUP($B1337,calc_data,J$14+1,0),0)</f>
        <v/>
      </c>
      <c r="K1337" s="141">
        <f>IFERROR(VLOOKUP($B1337,calc_data,K$14+1,0),0)</f>
        <v/>
      </c>
      <c r="L1337" s="141">
        <f>IFERROR(VLOOKUP($B1337,calc_data,L$14+1,0),0)</f>
        <v/>
      </c>
      <c r="M1337" s="177">
        <f>IFERROR(VLOOKUP($B1337,calc_data,M$14+1,0),0)</f>
        <v/>
      </c>
      <c r="N1337" s="177">
        <f>IFERROR(VLOOKUP($B1337,calc_data,N$14+1,0),0)</f>
        <v/>
      </c>
      <c r="O1337" s="45" t="n"/>
      <c r="Q1337" s="57">
        <f>IF(K1337&gt;0,"показать","скрыть")</f>
        <v/>
      </c>
    </row>
    <row r="1338" ht="15.75" customHeight="1">
      <c r="B1338" s="182" t="n">
        <v>1322</v>
      </c>
      <c r="C1338" s="182">
        <f>IFERROR(VLOOKUP($B1338,calc_data,C$14+1,0),0)</f>
        <v/>
      </c>
      <c r="D1338" s="182">
        <f>IFERROR(VLOOKUP($B1338,calc_data,D$14+1,0),0)</f>
        <v/>
      </c>
      <c r="E1338" s="183">
        <f>IFERROR(VLOOKUP($B1338,calc_data,E$14+1,0),0)</f>
        <v/>
      </c>
      <c r="F1338" s="182">
        <f>IFERROR(VLOOKUP($B1338,calc_data,F$14+1,0),0)</f>
        <v/>
      </c>
      <c r="G1338" s="141">
        <f>IFERROR(VLOOKUP($B1338,calc_data,G$14+1,0),0)</f>
        <v/>
      </c>
      <c r="H1338" s="141">
        <f>IFERROR(VLOOKUP($B1338,calc_data,H$14+1,0),0)</f>
        <v/>
      </c>
      <c r="I1338" s="142">
        <f>IFERROR(VLOOKUP($B1338,calc_data,I$14+1,0),0)</f>
        <v/>
      </c>
      <c r="J1338" s="141">
        <f>IFERROR(VLOOKUP($B1338,calc_data,J$14+1,0),0)</f>
        <v/>
      </c>
      <c r="K1338" s="141">
        <f>IFERROR(VLOOKUP($B1338,calc_data,K$14+1,0),0)</f>
        <v/>
      </c>
      <c r="L1338" s="141">
        <f>IFERROR(VLOOKUP($B1338,calc_data,L$14+1,0),0)</f>
        <v/>
      </c>
      <c r="M1338" s="177">
        <f>IFERROR(VLOOKUP($B1338,calc_data,M$14+1,0),0)</f>
        <v/>
      </c>
      <c r="N1338" s="177">
        <f>IFERROR(VLOOKUP($B1338,calc_data,N$14+1,0),0)</f>
        <v/>
      </c>
      <c r="O1338" s="45" t="n"/>
      <c r="Q1338" s="57">
        <f>IF(K1338&gt;0,"показать","скрыть")</f>
        <v/>
      </c>
    </row>
    <row r="1339" ht="15.75" customHeight="1">
      <c r="B1339" s="182" t="n">
        <v>1323</v>
      </c>
      <c r="C1339" s="182">
        <f>IFERROR(VLOOKUP($B1339,calc_data,C$14+1,0),0)</f>
        <v/>
      </c>
      <c r="D1339" s="182">
        <f>IFERROR(VLOOKUP($B1339,calc_data,D$14+1,0),0)</f>
        <v/>
      </c>
      <c r="E1339" s="183">
        <f>IFERROR(VLOOKUP($B1339,calc_data,E$14+1,0),0)</f>
        <v/>
      </c>
      <c r="F1339" s="182">
        <f>IFERROR(VLOOKUP($B1339,calc_data,F$14+1,0),0)</f>
        <v/>
      </c>
      <c r="G1339" s="141">
        <f>IFERROR(VLOOKUP($B1339,calc_data,G$14+1,0),0)</f>
        <v/>
      </c>
      <c r="H1339" s="141">
        <f>IFERROR(VLOOKUP($B1339,calc_data,H$14+1,0),0)</f>
        <v/>
      </c>
      <c r="I1339" s="142">
        <f>IFERROR(VLOOKUP($B1339,calc_data,I$14+1,0),0)</f>
        <v/>
      </c>
      <c r="J1339" s="141">
        <f>IFERROR(VLOOKUP($B1339,calc_data,J$14+1,0),0)</f>
        <v/>
      </c>
      <c r="K1339" s="141">
        <f>IFERROR(VLOOKUP($B1339,calc_data,K$14+1,0),0)</f>
        <v/>
      </c>
      <c r="L1339" s="141">
        <f>IFERROR(VLOOKUP($B1339,calc_data,L$14+1,0),0)</f>
        <v/>
      </c>
      <c r="M1339" s="177">
        <f>IFERROR(VLOOKUP($B1339,calc_data,M$14+1,0),0)</f>
        <v/>
      </c>
      <c r="N1339" s="177">
        <f>IFERROR(VLOOKUP($B1339,calc_data,N$14+1,0),0)</f>
        <v/>
      </c>
      <c r="O1339" s="45" t="n"/>
      <c r="Q1339" s="57">
        <f>IF(K1339&gt;0,"показать","скрыть")</f>
        <v/>
      </c>
    </row>
    <row r="1340" ht="15.75" customHeight="1">
      <c r="B1340" s="182" t="n">
        <v>1324</v>
      </c>
      <c r="C1340" s="182">
        <f>IFERROR(VLOOKUP($B1340,calc_data,C$14+1,0),0)</f>
        <v/>
      </c>
      <c r="D1340" s="182">
        <f>IFERROR(VLOOKUP($B1340,calc_data,D$14+1,0),0)</f>
        <v/>
      </c>
      <c r="E1340" s="183">
        <f>IFERROR(VLOOKUP($B1340,calc_data,E$14+1,0),0)</f>
        <v/>
      </c>
      <c r="F1340" s="182">
        <f>IFERROR(VLOOKUP($B1340,calc_data,F$14+1,0),0)</f>
        <v/>
      </c>
      <c r="G1340" s="141">
        <f>IFERROR(VLOOKUP($B1340,calc_data,G$14+1,0),0)</f>
        <v/>
      </c>
      <c r="H1340" s="141">
        <f>IFERROR(VLOOKUP($B1340,calc_data,H$14+1,0),0)</f>
        <v/>
      </c>
      <c r="I1340" s="142">
        <f>IFERROR(VLOOKUP($B1340,calc_data,I$14+1,0),0)</f>
        <v/>
      </c>
      <c r="J1340" s="141">
        <f>IFERROR(VLOOKUP($B1340,calc_data,J$14+1,0),0)</f>
        <v/>
      </c>
      <c r="K1340" s="141">
        <f>IFERROR(VLOOKUP($B1340,calc_data,K$14+1,0),0)</f>
        <v/>
      </c>
      <c r="L1340" s="141">
        <f>IFERROR(VLOOKUP($B1340,calc_data,L$14+1,0),0)</f>
        <v/>
      </c>
      <c r="M1340" s="177">
        <f>IFERROR(VLOOKUP($B1340,calc_data,M$14+1,0),0)</f>
        <v/>
      </c>
      <c r="N1340" s="177">
        <f>IFERROR(VLOOKUP($B1340,calc_data,N$14+1,0),0)</f>
        <v/>
      </c>
      <c r="O1340" s="45" t="n"/>
      <c r="Q1340" s="57">
        <f>IF(K1340&gt;0,"показать","скрыть")</f>
        <v/>
      </c>
    </row>
    <row r="1341" ht="15.75" customHeight="1">
      <c r="B1341" s="182" t="n">
        <v>1325</v>
      </c>
      <c r="C1341" s="182">
        <f>IFERROR(VLOOKUP($B1341,calc_data,C$14+1,0),0)</f>
        <v/>
      </c>
      <c r="D1341" s="182">
        <f>IFERROR(VLOOKUP($B1341,calc_data,D$14+1,0),0)</f>
        <v/>
      </c>
      <c r="E1341" s="183">
        <f>IFERROR(VLOOKUP($B1341,calc_data,E$14+1,0),0)</f>
        <v/>
      </c>
      <c r="F1341" s="182">
        <f>IFERROR(VLOOKUP($B1341,calc_data,F$14+1,0),0)</f>
        <v/>
      </c>
      <c r="G1341" s="141">
        <f>IFERROR(VLOOKUP($B1341,calc_data,G$14+1,0),0)</f>
        <v/>
      </c>
      <c r="H1341" s="141">
        <f>IFERROR(VLOOKUP($B1341,calc_data,H$14+1,0),0)</f>
        <v/>
      </c>
      <c r="I1341" s="142">
        <f>IFERROR(VLOOKUP($B1341,calc_data,I$14+1,0),0)</f>
        <v/>
      </c>
      <c r="J1341" s="141">
        <f>IFERROR(VLOOKUP($B1341,calc_data,J$14+1,0),0)</f>
        <v/>
      </c>
      <c r="K1341" s="141">
        <f>IFERROR(VLOOKUP($B1341,calc_data,K$14+1,0),0)</f>
        <v/>
      </c>
      <c r="L1341" s="141">
        <f>IFERROR(VLOOKUP($B1341,calc_data,L$14+1,0),0)</f>
        <v/>
      </c>
      <c r="M1341" s="177">
        <f>IFERROR(VLOOKUP($B1341,calc_data,M$14+1,0),0)</f>
        <v/>
      </c>
      <c r="N1341" s="177">
        <f>IFERROR(VLOOKUP($B1341,calc_data,N$14+1,0),0)</f>
        <v/>
      </c>
      <c r="O1341" s="45" t="n"/>
      <c r="Q1341" s="57">
        <f>IF(K1341&gt;0,"показать","скрыть")</f>
        <v/>
      </c>
    </row>
    <row r="1342" ht="15.75" customHeight="1">
      <c r="B1342" s="182" t="n">
        <v>1326</v>
      </c>
      <c r="C1342" s="182">
        <f>IFERROR(VLOOKUP($B1342,calc_data,C$14+1,0),0)</f>
        <v/>
      </c>
      <c r="D1342" s="182">
        <f>IFERROR(VLOOKUP($B1342,calc_data,D$14+1,0),0)</f>
        <v/>
      </c>
      <c r="E1342" s="183">
        <f>IFERROR(VLOOKUP($B1342,calc_data,E$14+1,0),0)</f>
        <v/>
      </c>
      <c r="F1342" s="182">
        <f>IFERROR(VLOOKUP($B1342,calc_data,F$14+1,0),0)</f>
        <v/>
      </c>
      <c r="G1342" s="141">
        <f>IFERROR(VLOOKUP($B1342,calc_data,G$14+1,0),0)</f>
        <v/>
      </c>
      <c r="H1342" s="141">
        <f>IFERROR(VLOOKUP($B1342,calc_data,H$14+1,0),0)</f>
        <v/>
      </c>
      <c r="I1342" s="142">
        <f>IFERROR(VLOOKUP($B1342,calc_data,I$14+1,0),0)</f>
        <v/>
      </c>
      <c r="J1342" s="141">
        <f>IFERROR(VLOOKUP($B1342,calc_data,J$14+1,0),0)</f>
        <v/>
      </c>
      <c r="K1342" s="141">
        <f>IFERROR(VLOOKUP($B1342,calc_data,K$14+1,0),0)</f>
        <v/>
      </c>
      <c r="L1342" s="141">
        <f>IFERROR(VLOOKUP($B1342,calc_data,L$14+1,0),0)</f>
        <v/>
      </c>
      <c r="M1342" s="177">
        <f>IFERROR(VLOOKUP($B1342,calc_data,M$14+1,0),0)</f>
        <v/>
      </c>
      <c r="N1342" s="177">
        <f>IFERROR(VLOOKUP($B1342,calc_data,N$14+1,0),0)</f>
        <v/>
      </c>
      <c r="O1342" s="45" t="n"/>
      <c r="Q1342" s="57">
        <f>IF(K1342&gt;0,"показать","скрыть")</f>
        <v/>
      </c>
    </row>
    <row r="1343" ht="15.75" customHeight="1">
      <c r="B1343" s="182" t="n">
        <v>1327</v>
      </c>
      <c r="C1343" s="182">
        <f>IFERROR(VLOOKUP($B1343,calc_data,C$14+1,0),0)</f>
        <v/>
      </c>
      <c r="D1343" s="182">
        <f>IFERROR(VLOOKUP($B1343,calc_data,D$14+1,0),0)</f>
        <v/>
      </c>
      <c r="E1343" s="183">
        <f>IFERROR(VLOOKUP($B1343,calc_data,E$14+1,0),0)</f>
        <v/>
      </c>
      <c r="F1343" s="182">
        <f>IFERROR(VLOOKUP($B1343,calc_data,F$14+1,0),0)</f>
        <v/>
      </c>
      <c r="G1343" s="141">
        <f>IFERROR(VLOOKUP($B1343,calc_data,G$14+1,0),0)</f>
        <v/>
      </c>
      <c r="H1343" s="141">
        <f>IFERROR(VLOOKUP($B1343,calc_data,H$14+1,0),0)</f>
        <v/>
      </c>
      <c r="I1343" s="142">
        <f>IFERROR(VLOOKUP($B1343,calc_data,I$14+1,0),0)</f>
        <v/>
      </c>
      <c r="J1343" s="141">
        <f>IFERROR(VLOOKUP($B1343,calc_data,J$14+1,0),0)</f>
        <v/>
      </c>
      <c r="K1343" s="141">
        <f>IFERROR(VLOOKUP($B1343,calc_data,K$14+1,0),0)</f>
        <v/>
      </c>
      <c r="L1343" s="141">
        <f>IFERROR(VLOOKUP($B1343,calc_data,L$14+1,0),0)</f>
        <v/>
      </c>
      <c r="M1343" s="177">
        <f>IFERROR(VLOOKUP($B1343,calc_data,M$14+1,0),0)</f>
        <v/>
      </c>
      <c r="N1343" s="177">
        <f>IFERROR(VLOOKUP($B1343,calc_data,N$14+1,0),0)</f>
        <v/>
      </c>
      <c r="O1343" s="45" t="n"/>
      <c r="Q1343" s="57">
        <f>IF(K1343&gt;0,"показать","скрыть")</f>
        <v/>
      </c>
    </row>
    <row r="1344" ht="15.75" customHeight="1">
      <c r="B1344" s="182" t="n">
        <v>1328</v>
      </c>
      <c r="C1344" s="182">
        <f>IFERROR(VLOOKUP($B1344,calc_data,C$14+1,0),0)</f>
        <v/>
      </c>
      <c r="D1344" s="182">
        <f>IFERROR(VLOOKUP($B1344,calc_data,D$14+1,0),0)</f>
        <v/>
      </c>
      <c r="E1344" s="183">
        <f>IFERROR(VLOOKUP($B1344,calc_data,E$14+1,0),0)</f>
        <v/>
      </c>
      <c r="F1344" s="182">
        <f>IFERROR(VLOOKUP($B1344,calc_data,F$14+1,0),0)</f>
        <v/>
      </c>
      <c r="G1344" s="141">
        <f>IFERROR(VLOOKUP($B1344,calc_data,G$14+1,0),0)</f>
        <v/>
      </c>
      <c r="H1344" s="141">
        <f>IFERROR(VLOOKUP($B1344,calc_data,H$14+1,0),0)</f>
        <v/>
      </c>
      <c r="I1344" s="142">
        <f>IFERROR(VLOOKUP($B1344,calc_data,I$14+1,0),0)</f>
        <v/>
      </c>
      <c r="J1344" s="141">
        <f>IFERROR(VLOOKUP($B1344,calc_data,J$14+1,0),0)</f>
        <v/>
      </c>
      <c r="K1344" s="141">
        <f>IFERROR(VLOOKUP($B1344,calc_data,K$14+1,0),0)</f>
        <v/>
      </c>
      <c r="L1344" s="141">
        <f>IFERROR(VLOOKUP($B1344,calc_data,L$14+1,0),0)</f>
        <v/>
      </c>
      <c r="M1344" s="177">
        <f>IFERROR(VLOOKUP($B1344,calc_data,M$14+1,0),0)</f>
        <v/>
      </c>
      <c r="N1344" s="177">
        <f>IFERROR(VLOOKUP($B1344,calc_data,N$14+1,0),0)</f>
        <v/>
      </c>
      <c r="O1344" s="45" t="n"/>
      <c r="Q1344" s="57">
        <f>IF(K1344&gt;0,"показать","скрыть")</f>
        <v/>
      </c>
    </row>
    <row r="1345" ht="15.75" customHeight="1">
      <c r="B1345" s="182" t="n">
        <v>1329</v>
      </c>
      <c r="C1345" s="182">
        <f>IFERROR(VLOOKUP($B1345,calc_data,C$14+1,0),0)</f>
        <v/>
      </c>
      <c r="D1345" s="182">
        <f>IFERROR(VLOOKUP($B1345,calc_data,D$14+1,0),0)</f>
        <v/>
      </c>
      <c r="E1345" s="183">
        <f>IFERROR(VLOOKUP($B1345,calc_data,E$14+1,0),0)</f>
        <v/>
      </c>
      <c r="F1345" s="182">
        <f>IFERROR(VLOOKUP($B1345,calc_data,F$14+1,0),0)</f>
        <v/>
      </c>
      <c r="G1345" s="141">
        <f>IFERROR(VLOOKUP($B1345,calc_data,G$14+1,0),0)</f>
        <v/>
      </c>
      <c r="H1345" s="141">
        <f>IFERROR(VLOOKUP($B1345,calc_data,H$14+1,0),0)</f>
        <v/>
      </c>
      <c r="I1345" s="142">
        <f>IFERROR(VLOOKUP($B1345,calc_data,I$14+1,0),0)</f>
        <v/>
      </c>
      <c r="J1345" s="141">
        <f>IFERROR(VLOOKUP($B1345,calc_data,J$14+1,0),0)</f>
        <v/>
      </c>
      <c r="K1345" s="141">
        <f>IFERROR(VLOOKUP($B1345,calc_data,K$14+1,0),0)</f>
        <v/>
      </c>
      <c r="L1345" s="141">
        <f>IFERROR(VLOOKUP($B1345,calc_data,L$14+1,0),0)</f>
        <v/>
      </c>
      <c r="M1345" s="177">
        <f>IFERROR(VLOOKUP($B1345,calc_data,M$14+1,0),0)</f>
        <v/>
      </c>
      <c r="N1345" s="177">
        <f>IFERROR(VLOOKUP($B1345,calc_data,N$14+1,0),0)</f>
        <v/>
      </c>
      <c r="O1345" s="45" t="n"/>
      <c r="Q1345" s="57">
        <f>IF(K1345&gt;0,"показать","скрыть")</f>
        <v/>
      </c>
    </row>
    <row r="1346" ht="15.75" customHeight="1">
      <c r="B1346" s="182" t="n">
        <v>1330</v>
      </c>
      <c r="C1346" s="182">
        <f>IFERROR(VLOOKUP($B1346,calc_data,C$14+1,0),0)</f>
        <v/>
      </c>
      <c r="D1346" s="182">
        <f>IFERROR(VLOOKUP($B1346,calc_data,D$14+1,0),0)</f>
        <v/>
      </c>
      <c r="E1346" s="183">
        <f>IFERROR(VLOOKUP($B1346,calc_data,E$14+1,0),0)</f>
        <v/>
      </c>
      <c r="F1346" s="182">
        <f>IFERROR(VLOOKUP($B1346,calc_data,F$14+1,0),0)</f>
        <v/>
      </c>
      <c r="G1346" s="141">
        <f>IFERROR(VLOOKUP($B1346,calc_data,G$14+1,0),0)</f>
        <v/>
      </c>
      <c r="H1346" s="141">
        <f>IFERROR(VLOOKUP($B1346,calc_data,H$14+1,0),0)</f>
        <v/>
      </c>
      <c r="I1346" s="142">
        <f>IFERROR(VLOOKUP($B1346,calc_data,I$14+1,0),0)</f>
        <v/>
      </c>
      <c r="J1346" s="141">
        <f>IFERROR(VLOOKUP($B1346,calc_data,J$14+1,0),0)</f>
        <v/>
      </c>
      <c r="K1346" s="141">
        <f>IFERROR(VLOOKUP($B1346,calc_data,K$14+1,0),0)</f>
        <v/>
      </c>
      <c r="L1346" s="141">
        <f>IFERROR(VLOOKUP($B1346,calc_data,L$14+1,0),0)</f>
        <v/>
      </c>
      <c r="M1346" s="177">
        <f>IFERROR(VLOOKUP($B1346,calc_data,M$14+1,0),0)</f>
        <v/>
      </c>
      <c r="N1346" s="177">
        <f>IFERROR(VLOOKUP($B1346,calc_data,N$14+1,0),0)</f>
        <v/>
      </c>
      <c r="O1346" s="45" t="n"/>
      <c r="Q1346" s="57">
        <f>IF(K1346&gt;0,"показать","скрыть")</f>
        <v/>
      </c>
    </row>
    <row r="1347" ht="15.75" customHeight="1">
      <c r="B1347" s="182" t="n">
        <v>1331</v>
      </c>
      <c r="C1347" s="182">
        <f>IFERROR(VLOOKUP($B1347,calc_data,C$14+1,0),0)</f>
        <v/>
      </c>
      <c r="D1347" s="182">
        <f>IFERROR(VLOOKUP($B1347,calc_data,D$14+1,0),0)</f>
        <v/>
      </c>
      <c r="E1347" s="183">
        <f>IFERROR(VLOOKUP($B1347,calc_data,E$14+1,0),0)</f>
        <v/>
      </c>
      <c r="F1347" s="182">
        <f>IFERROR(VLOOKUP($B1347,calc_data,F$14+1,0),0)</f>
        <v/>
      </c>
      <c r="G1347" s="141">
        <f>IFERROR(VLOOKUP($B1347,calc_data,G$14+1,0),0)</f>
        <v/>
      </c>
      <c r="H1347" s="141">
        <f>IFERROR(VLOOKUP($B1347,calc_data,H$14+1,0),0)</f>
        <v/>
      </c>
      <c r="I1347" s="142">
        <f>IFERROR(VLOOKUP($B1347,calc_data,I$14+1,0),0)</f>
        <v/>
      </c>
      <c r="J1347" s="141">
        <f>IFERROR(VLOOKUP($B1347,calc_data,J$14+1,0),0)</f>
        <v/>
      </c>
      <c r="K1347" s="141">
        <f>IFERROR(VLOOKUP($B1347,calc_data,K$14+1,0),0)</f>
        <v/>
      </c>
      <c r="L1347" s="141">
        <f>IFERROR(VLOOKUP($B1347,calc_data,L$14+1,0),0)</f>
        <v/>
      </c>
      <c r="M1347" s="177">
        <f>IFERROR(VLOOKUP($B1347,calc_data,M$14+1,0),0)</f>
        <v/>
      </c>
      <c r="N1347" s="177">
        <f>IFERROR(VLOOKUP($B1347,calc_data,N$14+1,0),0)</f>
        <v/>
      </c>
      <c r="O1347" s="45" t="n"/>
      <c r="Q1347" s="57">
        <f>IF(K1347&gt;0,"показать","скрыть")</f>
        <v/>
      </c>
    </row>
    <row r="1348" ht="15.75" customHeight="1">
      <c r="B1348" s="182" t="n">
        <v>1332</v>
      </c>
      <c r="C1348" s="182">
        <f>IFERROR(VLOOKUP($B1348,calc_data,C$14+1,0),0)</f>
        <v/>
      </c>
      <c r="D1348" s="182">
        <f>IFERROR(VLOOKUP($B1348,calc_data,D$14+1,0),0)</f>
        <v/>
      </c>
      <c r="E1348" s="183">
        <f>IFERROR(VLOOKUP($B1348,calc_data,E$14+1,0),0)</f>
        <v/>
      </c>
      <c r="F1348" s="182">
        <f>IFERROR(VLOOKUP($B1348,calc_data,F$14+1,0),0)</f>
        <v/>
      </c>
      <c r="G1348" s="141">
        <f>IFERROR(VLOOKUP($B1348,calc_data,G$14+1,0),0)</f>
        <v/>
      </c>
      <c r="H1348" s="141">
        <f>IFERROR(VLOOKUP($B1348,calc_data,H$14+1,0),0)</f>
        <v/>
      </c>
      <c r="I1348" s="142">
        <f>IFERROR(VLOOKUP($B1348,calc_data,I$14+1,0),0)</f>
        <v/>
      </c>
      <c r="J1348" s="141">
        <f>IFERROR(VLOOKUP($B1348,calc_data,J$14+1,0),0)</f>
        <v/>
      </c>
      <c r="K1348" s="141">
        <f>IFERROR(VLOOKUP($B1348,calc_data,K$14+1,0),0)</f>
        <v/>
      </c>
      <c r="L1348" s="141">
        <f>IFERROR(VLOOKUP($B1348,calc_data,L$14+1,0),0)</f>
        <v/>
      </c>
      <c r="M1348" s="177">
        <f>IFERROR(VLOOKUP($B1348,calc_data,M$14+1,0),0)</f>
        <v/>
      </c>
      <c r="N1348" s="177">
        <f>IFERROR(VLOOKUP($B1348,calc_data,N$14+1,0),0)</f>
        <v/>
      </c>
      <c r="O1348" s="45" t="n"/>
      <c r="Q1348" s="57">
        <f>IF(K1348&gt;0,"показать","скрыть")</f>
        <v/>
      </c>
    </row>
    <row r="1349" ht="15.75" customHeight="1">
      <c r="B1349" s="182" t="n">
        <v>1333</v>
      </c>
      <c r="C1349" s="182">
        <f>IFERROR(VLOOKUP($B1349,calc_data,C$14+1,0),0)</f>
        <v/>
      </c>
      <c r="D1349" s="182">
        <f>IFERROR(VLOOKUP($B1349,calc_data,D$14+1,0),0)</f>
        <v/>
      </c>
      <c r="E1349" s="183">
        <f>IFERROR(VLOOKUP($B1349,calc_data,E$14+1,0),0)</f>
        <v/>
      </c>
      <c r="F1349" s="182">
        <f>IFERROR(VLOOKUP($B1349,calc_data,F$14+1,0),0)</f>
        <v/>
      </c>
      <c r="G1349" s="141">
        <f>IFERROR(VLOOKUP($B1349,calc_data,G$14+1,0),0)</f>
        <v/>
      </c>
      <c r="H1349" s="141">
        <f>IFERROR(VLOOKUP($B1349,calc_data,H$14+1,0),0)</f>
        <v/>
      </c>
      <c r="I1349" s="142">
        <f>IFERROR(VLOOKUP($B1349,calc_data,I$14+1,0),0)</f>
        <v/>
      </c>
      <c r="J1349" s="141">
        <f>IFERROR(VLOOKUP($B1349,calc_data,J$14+1,0),0)</f>
        <v/>
      </c>
      <c r="K1349" s="141">
        <f>IFERROR(VLOOKUP($B1349,calc_data,K$14+1,0),0)</f>
        <v/>
      </c>
      <c r="L1349" s="141">
        <f>IFERROR(VLOOKUP($B1349,calc_data,L$14+1,0),0)</f>
        <v/>
      </c>
      <c r="M1349" s="177">
        <f>IFERROR(VLOOKUP($B1349,calc_data,M$14+1,0),0)</f>
        <v/>
      </c>
      <c r="N1349" s="177">
        <f>IFERROR(VLOOKUP($B1349,calc_data,N$14+1,0),0)</f>
        <v/>
      </c>
      <c r="O1349" s="45" t="n"/>
      <c r="Q1349" s="57">
        <f>IF(K1349&gt;0,"показать","скрыть")</f>
        <v/>
      </c>
    </row>
    <row r="1350" ht="15.75" customHeight="1">
      <c r="B1350" s="182" t="n">
        <v>1334</v>
      </c>
      <c r="C1350" s="182">
        <f>IFERROR(VLOOKUP($B1350,calc_data,C$14+1,0),0)</f>
        <v/>
      </c>
      <c r="D1350" s="182">
        <f>IFERROR(VLOOKUP($B1350,calc_data,D$14+1,0),0)</f>
        <v/>
      </c>
      <c r="E1350" s="183">
        <f>IFERROR(VLOOKUP($B1350,calc_data,E$14+1,0),0)</f>
        <v/>
      </c>
      <c r="F1350" s="182">
        <f>IFERROR(VLOOKUP($B1350,calc_data,F$14+1,0),0)</f>
        <v/>
      </c>
      <c r="G1350" s="141">
        <f>IFERROR(VLOOKUP($B1350,calc_data,G$14+1,0),0)</f>
        <v/>
      </c>
      <c r="H1350" s="141">
        <f>IFERROR(VLOOKUP($B1350,calc_data,H$14+1,0),0)</f>
        <v/>
      </c>
      <c r="I1350" s="142">
        <f>IFERROR(VLOOKUP($B1350,calc_data,I$14+1,0),0)</f>
        <v/>
      </c>
      <c r="J1350" s="141">
        <f>IFERROR(VLOOKUP($B1350,calc_data,J$14+1,0),0)</f>
        <v/>
      </c>
      <c r="K1350" s="141">
        <f>IFERROR(VLOOKUP($B1350,calc_data,K$14+1,0),0)</f>
        <v/>
      </c>
      <c r="L1350" s="141">
        <f>IFERROR(VLOOKUP($B1350,calc_data,L$14+1,0),0)</f>
        <v/>
      </c>
      <c r="M1350" s="177">
        <f>IFERROR(VLOOKUP($B1350,calc_data,M$14+1,0),0)</f>
        <v/>
      </c>
      <c r="N1350" s="177">
        <f>IFERROR(VLOOKUP($B1350,calc_data,N$14+1,0),0)</f>
        <v/>
      </c>
      <c r="O1350" s="45" t="n"/>
      <c r="Q1350" s="57">
        <f>IF(K1350&gt;0,"показать","скрыть")</f>
        <v/>
      </c>
    </row>
    <row r="1351" ht="15.75" customHeight="1">
      <c r="B1351" s="182" t="n">
        <v>1335</v>
      </c>
      <c r="C1351" s="182">
        <f>IFERROR(VLOOKUP($B1351,calc_data,C$14+1,0),0)</f>
        <v/>
      </c>
      <c r="D1351" s="182">
        <f>IFERROR(VLOOKUP($B1351,calc_data,D$14+1,0),0)</f>
        <v/>
      </c>
      <c r="E1351" s="183">
        <f>IFERROR(VLOOKUP($B1351,calc_data,E$14+1,0),0)</f>
        <v/>
      </c>
      <c r="F1351" s="182">
        <f>IFERROR(VLOOKUP($B1351,calc_data,F$14+1,0),0)</f>
        <v/>
      </c>
      <c r="G1351" s="141">
        <f>IFERROR(VLOOKUP($B1351,calc_data,G$14+1,0),0)</f>
        <v/>
      </c>
      <c r="H1351" s="141">
        <f>IFERROR(VLOOKUP($B1351,calc_data,H$14+1,0),0)</f>
        <v/>
      </c>
      <c r="I1351" s="142">
        <f>IFERROR(VLOOKUP($B1351,calc_data,I$14+1,0),0)</f>
        <v/>
      </c>
      <c r="J1351" s="141">
        <f>IFERROR(VLOOKUP($B1351,calc_data,J$14+1,0),0)</f>
        <v/>
      </c>
      <c r="K1351" s="141">
        <f>IFERROR(VLOOKUP($B1351,calc_data,K$14+1,0),0)</f>
        <v/>
      </c>
      <c r="L1351" s="141">
        <f>IFERROR(VLOOKUP($B1351,calc_data,L$14+1,0),0)</f>
        <v/>
      </c>
      <c r="M1351" s="177">
        <f>IFERROR(VLOOKUP($B1351,calc_data,M$14+1,0),0)</f>
        <v/>
      </c>
      <c r="N1351" s="177">
        <f>IFERROR(VLOOKUP($B1351,calc_data,N$14+1,0),0)</f>
        <v/>
      </c>
      <c r="O1351" s="45" t="n"/>
      <c r="Q1351" s="57">
        <f>IF(K1351&gt;0,"показать","скрыть")</f>
        <v/>
      </c>
    </row>
    <row r="1352" ht="15.75" customHeight="1">
      <c r="B1352" s="182" t="n">
        <v>1336</v>
      </c>
      <c r="C1352" s="182">
        <f>IFERROR(VLOOKUP($B1352,calc_data,C$14+1,0),0)</f>
        <v/>
      </c>
      <c r="D1352" s="182">
        <f>IFERROR(VLOOKUP($B1352,calc_data,D$14+1,0),0)</f>
        <v/>
      </c>
      <c r="E1352" s="183">
        <f>IFERROR(VLOOKUP($B1352,calc_data,E$14+1,0),0)</f>
        <v/>
      </c>
      <c r="F1352" s="182">
        <f>IFERROR(VLOOKUP($B1352,calc_data,F$14+1,0),0)</f>
        <v/>
      </c>
      <c r="G1352" s="141">
        <f>IFERROR(VLOOKUP($B1352,calc_data,G$14+1,0),0)</f>
        <v/>
      </c>
      <c r="H1352" s="141">
        <f>IFERROR(VLOOKUP($B1352,calc_data,H$14+1,0),0)</f>
        <v/>
      </c>
      <c r="I1352" s="142">
        <f>IFERROR(VLOOKUP($B1352,calc_data,I$14+1,0),0)</f>
        <v/>
      </c>
      <c r="J1352" s="141">
        <f>IFERROR(VLOOKUP($B1352,calc_data,J$14+1,0),0)</f>
        <v/>
      </c>
      <c r="K1352" s="141">
        <f>IFERROR(VLOOKUP($B1352,calc_data,K$14+1,0),0)</f>
        <v/>
      </c>
      <c r="L1352" s="141">
        <f>IFERROR(VLOOKUP($B1352,calc_data,L$14+1,0),0)</f>
        <v/>
      </c>
      <c r="M1352" s="177">
        <f>IFERROR(VLOOKUP($B1352,calc_data,M$14+1,0),0)</f>
        <v/>
      </c>
      <c r="N1352" s="177">
        <f>IFERROR(VLOOKUP($B1352,calc_data,N$14+1,0),0)</f>
        <v/>
      </c>
      <c r="O1352" s="45" t="n"/>
      <c r="Q1352" s="57">
        <f>IF(K1352&gt;0,"показать","скрыть")</f>
        <v/>
      </c>
    </row>
    <row r="1353" ht="15.75" customHeight="1">
      <c r="B1353" s="182" t="n">
        <v>1337</v>
      </c>
      <c r="C1353" s="182">
        <f>IFERROR(VLOOKUP($B1353,calc_data,C$14+1,0),0)</f>
        <v/>
      </c>
      <c r="D1353" s="182">
        <f>IFERROR(VLOOKUP($B1353,calc_data,D$14+1,0),0)</f>
        <v/>
      </c>
      <c r="E1353" s="183">
        <f>IFERROR(VLOOKUP($B1353,calc_data,E$14+1,0),0)</f>
        <v/>
      </c>
      <c r="F1353" s="182">
        <f>IFERROR(VLOOKUP($B1353,calc_data,F$14+1,0),0)</f>
        <v/>
      </c>
      <c r="G1353" s="141">
        <f>IFERROR(VLOOKUP($B1353,calc_data,G$14+1,0),0)</f>
        <v/>
      </c>
      <c r="H1353" s="141">
        <f>IFERROR(VLOOKUP($B1353,calc_data,H$14+1,0),0)</f>
        <v/>
      </c>
      <c r="I1353" s="142">
        <f>IFERROR(VLOOKUP($B1353,calc_data,I$14+1,0),0)</f>
        <v/>
      </c>
      <c r="J1353" s="141">
        <f>IFERROR(VLOOKUP($B1353,calc_data,J$14+1,0),0)</f>
        <v/>
      </c>
      <c r="K1353" s="141">
        <f>IFERROR(VLOOKUP($B1353,calc_data,K$14+1,0),0)</f>
        <v/>
      </c>
      <c r="L1353" s="141">
        <f>IFERROR(VLOOKUP($B1353,calc_data,L$14+1,0),0)</f>
        <v/>
      </c>
      <c r="M1353" s="177">
        <f>IFERROR(VLOOKUP($B1353,calc_data,M$14+1,0),0)</f>
        <v/>
      </c>
      <c r="N1353" s="177">
        <f>IFERROR(VLOOKUP($B1353,calc_data,N$14+1,0),0)</f>
        <v/>
      </c>
      <c r="O1353" s="45" t="n"/>
      <c r="Q1353" s="57">
        <f>IF(K1353&gt;0,"показать","скрыть")</f>
        <v/>
      </c>
    </row>
    <row r="1354" ht="15.75" customHeight="1">
      <c r="B1354" s="182" t="n">
        <v>1338</v>
      </c>
      <c r="C1354" s="182">
        <f>IFERROR(VLOOKUP($B1354,calc_data,C$14+1,0),0)</f>
        <v/>
      </c>
      <c r="D1354" s="182">
        <f>IFERROR(VLOOKUP($B1354,calc_data,D$14+1,0),0)</f>
        <v/>
      </c>
      <c r="E1354" s="183">
        <f>IFERROR(VLOOKUP($B1354,calc_data,E$14+1,0),0)</f>
        <v/>
      </c>
      <c r="F1354" s="182">
        <f>IFERROR(VLOOKUP($B1354,calc_data,F$14+1,0),0)</f>
        <v/>
      </c>
      <c r="G1354" s="141">
        <f>IFERROR(VLOOKUP($B1354,calc_data,G$14+1,0),0)</f>
        <v/>
      </c>
      <c r="H1354" s="141">
        <f>IFERROR(VLOOKUP($B1354,calc_data,H$14+1,0),0)</f>
        <v/>
      </c>
      <c r="I1354" s="142">
        <f>IFERROR(VLOOKUP($B1354,calc_data,I$14+1,0),0)</f>
        <v/>
      </c>
      <c r="J1354" s="141">
        <f>IFERROR(VLOOKUP($B1354,calc_data,J$14+1,0),0)</f>
        <v/>
      </c>
      <c r="K1354" s="141">
        <f>IFERROR(VLOOKUP($B1354,calc_data,K$14+1,0),0)</f>
        <v/>
      </c>
      <c r="L1354" s="141">
        <f>IFERROR(VLOOKUP($B1354,calc_data,L$14+1,0),0)</f>
        <v/>
      </c>
      <c r="M1354" s="177">
        <f>IFERROR(VLOOKUP($B1354,calc_data,M$14+1,0),0)</f>
        <v/>
      </c>
      <c r="N1354" s="177">
        <f>IFERROR(VLOOKUP($B1354,calc_data,N$14+1,0),0)</f>
        <v/>
      </c>
      <c r="O1354" s="45" t="n"/>
      <c r="Q1354" s="57">
        <f>IF(K1354&gt;0,"показать","скрыть")</f>
        <v/>
      </c>
    </row>
    <row r="1355" ht="15.75" customHeight="1">
      <c r="B1355" s="182" t="n">
        <v>1339</v>
      </c>
      <c r="C1355" s="182">
        <f>IFERROR(VLOOKUP($B1355,calc_data,C$14+1,0),0)</f>
        <v/>
      </c>
      <c r="D1355" s="182">
        <f>IFERROR(VLOOKUP($B1355,calc_data,D$14+1,0),0)</f>
        <v/>
      </c>
      <c r="E1355" s="183">
        <f>IFERROR(VLOOKUP($B1355,calc_data,E$14+1,0),0)</f>
        <v/>
      </c>
      <c r="F1355" s="182">
        <f>IFERROR(VLOOKUP($B1355,calc_data,F$14+1,0),0)</f>
        <v/>
      </c>
      <c r="G1355" s="141">
        <f>IFERROR(VLOOKUP($B1355,calc_data,G$14+1,0),0)</f>
        <v/>
      </c>
      <c r="H1355" s="141">
        <f>IFERROR(VLOOKUP($B1355,calc_data,H$14+1,0),0)</f>
        <v/>
      </c>
      <c r="I1355" s="142">
        <f>IFERROR(VLOOKUP($B1355,calc_data,I$14+1,0),0)</f>
        <v/>
      </c>
      <c r="J1355" s="141">
        <f>IFERROR(VLOOKUP($B1355,calc_data,J$14+1,0),0)</f>
        <v/>
      </c>
      <c r="K1355" s="141">
        <f>IFERROR(VLOOKUP($B1355,calc_data,K$14+1,0),0)</f>
        <v/>
      </c>
      <c r="L1355" s="141">
        <f>IFERROR(VLOOKUP($B1355,calc_data,L$14+1,0),0)</f>
        <v/>
      </c>
      <c r="M1355" s="177">
        <f>IFERROR(VLOOKUP($B1355,calc_data,M$14+1,0),0)</f>
        <v/>
      </c>
      <c r="N1355" s="177">
        <f>IFERROR(VLOOKUP($B1355,calc_data,N$14+1,0),0)</f>
        <v/>
      </c>
      <c r="O1355" s="45" t="n"/>
      <c r="Q1355" s="57">
        <f>IF(K1355&gt;0,"показать","скрыть")</f>
        <v/>
      </c>
    </row>
    <row r="1356" ht="15.75" customHeight="1">
      <c r="B1356" s="182" t="n">
        <v>1340</v>
      </c>
      <c r="C1356" s="182">
        <f>IFERROR(VLOOKUP($B1356,calc_data,C$14+1,0),0)</f>
        <v/>
      </c>
      <c r="D1356" s="182">
        <f>IFERROR(VLOOKUP($B1356,calc_data,D$14+1,0),0)</f>
        <v/>
      </c>
      <c r="E1356" s="183">
        <f>IFERROR(VLOOKUP($B1356,calc_data,E$14+1,0),0)</f>
        <v/>
      </c>
      <c r="F1356" s="182">
        <f>IFERROR(VLOOKUP($B1356,calc_data,F$14+1,0),0)</f>
        <v/>
      </c>
      <c r="G1356" s="141">
        <f>IFERROR(VLOOKUP($B1356,calc_data,G$14+1,0),0)</f>
        <v/>
      </c>
      <c r="H1356" s="141">
        <f>IFERROR(VLOOKUP($B1356,calc_data,H$14+1,0),0)</f>
        <v/>
      </c>
      <c r="I1356" s="142">
        <f>IFERROR(VLOOKUP($B1356,calc_data,I$14+1,0),0)</f>
        <v/>
      </c>
      <c r="J1356" s="141">
        <f>IFERROR(VLOOKUP($B1356,calc_data,J$14+1,0),0)</f>
        <v/>
      </c>
      <c r="K1356" s="141">
        <f>IFERROR(VLOOKUP($B1356,calc_data,K$14+1,0),0)</f>
        <v/>
      </c>
      <c r="L1356" s="141">
        <f>IFERROR(VLOOKUP($B1356,calc_data,L$14+1,0),0)</f>
        <v/>
      </c>
      <c r="M1356" s="177">
        <f>IFERROR(VLOOKUP($B1356,calc_data,M$14+1,0),0)</f>
        <v/>
      </c>
      <c r="N1356" s="177">
        <f>IFERROR(VLOOKUP($B1356,calc_data,N$14+1,0),0)</f>
        <v/>
      </c>
      <c r="O1356" s="45" t="n"/>
      <c r="Q1356" s="57">
        <f>IF(K1356&gt;0,"показать","скрыть")</f>
        <v/>
      </c>
    </row>
    <row r="1357" ht="15.75" customHeight="1">
      <c r="B1357" s="182" t="n">
        <v>1341</v>
      </c>
      <c r="C1357" s="182">
        <f>IFERROR(VLOOKUP($B1357,calc_data,C$14+1,0),0)</f>
        <v/>
      </c>
      <c r="D1357" s="182">
        <f>IFERROR(VLOOKUP($B1357,calc_data,D$14+1,0),0)</f>
        <v/>
      </c>
      <c r="E1357" s="183">
        <f>IFERROR(VLOOKUP($B1357,calc_data,E$14+1,0),0)</f>
        <v/>
      </c>
      <c r="F1357" s="182">
        <f>IFERROR(VLOOKUP($B1357,calc_data,F$14+1,0),0)</f>
        <v/>
      </c>
      <c r="G1357" s="141">
        <f>IFERROR(VLOOKUP($B1357,calc_data,G$14+1,0),0)</f>
        <v/>
      </c>
      <c r="H1357" s="141">
        <f>IFERROR(VLOOKUP($B1357,calc_data,H$14+1,0),0)</f>
        <v/>
      </c>
      <c r="I1357" s="142">
        <f>IFERROR(VLOOKUP($B1357,calc_data,I$14+1,0),0)</f>
        <v/>
      </c>
      <c r="J1357" s="141">
        <f>IFERROR(VLOOKUP($B1357,calc_data,J$14+1,0),0)</f>
        <v/>
      </c>
      <c r="K1357" s="141">
        <f>IFERROR(VLOOKUP($B1357,calc_data,K$14+1,0),0)</f>
        <v/>
      </c>
      <c r="L1357" s="141">
        <f>IFERROR(VLOOKUP($B1357,calc_data,L$14+1,0),0)</f>
        <v/>
      </c>
      <c r="M1357" s="177">
        <f>IFERROR(VLOOKUP($B1357,calc_data,M$14+1,0),0)</f>
        <v/>
      </c>
      <c r="N1357" s="177">
        <f>IFERROR(VLOOKUP($B1357,calc_data,N$14+1,0),0)</f>
        <v/>
      </c>
      <c r="O1357" s="45" t="n"/>
      <c r="Q1357" s="57">
        <f>IF(K1357&gt;0,"показать","скрыть")</f>
        <v/>
      </c>
    </row>
    <row r="1358" ht="15.75" customHeight="1">
      <c r="B1358" s="182" t="n">
        <v>1342</v>
      </c>
      <c r="C1358" s="182">
        <f>IFERROR(VLOOKUP($B1358,calc_data,C$14+1,0),0)</f>
        <v/>
      </c>
      <c r="D1358" s="182">
        <f>IFERROR(VLOOKUP($B1358,calc_data,D$14+1,0),0)</f>
        <v/>
      </c>
      <c r="E1358" s="183">
        <f>IFERROR(VLOOKUP($B1358,calc_data,E$14+1,0),0)</f>
        <v/>
      </c>
      <c r="F1358" s="182">
        <f>IFERROR(VLOOKUP($B1358,calc_data,F$14+1,0),0)</f>
        <v/>
      </c>
      <c r="G1358" s="141">
        <f>IFERROR(VLOOKUP($B1358,calc_data,G$14+1,0),0)</f>
        <v/>
      </c>
      <c r="H1358" s="141">
        <f>IFERROR(VLOOKUP($B1358,calc_data,H$14+1,0),0)</f>
        <v/>
      </c>
      <c r="I1358" s="142">
        <f>IFERROR(VLOOKUP($B1358,calc_data,I$14+1,0),0)</f>
        <v/>
      </c>
      <c r="J1358" s="141">
        <f>IFERROR(VLOOKUP($B1358,calc_data,J$14+1,0),0)</f>
        <v/>
      </c>
      <c r="K1358" s="141">
        <f>IFERROR(VLOOKUP($B1358,calc_data,K$14+1,0),0)</f>
        <v/>
      </c>
      <c r="L1358" s="141">
        <f>IFERROR(VLOOKUP($B1358,calc_data,L$14+1,0),0)</f>
        <v/>
      </c>
      <c r="M1358" s="177">
        <f>IFERROR(VLOOKUP($B1358,calc_data,M$14+1,0),0)</f>
        <v/>
      </c>
      <c r="N1358" s="177">
        <f>IFERROR(VLOOKUP($B1358,calc_data,N$14+1,0),0)</f>
        <v/>
      </c>
      <c r="O1358" s="45" t="n"/>
      <c r="Q1358" s="57">
        <f>IF(K1358&gt;0,"показать","скрыть")</f>
        <v/>
      </c>
    </row>
    <row r="1359" ht="15.75" customHeight="1">
      <c r="B1359" s="182" t="n">
        <v>1343</v>
      </c>
      <c r="C1359" s="182">
        <f>IFERROR(VLOOKUP($B1359,calc_data,C$14+1,0),0)</f>
        <v/>
      </c>
      <c r="D1359" s="182">
        <f>IFERROR(VLOOKUP($B1359,calc_data,D$14+1,0),0)</f>
        <v/>
      </c>
      <c r="E1359" s="183">
        <f>IFERROR(VLOOKUP($B1359,calc_data,E$14+1,0),0)</f>
        <v/>
      </c>
      <c r="F1359" s="182">
        <f>IFERROR(VLOOKUP($B1359,calc_data,F$14+1,0),0)</f>
        <v/>
      </c>
      <c r="G1359" s="141">
        <f>IFERROR(VLOOKUP($B1359,calc_data,G$14+1,0),0)</f>
        <v/>
      </c>
      <c r="H1359" s="141">
        <f>IFERROR(VLOOKUP($B1359,calc_data,H$14+1,0),0)</f>
        <v/>
      </c>
      <c r="I1359" s="142">
        <f>IFERROR(VLOOKUP($B1359,calc_data,I$14+1,0),0)</f>
        <v/>
      </c>
      <c r="J1359" s="141">
        <f>IFERROR(VLOOKUP($B1359,calc_data,J$14+1,0),0)</f>
        <v/>
      </c>
      <c r="K1359" s="141">
        <f>IFERROR(VLOOKUP($B1359,calc_data,K$14+1,0),0)</f>
        <v/>
      </c>
      <c r="L1359" s="141">
        <f>IFERROR(VLOOKUP($B1359,calc_data,L$14+1,0),0)</f>
        <v/>
      </c>
      <c r="M1359" s="177">
        <f>IFERROR(VLOOKUP($B1359,calc_data,M$14+1,0),0)</f>
        <v/>
      </c>
      <c r="N1359" s="177">
        <f>IFERROR(VLOOKUP($B1359,calc_data,N$14+1,0),0)</f>
        <v/>
      </c>
      <c r="O1359" s="45" t="n"/>
      <c r="Q1359" s="57">
        <f>IF(K1359&gt;0,"показать","скрыть")</f>
        <v/>
      </c>
    </row>
    <row r="1360" ht="15.75" customHeight="1">
      <c r="B1360" s="182" t="n">
        <v>1344</v>
      </c>
      <c r="C1360" s="182">
        <f>IFERROR(VLOOKUP($B1360,calc_data,C$14+1,0),0)</f>
        <v/>
      </c>
      <c r="D1360" s="182">
        <f>IFERROR(VLOOKUP($B1360,calc_data,D$14+1,0),0)</f>
        <v/>
      </c>
      <c r="E1360" s="183">
        <f>IFERROR(VLOOKUP($B1360,calc_data,E$14+1,0),0)</f>
        <v/>
      </c>
      <c r="F1360" s="182">
        <f>IFERROR(VLOOKUP($B1360,calc_data,F$14+1,0),0)</f>
        <v/>
      </c>
      <c r="G1360" s="141">
        <f>IFERROR(VLOOKUP($B1360,calc_data,G$14+1,0),0)</f>
        <v/>
      </c>
      <c r="H1360" s="141">
        <f>IFERROR(VLOOKUP($B1360,calc_data,H$14+1,0),0)</f>
        <v/>
      </c>
      <c r="I1360" s="142">
        <f>IFERROR(VLOOKUP($B1360,calc_data,I$14+1,0),0)</f>
        <v/>
      </c>
      <c r="J1360" s="141">
        <f>IFERROR(VLOOKUP($B1360,calc_data,J$14+1,0),0)</f>
        <v/>
      </c>
      <c r="K1360" s="141">
        <f>IFERROR(VLOOKUP($B1360,calc_data,K$14+1,0),0)</f>
        <v/>
      </c>
      <c r="L1360" s="141">
        <f>IFERROR(VLOOKUP($B1360,calc_data,L$14+1,0),0)</f>
        <v/>
      </c>
      <c r="M1360" s="177">
        <f>IFERROR(VLOOKUP($B1360,calc_data,M$14+1,0),0)</f>
        <v/>
      </c>
      <c r="N1360" s="177">
        <f>IFERROR(VLOOKUP($B1360,calc_data,N$14+1,0),0)</f>
        <v/>
      </c>
      <c r="O1360" s="45" t="n"/>
      <c r="Q1360" s="57">
        <f>IF(K1360&gt;0,"показать","скрыть")</f>
        <v/>
      </c>
    </row>
    <row r="1361" ht="15.75" customHeight="1">
      <c r="B1361" s="182" t="n">
        <v>1345</v>
      </c>
      <c r="C1361" s="182">
        <f>IFERROR(VLOOKUP($B1361,calc_data,C$14+1,0),0)</f>
        <v/>
      </c>
      <c r="D1361" s="182">
        <f>IFERROR(VLOOKUP($B1361,calc_data,D$14+1,0),0)</f>
        <v/>
      </c>
      <c r="E1361" s="183">
        <f>IFERROR(VLOOKUP($B1361,calc_data,E$14+1,0),0)</f>
        <v/>
      </c>
      <c r="F1361" s="182">
        <f>IFERROR(VLOOKUP($B1361,calc_data,F$14+1,0),0)</f>
        <v/>
      </c>
      <c r="G1361" s="141">
        <f>IFERROR(VLOOKUP($B1361,calc_data,G$14+1,0),0)</f>
        <v/>
      </c>
      <c r="H1361" s="141">
        <f>IFERROR(VLOOKUP($B1361,calc_data,H$14+1,0),0)</f>
        <v/>
      </c>
      <c r="I1361" s="142">
        <f>IFERROR(VLOOKUP($B1361,calc_data,I$14+1,0),0)</f>
        <v/>
      </c>
      <c r="J1361" s="141">
        <f>IFERROR(VLOOKUP($B1361,calc_data,J$14+1,0),0)</f>
        <v/>
      </c>
      <c r="K1361" s="141">
        <f>IFERROR(VLOOKUP($B1361,calc_data,K$14+1,0),0)</f>
        <v/>
      </c>
      <c r="L1361" s="141">
        <f>IFERROR(VLOOKUP($B1361,calc_data,L$14+1,0),0)</f>
        <v/>
      </c>
      <c r="M1361" s="177">
        <f>IFERROR(VLOOKUP($B1361,calc_data,M$14+1,0),0)</f>
        <v/>
      </c>
      <c r="N1361" s="177">
        <f>IFERROR(VLOOKUP($B1361,calc_data,N$14+1,0),0)</f>
        <v/>
      </c>
      <c r="O1361" s="45" t="n"/>
      <c r="Q1361" s="57">
        <f>IF(K1361&gt;0,"показать","скрыть")</f>
        <v/>
      </c>
    </row>
    <row r="1362" ht="15.75" customHeight="1">
      <c r="B1362" s="182" t="n">
        <v>1346</v>
      </c>
      <c r="C1362" s="182">
        <f>IFERROR(VLOOKUP($B1362,calc_data,C$14+1,0),0)</f>
        <v/>
      </c>
      <c r="D1362" s="182">
        <f>IFERROR(VLOOKUP($B1362,calc_data,D$14+1,0),0)</f>
        <v/>
      </c>
      <c r="E1362" s="183">
        <f>IFERROR(VLOOKUP($B1362,calc_data,E$14+1,0),0)</f>
        <v/>
      </c>
      <c r="F1362" s="182">
        <f>IFERROR(VLOOKUP($B1362,calc_data,F$14+1,0),0)</f>
        <v/>
      </c>
      <c r="G1362" s="141">
        <f>IFERROR(VLOOKUP($B1362,calc_data,G$14+1,0),0)</f>
        <v/>
      </c>
      <c r="H1362" s="141">
        <f>IFERROR(VLOOKUP($B1362,calc_data,H$14+1,0),0)</f>
        <v/>
      </c>
      <c r="I1362" s="142">
        <f>IFERROR(VLOOKUP($B1362,calc_data,I$14+1,0),0)</f>
        <v/>
      </c>
      <c r="J1362" s="141">
        <f>IFERROR(VLOOKUP($B1362,calc_data,J$14+1,0),0)</f>
        <v/>
      </c>
      <c r="K1362" s="141">
        <f>IFERROR(VLOOKUP($B1362,calc_data,K$14+1,0),0)</f>
        <v/>
      </c>
      <c r="L1362" s="141">
        <f>IFERROR(VLOOKUP($B1362,calc_data,L$14+1,0),0)</f>
        <v/>
      </c>
      <c r="M1362" s="177">
        <f>IFERROR(VLOOKUP($B1362,calc_data,M$14+1,0),0)</f>
        <v/>
      </c>
      <c r="N1362" s="177">
        <f>IFERROR(VLOOKUP($B1362,calc_data,N$14+1,0),0)</f>
        <v/>
      </c>
      <c r="O1362" s="45" t="n"/>
      <c r="Q1362" s="57">
        <f>IF(K1362&gt;0,"показать","скрыть")</f>
        <v/>
      </c>
    </row>
    <row r="1363" ht="15.75" customHeight="1">
      <c r="B1363" s="182" t="n">
        <v>1347</v>
      </c>
      <c r="C1363" s="182">
        <f>IFERROR(VLOOKUP($B1363,calc_data,C$14+1,0),0)</f>
        <v/>
      </c>
      <c r="D1363" s="182">
        <f>IFERROR(VLOOKUP($B1363,calc_data,D$14+1,0),0)</f>
        <v/>
      </c>
      <c r="E1363" s="183">
        <f>IFERROR(VLOOKUP($B1363,calc_data,E$14+1,0),0)</f>
        <v/>
      </c>
      <c r="F1363" s="182">
        <f>IFERROR(VLOOKUP($B1363,calc_data,F$14+1,0),0)</f>
        <v/>
      </c>
      <c r="G1363" s="141">
        <f>IFERROR(VLOOKUP($B1363,calc_data,G$14+1,0),0)</f>
        <v/>
      </c>
      <c r="H1363" s="141">
        <f>IFERROR(VLOOKUP($B1363,calc_data,H$14+1,0),0)</f>
        <v/>
      </c>
      <c r="I1363" s="142">
        <f>IFERROR(VLOOKUP($B1363,calc_data,I$14+1,0),0)</f>
        <v/>
      </c>
      <c r="J1363" s="141">
        <f>IFERROR(VLOOKUP($B1363,calc_data,J$14+1,0),0)</f>
        <v/>
      </c>
      <c r="K1363" s="141">
        <f>IFERROR(VLOOKUP($B1363,calc_data,K$14+1,0),0)</f>
        <v/>
      </c>
      <c r="L1363" s="141">
        <f>IFERROR(VLOOKUP($B1363,calc_data,L$14+1,0),0)</f>
        <v/>
      </c>
      <c r="M1363" s="177">
        <f>IFERROR(VLOOKUP($B1363,calc_data,M$14+1,0),0)</f>
        <v/>
      </c>
      <c r="N1363" s="177">
        <f>IFERROR(VLOOKUP($B1363,calc_data,N$14+1,0),0)</f>
        <v/>
      </c>
      <c r="O1363" s="45" t="n"/>
      <c r="Q1363" s="57">
        <f>IF(K1363&gt;0,"показать","скрыть")</f>
        <v/>
      </c>
    </row>
    <row r="1364" ht="15.75" customHeight="1">
      <c r="B1364" s="182" t="n">
        <v>1348</v>
      </c>
      <c r="C1364" s="182">
        <f>IFERROR(VLOOKUP($B1364,calc_data,C$14+1,0),0)</f>
        <v/>
      </c>
      <c r="D1364" s="182">
        <f>IFERROR(VLOOKUP($B1364,calc_data,D$14+1,0),0)</f>
        <v/>
      </c>
      <c r="E1364" s="183">
        <f>IFERROR(VLOOKUP($B1364,calc_data,E$14+1,0),0)</f>
        <v/>
      </c>
      <c r="F1364" s="182">
        <f>IFERROR(VLOOKUP($B1364,calc_data,F$14+1,0),0)</f>
        <v/>
      </c>
      <c r="G1364" s="141">
        <f>IFERROR(VLOOKUP($B1364,calc_data,G$14+1,0),0)</f>
        <v/>
      </c>
      <c r="H1364" s="141">
        <f>IFERROR(VLOOKUP($B1364,calc_data,H$14+1,0),0)</f>
        <v/>
      </c>
      <c r="I1364" s="142">
        <f>IFERROR(VLOOKUP($B1364,calc_data,I$14+1,0),0)</f>
        <v/>
      </c>
      <c r="J1364" s="141">
        <f>IFERROR(VLOOKUP($B1364,calc_data,J$14+1,0),0)</f>
        <v/>
      </c>
      <c r="K1364" s="141">
        <f>IFERROR(VLOOKUP($B1364,calc_data,K$14+1,0),0)</f>
        <v/>
      </c>
      <c r="L1364" s="141">
        <f>IFERROR(VLOOKUP($B1364,calc_data,L$14+1,0),0)</f>
        <v/>
      </c>
      <c r="M1364" s="177">
        <f>IFERROR(VLOOKUP($B1364,calc_data,M$14+1,0),0)</f>
        <v/>
      </c>
      <c r="N1364" s="177">
        <f>IFERROR(VLOOKUP($B1364,calc_data,N$14+1,0),0)</f>
        <v/>
      </c>
      <c r="O1364" s="45" t="n"/>
      <c r="Q1364" s="57">
        <f>IF(K1364&gt;0,"показать","скрыть")</f>
        <v/>
      </c>
    </row>
    <row r="1365" ht="15.75" customHeight="1">
      <c r="B1365" s="182" t="n">
        <v>1349</v>
      </c>
      <c r="C1365" s="182">
        <f>IFERROR(VLOOKUP($B1365,calc_data,C$14+1,0),0)</f>
        <v/>
      </c>
      <c r="D1365" s="182">
        <f>IFERROR(VLOOKUP($B1365,calc_data,D$14+1,0),0)</f>
        <v/>
      </c>
      <c r="E1365" s="183">
        <f>IFERROR(VLOOKUP($B1365,calc_data,E$14+1,0),0)</f>
        <v/>
      </c>
      <c r="F1365" s="182">
        <f>IFERROR(VLOOKUP($B1365,calc_data,F$14+1,0),0)</f>
        <v/>
      </c>
      <c r="G1365" s="141">
        <f>IFERROR(VLOOKUP($B1365,calc_data,G$14+1,0),0)</f>
        <v/>
      </c>
      <c r="H1365" s="141">
        <f>IFERROR(VLOOKUP($B1365,calc_data,H$14+1,0),0)</f>
        <v/>
      </c>
      <c r="I1365" s="142">
        <f>IFERROR(VLOOKUP($B1365,calc_data,I$14+1,0),0)</f>
        <v/>
      </c>
      <c r="J1365" s="141">
        <f>IFERROR(VLOOKUP($B1365,calc_data,J$14+1,0),0)</f>
        <v/>
      </c>
      <c r="K1365" s="141">
        <f>IFERROR(VLOOKUP($B1365,calc_data,K$14+1,0),0)</f>
        <v/>
      </c>
      <c r="L1365" s="141">
        <f>IFERROR(VLOOKUP($B1365,calc_data,L$14+1,0),0)</f>
        <v/>
      </c>
      <c r="M1365" s="177">
        <f>IFERROR(VLOOKUP($B1365,calc_data,M$14+1,0),0)</f>
        <v/>
      </c>
      <c r="N1365" s="177">
        <f>IFERROR(VLOOKUP($B1365,calc_data,N$14+1,0),0)</f>
        <v/>
      </c>
      <c r="O1365" s="45" t="n"/>
      <c r="Q1365" s="57">
        <f>IF(K1365&gt;0,"показать","скрыть")</f>
        <v/>
      </c>
    </row>
    <row r="1366" ht="15.75" customHeight="1">
      <c r="B1366" s="182" t="n">
        <v>1350</v>
      </c>
      <c r="C1366" s="182">
        <f>IFERROR(VLOOKUP($B1366,calc_data,C$14+1,0),0)</f>
        <v/>
      </c>
      <c r="D1366" s="182">
        <f>IFERROR(VLOOKUP($B1366,calc_data,D$14+1,0),0)</f>
        <v/>
      </c>
      <c r="E1366" s="183">
        <f>IFERROR(VLOOKUP($B1366,calc_data,E$14+1,0),0)</f>
        <v/>
      </c>
      <c r="F1366" s="182">
        <f>IFERROR(VLOOKUP($B1366,calc_data,F$14+1,0),0)</f>
        <v/>
      </c>
      <c r="G1366" s="141">
        <f>IFERROR(VLOOKUP($B1366,calc_data,G$14+1,0),0)</f>
        <v/>
      </c>
      <c r="H1366" s="141">
        <f>IFERROR(VLOOKUP($B1366,calc_data,H$14+1,0),0)</f>
        <v/>
      </c>
      <c r="I1366" s="142">
        <f>IFERROR(VLOOKUP($B1366,calc_data,I$14+1,0),0)</f>
        <v/>
      </c>
      <c r="J1366" s="141">
        <f>IFERROR(VLOOKUP($B1366,calc_data,J$14+1,0),0)</f>
        <v/>
      </c>
      <c r="K1366" s="141">
        <f>IFERROR(VLOOKUP($B1366,calc_data,K$14+1,0),0)</f>
        <v/>
      </c>
      <c r="L1366" s="141">
        <f>IFERROR(VLOOKUP($B1366,calc_data,L$14+1,0),0)</f>
        <v/>
      </c>
      <c r="M1366" s="177">
        <f>IFERROR(VLOOKUP($B1366,calc_data,M$14+1,0),0)</f>
        <v/>
      </c>
      <c r="N1366" s="177">
        <f>IFERROR(VLOOKUP($B1366,calc_data,N$14+1,0),0)</f>
        <v/>
      </c>
      <c r="O1366" s="45" t="n"/>
      <c r="Q1366" s="57">
        <f>IF(K1366&gt;0,"показать","скрыть")</f>
        <v/>
      </c>
    </row>
    <row r="1367" ht="15.75" customHeight="1">
      <c r="B1367" s="182" t="n">
        <v>1351</v>
      </c>
      <c r="C1367" s="182">
        <f>IFERROR(VLOOKUP($B1367,calc_data,C$14+1,0),0)</f>
        <v/>
      </c>
      <c r="D1367" s="182">
        <f>IFERROR(VLOOKUP($B1367,calc_data,D$14+1,0),0)</f>
        <v/>
      </c>
      <c r="E1367" s="183">
        <f>IFERROR(VLOOKUP($B1367,calc_data,E$14+1,0),0)</f>
        <v/>
      </c>
      <c r="F1367" s="182">
        <f>IFERROR(VLOOKUP($B1367,calc_data,F$14+1,0),0)</f>
        <v/>
      </c>
      <c r="G1367" s="141">
        <f>IFERROR(VLOOKUP($B1367,calc_data,G$14+1,0),0)</f>
        <v/>
      </c>
      <c r="H1367" s="141">
        <f>IFERROR(VLOOKUP($B1367,calc_data,H$14+1,0),0)</f>
        <v/>
      </c>
      <c r="I1367" s="142">
        <f>IFERROR(VLOOKUP($B1367,calc_data,I$14+1,0),0)</f>
        <v/>
      </c>
      <c r="J1367" s="141">
        <f>IFERROR(VLOOKUP($B1367,calc_data,J$14+1,0),0)</f>
        <v/>
      </c>
      <c r="K1367" s="141">
        <f>IFERROR(VLOOKUP($B1367,calc_data,K$14+1,0),0)</f>
        <v/>
      </c>
      <c r="L1367" s="141">
        <f>IFERROR(VLOOKUP($B1367,calc_data,L$14+1,0),0)</f>
        <v/>
      </c>
      <c r="M1367" s="177">
        <f>IFERROR(VLOOKUP($B1367,calc_data,M$14+1,0),0)</f>
        <v/>
      </c>
      <c r="N1367" s="177">
        <f>IFERROR(VLOOKUP($B1367,calc_data,N$14+1,0),0)</f>
        <v/>
      </c>
      <c r="O1367" s="45" t="n"/>
      <c r="Q1367" s="57">
        <f>IF(K1367&gt;0,"показать","скрыть")</f>
        <v/>
      </c>
    </row>
    <row r="1368" ht="15.75" customHeight="1">
      <c r="B1368" s="182" t="n">
        <v>1352</v>
      </c>
      <c r="C1368" s="182">
        <f>IFERROR(VLOOKUP($B1368,calc_data,C$14+1,0),0)</f>
        <v/>
      </c>
      <c r="D1368" s="182">
        <f>IFERROR(VLOOKUP($B1368,calc_data,D$14+1,0),0)</f>
        <v/>
      </c>
      <c r="E1368" s="183">
        <f>IFERROR(VLOOKUP($B1368,calc_data,E$14+1,0),0)</f>
        <v/>
      </c>
      <c r="F1368" s="182">
        <f>IFERROR(VLOOKUP($B1368,calc_data,F$14+1,0),0)</f>
        <v/>
      </c>
      <c r="G1368" s="141">
        <f>IFERROR(VLOOKUP($B1368,calc_data,G$14+1,0),0)</f>
        <v/>
      </c>
      <c r="H1368" s="141">
        <f>IFERROR(VLOOKUP($B1368,calc_data,H$14+1,0),0)</f>
        <v/>
      </c>
      <c r="I1368" s="142">
        <f>IFERROR(VLOOKUP($B1368,calc_data,I$14+1,0),0)</f>
        <v/>
      </c>
      <c r="J1368" s="141">
        <f>IFERROR(VLOOKUP($B1368,calc_data,J$14+1,0),0)</f>
        <v/>
      </c>
      <c r="K1368" s="141">
        <f>IFERROR(VLOOKUP($B1368,calc_data,K$14+1,0),0)</f>
        <v/>
      </c>
      <c r="L1368" s="141">
        <f>IFERROR(VLOOKUP($B1368,calc_data,L$14+1,0),0)</f>
        <v/>
      </c>
      <c r="M1368" s="177">
        <f>IFERROR(VLOOKUP($B1368,calc_data,M$14+1,0),0)</f>
        <v/>
      </c>
      <c r="N1368" s="177">
        <f>IFERROR(VLOOKUP($B1368,calc_data,N$14+1,0),0)</f>
        <v/>
      </c>
      <c r="O1368" s="45" t="n"/>
      <c r="Q1368" s="57">
        <f>IF(K1368&gt;0,"показать","скрыть")</f>
        <v/>
      </c>
    </row>
    <row r="1369" ht="15.75" customHeight="1">
      <c r="B1369" s="182" t="n">
        <v>1353</v>
      </c>
      <c r="C1369" s="182">
        <f>IFERROR(VLOOKUP($B1369,calc_data,C$14+1,0),0)</f>
        <v/>
      </c>
      <c r="D1369" s="182">
        <f>IFERROR(VLOOKUP($B1369,calc_data,D$14+1,0),0)</f>
        <v/>
      </c>
      <c r="E1369" s="183">
        <f>IFERROR(VLOOKUP($B1369,calc_data,E$14+1,0),0)</f>
        <v/>
      </c>
      <c r="F1369" s="182">
        <f>IFERROR(VLOOKUP($B1369,calc_data,F$14+1,0),0)</f>
        <v/>
      </c>
      <c r="G1369" s="141">
        <f>IFERROR(VLOOKUP($B1369,calc_data,G$14+1,0),0)</f>
        <v/>
      </c>
      <c r="H1369" s="141">
        <f>IFERROR(VLOOKUP($B1369,calc_data,H$14+1,0),0)</f>
        <v/>
      </c>
      <c r="I1369" s="142">
        <f>IFERROR(VLOOKUP($B1369,calc_data,I$14+1,0),0)</f>
        <v/>
      </c>
      <c r="J1369" s="141">
        <f>IFERROR(VLOOKUP($B1369,calc_data,J$14+1,0),0)</f>
        <v/>
      </c>
      <c r="K1369" s="141">
        <f>IFERROR(VLOOKUP($B1369,calc_data,K$14+1,0),0)</f>
        <v/>
      </c>
      <c r="L1369" s="141">
        <f>IFERROR(VLOOKUP($B1369,calc_data,L$14+1,0),0)</f>
        <v/>
      </c>
      <c r="M1369" s="177">
        <f>IFERROR(VLOOKUP($B1369,calc_data,M$14+1,0),0)</f>
        <v/>
      </c>
      <c r="N1369" s="177">
        <f>IFERROR(VLOOKUP($B1369,calc_data,N$14+1,0),0)</f>
        <v/>
      </c>
      <c r="O1369" s="45" t="n"/>
      <c r="Q1369" s="57">
        <f>IF(K1369&gt;0,"показать","скрыть")</f>
        <v/>
      </c>
    </row>
    <row r="1370" ht="15.75" customHeight="1">
      <c r="B1370" s="182" t="n">
        <v>1354</v>
      </c>
      <c r="C1370" s="182">
        <f>IFERROR(VLOOKUP($B1370,calc_data,C$14+1,0),0)</f>
        <v/>
      </c>
      <c r="D1370" s="182">
        <f>IFERROR(VLOOKUP($B1370,calc_data,D$14+1,0),0)</f>
        <v/>
      </c>
      <c r="E1370" s="183">
        <f>IFERROR(VLOOKUP($B1370,calc_data,E$14+1,0),0)</f>
        <v/>
      </c>
      <c r="F1370" s="182">
        <f>IFERROR(VLOOKUP($B1370,calc_data,F$14+1,0),0)</f>
        <v/>
      </c>
      <c r="G1370" s="141">
        <f>IFERROR(VLOOKUP($B1370,calc_data,G$14+1,0),0)</f>
        <v/>
      </c>
      <c r="H1370" s="141">
        <f>IFERROR(VLOOKUP($B1370,calc_data,H$14+1,0),0)</f>
        <v/>
      </c>
      <c r="I1370" s="142">
        <f>IFERROR(VLOOKUP($B1370,calc_data,I$14+1,0),0)</f>
        <v/>
      </c>
      <c r="J1370" s="141">
        <f>IFERROR(VLOOKUP($B1370,calc_data,J$14+1,0),0)</f>
        <v/>
      </c>
      <c r="K1370" s="141">
        <f>IFERROR(VLOOKUP($B1370,calc_data,K$14+1,0),0)</f>
        <v/>
      </c>
      <c r="L1370" s="141">
        <f>IFERROR(VLOOKUP($B1370,calc_data,L$14+1,0),0)</f>
        <v/>
      </c>
      <c r="M1370" s="177">
        <f>IFERROR(VLOOKUP($B1370,calc_data,M$14+1,0),0)</f>
        <v/>
      </c>
      <c r="N1370" s="177">
        <f>IFERROR(VLOOKUP($B1370,calc_data,N$14+1,0),0)</f>
        <v/>
      </c>
      <c r="O1370" s="45" t="n"/>
      <c r="Q1370" s="57">
        <f>IF(K1370&gt;0,"показать","скрыть")</f>
        <v/>
      </c>
    </row>
    <row r="1371" ht="15.75" customHeight="1">
      <c r="B1371" s="182" t="n">
        <v>1355</v>
      </c>
      <c r="C1371" s="182">
        <f>IFERROR(VLOOKUP($B1371,calc_data,C$14+1,0),0)</f>
        <v/>
      </c>
      <c r="D1371" s="182">
        <f>IFERROR(VLOOKUP($B1371,calc_data,D$14+1,0),0)</f>
        <v/>
      </c>
      <c r="E1371" s="183">
        <f>IFERROR(VLOOKUP($B1371,calc_data,E$14+1,0),0)</f>
        <v/>
      </c>
      <c r="F1371" s="182">
        <f>IFERROR(VLOOKUP($B1371,calc_data,F$14+1,0),0)</f>
        <v/>
      </c>
      <c r="G1371" s="141">
        <f>IFERROR(VLOOKUP($B1371,calc_data,G$14+1,0),0)</f>
        <v/>
      </c>
      <c r="H1371" s="141">
        <f>IFERROR(VLOOKUP($B1371,calc_data,H$14+1,0),0)</f>
        <v/>
      </c>
      <c r="I1371" s="142">
        <f>IFERROR(VLOOKUP($B1371,calc_data,I$14+1,0),0)</f>
        <v/>
      </c>
      <c r="J1371" s="141">
        <f>IFERROR(VLOOKUP($B1371,calc_data,J$14+1,0),0)</f>
        <v/>
      </c>
      <c r="K1371" s="141">
        <f>IFERROR(VLOOKUP($B1371,calc_data,K$14+1,0),0)</f>
        <v/>
      </c>
      <c r="L1371" s="141">
        <f>IFERROR(VLOOKUP($B1371,calc_data,L$14+1,0),0)</f>
        <v/>
      </c>
      <c r="M1371" s="177">
        <f>IFERROR(VLOOKUP($B1371,calc_data,M$14+1,0),0)</f>
        <v/>
      </c>
      <c r="N1371" s="177">
        <f>IFERROR(VLOOKUP($B1371,calc_data,N$14+1,0),0)</f>
        <v/>
      </c>
      <c r="O1371" s="45" t="n"/>
      <c r="Q1371" s="57">
        <f>IF(K1371&gt;0,"показать","скрыть")</f>
        <v/>
      </c>
    </row>
    <row r="1372" ht="15.75" customHeight="1">
      <c r="B1372" s="182" t="n">
        <v>1356</v>
      </c>
      <c r="C1372" s="182">
        <f>IFERROR(VLOOKUP($B1372,calc_data,C$14+1,0),0)</f>
        <v/>
      </c>
      <c r="D1372" s="182">
        <f>IFERROR(VLOOKUP($B1372,calc_data,D$14+1,0),0)</f>
        <v/>
      </c>
      <c r="E1372" s="183">
        <f>IFERROR(VLOOKUP($B1372,calc_data,E$14+1,0),0)</f>
        <v/>
      </c>
      <c r="F1372" s="182">
        <f>IFERROR(VLOOKUP($B1372,calc_data,F$14+1,0),0)</f>
        <v/>
      </c>
      <c r="G1372" s="141">
        <f>IFERROR(VLOOKUP($B1372,calc_data,G$14+1,0),0)</f>
        <v/>
      </c>
      <c r="H1372" s="141">
        <f>IFERROR(VLOOKUP($B1372,calc_data,H$14+1,0),0)</f>
        <v/>
      </c>
      <c r="I1372" s="142">
        <f>IFERROR(VLOOKUP($B1372,calc_data,I$14+1,0),0)</f>
        <v/>
      </c>
      <c r="J1372" s="141">
        <f>IFERROR(VLOOKUP($B1372,calc_data,J$14+1,0),0)</f>
        <v/>
      </c>
      <c r="K1372" s="141">
        <f>IFERROR(VLOOKUP($B1372,calc_data,K$14+1,0),0)</f>
        <v/>
      </c>
      <c r="L1372" s="141">
        <f>IFERROR(VLOOKUP($B1372,calc_data,L$14+1,0),0)</f>
        <v/>
      </c>
      <c r="M1372" s="177">
        <f>IFERROR(VLOOKUP($B1372,calc_data,M$14+1,0),0)</f>
        <v/>
      </c>
      <c r="N1372" s="177">
        <f>IFERROR(VLOOKUP($B1372,calc_data,N$14+1,0),0)</f>
        <v/>
      </c>
      <c r="O1372" s="45" t="n"/>
      <c r="Q1372" s="57">
        <f>IF(K1372&gt;0,"показать","скрыть")</f>
        <v/>
      </c>
    </row>
    <row r="1373" ht="15.75" customHeight="1">
      <c r="B1373" s="182" t="n">
        <v>1357</v>
      </c>
      <c r="C1373" s="182">
        <f>IFERROR(VLOOKUP($B1373,calc_data,C$14+1,0),0)</f>
        <v/>
      </c>
      <c r="D1373" s="182">
        <f>IFERROR(VLOOKUP($B1373,calc_data,D$14+1,0),0)</f>
        <v/>
      </c>
      <c r="E1373" s="183">
        <f>IFERROR(VLOOKUP($B1373,calc_data,E$14+1,0),0)</f>
        <v/>
      </c>
      <c r="F1373" s="182">
        <f>IFERROR(VLOOKUP($B1373,calc_data,F$14+1,0),0)</f>
        <v/>
      </c>
      <c r="G1373" s="141">
        <f>IFERROR(VLOOKUP($B1373,calc_data,G$14+1,0),0)</f>
        <v/>
      </c>
      <c r="H1373" s="141">
        <f>IFERROR(VLOOKUP($B1373,calc_data,H$14+1,0),0)</f>
        <v/>
      </c>
      <c r="I1373" s="142">
        <f>IFERROR(VLOOKUP($B1373,calc_data,I$14+1,0),0)</f>
        <v/>
      </c>
      <c r="J1373" s="141">
        <f>IFERROR(VLOOKUP($B1373,calc_data,J$14+1,0),0)</f>
        <v/>
      </c>
      <c r="K1373" s="141">
        <f>IFERROR(VLOOKUP($B1373,calc_data,K$14+1,0),0)</f>
        <v/>
      </c>
      <c r="L1373" s="141">
        <f>IFERROR(VLOOKUP($B1373,calc_data,L$14+1,0),0)</f>
        <v/>
      </c>
      <c r="M1373" s="177">
        <f>IFERROR(VLOOKUP($B1373,calc_data,M$14+1,0),0)</f>
        <v/>
      </c>
      <c r="N1373" s="177">
        <f>IFERROR(VLOOKUP($B1373,calc_data,N$14+1,0),0)</f>
        <v/>
      </c>
      <c r="O1373" s="45" t="n"/>
      <c r="Q1373" s="57">
        <f>IF(K1373&gt;0,"показать","скрыть")</f>
        <v/>
      </c>
    </row>
    <row r="1374" ht="15.75" customHeight="1">
      <c r="B1374" s="182" t="n">
        <v>1358</v>
      </c>
      <c r="C1374" s="182">
        <f>IFERROR(VLOOKUP($B1374,calc_data,C$14+1,0),0)</f>
        <v/>
      </c>
      <c r="D1374" s="182">
        <f>IFERROR(VLOOKUP($B1374,calc_data,D$14+1,0),0)</f>
        <v/>
      </c>
      <c r="E1374" s="183">
        <f>IFERROR(VLOOKUP($B1374,calc_data,E$14+1,0),0)</f>
        <v/>
      </c>
      <c r="F1374" s="182">
        <f>IFERROR(VLOOKUP($B1374,calc_data,F$14+1,0),0)</f>
        <v/>
      </c>
      <c r="G1374" s="141">
        <f>IFERROR(VLOOKUP($B1374,calc_data,G$14+1,0),0)</f>
        <v/>
      </c>
      <c r="H1374" s="141">
        <f>IFERROR(VLOOKUP($B1374,calc_data,H$14+1,0),0)</f>
        <v/>
      </c>
      <c r="I1374" s="142">
        <f>IFERROR(VLOOKUP($B1374,calc_data,I$14+1,0),0)</f>
        <v/>
      </c>
      <c r="J1374" s="141">
        <f>IFERROR(VLOOKUP($B1374,calc_data,J$14+1,0),0)</f>
        <v/>
      </c>
      <c r="K1374" s="141">
        <f>IFERROR(VLOOKUP($B1374,calc_data,K$14+1,0),0)</f>
        <v/>
      </c>
      <c r="L1374" s="141">
        <f>IFERROR(VLOOKUP($B1374,calc_data,L$14+1,0),0)</f>
        <v/>
      </c>
      <c r="M1374" s="177">
        <f>IFERROR(VLOOKUP($B1374,calc_data,M$14+1,0),0)</f>
        <v/>
      </c>
      <c r="N1374" s="177">
        <f>IFERROR(VLOOKUP($B1374,calc_data,N$14+1,0),0)</f>
        <v/>
      </c>
      <c r="O1374" s="45" t="n"/>
      <c r="Q1374" s="57">
        <f>IF(K1374&gt;0,"показать","скрыть")</f>
        <v/>
      </c>
    </row>
    <row r="1375" ht="15.75" customHeight="1">
      <c r="B1375" s="182" t="n">
        <v>1359</v>
      </c>
      <c r="C1375" s="182">
        <f>IFERROR(VLOOKUP($B1375,calc_data,C$14+1,0),0)</f>
        <v/>
      </c>
      <c r="D1375" s="182">
        <f>IFERROR(VLOOKUP($B1375,calc_data,D$14+1,0),0)</f>
        <v/>
      </c>
      <c r="E1375" s="183">
        <f>IFERROR(VLOOKUP($B1375,calc_data,E$14+1,0),0)</f>
        <v/>
      </c>
      <c r="F1375" s="182">
        <f>IFERROR(VLOOKUP($B1375,calc_data,F$14+1,0),0)</f>
        <v/>
      </c>
      <c r="G1375" s="141">
        <f>IFERROR(VLOOKUP($B1375,calc_data,G$14+1,0),0)</f>
        <v/>
      </c>
      <c r="H1375" s="141">
        <f>IFERROR(VLOOKUP($B1375,calc_data,H$14+1,0),0)</f>
        <v/>
      </c>
      <c r="I1375" s="142">
        <f>IFERROR(VLOOKUP($B1375,calc_data,I$14+1,0),0)</f>
        <v/>
      </c>
      <c r="J1375" s="141">
        <f>IFERROR(VLOOKUP($B1375,calc_data,J$14+1,0),0)</f>
        <v/>
      </c>
      <c r="K1375" s="141">
        <f>IFERROR(VLOOKUP($B1375,calc_data,K$14+1,0),0)</f>
        <v/>
      </c>
      <c r="L1375" s="141">
        <f>IFERROR(VLOOKUP($B1375,calc_data,L$14+1,0),0)</f>
        <v/>
      </c>
      <c r="M1375" s="177">
        <f>IFERROR(VLOOKUP($B1375,calc_data,M$14+1,0),0)</f>
        <v/>
      </c>
      <c r="N1375" s="177">
        <f>IFERROR(VLOOKUP($B1375,calc_data,N$14+1,0),0)</f>
        <v/>
      </c>
      <c r="O1375" s="45" t="n"/>
      <c r="Q1375" s="57">
        <f>IF(K1375&gt;0,"показать","скрыть")</f>
        <v/>
      </c>
    </row>
    <row r="1376" ht="15.75" customHeight="1">
      <c r="B1376" s="182" t="n">
        <v>1360</v>
      </c>
      <c r="C1376" s="182">
        <f>IFERROR(VLOOKUP($B1376,calc_data,C$14+1,0),0)</f>
        <v/>
      </c>
      <c r="D1376" s="182">
        <f>IFERROR(VLOOKUP($B1376,calc_data,D$14+1,0),0)</f>
        <v/>
      </c>
      <c r="E1376" s="183">
        <f>IFERROR(VLOOKUP($B1376,calc_data,E$14+1,0),0)</f>
        <v/>
      </c>
      <c r="F1376" s="182">
        <f>IFERROR(VLOOKUP($B1376,calc_data,F$14+1,0),0)</f>
        <v/>
      </c>
      <c r="G1376" s="141">
        <f>IFERROR(VLOOKUP($B1376,calc_data,G$14+1,0),0)</f>
        <v/>
      </c>
      <c r="H1376" s="141">
        <f>IFERROR(VLOOKUP($B1376,calc_data,H$14+1,0),0)</f>
        <v/>
      </c>
      <c r="I1376" s="142">
        <f>IFERROR(VLOOKUP($B1376,calc_data,I$14+1,0),0)</f>
        <v/>
      </c>
      <c r="J1376" s="141">
        <f>IFERROR(VLOOKUP($B1376,calc_data,J$14+1,0),0)</f>
        <v/>
      </c>
      <c r="K1376" s="141">
        <f>IFERROR(VLOOKUP($B1376,calc_data,K$14+1,0),0)</f>
        <v/>
      </c>
      <c r="L1376" s="141">
        <f>IFERROR(VLOOKUP($B1376,calc_data,L$14+1,0),0)</f>
        <v/>
      </c>
      <c r="M1376" s="177">
        <f>IFERROR(VLOOKUP($B1376,calc_data,M$14+1,0),0)</f>
        <v/>
      </c>
      <c r="N1376" s="177">
        <f>IFERROR(VLOOKUP($B1376,calc_data,N$14+1,0),0)</f>
        <v/>
      </c>
      <c r="O1376" s="45" t="n"/>
      <c r="Q1376" s="57">
        <f>IF(K1376&gt;0,"показать","скрыть")</f>
        <v/>
      </c>
    </row>
    <row r="1377" ht="15.75" customHeight="1">
      <c r="B1377" s="182" t="n">
        <v>1361</v>
      </c>
      <c r="C1377" s="182">
        <f>IFERROR(VLOOKUP($B1377,calc_data,C$14+1,0),0)</f>
        <v/>
      </c>
      <c r="D1377" s="182">
        <f>IFERROR(VLOOKUP($B1377,calc_data,D$14+1,0),0)</f>
        <v/>
      </c>
      <c r="E1377" s="183">
        <f>IFERROR(VLOOKUP($B1377,calc_data,E$14+1,0),0)</f>
        <v/>
      </c>
      <c r="F1377" s="182">
        <f>IFERROR(VLOOKUP($B1377,calc_data,F$14+1,0),0)</f>
        <v/>
      </c>
      <c r="G1377" s="141">
        <f>IFERROR(VLOOKUP($B1377,calc_data,G$14+1,0),0)</f>
        <v/>
      </c>
      <c r="H1377" s="141">
        <f>IFERROR(VLOOKUP($B1377,calc_data,H$14+1,0),0)</f>
        <v/>
      </c>
      <c r="I1377" s="142">
        <f>IFERROR(VLOOKUP($B1377,calc_data,I$14+1,0),0)</f>
        <v/>
      </c>
      <c r="J1377" s="141">
        <f>IFERROR(VLOOKUP($B1377,calc_data,J$14+1,0),0)</f>
        <v/>
      </c>
      <c r="K1377" s="141">
        <f>IFERROR(VLOOKUP($B1377,calc_data,K$14+1,0),0)</f>
        <v/>
      </c>
      <c r="L1377" s="141">
        <f>IFERROR(VLOOKUP($B1377,calc_data,L$14+1,0),0)</f>
        <v/>
      </c>
      <c r="M1377" s="177">
        <f>IFERROR(VLOOKUP($B1377,calc_data,M$14+1,0),0)</f>
        <v/>
      </c>
      <c r="N1377" s="177">
        <f>IFERROR(VLOOKUP($B1377,calc_data,N$14+1,0),0)</f>
        <v/>
      </c>
      <c r="O1377" s="45" t="n"/>
      <c r="Q1377" s="57">
        <f>IF(K1377&gt;0,"показать","скрыть")</f>
        <v/>
      </c>
    </row>
    <row r="1378" ht="15.75" customHeight="1">
      <c r="B1378" s="182" t="n">
        <v>1362</v>
      </c>
      <c r="C1378" s="182">
        <f>IFERROR(VLOOKUP($B1378,calc_data,C$14+1,0),0)</f>
        <v/>
      </c>
      <c r="D1378" s="182">
        <f>IFERROR(VLOOKUP($B1378,calc_data,D$14+1,0),0)</f>
        <v/>
      </c>
      <c r="E1378" s="183">
        <f>IFERROR(VLOOKUP($B1378,calc_data,E$14+1,0),0)</f>
        <v/>
      </c>
      <c r="F1378" s="182">
        <f>IFERROR(VLOOKUP($B1378,calc_data,F$14+1,0),0)</f>
        <v/>
      </c>
      <c r="G1378" s="141">
        <f>IFERROR(VLOOKUP($B1378,calc_data,G$14+1,0),0)</f>
        <v/>
      </c>
      <c r="H1378" s="141">
        <f>IFERROR(VLOOKUP($B1378,calc_data,H$14+1,0),0)</f>
        <v/>
      </c>
      <c r="I1378" s="142">
        <f>IFERROR(VLOOKUP($B1378,calc_data,I$14+1,0),0)</f>
        <v/>
      </c>
      <c r="J1378" s="141">
        <f>IFERROR(VLOOKUP($B1378,calc_data,J$14+1,0),0)</f>
        <v/>
      </c>
      <c r="K1378" s="141">
        <f>IFERROR(VLOOKUP($B1378,calc_data,K$14+1,0),0)</f>
        <v/>
      </c>
      <c r="L1378" s="141">
        <f>IFERROR(VLOOKUP($B1378,calc_data,L$14+1,0),0)</f>
        <v/>
      </c>
      <c r="M1378" s="177">
        <f>IFERROR(VLOOKUP($B1378,calc_data,M$14+1,0),0)</f>
        <v/>
      </c>
      <c r="N1378" s="177">
        <f>IFERROR(VLOOKUP($B1378,calc_data,N$14+1,0),0)</f>
        <v/>
      </c>
      <c r="O1378" s="45" t="n"/>
      <c r="Q1378" s="57">
        <f>IF(K1378&gt;0,"показать","скрыть")</f>
        <v/>
      </c>
    </row>
    <row r="1379" ht="15.75" customHeight="1">
      <c r="B1379" s="182" t="n">
        <v>1363</v>
      </c>
      <c r="C1379" s="182">
        <f>IFERROR(VLOOKUP($B1379,calc_data,C$14+1,0),0)</f>
        <v/>
      </c>
      <c r="D1379" s="182">
        <f>IFERROR(VLOOKUP($B1379,calc_data,D$14+1,0),0)</f>
        <v/>
      </c>
      <c r="E1379" s="183">
        <f>IFERROR(VLOOKUP($B1379,calc_data,E$14+1,0),0)</f>
        <v/>
      </c>
      <c r="F1379" s="182">
        <f>IFERROR(VLOOKUP($B1379,calc_data,F$14+1,0),0)</f>
        <v/>
      </c>
      <c r="G1379" s="141">
        <f>IFERROR(VLOOKUP($B1379,calc_data,G$14+1,0),0)</f>
        <v/>
      </c>
      <c r="H1379" s="141">
        <f>IFERROR(VLOOKUP($B1379,calc_data,H$14+1,0),0)</f>
        <v/>
      </c>
      <c r="I1379" s="142">
        <f>IFERROR(VLOOKUP($B1379,calc_data,I$14+1,0),0)</f>
        <v/>
      </c>
      <c r="J1379" s="141">
        <f>IFERROR(VLOOKUP($B1379,calc_data,J$14+1,0),0)</f>
        <v/>
      </c>
      <c r="K1379" s="141">
        <f>IFERROR(VLOOKUP($B1379,calc_data,K$14+1,0),0)</f>
        <v/>
      </c>
      <c r="L1379" s="141">
        <f>IFERROR(VLOOKUP($B1379,calc_data,L$14+1,0),0)</f>
        <v/>
      </c>
      <c r="M1379" s="177">
        <f>IFERROR(VLOOKUP($B1379,calc_data,M$14+1,0),0)</f>
        <v/>
      </c>
      <c r="N1379" s="177">
        <f>IFERROR(VLOOKUP($B1379,calc_data,N$14+1,0),0)</f>
        <v/>
      </c>
      <c r="O1379" s="45" t="n"/>
      <c r="Q1379" s="57">
        <f>IF(K1379&gt;0,"показать","скрыть")</f>
        <v/>
      </c>
    </row>
    <row r="1380" ht="15.75" customHeight="1">
      <c r="B1380" s="182" t="n">
        <v>1364</v>
      </c>
      <c r="C1380" s="182">
        <f>IFERROR(VLOOKUP($B1380,calc_data,C$14+1,0),0)</f>
        <v/>
      </c>
      <c r="D1380" s="182">
        <f>IFERROR(VLOOKUP($B1380,calc_data,D$14+1,0),0)</f>
        <v/>
      </c>
      <c r="E1380" s="183">
        <f>IFERROR(VLOOKUP($B1380,calc_data,E$14+1,0),0)</f>
        <v/>
      </c>
      <c r="F1380" s="182">
        <f>IFERROR(VLOOKUP($B1380,calc_data,F$14+1,0),0)</f>
        <v/>
      </c>
      <c r="G1380" s="141">
        <f>IFERROR(VLOOKUP($B1380,calc_data,G$14+1,0),0)</f>
        <v/>
      </c>
      <c r="H1380" s="141">
        <f>IFERROR(VLOOKUP($B1380,calc_data,H$14+1,0),0)</f>
        <v/>
      </c>
      <c r="I1380" s="142">
        <f>IFERROR(VLOOKUP($B1380,calc_data,I$14+1,0),0)</f>
        <v/>
      </c>
      <c r="J1380" s="141">
        <f>IFERROR(VLOOKUP($B1380,calc_data,J$14+1,0),0)</f>
        <v/>
      </c>
      <c r="K1380" s="141">
        <f>IFERROR(VLOOKUP($B1380,calc_data,K$14+1,0),0)</f>
        <v/>
      </c>
      <c r="L1380" s="141">
        <f>IFERROR(VLOOKUP($B1380,calc_data,L$14+1,0),0)</f>
        <v/>
      </c>
      <c r="M1380" s="177">
        <f>IFERROR(VLOOKUP($B1380,calc_data,M$14+1,0),0)</f>
        <v/>
      </c>
      <c r="N1380" s="177">
        <f>IFERROR(VLOOKUP($B1380,calc_data,N$14+1,0),0)</f>
        <v/>
      </c>
      <c r="O1380" s="45" t="n"/>
      <c r="Q1380" s="57">
        <f>IF(K1380&gt;0,"показать","скрыть")</f>
        <v/>
      </c>
    </row>
    <row r="1381" ht="15.75" customHeight="1">
      <c r="B1381" s="182" t="n">
        <v>1365</v>
      </c>
      <c r="C1381" s="182">
        <f>IFERROR(VLOOKUP($B1381,calc_data,C$14+1,0),0)</f>
        <v/>
      </c>
      <c r="D1381" s="182">
        <f>IFERROR(VLOOKUP($B1381,calc_data,D$14+1,0),0)</f>
        <v/>
      </c>
      <c r="E1381" s="183">
        <f>IFERROR(VLOOKUP($B1381,calc_data,E$14+1,0),0)</f>
        <v/>
      </c>
      <c r="F1381" s="182">
        <f>IFERROR(VLOOKUP($B1381,calc_data,F$14+1,0),0)</f>
        <v/>
      </c>
      <c r="G1381" s="141">
        <f>IFERROR(VLOOKUP($B1381,calc_data,G$14+1,0),0)</f>
        <v/>
      </c>
      <c r="H1381" s="141">
        <f>IFERROR(VLOOKUP($B1381,calc_data,H$14+1,0),0)</f>
        <v/>
      </c>
      <c r="I1381" s="142">
        <f>IFERROR(VLOOKUP($B1381,calc_data,I$14+1,0),0)</f>
        <v/>
      </c>
      <c r="J1381" s="141">
        <f>IFERROR(VLOOKUP($B1381,calc_data,J$14+1,0),0)</f>
        <v/>
      </c>
      <c r="K1381" s="141">
        <f>IFERROR(VLOOKUP($B1381,calc_data,K$14+1,0),0)</f>
        <v/>
      </c>
      <c r="L1381" s="141">
        <f>IFERROR(VLOOKUP($B1381,calc_data,L$14+1,0),0)</f>
        <v/>
      </c>
      <c r="M1381" s="177">
        <f>IFERROR(VLOOKUP($B1381,calc_data,M$14+1,0),0)</f>
        <v/>
      </c>
      <c r="N1381" s="177">
        <f>IFERROR(VLOOKUP($B1381,calc_data,N$14+1,0),0)</f>
        <v/>
      </c>
      <c r="O1381" s="45" t="n"/>
      <c r="Q1381" s="57">
        <f>IF(K1381&gt;0,"показать","скрыть")</f>
        <v/>
      </c>
    </row>
    <row r="1382" ht="15.75" customHeight="1">
      <c r="B1382" s="182" t="n">
        <v>1366</v>
      </c>
      <c r="C1382" s="182">
        <f>IFERROR(VLOOKUP($B1382,calc_data,C$14+1,0),0)</f>
        <v/>
      </c>
      <c r="D1382" s="182">
        <f>IFERROR(VLOOKUP($B1382,calc_data,D$14+1,0),0)</f>
        <v/>
      </c>
      <c r="E1382" s="183">
        <f>IFERROR(VLOOKUP($B1382,calc_data,E$14+1,0),0)</f>
        <v/>
      </c>
      <c r="F1382" s="182">
        <f>IFERROR(VLOOKUP($B1382,calc_data,F$14+1,0),0)</f>
        <v/>
      </c>
      <c r="G1382" s="141">
        <f>IFERROR(VLOOKUP($B1382,calc_data,G$14+1,0),0)</f>
        <v/>
      </c>
      <c r="H1382" s="141">
        <f>IFERROR(VLOOKUP($B1382,calc_data,H$14+1,0),0)</f>
        <v/>
      </c>
      <c r="I1382" s="142">
        <f>IFERROR(VLOOKUP($B1382,calc_data,I$14+1,0),0)</f>
        <v/>
      </c>
      <c r="J1382" s="141">
        <f>IFERROR(VLOOKUP($B1382,calc_data,J$14+1,0),0)</f>
        <v/>
      </c>
      <c r="K1382" s="141">
        <f>IFERROR(VLOOKUP($B1382,calc_data,K$14+1,0),0)</f>
        <v/>
      </c>
      <c r="L1382" s="141">
        <f>IFERROR(VLOOKUP($B1382,calc_data,L$14+1,0),0)</f>
        <v/>
      </c>
      <c r="M1382" s="177">
        <f>IFERROR(VLOOKUP($B1382,calc_data,M$14+1,0),0)</f>
        <v/>
      </c>
      <c r="N1382" s="177">
        <f>IFERROR(VLOOKUP($B1382,calc_data,N$14+1,0),0)</f>
        <v/>
      </c>
      <c r="O1382" s="45" t="n"/>
      <c r="Q1382" s="57">
        <f>IF(K1382&gt;0,"показать","скрыть")</f>
        <v/>
      </c>
    </row>
    <row r="1383" ht="15.75" customHeight="1">
      <c r="B1383" s="182" t="n">
        <v>1367</v>
      </c>
      <c r="C1383" s="182">
        <f>IFERROR(VLOOKUP($B1383,calc_data,C$14+1,0),0)</f>
        <v/>
      </c>
      <c r="D1383" s="182">
        <f>IFERROR(VLOOKUP($B1383,calc_data,D$14+1,0),0)</f>
        <v/>
      </c>
      <c r="E1383" s="183">
        <f>IFERROR(VLOOKUP($B1383,calc_data,E$14+1,0),0)</f>
        <v/>
      </c>
      <c r="F1383" s="182">
        <f>IFERROR(VLOOKUP($B1383,calc_data,F$14+1,0),0)</f>
        <v/>
      </c>
      <c r="G1383" s="141">
        <f>IFERROR(VLOOKUP($B1383,calc_data,G$14+1,0),0)</f>
        <v/>
      </c>
      <c r="H1383" s="141">
        <f>IFERROR(VLOOKUP($B1383,calc_data,H$14+1,0),0)</f>
        <v/>
      </c>
      <c r="I1383" s="142">
        <f>IFERROR(VLOOKUP($B1383,calc_data,I$14+1,0),0)</f>
        <v/>
      </c>
      <c r="J1383" s="141">
        <f>IFERROR(VLOOKUP($B1383,calc_data,J$14+1,0),0)</f>
        <v/>
      </c>
      <c r="K1383" s="141">
        <f>IFERROR(VLOOKUP($B1383,calc_data,K$14+1,0),0)</f>
        <v/>
      </c>
      <c r="L1383" s="141">
        <f>IFERROR(VLOOKUP($B1383,calc_data,L$14+1,0),0)</f>
        <v/>
      </c>
      <c r="M1383" s="177">
        <f>IFERROR(VLOOKUP($B1383,calc_data,M$14+1,0),0)</f>
        <v/>
      </c>
      <c r="N1383" s="177">
        <f>IFERROR(VLOOKUP($B1383,calc_data,N$14+1,0),0)</f>
        <v/>
      </c>
      <c r="O1383" s="45" t="n"/>
      <c r="Q1383" s="57">
        <f>IF(K1383&gt;0,"показать","скрыть")</f>
        <v/>
      </c>
    </row>
    <row r="1384" ht="15.75" customHeight="1">
      <c r="B1384" s="182" t="n">
        <v>1368</v>
      </c>
      <c r="C1384" s="182">
        <f>IFERROR(VLOOKUP($B1384,calc_data,C$14+1,0),0)</f>
        <v/>
      </c>
      <c r="D1384" s="182">
        <f>IFERROR(VLOOKUP($B1384,calc_data,D$14+1,0),0)</f>
        <v/>
      </c>
      <c r="E1384" s="183">
        <f>IFERROR(VLOOKUP($B1384,calc_data,E$14+1,0),0)</f>
        <v/>
      </c>
      <c r="F1384" s="182">
        <f>IFERROR(VLOOKUP($B1384,calc_data,F$14+1,0),0)</f>
        <v/>
      </c>
      <c r="G1384" s="141">
        <f>IFERROR(VLOOKUP($B1384,calc_data,G$14+1,0),0)</f>
        <v/>
      </c>
      <c r="H1384" s="141">
        <f>IFERROR(VLOOKUP($B1384,calc_data,H$14+1,0),0)</f>
        <v/>
      </c>
      <c r="I1384" s="142">
        <f>IFERROR(VLOOKUP($B1384,calc_data,I$14+1,0),0)</f>
        <v/>
      </c>
      <c r="J1384" s="141">
        <f>IFERROR(VLOOKUP($B1384,calc_data,J$14+1,0),0)</f>
        <v/>
      </c>
      <c r="K1384" s="141">
        <f>IFERROR(VLOOKUP($B1384,calc_data,K$14+1,0),0)</f>
        <v/>
      </c>
      <c r="L1384" s="141">
        <f>IFERROR(VLOOKUP($B1384,calc_data,L$14+1,0),0)</f>
        <v/>
      </c>
      <c r="M1384" s="177">
        <f>IFERROR(VLOOKUP($B1384,calc_data,M$14+1,0),0)</f>
        <v/>
      </c>
      <c r="N1384" s="177">
        <f>IFERROR(VLOOKUP($B1384,calc_data,N$14+1,0),0)</f>
        <v/>
      </c>
      <c r="O1384" s="45" t="n"/>
      <c r="Q1384" s="57">
        <f>IF(K1384&gt;0,"показать","скрыть")</f>
        <v/>
      </c>
    </row>
    <row r="1385" ht="15.75" customHeight="1">
      <c r="B1385" s="182" t="n">
        <v>1369</v>
      </c>
      <c r="C1385" s="182">
        <f>IFERROR(VLOOKUP($B1385,calc_data,C$14+1,0),0)</f>
        <v/>
      </c>
      <c r="D1385" s="182">
        <f>IFERROR(VLOOKUP($B1385,calc_data,D$14+1,0),0)</f>
        <v/>
      </c>
      <c r="E1385" s="183">
        <f>IFERROR(VLOOKUP($B1385,calc_data,E$14+1,0),0)</f>
        <v/>
      </c>
      <c r="F1385" s="182">
        <f>IFERROR(VLOOKUP($B1385,calc_data,F$14+1,0),0)</f>
        <v/>
      </c>
      <c r="G1385" s="141">
        <f>IFERROR(VLOOKUP($B1385,calc_data,G$14+1,0),0)</f>
        <v/>
      </c>
      <c r="H1385" s="141">
        <f>IFERROR(VLOOKUP($B1385,calc_data,H$14+1,0),0)</f>
        <v/>
      </c>
      <c r="I1385" s="142">
        <f>IFERROR(VLOOKUP($B1385,calc_data,I$14+1,0),0)</f>
        <v/>
      </c>
      <c r="J1385" s="141">
        <f>IFERROR(VLOOKUP($B1385,calc_data,J$14+1,0),0)</f>
        <v/>
      </c>
      <c r="K1385" s="141">
        <f>IFERROR(VLOOKUP($B1385,calc_data,K$14+1,0),0)</f>
        <v/>
      </c>
      <c r="L1385" s="141">
        <f>IFERROR(VLOOKUP($B1385,calc_data,L$14+1,0),0)</f>
        <v/>
      </c>
      <c r="M1385" s="177">
        <f>IFERROR(VLOOKUP($B1385,calc_data,M$14+1,0),0)</f>
        <v/>
      </c>
      <c r="N1385" s="177">
        <f>IFERROR(VLOOKUP($B1385,calc_data,N$14+1,0),0)</f>
        <v/>
      </c>
      <c r="O1385" s="45" t="n"/>
      <c r="Q1385" s="57">
        <f>IF(K1385&gt;0,"показать","скрыть")</f>
        <v/>
      </c>
    </row>
    <row r="1386" ht="15.75" customHeight="1">
      <c r="B1386" s="182" t="n">
        <v>1370</v>
      </c>
      <c r="C1386" s="182">
        <f>IFERROR(VLOOKUP($B1386,calc_data,C$14+1,0),0)</f>
        <v/>
      </c>
      <c r="D1386" s="182">
        <f>IFERROR(VLOOKUP($B1386,calc_data,D$14+1,0),0)</f>
        <v/>
      </c>
      <c r="E1386" s="183">
        <f>IFERROR(VLOOKUP($B1386,calc_data,E$14+1,0),0)</f>
        <v/>
      </c>
      <c r="F1386" s="182">
        <f>IFERROR(VLOOKUP($B1386,calc_data,F$14+1,0),0)</f>
        <v/>
      </c>
      <c r="G1386" s="141">
        <f>IFERROR(VLOOKUP($B1386,calc_data,G$14+1,0),0)</f>
        <v/>
      </c>
      <c r="H1386" s="141">
        <f>IFERROR(VLOOKUP($B1386,calc_data,H$14+1,0),0)</f>
        <v/>
      </c>
      <c r="I1386" s="142">
        <f>IFERROR(VLOOKUP($B1386,calc_data,I$14+1,0),0)</f>
        <v/>
      </c>
      <c r="J1386" s="141">
        <f>IFERROR(VLOOKUP($B1386,calc_data,J$14+1,0),0)</f>
        <v/>
      </c>
      <c r="K1386" s="141">
        <f>IFERROR(VLOOKUP($B1386,calc_data,K$14+1,0),0)</f>
        <v/>
      </c>
      <c r="L1386" s="141">
        <f>IFERROR(VLOOKUP($B1386,calc_data,L$14+1,0),0)</f>
        <v/>
      </c>
      <c r="M1386" s="177">
        <f>IFERROR(VLOOKUP($B1386,calc_data,M$14+1,0),0)</f>
        <v/>
      </c>
      <c r="N1386" s="177">
        <f>IFERROR(VLOOKUP($B1386,calc_data,N$14+1,0),0)</f>
        <v/>
      </c>
      <c r="O1386" s="45" t="n"/>
      <c r="Q1386" s="57">
        <f>IF(K1386&gt;0,"показать","скрыть")</f>
        <v/>
      </c>
    </row>
    <row r="1387" ht="15.75" customHeight="1">
      <c r="B1387" s="182" t="n">
        <v>1371</v>
      </c>
      <c r="C1387" s="182">
        <f>IFERROR(VLOOKUP($B1387,calc_data,C$14+1,0),0)</f>
        <v/>
      </c>
      <c r="D1387" s="182">
        <f>IFERROR(VLOOKUP($B1387,calc_data,D$14+1,0),0)</f>
        <v/>
      </c>
      <c r="E1387" s="183">
        <f>IFERROR(VLOOKUP($B1387,calc_data,E$14+1,0),0)</f>
        <v/>
      </c>
      <c r="F1387" s="182">
        <f>IFERROR(VLOOKUP($B1387,calc_data,F$14+1,0),0)</f>
        <v/>
      </c>
      <c r="G1387" s="141">
        <f>IFERROR(VLOOKUP($B1387,calc_data,G$14+1,0),0)</f>
        <v/>
      </c>
      <c r="H1387" s="141">
        <f>IFERROR(VLOOKUP($B1387,calc_data,H$14+1,0),0)</f>
        <v/>
      </c>
      <c r="I1387" s="142">
        <f>IFERROR(VLOOKUP($B1387,calc_data,I$14+1,0),0)</f>
        <v/>
      </c>
      <c r="J1387" s="141">
        <f>IFERROR(VLOOKUP($B1387,calc_data,J$14+1,0),0)</f>
        <v/>
      </c>
      <c r="K1387" s="141">
        <f>IFERROR(VLOOKUP($B1387,calc_data,K$14+1,0),0)</f>
        <v/>
      </c>
      <c r="L1387" s="141">
        <f>IFERROR(VLOOKUP($B1387,calc_data,L$14+1,0),0)</f>
        <v/>
      </c>
      <c r="M1387" s="177">
        <f>IFERROR(VLOOKUP($B1387,calc_data,M$14+1,0),0)</f>
        <v/>
      </c>
      <c r="N1387" s="177">
        <f>IFERROR(VLOOKUP($B1387,calc_data,N$14+1,0),0)</f>
        <v/>
      </c>
      <c r="O1387" s="45" t="n"/>
      <c r="Q1387" s="57">
        <f>IF(K1387&gt;0,"показать","скрыть")</f>
        <v/>
      </c>
    </row>
    <row r="1388" ht="15.75" customHeight="1">
      <c r="B1388" s="182" t="n">
        <v>1372</v>
      </c>
      <c r="C1388" s="182">
        <f>IFERROR(VLOOKUP($B1388,calc_data,C$14+1,0),0)</f>
        <v/>
      </c>
      <c r="D1388" s="182">
        <f>IFERROR(VLOOKUP($B1388,calc_data,D$14+1,0),0)</f>
        <v/>
      </c>
      <c r="E1388" s="183">
        <f>IFERROR(VLOOKUP($B1388,calc_data,E$14+1,0),0)</f>
        <v/>
      </c>
      <c r="F1388" s="182">
        <f>IFERROR(VLOOKUP($B1388,calc_data,F$14+1,0),0)</f>
        <v/>
      </c>
      <c r="G1388" s="141">
        <f>IFERROR(VLOOKUP($B1388,calc_data,G$14+1,0),0)</f>
        <v/>
      </c>
      <c r="H1388" s="141">
        <f>IFERROR(VLOOKUP($B1388,calc_data,H$14+1,0),0)</f>
        <v/>
      </c>
      <c r="I1388" s="142">
        <f>IFERROR(VLOOKUP($B1388,calc_data,I$14+1,0),0)</f>
        <v/>
      </c>
      <c r="J1388" s="141">
        <f>IFERROR(VLOOKUP($B1388,calc_data,J$14+1,0),0)</f>
        <v/>
      </c>
      <c r="K1388" s="141">
        <f>IFERROR(VLOOKUP($B1388,calc_data,K$14+1,0),0)</f>
        <v/>
      </c>
      <c r="L1388" s="141">
        <f>IFERROR(VLOOKUP($B1388,calc_data,L$14+1,0),0)</f>
        <v/>
      </c>
      <c r="M1388" s="177">
        <f>IFERROR(VLOOKUP($B1388,calc_data,M$14+1,0),0)</f>
        <v/>
      </c>
      <c r="N1388" s="177">
        <f>IFERROR(VLOOKUP($B1388,calc_data,N$14+1,0),0)</f>
        <v/>
      </c>
      <c r="O1388" s="45" t="n"/>
      <c r="Q1388" s="57">
        <f>IF(K1388&gt;0,"показать","скрыть")</f>
        <v/>
      </c>
    </row>
    <row r="1389" ht="15.75" customHeight="1">
      <c r="B1389" s="182" t="n">
        <v>1373</v>
      </c>
      <c r="C1389" s="182">
        <f>IFERROR(VLOOKUP($B1389,calc_data,C$14+1,0),0)</f>
        <v/>
      </c>
      <c r="D1389" s="182">
        <f>IFERROR(VLOOKUP($B1389,calc_data,D$14+1,0),0)</f>
        <v/>
      </c>
      <c r="E1389" s="183">
        <f>IFERROR(VLOOKUP($B1389,calc_data,E$14+1,0),0)</f>
        <v/>
      </c>
      <c r="F1389" s="182">
        <f>IFERROR(VLOOKUP($B1389,calc_data,F$14+1,0),0)</f>
        <v/>
      </c>
      <c r="G1389" s="141">
        <f>IFERROR(VLOOKUP($B1389,calc_data,G$14+1,0),0)</f>
        <v/>
      </c>
      <c r="H1389" s="141">
        <f>IFERROR(VLOOKUP($B1389,calc_data,H$14+1,0),0)</f>
        <v/>
      </c>
      <c r="I1389" s="142">
        <f>IFERROR(VLOOKUP($B1389,calc_data,I$14+1,0),0)</f>
        <v/>
      </c>
      <c r="J1389" s="141">
        <f>IFERROR(VLOOKUP($B1389,calc_data,J$14+1,0),0)</f>
        <v/>
      </c>
      <c r="K1389" s="141">
        <f>IFERROR(VLOOKUP($B1389,calc_data,K$14+1,0),0)</f>
        <v/>
      </c>
      <c r="L1389" s="141">
        <f>IFERROR(VLOOKUP($B1389,calc_data,L$14+1,0),0)</f>
        <v/>
      </c>
      <c r="M1389" s="177">
        <f>IFERROR(VLOOKUP($B1389,calc_data,M$14+1,0),0)</f>
        <v/>
      </c>
      <c r="N1389" s="177">
        <f>IFERROR(VLOOKUP($B1389,calc_data,N$14+1,0),0)</f>
        <v/>
      </c>
      <c r="O1389" s="45" t="n"/>
      <c r="Q1389" s="57">
        <f>IF(K1389&gt;0,"показать","скрыть")</f>
        <v/>
      </c>
    </row>
    <row r="1390" ht="15.75" customHeight="1">
      <c r="B1390" s="182" t="n">
        <v>1374</v>
      </c>
      <c r="C1390" s="182">
        <f>IFERROR(VLOOKUP($B1390,calc_data,C$14+1,0),0)</f>
        <v/>
      </c>
      <c r="D1390" s="182">
        <f>IFERROR(VLOOKUP($B1390,calc_data,D$14+1,0),0)</f>
        <v/>
      </c>
      <c r="E1390" s="183">
        <f>IFERROR(VLOOKUP($B1390,calc_data,E$14+1,0),0)</f>
        <v/>
      </c>
      <c r="F1390" s="182">
        <f>IFERROR(VLOOKUP($B1390,calc_data,F$14+1,0),0)</f>
        <v/>
      </c>
      <c r="G1390" s="141">
        <f>IFERROR(VLOOKUP($B1390,calc_data,G$14+1,0),0)</f>
        <v/>
      </c>
      <c r="H1390" s="141">
        <f>IFERROR(VLOOKUP($B1390,calc_data,H$14+1,0),0)</f>
        <v/>
      </c>
      <c r="I1390" s="142">
        <f>IFERROR(VLOOKUP($B1390,calc_data,I$14+1,0),0)</f>
        <v/>
      </c>
      <c r="J1390" s="141">
        <f>IFERROR(VLOOKUP($B1390,calc_data,J$14+1,0),0)</f>
        <v/>
      </c>
      <c r="K1390" s="141">
        <f>IFERROR(VLOOKUP($B1390,calc_data,K$14+1,0),0)</f>
        <v/>
      </c>
      <c r="L1390" s="141">
        <f>IFERROR(VLOOKUP($B1390,calc_data,L$14+1,0),0)</f>
        <v/>
      </c>
      <c r="M1390" s="177">
        <f>IFERROR(VLOOKUP($B1390,calc_data,M$14+1,0),0)</f>
        <v/>
      </c>
      <c r="N1390" s="177">
        <f>IFERROR(VLOOKUP($B1390,calc_data,N$14+1,0),0)</f>
        <v/>
      </c>
      <c r="O1390" s="45" t="n"/>
      <c r="Q1390" s="57">
        <f>IF(K1390&gt;0,"показать","скрыть")</f>
        <v/>
      </c>
    </row>
    <row r="1391" ht="15.75" customHeight="1">
      <c r="B1391" s="182" t="n">
        <v>1375</v>
      </c>
      <c r="C1391" s="182">
        <f>IFERROR(VLOOKUP($B1391,calc_data,C$14+1,0),0)</f>
        <v/>
      </c>
      <c r="D1391" s="182">
        <f>IFERROR(VLOOKUP($B1391,calc_data,D$14+1,0),0)</f>
        <v/>
      </c>
      <c r="E1391" s="183">
        <f>IFERROR(VLOOKUP($B1391,calc_data,E$14+1,0),0)</f>
        <v/>
      </c>
      <c r="F1391" s="182">
        <f>IFERROR(VLOOKUP($B1391,calc_data,F$14+1,0),0)</f>
        <v/>
      </c>
      <c r="G1391" s="141">
        <f>IFERROR(VLOOKUP($B1391,calc_data,G$14+1,0),0)</f>
        <v/>
      </c>
      <c r="H1391" s="141">
        <f>IFERROR(VLOOKUP($B1391,calc_data,H$14+1,0),0)</f>
        <v/>
      </c>
      <c r="I1391" s="142">
        <f>IFERROR(VLOOKUP($B1391,calc_data,I$14+1,0),0)</f>
        <v/>
      </c>
      <c r="J1391" s="141">
        <f>IFERROR(VLOOKUP($B1391,calc_data,J$14+1,0),0)</f>
        <v/>
      </c>
      <c r="K1391" s="141">
        <f>IFERROR(VLOOKUP($B1391,calc_data,K$14+1,0),0)</f>
        <v/>
      </c>
      <c r="L1391" s="141">
        <f>IFERROR(VLOOKUP($B1391,calc_data,L$14+1,0),0)</f>
        <v/>
      </c>
      <c r="M1391" s="177">
        <f>IFERROR(VLOOKUP($B1391,calc_data,M$14+1,0),0)</f>
        <v/>
      </c>
      <c r="N1391" s="177">
        <f>IFERROR(VLOOKUP($B1391,calc_data,N$14+1,0),0)</f>
        <v/>
      </c>
      <c r="O1391" s="45" t="n"/>
      <c r="Q1391" s="57">
        <f>IF(K1391&gt;0,"показать","скрыть")</f>
        <v/>
      </c>
    </row>
    <row r="1392" ht="15.75" customHeight="1">
      <c r="B1392" s="182" t="n">
        <v>1376</v>
      </c>
      <c r="C1392" s="182">
        <f>IFERROR(VLOOKUP($B1392,calc_data,C$14+1,0),0)</f>
        <v/>
      </c>
      <c r="D1392" s="182">
        <f>IFERROR(VLOOKUP($B1392,calc_data,D$14+1,0),0)</f>
        <v/>
      </c>
      <c r="E1392" s="183">
        <f>IFERROR(VLOOKUP($B1392,calc_data,E$14+1,0),0)</f>
        <v/>
      </c>
      <c r="F1392" s="182">
        <f>IFERROR(VLOOKUP($B1392,calc_data,F$14+1,0),0)</f>
        <v/>
      </c>
      <c r="G1392" s="141">
        <f>IFERROR(VLOOKUP($B1392,calc_data,G$14+1,0),0)</f>
        <v/>
      </c>
      <c r="H1392" s="141">
        <f>IFERROR(VLOOKUP($B1392,calc_data,H$14+1,0),0)</f>
        <v/>
      </c>
      <c r="I1392" s="142">
        <f>IFERROR(VLOOKUP($B1392,calc_data,I$14+1,0),0)</f>
        <v/>
      </c>
      <c r="J1392" s="141">
        <f>IFERROR(VLOOKUP($B1392,calc_data,J$14+1,0),0)</f>
        <v/>
      </c>
      <c r="K1392" s="141">
        <f>IFERROR(VLOOKUP($B1392,calc_data,K$14+1,0),0)</f>
        <v/>
      </c>
      <c r="L1392" s="141">
        <f>IFERROR(VLOOKUP($B1392,calc_data,L$14+1,0),0)</f>
        <v/>
      </c>
      <c r="M1392" s="177">
        <f>IFERROR(VLOOKUP($B1392,calc_data,M$14+1,0),0)</f>
        <v/>
      </c>
      <c r="N1392" s="177">
        <f>IFERROR(VLOOKUP($B1392,calc_data,N$14+1,0),0)</f>
        <v/>
      </c>
      <c r="O1392" s="45" t="n"/>
      <c r="Q1392" s="57">
        <f>IF(K1392&gt;0,"показать","скрыть")</f>
        <v/>
      </c>
    </row>
    <row r="1393" ht="15.75" customHeight="1">
      <c r="B1393" s="182" t="n">
        <v>1377</v>
      </c>
      <c r="C1393" s="182">
        <f>IFERROR(VLOOKUP($B1393,calc_data,C$14+1,0),0)</f>
        <v/>
      </c>
      <c r="D1393" s="182">
        <f>IFERROR(VLOOKUP($B1393,calc_data,D$14+1,0),0)</f>
        <v/>
      </c>
      <c r="E1393" s="183">
        <f>IFERROR(VLOOKUP($B1393,calc_data,E$14+1,0),0)</f>
        <v/>
      </c>
      <c r="F1393" s="182">
        <f>IFERROR(VLOOKUP($B1393,calc_data,F$14+1,0),0)</f>
        <v/>
      </c>
      <c r="G1393" s="141">
        <f>IFERROR(VLOOKUP($B1393,calc_data,G$14+1,0),0)</f>
        <v/>
      </c>
      <c r="H1393" s="141">
        <f>IFERROR(VLOOKUP($B1393,calc_data,H$14+1,0),0)</f>
        <v/>
      </c>
      <c r="I1393" s="142">
        <f>IFERROR(VLOOKUP($B1393,calc_data,I$14+1,0),0)</f>
        <v/>
      </c>
      <c r="J1393" s="141">
        <f>IFERROR(VLOOKUP($B1393,calc_data,J$14+1,0),0)</f>
        <v/>
      </c>
      <c r="K1393" s="141">
        <f>IFERROR(VLOOKUP($B1393,calc_data,K$14+1,0),0)</f>
        <v/>
      </c>
      <c r="L1393" s="141">
        <f>IFERROR(VLOOKUP($B1393,calc_data,L$14+1,0),0)</f>
        <v/>
      </c>
      <c r="M1393" s="177">
        <f>IFERROR(VLOOKUP($B1393,calc_data,M$14+1,0),0)</f>
        <v/>
      </c>
      <c r="N1393" s="177">
        <f>IFERROR(VLOOKUP($B1393,calc_data,N$14+1,0),0)</f>
        <v/>
      </c>
      <c r="O1393" s="45" t="n"/>
      <c r="Q1393" s="57">
        <f>IF(K1393&gt;0,"показать","скрыть")</f>
        <v/>
      </c>
    </row>
    <row r="1394" ht="15.75" customHeight="1">
      <c r="B1394" s="182" t="n">
        <v>1378</v>
      </c>
      <c r="C1394" s="182">
        <f>IFERROR(VLOOKUP($B1394,calc_data,C$14+1,0),0)</f>
        <v/>
      </c>
      <c r="D1394" s="182">
        <f>IFERROR(VLOOKUP($B1394,calc_data,D$14+1,0),0)</f>
        <v/>
      </c>
      <c r="E1394" s="183">
        <f>IFERROR(VLOOKUP($B1394,calc_data,E$14+1,0),0)</f>
        <v/>
      </c>
      <c r="F1394" s="182">
        <f>IFERROR(VLOOKUP($B1394,calc_data,F$14+1,0),0)</f>
        <v/>
      </c>
      <c r="G1394" s="141">
        <f>IFERROR(VLOOKUP($B1394,calc_data,G$14+1,0),0)</f>
        <v/>
      </c>
      <c r="H1394" s="141">
        <f>IFERROR(VLOOKUP($B1394,calc_data,H$14+1,0),0)</f>
        <v/>
      </c>
      <c r="I1394" s="142">
        <f>IFERROR(VLOOKUP($B1394,calc_data,I$14+1,0),0)</f>
        <v/>
      </c>
      <c r="J1394" s="141">
        <f>IFERROR(VLOOKUP($B1394,calc_data,J$14+1,0),0)</f>
        <v/>
      </c>
      <c r="K1394" s="141">
        <f>IFERROR(VLOOKUP($B1394,calc_data,K$14+1,0),0)</f>
        <v/>
      </c>
      <c r="L1394" s="141">
        <f>IFERROR(VLOOKUP($B1394,calc_data,L$14+1,0),0)</f>
        <v/>
      </c>
      <c r="M1394" s="177">
        <f>IFERROR(VLOOKUP($B1394,calc_data,M$14+1,0),0)</f>
        <v/>
      </c>
      <c r="N1394" s="177">
        <f>IFERROR(VLOOKUP($B1394,calc_data,N$14+1,0),0)</f>
        <v/>
      </c>
      <c r="O1394" s="45" t="n"/>
      <c r="Q1394" s="57">
        <f>IF(K1394&gt;0,"показать","скрыть")</f>
        <v/>
      </c>
    </row>
    <row r="1395" ht="15.75" customHeight="1">
      <c r="B1395" s="182" t="n">
        <v>1379</v>
      </c>
      <c r="C1395" s="182">
        <f>IFERROR(VLOOKUP($B1395,calc_data,C$14+1,0),0)</f>
        <v/>
      </c>
      <c r="D1395" s="182">
        <f>IFERROR(VLOOKUP($B1395,calc_data,D$14+1,0),0)</f>
        <v/>
      </c>
      <c r="E1395" s="183">
        <f>IFERROR(VLOOKUP($B1395,calc_data,E$14+1,0),0)</f>
        <v/>
      </c>
      <c r="F1395" s="182">
        <f>IFERROR(VLOOKUP($B1395,calc_data,F$14+1,0),0)</f>
        <v/>
      </c>
      <c r="G1395" s="141">
        <f>IFERROR(VLOOKUP($B1395,calc_data,G$14+1,0),0)</f>
        <v/>
      </c>
      <c r="H1395" s="141">
        <f>IFERROR(VLOOKUP($B1395,calc_data,H$14+1,0),0)</f>
        <v/>
      </c>
      <c r="I1395" s="142">
        <f>IFERROR(VLOOKUP($B1395,calc_data,I$14+1,0),0)</f>
        <v/>
      </c>
      <c r="J1395" s="141">
        <f>IFERROR(VLOOKUP($B1395,calc_data,J$14+1,0),0)</f>
        <v/>
      </c>
      <c r="K1395" s="141">
        <f>IFERROR(VLOOKUP($B1395,calc_data,K$14+1,0),0)</f>
        <v/>
      </c>
      <c r="L1395" s="141">
        <f>IFERROR(VLOOKUP($B1395,calc_data,L$14+1,0),0)</f>
        <v/>
      </c>
      <c r="M1395" s="177">
        <f>IFERROR(VLOOKUP($B1395,calc_data,M$14+1,0),0)</f>
        <v/>
      </c>
      <c r="N1395" s="177">
        <f>IFERROR(VLOOKUP($B1395,calc_data,N$14+1,0),0)</f>
        <v/>
      </c>
      <c r="O1395" s="45" t="n"/>
      <c r="Q1395" s="57">
        <f>IF(K1395&gt;0,"показать","скрыть")</f>
        <v/>
      </c>
    </row>
    <row r="1396" ht="15.75" customHeight="1">
      <c r="B1396" s="182" t="n">
        <v>1380</v>
      </c>
      <c r="C1396" s="182">
        <f>IFERROR(VLOOKUP($B1396,calc_data,C$14+1,0),0)</f>
        <v/>
      </c>
      <c r="D1396" s="182">
        <f>IFERROR(VLOOKUP($B1396,calc_data,D$14+1,0),0)</f>
        <v/>
      </c>
      <c r="E1396" s="183">
        <f>IFERROR(VLOOKUP($B1396,calc_data,E$14+1,0),0)</f>
        <v/>
      </c>
      <c r="F1396" s="182">
        <f>IFERROR(VLOOKUP($B1396,calc_data,F$14+1,0),0)</f>
        <v/>
      </c>
      <c r="G1396" s="141">
        <f>IFERROR(VLOOKUP($B1396,calc_data,G$14+1,0),0)</f>
        <v/>
      </c>
      <c r="H1396" s="141">
        <f>IFERROR(VLOOKUP($B1396,calc_data,H$14+1,0),0)</f>
        <v/>
      </c>
      <c r="I1396" s="142">
        <f>IFERROR(VLOOKUP($B1396,calc_data,I$14+1,0),0)</f>
        <v/>
      </c>
      <c r="J1396" s="141">
        <f>IFERROR(VLOOKUP($B1396,calc_data,J$14+1,0),0)</f>
        <v/>
      </c>
      <c r="K1396" s="141">
        <f>IFERROR(VLOOKUP($B1396,calc_data,K$14+1,0),0)</f>
        <v/>
      </c>
      <c r="L1396" s="141">
        <f>IFERROR(VLOOKUP($B1396,calc_data,L$14+1,0),0)</f>
        <v/>
      </c>
      <c r="M1396" s="177">
        <f>IFERROR(VLOOKUP($B1396,calc_data,M$14+1,0),0)</f>
        <v/>
      </c>
      <c r="N1396" s="177">
        <f>IFERROR(VLOOKUP($B1396,calc_data,N$14+1,0),0)</f>
        <v/>
      </c>
      <c r="O1396" s="45" t="n"/>
      <c r="Q1396" s="57">
        <f>IF(K1396&gt;0,"показать","скрыть")</f>
        <v/>
      </c>
    </row>
    <row r="1397" ht="15.75" customHeight="1">
      <c r="B1397" s="182" t="n">
        <v>1381</v>
      </c>
      <c r="C1397" s="182">
        <f>IFERROR(VLOOKUP($B1397,calc_data,C$14+1,0),0)</f>
        <v/>
      </c>
      <c r="D1397" s="182">
        <f>IFERROR(VLOOKUP($B1397,calc_data,D$14+1,0),0)</f>
        <v/>
      </c>
      <c r="E1397" s="183">
        <f>IFERROR(VLOOKUP($B1397,calc_data,E$14+1,0),0)</f>
        <v/>
      </c>
      <c r="F1397" s="182">
        <f>IFERROR(VLOOKUP($B1397,calc_data,F$14+1,0),0)</f>
        <v/>
      </c>
      <c r="G1397" s="141">
        <f>IFERROR(VLOOKUP($B1397,calc_data,G$14+1,0),0)</f>
        <v/>
      </c>
      <c r="H1397" s="141">
        <f>IFERROR(VLOOKUP($B1397,calc_data,H$14+1,0),0)</f>
        <v/>
      </c>
      <c r="I1397" s="142">
        <f>IFERROR(VLOOKUP($B1397,calc_data,I$14+1,0),0)</f>
        <v/>
      </c>
      <c r="J1397" s="141">
        <f>IFERROR(VLOOKUP($B1397,calc_data,J$14+1,0),0)</f>
        <v/>
      </c>
      <c r="K1397" s="141">
        <f>IFERROR(VLOOKUP($B1397,calc_data,K$14+1,0),0)</f>
        <v/>
      </c>
      <c r="L1397" s="141">
        <f>IFERROR(VLOOKUP($B1397,calc_data,L$14+1,0),0)</f>
        <v/>
      </c>
      <c r="M1397" s="177">
        <f>IFERROR(VLOOKUP($B1397,calc_data,M$14+1,0),0)</f>
        <v/>
      </c>
      <c r="N1397" s="177">
        <f>IFERROR(VLOOKUP($B1397,calc_data,N$14+1,0),0)</f>
        <v/>
      </c>
      <c r="O1397" s="45" t="n"/>
      <c r="Q1397" s="57">
        <f>IF(K1397&gt;0,"показать","скрыть")</f>
        <v/>
      </c>
    </row>
    <row r="1398" ht="15.75" customHeight="1">
      <c r="B1398" s="182" t="n">
        <v>1382</v>
      </c>
      <c r="C1398" s="182">
        <f>IFERROR(VLOOKUP($B1398,calc_data,C$14+1,0),0)</f>
        <v/>
      </c>
      <c r="D1398" s="182">
        <f>IFERROR(VLOOKUP($B1398,calc_data,D$14+1,0),0)</f>
        <v/>
      </c>
      <c r="E1398" s="183">
        <f>IFERROR(VLOOKUP($B1398,calc_data,E$14+1,0),0)</f>
        <v/>
      </c>
      <c r="F1398" s="182">
        <f>IFERROR(VLOOKUP($B1398,calc_data,F$14+1,0),0)</f>
        <v/>
      </c>
      <c r="G1398" s="141">
        <f>IFERROR(VLOOKUP($B1398,calc_data,G$14+1,0),0)</f>
        <v/>
      </c>
      <c r="H1398" s="141">
        <f>IFERROR(VLOOKUP($B1398,calc_data,H$14+1,0),0)</f>
        <v/>
      </c>
      <c r="I1398" s="142">
        <f>IFERROR(VLOOKUP($B1398,calc_data,I$14+1,0),0)</f>
        <v/>
      </c>
      <c r="J1398" s="141">
        <f>IFERROR(VLOOKUP($B1398,calc_data,J$14+1,0),0)</f>
        <v/>
      </c>
      <c r="K1398" s="141">
        <f>IFERROR(VLOOKUP($B1398,calc_data,K$14+1,0),0)</f>
        <v/>
      </c>
      <c r="L1398" s="141">
        <f>IFERROR(VLOOKUP($B1398,calc_data,L$14+1,0),0)</f>
        <v/>
      </c>
      <c r="M1398" s="177">
        <f>IFERROR(VLOOKUP($B1398,calc_data,M$14+1,0),0)</f>
        <v/>
      </c>
      <c r="N1398" s="177">
        <f>IFERROR(VLOOKUP($B1398,calc_data,N$14+1,0),0)</f>
        <v/>
      </c>
      <c r="O1398" s="45" t="n"/>
      <c r="Q1398" s="57">
        <f>IF(K1398&gt;0,"показать","скрыть")</f>
        <v/>
      </c>
    </row>
    <row r="1399" ht="15.75" customHeight="1">
      <c r="B1399" s="182" t="n">
        <v>1383</v>
      </c>
      <c r="C1399" s="182">
        <f>IFERROR(VLOOKUP($B1399,calc_data,C$14+1,0),0)</f>
        <v/>
      </c>
      <c r="D1399" s="182">
        <f>IFERROR(VLOOKUP($B1399,calc_data,D$14+1,0),0)</f>
        <v/>
      </c>
      <c r="E1399" s="183">
        <f>IFERROR(VLOOKUP($B1399,calc_data,E$14+1,0),0)</f>
        <v/>
      </c>
      <c r="F1399" s="182">
        <f>IFERROR(VLOOKUP($B1399,calc_data,F$14+1,0),0)</f>
        <v/>
      </c>
      <c r="G1399" s="141">
        <f>IFERROR(VLOOKUP($B1399,calc_data,G$14+1,0),0)</f>
        <v/>
      </c>
      <c r="H1399" s="141">
        <f>IFERROR(VLOOKUP($B1399,calc_data,H$14+1,0),0)</f>
        <v/>
      </c>
      <c r="I1399" s="142">
        <f>IFERROR(VLOOKUP($B1399,calc_data,I$14+1,0),0)</f>
        <v/>
      </c>
      <c r="J1399" s="141">
        <f>IFERROR(VLOOKUP($B1399,calc_data,J$14+1,0),0)</f>
        <v/>
      </c>
      <c r="K1399" s="141">
        <f>IFERROR(VLOOKUP($B1399,calc_data,K$14+1,0),0)</f>
        <v/>
      </c>
      <c r="L1399" s="141">
        <f>IFERROR(VLOOKUP($B1399,calc_data,L$14+1,0),0)</f>
        <v/>
      </c>
      <c r="M1399" s="177">
        <f>IFERROR(VLOOKUP($B1399,calc_data,M$14+1,0),0)</f>
        <v/>
      </c>
      <c r="N1399" s="177">
        <f>IFERROR(VLOOKUP($B1399,calc_data,N$14+1,0),0)</f>
        <v/>
      </c>
      <c r="O1399" s="45" t="n"/>
      <c r="Q1399" s="57">
        <f>IF(K1399&gt;0,"показать","скрыть")</f>
        <v/>
      </c>
    </row>
    <row r="1400" ht="15.75" customHeight="1">
      <c r="B1400" s="182" t="n">
        <v>1384</v>
      </c>
      <c r="C1400" s="182">
        <f>IFERROR(VLOOKUP($B1400,calc_data,C$14+1,0),0)</f>
        <v/>
      </c>
      <c r="D1400" s="182">
        <f>IFERROR(VLOOKUP($B1400,calc_data,D$14+1,0),0)</f>
        <v/>
      </c>
      <c r="E1400" s="183">
        <f>IFERROR(VLOOKUP($B1400,calc_data,E$14+1,0),0)</f>
        <v/>
      </c>
      <c r="F1400" s="182">
        <f>IFERROR(VLOOKUP($B1400,calc_data,F$14+1,0),0)</f>
        <v/>
      </c>
      <c r="G1400" s="141">
        <f>IFERROR(VLOOKUP($B1400,calc_data,G$14+1,0),0)</f>
        <v/>
      </c>
      <c r="H1400" s="141">
        <f>IFERROR(VLOOKUP($B1400,calc_data,H$14+1,0),0)</f>
        <v/>
      </c>
      <c r="I1400" s="142">
        <f>IFERROR(VLOOKUP($B1400,calc_data,I$14+1,0),0)</f>
        <v/>
      </c>
      <c r="J1400" s="141">
        <f>IFERROR(VLOOKUP($B1400,calc_data,J$14+1,0),0)</f>
        <v/>
      </c>
      <c r="K1400" s="141">
        <f>IFERROR(VLOOKUP($B1400,calc_data,K$14+1,0),0)</f>
        <v/>
      </c>
      <c r="L1400" s="141">
        <f>IFERROR(VLOOKUP($B1400,calc_data,L$14+1,0),0)</f>
        <v/>
      </c>
      <c r="M1400" s="177">
        <f>IFERROR(VLOOKUP($B1400,calc_data,M$14+1,0),0)</f>
        <v/>
      </c>
      <c r="N1400" s="177">
        <f>IFERROR(VLOOKUP($B1400,calc_data,N$14+1,0),0)</f>
        <v/>
      </c>
      <c r="O1400" s="45" t="n"/>
      <c r="Q1400" s="57">
        <f>IF(K1400&gt;0,"показать","скрыть")</f>
        <v/>
      </c>
    </row>
    <row r="1401" ht="15.75" customHeight="1">
      <c r="B1401" s="182" t="n">
        <v>1385</v>
      </c>
      <c r="C1401" s="182">
        <f>IFERROR(VLOOKUP($B1401,calc_data,C$14+1,0),0)</f>
        <v/>
      </c>
      <c r="D1401" s="182">
        <f>IFERROR(VLOOKUP($B1401,calc_data,D$14+1,0),0)</f>
        <v/>
      </c>
      <c r="E1401" s="183">
        <f>IFERROR(VLOOKUP($B1401,calc_data,E$14+1,0),0)</f>
        <v/>
      </c>
      <c r="F1401" s="182">
        <f>IFERROR(VLOOKUP($B1401,calc_data,F$14+1,0),0)</f>
        <v/>
      </c>
      <c r="G1401" s="141">
        <f>IFERROR(VLOOKUP($B1401,calc_data,G$14+1,0),0)</f>
        <v/>
      </c>
      <c r="H1401" s="141">
        <f>IFERROR(VLOOKUP($B1401,calc_data,H$14+1,0),0)</f>
        <v/>
      </c>
      <c r="I1401" s="142">
        <f>IFERROR(VLOOKUP($B1401,calc_data,I$14+1,0),0)</f>
        <v/>
      </c>
      <c r="J1401" s="141">
        <f>IFERROR(VLOOKUP($B1401,calc_data,J$14+1,0),0)</f>
        <v/>
      </c>
      <c r="K1401" s="141">
        <f>IFERROR(VLOOKUP($B1401,calc_data,K$14+1,0),0)</f>
        <v/>
      </c>
      <c r="L1401" s="141">
        <f>IFERROR(VLOOKUP($B1401,calc_data,L$14+1,0),0)</f>
        <v/>
      </c>
      <c r="M1401" s="177">
        <f>IFERROR(VLOOKUP($B1401,calc_data,M$14+1,0),0)</f>
        <v/>
      </c>
      <c r="N1401" s="177">
        <f>IFERROR(VLOOKUP($B1401,calc_data,N$14+1,0),0)</f>
        <v/>
      </c>
      <c r="O1401" s="45" t="n"/>
      <c r="Q1401" s="57">
        <f>IF(K1401&gt;0,"показать","скрыть")</f>
        <v/>
      </c>
    </row>
    <row r="1402" ht="15.75" customHeight="1">
      <c r="B1402" s="182" t="n">
        <v>1386</v>
      </c>
      <c r="C1402" s="182">
        <f>IFERROR(VLOOKUP($B1402,calc_data,C$14+1,0),0)</f>
        <v/>
      </c>
      <c r="D1402" s="182">
        <f>IFERROR(VLOOKUP($B1402,calc_data,D$14+1,0),0)</f>
        <v/>
      </c>
      <c r="E1402" s="183">
        <f>IFERROR(VLOOKUP($B1402,calc_data,E$14+1,0),0)</f>
        <v/>
      </c>
      <c r="F1402" s="182">
        <f>IFERROR(VLOOKUP($B1402,calc_data,F$14+1,0),0)</f>
        <v/>
      </c>
      <c r="G1402" s="141">
        <f>IFERROR(VLOOKUP($B1402,calc_data,G$14+1,0),0)</f>
        <v/>
      </c>
      <c r="H1402" s="141">
        <f>IFERROR(VLOOKUP($B1402,calc_data,H$14+1,0),0)</f>
        <v/>
      </c>
      <c r="I1402" s="142">
        <f>IFERROR(VLOOKUP($B1402,calc_data,I$14+1,0),0)</f>
        <v/>
      </c>
      <c r="J1402" s="141">
        <f>IFERROR(VLOOKUP($B1402,calc_data,J$14+1,0),0)</f>
        <v/>
      </c>
      <c r="K1402" s="141">
        <f>IFERROR(VLOOKUP($B1402,calc_data,K$14+1,0),0)</f>
        <v/>
      </c>
      <c r="L1402" s="141">
        <f>IFERROR(VLOOKUP($B1402,calc_data,L$14+1,0),0)</f>
        <v/>
      </c>
      <c r="M1402" s="177">
        <f>IFERROR(VLOOKUP($B1402,calc_data,M$14+1,0),0)</f>
        <v/>
      </c>
      <c r="N1402" s="177">
        <f>IFERROR(VLOOKUP($B1402,calc_data,N$14+1,0),0)</f>
        <v/>
      </c>
      <c r="O1402" s="45" t="n"/>
      <c r="Q1402" s="57">
        <f>IF(K1402&gt;0,"показать","скрыть")</f>
        <v/>
      </c>
    </row>
    <row r="1403" ht="15.75" customHeight="1">
      <c r="B1403" s="182" t="n">
        <v>1387</v>
      </c>
      <c r="C1403" s="182">
        <f>IFERROR(VLOOKUP($B1403,calc_data,C$14+1,0),0)</f>
        <v/>
      </c>
      <c r="D1403" s="182">
        <f>IFERROR(VLOOKUP($B1403,calc_data,D$14+1,0),0)</f>
        <v/>
      </c>
      <c r="E1403" s="183">
        <f>IFERROR(VLOOKUP($B1403,calc_data,E$14+1,0),0)</f>
        <v/>
      </c>
      <c r="F1403" s="182">
        <f>IFERROR(VLOOKUP($B1403,calc_data,F$14+1,0),0)</f>
        <v/>
      </c>
      <c r="G1403" s="141">
        <f>IFERROR(VLOOKUP($B1403,calc_data,G$14+1,0),0)</f>
        <v/>
      </c>
      <c r="H1403" s="141">
        <f>IFERROR(VLOOKUP($B1403,calc_data,H$14+1,0),0)</f>
        <v/>
      </c>
      <c r="I1403" s="142">
        <f>IFERROR(VLOOKUP($B1403,calc_data,I$14+1,0),0)</f>
        <v/>
      </c>
      <c r="J1403" s="141">
        <f>IFERROR(VLOOKUP($B1403,calc_data,J$14+1,0),0)</f>
        <v/>
      </c>
      <c r="K1403" s="141">
        <f>IFERROR(VLOOKUP($B1403,calc_data,K$14+1,0),0)</f>
        <v/>
      </c>
      <c r="L1403" s="141">
        <f>IFERROR(VLOOKUP($B1403,calc_data,L$14+1,0),0)</f>
        <v/>
      </c>
      <c r="M1403" s="177">
        <f>IFERROR(VLOOKUP($B1403,calc_data,M$14+1,0),0)</f>
        <v/>
      </c>
      <c r="N1403" s="177">
        <f>IFERROR(VLOOKUP($B1403,calc_data,N$14+1,0),0)</f>
        <v/>
      </c>
      <c r="O1403" s="45" t="n"/>
      <c r="Q1403" s="57">
        <f>IF(K1403&gt;0,"показать","скрыть")</f>
        <v/>
      </c>
    </row>
    <row r="1404" ht="15.75" customHeight="1">
      <c r="B1404" s="182" t="n">
        <v>1388</v>
      </c>
      <c r="C1404" s="182">
        <f>IFERROR(VLOOKUP($B1404,calc_data,C$14+1,0),0)</f>
        <v/>
      </c>
      <c r="D1404" s="182">
        <f>IFERROR(VLOOKUP($B1404,calc_data,D$14+1,0),0)</f>
        <v/>
      </c>
      <c r="E1404" s="183">
        <f>IFERROR(VLOOKUP($B1404,calc_data,E$14+1,0),0)</f>
        <v/>
      </c>
      <c r="F1404" s="182">
        <f>IFERROR(VLOOKUP($B1404,calc_data,F$14+1,0),0)</f>
        <v/>
      </c>
      <c r="G1404" s="141">
        <f>IFERROR(VLOOKUP($B1404,calc_data,G$14+1,0),0)</f>
        <v/>
      </c>
      <c r="H1404" s="141">
        <f>IFERROR(VLOOKUP($B1404,calc_data,H$14+1,0),0)</f>
        <v/>
      </c>
      <c r="I1404" s="142">
        <f>IFERROR(VLOOKUP($B1404,calc_data,I$14+1,0),0)</f>
        <v/>
      </c>
      <c r="J1404" s="141">
        <f>IFERROR(VLOOKUP($B1404,calc_data,J$14+1,0),0)</f>
        <v/>
      </c>
      <c r="K1404" s="141">
        <f>IFERROR(VLOOKUP($B1404,calc_data,K$14+1,0),0)</f>
        <v/>
      </c>
      <c r="L1404" s="141">
        <f>IFERROR(VLOOKUP($B1404,calc_data,L$14+1,0),0)</f>
        <v/>
      </c>
      <c r="M1404" s="177">
        <f>IFERROR(VLOOKUP($B1404,calc_data,M$14+1,0),0)</f>
        <v/>
      </c>
      <c r="N1404" s="177">
        <f>IFERROR(VLOOKUP($B1404,calc_data,N$14+1,0),0)</f>
        <v/>
      </c>
      <c r="O1404" s="45" t="n"/>
      <c r="Q1404" s="57">
        <f>IF(K1404&gt;0,"показать","скрыть")</f>
        <v/>
      </c>
    </row>
    <row r="1405" ht="15.75" customHeight="1">
      <c r="B1405" s="182" t="n">
        <v>1389</v>
      </c>
      <c r="C1405" s="182">
        <f>IFERROR(VLOOKUP($B1405,calc_data,C$14+1,0),0)</f>
        <v/>
      </c>
      <c r="D1405" s="182">
        <f>IFERROR(VLOOKUP($B1405,calc_data,D$14+1,0),0)</f>
        <v/>
      </c>
      <c r="E1405" s="183">
        <f>IFERROR(VLOOKUP($B1405,calc_data,E$14+1,0),0)</f>
        <v/>
      </c>
      <c r="F1405" s="182">
        <f>IFERROR(VLOOKUP($B1405,calc_data,F$14+1,0),0)</f>
        <v/>
      </c>
      <c r="G1405" s="141">
        <f>IFERROR(VLOOKUP($B1405,calc_data,G$14+1,0),0)</f>
        <v/>
      </c>
      <c r="H1405" s="141">
        <f>IFERROR(VLOOKUP($B1405,calc_data,H$14+1,0),0)</f>
        <v/>
      </c>
      <c r="I1405" s="142">
        <f>IFERROR(VLOOKUP($B1405,calc_data,I$14+1,0),0)</f>
        <v/>
      </c>
      <c r="J1405" s="141">
        <f>IFERROR(VLOOKUP($B1405,calc_data,J$14+1,0),0)</f>
        <v/>
      </c>
      <c r="K1405" s="141">
        <f>IFERROR(VLOOKUP($B1405,calc_data,K$14+1,0),0)</f>
        <v/>
      </c>
      <c r="L1405" s="141">
        <f>IFERROR(VLOOKUP($B1405,calc_data,L$14+1,0),0)</f>
        <v/>
      </c>
      <c r="M1405" s="177">
        <f>IFERROR(VLOOKUP($B1405,calc_data,M$14+1,0),0)</f>
        <v/>
      </c>
      <c r="N1405" s="177">
        <f>IFERROR(VLOOKUP($B1405,calc_data,N$14+1,0),0)</f>
        <v/>
      </c>
      <c r="O1405" s="45" t="n"/>
      <c r="Q1405" s="57">
        <f>IF(K1405&gt;0,"показать","скрыть")</f>
        <v/>
      </c>
    </row>
    <row r="1406" ht="15.75" customHeight="1">
      <c r="B1406" s="182" t="n">
        <v>1390</v>
      </c>
      <c r="C1406" s="182">
        <f>IFERROR(VLOOKUP($B1406,calc_data,C$14+1,0),0)</f>
        <v/>
      </c>
      <c r="D1406" s="182">
        <f>IFERROR(VLOOKUP($B1406,calc_data,D$14+1,0),0)</f>
        <v/>
      </c>
      <c r="E1406" s="183">
        <f>IFERROR(VLOOKUP($B1406,calc_data,E$14+1,0),0)</f>
        <v/>
      </c>
      <c r="F1406" s="182">
        <f>IFERROR(VLOOKUP($B1406,calc_data,F$14+1,0),0)</f>
        <v/>
      </c>
      <c r="G1406" s="141">
        <f>IFERROR(VLOOKUP($B1406,calc_data,G$14+1,0),0)</f>
        <v/>
      </c>
      <c r="H1406" s="141">
        <f>IFERROR(VLOOKUP($B1406,calc_data,H$14+1,0),0)</f>
        <v/>
      </c>
      <c r="I1406" s="142">
        <f>IFERROR(VLOOKUP($B1406,calc_data,I$14+1,0),0)</f>
        <v/>
      </c>
      <c r="J1406" s="141">
        <f>IFERROR(VLOOKUP($B1406,calc_data,J$14+1,0),0)</f>
        <v/>
      </c>
      <c r="K1406" s="141">
        <f>IFERROR(VLOOKUP($B1406,calc_data,K$14+1,0),0)</f>
        <v/>
      </c>
      <c r="L1406" s="141">
        <f>IFERROR(VLOOKUP($B1406,calc_data,L$14+1,0),0)</f>
        <v/>
      </c>
      <c r="M1406" s="177">
        <f>IFERROR(VLOOKUP($B1406,calc_data,M$14+1,0),0)</f>
        <v/>
      </c>
      <c r="N1406" s="177">
        <f>IFERROR(VLOOKUP($B1406,calc_data,N$14+1,0),0)</f>
        <v/>
      </c>
      <c r="O1406" s="45" t="n"/>
      <c r="Q1406" s="57">
        <f>IF(K1406&gt;0,"показать","скрыть")</f>
        <v/>
      </c>
    </row>
    <row r="1407" ht="15.75" customHeight="1">
      <c r="B1407" s="182" t="n">
        <v>1391</v>
      </c>
      <c r="C1407" s="182">
        <f>IFERROR(VLOOKUP($B1407,calc_data,C$14+1,0),0)</f>
        <v/>
      </c>
      <c r="D1407" s="182">
        <f>IFERROR(VLOOKUP($B1407,calc_data,D$14+1,0),0)</f>
        <v/>
      </c>
      <c r="E1407" s="183">
        <f>IFERROR(VLOOKUP($B1407,calc_data,E$14+1,0),0)</f>
        <v/>
      </c>
      <c r="F1407" s="182">
        <f>IFERROR(VLOOKUP($B1407,calc_data,F$14+1,0),0)</f>
        <v/>
      </c>
      <c r="G1407" s="141">
        <f>IFERROR(VLOOKUP($B1407,calc_data,G$14+1,0),0)</f>
        <v/>
      </c>
      <c r="H1407" s="141">
        <f>IFERROR(VLOOKUP($B1407,calc_data,H$14+1,0),0)</f>
        <v/>
      </c>
      <c r="I1407" s="142">
        <f>IFERROR(VLOOKUP($B1407,calc_data,I$14+1,0),0)</f>
        <v/>
      </c>
      <c r="J1407" s="141">
        <f>IFERROR(VLOOKUP($B1407,calc_data,J$14+1,0),0)</f>
        <v/>
      </c>
      <c r="K1407" s="141">
        <f>IFERROR(VLOOKUP($B1407,calc_data,K$14+1,0),0)</f>
        <v/>
      </c>
      <c r="L1407" s="141">
        <f>IFERROR(VLOOKUP($B1407,calc_data,L$14+1,0),0)</f>
        <v/>
      </c>
      <c r="M1407" s="177">
        <f>IFERROR(VLOOKUP($B1407,calc_data,M$14+1,0),0)</f>
        <v/>
      </c>
      <c r="N1407" s="177">
        <f>IFERROR(VLOOKUP($B1407,calc_data,N$14+1,0),0)</f>
        <v/>
      </c>
      <c r="O1407" s="45" t="n"/>
      <c r="Q1407" s="57">
        <f>IF(K1407&gt;0,"показать","скрыть")</f>
        <v/>
      </c>
    </row>
    <row r="1408" ht="15.75" customHeight="1">
      <c r="B1408" s="182" t="n">
        <v>1392</v>
      </c>
      <c r="C1408" s="182">
        <f>IFERROR(VLOOKUP($B1408,calc_data,C$14+1,0),0)</f>
        <v/>
      </c>
      <c r="D1408" s="182">
        <f>IFERROR(VLOOKUP($B1408,calc_data,D$14+1,0),0)</f>
        <v/>
      </c>
      <c r="E1408" s="183">
        <f>IFERROR(VLOOKUP($B1408,calc_data,E$14+1,0),0)</f>
        <v/>
      </c>
      <c r="F1408" s="182">
        <f>IFERROR(VLOOKUP($B1408,calc_data,F$14+1,0),0)</f>
        <v/>
      </c>
      <c r="G1408" s="141">
        <f>IFERROR(VLOOKUP($B1408,calc_data,G$14+1,0),0)</f>
        <v/>
      </c>
      <c r="H1408" s="141">
        <f>IFERROR(VLOOKUP($B1408,calc_data,H$14+1,0),0)</f>
        <v/>
      </c>
      <c r="I1408" s="142">
        <f>IFERROR(VLOOKUP($B1408,calc_data,I$14+1,0),0)</f>
        <v/>
      </c>
      <c r="J1408" s="141">
        <f>IFERROR(VLOOKUP($B1408,calc_data,J$14+1,0),0)</f>
        <v/>
      </c>
      <c r="K1408" s="141">
        <f>IFERROR(VLOOKUP($B1408,calc_data,K$14+1,0),0)</f>
        <v/>
      </c>
      <c r="L1408" s="141">
        <f>IFERROR(VLOOKUP($B1408,calc_data,L$14+1,0),0)</f>
        <v/>
      </c>
      <c r="M1408" s="177">
        <f>IFERROR(VLOOKUP($B1408,calc_data,M$14+1,0),0)</f>
        <v/>
      </c>
      <c r="N1408" s="177">
        <f>IFERROR(VLOOKUP($B1408,calc_data,N$14+1,0),0)</f>
        <v/>
      </c>
      <c r="O1408" s="45" t="n"/>
      <c r="Q1408" s="57">
        <f>IF(K1408&gt;0,"показать","скрыть")</f>
        <v/>
      </c>
    </row>
    <row r="1409" ht="15.75" customHeight="1">
      <c r="B1409" s="182" t="n">
        <v>1393</v>
      </c>
      <c r="C1409" s="182">
        <f>IFERROR(VLOOKUP($B1409,calc_data,C$14+1,0),0)</f>
        <v/>
      </c>
      <c r="D1409" s="182">
        <f>IFERROR(VLOOKUP($B1409,calc_data,D$14+1,0),0)</f>
        <v/>
      </c>
      <c r="E1409" s="183">
        <f>IFERROR(VLOOKUP($B1409,calc_data,E$14+1,0),0)</f>
        <v/>
      </c>
      <c r="F1409" s="182">
        <f>IFERROR(VLOOKUP($B1409,calc_data,F$14+1,0),0)</f>
        <v/>
      </c>
      <c r="G1409" s="141">
        <f>IFERROR(VLOOKUP($B1409,calc_data,G$14+1,0),0)</f>
        <v/>
      </c>
      <c r="H1409" s="141">
        <f>IFERROR(VLOOKUP($B1409,calc_data,H$14+1,0),0)</f>
        <v/>
      </c>
      <c r="I1409" s="142">
        <f>IFERROR(VLOOKUP($B1409,calc_data,I$14+1,0),0)</f>
        <v/>
      </c>
      <c r="J1409" s="141">
        <f>IFERROR(VLOOKUP($B1409,calc_data,J$14+1,0),0)</f>
        <v/>
      </c>
      <c r="K1409" s="141">
        <f>IFERROR(VLOOKUP($B1409,calc_data,K$14+1,0),0)</f>
        <v/>
      </c>
      <c r="L1409" s="141">
        <f>IFERROR(VLOOKUP($B1409,calc_data,L$14+1,0),0)</f>
        <v/>
      </c>
      <c r="M1409" s="177">
        <f>IFERROR(VLOOKUP($B1409,calc_data,M$14+1,0),0)</f>
        <v/>
      </c>
      <c r="N1409" s="177">
        <f>IFERROR(VLOOKUP($B1409,calc_data,N$14+1,0),0)</f>
        <v/>
      </c>
      <c r="O1409" s="45" t="n"/>
      <c r="Q1409" s="57">
        <f>IF(K1409&gt;0,"показать","скрыть")</f>
        <v/>
      </c>
    </row>
    <row r="1410" ht="15.75" customHeight="1">
      <c r="B1410" s="182" t="n">
        <v>1394</v>
      </c>
      <c r="C1410" s="182">
        <f>IFERROR(VLOOKUP($B1410,calc_data,C$14+1,0),0)</f>
        <v/>
      </c>
      <c r="D1410" s="182">
        <f>IFERROR(VLOOKUP($B1410,calc_data,D$14+1,0),0)</f>
        <v/>
      </c>
      <c r="E1410" s="183">
        <f>IFERROR(VLOOKUP($B1410,calc_data,E$14+1,0),0)</f>
        <v/>
      </c>
      <c r="F1410" s="182">
        <f>IFERROR(VLOOKUP($B1410,calc_data,F$14+1,0),0)</f>
        <v/>
      </c>
      <c r="G1410" s="141">
        <f>IFERROR(VLOOKUP($B1410,calc_data,G$14+1,0),0)</f>
        <v/>
      </c>
      <c r="H1410" s="141">
        <f>IFERROR(VLOOKUP($B1410,calc_data,H$14+1,0),0)</f>
        <v/>
      </c>
      <c r="I1410" s="142">
        <f>IFERROR(VLOOKUP($B1410,calc_data,I$14+1,0),0)</f>
        <v/>
      </c>
      <c r="J1410" s="141">
        <f>IFERROR(VLOOKUP($B1410,calc_data,J$14+1,0),0)</f>
        <v/>
      </c>
      <c r="K1410" s="141">
        <f>IFERROR(VLOOKUP($B1410,calc_data,K$14+1,0),0)</f>
        <v/>
      </c>
      <c r="L1410" s="141">
        <f>IFERROR(VLOOKUP($B1410,calc_data,L$14+1,0),0)</f>
        <v/>
      </c>
      <c r="M1410" s="177">
        <f>IFERROR(VLOOKUP($B1410,calc_data,M$14+1,0),0)</f>
        <v/>
      </c>
      <c r="N1410" s="177">
        <f>IFERROR(VLOOKUP($B1410,calc_data,N$14+1,0),0)</f>
        <v/>
      </c>
      <c r="O1410" s="45" t="n"/>
      <c r="Q1410" s="57">
        <f>IF(K1410&gt;0,"показать","скрыть")</f>
        <v/>
      </c>
    </row>
    <row r="1411" ht="15.75" customHeight="1">
      <c r="B1411" s="182" t="n">
        <v>1395</v>
      </c>
      <c r="C1411" s="182">
        <f>IFERROR(VLOOKUP($B1411,calc_data,C$14+1,0),0)</f>
        <v/>
      </c>
      <c r="D1411" s="182">
        <f>IFERROR(VLOOKUP($B1411,calc_data,D$14+1,0),0)</f>
        <v/>
      </c>
      <c r="E1411" s="183">
        <f>IFERROR(VLOOKUP($B1411,calc_data,E$14+1,0),0)</f>
        <v/>
      </c>
      <c r="F1411" s="182">
        <f>IFERROR(VLOOKUP($B1411,calc_data,F$14+1,0),0)</f>
        <v/>
      </c>
      <c r="G1411" s="141">
        <f>IFERROR(VLOOKUP($B1411,calc_data,G$14+1,0),0)</f>
        <v/>
      </c>
      <c r="H1411" s="141">
        <f>IFERROR(VLOOKUP($B1411,calc_data,H$14+1,0),0)</f>
        <v/>
      </c>
      <c r="I1411" s="142">
        <f>IFERROR(VLOOKUP($B1411,calc_data,I$14+1,0),0)</f>
        <v/>
      </c>
      <c r="J1411" s="141">
        <f>IFERROR(VLOOKUP($B1411,calc_data,J$14+1,0),0)</f>
        <v/>
      </c>
      <c r="K1411" s="141">
        <f>IFERROR(VLOOKUP($B1411,calc_data,K$14+1,0),0)</f>
        <v/>
      </c>
      <c r="L1411" s="141">
        <f>IFERROR(VLOOKUP($B1411,calc_data,L$14+1,0),0)</f>
        <v/>
      </c>
      <c r="M1411" s="177">
        <f>IFERROR(VLOOKUP($B1411,calc_data,M$14+1,0),0)</f>
        <v/>
      </c>
      <c r="N1411" s="177">
        <f>IFERROR(VLOOKUP($B1411,calc_data,N$14+1,0),0)</f>
        <v/>
      </c>
      <c r="O1411" s="45" t="n"/>
      <c r="Q1411" s="57">
        <f>IF(K1411&gt;0,"показать","скрыть")</f>
        <v/>
      </c>
    </row>
    <row r="1412" ht="15.75" customHeight="1">
      <c r="B1412" s="182" t="n">
        <v>1396</v>
      </c>
      <c r="C1412" s="182">
        <f>IFERROR(VLOOKUP($B1412,calc_data,C$14+1,0),0)</f>
        <v/>
      </c>
      <c r="D1412" s="182">
        <f>IFERROR(VLOOKUP($B1412,calc_data,D$14+1,0),0)</f>
        <v/>
      </c>
      <c r="E1412" s="183">
        <f>IFERROR(VLOOKUP($B1412,calc_data,E$14+1,0),0)</f>
        <v/>
      </c>
      <c r="F1412" s="182">
        <f>IFERROR(VLOOKUP($B1412,calc_data,F$14+1,0),0)</f>
        <v/>
      </c>
      <c r="G1412" s="141">
        <f>IFERROR(VLOOKUP($B1412,calc_data,G$14+1,0),0)</f>
        <v/>
      </c>
      <c r="H1412" s="141">
        <f>IFERROR(VLOOKUP($B1412,calc_data,H$14+1,0),0)</f>
        <v/>
      </c>
      <c r="I1412" s="142">
        <f>IFERROR(VLOOKUP($B1412,calc_data,I$14+1,0),0)</f>
        <v/>
      </c>
      <c r="J1412" s="141">
        <f>IFERROR(VLOOKUP($B1412,calc_data,J$14+1,0),0)</f>
        <v/>
      </c>
      <c r="K1412" s="141">
        <f>IFERROR(VLOOKUP($B1412,calc_data,K$14+1,0),0)</f>
        <v/>
      </c>
      <c r="L1412" s="141">
        <f>IFERROR(VLOOKUP($B1412,calc_data,L$14+1,0),0)</f>
        <v/>
      </c>
      <c r="M1412" s="177">
        <f>IFERROR(VLOOKUP($B1412,calc_data,M$14+1,0),0)</f>
        <v/>
      </c>
      <c r="N1412" s="177">
        <f>IFERROR(VLOOKUP($B1412,calc_data,N$14+1,0),0)</f>
        <v/>
      </c>
      <c r="O1412" s="45" t="n"/>
      <c r="Q1412" s="57">
        <f>IF(K1412&gt;0,"показать","скрыть")</f>
        <v/>
      </c>
    </row>
    <row r="1413" ht="15.75" customHeight="1">
      <c r="B1413" s="182" t="n">
        <v>1397</v>
      </c>
      <c r="C1413" s="182">
        <f>IFERROR(VLOOKUP($B1413,calc_data,C$14+1,0),0)</f>
        <v/>
      </c>
      <c r="D1413" s="182">
        <f>IFERROR(VLOOKUP($B1413,calc_data,D$14+1,0),0)</f>
        <v/>
      </c>
      <c r="E1413" s="183">
        <f>IFERROR(VLOOKUP($B1413,calc_data,E$14+1,0),0)</f>
        <v/>
      </c>
      <c r="F1413" s="182">
        <f>IFERROR(VLOOKUP($B1413,calc_data,F$14+1,0),0)</f>
        <v/>
      </c>
      <c r="G1413" s="141">
        <f>IFERROR(VLOOKUP($B1413,calc_data,G$14+1,0),0)</f>
        <v/>
      </c>
      <c r="H1413" s="141">
        <f>IFERROR(VLOOKUP($B1413,calc_data,H$14+1,0),0)</f>
        <v/>
      </c>
      <c r="I1413" s="142">
        <f>IFERROR(VLOOKUP($B1413,calc_data,I$14+1,0),0)</f>
        <v/>
      </c>
      <c r="J1413" s="141">
        <f>IFERROR(VLOOKUP($B1413,calc_data,J$14+1,0),0)</f>
        <v/>
      </c>
      <c r="K1413" s="141">
        <f>IFERROR(VLOOKUP($B1413,calc_data,K$14+1,0),0)</f>
        <v/>
      </c>
      <c r="L1413" s="141">
        <f>IFERROR(VLOOKUP($B1413,calc_data,L$14+1,0),0)</f>
        <v/>
      </c>
      <c r="M1413" s="177">
        <f>IFERROR(VLOOKUP($B1413,calc_data,M$14+1,0),0)</f>
        <v/>
      </c>
      <c r="N1413" s="177">
        <f>IFERROR(VLOOKUP($B1413,calc_data,N$14+1,0),0)</f>
        <v/>
      </c>
      <c r="O1413" s="45" t="n"/>
      <c r="Q1413" s="57">
        <f>IF(K1413&gt;0,"показать","скрыть")</f>
        <v/>
      </c>
    </row>
    <row r="1414" ht="15.75" customHeight="1">
      <c r="B1414" s="182" t="n">
        <v>1398</v>
      </c>
      <c r="C1414" s="182">
        <f>IFERROR(VLOOKUP($B1414,calc_data,C$14+1,0),0)</f>
        <v/>
      </c>
      <c r="D1414" s="182">
        <f>IFERROR(VLOOKUP($B1414,calc_data,D$14+1,0),0)</f>
        <v/>
      </c>
      <c r="E1414" s="183">
        <f>IFERROR(VLOOKUP($B1414,calc_data,E$14+1,0),0)</f>
        <v/>
      </c>
      <c r="F1414" s="182">
        <f>IFERROR(VLOOKUP($B1414,calc_data,F$14+1,0),0)</f>
        <v/>
      </c>
      <c r="G1414" s="141">
        <f>IFERROR(VLOOKUP($B1414,calc_data,G$14+1,0),0)</f>
        <v/>
      </c>
      <c r="H1414" s="141">
        <f>IFERROR(VLOOKUP($B1414,calc_data,H$14+1,0),0)</f>
        <v/>
      </c>
      <c r="I1414" s="142">
        <f>IFERROR(VLOOKUP($B1414,calc_data,I$14+1,0),0)</f>
        <v/>
      </c>
      <c r="J1414" s="141">
        <f>IFERROR(VLOOKUP($B1414,calc_data,J$14+1,0),0)</f>
        <v/>
      </c>
      <c r="K1414" s="141">
        <f>IFERROR(VLOOKUP($B1414,calc_data,K$14+1,0),0)</f>
        <v/>
      </c>
      <c r="L1414" s="141">
        <f>IFERROR(VLOOKUP($B1414,calc_data,L$14+1,0),0)</f>
        <v/>
      </c>
      <c r="M1414" s="177">
        <f>IFERROR(VLOOKUP($B1414,calc_data,M$14+1,0),0)</f>
        <v/>
      </c>
      <c r="N1414" s="177">
        <f>IFERROR(VLOOKUP($B1414,calc_data,N$14+1,0),0)</f>
        <v/>
      </c>
      <c r="O1414" s="45" t="n"/>
      <c r="Q1414" s="57">
        <f>IF(K1414&gt;0,"показать","скрыть")</f>
        <v/>
      </c>
    </row>
    <row r="1415" ht="15.75" customHeight="1">
      <c r="B1415" s="182" t="n">
        <v>1399</v>
      </c>
      <c r="C1415" s="182">
        <f>IFERROR(VLOOKUP($B1415,calc_data,C$14+1,0),0)</f>
        <v/>
      </c>
      <c r="D1415" s="182">
        <f>IFERROR(VLOOKUP($B1415,calc_data,D$14+1,0),0)</f>
        <v/>
      </c>
      <c r="E1415" s="183">
        <f>IFERROR(VLOOKUP($B1415,calc_data,E$14+1,0),0)</f>
        <v/>
      </c>
      <c r="F1415" s="182">
        <f>IFERROR(VLOOKUP($B1415,calc_data,F$14+1,0),0)</f>
        <v/>
      </c>
      <c r="G1415" s="141">
        <f>IFERROR(VLOOKUP($B1415,calc_data,G$14+1,0),0)</f>
        <v/>
      </c>
      <c r="H1415" s="141">
        <f>IFERROR(VLOOKUP($B1415,calc_data,H$14+1,0),0)</f>
        <v/>
      </c>
      <c r="I1415" s="142">
        <f>IFERROR(VLOOKUP($B1415,calc_data,I$14+1,0),0)</f>
        <v/>
      </c>
      <c r="J1415" s="141">
        <f>IFERROR(VLOOKUP($B1415,calc_data,J$14+1,0),0)</f>
        <v/>
      </c>
      <c r="K1415" s="141">
        <f>IFERROR(VLOOKUP($B1415,calc_data,K$14+1,0),0)</f>
        <v/>
      </c>
      <c r="L1415" s="141">
        <f>IFERROR(VLOOKUP($B1415,calc_data,L$14+1,0),0)</f>
        <v/>
      </c>
      <c r="M1415" s="177">
        <f>IFERROR(VLOOKUP($B1415,calc_data,M$14+1,0),0)</f>
        <v/>
      </c>
      <c r="N1415" s="177">
        <f>IFERROR(VLOOKUP($B1415,calc_data,N$14+1,0),0)</f>
        <v/>
      </c>
      <c r="O1415" s="45" t="n"/>
      <c r="Q1415" s="57">
        <f>IF(K1415&gt;0,"показать","скрыть")</f>
        <v/>
      </c>
    </row>
    <row r="1416" ht="15.75" customHeight="1">
      <c r="B1416" s="182" t="n">
        <v>1400</v>
      </c>
      <c r="C1416" s="182">
        <f>IFERROR(VLOOKUP($B1416,calc_data,C$14+1,0),0)</f>
        <v/>
      </c>
      <c r="D1416" s="182">
        <f>IFERROR(VLOOKUP($B1416,calc_data,D$14+1,0),0)</f>
        <v/>
      </c>
      <c r="E1416" s="183">
        <f>IFERROR(VLOOKUP($B1416,calc_data,E$14+1,0),0)</f>
        <v/>
      </c>
      <c r="F1416" s="182">
        <f>IFERROR(VLOOKUP($B1416,calc_data,F$14+1,0),0)</f>
        <v/>
      </c>
      <c r="G1416" s="141">
        <f>IFERROR(VLOOKUP($B1416,calc_data,G$14+1,0),0)</f>
        <v/>
      </c>
      <c r="H1416" s="141">
        <f>IFERROR(VLOOKUP($B1416,calc_data,H$14+1,0),0)</f>
        <v/>
      </c>
      <c r="I1416" s="142">
        <f>IFERROR(VLOOKUP($B1416,calc_data,I$14+1,0),0)</f>
        <v/>
      </c>
      <c r="J1416" s="141">
        <f>IFERROR(VLOOKUP($B1416,calc_data,J$14+1,0),0)</f>
        <v/>
      </c>
      <c r="K1416" s="141">
        <f>IFERROR(VLOOKUP($B1416,calc_data,K$14+1,0),0)</f>
        <v/>
      </c>
      <c r="L1416" s="141">
        <f>IFERROR(VLOOKUP($B1416,calc_data,L$14+1,0),0)</f>
        <v/>
      </c>
      <c r="M1416" s="177">
        <f>IFERROR(VLOOKUP($B1416,calc_data,M$14+1,0),0)</f>
        <v/>
      </c>
      <c r="N1416" s="177">
        <f>IFERROR(VLOOKUP($B1416,calc_data,N$14+1,0),0)</f>
        <v/>
      </c>
      <c r="O1416" s="45" t="n"/>
      <c r="Q1416" s="57">
        <f>IF(K1416&gt;0,"показать","скрыть")</f>
        <v/>
      </c>
    </row>
    <row r="1417" ht="15.75" customHeight="1">
      <c r="B1417" s="182" t="n">
        <v>1401</v>
      </c>
      <c r="C1417" s="182">
        <f>IFERROR(VLOOKUP($B1417,calc_data,C$14+1,0),0)</f>
        <v/>
      </c>
      <c r="D1417" s="182">
        <f>IFERROR(VLOOKUP($B1417,calc_data,D$14+1,0),0)</f>
        <v/>
      </c>
      <c r="E1417" s="183">
        <f>IFERROR(VLOOKUP($B1417,calc_data,E$14+1,0),0)</f>
        <v/>
      </c>
      <c r="F1417" s="182">
        <f>IFERROR(VLOOKUP($B1417,calc_data,F$14+1,0),0)</f>
        <v/>
      </c>
      <c r="G1417" s="141">
        <f>IFERROR(VLOOKUP($B1417,calc_data,G$14+1,0),0)</f>
        <v/>
      </c>
      <c r="H1417" s="141">
        <f>IFERROR(VLOOKUP($B1417,calc_data,H$14+1,0),0)</f>
        <v/>
      </c>
      <c r="I1417" s="142">
        <f>IFERROR(VLOOKUP($B1417,calc_data,I$14+1,0),0)</f>
        <v/>
      </c>
      <c r="J1417" s="141">
        <f>IFERROR(VLOOKUP($B1417,calc_data,J$14+1,0),0)</f>
        <v/>
      </c>
      <c r="K1417" s="141">
        <f>IFERROR(VLOOKUP($B1417,calc_data,K$14+1,0),0)</f>
        <v/>
      </c>
      <c r="L1417" s="141">
        <f>IFERROR(VLOOKUP($B1417,calc_data,L$14+1,0),0)</f>
        <v/>
      </c>
      <c r="M1417" s="177">
        <f>IFERROR(VLOOKUP($B1417,calc_data,M$14+1,0),0)</f>
        <v/>
      </c>
      <c r="N1417" s="177">
        <f>IFERROR(VLOOKUP($B1417,calc_data,N$14+1,0),0)</f>
        <v/>
      </c>
      <c r="O1417" s="45" t="n"/>
      <c r="Q1417" s="57">
        <f>IF(K1417&gt;0,"показать","скрыть")</f>
        <v/>
      </c>
    </row>
    <row r="1418" ht="15.75" customHeight="1">
      <c r="B1418" s="182" t="n">
        <v>1402</v>
      </c>
      <c r="C1418" s="182">
        <f>IFERROR(VLOOKUP($B1418,calc_data,C$14+1,0),0)</f>
        <v/>
      </c>
      <c r="D1418" s="182">
        <f>IFERROR(VLOOKUP($B1418,calc_data,D$14+1,0),0)</f>
        <v/>
      </c>
      <c r="E1418" s="183">
        <f>IFERROR(VLOOKUP($B1418,calc_data,E$14+1,0),0)</f>
        <v/>
      </c>
      <c r="F1418" s="182">
        <f>IFERROR(VLOOKUP($B1418,calc_data,F$14+1,0),0)</f>
        <v/>
      </c>
      <c r="G1418" s="141">
        <f>IFERROR(VLOOKUP($B1418,calc_data,G$14+1,0),0)</f>
        <v/>
      </c>
      <c r="H1418" s="141">
        <f>IFERROR(VLOOKUP($B1418,calc_data,H$14+1,0),0)</f>
        <v/>
      </c>
      <c r="I1418" s="142">
        <f>IFERROR(VLOOKUP($B1418,calc_data,I$14+1,0),0)</f>
        <v/>
      </c>
      <c r="J1418" s="141">
        <f>IFERROR(VLOOKUP($B1418,calc_data,J$14+1,0),0)</f>
        <v/>
      </c>
      <c r="K1418" s="141">
        <f>IFERROR(VLOOKUP($B1418,calc_data,K$14+1,0),0)</f>
        <v/>
      </c>
      <c r="L1418" s="141">
        <f>IFERROR(VLOOKUP($B1418,calc_data,L$14+1,0),0)</f>
        <v/>
      </c>
      <c r="M1418" s="177">
        <f>IFERROR(VLOOKUP($B1418,calc_data,M$14+1,0),0)</f>
        <v/>
      </c>
      <c r="N1418" s="177">
        <f>IFERROR(VLOOKUP($B1418,calc_data,N$14+1,0),0)</f>
        <v/>
      </c>
      <c r="O1418" s="45" t="n"/>
      <c r="Q1418" s="57">
        <f>IF(K1418&gt;0,"показать","скрыть")</f>
        <v/>
      </c>
    </row>
    <row r="1419" ht="15.75" customHeight="1">
      <c r="B1419" s="182" t="n">
        <v>1403</v>
      </c>
      <c r="C1419" s="182">
        <f>IFERROR(VLOOKUP($B1419,calc_data,C$14+1,0),0)</f>
        <v/>
      </c>
      <c r="D1419" s="182">
        <f>IFERROR(VLOOKUP($B1419,calc_data,D$14+1,0),0)</f>
        <v/>
      </c>
      <c r="E1419" s="183">
        <f>IFERROR(VLOOKUP($B1419,calc_data,E$14+1,0),0)</f>
        <v/>
      </c>
      <c r="F1419" s="182">
        <f>IFERROR(VLOOKUP($B1419,calc_data,F$14+1,0),0)</f>
        <v/>
      </c>
      <c r="G1419" s="141">
        <f>IFERROR(VLOOKUP($B1419,calc_data,G$14+1,0),0)</f>
        <v/>
      </c>
      <c r="H1419" s="141">
        <f>IFERROR(VLOOKUP($B1419,calc_data,H$14+1,0),0)</f>
        <v/>
      </c>
      <c r="I1419" s="142">
        <f>IFERROR(VLOOKUP($B1419,calc_data,I$14+1,0),0)</f>
        <v/>
      </c>
      <c r="J1419" s="141">
        <f>IFERROR(VLOOKUP($B1419,calc_data,J$14+1,0),0)</f>
        <v/>
      </c>
      <c r="K1419" s="141">
        <f>IFERROR(VLOOKUP($B1419,calc_data,K$14+1,0),0)</f>
        <v/>
      </c>
      <c r="L1419" s="141">
        <f>IFERROR(VLOOKUP($B1419,calc_data,L$14+1,0),0)</f>
        <v/>
      </c>
      <c r="M1419" s="177">
        <f>IFERROR(VLOOKUP($B1419,calc_data,M$14+1,0),0)</f>
        <v/>
      </c>
      <c r="N1419" s="177">
        <f>IFERROR(VLOOKUP($B1419,calc_data,N$14+1,0),0)</f>
        <v/>
      </c>
      <c r="O1419" s="45" t="n"/>
      <c r="Q1419" s="57">
        <f>IF(K1419&gt;0,"показать","скрыть")</f>
        <v/>
      </c>
    </row>
    <row r="1420" ht="15.75" customHeight="1">
      <c r="B1420" s="182" t="n">
        <v>1404</v>
      </c>
      <c r="C1420" s="182">
        <f>IFERROR(VLOOKUP($B1420,calc_data,C$14+1,0),0)</f>
        <v/>
      </c>
      <c r="D1420" s="182">
        <f>IFERROR(VLOOKUP($B1420,calc_data,D$14+1,0),0)</f>
        <v/>
      </c>
      <c r="E1420" s="183">
        <f>IFERROR(VLOOKUP($B1420,calc_data,E$14+1,0),0)</f>
        <v/>
      </c>
      <c r="F1420" s="182">
        <f>IFERROR(VLOOKUP($B1420,calc_data,F$14+1,0),0)</f>
        <v/>
      </c>
      <c r="G1420" s="141">
        <f>IFERROR(VLOOKUP($B1420,calc_data,G$14+1,0),0)</f>
        <v/>
      </c>
      <c r="H1420" s="141">
        <f>IFERROR(VLOOKUP($B1420,calc_data,H$14+1,0),0)</f>
        <v/>
      </c>
      <c r="I1420" s="142">
        <f>IFERROR(VLOOKUP($B1420,calc_data,I$14+1,0),0)</f>
        <v/>
      </c>
      <c r="J1420" s="141">
        <f>IFERROR(VLOOKUP($B1420,calc_data,J$14+1,0),0)</f>
        <v/>
      </c>
      <c r="K1420" s="141">
        <f>IFERROR(VLOOKUP($B1420,calc_data,K$14+1,0),0)</f>
        <v/>
      </c>
      <c r="L1420" s="141">
        <f>IFERROR(VLOOKUP($B1420,calc_data,L$14+1,0),0)</f>
        <v/>
      </c>
      <c r="M1420" s="177">
        <f>IFERROR(VLOOKUP($B1420,calc_data,M$14+1,0),0)</f>
        <v/>
      </c>
      <c r="N1420" s="177">
        <f>IFERROR(VLOOKUP($B1420,calc_data,N$14+1,0),0)</f>
        <v/>
      </c>
      <c r="O1420" s="45" t="n"/>
      <c r="Q1420" s="57">
        <f>IF(K1420&gt;0,"показать","скрыть")</f>
        <v/>
      </c>
    </row>
    <row r="1421" ht="15.75" customHeight="1">
      <c r="B1421" s="182" t="n">
        <v>1405</v>
      </c>
      <c r="C1421" s="182">
        <f>IFERROR(VLOOKUP($B1421,calc_data,C$14+1,0),0)</f>
        <v/>
      </c>
      <c r="D1421" s="182">
        <f>IFERROR(VLOOKUP($B1421,calc_data,D$14+1,0),0)</f>
        <v/>
      </c>
      <c r="E1421" s="183">
        <f>IFERROR(VLOOKUP($B1421,calc_data,E$14+1,0),0)</f>
        <v/>
      </c>
      <c r="F1421" s="182">
        <f>IFERROR(VLOOKUP($B1421,calc_data,F$14+1,0),0)</f>
        <v/>
      </c>
      <c r="G1421" s="141">
        <f>IFERROR(VLOOKUP($B1421,calc_data,G$14+1,0),0)</f>
        <v/>
      </c>
      <c r="H1421" s="141">
        <f>IFERROR(VLOOKUP($B1421,calc_data,H$14+1,0),0)</f>
        <v/>
      </c>
      <c r="I1421" s="142">
        <f>IFERROR(VLOOKUP($B1421,calc_data,I$14+1,0),0)</f>
        <v/>
      </c>
      <c r="J1421" s="141">
        <f>IFERROR(VLOOKUP($B1421,calc_data,J$14+1,0),0)</f>
        <v/>
      </c>
      <c r="K1421" s="141">
        <f>IFERROR(VLOOKUP($B1421,calc_data,K$14+1,0),0)</f>
        <v/>
      </c>
      <c r="L1421" s="141">
        <f>IFERROR(VLOOKUP($B1421,calc_data,L$14+1,0),0)</f>
        <v/>
      </c>
      <c r="M1421" s="177">
        <f>IFERROR(VLOOKUP($B1421,calc_data,M$14+1,0),0)</f>
        <v/>
      </c>
      <c r="N1421" s="177">
        <f>IFERROR(VLOOKUP($B1421,calc_data,N$14+1,0),0)</f>
        <v/>
      </c>
      <c r="O1421" s="45" t="n"/>
      <c r="Q1421" s="57">
        <f>IF(K1421&gt;0,"показать","скрыть")</f>
        <v/>
      </c>
    </row>
    <row r="1422" ht="15.75" customHeight="1">
      <c r="B1422" s="182" t="n">
        <v>1406</v>
      </c>
      <c r="C1422" s="182">
        <f>IFERROR(VLOOKUP($B1422,calc_data,C$14+1,0),0)</f>
        <v/>
      </c>
      <c r="D1422" s="182">
        <f>IFERROR(VLOOKUP($B1422,calc_data,D$14+1,0),0)</f>
        <v/>
      </c>
      <c r="E1422" s="183">
        <f>IFERROR(VLOOKUP($B1422,calc_data,E$14+1,0),0)</f>
        <v/>
      </c>
      <c r="F1422" s="182">
        <f>IFERROR(VLOOKUP($B1422,calc_data,F$14+1,0),0)</f>
        <v/>
      </c>
      <c r="G1422" s="141">
        <f>IFERROR(VLOOKUP($B1422,calc_data,G$14+1,0),0)</f>
        <v/>
      </c>
      <c r="H1422" s="141">
        <f>IFERROR(VLOOKUP($B1422,calc_data,H$14+1,0),0)</f>
        <v/>
      </c>
      <c r="I1422" s="142">
        <f>IFERROR(VLOOKUP($B1422,calc_data,I$14+1,0),0)</f>
        <v/>
      </c>
      <c r="J1422" s="141">
        <f>IFERROR(VLOOKUP($B1422,calc_data,J$14+1,0),0)</f>
        <v/>
      </c>
      <c r="K1422" s="141">
        <f>IFERROR(VLOOKUP($B1422,calc_data,K$14+1,0),0)</f>
        <v/>
      </c>
      <c r="L1422" s="141">
        <f>IFERROR(VLOOKUP($B1422,calc_data,L$14+1,0),0)</f>
        <v/>
      </c>
      <c r="M1422" s="177">
        <f>IFERROR(VLOOKUP($B1422,calc_data,M$14+1,0),0)</f>
        <v/>
      </c>
      <c r="N1422" s="177">
        <f>IFERROR(VLOOKUP($B1422,calc_data,N$14+1,0),0)</f>
        <v/>
      </c>
      <c r="O1422" s="45" t="n"/>
      <c r="Q1422" s="57">
        <f>IF(K1422&gt;0,"показать","скрыть")</f>
        <v/>
      </c>
    </row>
    <row r="1423" ht="15.75" customHeight="1">
      <c r="B1423" s="182" t="n">
        <v>1407</v>
      </c>
      <c r="C1423" s="182">
        <f>IFERROR(VLOOKUP($B1423,calc_data,C$14+1,0),0)</f>
        <v/>
      </c>
      <c r="D1423" s="182">
        <f>IFERROR(VLOOKUP($B1423,calc_data,D$14+1,0),0)</f>
        <v/>
      </c>
      <c r="E1423" s="183">
        <f>IFERROR(VLOOKUP($B1423,calc_data,E$14+1,0),0)</f>
        <v/>
      </c>
      <c r="F1423" s="182">
        <f>IFERROR(VLOOKUP($B1423,calc_data,F$14+1,0),0)</f>
        <v/>
      </c>
      <c r="G1423" s="141">
        <f>IFERROR(VLOOKUP($B1423,calc_data,G$14+1,0),0)</f>
        <v/>
      </c>
      <c r="H1423" s="141">
        <f>IFERROR(VLOOKUP($B1423,calc_data,H$14+1,0),0)</f>
        <v/>
      </c>
      <c r="I1423" s="142">
        <f>IFERROR(VLOOKUP($B1423,calc_data,I$14+1,0),0)</f>
        <v/>
      </c>
      <c r="J1423" s="141">
        <f>IFERROR(VLOOKUP($B1423,calc_data,J$14+1,0),0)</f>
        <v/>
      </c>
      <c r="K1423" s="141">
        <f>IFERROR(VLOOKUP($B1423,calc_data,K$14+1,0),0)</f>
        <v/>
      </c>
      <c r="L1423" s="141">
        <f>IFERROR(VLOOKUP($B1423,calc_data,L$14+1,0),0)</f>
        <v/>
      </c>
      <c r="M1423" s="177">
        <f>IFERROR(VLOOKUP($B1423,calc_data,M$14+1,0),0)</f>
        <v/>
      </c>
      <c r="N1423" s="177">
        <f>IFERROR(VLOOKUP($B1423,calc_data,N$14+1,0),0)</f>
        <v/>
      </c>
      <c r="O1423" s="45" t="n"/>
      <c r="Q1423" s="57">
        <f>IF(K1423&gt;0,"показать","скрыть")</f>
        <v/>
      </c>
    </row>
    <row r="1424" ht="15.75" customHeight="1">
      <c r="B1424" s="182" t="n">
        <v>1408</v>
      </c>
      <c r="C1424" s="182">
        <f>IFERROR(VLOOKUP($B1424,calc_data,C$14+1,0),0)</f>
        <v/>
      </c>
      <c r="D1424" s="182">
        <f>IFERROR(VLOOKUP($B1424,calc_data,D$14+1,0),0)</f>
        <v/>
      </c>
      <c r="E1424" s="183">
        <f>IFERROR(VLOOKUP($B1424,calc_data,E$14+1,0),0)</f>
        <v/>
      </c>
      <c r="F1424" s="182">
        <f>IFERROR(VLOOKUP($B1424,calc_data,F$14+1,0),0)</f>
        <v/>
      </c>
      <c r="G1424" s="141">
        <f>IFERROR(VLOOKUP($B1424,calc_data,G$14+1,0),0)</f>
        <v/>
      </c>
      <c r="H1424" s="141">
        <f>IFERROR(VLOOKUP($B1424,calc_data,H$14+1,0),0)</f>
        <v/>
      </c>
      <c r="I1424" s="142">
        <f>IFERROR(VLOOKUP($B1424,calc_data,I$14+1,0),0)</f>
        <v/>
      </c>
      <c r="J1424" s="141">
        <f>IFERROR(VLOOKUP($B1424,calc_data,J$14+1,0),0)</f>
        <v/>
      </c>
      <c r="K1424" s="141">
        <f>IFERROR(VLOOKUP($B1424,calc_data,K$14+1,0),0)</f>
        <v/>
      </c>
      <c r="L1424" s="141">
        <f>IFERROR(VLOOKUP($B1424,calc_data,L$14+1,0),0)</f>
        <v/>
      </c>
      <c r="M1424" s="177">
        <f>IFERROR(VLOOKUP($B1424,calc_data,M$14+1,0),0)</f>
        <v/>
      </c>
      <c r="N1424" s="177">
        <f>IFERROR(VLOOKUP($B1424,calc_data,N$14+1,0),0)</f>
        <v/>
      </c>
      <c r="O1424" s="45" t="n"/>
      <c r="Q1424" s="57">
        <f>IF(K1424&gt;0,"показать","скрыть")</f>
        <v/>
      </c>
    </row>
    <row r="1425" ht="15.75" customHeight="1">
      <c r="B1425" s="182" t="n">
        <v>1409</v>
      </c>
      <c r="C1425" s="182">
        <f>IFERROR(VLOOKUP($B1425,calc_data,C$14+1,0),0)</f>
        <v/>
      </c>
      <c r="D1425" s="182">
        <f>IFERROR(VLOOKUP($B1425,calc_data,D$14+1,0),0)</f>
        <v/>
      </c>
      <c r="E1425" s="183">
        <f>IFERROR(VLOOKUP($B1425,calc_data,E$14+1,0),0)</f>
        <v/>
      </c>
      <c r="F1425" s="182">
        <f>IFERROR(VLOOKUP($B1425,calc_data,F$14+1,0),0)</f>
        <v/>
      </c>
      <c r="G1425" s="141">
        <f>IFERROR(VLOOKUP($B1425,calc_data,G$14+1,0),0)</f>
        <v/>
      </c>
      <c r="H1425" s="141">
        <f>IFERROR(VLOOKUP($B1425,calc_data,H$14+1,0),0)</f>
        <v/>
      </c>
      <c r="I1425" s="142">
        <f>IFERROR(VLOOKUP($B1425,calc_data,I$14+1,0),0)</f>
        <v/>
      </c>
      <c r="J1425" s="141">
        <f>IFERROR(VLOOKUP($B1425,calc_data,J$14+1,0),0)</f>
        <v/>
      </c>
      <c r="K1425" s="141">
        <f>IFERROR(VLOOKUP($B1425,calc_data,K$14+1,0),0)</f>
        <v/>
      </c>
      <c r="L1425" s="141">
        <f>IFERROR(VLOOKUP($B1425,calc_data,L$14+1,0),0)</f>
        <v/>
      </c>
      <c r="M1425" s="177">
        <f>IFERROR(VLOOKUP($B1425,calc_data,M$14+1,0),0)</f>
        <v/>
      </c>
      <c r="N1425" s="177">
        <f>IFERROR(VLOOKUP($B1425,calc_data,N$14+1,0),0)</f>
        <v/>
      </c>
      <c r="O1425" s="45" t="n"/>
      <c r="Q1425" s="57">
        <f>IF(K1425&gt;0,"показать","скрыть")</f>
        <v/>
      </c>
    </row>
    <row r="1426" ht="15.75" customHeight="1">
      <c r="B1426" s="182" t="n">
        <v>1410</v>
      </c>
      <c r="C1426" s="182">
        <f>IFERROR(VLOOKUP($B1426,calc_data,C$14+1,0),0)</f>
        <v/>
      </c>
      <c r="D1426" s="182">
        <f>IFERROR(VLOOKUP($B1426,calc_data,D$14+1,0),0)</f>
        <v/>
      </c>
      <c r="E1426" s="183">
        <f>IFERROR(VLOOKUP($B1426,calc_data,E$14+1,0),0)</f>
        <v/>
      </c>
      <c r="F1426" s="182">
        <f>IFERROR(VLOOKUP($B1426,calc_data,F$14+1,0),0)</f>
        <v/>
      </c>
      <c r="G1426" s="141">
        <f>IFERROR(VLOOKUP($B1426,calc_data,G$14+1,0),0)</f>
        <v/>
      </c>
      <c r="H1426" s="141">
        <f>IFERROR(VLOOKUP($B1426,calc_data,H$14+1,0),0)</f>
        <v/>
      </c>
      <c r="I1426" s="142">
        <f>IFERROR(VLOOKUP($B1426,calc_data,I$14+1,0),0)</f>
        <v/>
      </c>
      <c r="J1426" s="141">
        <f>IFERROR(VLOOKUP($B1426,calc_data,J$14+1,0),0)</f>
        <v/>
      </c>
      <c r="K1426" s="141">
        <f>IFERROR(VLOOKUP($B1426,calc_data,K$14+1,0),0)</f>
        <v/>
      </c>
      <c r="L1426" s="141">
        <f>IFERROR(VLOOKUP($B1426,calc_data,L$14+1,0),0)</f>
        <v/>
      </c>
      <c r="M1426" s="177">
        <f>IFERROR(VLOOKUP($B1426,calc_data,M$14+1,0),0)</f>
        <v/>
      </c>
      <c r="N1426" s="177">
        <f>IFERROR(VLOOKUP($B1426,calc_data,N$14+1,0),0)</f>
        <v/>
      </c>
      <c r="O1426" s="45" t="n"/>
      <c r="Q1426" s="57">
        <f>IF(K1426&gt;0,"показать","скрыть")</f>
        <v/>
      </c>
    </row>
    <row r="1427" ht="15.75" customHeight="1">
      <c r="B1427" s="182" t="n">
        <v>1411</v>
      </c>
      <c r="C1427" s="182">
        <f>IFERROR(VLOOKUP($B1427,calc_data,C$14+1,0),0)</f>
        <v/>
      </c>
      <c r="D1427" s="182">
        <f>IFERROR(VLOOKUP($B1427,calc_data,D$14+1,0),0)</f>
        <v/>
      </c>
      <c r="E1427" s="183">
        <f>IFERROR(VLOOKUP($B1427,calc_data,E$14+1,0),0)</f>
        <v/>
      </c>
      <c r="F1427" s="182">
        <f>IFERROR(VLOOKUP($B1427,calc_data,F$14+1,0),0)</f>
        <v/>
      </c>
      <c r="G1427" s="141">
        <f>IFERROR(VLOOKUP($B1427,calc_data,G$14+1,0),0)</f>
        <v/>
      </c>
      <c r="H1427" s="141">
        <f>IFERROR(VLOOKUP($B1427,calc_data,H$14+1,0),0)</f>
        <v/>
      </c>
      <c r="I1427" s="142">
        <f>IFERROR(VLOOKUP($B1427,calc_data,I$14+1,0),0)</f>
        <v/>
      </c>
      <c r="J1427" s="141">
        <f>IFERROR(VLOOKUP($B1427,calc_data,J$14+1,0),0)</f>
        <v/>
      </c>
      <c r="K1427" s="141">
        <f>IFERROR(VLOOKUP($B1427,calc_data,K$14+1,0),0)</f>
        <v/>
      </c>
      <c r="L1427" s="141">
        <f>IFERROR(VLOOKUP($B1427,calc_data,L$14+1,0),0)</f>
        <v/>
      </c>
      <c r="M1427" s="177">
        <f>IFERROR(VLOOKUP($B1427,calc_data,M$14+1,0),0)</f>
        <v/>
      </c>
      <c r="N1427" s="177">
        <f>IFERROR(VLOOKUP($B1427,calc_data,N$14+1,0),0)</f>
        <v/>
      </c>
      <c r="O1427" s="45" t="n"/>
      <c r="Q1427" s="57">
        <f>IF(K1427&gt;0,"показать","скрыть")</f>
        <v/>
      </c>
    </row>
    <row r="1428" ht="15.75" customHeight="1">
      <c r="B1428" s="182" t="n">
        <v>1412</v>
      </c>
      <c r="C1428" s="182">
        <f>IFERROR(VLOOKUP($B1428,calc_data,C$14+1,0),0)</f>
        <v/>
      </c>
      <c r="D1428" s="182">
        <f>IFERROR(VLOOKUP($B1428,calc_data,D$14+1,0),0)</f>
        <v/>
      </c>
      <c r="E1428" s="183">
        <f>IFERROR(VLOOKUP($B1428,calc_data,E$14+1,0),0)</f>
        <v/>
      </c>
      <c r="F1428" s="182">
        <f>IFERROR(VLOOKUP($B1428,calc_data,F$14+1,0),0)</f>
        <v/>
      </c>
      <c r="G1428" s="141">
        <f>IFERROR(VLOOKUP($B1428,calc_data,G$14+1,0),0)</f>
        <v/>
      </c>
      <c r="H1428" s="141">
        <f>IFERROR(VLOOKUP($B1428,calc_data,H$14+1,0),0)</f>
        <v/>
      </c>
      <c r="I1428" s="142">
        <f>IFERROR(VLOOKUP($B1428,calc_data,I$14+1,0),0)</f>
        <v/>
      </c>
      <c r="J1428" s="141">
        <f>IFERROR(VLOOKUP($B1428,calc_data,J$14+1,0),0)</f>
        <v/>
      </c>
      <c r="K1428" s="141">
        <f>IFERROR(VLOOKUP($B1428,calc_data,K$14+1,0),0)</f>
        <v/>
      </c>
      <c r="L1428" s="141">
        <f>IFERROR(VLOOKUP($B1428,calc_data,L$14+1,0),0)</f>
        <v/>
      </c>
      <c r="M1428" s="177">
        <f>IFERROR(VLOOKUP($B1428,calc_data,M$14+1,0),0)</f>
        <v/>
      </c>
      <c r="N1428" s="177">
        <f>IFERROR(VLOOKUP($B1428,calc_data,N$14+1,0),0)</f>
        <v/>
      </c>
      <c r="O1428" s="45" t="n"/>
      <c r="Q1428" s="57">
        <f>IF(K1428&gt;0,"показать","скрыть")</f>
        <v/>
      </c>
    </row>
    <row r="1429" ht="15.75" customHeight="1">
      <c r="B1429" s="182" t="n">
        <v>1413</v>
      </c>
      <c r="C1429" s="182">
        <f>IFERROR(VLOOKUP($B1429,calc_data,C$14+1,0),0)</f>
        <v/>
      </c>
      <c r="D1429" s="182">
        <f>IFERROR(VLOOKUP($B1429,calc_data,D$14+1,0),0)</f>
        <v/>
      </c>
      <c r="E1429" s="183">
        <f>IFERROR(VLOOKUP($B1429,calc_data,E$14+1,0),0)</f>
        <v/>
      </c>
      <c r="F1429" s="182">
        <f>IFERROR(VLOOKUP($B1429,calc_data,F$14+1,0),0)</f>
        <v/>
      </c>
      <c r="G1429" s="141">
        <f>IFERROR(VLOOKUP($B1429,calc_data,G$14+1,0),0)</f>
        <v/>
      </c>
      <c r="H1429" s="141">
        <f>IFERROR(VLOOKUP($B1429,calc_data,H$14+1,0),0)</f>
        <v/>
      </c>
      <c r="I1429" s="142">
        <f>IFERROR(VLOOKUP($B1429,calc_data,I$14+1,0),0)</f>
        <v/>
      </c>
      <c r="J1429" s="141">
        <f>IFERROR(VLOOKUP($B1429,calc_data,J$14+1,0),0)</f>
        <v/>
      </c>
      <c r="K1429" s="141">
        <f>IFERROR(VLOOKUP($B1429,calc_data,K$14+1,0),0)</f>
        <v/>
      </c>
      <c r="L1429" s="141">
        <f>IFERROR(VLOOKUP($B1429,calc_data,L$14+1,0),0)</f>
        <v/>
      </c>
      <c r="M1429" s="177">
        <f>IFERROR(VLOOKUP($B1429,calc_data,M$14+1,0),0)</f>
        <v/>
      </c>
      <c r="N1429" s="177">
        <f>IFERROR(VLOOKUP($B1429,calc_data,N$14+1,0),0)</f>
        <v/>
      </c>
      <c r="O1429" s="45" t="n"/>
      <c r="Q1429" s="57">
        <f>IF(K1429&gt;0,"показать","скрыть")</f>
        <v/>
      </c>
    </row>
    <row r="1430" ht="15.75" customHeight="1">
      <c r="B1430" s="182" t="n">
        <v>1414</v>
      </c>
      <c r="C1430" s="182">
        <f>IFERROR(VLOOKUP($B1430,calc_data,C$14+1,0),0)</f>
        <v/>
      </c>
      <c r="D1430" s="182">
        <f>IFERROR(VLOOKUP($B1430,calc_data,D$14+1,0),0)</f>
        <v/>
      </c>
      <c r="E1430" s="183">
        <f>IFERROR(VLOOKUP($B1430,calc_data,E$14+1,0),0)</f>
        <v/>
      </c>
      <c r="F1430" s="182">
        <f>IFERROR(VLOOKUP($B1430,calc_data,F$14+1,0),0)</f>
        <v/>
      </c>
      <c r="G1430" s="141">
        <f>IFERROR(VLOOKUP($B1430,calc_data,G$14+1,0),0)</f>
        <v/>
      </c>
      <c r="H1430" s="141">
        <f>IFERROR(VLOOKUP($B1430,calc_data,H$14+1,0),0)</f>
        <v/>
      </c>
      <c r="I1430" s="142">
        <f>IFERROR(VLOOKUP($B1430,calc_data,I$14+1,0),0)</f>
        <v/>
      </c>
      <c r="J1430" s="141">
        <f>IFERROR(VLOOKUP($B1430,calc_data,J$14+1,0),0)</f>
        <v/>
      </c>
      <c r="K1430" s="141">
        <f>IFERROR(VLOOKUP($B1430,calc_data,K$14+1,0),0)</f>
        <v/>
      </c>
      <c r="L1430" s="141">
        <f>IFERROR(VLOOKUP($B1430,calc_data,L$14+1,0),0)</f>
        <v/>
      </c>
      <c r="M1430" s="177">
        <f>IFERROR(VLOOKUP($B1430,calc_data,M$14+1,0),0)</f>
        <v/>
      </c>
      <c r="N1430" s="177">
        <f>IFERROR(VLOOKUP($B1430,calc_data,N$14+1,0),0)</f>
        <v/>
      </c>
      <c r="O1430" s="45" t="n"/>
      <c r="Q1430" s="57">
        <f>IF(K1430&gt;0,"показать","скрыть")</f>
        <v/>
      </c>
    </row>
    <row r="1431" ht="15.75" customHeight="1">
      <c r="B1431" s="182" t="n">
        <v>1415</v>
      </c>
      <c r="C1431" s="182">
        <f>IFERROR(VLOOKUP($B1431,calc_data,C$14+1,0),0)</f>
        <v/>
      </c>
      <c r="D1431" s="182">
        <f>IFERROR(VLOOKUP($B1431,calc_data,D$14+1,0),0)</f>
        <v/>
      </c>
      <c r="E1431" s="183">
        <f>IFERROR(VLOOKUP($B1431,calc_data,E$14+1,0),0)</f>
        <v/>
      </c>
      <c r="F1431" s="182">
        <f>IFERROR(VLOOKUP($B1431,calc_data,F$14+1,0),0)</f>
        <v/>
      </c>
      <c r="G1431" s="141">
        <f>IFERROR(VLOOKUP($B1431,calc_data,G$14+1,0),0)</f>
        <v/>
      </c>
      <c r="H1431" s="141">
        <f>IFERROR(VLOOKUP($B1431,calc_data,H$14+1,0),0)</f>
        <v/>
      </c>
      <c r="I1431" s="142">
        <f>IFERROR(VLOOKUP($B1431,calc_data,I$14+1,0),0)</f>
        <v/>
      </c>
      <c r="J1431" s="141">
        <f>IFERROR(VLOOKUP($B1431,calc_data,J$14+1,0),0)</f>
        <v/>
      </c>
      <c r="K1431" s="141">
        <f>IFERROR(VLOOKUP($B1431,calc_data,K$14+1,0),0)</f>
        <v/>
      </c>
      <c r="L1431" s="141">
        <f>IFERROR(VLOOKUP($B1431,calc_data,L$14+1,0),0)</f>
        <v/>
      </c>
      <c r="M1431" s="177">
        <f>IFERROR(VLOOKUP($B1431,calc_data,M$14+1,0),0)</f>
        <v/>
      </c>
      <c r="N1431" s="177">
        <f>IFERROR(VLOOKUP($B1431,calc_data,N$14+1,0),0)</f>
        <v/>
      </c>
      <c r="O1431" s="45" t="n"/>
      <c r="Q1431" s="57">
        <f>IF(K1431&gt;0,"показать","скрыть")</f>
        <v/>
      </c>
    </row>
    <row r="1432" ht="15.75" customHeight="1">
      <c r="B1432" s="182" t="n">
        <v>1416</v>
      </c>
      <c r="C1432" s="182">
        <f>IFERROR(VLOOKUP($B1432,calc_data,C$14+1,0),0)</f>
        <v/>
      </c>
      <c r="D1432" s="182">
        <f>IFERROR(VLOOKUP($B1432,calc_data,D$14+1,0),0)</f>
        <v/>
      </c>
      <c r="E1432" s="183">
        <f>IFERROR(VLOOKUP($B1432,calc_data,E$14+1,0),0)</f>
        <v/>
      </c>
      <c r="F1432" s="182">
        <f>IFERROR(VLOOKUP($B1432,calc_data,F$14+1,0),0)</f>
        <v/>
      </c>
      <c r="G1432" s="141">
        <f>IFERROR(VLOOKUP($B1432,calc_data,G$14+1,0),0)</f>
        <v/>
      </c>
      <c r="H1432" s="141">
        <f>IFERROR(VLOOKUP($B1432,calc_data,H$14+1,0),0)</f>
        <v/>
      </c>
      <c r="I1432" s="142">
        <f>IFERROR(VLOOKUP($B1432,calc_data,I$14+1,0),0)</f>
        <v/>
      </c>
      <c r="J1432" s="141">
        <f>IFERROR(VLOOKUP($B1432,calc_data,J$14+1,0),0)</f>
        <v/>
      </c>
      <c r="K1432" s="141">
        <f>IFERROR(VLOOKUP($B1432,calc_data,K$14+1,0),0)</f>
        <v/>
      </c>
      <c r="L1432" s="141">
        <f>IFERROR(VLOOKUP($B1432,calc_data,L$14+1,0),0)</f>
        <v/>
      </c>
      <c r="M1432" s="177">
        <f>IFERROR(VLOOKUP($B1432,calc_data,M$14+1,0),0)</f>
        <v/>
      </c>
      <c r="N1432" s="177">
        <f>IFERROR(VLOOKUP($B1432,calc_data,N$14+1,0),0)</f>
        <v/>
      </c>
      <c r="O1432" s="45" t="n"/>
      <c r="Q1432" s="57">
        <f>IF(K1432&gt;0,"показать","скрыть")</f>
        <v/>
      </c>
    </row>
    <row r="1433" ht="15.75" customHeight="1">
      <c r="B1433" s="182" t="n">
        <v>1417</v>
      </c>
      <c r="C1433" s="182">
        <f>IFERROR(VLOOKUP($B1433,calc_data,C$14+1,0),0)</f>
        <v/>
      </c>
      <c r="D1433" s="182">
        <f>IFERROR(VLOOKUP($B1433,calc_data,D$14+1,0),0)</f>
        <v/>
      </c>
      <c r="E1433" s="183">
        <f>IFERROR(VLOOKUP($B1433,calc_data,E$14+1,0),0)</f>
        <v/>
      </c>
      <c r="F1433" s="182">
        <f>IFERROR(VLOOKUP($B1433,calc_data,F$14+1,0),0)</f>
        <v/>
      </c>
      <c r="G1433" s="141">
        <f>IFERROR(VLOOKUP($B1433,calc_data,G$14+1,0),0)</f>
        <v/>
      </c>
      <c r="H1433" s="141">
        <f>IFERROR(VLOOKUP($B1433,calc_data,H$14+1,0),0)</f>
        <v/>
      </c>
      <c r="I1433" s="142">
        <f>IFERROR(VLOOKUP($B1433,calc_data,I$14+1,0),0)</f>
        <v/>
      </c>
      <c r="J1433" s="141">
        <f>IFERROR(VLOOKUP($B1433,calc_data,J$14+1,0),0)</f>
        <v/>
      </c>
      <c r="K1433" s="141">
        <f>IFERROR(VLOOKUP($B1433,calc_data,K$14+1,0),0)</f>
        <v/>
      </c>
      <c r="L1433" s="141">
        <f>IFERROR(VLOOKUP($B1433,calc_data,L$14+1,0),0)</f>
        <v/>
      </c>
      <c r="M1433" s="177">
        <f>IFERROR(VLOOKUP($B1433,calc_data,M$14+1,0),0)</f>
        <v/>
      </c>
      <c r="N1433" s="177">
        <f>IFERROR(VLOOKUP($B1433,calc_data,N$14+1,0),0)</f>
        <v/>
      </c>
      <c r="O1433" s="45" t="n"/>
      <c r="Q1433" s="57">
        <f>IF(K1433&gt;0,"показать","скрыть")</f>
        <v/>
      </c>
    </row>
    <row r="1434" ht="15.75" customHeight="1">
      <c r="B1434" s="182" t="n">
        <v>1418</v>
      </c>
      <c r="C1434" s="182">
        <f>IFERROR(VLOOKUP($B1434,calc_data,C$14+1,0),0)</f>
        <v/>
      </c>
      <c r="D1434" s="182">
        <f>IFERROR(VLOOKUP($B1434,calc_data,D$14+1,0),0)</f>
        <v/>
      </c>
      <c r="E1434" s="183">
        <f>IFERROR(VLOOKUP($B1434,calc_data,E$14+1,0),0)</f>
        <v/>
      </c>
      <c r="F1434" s="182">
        <f>IFERROR(VLOOKUP($B1434,calc_data,F$14+1,0),0)</f>
        <v/>
      </c>
      <c r="G1434" s="141">
        <f>IFERROR(VLOOKUP($B1434,calc_data,G$14+1,0),0)</f>
        <v/>
      </c>
      <c r="H1434" s="141">
        <f>IFERROR(VLOOKUP($B1434,calc_data,H$14+1,0),0)</f>
        <v/>
      </c>
      <c r="I1434" s="142">
        <f>IFERROR(VLOOKUP($B1434,calc_data,I$14+1,0),0)</f>
        <v/>
      </c>
      <c r="J1434" s="141">
        <f>IFERROR(VLOOKUP($B1434,calc_data,J$14+1,0),0)</f>
        <v/>
      </c>
      <c r="K1434" s="141">
        <f>IFERROR(VLOOKUP($B1434,calc_data,K$14+1,0),0)</f>
        <v/>
      </c>
      <c r="L1434" s="141">
        <f>IFERROR(VLOOKUP($B1434,calc_data,L$14+1,0),0)</f>
        <v/>
      </c>
      <c r="M1434" s="177">
        <f>IFERROR(VLOOKUP($B1434,calc_data,M$14+1,0),0)</f>
        <v/>
      </c>
      <c r="N1434" s="177">
        <f>IFERROR(VLOOKUP($B1434,calc_data,N$14+1,0),0)</f>
        <v/>
      </c>
      <c r="O1434" s="45" t="n"/>
      <c r="Q1434" s="57">
        <f>IF(K1434&gt;0,"показать","скрыть")</f>
        <v/>
      </c>
    </row>
    <row r="1435" ht="15.75" customHeight="1">
      <c r="B1435" s="182" t="n">
        <v>1419</v>
      </c>
      <c r="C1435" s="182">
        <f>IFERROR(VLOOKUP($B1435,calc_data,C$14+1,0),0)</f>
        <v/>
      </c>
      <c r="D1435" s="182">
        <f>IFERROR(VLOOKUP($B1435,calc_data,D$14+1,0),0)</f>
        <v/>
      </c>
      <c r="E1435" s="183">
        <f>IFERROR(VLOOKUP($B1435,calc_data,E$14+1,0),0)</f>
        <v/>
      </c>
      <c r="F1435" s="182">
        <f>IFERROR(VLOOKUP($B1435,calc_data,F$14+1,0),0)</f>
        <v/>
      </c>
      <c r="G1435" s="141">
        <f>IFERROR(VLOOKUP($B1435,calc_data,G$14+1,0),0)</f>
        <v/>
      </c>
      <c r="H1435" s="141">
        <f>IFERROR(VLOOKUP($B1435,calc_data,H$14+1,0),0)</f>
        <v/>
      </c>
      <c r="I1435" s="142">
        <f>IFERROR(VLOOKUP($B1435,calc_data,I$14+1,0),0)</f>
        <v/>
      </c>
      <c r="J1435" s="141">
        <f>IFERROR(VLOOKUP($B1435,calc_data,J$14+1,0),0)</f>
        <v/>
      </c>
      <c r="K1435" s="141">
        <f>IFERROR(VLOOKUP($B1435,calc_data,K$14+1,0),0)</f>
        <v/>
      </c>
      <c r="L1435" s="141">
        <f>IFERROR(VLOOKUP($B1435,calc_data,L$14+1,0),0)</f>
        <v/>
      </c>
      <c r="M1435" s="177">
        <f>IFERROR(VLOOKUP($B1435,calc_data,M$14+1,0),0)</f>
        <v/>
      </c>
      <c r="N1435" s="177">
        <f>IFERROR(VLOOKUP($B1435,calc_data,N$14+1,0),0)</f>
        <v/>
      </c>
      <c r="O1435" s="45" t="n"/>
      <c r="Q1435" s="57">
        <f>IF(K1435&gt;0,"показать","скрыть")</f>
        <v/>
      </c>
    </row>
    <row r="1436" ht="15.75" customHeight="1">
      <c r="B1436" s="182" t="n">
        <v>1420</v>
      </c>
      <c r="C1436" s="182">
        <f>IFERROR(VLOOKUP($B1436,calc_data,C$14+1,0),0)</f>
        <v/>
      </c>
      <c r="D1436" s="182">
        <f>IFERROR(VLOOKUP($B1436,calc_data,D$14+1,0),0)</f>
        <v/>
      </c>
      <c r="E1436" s="183">
        <f>IFERROR(VLOOKUP($B1436,calc_data,E$14+1,0),0)</f>
        <v/>
      </c>
      <c r="F1436" s="182">
        <f>IFERROR(VLOOKUP($B1436,calc_data,F$14+1,0),0)</f>
        <v/>
      </c>
      <c r="G1436" s="141">
        <f>IFERROR(VLOOKUP($B1436,calc_data,G$14+1,0),0)</f>
        <v/>
      </c>
      <c r="H1436" s="141">
        <f>IFERROR(VLOOKUP($B1436,calc_data,H$14+1,0),0)</f>
        <v/>
      </c>
      <c r="I1436" s="142">
        <f>IFERROR(VLOOKUP($B1436,calc_data,I$14+1,0),0)</f>
        <v/>
      </c>
      <c r="J1436" s="141">
        <f>IFERROR(VLOOKUP($B1436,calc_data,J$14+1,0),0)</f>
        <v/>
      </c>
      <c r="K1436" s="141">
        <f>IFERROR(VLOOKUP($B1436,calc_data,K$14+1,0),0)</f>
        <v/>
      </c>
      <c r="L1436" s="141">
        <f>IFERROR(VLOOKUP($B1436,calc_data,L$14+1,0),0)</f>
        <v/>
      </c>
      <c r="M1436" s="177">
        <f>IFERROR(VLOOKUP($B1436,calc_data,M$14+1,0),0)</f>
        <v/>
      </c>
      <c r="N1436" s="177">
        <f>IFERROR(VLOOKUP($B1436,calc_data,N$14+1,0),0)</f>
        <v/>
      </c>
      <c r="O1436" s="45" t="n"/>
      <c r="Q1436" s="57">
        <f>IF(K1436&gt;0,"показать","скрыть")</f>
        <v/>
      </c>
    </row>
    <row r="1437" ht="15.75" customHeight="1">
      <c r="B1437" s="182" t="n">
        <v>1421</v>
      </c>
      <c r="C1437" s="182">
        <f>IFERROR(VLOOKUP($B1437,calc_data,C$14+1,0),0)</f>
        <v/>
      </c>
      <c r="D1437" s="182">
        <f>IFERROR(VLOOKUP($B1437,calc_data,D$14+1,0),0)</f>
        <v/>
      </c>
      <c r="E1437" s="183">
        <f>IFERROR(VLOOKUP($B1437,calc_data,E$14+1,0),0)</f>
        <v/>
      </c>
      <c r="F1437" s="182">
        <f>IFERROR(VLOOKUP($B1437,calc_data,F$14+1,0),0)</f>
        <v/>
      </c>
      <c r="G1437" s="141">
        <f>IFERROR(VLOOKUP($B1437,calc_data,G$14+1,0),0)</f>
        <v/>
      </c>
      <c r="H1437" s="141">
        <f>IFERROR(VLOOKUP($B1437,calc_data,H$14+1,0),0)</f>
        <v/>
      </c>
      <c r="I1437" s="142">
        <f>IFERROR(VLOOKUP($B1437,calc_data,I$14+1,0),0)</f>
        <v/>
      </c>
      <c r="J1437" s="141">
        <f>IFERROR(VLOOKUP($B1437,calc_data,J$14+1,0),0)</f>
        <v/>
      </c>
      <c r="K1437" s="141">
        <f>IFERROR(VLOOKUP($B1437,calc_data,K$14+1,0),0)</f>
        <v/>
      </c>
      <c r="L1437" s="141">
        <f>IFERROR(VLOOKUP($B1437,calc_data,L$14+1,0),0)</f>
        <v/>
      </c>
      <c r="M1437" s="177">
        <f>IFERROR(VLOOKUP($B1437,calc_data,M$14+1,0),0)</f>
        <v/>
      </c>
      <c r="N1437" s="177">
        <f>IFERROR(VLOOKUP($B1437,calc_data,N$14+1,0),0)</f>
        <v/>
      </c>
      <c r="O1437" s="45" t="n"/>
      <c r="Q1437" s="57">
        <f>IF(K1437&gt;0,"показать","скрыть")</f>
        <v/>
      </c>
    </row>
    <row r="1438" ht="15.75" customHeight="1">
      <c r="B1438" s="182" t="n">
        <v>1422</v>
      </c>
      <c r="C1438" s="182">
        <f>IFERROR(VLOOKUP($B1438,calc_data,C$14+1,0),0)</f>
        <v/>
      </c>
      <c r="D1438" s="182">
        <f>IFERROR(VLOOKUP($B1438,calc_data,D$14+1,0),0)</f>
        <v/>
      </c>
      <c r="E1438" s="183">
        <f>IFERROR(VLOOKUP($B1438,calc_data,E$14+1,0),0)</f>
        <v/>
      </c>
      <c r="F1438" s="182">
        <f>IFERROR(VLOOKUP($B1438,calc_data,F$14+1,0),0)</f>
        <v/>
      </c>
      <c r="G1438" s="141">
        <f>IFERROR(VLOOKUP($B1438,calc_data,G$14+1,0),0)</f>
        <v/>
      </c>
      <c r="H1438" s="141">
        <f>IFERROR(VLOOKUP($B1438,calc_data,H$14+1,0),0)</f>
        <v/>
      </c>
      <c r="I1438" s="142">
        <f>IFERROR(VLOOKUP($B1438,calc_data,I$14+1,0),0)</f>
        <v/>
      </c>
      <c r="J1438" s="141">
        <f>IFERROR(VLOOKUP($B1438,calc_data,J$14+1,0),0)</f>
        <v/>
      </c>
      <c r="K1438" s="141">
        <f>IFERROR(VLOOKUP($B1438,calc_data,K$14+1,0),0)</f>
        <v/>
      </c>
      <c r="L1438" s="141">
        <f>IFERROR(VLOOKUP($B1438,calc_data,L$14+1,0),0)</f>
        <v/>
      </c>
      <c r="M1438" s="177">
        <f>IFERROR(VLOOKUP($B1438,calc_data,M$14+1,0),0)</f>
        <v/>
      </c>
      <c r="N1438" s="177">
        <f>IFERROR(VLOOKUP($B1438,calc_data,N$14+1,0),0)</f>
        <v/>
      </c>
      <c r="O1438" s="45" t="n"/>
      <c r="Q1438" s="57">
        <f>IF(K1438&gt;0,"показать","скрыть")</f>
        <v/>
      </c>
    </row>
    <row r="1439" ht="15.75" customHeight="1">
      <c r="B1439" s="182" t="n">
        <v>1423</v>
      </c>
      <c r="C1439" s="182">
        <f>IFERROR(VLOOKUP($B1439,calc_data,C$14+1,0),0)</f>
        <v/>
      </c>
      <c r="D1439" s="182">
        <f>IFERROR(VLOOKUP($B1439,calc_data,D$14+1,0),0)</f>
        <v/>
      </c>
      <c r="E1439" s="183">
        <f>IFERROR(VLOOKUP($B1439,calc_data,E$14+1,0),0)</f>
        <v/>
      </c>
      <c r="F1439" s="182">
        <f>IFERROR(VLOOKUP($B1439,calc_data,F$14+1,0),0)</f>
        <v/>
      </c>
      <c r="G1439" s="141">
        <f>IFERROR(VLOOKUP($B1439,calc_data,G$14+1,0),0)</f>
        <v/>
      </c>
      <c r="H1439" s="141">
        <f>IFERROR(VLOOKUP($B1439,calc_data,H$14+1,0),0)</f>
        <v/>
      </c>
      <c r="I1439" s="142">
        <f>IFERROR(VLOOKUP($B1439,calc_data,I$14+1,0),0)</f>
        <v/>
      </c>
      <c r="J1439" s="141">
        <f>IFERROR(VLOOKUP($B1439,calc_data,J$14+1,0),0)</f>
        <v/>
      </c>
      <c r="K1439" s="141">
        <f>IFERROR(VLOOKUP($B1439,calc_data,K$14+1,0),0)</f>
        <v/>
      </c>
      <c r="L1439" s="141">
        <f>IFERROR(VLOOKUP($B1439,calc_data,L$14+1,0),0)</f>
        <v/>
      </c>
      <c r="M1439" s="177">
        <f>IFERROR(VLOOKUP($B1439,calc_data,M$14+1,0),0)</f>
        <v/>
      </c>
      <c r="N1439" s="177">
        <f>IFERROR(VLOOKUP($B1439,calc_data,N$14+1,0),0)</f>
        <v/>
      </c>
      <c r="O1439" s="45" t="n"/>
      <c r="Q1439" s="57">
        <f>IF(K1439&gt;0,"показать","скрыть")</f>
        <v/>
      </c>
    </row>
    <row r="1440" ht="15.75" customHeight="1">
      <c r="B1440" s="182" t="n">
        <v>1424</v>
      </c>
      <c r="C1440" s="182">
        <f>IFERROR(VLOOKUP($B1440,calc_data,C$14+1,0),0)</f>
        <v/>
      </c>
      <c r="D1440" s="182">
        <f>IFERROR(VLOOKUP($B1440,calc_data,D$14+1,0),0)</f>
        <v/>
      </c>
      <c r="E1440" s="183">
        <f>IFERROR(VLOOKUP($B1440,calc_data,E$14+1,0),0)</f>
        <v/>
      </c>
      <c r="F1440" s="182">
        <f>IFERROR(VLOOKUP($B1440,calc_data,F$14+1,0),0)</f>
        <v/>
      </c>
      <c r="G1440" s="141">
        <f>IFERROR(VLOOKUP($B1440,calc_data,G$14+1,0),0)</f>
        <v/>
      </c>
      <c r="H1440" s="141">
        <f>IFERROR(VLOOKUP($B1440,calc_data,H$14+1,0),0)</f>
        <v/>
      </c>
      <c r="I1440" s="142">
        <f>IFERROR(VLOOKUP($B1440,calc_data,I$14+1,0),0)</f>
        <v/>
      </c>
      <c r="J1440" s="141">
        <f>IFERROR(VLOOKUP($B1440,calc_data,J$14+1,0),0)</f>
        <v/>
      </c>
      <c r="K1440" s="141">
        <f>IFERROR(VLOOKUP($B1440,calc_data,K$14+1,0),0)</f>
        <v/>
      </c>
      <c r="L1440" s="141">
        <f>IFERROR(VLOOKUP($B1440,calc_data,L$14+1,0),0)</f>
        <v/>
      </c>
      <c r="M1440" s="177">
        <f>IFERROR(VLOOKUP($B1440,calc_data,M$14+1,0),0)</f>
        <v/>
      </c>
      <c r="N1440" s="177">
        <f>IFERROR(VLOOKUP($B1440,calc_data,N$14+1,0),0)</f>
        <v/>
      </c>
      <c r="O1440" s="45" t="n"/>
      <c r="Q1440" s="57">
        <f>IF(K1440&gt;0,"показать","скрыть")</f>
        <v/>
      </c>
    </row>
    <row r="1441" ht="15.75" customHeight="1">
      <c r="B1441" s="182" t="n">
        <v>1425</v>
      </c>
      <c r="C1441" s="182">
        <f>IFERROR(VLOOKUP($B1441,calc_data,C$14+1,0),0)</f>
        <v/>
      </c>
      <c r="D1441" s="182">
        <f>IFERROR(VLOOKUP($B1441,calc_data,D$14+1,0),0)</f>
        <v/>
      </c>
      <c r="E1441" s="183">
        <f>IFERROR(VLOOKUP($B1441,calc_data,E$14+1,0),0)</f>
        <v/>
      </c>
      <c r="F1441" s="182">
        <f>IFERROR(VLOOKUP($B1441,calc_data,F$14+1,0),0)</f>
        <v/>
      </c>
      <c r="G1441" s="141">
        <f>IFERROR(VLOOKUP($B1441,calc_data,G$14+1,0),0)</f>
        <v/>
      </c>
      <c r="H1441" s="141">
        <f>IFERROR(VLOOKUP($B1441,calc_data,H$14+1,0),0)</f>
        <v/>
      </c>
      <c r="I1441" s="142">
        <f>IFERROR(VLOOKUP($B1441,calc_data,I$14+1,0),0)</f>
        <v/>
      </c>
      <c r="J1441" s="141">
        <f>IFERROR(VLOOKUP($B1441,calc_data,J$14+1,0),0)</f>
        <v/>
      </c>
      <c r="K1441" s="141">
        <f>IFERROR(VLOOKUP($B1441,calc_data,K$14+1,0),0)</f>
        <v/>
      </c>
      <c r="L1441" s="141">
        <f>IFERROR(VLOOKUP($B1441,calc_data,L$14+1,0),0)</f>
        <v/>
      </c>
      <c r="M1441" s="177">
        <f>IFERROR(VLOOKUP($B1441,calc_data,M$14+1,0),0)</f>
        <v/>
      </c>
      <c r="N1441" s="177">
        <f>IFERROR(VLOOKUP($B1441,calc_data,N$14+1,0),0)</f>
        <v/>
      </c>
      <c r="O1441" s="45" t="n"/>
      <c r="Q1441" s="57">
        <f>IF(K1441&gt;0,"показать","скрыть")</f>
        <v/>
      </c>
    </row>
    <row r="1442" ht="15.75" customHeight="1">
      <c r="B1442" s="182" t="n">
        <v>1426</v>
      </c>
      <c r="C1442" s="182">
        <f>IFERROR(VLOOKUP($B1442,calc_data,C$14+1,0),0)</f>
        <v/>
      </c>
      <c r="D1442" s="182">
        <f>IFERROR(VLOOKUP($B1442,calc_data,D$14+1,0),0)</f>
        <v/>
      </c>
      <c r="E1442" s="183">
        <f>IFERROR(VLOOKUP($B1442,calc_data,E$14+1,0),0)</f>
        <v/>
      </c>
      <c r="F1442" s="182">
        <f>IFERROR(VLOOKUP($B1442,calc_data,F$14+1,0),0)</f>
        <v/>
      </c>
      <c r="G1442" s="141">
        <f>IFERROR(VLOOKUP($B1442,calc_data,G$14+1,0),0)</f>
        <v/>
      </c>
      <c r="H1442" s="141">
        <f>IFERROR(VLOOKUP($B1442,calc_data,H$14+1,0),0)</f>
        <v/>
      </c>
      <c r="I1442" s="142">
        <f>IFERROR(VLOOKUP($B1442,calc_data,I$14+1,0),0)</f>
        <v/>
      </c>
      <c r="J1442" s="141">
        <f>IFERROR(VLOOKUP($B1442,calc_data,J$14+1,0),0)</f>
        <v/>
      </c>
      <c r="K1442" s="141">
        <f>IFERROR(VLOOKUP($B1442,calc_data,K$14+1,0),0)</f>
        <v/>
      </c>
      <c r="L1442" s="141">
        <f>IFERROR(VLOOKUP($B1442,calc_data,L$14+1,0),0)</f>
        <v/>
      </c>
      <c r="M1442" s="177">
        <f>IFERROR(VLOOKUP($B1442,calc_data,M$14+1,0),0)</f>
        <v/>
      </c>
      <c r="N1442" s="177">
        <f>IFERROR(VLOOKUP($B1442,calc_data,N$14+1,0),0)</f>
        <v/>
      </c>
      <c r="O1442" s="45" t="n"/>
      <c r="Q1442" s="57">
        <f>IF(K1442&gt;0,"показать","скрыть")</f>
        <v/>
      </c>
    </row>
    <row r="1443" ht="15.75" customHeight="1">
      <c r="B1443" s="182" t="n">
        <v>1427</v>
      </c>
      <c r="C1443" s="182">
        <f>IFERROR(VLOOKUP($B1443,calc_data,C$14+1,0),0)</f>
        <v/>
      </c>
      <c r="D1443" s="182">
        <f>IFERROR(VLOOKUP($B1443,calc_data,D$14+1,0),0)</f>
        <v/>
      </c>
      <c r="E1443" s="183">
        <f>IFERROR(VLOOKUP($B1443,calc_data,E$14+1,0),0)</f>
        <v/>
      </c>
      <c r="F1443" s="182">
        <f>IFERROR(VLOOKUP($B1443,calc_data,F$14+1,0),0)</f>
        <v/>
      </c>
      <c r="G1443" s="141">
        <f>IFERROR(VLOOKUP($B1443,calc_data,G$14+1,0),0)</f>
        <v/>
      </c>
      <c r="H1443" s="141">
        <f>IFERROR(VLOOKUP($B1443,calc_data,H$14+1,0),0)</f>
        <v/>
      </c>
      <c r="I1443" s="142">
        <f>IFERROR(VLOOKUP($B1443,calc_data,I$14+1,0),0)</f>
        <v/>
      </c>
      <c r="J1443" s="141">
        <f>IFERROR(VLOOKUP($B1443,calc_data,J$14+1,0),0)</f>
        <v/>
      </c>
      <c r="K1443" s="141">
        <f>IFERROR(VLOOKUP($B1443,calc_data,K$14+1,0),0)</f>
        <v/>
      </c>
      <c r="L1443" s="141">
        <f>IFERROR(VLOOKUP($B1443,calc_data,L$14+1,0),0)</f>
        <v/>
      </c>
      <c r="M1443" s="177">
        <f>IFERROR(VLOOKUP($B1443,calc_data,M$14+1,0),0)</f>
        <v/>
      </c>
      <c r="N1443" s="177">
        <f>IFERROR(VLOOKUP($B1443,calc_data,N$14+1,0),0)</f>
        <v/>
      </c>
      <c r="O1443" s="45" t="n"/>
      <c r="Q1443" s="57">
        <f>IF(K1443&gt;0,"показать","скрыть")</f>
        <v/>
      </c>
    </row>
    <row r="1444" ht="15.75" customHeight="1">
      <c r="B1444" s="182" t="n">
        <v>1428</v>
      </c>
      <c r="C1444" s="182">
        <f>IFERROR(VLOOKUP($B1444,calc_data,C$14+1,0),0)</f>
        <v/>
      </c>
      <c r="D1444" s="182">
        <f>IFERROR(VLOOKUP($B1444,calc_data,D$14+1,0),0)</f>
        <v/>
      </c>
      <c r="E1444" s="183">
        <f>IFERROR(VLOOKUP($B1444,calc_data,E$14+1,0),0)</f>
        <v/>
      </c>
      <c r="F1444" s="182">
        <f>IFERROR(VLOOKUP($B1444,calc_data,F$14+1,0),0)</f>
        <v/>
      </c>
      <c r="G1444" s="141">
        <f>IFERROR(VLOOKUP($B1444,calc_data,G$14+1,0),0)</f>
        <v/>
      </c>
      <c r="H1444" s="141">
        <f>IFERROR(VLOOKUP($B1444,calc_data,H$14+1,0),0)</f>
        <v/>
      </c>
      <c r="I1444" s="142">
        <f>IFERROR(VLOOKUP($B1444,calc_data,I$14+1,0),0)</f>
        <v/>
      </c>
      <c r="J1444" s="141">
        <f>IFERROR(VLOOKUP($B1444,calc_data,J$14+1,0),0)</f>
        <v/>
      </c>
      <c r="K1444" s="141">
        <f>IFERROR(VLOOKUP($B1444,calc_data,K$14+1,0),0)</f>
        <v/>
      </c>
      <c r="L1444" s="141">
        <f>IFERROR(VLOOKUP($B1444,calc_data,L$14+1,0),0)</f>
        <v/>
      </c>
      <c r="M1444" s="177">
        <f>IFERROR(VLOOKUP($B1444,calc_data,M$14+1,0),0)</f>
        <v/>
      </c>
      <c r="N1444" s="177">
        <f>IFERROR(VLOOKUP($B1444,calc_data,N$14+1,0),0)</f>
        <v/>
      </c>
      <c r="O1444" s="45" t="n"/>
      <c r="Q1444" s="57">
        <f>IF(K1444&gt;0,"показать","скрыть")</f>
        <v/>
      </c>
    </row>
    <row r="1445" ht="15.75" customHeight="1">
      <c r="B1445" s="182" t="n">
        <v>1429</v>
      </c>
      <c r="C1445" s="182">
        <f>IFERROR(VLOOKUP($B1445,calc_data,C$14+1,0),0)</f>
        <v/>
      </c>
      <c r="D1445" s="182">
        <f>IFERROR(VLOOKUP($B1445,calc_data,D$14+1,0),0)</f>
        <v/>
      </c>
      <c r="E1445" s="183">
        <f>IFERROR(VLOOKUP($B1445,calc_data,E$14+1,0),0)</f>
        <v/>
      </c>
      <c r="F1445" s="182">
        <f>IFERROR(VLOOKUP($B1445,calc_data,F$14+1,0),0)</f>
        <v/>
      </c>
      <c r="G1445" s="141">
        <f>IFERROR(VLOOKUP($B1445,calc_data,G$14+1,0),0)</f>
        <v/>
      </c>
      <c r="H1445" s="141">
        <f>IFERROR(VLOOKUP($B1445,calc_data,H$14+1,0),0)</f>
        <v/>
      </c>
      <c r="I1445" s="142">
        <f>IFERROR(VLOOKUP($B1445,calc_data,I$14+1,0),0)</f>
        <v/>
      </c>
      <c r="J1445" s="141">
        <f>IFERROR(VLOOKUP($B1445,calc_data,J$14+1,0),0)</f>
        <v/>
      </c>
      <c r="K1445" s="141">
        <f>IFERROR(VLOOKUP($B1445,calc_data,K$14+1,0),0)</f>
        <v/>
      </c>
      <c r="L1445" s="141">
        <f>IFERROR(VLOOKUP($B1445,calc_data,L$14+1,0),0)</f>
        <v/>
      </c>
      <c r="M1445" s="177">
        <f>IFERROR(VLOOKUP($B1445,calc_data,M$14+1,0),0)</f>
        <v/>
      </c>
      <c r="N1445" s="177">
        <f>IFERROR(VLOOKUP($B1445,calc_data,N$14+1,0),0)</f>
        <v/>
      </c>
      <c r="O1445" s="45" t="n"/>
      <c r="Q1445" s="57">
        <f>IF(K1445&gt;0,"показать","скрыть")</f>
        <v/>
      </c>
    </row>
    <row r="1446" ht="15.75" customHeight="1">
      <c r="B1446" s="182" t="n">
        <v>1430</v>
      </c>
      <c r="C1446" s="182">
        <f>IFERROR(VLOOKUP($B1446,calc_data,C$14+1,0),0)</f>
        <v/>
      </c>
      <c r="D1446" s="182">
        <f>IFERROR(VLOOKUP($B1446,calc_data,D$14+1,0),0)</f>
        <v/>
      </c>
      <c r="E1446" s="183">
        <f>IFERROR(VLOOKUP($B1446,calc_data,E$14+1,0),0)</f>
        <v/>
      </c>
      <c r="F1446" s="182">
        <f>IFERROR(VLOOKUP($B1446,calc_data,F$14+1,0),0)</f>
        <v/>
      </c>
      <c r="G1446" s="141">
        <f>IFERROR(VLOOKUP($B1446,calc_data,G$14+1,0),0)</f>
        <v/>
      </c>
      <c r="H1446" s="141">
        <f>IFERROR(VLOOKUP($B1446,calc_data,H$14+1,0),0)</f>
        <v/>
      </c>
      <c r="I1446" s="142">
        <f>IFERROR(VLOOKUP($B1446,calc_data,I$14+1,0),0)</f>
        <v/>
      </c>
      <c r="J1446" s="141">
        <f>IFERROR(VLOOKUP($B1446,calc_data,J$14+1,0),0)</f>
        <v/>
      </c>
      <c r="K1446" s="141">
        <f>IFERROR(VLOOKUP($B1446,calc_data,K$14+1,0),0)</f>
        <v/>
      </c>
      <c r="L1446" s="141">
        <f>IFERROR(VLOOKUP($B1446,calc_data,L$14+1,0),0)</f>
        <v/>
      </c>
      <c r="M1446" s="177">
        <f>IFERROR(VLOOKUP($B1446,calc_data,M$14+1,0),0)</f>
        <v/>
      </c>
      <c r="N1446" s="177">
        <f>IFERROR(VLOOKUP($B1446,calc_data,N$14+1,0),0)</f>
        <v/>
      </c>
      <c r="O1446" s="45" t="n"/>
      <c r="Q1446" s="57">
        <f>IF(K1446&gt;0,"показать","скрыть")</f>
        <v/>
      </c>
    </row>
    <row r="1447" ht="15.75" customHeight="1">
      <c r="B1447" s="182" t="n">
        <v>1431</v>
      </c>
      <c r="C1447" s="182">
        <f>IFERROR(VLOOKUP($B1447,calc_data,C$14+1,0),0)</f>
        <v/>
      </c>
      <c r="D1447" s="182">
        <f>IFERROR(VLOOKUP($B1447,calc_data,D$14+1,0),0)</f>
        <v/>
      </c>
      <c r="E1447" s="183">
        <f>IFERROR(VLOOKUP($B1447,calc_data,E$14+1,0),0)</f>
        <v/>
      </c>
      <c r="F1447" s="182">
        <f>IFERROR(VLOOKUP($B1447,calc_data,F$14+1,0),0)</f>
        <v/>
      </c>
      <c r="G1447" s="141">
        <f>IFERROR(VLOOKUP($B1447,calc_data,G$14+1,0),0)</f>
        <v/>
      </c>
      <c r="H1447" s="141">
        <f>IFERROR(VLOOKUP($B1447,calc_data,H$14+1,0),0)</f>
        <v/>
      </c>
      <c r="I1447" s="142">
        <f>IFERROR(VLOOKUP($B1447,calc_data,I$14+1,0),0)</f>
        <v/>
      </c>
      <c r="J1447" s="141">
        <f>IFERROR(VLOOKUP($B1447,calc_data,J$14+1,0),0)</f>
        <v/>
      </c>
      <c r="K1447" s="141">
        <f>IFERROR(VLOOKUP($B1447,calc_data,K$14+1,0),0)</f>
        <v/>
      </c>
      <c r="L1447" s="141">
        <f>IFERROR(VLOOKUP($B1447,calc_data,L$14+1,0),0)</f>
        <v/>
      </c>
      <c r="M1447" s="177">
        <f>IFERROR(VLOOKUP($B1447,calc_data,M$14+1,0),0)</f>
        <v/>
      </c>
      <c r="N1447" s="177">
        <f>IFERROR(VLOOKUP($B1447,calc_data,N$14+1,0),0)</f>
        <v/>
      </c>
      <c r="O1447" s="45" t="n"/>
      <c r="Q1447" s="57">
        <f>IF(K1447&gt;0,"показать","скрыть")</f>
        <v/>
      </c>
    </row>
    <row r="1448" ht="15.75" customHeight="1">
      <c r="B1448" s="182" t="n">
        <v>1432</v>
      </c>
      <c r="C1448" s="182">
        <f>IFERROR(VLOOKUP($B1448,calc_data,C$14+1,0),0)</f>
        <v/>
      </c>
      <c r="D1448" s="182">
        <f>IFERROR(VLOOKUP($B1448,calc_data,D$14+1,0),0)</f>
        <v/>
      </c>
      <c r="E1448" s="183">
        <f>IFERROR(VLOOKUP($B1448,calc_data,E$14+1,0),0)</f>
        <v/>
      </c>
      <c r="F1448" s="182">
        <f>IFERROR(VLOOKUP($B1448,calc_data,F$14+1,0),0)</f>
        <v/>
      </c>
      <c r="G1448" s="141">
        <f>IFERROR(VLOOKUP($B1448,calc_data,G$14+1,0),0)</f>
        <v/>
      </c>
      <c r="H1448" s="141">
        <f>IFERROR(VLOOKUP($B1448,calc_data,H$14+1,0),0)</f>
        <v/>
      </c>
      <c r="I1448" s="142">
        <f>IFERROR(VLOOKUP($B1448,calc_data,I$14+1,0),0)</f>
        <v/>
      </c>
      <c r="J1448" s="141">
        <f>IFERROR(VLOOKUP($B1448,calc_data,J$14+1,0),0)</f>
        <v/>
      </c>
      <c r="K1448" s="141">
        <f>IFERROR(VLOOKUP($B1448,calc_data,K$14+1,0),0)</f>
        <v/>
      </c>
      <c r="L1448" s="141">
        <f>IFERROR(VLOOKUP($B1448,calc_data,L$14+1,0),0)</f>
        <v/>
      </c>
      <c r="M1448" s="177">
        <f>IFERROR(VLOOKUP($B1448,calc_data,M$14+1,0),0)</f>
        <v/>
      </c>
      <c r="N1448" s="177">
        <f>IFERROR(VLOOKUP($B1448,calc_data,N$14+1,0),0)</f>
        <v/>
      </c>
      <c r="O1448" s="45" t="n"/>
      <c r="Q1448" s="57">
        <f>IF(K1448&gt;0,"показать","скрыть")</f>
        <v/>
      </c>
    </row>
    <row r="1449" ht="15.75" customHeight="1">
      <c r="B1449" s="182" t="n">
        <v>1433</v>
      </c>
      <c r="C1449" s="182">
        <f>IFERROR(VLOOKUP($B1449,calc_data,C$14+1,0),0)</f>
        <v/>
      </c>
      <c r="D1449" s="182">
        <f>IFERROR(VLOOKUP($B1449,calc_data,D$14+1,0),0)</f>
        <v/>
      </c>
      <c r="E1449" s="183">
        <f>IFERROR(VLOOKUP($B1449,calc_data,E$14+1,0),0)</f>
        <v/>
      </c>
      <c r="F1449" s="182">
        <f>IFERROR(VLOOKUP($B1449,calc_data,F$14+1,0),0)</f>
        <v/>
      </c>
      <c r="G1449" s="141">
        <f>IFERROR(VLOOKUP($B1449,calc_data,G$14+1,0),0)</f>
        <v/>
      </c>
      <c r="H1449" s="141">
        <f>IFERROR(VLOOKUP($B1449,calc_data,H$14+1,0),0)</f>
        <v/>
      </c>
      <c r="I1449" s="142">
        <f>IFERROR(VLOOKUP($B1449,calc_data,I$14+1,0),0)</f>
        <v/>
      </c>
      <c r="J1449" s="141">
        <f>IFERROR(VLOOKUP($B1449,calc_data,J$14+1,0),0)</f>
        <v/>
      </c>
      <c r="K1449" s="141">
        <f>IFERROR(VLOOKUP($B1449,calc_data,K$14+1,0),0)</f>
        <v/>
      </c>
      <c r="L1449" s="141">
        <f>IFERROR(VLOOKUP($B1449,calc_data,L$14+1,0),0)</f>
        <v/>
      </c>
      <c r="M1449" s="177">
        <f>IFERROR(VLOOKUP($B1449,calc_data,M$14+1,0),0)</f>
        <v/>
      </c>
      <c r="N1449" s="177">
        <f>IFERROR(VLOOKUP($B1449,calc_data,N$14+1,0),0)</f>
        <v/>
      </c>
      <c r="O1449" s="45" t="n"/>
      <c r="Q1449" s="57">
        <f>IF(K1449&gt;0,"показать","скрыть")</f>
        <v/>
      </c>
    </row>
    <row r="1450" ht="15.75" customHeight="1">
      <c r="B1450" s="182" t="n">
        <v>1434</v>
      </c>
      <c r="C1450" s="182">
        <f>IFERROR(VLOOKUP($B1450,calc_data,C$14+1,0),0)</f>
        <v/>
      </c>
      <c r="D1450" s="182">
        <f>IFERROR(VLOOKUP($B1450,calc_data,D$14+1,0),0)</f>
        <v/>
      </c>
      <c r="E1450" s="183">
        <f>IFERROR(VLOOKUP($B1450,calc_data,E$14+1,0),0)</f>
        <v/>
      </c>
      <c r="F1450" s="182">
        <f>IFERROR(VLOOKUP($B1450,calc_data,F$14+1,0),0)</f>
        <v/>
      </c>
      <c r="G1450" s="141">
        <f>IFERROR(VLOOKUP($B1450,calc_data,G$14+1,0),0)</f>
        <v/>
      </c>
      <c r="H1450" s="141">
        <f>IFERROR(VLOOKUP($B1450,calc_data,H$14+1,0),0)</f>
        <v/>
      </c>
      <c r="I1450" s="142">
        <f>IFERROR(VLOOKUP($B1450,calc_data,I$14+1,0),0)</f>
        <v/>
      </c>
      <c r="J1450" s="141">
        <f>IFERROR(VLOOKUP($B1450,calc_data,J$14+1,0),0)</f>
        <v/>
      </c>
      <c r="K1450" s="141">
        <f>IFERROR(VLOOKUP($B1450,calc_data,K$14+1,0),0)</f>
        <v/>
      </c>
      <c r="L1450" s="141">
        <f>IFERROR(VLOOKUP($B1450,calc_data,L$14+1,0),0)</f>
        <v/>
      </c>
      <c r="M1450" s="177">
        <f>IFERROR(VLOOKUP($B1450,calc_data,M$14+1,0),0)</f>
        <v/>
      </c>
      <c r="N1450" s="177">
        <f>IFERROR(VLOOKUP($B1450,calc_data,N$14+1,0),0)</f>
        <v/>
      </c>
      <c r="O1450" s="45" t="n"/>
      <c r="Q1450" s="57">
        <f>IF(K1450&gt;0,"показать","скрыть")</f>
        <v/>
      </c>
    </row>
    <row r="1451" ht="15.75" customHeight="1">
      <c r="B1451" s="182" t="n">
        <v>1435</v>
      </c>
      <c r="C1451" s="182">
        <f>IFERROR(VLOOKUP($B1451,calc_data,C$14+1,0),0)</f>
        <v/>
      </c>
      <c r="D1451" s="182">
        <f>IFERROR(VLOOKUP($B1451,calc_data,D$14+1,0),0)</f>
        <v/>
      </c>
      <c r="E1451" s="183">
        <f>IFERROR(VLOOKUP($B1451,calc_data,E$14+1,0),0)</f>
        <v/>
      </c>
      <c r="F1451" s="182">
        <f>IFERROR(VLOOKUP($B1451,calc_data,F$14+1,0),0)</f>
        <v/>
      </c>
      <c r="G1451" s="141">
        <f>IFERROR(VLOOKUP($B1451,calc_data,G$14+1,0),0)</f>
        <v/>
      </c>
      <c r="H1451" s="141">
        <f>IFERROR(VLOOKUP($B1451,calc_data,H$14+1,0),0)</f>
        <v/>
      </c>
      <c r="I1451" s="142">
        <f>IFERROR(VLOOKUP($B1451,calc_data,I$14+1,0),0)</f>
        <v/>
      </c>
      <c r="J1451" s="141">
        <f>IFERROR(VLOOKUP($B1451,calc_data,J$14+1,0),0)</f>
        <v/>
      </c>
      <c r="K1451" s="141">
        <f>IFERROR(VLOOKUP($B1451,calc_data,K$14+1,0),0)</f>
        <v/>
      </c>
      <c r="L1451" s="141">
        <f>IFERROR(VLOOKUP($B1451,calc_data,L$14+1,0),0)</f>
        <v/>
      </c>
      <c r="M1451" s="177">
        <f>IFERROR(VLOOKUP($B1451,calc_data,M$14+1,0),0)</f>
        <v/>
      </c>
      <c r="N1451" s="177">
        <f>IFERROR(VLOOKUP($B1451,calc_data,N$14+1,0),0)</f>
        <v/>
      </c>
      <c r="O1451" s="45" t="n"/>
      <c r="Q1451" s="57">
        <f>IF(K1451&gt;0,"показать","скрыть")</f>
        <v/>
      </c>
    </row>
    <row r="1452" ht="15.75" customHeight="1">
      <c r="B1452" s="182" t="n">
        <v>1436</v>
      </c>
      <c r="C1452" s="182">
        <f>IFERROR(VLOOKUP($B1452,calc_data,C$14+1,0),0)</f>
        <v/>
      </c>
      <c r="D1452" s="182">
        <f>IFERROR(VLOOKUP($B1452,calc_data,D$14+1,0),0)</f>
        <v/>
      </c>
      <c r="E1452" s="183">
        <f>IFERROR(VLOOKUP($B1452,calc_data,E$14+1,0),0)</f>
        <v/>
      </c>
      <c r="F1452" s="182">
        <f>IFERROR(VLOOKUP($B1452,calc_data,F$14+1,0),0)</f>
        <v/>
      </c>
      <c r="G1452" s="141">
        <f>IFERROR(VLOOKUP($B1452,calc_data,G$14+1,0),0)</f>
        <v/>
      </c>
      <c r="H1452" s="141">
        <f>IFERROR(VLOOKUP($B1452,calc_data,H$14+1,0),0)</f>
        <v/>
      </c>
      <c r="I1452" s="142">
        <f>IFERROR(VLOOKUP($B1452,calc_data,I$14+1,0),0)</f>
        <v/>
      </c>
      <c r="J1452" s="141">
        <f>IFERROR(VLOOKUP($B1452,calc_data,J$14+1,0),0)</f>
        <v/>
      </c>
      <c r="K1452" s="141">
        <f>IFERROR(VLOOKUP($B1452,calc_data,K$14+1,0),0)</f>
        <v/>
      </c>
      <c r="L1452" s="141">
        <f>IFERROR(VLOOKUP($B1452,calc_data,L$14+1,0),0)</f>
        <v/>
      </c>
      <c r="M1452" s="177">
        <f>IFERROR(VLOOKUP($B1452,calc_data,M$14+1,0),0)</f>
        <v/>
      </c>
      <c r="N1452" s="177">
        <f>IFERROR(VLOOKUP($B1452,calc_data,N$14+1,0),0)</f>
        <v/>
      </c>
      <c r="O1452" s="45" t="n"/>
      <c r="Q1452" s="57">
        <f>IF(K1452&gt;0,"показать","скрыть")</f>
        <v/>
      </c>
    </row>
    <row r="1453" ht="15.75" customHeight="1">
      <c r="B1453" s="182" t="n">
        <v>1437</v>
      </c>
      <c r="C1453" s="182">
        <f>IFERROR(VLOOKUP($B1453,calc_data,C$14+1,0),0)</f>
        <v/>
      </c>
      <c r="D1453" s="182">
        <f>IFERROR(VLOOKUP($B1453,calc_data,D$14+1,0),0)</f>
        <v/>
      </c>
      <c r="E1453" s="183">
        <f>IFERROR(VLOOKUP($B1453,calc_data,E$14+1,0),0)</f>
        <v/>
      </c>
      <c r="F1453" s="182">
        <f>IFERROR(VLOOKUP($B1453,calc_data,F$14+1,0),0)</f>
        <v/>
      </c>
      <c r="G1453" s="141">
        <f>IFERROR(VLOOKUP($B1453,calc_data,G$14+1,0),0)</f>
        <v/>
      </c>
      <c r="H1453" s="141">
        <f>IFERROR(VLOOKUP($B1453,calc_data,H$14+1,0),0)</f>
        <v/>
      </c>
      <c r="I1453" s="142">
        <f>IFERROR(VLOOKUP($B1453,calc_data,I$14+1,0),0)</f>
        <v/>
      </c>
      <c r="J1453" s="141">
        <f>IFERROR(VLOOKUP($B1453,calc_data,J$14+1,0),0)</f>
        <v/>
      </c>
      <c r="K1453" s="141">
        <f>IFERROR(VLOOKUP($B1453,calc_data,K$14+1,0),0)</f>
        <v/>
      </c>
      <c r="L1453" s="141">
        <f>IFERROR(VLOOKUP($B1453,calc_data,L$14+1,0),0)</f>
        <v/>
      </c>
      <c r="M1453" s="177">
        <f>IFERROR(VLOOKUP($B1453,calc_data,M$14+1,0),0)</f>
        <v/>
      </c>
      <c r="N1453" s="177">
        <f>IFERROR(VLOOKUP($B1453,calc_data,N$14+1,0),0)</f>
        <v/>
      </c>
      <c r="O1453" s="45" t="n"/>
      <c r="Q1453" s="57">
        <f>IF(K1453&gt;0,"показать","скрыть")</f>
        <v/>
      </c>
    </row>
    <row r="1454" ht="15.75" customHeight="1">
      <c r="B1454" s="182" t="n">
        <v>1438</v>
      </c>
      <c r="C1454" s="182">
        <f>IFERROR(VLOOKUP($B1454,calc_data,C$14+1,0),0)</f>
        <v/>
      </c>
      <c r="D1454" s="182">
        <f>IFERROR(VLOOKUP($B1454,calc_data,D$14+1,0),0)</f>
        <v/>
      </c>
      <c r="E1454" s="183">
        <f>IFERROR(VLOOKUP($B1454,calc_data,E$14+1,0),0)</f>
        <v/>
      </c>
      <c r="F1454" s="182">
        <f>IFERROR(VLOOKUP($B1454,calc_data,F$14+1,0),0)</f>
        <v/>
      </c>
      <c r="G1454" s="141">
        <f>IFERROR(VLOOKUP($B1454,calc_data,G$14+1,0),0)</f>
        <v/>
      </c>
      <c r="H1454" s="141">
        <f>IFERROR(VLOOKUP($B1454,calc_data,H$14+1,0),0)</f>
        <v/>
      </c>
      <c r="I1454" s="142">
        <f>IFERROR(VLOOKUP($B1454,calc_data,I$14+1,0),0)</f>
        <v/>
      </c>
      <c r="J1454" s="141">
        <f>IFERROR(VLOOKUP($B1454,calc_data,J$14+1,0),0)</f>
        <v/>
      </c>
      <c r="K1454" s="141">
        <f>IFERROR(VLOOKUP($B1454,calc_data,K$14+1,0),0)</f>
        <v/>
      </c>
      <c r="L1454" s="141">
        <f>IFERROR(VLOOKUP($B1454,calc_data,L$14+1,0),0)</f>
        <v/>
      </c>
      <c r="M1454" s="177">
        <f>IFERROR(VLOOKUP($B1454,calc_data,M$14+1,0),0)</f>
        <v/>
      </c>
      <c r="N1454" s="177">
        <f>IFERROR(VLOOKUP($B1454,calc_data,N$14+1,0),0)</f>
        <v/>
      </c>
      <c r="O1454" s="45" t="n"/>
      <c r="Q1454" s="57">
        <f>IF(K1454&gt;0,"показать","скрыть")</f>
        <v/>
      </c>
    </row>
    <row r="1455" ht="15.75" customHeight="1">
      <c r="B1455" s="182" t="n">
        <v>1439</v>
      </c>
      <c r="C1455" s="182">
        <f>IFERROR(VLOOKUP($B1455,calc_data,C$14+1,0),0)</f>
        <v/>
      </c>
      <c r="D1455" s="182">
        <f>IFERROR(VLOOKUP($B1455,calc_data,D$14+1,0),0)</f>
        <v/>
      </c>
      <c r="E1455" s="183">
        <f>IFERROR(VLOOKUP($B1455,calc_data,E$14+1,0),0)</f>
        <v/>
      </c>
      <c r="F1455" s="182">
        <f>IFERROR(VLOOKUP($B1455,calc_data,F$14+1,0),0)</f>
        <v/>
      </c>
      <c r="G1455" s="141">
        <f>IFERROR(VLOOKUP($B1455,calc_data,G$14+1,0),0)</f>
        <v/>
      </c>
      <c r="H1455" s="141">
        <f>IFERROR(VLOOKUP($B1455,calc_data,H$14+1,0),0)</f>
        <v/>
      </c>
      <c r="I1455" s="142">
        <f>IFERROR(VLOOKUP($B1455,calc_data,I$14+1,0),0)</f>
        <v/>
      </c>
      <c r="J1455" s="141">
        <f>IFERROR(VLOOKUP($B1455,calc_data,J$14+1,0),0)</f>
        <v/>
      </c>
      <c r="K1455" s="141">
        <f>IFERROR(VLOOKUP($B1455,calc_data,K$14+1,0),0)</f>
        <v/>
      </c>
      <c r="L1455" s="141">
        <f>IFERROR(VLOOKUP($B1455,calc_data,L$14+1,0),0)</f>
        <v/>
      </c>
      <c r="M1455" s="177">
        <f>IFERROR(VLOOKUP($B1455,calc_data,M$14+1,0),0)</f>
        <v/>
      </c>
      <c r="N1455" s="177">
        <f>IFERROR(VLOOKUP($B1455,calc_data,N$14+1,0),0)</f>
        <v/>
      </c>
      <c r="O1455" s="45" t="n"/>
      <c r="Q1455" s="57">
        <f>IF(K1455&gt;0,"показать","скрыть")</f>
        <v/>
      </c>
    </row>
    <row r="1456" ht="15.75" customHeight="1">
      <c r="B1456" s="182" t="n">
        <v>1440</v>
      </c>
      <c r="C1456" s="182">
        <f>IFERROR(VLOOKUP($B1456,calc_data,C$14+1,0),0)</f>
        <v/>
      </c>
      <c r="D1456" s="182">
        <f>IFERROR(VLOOKUP($B1456,calc_data,D$14+1,0),0)</f>
        <v/>
      </c>
      <c r="E1456" s="183">
        <f>IFERROR(VLOOKUP($B1456,calc_data,E$14+1,0),0)</f>
        <v/>
      </c>
      <c r="F1456" s="182">
        <f>IFERROR(VLOOKUP($B1456,calc_data,F$14+1,0),0)</f>
        <v/>
      </c>
      <c r="G1456" s="141">
        <f>IFERROR(VLOOKUP($B1456,calc_data,G$14+1,0),0)</f>
        <v/>
      </c>
      <c r="H1456" s="141">
        <f>IFERROR(VLOOKUP($B1456,calc_data,H$14+1,0),0)</f>
        <v/>
      </c>
      <c r="I1456" s="142">
        <f>IFERROR(VLOOKUP($B1456,calc_data,I$14+1,0),0)</f>
        <v/>
      </c>
      <c r="J1456" s="141">
        <f>IFERROR(VLOOKUP($B1456,calc_data,J$14+1,0),0)</f>
        <v/>
      </c>
      <c r="K1456" s="141">
        <f>IFERROR(VLOOKUP($B1456,calc_data,K$14+1,0),0)</f>
        <v/>
      </c>
      <c r="L1456" s="141">
        <f>IFERROR(VLOOKUP($B1456,calc_data,L$14+1,0),0)</f>
        <v/>
      </c>
      <c r="M1456" s="177">
        <f>IFERROR(VLOOKUP($B1456,calc_data,M$14+1,0),0)</f>
        <v/>
      </c>
      <c r="N1456" s="177">
        <f>IFERROR(VLOOKUP($B1456,calc_data,N$14+1,0),0)</f>
        <v/>
      </c>
      <c r="O1456" s="45" t="n"/>
      <c r="Q1456" s="57">
        <f>IF(K1456&gt;0,"показать","скрыть")</f>
        <v/>
      </c>
    </row>
    <row r="1457" ht="15.75" customHeight="1">
      <c r="B1457" s="182" t="n">
        <v>1441</v>
      </c>
      <c r="C1457" s="182">
        <f>IFERROR(VLOOKUP($B1457,calc_data,C$14+1,0),0)</f>
        <v/>
      </c>
      <c r="D1457" s="182">
        <f>IFERROR(VLOOKUP($B1457,calc_data,D$14+1,0),0)</f>
        <v/>
      </c>
      <c r="E1457" s="183">
        <f>IFERROR(VLOOKUP($B1457,calc_data,E$14+1,0),0)</f>
        <v/>
      </c>
      <c r="F1457" s="182">
        <f>IFERROR(VLOOKUP($B1457,calc_data,F$14+1,0),0)</f>
        <v/>
      </c>
      <c r="G1457" s="141">
        <f>IFERROR(VLOOKUP($B1457,calc_data,G$14+1,0),0)</f>
        <v/>
      </c>
      <c r="H1457" s="141">
        <f>IFERROR(VLOOKUP($B1457,calc_data,H$14+1,0),0)</f>
        <v/>
      </c>
      <c r="I1457" s="142">
        <f>IFERROR(VLOOKUP($B1457,calc_data,I$14+1,0),0)</f>
        <v/>
      </c>
      <c r="J1457" s="141">
        <f>IFERROR(VLOOKUP($B1457,calc_data,J$14+1,0),0)</f>
        <v/>
      </c>
      <c r="K1457" s="141">
        <f>IFERROR(VLOOKUP($B1457,calc_data,K$14+1,0),0)</f>
        <v/>
      </c>
      <c r="L1457" s="141">
        <f>IFERROR(VLOOKUP($B1457,calc_data,L$14+1,0),0)</f>
        <v/>
      </c>
      <c r="M1457" s="177">
        <f>IFERROR(VLOOKUP($B1457,calc_data,M$14+1,0),0)</f>
        <v/>
      </c>
      <c r="N1457" s="177">
        <f>IFERROR(VLOOKUP($B1457,calc_data,N$14+1,0),0)</f>
        <v/>
      </c>
      <c r="O1457" s="45" t="n"/>
      <c r="Q1457" s="57">
        <f>IF(K1457&gt;0,"показать","скрыть")</f>
        <v/>
      </c>
    </row>
    <row r="1458" ht="15.75" customHeight="1">
      <c r="B1458" s="182" t="n">
        <v>1442</v>
      </c>
      <c r="C1458" s="182">
        <f>IFERROR(VLOOKUP($B1458,calc_data,C$14+1,0),0)</f>
        <v/>
      </c>
      <c r="D1458" s="182">
        <f>IFERROR(VLOOKUP($B1458,calc_data,D$14+1,0),0)</f>
        <v/>
      </c>
      <c r="E1458" s="183">
        <f>IFERROR(VLOOKUP($B1458,calc_data,E$14+1,0),0)</f>
        <v/>
      </c>
      <c r="F1458" s="182">
        <f>IFERROR(VLOOKUP($B1458,calc_data,F$14+1,0),0)</f>
        <v/>
      </c>
      <c r="G1458" s="141">
        <f>IFERROR(VLOOKUP($B1458,calc_data,G$14+1,0),0)</f>
        <v/>
      </c>
      <c r="H1458" s="141">
        <f>IFERROR(VLOOKUP($B1458,calc_data,H$14+1,0),0)</f>
        <v/>
      </c>
      <c r="I1458" s="142">
        <f>IFERROR(VLOOKUP($B1458,calc_data,I$14+1,0),0)</f>
        <v/>
      </c>
      <c r="J1458" s="141">
        <f>IFERROR(VLOOKUP($B1458,calc_data,J$14+1,0),0)</f>
        <v/>
      </c>
      <c r="K1458" s="141">
        <f>IFERROR(VLOOKUP($B1458,calc_data,K$14+1,0),0)</f>
        <v/>
      </c>
      <c r="L1458" s="141">
        <f>IFERROR(VLOOKUP($B1458,calc_data,L$14+1,0),0)</f>
        <v/>
      </c>
      <c r="M1458" s="177">
        <f>IFERROR(VLOOKUP($B1458,calc_data,M$14+1,0),0)</f>
        <v/>
      </c>
      <c r="N1458" s="177">
        <f>IFERROR(VLOOKUP($B1458,calc_data,N$14+1,0),0)</f>
        <v/>
      </c>
      <c r="O1458" s="45" t="n"/>
      <c r="Q1458" s="57">
        <f>IF(K1458&gt;0,"показать","скрыть")</f>
        <v/>
      </c>
    </row>
    <row r="1459" ht="15.75" customHeight="1">
      <c r="B1459" s="182" t="n">
        <v>1443</v>
      </c>
      <c r="C1459" s="182">
        <f>IFERROR(VLOOKUP($B1459,calc_data,C$14+1,0),0)</f>
        <v/>
      </c>
      <c r="D1459" s="182">
        <f>IFERROR(VLOOKUP($B1459,calc_data,D$14+1,0),0)</f>
        <v/>
      </c>
      <c r="E1459" s="183">
        <f>IFERROR(VLOOKUP($B1459,calc_data,E$14+1,0),0)</f>
        <v/>
      </c>
      <c r="F1459" s="182">
        <f>IFERROR(VLOOKUP($B1459,calc_data,F$14+1,0),0)</f>
        <v/>
      </c>
      <c r="G1459" s="141">
        <f>IFERROR(VLOOKUP($B1459,calc_data,G$14+1,0),0)</f>
        <v/>
      </c>
      <c r="H1459" s="141">
        <f>IFERROR(VLOOKUP($B1459,calc_data,H$14+1,0),0)</f>
        <v/>
      </c>
      <c r="I1459" s="142">
        <f>IFERROR(VLOOKUP($B1459,calc_data,I$14+1,0),0)</f>
        <v/>
      </c>
      <c r="J1459" s="141">
        <f>IFERROR(VLOOKUP($B1459,calc_data,J$14+1,0),0)</f>
        <v/>
      </c>
      <c r="K1459" s="141">
        <f>IFERROR(VLOOKUP($B1459,calc_data,K$14+1,0),0)</f>
        <v/>
      </c>
      <c r="L1459" s="141">
        <f>IFERROR(VLOOKUP($B1459,calc_data,L$14+1,0),0)</f>
        <v/>
      </c>
      <c r="M1459" s="177">
        <f>IFERROR(VLOOKUP($B1459,calc_data,M$14+1,0),0)</f>
        <v/>
      </c>
      <c r="N1459" s="177">
        <f>IFERROR(VLOOKUP($B1459,calc_data,N$14+1,0),0)</f>
        <v/>
      </c>
      <c r="O1459" s="45" t="n"/>
      <c r="Q1459" s="57">
        <f>IF(K1459&gt;0,"показать","скрыть")</f>
        <v/>
      </c>
    </row>
    <row r="1460" ht="15.75" customHeight="1">
      <c r="B1460" s="182" t="n">
        <v>1444</v>
      </c>
      <c r="C1460" s="182">
        <f>IFERROR(VLOOKUP($B1460,calc_data,C$14+1,0),0)</f>
        <v/>
      </c>
      <c r="D1460" s="182">
        <f>IFERROR(VLOOKUP($B1460,calc_data,D$14+1,0),0)</f>
        <v/>
      </c>
      <c r="E1460" s="183">
        <f>IFERROR(VLOOKUP($B1460,calc_data,E$14+1,0),0)</f>
        <v/>
      </c>
      <c r="F1460" s="182">
        <f>IFERROR(VLOOKUP($B1460,calc_data,F$14+1,0),0)</f>
        <v/>
      </c>
      <c r="G1460" s="141">
        <f>IFERROR(VLOOKUP($B1460,calc_data,G$14+1,0),0)</f>
        <v/>
      </c>
      <c r="H1460" s="141">
        <f>IFERROR(VLOOKUP($B1460,calc_data,H$14+1,0),0)</f>
        <v/>
      </c>
      <c r="I1460" s="142">
        <f>IFERROR(VLOOKUP($B1460,calc_data,I$14+1,0),0)</f>
        <v/>
      </c>
      <c r="J1460" s="141">
        <f>IFERROR(VLOOKUP($B1460,calc_data,J$14+1,0),0)</f>
        <v/>
      </c>
      <c r="K1460" s="141">
        <f>IFERROR(VLOOKUP($B1460,calc_data,K$14+1,0),0)</f>
        <v/>
      </c>
      <c r="L1460" s="141">
        <f>IFERROR(VLOOKUP($B1460,calc_data,L$14+1,0),0)</f>
        <v/>
      </c>
      <c r="M1460" s="177">
        <f>IFERROR(VLOOKUP($B1460,calc_data,M$14+1,0),0)</f>
        <v/>
      </c>
      <c r="N1460" s="177">
        <f>IFERROR(VLOOKUP($B1460,calc_data,N$14+1,0),0)</f>
        <v/>
      </c>
      <c r="O1460" s="45" t="n"/>
      <c r="Q1460" s="57">
        <f>IF(K1460&gt;0,"показать","скрыть")</f>
        <v/>
      </c>
    </row>
    <row r="1461" ht="15.75" customHeight="1">
      <c r="B1461" s="182" t="n">
        <v>1445</v>
      </c>
      <c r="C1461" s="182">
        <f>IFERROR(VLOOKUP($B1461,calc_data,C$14+1,0),0)</f>
        <v/>
      </c>
      <c r="D1461" s="182">
        <f>IFERROR(VLOOKUP($B1461,calc_data,D$14+1,0),0)</f>
        <v/>
      </c>
      <c r="E1461" s="183">
        <f>IFERROR(VLOOKUP($B1461,calc_data,E$14+1,0),0)</f>
        <v/>
      </c>
      <c r="F1461" s="182">
        <f>IFERROR(VLOOKUP($B1461,calc_data,F$14+1,0),0)</f>
        <v/>
      </c>
      <c r="G1461" s="141">
        <f>IFERROR(VLOOKUP($B1461,calc_data,G$14+1,0),0)</f>
        <v/>
      </c>
      <c r="H1461" s="141">
        <f>IFERROR(VLOOKUP($B1461,calc_data,H$14+1,0),0)</f>
        <v/>
      </c>
      <c r="I1461" s="142">
        <f>IFERROR(VLOOKUP($B1461,calc_data,I$14+1,0),0)</f>
        <v/>
      </c>
      <c r="J1461" s="141">
        <f>IFERROR(VLOOKUP($B1461,calc_data,J$14+1,0),0)</f>
        <v/>
      </c>
      <c r="K1461" s="141">
        <f>IFERROR(VLOOKUP($B1461,calc_data,K$14+1,0),0)</f>
        <v/>
      </c>
      <c r="L1461" s="141">
        <f>IFERROR(VLOOKUP($B1461,calc_data,L$14+1,0),0)</f>
        <v/>
      </c>
      <c r="M1461" s="177">
        <f>IFERROR(VLOOKUP($B1461,calc_data,M$14+1,0),0)</f>
        <v/>
      </c>
      <c r="N1461" s="177">
        <f>IFERROR(VLOOKUP($B1461,calc_data,N$14+1,0),0)</f>
        <v/>
      </c>
      <c r="O1461" s="45" t="n"/>
      <c r="Q1461" s="57">
        <f>IF(K1461&gt;0,"показать","скрыть")</f>
        <v/>
      </c>
    </row>
    <row r="1462" ht="15.75" customHeight="1">
      <c r="B1462" s="182" t="n">
        <v>1446</v>
      </c>
      <c r="C1462" s="182">
        <f>IFERROR(VLOOKUP($B1462,calc_data,C$14+1,0),0)</f>
        <v/>
      </c>
      <c r="D1462" s="182">
        <f>IFERROR(VLOOKUP($B1462,calc_data,D$14+1,0),0)</f>
        <v/>
      </c>
      <c r="E1462" s="183">
        <f>IFERROR(VLOOKUP($B1462,calc_data,E$14+1,0),0)</f>
        <v/>
      </c>
      <c r="F1462" s="182">
        <f>IFERROR(VLOOKUP($B1462,calc_data,F$14+1,0),0)</f>
        <v/>
      </c>
      <c r="G1462" s="141">
        <f>IFERROR(VLOOKUP($B1462,calc_data,G$14+1,0),0)</f>
        <v/>
      </c>
      <c r="H1462" s="141">
        <f>IFERROR(VLOOKUP($B1462,calc_data,H$14+1,0),0)</f>
        <v/>
      </c>
      <c r="I1462" s="142">
        <f>IFERROR(VLOOKUP($B1462,calc_data,I$14+1,0),0)</f>
        <v/>
      </c>
      <c r="J1462" s="141">
        <f>IFERROR(VLOOKUP($B1462,calc_data,J$14+1,0),0)</f>
        <v/>
      </c>
      <c r="K1462" s="141">
        <f>IFERROR(VLOOKUP($B1462,calc_data,K$14+1,0),0)</f>
        <v/>
      </c>
      <c r="L1462" s="141">
        <f>IFERROR(VLOOKUP($B1462,calc_data,L$14+1,0),0)</f>
        <v/>
      </c>
      <c r="M1462" s="177">
        <f>IFERROR(VLOOKUP($B1462,calc_data,M$14+1,0),0)</f>
        <v/>
      </c>
      <c r="N1462" s="177">
        <f>IFERROR(VLOOKUP($B1462,calc_data,N$14+1,0),0)</f>
        <v/>
      </c>
      <c r="O1462" s="45" t="n"/>
      <c r="Q1462" s="57">
        <f>IF(K1462&gt;0,"показать","скрыть")</f>
        <v/>
      </c>
    </row>
    <row r="1463" ht="15.75" customHeight="1">
      <c r="B1463" s="182" t="n">
        <v>1447</v>
      </c>
      <c r="C1463" s="182">
        <f>IFERROR(VLOOKUP($B1463,calc_data,C$14+1,0),0)</f>
        <v/>
      </c>
      <c r="D1463" s="182">
        <f>IFERROR(VLOOKUP($B1463,calc_data,D$14+1,0),0)</f>
        <v/>
      </c>
      <c r="E1463" s="183">
        <f>IFERROR(VLOOKUP($B1463,calc_data,E$14+1,0),0)</f>
        <v/>
      </c>
      <c r="F1463" s="182">
        <f>IFERROR(VLOOKUP($B1463,calc_data,F$14+1,0),0)</f>
        <v/>
      </c>
      <c r="G1463" s="141">
        <f>IFERROR(VLOOKUP($B1463,calc_data,G$14+1,0),0)</f>
        <v/>
      </c>
      <c r="H1463" s="141">
        <f>IFERROR(VLOOKUP($B1463,calc_data,H$14+1,0),0)</f>
        <v/>
      </c>
      <c r="I1463" s="142">
        <f>IFERROR(VLOOKUP($B1463,calc_data,I$14+1,0),0)</f>
        <v/>
      </c>
      <c r="J1463" s="141">
        <f>IFERROR(VLOOKUP($B1463,calc_data,J$14+1,0),0)</f>
        <v/>
      </c>
      <c r="K1463" s="141">
        <f>IFERROR(VLOOKUP($B1463,calc_data,K$14+1,0),0)</f>
        <v/>
      </c>
      <c r="L1463" s="141">
        <f>IFERROR(VLOOKUP($B1463,calc_data,L$14+1,0),0)</f>
        <v/>
      </c>
      <c r="M1463" s="177">
        <f>IFERROR(VLOOKUP($B1463,calc_data,M$14+1,0),0)</f>
        <v/>
      </c>
      <c r="N1463" s="177">
        <f>IFERROR(VLOOKUP($B1463,calc_data,N$14+1,0),0)</f>
        <v/>
      </c>
      <c r="O1463" s="45" t="n"/>
      <c r="Q1463" s="57">
        <f>IF(K1463&gt;0,"показать","скрыть")</f>
        <v/>
      </c>
    </row>
    <row r="1464" ht="15.75" customHeight="1">
      <c r="B1464" s="182" t="n">
        <v>1448</v>
      </c>
      <c r="C1464" s="182">
        <f>IFERROR(VLOOKUP($B1464,calc_data,C$14+1,0),0)</f>
        <v/>
      </c>
      <c r="D1464" s="182">
        <f>IFERROR(VLOOKUP($B1464,calc_data,D$14+1,0),0)</f>
        <v/>
      </c>
      <c r="E1464" s="183">
        <f>IFERROR(VLOOKUP($B1464,calc_data,E$14+1,0),0)</f>
        <v/>
      </c>
      <c r="F1464" s="182">
        <f>IFERROR(VLOOKUP($B1464,calc_data,F$14+1,0),0)</f>
        <v/>
      </c>
      <c r="G1464" s="141">
        <f>IFERROR(VLOOKUP($B1464,calc_data,G$14+1,0),0)</f>
        <v/>
      </c>
      <c r="H1464" s="141">
        <f>IFERROR(VLOOKUP($B1464,calc_data,H$14+1,0),0)</f>
        <v/>
      </c>
      <c r="I1464" s="142">
        <f>IFERROR(VLOOKUP($B1464,calc_data,I$14+1,0),0)</f>
        <v/>
      </c>
      <c r="J1464" s="141">
        <f>IFERROR(VLOOKUP($B1464,calc_data,J$14+1,0),0)</f>
        <v/>
      </c>
      <c r="K1464" s="141">
        <f>IFERROR(VLOOKUP($B1464,calc_data,K$14+1,0),0)</f>
        <v/>
      </c>
      <c r="L1464" s="141">
        <f>IFERROR(VLOOKUP($B1464,calc_data,L$14+1,0),0)</f>
        <v/>
      </c>
      <c r="M1464" s="177">
        <f>IFERROR(VLOOKUP($B1464,calc_data,M$14+1,0),0)</f>
        <v/>
      </c>
      <c r="N1464" s="177">
        <f>IFERROR(VLOOKUP($B1464,calc_data,N$14+1,0),0)</f>
        <v/>
      </c>
      <c r="O1464" s="45" t="n"/>
      <c r="Q1464" s="57">
        <f>IF(K1464&gt;0,"показать","скрыть")</f>
        <v/>
      </c>
    </row>
    <row r="1465" ht="15.75" customHeight="1">
      <c r="B1465" s="182" t="n">
        <v>1449</v>
      </c>
      <c r="C1465" s="182">
        <f>IFERROR(VLOOKUP($B1465,calc_data,C$14+1,0),0)</f>
        <v/>
      </c>
      <c r="D1465" s="182">
        <f>IFERROR(VLOOKUP($B1465,calc_data,D$14+1,0),0)</f>
        <v/>
      </c>
      <c r="E1465" s="183">
        <f>IFERROR(VLOOKUP($B1465,calc_data,E$14+1,0),0)</f>
        <v/>
      </c>
      <c r="F1465" s="182">
        <f>IFERROR(VLOOKUP($B1465,calc_data,F$14+1,0),0)</f>
        <v/>
      </c>
      <c r="G1465" s="141">
        <f>IFERROR(VLOOKUP($B1465,calc_data,G$14+1,0),0)</f>
        <v/>
      </c>
      <c r="H1465" s="141">
        <f>IFERROR(VLOOKUP($B1465,calc_data,H$14+1,0),0)</f>
        <v/>
      </c>
      <c r="I1465" s="142">
        <f>IFERROR(VLOOKUP($B1465,calc_data,I$14+1,0),0)</f>
        <v/>
      </c>
      <c r="J1465" s="141">
        <f>IFERROR(VLOOKUP($B1465,calc_data,J$14+1,0),0)</f>
        <v/>
      </c>
      <c r="K1465" s="141">
        <f>IFERROR(VLOOKUP($B1465,calc_data,K$14+1,0),0)</f>
        <v/>
      </c>
      <c r="L1465" s="141">
        <f>IFERROR(VLOOKUP($B1465,calc_data,L$14+1,0),0)</f>
        <v/>
      </c>
      <c r="M1465" s="177">
        <f>IFERROR(VLOOKUP($B1465,calc_data,M$14+1,0),0)</f>
        <v/>
      </c>
      <c r="N1465" s="177">
        <f>IFERROR(VLOOKUP($B1465,calc_data,N$14+1,0),0)</f>
        <v/>
      </c>
      <c r="O1465" s="45" t="n"/>
      <c r="Q1465" s="57">
        <f>IF(K1465&gt;0,"показать","скрыть")</f>
        <v/>
      </c>
    </row>
    <row r="1466" ht="15.75" customHeight="1">
      <c r="B1466" s="182" t="n">
        <v>1450</v>
      </c>
      <c r="C1466" s="182">
        <f>IFERROR(VLOOKUP($B1466,calc_data,C$14+1,0),0)</f>
        <v/>
      </c>
      <c r="D1466" s="182">
        <f>IFERROR(VLOOKUP($B1466,calc_data,D$14+1,0),0)</f>
        <v/>
      </c>
      <c r="E1466" s="183">
        <f>IFERROR(VLOOKUP($B1466,calc_data,E$14+1,0),0)</f>
        <v/>
      </c>
      <c r="F1466" s="182">
        <f>IFERROR(VLOOKUP($B1466,calc_data,F$14+1,0),0)</f>
        <v/>
      </c>
      <c r="G1466" s="141">
        <f>IFERROR(VLOOKUP($B1466,calc_data,G$14+1,0),0)</f>
        <v/>
      </c>
      <c r="H1466" s="141">
        <f>IFERROR(VLOOKUP($B1466,calc_data,H$14+1,0),0)</f>
        <v/>
      </c>
      <c r="I1466" s="142">
        <f>IFERROR(VLOOKUP($B1466,calc_data,I$14+1,0),0)</f>
        <v/>
      </c>
      <c r="J1466" s="141">
        <f>IFERROR(VLOOKUP($B1466,calc_data,J$14+1,0),0)</f>
        <v/>
      </c>
      <c r="K1466" s="141">
        <f>IFERROR(VLOOKUP($B1466,calc_data,K$14+1,0),0)</f>
        <v/>
      </c>
      <c r="L1466" s="141">
        <f>IFERROR(VLOOKUP($B1466,calc_data,L$14+1,0),0)</f>
        <v/>
      </c>
      <c r="M1466" s="177">
        <f>IFERROR(VLOOKUP($B1466,calc_data,M$14+1,0),0)</f>
        <v/>
      </c>
      <c r="N1466" s="177">
        <f>IFERROR(VLOOKUP($B1466,calc_data,N$14+1,0),0)</f>
        <v/>
      </c>
      <c r="O1466" s="45" t="n"/>
      <c r="Q1466" s="57">
        <f>IF(K1466&gt;0,"показать","скрыть")</f>
        <v/>
      </c>
    </row>
    <row r="1467" ht="15.75" customHeight="1">
      <c r="B1467" s="182" t="n">
        <v>1451</v>
      </c>
      <c r="C1467" s="182">
        <f>IFERROR(VLOOKUP($B1467,calc_data,C$14+1,0),0)</f>
        <v/>
      </c>
      <c r="D1467" s="182">
        <f>IFERROR(VLOOKUP($B1467,calc_data,D$14+1,0),0)</f>
        <v/>
      </c>
      <c r="E1467" s="183">
        <f>IFERROR(VLOOKUP($B1467,calc_data,E$14+1,0),0)</f>
        <v/>
      </c>
      <c r="F1467" s="182">
        <f>IFERROR(VLOOKUP($B1467,calc_data,F$14+1,0),0)</f>
        <v/>
      </c>
      <c r="G1467" s="141">
        <f>IFERROR(VLOOKUP($B1467,calc_data,G$14+1,0),0)</f>
        <v/>
      </c>
      <c r="H1467" s="141">
        <f>IFERROR(VLOOKUP($B1467,calc_data,H$14+1,0),0)</f>
        <v/>
      </c>
      <c r="I1467" s="142">
        <f>IFERROR(VLOOKUP($B1467,calc_data,I$14+1,0),0)</f>
        <v/>
      </c>
      <c r="J1467" s="141">
        <f>IFERROR(VLOOKUP($B1467,calc_data,J$14+1,0),0)</f>
        <v/>
      </c>
      <c r="K1467" s="141">
        <f>IFERROR(VLOOKUP($B1467,calc_data,K$14+1,0),0)</f>
        <v/>
      </c>
      <c r="L1467" s="141">
        <f>IFERROR(VLOOKUP($B1467,calc_data,L$14+1,0),0)</f>
        <v/>
      </c>
      <c r="M1467" s="177">
        <f>IFERROR(VLOOKUP($B1467,calc_data,M$14+1,0),0)</f>
        <v/>
      </c>
      <c r="N1467" s="177">
        <f>IFERROR(VLOOKUP($B1467,calc_data,N$14+1,0),0)</f>
        <v/>
      </c>
      <c r="O1467" s="45" t="n"/>
      <c r="Q1467" s="57">
        <f>IF(K1467&gt;0,"показать","скрыть")</f>
        <v/>
      </c>
    </row>
    <row r="1468" ht="15.75" customHeight="1">
      <c r="B1468" s="182" t="n">
        <v>1452</v>
      </c>
      <c r="C1468" s="182">
        <f>IFERROR(VLOOKUP($B1468,calc_data,C$14+1,0),0)</f>
        <v/>
      </c>
      <c r="D1468" s="182">
        <f>IFERROR(VLOOKUP($B1468,calc_data,D$14+1,0),0)</f>
        <v/>
      </c>
      <c r="E1468" s="183">
        <f>IFERROR(VLOOKUP($B1468,calc_data,E$14+1,0),0)</f>
        <v/>
      </c>
      <c r="F1468" s="182">
        <f>IFERROR(VLOOKUP($B1468,calc_data,F$14+1,0),0)</f>
        <v/>
      </c>
      <c r="G1468" s="141">
        <f>IFERROR(VLOOKUP($B1468,calc_data,G$14+1,0),0)</f>
        <v/>
      </c>
      <c r="H1468" s="141">
        <f>IFERROR(VLOOKUP($B1468,calc_data,H$14+1,0),0)</f>
        <v/>
      </c>
      <c r="I1468" s="142">
        <f>IFERROR(VLOOKUP($B1468,calc_data,I$14+1,0),0)</f>
        <v/>
      </c>
      <c r="J1468" s="141">
        <f>IFERROR(VLOOKUP($B1468,calc_data,J$14+1,0),0)</f>
        <v/>
      </c>
      <c r="K1468" s="141">
        <f>IFERROR(VLOOKUP($B1468,calc_data,K$14+1,0),0)</f>
        <v/>
      </c>
      <c r="L1468" s="141">
        <f>IFERROR(VLOOKUP($B1468,calc_data,L$14+1,0),0)</f>
        <v/>
      </c>
      <c r="M1468" s="177">
        <f>IFERROR(VLOOKUP($B1468,calc_data,M$14+1,0),0)</f>
        <v/>
      </c>
      <c r="N1468" s="177">
        <f>IFERROR(VLOOKUP($B1468,calc_data,N$14+1,0),0)</f>
        <v/>
      </c>
      <c r="O1468" s="45" t="n"/>
      <c r="Q1468" s="57">
        <f>IF(K1468&gt;0,"показать","скрыть")</f>
        <v/>
      </c>
    </row>
    <row r="1469" ht="15.75" customHeight="1">
      <c r="B1469" s="182" t="n">
        <v>1453</v>
      </c>
      <c r="C1469" s="182">
        <f>IFERROR(VLOOKUP($B1469,calc_data,C$14+1,0),0)</f>
        <v/>
      </c>
      <c r="D1469" s="182">
        <f>IFERROR(VLOOKUP($B1469,calc_data,D$14+1,0),0)</f>
        <v/>
      </c>
      <c r="E1469" s="183">
        <f>IFERROR(VLOOKUP($B1469,calc_data,E$14+1,0),0)</f>
        <v/>
      </c>
      <c r="F1469" s="182">
        <f>IFERROR(VLOOKUP($B1469,calc_data,F$14+1,0),0)</f>
        <v/>
      </c>
      <c r="G1469" s="141">
        <f>IFERROR(VLOOKUP($B1469,calc_data,G$14+1,0),0)</f>
        <v/>
      </c>
      <c r="H1469" s="141">
        <f>IFERROR(VLOOKUP($B1469,calc_data,H$14+1,0),0)</f>
        <v/>
      </c>
      <c r="I1469" s="142">
        <f>IFERROR(VLOOKUP($B1469,calc_data,I$14+1,0),0)</f>
        <v/>
      </c>
      <c r="J1469" s="141">
        <f>IFERROR(VLOOKUP($B1469,calc_data,J$14+1,0),0)</f>
        <v/>
      </c>
      <c r="K1469" s="141">
        <f>IFERROR(VLOOKUP($B1469,calc_data,K$14+1,0),0)</f>
        <v/>
      </c>
      <c r="L1469" s="141">
        <f>IFERROR(VLOOKUP($B1469,calc_data,L$14+1,0),0)</f>
        <v/>
      </c>
      <c r="M1469" s="177">
        <f>IFERROR(VLOOKUP($B1469,calc_data,M$14+1,0),0)</f>
        <v/>
      </c>
      <c r="N1469" s="177">
        <f>IFERROR(VLOOKUP($B1469,calc_data,N$14+1,0),0)</f>
        <v/>
      </c>
      <c r="O1469" s="45" t="n"/>
      <c r="Q1469" s="57">
        <f>IF(K1469&gt;0,"показать","скрыть")</f>
        <v/>
      </c>
    </row>
    <row r="1470" ht="15.75" customHeight="1">
      <c r="B1470" s="182" t="n">
        <v>1454</v>
      </c>
      <c r="C1470" s="182">
        <f>IFERROR(VLOOKUP($B1470,calc_data,C$14+1,0),0)</f>
        <v/>
      </c>
      <c r="D1470" s="182">
        <f>IFERROR(VLOOKUP($B1470,calc_data,D$14+1,0),0)</f>
        <v/>
      </c>
      <c r="E1470" s="183">
        <f>IFERROR(VLOOKUP($B1470,calc_data,E$14+1,0),0)</f>
        <v/>
      </c>
      <c r="F1470" s="182">
        <f>IFERROR(VLOOKUP($B1470,calc_data,F$14+1,0),0)</f>
        <v/>
      </c>
      <c r="G1470" s="141">
        <f>IFERROR(VLOOKUP($B1470,calc_data,G$14+1,0),0)</f>
        <v/>
      </c>
      <c r="H1470" s="141">
        <f>IFERROR(VLOOKUP($B1470,calc_data,H$14+1,0),0)</f>
        <v/>
      </c>
      <c r="I1470" s="142">
        <f>IFERROR(VLOOKUP($B1470,calc_data,I$14+1,0),0)</f>
        <v/>
      </c>
      <c r="J1470" s="141">
        <f>IFERROR(VLOOKUP($B1470,calc_data,J$14+1,0),0)</f>
        <v/>
      </c>
      <c r="K1470" s="141">
        <f>IFERROR(VLOOKUP($B1470,calc_data,K$14+1,0),0)</f>
        <v/>
      </c>
      <c r="L1470" s="141">
        <f>IFERROR(VLOOKUP($B1470,calc_data,L$14+1,0),0)</f>
        <v/>
      </c>
      <c r="M1470" s="177">
        <f>IFERROR(VLOOKUP($B1470,calc_data,M$14+1,0),0)</f>
        <v/>
      </c>
      <c r="N1470" s="177">
        <f>IFERROR(VLOOKUP($B1470,calc_data,N$14+1,0),0)</f>
        <v/>
      </c>
      <c r="O1470" s="45" t="n"/>
      <c r="Q1470" s="57">
        <f>IF(K1470&gt;0,"показать","скрыть")</f>
        <v/>
      </c>
    </row>
    <row r="1471" ht="15.75" customHeight="1">
      <c r="B1471" s="182" t="n">
        <v>1455</v>
      </c>
      <c r="C1471" s="182">
        <f>IFERROR(VLOOKUP($B1471,calc_data,C$14+1,0),0)</f>
        <v/>
      </c>
      <c r="D1471" s="182">
        <f>IFERROR(VLOOKUP($B1471,calc_data,D$14+1,0),0)</f>
        <v/>
      </c>
      <c r="E1471" s="183">
        <f>IFERROR(VLOOKUP($B1471,calc_data,E$14+1,0),0)</f>
        <v/>
      </c>
      <c r="F1471" s="182">
        <f>IFERROR(VLOOKUP($B1471,calc_data,F$14+1,0),0)</f>
        <v/>
      </c>
      <c r="G1471" s="141">
        <f>IFERROR(VLOOKUP($B1471,calc_data,G$14+1,0),0)</f>
        <v/>
      </c>
      <c r="H1471" s="141">
        <f>IFERROR(VLOOKUP($B1471,calc_data,H$14+1,0),0)</f>
        <v/>
      </c>
      <c r="I1471" s="142">
        <f>IFERROR(VLOOKUP($B1471,calc_data,I$14+1,0),0)</f>
        <v/>
      </c>
      <c r="J1471" s="141">
        <f>IFERROR(VLOOKUP($B1471,calc_data,J$14+1,0),0)</f>
        <v/>
      </c>
      <c r="K1471" s="141">
        <f>IFERROR(VLOOKUP($B1471,calc_data,K$14+1,0),0)</f>
        <v/>
      </c>
      <c r="L1471" s="141">
        <f>IFERROR(VLOOKUP($B1471,calc_data,L$14+1,0),0)</f>
        <v/>
      </c>
      <c r="M1471" s="177">
        <f>IFERROR(VLOOKUP($B1471,calc_data,M$14+1,0),0)</f>
        <v/>
      </c>
      <c r="N1471" s="177">
        <f>IFERROR(VLOOKUP($B1471,calc_data,N$14+1,0),0)</f>
        <v/>
      </c>
      <c r="O1471" s="45" t="n"/>
      <c r="Q1471" s="57">
        <f>IF(K1471&gt;0,"показать","скрыть")</f>
        <v/>
      </c>
    </row>
    <row r="1472" ht="15.75" customHeight="1">
      <c r="B1472" s="182" t="n">
        <v>1456</v>
      </c>
      <c r="C1472" s="182">
        <f>IFERROR(VLOOKUP($B1472,calc_data,C$14+1,0),0)</f>
        <v/>
      </c>
      <c r="D1472" s="182">
        <f>IFERROR(VLOOKUP($B1472,calc_data,D$14+1,0),0)</f>
        <v/>
      </c>
      <c r="E1472" s="183">
        <f>IFERROR(VLOOKUP($B1472,calc_data,E$14+1,0),0)</f>
        <v/>
      </c>
      <c r="F1472" s="182">
        <f>IFERROR(VLOOKUP($B1472,calc_data,F$14+1,0),0)</f>
        <v/>
      </c>
      <c r="G1472" s="141">
        <f>IFERROR(VLOOKUP($B1472,calc_data,G$14+1,0),0)</f>
        <v/>
      </c>
      <c r="H1472" s="141">
        <f>IFERROR(VLOOKUP($B1472,calc_data,H$14+1,0),0)</f>
        <v/>
      </c>
      <c r="I1472" s="142">
        <f>IFERROR(VLOOKUP($B1472,calc_data,I$14+1,0),0)</f>
        <v/>
      </c>
      <c r="J1472" s="141">
        <f>IFERROR(VLOOKUP($B1472,calc_data,J$14+1,0),0)</f>
        <v/>
      </c>
      <c r="K1472" s="141">
        <f>IFERROR(VLOOKUP($B1472,calc_data,K$14+1,0),0)</f>
        <v/>
      </c>
      <c r="L1472" s="141">
        <f>IFERROR(VLOOKUP($B1472,calc_data,L$14+1,0),0)</f>
        <v/>
      </c>
      <c r="M1472" s="177">
        <f>IFERROR(VLOOKUP($B1472,calc_data,M$14+1,0),0)</f>
        <v/>
      </c>
      <c r="N1472" s="177">
        <f>IFERROR(VLOOKUP($B1472,calc_data,N$14+1,0),0)</f>
        <v/>
      </c>
      <c r="O1472" s="45" t="n"/>
      <c r="Q1472" s="57">
        <f>IF(K1472&gt;0,"показать","скрыть")</f>
        <v/>
      </c>
    </row>
    <row r="1473" ht="15.75" customHeight="1">
      <c r="B1473" s="182" t="n">
        <v>1457</v>
      </c>
      <c r="C1473" s="182">
        <f>IFERROR(VLOOKUP($B1473,calc_data,C$14+1,0),0)</f>
        <v/>
      </c>
      <c r="D1473" s="182">
        <f>IFERROR(VLOOKUP($B1473,calc_data,D$14+1,0),0)</f>
        <v/>
      </c>
      <c r="E1473" s="183">
        <f>IFERROR(VLOOKUP($B1473,calc_data,E$14+1,0),0)</f>
        <v/>
      </c>
      <c r="F1473" s="182">
        <f>IFERROR(VLOOKUP($B1473,calc_data,F$14+1,0),0)</f>
        <v/>
      </c>
      <c r="G1473" s="141">
        <f>IFERROR(VLOOKUP($B1473,calc_data,G$14+1,0),0)</f>
        <v/>
      </c>
      <c r="H1473" s="141">
        <f>IFERROR(VLOOKUP($B1473,calc_data,H$14+1,0),0)</f>
        <v/>
      </c>
      <c r="I1473" s="142">
        <f>IFERROR(VLOOKUP($B1473,calc_data,I$14+1,0),0)</f>
        <v/>
      </c>
      <c r="J1473" s="141">
        <f>IFERROR(VLOOKUP($B1473,calc_data,J$14+1,0),0)</f>
        <v/>
      </c>
      <c r="K1473" s="141">
        <f>IFERROR(VLOOKUP($B1473,calc_data,K$14+1,0),0)</f>
        <v/>
      </c>
      <c r="L1473" s="141">
        <f>IFERROR(VLOOKUP($B1473,calc_data,L$14+1,0),0)</f>
        <v/>
      </c>
      <c r="M1473" s="177">
        <f>IFERROR(VLOOKUP($B1473,calc_data,M$14+1,0),0)</f>
        <v/>
      </c>
      <c r="N1473" s="177">
        <f>IFERROR(VLOOKUP($B1473,calc_data,N$14+1,0),0)</f>
        <v/>
      </c>
      <c r="O1473" s="45" t="n"/>
      <c r="Q1473" s="57">
        <f>IF(K1473&gt;0,"показать","скрыть")</f>
        <v/>
      </c>
    </row>
    <row r="1474" ht="15.75" customHeight="1">
      <c r="B1474" s="182" t="n">
        <v>1458</v>
      </c>
      <c r="C1474" s="182">
        <f>IFERROR(VLOOKUP($B1474,calc_data,C$14+1,0),0)</f>
        <v/>
      </c>
      <c r="D1474" s="182">
        <f>IFERROR(VLOOKUP($B1474,calc_data,D$14+1,0),0)</f>
        <v/>
      </c>
      <c r="E1474" s="183">
        <f>IFERROR(VLOOKUP($B1474,calc_data,E$14+1,0),0)</f>
        <v/>
      </c>
      <c r="F1474" s="182">
        <f>IFERROR(VLOOKUP($B1474,calc_data,F$14+1,0),0)</f>
        <v/>
      </c>
      <c r="G1474" s="141">
        <f>IFERROR(VLOOKUP($B1474,calc_data,G$14+1,0),0)</f>
        <v/>
      </c>
      <c r="H1474" s="141">
        <f>IFERROR(VLOOKUP($B1474,calc_data,H$14+1,0),0)</f>
        <v/>
      </c>
      <c r="I1474" s="142">
        <f>IFERROR(VLOOKUP($B1474,calc_data,I$14+1,0),0)</f>
        <v/>
      </c>
      <c r="J1474" s="141">
        <f>IFERROR(VLOOKUP($B1474,calc_data,J$14+1,0),0)</f>
        <v/>
      </c>
      <c r="K1474" s="141">
        <f>IFERROR(VLOOKUP($B1474,calc_data,K$14+1,0),0)</f>
        <v/>
      </c>
      <c r="L1474" s="141">
        <f>IFERROR(VLOOKUP($B1474,calc_data,L$14+1,0),0)</f>
        <v/>
      </c>
      <c r="M1474" s="177">
        <f>IFERROR(VLOOKUP($B1474,calc_data,M$14+1,0),0)</f>
        <v/>
      </c>
      <c r="N1474" s="177">
        <f>IFERROR(VLOOKUP($B1474,calc_data,N$14+1,0),0)</f>
        <v/>
      </c>
      <c r="O1474" s="45" t="n"/>
      <c r="Q1474" s="57">
        <f>IF(K1474&gt;0,"показать","скрыть")</f>
        <v/>
      </c>
    </row>
    <row r="1475" ht="15.75" customHeight="1">
      <c r="B1475" s="182" t="n">
        <v>1459</v>
      </c>
      <c r="C1475" s="182">
        <f>IFERROR(VLOOKUP($B1475,calc_data,C$14+1,0),0)</f>
        <v/>
      </c>
      <c r="D1475" s="182">
        <f>IFERROR(VLOOKUP($B1475,calc_data,D$14+1,0),0)</f>
        <v/>
      </c>
      <c r="E1475" s="183">
        <f>IFERROR(VLOOKUP($B1475,calc_data,E$14+1,0),0)</f>
        <v/>
      </c>
      <c r="F1475" s="182">
        <f>IFERROR(VLOOKUP($B1475,calc_data,F$14+1,0),0)</f>
        <v/>
      </c>
      <c r="G1475" s="141">
        <f>IFERROR(VLOOKUP($B1475,calc_data,G$14+1,0),0)</f>
        <v/>
      </c>
      <c r="H1475" s="141">
        <f>IFERROR(VLOOKUP($B1475,calc_data,H$14+1,0),0)</f>
        <v/>
      </c>
      <c r="I1475" s="142">
        <f>IFERROR(VLOOKUP($B1475,calc_data,I$14+1,0),0)</f>
        <v/>
      </c>
      <c r="J1475" s="141">
        <f>IFERROR(VLOOKUP($B1475,calc_data,J$14+1,0),0)</f>
        <v/>
      </c>
      <c r="K1475" s="141">
        <f>IFERROR(VLOOKUP($B1475,calc_data,K$14+1,0),0)</f>
        <v/>
      </c>
      <c r="L1475" s="141">
        <f>IFERROR(VLOOKUP($B1475,calc_data,L$14+1,0),0)</f>
        <v/>
      </c>
      <c r="M1475" s="177">
        <f>IFERROR(VLOOKUP($B1475,calc_data,M$14+1,0),0)</f>
        <v/>
      </c>
      <c r="N1475" s="177">
        <f>IFERROR(VLOOKUP($B1475,calc_data,N$14+1,0),0)</f>
        <v/>
      </c>
      <c r="O1475" s="45" t="n"/>
      <c r="Q1475" s="57">
        <f>IF(K1475&gt;0,"показать","скрыть")</f>
        <v/>
      </c>
    </row>
    <row r="1476" ht="15.75" customHeight="1">
      <c r="B1476" s="182" t="n">
        <v>1460</v>
      </c>
      <c r="C1476" s="182">
        <f>IFERROR(VLOOKUP($B1476,calc_data,C$14+1,0),0)</f>
        <v/>
      </c>
      <c r="D1476" s="182">
        <f>IFERROR(VLOOKUP($B1476,calc_data,D$14+1,0),0)</f>
        <v/>
      </c>
      <c r="E1476" s="183">
        <f>IFERROR(VLOOKUP($B1476,calc_data,E$14+1,0),0)</f>
        <v/>
      </c>
      <c r="F1476" s="182">
        <f>IFERROR(VLOOKUP($B1476,calc_data,F$14+1,0),0)</f>
        <v/>
      </c>
      <c r="G1476" s="141">
        <f>IFERROR(VLOOKUP($B1476,calc_data,G$14+1,0),0)</f>
        <v/>
      </c>
      <c r="H1476" s="141">
        <f>IFERROR(VLOOKUP($B1476,calc_data,H$14+1,0),0)</f>
        <v/>
      </c>
      <c r="I1476" s="142">
        <f>IFERROR(VLOOKUP($B1476,calc_data,I$14+1,0),0)</f>
        <v/>
      </c>
      <c r="J1476" s="141">
        <f>IFERROR(VLOOKUP($B1476,calc_data,J$14+1,0),0)</f>
        <v/>
      </c>
      <c r="K1476" s="141">
        <f>IFERROR(VLOOKUP($B1476,calc_data,K$14+1,0),0)</f>
        <v/>
      </c>
      <c r="L1476" s="141">
        <f>IFERROR(VLOOKUP($B1476,calc_data,L$14+1,0),0)</f>
        <v/>
      </c>
      <c r="M1476" s="177">
        <f>IFERROR(VLOOKUP($B1476,calc_data,M$14+1,0),0)</f>
        <v/>
      </c>
      <c r="N1476" s="177">
        <f>IFERROR(VLOOKUP($B1476,calc_data,N$14+1,0),0)</f>
        <v/>
      </c>
      <c r="O1476" s="45" t="n"/>
      <c r="Q1476" s="57">
        <f>IF(K1476&gt;0,"показать","скрыть")</f>
        <v/>
      </c>
    </row>
    <row r="1477" ht="15.75" customHeight="1">
      <c r="B1477" s="182" t="n">
        <v>1461</v>
      </c>
      <c r="C1477" s="182">
        <f>IFERROR(VLOOKUP($B1477,calc_data,C$14+1,0),0)</f>
        <v/>
      </c>
      <c r="D1477" s="182">
        <f>IFERROR(VLOOKUP($B1477,calc_data,D$14+1,0),0)</f>
        <v/>
      </c>
      <c r="E1477" s="183">
        <f>IFERROR(VLOOKUP($B1477,calc_data,E$14+1,0),0)</f>
        <v/>
      </c>
      <c r="F1477" s="182">
        <f>IFERROR(VLOOKUP($B1477,calc_data,F$14+1,0),0)</f>
        <v/>
      </c>
      <c r="G1477" s="141">
        <f>IFERROR(VLOOKUP($B1477,calc_data,G$14+1,0),0)</f>
        <v/>
      </c>
      <c r="H1477" s="141">
        <f>IFERROR(VLOOKUP($B1477,calc_data,H$14+1,0),0)</f>
        <v/>
      </c>
      <c r="I1477" s="142">
        <f>IFERROR(VLOOKUP($B1477,calc_data,I$14+1,0),0)</f>
        <v/>
      </c>
      <c r="J1477" s="141">
        <f>IFERROR(VLOOKUP($B1477,calc_data,J$14+1,0),0)</f>
        <v/>
      </c>
      <c r="K1477" s="141">
        <f>IFERROR(VLOOKUP($B1477,calc_data,K$14+1,0),0)</f>
        <v/>
      </c>
      <c r="L1477" s="141">
        <f>IFERROR(VLOOKUP($B1477,calc_data,L$14+1,0),0)</f>
        <v/>
      </c>
      <c r="M1477" s="177">
        <f>IFERROR(VLOOKUP($B1477,calc_data,M$14+1,0),0)</f>
        <v/>
      </c>
      <c r="N1477" s="177">
        <f>IFERROR(VLOOKUP($B1477,calc_data,N$14+1,0),0)</f>
        <v/>
      </c>
      <c r="O1477" s="45" t="n"/>
      <c r="Q1477" s="57">
        <f>IF(K1477&gt;0,"показать","скрыть")</f>
        <v/>
      </c>
    </row>
    <row r="1478" ht="15.75" customHeight="1">
      <c r="B1478" s="182" t="n">
        <v>1462</v>
      </c>
      <c r="C1478" s="182">
        <f>IFERROR(VLOOKUP($B1478,calc_data,C$14+1,0),0)</f>
        <v/>
      </c>
      <c r="D1478" s="182">
        <f>IFERROR(VLOOKUP($B1478,calc_data,D$14+1,0),0)</f>
        <v/>
      </c>
      <c r="E1478" s="183">
        <f>IFERROR(VLOOKUP($B1478,calc_data,E$14+1,0),0)</f>
        <v/>
      </c>
      <c r="F1478" s="182">
        <f>IFERROR(VLOOKUP($B1478,calc_data,F$14+1,0),0)</f>
        <v/>
      </c>
      <c r="G1478" s="141">
        <f>IFERROR(VLOOKUP($B1478,calc_data,G$14+1,0),0)</f>
        <v/>
      </c>
      <c r="H1478" s="141">
        <f>IFERROR(VLOOKUP($B1478,calc_data,H$14+1,0),0)</f>
        <v/>
      </c>
      <c r="I1478" s="142">
        <f>IFERROR(VLOOKUP($B1478,calc_data,I$14+1,0),0)</f>
        <v/>
      </c>
      <c r="J1478" s="141">
        <f>IFERROR(VLOOKUP($B1478,calc_data,J$14+1,0),0)</f>
        <v/>
      </c>
      <c r="K1478" s="141">
        <f>IFERROR(VLOOKUP($B1478,calc_data,K$14+1,0),0)</f>
        <v/>
      </c>
      <c r="L1478" s="141">
        <f>IFERROR(VLOOKUP($B1478,calc_data,L$14+1,0),0)</f>
        <v/>
      </c>
      <c r="M1478" s="177">
        <f>IFERROR(VLOOKUP($B1478,calc_data,M$14+1,0),0)</f>
        <v/>
      </c>
      <c r="N1478" s="177">
        <f>IFERROR(VLOOKUP($B1478,calc_data,N$14+1,0),0)</f>
        <v/>
      </c>
      <c r="O1478" s="45" t="n"/>
      <c r="Q1478" s="57">
        <f>IF(K1478&gt;0,"показать","скрыть")</f>
        <v/>
      </c>
    </row>
    <row r="1479" ht="15.75" customHeight="1">
      <c r="B1479" s="182" t="n">
        <v>1463</v>
      </c>
      <c r="C1479" s="182">
        <f>IFERROR(VLOOKUP($B1479,calc_data,C$14+1,0),0)</f>
        <v/>
      </c>
      <c r="D1479" s="182">
        <f>IFERROR(VLOOKUP($B1479,calc_data,D$14+1,0),0)</f>
        <v/>
      </c>
      <c r="E1479" s="183">
        <f>IFERROR(VLOOKUP($B1479,calc_data,E$14+1,0),0)</f>
        <v/>
      </c>
      <c r="F1479" s="182">
        <f>IFERROR(VLOOKUP($B1479,calc_data,F$14+1,0),0)</f>
        <v/>
      </c>
      <c r="G1479" s="141">
        <f>IFERROR(VLOOKUP($B1479,calc_data,G$14+1,0),0)</f>
        <v/>
      </c>
      <c r="H1479" s="141">
        <f>IFERROR(VLOOKUP($B1479,calc_data,H$14+1,0),0)</f>
        <v/>
      </c>
      <c r="I1479" s="142">
        <f>IFERROR(VLOOKUP($B1479,calc_data,I$14+1,0),0)</f>
        <v/>
      </c>
      <c r="J1479" s="141">
        <f>IFERROR(VLOOKUP($B1479,calc_data,J$14+1,0),0)</f>
        <v/>
      </c>
      <c r="K1479" s="141">
        <f>IFERROR(VLOOKUP($B1479,calc_data,K$14+1,0),0)</f>
        <v/>
      </c>
      <c r="L1479" s="141">
        <f>IFERROR(VLOOKUP($B1479,calc_data,L$14+1,0),0)</f>
        <v/>
      </c>
      <c r="M1479" s="177">
        <f>IFERROR(VLOOKUP($B1479,calc_data,M$14+1,0),0)</f>
        <v/>
      </c>
      <c r="N1479" s="177">
        <f>IFERROR(VLOOKUP($B1479,calc_data,N$14+1,0),0)</f>
        <v/>
      </c>
      <c r="O1479" s="45" t="n"/>
      <c r="Q1479" s="57">
        <f>IF(K1479&gt;0,"показать","скрыть")</f>
        <v/>
      </c>
    </row>
    <row r="1480" ht="15.75" customHeight="1">
      <c r="B1480" s="182" t="n">
        <v>1464</v>
      </c>
      <c r="C1480" s="182">
        <f>IFERROR(VLOOKUP($B1480,calc_data,C$14+1,0),0)</f>
        <v/>
      </c>
      <c r="D1480" s="182">
        <f>IFERROR(VLOOKUP($B1480,calc_data,D$14+1,0),0)</f>
        <v/>
      </c>
      <c r="E1480" s="183">
        <f>IFERROR(VLOOKUP($B1480,calc_data,E$14+1,0),0)</f>
        <v/>
      </c>
      <c r="F1480" s="182">
        <f>IFERROR(VLOOKUP($B1480,calc_data,F$14+1,0),0)</f>
        <v/>
      </c>
      <c r="G1480" s="141">
        <f>IFERROR(VLOOKUP($B1480,calc_data,G$14+1,0),0)</f>
        <v/>
      </c>
      <c r="H1480" s="141">
        <f>IFERROR(VLOOKUP($B1480,calc_data,H$14+1,0),0)</f>
        <v/>
      </c>
      <c r="I1480" s="142">
        <f>IFERROR(VLOOKUP($B1480,calc_data,I$14+1,0),0)</f>
        <v/>
      </c>
      <c r="J1480" s="141">
        <f>IFERROR(VLOOKUP($B1480,calc_data,J$14+1,0),0)</f>
        <v/>
      </c>
      <c r="K1480" s="141">
        <f>IFERROR(VLOOKUP($B1480,calc_data,K$14+1,0),0)</f>
        <v/>
      </c>
      <c r="L1480" s="141">
        <f>IFERROR(VLOOKUP($B1480,calc_data,L$14+1,0),0)</f>
        <v/>
      </c>
      <c r="M1480" s="177">
        <f>IFERROR(VLOOKUP($B1480,calc_data,M$14+1,0),0)</f>
        <v/>
      </c>
      <c r="N1480" s="177">
        <f>IFERROR(VLOOKUP($B1480,calc_data,N$14+1,0),0)</f>
        <v/>
      </c>
      <c r="O1480" s="45" t="n"/>
      <c r="Q1480" s="57">
        <f>IF(K1480&gt;0,"показать","скрыть")</f>
        <v/>
      </c>
    </row>
    <row r="1481" ht="15.75" customHeight="1">
      <c r="B1481" s="182" t="n">
        <v>1465</v>
      </c>
      <c r="C1481" s="182">
        <f>IFERROR(VLOOKUP($B1481,calc_data,C$14+1,0),0)</f>
        <v/>
      </c>
      <c r="D1481" s="182">
        <f>IFERROR(VLOOKUP($B1481,calc_data,D$14+1,0),0)</f>
        <v/>
      </c>
      <c r="E1481" s="183">
        <f>IFERROR(VLOOKUP($B1481,calc_data,E$14+1,0),0)</f>
        <v/>
      </c>
      <c r="F1481" s="182">
        <f>IFERROR(VLOOKUP($B1481,calc_data,F$14+1,0),0)</f>
        <v/>
      </c>
      <c r="G1481" s="141">
        <f>IFERROR(VLOOKUP($B1481,calc_data,G$14+1,0),0)</f>
        <v/>
      </c>
      <c r="H1481" s="141">
        <f>IFERROR(VLOOKUP($B1481,calc_data,H$14+1,0),0)</f>
        <v/>
      </c>
      <c r="I1481" s="142">
        <f>IFERROR(VLOOKUP($B1481,calc_data,I$14+1,0),0)</f>
        <v/>
      </c>
      <c r="J1481" s="141">
        <f>IFERROR(VLOOKUP($B1481,calc_data,J$14+1,0),0)</f>
        <v/>
      </c>
      <c r="K1481" s="141">
        <f>IFERROR(VLOOKUP($B1481,calc_data,K$14+1,0),0)</f>
        <v/>
      </c>
      <c r="L1481" s="141">
        <f>IFERROR(VLOOKUP($B1481,calc_data,L$14+1,0),0)</f>
        <v/>
      </c>
      <c r="M1481" s="177">
        <f>IFERROR(VLOOKUP($B1481,calc_data,M$14+1,0),0)</f>
        <v/>
      </c>
      <c r="N1481" s="177">
        <f>IFERROR(VLOOKUP($B1481,calc_data,N$14+1,0),0)</f>
        <v/>
      </c>
      <c r="O1481" s="45" t="n"/>
      <c r="Q1481" s="57">
        <f>IF(K1481&gt;0,"показать","скрыть")</f>
        <v/>
      </c>
    </row>
    <row r="1482" ht="15.75" customHeight="1">
      <c r="B1482" s="182" t="n">
        <v>1466</v>
      </c>
      <c r="C1482" s="182">
        <f>IFERROR(VLOOKUP($B1482,calc_data,C$14+1,0),0)</f>
        <v/>
      </c>
      <c r="D1482" s="182">
        <f>IFERROR(VLOOKUP($B1482,calc_data,D$14+1,0),0)</f>
        <v/>
      </c>
      <c r="E1482" s="183">
        <f>IFERROR(VLOOKUP($B1482,calc_data,E$14+1,0),0)</f>
        <v/>
      </c>
      <c r="F1482" s="182">
        <f>IFERROR(VLOOKUP($B1482,calc_data,F$14+1,0),0)</f>
        <v/>
      </c>
      <c r="G1482" s="141">
        <f>IFERROR(VLOOKUP($B1482,calc_data,G$14+1,0),0)</f>
        <v/>
      </c>
      <c r="H1482" s="141">
        <f>IFERROR(VLOOKUP($B1482,calc_data,H$14+1,0),0)</f>
        <v/>
      </c>
      <c r="I1482" s="142">
        <f>IFERROR(VLOOKUP($B1482,calc_data,I$14+1,0),0)</f>
        <v/>
      </c>
      <c r="J1482" s="141">
        <f>IFERROR(VLOOKUP($B1482,calc_data,J$14+1,0),0)</f>
        <v/>
      </c>
      <c r="K1482" s="141">
        <f>IFERROR(VLOOKUP($B1482,calc_data,K$14+1,0),0)</f>
        <v/>
      </c>
      <c r="L1482" s="141">
        <f>IFERROR(VLOOKUP($B1482,calc_data,L$14+1,0),0)</f>
        <v/>
      </c>
      <c r="M1482" s="177">
        <f>IFERROR(VLOOKUP($B1482,calc_data,M$14+1,0),0)</f>
        <v/>
      </c>
      <c r="N1482" s="177">
        <f>IFERROR(VLOOKUP($B1482,calc_data,N$14+1,0),0)</f>
        <v/>
      </c>
      <c r="O1482" s="45" t="n"/>
      <c r="Q1482" s="57">
        <f>IF(K1482&gt;0,"показать","скрыть")</f>
        <v/>
      </c>
    </row>
    <row r="1483" ht="15.75" customHeight="1">
      <c r="B1483" s="182" t="n">
        <v>1467</v>
      </c>
      <c r="C1483" s="182">
        <f>IFERROR(VLOOKUP($B1483,calc_data,C$14+1,0),0)</f>
        <v/>
      </c>
      <c r="D1483" s="182">
        <f>IFERROR(VLOOKUP($B1483,calc_data,D$14+1,0),0)</f>
        <v/>
      </c>
      <c r="E1483" s="183">
        <f>IFERROR(VLOOKUP($B1483,calc_data,E$14+1,0),0)</f>
        <v/>
      </c>
      <c r="F1483" s="182">
        <f>IFERROR(VLOOKUP($B1483,calc_data,F$14+1,0),0)</f>
        <v/>
      </c>
      <c r="G1483" s="141">
        <f>IFERROR(VLOOKUP($B1483,calc_data,G$14+1,0),0)</f>
        <v/>
      </c>
      <c r="H1483" s="141">
        <f>IFERROR(VLOOKUP($B1483,calc_data,H$14+1,0),0)</f>
        <v/>
      </c>
      <c r="I1483" s="142">
        <f>IFERROR(VLOOKUP($B1483,calc_data,I$14+1,0),0)</f>
        <v/>
      </c>
      <c r="J1483" s="141">
        <f>IFERROR(VLOOKUP($B1483,calc_data,J$14+1,0),0)</f>
        <v/>
      </c>
      <c r="K1483" s="141">
        <f>IFERROR(VLOOKUP($B1483,calc_data,K$14+1,0),0)</f>
        <v/>
      </c>
      <c r="L1483" s="141">
        <f>IFERROR(VLOOKUP($B1483,calc_data,L$14+1,0),0)</f>
        <v/>
      </c>
      <c r="M1483" s="177">
        <f>IFERROR(VLOOKUP($B1483,calc_data,M$14+1,0),0)</f>
        <v/>
      </c>
      <c r="N1483" s="177">
        <f>IFERROR(VLOOKUP($B1483,calc_data,N$14+1,0),0)</f>
        <v/>
      </c>
      <c r="O1483" s="45" t="n"/>
      <c r="Q1483" s="57">
        <f>IF(K1483&gt;0,"показать","скрыть")</f>
        <v/>
      </c>
    </row>
    <row r="1484" ht="15.75" customHeight="1">
      <c r="B1484" s="182" t="n">
        <v>1468</v>
      </c>
      <c r="C1484" s="182">
        <f>IFERROR(VLOOKUP($B1484,calc_data,C$14+1,0),0)</f>
        <v/>
      </c>
      <c r="D1484" s="182">
        <f>IFERROR(VLOOKUP($B1484,calc_data,D$14+1,0),0)</f>
        <v/>
      </c>
      <c r="E1484" s="183">
        <f>IFERROR(VLOOKUP($B1484,calc_data,E$14+1,0),0)</f>
        <v/>
      </c>
      <c r="F1484" s="182">
        <f>IFERROR(VLOOKUP($B1484,calc_data,F$14+1,0),0)</f>
        <v/>
      </c>
      <c r="G1484" s="141">
        <f>IFERROR(VLOOKUP($B1484,calc_data,G$14+1,0),0)</f>
        <v/>
      </c>
      <c r="H1484" s="141">
        <f>IFERROR(VLOOKUP($B1484,calc_data,H$14+1,0),0)</f>
        <v/>
      </c>
      <c r="I1484" s="142">
        <f>IFERROR(VLOOKUP($B1484,calc_data,I$14+1,0),0)</f>
        <v/>
      </c>
      <c r="J1484" s="141">
        <f>IFERROR(VLOOKUP($B1484,calc_data,J$14+1,0),0)</f>
        <v/>
      </c>
      <c r="K1484" s="141">
        <f>IFERROR(VLOOKUP($B1484,calc_data,K$14+1,0),0)</f>
        <v/>
      </c>
      <c r="L1484" s="141">
        <f>IFERROR(VLOOKUP($B1484,calc_data,L$14+1,0),0)</f>
        <v/>
      </c>
      <c r="M1484" s="177">
        <f>IFERROR(VLOOKUP($B1484,calc_data,M$14+1,0),0)</f>
        <v/>
      </c>
      <c r="N1484" s="177">
        <f>IFERROR(VLOOKUP($B1484,calc_data,N$14+1,0),0)</f>
        <v/>
      </c>
      <c r="O1484" s="45" t="n"/>
      <c r="Q1484" s="57">
        <f>IF(K1484&gt;0,"показать","скрыть")</f>
        <v/>
      </c>
    </row>
    <row r="1485" ht="15.75" customHeight="1">
      <c r="B1485" s="182" t="n">
        <v>1469</v>
      </c>
      <c r="C1485" s="182">
        <f>IFERROR(VLOOKUP($B1485,calc_data,C$14+1,0),0)</f>
        <v/>
      </c>
      <c r="D1485" s="182">
        <f>IFERROR(VLOOKUP($B1485,calc_data,D$14+1,0),0)</f>
        <v/>
      </c>
      <c r="E1485" s="183">
        <f>IFERROR(VLOOKUP($B1485,calc_data,E$14+1,0),0)</f>
        <v/>
      </c>
      <c r="F1485" s="182">
        <f>IFERROR(VLOOKUP($B1485,calc_data,F$14+1,0),0)</f>
        <v/>
      </c>
      <c r="G1485" s="141">
        <f>IFERROR(VLOOKUP($B1485,calc_data,G$14+1,0),0)</f>
        <v/>
      </c>
      <c r="H1485" s="141">
        <f>IFERROR(VLOOKUP($B1485,calc_data,H$14+1,0),0)</f>
        <v/>
      </c>
      <c r="I1485" s="142">
        <f>IFERROR(VLOOKUP($B1485,calc_data,I$14+1,0),0)</f>
        <v/>
      </c>
      <c r="J1485" s="141">
        <f>IFERROR(VLOOKUP($B1485,calc_data,J$14+1,0),0)</f>
        <v/>
      </c>
      <c r="K1485" s="141">
        <f>IFERROR(VLOOKUP($B1485,calc_data,K$14+1,0),0)</f>
        <v/>
      </c>
      <c r="L1485" s="141">
        <f>IFERROR(VLOOKUP($B1485,calc_data,L$14+1,0),0)</f>
        <v/>
      </c>
      <c r="M1485" s="177">
        <f>IFERROR(VLOOKUP($B1485,calc_data,M$14+1,0),0)</f>
        <v/>
      </c>
      <c r="N1485" s="177">
        <f>IFERROR(VLOOKUP($B1485,calc_data,N$14+1,0),0)</f>
        <v/>
      </c>
      <c r="O1485" s="45" t="n"/>
      <c r="Q1485" s="57">
        <f>IF(K1485&gt;0,"показать","скрыть")</f>
        <v/>
      </c>
    </row>
    <row r="1486" ht="15.75" customHeight="1">
      <c r="B1486" s="182" t="n">
        <v>1470</v>
      </c>
      <c r="C1486" s="182">
        <f>IFERROR(VLOOKUP($B1486,calc_data,C$14+1,0),0)</f>
        <v/>
      </c>
      <c r="D1486" s="182">
        <f>IFERROR(VLOOKUP($B1486,calc_data,D$14+1,0),0)</f>
        <v/>
      </c>
      <c r="E1486" s="183">
        <f>IFERROR(VLOOKUP($B1486,calc_data,E$14+1,0),0)</f>
        <v/>
      </c>
      <c r="F1486" s="182">
        <f>IFERROR(VLOOKUP($B1486,calc_data,F$14+1,0),0)</f>
        <v/>
      </c>
      <c r="G1486" s="141">
        <f>IFERROR(VLOOKUP($B1486,calc_data,G$14+1,0),0)</f>
        <v/>
      </c>
      <c r="H1486" s="141">
        <f>IFERROR(VLOOKUP($B1486,calc_data,H$14+1,0),0)</f>
        <v/>
      </c>
      <c r="I1486" s="142">
        <f>IFERROR(VLOOKUP($B1486,calc_data,I$14+1,0),0)</f>
        <v/>
      </c>
      <c r="J1486" s="141">
        <f>IFERROR(VLOOKUP($B1486,calc_data,J$14+1,0),0)</f>
        <v/>
      </c>
      <c r="K1486" s="141">
        <f>IFERROR(VLOOKUP($B1486,calc_data,K$14+1,0),0)</f>
        <v/>
      </c>
      <c r="L1486" s="141">
        <f>IFERROR(VLOOKUP($B1486,calc_data,L$14+1,0),0)</f>
        <v/>
      </c>
      <c r="M1486" s="177">
        <f>IFERROR(VLOOKUP($B1486,calc_data,M$14+1,0),0)</f>
        <v/>
      </c>
      <c r="N1486" s="177">
        <f>IFERROR(VLOOKUP($B1486,calc_data,N$14+1,0),0)</f>
        <v/>
      </c>
      <c r="O1486" s="45" t="n"/>
      <c r="Q1486" s="57">
        <f>IF(K1486&gt;0,"показать","скрыть")</f>
        <v/>
      </c>
    </row>
    <row r="1487" ht="15.75" customHeight="1">
      <c r="B1487" s="182" t="n">
        <v>1471</v>
      </c>
      <c r="C1487" s="182">
        <f>IFERROR(VLOOKUP($B1487,calc_data,C$14+1,0),0)</f>
        <v/>
      </c>
      <c r="D1487" s="182">
        <f>IFERROR(VLOOKUP($B1487,calc_data,D$14+1,0),0)</f>
        <v/>
      </c>
      <c r="E1487" s="183">
        <f>IFERROR(VLOOKUP($B1487,calc_data,E$14+1,0),0)</f>
        <v/>
      </c>
      <c r="F1487" s="182">
        <f>IFERROR(VLOOKUP($B1487,calc_data,F$14+1,0),0)</f>
        <v/>
      </c>
      <c r="G1487" s="141">
        <f>IFERROR(VLOOKUP($B1487,calc_data,G$14+1,0),0)</f>
        <v/>
      </c>
      <c r="H1487" s="141">
        <f>IFERROR(VLOOKUP($B1487,calc_data,H$14+1,0),0)</f>
        <v/>
      </c>
      <c r="I1487" s="142">
        <f>IFERROR(VLOOKUP($B1487,calc_data,I$14+1,0),0)</f>
        <v/>
      </c>
      <c r="J1487" s="141">
        <f>IFERROR(VLOOKUP($B1487,calc_data,J$14+1,0),0)</f>
        <v/>
      </c>
      <c r="K1487" s="141">
        <f>IFERROR(VLOOKUP($B1487,calc_data,K$14+1,0),0)</f>
        <v/>
      </c>
      <c r="L1487" s="141">
        <f>IFERROR(VLOOKUP($B1487,calc_data,L$14+1,0),0)</f>
        <v/>
      </c>
      <c r="M1487" s="177">
        <f>IFERROR(VLOOKUP($B1487,calc_data,M$14+1,0),0)</f>
        <v/>
      </c>
      <c r="N1487" s="177">
        <f>IFERROR(VLOOKUP($B1487,calc_data,N$14+1,0),0)</f>
        <v/>
      </c>
      <c r="O1487" s="45" t="n"/>
      <c r="Q1487" s="57">
        <f>IF(K1487&gt;0,"показать","скрыть")</f>
        <v/>
      </c>
    </row>
    <row r="1488" ht="15.75" customHeight="1">
      <c r="B1488" s="182" t="n">
        <v>1472</v>
      </c>
      <c r="C1488" s="182">
        <f>IFERROR(VLOOKUP($B1488,calc_data,C$14+1,0),0)</f>
        <v/>
      </c>
      <c r="D1488" s="182">
        <f>IFERROR(VLOOKUP($B1488,calc_data,D$14+1,0),0)</f>
        <v/>
      </c>
      <c r="E1488" s="183">
        <f>IFERROR(VLOOKUP($B1488,calc_data,E$14+1,0),0)</f>
        <v/>
      </c>
      <c r="F1488" s="182">
        <f>IFERROR(VLOOKUP($B1488,calc_data,F$14+1,0),0)</f>
        <v/>
      </c>
      <c r="G1488" s="141">
        <f>IFERROR(VLOOKUP($B1488,calc_data,G$14+1,0),0)</f>
        <v/>
      </c>
      <c r="H1488" s="141">
        <f>IFERROR(VLOOKUP($B1488,calc_data,H$14+1,0),0)</f>
        <v/>
      </c>
      <c r="I1488" s="142">
        <f>IFERROR(VLOOKUP($B1488,calc_data,I$14+1,0),0)</f>
        <v/>
      </c>
      <c r="J1488" s="141">
        <f>IFERROR(VLOOKUP($B1488,calc_data,J$14+1,0),0)</f>
        <v/>
      </c>
      <c r="K1488" s="141">
        <f>IFERROR(VLOOKUP($B1488,calc_data,K$14+1,0),0)</f>
        <v/>
      </c>
      <c r="L1488" s="141">
        <f>IFERROR(VLOOKUP($B1488,calc_data,L$14+1,0),0)</f>
        <v/>
      </c>
      <c r="M1488" s="177">
        <f>IFERROR(VLOOKUP($B1488,calc_data,M$14+1,0),0)</f>
        <v/>
      </c>
      <c r="N1488" s="177">
        <f>IFERROR(VLOOKUP($B1488,calc_data,N$14+1,0),0)</f>
        <v/>
      </c>
      <c r="O1488" s="45" t="n"/>
      <c r="Q1488" s="57">
        <f>IF(K1488&gt;0,"показать","скрыть")</f>
        <v/>
      </c>
    </row>
    <row r="1489" ht="15.75" customHeight="1">
      <c r="B1489" s="182" t="n">
        <v>1473</v>
      </c>
      <c r="C1489" s="182">
        <f>IFERROR(VLOOKUP($B1489,calc_data,C$14+1,0),0)</f>
        <v/>
      </c>
      <c r="D1489" s="182">
        <f>IFERROR(VLOOKUP($B1489,calc_data,D$14+1,0),0)</f>
        <v/>
      </c>
      <c r="E1489" s="183">
        <f>IFERROR(VLOOKUP($B1489,calc_data,E$14+1,0),0)</f>
        <v/>
      </c>
      <c r="F1489" s="182">
        <f>IFERROR(VLOOKUP($B1489,calc_data,F$14+1,0),0)</f>
        <v/>
      </c>
      <c r="G1489" s="141">
        <f>IFERROR(VLOOKUP($B1489,calc_data,G$14+1,0),0)</f>
        <v/>
      </c>
      <c r="H1489" s="141">
        <f>IFERROR(VLOOKUP($B1489,calc_data,H$14+1,0),0)</f>
        <v/>
      </c>
      <c r="I1489" s="142">
        <f>IFERROR(VLOOKUP($B1489,calc_data,I$14+1,0),0)</f>
        <v/>
      </c>
      <c r="J1489" s="141">
        <f>IFERROR(VLOOKUP($B1489,calc_data,J$14+1,0),0)</f>
        <v/>
      </c>
      <c r="K1489" s="141">
        <f>IFERROR(VLOOKUP($B1489,calc_data,K$14+1,0),0)</f>
        <v/>
      </c>
      <c r="L1489" s="141">
        <f>IFERROR(VLOOKUP($B1489,calc_data,L$14+1,0),0)</f>
        <v/>
      </c>
      <c r="M1489" s="177">
        <f>IFERROR(VLOOKUP($B1489,calc_data,M$14+1,0),0)</f>
        <v/>
      </c>
      <c r="N1489" s="177">
        <f>IFERROR(VLOOKUP($B1489,calc_data,N$14+1,0),0)</f>
        <v/>
      </c>
      <c r="O1489" s="45" t="n"/>
      <c r="Q1489" s="57">
        <f>IF(K1489&gt;0,"показать","скрыть")</f>
        <v/>
      </c>
    </row>
    <row r="1490" ht="15.75" customHeight="1">
      <c r="B1490" s="182" t="n">
        <v>1474</v>
      </c>
      <c r="C1490" s="182">
        <f>IFERROR(VLOOKUP($B1490,calc_data,C$14+1,0),0)</f>
        <v/>
      </c>
      <c r="D1490" s="182">
        <f>IFERROR(VLOOKUP($B1490,calc_data,D$14+1,0),0)</f>
        <v/>
      </c>
      <c r="E1490" s="183">
        <f>IFERROR(VLOOKUP($B1490,calc_data,E$14+1,0),0)</f>
        <v/>
      </c>
      <c r="F1490" s="182">
        <f>IFERROR(VLOOKUP($B1490,calc_data,F$14+1,0),0)</f>
        <v/>
      </c>
      <c r="G1490" s="141">
        <f>IFERROR(VLOOKUP($B1490,calc_data,G$14+1,0),0)</f>
        <v/>
      </c>
      <c r="H1490" s="141">
        <f>IFERROR(VLOOKUP($B1490,calc_data,H$14+1,0),0)</f>
        <v/>
      </c>
      <c r="I1490" s="142">
        <f>IFERROR(VLOOKUP($B1490,calc_data,I$14+1,0),0)</f>
        <v/>
      </c>
      <c r="J1490" s="141">
        <f>IFERROR(VLOOKUP($B1490,calc_data,J$14+1,0),0)</f>
        <v/>
      </c>
      <c r="K1490" s="141">
        <f>IFERROR(VLOOKUP($B1490,calc_data,K$14+1,0),0)</f>
        <v/>
      </c>
      <c r="L1490" s="141">
        <f>IFERROR(VLOOKUP($B1490,calc_data,L$14+1,0),0)</f>
        <v/>
      </c>
      <c r="M1490" s="177">
        <f>IFERROR(VLOOKUP($B1490,calc_data,M$14+1,0),0)</f>
        <v/>
      </c>
      <c r="N1490" s="177">
        <f>IFERROR(VLOOKUP($B1490,calc_data,N$14+1,0),0)</f>
        <v/>
      </c>
      <c r="O1490" s="45" t="n"/>
      <c r="Q1490" s="57">
        <f>IF(K1490&gt;0,"показать","скрыть")</f>
        <v/>
      </c>
    </row>
    <row r="1491" ht="15.75" customHeight="1">
      <c r="B1491" s="182" t="n">
        <v>1475</v>
      </c>
      <c r="C1491" s="182">
        <f>IFERROR(VLOOKUP($B1491,calc_data,C$14+1,0),0)</f>
        <v/>
      </c>
      <c r="D1491" s="182">
        <f>IFERROR(VLOOKUP($B1491,calc_data,D$14+1,0),0)</f>
        <v/>
      </c>
      <c r="E1491" s="183">
        <f>IFERROR(VLOOKUP($B1491,calc_data,E$14+1,0),0)</f>
        <v/>
      </c>
      <c r="F1491" s="182">
        <f>IFERROR(VLOOKUP($B1491,calc_data,F$14+1,0),0)</f>
        <v/>
      </c>
      <c r="G1491" s="141">
        <f>IFERROR(VLOOKUP($B1491,calc_data,G$14+1,0),0)</f>
        <v/>
      </c>
      <c r="H1491" s="141">
        <f>IFERROR(VLOOKUP($B1491,calc_data,H$14+1,0),0)</f>
        <v/>
      </c>
      <c r="I1491" s="142">
        <f>IFERROR(VLOOKUP($B1491,calc_data,I$14+1,0),0)</f>
        <v/>
      </c>
      <c r="J1491" s="141">
        <f>IFERROR(VLOOKUP($B1491,calc_data,J$14+1,0),0)</f>
        <v/>
      </c>
      <c r="K1491" s="141">
        <f>IFERROR(VLOOKUP($B1491,calc_data,K$14+1,0),0)</f>
        <v/>
      </c>
      <c r="L1491" s="141">
        <f>IFERROR(VLOOKUP($B1491,calc_data,L$14+1,0),0)</f>
        <v/>
      </c>
      <c r="M1491" s="177">
        <f>IFERROR(VLOOKUP($B1491,calc_data,M$14+1,0),0)</f>
        <v/>
      </c>
      <c r="N1491" s="177">
        <f>IFERROR(VLOOKUP($B1491,calc_data,N$14+1,0),0)</f>
        <v/>
      </c>
      <c r="O1491" s="45" t="n"/>
      <c r="Q1491" s="57">
        <f>IF(K1491&gt;0,"показать","скрыть")</f>
        <v/>
      </c>
    </row>
    <row r="1492" ht="15.75" customHeight="1">
      <c r="B1492" s="182" t="n">
        <v>1476</v>
      </c>
      <c r="C1492" s="182">
        <f>IFERROR(VLOOKUP($B1492,calc_data,C$14+1,0),0)</f>
        <v/>
      </c>
      <c r="D1492" s="182">
        <f>IFERROR(VLOOKUP($B1492,calc_data,D$14+1,0),0)</f>
        <v/>
      </c>
      <c r="E1492" s="183">
        <f>IFERROR(VLOOKUP($B1492,calc_data,E$14+1,0),0)</f>
        <v/>
      </c>
      <c r="F1492" s="182">
        <f>IFERROR(VLOOKUP($B1492,calc_data,F$14+1,0),0)</f>
        <v/>
      </c>
      <c r="G1492" s="141">
        <f>IFERROR(VLOOKUP($B1492,calc_data,G$14+1,0),0)</f>
        <v/>
      </c>
      <c r="H1492" s="141">
        <f>IFERROR(VLOOKUP($B1492,calc_data,H$14+1,0),0)</f>
        <v/>
      </c>
      <c r="I1492" s="142">
        <f>IFERROR(VLOOKUP($B1492,calc_data,I$14+1,0),0)</f>
        <v/>
      </c>
      <c r="J1492" s="141">
        <f>IFERROR(VLOOKUP($B1492,calc_data,J$14+1,0),0)</f>
        <v/>
      </c>
      <c r="K1492" s="141">
        <f>IFERROR(VLOOKUP($B1492,calc_data,K$14+1,0),0)</f>
        <v/>
      </c>
      <c r="L1492" s="141">
        <f>IFERROR(VLOOKUP($B1492,calc_data,L$14+1,0),0)</f>
        <v/>
      </c>
      <c r="M1492" s="177">
        <f>IFERROR(VLOOKUP($B1492,calc_data,M$14+1,0),0)</f>
        <v/>
      </c>
      <c r="N1492" s="177">
        <f>IFERROR(VLOOKUP($B1492,calc_data,N$14+1,0),0)</f>
        <v/>
      </c>
      <c r="O1492" s="45" t="n"/>
      <c r="Q1492" s="57">
        <f>IF(K1492&gt;0,"показать","скрыть")</f>
        <v/>
      </c>
    </row>
    <row r="1493" ht="15.75" customHeight="1">
      <c r="B1493" s="182" t="n">
        <v>1477</v>
      </c>
      <c r="C1493" s="182">
        <f>IFERROR(VLOOKUP($B1493,calc_data,C$14+1,0),0)</f>
        <v/>
      </c>
      <c r="D1493" s="182">
        <f>IFERROR(VLOOKUP($B1493,calc_data,D$14+1,0),0)</f>
        <v/>
      </c>
      <c r="E1493" s="183">
        <f>IFERROR(VLOOKUP($B1493,calc_data,E$14+1,0),0)</f>
        <v/>
      </c>
      <c r="F1493" s="182">
        <f>IFERROR(VLOOKUP($B1493,calc_data,F$14+1,0),0)</f>
        <v/>
      </c>
      <c r="G1493" s="141">
        <f>IFERROR(VLOOKUP($B1493,calc_data,G$14+1,0),0)</f>
        <v/>
      </c>
      <c r="H1493" s="141">
        <f>IFERROR(VLOOKUP($B1493,calc_data,H$14+1,0),0)</f>
        <v/>
      </c>
      <c r="I1493" s="142">
        <f>IFERROR(VLOOKUP($B1493,calc_data,I$14+1,0),0)</f>
        <v/>
      </c>
      <c r="J1493" s="141">
        <f>IFERROR(VLOOKUP($B1493,calc_data,J$14+1,0),0)</f>
        <v/>
      </c>
      <c r="K1493" s="141">
        <f>IFERROR(VLOOKUP($B1493,calc_data,K$14+1,0),0)</f>
        <v/>
      </c>
      <c r="L1493" s="141">
        <f>IFERROR(VLOOKUP($B1493,calc_data,L$14+1,0),0)</f>
        <v/>
      </c>
      <c r="M1493" s="177">
        <f>IFERROR(VLOOKUP($B1493,calc_data,M$14+1,0),0)</f>
        <v/>
      </c>
      <c r="N1493" s="177">
        <f>IFERROR(VLOOKUP($B1493,calc_data,N$14+1,0),0)</f>
        <v/>
      </c>
      <c r="O1493" s="45" t="n"/>
      <c r="Q1493" s="57">
        <f>IF(K1493&gt;0,"показать","скрыть")</f>
        <v/>
      </c>
    </row>
    <row r="1494" ht="15.75" customHeight="1">
      <c r="B1494" s="182" t="n">
        <v>1478</v>
      </c>
      <c r="C1494" s="182">
        <f>IFERROR(VLOOKUP($B1494,calc_data,C$14+1,0),0)</f>
        <v/>
      </c>
      <c r="D1494" s="182">
        <f>IFERROR(VLOOKUP($B1494,calc_data,D$14+1,0),0)</f>
        <v/>
      </c>
      <c r="E1494" s="183">
        <f>IFERROR(VLOOKUP($B1494,calc_data,E$14+1,0),0)</f>
        <v/>
      </c>
      <c r="F1494" s="182">
        <f>IFERROR(VLOOKUP($B1494,calc_data,F$14+1,0),0)</f>
        <v/>
      </c>
      <c r="G1494" s="141">
        <f>IFERROR(VLOOKUP($B1494,calc_data,G$14+1,0),0)</f>
        <v/>
      </c>
      <c r="H1494" s="141">
        <f>IFERROR(VLOOKUP($B1494,calc_data,H$14+1,0),0)</f>
        <v/>
      </c>
      <c r="I1494" s="142">
        <f>IFERROR(VLOOKUP($B1494,calc_data,I$14+1,0),0)</f>
        <v/>
      </c>
      <c r="J1494" s="141">
        <f>IFERROR(VLOOKUP($B1494,calc_data,J$14+1,0),0)</f>
        <v/>
      </c>
      <c r="K1494" s="141">
        <f>IFERROR(VLOOKUP($B1494,calc_data,K$14+1,0),0)</f>
        <v/>
      </c>
      <c r="L1494" s="141">
        <f>IFERROR(VLOOKUP($B1494,calc_data,L$14+1,0),0)</f>
        <v/>
      </c>
      <c r="M1494" s="177">
        <f>IFERROR(VLOOKUP($B1494,calc_data,M$14+1,0),0)</f>
        <v/>
      </c>
      <c r="N1494" s="177">
        <f>IFERROR(VLOOKUP($B1494,calc_data,N$14+1,0),0)</f>
        <v/>
      </c>
      <c r="O1494" s="45" t="n"/>
      <c r="Q1494" s="57">
        <f>IF(K1494&gt;0,"показать","скрыть")</f>
        <v/>
      </c>
    </row>
    <row r="1495" ht="15.75" customHeight="1">
      <c r="B1495" s="182" t="n">
        <v>1479</v>
      </c>
      <c r="C1495" s="182">
        <f>IFERROR(VLOOKUP($B1495,calc_data,C$14+1,0),0)</f>
        <v/>
      </c>
      <c r="D1495" s="182">
        <f>IFERROR(VLOOKUP($B1495,calc_data,D$14+1,0),0)</f>
        <v/>
      </c>
      <c r="E1495" s="183">
        <f>IFERROR(VLOOKUP($B1495,calc_data,E$14+1,0),0)</f>
        <v/>
      </c>
      <c r="F1495" s="182">
        <f>IFERROR(VLOOKUP($B1495,calc_data,F$14+1,0),0)</f>
        <v/>
      </c>
      <c r="G1495" s="141">
        <f>IFERROR(VLOOKUP($B1495,calc_data,G$14+1,0),0)</f>
        <v/>
      </c>
      <c r="H1495" s="141">
        <f>IFERROR(VLOOKUP($B1495,calc_data,H$14+1,0),0)</f>
        <v/>
      </c>
      <c r="I1495" s="142">
        <f>IFERROR(VLOOKUP($B1495,calc_data,I$14+1,0),0)</f>
        <v/>
      </c>
      <c r="J1495" s="141">
        <f>IFERROR(VLOOKUP($B1495,calc_data,J$14+1,0),0)</f>
        <v/>
      </c>
      <c r="K1495" s="141">
        <f>IFERROR(VLOOKUP($B1495,calc_data,K$14+1,0),0)</f>
        <v/>
      </c>
      <c r="L1495" s="141">
        <f>IFERROR(VLOOKUP($B1495,calc_data,L$14+1,0),0)</f>
        <v/>
      </c>
      <c r="M1495" s="177">
        <f>IFERROR(VLOOKUP($B1495,calc_data,M$14+1,0),0)</f>
        <v/>
      </c>
      <c r="N1495" s="177">
        <f>IFERROR(VLOOKUP($B1495,calc_data,N$14+1,0),0)</f>
        <v/>
      </c>
      <c r="O1495" s="45" t="n"/>
      <c r="Q1495" s="57">
        <f>IF(K1495&gt;0,"показать","скрыть")</f>
        <v/>
      </c>
    </row>
    <row r="1496" ht="15.75" customHeight="1">
      <c r="B1496" s="182" t="n">
        <v>1480</v>
      </c>
      <c r="C1496" s="182">
        <f>IFERROR(VLOOKUP($B1496,calc_data,C$14+1,0),0)</f>
        <v/>
      </c>
      <c r="D1496" s="182">
        <f>IFERROR(VLOOKUP($B1496,calc_data,D$14+1,0),0)</f>
        <v/>
      </c>
      <c r="E1496" s="183">
        <f>IFERROR(VLOOKUP($B1496,calc_data,E$14+1,0),0)</f>
        <v/>
      </c>
      <c r="F1496" s="182">
        <f>IFERROR(VLOOKUP($B1496,calc_data,F$14+1,0),0)</f>
        <v/>
      </c>
      <c r="G1496" s="141">
        <f>IFERROR(VLOOKUP($B1496,calc_data,G$14+1,0),0)</f>
        <v/>
      </c>
      <c r="H1496" s="141">
        <f>IFERROR(VLOOKUP($B1496,calc_data,H$14+1,0),0)</f>
        <v/>
      </c>
      <c r="I1496" s="142">
        <f>IFERROR(VLOOKUP($B1496,calc_data,I$14+1,0),0)</f>
        <v/>
      </c>
      <c r="J1496" s="141">
        <f>IFERROR(VLOOKUP($B1496,calc_data,J$14+1,0),0)</f>
        <v/>
      </c>
      <c r="K1496" s="141">
        <f>IFERROR(VLOOKUP($B1496,calc_data,K$14+1,0),0)</f>
        <v/>
      </c>
      <c r="L1496" s="141">
        <f>IFERROR(VLOOKUP($B1496,calc_data,L$14+1,0),0)</f>
        <v/>
      </c>
      <c r="M1496" s="177">
        <f>IFERROR(VLOOKUP($B1496,calc_data,M$14+1,0),0)</f>
        <v/>
      </c>
      <c r="N1496" s="177">
        <f>IFERROR(VLOOKUP($B1496,calc_data,N$14+1,0),0)</f>
        <v/>
      </c>
      <c r="O1496" s="45" t="n"/>
      <c r="Q1496" s="57">
        <f>IF(K1496&gt;0,"показать","скрыть")</f>
        <v/>
      </c>
    </row>
    <row r="1497" ht="15.75" customHeight="1">
      <c r="B1497" s="182" t="n">
        <v>1481</v>
      </c>
      <c r="C1497" s="182">
        <f>IFERROR(VLOOKUP($B1497,calc_data,C$14+1,0),0)</f>
        <v/>
      </c>
      <c r="D1497" s="182">
        <f>IFERROR(VLOOKUP($B1497,calc_data,D$14+1,0),0)</f>
        <v/>
      </c>
      <c r="E1497" s="183">
        <f>IFERROR(VLOOKUP($B1497,calc_data,E$14+1,0),0)</f>
        <v/>
      </c>
      <c r="F1497" s="182">
        <f>IFERROR(VLOOKUP($B1497,calc_data,F$14+1,0),0)</f>
        <v/>
      </c>
      <c r="G1497" s="141">
        <f>IFERROR(VLOOKUP($B1497,calc_data,G$14+1,0),0)</f>
        <v/>
      </c>
      <c r="H1497" s="141">
        <f>IFERROR(VLOOKUP($B1497,calc_data,H$14+1,0),0)</f>
        <v/>
      </c>
      <c r="I1497" s="142">
        <f>IFERROR(VLOOKUP($B1497,calc_data,I$14+1,0),0)</f>
        <v/>
      </c>
      <c r="J1497" s="141">
        <f>IFERROR(VLOOKUP($B1497,calc_data,J$14+1,0),0)</f>
        <v/>
      </c>
      <c r="K1497" s="141">
        <f>IFERROR(VLOOKUP($B1497,calc_data,K$14+1,0),0)</f>
        <v/>
      </c>
      <c r="L1497" s="141">
        <f>IFERROR(VLOOKUP($B1497,calc_data,L$14+1,0),0)</f>
        <v/>
      </c>
      <c r="M1497" s="177">
        <f>IFERROR(VLOOKUP($B1497,calc_data,M$14+1,0),0)</f>
        <v/>
      </c>
      <c r="N1497" s="177">
        <f>IFERROR(VLOOKUP($B1497,calc_data,N$14+1,0),0)</f>
        <v/>
      </c>
      <c r="O1497" s="45" t="n"/>
      <c r="Q1497" s="57">
        <f>IF(K1497&gt;0,"показать","скрыть")</f>
        <v/>
      </c>
    </row>
    <row r="1498" ht="15.75" customHeight="1">
      <c r="B1498" s="182" t="n">
        <v>1482</v>
      </c>
      <c r="C1498" s="182">
        <f>IFERROR(VLOOKUP($B1498,calc_data,C$14+1,0),0)</f>
        <v/>
      </c>
      <c r="D1498" s="182">
        <f>IFERROR(VLOOKUP($B1498,calc_data,D$14+1,0),0)</f>
        <v/>
      </c>
      <c r="E1498" s="183">
        <f>IFERROR(VLOOKUP($B1498,calc_data,E$14+1,0),0)</f>
        <v/>
      </c>
      <c r="F1498" s="182">
        <f>IFERROR(VLOOKUP($B1498,calc_data,F$14+1,0),0)</f>
        <v/>
      </c>
      <c r="G1498" s="141">
        <f>IFERROR(VLOOKUP($B1498,calc_data,G$14+1,0),0)</f>
        <v/>
      </c>
      <c r="H1498" s="141">
        <f>IFERROR(VLOOKUP($B1498,calc_data,H$14+1,0),0)</f>
        <v/>
      </c>
      <c r="I1498" s="142">
        <f>IFERROR(VLOOKUP($B1498,calc_data,I$14+1,0),0)</f>
        <v/>
      </c>
      <c r="J1498" s="141">
        <f>IFERROR(VLOOKUP($B1498,calc_data,J$14+1,0),0)</f>
        <v/>
      </c>
      <c r="K1498" s="141">
        <f>IFERROR(VLOOKUP($B1498,calc_data,K$14+1,0),0)</f>
        <v/>
      </c>
      <c r="L1498" s="141">
        <f>IFERROR(VLOOKUP($B1498,calc_data,L$14+1,0),0)</f>
        <v/>
      </c>
      <c r="M1498" s="177">
        <f>IFERROR(VLOOKUP($B1498,calc_data,M$14+1,0),0)</f>
        <v/>
      </c>
      <c r="N1498" s="177">
        <f>IFERROR(VLOOKUP($B1498,calc_data,N$14+1,0),0)</f>
        <v/>
      </c>
      <c r="O1498" s="45" t="n"/>
      <c r="Q1498" s="57">
        <f>IF(K1498&gt;0,"показать","скрыть")</f>
        <v/>
      </c>
    </row>
    <row r="1499" ht="15.75" customHeight="1">
      <c r="B1499" s="182" t="n">
        <v>1483</v>
      </c>
      <c r="C1499" s="182">
        <f>IFERROR(VLOOKUP($B1499,calc_data,C$14+1,0),0)</f>
        <v/>
      </c>
      <c r="D1499" s="182">
        <f>IFERROR(VLOOKUP($B1499,calc_data,D$14+1,0),0)</f>
        <v/>
      </c>
      <c r="E1499" s="183">
        <f>IFERROR(VLOOKUP($B1499,calc_data,E$14+1,0),0)</f>
        <v/>
      </c>
      <c r="F1499" s="182">
        <f>IFERROR(VLOOKUP($B1499,calc_data,F$14+1,0),0)</f>
        <v/>
      </c>
      <c r="G1499" s="141">
        <f>IFERROR(VLOOKUP($B1499,calc_data,G$14+1,0),0)</f>
        <v/>
      </c>
      <c r="H1499" s="141">
        <f>IFERROR(VLOOKUP($B1499,calc_data,H$14+1,0),0)</f>
        <v/>
      </c>
      <c r="I1499" s="142">
        <f>IFERROR(VLOOKUP($B1499,calc_data,I$14+1,0),0)</f>
        <v/>
      </c>
      <c r="J1499" s="141">
        <f>IFERROR(VLOOKUP($B1499,calc_data,J$14+1,0),0)</f>
        <v/>
      </c>
      <c r="K1499" s="141">
        <f>IFERROR(VLOOKUP($B1499,calc_data,K$14+1,0),0)</f>
        <v/>
      </c>
      <c r="L1499" s="141">
        <f>IFERROR(VLOOKUP($B1499,calc_data,L$14+1,0),0)</f>
        <v/>
      </c>
      <c r="M1499" s="177">
        <f>IFERROR(VLOOKUP($B1499,calc_data,M$14+1,0),0)</f>
        <v/>
      </c>
      <c r="N1499" s="177">
        <f>IFERROR(VLOOKUP($B1499,calc_data,N$14+1,0),0)</f>
        <v/>
      </c>
      <c r="O1499" s="45" t="n"/>
      <c r="Q1499" s="57">
        <f>IF(K1499&gt;0,"показать","скрыть")</f>
        <v/>
      </c>
    </row>
    <row r="1500" ht="15.75" customHeight="1">
      <c r="B1500" s="182" t="n">
        <v>1484</v>
      </c>
      <c r="C1500" s="182">
        <f>IFERROR(VLOOKUP($B1500,calc_data,C$14+1,0),0)</f>
        <v/>
      </c>
      <c r="D1500" s="182">
        <f>IFERROR(VLOOKUP($B1500,calc_data,D$14+1,0),0)</f>
        <v/>
      </c>
      <c r="E1500" s="183">
        <f>IFERROR(VLOOKUP($B1500,calc_data,E$14+1,0),0)</f>
        <v/>
      </c>
      <c r="F1500" s="182">
        <f>IFERROR(VLOOKUP($B1500,calc_data,F$14+1,0),0)</f>
        <v/>
      </c>
      <c r="G1500" s="141">
        <f>IFERROR(VLOOKUP($B1500,calc_data,G$14+1,0),0)</f>
        <v/>
      </c>
      <c r="H1500" s="141">
        <f>IFERROR(VLOOKUP($B1500,calc_data,H$14+1,0),0)</f>
        <v/>
      </c>
      <c r="I1500" s="142">
        <f>IFERROR(VLOOKUP($B1500,calc_data,I$14+1,0),0)</f>
        <v/>
      </c>
      <c r="J1500" s="141">
        <f>IFERROR(VLOOKUP($B1500,calc_data,J$14+1,0),0)</f>
        <v/>
      </c>
      <c r="K1500" s="141">
        <f>IFERROR(VLOOKUP($B1500,calc_data,K$14+1,0),0)</f>
        <v/>
      </c>
      <c r="L1500" s="141">
        <f>IFERROR(VLOOKUP($B1500,calc_data,L$14+1,0),0)</f>
        <v/>
      </c>
      <c r="M1500" s="177">
        <f>IFERROR(VLOOKUP($B1500,calc_data,M$14+1,0),0)</f>
        <v/>
      </c>
      <c r="N1500" s="177">
        <f>IFERROR(VLOOKUP($B1500,calc_data,N$14+1,0),0)</f>
        <v/>
      </c>
      <c r="O1500" s="45" t="n"/>
      <c r="Q1500" s="57">
        <f>IF(K1500&gt;0,"показать","скрыть")</f>
        <v/>
      </c>
    </row>
    <row r="1501" ht="15.75" customHeight="1">
      <c r="B1501" s="182" t="n">
        <v>1485</v>
      </c>
      <c r="C1501" s="182">
        <f>IFERROR(VLOOKUP($B1501,calc_data,C$14+1,0),0)</f>
        <v/>
      </c>
      <c r="D1501" s="182">
        <f>IFERROR(VLOOKUP($B1501,calc_data,D$14+1,0),0)</f>
        <v/>
      </c>
      <c r="E1501" s="183">
        <f>IFERROR(VLOOKUP($B1501,calc_data,E$14+1,0),0)</f>
        <v/>
      </c>
      <c r="F1501" s="182">
        <f>IFERROR(VLOOKUP($B1501,calc_data,F$14+1,0),0)</f>
        <v/>
      </c>
      <c r="G1501" s="141">
        <f>IFERROR(VLOOKUP($B1501,calc_data,G$14+1,0),0)</f>
        <v/>
      </c>
      <c r="H1501" s="141">
        <f>IFERROR(VLOOKUP($B1501,calc_data,H$14+1,0),0)</f>
        <v/>
      </c>
      <c r="I1501" s="142">
        <f>IFERROR(VLOOKUP($B1501,calc_data,I$14+1,0),0)</f>
        <v/>
      </c>
      <c r="J1501" s="141">
        <f>IFERROR(VLOOKUP($B1501,calc_data,J$14+1,0),0)</f>
        <v/>
      </c>
      <c r="K1501" s="141">
        <f>IFERROR(VLOOKUP($B1501,calc_data,K$14+1,0),0)</f>
        <v/>
      </c>
      <c r="L1501" s="141">
        <f>IFERROR(VLOOKUP($B1501,calc_data,L$14+1,0),0)</f>
        <v/>
      </c>
      <c r="M1501" s="177">
        <f>IFERROR(VLOOKUP($B1501,calc_data,M$14+1,0),0)</f>
        <v/>
      </c>
      <c r="N1501" s="177">
        <f>IFERROR(VLOOKUP($B1501,calc_data,N$14+1,0),0)</f>
        <v/>
      </c>
      <c r="O1501" s="45" t="n"/>
      <c r="Q1501" s="57">
        <f>IF(K1501&gt;0,"показать","скрыть")</f>
        <v/>
      </c>
    </row>
    <row r="1502" ht="15.75" customHeight="1">
      <c r="B1502" s="182" t="n">
        <v>1486</v>
      </c>
      <c r="C1502" s="182">
        <f>IFERROR(VLOOKUP($B1502,calc_data,C$14+1,0),0)</f>
        <v/>
      </c>
      <c r="D1502" s="182">
        <f>IFERROR(VLOOKUP($B1502,calc_data,D$14+1,0),0)</f>
        <v/>
      </c>
      <c r="E1502" s="183">
        <f>IFERROR(VLOOKUP($B1502,calc_data,E$14+1,0),0)</f>
        <v/>
      </c>
      <c r="F1502" s="182">
        <f>IFERROR(VLOOKUP($B1502,calc_data,F$14+1,0),0)</f>
        <v/>
      </c>
      <c r="G1502" s="141">
        <f>IFERROR(VLOOKUP($B1502,calc_data,G$14+1,0),0)</f>
        <v/>
      </c>
      <c r="H1502" s="141">
        <f>IFERROR(VLOOKUP($B1502,calc_data,H$14+1,0),0)</f>
        <v/>
      </c>
      <c r="I1502" s="142">
        <f>IFERROR(VLOOKUP($B1502,calc_data,I$14+1,0),0)</f>
        <v/>
      </c>
      <c r="J1502" s="141">
        <f>IFERROR(VLOOKUP($B1502,calc_data,J$14+1,0),0)</f>
        <v/>
      </c>
      <c r="K1502" s="141">
        <f>IFERROR(VLOOKUP($B1502,calc_data,K$14+1,0),0)</f>
        <v/>
      </c>
      <c r="L1502" s="141">
        <f>IFERROR(VLOOKUP($B1502,calc_data,L$14+1,0),0)</f>
        <v/>
      </c>
      <c r="M1502" s="177">
        <f>IFERROR(VLOOKUP($B1502,calc_data,M$14+1,0),0)</f>
        <v/>
      </c>
      <c r="N1502" s="177">
        <f>IFERROR(VLOOKUP($B1502,calc_data,N$14+1,0),0)</f>
        <v/>
      </c>
      <c r="O1502" s="45" t="n"/>
      <c r="Q1502" s="57">
        <f>IF(K1502&gt;0,"показать","скрыть")</f>
        <v/>
      </c>
    </row>
    <row r="1503" ht="15.75" customHeight="1">
      <c r="B1503" s="182" t="n">
        <v>1487</v>
      </c>
      <c r="C1503" s="182">
        <f>IFERROR(VLOOKUP($B1503,calc_data,C$14+1,0),0)</f>
        <v/>
      </c>
      <c r="D1503" s="182">
        <f>IFERROR(VLOOKUP($B1503,calc_data,D$14+1,0),0)</f>
        <v/>
      </c>
      <c r="E1503" s="183">
        <f>IFERROR(VLOOKUP($B1503,calc_data,E$14+1,0),0)</f>
        <v/>
      </c>
      <c r="F1503" s="182">
        <f>IFERROR(VLOOKUP($B1503,calc_data,F$14+1,0),0)</f>
        <v/>
      </c>
      <c r="G1503" s="141">
        <f>IFERROR(VLOOKUP($B1503,calc_data,G$14+1,0),0)</f>
        <v/>
      </c>
      <c r="H1503" s="141">
        <f>IFERROR(VLOOKUP($B1503,calc_data,H$14+1,0),0)</f>
        <v/>
      </c>
      <c r="I1503" s="142">
        <f>IFERROR(VLOOKUP($B1503,calc_data,I$14+1,0),0)</f>
        <v/>
      </c>
      <c r="J1503" s="141">
        <f>IFERROR(VLOOKUP($B1503,calc_data,J$14+1,0),0)</f>
        <v/>
      </c>
      <c r="K1503" s="141">
        <f>IFERROR(VLOOKUP($B1503,calc_data,K$14+1,0),0)</f>
        <v/>
      </c>
      <c r="L1503" s="141">
        <f>IFERROR(VLOOKUP($B1503,calc_data,L$14+1,0),0)</f>
        <v/>
      </c>
      <c r="M1503" s="177">
        <f>IFERROR(VLOOKUP($B1503,calc_data,M$14+1,0),0)</f>
        <v/>
      </c>
      <c r="N1503" s="177">
        <f>IFERROR(VLOOKUP($B1503,calc_data,N$14+1,0),0)</f>
        <v/>
      </c>
      <c r="O1503" s="45" t="n"/>
      <c r="Q1503" s="57">
        <f>IF(K1503&gt;0,"показать","скрыть")</f>
        <v/>
      </c>
    </row>
    <row r="1504" ht="15.75" customHeight="1">
      <c r="B1504" s="182" t="n">
        <v>1488</v>
      </c>
      <c r="C1504" s="182">
        <f>IFERROR(VLOOKUP($B1504,calc_data,C$14+1,0),0)</f>
        <v/>
      </c>
      <c r="D1504" s="182">
        <f>IFERROR(VLOOKUP($B1504,calc_data,D$14+1,0),0)</f>
        <v/>
      </c>
      <c r="E1504" s="183">
        <f>IFERROR(VLOOKUP($B1504,calc_data,E$14+1,0),0)</f>
        <v/>
      </c>
      <c r="F1504" s="182">
        <f>IFERROR(VLOOKUP($B1504,calc_data,F$14+1,0),0)</f>
        <v/>
      </c>
      <c r="G1504" s="141">
        <f>IFERROR(VLOOKUP($B1504,calc_data,G$14+1,0),0)</f>
        <v/>
      </c>
      <c r="H1504" s="141">
        <f>IFERROR(VLOOKUP($B1504,calc_data,H$14+1,0),0)</f>
        <v/>
      </c>
      <c r="I1504" s="142">
        <f>IFERROR(VLOOKUP($B1504,calc_data,I$14+1,0),0)</f>
        <v/>
      </c>
      <c r="J1504" s="141">
        <f>IFERROR(VLOOKUP($B1504,calc_data,J$14+1,0),0)</f>
        <v/>
      </c>
      <c r="K1504" s="141">
        <f>IFERROR(VLOOKUP($B1504,calc_data,K$14+1,0),0)</f>
        <v/>
      </c>
      <c r="L1504" s="141">
        <f>IFERROR(VLOOKUP($B1504,calc_data,L$14+1,0),0)</f>
        <v/>
      </c>
      <c r="M1504" s="177">
        <f>IFERROR(VLOOKUP($B1504,calc_data,M$14+1,0),0)</f>
        <v/>
      </c>
      <c r="N1504" s="177">
        <f>IFERROR(VLOOKUP($B1504,calc_data,N$14+1,0),0)</f>
        <v/>
      </c>
      <c r="O1504" s="45" t="n"/>
      <c r="Q1504" s="57">
        <f>IF(K1504&gt;0,"показать","скрыть")</f>
        <v/>
      </c>
    </row>
    <row r="1505" ht="15.75" customHeight="1">
      <c r="B1505" s="182" t="n">
        <v>1489</v>
      </c>
      <c r="C1505" s="182">
        <f>IFERROR(VLOOKUP($B1505,calc_data,C$14+1,0),0)</f>
        <v/>
      </c>
      <c r="D1505" s="182">
        <f>IFERROR(VLOOKUP($B1505,calc_data,D$14+1,0),0)</f>
        <v/>
      </c>
      <c r="E1505" s="183">
        <f>IFERROR(VLOOKUP($B1505,calc_data,E$14+1,0),0)</f>
        <v/>
      </c>
      <c r="F1505" s="182">
        <f>IFERROR(VLOOKUP($B1505,calc_data,F$14+1,0),0)</f>
        <v/>
      </c>
      <c r="G1505" s="141">
        <f>IFERROR(VLOOKUP($B1505,calc_data,G$14+1,0),0)</f>
        <v/>
      </c>
      <c r="H1505" s="141">
        <f>IFERROR(VLOOKUP($B1505,calc_data,H$14+1,0),0)</f>
        <v/>
      </c>
      <c r="I1505" s="142">
        <f>IFERROR(VLOOKUP($B1505,calc_data,I$14+1,0),0)</f>
        <v/>
      </c>
      <c r="J1505" s="141">
        <f>IFERROR(VLOOKUP($B1505,calc_data,J$14+1,0),0)</f>
        <v/>
      </c>
      <c r="K1505" s="141">
        <f>IFERROR(VLOOKUP($B1505,calc_data,K$14+1,0),0)</f>
        <v/>
      </c>
      <c r="L1505" s="141">
        <f>IFERROR(VLOOKUP($B1505,calc_data,L$14+1,0),0)</f>
        <v/>
      </c>
      <c r="M1505" s="177">
        <f>IFERROR(VLOOKUP($B1505,calc_data,M$14+1,0),0)</f>
        <v/>
      </c>
      <c r="N1505" s="177">
        <f>IFERROR(VLOOKUP($B1505,calc_data,N$14+1,0),0)</f>
        <v/>
      </c>
      <c r="O1505" s="45" t="n"/>
      <c r="Q1505" s="57">
        <f>IF(K1505&gt;0,"показать","скрыть")</f>
        <v/>
      </c>
    </row>
    <row r="1506" ht="15.75" customHeight="1">
      <c r="B1506" s="182" t="n">
        <v>1490</v>
      </c>
      <c r="C1506" s="182">
        <f>IFERROR(VLOOKUP($B1506,calc_data,C$14+1,0),0)</f>
        <v/>
      </c>
      <c r="D1506" s="182">
        <f>IFERROR(VLOOKUP($B1506,calc_data,D$14+1,0),0)</f>
        <v/>
      </c>
      <c r="E1506" s="183">
        <f>IFERROR(VLOOKUP($B1506,calc_data,E$14+1,0),0)</f>
        <v/>
      </c>
      <c r="F1506" s="182">
        <f>IFERROR(VLOOKUP($B1506,calc_data,F$14+1,0),0)</f>
        <v/>
      </c>
      <c r="G1506" s="141">
        <f>IFERROR(VLOOKUP($B1506,calc_data,G$14+1,0),0)</f>
        <v/>
      </c>
      <c r="H1506" s="141">
        <f>IFERROR(VLOOKUP($B1506,calc_data,H$14+1,0),0)</f>
        <v/>
      </c>
      <c r="I1506" s="142">
        <f>IFERROR(VLOOKUP($B1506,calc_data,I$14+1,0),0)</f>
        <v/>
      </c>
      <c r="J1506" s="141">
        <f>IFERROR(VLOOKUP($B1506,calc_data,J$14+1,0),0)</f>
        <v/>
      </c>
      <c r="K1506" s="141">
        <f>IFERROR(VLOOKUP($B1506,calc_data,K$14+1,0),0)</f>
        <v/>
      </c>
      <c r="L1506" s="141">
        <f>IFERROR(VLOOKUP($B1506,calc_data,L$14+1,0),0)</f>
        <v/>
      </c>
      <c r="M1506" s="177">
        <f>IFERROR(VLOOKUP($B1506,calc_data,M$14+1,0),0)</f>
        <v/>
      </c>
      <c r="N1506" s="177">
        <f>IFERROR(VLOOKUP($B1506,calc_data,N$14+1,0),0)</f>
        <v/>
      </c>
      <c r="O1506" s="45" t="n"/>
      <c r="Q1506" s="57">
        <f>IF(K1506&gt;0,"показать","скрыть")</f>
        <v/>
      </c>
    </row>
    <row r="1507" ht="15.75" customHeight="1">
      <c r="B1507" s="182" t="n">
        <v>1491</v>
      </c>
      <c r="C1507" s="182">
        <f>IFERROR(VLOOKUP($B1507,calc_data,C$14+1,0),0)</f>
        <v/>
      </c>
      <c r="D1507" s="182">
        <f>IFERROR(VLOOKUP($B1507,calc_data,D$14+1,0),0)</f>
        <v/>
      </c>
      <c r="E1507" s="183">
        <f>IFERROR(VLOOKUP($B1507,calc_data,E$14+1,0),0)</f>
        <v/>
      </c>
      <c r="F1507" s="182">
        <f>IFERROR(VLOOKUP($B1507,calc_data,F$14+1,0),0)</f>
        <v/>
      </c>
      <c r="G1507" s="141">
        <f>IFERROR(VLOOKUP($B1507,calc_data,G$14+1,0),0)</f>
        <v/>
      </c>
      <c r="H1507" s="141">
        <f>IFERROR(VLOOKUP($B1507,calc_data,H$14+1,0),0)</f>
        <v/>
      </c>
      <c r="I1507" s="142">
        <f>IFERROR(VLOOKUP($B1507,calc_data,I$14+1,0),0)</f>
        <v/>
      </c>
      <c r="J1507" s="141">
        <f>IFERROR(VLOOKUP($B1507,calc_data,J$14+1,0),0)</f>
        <v/>
      </c>
      <c r="K1507" s="141">
        <f>IFERROR(VLOOKUP($B1507,calc_data,K$14+1,0),0)</f>
        <v/>
      </c>
      <c r="L1507" s="141">
        <f>IFERROR(VLOOKUP($B1507,calc_data,L$14+1,0),0)</f>
        <v/>
      </c>
      <c r="M1507" s="177">
        <f>IFERROR(VLOOKUP($B1507,calc_data,M$14+1,0),0)</f>
        <v/>
      </c>
      <c r="N1507" s="177">
        <f>IFERROR(VLOOKUP($B1507,calc_data,N$14+1,0),0)</f>
        <v/>
      </c>
      <c r="O1507" s="45" t="n"/>
      <c r="Q1507" s="57">
        <f>IF(K1507&gt;0,"показать","скрыть")</f>
        <v/>
      </c>
    </row>
    <row r="1508" ht="15.75" customHeight="1">
      <c r="B1508" s="182" t="n">
        <v>1492</v>
      </c>
      <c r="C1508" s="182">
        <f>IFERROR(VLOOKUP($B1508,calc_data,C$14+1,0),0)</f>
        <v/>
      </c>
      <c r="D1508" s="182">
        <f>IFERROR(VLOOKUP($B1508,calc_data,D$14+1,0),0)</f>
        <v/>
      </c>
      <c r="E1508" s="183">
        <f>IFERROR(VLOOKUP($B1508,calc_data,E$14+1,0),0)</f>
        <v/>
      </c>
      <c r="F1508" s="182">
        <f>IFERROR(VLOOKUP($B1508,calc_data,F$14+1,0),0)</f>
        <v/>
      </c>
      <c r="G1508" s="141">
        <f>IFERROR(VLOOKUP($B1508,calc_data,G$14+1,0),0)</f>
        <v/>
      </c>
      <c r="H1508" s="141">
        <f>IFERROR(VLOOKUP($B1508,calc_data,H$14+1,0),0)</f>
        <v/>
      </c>
      <c r="I1508" s="142">
        <f>IFERROR(VLOOKUP($B1508,calc_data,I$14+1,0),0)</f>
        <v/>
      </c>
      <c r="J1508" s="141">
        <f>IFERROR(VLOOKUP($B1508,calc_data,J$14+1,0),0)</f>
        <v/>
      </c>
      <c r="K1508" s="141">
        <f>IFERROR(VLOOKUP($B1508,calc_data,K$14+1,0),0)</f>
        <v/>
      </c>
      <c r="L1508" s="141">
        <f>IFERROR(VLOOKUP($B1508,calc_data,L$14+1,0),0)</f>
        <v/>
      </c>
      <c r="M1508" s="177">
        <f>IFERROR(VLOOKUP($B1508,calc_data,M$14+1,0),0)</f>
        <v/>
      </c>
      <c r="N1508" s="177">
        <f>IFERROR(VLOOKUP($B1508,calc_data,N$14+1,0),0)</f>
        <v/>
      </c>
      <c r="O1508" s="45" t="n"/>
      <c r="Q1508" s="57">
        <f>IF(K1508&gt;0,"показать","скрыть")</f>
        <v/>
      </c>
    </row>
    <row r="1509" ht="15.75" customHeight="1">
      <c r="B1509" s="182" t="n">
        <v>1493</v>
      </c>
      <c r="C1509" s="182">
        <f>IFERROR(VLOOKUP($B1509,calc_data,C$14+1,0),0)</f>
        <v/>
      </c>
      <c r="D1509" s="182">
        <f>IFERROR(VLOOKUP($B1509,calc_data,D$14+1,0),0)</f>
        <v/>
      </c>
      <c r="E1509" s="183">
        <f>IFERROR(VLOOKUP($B1509,calc_data,E$14+1,0),0)</f>
        <v/>
      </c>
      <c r="F1509" s="182">
        <f>IFERROR(VLOOKUP($B1509,calc_data,F$14+1,0),0)</f>
        <v/>
      </c>
      <c r="G1509" s="141">
        <f>IFERROR(VLOOKUP($B1509,calc_data,G$14+1,0),0)</f>
        <v/>
      </c>
      <c r="H1509" s="141">
        <f>IFERROR(VLOOKUP($B1509,calc_data,H$14+1,0),0)</f>
        <v/>
      </c>
      <c r="I1509" s="142">
        <f>IFERROR(VLOOKUP($B1509,calc_data,I$14+1,0),0)</f>
        <v/>
      </c>
      <c r="J1509" s="141">
        <f>IFERROR(VLOOKUP($B1509,calc_data,J$14+1,0),0)</f>
        <v/>
      </c>
      <c r="K1509" s="141">
        <f>IFERROR(VLOOKUP($B1509,calc_data,K$14+1,0),0)</f>
        <v/>
      </c>
      <c r="L1509" s="141">
        <f>IFERROR(VLOOKUP($B1509,calc_data,L$14+1,0),0)</f>
        <v/>
      </c>
      <c r="M1509" s="177">
        <f>IFERROR(VLOOKUP($B1509,calc_data,M$14+1,0),0)</f>
        <v/>
      </c>
      <c r="N1509" s="177">
        <f>IFERROR(VLOOKUP($B1509,calc_data,N$14+1,0),0)</f>
        <v/>
      </c>
      <c r="O1509" s="45" t="n"/>
      <c r="Q1509" s="57">
        <f>IF(K1509&gt;0,"показать","скрыть")</f>
        <v/>
      </c>
    </row>
    <row r="1510" ht="15.75" customHeight="1">
      <c r="B1510" s="182" t="n">
        <v>1494</v>
      </c>
      <c r="C1510" s="182">
        <f>IFERROR(VLOOKUP($B1510,calc_data,C$14+1,0),0)</f>
        <v/>
      </c>
      <c r="D1510" s="182">
        <f>IFERROR(VLOOKUP($B1510,calc_data,D$14+1,0),0)</f>
        <v/>
      </c>
      <c r="E1510" s="183">
        <f>IFERROR(VLOOKUP($B1510,calc_data,E$14+1,0),0)</f>
        <v/>
      </c>
      <c r="F1510" s="182">
        <f>IFERROR(VLOOKUP($B1510,calc_data,F$14+1,0),0)</f>
        <v/>
      </c>
      <c r="G1510" s="141">
        <f>IFERROR(VLOOKUP($B1510,calc_data,G$14+1,0),0)</f>
        <v/>
      </c>
      <c r="H1510" s="141">
        <f>IFERROR(VLOOKUP($B1510,calc_data,H$14+1,0),0)</f>
        <v/>
      </c>
      <c r="I1510" s="142">
        <f>IFERROR(VLOOKUP($B1510,calc_data,I$14+1,0),0)</f>
        <v/>
      </c>
      <c r="J1510" s="141">
        <f>IFERROR(VLOOKUP($B1510,calc_data,J$14+1,0),0)</f>
        <v/>
      </c>
      <c r="K1510" s="141">
        <f>IFERROR(VLOOKUP($B1510,calc_data,K$14+1,0),0)</f>
        <v/>
      </c>
      <c r="L1510" s="141">
        <f>IFERROR(VLOOKUP($B1510,calc_data,L$14+1,0),0)</f>
        <v/>
      </c>
      <c r="M1510" s="177">
        <f>IFERROR(VLOOKUP($B1510,calc_data,M$14+1,0),0)</f>
        <v/>
      </c>
      <c r="N1510" s="177">
        <f>IFERROR(VLOOKUP($B1510,calc_data,N$14+1,0),0)</f>
        <v/>
      </c>
      <c r="O1510" s="45" t="n"/>
      <c r="Q1510" s="57">
        <f>IF(K1510&gt;0,"показать","скрыть")</f>
        <v/>
      </c>
    </row>
    <row r="1511" ht="15.75" customHeight="1">
      <c r="B1511" s="182" t="n">
        <v>1495</v>
      </c>
      <c r="C1511" s="182">
        <f>IFERROR(VLOOKUP($B1511,calc_data,C$14+1,0),0)</f>
        <v/>
      </c>
      <c r="D1511" s="182">
        <f>IFERROR(VLOOKUP($B1511,calc_data,D$14+1,0),0)</f>
        <v/>
      </c>
      <c r="E1511" s="183">
        <f>IFERROR(VLOOKUP($B1511,calc_data,E$14+1,0),0)</f>
        <v/>
      </c>
      <c r="F1511" s="182">
        <f>IFERROR(VLOOKUP($B1511,calc_data,F$14+1,0),0)</f>
        <v/>
      </c>
      <c r="G1511" s="141">
        <f>IFERROR(VLOOKUP($B1511,calc_data,G$14+1,0),0)</f>
        <v/>
      </c>
      <c r="H1511" s="141">
        <f>IFERROR(VLOOKUP($B1511,calc_data,H$14+1,0),0)</f>
        <v/>
      </c>
      <c r="I1511" s="142">
        <f>IFERROR(VLOOKUP($B1511,calc_data,I$14+1,0),0)</f>
        <v/>
      </c>
      <c r="J1511" s="141">
        <f>IFERROR(VLOOKUP($B1511,calc_data,J$14+1,0),0)</f>
        <v/>
      </c>
      <c r="K1511" s="141">
        <f>IFERROR(VLOOKUP($B1511,calc_data,K$14+1,0),0)</f>
        <v/>
      </c>
      <c r="L1511" s="141">
        <f>IFERROR(VLOOKUP($B1511,calc_data,L$14+1,0),0)</f>
        <v/>
      </c>
      <c r="M1511" s="177">
        <f>IFERROR(VLOOKUP($B1511,calc_data,M$14+1,0),0)</f>
        <v/>
      </c>
      <c r="N1511" s="177">
        <f>IFERROR(VLOOKUP($B1511,calc_data,N$14+1,0),0)</f>
        <v/>
      </c>
      <c r="O1511" s="45" t="n"/>
      <c r="Q1511" s="57">
        <f>IF(K1511&gt;0,"показать","скрыть")</f>
        <v/>
      </c>
    </row>
    <row r="1512" ht="15.75" customHeight="1">
      <c r="B1512" s="182" t="n">
        <v>1496</v>
      </c>
      <c r="C1512" s="182">
        <f>IFERROR(VLOOKUP($B1512,calc_data,C$14+1,0),0)</f>
        <v/>
      </c>
      <c r="D1512" s="182">
        <f>IFERROR(VLOOKUP($B1512,calc_data,D$14+1,0),0)</f>
        <v/>
      </c>
      <c r="E1512" s="183">
        <f>IFERROR(VLOOKUP($B1512,calc_data,E$14+1,0),0)</f>
        <v/>
      </c>
      <c r="F1512" s="182">
        <f>IFERROR(VLOOKUP($B1512,calc_data,F$14+1,0),0)</f>
        <v/>
      </c>
      <c r="G1512" s="141">
        <f>IFERROR(VLOOKUP($B1512,calc_data,G$14+1,0),0)</f>
        <v/>
      </c>
      <c r="H1512" s="141">
        <f>IFERROR(VLOOKUP($B1512,calc_data,H$14+1,0),0)</f>
        <v/>
      </c>
      <c r="I1512" s="142">
        <f>IFERROR(VLOOKUP($B1512,calc_data,I$14+1,0),0)</f>
        <v/>
      </c>
      <c r="J1512" s="141">
        <f>IFERROR(VLOOKUP($B1512,calc_data,J$14+1,0),0)</f>
        <v/>
      </c>
      <c r="K1512" s="141">
        <f>IFERROR(VLOOKUP($B1512,calc_data,K$14+1,0),0)</f>
        <v/>
      </c>
      <c r="L1512" s="141">
        <f>IFERROR(VLOOKUP($B1512,calc_data,L$14+1,0),0)</f>
        <v/>
      </c>
      <c r="M1512" s="177">
        <f>IFERROR(VLOOKUP($B1512,calc_data,M$14+1,0),0)</f>
        <v/>
      </c>
      <c r="N1512" s="177">
        <f>IFERROR(VLOOKUP($B1512,calc_data,N$14+1,0),0)</f>
        <v/>
      </c>
      <c r="O1512" s="45" t="n"/>
      <c r="Q1512" s="57">
        <f>IF(K1512&gt;0,"показать","скрыть")</f>
        <v/>
      </c>
    </row>
    <row r="1513" ht="15.75" customHeight="1">
      <c r="B1513" s="182" t="n">
        <v>1497</v>
      </c>
      <c r="C1513" s="182">
        <f>IFERROR(VLOOKUP($B1513,calc_data,C$14+1,0),0)</f>
        <v/>
      </c>
      <c r="D1513" s="182">
        <f>IFERROR(VLOOKUP($B1513,calc_data,D$14+1,0),0)</f>
        <v/>
      </c>
      <c r="E1513" s="183">
        <f>IFERROR(VLOOKUP($B1513,calc_data,E$14+1,0),0)</f>
        <v/>
      </c>
      <c r="F1513" s="182">
        <f>IFERROR(VLOOKUP($B1513,calc_data,F$14+1,0),0)</f>
        <v/>
      </c>
      <c r="G1513" s="141">
        <f>IFERROR(VLOOKUP($B1513,calc_data,G$14+1,0),0)</f>
        <v/>
      </c>
      <c r="H1513" s="141">
        <f>IFERROR(VLOOKUP($B1513,calc_data,H$14+1,0),0)</f>
        <v/>
      </c>
      <c r="I1513" s="142">
        <f>IFERROR(VLOOKUP($B1513,calc_data,I$14+1,0),0)</f>
        <v/>
      </c>
      <c r="J1513" s="141">
        <f>IFERROR(VLOOKUP($B1513,calc_data,J$14+1,0),0)</f>
        <v/>
      </c>
      <c r="K1513" s="141">
        <f>IFERROR(VLOOKUP($B1513,calc_data,K$14+1,0),0)</f>
        <v/>
      </c>
      <c r="L1513" s="141">
        <f>IFERROR(VLOOKUP($B1513,calc_data,L$14+1,0),0)</f>
        <v/>
      </c>
      <c r="M1513" s="177">
        <f>IFERROR(VLOOKUP($B1513,calc_data,M$14+1,0),0)</f>
        <v/>
      </c>
      <c r="N1513" s="177">
        <f>IFERROR(VLOOKUP($B1513,calc_data,N$14+1,0),0)</f>
        <v/>
      </c>
      <c r="O1513" s="45" t="n"/>
      <c r="Q1513" s="57">
        <f>IF(K1513&gt;0,"показать","скрыть")</f>
        <v/>
      </c>
    </row>
    <row r="1514" ht="15.75" customHeight="1">
      <c r="B1514" s="182" t="n">
        <v>1498</v>
      </c>
      <c r="C1514" s="182">
        <f>IFERROR(VLOOKUP($B1514,calc_data,C$14+1,0),0)</f>
        <v/>
      </c>
      <c r="D1514" s="182">
        <f>IFERROR(VLOOKUP($B1514,calc_data,D$14+1,0),0)</f>
        <v/>
      </c>
      <c r="E1514" s="183">
        <f>IFERROR(VLOOKUP($B1514,calc_data,E$14+1,0),0)</f>
        <v/>
      </c>
      <c r="F1514" s="182">
        <f>IFERROR(VLOOKUP($B1514,calc_data,F$14+1,0),0)</f>
        <v/>
      </c>
      <c r="G1514" s="141">
        <f>IFERROR(VLOOKUP($B1514,calc_data,G$14+1,0),0)</f>
        <v/>
      </c>
      <c r="H1514" s="141">
        <f>IFERROR(VLOOKUP($B1514,calc_data,H$14+1,0),0)</f>
        <v/>
      </c>
      <c r="I1514" s="142">
        <f>IFERROR(VLOOKUP($B1514,calc_data,I$14+1,0),0)</f>
        <v/>
      </c>
      <c r="J1514" s="141">
        <f>IFERROR(VLOOKUP($B1514,calc_data,J$14+1,0),0)</f>
        <v/>
      </c>
      <c r="K1514" s="141">
        <f>IFERROR(VLOOKUP($B1514,calc_data,K$14+1,0),0)</f>
        <v/>
      </c>
      <c r="L1514" s="141">
        <f>IFERROR(VLOOKUP($B1514,calc_data,L$14+1,0),0)</f>
        <v/>
      </c>
      <c r="M1514" s="177">
        <f>IFERROR(VLOOKUP($B1514,calc_data,M$14+1,0),0)</f>
        <v/>
      </c>
      <c r="N1514" s="177">
        <f>IFERROR(VLOOKUP($B1514,calc_data,N$14+1,0),0)</f>
        <v/>
      </c>
      <c r="O1514" s="45" t="n"/>
      <c r="Q1514" s="57">
        <f>IF(K1514&gt;0,"показать","скрыть")</f>
        <v/>
      </c>
    </row>
    <row r="1515" ht="15.75" customHeight="1">
      <c r="B1515" s="182" t="n">
        <v>1499</v>
      </c>
      <c r="C1515" s="182">
        <f>IFERROR(VLOOKUP($B1515,calc_data,C$14+1,0),0)</f>
        <v/>
      </c>
      <c r="D1515" s="182">
        <f>IFERROR(VLOOKUP($B1515,calc_data,D$14+1,0),0)</f>
        <v/>
      </c>
      <c r="E1515" s="183">
        <f>IFERROR(VLOOKUP($B1515,calc_data,E$14+1,0),0)</f>
        <v/>
      </c>
      <c r="F1515" s="182">
        <f>IFERROR(VLOOKUP($B1515,calc_data,F$14+1,0),0)</f>
        <v/>
      </c>
      <c r="G1515" s="141">
        <f>IFERROR(VLOOKUP($B1515,calc_data,G$14+1,0),0)</f>
        <v/>
      </c>
      <c r="H1515" s="141">
        <f>IFERROR(VLOOKUP($B1515,calc_data,H$14+1,0),0)</f>
        <v/>
      </c>
      <c r="I1515" s="142">
        <f>IFERROR(VLOOKUP($B1515,calc_data,I$14+1,0),0)</f>
        <v/>
      </c>
      <c r="J1515" s="141">
        <f>IFERROR(VLOOKUP($B1515,calc_data,J$14+1,0),0)</f>
        <v/>
      </c>
      <c r="K1515" s="141">
        <f>IFERROR(VLOOKUP($B1515,calc_data,K$14+1,0),0)</f>
        <v/>
      </c>
      <c r="L1515" s="141">
        <f>IFERROR(VLOOKUP($B1515,calc_data,L$14+1,0),0)</f>
        <v/>
      </c>
      <c r="M1515" s="177">
        <f>IFERROR(VLOOKUP($B1515,calc_data,M$14+1,0),0)</f>
        <v/>
      </c>
      <c r="N1515" s="177">
        <f>IFERROR(VLOOKUP($B1515,calc_data,N$14+1,0),0)</f>
        <v/>
      </c>
      <c r="O1515" s="45" t="n"/>
      <c r="Q1515" s="57">
        <f>IF(K1515&gt;0,"показать","скрыть")</f>
        <v/>
      </c>
    </row>
    <row r="1516" ht="15.75" customHeight="1">
      <c r="B1516" s="182" t="n">
        <v>1500</v>
      </c>
      <c r="C1516" s="182">
        <f>IFERROR(VLOOKUP($B1516,calc_data,C$14+1,0),0)</f>
        <v/>
      </c>
      <c r="D1516" s="182">
        <f>IFERROR(VLOOKUP($B1516,calc_data,D$14+1,0),0)</f>
        <v/>
      </c>
      <c r="E1516" s="183">
        <f>IFERROR(VLOOKUP($B1516,calc_data,E$14+1,0),0)</f>
        <v/>
      </c>
      <c r="F1516" s="182">
        <f>IFERROR(VLOOKUP($B1516,calc_data,F$14+1,0),0)</f>
        <v/>
      </c>
      <c r="G1516" s="141">
        <f>IFERROR(VLOOKUP($B1516,calc_data,G$14+1,0),0)</f>
        <v/>
      </c>
      <c r="H1516" s="141">
        <f>IFERROR(VLOOKUP($B1516,calc_data,H$14+1,0),0)</f>
        <v/>
      </c>
      <c r="I1516" s="142">
        <f>IFERROR(VLOOKUP($B1516,calc_data,I$14+1,0),0)</f>
        <v/>
      </c>
      <c r="J1516" s="141">
        <f>IFERROR(VLOOKUP($B1516,calc_data,J$14+1,0),0)</f>
        <v/>
      </c>
      <c r="K1516" s="141">
        <f>IFERROR(VLOOKUP($B1516,calc_data,K$14+1,0),0)</f>
        <v/>
      </c>
      <c r="L1516" s="141">
        <f>IFERROR(VLOOKUP($B1516,calc_data,L$14+1,0),0)</f>
        <v/>
      </c>
      <c r="M1516" s="177">
        <f>IFERROR(VLOOKUP($B1516,calc_data,M$14+1,0),0)</f>
        <v/>
      </c>
      <c r="N1516" s="177">
        <f>IFERROR(VLOOKUP($B1516,calc_data,N$14+1,0),0)</f>
        <v/>
      </c>
      <c r="O1516" s="45" t="n"/>
      <c r="Q1516" s="57">
        <f>IF(K1516&gt;0,"показать","скрыть")</f>
        <v/>
      </c>
    </row>
    <row r="1517" ht="15.75" customHeight="1">
      <c r="B1517" s="182" t="n">
        <v>1501</v>
      </c>
      <c r="C1517" s="182">
        <f>IFERROR(VLOOKUP($B1517,calc_data,C$14+1,0),0)</f>
        <v/>
      </c>
      <c r="D1517" s="182">
        <f>IFERROR(VLOOKUP($B1517,calc_data,D$14+1,0),0)</f>
        <v/>
      </c>
      <c r="E1517" s="183">
        <f>IFERROR(VLOOKUP($B1517,calc_data,E$14+1,0),0)</f>
        <v/>
      </c>
      <c r="F1517" s="182">
        <f>IFERROR(VLOOKUP($B1517,calc_data,F$14+1,0),0)</f>
        <v/>
      </c>
      <c r="G1517" s="141">
        <f>IFERROR(VLOOKUP($B1517,calc_data,G$14+1,0),0)</f>
        <v/>
      </c>
      <c r="H1517" s="141">
        <f>IFERROR(VLOOKUP($B1517,calc_data,H$14+1,0),0)</f>
        <v/>
      </c>
      <c r="I1517" s="142">
        <f>IFERROR(VLOOKUP($B1517,calc_data,I$14+1,0),0)</f>
        <v/>
      </c>
      <c r="J1517" s="141">
        <f>IFERROR(VLOOKUP($B1517,calc_data,J$14+1,0),0)</f>
        <v/>
      </c>
      <c r="K1517" s="141">
        <f>IFERROR(VLOOKUP($B1517,calc_data,K$14+1,0),0)</f>
        <v/>
      </c>
      <c r="L1517" s="141">
        <f>IFERROR(VLOOKUP($B1517,calc_data,L$14+1,0),0)</f>
        <v/>
      </c>
      <c r="M1517" s="177">
        <f>IFERROR(VLOOKUP($B1517,calc_data,M$14+1,0),0)</f>
        <v/>
      </c>
      <c r="N1517" s="177">
        <f>IFERROR(VLOOKUP($B1517,calc_data,N$14+1,0),0)</f>
        <v/>
      </c>
      <c r="O1517" s="45" t="n"/>
      <c r="Q1517" s="57">
        <f>IF(K1517&gt;0,"показать","скрыть")</f>
        <v/>
      </c>
    </row>
    <row r="1518" ht="15.75" customHeight="1">
      <c r="B1518" s="182" t="n">
        <v>1502</v>
      </c>
      <c r="C1518" s="182">
        <f>IFERROR(VLOOKUP($B1518,calc_data,C$14+1,0),0)</f>
        <v/>
      </c>
      <c r="D1518" s="182">
        <f>IFERROR(VLOOKUP($B1518,calc_data,D$14+1,0),0)</f>
        <v/>
      </c>
      <c r="E1518" s="183">
        <f>IFERROR(VLOOKUP($B1518,calc_data,E$14+1,0),0)</f>
        <v/>
      </c>
      <c r="F1518" s="182">
        <f>IFERROR(VLOOKUP($B1518,calc_data,F$14+1,0),0)</f>
        <v/>
      </c>
      <c r="G1518" s="141">
        <f>IFERROR(VLOOKUP($B1518,calc_data,G$14+1,0),0)</f>
        <v/>
      </c>
      <c r="H1518" s="141">
        <f>IFERROR(VLOOKUP($B1518,calc_data,H$14+1,0),0)</f>
        <v/>
      </c>
      <c r="I1518" s="142">
        <f>IFERROR(VLOOKUP($B1518,calc_data,I$14+1,0),0)</f>
        <v/>
      </c>
      <c r="J1518" s="141">
        <f>IFERROR(VLOOKUP($B1518,calc_data,J$14+1,0),0)</f>
        <v/>
      </c>
      <c r="K1518" s="141">
        <f>IFERROR(VLOOKUP($B1518,calc_data,K$14+1,0),0)</f>
        <v/>
      </c>
      <c r="L1518" s="141">
        <f>IFERROR(VLOOKUP($B1518,calc_data,L$14+1,0),0)</f>
        <v/>
      </c>
      <c r="M1518" s="177">
        <f>IFERROR(VLOOKUP($B1518,calc_data,M$14+1,0),0)</f>
        <v/>
      </c>
      <c r="N1518" s="177">
        <f>IFERROR(VLOOKUP($B1518,calc_data,N$14+1,0),0)</f>
        <v/>
      </c>
      <c r="O1518" s="45" t="n"/>
      <c r="Q1518" s="57">
        <f>IF(K1518&gt;0,"показать","скрыть")</f>
        <v/>
      </c>
    </row>
    <row r="1519" ht="15.75" customHeight="1">
      <c r="B1519" s="182" t="n">
        <v>1503</v>
      </c>
      <c r="C1519" s="182">
        <f>IFERROR(VLOOKUP($B1519,calc_data,C$14+1,0),0)</f>
        <v/>
      </c>
      <c r="D1519" s="182">
        <f>IFERROR(VLOOKUP($B1519,calc_data,D$14+1,0),0)</f>
        <v/>
      </c>
      <c r="E1519" s="183">
        <f>IFERROR(VLOOKUP($B1519,calc_data,E$14+1,0),0)</f>
        <v/>
      </c>
      <c r="F1519" s="182">
        <f>IFERROR(VLOOKUP($B1519,calc_data,F$14+1,0),0)</f>
        <v/>
      </c>
      <c r="G1519" s="141">
        <f>IFERROR(VLOOKUP($B1519,calc_data,G$14+1,0),0)</f>
        <v/>
      </c>
      <c r="H1519" s="141">
        <f>IFERROR(VLOOKUP($B1519,calc_data,H$14+1,0),0)</f>
        <v/>
      </c>
      <c r="I1519" s="142">
        <f>IFERROR(VLOOKUP($B1519,calc_data,I$14+1,0),0)</f>
        <v/>
      </c>
      <c r="J1519" s="141">
        <f>IFERROR(VLOOKUP($B1519,calc_data,J$14+1,0),0)</f>
        <v/>
      </c>
      <c r="K1519" s="141">
        <f>IFERROR(VLOOKUP($B1519,calc_data,K$14+1,0),0)</f>
        <v/>
      </c>
      <c r="L1519" s="141">
        <f>IFERROR(VLOOKUP($B1519,calc_data,L$14+1,0),0)</f>
        <v/>
      </c>
      <c r="M1519" s="177">
        <f>IFERROR(VLOOKUP($B1519,calc_data,M$14+1,0),0)</f>
        <v/>
      </c>
      <c r="N1519" s="177">
        <f>IFERROR(VLOOKUP($B1519,calc_data,N$14+1,0),0)</f>
        <v/>
      </c>
      <c r="O1519" s="45" t="n"/>
      <c r="Q1519" s="57">
        <f>IF(K1519&gt;0,"показать","скрыть")</f>
        <v/>
      </c>
    </row>
    <row r="1520" ht="15.75" customHeight="1">
      <c r="B1520" s="182" t="n">
        <v>1504</v>
      </c>
      <c r="C1520" s="182">
        <f>IFERROR(VLOOKUP($B1520,calc_data,C$14+1,0),0)</f>
        <v/>
      </c>
      <c r="D1520" s="182">
        <f>IFERROR(VLOOKUP($B1520,calc_data,D$14+1,0),0)</f>
        <v/>
      </c>
      <c r="E1520" s="183">
        <f>IFERROR(VLOOKUP($B1520,calc_data,E$14+1,0),0)</f>
        <v/>
      </c>
      <c r="F1520" s="182">
        <f>IFERROR(VLOOKUP($B1520,calc_data,F$14+1,0),0)</f>
        <v/>
      </c>
      <c r="G1520" s="141">
        <f>IFERROR(VLOOKUP($B1520,calc_data,G$14+1,0),0)</f>
        <v/>
      </c>
      <c r="H1520" s="141">
        <f>IFERROR(VLOOKUP($B1520,calc_data,H$14+1,0),0)</f>
        <v/>
      </c>
      <c r="I1520" s="142">
        <f>IFERROR(VLOOKUP($B1520,calc_data,I$14+1,0),0)</f>
        <v/>
      </c>
      <c r="J1520" s="141">
        <f>IFERROR(VLOOKUP($B1520,calc_data,J$14+1,0),0)</f>
        <v/>
      </c>
      <c r="K1520" s="141">
        <f>IFERROR(VLOOKUP($B1520,calc_data,K$14+1,0),0)</f>
        <v/>
      </c>
      <c r="L1520" s="141">
        <f>IFERROR(VLOOKUP($B1520,calc_data,L$14+1,0),0)</f>
        <v/>
      </c>
      <c r="M1520" s="177">
        <f>IFERROR(VLOOKUP($B1520,calc_data,M$14+1,0),0)</f>
        <v/>
      </c>
      <c r="N1520" s="177">
        <f>IFERROR(VLOOKUP($B1520,calc_data,N$14+1,0),0)</f>
        <v/>
      </c>
      <c r="O1520" s="45" t="n"/>
      <c r="Q1520" s="57">
        <f>IF(K1520&gt;0,"показать","скрыть")</f>
        <v/>
      </c>
    </row>
    <row r="1521" ht="15.75" customHeight="1">
      <c r="B1521" s="182" t="n">
        <v>1505</v>
      </c>
      <c r="C1521" s="182">
        <f>IFERROR(VLOOKUP($B1521,calc_data,C$14+1,0),0)</f>
        <v/>
      </c>
      <c r="D1521" s="182">
        <f>IFERROR(VLOOKUP($B1521,calc_data,D$14+1,0),0)</f>
        <v/>
      </c>
      <c r="E1521" s="183">
        <f>IFERROR(VLOOKUP($B1521,calc_data,E$14+1,0),0)</f>
        <v/>
      </c>
      <c r="F1521" s="182">
        <f>IFERROR(VLOOKUP($B1521,calc_data,F$14+1,0),0)</f>
        <v/>
      </c>
      <c r="G1521" s="141">
        <f>IFERROR(VLOOKUP($B1521,calc_data,G$14+1,0),0)</f>
        <v/>
      </c>
      <c r="H1521" s="141">
        <f>IFERROR(VLOOKUP($B1521,calc_data,H$14+1,0),0)</f>
        <v/>
      </c>
      <c r="I1521" s="142">
        <f>IFERROR(VLOOKUP($B1521,calc_data,I$14+1,0),0)</f>
        <v/>
      </c>
      <c r="J1521" s="141">
        <f>IFERROR(VLOOKUP($B1521,calc_data,J$14+1,0),0)</f>
        <v/>
      </c>
      <c r="K1521" s="141">
        <f>IFERROR(VLOOKUP($B1521,calc_data,K$14+1,0),0)</f>
        <v/>
      </c>
      <c r="L1521" s="141">
        <f>IFERROR(VLOOKUP($B1521,calc_data,L$14+1,0),0)</f>
        <v/>
      </c>
      <c r="M1521" s="177">
        <f>IFERROR(VLOOKUP($B1521,calc_data,M$14+1,0),0)</f>
        <v/>
      </c>
      <c r="N1521" s="177">
        <f>IFERROR(VLOOKUP($B1521,calc_data,N$14+1,0),0)</f>
        <v/>
      </c>
      <c r="O1521" s="45" t="n"/>
      <c r="Q1521" s="57">
        <f>IF(K1521&gt;0,"показать","скрыть")</f>
        <v/>
      </c>
    </row>
    <row r="1522" ht="15.75" customHeight="1">
      <c r="B1522" s="182" t="n">
        <v>1506</v>
      </c>
      <c r="C1522" s="182">
        <f>IFERROR(VLOOKUP($B1522,calc_data,C$14+1,0),0)</f>
        <v/>
      </c>
      <c r="D1522" s="182">
        <f>IFERROR(VLOOKUP($B1522,calc_data,D$14+1,0),0)</f>
        <v/>
      </c>
      <c r="E1522" s="183">
        <f>IFERROR(VLOOKUP($B1522,calc_data,E$14+1,0),0)</f>
        <v/>
      </c>
      <c r="F1522" s="182">
        <f>IFERROR(VLOOKUP($B1522,calc_data,F$14+1,0),0)</f>
        <v/>
      </c>
      <c r="G1522" s="141">
        <f>IFERROR(VLOOKUP($B1522,calc_data,G$14+1,0),0)</f>
        <v/>
      </c>
      <c r="H1522" s="141">
        <f>IFERROR(VLOOKUP($B1522,calc_data,H$14+1,0),0)</f>
        <v/>
      </c>
      <c r="I1522" s="142">
        <f>IFERROR(VLOOKUP($B1522,calc_data,I$14+1,0),0)</f>
        <v/>
      </c>
      <c r="J1522" s="141">
        <f>IFERROR(VLOOKUP($B1522,calc_data,J$14+1,0),0)</f>
        <v/>
      </c>
      <c r="K1522" s="141">
        <f>IFERROR(VLOOKUP($B1522,calc_data,K$14+1,0),0)</f>
        <v/>
      </c>
      <c r="L1522" s="141">
        <f>IFERROR(VLOOKUP($B1522,calc_data,L$14+1,0),0)</f>
        <v/>
      </c>
      <c r="M1522" s="177">
        <f>IFERROR(VLOOKUP($B1522,calc_data,M$14+1,0),0)</f>
        <v/>
      </c>
      <c r="N1522" s="177">
        <f>IFERROR(VLOOKUP($B1522,calc_data,N$14+1,0),0)</f>
        <v/>
      </c>
      <c r="O1522" s="45" t="n"/>
      <c r="Q1522" s="57">
        <f>IF(K1522&gt;0,"показать","скрыть")</f>
        <v/>
      </c>
    </row>
    <row r="1523" ht="15.75" customHeight="1">
      <c r="B1523" s="182" t="n">
        <v>1507</v>
      </c>
      <c r="C1523" s="182">
        <f>IFERROR(VLOOKUP($B1523,calc_data,C$14+1,0),0)</f>
        <v/>
      </c>
      <c r="D1523" s="182">
        <f>IFERROR(VLOOKUP($B1523,calc_data,D$14+1,0),0)</f>
        <v/>
      </c>
      <c r="E1523" s="183">
        <f>IFERROR(VLOOKUP($B1523,calc_data,E$14+1,0),0)</f>
        <v/>
      </c>
      <c r="F1523" s="182">
        <f>IFERROR(VLOOKUP($B1523,calc_data,F$14+1,0),0)</f>
        <v/>
      </c>
      <c r="G1523" s="141">
        <f>IFERROR(VLOOKUP($B1523,calc_data,G$14+1,0),0)</f>
        <v/>
      </c>
      <c r="H1523" s="141">
        <f>IFERROR(VLOOKUP($B1523,calc_data,H$14+1,0),0)</f>
        <v/>
      </c>
      <c r="I1523" s="142">
        <f>IFERROR(VLOOKUP($B1523,calc_data,I$14+1,0),0)</f>
        <v/>
      </c>
      <c r="J1523" s="141">
        <f>IFERROR(VLOOKUP($B1523,calc_data,J$14+1,0),0)</f>
        <v/>
      </c>
      <c r="K1523" s="141">
        <f>IFERROR(VLOOKUP($B1523,calc_data,K$14+1,0),0)</f>
        <v/>
      </c>
      <c r="L1523" s="141">
        <f>IFERROR(VLOOKUP($B1523,calc_data,L$14+1,0),0)</f>
        <v/>
      </c>
      <c r="M1523" s="177">
        <f>IFERROR(VLOOKUP($B1523,calc_data,M$14+1,0),0)</f>
        <v/>
      </c>
      <c r="N1523" s="177">
        <f>IFERROR(VLOOKUP($B1523,calc_data,N$14+1,0),0)</f>
        <v/>
      </c>
      <c r="O1523" s="45" t="n"/>
      <c r="Q1523" s="57">
        <f>IF(K1523&gt;0,"показать","скрыть")</f>
        <v/>
      </c>
    </row>
    <row r="1524" ht="15.75" customHeight="1">
      <c r="B1524" s="182" t="n">
        <v>1508</v>
      </c>
      <c r="C1524" s="182">
        <f>IFERROR(VLOOKUP($B1524,calc_data,C$14+1,0),0)</f>
        <v/>
      </c>
      <c r="D1524" s="182">
        <f>IFERROR(VLOOKUP($B1524,calc_data,D$14+1,0),0)</f>
        <v/>
      </c>
      <c r="E1524" s="183">
        <f>IFERROR(VLOOKUP($B1524,calc_data,E$14+1,0),0)</f>
        <v/>
      </c>
      <c r="F1524" s="182">
        <f>IFERROR(VLOOKUP($B1524,calc_data,F$14+1,0),0)</f>
        <v/>
      </c>
      <c r="G1524" s="141">
        <f>IFERROR(VLOOKUP($B1524,calc_data,G$14+1,0),0)</f>
        <v/>
      </c>
      <c r="H1524" s="141">
        <f>IFERROR(VLOOKUP($B1524,calc_data,H$14+1,0),0)</f>
        <v/>
      </c>
      <c r="I1524" s="142">
        <f>IFERROR(VLOOKUP($B1524,calc_data,I$14+1,0),0)</f>
        <v/>
      </c>
      <c r="J1524" s="141">
        <f>IFERROR(VLOOKUP($B1524,calc_data,J$14+1,0),0)</f>
        <v/>
      </c>
      <c r="K1524" s="141">
        <f>IFERROR(VLOOKUP($B1524,calc_data,K$14+1,0),0)</f>
        <v/>
      </c>
      <c r="L1524" s="141">
        <f>IFERROR(VLOOKUP($B1524,calc_data,L$14+1,0),0)</f>
        <v/>
      </c>
      <c r="M1524" s="177">
        <f>IFERROR(VLOOKUP($B1524,calc_data,M$14+1,0),0)</f>
        <v/>
      </c>
      <c r="N1524" s="177">
        <f>IFERROR(VLOOKUP($B1524,calc_data,N$14+1,0),0)</f>
        <v/>
      </c>
      <c r="O1524" s="45" t="n"/>
      <c r="Q1524" s="57">
        <f>IF(K1524&gt;0,"показать","скрыть")</f>
        <v/>
      </c>
    </row>
    <row r="1525" ht="15.75" customHeight="1">
      <c r="B1525" s="182" t="n">
        <v>1509</v>
      </c>
      <c r="C1525" s="182">
        <f>IFERROR(VLOOKUP($B1525,calc_data,C$14+1,0),0)</f>
        <v/>
      </c>
      <c r="D1525" s="182">
        <f>IFERROR(VLOOKUP($B1525,calc_data,D$14+1,0),0)</f>
        <v/>
      </c>
      <c r="E1525" s="183">
        <f>IFERROR(VLOOKUP($B1525,calc_data,E$14+1,0),0)</f>
        <v/>
      </c>
      <c r="F1525" s="182">
        <f>IFERROR(VLOOKUP($B1525,calc_data,F$14+1,0),0)</f>
        <v/>
      </c>
      <c r="G1525" s="141">
        <f>IFERROR(VLOOKUP($B1525,calc_data,G$14+1,0),0)</f>
        <v/>
      </c>
      <c r="H1525" s="141">
        <f>IFERROR(VLOOKUP($B1525,calc_data,H$14+1,0),0)</f>
        <v/>
      </c>
      <c r="I1525" s="142">
        <f>IFERROR(VLOOKUP($B1525,calc_data,I$14+1,0),0)</f>
        <v/>
      </c>
      <c r="J1525" s="141">
        <f>IFERROR(VLOOKUP($B1525,calc_data,J$14+1,0),0)</f>
        <v/>
      </c>
      <c r="K1525" s="141">
        <f>IFERROR(VLOOKUP($B1525,calc_data,K$14+1,0),0)</f>
        <v/>
      </c>
      <c r="L1525" s="141">
        <f>IFERROR(VLOOKUP($B1525,calc_data,L$14+1,0),0)</f>
        <v/>
      </c>
      <c r="M1525" s="177">
        <f>IFERROR(VLOOKUP($B1525,calc_data,M$14+1,0),0)</f>
        <v/>
      </c>
      <c r="N1525" s="177">
        <f>IFERROR(VLOOKUP($B1525,calc_data,N$14+1,0),0)</f>
        <v/>
      </c>
      <c r="O1525" s="45" t="n"/>
      <c r="Q1525" s="57">
        <f>IF(K1525&gt;0,"показать","скрыть")</f>
        <v/>
      </c>
    </row>
    <row r="1526" ht="15.75" customHeight="1">
      <c r="B1526" s="182" t="n">
        <v>1510</v>
      </c>
      <c r="C1526" s="182">
        <f>IFERROR(VLOOKUP($B1526,calc_data,C$14+1,0),0)</f>
        <v/>
      </c>
      <c r="D1526" s="182">
        <f>IFERROR(VLOOKUP($B1526,calc_data,D$14+1,0),0)</f>
        <v/>
      </c>
      <c r="E1526" s="183">
        <f>IFERROR(VLOOKUP($B1526,calc_data,E$14+1,0),0)</f>
        <v/>
      </c>
      <c r="F1526" s="182">
        <f>IFERROR(VLOOKUP($B1526,calc_data,F$14+1,0),0)</f>
        <v/>
      </c>
      <c r="G1526" s="141">
        <f>IFERROR(VLOOKUP($B1526,calc_data,G$14+1,0),0)</f>
        <v/>
      </c>
      <c r="H1526" s="141">
        <f>IFERROR(VLOOKUP($B1526,calc_data,H$14+1,0),0)</f>
        <v/>
      </c>
      <c r="I1526" s="142">
        <f>IFERROR(VLOOKUP($B1526,calc_data,I$14+1,0),0)</f>
        <v/>
      </c>
      <c r="J1526" s="141">
        <f>IFERROR(VLOOKUP($B1526,calc_data,J$14+1,0),0)</f>
        <v/>
      </c>
      <c r="K1526" s="141">
        <f>IFERROR(VLOOKUP($B1526,calc_data,K$14+1,0),0)</f>
        <v/>
      </c>
      <c r="L1526" s="141">
        <f>IFERROR(VLOOKUP($B1526,calc_data,L$14+1,0),0)</f>
        <v/>
      </c>
      <c r="M1526" s="177">
        <f>IFERROR(VLOOKUP($B1526,calc_data,M$14+1,0),0)</f>
        <v/>
      </c>
      <c r="N1526" s="177">
        <f>IFERROR(VLOOKUP($B1526,calc_data,N$14+1,0),0)</f>
        <v/>
      </c>
      <c r="O1526" s="45" t="n"/>
      <c r="Q1526" s="57">
        <f>IF(K1526&gt;0,"показать","скрыть")</f>
        <v/>
      </c>
    </row>
    <row r="1527" ht="15.75" customHeight="1">
      <c r="B1527" s="182" t="n">
        <v>1511</v>
      </c>
      <c r="C1527" s="182">
        <f>IFERROR(VLOOKUP($B1527,calc_data,C$14+1,0),0)</f>
        <v/>
      </c>
      <c r="D1527" s="182">
        <f>IFERROR(VLOOKUP($B1527,calc_data,D$14+1,0),0)</f>
        <v/>
      </c>
      <c r="E1527" s="183">
        <f>IFERROR(VLOOKUP($B1527,calc_data,E$14+1,0),0)</f>
        <v/>
      </c>
      <c r="F1527" s="182">
        <f>IFERROR(VLOOKUP($B1527,calc_data,F$14+1,0),0)</f>
        <v/>
      </c>
      <c r="G1527" s="141">
        <f>IFERROR(VLOOKUP($B1527,calc_data,G$14+1,0),0)</f>
        <v/>
      </c>
      <c r="H1527" s="141">
        <f>IFERROR(VLOOKUP($B1527,calc_data,H$14+1,0),0)</f>
        <v/>
      </c>
      <c r="I1527" s="142">
        <f>IFERROR(VLOOKUP($B1527,calc_data,I$14+1,0),0)</f>
        <v/>
      </c>
      <c r="J1527" s="141">
        <f>IFERROR(VLOOKUP($B1527,calc_data,J$14+1,0),0)</f>
        <v/>
      </c>
      <c r="K1527" s="141">
        <f>IFERROR(VLOOKUP($B1527,calc_data,K$14+1,0),0)</f>
        <v/>
      </c>
      <c r="L1527" s="141">
        <f>IFERROR(VLOOKUP($B1527,calc_data,L$14+1,0),0)</f>
        <v/>
      </c>
      <c r="M1527" s="177">
        <f>IFERROR(VLOOKUP($B1527,calc_data,M$14+1,0),0)</f>
        <v/>
      </c>
      <c r="N1527" s="177">
        <f>IFERROR(VLOOKUP($B1527,calc_data,N$14+1,0),0)</f>
        <v/>
      </c>
      <c r="O1527" s="45" t="n"/>
      <c r="Q1527" s="57">
        <f>IF(K1527&gt;0,"показать","скрыть")</f>
        <v/>
      </c>
    </row>
    <row r="1528" ht="15.75" customHeight="1">
      <c r="B1528" s="182" t="n">
        <v>1512</v>
      </c>
      <c r="C1528" s="182">
        <f>IFERROR(VLOOKUP($B1528,calc_data,C$14+1,0),0)</f>
        <v/>
      </c>
      <c r="D1528" s="182">
        <f>IFERROR(VLOOKUP($B1528,calc_data,D$14+1,0),0)</f>
        <v/>
      </c>
      <c r="E1528" s="183">
        <f>IFERROR(VLOOKUP($B1528,calc_data,E$14+1,0),0)</f>
        <v/>
      </c>
      <c r="F1528" s="182">
        <f>IFERROR(VLOOKUP($B1528,calc_data,F$14+1,0),0)</f>
        <v/>
      </c>
      <c r="G1528" s="141">
        <f>IFERROR(VLOOKUP($B1528,calc_data,G$14+1,0),0)</f>
        <v/>
      </c>
      <c r="H1528" s="141">
        <f>IFERROR(VLOOKUP($B1528,calc_data,H$14+1,0),0)</f>
        <v/>
      </c>
      <c r="I1528" s="142">
        <f>IFERROR(VLOOKUP($B1528,calc_data,I$14+1,0),0)</f>
        <v/>
      </c>
      <c r="J1528" s="141">
        <f>IFERROR(VLOOKUP($B1528,calc_data,J$14+1,0),0)</f>
        <v/>
      </c>
      <c r="K1528" s="141">
        <f>IFERROR(VLOOKUP($B1528,calc_data,K$14+1,0),0)</f>
        <v/>
      </c>
      <c r="L1528" s="141">
        <f>IFERROR(VLOOKUP($B1528,calc_data,L$14+1,0),0)</f>
        <v/>
      </c>
      <c r="M1528" s="177">
        <f>IFERROR(VLOOKUP($B1528,calc_data,M$14+1,0),0)</f>
        <v/>
      </c>
      <c r="N1528" s="177">
        <f>IFERROR(VLOOKUP($B1528,calc_data,N$14+1,0),0)</f>
        <v/>
      </c>
      <c r="O1528" s="45" t="n"/>
      <c r="Q1528" s="57">
        <f>IF(K1528&gt;0,"показать","скрыть")</f>
        <v/>
      </c>
    </row>
    <row r="1529" ht="15.75" customHeight="1">
      <c r="B1529" s="182" t="n">
        <v>1513</v>
      </c>
      <c r="C1529" s="182">
        <f>IFERROR(VLOOKUP($B1529,calc_data,C$14+1,0),0)</f>
        <v/>
      </c>
      <c r="D1529" s="182">
        <f>IFERROR(VLOOKUP($B1529,calc_data,D$14+1,0),0)</f>
        <v/>
      </c>
      <c r="E1529" s="183">
        <f>IFERROR(VLOOKUP($B1529,calc_data,E$14+1,0),0)</f>
        <v/>
      </c>
      <c r="F1529" s="182">
        <f>IFERROR(VLOOKUP($B1529,calc_data,F$14+1,0),0)</f>
        <v/>
      </c>
      <c r="G1529" s="141">
        <f>IFERROR(VLOOKUP($B1529,calc_data,G$14+1,0),0)</f>
        <v/>
      </c>
      <c r="H1529" s="141">
        <f>IFERROR(VLOOKUP($B1529,calc_data,H$14+1,0),0)</f>
        <v/>
      </c>
      <c r="I1529" s="142">
        <f>IFERROR(VLOOKUP($B1529,calc_data,I$14+1,0),0)</f>
        <v/>
      </c>
      <c r="J1529" s="141">
        <f>IFERROR(VLOOKUP($B1529,calc_data,J$14+1,0),0)</f>
        <v/>
      </c>
      <c r="K1529" s="141">
        <f>IFERROR(VLOOKUP($B1529,calc_data,K$14+1,0),0)</f>
        <v/>
      </c>
      <c r="L1529" s="141">
        <f>IFERROR(VLOOKUP($B1529,calc_data,L$14+1,0),0)</f>
        <v/>
      </c>
      <c r="M1529" s="177">
        <f>IFERROR(VLOOKUP($B1529,calc_data,M$14+1,0),0)</f>
        <v/>
      </c>
      <c r="N1529" s="177">
        <f>IFERROR(VLOOKUP($B1529,calc_data,N$14+1,0),0)</f>
        <v/>
      </c>
      <c r="O1529" s="45" t="n"/>
      <c r="Q1529" s="57">
        <f>IF(K1529&gt;0,"показать","скрыть")</f>
        <v/>
      </c>
    </row>
    <row r="1530" ht="15.75" customHeight="1">
      <c r="B1530" s="182" t="n">
        <v>1514</v>
      </c>
      <c r="C1530" s="182">
        <f>IFERROR(VLOOKUP($B1530,calc_data,C$14+1,0),0)</f>
        <v/>
      </c>
      <c r="D1530" s="182">
        <f>IFERROR(VLOOKUP($B1530,calc_data,D$14+1,0),0)</f>
        <v/>
      </c>
      <c r="E1530" s="183">
        <f>IFERROR(VLOOKUP($B1530,calc_data,E$14+1,0),0)</f>
        <v/>
      </c>
      <c r="F1530" s="182">
        <f>IFERROR(VLOOKUP($B1530,calc_data,F$14+1,0),0)</f>
        <v/>
      </c>
      <c r="G1530" s="141">
        <f>IFERROR(VLOOKUP($B1530,calc_data,G$14+1,0),0)</f>
        <v/>
      </c>
      <c r="H1530" s="141">
        <f>IFERROR(VLOOKUP($B1530,calc_data,H$14+1,0),0)</f>
        <v/>
      </c>
      <c r="I1530" s="142">
        <f>IFERROR(VLOOKUP($B1530,calc_data,I$14+1,0),0)</f>
        <v/>
      </c>
      <c r="J1530" s="141">
        <f>IFERROR(VLOOKUP($B1530,calc_data,J$14+1,0),0)</f>
        <v/>
      </c>
      <c r="K1530" s="141">
        <f>IFERROR(VLOOKUP($B1530,calc_data,K$14+1,0),0)</f>
        <v/>
      </c>
      <c r="L1530" s="141">
        <f>IFERROR(VLOOKUP($B1530,calc_data,L$14+1,0),0)</f>
        <v/>
      </c>
      <c r="M1530" s="177">
        <f>IFERROR(VLOOKUP($B1530,calc_data,M$14+1,0),0)</f>
        <v/>
      </c>
      <c r="N1530" s="177">
        <f>IFERROR(VLOOKUP($B1530,calc_data,N$14+1,0),0)</f>
        <v/>
      </c>
      <c r="O1530" s="45" t="n"/>
      <c r="Q1530" s="57">
        <f>IF(K1530&gt;0,"показать","скрыть")</f>
        <v/>
      </c>
    </row>
    <row r="1531" ht="15.75" customHeight="1">
      <c r="B1531" s="182" t="n">
        <v>1515</v>
      </c>
      <c r="C1531" s="182">
        <f>IFERROR(VLOOKUP($B1531,calc_data,C$14+1,0),0)</f>
        <v/>
      </c>
      <c r="D1531" s="182">
        <f>IFERROR(VLOOKUP($B1531,calc_data,D$14+1,0),0)</f>
        <v/>
      </c>
      <c r="E1531" s="183">
        <f>IFERROR(VLOOKUP($B1531,calc_data,E$14+1,0),0)</f>
        <v/>
      </c>
      <c r="F1531" s="182">
        <f>IFERROR(VLOOKUP($B1531,calc_data,F$14+1,0),0)</f>
        <v/>
      </c>
      <c r="G1531" s="141">
        <f>IFERROR(VLOOKUP($B1531,calc_data,G$14+1,0),0)</f>
        <v/>
      </c>
      <c r="H1531" s="141">
        <f>IFERROR(VLOOKUP($B1531,calc_data,H$14+1,0),0)</f>
        <v/>
      </c>
      <c r="I1531" s="142">
        <f>IFERROR(VLOOKUP($B1531,calc_data,I$14+1,0),0)</f>
        <v/>
      </c>
      <c r="J1531" s="141">
        <f>IFERROR(VLOOKUP($B1531,calc_data,J$14+1,0),0)</f>
        <v/>
      </c>
      <c r="K1531" s="141">
        <f>IFERROR(VLOOKUP($B1531,calc_data,K$14+1,0),0)</f>
        <v/>
      </c>
      <c r="L1531" s="141">
        <f>IFERROR(VLOOKUP($B1531,calc_data,L$14+1,0),0)</f>
        <v/>
      </c>
      <c r="M1531" s="177">
        <f>IFERROR(VLOOKUP($B1531,calc_data,M$14+1,0),0)</f>
        <v/>
      </c>
      <c r="N1531" s="177">
        <f>IFERROR(VLOOKUP($B1531,calc_data,N$14+1,0),0)</f>
        <v/>
      </c>
      <c r="O1531" s="45" t="n"/>
      <c r="Q1531" s="57">
        <f>IF(K1531&gt;0,"показать","скрыть")</f>
        <v/>
      </c>
    </row>
    <row r="1532" ht="15.75" customHeight="1">
      <c r="B1532" s="182" t="n">
        <v>1516</v>
      </c>
      <c r="C1532" s="182">
        <f>IFERROR(VLOOKUP($B1532,calc_data,C$14+1,0),0)</f>
        <v/>
      </c>
      <c r="D1532" s="182">
        <f>IFERROR(VLOOKUP($B1532,calc_data,D$14+1,0),0)</f>
        <v/>
      </c>
      <c r="E1532" s="183">
        <f>IFERROR(VLOOKUP($B1532,calc_data,E$14+1,0),0)</f>
        <v/>
      </c>
      <c r="F1532" s="182">
        <f>IFERROR(VLOOKUP($B1532,calc_data,F$14+1,0),0)</f>
        <v/>
      </c>
      <c r="G1532" s="141">
        <f>IFERROR(VLOOKUP($B1532,calc_data,G$14+1,0),0)</f>
        <v/>
      </c>
      <c r="H1532" s="141">
        <f>IFERROR(VLOOKUP($B1532,calc_data,H$14+1,0),0)</f>
        <v/>
      </c>
      <c r="I1532" s="142">
        <f>IFERROR(VLOOKUP($B1532,calc_data,I$14+1,0),0)</f>
        <v/>
      </c>
      <c r="J1532" s="141">
        <f>IFERROR(VLOOKUP($B1532,calc_data,J$14+1,0),0)</f>
        <v/>
      </c>
      <c r="K1532" s="141">
        <f>IFERROR(VLOOKUP($B1532,calc_data,K$14+1,0),0)</f>
        <v/>
      </c>
      <c r="L1532" s="141">
        <f>IFERROR(VLOOKUP($B1532,calc_data,L$14+1,0),0)</f>
        <v/>
      </c>
      <c r="M1532" s="177">
        <f>IFERROR(VLOOKUP($B1532,calc_data,M$14+1,0),0)</f>
        <v/>
      </c>
      <c r="N1532" s="177">
        <f>IFERROR(VLOOKUP($B1532,calc_data,N$14+1,0),0)</f>
        <v/>
      </c>
      <c r="O1532" s="45" t="n"/>
      <c r="Q1532" s="57">
        <f>IF(K1532&gt;0,"показать","скрыть")</f>
        <v/>
      </c>
    </row>
    <row r="1533" ht="15.75" customHeight="1">
      <c r="B1533" s="182" t="n">
        <v>1517</v>
      </c>
      <c r="C1533" s="182">
        <f>IFERROR(VLOOKUP($B1533,calc_data,C$14+1,0),0)</f>
        <v/>
      </c>
      <c r="D1533" s="182">
        <f>IFERROR(VLOOKUP($B1533,calc_data,D$14+1,0),0)</f>
        <v/>
      </c>
      <c r="E1533" s="183">
        <f>IFERROR(VLOOKUP($B1533,calc_data,E$14+1,0),0)</f>
        <v/>
      </c>
      <c r="F1533" s="182">
        <f>IFERROR(VLOOKUP($B1533,calc_data,F$14+1,0),0)</f>
        <v/>
      </c>
      <c r="G1533" s="141">
        <f>IFERROR(VLOOKUP($B1533,calc_data,G$14+1,0),0)</f>
        <v/>
      </c>
      <c r="H1533" s="141">
        <f>IFERROR(VLOOKUP($B1533,calc_data,H$14+1,0),0)</f>
        <v/>
      </c>
      <c r="I1533" s="142">
        <f>IFERROR(VLOOKUP($B1533,calc_data,I$14+1,0),0)</f>
        <v/>
      </c>
      <c r="J1533" s="141">
        <f>IFERROR(VLOOKUP($B1533,calc_data,J$14+1,0),0)</f>
        <v/>
      </c>
      <c r="K1533" s="141">
        <f>IFERROR(VLOOKUP($B1533,calc_data,K$14+1,0),0)</f>
        <v/>
      </c>
      <c r="L1533" s="141">
        <f>IFERROR(VLOOKUP($B1533,calc_data,L$14+1,0),0)</f>
        <v/>
      </c>
      <c r="M1533" s="177">
        <f>IFERROR(VLOOKUP($B1533,calc_data,M$14+1,0),0)</f>
        <v/>
      </c>
      <c r="N1533" s="177">
        <f>IFERROR(VLOOKUP($B1533,calc_data,N$14+1,0),0)</f>
        <v/>
      </c>
      <c r="O1533" s="45" t="n"/>
      <c r="Q1533" s="57">
        <f>IF(K1533&gt;0,"показать","скрыть")</f>
        <v/>
      </c>
    </row>
    <row r="1534" ht="15.75" customHeight="1">
      <c r="B1534" s="182" t="n">
        <v>1518</v>
      </c>
      <c r="C1534" s="182">
        <f>IFERROR(VLOOKUP($B1534,calc_data,C$14+1,0),0)</f>
        <v/>
      </c>
      <c r="D1534" s="182">
        <f>IFERROR(VLOOKUP($B1534,calc_data,D$14+1,0),0)</f>
        <v/>
      </c>
      <c r="E1534" s="183">
        <f>IFERROR(VLOOKUP($B1534,calc_data,E$14+1,0),0)</f>
        <v/>
      </c>
      <c r="F1534" s="182">
        <f>IFERROR(VLOOKUP($B1534,calc_data,F$14+1,0),0)</f>
        <v/>
      </c>
      <c r="G1534" s="141">
        <f>IFERROR(VLOOKUP($B1534,calc_data,G$14+1,0),0)</f>
        <v/>
      </c>
      <c r="H1534" s="141">
        <f>IFERROR(VLOOKUP($B1534,calc_data,H$14+1,0),0)</f>
        <v/>
      </c>
      <c r="I1534" s="142">
        <f>IFERROR(VLOOKUP($B1534,calc_data,I$14+1,0),0)</f>
        <v/>
      </c>
      <c r="J1534" s="141">
        <f>IFERROR(VLOOKUP($B1534,calc_data,J$14+1,0),0)</f>
        <v/>
      </c>
      <c r="K1534" s="141">
        <f>IFERROR(VLOOKUP($B1534,calc_data,K$14+1,0),0)</f>
        <v/>
      </c>
      <c r="L1534" s="141">
        <f>IFERROR(VLOOKUP($B1534,calc_data,L$14+1,0),0)</f>
        <v/>
      </c>
      <c r="M1534" s="177">
        <f>IFERROR(VLOOKUP($B1534,calc_data,M$14+1,0),0)</f>
        <v/>
      </c>
      <c r="N1534" s="177">
        <f>IFERROR(VLOOKUP($B1534,calc_data,N$14+1,0),0)</f>
        <v/>
      </c>
      <c r="O1534" s="45" t="n"/>
      <c r="Q1534" s="57">
        <f>IF(K1534&gt;0,"показать","скрыть")</f>
        <v/>
      </c>
    </row>
    <row r="1535" ht="15.75" customHeight="1">
      <c r="B1535" s="182" t="n">
        <v>1519</v>
      </c>
      <c r="C1535" s="182">
        <f>IFERROR(VLOOKUP($B1535,calc_data,C$14+1,0),0)</f>
        <v/>
      </c>
      <c r="D1535" s="182">
        <f>IFERROR(VLOOKUP($B1535,calc_data,D$14+1,0),0)</f>
        <v/>
      </c>
      <c r="E1535" s="183">
        <f>IFERROR(VLOOKUP($B1535,calc_data,E$14+1,0),0)</f>
        <v/>
      </c>
      <c r="F1535" s="182">
        <f>IFERROR(VLOOKUP($B1535,calc_data,F$14+1,0),0)</f>
        <v/>
      </c>
      <c r="G1535" s="141">
        <f>IFERROR(VLOOKUP($B1535,calc_data,G$14+1,0),0)</f>
        <v/>
      </c>
      <c r="H1535" s="141">
        <f>IFERROR(VLOOKUP($B1535,calc_data,H$14+1,0),0)</f>
        <v/>
      </c>
      <c r="I1535" s="142">
        <f>IFERROR(VLOOKUP($B1535,calc_data,I$14+1,0),0)</f>
        <v/>
      </c>
      <c r="J1535" s="141">
        <f>IFERROR(VLOOKUP($B1535,calc_data,J$14+1,0),0)</f>
        <v/>
      </c>
      <c r="K1535" s="141">
        <f>IFERROR(VLOOKUP($B1535,calc_data,K$14+1,0),0)</f>
        <v/>
      </c>
      <c r="L1535" s="141">
        <f>IFERROR(VLOOKUP($B1535,calc_data,L$14+1,0),0)</f>
        <v/>
      </c>
      <c r="M1535" s="177">
        <f>IFERROR(VLOOKUP($B1535,calc_data,M$14+1,0),0)</f>
        <v/>
      </c>
      <c r="N1535" s="177">
        <f>IFERROR(VLOOKUP($B1535,calc_data,N$14+1,0),0)</f>
        <v/>
      </c>
      <c r="O1535" s="45" t="n"/>
      <c r="Q1535" s="57">
        <f>IF(K1535&gt;0,"показать","скрыть")</f>
        <v/>
      </c>
    </row>
    <row r="1536" ht="15.75" customHeight="1">
      <c r="B1536" s="182" t="n">
        <v>1520</v>
      </c>
      <c r="C1536" s="182">
        <f>IFERROR(VLOOKUP($B1536,calc_data,C$14+1,0),0)</f>
        <v/>
      </c>
      <c r="D1536" s="182">
        <f>IFERROR(VLOOKUP($B1536,calc_data,D$14+1,0),0)</f>
        <v/>
      </c>
      <c r="E1536" s="183">
        <f>IFERROR(VLOOKUP($B1536,calc_data,E$14+1,0),0)</f>
        <v/>
      </c>
      <c r="F1536" s="182">
        <f>IFERROR(VLOOKUP($B1536,calc_data,F$14+1,0),0)</f>
        <v/>
      </c>
      <c r="G1536" s="141">
        <f>IFERROR(VLOOKUP($B1536,calc_data,G$14+1,0),0)</f>
        <v/>
      </c>
      <c r="H1536" s="141">
        <f>IFERROR(VLOOKUP($B1536,calc_data,H$14+1,0),0)</f>
        <v/>
      </c>
      <c r="I1536" s="142">
        <f>IFERROR(VLOOKUP($B1536,calc_data,I$14+1,0),0)</f>
        <v/>
      </c>
      <c r="J1536" s="141">
        <f>IFERROR(VLOOKUP($B1536,calc_data,J$14+1,0),0)</f>
        <v/>
      </c>
      <c r="K1536" s="141">
        <f>IFERROR(VLOOKUP($B1536,calc_data,K$14+1,0),0)</f>
        <v/>
      </c>
      <c r="L1536" s="141">
        <f>IFERROR(VLOOKUP($B1536,calc_data,L$14+1,0),0)</f>
        <v/>
      </c>
      <c r="M1536" s="177">
        <f>IFERROR(VLOOKUP($B1536,calc_data,M$14+1,0),0)</f>
        <v/>
      </c>
      <c r="N1536" s="177">
        <f>IFERROR(VLOOKUP($B1536,calc_data,N$14+1,0),0)</f>
        <v/>
      </c>
      <c r="O1536" s="45" t="n"/>
      <c r="Q1536" s="57">
        <f>IF(K1536&gt;0,"показать","скрыть")</f>
        <v/>
      </c>
    </row>
    <row r="1537" ht="15.75" customHeight="1">
      <c r="B1537" s="182" t="n">
        <v>1521</v>
      </c>
      <c r="C1537" s="182">
        <f>IFERROR(VLOOKUP($B1537,calc_data,C$14+1,0),0)</f>
        <v/>
      </c>
      <c r="D1537" s="182">
        <f>IFERROR(VLOOKUP($B1537,calc_data,D$14+1,0),0)</f>
        <v/>
      </c>
      <c r="E1537" s="183">
        <f>IFERROR(VLOOKUP($B1537,calc_data,E$14+1,0),0)</f>
        <v/>
      </c>
      <c r="F1537" s="182">
        <f>IFERROR(VLOOKUP($B1537,calc_data,F$14+1,0),0)</f>
        <v/>
      </c>
      <c r="G1537" s="141">
        <f>IFERROR(VLOOKUP($B1537,calc_data,G$14+1,0),0)</f>
        <v/>
      </c>
      <c r="H1537" s="141">
        <f>IFERROR(VLOOKUP($B1537,calc_data,H$14+1,0),0)</f>
        <v/>
      </c>
      <c r="I1537" s="142">
        <f>IFERROR(VLOOKUP($B1537,calc_data,I$14+1,0),0)</f>
        <v/>
      </c>
      <c r="J1537" s="141">
        <f>IFERROR(VLOOKUP($B1537,calc_data,J$14+1,0),0)</f>
        <v/>
      </c>
      <c r="K1537" s="141">
        <f>IFERROR(VLOOKUP($B1537,calc_data,K$14+1,0),0)</f>
        <v/>
      </c>
      <c r="L1537" s="141">
        <f>IFERROR(VLOOKUP($B1537,calc_data,L$14+1,0),0)</f>
        <v/>
      </c>
      <c r="M1537" s="177">
        <f>IFERROR(VLOOKUP($B1537,calc_data,M$14+1,0),0)</f>
        <v/>
      </c>
      <c r="N1537" s="177">
        <f>IFERROR(VLOOKUP($B1537,calc_data,N$14+1,0),0)</f>
        <v/>
      </c>
      <c r="O1537" s="45" t="n"/>
      <c r="Q1537" s="57">
        <f>IF(K1537&gt;0,"показать","скрыть")</f>
        <v/>
      </c>
    </row>
    <row r="1538" ht="15.75" customHeight="1">
      <c r="B1538" s="182" t="n">
        <v>1522</v>
      </c>
      <c r="C1538" s="182">
        <f>IFERROR(VLOOKUP($B1538,calc_data,C$14+1,0),0)</f>
        <v/>
      </c>
      <c r="D1538" s="182">
        <f>IFERROR(VLOOKUP($B1538,calc_data,D$14+1,0),0)</f>
        <v/>
      </c>
      <c r="E1538" s="183">
        <f>IFERROR(VLOOKUP($B1538,calc_data,E$14+1,0),0)</f>
        <v/>
      </c>
      <c r="F1538" s="182">
        <f>IFERROR(VLOOKUP($B1538,calc_data,F$14+1,0),0)</f>
        <v/>
      </c>
      <c r="G1538" s="141">
        <f>IFERROR(VLOOKUP($B1538,calc_data,G$14+1,0),0)</f>
        <v/>
      </c>
      <c r="H1538" s="141">
        <f>IFERROR(VLOOKUP($B1538,calc_data,H$14+1,0),0)</f>
        <v/>
      </c>
      <c r="I1538" s="142">
        <f>IFERROR(VLOOKUP($B1538,calc_data,I$14+1,0),0)</f>
        <v/>
      </c>
      <c r="J1538" s="141">
        <f>IFERROR(VLOOKUP($B1538,calc_data,J$14+1,0),0)</f>
        <v/>
      </c>
      <c r="K1538" s="141">
        <f>IFERROR(VLOOKUP($B1538,calc_data,K$14+1,0),0)</f>
        <v/>
      </c>
      <c r="L1538" s="141">
        <f>IFERROR(VLOOKUP($B1538,calc_data,L$14+1,0),0)</f>
        <v/>
      </c>
      <c r="M1538" s="177">
        <f>IFERROR(VLOOKUP($B1538,calc_data,M$14+1,0),0)</f>
        <v/>
      </c>
      <c r="N1538" s="177">
        <f>IFERROR(VLOOKUP($B1538,calc_data,N$14+1,0),0)</f>
        <v/>
      </c>
      <c r="O1538" s="45" t="n"/>
      <c r="Q1538" s="57">
        <f>IF(K1538&gt;0,"показать","скрыть")</f>
        <v/>
      </c>
    </row>
    <row r="1539" ht="15.75" customHeight="1">
      <c r="B1539" s="182" t="n">
        <v>1523</v>
      </c>
      <c r="C1539" s="182">
        <f>IFERROR(VLOOKUP($B1539,calc_data,C$14+1,0),0)</f>
        <v/>
      </c>
      <c r="D1539" s="182">
        <f>IFERROR(VLOOKUP($B1539,calc_data,D$14+1,0),0)</f>
        <v/>
      </c>
      <c r="E1539" s="183">
        <f>IFERROR(VLOOKUP($B1539,calc_data,E$14+1,0),0)</f>
        <v/>
      </c>
      <c r="F1539" s="182">
        <f>IFERROR(VLOOKUP($B1539,calc_data,F$14+1,0),0)</f>
        <v/>
      </c>
      <c r="G1539" s="141">
        <f>IFERROR(VLOOKUP($B1539,calc_data,G$14+1,0),0)</f>
        <v/>
      </c>
      <c r="H1539" s="141">
        <f>IFERROR(VLOOKUP($B1539,calc_data,H$14+1,0),0)</f>
        <v/>
      </c>
      <c r="I1539" s="142">
        <f>IFERROR(VLOOKUP($B1539,calc_data,I$14+1,0),0)</f>
        <v/>
      </c>
      <c r="J1539" s="141">
        <f>IFERROR(VLOOKUP($B1539,calc_data,J$14+1,0),0)</f>
        <v/>
      </c>
      <c r="K1539" s="141">
        <f>IFERROR(VLOOKUP($B1539,calc_data,K$14+1,0),0)</f>
        <v/>
      </c>
      <c r="L1539" s="141">
        <f>IFERROR(VLOOKUP($B1539,calc_data,L$14+1,0),0)</f>
        <v/>
      </c>
      <c r="M1539" s="177">
        <f>IFERROR(VLOOKUP($B1539,calc_data,M$14+1,0),0)</f>
        <v/>
      </c>
      <c r="N1539" s="177">
        <f>IFERROR(VLOOKUP($B1539,calc_data,N$14+1,0),0)</f>
        <v/>
      </c>
      <c r="O1539" s="45" t="n"/>
      <c r="Q1539" s="57">
        <f>IF(K1539&gt;0,"показать","скрыть")</f>
        <v/>
      </c>
    </row>
    <row r="1540" ht="15.75" customHeight="1">
      <c r="B1540" s="182" t="n">
        <v>1524</v>
      </c>
      <c r="C1540" s="182">
        <f>IFERROR(VLOOKUP($B1540,calc_data,C$14+1,0),0)</f>
        <v/>
      </c>
      <c r="D1540" s="182">
        <f>IFERROR(VLOOKUP($B1540,calc_data,D$14+1,0),0)</f>
        <v/>
      </c>
      <c r="E1540" s="183">
        <f>IFERROR(VLOOKUP($B1540,calc_data,E$14+1,0),0)</f>
        <v/>
      </c>
      <c r="F1540" s="182">
        <f>IFERROR(VLOOKUP($B1540,calc_data,F$14+1,0),0)</f>
        <v/>
      </c>
      <c r="G1540" s="141">
        <f>IFERROR(VLOOKUP($B1540,calc_data,G$14+1,0),0)</f>
        <v/>
      </c>
      <c r="H1540" s="141">
        <f>IFERROR(VLOOKUP($B1540,calc_data,H$14+1,0),0)</f>
        <v/>
      </c>
      <c r="I1540" s="142">
        <f>IFERROR(VLOOKUP($B1540,calc_data,I$14+1,0),0)</f>
        <v/>
      </c>
      <c r="J1540" s="141">
        <f>IFERROR(VLOOKUP($B1540,calc_data,J$14+1,0),0)</f>
        <v/>
      </c>
      <c r="K1540" s="141">
        <f>IFERROR(VLOOKUP($B1540,calc_data,K$14+1,0),0)</f>
        <v/>
      </c>
      <c r="L1540" s="141">
        <f>IFERROR(VLOOKUP($B1540,calc_data,L$14+1,0),0)</f>
        <v/>
      </c>
      <c r="M1540" s="177">
        <f>IFERROR(VLOOKUP($B1540,calc_data,M$14+1,0),0)</f>
        <v/>
      </c>
      <c r="N1540" s="177">
        <f>IFERROR(VLOOKUP($B1540,calc_data,N$14+1,0),0)</f>
        <v/>
      </c>
      <c r="O1540" s="45" t="n"/>
      <c r="Q1540" s="57">
        <f>IF(K1540&gt;0,"показать","скрыть")</f>
        <v/>
      </c>
    </row>
    <row r="1541" ht="15.75" customHeight="1">
      <c r="B1541" s="182" t="n">
        <v>1525</v>
      </c>
      <c r="C1541" s="182">
        <f>IFERROR(VLOOKUP($B1541,calc_data,C$14+1,0),0)</f>
        <v/>
      </c>
      <c r="D1541" s="182">
        <f>IFERROR(VLOOKUP($B1541,calc_data,D$14+1,0),0)</f>
        <v/>
      </c>
      <c r="E1541" s="183">
        <f>IFERROR(VLOOKUP($B1541,calc_data,E$14+1,0),0)</f>
        <v/>
      </c>
      <c r="F1541" s="182">
        <f>IFERROR(VLOOKUP($B1541,calc_data,F$14+1,0),0)</f>
        <v/>
      </c>
      <c r="G1541" s="141">
        <f>IFERROR(VLOOKUP($B1541,calc_data,G$14+1,0),0)</f>
        <v/>
      </c>
      <c r="H1541" s="141">
        <f>IFERROR(VLOOKUP($B1541,calc_data,H$14+1,0),0)</f>
        <v/>
      </c>
      <c r="I1541" s="142">
        <f>IFERROR(VLOOKUP($B1541,calc_data,I$14+1,0),0)</f>
        <v/>
      </c>
      <c r="J1541" s="141">
        <f>IFERROR(VLOOKUP($B1541,calc_data,J$14+1,0),0)</f>
        <v/>
      </c>
      <c r="K1541" s="141">
        <f>IFERROR(VLOOKUP($B1541,calc_data,K$14+1,0),0)</f>
        <v/>
      </c>
      <c r="L1541" s="141">
        <f>IFERROR(VLOOKUP($B1541,calc_data,L$14+1,0),0)</f>
        <v/>
      </c>
      <c r="M1541" s="177">
        <f>IFERROR(VLOOKUP($B1541,calc_data,M$14+1,0),0)</f>
        <v/>
      </c>
      <c r="N1541" s="177">
        <f>IFERROR(VLOOKUP($B1541,calc_data,N$14+1,0),0)</f>
        <v/>
      </c>
      <c r="O1541" s="45" t="n"/>
      <c r="Q1541" s="57">
        <f>IF(K1541&gt;0,"показать","скрыть")</f>
        <v/>
      </c>
    </row>
    <row r="1542" ht="15.75" customHeight="1">
      <c r="B1542" s="182" t="n">
        <v>1526</v>
      </c>
      <c r="C1542" s="182">
        <f>IFERROR(VLOOKUP($B1542,calc_data,C$14+1,0),0)</f>
        <v/>
      </c>
      <c r="D1542" s="182">
        <f>IFERROR(VLOOKUP($B1542,calc_data,D$14+1,0),0)</f>
        <v/>
      </c>
      <c r="E1542" s="183">
        <f>IFERROR(VLOOKUP($B1542,calc_data,E$14+1,0),0)</f>
        <v/>
      </c>
      <c r="F1542" s="182">
        <f>IFERROR(VLOOKUP($B1542,calc_data,F$14+1,0),0)</f>
        <v/>
      </c>
      <c r="G1542" s="141">
        <f>IFERROR(VLOOKUP($B1542,calc_data,G$14+1,0),0)</f>
        <v/>
      </c>
      <c r="H1542" s="141">
        <f>IFERROR(VLOOKUP($B1542,calc_data,H$14+1,0),0)</f>
        <v/>
      </c>
      <c r="I1542" s="142">
        <f>IFERROR(VLOOKUP($B1542,calc_data,I$14+1,0),0)</f>
        <v/>
      </c>
      <c r="J1542" s="141">
        <f>IFERROR(VLOOKUP($B1542,calc_data,J$14+1,0),0)</f>
        <v/>
      </c>
      <c r="K1542" s="141">
        <f>IFERROR(VLOOKUP($B1542,calc_data,K$14+1,0),0)</f>
        <v/>
      </c>
      <c r="L1542" s="141">
        <f>IFERROR(VLOOKUP($B1542,calc_data,L$14+1,0),0)</f>
        <v/>
      </c>
      <c r="M1542" s="177">
        <f>IFERROR(VLOOKUP($B1542,calc_data,M$14+1,0),0)</f>
        <v/>
      </c>
      <c r="N1542" s="177">
        <f>IFERROR(VLOOKUP($B1542,calc_data,N$14+1,0),0)</f>
        <v/>
      </c>
      <c r="O1542" s="45" t="n"/>
      <c r="Q1542" s="57">
        <f>IF(K1542&gt;0,"показать","скрыть")</f>
        <v/>
      </c>
    </row>
    <row r="1543" ht="15.75" customHeight="1">
      <c r="B1543" s="182" t="n">
        <v>1527</v>
      </c>
      <c r="C1543" s="182">
        <f>IFERROR(VLOOKUP($B1543,calc_data,C$14+1,0),0)</f>
        <v/>
      </c>
      <c r="D1543" s="182">
        <f>IFERROR(VLOOKUP($B1543,calc_data,D$14+1,0),0)</f>
        <v/>
      </c>
      <c r="E1543" s="183">
        <f>IFERROR(VLOOKUP($B1543,calc_data,E$14+1,0),0)</f>
        <v/>
      </c>
      <c r="F1543" s="182">
        <f>IFERROR(VLOOKUP($B1543,calc_data,F$14+1,0),0)</f>
        <v/>
      </c>
      <c r="G1543" s="141">
        <f>IFERROR(VLOOKUP($B1543,calc_data,G$14+1,0),0)</f>
        <v/>
      </c>
      <c r="H1543" s="141">
        <f>IFERROR(VLOOKUP($B1543,calc_data,H$14+1,0),0)</f>
        <v/>
      </c>
      <c r="I1543" s="142">
        <f>IFERROR(VLOOKUP($B1543,calc_data,I$14+1,0),0)</f>
        <v/>
      </c>
      <c r="J1543" s="141">
        <f>IFERROR(VLOOKUP($B1543,calc_data,J$14+1,0),0)</f>
        <v/>
      </c>
      <c r="K1543" s="141">
        <f>IFERROR(VLOOKUP($B1543,calc_data,K$14+1,0),0)</f>
        <v/>
      </c>
      <c r="L1543" s="141">
        <f>IFERROR(VLOOKUP($B1543,calc_data,L$14+1,0),0)</f>
        <v/>
      </c>
      <c r="M1543" s="177">
        <f>IFERROR(VLOOKUP($B1543,calc_data,M$14+1,0),0)</f>
        <v/>
      </c>
      <c r="N1543" s="177">
        <f>IFERROR(VLOOKUP($B1543,calc_data,N$14+1,0),0)</f>
        <v/>
      </c>
      <c r="O1543" s="45" t="n"/>
      <c r="Q1543" s="57">
        <f>IF(K1543&gt;0,"показать","скрыть")</f>
        <v/>
      </c>
    </row>
    <row r="1544" ht="15.75" customHeight="1">
      <c r="B1544" s="182" t="n">
        <v>1528</v>
      </c>
      <c r="C1544" s="182">
        <f>IFERROR(VLOOKUP($B1544,calc_data,C$14+1,0),0)</f>
        <v/>
      </c>
      <c r="D1544" s="182">
        <f>IFERROR(VLOOKUP($B1544,calc_data,D$14+1,0),0)</f>
        <v/>
      </c>
      <c r="E1544" s="183">
        <f>IFERROR(VLOOKUP($B1544,calc_data,E$14+1,0),0)</f>
        <v/>
      </c>
      <c r="F1544" s="182">
        <f>IFERROR(VLOOKUP($B1544,calc_data,F$14+1,0),0)</f>
        <v/>
      </c>
      <c r="G1544" s="141">
        <f>IFERROR(VLOOKUP($B1544,calc_data,G$14+1,0),0)</f>
        <v/>
      </c>
      <c r="H1544" s="141">
        <f>IFERROR(VLOOKUP($B1544,calc_data,H$14+1,0),0)</f>
        <v/>
      </c>
      <c r="I1544" s="142">
        <f>IFERROR(VLOOKUP($B1544,calc_data,I$14+1,0),0)</f>
        <v/>
      </c>
      <c r="J1544" s="141">
        <f>IFERROR(VLOOKUP($B1544,calc_data,J$14+1,0),0)</f>
        <v/>
      </c>
      <c r="K1544" s="141">
        <f>IFERROR(VLOOKUP($B1544,calc_data,K$14+1,0),0)</f>
        <v/>
      </c>
      <c r="L1544" s="141">
        <f>IFERROR(VLOOKUP($B1544,calc_data,L$14+1,0),0)</f>
        <v/>
      </c>
      <c r="M1544" s="177">
        <f>IFERROR(VLOOKUP($B1544,calc_data,M$14+1,0),0)</f>
        <v/>
      </c>
      <c r="N1544" s="177">
        <f>IFERROR(VLOOKUP($B1544,calc_data,N$14+1,0),0)</f>
        <v/>
      </c>
      <c r="O1544" s="45" t="n"/>
      <c r="Q1544" s="57">
        <f>IF(K1544&gt;0,"показать","скрыть")</f>
        <v/>
      </c>
    </row>
    <row r="1545" ht="15.75" customHeight="1">
      <c r="B1545" s="182" t="n">
        <v>1529</v>
      </c>
      <c r="C1545" s="182">
        <f>IFERROR(VLOOKUP($B1545,calc_data,C$14+1,0),0)</f>
        <v/>
      </c>
      <c r="D1545" s="182">
        <f>IFERROR(VLOOKUP($B1545,calc_data,D$14+1,0),0)</f>
        <v/>
      </c>
      <c r="E1545" s="183">
        <f>IFERROR(VLOOKUP($B1545,calc_data,E$14+1,0),0)</f>
        <v/>
      </c>
      <c r="F1545" s="182">
        <f>IFERROR(VLOOKUP($B1545,calc_data,F$14+1,0),0)</f>
        <v/>
      </c>
      <c r="G1545" s="141">
        <f>IFERROR(VLOOKUP($B1545,calc_data,G$14+1,0),0)</f>
        <v/>
      </c>
      <c r="H1545" s="141">
        <f>IFERROR(VLOOKUP($B1545,calc_data,H$14+1,0),0)</f>
        <v/>
      </c>
      <c r="I1545" s="142">
        <f>IFERROR(VLOOKUP($B1545,calc_data,I$14+1,0),0)</f>
        <v/>
      </c>
      <c r="J1545" s="141">
        <f>IFERROR(VLOOKUP($B1545,calc_data,J$14+1,0),0)</f>
        <v/>
      </c>
      <c r="K1545" s="141">
        <f>IFERROR(VLOOKUP($B1545,calc_data,K$14+1,0),0)</f>
        <v/>
      </c>
      <c r="L1545" s="141">
        <f>IFERROR(VLOOKUP($B1545,calc_data,L$14+1,0),0)</f>
        <v/>
      </c>
      <c r="M1545" s="177">
        <f>IFERROR(VLOOKUP($B1545,calc_data,M$14+1,0),0)</f>
        <v/>
      </c>
      <c r="N1545" s="177">
        <f>IFERROR(VLOOKUP($B1545,calc_data,N$14+1,0),0)</f>
        <v/>
      </c>
      <c r="O1545" s="45" t="n"/>
      <c r="Q1545" s="57">
        <f>IF(K1545&gt;0,"показать","скрыть")</f>
        <v/>
      </c>
    </row>
    <row r="1546" ht="15.75" customHeight="1">
      <c r="B1546" s="182" t="n">
        <v>1530</v>
      </c>
      <c r="C1546" s="182">
        <f>IFERROR(VLOOKUP($B1546,calc_data,C$14+1,0),0)</f>
        <v/>
      </c>
      <c r="D1546" s="182">
        <f>IFERROR(VLOOKUP($B1546,calc_data,D$14+1,0),0)</f>
        <v/>
      </c>
      <c r="E1546" s="183">
        <f>IFERROR(VLOOKUP($B1546,calc_data,E$14+1,0),0)</f>
        <v/>
      </c>
      <c r="F1546" s="182">
        <f>IFERROR(VLOOKUP($B1546,calc_data,F$14+1,0),0)</f>
        <v/>
      </c>
      <c r="G1546" s="141">
        <f>IFERROR(VLOOKUP($B1546,calc_data,G$14+1,0),0)</f>
        <v/>
      </c>
      <c r="H1546" s="141">
        <f>IFERROR(VLOOKUP($B1546,calc_data,H$14+1,0),0)</f>
        <v/>
      </c>
      <c r="I1546" s="142">
        <f>IFERROR(VLOOKUP($B1546,calc_data,I$14+1,0),0)</f>
        <v/>
      </c>
      <c r="J1546" s="141">
        <f>IFERROR(VLOOKUP($B1546,calc_data,J$14+1,0),0)</f>
        <v/>
      </c>
      <c r="K1546" s="141">
        <f>IFERROR(VLOOKUP($B1546,calc_data,K$14+1,0),0)</f>
        <v/>
      </c>
      <c r="L1546" s="141">
        <f>IFERROR(VLOOKUP($B1546,calc_data,L$14+1,0),0)</f>
        <v/>
      </c>
      <c r="M1546" s="177">
        <f>IFERROR(VLOOKUP($B1546,calc_data,M$14+1,0),0)</f>
        <v/>
      </c>
      <c r="N1546" s="177">
        <f>IFERROR(VLOOKUP($B1546,calc_data,N$14+1,0),0)</f>
        <v/>
      </c>
      <c r="O1546" s="45" t="n"/>
      <c r="Q1546" s="57">
        <f>IF(K1546&gt;0,"показать","скрыть")</f>
        <v/>
      </c>
    </row>
    <row r="1547" ht="15.75" customHeight="1">
      <c r="B1547" s="182" t="n">
        <v>1531</v>
      </c>
      <c r="C1547" s="182">
        <f>IFERROR(VLOOKUP($B1547,calc_data,C$14+1,0),0)</f>
        <v/>
      </c>
      <c r="D1547" s="182">
        <f>IFERROR(VLOOKUP($B1547,calc_data,D$14+1,0),0)</f>
        <v/>
      </c>
      <c r="E1547" s="183">
        <f>IFERROR(VLOOKUP($B1547,calc_data,E$14+1,0),0)</f>
        <v/>
      </c>
      <c r="F1547" s="182">
        <f>IFERROR(VLOOKUP($B1547,calc_data,F$14+1,0),0)</f>
        <v/>
      </c>
      <c r="G1547" s="141">
        <f>IFERROR(VLOOKUP($B1547,calc_data,G$14+1,0),0)</f>
        <v/>
      </c>
      <c r="H1547" s="141">
        <f>IFERROR(VLOOKUP($B1547,calc_data,H$14+1,0),0)</f>
        <v/>
      </c>
      <c r="I1547" s="142">
        <f>IFERROR(VLOOKUP($B1547,calc_data,I$14+1,0),0)</f>
        <v/>
      </c>
      <c r="J1547" s="141">
        <f>IFERROR(VLOOKUP($B1547,calc_data,J$14+1,0),0)</f>
        <v/>
      </c>
      <c r="K1547" s="141">
        <f>IFERROR(VLOOKUP($B1547,calc_data,K$14+1,0),0)</f>
        <v/>
      </c>
      <c r="L1547" s="141">
        <f>IFERROR(VLOOKUP($B1547,calc_data,L$14+1,0),0)</f>
        <v/>
      </c>
      <c r="M1547" s="177">
        <f>IFERROR(VLOOKUP($B1547,calc_data,M$14+1,0),0)</f>
        <v/>
      </c>
      <c r="N1547" s="177">
        <f>IFERROR(VLOOKUP($B1547,calc_data,N$14+1,0),0)</f>
        <v/>
      </c>
      <c r="O1547" s="45" t="n"/>
      <c r="Q1547" s="57">
        <f>IF(K1547&gt;0,"показать","скрыть")</f>
        <v/>
      </c>
    </row>
    <row r="1548" ht="15.75" customHeight="1">
      <c r="B1548" s="182" t="n">
        <v>1532</v>
      </c>
      <c r="C1548" s="182">
        <f>IFERROR(VLOOKUP($B1548,calc_data,C$14+1,0),0)</f>
        <v/>
      </c>
      <c r="D1548" s="182">
        <f>IFERROR(VLOOKUP($B1548,calc_data,D$14+1,0),0)</f>
        <v/>
      </c>
      <c r="E1548" s="183">
        <f>IFERROR(VLOOKUP($B1548,calc_data,E$14+1,0),0)</f>
        <v/>
      </c>
      <c r="F1548" s="182">
        <f>IFERROR(VLOOKUP($B1548,calc_data,F$14+1,0),0)</f>
        <v/>
      </c>
      <c r="G1548" s="141">
        <f>IFERROR(VLOOKUP($B1548,calc_data,G$14+1,0),0)</f>
        <v/>
      </c>
      <c r="H1548" s="141">
        <f>IFERROR(VLOOKUP($B1548,calc_data,H$14+1,0),0)</f>
        <v/>
      </c>
      <c r="I1548" s="142">
        <f>IFERROR(VLOOKUP($B1548,calc_data,I$14+1,0),0)</f>
        <v/>
      </c>
      <c r="J1548" s="141">
        <f>IFERROR(VLOOKUP($B1548,calc_data,J$14+1,0),0)</f>
        <v/>
      </c>
      <c r="K1548" s="141">
        <f>IFERROR(VLOOKUP($B1548,calc_data,K$14+1,0),0)</f>
        <v/>
      </c>
      <c r="L1548" s="141">
        <f>IFERROR(VLOOKUP($B1548,calc_data,L$14+1,0),0)</f>
        <v/>
      </c>
      <c r="M1548" s="177">
        <f>IFERROR(VLOOKUP($B1548,calc_data,M$14+1,0),0)</f>
        <v/>
      </c>
      <c r="N1548" s="177">
        <f>IFERROR(VLOOKUP($B1548,calc_data,N$14+1,0),0)</f>
        <v/>
      </c>
      <c r="O1548" s="45" t="n"/>
      <c r="Q1548" s="57">
        <f>IF(K1548&gt;0,"показать","скрыть")</f>
        <v/>
      </c>
    </row>
    <row r="1549" ht="15.75" customHeight="1">
      <c r="B1549" s="182" t="n">
        <v>1533</v>
      </c>
      <c r="C1549" s="182">
        <f>IFERROR(VLOOKUP($B1549,calc_data,C$14+1,0),0)</f>
        <v/>
      </c>
      <c r="D1549" s="182">
        <f>IFERROR(VLOOKUP($B1549,calc_data,D$14+1,0),0)</f>
        <v/>
      </c>
      <c r="E1549" s="183">
        <f>IFERROR(VLOOKUP($B1549,calc_data,E$14+1,0),0)</f>
        <v/>
      </c>
      <c r="F1549" s="182">
        <f>IFERROR(VLOOKUP($B1549,calc_data,F$14+1,0),0)</f>
        <v/>
      </c>
      <c r="G1549" s="141">
        <f>IFERROR(VLOOKUP($B1549,calc_data,G$14+1,0),0)</f>
        <v/>
      </c>
      <c r="H1549" s="141">
        <f>IFERROR(VLOOKUP($B1549,calc_data,H$14+1,0),0)</f>
        <v/>
      </c>
      <c r="I1549" s="142">
        <f>IFERROR(VLOOKUP($B1549,calc_data,I$14+1,0),0)</f>
        <v/>
      </c>
      <c r="J1549" s="141">
        <f>IFERROR(VLOOKUP($B1549,calc_data,J$14+1,0),0)</f>
        <v/>
      </c>
      <c r="K1549" s="141">
        <f>IFERROR(VLOOKUP($B1549,calc_data,K$14+1,0),0)</f>
        <v/>
      </c>
      <c r="L1549" s="141">
        <f>IFERROR(VLOOKUP($B1549,calc_data,L$14+1,0),0)</f>
        <v/>
      </c>
      <c r="M1549" s="177">
        <f>IFERROR(VLOOKUP($B1549,calc_data,M$14+1,0),0)</f>
        <v/>
      </c>
      <c r="N1549" s="177">
        <f>IFERROR(VLOOKUP($B1549,calc_data,N$14+1,0),0)</f>
        <v/>
      </c>
      <c r="O1549" s="45" t="n"/>
      <c r="Q1549" s="57">
        <f>IF(K1549&gt;0,"показать","скрыть")</f>
        <v/>
      </c>
    </row>
    <row r="1550" ht="15.75" customHeight="1">
      <c r="B1550" s="182" t="n">
        <v>1534</v>
      </c>
      <c r="C1550" s="182">
        <f>IFERROR(VLOOKUP($B1550,calc_data,C$14+1,0),0)</f>
        <v/>
      </c>
      <c r="D1550" s="182">
        <f>IFERROR(VLOOKUP($B1550,calc_data,D$14+1,0),0)</f>
        <v/>
      </c>
      <c r="E1550" s="183">
        <f>IFERROR(VLOOKUP($B1550,calc_data,E$14+1,0),0)</f>
        <v/>
      </c>
      <c r="F1550" s="182">
        <f>IFERROR(VLOOKUP($B1550,calc_data,F$14+1,0),0)</f>
        <v/>
      </c>
      <c r="G1550" s="141">
        <f>IFERROR(VLOOKUP($B1550,calc_data,G$14+1,0),0)</f>
        <v/>
      </c>
      <c r="H1550" s="141">
        <f>IFERROR(VLOOKUP($B1550,calc_data,H$14+1,0),0)</f>
        <v/>
      </c>
      <c r="I1550" s="142">
        <f>IFERROR(VLOOKUP($B1550,calc_data,I$14+1,0),0)</f>
        <v/>
      </c>
      <c r="J1550" s="141">
        <f>IFERROR(VLOOKUP($B1550,calc_data,J$14+1,0),0)</f>
        <v/>
      </c>
      <c r="K1550" s="141">
        <f>IFERROR(VLOOKUP($B1550,calc_data,K$14+1,0),0)</f>
        <v/>
      </c>
      <c r="L1550" s="141">
        <f>IFERROR(VLOOKUP($B1550,calc_data,L$14+1,0),0)</f>
        <v/>
      </c>
      <c r="M1550" s="177">
        <f>IFERROR(VLOOKUP($B1550,calc_data,M$14+1,0),0)</f>
        <v/>
      </c>
      <c r="N1550" s="177">
        <f>IFERROR(VLOOKUP($B1550,calc_data,N$14+1,0),0)</f>
        <v/>
      </c>
      <c r="O1550" s="45" t="n"/>
      <c r="Q1550" s="57">
        <f>IF(K1550&gt;0,"показать","скрыть")</f>
        <v/>
      </c>
    </row>
    <row r="1551" ht="15.75" customHeight="1">
      <c r="B1551" s="182" t="n">
        <v>1535</v>
      </c>
      <c r="C1551" s="182">
        <f>IFERROR(VLOOKUP($B1551,calc_data,C$14+1,0),0)</f>
        <v/>
      </c>
      <c r="D1551" s="182">
        <f>IFERROR(VLOOKUP($B1551,calc_data,D$14+1,0),0)</f>
        <v/>
      </c>
      <c r="E1551" s="183">
        <f>IFERROR(VLOOKUP($B1551,calc_data,E$14+1,0),0)</f>
        <v/>
      </c>
      <c r="F1551" s="182">
        <f>IFERROR(VLOOKUP($B1551,calc_data,F$14+1,0),0)</f>
        <v/>
      </c>
      <c r="G1551" s="141">
        <f>IFERROR(VLOOKUP($B1551,calc_data,G$14+1,0),0)</f>
        <v/>
      </c>
      <c r="H1551" s="141">
        <f>IFERROR(VLOOKUP($B1551,calc_data,H$14+1,0),0)</f>
        <v/>
      </c>
      <c r="I1551" s="142">
        <f>IFERROR(VLOOKUP($B1551,calc_data,I$14+1,0),0)</f>
        <v/>
      </c>
      <c r="J1551" s="141">
        <f>IFERROR(VLOOKUP($B1551,calc_data,J$14+1,0),0)</f>
        <v/>
      </c>
      <c r="K1551" s="141">
        <f>IFERROR(VLOOKUP($B1551,calc_data,K$14+1,0),0)</f>
        <v/>
      </c>
      <c r="L1551" s="141">
        <f>IFERROR(VLOOKUP($B1551,calc_data,L$14+1,0),0)</f>
        <v/>
      </c>
      <c r="M1551" s="177">
        <f>IFERROR(VLOOKUP($B1551,calc_data,M$14+1,0),0)</f>
        <v/>
      </c>
      <c r="N1551" s="177">
        <f>IFERROR(VLOOKUP($B1551,calc_data,N$14+1,0),0)</f>
        <v/>
      </c>
      <c r="O1551" s="45" t="n"/>
      <c r="Q1551" s="57">
        <f>IF(K1551&gt;0,"показать","скрыть")</f>
        <v/>
      </c>
    </row>
    <row r="1552" ht="15.75" customHeight="1">
      <c r="B1552" s="182" t="n">
        <v>1536</v>
      </c>
      <c r="C1552" s="182">
        <f>IFERROR(VLOOKUP($B1552,calc_data,C$14+1,0),0)</f>
        <v/>
      </c>
      <c r="D1552" s="182">
        <f>IFERROR(VLOOKUP($B1552,calc_data,D$14+1,0),0)</f>
        <v/>
      </c>
      <c r="E1552" s="183">
        <f>IFERROR(VLOOKUP($B1552,calc_data,E$14+1,0),0)</f>
        <v/>
      </c>
      <c r="F1552" s="182">
        <f>IFERROR(VLOOKUP($B1552,calc_data,F$14+1,0),0)</f>
        <v/>
      </c>
      <c r="G1552" s="141">
        <f>IFERROR(VLOOKUP($B1552,calc_data,G$14+1,0),0)</f>
        <v/>
      </c>
      <c r="H1552" s="141">
        <f>IFERROR(VLOOKUP($B1552,calc_data,H$14+1,0),0)</f>
        <v/>
      </c>
      <c r="I1552" s="142">
        <f>IFERROR(VLOOKUP($B1552,calc_data,I$14+1,0),0)</f>
        <v/>
      </c>
      <c r="J1552" s="141">
        <f>IFERROR(VLOOKUP($B1552,calc_data,J$14+1,0),0)</f>
        <v/>
      </c>
      <c r="K1552" s="141">
        <f>IFERROR(VLOOKUP($B1552,calc_data,K$14+1,0),0)</f>
        <v/>
      </c>
      <c r="L1552" s="141">
        <f>IFERROR(VLOOKUP($B1552,calc_data,L$14+1,0),0)</f>
        <v/>
      </c>
      <c r="M1552" s="177">
        <f>IFERROR(VLOOKUP($B1552,calc_data,M$14+1,0),0)</f>
        <v/>
      </c>
      <c r="N1552" s="177">
        <f>IFERROR(VLOOKUP($B1552,calc_data,N$14+1,0),0)</f>
        <v/>
      </c>
      <c r="O1552" s="45" t="n"/>
      <c r="Q1552" s="57">
        <f>IF(K1552&gt;0,"показать","скрыть")</f>
        <v/>
      </c>
    </row>
    <row r="1553" ht="15.75" customHeight="1">
      <c r="B1553" s="182" t="n">
        <v>1537</v>
      </c>
      <c r="C1553" s="182">
        <f>IFERROR(VLOOKUP($B1553,calc_data,C$14+1,0),0)</f>
        <v/>
      </c>
      <c r="D1553" s="182">
        <f>IFERROR(VLOOKUP($B1553,calc_data,D$14+1,0),0)</f>
        <v/>
      </c>
      <c r="E1553" s="183">
        <f>IFERROR(VLOOKUP($B1553,calc_data,E$14+1,0),0)</f>
        <v/>
      </c>
      <c r="F1553" s="182">
        <f>IFERROR(VLOOKUP($B1553,calc_data,F$14+1,0),0)</f>
        <v/>
      </c>
      <c r="G1553" s="141">
        <f>IFERROR(VLOOKUP($B1553,calc_data,G$14+1,0),0)</f>
        <v/>
      </c>
      <c r="H1553" s="141">
        <f>IFERROR(VLOOKUP($B1553,calc_data,H$14+1,0),0)</f>
        <v/>
      </c>
      <c r="I1553" s="142">
        <f>IFERROR(VLOOKUP($B1553,calc_data,I$14+1,0),0)</f>
        <v/>
      </c>
      <c r="J1553" s="141">
        <f>IFERROR(VLOOKUP($B1553,calc_data,J$14+1,0),0)</f>
        <v/>
      </c>
      <c r="K1553" s="141">
        <f>IFERROR(VLOOKUP($B1553,calc_data,K$14+1,0),0)</f>
        <v/>
      </c>
      <c r="L1553" s="141">
        <f>IFERROR(VLOOKUP($B1553,calc_data,L$14+1,0),0)</f>
        <v/>
      </c>
      <c r="M1553" s="177">
        <f>IFERROR(VLOOKUP($B1553,calc_data,M$14+1,0),0)</f>
        <v/>
      </c>
      <c r="N1553" s="177">
        <f>IFERROR(VLOOKUP($B1553,calc_data,N$14+1,0),0)</f>
        <v/>
      </c>
      <c r="O1553" s="45" t="n"/>
      <c r="Q1553" s="57">
        <f>IF(K1553&gt;0,"показать","скрыть")</f>
        <v/>
      </c>
    </row>
    <row r="1554" ht="15.75" customHeight="1">
      <c r="B1554" s="182" t="n">
        <v>1538</v>
      </c>
      <c r="C1554" s="182">
        <f>IFERROR(VLOOKUP($B1554,calc_data,C$14+1,0),0)</f>
        <v/>
      </c>
      <c r="D1554" s="182">
        <f>IFERROR(VLOOKUP($B1554,calc_data,D$14+1,0),0)</f>
        <v/>
      </c>
      <c r="E1554" s="183">
        <f>IFERROR(VLOOKUP($B1554,calc_data,E$14+1,0),0)</f>
        <v/>
      </c>
      <c r="F1554" s="182">
        <f>IFERROR(VLOOKUP($B1554,calc_data,F$14+1,0),0)</f>
        <v/>
      </c>
      <c r="G1554" s="141">
        <f>IFERROR(VLOOKUP($B1554,calc_data,G$14+1,0),0)</f>
        <v/>
      </c>
      <c r="H1554" s="141">
        <f>IFERROR(VLOOKUP($B1554,calc_data,H$14+1,0),0)</f>
        <v/>
      </c>
      <c r="I1554" s="142">
        <f>IFERROR(VLOOKUP($B1554,calc_data,I$14+1,0),0)</f>
        <v/>
      </c>
      <c r="J1554" s="141">
        <f>IFERROR(VLOOKUP($B1554,calc_data,J$14+1,0),0)</f>
        <v/>
      </c>
      <c r="K1554" s="141">
        <f>IFERROR(VLOOKUP($B1554,calc_data,K$14+1,0),0)</f>
        <v/>
      </c>
      <c r="L1554" s="141">
        <f>IFERROR(VLOOKUP($B1554,calc_data,L$14+1,0),0)</f>
        <v/>
      </c>
      <c r="M1554" s="177">
        <f>IFERROR(VLOOKUP($B1554,calc_data,M$14+1,0),0)</f>
        <v/>
      </c>
      <c r="N1554" s="177">
        <f>IFERROR(VLOOKUP($B1554,calc_data,N$14+1,0),0)</f>
        <v/>
      </c>
      <c r="O1554" s="45" t="n"/>
      <c r="Q1554" s="57">
        <f>IF(K1554&gt;0,"показать","скрыть")</f>
        <v/>
      </c>
    </row>
    <row r="1555" ht="15.75" customHeight="1">
      <c r="B1555" s="182" t="n">
        <v>1539</v>
      </c>
      <c r="C1555" s="182">
        <f>IFERROR(VLOOKUP($B1555,calc_data,C$14+1,0),0)</f>
        <v/>
      </c>
      <c r="D1555" s="182">
        <f>IFERROR(VLOOKUP($B1555,calc_data,D$14+1,0),0)</f>
        <v/>
      </c>
      <c r="E1555" s="183">
        <f>IFERROR(VLOOKUP($B1555,calc_data,E$14+1,0),0)</f>
        <v/>
      </c>
      <c r="F1555" s="182">
        <f>IFERROR(VLOOKUP($B1555,calc_data,F$14+1,0),0)</f>
        <v/>
      </c>
      <c r="G1555" s="141">
        <f>IFERROR(VLOOKUP($B1555,calc_data,G$14+1,0),0)</f>
        <v/>
      </c>
      <c r="H1555" s="141">
        <f>IFERROR(VLOOKUP($B1555,calc_data,H$14+1,0),0)</f>
        <v/>
      </c>
      <c r="I1555" s="142">
        <f>IFERROR(VLOOKUP($B1555,calc_data,I$14+1,0),0)</f>
        <v/>
      </c>
      <c r="J1555" s="141">
        <f>IFERROR(VLOOKUP($B1555,calc_data,J$14+1,0),0)</f>
        <v/>
      </c>
      <c r="K1555" s="141">
        <f>IFERROR(VLOOKUP($B1555,calc_data,K$14+1,0),0)</f>
        <v/>
      </c>
      <c r="L1555" s="141">
        <f>IFERROR(VLOOKUP($B1555,calc_data,L$14+1,0),0)</f>
        <v/>
      </c>
      <c r="M1555" s="177">
        <f>IFERROR(VLOOKUP($B1555,calc_data,M$14+1,0),0)</f>
        <v/>
      </c>
      <c r="N1555" s="177">
        <f>IFERROR(VLOOKUP($B1555,calc_data,N$14+1,0),0)</f>
        <v/>
      </c>
      <c r="O1555" s="45" t="n"/>
      <c r="Q1555" s="57">
        <f>IF(K1555&gt;0,"показать","скрыть")</f>
        <v/>
      </c>
    </row>
    <row r="1556" ht="15.75" customHeight="1">
      <c r="B1556" s="182" t="n">
        <v>1540</v>
      </c>
      <c r="C1556" s="182">
        <f>IFERROR(VLOOKUP($B1556,calc_data,C$14+1,0),0)</f>
        <v/>
      </c>
      <c r="D1556" s="182">
        <f>IFERROR(VLOOKUP($B1556,calc_data,D$14+1,0),0)</f>
        <v/>
      </c>
      <c r="E1556" s="183">
        <f>IFERROR(VLOOKUP($B1556,calc_data,E$14+1,0),0)</f>
        <v/>
      </c>
      <c r="F1556" s="182">
        <f>IFERROR(VLOOKUP($B1556,calc_data,F$14+1,0),0)</f>
        <v/>
      </c>
      <c r="G1556" s="141">
        <f>IFERROR(VLOOKUP($B1556,calc_data,G$14+1,0),0)</f>
        <v/>
      </c>
      <c r="H1556" s="141">
        <f>IFERROR(VLOOKUP($B1556,calc_data,H$14+1,0),0)</f>
        <v/>
      </c>
      <c r="I1556" s="142">
        <f>IFERROR(VLOOKUP($B1556,calc_data,I$14+1,0),0)</f>
        <v/>
      </c>
      <c r="J1556" s="141">
        <f>IFERROR(VLOOKUP($B1556,calc_data,J$14+1,0),0)</f>
        <v/>
      </c>
      <c r="K1556" s="141">
        <f>IFERROR(VLOOKUP($B1556,calc_data,K$14+1,0),0)</f>
        <v/>
      </c>
      <c r="L1556" s="141">
        <f>IFERROR(VLOOKUP($B1556,calc_data,L$14+1,0),0)</f>
        <v/>
      </c>
      <c r="M1556" s="177">
        <f>IFERROR(VLOOKUP($B1556,calc_data,M$14+1,0),0)</f>
        <v/>
      </c>
      <c r="N1556" s="177">
        <f>IFERROR(VLOOKUP($B1556,calc_data,N$14+1,0),0)</f>
        <v/>
      </c>
      <c r="O1556" s="45" t="n"/>
      <c r="Q1556" s="57">
        <f>IF(K1556&gt;0,"показать","скрыть")</f>
        <v/>
      </c>
    </row>
    <row r="1557" ht="15.75" customHeight="1">
      <c r="B1557" s="182" t="n">
        <v>1541</v>
      </c>
      <c r="C1557" s="182">
        <f>IFERROR(VLOOKUP($B1557,calc_data,C$14+1,0),0)</f>
        <v/>
      </c>
      <c r="D1557" s="182">
        <f>IFERROR(VLOOKUP($B1557,calc_data,D$14+1,0),0)</f>
        <v/>
      </c>
      <c r="E1557" s="183">
        <f>IFERROR(VLOOKUP($B1557,calc_data,E$14+1,0),0)</f>
        <v/>
      </c>
      <c r="F1557" s="182">
        <f>IFERROR(VLOOKUP($B1557,calc_data,F$14+1,0),0)</f>
        <v/>
      </c>
      <c r="G1557" s="141">
        <f>IFERROR(VLOOKUP($B1557,calc_data,G$14+1,0),0)</f>
        <v/>
      </c>
      <c r="H1557" s="141">
        <f>IFERROR(VLOOKUP($B1557,calc_data,H$14+1,0),0)</f>
        <v/>
      </c>
      <c r="I1557" s="142">
        <f>IFERROR(VLOOKUP($B1557,calc_data,I$14+1,0),0)</f>
        <v/>
      </c>
      <c r="J1557" s="141">
        <f>IFERROR(VLOOKUP($B1557,calc_data,J$14+1,0),0)</f>
        <v/>
      </c>
      <c r="K1557" s="141">
        <f>IFERROR(VLOOKUP($B1557,calc_data,K$14+1,0),0)</f>
        <v/>
      </c>
      <c r="L1557" s="141">
        <f>IFERROR(VLOOKUP($B1557,calc_data,L$14+1,0),0)</f>
        <v/>
      </c>
      <c r="M1557" s="177">
        <f>IFERROR(VLOOKUP($B1557,calc_data,M$14+1,0),0)</f>
        <v/>
      </c>
      <c r="N1557" s="177">
        <f>IFERROR(VLOOKUP($B1557,calc_data,N$14+1,0),0)</f>
        <v/>
      </c>
      <c r="O1557" s="45" t="n"/>
      <c r="Q1557" s="57">
        <f>IF(K1557&gt;0,"показать","скрыть")</f>
        <v/>
      </c>
    </row>
    <row r="1558" ht="15.75" customHeight="1">
      <c r="B1558" s="182" t="n">
        <v>1542</v>
      </c>
      <c r="C1558" s="182">
        <f>IFERROR(VLOOKUP($B1558,calc_data,C$14+1,0),0)</f>
        <v/>
      </c>
      <c r="D1558" s="182">
        <f>IFERROR(VLOOKUP($B1558,calc_data,D$14+1,0),0)</f>
        <v/>
      </c>
      <c r="E1558" s="183">
        <f>IFERROR(VLOOKUP($B1558,calc_data,E$14+1,0),0)</f>
        <v/>
      </c>
      <c r="F1558" s="182">
        <f>IFERROR(VLOOKUP($B1558,calc_data,F$14+1,0),0)</f>
        <v/>
      </c>
      <c r="G1558" s="141">
        <f>IFERROR(VLOOKUP($B1558,calc_data,G$14+1,0),0)</f>
        <v/>
      </c>
      <c r="H1558" s="141">
        <f>IFERROR(VLOOKUP($B1558,calc_data,H$14+1,0),0)</f>
        <v/>
      </c>
      <c r="I1558" s="142">
        <f>IFERROR(VLOOKUP($B1558,calc_data,I$14+1,0),0)</f>
        <v/>
      </c>
      <c r="J1558" s="141">
        <f>IFERROR(VLOOKUP($B1558,calc_data,J$14+1,0),0)</f>
        <v/>
      </c>
      <c r="K1558" s="141">
        <f>IFERROR(VLOOKUP($B1558,calc_data,K$14+1,0),0)</f>
        <v/>
      </c>
      <c r="L1558" s="141">
        <f>IFERROR(VLOOKUP($B1558,calc_data,L$14+1,0),0)</f>
        <v/>
      </c>
      <c r="M1558" s="177">
        <f>IFERROR(VLOOKUP($B1558,calc_data,M$14+1,0),0)</f>
        <v/>
      </c>
      <c r="N1558" s="177">
        <f>IFERROR(VLOOKUP($B1558,calc_data,N$14+1,0),0)</f>
        <v/>
      </c>
      <c r="O1558" s="45" t="n"/>
      <c r="Q1558" s="57">
        <f>IF(K1558&gt;0,"показать","скрыть")</f>
        <v/>
      </c>
    </row>
    <row r="1559" ht="15.75" customHeight="1">
      <c r="B1559" s="182" t="n">
        <v>1543</v>
      </c>
      <c r="C1559" s="182">
        <f>IFERROR(VLOOKUP($B1559,calc_data,C$14+1,0),0)</f>
        <v/>
      </c>
      <c r="D1559" s="182">
        <f>IFERROR(VLOOKUP($B1559,calc_data,D$14+1,0),0)</f>
        <v/>
      </c>
      <c r="E1559" s="183">
        <f>IFERROR(VLOOKUP($B1559,calc_data,E$14+1,0),0)</f>
        <v/>
      </c>
      <c r="F1559" s="182">
        <f>IFERROR(VLOOKUP($B1559,calc_data,F$14+1,0),0)</f>
        <v/>
      </c>
      <c r="G1559" s="141">
        <f>IFERROR(VLOOKUP($B1559,calc_data,G$14+1,0),0)</f>
        <v/>
      </c>
      <c r="H1559" s="141">
        <f>IFERROR(VLOOKUP($B1559,calc_data,H$14+1,0),0)</f>
        <v/>
      </c>
      <c r="I1559" s="142">
        <f>IFERROR(VLOOKUP($B1559,calc_data,I$14+1,0),0)</f>
        <v/>
      </c>
      <c r="J1559" s="141">
        <f>IFERROR(VLOOKUP($B1559,calc_data,J$14+1,0),0)</f>
        <v/>
      </c>
      <c r="K1559" s="141">
        <f>IFERROR(VLOOKUP($B1559,calc_data,K$14+1,0),0)</f>
        <v/>
      </c>
      <c r="L1559" s="141">
        <f>IFERROR(VLOOKUP($B1559,calc_data,L$14+1,0),0)</f>
        <v/>
      </c>
      <c r="M1559" s="177">
        <f>IFERROR(VLOOKUP($B1559,calc_data,M$14+1,0),0)</f>
        <v/>
      </c>
      <c r="N1559" s="177">
        <f>IFERROR(VLOOKUP($B1559,calc_data,N$14+1,0),0)</f>
        <v/>
      </c>
      <c r="O1559" s="45" t="n"/>
      <c r="Q1559" s="57">
        <f>IF(K1559&gt;0,"показать","скрыть")</f>
        <v/>
      </c>
    </row>
    <row r="1560" ht="15.75" customHeight="1">
      <c r="B1560" s="182" t="n">
        <v>1544</v>
      </c>
      <c r="C1560" s="182">
        <f>IFERROR(VLOOKUP($B1560,calc_data,C$14+1,0),0)</f>
        <v/>
      </c>
      <c r="D1560" s="182">
        <f>IFERROR(VLOOKUP($B1560,calc_data,D$14+1,0),0)</f>
        <v/>
      </c>
      <c r="E1560" s="183">
        <f>IFERROR(VLOOKUP($B1560,calc_data,E$14+1,0),0)</f>
        <v/>
      </c>
      <c r="F1560" s="182">
        <f>IFERROR(VLOOKUP($B1560,calc_data,F$14+1,0),0)</f>
        <v/>
      </c>
      <c r="G1560" s="141">
        <f>IFERROR(VLOOKUP($B1560,calc_data,G$14+1,0),0)</f>
        <v/>
      </c>
      <c r="H1560" s="141">
        <f>IFERROR(VLOOKUP($B1560,calc_data,H$14+1,0),0)</f>
        <v/>
      </c>
      <c r="I1560" s="142">
        <f>IFERROR(VLOOKUP($B1560,calc_data,I$14+1,0),0)</f>
        <v/>
      </c>
      <c r="J1560" s="141">
        <f>IFERROR(VLOOKUP($B1560,calc_data,J$14+1,0),0)</f>
        <v/>
      </c>
      <c r="K1560" s="141">
        <f>IFERROR(VLOOKUP($B1560,calc_data,K$14+1,0),0)</f>
        <v/>
      </c>
      <c r="L1560" s="141">
        <f>IFERROR(VLOOKUP($B1560,calc_data,L$14+1,0),0)</f>
        <v/>
      </c>
      <c r="M1560" s="177">
        <f>IFERROR(VLOOKUP($B1560,calc_data,M$14+1,0),0)</f>
        <v/>
      </c>
      <c r="N1560" s="177">
        <f>IFERROR(VLOOKUP($B1560,calc_data,N$14+1,0),0)</f>
        <v/>
      </c>
      <c r="O1560" s="45" t="n"/>
      <c r="Q1560" s="57">
        <f>IF(K1560&gt;0,"показать","скрыть")</f>
        <v/>
      </c>
    </row>
    <row r="1561" ht="15.75" customHeight="1">
      <c r="B1561" s="182" t="n">
        <v>1545</v>
      </c>
      <c r="C1561" s="182">
        <f>IFERROR(VLOOKUP($B1561,calc_data,C$14+1,0),0)</f>
        <v/>
      </c>
      <c r="D1561" s="182">
        <f>IFERROR(VLOOKUP($B1561,calc_data,D$14+1,0),0)</f>
        <v/>
      </c>
      <c r="E1561" s="183">
        <f>IFERROR(VLOOKUP($B1561,calc_data,E$14+1,0),0)</f>
        <v/>
      </c>
      <c r="F1561" s="182">
        <f>IFERROR(VLOOKUP($B1561,calc_data,F$14+1,0),0)</f>
        <v/>
      </c>
      <c r="G1561" s="141">
        <f>IFERROR(VLOOKUP($B1561,calc_data,G$14+1,0),0)</f>
        <v/>
      </c>
      <c r="H1561" s="141">
        <f>IFERROR(VLOOKUP($B1561,calc_data,H$14+1,0),0)</f>
        <v/>
      </c>
      <c r="I1561" s="142">
        <f>IFERROR(VLOOKUP($B1561,calc_data,I$14+1,0),0)</f>
        <v/>
      </c>
      <c r="J1561" s="141">
        <f>IFERROR(VLOOKUP($B1561,calc_data,J$14+1,0),0)</f>
        <v/>
      </c>
      <c r="K1561" s="141">
        <f>IFERROR(VLOOKUP($B1561,calc_data,K$14+1,0),0)</f>
        <v/>
      </c>
      <c r="L1561" s="141">
        <f>IFERROR(VLOOKUP($B1561,calc_data,L$14+1,0),0)</f>
        <v/>
      </c>
      <c r="M1561" s="177">
        <f>IFERROR(VLOOKUP($B1561,calc_data,M$14+1,0),0)</f>
        <v/>
      </c>
      <c r="N1561" s="177">
        <f>IFERROR(VLOOKUP($B1561,calc_data,N$14+1,0),0)</f>
        <v/>
      </c>
      <c r="O1561" s="45" t="n"/>
      <c r="Q1561" s="57">
        <f>IF(K1561&gt;0,"показать","скрыть")</f>
        <v/>
      </c>
    </row>
    <row r="1562" ht="15.75" customHeight="1">
      <c r="B1562" s="182" t="n">
        <v>1546</v>
      </c>
      <c r="C1562" s="182">
        <f>IFERROR(VLOOKUP($B1562,calc_data,C$14+1,0),0)</f>
        <v/>
      </c>
      <c r="D1562" s="182">
        <f>IFERROR(VLOOKUP($B1562,calc_data,D$14+1,0),0)</f>
        <v/>
      </c>
      <c r="E1562" s="183">
        <f>IFERROR(VLOOKUP($B1562,calc_data,E$14+1,0),0)</f>
        <v/>
      </c>
      <c r="F1562" s="182">
        <f>IFERROR(VLOOKUP($B1562,calc_data,F$14+1,0),0)</f>
        <v/>
      </c>
      <c r="G1562" s="141">
        <f>IFERROR(VLOOKUP($B1562,calc_data,G$14+1,0),0)</f>
        <v/>
      </c>
      <c r="H1562" s="141">
        <f>IFERROR(VLOOKUP($B1562,calc_data,H$14+1,0),0)</f>
        <v/>
      </c>
      <c r="I1562" s="142">
        <f>IFERROR(VLOOKUP($B1562,calc_data,I$14+1,0),0)</f>
        <v/>
      </c>
      <c r="J1562" s="141">
        <f>IFERROR(VLOOKUP($B1562,calc_data,J$14+1,0),0)</f>
        <v/>
      </c>
      <c r="K1562" s="141">
        <f>IFERROR(VLOOKUP($B1562,calc_data,K$14+1,0),0)</f>
        <v/>
      </c>
      <c r="L1562" s="141">
        <f>IFERROR(VLOOKUP($B1562,calc_data,L$14+1,0),0)</f>
        <v/>
      </c>
      <c r="M1562" s="177">
        <f>IFERROR(VLOOKUP($B1562,calc_data,M$14+1,0),0)</f>
        <v/>
      </c>
      <c r="N1562" s="177">
        <f>IFERROR(VLOOKUP($B1562,calc_data,N$14+1,0),0)</f>
        <v/>
      </c>
      <c r="O1562" s="45" t="n"/>
      <c r="Q1562" s="57">
        <f>IF(K1562&gt;0,"показать","скрыть")</f>
        <v/>
      </c>
    </row>
    <row r="1563" ht="15.75" customHeight="1">
      <c r="B1563" s="182" t="n">
        <v>1547</v>
      </c>
      <c r="C1563" s="182">
        <f>IFERROR(VLOOKUP($B1563,calc_data,C$14+1,0),0)</f>
        <v/>
      </c>
      <c r="D1563" s="182">
        <f>IFERROR(VLOOKUP($B1563,calc_data,D$14+1,0),0)</f>
        <v/>
      </c>
      <c r="E1563" s="183">
        <f>IFERROR(VLOOKUP($B1563,calc_data,E$14+1,0),0)</f>
        <v/>
      </c>
      <c r="F1563" s="182">
        <f>IFERROR(VLOOKUP($B1563,calc_data,F$14+1,0),0)</f>
        <v/>
      </c>
      <c r="G1563" s="141">
        <f>IFERROR(VLOOKUP($B1563,calc_data,G$14+1,0),0)</f>
        <v/>
      </c>
      <c r="H1563" s="141">
        <f>IFERROR(VLOOKUP($B1563,calc_data,H$14+1,0),0)</f>
        <v/>
      </c>
      <c r="I1563" s="142">
        <f>IFERROR(VLOOKUP($B1563,calc_data,I$14+1,0),0)</f>
        <v/>
      </c>
      <c r="J1563" s="141">
        <f>IFERROR(VLOOKUP($B1563,calc_data,J$14+1,0),0)</f>
        <v/>
      </c>
      <c r="K1563" s="141">
        <f>IFERROR(VLOOKUP($B1563,calc_data,K$14+1,0),0)</f>
        <v/>
      </c>
      <c r="L1563" s="141">
        <f>IFERROR(VLOOKUP($B1563,calc_data,L$14+1,0),0)</f>
        <v/>
      </c>
      <c r="M1563" s="177">
        <f>IFERROR(VLOOKUP($B1563,calc_data,M$14+1,0),0)</f>
        <v/>
      </c>
      <c r="N1563" s="177">
        <f>IFERROR(VLOOKUP($B1563,calc_data,N$14+1,0),0)</f>
        <v/>
      </c>
      <c r="O1563" s="45" t="n"/>
      <c r="Q1563" s="57">
        <f>IF(K1563&gt;0,"показать","скрыть")</f>
        <v/>
      </c>
    </row>
    <row r="1564" ht="15.75" customHeight="1">
      <c r="B1564" s="182" t="n">
        <v>1548</v>
      </c>
      <c r="C1564" s="182">
        <f>IFERROR(VLOOKUP($B1564,calc_data,C$14+1,0),0)</f>
        <v/>
      </c>
      <c r="D1564" s="182">
        <f>IFERROR(VLOOKUP($B1564,calc_data,D$14+1,0),0)</f>
        <v/>
      </c>
      <c r="E1564" s="183">
        <f>IFERROR(VLOOKUP($B1564,calc_data,E$14+1,0),0)</f>
        <v/>
      </c>
      <c r="F1564" s="182">
        <f>IFERROR(VLOOKUP($B1564,calc_data,F$14+1,0),0)</f>
        <v/>
      </c>
      <c r="G1564" s="141">
        <f>IFERROR(VLOOKUP($B1564,calc_data,G$14+1,0),0)</f>
        <v/>
      </c>
      <c r="H1564" s="141">
        <f>IFERROR(VLOOKUP($B1564,calc_data,H$14+1,0),0)</f>
        <v/>
      </c>
      <c r="I1564" s="142">
        <f>IFERROR(VLOOKUP($B1564,calc_data,I$14+1,0),0)</f>
        <v/>
      </c>
      <c r="J1564" s="141">
        <f>IFERROR(VLOOKUP($B1564,calc_data,J$14+1,0),0)</f>
        <v/>
      </c>
      <c r="K1564" s="141">
        <f>IFERROR(VLOOKUP($B1564,calc_data,K$14+1,0),0)</f>
        <v/>
      </c>
      <c r="L1564" s="141">
        <f>IFERROR(VLOOKUP($B1564,calc_data,L$14+1,0),0)</f>
        <v/>
      </c>
      <c r="M1564" s="177">
        <f>IFERROR(VLOOKUP($B1564,calc_data,M$14+1,0),0)</f>
        <v/>
      </c>
      <c r="N1564" s="177">
        <f>IFERROR(VLOOKUP($B1564,calc_data,N$14+1,0),0)</f>
        <v/>
      </c>
      <c r="O1564" s="45" t="n"/>
      <c r="Q1564" s="57">
        <f>IF(K1564&gt;0,"показать","скрыть")</f>
        <v/>
      </c>
    </row>
    <row r="1565" ht="15.75" customHeight="1">
      <c r="B1565" s="182" t="n">
        <v>1549</v>
      </c>
      <c r="C1565" s="182">
        <f>IFERROR(VLOOKUP($B1565,calc_data,C$14+1,0),0)</f>
        <v/>
      </c>
      <c r="D1565" s="182">
        <f>IFERROR(VLOOKUP($B1565,calc_data,D$14+1,0),0)</f>
        <v/>
      </c>
      <c r="E1565" s="183">
        <f>IFERROR(VLOOKUP($B1565,calc_data,E$14+1,0),0)</f>
        <v/>
      </c>
      <c r="F1565" s="182">
        <f>IFERROR(VLOOKUP($B1565,calc_data,F$14+1,0),0)</f>
        <v/>
      </c>
      <c r="G1565" s="141">
        <f>IFERROR(VLOOKUP($B1565,calc_data,G$14+1,0),0)</f>
        <v/>
      </c>
      <c r="H1565" s="141">
        <f>IFERROR(VLOOKUP($B1565,calc_data,H$14+1,0),0)</f>
        <v/>
      </c>
      <c r="I1565" s="142">
        <f>IFERROR(VLOOKUP($B1565,calc_data,I$14+1,0),0)</f>
        <v/>
      </c>
      <c r="J1565" s="141">
        <f>IFERROR(VLOOKUP($B1565,calc_data,J$14+1,0),0)</f>
        <v/>
      </c>
      <c r="K1565" s="141">
        <f>IFERROR(VLOOKUP($B1565,calc_data,K$14+1,0),0)</f>
        <v/>
      </c>
      <c r="L1565" s="141">
        <f>IFERROR(VLOOKUP($B1565,calc_data,L$14+1,0),0)</f>
        <v/>
      </c>
      <c r="M1565" s="177">
        <f>IFERROR(VLOOKUP($B1565,calc_data,M$14+1,0),0)</f>
        <v/>
      </c>
      <c r="N1565" s="177">
        <f>IFERROR(VLOOKUP($B1565,calc_data,N$14+1,0),0)</f>
        <v/>
      </c>
      <c r="O1565" s="45" t="n"/>
      <c r="Q1565" s="57">
        <f>IF(K1565&gt;0,"показать","скрыть")</f>
        <v/>
      </c>
    </row>
    <row r="1566" ht="15.75" customHeight="1">
      <c r="B1566" s="182" t="n">
        <v>1550</v>
      </c>
      <c r="C1566" s="182">
        <f>IFERROR(VLOOKUP($B1566,calc_data,C$14+1,0),0)</f>
        <v/>
      </c>
      <c r="D1566" s="182">
        <f>IFERROR(VLOOKUP($B1566,calc_data,D$14+1,0),0)</f>
        <v/>
      </c>
      <c r="E1566" s="183">
        <f>IFERROR(VLOOKUP($B1566,calc_data,E$14+1,0),0)</f>
        <v/>
      </c>
      <c r="F1566" s="182">
        <f>IFERROR(VLOOKUP($B1566,calc_data,F$14+1,0),0)</f>
        <v/>
      </c>
      <c r="G1566" s="141">
        <f>IFERROR(VLOOKUP($B1566,calc_data,G$14+1,0),0)</f>
        <v/>
      </c>
      <c r="H1566" s="141">
        <f>IFERROR(VLOOKUP($B1566,calc_data,H$14+1,0),0)</f>
        <v/>
      </c>
      <c r="I1566" s="142">
        <f>IFERROR(VLOOKUP($B1566,calc_data,I$14+1,0),0)</f>
        <v/>
      </c>
      <c r="J1566" s="141">
        <f>IFERROR(VLOOKUP($B1566,calc_data,J$14+1,0),0)</f>
        <v/>
      </c>
      <c r="K1566" s="141">
        <f>IFERROR(VLOOKUP($B1566,calc_data,K$14+1,0),0)</f>
        <v/>
      </c>
      <c r="L1566" s="141">
        <f>IFERROR(VLOOKUP($B1566,calc_data,L$14+1,0),0)</f>
        <v/>
      </c>
      <c r="M1566" s="177">
        <f>IFERROR(VLOOKUP($B1566,calc_data,M$14+1,0),0)</f>
        <v/>
      </c>
      <c r="N1566" s="177">
        <f>IFERROR(VLOOKUP($B1566,calc_data,N$14+1,0),0)</f>
        <v/>
      </c>
      <c r="O1566" s="45" t="n"/>
      <c r="Q1566" s="57">
        <f>IF(K1566&gt;0,"показать","скрыть")</f>
        <v/>
      </c>
    </row>
    <row r="1567" ht="15.75" customHeight="1">
      <c r="B1567" s="182" t="n">
        <v>1551</v>
      </c>
      <c r="C1567" s="182">
        <f>IFERROR(VLOOKUP($B1567,calc_data,C$14+1,0),0)</f>
        <v/>
      </c>
      <c r="D1567" s="182">
        <f>IFERROR(VLOOKUP($B1567,calc_data,D$14+1,0),0)</f>
        <v/>
      </c>
      <c r="E1567" s="183">
        <f>IFERROR(VLOOKUP($B1567,calc_data,E$14+1,0),0)</f>
        <v/>
      </c>
      <c r="F1567" s="182">
        <f>IFERROR(VLOOKUP($B1567,calc_data,F$14+1,0),0)</f>
        <v/>
      </c>
      <c r="G1567" s="141">
        <f>IFERROR(VLOOKUP($B1567,calc_data,G$14+1,0),0)</f>
        <v/>
      </c>
      <c r="H1567" s="141">
        <f>IFERROR(VLOOKUP($B1567,calc_data,H$14+1,0),0)</f>
        <v/>
      </c>
      <c r="I1567" s="142">
        <f>IFERROR(VLOOKUP($B1567,calc_data,I$14+1,0),0)</f>
        <v/>
      </c>
      <c r="J1567" s="141">
        <f>IFERROR(VLOOKUP($B1567,calc_data,J$14+1,0),0)</f>
        <v/>
      </c>
      <c r="K1567" s="141">
        <f>IFERROR(VLOOKUP($B1567,calc_data,K$14+1,0),0)</f>
        <v/>
      </c>
      <c r="L1567" s="141">
        <f>IFERROR(VLOOKUP($B1567,calc_data,L$14+1,0),0)</f>
        <v/>
      </c>
      <c r="M1567" s="177">
        <f>IFERROR(VLOOKUP($B1567,calc_data,M$14+1,0),0)</f>
        <v/>
      </c>
      <c r="N1567" s="177">
        <f>IFERROR(VLOOKUP($B1567,calc_data,N$14+1,0),0)</f>
        <v/>
      </c>
      <c r="O1567" s="45" t="n"/>
      <c r="Q1567" s="57">
        <f>IF(K1567&gt;0,"показать","скрыть")</f>
        <v/>
      </c>
    </row>
    <row r="1568" ht="15.75" customHeight="1">
      <c r="B1568" s="182" t="n">
        <v>1552</v>
      </c>
      <c r="C1568" s="182">
        <f>IFERROR(VLOOKUP($B1568,calc_data,C$14+1,0),0)</f>
        <v/>
      </c>
      <c r="D1568" s="182">
        <f>IFERROR(VLOOKUP($B1568,calc_data,D$14+1,0),0)</f>
        <v/>
      </c>
      <c r="E1568" s="183">
        <f>IFERROR(VLOOKUP($B1568,calc_data,E$14+1,0),0)</f>
        <v/>
      </c>
      <c r="F1568" s="182">
        <f>IFERROR(VLOOKUP($B1568,calc_data,F$14+1,0),0)</f>
        <v/>
      </c>
      <c r="G1568" s="141">
        <f>IFERROR(VLOOKUP($B1568,calc_data,G$14+1,0),0)</f>
        <v/>
      </c>
      <c r="H1568" s="141">
        <f>IFERROR(VLOOKUP($B1568,calc_data,H$14+1,0),0)</f>
        <v/>
      </c>
      <c r="I1568" s="142">
        <f>IFERROR(VLOOKUP($B1568,calc_data,I$14+1,0),0)</f>
        <v/>
      </c>
      <c r="J1568" s="141">
        <f>IFERROR(VLOOKUP($B1568,calc_data,J$14+1,0),0)</f>
        <v/>
      </c>
      <c r="K1568" s="141">
        <f>IFERROR(VLOOKUP($B1568,calc_data,K$14+1,0),0)</f>
        <v/>
      </c>
      <c r="L1568" s="141">
        <f>IFERROR(VLOOKUP($B1568,calc_data,L$14+1,0),0)</f>
        <v/>
      </c>
      <c r="M1568" s="177">
        <f>IFERROR(VLOOKUP($B1568,calc_data,M$14+1,0),0)</f>
        <v/>
      </c>
      <c r="N1568" s="177">
        <f>IFERROR(VLOOKUP($B1568,calc_data,N$14+1,0),0)</f>
        <v/>
      </c>
      <c r="O1568" s="45" t="n"/>
      <c r="Q1568" s="57">
        <f>IF(K1568&gt;0,"показать","скрыть")</f>
        <v/>
      </c>
    </row>
    <row r="1569" ht="15.75" customHeight="1">
      <c r="B1569" s="182" t="n">
        <v>1553</v>
      </c>
      <c r="C1569" s="182">
        <f>IFERROR(VLOOKUP($B1569,calc_data,C$14+1,0),0)</f>
        <v/>
      </c>
      <c r="D1569" s="182">
        <f>IFERROR(VLOOKUP($B1569,calc_data,D$14+1,0),0)</f>
        <v/>
      </c>
      <c r="E1569" s="183">
        <f>IFERROR(VLOOKUP($B1569,calc_data,E$14+1,0),0)</f>
        <v/>
      </c>
      <c r="F1569" s="182">
        <f>IFERROR(VLOOKUP($B1569,calc_data,F$14+1,0),0)</f>
        <v/>
      </c>
      <c r="G1569" s="141">
        <f>IFERROR(VLOOKUP($B1569,calc_data,G$14+1,0),0)</f>
        <v/>
      </c>
      <c r="H1569" s="141">
        <f>IFERROR(VLOOKUP($B1569,calc_data,H$14+1,0),0)</f>
        <v/>
      </c>
      <c r="I1569" s="142">
        <f>IFERROR(VLOOKUP($B1569,calc_data,I$14+1,0),0)</f>
        <v/>
      </c>
      <c r="J1569" s="141">
        <f>IFERROR(VLOOKUP($B1569,calc_data,J$14+1,0),0)</f>
        <v/>
      </c>
      <c r="K1569" s="141">
        <f>IFERROR(VLOOKUP($B1569,calc_data,K$14+1,0),0)</f>
        <v/>
      </c>
      <c r="L1569" s="141">
        <f>IFERROR(VLOOKUP($B1569,calc_data,L$14+1,0),0)</f>
        <v/>
      </c>
      <c r="M1569" s="177">
        <f>IFERROR(VLOOKUP($B1569,calc_data,M$14+1,0),0)</f>
        <v/>
      </c>
      <c r="N1569" s="177">
        <f>IFERROR(VLOOKUP($B1569,calc_data,N$14+1,0),0)</f>
        <v/>
      </c>
      <c r="O1569" s="45" t="n"/>
      <c r="Q1569" s="57">
        <f>IF(K1569&gt;0,"показать","скрыть")</f>
        <v/>
      </c>
    </row>
    <row r="1570" ht="15.75" customHeight="1">
      <c r="B1570" s="182" t="n">
        <v>1554</v>
      </c>
      <c r="C1570" s="182">
        <f>IFERROR(VLOOKUP($B1570,calc_data,C$14+1,0),0)</f>
        <v/>
      </c>
      <c r="D1570" s="182">
        <f>IFERROR(VLOOKUP($B1570,calc_data,D$14+1,0),0)</f>
        <v/>
      </c>
      <c r="E1570" s="183">
        <f>IFERROR(VLOOKUP($B1570,calc_data,E$14+1,0),0)</f>
        <v/>
      </c>
      <c r="F1570" s="182">
        <f>IFERROR(VLOOKUP($B1570,calc_data,F$14+1,0),0)</f>
        <v/>
      </c>
      <c r="G1570" s="141">
        <f>IFERROR(VLOOKUP($B1570,calc_data,G$14+1,0),0)</f>
        <v/>
      </c>
      <c r="H1570" s="141">
        <f>IFERROR(VLOOKUP($B1570,calc_data,H$14+1,0),0)</f>
        <v/>
      </c>
      <c r="I1570" s="142">
        <f>IFERROR(VLOOKUP($B1570,calc_data,I$14+1,0),0)</f>
        <v/>
      </c>
      <c r="J1570" s="141">
        <f>IFERROR(VLOOKUP($B1570,calc_data,J$14+1,0),0)</f>
        <v/>
      </c>
      <c r="K1570" s="141">
        <f>IFERROR(VLOOKUP($B1570,calc_data,K$14+1,0),0)</f>
        <v/>
      </c>
      <c r="L1570" s="141">
        <f>IFERROR(VLOOKUP($B1570,calc_data,L$14+1,0),0)</f>
        <v/>
      </c>
      <c r="M1570" s="177">
        <f>IFERROR(VLOOKUP($B1570,calc_data,M$14+1,0),0)</f>
        <v/>
      </c>
      <c r="N1570" s="177">
        <f>IFERROR(VLOOKUP($B1570,calc_data,N$14+1,0),0)</f>
        <v/>
      </c>
      <c r="O1570" s="45" t="n"/>
      <c r="Q1570" s="57">
        <f>IF(K1570&gt;0,"показать","скрыть")</f>
        <v/>
      </c>
    </row>
    <row r="1571" ht="15.75" customHeight="1">
      <c r="B1571" s="182" t="n">
        <v>1555</v>
      </c>
      <c r="C1571" s="182">
        <f>IFERROR(VLOOKUP($B1571,calc_data,C$14+1,0),0)</f>
        <v/>
      </c>
      <c r="D1571" s="182">
        <f>IFERROR(VLOOKUP($B1571,calc_data,D$14+1,0),0)</f>
        <v/>
      </c>
      <c r="E1571" s="183">
        <f>IFERROR(VLOOKUP($B1571,calc_data,E$14+1,0),0)</f>
        <v/>
      </c>
      <c r="F1571" s="182">
        <f>IFERROR(VLOOKUP($B1571,calc_data,F$14+1,0),0)</f>
        <v/>
      </c>
      <c r="G1571" s="141">
        <f>IFERROR(VLOOKUP($B1571,calc_data,G$14+1,0),0)</f>
        <v/>
      </c>
      <c r="H1571" s="141">
        <f>IFERROR(VLOOKUP($B1571,calc_data,H$14+1,0),0)</f>
        <v/>
      </c>
      <c r="I1571" s="142">
        <f>IFERROR(VLOOKUP($B1571,calc_data,I$14+1,0),0)</f>
        <v/>
      </c>
      <c r="J1571" s="141">
        <f>IFERROR(VLOOKUP($B1571,calc_data,J$14+1,0),0)</f>
        <v/>
      </c>
      <c r="K1571" s="141">
        <f>IFERROR(VLOOKUP($B1571,calc_data,K$14+1,0),0)</f>
        <v/>
      </c>
      <c r="L1571" s="141">
        <f>IFERROR(VLOOKUP($B1571,calc_data,L$14+1,0),0)</f>
        <v/>
      </c>
      <c r="M1571" s="177">
        <f>IFERROR(VLOOKUP($B1571,calc_data,M$14+1,0),0)</f>
        <v/>
      </c>
      <c r="N1571" s="177">
        <f>IFERROR(VLOOKUP($B1571,calc_data,N$14+1,0),0)</f>
        <v/>
      </c>
      <c r="O1571" s="45" t="n"/>
      <c r="Q1571" s="57">
        <f>IF(K1571&gt;0,"показать","скрыть")</f>
        <v/>
      </c>
    </row>
    <row r="1572" ht="15.75" customHeight="1">
      <c r="B1572" s="182" t="n">
        <v>1556</v>
      </c>
      <c r="C1572" s="182">
        <f>IFERROR(VLOOKUP($B1572,calc_data,C$14+1,0),0)</f>
        <v/>
      </c>
      <c r="D1572" s="182">
        <f>IFERROR(VLOOKUP($B1572,calc_data,D$14+1,0),0)</f>
        <v/>
      </c>
      <c r="E1572" s="183">
        <f>IFERROR(VLOOKUP($B1572,calc_data,E$14+1,0),0)</f>
        <v/>
      </c>
      <c r="F1572" s="182">
        <f>IFERROR(VLOOKUP($B1572,calc_data,F$14+1,0),0)</f>
        <v/>
      </c>
      <c r="G1572" s="141">
        <f>IFERROR(VLOOKUP($B1572,calc_data,G$14+1,0),0)</f>
        <v/>
      </c>
      <c r="H1572" s="141">
        <f>IFERROR(VLOOKUP($B1572,calc_data,H$14+1,0),0)</f>
        <v/>
      </c>
      <c r="I1572" s="142">
        <f>IFERROR(VLOOKUP($B1572,calc_data,I$14+1,0),0)</f>
        <v/>
      </c>
      <c r="J1572" s="141">
        <f>IFERROR(VLOOKUP($B1572,calc_data,J$14+1,0),0)</f>
        <v/>
      </c>
      <c r="K1572" s="141">
        <f>IFERROR(VLOOKUP($B1572,calc_data,K$14+1,0),0)</f>
        <v/>
      </c>
      <c r="L1572" s="141">
        <f>IFERROR(VLOOKUP($B1572,calc_data,L$14+1,0),0)</f>
        <v/>
      </c>
      <c r="M1572" s="177">
        <f>IFERROR(VLOOKUP($B1572,calc_data,M$14+1,0),0)</f>
        <v/>
      </c>
      <c r="N1572" s="177">
        <f>IFERROR(VLOOKUP($B1572,calc_data,N$14+1,0),0)</f>
        <v/>
      </c>
      <c r="O1572" s="45" t="n"/>
      <c r="Q1572" s="57">
        <f>IF(K1572&gt;0,"показать","скрыть")</f>
        <v/>
      </c>
    </row>
    <row r="1573" ht="15.75" customHeight="1">
      <c r="B1573" s="182" t="n">
        <v>1557</v>
      </c>
      <c r="C1573" s="182">
        <f>IFERROR(VLOOKUP($B1573,calc_data,C$14+1,0),0)</f>
        <v/>
      </c>
      <c r="D1573" s="182">
        <f>IFERROR(VLOOKUP($B1573,calc_data,D$14+1,0),0)</f>
        <v/>
      </c>
      <c r="E1573" s="183">
        <f>IFERROR(VLOOKUP($B1573,calc_data,E$14+1,0),0)</f>
        <v/>
      </c>
      <c r="F1573" s="182">
        <f>IFERROR(VLOOKUP($B1573,calc_data,F$14+1,0),0)</f>
        <v/>
      </c>
      <c r="G1573" s="141">
        <f>IFERROR(VLOOKUP($B1573,calc_data,G$14+1,0),0)</f>
        <v/>
      </c>
      <c r="H1573" s="141">
        <f>IFERROR(VLOOKUP($B1573,calc_data,H$14+1,0),0)</f>
        <v/>
      </c>
      <c r="I1573" s="142">
        <f>IFERROR(VLOOKUP($B1573,calc_data,I$14+1,0),0)</f>
        <v/>
      </c>
      <c r="J1573" s="141">
        <f>IFERROR(VLOOKUP($B1573,calc_data,J$14+1,0),0)</f>
        <v/>
      </c>
      <c r="K1573" s="141">
        <f>IFERROR(VLOOKUP($B1573,calc_data,K$14+1,0),0)</f>
        <v/>
      </c>
      <c r="L1573" s="141">
        <f>IFERROR(VLOOKUP($B1573,calc_data,L$14+1,0),0)</f>
        <v/>
      </c>
      <c r="M1573" s="177">
        <f>IFERROR(VLOOKUP($B1573,calc_data,M$14+1,0),0)</f>
        <v/>
      </c>
      <c r="N1573" s="177">
        <f>IFERROR(VLOOKUP($B1573,calc_data,N$14+1,0),0)</f>
        <v/>
      </c>
      <c r="O1573" s="45" t="n"/>
      <c r="Q1573" s="57">
        <f>IF(K1573&gt;0,"показать","скрыть")</f>
        <v/>
      </c>
    </row>
    <row r="1574" ht="15.75" customHeight="1">
      <c r="B1574" s="182" t="n">
        <v>1558</v>
      </c>
      <c r="C1574" s="182">
        <f>IFERROR(VLOOKUP($B1574,calc_data,C$14+1,0),0)</f>
        <v/>
      </c>
      <c r="D1574" s="182">
        <f>IFERROR(VLOOKUP($B1574,calc_data,D$14+1,0),0)</f>
        <v/>
      </c>
      <c r="E1574" s="183">
        <f>IFERROR(VLOOKUP($B1574,calc_data,E$14+1,0),0)</f>
        <v/>
      </c>
      <c r="F1574" s="182">
        <f>IFERROR(VLOOKUP($B1574,calc_data,F$14+1,0),0)</f>
        <v/>
      </c>
      <c r="G1574" s="141">
        <f>IFERROR(VLOOKUP($B1574,calc_data,G$14+1,0),0)</f>
        <v/>
      </c>
      <c r="H1574" s="141">
        <f>IFERROR(VLOOKUP($B1574,calc_data,H$14+1,0),0)</f>
        <v/>
      </c>
      <c r="I1574" s="142">
        <f>IFERROR(VLOOKUP($B1574,calc_data,I$14+1,0),0)</f>
        <v/>
      </c>
      <c r="J1574" s="141">
        <f>IFERROR(VLOOKUP($B1574,calc_data,J$14+1,0),0)</f>
        <v/>
      </c>
      <c r="K1574" s="141">
        <f>IFERROR(VLOOKUP($B1574,calc_data,K$14+1,0),0)</f>
        <v/>
      </c>
      <c r="L1574" s="141">
        <f>IFERROR(VLOOKUP($B1574,calc_data,L$14+1,0),0)</f>
        <v/>
      </c>
      <c r="M1574" s="177">
        <f>IFERROR(VLOOKUP($B1574,calc_data,M$14+1,0),0)</f>
        <v/>
      </c>
      <c r="N1574" s="177">
        <f>IFERROR(VLOOKUP($B1574,calc_data,N$14+1,0),0)</f>
        <v/>
      </c>
      <c r="O1574" s="45" t="n"/>
      <c r="Q1574" s="57">
        <f>IF(K1574&gt;0,"показать","скрыть")</f>
        <v/>
      </c>
    </row>
    <row r="1575" ht="15.75" customHeight="1">
      <c r="B1575" s="182" t="n">
        <v>1559</v>
      </c>
      <c r="C1575" s="182">
        <f>IFERROR(VLOOKUP($B1575,calc_data,C$14+1,0),0)</f>
        <v/>
      </c>
      <c r="D1575" s="182">
        <f>IFERROR(VLOOKUP($B1575,calc_data,D$14+1,0),0)</f>
        <v/>
      </c>
      <c r="E1575" s="183">
        <f>IFERROR(VLOOKUP($B1575,calc_data,E$14+1,0),0)</f>
        <v/>
      </c>
      <c r="F1575" s="182">
        <f>IFERROR(VLOOKUP($B1575,calc_data,F$14+1,0),0)</f>
        <v/>
      </c>
      <c r="G1575" s="141">
        <f>IFERROR(VLOOKUP($B1575,calc_data,G$14+1,0),0)</f>
        <v/>
      </c>
      <c r="H1575" s="141">
        <f>IFERROR(VLOOKUP($B1575,calc_data,H$14+1,0),0)</f>
        <v/>
      </c>
      <c r="I1575" s="142">
        <f>IFERROR(VLOOKUP($B1575,calc_data,I$14+1,0),0)</f>
        <v/>
      </c>
      <c r="J1575" s="141">
        <f>IFERROR(VLOOKUP($B1575,calc_data,J$14+1,0),0)</f>
        <v/>
      </c>
      <c r="K1575" s="141">
        <f>IFERROR(VLOOKUP($B1575,calc_data,K$14+1,0),0)</f>
        <v/>
      </c>
      <c r="L1575" s="141">
        <f>IFERROR(VLOOKUP($B1575,calc_data,L$14+1,0),0)</f>
        <v/>
      </c>
      <c r="M1575" s="177">
        <f>IFERROR(VLOOKUP($B1575,calc_data,M$14+1,0),0)</f>
        <v/>
      </c>
      <c r="N1575" s="177">
        <f>IFERROR(VLOOKUP($B1575,calc_data,N$14+1,0),0)</f>
        <v/>
      </c>
      <c r="O1575" s="45" t="n"/>
      <c r="Q1575" s="57">
        <f>IF(K1575&gt;0,"показать","скрыть")</f>
        <v/>
      </c>
    </row>
    <row r="1576" ht="15.75" customHeight="1">
      <c r="B1576" s="182" t="n">
        <v>1560</v>
      </c>
      <c r="C1576" s="182">
        <f>IFERROR(VLOOKUP($B1576,calc_data,C$14+1,0),0)</f>
        <v/>
      </c>
      <c r="D1576" s="182">
        <f>IFERROR(VLOOKUP($B1576,calc_data,D$14+1,0),0)</f>
        <v/>
      </c>
      <c r="E1576" s="183">
        <f>IFERROR(VLOOKUP($B1576,calc_data,E$14+1,0),0)</f>
        <v/>
      </c>
      <c r="F1576" s="182">
        <f>IFERROR(VLOOKUP($B1576,calc_data,F$14+1,0),0)</f>
        <v/>
      </c>
      <c r="G1576" s="141">
        <f>IFERROR(VLOOKUP($B1576,calc_data,G$14+1,0),0)</f>
        <v/>
      </c>
      <c r="H1576" s="141">
        <f>IFERROR(VLOOKUP($B1576,calc_data,H$14+1,0),0)</f>
        <v/>
      </c>
      <c r="I1576" s="142">
        <f>IFERROR(VLOOKUP($B1576,calc_data,I$14+1,0),0)</f>
        <v/>
      </c>
      <c r="J1576" s="141">
        <f>IFERROR(VLOOKUP($B1576,calc_data,J$14+1,0),0)</f>
        <v/>
      </c>
      <c r="K1576" s="141">
        <f>IFERROR(VLOOKUP($B1576,calc_data,K$14+1,0),0)</f>
        <v/>
      </c>
      <c r="L1576" s="141">
        <f>IFERROR(VLOOKUP($B1576,calc_data,L$14+1,0),0)</f>
        <v/>
      </c>
      <c r="M1576" s="177">
        <f>IFERROR(VLOOKUP($B1576,calc_data,M$14+1,0),0)</f>
        <v/>
      </c>
      <c r="N1576" s="177">
        <f>IFERROR(VLOOKUP($B1576,calc_data,N$14+1,0),0)</f>
        <v/>
      </c>
      <c r="O1576" s="45" t="n"/>
      <c r="Q1576" s="57">
        <f>IF(K1576&gt;0,"показать","скрыть")</f>
        <v/>
      </c>
    </row>
    <row r="1577" ht="15.75" customHeight="1">
      <c r="B1577" s="182" t="n">
        <v>1561</v>
      </c>
      <c r="C1577" s="182">
        <f>IFERROR(VLOOKUP($B1577,calc_data,C$14+1,0),0)</f>
        <v/>
      </c>
      <c r="D1577" s="182">
        <f>IFERROR(VLOOKUP($B1577,calc_data,D$14+1,0),0)</f>
        <v/>
      </c>
      <c r="E1577" s="183">
        <f>IFERROR(VLOOKUP($B1577,calc_data,E$14+1,0),0)</f>
        <v/>
      </c>
      <c r="F1577" s="182">
        <f>IFERROR(VLOOKUP($B1577,calc_data,F$14+1,0),0)</f>
        <v/>
      </c>
      <c r="G1577" s="141">
        <f>IFERROR(VLOOKUP($B1577,calc_data,G$14+1,0),0)</f>
        <v/>
      </c>
      <c r="H1577" s="141">
        <f>IFERROR(VLOOKUP($B1577,calc_data,H$14+1,0),0)</f>
        <v/>
      </c>
      <c r="I1577" s="142">
        <f>IFERROR(VLOOKUP($B1577,calc_data,I$14+1,0),0)</f>
        <v/>
      </c>
      <c r="J1577" s="141">
        <f>IFERROR(VLOOKUP($B1577,calc_data,J$14+1,0),0)</f>
        <v/>
      </c>
      <c r="K1577" s="141">
        <f>IFERROR(VLOOKUP($B1577,calc_data,K$14+1,0),0)</f>
        <v/>
      </c>
      <c r="L1577" s="141">
        <f>IFERROR(VLOOKUP($B1577,calc_data,L$14+1,0),0)</f>
        <v/>
      </c>
      <c r="M1577" s="177">
        <f>IFERROR(VLOOKUP($B1577,calc_data,M$14+1,0),0)</f>
        <v/>
      </c>
      <c r="N1577" s="177">
        <f>IFERROR(VLOOKUP($B1577,calc_data,N$14+1,0),0)</f>
        <v/>
      </c>
      <c r="O1577" s="45" t="n"/>
      <c r="Q1577" s="57">
        <f>IF(K1577&gt;0,"показать","скрыть")</f>
        <v/>
      </c>
    </row>
    <row r="1578" ht="15.75" customHeight="1">
      <c r="B1578" s="182" t="n">
        <v>1562</v>
      </c>
      <c r="C1578" s="182">
        <f>IFERROR(VLOOKUP($B1578,calc_data,C$14+1,0),0)</f>
        <v/>
      </c>
      <c r="D1578" s="182">
        <f>IFERROR(VLOOKUP($B1578,calc_data,D$14+1,0),0)</f>
        <v/>
      </c>
      <c r="E1578" s="183">
        <f>IFERROR(VLOOKUP($B1578,calc_data,E$14+1,0),0)</f>
        <v/>
      </c>
      <c r="F1578" s="182">
        <f>IFERROR(VLOOKUP($B1578,calc_data,F$14+1,0),0)</f>
        <v/>
      </c>
      <c r="G1578" s="141">
        <f>IFERROR(VLOOKUP($B1578,calc_data,G$14+1,0),0)</f>
        <v/>
      </c>
      <c r="H1578" s="141">
        <f>IFERROR(VLOOKUP($B1578,calc_data,H$14+1,0),0)</f>
        <v/>
      </c>
      <c r="I1578" s="142">
        <f>IFERROR(VLOOKUP($B1578,calc_data,I$14+1,0),0)</f>
        <v/>
      </c>
      <c r="J1578" s="141">
        <f>IFERROR(VLOOKUP($B1578,calc_data,J$14+1,0),0)</f>
        <v/>
      </c>
      <c r="K1578" s="141">
        <f>IFERROR(VLOOKUP($B1578,calc_data,K$14+1,0),0)</f>
        <v/>
      </c>
      <c r="L1578" s="141">
        <f>IFERROR(VLOOKUP($B1578,calc_data,L$14+1,0),0)</f>
        <v/>
      </c>
      <c r="M1578" s="177">
        <f>IFERROR(VLOOKUP($B1578,calc_data,M$14+1,0),0)</f>
        <v/>
      </c>
      <c r="N1578" s="177">
        <f>IFERROR(VLOOKUP($B1578,calc_data,N$14+1,0),0)</f>
        <v/>
      </c>
      <c r="O1578" s="45" t="n"/>
      <c r="Q1578" s="57">
        <f>IF(K1578&gt;0,"показать","скрыть")</f>
        <v/>
      </c>
    </row>
    <row r="1579" ht="15.75" customHeight="1">
      <c r="B1579" s="182" t="n">
        <v>1563</v>
      </c>
      <c r="C1579" s="182">
        <f>IFERROR(VLOOKUP($B1579,calc_data,C$14+1,0),0)</f>
        <v/>
      </c>
      <c r="D1579" s="182">
        <f>IFERROR(VLOOKUP($B1579,calc_data,D$14+1,0),0)</f>
        <v/>
      </c>
      <c r="E1579" s="183">
        <f>IFERROR(VLOOKUP($B1579,calc_data,E$14+1,0),0)</f>
        <v/>
      </c>
      <c r="F1579" s="182">
        <f>IFERROR(VLOOKUP($B1579,calc_data,F$14+1,0),0)</f>
        <v/>
      </c>
      <c r="G1579" s="141">
        <f>IFERROR(VLOOKUP($B1579,calc_data,G$14+1,0),0)</f>
        <v/>
      </c>
      <c r="H1579" s="141">
        <f>IFERROR(VLOOKUP($B1579,calc_data,H$14+1,0),0)</f>
        <v/>
      </c>
      <c r="I1579" s="142">
        <f>IFERROR(VLOOKUP($B1579,calc_data,I$14+1,0),0)</f>
        <v/>
      </c>
      <c r="J1579" s="141">
        <f>IFERROR(VLOOKUP($B1579,calc_data,J$14+1,0),0)</f>
        <v/>
      </c>
      <c r="K1579" s="141">
        <f>IFERROR(VLOOKUP($B1579,calc_data,K$14+1,0),0)</f>
        <v/>
      </c>
      <c r="L1579" s="141">
        <f>IFERROR(VLOOKUP($B1579,calc_data,L$14+1,0),0)</f>
        <v/>
      </c>
      <c r="M1579" s="177">
        <f>IFERROR(VLOOKUP($B1579,calc_data,M$14+1,0),0)</f>
        <v/>
      </c>
      <c r="N1579" s="177">
        <f>IFERROR(VLOOKUP($B1579,calc_data,N$14+1,0),0)</f>
        <v/>
      </c>
      <c r="O1579" s="45" t="n"/>
      <c r="Q1579" s="57">
        <f>IF(K1579&gt;0,"показать","скрыть")</f>
        <v/>
      </c>
    </row>
    <row r="1580" ht="15.75" customHeight="1">
      <c r="B1580" s="182" t="n">
        <v>1564</v>
      </c>
      <c r="C1580" s="182">
        <f>IFERROR(VLOOKUP($B1580,calc_data,C$14+1,0),0)</f>
        <v/>
      </c>
      <c r="D1580" s="182">
        <f>IFERROR(VLOOKUP($B1580,calc_data,D$14+1,0),0)</f>
        <v/>
      </c>
      <c r="E1580" s="183">
        <f>IFERROR(VLOOKUP($B1580,calc_data,E$14+1,0),0)</f>
        <v/>
      </c>
      <c r="F1580" s="182">
        <f>IFERROR(VLOOKUP($B1580,calc_data,F$14+1,0),0)</f>
        <v/>
      </c>
      <c r="G1580" s="141">
        <f>IFERROR(VLOOKUP($B1580,calc_data,G$14+1,0),0)</f>
        <v/>
      </c>
      <c r="H1580" s="141">
        <f>IFERROR(VLOOKUP($B1580,calc_data,H$14+1,0),0)</f>
        <v/>
      </c>
      <c r="I1580" s="142">
        <f>IFERROR(VLOOKUP($B1580,calc_data,I$14+1,0),0)</f>
        <v/>
      </c>
      <c r="J1580" s="141">
        <f>IFERROR(VLOOKUP($B1580,calc_data,J$14+1,0),0)</f>
        <v/>
      </c>
      <c r="K1580" s="141">
        <f>IFERROR(VLOOKUP($B1580,calc_data,K$14+1,0),0)</f>
        <v/>
      </c>
      <c r="L1580" s="141">
        <f>IFERROR(VLOOKUP($B1580,calc_data,L$14+1,0),0)</f>
        <v/>
      </c>
      <c r="M1580" s="177">
        <f>IFERROR(VLOOKUP($B1580,calc_data,M$14+1,0),0)</f>
        <v/>
      </c>
      <c r="N1580" s="177">
        <f>IFERROR(VLOOKUP($B1580,calc_data,N$14+1,0),0)</f>
        <v/>
      </c>
      <c r="O1580" s="45" t="n"/>
      <c r="Q1580" s="57">
        <f>IF(K1580&gt;0,"показать","скрыть")</f>
        <v/>
      </c>
    </row>
    <row r="1581" ht="15.75" customHeight="1">
      <c r="B1581" s="182" t="n">
        <v>1565</v>
      </c>
      <c r="C1581" s="182">
        <f>IFERROR(VLOOKUP($B1581,calc_data,C$14+1,0),0)</f>
        <v/>
      </c>
      <c r="D1581" s="182">
        <f>IFERROR(VLOOKUP($B1581,calc_data,D$14+1,0),0)</f>
        <v/>
      </c>
      <c r="E1581" s="183">
        <f>IFERROR(VLOOKUP($B1581,calc_data,E$14+1,0),0)</f>
        <v/>
      </c>
      <c r="F1581" s="182">
        <f>IFERROR(VLOOKUP($B1581,calc_data,F$14+1,0),0)</f>
        <v/>
      </c>
      <c r="G1581" s="141">
        <f>IFERROR(VLOOKUP($B1581,calc_data,G$14+1,0),0)</f>
        <v/>
      </c>
      <c r="H1581" s="141">
        <f>IFERROR(VLOOKUP($B1581,calc_data,H$14+1,0),0)</f>
        <v/>
      </c>
      <c r="I1581" s="142">
        <f>IFERROR(VLOOKUP($B1581,calc_data,I$14+1,0),0)</f>
        <v/>
      </c>
      <c r="J1581" s="141">
        <f>IFERROR(VLOOKUP($B1581,calc_data,J$14+1,0),0)</f>
        <v/>
      </c>
      <c r="K1581" s="141">
        <f>IFERROR(VLOOKUP($B1581,calc_data,K$14+1,0),0)</f>
        <v/>
      </c>
      <c r="L1581" s="141">
        <f>IFERROR(VLOOKUP($B1581,calc_data,L$14+1,0),0)</f>
        <v/>
      </c>
      <c r="M1581" s="177">
        <f>IFERROR(VLOOKUP($B1581,calc_data,M$14+1,0),0)</f>
        <v/>
      </c>
      <c r="N1581" s="177">
        <f>IFERROR(VLOOKUP($B1581,calc_data,N$14+1,0),0)</f>
        <v/>
      </c>
      <c r="O1581" s="45" t="n"/>
      <c r="Q1581" s="57">
        <f>IF(K1581&gt;0,"показать","скрыть")</f>
        <v/>
      </c>
    </row>
    <row r="1582" ht="15.75" customHeight="1">
      <c r="B1582" s="182" t="n">
        <v>1566</v>
      </c>
      <c r="C1582" s="182">
        <f>IFERROR(VLOOKUP($B1582,calc_data,C$14+1,0),0)</f>
        <v/>
      </c>
      <c r="D1582" s="182">
        <f>IFERROR(VLOOKUP($B1582,calc_data,D$14+1,0),0)</f>
        <v/>
      </c>
      <c r="E1582" s="183">
        <f>IFERROR(VLOOKUP($B1582,calc_data,E$14+1,0),0)</f>
        <v/>
      </c>
      <c r="F1582" s="182">
        <f>IFERROR(VLOOKUP($B1582,calc_data,F$14+1,0),0)</f>
        <v/>
      </c>
      <c r="G1582" s="141">
        <f>IFERROR(VLOOKUP($B1582,calc_data,G$14+1,0),0)</f>
        <v/>
      </c>
      <c r="H1582" s="141">
        <f>IFERROR(VLOOKUP($B1582,calc_data,H$14+1,0),0)</f>
        <v/>
      </c>
      <c r="I1582" s="142">
        <f>IFERROR(VLOOKUP($B1582,calc_data,I$14+1,0),0)</f>
        <v/>
      </c>
      <c r="J1582" s="141">
        <f>IFERROR(VLOOKUP($B1582,calc_data,J$14+1,0),0)</f>
        <v/>
      </c>
      <c r="K1582" s="141">
        <f>IFERROR(VLOOKUP($B1582,calc_data,K$14+1,0),0)</f>
        <v/>
      </c>
      <c r="L1582" s="141">
        <f>IFERROR(VLOOKUP($B1582,calc_data,L$14+1,0),0)</f>
        <v/>
      </c>
      <c r="M1582" s="177">
        <f>IFERROR(VLOOKUP($B1582,calc_data,M$14+1,0),0)</f>
        <v/>
      </c>
      <c r="N1582" s="177">
        <f>IFERROR(VLOOKUP($B1582,calc_data,N$14+1,0),0)</f>
        <v/>
      </c>
      <c r="O1582" s="45" t="n"/>
      <c r="Q1582" s="57">
        <f>IF(K1582&gt;0,"показать","скрыть")</f>
        <v/>
      </c>
    </row>
    <row r="1583" ht="15.75" customHeight="1">
      <c r="B1583" s="182" t="n">
        <v>1567</v>
      </c>
      <c r="C1583" s="182">
        <f>IFERROR(VLOOKUP($B1583,calc_data,C$14+1,0),0)</f>
        <v/>
      </c>
      <c r="D1583" s="182">
        <f>IFERROR(VLOOKUP($B1583,calc_data,D$14+1,0),0)</f>
        <v/>
      </c>
      <c r="E1583" s="183">
        <f>IFERROR(VLOOKUP($B1583,calc_data,E$14+1,0),0)</f>
        <v/>
      </c>
      <c r="F1583" s="182">
        <f>IFERROR(VLOOKUP($B1583,calc_data,F$14+1,0),0)</f>
        <v/>
      </c>
      <c r="G1583" s="141">
        <f>IFERROR(VLOOKUP($B1583,calc_data,G$14+1,0),0)</f>
        <v/>
      </c>
      <c r="H1583" s="141">
        <f>IFERROR(VLOOKUP($B1583,calc_data,H$14+1,0),0)</f>
        <v/>
      </c>
      <c r="I1583" s="142">
        <f>IFERROR(VLOOKUP($B1583,calc_data,I$14+1,0),0)</f>
        <v/>
      </c>
      <c r="J1583" s="141">
        <f>IFERROR(VLOOKUP($B1583,calc_data,J$14+1,0),0)</f>
        <v/>
      </c>
      <c r="K1583" s="141">
        <f>IFERROR(VLOOKUP($B1583,calc_data,K$14+1,0),0)</f>
        <v/>
      </c>
      <c r="L1583" s="141">
        <f>IFERROR(VLOOKUP($B1583,calc_data,L$14+1,0),0)</f>
        <v/>
      </c>
      <c r="M1583" s="177">
        <f>IFERROR(VLOOKUP($B1583,calc_data,M$14+1,0),0)</f>
        <v/>
      </c>
      <c r="N1583" s="177">
        <f>IFERROR(VLOOKUP($B1583,calc_data,N$14+1,0),0)</f>
        <v/>
      </c>
      <c r="O1583" s="45" t="n"/>
      <c r="Q1583" s="57">
        <f>IF(K1583&gt;0,"показать","скрыть")</f>
        <v/>
      </c>
    </row>
    <row r="1584" ht="15.75" customHeight="1">
      <c r="B1584" s="182" t="n">
        <v>1568</v>
      </c>
      <c r="C1584" s="182">
        <f>IFERROR(VLOOKUP($B1584,calc_data,C$14+1,0),0)</f>
        <v/>
      </c>
      <c r="D1584" s="182">
        <f>IFERROR(VLOOKUP($B1584,calc_data,D$14+1,0),0)</f>
        <v/>
      </c>
      <c r="E1584" s="183">
        <f>IFERROR(VLOOKUP($B1584,calc_data,E$14+1,0),0)</f>
        <v/>
      </c>
      <c r="F1584" s="182">
        <f>IFERROR(VLOOKUP($B1584,calc_data,F$14+1,0),0)</f>
        <v/>
      </c>
      <c r="G1584" s="141">
        <f>IFERROR(VLOOKUP($B1584,calc_data,G$14+1,0),0)</f>
        <v/>
      </c>
      <c r="H1584" s="141">
        <f>IFERROR(VLOOKUP($B1584,calc_data,H$14+1,0),0)</f>
        <v/>
      </c>
      <c r="I1584" s="142">
        <f>IFERROR(VLOOKUP($B1584,calc_data,I$14+1,0),0)</f>
        <v/>
      </c>
      <c r="J1584" s="141">
        <f>IFERROR(VLOOKUP($B1584,calc_data,J$14+1,0),0)</f>
        <v/>
      </c>
      <c r="K1584" s="141">
        <f>IFERROR(VLOOKUP($B1584,calc_data,K$14+1,0),0)</f>
        <v/>
      </c>
      <c r="L1584" s="141">
        <f>IFERROR(VLOOKUP($B1584,calc_data,L$14+1,0),0)</f>
        <v/>
      </c>
      <c r="M1584" s="177">
        <f>IFERROR(VLOOKUP($B1584,calc_data,M$14+1,0),0)</f>
        <v/>
      </c>
      <c r="N1584" s="177">
        <f>IFERROR(VLOOKUP($B1584,calc_data,N$14+1,0),0)</f>
        <v/>
      </c>
      <c r="O1584" s="45" t="n"/>
      <c r="Q1584" s="57">
        <f>IF(K1584&gt;0,"показать","скрыть")</f>
        <v/>
      </c>
    </row>
    <row r="1585" ht="15.75" customHeight="1">
      <c r="B1585" s="182" t="n">
        <v>1569</v>
      </c>
      <c r="C1585" s="182">
        <f>IFERROR(VLOOKUP($B1585,calc_data,C$14+1,0),0)</f>
        <v/>
      </c>
      <c r="D1585" s="182">
        <f>IFERROR(VLOOKUP($B1585,calc_data,D$14+1,0),0)</f>
        <v/>
      </c>
      <c r="E1585" s="183">
        <f>IFERROR(VLOOKUP($B1585,calc_data,E$14+1,0),0)</f>
        <v/>
      </c>
      <c r="F1585" s="182">
        <f>IFERROR(VLOOKUP($B1585,calc_data,F$14+1,0),0)</f>
        <v/>
      </c>
      <c r="G1585" s="141">
        <f>IFERROR(VLOOKUP($B1585,calc_data,G$14+1,0),0)</f>
        <v/>
      </c>
      <c r="H1585" s="141">
        <f>IFERROR(VLOOKUP($B1585,calc_data,H$14+1,0),0)</f>
        <v/>
      </c>
      <c r="I1585" s="142">
        <f>IFERROR(VLOOKUP($B1585,calc_data,I$14+1,0),0)</f>
        <v/>
      </c>
      <c r="J1585" s="141">
        <f>IFERROR(VLOOKUP($B1585,calc_data,J$14+1,0),0)</f>
        <v/>
      </c>
      <c r="K1585" s="141">
        <f>IFERROR(VLOOKUP($B1585,calc_data,K$14+1,0),0)</f>
        <v/>
      </c>
      <c r="L1585" s="141">
        <f>IFERROR(VLOOKUP($B1585,calc_data,L$14+1,0),0)</f>
        <v/>
      </c>
      <c r="M1585" s="177">
        <f>IFERROR(VLOOKUP($B1585,calc_data,M$14+1,0),0)</f>
        <v/>
      </c>
      <c r="N1585" s="177">
        <f>IFERROR(VLOOKUP($B1585,calc_data,N$14+1,0),0)</f>
        <v/>
      </c>
      <c r="O1585" s="45" t="n"/>
      <c r="Q1585" s="57">
        <f>IF(K1585&gt;0,"показать","скрыть")</f>
        <v/>
      </c>
    </row>
    <row r="1586" ht="15.75" customHeight="1">
      <c r="B1586" s="182" t="n">
        <v>1570</v>
      </c>
      <c r="C1586" s="182">
        <f>IFERROR(VLOOKUP($B1586,calc_data,C$14+1,0),0)</f>
        <v/>
      </c>
      <c r="D1586" s="182">
        <f>IFERROR(VLOOKUP($B1586,calc_data,D$14+1,0),0)</f>
        <v/>
      </c>
      <c r="E1586" s="183">
        <f>IFERROR(VLOOKUP($B1586,calc_data,E$14+1,0),0)</f>
        <v/>
      </c>
      <c r="F1586" s="182">
        <f>IFERROR(VLOOKUP($B1586,calc_data,F$14+1,0),0)</f>
        <v/>
      </c>
      <c r="G1586" s="141">
        <f>IFERROR(VLOOKUP($B1586,calc_data,G$14+1,0),0)</f>
        <v/>
      </c>
      <c r="H1586" s="141">
        <f>IFERROR(VLOOKUP($B1586,calc_data,H$14+1,0),0)</f>
        <v/>
      </c>
      <c r="I1586" s="142">
        <f>IFERROR(VLOOKUP($B1586,calc_data,I$14+1,0),0)</f>
        <v/>
      </c>
      <c r="J1586" s="141">
        <f>IFERROR(VLOOKUP($B1586,calc_data,J$14+1,0),0)</f>
        <v/>
      </c>
      <c r="K1586" s="141">
        <f>IFERROR(VLOOKUP($B1586,calc_data,K$14+1,0),0)</f>
        <v/>
      </c>
      <c r="L1586" s="141">
        <f>IFERROR(VLOOKUP($B1586,calc_data,L$14+1,0),0)</f>
        <v/>
      </c>
      <c r="M1586" s="177">
        <f>IFERROR(VLOOKUP($B1586,calc_data,M$14+1,0),0)</f>
        <v/>
      </c>
      <c r="N1586" s="177">
        <f>IFERROR(VLOOKUP($B1586,calc_data,N$14+1,0),0)</f>
        <v/>
      </c>
      <c r="O1586" s="45" t="n"/>
      <c r="Q1586" s="57">
        <f>IF(K1586&gt;0,"показать","скрыть")</f>
        <v/>
      </c>
    </row>
    <row r="1587" ht="15.75" customHeight="1">
      <c r="B1587" s="182" t="n">
        <v>1571</v>
      </c>
      <c r="C1587" s="182">
        <f>IFERROR(VLOOKUP($B1587,calc_data,C$14+1,0),0)</f>
        <v/>
      </c>
      <c r="D1587" s="182">
        <f>IFERROR(VLOOKUP($B1587,calc_data,D$14+1,0),0)</f>
        <v/>
      </c>
      <c r="E1587" s="183">
        <f>IFERROR(VLOOKUP($B1587,calc_data,E$14+1,0),0)</f>
        <v/>
      </c>
      <c r="F1587" s="182">
        <f>IFERROR(VLOOKUP($B1587,calc_data,F$14+1,0),0)</f>
        <v/>
      </c>
      <c r="G1587" s="141">
        <f>IFERROR(VLOOKUP($B1587,calc_data,G$14+1,0),0)</f>
        <v/>
      </c>
      <c r="H1587" s="141">
        <f>IFERROR(VLOOKUP($B1587,calc_data,H$14+1,0),0)</f>
        <v/>
      </c>
      <c r="I1587" s="142">
        <f>IFERROR(VLOOKUP($B1587,calc_data,I$14+1,0),0)</f>
        <v/>
      </c>
      <c r="J1587" s="141">
        <f>IFERROR(VLOOKUP($B1587,calc_data,J$14+1,0),0)</f>
        <v/>
      </c>
      <c r="K1587" s="141">
        <f>IFERROR(VLOOKUP($B1587,calc_data,K$14+1,0),0)</f>
        <v/>
      </c>
      <c r="L1587" s="141">
        <f>IFERROR(VLOOKUP($B1587,calc_data,L$14+1,0),0)</f>
        <v/>
      </c>
      <c r="M1587" s="177">
        <f>IFERROR(VLOOKUP($B1587,calc_data,M$14+1,0),0)</f>
        <v/>
      </c>
      <c r="N1587" s="177">
        <f>IFERROR(VLOOKUP($B1587,calc_data,N$14+1,0),0)</f>
        <v/>
      </c>
      <c r="O1587" s="45" t="n"/>
      <c r="Q1587" s="57">
        <f>IF(K1587&gt;0,"показать","скрыть")</f>
        <v/>
      </c>
    </row>
    <row r="1588" ht="15.75" customHeight="1">
      <c r="B1588" s="182" t="n">
        <v>1572</v>
      </c>
      <c r="C1588" s="182">
        <f>IFERROR(VLOOKUP($B1588,calc_data,C$14+1,0),0)</f>
        <v/>
      </c>
      <c r="D1588" s="182">
        <f>IFERROR(VLOOKUP($B1588,calc_data,D$14+1,0),0)</f>
        <v/>
      </c>
      <c r="E1588" s="183">
        <f>IFERROR(VLOOKUP($B1588,calc_data,E$14+1,0),0)</f>
        <v/>
      </c>
      <c r="F1588" s="182">
        <f>IFERROR(VLOOKUP($B1588,calc_data,F$14+1,0),0)</f>
        <v/>
      </c>
      <c r="G1588" s="141">
        <f>IFERROR(VLOOKUP($B1588,calc_data,G$14+1,0),0)</f>
        <v/>
      </c>
      <c r="H1588" s="141">
        <f>IFERROR(VLOOKUP($B1588,calc_data,H$14+1,0),0)</f>
        <v/>
      </c>
      <c r="I1588" s="142">
        <f>IFERROR(VLOOKUP($B1588,calc_data,I$14+1,0),0)</f>
        <v/>
      </c>
      <c r="J1588" s="141">
        <f>IFERROR(VLOOKUP($B1588,calc_data,J$14+1,0),0)</f>
        <v/>
      </c>
      <c r="K1588" s="141">
        <f>IFERROR(VLOOKUP($B1588,calc_data,K$14+1,0),0)</f>
        <v/>
      </c>
      <c r="L1588" s="141">
        <f>IFERROR(VLOOKUP($B1588,calc_data,L$14+1,0),0)</f>
        <v/>
      </c>
      <c r="M1588" s="177">
        <f>IFERROR(VLOOKUP($B1588,calc_data,M$14+1,0),0)</f>
        <v/>
      </c>
      <c r="N1588" s="177">
        <f>IFERROR(VLOOKUP($B1588,calc_data,N$14+1,0),0)</f>
        <v/>
      </c>
      <c r="O1588" s="45" t="n"/>
      <c r="Q1588" s="57">
        <f>IF(K1588&gt;0,"показать","скрыть")</f>
        <v/>
      </c>
    </row>
    <row r="1589" ht="15.75" customHeight="1">
      <c r="B1589" s="182" t="n">
        <v>1573</v>
      </c>
      <c r="C1589" s="182">
        <f>IFERROR(VLOOKUP($B1589,calc_data,C$14+1,0),0)</f>
        <v/>
      </c>
      <c r="D1589" s="182">
        <f>IFERROR(VLOOKUP($B1589,calc_data,D$14+1,0),0)</f>
        <v/>
      </c>
      <c r="E1589" s="183">
        <f>IFERROR(VLOOKUP($B1589,calc_data,E$14+1,0),0)</f>
        <v/>
      </c>
      <c r="F1589" s="182">
        <f>IFERROR(VLOOKUP($B1589,calc_data,F$14+1,0),0)</f>
        <v/>
      </c>
      <c r="G1589" s="141">
        <f>IFERROR(VLOOKUP($B1589,calc_data,G$14+1,0),0)</f>
        <v/>
      </c>
      <c r="H1589" s="141">
        <f>IFERROR(VLOOKUP($B1589,calc_data,H$14+1,0),0)</f>
        <v/>
      </c>
      <c r="I1589" s="142">
        <f>IFERROR(VLOOKUP($B1589,calc_data,I$14+1,0),0)</f>
        <v/>
      </c>
      <c r="J1589" s="141">
        <f>IFERROR(VLOOKUP($B1589,calc_data,J$14+1,0),0)</f>
        <v/>
      </c>
      <c r="K1589" s="141">
        <f>IFERROR(VLOOKUP($B1589,calc_data,K$14+1,0),0)</f>
        <v/>
      </c>
      <c r="L1589" s="141">
        <f>IFERROR(VLOOKUP($B1589,calc_data,L$14+1,0),0)</f>
        <v/>
      </c>
      <c r="M1589" s="177">
        <f>IFERROR(VLOOKUP($B1589,calc_data,M$14+1,0),0)</f>
        <v/>
      </c>
      <c r="N1589" s="177">
        <f>IFERROR(VLOOKUP($B1589,calc_data,N$14+1,0),0)</f>
        <v/>
      </c>
      <c r="O1589" s="45" t="n"/>
      <c r="Q1589" s="57">
        <f>IF(K1589&gt;0,"показать","скрыть")</f>
        <v/>
      </c>
    </row>
    <row r="1590" ht="15.75" customHeight="1">
      <c r="B1590" s="182" t="n">
        <v>1574</v>
      </c>
      <c r="C1590" s="182">
        <f>IFERROR(VLOOKUP($B1590,calc_data,C$14+1,0),0)</f>
        <v/>
      </c>
      <c r="D1590" s="182">
        <f>IFERROR(VLOOKUP($B1590,calc_data,D$14+1,0),0)</f>
        <v/>
      </c>
      <c r="E1590" s="183">
        <f>IFERROR(VLOOKUP($B1590,calc_data,E$14+1,0),0)</f>
        <v/>
      </c>
      <c r="F1590" s="182">
        <f>IFERROR(VLOOKUP($B1590,calc_data,F$14+1,0),0)</f>
        <v/>
      </c>
      <c r="G1590" s="141">
        <f>IFERROR(VLOOKUP($B1590,calc_data,G$14+1,0),0)</f>
        <v/>
      </c>
      <c r="H1590" s="141">
        <f>IFERROR(VLOOKUP($B1590,calc_data,H$14+1,0),0)</f>
        <v/>
      </c>
      <c r="I1590" s="142">
        <f>IFERROR(VLOOKUP($B1590,calc_data,I$14+1,0),0)</f>
        <v/>
      </c>
      <c r="J1590" s="141">
        <f>IFERROR(VLOOKUP($B1590,calc_data,J$14+1,0),0)</f>
        <v/>
      </c>
      <c r="K1590" s="141">
        <f>IFERROR(VLOOKUP($B1590,calc_data,K$14+1,0),0)</f>
        <v/>
      </c>
      <c r="L1590" s="141">
        <f>IFERROR(VLOOKUP($B1590,calc_data,L$14+1,0),0)</f>
        <v/>
      </c>
      <c r="M1590" s="177">
        <f>IFERROR(VLOOKUP($B1590,calc_data,M$14+1,0),0)</f>
        <v/>
      </c>
      <c r="N1590" s="177">
        <f>IFERROR(VLOOKUP($B1590,calc_data,N$14+1,0),0)</f>
        <v/>
      </c>
      <c r="O1590" s="45" t="n"/>
      <c r="Q1590" s="57">
        <f>IF(K1590&gt;0,"показать","скрыть")</f>
        <v/>
      </c>
    </row>
    <row r="1591" ht="15.75" customHeight="1">
      <c r="B1591" s="182" t="n">
        <v>1575</v>
      </c>
      <c r="C1591" s="182">
        <f>IFERROR(VLOOKUP($B1591,calc_data,C$14+1,0),0)</f>
        <v/>
      </c>
      <c r="D1591" s="182">
        <f>IFERROR(VLOOKUP($B1591,calc_data,D$14+1,0),0)</f>
        <v/>
      </c>
      <c r="E1591" s="183">
        <f>IFERROR(VLOOKUP($B1591,calc_data,E$14+1,0),0)</f>
        <v/>
      </c>
      <c r="F1591" s="182">
        <f>IFERROR(VLOOKUP($B1591,calc_data,F$14+1,0),0)</f>
        <v/>
      </c>
      <c r="G1591" s="141">
        <f>IFERROR(VLOOKUP($B1591,calc_data,G$14+1,0),0)</f>
        <v/>
      </c>
      <c r="H1591" s="141">
        <f>IFERROR(VLOOKUP($B1591,calc_data,H$14+1,0),0)</f>
        <v/>
      </c>
      <c r="I1591" s="142">
        <f>IFERROR(VLOOKUP($B1591,calc_data,I$14+1,0),0)</f>
        <v/>
      </c>
      <c r="J1591" s="141">
        <f>IFERROR(VLOOKUP($B1591,calc_data,J$14+1,0),0)</f>
        <v/>
      </c>
      <c r="K1591" s="141">
        <f>IFERROR(VLOOKUP($B1591,calc_data,K$14+1,0),0)</f>
        <v/>
      </c>
      <c r="L1591" s="141">
        <f>IFERROR(VLOOKUP($B1591,calc_data,L$14+1,0),0)</f>
        <v/>
      </c>
      <c r="M1591" s="177">
        <f>IFERROR(VLOOKUP($B1591,calc_data,M$14+1,0),0)</f>
        <v/>
      </c>
      <c r="N1591" s="177">
        <f>IFERROR(VLOOKUP($B1591,calc_data,N$14+1,0),0)</f>
        <v/>
      </c>
      <c r="O1591" s="45" t="n"/>
      <c r="Q1591" s="57">
        <f>IF(K1591&gt;0,"показать","скрыть")</f>
        <v/>
      </c>
    </row>
    <row r="1592" ht="15.75" customHeight="1">
      <c r="B1592" s="182" t="n">
        <v>1576</v>
      </c>
      <c r="C1592" s="182">
        <f>IFERROR(VLOOKUP($B1592,calc_data,C$14+1,0),0)</f>
        <v/>
      </c>
      <c r="D1592" s="182">
        <f>IFERROR(VLOOKUP($B1592,calc_data,D$14+1,0),0)</f>
        <v/>
      </c>
      <c r="E1592" s="183">
        <f>IFERROR(VLOOKUP($B1592,calc_data,E$14+1,0),0)</f>
        <v/>
      </c>
      <c r="F1592" s="182">
        <f>IFERROR(VLOOKUP($B1592,calc_data,F$14+1,0),0)</f>
        <v/>
      </c>
      <c r="G1592" s="141">
        <f>IFERROR(VLOOKUP($B1592,calc_data,G$14+1,0),0)</f>
        <v/>
      </c>
      <c r="H1592" s="141">
        <f>IFERROR(VLOOKUP($B1592,calc_data,H$14+1,0),0)</f>
        <v/>
      </c>
      <c r="I1592" s="142">
        <f>IFERROR(VLOOKUP($B1592,calc_data,I$14+1,0),0)</f>
        <v/>
      </c>
      <c r="J1592" s="141">
        <f>IFERROR(VLOOKUP($B1592,calc_data,J$14+1,0),0)</f>
        <v/>
      </c>
      <c r="K1592" s="141">
        <f>IFERROR(VLOOKUP($B1592,calc_data,K$14+1,0),0)</f>
        <v/>
      </c>
      <c r="L1592" s="141">
        <f>IFERROR(VLOOKUP($B1592,calc_data,L$14+1,0),0)</f>
        <v/>
      </c>
      <c r="M1592" s="177">
        <f>IFERROR(VLOOKUP($B1592,calc_data,M$14+1,0),0)</f>
        <v/>
      </c>
      <c r="N1592" s="177">
        <f>IFERROR(VLOOKUP($B1592,calc_data,N$14+1,0),0)</f>
        <v/>
      </c>
      <c r="O1592" s="45" t="n"/>
      <c r="Q1592" s="57">
        <f>IF(K1592&gt;0,"показать","скрыть")</f>
        <v/>
      </c>
    </row>
    <row r="1593" ht="15.75" customHeight="1">
      <c r="B1593" s="182" t="n">
        <v>1577</v>
      </c>
      <c r="C1593" s="182">
        <f>IFERROR(VLOOKUP($B1593,calc_data,C$14+1,0),0)</f>
        <v/>
      </c>
      <c r="D1593" s="182">
        <f>IFERROR(VLOOKUP($B1593,calc_data,D$14+1,0),0)</f>
        <v/>
      </c>
      <c r="E1593" s="183">
        <f>IFERROR(VLOOKUP($B1593,calc_data,E$14+1,0),0)</f>
        <v/>
      </c>
      <c r="F1593" s="182">
        <f>IFERROR(VLOOKUP($B1593,calc_data,F$14+1,0),0)</f>
        <v/>
      </c>
      <c r="G1593" s="141">
        <f>IFERROR(VLOOKUP($B1593,calc_data,G$14+1,0),0)</f>
        <v/>
      </c>
      <c r="H1593" s="141">
        <f>IFERROR(VLOOKUP($B1593,calc_data,H$14+1,0),0)</f>
        <v/>
      </c>
      <c r="I1593" s="142">
        <f>IFERROR(VLOOKUP($B1593,calc_data,I$14+1,0),0)</f>
        <v/>
      </c>
      <c r="J1593" s="141">
        <f>IFERROR(VLOOKUP($B1593,calc_data,J$14+1,0),0)</f>
        <v/>
      </c>
      <c r="K1593" s="141">
        <f>IFERROR(VLOOKUP($B1593,calc_data,K$14+1,0),0)</f>
        <v/>
      </c>
      <c r="L1593" s="141">
        <f>IFERROR(VLOOKUP($B1593,calc_data,L$14+1,0),0)</f>
        <v/>
      </c>
      <c r="M1593" s="177">
        <f>IFERROR(VLOOKUP($B1593,calc_data,M$14+1,0),0)</f>
        <v/>
      </c>
      <c r="N1593" s="177">
        <f>IFERROR(VLOOKUP($B1593,calc_data,N$14+1,0),0)</f>
        <v/>
      </c>
      <c r="O1593" s="45" t="n"/>
      <c r="Q1593" s="57">
        <f>IF(K1593&gt;0,"показать","скрыть")</f>
        <v/>
      </c>
    </row>
    <row r="1594" ht="15.75" customHeight="1">
      <c r="B1594" s="182" t="n">
        <v>1578</v>
      </c>
      <c r="C1594" s="182">
        <f>IFERROR(VLOOKUP($B1594,calc_data,C$14+1,0),0)</f>
        <v/>
      </c>
      <c r="D1594" s="182">
        <f>IFERROR(VLOOKUP($B1594,calc_data,D$14+1,0),0)</f>
        <v/>
      </c>
      <c r="E1594" s="183">
        <f>IFERROR(VLOOKUP($B1594,calc_data,E$14+1,0),0)</f>
        <v/>
      </c>
      <c r="F1594" s="182">
        <f>IFERROR(VLOOKUP($B1594,calc_data,F$14+1,0),0)</f>
        <v/>
      </c>
      <c r="G1594" s="141">
        <f>IFERROR(VLOOKUP($B1594,calc_data,G$14+1,0),0)</f>
        <v/>
      </c>
      <c r="H1594" s="141">
        <f>IFERROR(VLOOKUP($B1594,calc_data,H$14+1,0),0)</f>
        <v/>
      </c>
      <c r="I1594" s="142">
        <f>IFERROR(VLOOKUP($B1594,calc_data,I$14+1,0),0)</f>
        <v/>
      </c>
      <c r="J1594" s="141">
        <f>IFERROR(VLOOKUP($B1594,calc_data,J$14+1,0),0)</f>
        <v/>
      </c>
      <c r="K1594" s="141">
        <f>IFERROR(VLOOKUP($B1594,calc_data,K$14+1,0),0)</f>
        <v/>
      </c>
      <c r="L1594" s="141">
        <f>IFERROR(VLOOKUP($B1594,calc_data,L$14+1,0),0)</f>
        <v/>
      </c>
      <c r="M1594" s="177">
        <f>IFERROR(VLOOKUP($B1594,calc_data,M$14+1,0),0)</f>
        <v/>
      </c>
      <c r="N1594" s="177">
        <f>IFERROR(VLOOKUP($B1594,calc_data,N$14+1,0),0)</f>
        <v/>
      </c>
      <c r="O1594" s="45" t="n"/>
      <c r="Q1594" s="57">
        <f>IF(K1594&gt;0,"показать","скрыть")</f>
        <v/>
      </c>
    </row>
    <row r="1595" ht="15.75" customHeight="1">
      <c r="B1595" s="182" t="n">
        <v>1579</v>
      </c>
      <c r="C1595" s="182">
        <f>IFERROR(VLOOKUP($B1595,calc_data,C$14+1,0),0)</f>
        <v/>
      </c>
      <c r="D1595" s="182">
        <f>IFERROR(VLOOKUP($B1595,calc_data,D$14+1,0),0)</f>
        <v/>
      </c>
      <c r="E1595" s="183">
        <f>IFERROR(VLOOKUP($B1595,calc_data,E$14+1,0),0)</f>
        <v/>
      </c>
      <c r="F1595" s="182">
        <f>IFERROR(VLOOKUP($B1595,calc_data,F$14+1,0),0)</f>
        <v/>
      </c>
      <c r="G1595" s="141">
        <f>IFERROR(VLOOKUP($B1595,calc_data,G$14+1,0),0)</f>
        <v/>
      </c>
      <c r="H1595" s="141">
        <f>IFERROR(VLOOKUP($B1595,calc_data,H$14+1,0),0)</f>
        <v/>
      </c>
      <c r="I1595" s="142">
        <f>IFERROR(VLOOKUP($B1595,calc_data,I$14+1,0),0)</f>
        <v/>
      </c>
      <c r="J1595" s="141">
        <f>IFERROR(VLOOKUP($B1595,calc_data,J$14+1,0),0)</f>
        <v/>
      </c>
      <c r="K1595" s="141">
        <f>IFERROR(VLOOKUP($B1595,calc_data,K$14+1,0),0)</f>
        <v/>
      </c>
      <c r="L1595" s="141">
        <f>IFERROR(VLOOKUP($B1595,calc_data,L$14+1,0),0)</f>
        <v/>
      </c>
      <c r="M1595" s="177">
        <f>IFERROR(VLOOKUP($B1595,calc_data,M$14+1,0),0)</f>
        <v/>
      </c>
      <c r="N1595" s="177">
        <f>IFERROR(VLOOKUP($B1595,calc_data,N$14+1,0),0)</f>
        <v/>
      </c>
      <c r="O1595" s="45" t="n"/>
      <c r="Q1595" s="57">
        <f>IF(K1595&gt;0,"показать","скрыть")</f>
        <v/>
      </c>
    </row>
    <row r="1596" ht="15.75" customHeight="1">
      <c r="B1596" s="182" t="n">
        <v>1580</v>
      </c>
      <c r="C1596" s="182">
        <f>IFERROR(VLOOKUP($B1596,calc_data,C$14+1,0),0)</f>
        <v/>
      </c>
      <c r="D1596" s="182">
        <f>IFERROR(VLOOKUP($B1596,calc_data,D$14+1,0),0)</f>
        <v/>
      </c>
      <c r="E1596" s="183">
        <f>IFERROR(VLOOKUP($B1596,calc_data,E$14+1,0),0)</f>
        <v/>
      </c>
      <c r="F1596" s="182">
        <f>IFERROR(VLOOKUP($B1596,calc_data,F$14+1,0),0)</f>
        <v/>
      </c>
      <c r="G1596" s="141">
        <f>IFERROR(VLOOKUP($B1596,calc_data,G$14+1,0),0)</f>
        <v/>
      </c>
      <c r="H1596" s="141">
        <f>IFERROR(VLOOKUP($B1596,calc_data,H$14+1,0),0)</f>
        <v/>
      </c>
      <c r="I1596" s="142">
        <f>IFERROR(VLOOKUP($B1596,calc_data,I$14+1,0),0)</f>
        <v/>
      </c>
      <c r="J1596" s="141">
        <f>IFERROR(VLOOKUP($B1596,calc_data,J$14+1,0),0)</f>
        <v/>
      </c>
      <c r="K1596" s="141">
        <f>IFERROR(VLOOKUP($B1596,calc_data,K$14+1,0),0)</f>
        <v/>
      </c>
      <c r="L1596" s="141">
        <f>IFERROR(VLOOKUP($B1596,calc_data,L$14+1,0),0)</f>
        <v/>
      </c>
      <c r="M1596" s="177">
        <f>IFERROR(VLOOKUP($B1596,calc_data,M$14+1,0),0)</f>
        <v/>
      </c>
      <c r="N1596" s="177">
        <f>IFERROR(VLOOKUP($B1596,calc_data,N$14+1,0),0)</f>
        <v/>
      </c>
      <c r="O1596" s="45" t="n"/>
      <c r="Q1596" s="57">
        <f>IF(K1596&gt;0,"показать","скрыть")</f>
        <v/>
      </c>
    </row>
    <row r="1597" ht="15.75" customHeight="1">
      <c r="B1597" s="182" t="n">
        <v>1581</v>
      </c>
      <c r="C1597" s="182">
        <f>IFERROR(VLOOKUP($B1597,calc_data,C$14+1,0),0)</f>
        <v/>
      </c>
      <c r="D1597" s="182">
        <f>IFERROR(VLOOKUP($B1597,calc_data,D$14+1,0),0)</f>
        <v/>
      </c>
      <c r="E1597" s="183">
        <f>IFERROR(VLOOKUP($B1597,calc_data,E$14+1,0),0)</f>
        <v/>
      </c>
      <c r="F1597" s="182">
        <f>IFERROR(VLOOKUP($B1597,calc_data,F$14+1,0),0)</f>
        <v/>
      </c>
      <c r="G1597" s="141">
        <f>IFERROR(VLOOKUP($B1597,calc_data,G$14+1,0),0)</f>
        <v/>
      </c>
      <c r="H1597" s="141">
        <f>IFERROR(VLOOKUP($B1597,calc_data,H$14+1,0),0)</f>
        <v/>
      </c>
      <c r="I1597" s="142">
        <f>IFERROR(VLOOKUP($B1597,calc_data,I$14+1,0),0)</f>
        <v/>
      </c>
      <c r="J1597" s="141">
        <f>IFERROR(VLOOKUP($B1597,calc_data,J$14+1,0),0)</f>
        <v/>
      </c>
      <c r="K1597" s="141">
        <f>IFERROR(VLOOKUP($B1597,calc_data,K$14+1,0),0)</f>
        <v/>
      </c>
      <c r="L1597" s="141">
        <f>IFERROR(VLOOKUP($B1597,calc_data,L$14+1,0),0)</f>
        <v/>
      </c>
      <c r="M1597" s="177">
        <f>IFERROR(VLOOKUP($B1597,calc_data,M$14+1,0),0)</f>
        <v/>
      </c>
      <c r="N1597" s="177">
        <f>IFERROR(VLOOKUP($B1597,calc_data,N$14+1,0),0)</f>
        <v/>
      </c>
      <c r="O1597" s="45" t="n"/>
      <c r="Q1597" s="57">
        <f>IF(K1597&gt;0,"показать","скрыть")</f>
        <v/>
      </c>
    </row>
    <row r="1598" ht="15.75" customHeight="1">
      <c r="B1598" s="182" t="n">
        <v>1582</v>
      </c>
      <c r="C1598" s="182">
        <f>IFERROR(VLOOKUP($B1598,calc_data,C$14+1,0),0)</f>
        <v/>
      </c>
      <c r="D1598" s="182">
        <f>IFERROR(VLOOKUP($B1598,calc_data,D$14+1,0),0)</f>
        <v/>
      </c>
      <c r="E1598" s="183">
        <f>IFERROR(VLOOKUP($B1598,calc_data,E$14+1,0),0)</f>
        <v/>
      </c>
      <c r="F1598" s="182">
        <f>IFERROR(VLOOKUP($B1598,calc_data,F$14+1,0),0)</f>
        <v/>
      </c>
      <c r="G1598" s="141">
        <f>IFERROR(VLOOKUP($B1598,calc_data,G$14+1,0),0)</f>
        <v/>
      </c>
      <c r="H1598" s="141">
        <f>IFERROR(VLOOKUP($B1598,calc_data,H$14+1,0),0)</f>
        <v/>
      </c>
      <c r="I1598" s="142">
        <f>IFERROR(VLOOKUP($B1598,calc_data,I$14+1,0),0)</f>
        <v/>
      </c>
      <c r="J1598" s="141">
        <f>IFERROR(VLOOKUP($B1598,calc_data,J$14+1,0),0)</f>
        <v/>
      </c>
      <c r="K1598" s="141">
        <f>IFERROR(VLOOKUP($B1598,calc_data,K$14+1,0),0)</f>
        <v/>
      </c>
      <c r="L1598" s="141">
        <f>IFERROR(VLOOKUP($B1598,calc_data,L$14+1,0),0)</f>
        <v/>
      </c>
      <c r="M1598" s="177">
        <f>IFERROR(VLOOKUP($B1598,calc_data,M$14+1,0),0)</f>
        <v/>
      </c>
      <c r="N1598" s="177">
        <f>IFERROR(VLOOKUP($B1598,calc_data,N$14+1,0),0)</f>
        <v/>
      </c>
      <c r="O1598" s="45" t="n"/>
      <c r="Q1598" s="57">
        <f>IF(K1598&gt;0,"показать","скрыть")</f>
        <v/>
      </c>
    </row>
    <row r="1599" ht="15.75" customHeight="1">
      <c r="B1599" s="182" t="n">
        <v>1583</v>
      </c>
      <c r="C1599" s="182">
        <f>IFERROR(VLOOKUP($B1599,calc_data,C$14+1,0),0)</f>
        <v/>
      </c>
      <c r="D1599" s="182">
        <f>IFERROR(VLOOKUP($B1599,calc_data,D$14+1,0),0)</f>
        <v/>
      </c>
      <c r="E1599" s="183">
        <f>IFERROR(VLOOKUP($B1599,calc_data,E$14+1,0),0)</f>
        <v/>
      </c>
      <c r="F1599" s="182">
        <f>IFERROR(VLOOKUP($B1599,calc_data,F$14+1,0),0)</f>
        <v/>
      </c>
      <c r="G1599" s="141">
        <f>IFERROR(VLOOKUP($B1599,calc_data,G$14+1,0),0)</f>
        <v/>
      </c>
      <c r="H1599" s="141">
        <f>IFERROR(VLOOKUP($B1599,calc_data,H$14+1,0),0)</f>
        <v/>
      </c>
      <c r="I1599" s="142">
        <f>IFERROR(VLOOKUP($B1599,calc_data,I$14+1,0),0)</f>
        <v/>
      </c>
      <c r="J1599" s="141">
        <f>IFERROR(VLOOKUP($B1599,calc_data,J$14+1,0),0)</f>
        <v/>
      </c>
      <c r="K1599" s="141">
        <f>IFERROR(VLOOKUP($B1599,calc_data,K$14+1,0),0)</f>
        <v/>
      </c>
      <c r="L1599" s="141">
        <f>IFERROR(VLOOKUP($B1599,calc_data,L$14+1,0),0)</f>
        <v/>
      </c>
      <c r="M1599" s="177">
        <f>IFERROR(VLOOKUP($B1599,calc_data,M$14+1,0),0)</f>
        <v/>
      </c>
      <c r="N1599" s="177">
        <f>IFERROR(VLOOKUP($B1599,calc_data,N$14+1,0),0)</f>
        <v/>
      </c>
      <c r="O1599" s="45" t="n"/>
      <c r="Q1599" s="57">
        <f>IF(K1599&gt;0,"показать","скрыть")</f>
        <v/>
      </c>
    </row>
    <row r="1600" ht="15.75" customHeight="1">
      <c r="B1600" s="182" t="n">
        <v>1584</v>
      </c>
      <c r="C1600" s="182">
        <f>IFERROR(VLOOKUP($B1600,calc_data,C$14+1,0),0)</f>
        <v/>
      </c>
      <c r="D1600" s="182">
        <f>IFERROR(VLOOKUP($B1600,calc_data,D$14+1,0),0)</f>
        <v/>
      </c>
      <c r="E1600" s="183">
        <f>IFERROR(VLOOKUP($B1600,calc_data,E$14+1,0),0)</f>
        <v/>
      </c>
      <c r="F1600" s="182">
        <f>IFERROR(VLOOKUP($B1600,calc_data,F$14+1,0),0)</f>
        <v/>
      </c>
      <c r="G1600" s="141">
        <f>IFERROR(VLOOKUP($B1600,calc_data,G$14+1,0),0)</f>
        <v/>
      </c>
      <c r="H1600" s="141">
        <f>IFERROR(VLOOKUP($B1600,calc_data,H$14+1,0),0)</f>
        <v/>
      </c>
      <c r="I1600" s="142">
        <f>IFERROR(VLOOKUP($B1600,calc_data,I$14+1,0),0)</f>
        <v/>
      </c>
      <c r="J1600" s="141">
        <f>IFERROR(VLOOKUP($B1600,calc_data,J$14+1,0),0)</f>
        <v/>
      </c>
      <c r="K1600" s="141">
        <f>IFERROR(VLOOKUP($B1600,calc_data,K$14+1,0),0)</f>
        <v/>
      </c>
      <c r="L1600" s="141">
        <f>IFERROR(VLOOKUP($B1600,calc_data,L$14+1,0),0)</f>
        <v/>
      </c>
      <c r="M1600" s="177">
        <f>IFERROR(VLOOKUP($B1600,calc_data,M$14+1,0),0)</f>
        <v/>
      </c>
      <c r="N1600" s="177">
        <f>IFERROR(VLOOKUP($B1600,calc_data,N$14+1,0),0)</f>
        <v/>
      </c>
      <c r="O1600" s="45" t="n"/>
      <c r="Q1600" s="57">
        <f>IF(K1600&gt;0,"показать","скрыть")</f>
        <v/>
      </c>
    </row>
    <row r="1601" ht="15.75" customHeight="1">
      <c r="B1601" s="182" t="n">
        <v>1585</v>
      </c>
      <c r="C1601" s="182">
        <f>IFERROR(VLOOKUP($B1601,calc_data,C$14+1,0),0)</f>
        <v/>
      </c>
      <c r="D1601" s="182">
        <f>IFERROR(VLOOKUP($B1601,calc_data,D$14+1,0),0)</f>
        <v/>
      </c>
      <c r="E1601" s="183">
        <f>IFERROR(VLOOKUP($B1601,calc_data,E$14+1,0),0)</f>
        <v/>
      </c>
      <c r="F1601" s="182">
        <f>IFERROR(VLOOKUP($B1601,calc_data,F$14+1,0),0)</f>
        <v/>
      </c>
      <c r="G1601" s="141">
        <f>IFERROR(VLOOKUP($B1601,calc_data,G$14+1,0),0)</f>
        <v/>
      </c>
      <c r="H1601" s="141">
        <f>IFERROR(VLOOKUP($B1601,calc_data,H$14+1,0),0)</f>
        <v/>
      </c>
      <c r="I1601" s="142">
        <f>IFERROR(VLOOKUP($B1601,calc_data,I$14+1,0),0)</f>
        <v/>
      </c>
      <c r="J1601" s="141">
        <f>IFERROR(VLOOKUP($B1601,calc_data,J$14+1,0),0)</f>
        <v/>
      </c>
      <c r="K1601" s="141">
        <f>IFERROR(VLOOKUP($B1601,calc_data,K$14+1,0),0)</f>
        <v/>
      </c>
      <c r="L1601" s="141">
        <f>IFERROR(VLOOKUP($B1601,calc_data,L$14+1,0),0)</f>
        <v/>
      </c>
      <c r="M1601" s="177">
        <f>IFERROR(VLOOKUP($B1601,calc_data,M$14+1,0),0)</f>
        <v/>
      </c>
      <c r="N1601" s="177">
        <f>IFERROR(VLOOKUP($B1601,calc_data,N$14+1,0),0)</f>
        <v/>
      </c>
      <c r="O1601" s="45" t="n"/>
      <c r="Q1601" s="57">
        <f>IF(K1601&gt;0,"показать","скрыть")</f>
        <v/>
      </c>
    </row>
    <row r="1602" ht="15.75" customHeight="1">
      <c r="B1602" s="182" t="n">
        <v>1586</v>
      </c>
      <c r="C1602" s="182">
        <f>IFERROR(VLOOKUP($B1602,calc_data,C$14+1,0),0)</f>
        <v/>
      </c>
      <c r="D1602" s="182">
        <f>IFERROR(VLOOKUP($B1602,calc_data,D$14+1,0),0)</f>
        <v/>
      </c>
      <c r="E1602" s="183">
        <f>IFERROR(VLOOKUP($B1602,calc_data,E$14+1,0),0)</f>
        <v/>
      </c>
      <c r="F1602" s="182">
        <f>IFERROR(VLOOKUP($B1602,calc_data,F$14+1,0),0)</f>
        <v/>
      </c>
      <c r="G1602" s="141">
        <f>IFERROR(VLOOKUP($B1602,calc_data,G$14+1,0),0)</f>
        <v/>
      </c>
      <c r="H1602" s="141">
        <f>IFERROR(VLOOKUP($B1602,calc_data,H$14+1,0),0)</f>
        <v/>
      </c>
      <c r="I1602" s="142">
        <f>IFERROR(VLOOKUP($B1602,calc_data,I$14+1,0),0)</f>
        <v/>
      </c>
      <c r="J1602" s="141">
        <f>IFERROR(VLOOKUP($B1602,calc_data,J$14+1,0),0)</f>
        <v/>
      </c>
      <c r="K1602" s="141">
        <f>IFERROR(VLOOKUP($B1602,calc_data,K$14+1,0),0)</f>
        <v/>
      </c>
      <c r="L1602" s="141">
        <f>IFERROR(VLOOKUP($B1602,calc_data,L$14+1,0),0)</f>
        <v/>
      </c>
      <c r="M1602" s="177">
        <f>IFERROR(VLOOKUP($B1602,calc_data,M$14+1,0),0)</f>
        <v/>
      </c>
      <c r="N1602" s="177">
        <f>IFERROR(VLOOKUP($B1602,calc_data,N$14+1,0),0)</f>
        <v/>
      </c>
      <c r="O1602" s="45" t="n"/>
      <c r="Q1602" s="57">
        <f>IF(K1602&gt;0,"показать","скрыть")</f>
        <v/>
      </c>
    </row>
    <row r="1603" ht="15.75" customHeight="1">
      <c r="B1603" s="182" t="n">
        <v>1587</v>
      </c>
      <c r="C1603" s="182">
        <f>IFERROR(VLOOKUP($B1603,calc_data,C$14+1,0),0)</f>
        <v/>
      </c>
      <c r="D1603" s="182">
        <f>IFERROR(VLOOKUP($B1603,calc_data,D$14+1,0),0)</f>
        <v/>
      </c>
      <c r="E1603" s="183">
        <f>IFERROR(VLOOKUP($B1603,calc_data,E$14+1,0),0)</f>
        <v/>
      </c>
      <c r="F1603" s="182">
        <f>IFERROR(VLOOKUP($B1603,calc_data,F$14+1,0),0)</f>
        <v/>
      </c>
      <c r="G1603" s="141">
        <f>IFERROR(VLOOKUP($B1603,calc_data,G$14+1,0),0)</f>
        <v/>
      </c>
      <c r="H1603" s="141">
        <f>IFERROR(VLOOKUP($B1603,calc_data,H$14+1,0),0)</f>
        <v/>
      </c>
      <c r="I1603" s="142">
        <f>IFERROR(VLOOKUP($B1603,calc_data,I$14+1,0),0)</f>
        <v/>
      </c>
      <c r="J1603" s="141">
        <f>IFERROR(VLOOKUP($B1603,calc_data,J$14+1,0),0)</f>
        <v/>
      </c>
      <c r="K1603" s="141">
        <f>IFERROR(VLOOKUP($B1603,calc_data,K$14+1,0),0)</f>
        <v/>
      </c>
      <c r="L1603" s="141">
        <f>IFERROR(VLOOKUP($B1603,calc_data,L$14+1,0),0)</f>
        <v/>
      </c>
      <c r="M1603" s="177">
        <f>IFERROR(VLOOKUP($B1603,calc_data,M$14+1,0),0)</f>
        <v/>
      </c>
      <c r="N1603" s="177">
        <f>IFERROR(VLOOKUP($B1603,calc_data,N$14+1,0),0)</f>
        <v/>
      </c>
      <c r="O1603" s="45" t="n"/>
      <c r="Q1603" s="57">
        <f>IF(K1603&gt;0,"показать","скрыть")</f>
        <v/>
      </c>
    </row>
    <row r="1604" ht="15.75" customHeight="1">
      <c r="B1604" s="182" t="n">
        <v>1588</v>
      </c>
      <c r="C1604" s="182">
        <f>IFERROR(VLOOKUP($B1604,calc_data,C$14+1,0),0)</f>
        <v/>
      </c>
      <c r="D1604" s="182">
        <f>IFERROR(VLOOKUP($B1604,calc_data,D$14+1,0),0)</f>
        <v/>
      </c>
      <c r="E1604" s="183">
        <f>IFERROR(VLOOKUP($B1604,calc_data,E$14+1,0),0)</f>
        <v/>
      </c>
      <c r="F1604" s="182">
        <f>IFERROR(VLOOKUP($B1604,calc_data,F$14+1,0),0)</f>
        <v/>
      </c>
      <c r="G1604" s="141">
        <f>IFERROR(VLOOKUP($B1604,calc_data,G$14+1,0),0)</f>
        <v/>
      </c>
      <c r="H1604" s="141">
        <f>IFERROR(VLOOKUP($B1604,calc_data,H$14+1,0),0)</f>
        <v/>
      </c>
      <c r="I1604" s="142">
        <f>IFERROR(VLOOKUP($B1604,calc_data,I$14+1,0),0)</f>
        <v/>
      </c>
      <c r="J1604" s="141">
        <f>IFERROR(VLOOKUP($B1604,calc_data,J$14+1,0),0)</f>
        <v/>
      </c>
      <c r="K1604" s="141">
        <f>IFERROR(VLOOKUP($B1604,calc_data,K$14+1,0),0)</f>
        <v/>
      </c>
      <c r="L1604" s="141">
        <f>IFERROR(VLOOKUP($B1604,calc_data,L$14+1,0),0)</f>
        <v/>
      </c>
      <c r="M1604" s="177">
        <f>IFERROR(VLOOKUP($B1604,calc_data,M$14+1,0),0)</f>
        <v/>
      </c>
      <c r="N1604" s="177">
        <f>IFERROR(VLOOKUP($B1604,calc_data,N$14+1,0),0)</f>
        <v/>
      </c>
      <c r="O1604" s="45" t="n"/>
      <c r="Q1604" s="57">
        <f>IF(K1604&gt;0,"показать","скрыть")</f>
        <v/>
      </c>
    </row>
    <row r="1605" ht="15.75" customHeight="1">
      <c r="B1605" s="182" t="n">
        <v>1589</v>
      </c>
      <c r="C1605" s="182">
        <f>IFERROR(VLOOKUP($B1605,calc_data,C$14+1,0),0)</f>
        <v/>
      </c>
      <c r="D1605" s="182">
        <f>IFERROR(VLOOKUP($B1605,calc_data,D$14+1,0),0)</f>
        <v/>
      </c>
      <c r="E1605" s="183">
        <f>IFERROR(VLOOKUP($B1605,calc_data,E$14+1,0),0)</f>
        <v/>
      </c>
      <c r="F1605" s="182">
        <f>IFERROR(VLOOKUP($B1605,calc_data,F$14+1,0),0)</f>
        <v/>
      </c>
      <c r="G1605" s="141">
        <f>IFERROR(VLOOKUP($B1605,calc_data,G$14+1,0),0)</f>
        <v/>
      </c>
      <c r="H1605" s="141">
        <f>IFERROR(VLOOKUP($B1605,calc_data,H$14+1,0),0)</f>
        <v/>
      </c>
      <c r="I1605" s="142">
        <f>IFERROR(VLOOKUP($B1605,calc_data,I$14+1,0),0)</f>
        <v/>
      </c>
      <c r="J1605" s="141">
        <f>IFERROR(VLOOKUP($B1605,calc_data,J$14+1,0),0)</f>
        <v/>
      </c>
      <c r="K1605" s="141">
        <f>IFERROR(VLOOKUP($B1605,calc_data,K$14+1,0),0)</f>
        <v/>
      </c>
      <c r="L1605" s="141">
        <f>IFERROR(VLOOKUP($B1605,calc_data,L$14+1,0),0)</f>
        <v/>
      </c>
      <c r="M1605" s="177">
        <f>IFERROR(VLOOKUP($B1605,calc_data,M$14+1,0),0)</f>
        <v/>
      </c>
      <c r="N1605" s="177">
        <f>IFERROR(VLOOKUP($B1605,calc_data,N$14+1,0),0)</f>
        <v/>
      </c>
      <c r="O1605" s="45" t="n"/>
      <c r="Q1605" s="57">
        <f>IF(K1605&gt;0,"показать","скрыть")</f>
        <v/>
      </c>
    </row>
    <row r="1606" ht="15.75" customHeight="1">
      <c r="B1606" s="182" t="n">
        <v>1590</v>
      </c>
      <c r="C1606" s="182">
        <f>IFERROR(VLOOKUP($B1606,calc_data,C$14+1,0),0)</f>
        <v/>
      </c>
      <c r="D1606" s="182">
        <f>IFERROR(VLOOKUP($B1606,calc_data,D$14+1,0),0)</f>
        <v/>
      </c>
      <c r="E1606" s="183">
        <f>IFERROR(VLOOKUP($B1606,calc_data,E$14+1,0),0)</f>
        <v/>
      </c>
      <c r="F1606" s="182">
        <f>IFERROR(VLOOKUP($B1606,calc_data,F$14+1,0),0)</f>
        <v/>
      </c>
      <c r="G1606" s="141">
        <f>IFERROR(VLOOKUP($B1606,calc_data,G$14+1,0),0)</f>
        <v/>
      </c>
      <c r="H1606" s="141">
        <f>IFERROR(VLOOKUP($B1606,calc_data,H$14+1,0),0)</f>
        <v/>
      </c>
      <c r="I1606" s="142">
        <f>IFERROR(VLOOKUP($B1606,calc_data,I$14+1,0),0)</f>
        <v/>
      </c>
      <c r="J1606" s="141">
        <f>IFERROR(VLOOKUP($B1606,calc_data,J$14+1,0),0)</f>
        <v/>
      </c>
      <c r="K1606" s="141">
        <f>IFERROR(VLOOKUP($B1606,calc_data,K$14+1,0),0)</f>
        <v/>
      </c>
      <c r="L1606" s="141">
        <f>IFERROR(VLOOKUP($B1606,calc_data,L$14+1,0),0)</f>
        <v/>
      </c>
      <c r="M1606" s="177">
        <f>IFERROR(VLOOKUP($B1606,calc_data,M$14+1,0),0)</f>
        <v/>
      </c>
      <c r="N1606" s="177">
        <f>IFERROR(VLOOKUP($B1606,calc_data,N$14+1,0),0)</f>
        <v/>
      </c>
      <c r="O1606" s="45" t="n"/>
      <c r="Q1606" s="57">
        <f>IF(K1606&gt;0,"показать","скрыть")</f>
        <v/>
      </c>
    </row>
    <row r="1607" ht="15.75" customHeight="1">
      <c r="B1607" s="182" t="n">
        <v>1591</v>
      </c>
      <c r="C1607" s="182">
        <f>IFERROR(VLOOKUP($B1607,calc_data,C$14+1,0),0)</f>
        <v/>
      </c>
      <c r="D1607" s="182">
        <f>IFERROR(VLOOKUP($B1607,calc_data,D$14+1,0),0)</f>
        <v/>
      </c>
      <c r="E1607" s="183">
        <f>IFERROR(VLOOKUP($B1607,calc_data,E$14+1,0),0)</f>
        <v/>
      </c>
      <c r="F1607" s="182">
        <f>IFERROR(VLOOKUP($B1607,calc_data,F$14+1,0),0)</f>
        <v/>
      </c>
      <c r="G1607" s="141">
        <f>IFERROR(VLOOKUP($B1607,calc_data,G$14+1,0),0)</f>
        <v/>
      </c>
      <c r="H1607" s="141">
        <f>IFERROR(VLOOKUP($B1607,calc_data,H$14+1,0),0)</f>
        <v/>
      </c>
      <c r="I1607" s="142">
        <f>IFERROR(VLOOKUP($B1607,calc_data,I$14+1,0),0)</f>
        <v/>
      </c>
      <c r="J1607" s="141">
        <f>IFERROR(VLOOKUP($B1607,calc_data,J$14+1,0),0)</f>
        <v/>
      </c>
      <c r="K1607" s="141">
        <f>IFERROR(VLOOKUP($B1607,calc_data,K$14+1,0),0)</f>
        <v/>
      </c>
      <c r="L1607" s="141">
        <f>IFERROR(VLOOKUP($B1607,calc_data,L$14+1,0),0)</f>
        <v/>
      </c>
      <c r="M1607" s="177">
        <f>IFERROR(VLOOKUP($B1607,calc_data,M$14+1,0),0)</f>
        <v/>
      </c>
      <c r="N1607" s="177">
        <f>IFERROR(VLOOKUP($B1607,calc_data,N$14+1,0),0)</f>
        <v/>
      </c>
      <c r="O1607" s="45" t="n"/>
      <c r="Q1607" s="57">
        <f>IF(K1607&gt;0,"показать","скрыть")</f>
        <v/>
      </c>
    </row>
    <row r="1608" ht="15.75" customHeight="1">
      <c r="B1608" s="182" t="n">
        <v>1592</v>
      </c>
      <c r="C1608" s="182">
        <f>IFERROR(VLOOKUP($B1608,calc_data,C$14+1,0),0)</f>
        <v/>
      </c>
      <c r="D1608" s="182">
        <f>IFERROR(VLOOKUP($B1608,calc_data,D$14+1,0),0)</f>
        <v/>
      </c>
      <c r="E1608" s="183">
        <f>IFERROR(VLOOKUP($B1608,calc_data,E$14+1,0),0)</f>
        <v/>
      </c>
      <c r="F1608" s="182">
        <f>IFERROR(VLOOKUP($B1608,calc_data,F$14+1,0),0)</f>
        <v/>
      </c>
      <c r="G1608" s="141">
        <f>IFERROR(VLOOKUP($B1608,calc_data,G$14+1,0),0)</f>
        <v/>
      </c>
      <c r="H1608" s="141">
        <f>IFERROR(VLOOKUP($B1608,calc_data,H$14+1,0),0)</f>
        <v/>
      </c>
      <c r="I1608" s="142">
        <f>IFERROR(VLOOKUP($B1608,calc_data,I$14+1,0),0)</f>
        <v/>
      </c>
      <c r="J1608" s="141">
        <f>IFERROR(VLOOKUP($B1608,calc_data,J$14+1,0),0)</f>
        <v/>
      </c>
      <c r="K1608" s="141">
        <f>IFERROR(VLOOKUP($B1608,calc_data,K$14+1,0),0)</f>
        <v/>
      </c>
      <c r="L1608" s="141">
        <f>IFERROR(VLOOKUP($B1608,calc_data,L$14+1,0),0)</f>
        <v/>
      </c>
      <c r="M1608" s="177">
        <f>IFERROR(VLOOKUP($B1608,calc_data,M$14+1,0),0)</f>
        <v/>
      </c>
      <c r="N1608" s="177">
        <f>IFERROR(VLOOKUP($B1608,calc_data,N$14+1,0),0)</f>
        <v/>
      </c>
      <c r="O1608" s="45" t="n"/>
      <c r="Q1608" s="57">
        <f>IF(K1608&gt;0,"показать","скрыть")</f>
        <v/>
      </c>
    </row>
    <row r="1609" ht="15.75" customHeight="1">
      <c r="B1609" s="182" t="n">
        <v>1593</v>
      </c>
      <c r="C1609" s="182">
        <f>IFERROR(VLOOKUP($B1609,calc_data,C$14+1,0),0)</f>
        <v/>
      </c>
      <c r="D1609" s="182">
        <f>IFERROR(VLOOKUP($B1609,calc_data,D$14+1,0),0)</f>
        <v/>
      </c>
      <c r="E1609" s="183">
        <f>IFERROR(VLOOKUP($B1609,calc_data,E$14+1,0),0)</f>
        <v/>
      </c>
      <c r="F1609" s="182">
        <f>IFERROR(VLOOKUP($B1609,calc_data,F$14+1,0),0)</f>
        <v/>
      </c>
      <c r="G1609" s="141">
        <f>IFERROR(VLOOKUP($B1609,calc_data,G$14+1,0),0)</f>
        <v/>
      </c>
      <c r="H1609" s="141">
        <f>IFERROR(VLOOKUP($B1609,calc_data,H$14+1,0),0)</f>
        <v/>
      </c>
      <c r="I1609" s="142">
        <f>IFERROR(VLOOKUP($B1609,calc_data,I$14+1,0),0)</f>
        <v/>
      </c>
      <c r="J1609" s="141">
        <f>IFERROR(VLOOKUP($B1609,calc_data,J$14+1,0),0)</f>
        <v/>
      </c>
      <c r="K1609" s="141">
        <f>IFERROR(VLOOKUP($B1609,calc_data,K$14+1,0),0)</f>
        <v/>
      </c>
      <c r="L1609" s="141">
        <f>IFERROR(VLOOKUP($B1609,calc_data,L$14+1,0),0)</f>
        <v/>
      </c>
      <c r="M1609" s="177">
        <f>IFERROR(VLOOKUP($B1609,calc_data,M$14+1,0),0)</f>
        <v/>
      </c>
      <c r="N1609" s="177">
        <f>IFERROR(VLOOKUP($B1609,calc_data,N$14+1,0),0)</f>
        <v/>
      </c>
      <c r="O1609" s="45" t="n"/>
      <c r="Q1609" s="57">
        <f>IF(K1609&gt;0,"показать","скрыть")</f>
        <v/>
      </c>
    </row>
    <row r="1610" ht="15.75" customHeight="1">
      <c r="B1610" s="182" t="n">
        <v>1594</v>
      </c>
      <c r="C1610" s="182">
        <f>IFERROR(VLOOKUP($B1610,calc_data,C$14+1,0),0)</f>
        <v/>
      </c>
      <c r="D1610" s="182">
        <f>IFERROR(VLOOKUP($B1610,calc_data,D$14+1,0),0)</f>
        <v/>
      </c>
      <c r="E1610" s="183">
        <f>IFERROR(VLOOKUP($B1610,calc_data,E$14+1,0),0)</f>
        <v/>
      </c>
      <c r="F1610" s="182">
        <f>IFERROR(VLOOKUP($B1610,calc_data,F$14+1,0),0)</f>
        <v/>
      </c>
      <c r="G1610" s="141">
        <f>IFERROR(VLOOKUP($B1610,calc_data,G$14+1,0),0)</f>
        <v/>
      </c>
      <c r="H1610" s="141">
        <f>IFERROR(VLOOKUP($B1610,calc_data,H$14+1,0),0)</f>
        <v/>
      </c>
      <c r="I1610" s="142">
        <f>IFERROR(VLOOKUP($B1610,calc_data,I$14+1,0),0)</f>
        <v/>
      </c>
      <c r="J1610" s="141">
        <f>IFERROR(VLOOKUP($B1610,calc_data,J$14+1,0),0)</f>
        <v/>
      </c>
      <c r="K1610" s="141">
        <f>IFERROR(VLOOKUP($B1610,calc_data,K$14+1,0),0)</f>
        <v/>
      </c>
      <c r="L1610" s="141">
        <f>IFERROR(VLOOKUP($B1610,calc_data,L$14+1,0),0)</f>
        <v/>
      </c>
      <c r="M1610" s="177">
        <f>IFERROR(VLOOKUP($B1610,calc_data,M$14+1,0),0)</f>
        <v/>
      </c>
      <c r="N1610" s="177">
        <f>IFERROR(VLOOKUP($B1610,calc_data,N$14+1,0),0)</f>
        <v/>
      </c>
      <c r="O1610" s="45" t="n"/>
      <c r="Q1610" s="57">
        <f>IF(K1610&gt;0,"показать","скрыть")</f>
        <v/>
      </c>
    </row>
    <row r="1611" ht="15.75" customHeight="1">
      <c r="B1611" s="182" t="n">
        <v>1595</v>
      </c>
      <c r="C1611" s="182">
        <f>IFERROR(VLOOKUP($B1611,calc_data,C$14+1,0),0)</f>
        <v/>
      </c>
      <c r="D1611" s="182">
        <f>IFERROR(VLOOKUP($B1611,calc_data,D$14+1,0),0)</f>
        <v/>
      </c>
      <c r="E1611" s="183">
        <f>IFERROR(VLOOKUP($B1611,calc_data,E$14+1,0),0)</f>
        <v/>
      </c>
      <c r="F1611" s="182">
        <f>IFERROR(VLOOKUP($B1611,calc_data,F$14+1,0),0)</f>
        <v/>
      </c>
      <c r="G1611" s="141">
        <f>IFERROR(VLOOKUP($B1611,calc_data,G$14+1,0),0)</f>
        <v/>
      </c>
      <c r="H1611" s="141">
        <f>IFERROR(VLOOKUP($B1611,calc_data,H$14+1,0),0)</f>
        <v/>
      </c>
      <c r="I1611" s="142">
        <f>IFERROR(VLOOKUP($B1611,calc_data,I$14+1,0),0)</f>
        <v/>
      </c>
      <c r="J1611" s="141">
        <f>IFERROR(VLOOKUP($B1611,calc_data,J$14+1,0),0)</f>
        <v/>
      </c>
      <c r="K1611" s="141">
        <f>IFERROR(VLOOKUP($B1611,calc_data,K$14+1,0),0)</f>
        <v/>
      </c>
      <c r="L1611" s="141">
        <f>IFERROR(VLOOKUP($B1611,calc_data,L$14+1,0),0)</f>
        <v/>
      </c>
      <c r="M1611" s="177">
        <f>IFERROR(VLOOKUP($B1611,calc_data,M$14+1,0),0)</f>
        <v/>
      </c>
      <c r="N1611" s="177">
        <f>IFERROR(VLOOKUP($B1611,calc_data,N$14+1,0),0)</f>
        <v/>
      </c>
      <c r="O1611" s="45" t="n"/>
      <c r="Q1611" s="57">
        <f>IF(K1611&gt;0,"показать","скрыть")</f>
        <v/>
      </c>
    </row>
    <row r="1612" ht="15.75" customHeight="1">
      <c r="B1612" s="182" t="n">
        <v>1596</v>
      </c>
      <c r="C1612" s="182">
        <f>IFERROR(VLOOKUP($B1612,calc_data,C$14+1,0),0)</f>
        <v/>
      </c>
      <c r="D1612" s="182">
        <f>IFERROR(VLOOKUP($B1612,calc_data,D$14+1,0),0)</f>
        <v/>
      </c>
      <c r="E1612" s="183">
        <f>IFERROR(VLOOKUP($B1612,calc_data,E$14+1,0),0)</f>
        <v/>
      </c>
      <c r="F1612" s="182">
        <f>IFERROR(VLOOKUP($B1612,calc_data,F$14+1,0),0)</f>
        <v/>
      </c>
      <c r="G1612" s="141">
        <f>IFERROR(VLOOKUP($B1612,calc_data,G$14+1,0),0)</f>
        <v/>
      </c>
      <c r="H1612" s="141">
        <f>IFERROR(VLOOKUP($B1612,calc_data,H$14+1,0),0)</f>
        <v/>
      </c>
      <c r="I1612" s="142">
        <f>IFERROR(VLOOKUP($B1612,calc_data,I$14+1,0),0)</f>
        <v/>
      </c>
      <c r="J1612" s="141">
        <f>IFERROR(VLOOKUP($B1612,calc_data,J$14+1,0),0)</f>
        <v/>
      </c>
      <c r="K1612" s="141">
        <f>IFERROR(VLOOKUP($B1612,calc_data,K$14+1,0),0)</f>
        <v/>
      </c>
      <c r="L1612" s="141">
        <f>IFERROR(VLOOKUP($B1612,calc_data,L$14+1,0),0)</f>
        <v/>
      </c>
      <c r="M1612" s="177">
        <f>IFERROR(VLOOKUP($B1612,calc_data,M$14+1,0),0)</f>
        <v/>
      </c>
      <c r="N1612" s="177">
        <f>IFERROR(VLOOKUP($B1612,calc_data,N$14+1,0),0)</f>
        <v/>
      </c>
      <c r="O1612" s="45" t="n"/>
      <c r="Q1612" s="57">
        <f>IF(K1612&gt;0,"показать","скрыть")</f>
        <v/>
      </c>
    </row>
    <row r="1613" ht="15.75" customHeight="1">
      <c r="B1613" s="182" t="n">
        <v>1597</v>
      </c>
      <c r="C1613" s="182">
        <f>IFERROR(VLOOKUP($B1613,calc_data,C$14+1,0),0)</f>
        <v/>
      </c>
      <c r="D1613" s="182">
        <f>IFERROR(VLOOKUP($B1613,calc_data,D$14+1,0),0)</f>
        <v/>
      </c>
      <c r="E1613" s="183">
        <f>IFERROR(VLOOKUP($B1613,calc_data,E$14+1,0),0)</f>
        <v/>
      </c>
      <c r="F1613" s="182">
        <f>IFERROR(VLOOKUP($B1613,calc_data,F$14+1,0),0)</f>
        <v/>
      </c>
      <c r="G1613" s="141">
        <f>IFERROR(VLOOKUP($B1613,calc_data,G$14+1,0),0)</f>
        <v/>
      </c>
      <c r="H1613" s="141">
        <f>IFERROR(VLOOKUP($B1613,calc_data,H$14+1,0),0)</f>
        <v/>
      </c>
      <c r="I1613" s="142">
        <f>IFERROR(VLOOKUP($B1613,calc_data,I$14+1,0),0)</f>
        <v/>
      </c>
      <c r="J1613" s="141">
        <f>IFERROR(VLOOKUP($B1613,calc_data,J$14+1,0),0)</f>
        <v/>
      </c>
      <c r="K1613" s="141">
        <f>IFERROR(VLOOKUP($B1613,calc_data,K$14+1,0),0)</f>
        <v/>
      </c>
      <c r="L1613" s="141">
        <f>IFERROR(VLOOKUP($B1613,calc_data,L$14+1,0),0)</f>
        <v/>
      </c>
      <c r="M1613" s="177">
        <f>IFERROR(VLOOKUP($B1613,calc_data,M$14+1,0),0)</f>
        <v/>
      </c>
      <c r="N1613" s="177">
        <f>IFERROR(VLOOKUP($B1613,calc_data,N$14+1,0),0)</f>
        <v/>
      </c>
      <c r="O1613" s="45" t="n"/>
      <c r="Q1613" s="57">
        <f>IF(K1613&gt;0,"показать","скрыть")</f>
        <v/>
      </c>
    </row>
    <row r="1614" ht="15.75" customHeight="1">
      <c r="B1614" s="182" t="n">
        <v>1598</v>
      </c>
      <c r="C1614" s="182">
        <f>IFERROR(VLOOKUP($B1614,calc_data,C$14+1,0),0)</f>
        <v/>
      </c>
      <c r="D1614" s="182">
        <f>IFERROR(VLOOKUP($B1614,calc_data,D$14+1,0),0)</f>
        <v/>
      </c>
      <c r="E1614" s="183">
        <f>IFERROR(VLOOKUP($B1614,calc_data,E$14+1,0),0)</f>
        <v/>
      </c>
      <c r="F1614" s="182">
        <f>IFERROR(VLOOKUP($B1614,calc_data,F$14+1,0),0)</f>
        <v/>
      </c>
      <c r="G1614" s="141">
        <f>IFERROR(VLOOKUP($B1614,calc_data,G$14+1,0),0)</f>
        <v/>
      </c>
      <c r="H1614" s="141">
        <f>IFERROR(VLOOKUP($B1614,calc_data,H$14+1,0),0)</f>
        <v/>
      </c>
      <c r="I1614" s="142">
        <f>IFERROR(VLOOKUP($B1614,calc_data,I$14+1,0),0)</f>
        <v/>
      </c>
      <c r="J1614" s="141">
        <f>IFERROR(VLOOKUP($B1614,calc_data,J$14+1,0),0)</f>
        <v/>
      </c>
      <c r="K1614" s="141">
        <f>IFERROR(VLOOKUP($B1614,calc_data,K$14+1,0),0)</f>
        <v/>
      </c>
      <c r="L1614" s="141">
        <f>IFERROR(VLOOKUP($B1614,calc_data,L$14+1,0),0)</f>
        <v/>
      </c>
      <c r="M1614" s="177">
        <f>IFERROR(VLOOKUP($B1614,calc_data,M$14+1,0),0)</f>
        <v/>
      </c>
      <c r="N1614" s="177">
        <f>IFERROR(VLOOKUP($B1614,calc_data,N$14+1,0),0)</f>
        <v/>
      </c>
      <c r="O1614" s="45" t="n"/>
      <c r="Q1614" s="57">
        <f>IF(K1614&gt;0,"показать","скрыть")</f>
        <v/>
      </c>
    </row>
    <row r="1615" ht="15.75" customHeight="1">
      <c r="B1615" s="182" t="n">
        <v>1599</v>
      </c>
      <c r="C1615" s="182">
        <f>IFERROR(VLOOKUP($B1615,calc_data,C$14+1,0),0)</f>
        <v/>
      </c>
      <c r="D1615" s="182">
        <f>IFERROR(VLOOKUP($B1615,calc_data,D$14+1,0),0)</f>
        <v/>
      </c>
      <c r="E1615" s="183">
        <f>IFERROR(VLOOKUP($B1615,calc_data,E$14+1,0),0)</f>
        <v/>
      </c>
      <c r="F1615" s="182">
        <f>IFERROR(VLOOKUP($B1615,calc_data,F$14+1,0),0)</f>
        <v/>
      </c>
      <c r="G1615" s="141">
        <f>IFERROR(VLOOKUP($B1615,calc_data,G$14+1,0),0)</f>
        <v/>
      </c>
      <c r="H1615" s="141">
        <f>IFERROR(VLOOKUP($B1615,calc_data,H$14+1,0),0)</f>
        <v/>
      </c>
      <c r="I1615" s="142">
        <f>IFERROR(VLOOKUP($B1615,calc_data,I$14+1,0),0)</f>
        <v/>
      </c>
      <c r="J1615" s="141">
        <f>IFERROR(VLOOKUP($B1615,calc_data,J$14+1,0),0)</f>
        <v/>
      </c>
      <c r="K1615" s="141">
        <f>IFERROR(VLOOKUP($B1615,calc_data,K$14+1,0),0)</f>
        <v/>
      </c>
      <c r="L1615" s="141">
        <f>IFERROR(VLOOKUP($B1615,calc_data,L$14+1,0),0)</f>
        <v/>
      </c>
      <c r="M1615" s="177">
        <f>IFERROR(VLOOKUP($B1615,calc_data,M$14+1,0),0)</f>
        <v/>
      </c>
      <c r="N1615" s="177">
        <f>IFERROR(VLOOKUP($B1615,calc_data,N$14+1,0),0)</f>
        <v/>
      </c>
      <c r="O1615" s="45" t="n"/>
      <c r="Q1615" s="57">
        <f>IF(K1615&gt;0,"показать","скрыть")</f>
        <v/>
      </c>
    </row>
    <row r="1616" ht="15.75" customHeight="1">
      <c r="B1616" s="182" t="n">
        <v>1600</v>
      </c>
      <c r="C1616" s="182">
        <f>IFERROR(VLOOKUP($B1616,calc_data,C$14+1,0),0)</f>
        <v/>
      </c>
      <c r="D1616" s="182">
        <f>IFERROR(VLOOKUP($B1616,calc_data,D$14+1,0),0)</f>
        <v/>
      </c>
      <c r="E1616" s="183">
        <f>IFERROR(VLOOKUP($B1616,calc_data,E$14+1,0),0)</f>
        <v/>
      </c>
      <c r="F1616" s="182">
        <f>IFERROR(VLOOKUP($B1616,calc_data,F$14+1,0),0)</f>
        <v/>
      </c>
      <c r="G1616" s="141">
        <f>IFERROR(VLOOKUP($B1616,calc_data,G$14+1,0),0)</f>
        <v/>
      </c>
      <c r="H1616" s="141">
        <f>IFERROR(VLOOKUP($B1616,calc_data,H$14+1,0),0)</f>
        <v/>
      </c>
      <c r="I1616" s="142">
        <f>IFERROR(VLOOKUP($B1616,calc_data,I$14+1,0),0)</f>
        <v/>
      </c>
      <c r="J1616" s="141">
        <f>IFERROR(VLOOKUP($B1616,calc_data,J$14+1,0),0)</f>
        <v/>
      </c>
      <c r="K1616" s="141">
        <f>IFERROR(VLOOKUP($B1616,calc_data,K$14+1,0),0)</f>
        <v/>
      </c>
      <c r="L1616" s="141">
        <f>IFERROR(VLOOKUP($B1616,calc_data,L$14+1,0),0)</f>
        <v/>
      </c>
      <c r="M1616" s="177">
        <f>IFERROR(VLOOKUP($B1616,calc_data,M$14+1,0),0)</f>
        <v/>
      </c>
      <c r="N1616" s="177">
        <f>IFERROR(VLOOKUP($B1616,calc_data,N$14+1,0),0)</f>
        <v/>
      </c>
      <c r="O1616" s="45" t="n"/>
      <c r="Q1616" s="57">
        <f>IF(K1616&gt;0,"показать","скрыть")</f>
        <v/>
      </c>
    </row>
    <row r="1617" ht="15.75" customHeight="1">
      <c r="B1617" s="182" t="n">
        <v>1601</v>
      </c>
      <c r="C1617" s="182">
        <f>IFERROR(VLOOKUP($B1617,calc_data,C$14+1,0),0)</f>
        <v/>
      </c>
      <c r="D1617" s="182">
        <f>IFERROR(VLOOKUP($B1617,calc_data,D$14+1,0),0)</f>
        <v/>
      </c>
      <c r="E1617" s="183">
        <f>IFERROR(VLOOKUP($B1617,calc_data,E$14+1,0),0)</f>
        <v/>
      </c>
      <c r="F1617" s="182">
        <f>IFERROR(VLOOKUP($B1617,calc_data,F$14+1,0),0)</f>
        <v/>
      </c>
      <c r="G1617" s="141">
        <f>IFERROR(VLOOKUP($B1617,calc_data,G$14+1,0),0)</f>
        <v/>
      </c>
      <c r="H1617" s="141">
        <f>IFERROR(VLOOKUP($B1617,calc_data,H$14+1,0),0)</f>
        <v/>
      </c>
      <c r="I1617" s="142">
        <f>IFERROR(VLOOKUP($B1617,calc_data,I$14+1,0),0)</f>
        <v/>
      </c>
      <c r="J1617" s="141">
        <f>IFERROR(VLOOKUP($B1617,calc_data,J$14+1,0),0)</f>
        <v/>
      </c>
      <c r="K1617" s="141">
        <f>IFERROR(VLOOKUP($B1617,calc_data,K$14+1,0),0)</f>
        <v/>
      </c>
      <c r="L1617" s="141">
        <f>IFERROR(VLOOKUP($B1617,calc_data,L$14+1,0),0)</f>
        <v/>
      </c>
      <c r="M1617" s="177">
        <f>IFERROR(VLOOKUP($B1617,calc_data,M$14+1,0),0)</f>
        <v/>
      </c>
      <c r="N1617" s="177">
        <f>IFERROR(VLOOKUP($B1617,calc_data,N$14+1,0),0)</f>
        <v/>
      </c>
      <c r="O1617" s="45" t="n"/>
      <c r="Q1617" s="57">
        <f>IF(K1617&gt;0,"показать","скрыть")</f>
        <v/>
      </c>
    </row>
    <row r="1618" ht="15.75" customHeight="1">
      <c r="B1618" s="182" t="n">
        <v>1602</v>
      </c>
      <c r="C1618" s="182">
        <f>IFERROR(VLOOKUP($B1618,calc_data,C$14+1,0),0)</f>
        <v/>
      </c>
      <c r="D1618" s="182">
        <f>IFERROR(VLOOKUP($B1618,calc_data,D$14+1,0),0)</f>
        <v/>
      </c>
      <c r="E1618" s="183">
        <f>IFERROR(VLOOKUP($B1618,calc_data,E$14+1,0),0)</f>
        <v/>
      </c>
      <c r="F1618" s="182">
        <f>IFERROR(VLOOKUP($B1618,calc_data,F$14+1,0),0)</f>
        <v/>
      </c>
      <c r="G1618" s="141">
        <f>IFERROR(VLOOKUP($B1618,calc_data,G$14+1,0),0)</f>
        <v/>
      </c>
      <c r="H1618" s="141">
        <f>IFERROR(VLOOKUP($B1618,calc_data,H$14+1,0),0)</f>
        <v/>
      </c>
      <c r="I1618" s="142">
        <f>IFERROR(VLOOKUP($B1618,calc_data,I$14+1,0),0)</f>
        <v/>
      </c>
      <c r="J1618" s="141">
        <f>IFERROR(VLOOKUP($B1618,calc_data,J$14+1,0),0)</f>
        <v/>
      </c>
      <c r="K1618" s="141">
        <f>IFERROR(VLOOKUP($B1618,calc_data,K$14+1,0),0)</f>
        <v/>
      </c>
      <c r="L1618" s="141">
        <f>IFERROR(VLOOKUP($B1618,calc_data,L$14+1,0),0)</f>
        <v/>
      </c>
      <c r="M1618" s="177">
        <f>IFERROR(VLOOKUP($B1618,calc_data,M$14+1,0),0)</f>
        <v/>
      </c>
      <c r="N1618" s="177">
        <f>IFERROR(VLOOKUP($B1618,calc_data,N$14+1,0),0)</f>
        <v/>
      </c>
      <c r="O1618" s="45" t="n"/>
      <c r="Q1618" s="57">
        <f>IF(K1618&gt;0,"показать","скрыть")</f>
        <v/>
      </c>
    </row>
    <row r="1619" ht="15.75" customHeight="1">
      <c r="B1619" s="182" t="n">
        <v>1603</v>
      </c>
      <c r="C1619" s="182">
        <f>IFERROR(VLOOKUP($B1619,calc_data,C$14+1,0),0)</f>
        <v/>
      </c>
      <c r="D1619" s="182">
        <f>IFERROR(VLOOKUP($B1619,calc_data,D$14+1,0),0)</f>
        <v/>
      </c>
      <c r="E1619" s="183">
        <f>IFERROR(VLOOKUP($B1619,calc_data,E$14+1,0),0)</f>
        <v/>
      </c>
      <c r="F1619" s="182">
        <f>IFERROR(VLOOKUP($B1619,calc_data,F$14+1,0),0)</f>
        <v/>
      </c>
      <c r="G1619" s="141">
        <f>IFERROR(VLOOKUP($B1619,calc_data,G$14+1,0),0)</f>
        <v/>
      </c>
      <c r="H1619" s="141">
        <f>IFERROR(VLOOKUP($B1619,calc_data,H$14+1,0),0)</f>
        <v/>
      </c>
      <c r="I1619" s="142">
        <f>IFERROR(VLOOKUP($B1619,calc_data,I$14+1,0),0)</f>
        <v/>
      </c>
      <c r="J1619" s="141">
        <f>IFERROR(VLOOKUP($B1619,calc_data,J$14+1,0),0)</f>
        <v/>
      </c>
      <c r="K1619" s="141">
        <f>IFERROR(VLOOKUP($B1619,calc_data,K$14+1,0),0)</f>
        <v/>
      </c>
      <c r="L1619" s="141">
        <f>IFERROR(VLOOKUP($B1619,calc_data,L$14+1,0),0)</f>
        <v/>
      </c>
      <c r="M1619" s="177">
        <f>IFERROR(VLOOKUP($B1619,calc_data,M$14+1,0),0)</f>
        <v/>
      </c>
      <c r="N1619" s="177">
        <f>IFERROR(VLOOKUP($B1619,calc_data,N$14+1,0),0)</f>
        <v/>
      </c>
      <c r="O1619" s="45" t="n"/>
      <c r="Q1619" s="57">
        <f>IF(K1619&gt;0,"показать","скрыть")</f>
        <v/>
      </c>
    </row>
    <row r="1620" ht="15.75" customHeight="1">
      <c r="B1620" s="182" t="n">
        <v>1604</v>
      </c>
      <c r="C1620" s="182">
        <f>IFERROR(VLOOKUP($B1620,calc_data,C$14+1,0),0)</f>
        <v/>
      </c>
      <c r="D1620" s="182">
        <f>IFERROR(VLOOKUP($B1620,calc_data,D$14+1,0),0)</f>
        <v/>
      </c>
      <c r="E1620" s="183">
        <f>IFERROR(VLOOKUP($B1620,calc_data,E$14+1,0),0)</f>
        <v/>
      </c>
      <c r="F1620" s="182">
        <f>IFERROR(VLOOKUP($B1620,calc_data,F$14+1,0),0)</f>
        <v/>
      </c>
      <c r="G1620" s="141">
        <f>IFERROR(VLOOKUP($B1620,calc_data,G$14+1,0),0)</f>
        <v/>
      </c>
      <c r="H1620" s="141">
        <f>IFERROR(VLOOKUP($B1620,calc_data,H$14+1,0),0)</f>
        <v/>
      </c>
      <c r="I1620" s="142">
        <f>IFERROR(VLOOKUP($B1620,calc_data,I$14+1,0),0)</f>
        <v/>
      </c>
      <c r="J1620" s="141">
        <f>IFERROR(VLOOKUP($B1620,calc_data,J$14+1,0),0)</f>
        <v/>
      </c>
      <c r="K1620" s="141">
        <f>IFERROR(VLOOKUP($B1620,calc_data,K$14+1,0),0)</f>
        <v/>
      </c>
      <c r="L1620" s="141">
        <f>IFERROR(VLOOKUP($B1620,calc_data,L$14+1,0),0)</f>
        <v/>
      </c>
      <c r="M1620" s="177">
        <f>IFERROR(VLOOKUP($B1620,calc_data,M$14+1,0),0)</f>
        <v/>
      </c>
      <c r="N1620" s="177">
        <f>IFERROR(VLOOKUP($B1620,calc_data,N$14+1,0),0)</f>
        <v/>
      </c>
      <c r="O1620" s="45" t="n"/>
      <c r="Q1620" s="57">
        <f>IF(K1620&gt;0,"показать","скрыть")</f>
        <v/>
      </c>
    </row>
    <row r="1621" ht="15.75" customHeight="1">
      <c r="B1621" s="182" t="n">
        <v>1605</v>
      </c>
      <c r="C1621" s="182">
        <f>IFERROR(VLOOKUP($B1621,calc_data,C$14+1,0),0)</f>
        <v/>
      </c>
      <c r="D1621" s="182">
        <f>IFERROR(VLOOKUP($B1621,calc_data,D$14+1,0),0)</f>
        <v/>
      </c>
      <c r="E1621" s="183">
        <f>IFERROR(VLOOKUP($B1621,calc_data,E$14+1,0),0)</f>
        <v/>
      </c>
      <c r="F1621" s="182">
        <f>IFERROR(VLOOKUP($B1621,calc_data,F$14+1,0),0)</f>
        <v/>
      </c>
      <c r="G1621" s="141">
        <f>IFERROR(VLOOKUP($B1621,calc_data,G$14+1,0),0)</f>
        <v/>
      </c>
      <c r="H1621" s="141">
        <f>IFERROR(VLOOKUP($B1621,calc_data,H$14+1,0),0)</f>
        <v/>
      </c>
      <c r="I1621" s="142">
        <f>IFERROR(VLOOKUP($B1621,calc_data,I$14+1,0),0)</f>
        <v/>
      </c>
      <c r="J1621" s="141">
        <f>IFERROR(VLOOKUP($B1621,calc_data,J$14+1,0),0)</f>
        <v/>
      </c>
      <c r="K1621" s="141">
        <f>IFERROR(VLOOKUP($B1621,calc_data,K$14+1,0),0)</f>
        <v/>
      </c>
      <c r="L1621" s="141">
        <f>IFERROR(VLOOKUP($B1621,calc_data,L$14+1,0),0)</f>
        <v/>
      </c>
      <c r="M1621" s="177">
        <f>IFERROR(VLOOKUP($B1621,calc_data,M$14+1,0),0)</f>
        <v/>
      </c>
      <c r="N1621" s="177">
        <f>IFERROR(VLOOKUP($B1621,calc_data,N$14+1,0),0)</f>
        <v/>
      </c>
      <c r="O1621" s="45" t="n"/>
      <c r="Q1621" s="57">
        <f>IF(K1621&gt;0,"показать","скрыть")</f>
        <v/>
      </c>
    </row>
    <row r="1622" ht="15.75" customHeight="1">
      <c r="B1622" s="182" t="n">
        <v>1606</v>
      </c>
      <c r="C1622" s="182">
        <f>IFERROR(VLOOKUP($B1622,calc_data,C$14+1,0),0)</f>
        <v/>
      </c>
      <c r="D1622" s="182">
        <f>IFERROR(VLOOKUP($B1622,calc_data,D$14+1,0),0)</f>
        <v/>
      </c>
      <c r="E1622" s="183">
        <f>IFERROR(VLOOKUP($B1622,calc_data,E$14+1,0),0)</f>
        <v/>
      </c>
      <c r="F1622" s="182">
        <f>IFERROR(VLOOKUP($B1622,calc_data,F$14+1,0),0)</f>
        <v/>
      </c>
      <c r="G1622" s="141">
        <f>IFERROR(VLOOKUP($B1622,calc_data,G$14+1,0),0)</f>
        <v/>
      </c>
      <c r="H1622" s="141">
        <f>IFERROR(VLOOKUP($B1622,calc_data,H$14+1,0),0)</f>
        <v/>
      </c>
      <c r="I1622" s="142">
        <f>IFERROR(VLOOKUP($B1622,calc_data,I$14+1,0),0)</f>
        <v/>
      </c>
      <c r="J1622" s="141">
        <f>IFERROR(VLOOKUP($B1622,calc_data,J$14+1,0),0)</f>
        <v/>
      </c>
      <c r="K1622" s="141">
        <f>IFERROR(VLOOKUP($B1622,calc_data,K$14+1,0),0)</f>
        <v/>
      </c>
      <c r="L1622" s="141">
        <f>IFERROR(VLOOKUP($B1622,calc_data,L$14+1,0),0)</f>
        <v/>
      </c>
      <c r="M1622" s="177">
        <f>IFERROR(VLOOKUP($B1622,calc_data,M$14+1,0),0)</f>
        <v/>
      </c>
      <c r="N1622" s="177">
        <f>IFERROR(VLOOKUP($B1622,calc_data,N$14+1,0),0)</f>
        <v/>
      </c>
      <c r="O1622" s="45" t="n"/>
      <c r="Q1622" s="57">
        <f>IF(K1622&gt;0,"показать","скрыть")</f>
        <v/>
      </c>
    </row>
    <row r="1623" ht="15.75" customHeight="1">
      <c r="B1623" s="182" t="n">
        <v>1607</v>
      </c>
      <c r="C1623" s="182">
        <f>IFERROR(VLOOKUP($B1623,calc_data,C$14+1,0),0)</f>
        <v/>
      </c>
      <c r="D1623" s="182">
        <f>IFERROR(VLOOKUP($B1623,calc_data,D$14+1,0),0)</f>
        <v/>
      </c>
      <c r="E1623" s="183">
        <f>IFERROR(VLOOKUP($B1623,calc_data,E$14+1,0),0)</f>
        <v/>
      </c>
      <c r="F1623" s="182">
        <f>IFERROR(VLOOKUP($B1623,calc_data,F$14+1,0),0)</f>
        <v/>
      </c>
      <c r="G1623" s="141">
        <f>IFERROR(VLOOKUP($B1623,calc_data,G$14+1,0),0)</f>
        <v/>
      </c>
      <c r="H1623" s="141">
        <f>IFERROR(VLOOKUP($B1623,calc_data,H$14+1,0),0)</f>
        <v/>
      </c>
      <c r="I1623" s="142">
        <f>IFERROR(VLOOKUP($B1623,calc_data,I$14+1,0),0)</f>
        <v/>
      </c>
      <c r="J1623" s="141">
        <f>IFERROR(VLOOKUP($B1623,calc_data,J$14+1,0),0)</f>
        <v/>
      </c>
      <c r="K1623" s="141">
        <f>IFERROR(VLOOKUP($B1623,calc_data,K$14+1,0),0)</f>
        <v/>
      </c>
      <c r="L1623" s="141">
        <f>IFERROR(VLOOKUP($B1623,calc_data,L$14+1,0),0)</f>
        <v/>
      </c>
      <c r="M1623" s="177">
        <f>IFERROR(VLOOKUP($B1623,calc_data,M$14+1,0),0)</f>
        <v/>
      </c>
      <c r="N1623" s="177">
        <f>IFERROR(VLOOKUP($B1623,calc_data,N$14+1,0),0)</f>
        <v/>
      </c>
      <c r="O1623" s="45" t="n"/>
      <c r="Q1623" s="57">
        <f>IF(K1623&gt;0,"показать","скрыть")</f>
        <v/>
      </c>
    </row>
    <row r="1624" ht="15.75" customHeight="1">
      <c r="B1624" s="182" t="n">
        <v>1608</v>
      </c>
      <c r="C1624" s="182">
        <f>IFERROR(VLOOKUP($B1624,calc_data,C$14+1,0),0)</f>
        <v/>
      </c>
      <c r="D1624" s="182">
        <f>IFERROR(VLOOKUP($B1624,calc_data,D$14+1,0),0)</f>
        <v/>
      </c>
      <c r="E1624" s="183">
        <f>IFERROR(VLOOKUP($B1624,calc_data,E$14+1,0),0)</f>
        <v/>
      </c>
      <c r="F1624" s="182">
        <f>IFERROR(VLOOKUP($B1624,calc_data,F$14+1,0),0)</f>
        <v/>
      </c>
      <c r="G1624" s="141">
        <f>IFERROR(VLOOKUP($B1624,calc_data,G$14+1,0),0)</f>
        <v/>
      </c>
      <c r="H1624" s="141">
        <f>IFERROR(VLOOKUP($B1624,calc_data,H$14+1,0),0)</f>
        <v/>
      </c>
      <c r="I1624" s="142">
        <f>IFERROR(VLOOKUP($B1624,calc_data,I$14+1,0),0)</f>
        <v/>
      </c>
      <c r="J1624" s="141">
        <f>IFERROR(VLOOKUP($B1624,calc_data,J$14+1,0),0)</f>
        <v/>
      </c>
      <c r="K1624" s="141">
        <f>IFERROR(VLOOKUP($B1624,calc_data,K$14+1,0),0)</f>
        <v/>
      </c>
      <c r="L1624" s="141">
        <f>IFERROR(VLOOKUP($B1624,calc_data,L$14+1,0),0)</f>
        <v/>
      </c>
      <c r="M1624" s="177">
        <f>IFERROR(VLOOKUP($B1624,calc_data,M$14+1,0),0)</f>
        <v/>
      </c>
      <c r="N1624" s="177">
        <f>IFERROR(VLOOKUP($B1624,calc_data,N$14+1,0),0)</f>
        <v/>
      </c>
      <c r="O1624" s="45" t="n"/>
      <c r="Q1624" s="57">
        <f>IF(K1624&gt;0,"показать","скрыть")</f>
        <v/>
      </c>
    </row>
    <row r="1625" ht="15.75" customHeight="1">
      <c r="B1625" s="182" t="n">
        <v>1609</v>
      </c>
      <c r="C1625" s="182">
        <f>IFERROR(VLOOKUP($B1625,calc_data,C$14+1,0),0)</f>
        <v/>
      </c>
      <c r="D1625" s="182">
        <f>IFERROR(VLOOKUP($B1625,calc_data,D$14+1,0),0)</f>
        <v/>
      </c>
      <c r="E1625" s="183">
        <f>IFERROR(VLOOKUP($B1625,calc_data,E$14+1,0),0)</f>
        <v/>
      </c>
      <c r="F1625" s="182">
        <f>IFERROR(VLOOKUP($B1625,calc_data,F$14+1,0),0)</f>
        <v/>
      </c>
      <c r="G1625" s="141">
        <f>IFERROR(VLOOKUP($B1625,calc_data,G$14+1,0),0)</f>
        <v/>
      </c>
      <c r="H1625" s="141">
        <f>IFERROR(VLOOKUP($B1625,calc_data,H$14+1,0),0)</f>
        <v/>
      </c>
      <c r="I1625" s="142">
        <f>IFERROR(VLOOKUP($B1625,calc_data,I$14+1,0),0)</f>
        <v/>
      </c>
      <c r="J1625" s="141">
        <f>IFERROR(VLOOKUP($B1625,calc_data,J$14+1,0),0)</f>
        <v/>
      </c>
      <c r="K1625" s="141">
        <f>IFERROR(VLOOKUP($B1625,calc_data,K$14+1,0),0)</f>
        <v/>
      </c>
      <c r="L1625" s="141">
        <f>IFERROR(VLOOKUP($B1625,calc_data,L$14+1,0),0)</f>
        <v/>
      </c>
      <c r="M1625" s="177">
        <f>IFERROR(VLOOKUP($B1625,calc_data,M$14+1,0),0)</f>
        <v/>
      </c>
      <c r="N1625" s="177">
        <f>IFERROR(VLOOKUP($B1625,calc_data,N$14+1,0),0)</f>
        <v/>
      </c>
      <c r="O1625" s="45" t="n"/>
      <c r="Q1625" s="57">
        <f>IF(K1625&gt;0,"показать","скрыть")</f>
        <v/>
      </c>
    </row>
    <row r="1626" ht="15.75" customHeight="1">
      <c r="B1626" s="182" t="n">
        <v>1610</v>
      </c>
      <c r="C1626" s="182">
        <f>IFERROR(VLOOKUP($B1626,calc_data,C$14+1,0),0)</f>
        <v/>
      </c>
      <c r="D1626" s="182">
        <f>IFERROR(VLOOKUP($B1626,calc_data,D$14+1,0),0)</f>
        <v/>
      </c>
      <c r="E1626" s="183">
        <f>IFERROR(VLOOKUP($B1626,calc_data,E$14+1,0),0)</f>
        <v/>
      </c>
      <c r="F1626" s="182">
        <f>IFERROR(VLOOKUP($B1626,calc_data,F$14+1,0),0)</f>
        <v/>
      </c>
      <c r="G1626" s="141">
        <f>IFERROR(VLOOKUP($B1626,calc_data,G$14+1,0),0)</f>
        <v/>
      </c>
      <c r="H1626" s="141">
        <f>IFERROR(VLOOKUP($B1626,calc_data,H$14+1,0),0)</f>
        <v/>
      </c>
      <c r="I1626" s="142">
        <f>IFERROR(VLOOKUP($B1626,calc_data,I$14+1,0),0)</f>
        <v/>
      </c>
      <c r="J1626" s="141">
        <f>IFERROR(VLOOKUP($B1626,calc_data,J$14+1,0),0)</f>
        <v/>
      </c>
      <c r="K1626" s="141">
        <f>IFERROR(VLOOKUP($B1626,calc_data,K$14+1,0),0)</f>
        <v/>
      </c>
      <c r="L1626" s="141">
        <f>IFERROR(VLOOKUP($B1626,calc_data,L$14+1,0),0)</f>
        <v/>
      </c>
      <c r="M1626" s="177">
        <f>IFERROR(VLOOKUP($B1626,calc_data,M$14+1,0),0)</f>
        <v/>
      </c>
      <c r="N1626" s="177">
        <f>IFERROR(VLOOKUP($B1626,calc_data,N$14+1,0),0)</f>
        <v/>
      </c>
      <c r="O1626" s="45" t="n"/>
      <c r="Q1626" s="57">
        <f>IF(K1626&gt;0,"показать","скрыть")</f>
        <v/>
      </c>
    </row>
    <row r="1627" ht="15.75" customHeight="1">
      <c r="B1627" s="182" t="n">
        <v>1611</v>
      </c>
      <c r="C1627" s="182">
        <f>IFERROR(VLOOKUP($B1627,calc_data,C$14+1,0),0)</f>
        <v/>
      </c>
      <c r="D1627" s="182">
        <f>IFERROR(VLOOKUP($B1627,calc_data,D$14+1,0),0)</f>
        <v/>
      </c>
      <c r="E1627" s="183">
        <f>IFERROR(VLOOKUP($B1627,calc_data,E$14+1,0),0)</f>
        <v/>
      </c>
      <c r="F1627" s="182">
        <f>IFERROR(VLOOKUP($B1627,calc_data,F$14+1,0),0)</f>
        <v/>
      </c>
      <c r="G1627" s="141">
        <f>IFERROR(VLOOKUP($B1627,calc_data,G$14+1,0),0)</f>
        <v/>
      </c>
      <c r="H1627" s="141">
        <f>IFERROR(VLOOKUP($B1627,calc_data,H$14+1,0),0)</f>
        <v/>
      </c>
      <c r="I1627" s="142">
        <f>IFERROR(VLOOKUP($B1627,calc_data,I$14+1,0),0)</f>
        <v/>
      </c>
      <c r="J1627" s="141">
        <f>IFERROR(VLOOKUP($B1627,calc_data,J$14+1,0),0)</f>
        <v/>
      </c>
      <c r="K1627" s="141">
        <f>IFERROR(VLOOKUP($B1627,calc_data,K$14+1,0),0)</f>
        <v/>
      </c>
      <c r="L1627" s="141">
        <f>IFERROR(VLOOKUP($B1627,calc_data,L$14+1,0),0)</f>
        <v/>
      </c>
      <c r="M1627" s="177">
        <f>IFERROR(VLOOKUP($B1627,calc_data,M$14+1,0),0)</f>
        <v/>
      </c>
      <c r="N1627" s="177">
        <f>IFERROR(VLOOKUP($B1627,calc_data,N$14+1,0),0)</f>
        <v/>
      </c>
      <c r="O1627" s="45" t="n"/>
      <c r="Q1627" s="57">
        <f>IF(K1627&gt;0,"показать","скрыть")</f>
        <v/>
      </c>
    </row>
    <row r="1628" ht="15.75" customHeight="1">
      <c r="B1628" s="182" t="n">
        <v>1612</v>
      </c>
      <c r="C1628" s="182">
        <f>IFERROR(VLOOKUP($B1628,calc_data,C$14+1,0),0)</f>
        <v/>
      </c>
      <c r="D1628" s="182">
        <f>IFERROR(VLOOKUP($B1628,calc_data,D$14+1,0),0)</f>
        <v/>
      </c>
      <c r="E1628" s="183">
        <f>IFERROR(VLOOKUP($B1628,calc_data,E$14+1,0),0)</f>
        <v/>
      </c>
      <c r="F1628" s="182">
        <f>IFERROR(VLOOKUP($B1628,calc_data,F$14+1,0),0)</f>
        <v/>
      </c>
      <c r="G1628" s="141">
        <f>IFERROR(VLOOKUP($B1628,calc_data,G$14+1,0),0)</f>
        <v/>
      </c>
      <c r="H1628" s="141">
        <f>IFERROR(VLOOKUP($B1628,calc_data,H$14+1,0),0)</f>
        <v/>
      </c>
      <c r="I1628" s="142">
        <f>IFERROR(VLOOKUP($B1628,calc_data,I$14+1,0),0)</f>
        <v/>
      </c>
      <c r="J1628" s="141">
        <f>IFERROR(VLOOKUP($B1628,calc_data,J$14+1,0),0)</f>
        <v/>
      </c>
      <c r="K1628" s="141">
        <f>IFERROR(VLOOKUP($B1628,calc_data,K$14+1,0),0)</f>
        <v/>
      </c>
      <c r="L1628" s="141">
        <f>IFERROR(VLOOKUP($B1628,calc_data,L$14+1,0),0)</f>
        <v/>
      </c>
      <c r="M1628" s="177">
        <f>IFERROR(VLOOKUP($B1628,calc_data,M$14+1,0),0)</f>
        <v/>
      </c>
      <c r="N1628" s="177">
        <f>IFERROR(VLOOKUP($B1628,calc_data,N$14+1,0),0)</f>
        <v/>
      </c>
      <c r="O1628" s="45" t="n"/>
      <c r="Q1628" s="57">
        <f>IF(K1628&gt;0,"показать","скрыть")</f>
        <v/>
      </c>
    </row>
    <row r="1629" ht="15.75" customHeight="1">
      <c r="B1629" s="182" t="n">
        <v>1613</v>
      </c>
      <c r="C1629" s="182">
        <f>IFERROR(VLOOKUP($B1629,calc_data,C$14+1,0),0)</f>
        <v/>
      </c>
      <c r="D1629" s="182">
        <f>IFERROR(VLOOKUP($B1629,calc_data,D$14+1,0),0)</f>
        <v/>
      </c>
      <c r="E1629" s="183">
        <f>IFERROR(VLOOKUP($B1629,calc_data,E$14+1,0),0)</f>
        <v/>
      </c>
      <c r="F1629" s="182">
        <f>IFERROR(VLOOKUP($B1629,calc_data,F$14+1,0),0)</f>
        <v/>
      </c>
      <c r="G1629" s="141">
        <f>IFERROR(VLOOKUP($B1629,calc_data,G$14+1,0),0)</f>
        <v/>
      </c>
      <c r="H1629" s="141">
        <f>IFERROR(VLOOKUP($B1629,calc_data,H$14+1,0),0)</f>
        <v/>
      </c>
      <c r="I1629" s="142">
        <f>IFERROR(VLOOKUP($B1629,calc_data,I$14+1,0),0)</f>
        <v/>
      </c>
      <c r="J1629" s="141">
        <f>IFERROR(VLOOKUP($B1629,calc_data,J$14+1,0),0)</f>
        <v/>
      </c>
      <c r="K1629" s="141">
        <f>IFERROR(VLOOKUP($B1629,calc_data,K$14+1,0),0)</f>
        <v/>
      </c>
      <c r="L1629" s="141">
        <f>IFERROR(VLOOKUP($B1629,calc_data,L$14+1,0),0)</f>
        <v/>
      </c>
      <c r="M1629" s="177">
        <f>IFERROR(VLOOKUP($B1629,calc_data,M$14+1,0),0)</f>
        <v/>
      </c>
      <c r="N1629" s="177">
        <f>IFERROR(VLOOKUP($B1629,calc_data,N$14+1,0),0)</f>
        <v/>
      </c>
      <c r="O1629" s="45" t="n"/>
      <c r="Q1629" s="57">
        <f>IF(K1629&gt;0,"показать","скрыть")</f>
        <v/>
      </c>
    </row>
    <row r="1630" ht="15.75" customHeight="1">
      <c r="B1630" s="182" t="n">
        <v>1614</v>
      </c>
      <c r="C1630" s="182">
        <f>IFERROR(VLOOKUP($B1630,calc_data,C$14+1,0),0)</f>
        <v/>
      </c>
      <c r="D1630" s="182">
        <f>IFERROR(VLOOKUP($B1630,calc_data,D$14+1,0),0)</f>
        <v/>
      </c>
      <c r="E1630" s="183">
        <f>IFERROR(VLOOKUP($B1630,calc_data,E$14+1,0),0)</f>
        <v/>
      </c>
      <c r="F1630" s="182">
        <f>IFERROR(VLOOKUP($B1630,calc_data,F$14+1,0),0)</f>
        <v/>
      </c>
      <c r="G1630" s="141">
        <f>IFERROR(VLOOKUP($B1630,calc_data,G$14+1,0),0)</f>
        <v/>
      </c>
      <c r="H1630" s="141">
        <f>IFERROR(VLOOKUP($B1630,calc_data,H$14+1,0),0)</f>
        <v/>
      </c>
      <c r="I1630" s="142">
        <f>IFERROR(VLOOKUP($B1630,calc_data,I$14+1,0),0)</f>
        <v/>
      </c>
      <c r="J1630" s="141">
        <f>IFERROR(VLOOKUP($B1630,calc_data,J$14+1,0),0)</f>
        <v/>
      </c>
      <c r="K1630" s="141">
        <f>IFERROR(VLOOKUP($B1630,calc_data,K$14+1,0),0)</f>
        <v/>
      </c>
      <c r="L1630" s="141">
        <f>IFERROR(VLOOKUP($B1630,calc_data,L$14+1,0),0)</f>
        <v/>
      </c>
      <c r="M1630" s="177">
        <f>IFERROR(VLOOKUP($B1630,calc_data,M$14+1,0),0)</f>
        <v/>
      </c>
      <c r="N1630" s="177">
        <f>IFERROR(VLOOKUP($B1630,calc_data,N$14+1,0),0)</f>
        <v/>
      </c>
      <c r="O1630" s="45" t="n"/>
      <c r="Q1630" s="57">
        <f>IF(K1630&gt;0,"показать","скрыть")</f>
        <v/>
      </c>
    </row>
    <row r="1631" ht="15.75" customHeight="1">
      <c r="B1631" s="182" t="n">
        <v>1615</v>
      </c>
      <c r="C1631" s="182">
        <f>IFERROR(VLOOKUP($B1631,calc_data,C$14+1,0),0)</f>
        <v/>
      </c>
      <c r="D1631" s="182">
        <f>IFERROR(VLOOKUP($B1631,calc_data,D$14+1,0),0)</f>
        <v/>
      </c>
      <c r="E1631" s="183">
        <f>IFERROR(VLOOKUP($B1631,calc_data,E$14+1,0),0)</f>
        <v/>
      </c>
      <c r="F1631" s="182">
        <f>IFERROR(VLOOKUP($B1631,calc_data,F$14+1,0),0)</f>
        <v/>
      </c>
      <c r="G1631" s="141">
        <f>IFERROR(VLOOKUP($B1631,calc_data,G$14+1,0),0)</f>
        <v/>
      </c>
      <c r="H1631" s="141">
        <f>IFERROR(VLOOKUP($B1631,calc_data,H$14+1,0),0)</f>
        <v/>
      </c>
      <c r="I1631" s="142">
        <f>IFERROR(VLOOKUP($B1631,calc_data,I$14+1,0),0)</f>
        <v/>
      </c>
      <c r="J1631" s="141">
        <f>IFERROR(VLOOKUP($B1631,calc_data,J$14+1,0),0)</f>
        <v/>
      </c>
      <c r="K1631" s="141">
        <f>IFERROR(VLOOKUP($B1631,calc_data,K$14+1,0),0)</f>
        <v/>
      </c>
      <c r="L1631" s="141">
        <f>IFERROR(VLOOKUP($B1631,calc_data,L$14+1,0),0)</f>
        <v/>
      </c>
      <c r="M1631" s="177">
        <f>IFERROR(VLOOKUP($B1631,calc_data,M$14+1,0),0)</f>
        <v/>
      </c>
      <c r="N1631" s="177">
        <f>IFERROR(VLOOKUP($B1631,calc_data,N$14+1,0),0)</f>
        <v/>
      </c>
      <c r="O1631" s="45" t="n"/>
      <c r="Q1631" s="57">
        <f>IF(K1631&gt;0,"показать","скрыть")</f>
        <v/>
      </c>
    </row>
    <row r="1632" ht="15.75" customHeight="1">
      <c r="B1632" s="182" t="n">
        <v>1616</v>
      </c>
      <c r="C1632" s="182">
        <f>IFERROR(VLOOKUP($B1632,calc_data,C$14+1,0),0)</f>
        <v/>
      </c>
      <c r="D1632" s="182">
        <f>IFERROR(VLOOKUP($B1632,calc_data,D$14+1,0),0)</f>
        <v/>
      </c>
      <c r="E1632" s="183">
        <f>IFERROR(VLOOKUP($B1632,calc_data,E$14+1,0),0)</f>
        <v/>
      </c>
      <c r="F1632" s="182">
        <f>IFERROR(VLOOKUP($B1632,calc_data,F$14+1,0),0)</f>
        <v/>
      </c>
      <c r="G1632" s="141">
        <f>IFERROR(VLOOKUP($B1632,calc_data,G$14+1,0),0)</f>
        <v/>
      </c>
      <c r="H1632" s="141">
        <f>IFERROR(VLOOKUP($B1632,calc_data,H$14+1,0),0)</f>
        <v/>
      </c>
      <c r="I1632" s="142">
        <f>IFERROR(VLOOKUP($B1632,calc_data,I$14+1,0),0)</f>
        <v/>
      </c>
      <c r="J1632" s="141">
        <f>IFERROR(VLOOKUP($B1632,calc_data,J$14+1,0),0)</f>
        <v/>
      </c>
      <c r="K1632" s="141">
        <f>IFERROR(VLOOKUP($B1632,calc_data,K$14+1,0),0)</f>
        <v/>
      </c>
      <c r="L1632" s="141">
        <f>IFERROR(VLOOKUP($B1632,calc_data,L$14+1,0),0)</f>
        <v/>
      </c>
      <c r="M1632" s="177">
        <f>IFERROR(VLOOKUP($B1632,calc_data,M$14+1,0),0)</f>
        <v/>
      </c>
      <c r="N1632" s="177">
        <f>IFERROR(VLOOKUP($B1632,calc_data,N$14+1,0),0)</f>
        <v/>
      </c>
      <c r="O1632" s="45" t="n"/>
      <c r="Q1632" s="57">
        <f>IF(K1632&gt;0,"показать","скрыть")</f>
        <v/>
      </c>
    </row>
    <row r="1633" ht="15.75" customHeight="1">
      <c r="B1633" s="182" t="n">
        <v>1617</v>
      </c>
      <c r="C1633" s="182">
        <f>IFERROR(VLOOKUP($B1633,calc_data,C$14+1,0),0)</f>
        <v/>
      </c>
      <c r="D1633" s="182">
        <f>IFERROR(VLOOKUP($B1633,calc_data,D$14+1,0),0)</f>
        <v/>
      </c>
      <c r="E1633" s="183">
        <f>IFERROR(VLOOKUP($B1633,calc_data,E$14+1,0),0)</f>
        <v/>
      </c>
      <c r="F1633" s="182">
        <f>IFERROR(VLOOKUP($B1633,calc_data,F$14+1,0),0)</f>
        <v/>
      </c>
      <c r="G1633" s="141">
        <f>IFERROR(VLOOKUP($B1633,calc_data,G$14+1,0),0)</f>
        <v/>
      </c>
      <c r="H1633" s="141">
        <f>IFERROR(VLOOKUP($B1633,calc_data,H$14+1,0),0)</f>
        <v/>
      </c>
      <c r="I1633" s="142">
        <f>IFERROR(VLOOKUP($B1633,calc_data,I$14+1,0),0)</f>
        <v/>
      </c>
      <c r="J1633" s="141">
        <f>IFERROR(VLOOKUP($B1633,calc_data,J$14+1,0),0)</f>
        <v/>
      </c>
      <c r="K1633" s="141">
        <f>IFERROR(VLOOKUP($B1633,calc_data,K$14+1,0),0)</f>
        <v/>
      </c>
      <c r="L1633" s="141">
        <f>IFERROR(VLOOKUP($B1633,calc_data,L$14+1,0),0)</f>
        <v/>
      </c>
      <c r="M1633" s="177">
        <f>IFERROR(VLOOKUP($B1633,calc_data,M$14+1,0),0)</f>
        <v/>
      </c>
      <c r="N1633" s="177">
        <f>IFERROR(VLOOKUP($B1633,calc_data,N$14+1,0),0)</f>
        <v/>
      </c>
      <c r="O1633" s="45" t="n"/>
      <c r="Q1633" s="57">
        <f>IF(K1633&gt;0,"показать","скрыть")</f>
        <v/>
      </c>
    </row>
    <row r="1634" ht="15.75" customHeight="1">
      <c r="B1634" s="182" t="n">
        <v>1618</v>
      </c>
      <c r="C1634" s="182">
        <f>IFERROR(VLOOKUP($B1634,calc_data,C$14+1,0),0)</f>
        <v/>
      </c>
      <c r="D1634" s="182">
        <f>IFERROR(VLOOKUP($B1634,calc_data,D$14+1,0),0)</f>
        <v/>
      </c>
      <c r="E1634" s="183">
        <f>IFERROR(VLOOKUP($B1634,calc_data,E$14+1,0),0)</f>
        <v/>
      </c>
      <c r="F1634" s="182">
        <f>IFERROR(VLOOKUP($B1634,calc_data,F$14+1,0),0)</f>
        <v/>
      </c>
      <c r="G1634" s="141">
        <f>IFERROR(VLOOKUP($B1634,calc_data,G$14+1,0),0)</f>
        <v/>
      </c>
      <c r="H1634" s="141">
        <f>IFERROR(VLOOKUP($B1634,calc_data,H$14+1,0),0)</f>
        <v/>
      </c>
      <c r="I1634" s="142">
        <f>IFERROR(VLOOKUP($B1634,calc_data,I$14+1,0),0)</f>
        <v/>
      </c>
      <c r="J1634" s="141">
        <f>IFERROR(VLOOKUP($B1634,calc_data,J$14+1,0),0)</f>
        <v/>
      </c>
      <c r="K1634" s="141">
        <f>IFERROR(VLOOKUP($B1634,calc_data,K$14+1,0),0)</f>
        <v/>
      </c>
      <c r="L1634" s="141">
        <f>IFERROR(VLOOKUP($B1634,calc_data,L$14+1,0),0)</f>
        <v/>
      </c>
      <c r="M1634" s="177">
        <f>IFERROR(VLOOKUP($B1634,calc_data,M$14+1,0),0)</f>
        <v/>
      </c>
      <c r="N1634" s="177">
        <f>IFERROR(VLOOKUP($B1634,calc_data,N$14+1,0),0)</f>
        <v/>
      </c>
      <c r="O1634" s="45" t="n"/>
      <c r="Q1634" s="57">
        <f>IF(K1634&gt;0,"показать","скрыть")</f>
        <v/>
      </c>
    </row>
    <row r="1635" ht="15.75" customHeight="1">
      <c r="B1635" s="182" t="n">
        <v>1619</v>
      </c>
      <c r="C1635" s="182">
        <f>IFERROR(VLOOKUP($B1635,calc_data,C$14+1,0),0)</f>
        <v/>
      </c>
      <c r="D1635" s="182">
        <f>IFERROR(VLOOKUP($B1635,calc_data,D$14+1,0),0)</f>
        <v/>
      </c>
      <c r="E1635" s="183">
        <f>IFERROR(VLOOKUP($B1635,calc_data,E$14+1,0),0)</f>
        <v/>
      </c>
      <c r="F1635" s="182">
        <f>IFERROR(VLOOKUP($B1635,calc_data,F$14+1,0),0)</f>
        <v/>
      </c>
      <c r="G1635" s="141">
        <f>IFERROR(VLOOKUP($B1635,calc_data,G$14+1,0),0)</f>
        <v/>
      </c>
      <c r="H1635" s="141">
        <f>IFERROR(VLOOKUP($B1635,calc_data,H$14+1,0),0)</f>
        <v/>
      </c>
      <c r="I1635" s="142">
        <f>IFERROR(VLOOKUP($B1635,calc_data,I$14+1,0),0)</f>
        <v/>
      </c>
      <c r="J1635" s="141">
        <f>IFERROR(VLOOKUP($B1635,calc_data,J$14+1,0),0)</f>
        <v/>
      </c>
      <c r="K1635" s="141">
        <f>IFERROR(VLOOKUP($B1635,calc_data,K$14+1,0),0)</f>
        <v/>
      </c>
      <c r="L1635" s="141">
        <f>IFERROR(VLOOKUP($B1635,calc_data,L$14+1,0),0)</f>
        <v/>
      </c>
      <c r="M1635" s="177">
        <f>IFERROR(VLOOKUP($B1635,calc_data,M$14+1,0),0)</f>
        <v/>
      </c>
      <c r="N1635" s="177">
        <f>IFERROR(VLOOKUP($B1635,calc_data,N$14+1,0),0)</f>
        <v/>
      </c>
      <c r="O1635" s="45" t="n"/>
      <c r="Q1635" s="57">
        <f>IF(K1635&gt;0,"показать","скрыть")</f>
        <v/>
      </c>
    </row>
    <row r="1636" ht="15.75" customHeight="1">
      <c r="B1636" s="182" t="n">
        <v>1620</v>
      </c>
      <c r="C1636" s="182">
        <f>IFERROR(VLOOKUP($B1636,calc_data,C$14+1,0),0)</f>
        <v/>
      </c>
      <c r="D1636" s="182">
        <f>IFERROR(VLOOKUP($B1636,calc_data,D$14+1,0),0)</f>
        <v/>
      </c>
      <c r="E1636" s="183">
        <f>IFERROR(VLOOKUP($B1636,calc_data,E$14+1,0),0)</f>
        <v/>
      </c>
      <c r="F1636" s="182">
        <f>IFERROR(VLOOKUP($B1636,calc_data,F$14+1,0),0)</f>
        <v/>
      </c>
      <c r="G1636" s="141">
        <f>IFERROR(VLOOKUP($B1636,calc_data,G$14+1,0),0)</f>
        <v/>
      </c>
      <c r="H1636" s="141">
        <f>IFERROR(VLOOKUP($B1636,calc_data,H$14+1,0),0)</f>
        <v/>
      </c>
      <c r="I1636" s="142">
        <f>IFERROR(VLOOKUP($B1636,calc_data,I$14+1,0),0)</f>
        <v/>
      </c>
      <c r="J1636" s="141">
        <f>IFERROR(VLOOKUP($B1636,calc_data,J$14+1,0),0)</f>
        <v/>
      </c>
      <c r="K1636" s="141">
        <f>IFERROR(VLOOKUP($B1636,calc_data,K$14+1,0),0)</f>
        <v/>
      </c>
      <c r="L1636" s="141">
        <f>IFERROR(VLOOKUP($B1636,calc_data,L$14+1,0),0)</f>
        <v/>
      </c>
      <c r="M1636" s="177">
        <f>IFERROR(VLOOKUP($B1636,calc_data,M$14+1,0),0)</f>
        <v/>
      </c>
      <c r="N1636" s="177">
        <f>IFERROR(VLOOKUP($B1636,calc_data,N$14+1,0),0)</f>
        <v/>
      </c>
      <c r="O1636" s="45" t="n"/>
      <c r="Q1636" s="57">
        <f>IF(K1636&gt;0,"показать","скрыть")</f>
        <v/>
      </c>
    </row>
    <row r="1637" ht="15.75" customHeight="1">
      <c r="B1637" s="182" t="n">
        <v>1621</v>
      </c>
      <c r="C1637" s="182">
        <f>IFERROR(VLOOKUP($B1637,calc_data,C$14+1,0),0)</f>
        <v/>
      </c>
      <c r="D1637" s="182">
        <f>IFERROR(VLOOKUP($B1637,calc_data,D$14+1,0),0)</f>
        <v/>
      </c>
      <c r="E1637" s="183">
        <f>IFERROR(VLOOKUP($B1637,calc_data,E$14+1,0),0)</f>
        <v/>
      </c>
      <c r="F1637" s="182">
        <f>IFERROR(VLOOKUP($B1637,calc_data,F$14+1,0),0)</f>
        <v/>
      </c>
      <c r="G1637" s="141">
        <f>IFERROR(VLOOKUP($B1637,calc_data,G$14+1,0),0)</f>
        <v/>
      </c>
      <c r="H1637" s="141">
        <f>IFERROR(VLOOKUP($B1637,calc_data,H$14+1,0),0)</f>
        <v/>
      </c>
      <c r="I1637" s="142">
        <f>IFERROR(VLOOKUP($B1637,calc_data,I$14+1,0),0)</f>
        <v/>
      </c>
      <c r="J1637" s="141">
        <f>IFERROR(VLOOKUP($B1637,calc_data,J$14+1,0),0)</f>
        <v/>
      </c>
      <c r="K1637" s="141">
        <f>IFERROR(VLOOKUP($B1637,calc_data,K$14+1,0),0)</f>
        <v/>
      </c>
      <c r="L1637" s="141">
        <f>IFERROR(VLOOKUP($B1637,calc_data,L$14+1,0),0)</f>
        <v/>
      </c>
      <c r="M1637" s="177">
        <f>IFERROR(VLOOKUP($B1637,calc_data,M$14+1,0),0)</f>
        <v/>
      </c>
      <c r="N1637" s="177">
        <f>IFERROR(VLOOKUP($B1637,calc_data,N$14+1,0),0)</f>
        <v/>
      </c>
      <c r="O1637" s="45" t="n"/>
      <c r="Q1637" s="57">
        <f>IF(K1637&gt;0,"показать","скрыть")</f>
        <v/>
      </c>
    </row>
    <row r="1638" ht="15.75" customHeight="1">
      <c r="B1638" s="182" t="n">
        <v>1622</v>
      </c>
      <c r="C1638" s="182">
        <f>IFERROR(VLOOKUP($B1638,calc_data,C$14+1,0),0)</f>
        <v/>
      </c>
      <c r="D1638" s="182">
        <f>IFERROR(VLOOKUP($B1638,calc_data,D$14+1,0),0)</f>
        <v/>
      </c>
      <c r="E1638" s="183">
        <f>IFERROR(VLOOKUP($B1638,calc_data,E$14+1,0),0)</f>
        <v/>
      </c>
      <c r="F1638" s="182">
        <f>IFERROR(VLOOKUP($B1638,calc_data,F$14+1,0),0)</f>
        <v/>
      </c>
      <c r="G1638" s="141">
        <f>IFERROR(VLOOKUP($B1638,calc_data,G$14+1,0),0)</f>
        <v/>
      </c>
      <c r="H1638" s="141">
        <f>IFERROR(VLOOKUP($B1638,calc_data,H$14+1,0),0)</f>
        <v/>
      </c>
      <c r="I1638" s="142">
        <f>IFERROR(VLOOKUP($B1638,calc_data,I$14+1,0),0)</f>
        <v/>
      </c>
      <c r="J1638" s="141">
        <f>IFERROR(VLOOKUP($B1638,calc_data,J$14+1,0),0)</f>
        <v/>
      </c>
      <c r="K1638" s="141">
        <f>IFERROR(VLOOKUP($B1638,calc_data,K$14+1,0),0)</f>
        <v/>
      </c>
      <c r="L1638" s="141">
        <f>IFERROR(VLOOKUP($B1638,calc_data,L$14+1,0),0)</f>
        <v/>
      </c>
      <c r="M1638" s="177">
        <f>IFERROR(VLOOKUP($B1638,calc_data,M$14+1,0),0)</f>
        <v/>
      </c>
      <c r="N1638" s="177">
        <f>IFERROR(VLOOKUP($B1638,calc_data,N$14+1,0),0)</f>
        <v/>
      </c>
      <c r="O1638" s="45" t="n"/>
      <c r="Q1638" s="57">
        <f>IF(K1638&gt;0,"показать","скрыть")</f>
        <v/>
      </c>
    </row>
    <row r="1639" ht="15.75" customHeight="1">
      <c r="B1639" s="182" t="n">
        <v>1623</v>
      </c>
      <c r="C1639" s="182">
        <f>IFERROR(VLOOKUP($B1639,calc_data,C$14+1,0),0)</f>
        <v/>
      </c>
      <c r="D1639" s="182">
        <f>IFERROR(VLOOKUP($B1639,calc_data,D$14+1,0),0)</f>
        <v/>
      </c>
      <c r="E1639" s="183">
        <f>IFERROR(VLOOKUP($B1639,calc_data,E$14+1,0),0)</f>
        <v/>
      </c>
      <c r="F1639" s="182">
        <f>IFERROR(VLOOKUP($B1639,calc_data,F$14+1,0),0)</f>
        <v/>
      </c>
      <c r="G1639" s="141">
        <f>IFERROR(VLOOKUP($B1639,calc_data,G$14+1,0),0)</f>
        <v/>
      </c>
      <c r="H1639" s="141">
        <f>IFERROR(VLOOKUP($B1639,calc_data,H$14+1,0),0)</f>
        <v/>
      </c>
      <c r="I1639" s="142">
        <f>IFERROR(VLOOKUP($B1639,calc_data,I$14+1,0),0)</f>
        <v/>
      </c>
      <c r="J1639" s="141">
        <f>IFERROR(VLOOKUP($B1639,calc_data,J$14+1,0),0)</f>
        <v/>
      </c>
      <c r="K1639" s="141">
        <f>IFERROR(VLOOKUP($B1639,calc_data,K$14+1,0),0)</f>
        <v/>
      </c>
      <c r="L1639" s="141">
        <f>IFERROR(VLOOKUP($B1639,calc_data,L$14+1,0),0)</f>
        <v/>
      </c>
      <c r="M1639" s="177">
        <f>IFERROR(VLOOKUP($B1639,calc_data,M$14+1,0),0)</f>
        <v/>
      </c>
      <c r="N1639" s="177">
        <f>IFERROR(VLOOKUP($B1639,calc_data,N$14+1,0),0)</f>
        <v/>
      </c>
      <c r="O1639" s="45" t="n"/>
      <c r="Q1639" s="57">
        <f>IF(K1639&gt;0,"показать","скрыть")</f>
        <v/>
      </c>
    </row>
    <row r="1640" ht="15.75" customHeight="1">
      <c r="B1640" s="182" t="n">
        <v>1624</v>
      </c>
      <c r="C1640" s="182">
        <f>IFERROR(VLOOKUP($B1640,calc_data,C$14+1,0),0)</f>
        <v/>
      </c>
      <c r="D1640" s="182">
        <f>IFERROR(VLOOKUP($B1640,calc_data,D$14+1,0),0)</f>
        <v/>
      </c>
      <c r="E1640" s="183">
        <f>IFERROR(VLOOKUP($B1640,calc_data,E$14+1,0),0)</f>
        <v/>
      </c>
      <c r="F1640" s="182">
        <f>IFERROR(VLOOKUP($B1640,calc_data,F$14+1,0),0)</f>
        <v/>
      </c>
      <c r="G1640" s="141">
        <f>IFERROR(VLOOKUP($B1640,calc_data,G$14+1,0),0)</f>
        <v/>
      </c>
      <c r="H1640" s="141">
        <f>IFERROR(VLOOKUP($B1640,calc_data,H$14+1,0),0)</f>
        <v/>
      </c>
      <c r="I1640" s="142">
        <f>IFERROR(VLOOKUP($B1640,calc_data,I$14+1,0),0)</f>
        <v/>
      </c>
      <c r="J1640" s="141">
        <f>IFERROR(VLOOKUP($B1640,calc_data,J$14+1,0),0)</f>
        <v/>
      </c>
      <c r="K1640" s="141">
        <f>IFERROR(VLOOKUP($B1640,calc_data,K$14+1,0),0)</f>
        <v/>
      </c>
      <c r="L1640" s="141">
        <f>IFERROR(VLOOKUP($B1640,calc_data,L$14+1,0),0)</f>
        <v/>
      </c>
      <c r="M1640" s="177">
        <f>IFERROR(VLOOKUP($B1640,calc_data,M$14+1,0),0)</f>
        <v/>
      </c>
      <c r="N1640" s="177">
        <f>IFERROR(VLOOKUP($B1640,calc_data,N$14+1,0),0)</f>
        <v/>
      </c>
      <c r="O1640" s="45" t="n"/>
      <c r="Q1640" s="57">
        <f>IF(K1640&gt;0,"показать","скрыть")</f>
        <v/>
      </c>
    </row>
    <row r="1641" ht="15.75" customHeight="1">
      <c r="B1641" s="182" t="n">
        <v>1625</v>
      </c>
      <c r="C1641" s="182">
        <f>IFERROR(VLOOKUP($B1641,calc_data,C$14+1,0),0)</f>
        <v/>
      </c>
      <c r="D1641" s="182">
        <f>IFERROR(VLOOKUP($B1641,calc_data,D$14+1,0),0)</f>
        <v/>
      </c>
      <c r="E1641" s="183">
        <f>IFERROR(VLOOKUP($B1641,calc_data,E$14+1,0),0)</f>
        <v/>
      </c>
      <c r="F1641" s="182">
        <f>IFERROR(VLOOKUP($B1641,calc_data,F$14+1,0),0)</f>
        <v/>
      </c>
      <c r="G1641" s="141">
        <f>IFERROR(VLOOKUP($B1641,calc_data,G$14+1,0),0)</f>
        <v/>
      </c>
      <c r="H1641" s="141">
        <f>IFERROR(VLOOKUP($B1641,calc_data,H$14+1,0),0)</f>
        <v/>
      </c>
      <c r="I1641" s="142">
        <f>IFERROR(VLOOKUP($B1641,calc_data,I$14+1,0),0)</f>
        <v/>
      </c>
      <c r="J1641" s="141">
        <f>IFERROR(VLOOKUP($B1641,calc_data,J$14+1,0),0)</f>
        <v/>
      </c>
      <c r="K1641" s="141">
        <f>IFERROR(VLOOKUP($B1641,calc_data,K$14+1,0),0)</f>
        <v/>
      </c>
      <c r="L1641" s="141">
        <f>IFERROR(VLOOKUP($B1641,calc_data,L$14+1,0),0)</f>
        <v/>
      </c>
      <c r="M1641" s="177">
        <f>IFERROR(VLOOKUP($B1641,calc_data,M$14+1,0),0)</f>
        <v/>
      </c>
      <c r="N1641" s="177">
        <f>IFERROR(VLOOKUP($B1641,calc_data,N$14+1,0),0)</f>
        <v/>
      </c>
      <c r="O1641" s="45" t="n"/>
      <c r="Q1641" s="57">
        <f>IF(K1641&gt;0,"показать","скрыть")</f>
        <v/>
      </c>
    </row>
    <row r="1642" ht="15.75" customHeight="1">
      <c r="B1642" s="182" t="n">
        <v>1626</v>
      </c>
      <c r="C1642" s="182">
        <f>IFERROR(VLOOKUP($B1642,calc_data,C$14+1,0),0)</f>
        <v/>
      </c>
      <c r="D1642" s="182">
        <f>IFERROR(VLOOKUP($B1642,calc_data,D$14+1,0),0)</f>
        <v/>
      </c>
      <c r="E1642" s="183">
        <f>IFERROR(VLOOKUP($B1642,calc_data,E$14+1,0),0)</f>
        <v/>
      </c>
      <c r="F1642" s="182">
        <f>IFERROR(VLOOKUP($B1642,calc_data,F$14+1,0),0)</f>
        <v/>
      </c>
      <c r="G1642" s="141">
        <f>IFERROR(VLOOKUP($B1642,calc_data,G$14+1,0),0)</f>
        <v/>
      </c>
      <c r="H1642" s="141">
        <f>IFERROR(VLOOKUP($B1642,calc_data,H$14+1,0),0)</f>
        <v/>
      </c>
      <c r="I1642" s="142">
        <f>IFERROR(VLOOKUP($B1642,calc_data,I$14+1,0),0)</f>
        <v/>
      </c>
      <c r="J1642" s="141">
        <f>IFERROR(VLOOKUP($B1642,calc_data,J$14+1,0),0)</f>
        <v/>
      </c>
      <c r="K1642" s="141">
        <f>IFERROR(VLOOKUP($B1642,calc_data,K$14+1,0),0)</f>
        <v/>
      </c>
      <c r="L1642" s="141">
        <f>IFERROR(VLOOKUP($B1642,calc_data,L$14+1,0),0)</f>
        <v/>
      </c>
      <c r="M1642" s="177">
        <f>IFERROR(VLOOKUP($B1642,calc_data,M$14+1,0),0)</f>
        <v/>
      </c>
      <c r="N1642" s="177">
        <f>IFERROR(VLOOKUP($B1642,calc_data,N$14+1,0),0)</f>
        <v/>
      </c>
      <c r="O1642" s="45" t="n"/>
      <c r="Q1642" s="57">
        <f>IF(K1642&gt;0,"показать","скрыть")</f>
        <v/>
      </c>
    </row>
    <row r="1643" ht="15.75" customHeight="1">
      <c r="B1643" s="182" t="n">
        <v>1627</v>
      </c>
      <c r="C1643" s="182">
        <f>IFERROR(VLOOKUP($B1643,calc_data,C$14+1,0),0)</f>
        <v/>
      </c>
      <c r="D1643" s="182">
        <f>IFERROR(VLOOKUP($B1643,calc_data,D$14+1,0),0)</f>
        <v/>
      </c>
      <c r="E1643" s="183">
        <f>IFERROR(VLOOKUP($B1643,calc_data,E$14+1,0),0)</f>
        <v/>
      </c>
      <c r="F1643" s="182">
        <f>IFERROR(VLOOKUP($B1643,calc_data,F$14+1,0),0)</f>
        <v/>
      </c>
      <c r="G1643" s="141">
        <f>IFERROR(VLOOKUP($B1643,calc_data,G$14+1,0),0)</f>
        <v/>
      </c>
      <c r="H1643" s="141">
        <f>IFERROR(VLOOKUP($B1643,calc_data,H$14+1,0),0)</f>
        <v/>
      </c>
      <c r="I1643" s="142">
        <f>IFERROR(VLOOKUP($B1643,calc_data,I$14+1,0),0)</f>
        <v/>
      </c>
      <c r="J1643" s="141">
        <f>IFERROR(VLOOKUP($B1643,calc_data,J$14+1,0),0)</f>
        <v/>
      </c>
      <c r="K1643" s="141">
        <f>IFERROR(VLOOKUP($B1643,calc_data,K$14+1,0),0)</f>
        <v/>
      </c>
      <c r="L1643" s="141">
        <f>IFERROR(VLOOKUP($B1643,calc_data,L$14+1,0),0)</f>
        <v/>
      </c>
      <c r="M1643" s="177">
        <f>IFERROR(VLOOKUP($B1643,calc_data,M$14+1,0),0)</f>
        <v/>
      </c>
      <c r="N1643" s="177">
        <f>IFERROR(VLOOKUP($B1643,calc_data,N$14+1,0),0)</f>
        <v/>
      </c>
      <c r="O1643" s="45" t="n"/>
      <c r="Q1643" s="57">
        <f>IF(K1643&gt;0,"показать","скрыть")</f>
        <v/>
      </c>
    </row>
    <row r="1644" ht="15.75" customHeight="1">
      <c r="B1644" s="182" t="n">
        <v>1628</v>
      </c>
      <c r="C1644" s="182">
        <f>IFERROR(VLOOKUP($B1644,calc_data,C$14+1,0),0)</f>
        <v/>
      </c>
      <c r="D1644" s="182">
        <f>IFERROR(VLOOKUP($B1644,calc_data,D$14+1,0),0)</f>
        <v/>
      </c>
      <c r="E1644" s="183">
        <f>IFERROR(VLOOKUP($B1644,calc_data,E$14+1,0),0)</f>
        <v/>
      </c>
      <c r="F1644" s="182">
        <f>IFERROR(VLOOKUP($B1644,calc_data,F$14+1,0),0)</f>
        <v/>
      </c>
      <c r="G1644" s="141">
        <f>IFERROR(VLOOKUP($B1644,calc_data,G$14+1,0),0)</f>
        <v/>
      </c>
      <c r="H1644" s="141">
        <f>IFERROR(VLOOKUP($B1644,calc_data,H$14+1,0),0)</f>
        <v/>
      </c>
      <c r="I1644" s="142">
        <f>IFERROR(VLOOKUP($B1644,calc_data,I$14+1,0),0)</f>
        <v/>
      </c>
      <c r="J1644" s="141">
        <f>IFERROR(VLOOKUP($B1644,calc_data,J$14+1,0),0)</f>
        <v/>
      </c>
      <c r="K1644" s="141">
        <f>IFERROR(VLOOKUP($B1644,calc_data,K$14+1,0),0)</f>
        <v/>
      </c>
      <c r="L1644" s="141">
        <f>IFERROR(VLOOKUP($B1644,calc_data,L$14+1,0),0)</f>
        <v/>
      </c>
      <c r="M1644" s="177">
        <f>IFERROR(VLOOKUP($B1644,calc_data,M$14+1,0),0)</f>
        <v/>
      </c>
      <c r="N1644" s="177">
        <f>IFERROR(VLOOKUP($B1644,calc_data,N$14+1,0),0)</f>
        <v/>
      </c>
      <c r="O1644" s="45" t="n"/>
      <c r="Q1644" s="57">
        <f>IF(K1644&gt;0,"показать","скрыть")</f>
        <v/>
      </c>
    </row>
    <row r="1645" ht="15.75" customHeight="1">
      <c r="B1645" s="182" t="n">
        <v>1629</v>
      </c>
      <c r="C1645" s="182">
        <f>IFERROR(VLOOKUP($B1645,calc_data,C$14+1,0),0)</f>
        <v/>
      </c>
      <c r="D1645" s="182">
        <f>IFERROR(VLOOKUP($B1645,calc_data,D$14+1,0),0)</f>
        <v/>
      </c>
      <c r="E1645" s="183">
        <f>IFERROR(VLOOKUP($B1645,calc_data,E$14+1,0),0)</f>
        <v/>
      </c>
      <c r="F1645" s="182">
        <f>IFERROR(VLOOKUP($B1645,calc_data,F$14+1,0),0)</f>
        <v/>
      </c>
      <c r="G1645" s="141">
        <f>IFERROR(VLOOKUP($B1645,calc_data,G$14+1,0),0)</f>
        <v/>
      </c>
      <c r="H1645" s="141">
        <f>IFERROR(VLOOKUP($B1645,calc_data,H$14+1,0),0)</f>
        <v/>
      </c>
      <c r="I1645" s="142">
        <f>IFERROR(VLOOKUP($B1645,calc_data,I$14+1,0),0)</f>
        <v/>
      </c>
      <c r="J1645" s="141">
        <f>IFERROR(VLOOKUP($B1645,calc_data,J$14+1,0),0)</f>
        <v/>
      </c>
      <c r="K1645" s="141">
        <f>IFERROR(VLOOKUP($B1645,calc_data,K$14+1,0),0)</f>
        <v/>
      </c>
      <c r="L1645" s="141">
        <f>IFERROR(VLOOKUP($B1645,calc_data,L$14+1,0),0)</f>
        <v/>
      </c>
      <c r="M1645" s="177">
        <f>IFERROR(VLOOKUP($B1645,calc_data,M$14+1,0),0)</f>
        <v/>
      </c>
      <c r="N1645" s="177">
        <f>IFERROR(VLOOKUP($B1645,calc_data,N$14+1,0),0)</f>
        <v/>
      </c>
      <c r="O1645" s="45" t="n"/>
      <c r="Q1645" s="57">
        <f>IF(K1645&gt;0,"показать","скрыть")</f>
        <v/>
      </c>
    </row>
    <row r="1646" ht="15.75" customHeight="1">
      <c r="B1646" s="182" t="n">
        <v>1630</v>
      </c>
      <c r="C1646" s="182">
        <f>IFERROR(VLOOKUP($B1646,calc_data,C$14+1,0),0)</f>
        <v/>
      </c>
      <c r="D1646" s="182">
        <f>IFERROR(VLOOKUP($B1646,calc_data,D$14+1,0),0)</f>
        <v/>
      </c>
      <c r="E1646" s="183">
        <f>IFERROR(VLOOKUP($B1646,calc_data,E$14+1,0),0)</f>
        <v/>
      </c>
      <c r="F1646" s="182">
        <f>IFERROR(VLOOKUP($B1646,calc_data,F$14+1,0),0)</f>
        <v/>
      </c>
      <c r="G1646" s="141">
        <f>IFERROR(VLOOKUP($B1646,calc_data,G$14+1,0),0)</f>
        <v/>
      </c>
      <c r="H1646" s="141">
        <f>IFERROR(VLOOKUP($B1646,calc_data,H$14+1,0),0)</f>
        <v/>
      </c>
      <c r="I1646" s="142">
        <f>IFERROR(VLOOKUP($B1646,calc_data,I$14+1,0),0)</f>
        <v/>
      </c>
      <c r="J1646" s="141">
        <f>IFERROR(VLOOKUP($B1646,calc_data,J$14+1,0),0)</f>
        <v/>
      </c>
      <c r="K1646" s="141">
        <f>IFERROR(VLOOKUP($B1646,calc_data,K$14+1,0),0)</f>
        <v/>
      </c>
      <c r="L1646" s="141">
        <f>IFERROR(VLOOKUP($B1646,calc_data,L$14+1,0),0)</f>
        <v/>
      </c>
      <c r="M1646" s="177">
        <f>IFERROR(VLOOKUP($B1646,calc_data,M$14+1,0),0)</f>
        <v/>
      </c>
      <c r="N1646" s="177">
        <f>IFERROR(VLOOKUP($B1646,calc_data,N$14+1,0),0)</f>
        <v/>
      </c>
      <c r="O1646" s="45" t="n"/>
      <c r="Q1646" s="57">
        <f>IF(K1646&gt;0,"показать","скрыть")</f>
        <v/>
      </c>
    </row>
    <row r="1647" ht="15.75" customHeight="1">
      <c r="B1647" s="182" t="n">
        <v>1631</v>
      </c>
      <c r="C1647" s="182">
        <f>IFERROR(VLOOKUP($B1647,calc_data,C$14+1,0),0)</f>
        <v/>
      </c>
      <c r="D1647" s="182">
        <f>IFERROR(VLOOKUP($B1647,calc_data,D$14+1,0),0)</f>
        <v/>
      </c>
      <c r="E1647" s="183">
        <f>IFERROR(VLOOKUP($B1647,calc_data,E$14+1,0),0)</f>
        <v/>
      </c>
      <c r="F1647" s="182">
        <f>IFERROR(VLOOKUP($B1647,calc_data,F$14+1,0),0)</f>
        <v/>
      </c>
      <c r="G1647" s="141">
        <f>IFERROR(VLOOKUP($B1647,calc_data,G$14+1,0),0)</f>
        <v/>
      </c>
      <c r="H1647" s="141">
        <f>IFERROR(VLOOKUP($B1647,calc_data,H$14+1,0),0)</f>
        <v/>
      </c>
      <c r="I1647" s="142">
        <f>IFERROR(VLOOKUP($B1647,calc_data,I$14+1,0),0)</f>
        <v/>
      </c>
      <c r="J1647" s="141">
        <f>IFERROR(VLOOKUP($B1647,calc_data,J$14+1,0),0)</f>
        <v/>
      </c>
      <c r="K1647" s="141">
        <f>IFERROR(VLOOKUP($B1647,calc_data,K$14+1,0),0)</f>
        <v/>
      </c>
      <c r="L1647" s="141">
        <f>IFERROR(VLOOKUP($B1647,calc_data,L$14+1,0),0)</f>
        <v/>
      </c>
      <c r="M1647" s="177">
        <f>IFERROR(VLOOKUP($B1647,calc_data,M$14+1,0),0)</f>
        <v/>
      </c>
      <c r="N1647" s="177">
        <f>IFERROR(VLOOKUP($B1647,calc_data,N$14+1,0),0)</f>
        <v/>
      </c>
      <c r="O1647" s="45" t="n"/>
      <c r="Q1647" s="57">
        <f>IF(K1647&gt;0,"показать","скрыть")</f>
        <v/>
      </c>
    </row>
    <row r="1648" ht="15.75" customHeight="1">
      <c r="B1648" s="182" t="n">
        <v>1632</v>
      </c>
      <c r="C1648" s="182">
        <f>IFERROR(VLOOKUP($B1648,calc_data,C$14+1,0),0)</f>
        <v/>
      </c>
      <c r="D1648" s="182">
        <f>IFERROR(VLOOKUP($B1648,calc_data,D$14+1,0),0)</f>
        <v/>
      </c>
      <c r="E1648" s="183">
        <f>IFERROR(VLOOKUP($B1648,calc_data,E$14+1,0),0)</f>
        <v/>
      </c>
      <c r="F1648" s="182">
        <f>IFERROR(VLOOKUP($B1648,calc_data,F$14+1,0),0)</f>
        <v/>
      </c>
      <c r="G1648" s="141">
        <f>IFERROR(VLOOKUP($B1648,calc_data,G$14+1,0),0)</f>
        <v/>
      </c>
      <c r="H1648" s="141">
        <f>IFERROR(VLOOKUP($B1648,calc_data,H$14+1,0),0)</f>
        <v/>
      </c>
      <c r="I1648" s="142">
        <f>IFERROR(VLOOKUP($B1648,calc_data,I$14+1,0),0)</f>
        <v/>
      </c>
      <c r="J1648" s="141">
        <f>IFERROR(VLOOKUP($B1648,calc_data,J$14+1,0),0)</f>
        <v/>
      </c>
      <c r="K1648" s="141">
        <f>IFERROR(VLOOKUP($B1648,calc_data,K$14+1,0),0)</f>
        <v/>
      </c>
      <c r="L1648" s="141">
        <f>IFERROR(VLOOKUP($B1648,calc_data,L$14+1,0),0)</f>
        <v/>
      </c>
      <c r="M1648" s="177">
        <f>IFERROR(VLOOKUP($B1648,calc_data,M$14+1,0),0)</f>
        <v/>
      </c>
      <c r="N1648" s="177">
        <f>IFERROR(VLOOKUP($B1648,calc_data,N$14+1,0),0)</f>
        <v/>
      </c>
      <c r="O1648" s="45" t="n"/>
      <c r="Q1648" s="57">
        <f>IF(K1648&gt;0,"показать","скрыть")</f>
        <v/>
      </c>
    </row>
    <row r="1649" ht="15.75" customHeight="1">
      <c r="B1649" s="182" t="n">
        <v>1633</v>
      </c>
      <c r="C1649" s="182">
        <f>IFERROR(VLOOKUP($B1649,calc_data,C$14+1,0),0)</f>
        <v/>
      </c>
      <c r="D1649" s="182">
        <f>IFERROR(VLOOKUP($B1649,calc_data,D$14+1,0),0)</f>
        <v/>
      </c>
      <c r="E1649" s="183">
        <f>IFERROR(VLOOKUP($B1649,calc_data,E$14+1,0),0)</f>
        <v/>
      </c>
      <c r="F1649" s="182">
        <f>IFERROR(VLOOKUP($B1649,calc_data,F$14+1,0),0)</f>
        <v/>
      </c>
      <c r="G1649" s="141">
        <f>IFERROR(VLOOKUP($B1649,calc_data,G$14+1,0),0)</f>
        <v/>
      </c>
      <c r="H1649" s="141">
        <f>IFERROR(VLOOKUP($B1649,calc_data,H$14+1,0),0)</f>
        <v/>
      </c>
      <c r="I1649" s="142">
        <f>IFERROR(VLOOKUP($B1649,calc_data,I$14+1,0),0)</f>
        <v/>
      </c>
      <c r="J1649" s="141">
        <f>IFERROR(VLOOKUP($B1649,calc_data,J$14+1,0),0)</f>
        <v/>
      </c>
      <c r="K1649" s="141">
        <f>IFERROR(VLOOKUP($B1649,calc_data,K$14+1,0),0)</f>
        <v/>
      </c>
      <c r="L1649" s="141">
        <f>IFERROR(VLOOKUP($B1649,calc_data,L$14+1,0),0)</f>
        <v/>
      </c>
      <c r="M1649" s="177">
        <f>IFERROR(VLOOKUP($B1649,calc_data,M$14+1,0),0)</f>
        <v/>
      </c>
      <c r="N1649" s="177">
        <f>IFERROR(VLOOKUP($B1649,calc_data,N$14+1,0),0)</f>
        <v/>
      </c>
      <c r="O1649" s="45" t="n"/>
      <c r="Q1649" s="57">
        <f>IF(K1649&gt;0,"показать","скрыть")</f>
        <v/>
      </c>
    </row>
    <row r="1650" ht="15.75" customHeight="1">
      <c r="B1650" s="182" t="n">
        <v>1634</v>
      </c>
      <c r="C1650" s="182">
        <f>IFERROR(VLOOKUP($B1650,calc_data,C$14+1,0),0)</f>
        <v/>
      </c>
      <c r="D1650" s="182">
        <f>IFERROR(VLOOKUP($B1650,calc_data,D$14+1,0),0)</f>
        <v/>
      </c>
      <c r="E1650" s="183">
        <f>IFERROR(VLOOKUP($B1650,calc_data,E$14+1,0),0)</f>
        <v/>
      </c>
      <c r="F1650" s="182">
        <f>IFERROR(VLOOKUP($B1650,calc_data,F$14+1,0),0)</f>
        <v/>
      </c>
      <c r="G1650" s="141">
        <f>IFERROR(VLOOKUP($B1650,calc_data,G$14+1,0),0)</f>
        <v/>
      </c>
      <c r="H1650" s="141">
        <f>IFERROR(VLOOKUP($B1650,calc_data,H$14+1,0),0)</f>
        <v/>
      </c>
      <c r="I1650" s="142">
        <f>IFERROR(VLOOKUP($B1650,calc_data,I$14+1,0),0)</f>
        <v/>
      </c>
      <c r="J1650" s="141">
        <f>IFERROR(VLOOKUP($B1650,calc_data,J$14+1,0),0)</f>
        <v/>
      </c>
      <c r="K1650" s="141">
        <f>IFERROR(VLOOKUP($B1650,calc_data,K$14+1,0),0)</f>
        <v/>
      </c>
      <c r="L1650" s="141">
        <f>IFERROR(VLOOKUP($B1650,calc_data,L$14+1,0),0)</f>
        <v/>
      </c>
      <c r="M1650" s="177">
        <f>IFERROR(VLOOKUP($B1650,calc_data,M$14+1,0),0)</f>
        <v/>
      </c>
      <c r="N1650" s="177">
        <f>IFERROR(VLOOKUP($B1650,calc_data,N$14+1,0),0)</f>
        <v/>
      </c>
      <c r="O1650" s="45" t="n"/>
      <c r="Q1650" s="57">
        <f>IF(K1650&gt;0,"показать","скрыть")</f>
        <v/>
      </c>
    </row>
    <row r="1651" ht="15.75" customHeight="1">
      <c r="B1651" s="182" t="n">
        <v>1635</v>
      </c>
      <c r="C1651" s="182">
        <f>IFERROR(VLOOKUP($B1651,calc_data,C$14+1,0),0)</f>
        <v/>
      </c>
      <c r="D1651" s="182">
        <f>IFERROR(VLOOKUP($B1651,calc_data,D$14+1,0),0)</f>
        <v/>
      </c>
      <c r="E1651" s="183">
        <f>IFERROR(VLOOKUP($B1651,calc_data,E$14+1,0),0)</f>
        <v/>
      </c>
      <c r="F1651" s="182">
        <f>IFERROR(VLOOKUP($B1651,calc_data,F$14+1,0),0)</f>
        <v/>
      </c>
      <c r="G1651" s="141">
        <f>IFERROR(VLOOKUP($B1651,calc_data,G$14+1,0),0)</f>
        <v/>
      </c>
      <c r="H1651" s="141">
        <f>IFERROR(VLOOKUP($B1651,calc_data,H$14+1,0),0)</f>
        <v/>
      </c>
      <c r="I1651" s="142">
        <f>IFERROR(VLOOKUP($B1651,calc_data,I$14+1,0),0)</f>
        <v/>
      </c>
      <c r="J1651" s="141">
        <f>IFERROR(VLOOKUP($B1651,calc_data,J$14+1,0),0)</f>
        <v/>
      </c>
      <c r="K1651" s="141">
        <f>IFERROR(VLOOKUP($B1651,calc_data,K$14+1,0),0)</f>
        <v/>
      </c>
      <c r="L1651" s="141">
        <f>IFERROR(VLOOKUP($B1651,calc_data,L$14+1,0),0)</f>
        <v/>
      </c>
      <c r="M1651" s="177">
        <f>IFERROR(VLOOKUP($B1651,calc_data,M$14+1,0),0)</f>
        <v/>
      </c>
      <c r="N1651" s="177">
        <f>IFERROR(VLOOKUP($B1651,calc_data,N$14+1,0),0)</f>
        <v/>
      </c>
      <c r="O1651" s="45" t="n"/>
      <c r="Q1651" s="57">
        <f>IF(K1651&gt;0,"показать","скрыть")</f>
        <v/>
      </c>
    </row>
    <row r="1652" ht="15.75" customHeight="1">
      <c r="B1652" s="182" t="n">
        <v>1636</v>
      </c>
      <c r="C1652" s="182">
        <f>IFERROR(VLOOKUP($B1652,calc_data,C$14+1,0),0)</f>
        <v/>
      </c>
      <c r="D1652" s="182">
        <f>IFERROR(VLOOKUP($B1652,calc_data,D$14+1,0),0)</f>
        <v/>
      </c>
      <c r="E1652" s="183">
        <f>IFERROR(VLOOKUP($B1652,calc_data,E$14+1,0),0)</f>
        <v/>
      </c>
      <c r="F1652" s="182">
        <f>IFERROR(VLOOKUP($B1652,calc_data,F$14+1,0),0)</f>
        <v/>
      </c>
      <c r="G1652" s="141">
        <f>IFERROR(VLOOKUP($B1652,calc_data,G$14+1,0),0)</f>
        <v/>
      </c>
      <c r="H1652" s="141">
        <f>IFERROR(VLOOKUP($B1652,calc_data,H$14+1,0),0)</f>
        <v/>
      </c>
      <c r="I1652" s="142">
        <f>IFERROR(VLOOKUP($B1652,calc_data,I$14+1,0),0)</f>
        <v/>
      </c>
      <c r="J1652" s="141">
        <f>IFERROR(VLOOKUP($B1652,calc_data,J$14+1,0),0)</f>
        <v/>
      </c>
      <c r="K1652" s="141">
        <f>IFERROR(VLOOKUP($B1652,calc_data,K$14+1,0),0)</f>
        <v/>
      </c>
      <c r="L1652" s="141">
        <f>IFERROR(VLOOKUP($B1652,calc_data,L$14+1,0),0)</f>
        <v/>
      </c>
      <c r="M1652" s="177">
        <f>IFERROR(VLOOKUP($B1652,calc_data,M$14+1,0),0)</f>
        <v/>
      </c>
      <c r="N1652" s="177">
        <f>IFERROR(VLOOKUP($B1652,calc_data,N$14+1,0),0)</f>
        <v/>
      </c>
      <c r="O1652" s="45" t="n"/>
      <c r="Q1652" s="57">
        <f>IF(K1652&gt;0,"показать","скрыть")</f>
        <v/>
      </c>
    </row>
    <row r="1653" ht="15.75" customHeight="1">
      <c r="B1653" s="182" t="n">
        <v>1637</v>
      </c>
      <c r="C1653" s="182">
        <f>IFERROR(VLOOKUP($B1653,calc_data,C$14+1,0),0)</f>
        <v/>
      </c>
      <c r="D1653" s="182">
        <f>IFERROR(VLOOKUP($B1653,calc_data,D$14+1,0),0)</f>
        <v/>
      </c>
      <c r="E1653" s="183">
        <f>IFERROR(VLOOKUP($B1653,calc_data,E$14+1,0),0)</f>
        <v/>
      </c>
      <c r="F1653" s="182">
        <f>IFERROR(VLOOKUP($B1653,calc_data,F$14+1,0),0)</f>
        <v/>
      </c>
      <c r="G1653" s="141">
        <f>IFERROR(VLOOKUP($B1653,calc_data,G$14+1,0),0)</f>
        <v/>
      </c>
      <c r="H1653" s="141">
        <f>IFERROR(VLOOKUP($B1653,calc_data,H$14+1,0),0)</f>
        <v/>
      </c>
      <c r="I1653" s="142">
        <f>IFERROR(VLOOKUP($B1653,calc_data,I$14+1,0),0)</f>
        <v/>
      </c>
      <c r="J1653" s="141">
        <f>IFERROR(VLOOKUP($B1653,calc_data,J$14+1,0),0)</f>
        <v/>
      </c>
      <c r="K1653" s="141">
        <f>IFERROR(VLOOKUP($B1653,calc_data,K$14+1,0),0)</f>
        <v/>
      </c>
      <c r="L1653" s="141">
        <f>IFERROR(VLOOKUP($B1653,calc_data,L$14+1,0),0)</f>
        <v/>
      </c>
      <c r="M1653" s="177">
        <f>IFERROR(VLOOKUP($B1653,calc_data,M$14+1,0),0)</f>
        <v/>
      </c>
      <c r="N1653" s="177">
        <f>IFERROR(VLOOKUP($B1653,calc_data,N$14+1,0),0)</f>
        <v/>
      </c>
      <c r="O1653" s="45" t="n"/>
      <c r="Q1653" s="57">
        <f>IF(K1653&gt;0,"показать","скрыть")</f>
        <v/>
      </c>
    </row>
    <row r="1654" ht="15.75" customHeight="1">
      <c r="B1654" s="182" t="n">
        <v>1638</v>
      </c>
      <c r="C1654" s="182">
        <f>IFERROR(VLOOKUP($B1654,calc_data,C$14+1,0),0)</f>
        <v/>
      </c>
      <c r="D1654" s="182">
        <f>IFERROR(VLOOKUP($B1654,calc_data,D$14+1,0),0)</f>
        <v/>
      </c>
      <c r="E1654" s="183">
        <f>IFERROR(VLOOKUP($B1654,calc_data,E$14+1,0),0)</f>
        <v/>
      </c>
      <c r="F1654" s="182">
        <f>IFERROR(VLOOKUP($B1654,calc_data,F$14+1,0),0)</f>
        <v/>
      </c>
      <c r="G1654" s="141">
        <f>IFERROR(VLOOKUP($B1654,calc_data,G$14+1,0),0)</f>
        <v/>
      </c>
      <c r="H1654" s="141">
        <f>IFERROR(VLOOKUP($B1654,calc_data,H$14+1,0),0)</f>
        <v/>
      </c>
      <c r="I1654" s="142">
        <f>IFERROR(VLOOKUP($B1654,calc_data,I$14+1,0),0)</f>
        <v/>
      </c>
      <c r="J1654" s="141">
        <f>IFERROR(VLOOKUP($B1654,calc_data,J$14+1,0),0)</f>
        <v/>
      </c>
      <c r="K1654" s="141">
        <f>IFERROR(VLOOKUP($B1654,calc_data,K$14+1,0),0)</f>
        <v/>
      </c>
      <c r="L1654" s="141">
        <f>IFERROR(VLOOKUP($B1654,calc_data,L$14+1,0),0)</f>
        <v/>
      </c>
      <c r="M1654" s="177">
        <f>IFERROR(VLOOKUP($B1654,calc_data,M$14+1,0),0)</f>
        <v/>
      </c>
      <c r="N1654" s="177">
        <f>IFERROR(VLOOKUP($B1654,calc_data,N$14+1,0),0)</f>
        <v/>
      </c>
      <c r="O1654" s="45" t="n"/>
      <c r="Q1654" s="57">
        <f>IF(K1654&gt;0,"показать","скрыть")</f>
        <v/>
      </c>
    </row>
    <row r="1655" ht="15.75" customHeight="1">
      <c r="B1655" s="182" t="n">
        <v>1639</v>
      </c>
      <c r="C1655" s="182">
        <f>IFERROR(VLOOKUP($B1655,calc_data,C$14+1,0),0)</f>
        <v/>
      </c>
      <c r="D1655" s="182">
        <f>IFERROR(VLOOKUP($B1655,calc_data,D$14+1,0),0)</f>
        <v/>
      </c>
      <c r="E1655" s="183">
        <f>IFERROR(VLOOKUP($B1655,calc_data,E$14+1,0),0)</f>
        <v/>
      </c>
      <c r="F1655" s="182">
        <f>IFERROR(VLOOKUP($B1655,calc_data,F$14+1,0),0)</f>
        <v/>
      </c>
      <c r="G1655" s="141">
        <f>IFERROR(VLOOKUP($B1655,calc_data,G$14+1,0),0)</f>
        <v/>
      </c>
      <c r="H1655" s="141">
        <f>IFERROR(VLOOKUP($B1655,calc_data,H$14+1,0),0)</f>
        <v/>
      </c>
      <c r="I1655" s="142">
        <f>IFERROR(VLOOKUP($B1655,calc_data,I$14+1,0),0)</f>
        <v/>
      </c>
      <c r="J1655" s="141">
        <f>IFERROR(VLOOKUP($B1655,calc_data,J$14+1,0),0)</f>
        <v/>
      </c>
      <c r="K1655" s="141">
        <f>IFERROR(VLOOKUP($B1655,calc_data,K$14+1,0),0)</f>
        <v/>
      </c>
      <c r="L1655" s="141">
        <f>IFERROR(VLOOKUP($B1655,calc_data,L$14+1,0),0)</f>
        <v/>
      </c>
      <c r="M1655" s="177">
        <f>IFERROR(VLOOKUP($B1655,calc_data,M$14+1,0),0)</f>
        <v/>
      </c>
      <c r="N1655" s="177">
        <f>IFERROR(VLOOKUP($B1655,calc_data,N$14+1,0),0)</f>
        <v/>
      </c>
      <c r="O1655" s="45" t="n"/>
      <c r="Q1655" s="57">
        <f>IF(K1655&gt;0,"показать","скрыть")</f>
        <v/>
      </c>
    </row>
    <row r="1656" ht="15.75" customHeight="1">
      <c r="B1656" s="182" t="n">
        <v>1640</v>
      </c>
      <c r="C1656" s="182">
        <f>IFERROR(VLOOKUP($B1656,calc_data,C$14+1,0),0)</f>
        <v/>
      </c>
      <c r="D1656" s="182">
        <f>IFERROR(VLOOKUP($B1656,calc_data,D$14+1,0),0)</f>
        <v/>
      </c>
      <c r="E1656" s="183">
        <f>IFERROR(VLOOKUP($B1656,calc_data,E$14+1,0),0)</f>
        <v/>
      </c>
      <c r="F1656" s="182">
        <f>IFERROR(VLOOKUP($B1656,calc_data,F$14+1,0),0)</f>
        <v/>
      </c>
      <c r="G1656" s="141">
        <f>IFERROR(VLOOKUP($B1656,calc_data,G$14+1,0),0)</f>
        <v/>
      </c>
      <c r="H1656" s="141">
        <f>IFERROR(VLOOKUP($B1656,calc_data,H$14+1,0),0)</f>
        <v/>
      </c>
      <c r="I1656" s="142">
        <f>IFERROR(VLOOKUP($B1656,calc_data,I$14+1,0),0)</f>
        <v/>
      </c>
      <c r="J1656" s="141">
        <f>IFERROR(VLOOKUP($B1656,calc_data,J$14+1,0),0)</f>
        <v/>
      </c>
      <c r="K1656" s="141">
        <f>IFERROR(VLOOKUP($B1656,calc_data,K$14+1,0),0)</f>
        <v/>
      </c>
      <c r="L1656" s="141">
        <f>IFERROR(VLOOKUP($B1656,calc_data,L$14+1,0),0)</f>
        <v/>
      </c>
      <c r="M1656" s="177">
        <f>IFERROR(VLOOKUP($B1656,calc_data,M$14+1,0),0)</f>
        <v/>
      </c>
      <c r="N1656" s="177">
        <f>IFERROR(VLOOKUP($B1656,calc_data,N$14+1,0),0)</f>
        <v/>
      </c>
      <c r="O1656" s="45" t="n"/>
      <c r="Q1656" s="57">
        <f>IF(K1656&gt;0,"показать","скрыть")</f>
        <v/>
      </c>
    </row>
    <row r="1657" ht="15.75" customHeight="1">
      <c r="B1657" s="182" t="n">
        <v>1641</v>
      </c>
      <c r="C1657" s="182">
        <f>IFERROR(VLOOKUP($B1657,calc_data,C$14+1,0),0)</f>
        <v/>
      </c>
      <c r="D1657" s="182">
        <f>IFERROR(VLOOKUP($B1657,calc_data,D$14+1,0),0)</f>
        <v/>
      </c>
      <c r="E1657" s="183">
        <f>IFERROR(VLOOKUP($B1657,calc_data,E$14+1,0),0)</f>
        <v/>
      </c>
      <c r="F1657" s="182">
        <f>IFERROR(VLOOKUP($B1657,calc_data,F$14+1,0),0)</f>
        <v/>
      </c>
      <c r="G1657" s="141">
        <f>IFERROR(VLOOKUP($B1657,calc_data,G$14+1,0),0)</f>
        <v/>
      </c>
      <c r="H1657" s="141">
        <f>IFERROR(VLOOKUP($B1657,calc_data,H$14+1,0),0)</f>
        <v/>
      </c>
      <c r="I1657" s="142">
        <f>IFERROR(VLOOKUP($B1657,calc_data,I$14+1,0),0)</f>
        <v/>
      </c>
      <c r="J1657" s="141">
        <f>IFERROR(VLOOKUP($B1657,calc_data,J$14+1,0),0)</f>
        <v/>
      </c>
      <c r="K1657" s="141">
        <f>IFERROR(VLOOKUP($B1657,calc_data,K$14+1,0),0)</f>
        <v/>
      </c>
      <c r="L1657" s="141">
        <f>IFERROR(VLOOKUP($B1657,calc_data,L$14+1,0),0)</f>
        <v/>
      </c>
      <c r="M1657" s="177">
        <f>IFERROR(VLOOKUP($B1657,calc_data,M$14+1,0),0)</f>
        <v/>
      </c>
      <c r="N1657" s="177">
        <f>IFERROR(VLOOKUP($B1657,calc_data,N$14+1,0),0)</f>
        <v/>
      </c>
      <c r="O1657" s="45" t="n"/>
      <c r="Q1657" s="57">
        <f>IF(K1657&gt;0,"показать","скрыть")</f>
        <v/>
      </c>
    </row>
    <row r="1658" ht="15.75" customHeight="1">
      <c r="B1658" s="182" t="n">
        <v>1642</v>
      </c>
      <c r="C1658" s="182">
        <f>IFERROR(VLOOKUP($B1658,calc_data,C$14+1,0),0)</f>
        <v/>
      </c>
      <c r="D1658" s="182">
        <f>IFERROR(VLOOKUP($B1658,calc_data,D$14+1,0),0)</f>
        <v/>
      </c>
      <c r="E1658" s="183">
        <f>IFERROR(VLOOKUP($B1658,calc_data,E$14+1,0),0)</f>
        <v/>
      </c>
      <c r="F1658" s="182">
        <f>IFERROR(VLOOKUP($B1658,calc_data,F$14+1,0),0)</f>
        <v/>
      </c>
      <c r="G1658" s="141">
        <f>IFERROR(VLOOKUP($B1658,calc_data,G$14+1,0),0)</f>
        <v/>
      </c>
      <c r="H1658" s="141">
        <f>IFERROR(VLOOKUP($B1658,calc_data,H$14+1,0),0)</f>
        <v/>
      </c>
      <c r="I1658" s="142">
        <f>IFERROR(VLOOKUP($B1658,calc_data,I$14+1,0),0)</f>
        <v/>
      </c>
      <c r="J1658" s="141">
        <f>IFERROR(VLOOKUP($B1658,calc_data,J$14+1,0),0)</f>
        <v/>
      </c>
      <c r="K1658" s="141">
        <f>IFERROR(VLOOKUP($B1658,calc_data,K$14+1,0),0)</f>
        <v/>
      </c>
      <c r="L1658" s="141">
        <f>IFERROR(VLOOKUP($B1658,calc_data,L$14+1,0),0)</f>
        <v/>
      </c>
      <c r="M1658" s="177">
        <f>IFERROR(VLOOKUP($B1658,calc_data,M$14+1,0),0)</f>
        <v/>
      </c>
      <c r="N1658" s="177">
        <f>IFERROR(VLOOKUP($B1658,calc_data,N$14+1,0),0)</f>
        <v/>
      </c>
      <c r="O1658" s="45" t="n"/>
      <c r="Q1658" s="57">
        <f>IF(K1658&gt;0,"показать","скрыть")</f>
        <v/>
      </c>
    </row>
    <row r="1659" ht="15.75" customHeight="1">
      <c r="B1659" s="182" t="n">
        <v>1643</v>
      </c>
      <c r="C1659" s="182">
        <f>IFERROR(VLOOKUP($B1659,calc_data,C$14+1,0),0)</f>
        <v/>
      </c>
      <c r="D1659" s="182">
        <f>IFERROR(VLOOKUP($B1659,calc_data,D$14+1,0),0)</f>
        <v/>
      </c>
      <c r="E1659" s="183">
        <f>IFERROR(VLOOKUP($B1659,calc_data,E$14+1,0),0)</f>
        <v/>
      </c>
      <c r="F1659" s="182">
        <f>IFERROR(VLOOKUP($B1659,calc_data,F$14+1,0),0)</f>
        <v/>
      </c>
      <c r="G1659" s="141">
        <f>IFERROR(VLOOKUP($B1659,calc_data,G$14+1,0),0)</f>
        <v/>
      </c>
      <c r="H1659" s="141">
        <f>IFERROR(VLOOKUP($B1659,calc_data,H$14+1,0),0)</f>
        <v/>
      </c>
      <c r="I1659" s="142">
        <f>IFERROR(VLOOKUP($B1659,calc_data,I$14+1,0),0)</f>
        <v/>
      </c>
      <c r="J1659" s="141">
        <f>IFERROR(VLOOKUP($B1659,calc_data,J$14+1,0),0)</f>
        <v/>
      </c>
      <c r="K1659" s="141">
        <f>IFERROR(VLOOKUP($B1659,calc_data,K$14+1,0),0)</f>
        <v/>
      </c>
      <c r="L1659" s="141">
        <f>IFERROR(VLOOKUP($B1659,calc_data,L$14+1,0),0)</f>
        <v/>
      </c>
      <c r="M1659" s="177">
        <f>IFERROR(VLOOKUP($B1659,calc_data,M$14+1,0),0)</f>
        <v/>
      </c>
      <c r="N1659" s="177">
        <f>IFERROR(VLOOKUP($B1659,calc_data,N$14+1,0),0)</f>
        <v/>
      </c>
      <c r="O1659" s="45" t="n"/>
      <c r="Q1659" s="57">
        <f>IF(K1659&gt;0,"показать","скрыть")</f>
        <v/>
      </c>
    </row>
    <row r="1660" ht="15.75" customHeight="1">
      <c r="B1660" s="182" t="n">
        <v>1644</v>
      </c>
      <c r="C1660" s="182">
        <f>IFERROR(VLOOKUP($B1660,calc_data,C$14+1,0),0)</f>
        <v/>
      </c>
      <c r="D1660" s="182">
        <f>IFERROR(VLOOKUP($B1660,calc_data,D$14+1,0),0)</f>
        <v/>
      </c>
      <c r="E1660" s="183">
        <f>IFERROR(VLOOKUP($B1660,calc_data,E$14+1,0),0)</f>
        <v/>
      </c>
      <c r="F1660" s="182">
        <f>IFERROR(VLOOKUP($B1660,calc_data,F$14+1,0),0)</f>
        <v/>
      </c>
      <c r="G1660" s="141">
        <f>IFERROR(VLOOKUP($B1660,calc_data,G$14+1,0),0)</f>
        <v/>
      </c>
      <c r="H1660" s="141">
        <f>IFERROR(VLOOKUP($B1660,calc_data,H$14+1,0),0)</f>
        <v/>
      </c>
      <c r="I1660" s="142">
        <f>IFERROR(VLOOKUP($B1660,calc_data,I$14+1,0),0)</f>
        <v/>
      </c>
      <c r="J1660" s="141">
        <f>IFERROR(VLOOKUP($B1660,calc_data,J$14+1,0),0)</f>
        <v/>
      </c>
      <c r="K1660" s="141">
        <f>IFERROR(VLOOKUP($B1660,calc_data,K$14+1,0),0)</f>
        <v/>
      </c>
      <c r="L1660" s="141">
        <f>IFERROR(VLOOKUP($B1660,calc_data,L$14+1,0),0)</f>
        <v/>
      </c>
      <c r="M1660" s="177">
        <f>IFERROR(VLOOKUP($B1660,calc_data,M$14+1,0),0)</f>
        <v/>
      </c>
      <c r="N1660" s="177">
        <f>IFERROR(VLOOKUP($B1660,calc_data,N$14+1,0),0)</f>
        <v/>
      </c>
      <c r="O1660" s="45" t="n"/>
      <c r="Q1660" s="57">
        <f>IF(K1660&gt;0,"показать","скрыть")</f>
        <v/>
      </c>
    </row>
    <row r="1661" ht="15.75" customHeight="1">
      <c r="B1661" s="182" t="n">
        <v>1645</v>
      </c>
      <c r="C1661" s="182">
        <f>IFERROR(VLOOKUP($B1661,calc_data,C$14+1,0),0)</f>
        <v/>
      </c>
      <c r="D1661" s="182">
        <f>IFERROR(VLOOKUP($B1661,calc_data,D$14+1,0),0)</f>
        <v/>
      </c>
      <c r="E1661" s="183">
        <f>IFERROR(VLOOKUP($B1661,calc_data,E$14+1,0),0)</f>
        <v/>
      </c>
      <c r="F1661" s="182">
        <f>IFERROR(VLOOKUP($B1661,calc_data,F$14+1,0),0)</f>
        <v/>
      </c>
      <c r="G1661" s="141">
        <f>IFERROR(VLOOKUP($B1661,calc_data,G$14+1,0),0)</f>
        <v/>
      </c>
      <c r="H1661" s="141">
        <f>IFERROR(VLOOKUP($B1661,calc_data,H$14+1,0),0)</f>
        <v/>
      </c>
      <c r="I1661" s="142">
        <f>IFERROR(VLOOKUP($B1661,calc_data,I$14+1,0),0)</f>
        <v/>
      </c>
      <c r="J1661" s="141">
        <f>IFERROR(VLOOKUP($B1661,calc_data,J$14+1,0),0)</f>
        <v/>
      </c>
      <c r="K1661" s="141">
        <f>IFERROR(VLOOKUP($B1661,calc_data,K$14+1,0),0)</f>
        <v/>
      </c>
      <c r="L1661" s="141">
        <f>IFERROR(VLOOKUP($B1661,calc_data,L$14+1,0),0)</f>
        <v/>
      </c>
      <c r="M1661" s="177">
        <f>IFERROR(VLOOKUP($B1661,calc_data,M$14+1,0),0)</f>
        <v/>
      </c>
      <c r="N1661" s="177">
        <f>IFERROR(VLOOKUP($B1661,calc_data,N$14+1,0),0)</f>
        <v/>
      </c>
      <c r="O1661" s="45" t="n"/>
      <c r="Q1661" s="57">
        <f>IF(K1661&gt;0,"показать","скрыть")</f>
        <v/>
      </c>
    </row>
    <row r="1662" ht="15.75" customHeight="1">
      <c r="B1662" s="182" t="n">
        <v>1646</v>
      </c>
      <c r="C1662" s="182">
        <f>IFERROR(VLOOKUP($B1662,calc_data,C$14+1,0),0)</f>
        <v/>
      </c>
      <c r="D1662" s="182">
        <f>IFERROR(VLOOKUP($B1662,calc_data,D$14+1,0),0)</f>
        <v/>
      </c>
      <c r="E1662" s="183">
        <f>IFERROR(VLOOKUP($B1662,calc_data,E$14+1,0),0)</f>
        <v/>
      </c>
      <c r="F1662" s="182">
        <f>IFERROR(VLOOKUP($B1662,calc_data,F$14+1,0),0)</f>
        <v/>
      </c>
      <c r="G1662" s="141">
        <f>IFERROR(VLOOKUP($B1662,calc_data,G$14+1,0),0)</f>
        <v/>
      </c>
      <c r="H1662" s="141">
        <f>IFERROR(VLOOKUP($B1662,calc_data,H$14+1,0),0)</f>
        <v/>
      </c>
      <c r="I1662" s="142">
        <f>IFERROR(VLOOKUP($B1662,calc_data,I$14+1,0),0)</f>
        <v/>
      </c>
      <c r="J1662" s="141">
        <f>IFERROR(VLOOKUP($B1662,calc_data,J$14+1,0),0)</f>
        <v/>
      </c>
      <c r="K1662" s="141">
        <f>IFERROR(VLOOKUP($B1662,calc_data,K$14+1,0),0)</f>
        <v/>
      </c>
      <c r="L1662" s="141">
        <f>IFERROR(VLOOKUP($B1662,calc_data,L$14+1,0),0)</f>
        <v/>
      </c>
      <c r="M1662" s="177">
        <f>IFERROR(VLOOKUP($B1662,calc_data,M$14+1,0),0)</f>
        <v/>
      </c>
      <c r="N1662" s="177">
        <f>IFERROR(VLOOKUP($B1662,calc_data,N$14+1,0),0)</f>
        <v/>
      </c>
      <c r="O1662" s="45" t="n"/>
      <c r="Q1662" s="57">
        <f>IF(K1662&gt;0,"показать","скрыть")</f>
        <v/>
      </c>
    </row>
    <row r="1663" ht="15.75" customHeight="1">
      <c r="B1663" s="182" t="n">
        <v>1647</v>
      </c>
      <c r="C1663" s="182">
        <f>IFERROR(VLOOKUP($B1663,calc_data,C$14+1,0),0)</f>
        <v/>
      </c>
      <c r="D1663" s="182">
        <f>IFERROR(VLOOKUP($B1663,calc_data,D$14+1,0),0)</f>
        <v/>
      </c>
      <c r="E1663" s="183">
        <f>IFERROR(VLOOKUP($B1663,calc_data,E$14+1,0),0)</f>
        <v/>
      </c>
      <c r="F1663" s="182">
        <f>IFERROR(VLOOKUP($B1663,calc_data,F$14+1,0),0)</f>
        <v/>
      </c>
      <c r="G1663" s="141">
        <f>IFERROR(VLOOKUP($B1663,calc_data,G$14+1,0),0)</f>
        <v/>
      </c>
      <c r="H1663" s="141">
        <f>IFERROR(VLOOKUP($B1663,calc_data,H$14+1,0),0)</f>
        <v/>
      </c>
      <c r="I1663" s="142">
        <f>IFERROR(VLOOKUP($B1663,calc_data,I$14+1,0),0)</f>
        <v/>
      </c>
      <c r="J1663" s="141">
        <f>IFERROR(VLOOKUP($B1663,calc_data,J$14+1,0),0)</f>
        <v/>
      </c>
      <c r="K1663" s="141">
        <f>IFERROR(VLOOKUP($B1663,calc_data,K$14+1,0),0)</f>
        <v/>
      </c>
      <c r="L1663" s="141">
        <f>IFERROR(VLOOKUP($B1663,calc_data,L$14+1,0),0)</f>
        <v/>
      </c>
      <c r="M1663" s="177">
        <f>IFERROR(VLOOKUP($B1663,calc_data,M$14+1,0),0)</f>
        <v/>
      </c>
      <c r="N1663" s="177">
        <f>IFERROR(VLOOKUP($B1663,calc_data,N$14+1,0),0)</f>
        <v/>
      </c>
      <c r="O1663" s="45" t="n"/>
      <c r="Q1663" s="57">
        <f>IF(K1663&gt;0,"показать","скрыть")</f>
        <v/>
      </c>
    </row>
    <row r="1664" ht="15.75" customHeight="1">
      <c r="B1664" s="182" t="n">
        <v>1648</v>
      </c>
      <c r="C1664" s="182">
        <f>IFERROR(VLOOKUP($B1664,calc_data,C$14+1,0),0)</f>
        <v/>
      </c>
      <c r="D1664" s="182">
        <f>IFERROR(VLOOKUP($B1664,calc_data,D$14+1,0),0)</f>
        <v/>
      </c>
      <c r="E1664" s="183">
        <f>IFERROR(VLOOKUP($B1664,calc_data,E$14+1,0),0)</f>
        <v/>
      </c>
      <c r="F1664" s="182">
        <f>IFERROR(VLOOKUP($B1664,calc_data,F$14+1,0),0)</f>
        <v/>
      </c>
      <c r="G1664" s="141">
        <f>IFERROR(VLOOKUP($B1664,calc_data,G$14+1,0),0)</f>
        <v/>
      </c>
      <c r="H1664" s="141">
        <f>IFERROR(VLOOKUP($B1664,calc_data,H$14+1,0),0)</f>
        <v/>
      </c>
      <c r="I1664" s="142">
        <f>IFERROR(VLOOKUP($B1664,calc_data,I$14+1,0),0)</f>
        <v/>
      </c>
      <c r="J1664" s="141">
        <f>IFERROR(VLOOKUP($B1664,calc_data,J$14+1,0),0)</f>
        <v/>
      </c>
      <c r="K1664" s="141">
        <f>IFERROR(VLOOKUP($B1664,calc_data,K$14+1,0),0)</f>
        <v/>
      </c>
      <c r="L1664" s="141">
        <f>IFERROR(VLOOKUP($B1664,calc_data,L$14+1,0),0)</f>
        <v/>
      </c>
      <c r="M1664" s="177">
        <f>IFERROR(VLOOKUP($B1664,calc_data,M$14+1,0),0)</f>
        <v/>
      </c>
      <c r="N1664" s="177">
        <f>IFERROR(VLOOKUP($B1664,calc_data,N$14+1,0),0)</f>
        <v/>
      </c>
      <c r="O1664" s="45" t="n"/>
      <c r="Q1664" s="57">
        <f>IF(K1664&gt;0,"показать","скрыть")</f>
        <v/>
      </c>
    </row>
    <row r="1665" ht="15.75" customHeight="1">
      <c r="B1665" s="182" t="n">
        <v>1649</v>
      </c>
      <c r="C1665" s="182">
        <f>IFERROR(VLOOKUP($B1665,calc_data,C$14+1,0),0)</f>
        <v/>
      </c>
      <c r="D1665" s="182">
        <f>IFERROR(VLOOKUP($B1665,calc_data,D$14+1,0),0)</f>
        <v/>
      </c>
      <c r="E1665" s="183">
        <f>IFERROR(VLOOKUP($B1665,calc_data,E$14+1,0),0)</f>
        <v/>
      </c>
      <c r="F1665" s="182">
        <f>IFERROR(VLOOKUP($B1665,calc_data,F$14+1,0),0)</f>
        <v/>
      </c>
      <c r="G1665" s="141">
        <f>IFERROR(VLOOKUP($B1665,calc_data,G$14+1,0),0)</f>
        <v/>
      </c>
      <c r="H1665" s="141">
        <f>IFERROR(VLOOKUP($B1665,calc_data,H$14+1,0),0)</f>
        <v/>
      </c>
      <c r="I1665" s="142">
        <f>IFERROR(VLOOKUP($B1665,calc_data,I$14+1,0),0)</f>
        <v/>
      </c>
      <c r="J1665" s="141">
        <f>IFERROR(VLOOKUP($B1665,calc_data,J$14+1,0),0)</f>
        <v/>
      </c>
      <c r="K1665" s="141">
        <f>IFERROR(VLOOKUP($B1665,calc_data,K$14+1,0),0)</f>
        <v/>
      </c>
      <c r="L1665" s="141">
        <f>IFERROR(VLOOKUP($B1665,calc_data,L$14+1,0),0)</f>
        <v/>
      </c>
      <c r="M1665" s="177">
        <f>IFERROR(VLOOKUP($B1665,calc_data,M$14+1,0),0)</f>
        <v/>
      </c>
      <c r="N1665" s="177">
        <f>IFERROR(VLOOKUP($B1665,calc_data,N$14+1,0),0)</f>
        <v/>
      </c>
      <c r="O1665" s="45" t="n"/>
      <c r="Q1665" s="57">
        <f>IF(K1665&gt;0,"показать","скрыть")</f>
        <v/>
      </c>
    </row>
    <row r="1666" ht="15.75" customHeight="1">
      <c r="B1666" s="182" t="n">
        <v>1650</v>
      </c>
      <c r="C1666" s="182">
        <f>IFERROR(VLOOKUP($B1666,calc_data,C$14+1,0),0)</f>
        <v/>
      </c>
      <c r="D1666" s="182">
        <f>IFERROR(VLOOKUP($B1666,calc_data,D$14+1,0),0)</f>
        <v/>
      </c>
      <c r="E1666" s="183">
        <f>IFERROR(VLOOKUP($B1666,calc_data,E$14+1,0),0)</f>
        <v/>
      </c>
      <c r="F1666" s="182">
        <f>IFERROR(VLOOKUP($B1666,calc_data,F$14+1,0),0)</f>
        <v/>
      </c>
      <c r="G1666" s="141">
        <f>IFERROR(VLOOKUP($B1666,calc_data,G$14+1,0),0)</f>
        <v/>
      </c>
      <c r="H1666" s="141">
        <f>IFERROR(VLOOKUP($B1666,calc_data,H$14+1,0),0)</f>
        <v/>
      </c>
      <c r="I1666" s="142">
        <f>IFERROR(VLOOKUP($B1666,calc_data,I$14+1,0),0)</f>
        <v/>
      </c>
      <c r="J1666" s="141">
        <f>IFERROR(VLOOKUP($B1666,calc_data,J$14+1,0),0)</f>
        <v/>
      </c>
      <c r="K1666" s="141">
        <f>IFERROR(VLOOKUP($B1666,calc_data,K$14+1,0),0)</f>
        <v/>
      </c>
      <c r="L1666" s="141">
        <f>IFERROR(VLOOKUP($B1666,calc_data,L$14+1,0),0)</f>
        <v/>
      </c>
      <c r="M1666" s="177">
        <f>IFERROR(VLOOKUP($B1666,calc_data,M$14+1,0),0)</f>
        <v/>
      </c>
      <c r="N1666" s="177">
        <f>IFERROR(VLOOKUP($B1666,calc_data,N$14+1,0),0)</f>
        <v/>
      </c>
      <c r="O1666" s="45" t="n"/>
      <c r="Q1666" s="57">
        <f>IF(K1666&gt;0,"показать","скрыть")</f>
        <v/>
      </c>
    </row>
    <row r="1667" ht="15.75" customHeight="1">
      <c r="B1667" s="182" t="n">
        <v>1651</v>
      </c>
      <c r="C1667" s="182">
        <f>IFERROR(VLOOKUP($B1667,calc_data,C$14+1,0),0)</f>
        <v/>
      </c>
      <c r="D1667" s="182">
        <f>IFERROR(VLOOKUP($B1667,calc_data,D$14+1,0),0)</f>
        <v/>
      </c>
      <c r="E1667" s="183">
        <f>IFERROR(VLOOKUP($B1667,calc_data,E$14+1,0),0)</f>
        <v/>
      </c>
      <c r="F1667" s="182">
        <f>IFERROR(VLOOKUP($B1667,calc_data,F$14+1,0),0)</f>
        <v/>
      </c>
      <c r="G1667" s="141">
        <f>IFERROR(VLOOKUP($B1667,calc_data,G$14+1,0),0)</f>
        <v/>
      </c>
      <c r="H1667" s="141">
        <f>IFERROR(VLOOKUP($B1667,calc_data,H$14+1,0),0)</f>
        <v/>
      </c>
      <c r="I1667" s="142">
        <f>IFERROR(VLOOKUP($B1667,calc_data,I$14+1,0),0)</f>
        <v/>
      </c>
      <c r="J1667" s="141">
        <f>IFERROR(VLOOKUP($B1667,calc_data,J$14+1,0),0)</f>
        <v/>
      </c>
      <c r="K1667" s="141">
        <f>IFERROR(VLOOKUP($B1667,calc_data,K$14+1,0),0)</f>
        <v/>
      </c>
      <c r="L1667" s="141">
        <f>IFERROR(VLOOKUP($B1667,calc_data,L$14+1,0),0)</f>
        <v/>
      </c>
      <c r="M1667" s="177">
        <f>IFERROR(VLOOKUP($B1667,calc_data,M$14+1,0),0)</f>
        <v/>
      </c>
      <c r="N1667" s="177">
        <f>IFERROR(VLOOKUP($B1667,calc_data,N$14+1,0),0)</f>
        <v/>
      </c>
      <c r="O1667" s="45" t="n"/>
      <c r="Q1667" s="57">
        <f>IF(K1667&gt;0,"показать","скрыть")</f>
        <v/>
      </c>
    </row>
    <row r="1668" ht="15.75" customHeight="1">
      <c r="B1668" s="182" t="n">
        <v>1652</v>
      </c>
      <c r="C1668" s="182">
        <f>IFERROR(VLOOKUP($B1668,calc_data,C$14+1,0),0)</f>
        <v/>
      </c>
      <c r="D1668" s="182">
        <f>IFERROR(VLOOKUP($B1668,calc_data,D$14+1,0),0)</f>
        <v/>
      </c>
      <c r="E1668" s="183">
        <f>IFERROR(VLOOKUP($B1668,calc_data,E$14+1,0),0)</f>
        <v/>
      </c>
      <c r="F1668" s="182">
        <f>IFERROR(VLOOKUP($B1668,calc_data,F$14+1,0),0)</f>
        <v/>
      </c>
      <c r="G1668" s="141">
        <f>IFERROR(VLOOKUP($B1668,calc_data,G$14+1,0),0)</f>
        <v/>
      </c>
      <c r="H1668" s="141">
        <f>IFERROR(VLOOKUP($B1668,calc_data,H$14+1,0),0)</f>
        <v/>
      </c>
      <c r="I1668" s="142">
        <f>IFERROR(VLOOKUP($B1668,calc_data,I$14+1,0),0)</f>
        <v/>
      </c>
      <c r="J1668" s="141">
        <f>IFERROR(VLOOKUP($B1668,calc_data,J$14+1,0),0)</f>
        <v/>
      </c>
      <c r="K1668" s="141">
        <f>IFERROR(VLOOKUP($B1668,calc_data,K$14+1,0),0)</f>
        <v/>
      </c>
      <c r="L1668" s="141">
        <f>IFERROR(VLOOKUP($B1668,calc_data,L$14+1,0),0)</f>
        <v/>
      </c>
      <c r="M1668" s="177">
        <f>IFERROR(VLOOKUP($B1668,calc_data,M$14+1,0),0)</f>
        <v/>
      </c>
      <c r="N1668" s="177">
        <f>IFERROR(VLOOKUP($B1668,calc_data,N$14+1,0),0)</f>
        <v/>
      </c>
      <c r="O1668" s="45" t="n"/>
      <c r="Q1668" s="57">
        <f>IF(K1668&gt;0,"показать","скрыть")</f>
        <v/>
      </c>
    </row>
    <row r="1669" ht="15.75" customHeight="1">
      <c r="B1669" s="182" t="n">
        <v>1653</v>
      </c>
      <c r="C1669" s="182">
        <f>IFERROR(VLOOKUP($B1669,calc_data,C$14+1,0),0)</f>
        <v/>
      </c>
      <c r="D1669" s="182">
        <f>IFERROR(VLOOKUP($B1669,calc_data,D$14+1,0),0)</f>
        <v/>
      </c>
      <c r="E1669" s="183">
        <f>IFERROR(VLOOKUP($B1669,calc_data,E$14+1,0),0)</f>
        <v/>
      </c>
      <c r="F1669" s="182">
        <f>IFERROR(VLOOKUP($B1669,calc_data,F$14+1,0),0)</f>
        <v/>
      </c>
      <c r="G1669" s="141">
        <f>IFERROR(VLOOKUP($B1669,calc_data,G$14+1,0),0)</f>
        <v/>
      </c>
      <c r="H1669" s="141">
        <f>IFERROR(VLOOKUP($B1669,calc_data,H$14+1,0),0)</f>
        <v/>
      </c>
      <c r="I1669" s="142">
        <f>IFERROR(VLOOKUP($B1669,calc_data,I$14+1,0),0)</f>
        <v/>
      </c>
      <c r="J1669" s="141">
        <f>IFERROR(VLOOKUP($B1669,calc_data,J$14+1,0),0)</f>
        <v/>
      </c>
      <c r="K1669" s="141">
        <f>IFERROR(VLOOKUP($B1669,calc_data,K$14+1,0),0)</f>
        <v/>
      </c>
      <c r="L1669" s="141">
        <f>IFERROR(VLOOKUP($B1669,calc_data,L$14+1,0),0)</f>
        <v/>
      </c>
      <c r="M1669" s="177">
        <f>IFERROR(VLOOKUP($B1669,calc_data,M$14+1,0),0)</f>
        <v/>
      </c>
      <c r="N1669" s="177">
        <f>IFERROR(VLOOKUP($B1669,calc_data,N$14+1,0),0)</f>
        <v/>
      </c>
      <c r="O1669" s="45" t="n"/>
      <c r="Q1669" s="57">
        <f>IF(K1669&gt;0,"показать","скрыть")</f>
        <v/>
      </c>
    </row>
    <row r="1670" ht="15.75" customHeight="1">
      <c r="B1670" s="182" t="n">
        <v>1654</v>
      </c>
      <c r="C1670" s="182">
        <f>IFERROR(VLOOKUP($B1670,calc_data,C$14+1,0),0)</f>
        <v/>
      </c>
      <c r="D1670" s="182">
        <f>IFERROR(VLOOKUP($B1670,calc_data,D$14+1,0),0)</f>
        <v/>
      </c>
      <c r="E1670" s="183">
        <f>IFERROR(VLOOKUP($B1670,calc_data,E$14+1,0),0)</f>
        <v/>
      </c>
      <c r="F1670" s="182">
        <f>IFERROR(VLOOKUP($B1670,calc_data,F$14+1,0),0)</f>
        <v/>
      </c>
      <c r="G1670" s="141">
        <f>IFERROR(VLOOKUP($B1670,calc_data,G$14+1,0),0)</f>
        <v/>
      </c>
      <c r="H1670" s="141">
        <f>IFERROR(VLOOKUP($B1670,calc_data,H$14+1,0),0)</f>
        <v/>
      </c>
      <c r="I1670" s="142">
        <f>IFERROR(VLOOKUP($B1670,calc_data,I$14+1,0),0)</f>
        <v/>
      </c>
      <c r="J1670" s="141">
        <f>IFERROR(VLOOKUP($B1670,calc_data,J$14+1,0),0)</f>
        <v/>
      </c>
      <c r="K1670" s="141">
        <f>IFERROR(VLOOKUP($B1670,calc_data,K$14+1,0),0)</f>
        <v/>
      </c>
      <c r="L1670" s="141">
        <f>IFERROR(VLOOKUP($B1670,calc_data,L$14+1,0),0)</f>
        <v/>
      </c>
      <c r="M1670" s="177">
        <f>IFERROR(VLOOKUP($B1670,calc_data,M$14+1,0),0)</f>
        <v/>
      </c>
      <c r="N1670" s="177">
        <f>IFERROR(VLOOKUP($B1670,calc_data,N$14+1,0),0)</f>
        <v/>
      </c>
      <c r="O1670" s="45" t="n"/>
      <c r="Q1670" s="57">
        <f>IF(K1670&gt;0,"показать","скрыть")</f>
        <v/>
      </c>
    </row>
    <row r="1671" ht="15.75" customHeight="1">
      <c r="B1671" s="182" t="n">
        <v>1655</v>
      </c>
      <c r="C1671" s="182">
        <f>IFERROR(VLOOKUP($B1671,calc_data,C$14+1,0),0)</f>
        <v/>
      </c>
      <c r="D1671" s="182">
        <f>IFERROR(VLOOKUP($B1671,calc_data,D$14+1,0),0)</f>
        <v/>
      </c>
      <c r="E1671" s="183">
        <f>IFERROR(VLOOKUP($B1671,calc_data,E$14+1,0),0)</f>
        <v/>
      </c>
      <c r="F1671" s="182">
        <f>IFERROR(VLOOKUP($B1671,calc_data,F$14+1,0),0)</f>
        <v/>
      </c>
      <c r="G1671" s="141">
        <f>IFERROR(VLOOKUP($B1671,calc_data,G$14+1,0),0)</f>
        <v/>
      </c>
      <c r="H1671" s="141">
        <f>IFERROR(VLOOKUP($B1671,calc_data,H$14+1,0),0)</f>
        <v/>
      </c>
      <c r="I1671" s="142">
        <f>IFERROR(VLOOKUP($B1671,calc_data,I$14+1,0),0)</f>
        <v/>
      </c>
      <c r="J1671" s="141">
        <f>IFERROR(VLOOKUP($B1671,calc_data,J$14+1,0),0)</f>
        <v/>
      </c>
      <c r="K1671" s="141">
        <f>IFERROR(VLOOKUP($B1671,calc_data,K$14+1,0),0)</f>
        <v/>
      </c>
      <c r="L1671" s="141">
        <f>IFERROR(VLOOKUP($B1671,calc_data,L$14+1,0),0)</f>
        <v/>
      </c>
      <c r="M1671" s="177">
        <f>IFERROR(VLOOKUP($B1671,calc_data,M$14+1,0),0)</f>
        <v/>
      </c>
      <c r="N1671" s="177">
        <f>IFERROR(VLOOKUP($B1671,calc_data,N$14+1,0),0)</f>
        <v/>
      </c>
      <c r="O1671" s="45" t="n"/>
      <c r="Q1671" s="57">
        <f>IF(K1671&gt;0,"показать","скрыть")</f>
        <v/>
      </c>
    </row>
    <row r="1672" ht="15.75" customHeight="1">
      <c r="B1672" s="182" t="n">
        <v>1656</v>
      </c>
      <c r="C1672" s="182">
        <f>IFERROR(VLOOKUP($B1672,calc_data,C$14+1,0),0)</f>
        <v/>
      </c>
      <c r="D1672" s="182">
        <f>IFERROR(VLOOKUP($B1672,calc_data,D$14+1,0),0)</f>
        <v/>
      </c>
      <c r="E1672" s="183">
        <f>IFERROR(VLOOKUP($B1672,calc_data,E$14+1,0),0)</f>
        <v/>
      </c>
      <c r="F1672" s="182">
        <f>IFERROR(VLOOKUP($B1672,calc_data,F$14+1,0),0)</f>
        <v/>
      </c>
      <c r="G1672" s="141">
        <f>IFERROR(VLOOKUP($B1672,calc_data,G$14+1,0),0)</f>
        <v/>
      </c>
      <c r="H1672" s="141">
        <f>IFERROR(VLOOKUP($B1672,calc_data,H$14+1,0),0)</f>
        <v/>
      </c>
      <c r="I1672" s="142">
        <f>IFERROR(VLOOKUP($B1672,calc_data,I$14+1,0),0)</f>
        <v/>
      </c>
      <c r="J1672" s="141">
        <f>IFERROR(VLOOKUP($B1672,calc_data,J$14+1,0),0)</f>
        <v/>
      </c>
      <c r="K1672" s="141">
        <f>IFERROR(VLOOKUP($B1672,calc_data,K$14+1,0),0)</f>
        <v/>
      </c>
      <c r="L1672" s="141">
        <f>IFERROR(VLOOKUP($B1672,calc_data,L$14+1,0),0)</f>
        <v/>
      </c>
      <c r="M1672" s="177">
        <f>IFERROR(VLOOKUP($B1672,calc_data,M$14+1,0),0)</f>
        <v/>
      </c>
      <c r="N1672" s="177">
        <f>IFERROR(VLOOKUP($B1672,calc_data,N$14+1,0),0)</f>
        <v/>
      </c>
      <c r="O1672" s="45" t="n"/>
      <c r="Q1672" s="57">
        <f>IF(K1672&gt;0,"показать","скрыть")</f>
        <v/>
      </c>
    </row>
    <row r="1673" ht="15.75" customHeight="1">
      <c r="B1673" s="182" t="n">
        <v>1657</v>
      </c>
      <c r="C1673" s="182">
        <f>IFERROR(VLOOKUP($B1673,calc_data,C$14+1,0),0)</f>
        <v/>
      </c>
      <c r="D1673" s="182">
        <f>IFERROR(VLOOKUP($B1673,calc_data,D$14+1,0),0)</f>
        <v/>
      </c>
      <c r="E1673" s="183">
        <f>IFERROR(VLOOKUP($B1673,calc_data,E$14+1,0),0)</f>
        <v/>
      </c>
      <c r="F1673" s="182">
        <f>IFERROR(VLOOKUP($B1673,calc_data,F$14+1,0),0)</f>
        <v/>
      </c>
      <c r="G1673" s="141">
        <f>IFERROR(VLOOKUP($B1673,calc_data,G$14+1,0),0)</f>
        <v/>
      </c>
      <c r="H1673" s="141">
        <f>IFERROR(VLOOKUP($B1673,calc_data,H$14+1,0),0)</f>
        <v/>
      </c>
      <c r="I1673" s="142">
        <f>IFERROR(VLOOKUP($B1673,calc_data,I$14+1,0),0)</f>
        <v/>
      </c>
      <c r="J1673" s="141">
        <f>IFERROR(VLOOKUP($B1673,calc_data,J$14+1,0),0)</f>
        <v/>
      </c>
      <c r="K1673" s="141">
        <f>IFERROR(VLOOKUP($B1673,calc_data,K$14+1,0),0)</f>
        <v/>
      </c>
      <c r="L1673" s="141">
        <f>IFERROR(VLOOKUP($B1673,calc_data,L$14+1,0),0)</f>
        <v/>
      </c>
      <c r="M1673" s="177">
        <f>IFERROR(VLOOKUP($B1673,calc_data,M$14+1,0),0)</f>
        <v/>
      </c>
      <c r="N1673" s="177">
        <f>IFERROR(VLOOKUP($B1673,calc_data,N$14+1,0),0)</f>
        <v/>
      </c>
      <c r="O1673" s="45" t="n"/>
      <c r="Q1673" s="57">
        <f>IF(K1673&gt;0,"показать","скрыть")</f>
        <v/>
      </c>
    </row>
    <row r="1674" ht="15.75" customHeight="1">
      <c r="B1674" s="182" t="n">
        <v>1658</v>
      </c>
      <c r="C1674" s="182">
        <f>IFERROR(VLOOKUP($B1674,calc_data,C$14+1,0),0)</f>
        <v/>
      </c>
      <c r="D1674" s="182">
        <f>IFERROR(VLOOKUP($B1674,calc_data,D$14+1,0),0)</f>
        <v/>
      </c>
      <c r="E1674" s="183">
        <f>IFERROR(VLOOKUP($B1674,calc_data,E$14+1,0),0)</f>
        <v/>
      </c>
      <c r="F1674" s="182">
        <f>IFERROR(VLOOKUP($B1674,calc_data,F$14+1,0),0)</f>
        <v/>
      </c>
      <c r="G1674" s="141">
        <f>IFERROR(VLOOKUP($B1674,calc_data,G$14+1,0),0)</f>
        <v/>
      </c>
      <c r="H1674" s="141">
        <f>IFERROR(VLOOKUP($B1674,calc_data,H$14+1,0),0)</f>
        <v/>
      </c>
      <c r="I1674" s="142">
        <f>IFERROR(VLOOKUP($B1674,calc_data,I$14+1,0),0)</f>
        <v/>
      </c>
      <c r="J1674" s="141">
        <f>IFERROR(VLOOKUP($B1674,calc_data,J$14+1,0),0)</f>
        <v/>
      </c>
      <c r="K1674" s="141">
        <f>IFERROR(VLOOKUP($B1674,calc_data,K$14+1,0),0)</f>
        <v/>
      </c>
      <c r="L1674" s="141">
        <f>IFERROR(VLOOKUP($B1674,calc_data,L$14+1,0),0)</f>
        <v/>
      </c>
      <c r="M1674" s="177">
        <f>IFERROR(VLOOKUP($B1674,calc_data,M$14+1,0),0)</f>
        <v/>
      </c>
      <c r="N1674" s="177">
        <f>IFERROR(VLOOKUP($B1674,calc_data,N$14+1,0),0)</f>
        <v/>
      </c>
      <c r="O1674" s="45" t="n"/>
      <c r="Q1674" s="57">
        <f>IF(K1674&gt;0,"показать","скрыть")</f>
        <v/>
      </c>
    </row>
    <row r="1675" ht="15.75" customHeight="1">
      <c r="B1675" s="182" t="n">
        <v>1659</v>
      </c>
      <c r="C1675" s="182">
        <f>IFERROR(VLOOKUP($B1675,calc_data,C$14+1,0),0)</f>
        <v/>
      </c>
      <c r="D1675" s="182">
        <f>IFERROR(VLOOKUP($B1675,calc_data,D$14+1,0),0)</f>
        <v/>
      </c>
      <c r="E1675" s="183">
        <f>IFERROR(VLOOKUP($B1675,calc_data,E$14+1,0),0)</f>
        <v/>
      </c>
      <c r="F1675" s="182">
        <f>IFERROR(VLOOKUP($B1675,calc_data,F$14+1,0),0)</f>
        <v/>
      </c>
      <c r="G1675" s="141">
        <f>IFERROR(VLOOKUP($B1675,calc_data,G$14+1,0),0)</f>
        <v/>
      </c>
      <c r="H1675" s="141">
        <f>IFERROR(VLOOKUP($B1675,calc_data,H$14+1,0),0)</f>
        <v/>
      </c>
      <c r="I1675" s="142">
        <f>IFERROR(VLOOKUP($B1675,calc_data,I$14+1,0),0)</f>
        <v/>
      </c>
      <c r="J1675" s="141">
        <f>IFERROR(VLOOKUP($B1675,calc_data,J$14+1,0),0)</f>
        <v/>
      </c>
      <c r="K1675" s="141">
        <f>IFERROR(VLOOKUP($B1675,calc_data,K$14+1,0),0)</f>
        <v/>
      </c>
      <c r="L1675" s="141">
        <f>IFERROR(VLOOKUP($B1675,calc_data,L$14+1,0),0)</f>
        <v/>
      </c>
      <c r="M1675" s="177">
        <f>IFERROR(VLOOKUP($B1675,calc_data,M$14+1,0),0)</f>
        <v/>
      </c>
      <c r="N1675" s="177">
        <f>IFERROR(VLOOKUP($B1675,calc_data,N$14+1,0),0)</f>
        <v/>
      </c>
      <c r="O1675" s="45" t="n"/>
      <c r="Q1675" s="57">
        <f>IF(K1675&gt;0,"показать","скрыть")</f>
        <v/>
      </c>
    </row>
    <row r="1676" ht="15.75" customHeight="1">
      <c r="B1676" s="182" t="n">
        <v>1660</v>
      </c>
      <c r="C1676" s="182">
        <f>IFERROR(VLOOKUP($B1676,calc_data,C$14+1,0),0)</f>
        <v/>
      </c>
      <c r="D1676" s="182">
        <f>IFERROR(VLOOKUP($B1676,calc_data,D$14+1,0),0)</f>
        <v/>
      </c>
      <c r="E1676" s="183">
        <f>IFERROR(VLOOKUP($B1676,calc_data,E$14+1,0),0)</f>
        <v/>
      </c>
      <c r="F1676" s="182">
        <f>IFERROR(VLOOKUP($B1676,calc_data,F$14+1,0),0)</f>
        <v/>
      </c>
      <c r="G1676" s="141">
        <f>IFERROR(VLOOKUP($B1676,calc_data,G$14+1,0),0)</f>
        <v/>
      </c>
      <c r="H1676" s="141">
        <f>IFERROR(VLOOKUP($B1676,calc_data,H$14+1,0),0)</f>
        <v/>
      </c>
      <c r="I1676" s="142">
        <f>IFERROR(VLOOKUP($B1676,calc_data,I$14+1,0),0)</f>
        <v/>
      </c>
      <c r="J1676" s="141">
        <f>IFERROR(VLOOKUP($B1676,calc_data,J$14+1,0),0)</f>
        <v/>
      </c>
      <c r="K1676" s="141">
        <f>IFERROR(VLOOKUP($B1676,calc_data,K$14+1,0),0)</f>
        <v/>
      </c>
      <c r="L1676" s="141">
        <f>IFERROR(VLOOKUP($B1676,calc_data,L$14+1,0),0)</f>
        <v/>
      </c>
      <c r="M1676" s="177">
        <f>IFERROR(VLOOKUP($B1676,calc_data,M$14+1,0),0)</f>
        <v/>
      </c>
      <c r="N1676" s="177">
        <f>IFERROR(VLOOKUP($B1676,calc_data,N$14+1,0),0)</f>
        <v/>
      </c>
      <c r="O1676" s="45" t="n"/>
      <c r="Q1676" s="57">
        <f>IF(K1676&gt;0,"показать","скрыть")</f>
        <v/>
      </c>
    </row>
    <row r="1677" ht="15.75" customHeight="1">
      <c r="B1677" s="182" t="n">
        <v>1661</v>
      </c>
      <c r="C1677" s="182">
        <f>IFERROR(VLOOKUP($B1677,calc_data,C$14+1,0),0)</f>
        <v/>
      </c>
      <c r="D1677" s="182">
        <f>IFERROR(VLOOKUP($B1677,calc_data,D$14+1,0),0)</f>
        <v/>
      </c>
      <c r="E1677" s="183">
        <f>IFERROR(VLOOKUP($B1677,calc_data,E$14+1,0),0)</f>
        <v/>
      </c>
      <c r="F1677" s="182">
        <f>IFERROR(VLOOKUP($B1677,calc_data,F$14+1,0),0)</f>
        <v/>
      </c>
      <c r="G1677" s="141">
        <f>IFERROR(VLOOKUP($B1677,calc_data,G$14+1,0),0)</f>
        <v/>
      </c>
      <c r="H1677" s="141">
        <f>IFERROR(VLOOKUP($B1677,calc_data,H$14+1,0),0)</f>
        <v/>
      </c>
      <c r="I1677" s="142">
        <f>IFERROR(VLOOKUP($B1677,calc_data,I$14+1,0),0)</f>
        <v/>
      </c>
      <c r="J1677" s="141">
        <f>IFERROR(VLOOKUP($B1677,calc_data,J$14+1,0),0)</f>
        <v/>
      </c>
      <c r="K1677" s="141">
        <f>IFERROR(VLOOKUP($B1677,calc_data,K$14+1,0),0)</f>
        <v/>
      </c>
      <c r="L1677" s="141">
        <f>IFERROR(VLOOKUP($B1677,calc_data,L$14+1,0),0)</f>
        <v/>
      </c>
      <c r="M1677" s="177">
        <f>IFERROR(VLOOKUP($B1677,calc_data,M$14+1,0),0)</f>
        <v/>
      </c>
      <c r="N1677" s="177">
        <f>IFERROR(VLOOKUP($B1677,calc_data,N$14+1,0),0)</f>
        <v/>
      </c>
      <c r="O1677" s="45" t="n"/>
      <c r="Q1677" s="57">
        <f>IF(K1677&gt;0,"показать","скрыть")</f>
        <v/>
      </c>
    </row>
    <row r="1678" ht="15.75" customHeight="1">
      <c r="B1678" s="182" t="n">
        <v>1662</v>
      </c>
      <c r="C1678" s="182">
        <f>IFERROR(VLOOKUP($B1678,calc_data,C$14+1,0),0)</f>
        <v/>
      </c>
      <c r="D1678" s="182">
        <f>IFERROR(VLOOKUP($B1678,calc_data,D$14+1,0),0)</f>
        <v/>
      </c>
      <c r="E1678" s="183">
        <f>IFERROR(VLOOKUP($B1678,calc_data,E$14+1,0),0)</f>
        <v/>
      </c>
      <c r="F1678" s="182">
        <f>IFERROR(VLOOKUP($B1678,calc_data,F$14+1,0),0)</f>
        <v/>
      </c>
      <c r="G1678" s="141">
        <f>IFERROR(VLOOKUP($B1678,calc_data,G$14+1,0),0)</f>
        <v/>
      </c>
      <c r="H1678" s="141">
        <f>IFERROR(VLOOKUP($B1678,calc_data,H$14+1,0),0)</f>
        <v/>
      </c>
      <c r="I1678" s="142">
        <f>IFERROR(VLOOKUP($B1678,calc_data,I$14+1,0),0)</f>
        <v/>
      </c>
      <c r="J1678" s="141">
        <f>IFERROR(VLOOKUP($B1678,calc_data,J$14+1,0),0)</f>
        <v/>
      </c>
      <c r="K1678" s="141">
        <f>IFERROR(VLOOKUP($B1678,calc_data,K$14+1,0),0)</f>
        <v/>
      </c>
      <c r="L1678" s="141">
        <f>IFERROR(VLOOKUP($B1678,calc_data,L$14+1,0),0)</f>
        <v/>
      </c>
      <c r="M1678" s="177">
        <f>IFERROR(VLOOKUP($B1678,calc_data,M$14+1,0),0)</f>
        <v/>
      </c>
      <c r="N1678" s="177">
        <f>IFERROR(VLOOKUP($B1678,calc_data,N$14+1,0),0)</f>
        <v/>
      </c>
      <c r="O1678" s="45" t="n"/>
      <c r="Q1678" s="57">
        <f>IF(K1678&gt;0,"показать","скрыть")</f>
        <v/>
      </c>
    </row>
    <row r="1679" ht="15.75" customHeight="1">
      <c r="B1679" s="182" t="n">
        <v>1663</v>
      </c>
      <c r="C1679" s="182">
        <f>IFERROR(VLOOKUP($B1679,calc_data,C$14+1,0),0)</f>
        <v/>
      </c>
      <c r="D1679" s="182">
        <f>IFERROR(VLOOKUP($B1679,calc_data,D$14+1,0),0)</f>
        <v/>
      </c>
      <c r="E1679" s="183">
        <f>IFERROR(VLOOKUP($B1679,calc_data,E$14+1,0),0)</f>
        <v/>
      </c>
      <c r="F1679" s="182">
        <f>IFERROR(VLOOKUP($B1679,calc_data,F$14+1,0),0)</f>
        <v/>
      </c>
      <c r="G1679" s="141">
        <f>IFERROR(VLOOKUP($B1679,calc_data,G$14+1,0),0)</f>
        <v/>
      </c>
      <c r="H1679" s="141">
        <f>IFERROR(VLOOKUP($B1679,calc_data,H$14+1,0),0)</f>
        <v/>
      </c>
      <c r="I1679" s="142">
        <f>IFERROR(VLOOKUP($B1679,calc_data,I$14+1,0),0)</f>
        <v/>
      </c>
      <c r="J1679" s="141">
        <f>IFERROR(VLOOKUP($B1679,calc_data,J$14+1,0),0)</f>
        <v/>
      </c>
      <c r="K1679" s="141">
        <f>IFERROR(VLOOKUP($B1679,calc_data,K$14+1,0),0)</f>
        <v/>
      </c>
      <c r="L1679" s="141">
        <f>IFERROR(VLOOKUP($B1679,calc_data,L$14+1,0),0)</f>
        <v/>
      </c>
      <c r="M1679" s="177">
        <f>IFERROR(VLOOKUP($B1679,calc_data,M$14+1,0),0)</f>
        <v/>
      </c>
      <c r="N1679" s="177">
        <f>IFERROR(VLOOKUP($B1679,calc_data,N$14+1,0),0)</f>
        <v/>
      </c>
      <c r="O1679" s="45" t="n"/>
      <c r="Q1679" s="57">
        <f>IF(K1679&gt;0,"показать","скрыть")</f>
        <v/>
      </c>
    </row>
    <row r="1680" ht="15.75" customHeight="1">
      <c r="B1680" s="182" t="n">
        <v>1664</v>
      </c>
      <c r="C1680" s="182">
        <f>IFERROR(VLOOKUP($B1680,calc_data,C$14+1,0),0)</f>
        <v/>
      </c>
      <c r="D1680" s="182">
        <f>IFERROR(VLOOKUP($B1680,calc_data,D$14+1,0),0)</f>
        <v/>
      </c>
      <c r="E1680" s="183">
        <f>IFERROR(VLOOKUP($B1680,calc_data,E$14+1,0),0)</f>
        <v/>
      </c>
      <c r="F1680" s="182">
        <f>IFERROR(VLOOKUP($B1680,calc_data,F$14+1,0),0)</f>
        <v/>
      </c>
      <c r="G1680" s="141">
        <f>IFERROR(VLOOKUP($B1680,calc_data,G$14+1,0),0)</f>
        <v/>
      </c>
      <c r="H1680" s="141">
        <f>IFERROR(VLOOKUP($B1680,calc_data,H$14+1,0),0)</f>
        <v/>
      </c>
      <c r="I1680" s="142">
        <f>IFERROR(VLOOKUP($B1680,calc_data,I$14+1,0),0)</f>
        <v/>
      </c>
      <c r="J1680" s="141">
        <f>IFERROR(VLOOKUP($B1680,calc_data,J$14+1,0),0)</f>
        <v/>
      </c>
      <c r="K1680" s="141">
        <f>IFERROR(VLOOKUP($B1680,calc_data,K$14+1,0),0)</f>
        <v/>
      </c>
      <c r="L1680" s="141">
        <f>IFERROR(VLOOKUP($B1680,calc_data,L$14+1,0),0)</f>
        <v/>
      </c>
      <c r="M1680" s="177">
        <f>IFERROR(VLOOKUP($B1680,calc_data,M$14+1,0),0)</f>
        <v/>
      </c>
      <c r="N1680" s="177">
        <f>IFERROR(VLOOKUP($B1680,calc_data,N$14+1,0),0)</f>
        <v/>
      </c>
      <c r="O1680" s="45" t="n"/>
      <c r="Q1680" s="57">
        <f>IF(K1680&gt;0,"показать","скрыть")</f>
        <v/>
      </c>
    </row>
    <row r="1681" ht="15.75" customHeight="1">
      <c r="B1681" s="182" t="n">
        <v>1665</v>
      </c>
      <c r="C1681" s="182">
        <f>IFERROR(VLOOKUP($B1681,calc_data,C$14+1,0),0)</f>
        <v/>
      </c>
      <c r="D1681" s="182">
        <f>IFERROR(VLOOKUP($B1681,calc_data,D$14+1,0),0)</f>
        <v/>
      </c>
      <c r="E1681" s="183">
        <f>IFERROR(VLOOKUP($B1681,calc_data,E$14+1,0),0)</f>
        <v/>
      </c>
      <c r="F1681" s="182">
        <f>IFERROR(VLOOKUP($B1681,calc_data,F$14+1,0),0)</f>
        <v/>
      </c>
      <c r="G1681" s="141">
        <f>IFERROR(VLOOKUP($B1681,calc_data,G$14+1,0),0)</f>
        <v/>
      </c>
      <c r="H1681" s="141">
        <f>IFERROR(VLOOKUP($B1681,calc_data,H$14+1,0),0)</f>
        <v/>
      </c>
      <c r="I1681" s="142">
        <f>IFERROR(VLOOKUP($B1681,calc_data,I$14+1,0),0)</f>
        <v/>
      </c>
      <c r="J1681" s="141">
        <f>IFERROR(VLOOKUP($B1681,calc_data,J$14+1,0),0)</f>
        <v/>
      </c>
      <c r="K1681" s="141">
        <f>IFERROR(VLOOKUP($B1681,calc_data,K$14+1,0),0)</f>
        <v/>
      </c>
      <c r="L1681" s="141">
        <f>IFERROR(VLOOKUP($B1681,calc_data,L$14+1,0),0)</f>
        <v/>
      </c>
      <c r="M1681" s="177">
        <f>IFERROR(VLOOKUP($B1681,calc_data,M$14+1,0),0)</f>
        <v/>
      </c>
      <c r="N1681" s="177">
        <f>IFERROR(VLOOKUP($B1681,calc_data,N$14+1,0),0)</f>
        <v/>
      </c>
      <c r="O1681" s="45" t="n"/>
      <c r="Q1681" s="57">
        <f>IF(K1681&gt;0,"показать","скрыть")</f>
        <v/>
      </c>
    </row>
    <row r="1682" ht="15.75" customHeight="1">
      <c r="B1682" s="182" t="n">
        <v>1666</v>
      </c>
      <c r="C1682" s="182">
        <f>IFERROR(VLOOKUP($B1682,calc_data,C$14+1,0),0)</f>
        <v/>
      </c>
      <c r="D1682" s="182">
        <f>IFERROR(VLOOKUP($B1682,calc_data,D$14+1,0),0)</f>
        <v/>
      </c>
      <c r="E1682" s="183">
        <f>IFERROR(VLOOKUP($B1682,calc_data,E$14+1,0),0)</f>
        <v/>
      </c>
      <c r="F1682" s="182">
        <f>IFERROR(VLOOKUP($B1682,calc_data,F$14+1,0),0)</f>
        <v/>
      </c>
      <c r="G1682" s="141">
        <f>IFERROR(VLOOKUP($B1682,calc_data,G$14+1,0),0)</f>
        <v/>
      </c>
      <c r="H1682" s="141">
        <f>IFERROR(VLOOKUP($B1682,calc_data,H$14+1,0),0)</f>
        <v/>
      </c>
      <c r="I1682" s="142">
        <f>IFERROR(VLOOKUP($B1682,calc_data,I$14+1,0),0)</f>
        <v/>
      </c>
      <c r="J1682" s="141">
        <f>IFERROR(VLOOKUP($B1682,calc_data,J$14+1,0),0)</f>
        <v/>
      </c>
      <c r="K1682" s="141">
        <f>IFERROR(VLOOKUP($B1682,calc_data,K$14+1,0),0)</f>
        <v/>
      </c>
      <c r="L1682" s="141">
        <f>IFERROR(VLOOKUP($B1682,calc_data,L$14+1,0),0)</f>
        <v/>
      </c>
      <c r="M1682" s="177">
        <f>IFERROR(VLOOKUP($B1682,calc_data,M$14+1,0),0)</f>
        <v/>
      </c>
      <c r="N1682" s="177">
        <f>IFERROR(VLOOKUP($B1682,calc_data,N$14+1,0),0)</f>
        <v/>
      </c>
      <c r="O1682" s="45" t="n"/>
      <c r="Q1682" s="57">
        <f>IF(K1682&gt;0,"показать","скрыть")</f>
        <v/>
      </c>
    </row>
    <row r="1683" ht="15.75" customHeight="1">
      <c r="B1683" s="182" t="n">
        <v>1667</v>
      </c>
      <c r="C1683" s="182">
        <f>IFERROR(VLOOKUP($B1683,calc_data,C$14+1,0),0)</f>
        <v/>
      </c>
      <c r="D1683" s="182">
        <f>IFERROR(VLOOKUP($B1683,calc_data,D$14+1,0),0)</f>
        <v/>
      </c>
      <c r="E1683" s="183">
        <f>IFERROR(VLOOKUP($B1683,calc_data,E$14+1,0),0)</f>
        <v/>
      </c>
      <c r="F1683" s="182">
        <f>IFERROR(VLOOKUP($B1683,calc_data,F$14+1,0),0)</f>
        <v/>
      </c>
      <c r="G1683" s="141">
        <f>IFERROR(VLOOKUP($B1683,calc_data,G$14+1,0),0)</f>
        <v/>
      </c>
      <c r="H1683" s="141">
        <f>IFERROR(VLOOKUP($B1683,calc_data,H$14+1,0),0)</f>
        <v/>
      </c>
      <c r="I1683" s="142">
        <f>IFERROR(VLOOKUP($B1683,calc_data,I$14+1,0),0)</f>
        <v/>
      </c>
      <c r="J1683" s="141">
        <f>IFERROR(VLOOKUP($B1683,calc_data,J$14+1,0),0)</f>
        <v/>
      </c>
      <c r="K1683" s="141">
        <f>IFERROR(VLOOKUP($B1683,calc_data,K$14+1,0),0)</f>
        <v/>
      </c>
      <c r="L1683" s="141">
        <f>IFERROR(VLOOKUP($B1683,calc_data,L$14+1,0),0)</f>
        <v/>
      </c>
      <c r="M1683" s="177">
        <f>IFERROR(VLOOKUP($B1683,calc_data,M$14+1,0),0)</f>
        <v/>
      </c>
      <c r="N1683" s="177">
        <f>IFERROR(VLOOKUP($B1683,calc_data,N$14+1,0),0)</f>
        <v/>
      </c>
      <c r="O1683" s="45" t="n"/>
      <c r="Q1683" s="57">
        <f>IF(K1683&gt;0,"показать","скрыть")</f>
        <v/>
      </c>
    </row>
    <row r="1684" ht="15.75" customHeight="1">
      <c r="B1684" s="182" t="n">
        <v>1668</v>
      </c>
      <c r="C1684" s="182">
        <f>IFERROR(VLOOKUP($B1684,calc_data,C$14+1,0),0)</f>
        <v/>
      </c>
      <c r="D1684" s="182">
        <f>IFERROR(VLOOKUP($B1684,calc_data,D$14+1,0),0)</f>
        <v/>
      </c>
      <c r="E1684" s="183">
        <f>IFERROR(VLOOKUP($B1684,calc_data,E$14+1,0),0)</f>
        <v/>
      </c>
      <c r="F1684" s="182">
        <f>IFERROR(VLOOKUP($B1684,calc_data,F$14+1,0),0)</f>
        <v/>
      </c>
      <c r="G1684" s="141">
        <f>IFERROR(VLOOKUP($B1684,calc_data,G$14+1,0),0)</f>
        <v/>
      </c>
      <c r="H1684" s="141">
        <f>IFERROR(VLOOKUP($B1684,calc_data,H$14+1,0),0)</f>
        <v/>
      </c>
      <c r="I1684" s="142">
        <f>IFERROR(VLOOKUP($B1684,calc_data,I$14+1,0),0)</f>
        <v/>
      </c>
      <c r="J1684" s="141">
        <f>IFERROR(VLOOKUP($B1684,calc_data,J$14+1,0),0)</f>
        <v/>
      </c>
      <c r="K1684" s="141">
        <f>IFERROR(VLOOKUP($B1684,calc_data,K$14+1,0),0)</f>
        <v/>
      </c>
      <c r="L1684" s="141">
        <f>IFERROR(VLOOKUP($B1684,calc_data,L$14+1,0),0)</f>
        <v/>
      </c>
      <c r="M1684" s="177">
        <f>IFERROR(VLOOKUP($B1684,calc_data,M$14+1,0),0)</f>
        <v/>
      </c>
      <c r="N1684" s="177">
        <f>IFERROR(VLOOKUP($B1684,calc_data,N$14+1,0),0)</f>
        <v/>
      </c>
      <c r="O1684" s="45" t="n"/>
      <c r="Q1684" s="57">
        <f>IF(K1684&gt;0,"показать","скрыть")</f>
        <v/>
      </c>
    </row>
    <row r="1685" ht="15.75" customHeight="1">
      <c r="B1685" s="182" t="n">
        <v>1669</v>
      </c>
      <c r="C1685" s="182">
        <f>IFERROR(VLOOKUP($B1685,calc_data,C$14+1,0),0)</f>
        <v/>
      </c>
      <c r="D1685" s="182">
        <f>IFERROR(VLOOKUP($B1685,calc_data,D$14+1,0),0)</f>
        <v/>
      </c>
      <c r="E1685" s="183">
        <f>IFERROR(VLOOKUP($B1685,calc_data,E$14+1,0),0)</f>
        <v/>
      </c>
      <c r="F1685" s="182">
        <f>IFERROR(VLOOKUP($B1685,calc_data,F$14+1,0),0)</f>
        <v/>
      </c>
      <c r="G1685" s="141">
        <f>IFERROR(VLOOKUP($B1685,calc_data,G$14+1,0),0)</f>
        <v/>
      </c>
      <c r="H1685" s="141">
        <f>IFERROR(VLOOKUP($B1685,calc_data,H$14+1,0),0)</f>
        <v/>
      </c>
      <c r="I1685" s="142">
        <f>IFERROR(VLOOKUP($B1685,calc_data,I$14+1,0),0)</f>
        <v/>
      </c>
      <c r="J1685" s="141">
        <f>IFERROR(VLOOKUP($B1685,calc_data,J$14+1,0),0)</f>
        <v/>
      </c>
      <c r="K1685" s="141">
        <f>IFERROR(VLOOKUP($B1685,calc_data,K$14+1,0),0)</f>
        <v/>
      </c>
      <c r="L1685" s="141">
        <f>IFERROR(VLOOKUP($B1685,calc_data,L$14+1,0),0)</f>
        <v/>
      </c>
      <c r="M1685" s="177">
        <f>IFERROR(VLOOKUP($B1685,calc_data,M$14+1,0),0)</f>
        <v/>
      </c>
      <c r="N1685" s="177">
        <f>IFERROR(VLOOKUP($B1685,calc_data,N$14+1,0),0)</f>
        <v/>
      </c>
      <c r="O1685" s="45" t="n"/>
      <c r="Q1685" s="57">
        <f>IF(K1685&gt;0,"показать","скрыть")</f>
        <v/>
      </c>
    </row>
    <row r="1686" ht="15.75" customHeight="1">
      <c r="B1686" s="182" t="n">
        <v>1670</v>
      </c>
      <c r="C1686" s="182">
        <f>IFERROR(VLOOKUP($B1686,calc_data,C$14+1,0),0)</f>
        <v/>
      </c>
      <c r="D1686" s="182">
        <f>IFERROR(VLOOKUP($B1686,calc_data,D$14+1,0),0)</f>
        <v/>
      </c>
      <c r="E1686" s="183">
        <f>IFERROR(VLOOKUP($B1686,calc_data,E$14+1,0),0)</f>
        <v/>
      </c>
      <c r="F1686" s="182">
        <f>IFERROR(VLOOKUP($B1686,calc_data,F$14+1,0),0)</f>
        <v/>
      </c>
      <c r="G1686" s="141">
        <f>IFERROR(VLOOKUP($B1686,calc_data,G$14+1,0),0)</f>
        <v/>
      </c>
      <c r="H1686" s="141">
        <f>IFERROR(VLOOKUP($B1686,calc_data,H$14+1,0),0)</f>
        <v/>
      </c>
      <c r="I1686" s="142">
        <f>IFERROR(VLOOKUP($B1686,calc_data,I$14+1,0),0)</f>
        <v/>
      </c>
      <c r="J1686" s="141">
        <f>IFERROR(VLOOKUP($B1686,calc_data,J$14+1,0),0)</f>
        <v/>
      </c>
      <c r="K1686" s="141">
        <f>IFERROR(VLOOKUP($B1686,calc_data,K$14+1,0),0)</f>
        <v/>
      </c>
      <c r="L1686" s="141">
        <f>IFERROR(VLOOKUP($B1686,calc_data,L$14+1,0),0)</f>
        <v/>
      </c>
      <c r="M1686" s="177">
        <f>IFERROR(VLOOKUP($B1686,calc_data,M$14+1,0),0)</f>
        <v/>
      </c>
      <c r="N1686" s="177">
        <f>IFERROR(VLOOKUP($B1686,calc_data,N$14+1,0),0)</f>
        <v/>
      </c>
      <c r="O1686" s="45" t="n"/>
      <c r="Q1686" s="57">
        <f>IF(K1686&gt;0,"показать","скрыть")</f>
        <v/>
      </c>
    </row>
    <row r="1687" ht="15.75" customHeight="1">
      <c r="B1687" s="182" t="n">
        <v>1671</v>
      </c>
      <c r="C1687" s="182">
        <f>IFERROR(VLOOKUP($B1687,calc_data,C$14+1,0),0)</f>
        <v/>
      </c>
      <c r="D1687" s="182">
        <f>IFERROR(VLOOKUP($B1687,calc_data,D$14+1,0),0)</f>
        <v/>
      </c>
      <c r="E1687" s="183">
        <f>IFERROR(VLOOKUP($B1687,calc_data,E$14+1,0),0)</f>
        <v/>
      </c>
      <c r="F1687" s="182">
        <f>IFERROR(VLOOKUP($B1687,calc_data,F$14+1,0),0)</f>
        <v/>
      </c>
      <c r="G1687" s="141">
        <f>IFERROR(VLOOKUP($B1687,calc_data,G$14+1,0),0)</f>
        <v/>
      </c>
      <c r="H1687" s="141">
        <f>IFERROR(VLOOKUP($B1687,calc_data,H$14+1,0),0)</f>
        <v/>
      </c>
      <c r="I1687" s="142">
        <f>IFERROR(VLOOKUP($B1687,calc_data,I$14+1,0),0)</f>
        <v/>
      </c>
      <c r="J1687" s="141">
        <f>IFERROR(VLOOKUP($B1687,calc_data,J$14+1,0),0)</f>
        <v/>
      </c>
      <c r="K1687" s="141">
        <f>IFERROR(VLOOKUP($B1687,calc_data,K$14+1,0),0)</f>
        <v/>
      </c>
      <c r="L1687" s="141">
        <f>IFERROR(VLOOKUP($B1687,calc_data,L$14+1,0),0)</f>
        <v/>
      </c>
      <c r="M1687" s="177">
        <f>IFERROR(VLOOKUP($B1687,calc_data,M$14+1,0),0)</f>
        <v/>
      </c>
      <c r="N1687" s="177">
        <f>IFERROR(VLOOKUP($B1687,calc_data,N$14+1,0),0)</f>
        <v/>
      </c>
      <c r="O1687" s="45" t="n"/>
      <c r="Q1687" s="57">
        <f>IF(K1687&gt;0,"показать","скрыть")</f>
        <v/>
      </c>
    </row>
    <row r="1688" ht="15.75" customHeight="1">
      <c r="B1688" s="182" t="n">
        <v>1672</v>
      </c>
      <c r="C1688" s="182">
        <f>IFERROR(VLOOKUP($B1688,calc_data,C$14+1,0),0)</f>
        <v/>
      </c>
      <c r="D1688" s="182">
        <f>IFERROR(VLOOKUP($B1688,calc_data,D$14+1,0),0)</f>
        <v/>
      </c>
      <c r="E1688" s="183">
        <f>IFERROR(VLOOKUP($B1688,calc_data,E$14+1,0),0)</f>
        <v/>
      </c>
      <c r="F1688" s="182">
        <f>IFERROR(VLOOKUP($B1688,calc_data,F$14+1,0),0)</f>
        <v/>
      </c>
      <c r="G1688" s="141">
        <f>IFERROR(VLOOKUP($B1688,calc_data,G$14+1,0),0)</f>
        <v/>
      </c>
      <c r="H1688" s="141">
        <f>IFERROR(VLOOKUP($B1688,calc_data,H$14+1,0),0)</f>
        <v/>
      </c>
      <c r="I1688" s="142">
        <f>IFERROR(VLOOKUP($B1688,calc_data,I$14+1,0),0)</f>
        <v/>
      </c>
      <c r="J1688" s="141">
        <f>IFERROR(VLOOKUP($B1688,calc_data,J$14+1,0),0)</f>
        <v/>
      </c>
      <c r="K1688" s="141">
        <f>IFERROR(VLOOKUP($B1688,calc_data,K$14+1,0),0)</f>
        <v/>
      </c>
      <c r="L1688" s="141">
        <f>IFERROR(VLOOKUP($B1688,calc_data,L$14+1,0),0)</f>
        <v/>
      </c>
      <c r="M1688" s="177">
        <f>IFERROR(VLOOKUP($B1688,calc_data,M$14+1,0),0)</f>
        <v/>
      </c>
      <c r="N1688" s="177">
        <f>IFERROR(VLOOKUP($B1688,calc_data,N$14+1,0),0)</f>
        <v/>
      </c>
      <c r="O1688" s="45" t="n"/>
      <c r="Q1688" s="57">
        <f>IF(K1688&gt;0,"показать","скрыть")</f>
        <v/>
      </c>
    </row>
    <row r="1689" ht="15.75" customHeight="1">
      <c r="B1689" s="182" t="n">
        <v>1673</v>
      </c>
      <c r="C1689" s="182">
        <f>IFERROR(VLOOKUP($B1689,calc_data,C$14+1,0),0)</f>
        <v/>
      </c>
      <c r="D1689" s="182">
        <f>IFERROR(VLOOKUP($B1689,calc_data,D$14+1,0),0)</f>
        <v/>
      </c>
      <c r="E1689" s="183">
        <f>IFERROR(VLOOKUP($B1689,calc_data,E$14+1,0),0)</f>
        <v/>
      </c>
      <c r="F1689" s="182">
        <f>IFERROR(VLOOKUP($B1689,calc_data,F$14+1,0),0)</f>
        <v/>
      </c>
      <c r="G1689" s="141">
        <f>IFERROR(VLOOKUP($B1689,calc_data,G$14+1,0),0)</f>
        <v/>
      </c>
      <c r="H1689" s="141">
        <f>IFERROR(VLOOKUP($B1689,calc_data,H$14+1,0),0)</f>
        <v/>
      </c>
      <c r="I1689" s="142">
        <f>IFERROR(VLOOKUP($B1689,calc_data,I$14+1,0),0)</f>
        <v/>
      </c>
      <c r="J1689" s="141">
        <f>IFERROR(VLOOKUP($B1689,calc_data,J$14+1,0),0)</f>
        <v/>
      </c>
      <c r="K1689" s="141">
        <f>IFERROR(VLOOKUP($B1689,calc_data,K$14+1,0),0)</f>
        <v/>
      </c>
      <c r="L1689" s="141">
        <f>IFERROR(VLOOKUP($B1689,calc_data,L$14+1,0),0)</f>
        <v/>
      </c>
      <c r="M1689" s="177">
        <f>IFERROR(VLOOKUP($B1689,calc_data,M$14+1,0),0)</f>
        <v/>
      </c>
      <c r="N1689" s="177">
        <f>IFERROR(VLOOKUP($B1689,calc_data,N$14+1,0),0)</f>
        <v/>
      </c>
      <c r="O1689" s="45" t="n"/>
      <c r="Q1689" s="57">
        <f>IF(K1689&gt;0,"показать","скрыть")</f>
        <v/>
      </c>
    </row>
    <row r="1690" ht="15.75" customHeight="1">
      <c r="B1690" s="182" t="n">
        <v>1674</v>
      </c>
      <c r="C1690" s="182">
        <f>IFERROR(VLOOKUP($B1690,calc_data,C$14+1,0),0)</f>
        <v/>
      </c>
      <c r="D1690" s="182">
        <f>IFERROR(VLOOKUP($B1690,calc_data,D$14+1,0),0)</f>
        <v/>
      </c>
      <c r="E1690" s="183">
        <f>IFERROR(VLOOKUP($B1690,calc_data,E$14+1,0),0)</f>
        <v/>
      </c>
      <c r="F1690" s="182">
        <f>IFERROR(VLOOKUP($B1690,calc_data,F$14+1,0),0)</f>
        <v/>
      </c>
      <c r="G1690" s="141">
        <f>IFERROR(VLOOKUP($B1690,calc_data,G$14+1,0),0)</f>
        <v/>
      </c>
      <c r="H1690" s="141">
        <f>IFERROR(VLOOKUP($B1690,calc_data,H$14+1,0),0)</f>
        <v/>
      </c>
      <c r="I1690" s="142">
        <f>IFERROR(VLOOKUP($B1690,calc_data,I$14+1,0),0)</f>
        <v/>
      </c>
      <c r="J1690" s="141">
        <f>IFERROR(VLOOKUP($B1690,calc_data,J$14+1,0),0)</f>
        <v/>
      </c>
      <c r="K1690" s="141">
        <f>IFERROR(VLOOKUP($B1690,calc_data,K$14+1,0),0)</f>
        <v/>
      </c>
      <c r="L1690" s="141">
        <f>IFERROR(VLOOKUP($B1690,calc_data,L$14+1,0),0)</f>
        <v/>
      </c>
      <c r="M1690" s="177">
        <f>IFERROR(VLOOKUP($B1690,calc_data,M$14+1,0),0)</f>
        <v/>
      </c>
      <c r="N1690" s="177">
        <f>IFERROR(VLOOKUP($B1690,calc_data,N$14+1,0),0)</f>
        <v/>
      </c>
      <c r="O1690" s="45" t="n"/>
      <c r="Q1690" s="57">
        <f>IF(K1690&gt;0,"показать","скрыть")</f>
        <v/>
      </c>
    </row>
    <row r="1691" ht="15.75" customHeight="1">
      <c r="B1691" s="182" t="n">
        <v>1675</v>
      </c>
      <c r="C1691" s="182">
        <f>IFERROR(VLOOKUP($B1691,calc_data,C$14+1,0),0)</f>
        <v/>
      </c>
      <c r="D1691" s="182">
        <f>IFERROR(VLOOKUP($B1691,calc_data,D$14+1,0),0)</f>
        <v/>
      </c>
      <c r="E1691" s="183">
        <f>IFERROR(VLOOKUP($B1691,calc_data,E$14+1,0),0)</f>
        <v/>
      </c>
      <c r="F1691" s="182">
        <f>IFERROR(VLOOKUP($B1691,calc_data,F$14+1,0),0)</f>
        <v/>
      </c>
      <c r="G1691" s="141">
        <f>IFERROR(VLOOKUP($B1691,calc_data,G$14+1,0),0)</f>
        <v/>
      </c>
      <c r="H1691" s="141">
        <f>IFERROR(VLOOKUP($B1691,calc_data,H$14+1,0),0)</f>
        <v/>
      </c>
      <c r="I1691" s="142">
        <f>IFERROR(VLOOKUP($B1691,calc_data,I$14+1,0),0)</f>
        <v/>
      </c>
      <c r="J1691" s="141">
        <f>IFERROR(VLOOKUP($B1691,calc_data,J$14+1,0),0)</f>
        <v/>
      </c>
      <c r="K1691" s="141">
        <f>IFERROR(VLOOKUP($B1691,calc_data,K$14+1,0),0)</f>
        <v/>
      </c>
      <c r="L1691" s="141">
        <f>IFERROR(VLOOKUP($B1691,calc_data,L$14+1,0),0)</f>
        <v/>
      </c>
      <c r="M1691" s="177">
        <f>IFERROR(VLOOKUP($B1691,calc_data,M$14+1,0),0)</f>
        <v/>
      </c>
      <c r="N1691" s="177">
        <f>IFERROR(VLOOKUP($B1691,calc_data,N$14+1,0),0)</f>
        <v/>
      </c>
      <c r="O1691" s="45" t="n"/>
      <c r="Q1691" s="57">
        <f>IF(K1691&gt;0,"показать","скрыть")</f>
        <v/>
      </c>
    </row>
    <row r="1692" ht="15.75" customHeight="1">
      <c r="B1692" s="182" t="n">
        <v>1676</v>
      </c>
      <c r="C1692" s="182">
        <f>IFERROR(VLOOKUP($B1692,calc_data,C$14+1,0),0)</f>
        <v/>
      </c>
      <c r="D1692" s="182">
        <f>IFERROR(VLOOKUP($B1692,calc_data,D$14+1,0),0)</f>
        <v/>
      </c>
      <c r="E1692" s="183">
        <f>IFERROR(VLOOKUP($B1692,calc_data,E$14+1,0),0)</f>
        <v/>
      </c>
      <c r="F1692" s="182">
        <f>IFERROR(VLOOKUP($B1692,calc_data,F$14+1,0),0)</f>
        <v/>
      </c>
      <c r="G1692" s="141">
        <f>IFERROR(VLOOKUP($B1692,calc_data,G$14+1,0),0)</f>
        <v/>
      </c>
      <c r="H1692" s="141">
        <f>IFERROR(VLOOKUP($B1692,calc_data,H$14+1,0),0)</f>
        <v/>
      </c>
      <c r="I1692" s="142">
        <f>IFERROR(VLOOKUP($B1692,calc_data,I$14+1,0),0)</f>
        <v/>
      </c>
      <c r="J1692" s="141">
        <f>IFERROR(VLOOKUP($B1692,calc_data,J$14+1,0),0)</f>
        <v/>
      </c>
      <c r="K1692" s="141">
        <f>IFERROR(VLOOKUP($B1692,calc_data,K$14+1,0),0)</f>
        <v/>
      </c>
      <c r="L1692" s="141">
        <f>IFERROR(VLOOKUP($B1692,calc_data,L$14+1,0),0)</f>
        <v/>
      </c>
      <c r="M1692" s="177">
        <f>IFERROR(VLOOKUP($B1692,calc_data,M$14+1,0),0)</f>
        <v/>
      </c>
      <c r="N1692" s="177">
        <f>IFERROR(VLOOKUP($B1692,calc_data,N$14+1,0),0)</f>
        <v/>
      </c>
      <c r="O1692" s="45" t="n"/>
      <c r="Q1692" s="57">
        <f>IF(K1692&gt;0,"показать","скрыть")</f>
        <v/>
      </c>
    </row>
    <row r="1693" ht="15.75" customHeight="1">
      <c r="B1693" s="182" t="n">
        <v>1677</v>
      </c>
      <c r="C1693" s="182">
        <f>IFERROR(VLOOKUP($B1693,calc_data,C$14+1,0),0)</f>
        <v/>
      </c>
      <c r="D1693" s="182">
        <f>IFERROR(VLOOKUP($B1693,calc_data,D$14+1,0),0)</f>
        <v/>
      </c>
      <c r="E1693" s="183">
        <f>IFERROR(VLOOKUP($B1693,calc_data,E$14+1,0),0)</f>
        <v/>
      </c>
      <c r="F1693" s="182">
        <f>IFERROR(VLOOKUP($B1693,calc_data,F$14+1,0),0)</f>
        <v/>
      </c>
      <c r="G1693" s="141">
        <f>IFERROR(VLOOKUP($B1693,calc_data,G$14+1,0),0)</f>
        <v/>
      </c>
      <c r="H1693" s="141">
        <f>IFERROR(VLOOKUP($B1693,calc_data,H$14+1,0),0)</f>
        <v/>
      </c>
      <c r="I1693" s="142">
        <f>IFERROR(VLOOKUP($B1693,calc_data,I$14+1,0),0)</f>
        <v/>
      </c>
      <c r="J1693" s="141">
        <f>IFERROR(VLOOKUP($B1693,calc_data,J$14+1,0),0)</f>
        <v/>
      </c>
      <c r="K1693" s="141">
        <f>IFERROR(VLOOKUP($B1693,calc_data,K$14+1,0),0)</f>
        <v/>
      </c>
      <c r="L1693" s="141">
        <f>IFERROR(VLOOKUP($B1693,calc_data,L$14+1,0),0)</f>
        <v/>
      </c>
      <c r="M1693" s="177">
        <f>IFERROR(VLOOKUP($B1693,calc_data,M$14+1,0),0)</f>
        <v/>
      </c>
      <c r="N1693" s="177">
        <f>IFERROR(VLOOKUP($B1693,calc_data,N$14+1,0),0)</f>
        <v/>
      </c>
      <c r="O1693" s="45" t="n"/>
      <c r="Q1693" s="57">
        <f>IF(K1693&gt;0,"показать","скрыть")</f>
        <v/>
      </c>
    </row>
    <row r="1694" ht="15.75" customHeight="1">
      <c r="B1694" s="182" t="n">
        <v>1678</v>
      </c>
      <c r="C1694" s="182">
        <f>IFERROR(VLOOKUP($B1694,calc_data,C$14+1,0),0)</f>
        <v/>
      </c>
      <c r="D1694" s="182">
        <f>IFERROR(VLOOKUP($B1694,calc_data,D$14+1,0),0)</f>
        <v/>
      </c>
      <c r="E1694" s="183">
        <f>IFERROR(VLOOKUP($B1694,calc_data,E$14+1,0),0)</f>
        <v/>
      </c>
      <c r="F1694" s="182">
        <f>IFERROR(VLOOKUP($B1694,calc_data,F$14+1,0),0)</f>
        <v/>
      </c>
      <c r="G1694" s="141">
        <f>IFERROR(VLOOKUP($B1694,calc_data,G$14+1,0),0)</f>
        <v/>
      </c>
      <c r="H1694" s="141">
        <f>IFERROR(VLOOKUP($B1694,calc_data,H$14+1,0),0)</f>
        <v/>
      </c>
      <c r="I1694" s="142">
        <f>IFERROR(VLOOKUP($B1694,calc_data,I$14+1,0),0)</f>
        <v/>
      </c>
      <c r="J1694" s="141">
        <f>IFERROR(VLOOKUP($B1694,calc_data,J$14+1,0),0)</f>
        <v/>
      </c>
      <c r="K1694" s="141">
        <f>IFERROR(VLOOKUP($B1694,calc_data,K$14+1,0),0)</f>
        <v/>
      </c>
      <c r="L1694" s="141">
        <f>IFERROR(VLOOKUP($B1694,calc_data,L$14+1,0),0)</f>
        <v/>
      </c>
      <c r="M1694" s="177">
        <f>IFERROR(VLOOKUP($B1694,calc_data,M$14+1,0),0)</f>
        <v/>
      </c>
      <c r="N1694" s="177">
        <f>IFERROR(VLOOKUP($B1694,calc_data,N$14+1,0),0)</f>
        <v/>
      </c>
      <c r="O1694" s="45" t="n"/>
      <c r="Q1694" s="57">
        <f>IF(K1694&gt;0,"показать","скрыть")</f>
        <v/>
      </c>
    </row>
    <row r="1695" ht="15.75" customHeight="1">
      <c r="B1695" s="182" t="n">
        <v>1679</v>
      </c>
      <c r="C1695" s="182">
        <f>IFERROR(VLOOKUP($B1695,calc_data,C$14+1,0),0)</f>
        <v/>
      </c>
      <c r="D1695" s="182">
        <f>IFERROR(VLOOKUP($B1695,calc_data,D$14+1,0),0)</f>
        <v/>
      </c>
      <c r="E1695" s="183">
        <f>IFERROR(VLOOKUP($B1695,calc_data,E$14+1,0),0)</f>
        <v/>
      </c>
      <c r="F1695" s="182">
        <f>IFERROR(VLOOKUP($B1695,calc_data,F$14+1,0),0)</f>
        <v/>
      </c>
      <c r="G1695" s="141">
        <f>IFERROR(VLOOKUP($B1695,calc_data,G$14+1,0),0)</f>
        <v/>
      </c>
      <c r="H1695" s="141">
        <f>IFERROR(VLOOKUP($B1695,calc_data,H$14+1,0),0)</f>
        <v/>
      </c>
      <c r="I1695" s="142">
        <f>IFERROR(VLOOKUP($B1695,calc_data,I$14+1,0),0)</f>
        <v/>
      </c>
      <c r="J1695" s="141">
        <f>IFERROR(VLOOKUP($B1695,calc_data,J$14+1,0),0)</f>
        <v/>
      </c>
      <c r="K1695" s="141">
        <f>IFERROR(VLOOKUP($B1695,calc_data,K$14+1,0),0)</f>
        <v/>
      </c>
      <c r="L1695" s="141">
        <f>IFERROR(VLOOKUP($B1695,calc_data,L$14+1,0),0)</f>
        <v/>
      </c>
      <c r="M1695" s="177">
        <f>IFERROR(VLOOKUP($B1695,calc_data,M$14+1,0),0)</f>
        <v/>
      </c>
      <c r="N1695" s="177">
        <f>IFERROR(VLOOKUP($B1695,calc_data,N$14+1,0),0)</f>
        <v/>
      </c>
      <c r="O1695" s="45" t="n"/>
      <c r="Q1695" s="57">
        <f>IF(K1695&gt;0,"показать","скрыть")</f>
        <v/>
      </c>
    </row>
    <row r="1696" ht="15.75" customHeight="1">
      <c r="B1696" s="182" t="n">
        <v>1680</v>
      </c>
      <c r="C1696" s="182">
        <f>IFERROR(VLOOKUP($B1696,calc_data,C$14+1,0),0)</f>
        <v/>
      </c>
      <c r="D1696" s="182">
        <f>IFERROR(VLOOKUP($B1696,calc_data,D$14+1,0),0)</f>
        <v/>
      </c>
      <c r="E1696" s="183">
        <f>IFERROR(VLOOKUP($B1696,calc_data,E$14+1,0),0)</f>
        <v/>
      </c>
      <c r="F1696" s="182">
        <f>IFERROR(VLOOKUP($B1696,calc_data,F$14+1,0),0)</f>
        <v/>
      </c>
      <c r="G1696" s="141">
        <f>IFERROR(VLOOKUP($B1696,calc_data,G$14+1,0),0)</f>
        <v/>
      </c>
      <c r="H1696" s="141">
        <f>IFERROR(VLOOKUP($B1696,calc_data,H$14+1,0),0)</f>
        <v/>
      </c>
      <c r="I1696" s="142">
        <f>IFERROR(VLOOKUP($B1696,calc_data,I$14+1,0),0)</f>
        <v/>
      </c>
      <c r="J1696" s="141">
        <f>IFERROR(VLOOKUP($B1696,calc_data,J$14+1,0),0)</f>
        <v/>
      </c>
      <c r="K1696" s="141">
        <f>IFERROR(VLOOKUP($B1696,calc_data,K$14+1,0),0)</f>
        <v/>
      </c>
      <c r="L1696" s="141">
        <f>IFERROR(VLOOKUP($B1696,calc_data,L$14+1,0),0)</f>
        <v/>
      </c>
      <c r="M1696" s="177">
        <f>IFERROR(VLOOKUP($B1696,calc_data,M$14+1,0),0)</f>
        <v/>
      </c>
      <c r="N1696" s="177">
        <f>IFERROR(VLOOKUP($B1696,calc_data,N$14+1,0),0)</f>
        <v/>
      </c>
      <c r="O1696" s="45" t="n"/>
      <c r="Q1696" s="57">
        <f>IF(K1696&gt;0,"показать","скрыть")</f>
        <v/>
      </c>
    </row>
    <row r="1697" ht="15.75" customHeight="1">
      <c r="B1697" s="182" t="n">
        <v>1681</v>
      </c>
      <c r="C1697" s="182">
        <f>IFERROR(VLOOKUP($B1697,calc_data,C$14+1,0),0)</f>
        <v/>
      </c>
      <c r="D1697" s="182">
        <f>IFERROR(VLOOKUP($B1697,calc_data,D$14+1,0),0)</f>
        <v/>
      </c>
      <c r="E1697" s="183">
        <f>IFERROR(VLOOKUP($B1697,calc_data,E$14+1,0),0)</f>
        <v/>
      </c>
      <c r="F1697" s="182">
        <f>IFERROR(VLOOKUP($B1697,calc_data,F$14+1,0),0)</f>
        <v/>
      </c>
      <c r="G1697" s="141">
        <f>IFERROR(VLOOKUP($B1697,calc_data,G$14+1,0),0)</f>
        <v/>
      </c>
      <c r="H1697" s="141">
        <f>IFERROR(VLOOKUP($B1697,calc_data,H$14+1,0),0)</f>
        <v/>
      </c>
      <c r="I1697" s="142">
        <f>IFERROR(VLOOKUP($B1697,calc_data,I$14+1,0),0)</f>
        <v/>
      </c>
      <c r="J1697" s="141">
        <f>IFERROR(VLOOKUP($B1697,calc_data,J$14+1,0),0)</f>
        <v/>
      </c>
      <c r="K1697" s="141">
        <f>IFERROR(VLOOKUP($B1697,calc_data,K$14+1,0),0)</f>
        <v/>
      </c>
      <c r="L1697" s="141">
        <f>IFERROR(VLOOKUP($B1697,calc_data,L$14+1,0),0)</f>
        <v/>
      </c>
      <c r="M1697" s="177">
        <f>IFERROR(VLOOKUP($B1697,calc_data,M$14+1,0),0)</f>
        <v/>
      </c>
      <c r="N1697" s="177">
        <f>IFERROR(VLOOKUP($B1697,calc_data,N$14+1,0),0)</f>
        <v/>
      </c>
      <c r="O1697" s="45" t="n"/>
      <c r="Q1697" s="57">
        <f>IF(K1697&gt;0,"показать","скрыть")</f>
        <v/>
      </c>
    </row>
    <row r="1698" ht="15.75" customHeight="1">
      <c r="B1698" s="182" t="n">
        <v>1682</v>
      </c>
      <c r="C1698" s="182">
        <f>IFERROR(VLOOKUP($B1698,calc_data,C$14+1,0),0)</f>
        <v/>
      </c>
      <c r="D1698" s="182">
        <f>IFERROR(VLOOKUP($B1698,calc_data,D$14+1,0),0)</f>
        <v/>
      </c>
      <c r="E1698" s="183">
        <f>IFERROR(VLOOKUP($B1698,calc_data,E$14+1,0),0)</f>
        <v/>
      </c>
      <c r="F1698" s="182">
        <f>IFERROR(VLOOKUP($B1698,calc_data,F$14+1,0),0)</f>
        <v/>
      </c>
      <c r="G1698" s="141">
        <f>IFERROR(VLOOKUP($B1698,calc_data,G$14+1,0),0)</f>
        <v/>
      </c>
      <c r="H1698" s="141">
        <f>IFERROR(VLOOKUP($B1698,calc_data,H$14+1,0),0)</f>
        <v/>
      </c>
      <c r="I1698" s="142">
        <f>IFERROR(VLOOKUP($B1698,calc_data,I$14+1,0),0)</f>
        <v/>
      </c>
      <c r="J1698" s="141">
        <f>IFERROR(VLOOKUP($B1698,calc_data,J$14+1,0),0)</f>
        <v/>
      </c>
      <c r="K1698" s="141">
        <f>IFERROR(VLOOKUP($B1698,calc_data,K$14+1,0),0)</f>
        <v/>
      </c>
      <c r="L1698" s="141">
        <f>IFERROR(VLOOKUP($B1698,calc_data,L$14+1,0),0)</f>
        <v/>
      </c>
      <c r="M1698" s="177">
        <f>IFERROR(VLOOKUP($B1698,calc_data,M$14+1,0),0)</f>
        <v/>
      </c>
      <c r="N1698" s="177">
        <f>IFERROR(VLOOKUP($B1698,calc_data,N$14+1,0),0)</f>
        <v/>
      </c>
      <c r="O1698" s="45" t="n"/>
      <c r="Q1698" s="57">
        <f>IF(K1698&gt;0,"показать","скрыть")</f>
        <v/>
      </c>
    </row>
    <row r="1699" ht="15.75" customHeight="1">
      <c r="B1699" s="182" t="n">
        <v>1683</v>
      </c>
      <c r="C1699" s="182">
        <f>IFERROR(VLOOKUP($B1699,calc_data,C$14+1,0),0)</f>
        <v/>
      </c>
      <c r="D1699" s="182">
        <f>IFERROR(VLOOKUP($B1699,calc_data,D$14+1,0),0)</f>
        <v/>
      </c>
      <c r="E1699" s="183">
        <f>IFERROR(VLOOKUP($B1699,calc_data,E$14+1,0),0)</f>
        <v/>
      </c>
      <c r="F1699" s="182">
        <f>IFERROR(VLOOKUP($B1699,calc_data,F$14+1,0),0)</f>
        <v/>
      </c>
      <c r="G1699" s="141">
        <f>IFERROR(VLOOKUP($B1699,calc_data,G$14+1,0),0)</f>
        <v/>
      </c>
      <c r="H1699" s="141">
        <f>IFERROR(VLOOKUP($B1699,calc_data,H$14+1,0),0)</f>
        <v/>
      </c>
      <c r="I1699" s="142">
        <f>IFERROR(VLOOKUP($B1699,calc_data,I$14+1,0),0)</f>
        <v/>
      </c>
      <c r="J1699" s="141">
        <f>IFERROR(VLOOKUP($B1699,calc_data,J$14+1,0),0)</f>
        <v/>
      </c>
      <c r="K1699" s="141">
        <f>IFERROR(VLOOKUP($B1699,calc_data,K$14+1,0),0)</f>
        <v/>
      </c>
      <c r="L1699" s="141">
        <f>IFERROR(VLOOKUP($B1699,calc_data,L$14+1,0),0)</f>
        <v/>
      </c>
      <c r="M1699" s="177">
        <f>IFERROR(VLOOKUP($B1699,calc_data,M$14+1,0),0)</f>
        <v/>
      </c>
      <c r="N1699" s="177">
        <f>IFERROR(VLOOKUP($B1699,calc_data,N$14+1,0),0)</f>
        <v/>
      </c>
      <c r="O1699" s="45" t="n"/>
      <c r="Q1699" s="57">
        <f>IF(K1699&gt;0,"показать","скрыть")</f>
        <v/>
      </c>
    </row>
    <row r="1700" ht="15.75" customHeight="1">
      <c r="B1700" s="182" t="n">
        <v>1684</v>
      </c>
      <c r="C1700" s="182">
        <f>IFERROR(VLOOKUP($B1700,calc_data,C$14+1,0),0)</f>
        <v/>
      </c>
      <c r="D1700" s="182">
        <f>IFERROR(VLOOKUP($B1700,calc_data,D$14+1,0),0)</f>
        <v/>
      </c>
      <c r="E1700" s="183">
        <f>IFERROR(VLOOKUP($B1700,calc_data,E$14+1,0),0)</f>
        <v/>
      </c>
      <c r="F1700" s="182">
        <f>IFERROR(VLOOKUP($B1700,calc_data,F$14+1,0),0)</f>
        <v/>
      </c>
      <c r="G1700" s="141">
        <f>IFERROR(VLOOKUP($B1700,calc_data,G$14+1,0),0)</f>
        <v/>
      </c>
      <c r="H1700" s="141">
        <f>IFERROR(VLOOKUP($B1700,calc_data,H$14+1,0),0)</f>
        <v/>
      </c>
      <c r="I1700" s="142">
        <f>IFERROR(VLOOKUP($B1700,calc_data,I$14+1,0),0)</f>
        <v/>
      </c>
      <c r="J1700" s="141">
        <f>IFERROR(VLOOKUP($B1700,calc_data,J$14+1,0),0)</f>
        <v/>
      </c>
      <c r="K1700" s="141">
        <f>IFERROR(VLOOKUP($B1700,calc_data,K$14+1,0),0)</f>
        <v/>
      </c>
      <c r="L1700" s="141">
        <f>IFERROR(VLOOKUP($B1700,calc_data,L$14+1,0),0)</f>
        <v/>
      </c>
      <c r="M1700" s="177">
        <f>IFERROR(VLOOKUP($B1700,calc_data,M$14+1,0),0)</f>
        <v/>
      </c>
      <c r="N1700" s="177">
        <f>IFERROR(VLOOKUP($B1700,calc_data,N$14+1,0),0)</f>
        <v/>
      </c>
      <c r="O1700" s="45" t="n"/>
      <c r="Q1700" s="57">
        <f>IF(K1700&gt;0,"показать","скрыть")</f>
        <v/>
      </c>
    </row>
    <row r="1701" ht="15.75" customHeight="1">
      <c r="B1701" s="182" t="n">
        <v>1685</v>
      </c>
      <c r="C1701" s="182">
        <f>IFERROR(VLOOKUP($B1701,calc_data,C$14+1,0),0)</f>
        <v/>
      </c>
      <c r="D1701" s="182">
        <f>IFERROR(VLOOKUP($B1701,calc_data,D$14+1,0),0)</f>
        <v/>
      </c>
      <c r="E1701" s="183">
        <f>IFERROR(VLOOKUP($B1701,calc_data,E$14+1,0),0)</f>
        <v/>
      </c>
      <c r="F1701" s="182">
        <f>IFERROR(VLOOKUP($B1701,calc_data,F$14+1,0),0)</f>
        <v/>
      </c>
      <c r="G1701" s="141">
        <f>IFERROR(VLOOKUP($B1701,calc_data,G$14+1,0),0)</f>
        <v/>
      </c>
      <c r="H1701" s="141">
        <f>IFERROR(VLOOKUP($B1701,calc_data,H$14+1,0),0)</f>
        <v/>
      </c>
      <c r="I1701" s="142">
        <f>IFERROR(VLOOKUP($B1701,calc_data,I$14+1,0),0)</f>
        <v/>
      </c>
      <c r="J1701" s="141">
        <f>IFERROR(VLOOKUP($B1701,calc_data,J$14+1,0),0)</f>
        <v/>
      </c>
      <c r="K1701" s="141">
        <f>IFERROR(VLOOKUP($B1701,calc_data,K$14+1,0),0)</f>
        <v/>
      </c>
      <c r="L1701" s="141">
        <f>IFERROR(VLOOKUP($B1701,calc_data,L$14+1,0),0)</f>
        <v/>
      </c>
      <c r="M1701" s="177">
        <f>IFERROR(VLOOKUP($B1701,calc_data,M$14+1,0),0)</f>
        <v/>
      </c>
      <c r="N1701" s="177">
        <f>IFERROR(VLOOKUP($B1701,calc_data,N$14+1,0),0)</f>
        <v/>
      </c>
      <c r="O1701" s="45" t="n"/>
      <c r="Q1701" s="57">
        <f>IF(K1701&gt;0,"показать","скрыть")</f>
        <v/>
      </c>
    </row>
    <row r="1702" ht="15.75" customHeight="1">
      <c r="B1702" s="182" t="n">
        <v>1686</v>
      </c>
      <c r="C1702" s="182">
        <f>IFERROR(VLOOKUP($B1702,calc_data,C$14+1,0),0)</f>
        <v/>
      </c>
      <c r="D1702" s="182">
        <f>IFERROR(VLOOKUP($B1702,calc_data,D$14+1,0),0)</f>
        <v/>
      </c>
      <c r="E1702" s="183">
        <f>IFERROR(VLOOKUP($B1702,calc_data,E$14+1,0),0)</f>
        <v/>
      </c>
      <c r="F1702" s="182">
        <f>IFERROR(VLOOKUP($B1702,calc_data,F$14+1,0),0)</f>
        <v/>
      </c>
      <c r="G1702" s="141">
        <f>IFERROR(VLOOKUP($B1702,calc_data,G$14+1,0),0)</f>
        <v/>
      </c>
      <c r="H1702" s="141">
        <f>IFERROR(VLOOKUP($B1702,calc_data,H$14+1,0),0)</f>
        <v/>
      </c>
      <c r="I1702" s="142">
        <f>IFERROR(VLOOKUP($B1702,calc_data,I$14+1,0),0)</f>
        <v/>
      </c>
      <c r="J1702" s="141">
        <f>IFERROR(VLOOKUP($B1702,calc_data,J$14+1,0),0)</f>
        <v/>
      </c>
      <c r="K1702" s="141">
        <f>IFERROR(VLOOKUP($B1702,calc_data,K$14+1,0),0)</f>
        <v/>
      </c>
      <c r="L1702" s="141">
        <f>IFERROR(VLOOKUP($B1702,calc_data,L$14+1,0),0)</f>
        <v/>
      </c>
      <c r="M1702" s="177">
        <f>IFERROR(VLOOKUP($B1702,calc_data,M$14+1,0),0)</f>
        <v/>
      </c>
      <c r="N1702" s="177">
        <f>IFERROR(VLOOKUP($B1702,calc_data,N$14+1,0),0)</f>
        <v/>
      </c>
      <c r="O1702" s="45" t="n"/>
      <c r="Q1702" s="57">
        <f>IF(K1702&gt;0,"показать","скрыть")</f>
        <v/>
      </c>
    </row>
    <row r="1703" ht="15.75" customHeight="1">
      <c r="B1703" s="182" t="n">
        <v>1687</v>
      </c>
      <c r="C1703" s="182">
        <f>IFERROR(VLOOKUP($B1703,calc_data,C$14+1,0),0)</f>
        <v/>
      </c>
      <c r="D1703" s="182">
        <f>IFERROR(VLOOKUP($B1703,calc_data,D$14+1,0),0)</f>
        <v/>
      </c>
      <c r="E1703" s="183">
        <f>IFERROR(VLOOKUP($B1703,calc_data,E$14+1,0),0)</f>
        <v/>
      </c>
      <c r="F1703" s="182">
        <f>IFERROR(VLOOKUP($B1703,calc_data,F$14+1,0),0)</f>
        <v/>
      </c>
      <c r="G1703" s="141">
        <f>IFERROR(VLOOKUP($B1703,calc_data,G$14+1,0),0)</f>
        <v/>
      </c>
      <c r="H1703" s="141">
        <f>IFERROR(VLOOKUP($B1703,calc_data,H$14+1,0),0)</f>
        <v/>
      </c>
      <c r="I1703" s="142">
        <f>IFERROR(VLOOKUP($B1703,calc_data,I$14+1,0),0)</f>
        <v/>
      </c>
      <c r="J1703" s="141">
        <f>IFERROR(VLOOKUP($B1703,calc_data,J$14+1,0),0)</f>
        <v/>
      </c>
      <c r="K1703" s="141">
        <f>IFERROR(VLOOKUP($B1703,calc_data,K$14+1,0),0)</f>
        <v/>
      </c>
      <c r="L1703" s="141">
        <f>IFERROR(VLOOKUP($B1703,calc_data,L$14+1,0),0)</f>
        <v/>
      </c>
      <c r="M1703" s="177">
        <f>IFERROR(VLOOKUP($B1703,calc_data,M$14+1,0),0)</f>
        <v/>
      </c>
      <c r="N1703" s="177">
        <f>IFERROR(VLOOKUP($B1703,calc_data,N$14+1,0),0)</f>
        <v/>
      </c>
      <c r="O1703" s="45" t="n"/>
      <c r="Q1703" s="57">
        <f>IF(K1703&gt;0,"показать","скрыть")</f>
        <v/>
      </c>
    </row>
    <row r="1704" ht="15.75" customHeight="1">
      <c r="B1704" s="182" t="n">
        <v>1688</v>
      </c>
      <c r="C1704" s="182">
        <f>IFERROR(VLOOKUP($B1704,calc_data,C$14+1,0),0)</f>
        <v/>
      </c>
      <c r="D1704" s="182">
        <f>IFERROR(VLOOKUP($B1704,calc_data,D$14+1,0),0)</f>
        <v/>
      </c>
      <c r="E1704" s="183">
        <f>IFERROR(VLOOKUP($B1704,calc_data,E$14+1,0),0)</f>
        <v/>
      </c>
      <c r="F1704" s="182">
        <f>IFERROR(VLOOKUP($B1704,calc_data,F$14+1,0),0)</f>
        <v/>
      </c>
      <c r="G1704" s="141">
        <f>IFERROR(VLOOKUP($B1704,calc_data,G$14+1,0),0)</f>
        <v/>
      </c>
      <c r="H1704" s="141">
        <f>IFERROR(VLOOKUP($B1704,calc_data,H$14+1,0),0)</f>
        <v/>
      </c>
      <c r="I1704" s="142">
        <f>IFERROR(VLOOKUP($B1704,calc_data,I$14+1,0),0)</f>
        <v/>
      </c>
      <c r="J1704" s="141">
        <f>IFERROR(VLOOKUP($B1704,calc_data,J$14+1,0),0)</f>
        <v/>
      </c>
      <c r="K1704" s="141">
        <f>IFERROR(VLOOKUP($B1704,calc_data,K$14+1,0),0)</f>
        <v/>
      </c>
      <c r="L1704" s="141">
        <f>IFERROR(VLOOKUP($B1704,calc_data,L$14+1,0),0)</f>
        <v/>
      </c>
      <c r="M1704" s="177">
        <f>IFERROR(VLOOKUP($B1704,calc_data,M$14+1,0),0)</f>
        <v/>
      </c>
      <c r="N1704" s="177">
        <f>IFERROR(VLOOKUP($B1704,calc_data,N$14+1,0),0)</f>
        <v/>
      </c>
      <c r="O1704" s="45" t="n"/>
      <c r="Q1704" s="57">
        <f>IF(K1704&gt;0,"показать","скрыть")</f>
        <v/>
      </c>
    </row>
    <row r="1705" ht="15.75" customHeight="1">
      <c r="B1705" s="182" t="n">
        <v>1689</v>
      </c>
      <c r="C1705" s="182">
        <f>IFERROR(VLOOKUP($B1705,calc_data,C$14+1,0),0)</f>
        <v/>
      </c>
      <c r="D1705" s="182">
        <f>IFERROR(VLOOKUP($B1705,calc_data,D$14+1,0),0)</f>
        <v/>
      </c>
      <c r="E1705" s="183">
        <f>IFERROR(VLOOKUP($B1705,calc_data,E$14+1,0),0)</f>
        <v/>
      </c>
      <c r="F1705" s="182">
        <f>IFERROR(VLOOKUP($B1705,calc_data,F$14+1,0),0)</f>
        <v/>
      </c>
      <c r="G1705" s="141">
        <f>IFERROR(VLOOKUP($B1705,calc_data,G$14+1,0),0)</f>
        <v/>
      </c>
      <c r="H1705" s="141">
        <f>IFERROR(VLOOKUP($B1705,calc_data,H$14+1,0),0)</f>
        <v/>
      </c>
      <c r="I1705" s="142">
        <f>IFERROR(VLOOKUP($B1705,calc_data,I$14+1,0),0)</f>
        <v/>
      </c>
      <c r="J1705" s="141">
        <f>IFERROR(VLOOKUP($B1705,calc_data,J$14+1,0),0)</f>
        <v/>
      </c>
      <c r="K1705" s="141">
        <f>IFERROR(VLOOKUP($B1705,calc_data,K$14+1,0),0)</f>
        <v/>
      </c>
      <c r="L1705" s="141">
        <f>IFERROR(VLOOKUP($B1705,calc_data,L$14+1,0),0)</f>
        <v/>
      </c>
      <c r="M1705" s="177">
        <f>IFERROR(VLOOKUP($B1705,calc_data,M$14+1,0),0)</f>
        <v/>
      </c>
      <c r="N1705" s="177">
        <f>IFERROR(VLOOKUP($B1705,calc_data,N$14+1,0),0)</f>
        <v/>
      </c>
      <c r="O1705" s="45" t="n"/>
      <c r="Q1705" s="57">
        <f>IF(K1705&gt;0,"показать","скрыть")</f>
        <v/>
      </c>
    </row>
    <row r="1706" ht="15.75" customHeight="1">
      <c r="B1706" s="182" t="n">
        <v>1690</v>
      </c>
      <c r="C1706" s="182">
        <f>IFERROR(VLOOKUP($B1706,calc_data,C$14+1,0),0)</f>
        <v/>
      </c>
      <c r="D1706" s="182">
        <f>IFERROR(VLOOKUP($B1706,calc_data,D$14+1,0),0)</f>
        <v/>
      </c>
      <c r="E1706" s="183">
        <f>IFERROR(VLOOKUP($B1706,calc_data,E$14+1,0),0)</f>
        <v/>
      </c>
      <c r="F1706" s="182">
        <f>IFERROR(VLOOKUP($B1706,calc_data,F$14+1,0),0)</f>
        <v/>
      </c>
      <c r="G1706" s="141">
        <f>IFERROR(VLOOKUP($B1706,calc_data,G$14+1,0),0)</f>
        <v/>
      </c>
      <c r="H1706" s="141">
        <f>IFERROR(VLOOKUP($B1706,calc_data,H$14+1,0),0)</f>
        <v/>
      </c>
      <c r="I1706" s="142">
        <f>IFERROR(VLOOKUP($B1706,calc_data,I$14+1,0),0)</f>
        <v/>
      </c>
      <c r="J1706" s="141">
        <f>IFERROR(VLOOKUP($B1706,calc_data,J$14+1,0),0)</f>
        <v/>
      </c>
      <c r="K1706" s="141">
        <f>IFERROR(VLOOKUP($B1706,calc_data,K$14+1,0),0)</f>
        <v/>
      </c>
      <c r="L1706" s="141">
        <f>IFERROR(VLOOKUP($B1706,calc_data,L$14+1,0),0)</f>
        <v/>
      </c>
      <c r="M1706" s="177">
        <f>IFERROR(VLOOKUP($B1706,calc_data,M$14+1,0),0)</f>
        <v/>
      </c>
      <c r="N1706" s="177">
        <f>IFERROR(VLOOKUP($B1706,calc_data,N$14+1,0),0)</f>
        <v/>
      </c>
      <c r="O1706" s="45" t="n"/>
      <c r="Q1706" s="57">
        <f>IF(K1706&gt;0,"показать","скрыть")</f>
        <v/>
      </c>
    </row>
    <row r="1707" ht="15.75" customHeight="1">
      <c r="B1707" s="182" t="n">
        <v>1691</v>
      </c>
      <c r="C1707" s="182">
        <f>IFERROR(VLOOKUP($B1707,calc_data,C$14+1,0),0)</f>
        <v/>
      </c>
      <c r="D1707" s="182">
        <f>IFERROR(VLOOKUP($B1707,calc_data,D$14+1,0),0)</f>
        <v/>
      </c>
      <c r="E1707" s="183">
        <f>IFERROR(VLOOKUP($B1707,calc_data,E$14+1,0),0)</f>
        <v/>
      </c>
      <c r="F1707" s="182">
        <f>IFERROR(VLOOKUP($B1707,calc_data,F$14+1,0),0)</f>
        <v/>
      </c>
      <c r="G1707" s="141">
        <f>IFERROR(VLOOKUP($B1707,calc_data,G$14+1,0),0)</f>
        <v/>
      </c>
      <c r="H1707" s="141">
        <f>IFERROR(VLOOKUP($B1707,calc_data,H$14+1,0),0)</f>
        <v/>
      </c>
      <c r="I1707" s="142">
        <f>IFERROR(VLOOKUP($B1707,calc_data,I$14+1,0),0)</f>
        <v/>
      </c>
      <c r="J1707" s="141">
        <f>IFERROR(VLOOKUP($B1707,calc_data,J$14+1,0),0)</f>
        <v/>
      </c>
      <c r="K1707" s="141">
        <f>IFERROR(VLOOKUP($B1707,calc_data,K$14+1,0),0)</f>
        <v/>
      </c>
      <c r="L1707" s="141">
        <f>IFERROR(VLOOKUP($B1707,calc_data,L$14+1,0),0)</f>
        <v/>
      </c>
      <c r="M1707" s="177">
        <f>IFERROR(VLOOKUP($B1707,calc_data,M$14+1,0),0)</f>
        <v/>
      </c>
      <c r="N1707" s="177">
        <f>IFERROR(VLOOKUP($B1707,calc_data,N$14+1,0),0)</f>
        <v/>
      </c>
      <c r="O1707" s="45" t="n"/>
      <c r="Q1707" s="57">
        <f>IF(K1707&gt;0,"показать","скрыть")</f>
        <v/>
      </c>
    </row>
    <row r="1708" ht="15.75" customHeight="1">
      <c r="B1708" s="182" t="n">
        <v>1692</v>
      </c>
      <c r="C1708" s="182">
        <f>IFERROR(VLOOKUP($B1708,calc_data,C$14+1,0),0)</f>
        <v/>
      </c>
      <c r="D1708" s="182">
        <f>IFERROR(VLOOKUP($B1708,calc_data,D$14+1,0),0)</f>
        <v/>
      </c>
      <c r="E1708" s="183">
        <f>IFERROR(VLOOKUP($B1708,calc_data,E$14+1,0),0)</f>
        <v/>
      </c>
      <c r="F1708" s="182">
        <f>IFERROR(VLOOKUP($B1708,calc_data,F$14+1,0),0)</f>
        <v/>
      </c>
      <c r="G1708" s="141">
        <f>IFERROR(VLOOKUP($B1708,calc_data,G$14+1,0),0)</f>
        <v/>
      </c>
      <c r="H1708" s="141">
        <f>IFERROR(VLOOKUP($B1708,calc_data,H$14+1,0),0)</f>
        <v/>
      </c>
      <c r="I1708" s="142">
        <f>IFERROR(VLOOKUP($B1708,calc_data,I$14+1,0),0)</f>
        <v/>
      </c>
      <c r="J1708" s="141">
        <f>IFERROR(VLOOKUP($B1708,calc_data,J$14+1,0),0)</f>
        <v/>
      </c>
      <c r="K1708" s="141">
        <f>IFERROR(VLOOKUP($B1708,calc_data,K$14+1,0),0)</f>
        <v/>
      </c>
      <c r="L1708" s="141">
        <f>IFERROR(VLOOKUP($B1708,calc_data,L$14+1,0),0)</f>
        <v/>
      </c>
      <c r="M1708" s="177">
        <f>IFERROR(VLOOKUP($B1708,calc_data,M$14+1,0),0)</f>
        <v/>
      </c>
      <c r="N1708" s="177">
        <f>IFERROR(VLOOKUP($B1708,calc_data,N$14+1,0),0)</f>
        <v/>
      </c>
      <c r="O1708" s="45" t="n"/>
      <c r="Q1708" s="57">
        <f>IF(K1708&gt;0,"показать","скрыть")</f>
        <v/>
      </c>
    </row>
    <row r="1709" ht="15.75" customHeight="1">
      <c r="B1709" s="182" t="n">
        <v>1693</v>
      </c>
      <c r="C1709" s="182">
        <f>IFERROR(VLOOKUP($B1709,calc_data,C$14+1,0),0)</f>
        <v/>
      </c>
      <c r="D1709" s="182">
        <f>IFERROR(VLOOKUP($B1709,calc_data,D$14+1,0),0)</f>
        <v/>
      </c>
      <c r="E1709" s="183">
        <f>IFERROR(VLOOKUP($B1709,calc_data,E$14+1,0),0)</f>
        <v/>
      </c>
      <c r="F1709" s="182">
        <f>IFERROR(VLOOKUP($B1709,calc_data,F$14+1,0),0)</f>
        <v/>
      </c>
      <c r="G1709" s="141">
        <f>IFERROR(VLOOKUP($B1709,calc_data,G$14+1,0),0)</f>
        <v/>
      </c>
      <c r="H1709" s="141">
        <f>IFERROR(VLOOKUP($B1709,calc_data,H$14+1,0),0)</f>
        <v/>
      </c>
      <c r="I1709" s="142">
        <f>IFERROR(VLOOKUP($B1709,calc_data,I$14+1,0),0)</f>
        <v/>
      </c>
      <c r="J1709" s="141">
        <f>IFERROR(VLOOKUP($B1709,calc_data,J$14+1,0),0)</f>
        <v/>
      </c>
      <c r="K1709" s="141">
        <f>IFERROR(VLOOKUP($B1709,calc_data,K$14+1,0),0)</f>
        <v/>
      </c>
      <c r="L1709" s="141">
        <f>IFERROR(VLOOKUP($B1709,calc_data,L$14+1,0),0)</f>
        <v/>
      </c>
      <c r="M1709" s="177">
        <f>IFERROR(VLOOKUP($B1709,calc_data,M$14+1,0),0)</f>
        <v/>
      </c>
      <c r="N1709" s="177">
        <f>IFERROR(VLOOKUP($B1709,calc_data,N$14+1,0),0)</f>
        <v/>
      </c>
      <c r="O1709" s="45" t="n"/>
      <c r="Q1709" s="57">
        <f>IF(K1709&gt;0,"показать","скрыть")</f>
        <v/>
      </c>
    </row>
    <row r="1710" ht="15.75" customHeight="1">
      <c r="B1710" s="182" t="n">
        <v>1694</v>
      </c>
      <c r="C1710" s="182">
        <f>IFERROR(VLOOKUP($B1710,calc_data,C$14+1,0),0)</f>
        <v/>
      </c>
      <c r="D1710" s="182">
        <f>IFERROR(VLOOKUP($B1710,calc_data,D$14+1,0),0)</f>
        <v/>
      </c>
      <c r="E1710" s="183">
        <f>IFERROR(VLOOKUP($B1710,calc_data,E$14+1,0),0)</f>
        <v/>
      </c>
      <c r="F1710" s="182">
        <f>IFERROR(VLOOKUP($B1710,calc_data,F$14+1,0),0)</f>
        <v/>
      </c>
      <c r="G1710" s="141">
        <f>IFERROR(VLOOKUP($B1710,calc_data,G$14+1,0),0)</f>
        <v/>
      </c>
      <c r="H1710" s="141">
        <f>IFERROR(VLOOKUP($B1710,calc_data,H$14+1,0),0)</f>
        <v/>
      </c>
      <c r="I1710" s="142">
        <f>IFERROR(VLOOKUP($B1710,calc_data,I$14+1,0),0)</f>
        <v/>
      </c>
      <c r="J1710" s="141">
        <f>IFERROR(VLOOKUP($B1710,calc_data,J$14+1,0),0)</f>
        <v/>
      </c>
      <c r="K1710" s="141">
        <f>IFERROR(VLOOKUP($B1710,calc_data,K$14+1,0),0)</f>
        <v/>
      </c>
      <c r="L1710" s="141">
        <f>IFERROR(VLOOKUP($B1710,calc_data,L$14+1,0),0)</f>
        <v/>
      </c>
      <c r="M1710" s="177">
        <f>IFERROR(VLOOKUP($B1710,calc_data,M$14+1,0),0)</f>
        <v/>
      </c>
      <c r="N1710" s="177">
        <f>IFERROR(VLOOKUP($B1710,calc_data,N$14+1,0),0)</f>
        <v/>
      </c>
      <c r="O1710" s="45" t="n"/>
      <c r="Q1710" s="57">
        <f>IF(K1710&gt;0,"показать","скрыть")</f>
        <v/>
      </c>
    </row>
    <row r="1711" ht="15.75" customHeight="1">
      <c r="B1711" s="182" t="n">
        <v>1695</v>
      </c>
      <c r="C1711" s="182">
        <f>IFERROR(VLOOKUP($B1711,calc_data,C$14+1,0),0)</f>
        <v/>
      </c>
      <c r="D1711" s="182">
        <f>IFERROR(VLOOKUP($B1711,calc_data,D$14+1,0),0)</f>
        <v/>
      </c>
      <c r="E1711" s="183">
        <f>IFERROR(VLOOKUP($B1711,calc_data,E$14+1,0),0)</f>
        <v/>
      </c>
      <c r="F1711" s="182">
        <f>IFERROR(VLOOKUP($B1711,calc_data,F$14+1,0),0)</f>
        <v/>
      </c>
      <c r="G1711" s="141">
        <f>IFERROR(VLOOKUP($B1711,calc_data,G$14+1,0),0)</f>
        <v/>
      </c>
      <c r="H1711" s="141">
        <f>IFERROR(VLOOKUP($B1711,calc_data,H$14+1,0),0)</f>
        <v/>
      </c>
      <c r="I1711" s="142">
        <f>IFERROR(VLOOKUP($B1711,calc_data,I$14+1,0),0)</f>
        <v/>
      </c>
      <c r="J1711" s="141">
        <f>IFERROR(VLOOKUP($B1711,calc_data,J$14+1,0),0)</f>
        <v/>
      </c>
      <c r="K1711" s="141">
        <f>IFERROR(VLOOKUP($B1711,calc_data,K$14+1,0),0)</f>
        <v/>
      </c>
      <c r="L1711" s="141">
        <f>IFERROR(VLOOKUP($B1711,calc_data,L$14+1,0),0)</f>
        <v/>
      </c>
      <c r="M1711" s="177">
        <f>IFERROR(VLOOKUP($B1711,calc_data,M$14+1,0),0)</f>
        <v/>
      </c>
      <c r="N1711" s="177">
        <f>IFERROR(VLOOKUP($B1711,calc_data,N$14+1,0),0)</f>
        <v/>
      </c>
      <c r="O1711" s="45" t="n"/>
      <c r="Q1711" s="57">
        <f>IF(K1711&gt;0,"показать","скрыть")</f>
        <v/>
      </c>
    </row>
    <row r="1712" ht="15.75" customHeight="1">
      <c r="B1712" s="182" t="n">
        <v>1696</v>
      </c>
      <c r="C1712" s="182">
        <f>IFERROR(VLOOKUP($B1712,calc_data,C$14+1,0),0)</f>
        <v/>
      </c>
      <c r="D1712" s="182">
        <f>IFERROR(VLOOKUP($B1712,calc_data,D$14+1,0),0)</f>
        <v/>
      </c>
      <c r="E1712" s="183">
        <f>IFERROR(VLOOKUP($B1712,calc_data,E$14+1,0),0)</f>
        <v/>
      </c>
      <c r="F1712" s="182">
        <f>IFERROR(VLOOKUP($B1712,calc_data,F$14+1,0),0)</f>
        <v/>
      </c>
      <c r="G1712" s="141">
        <f>IFERROR(VLOOKUP($B1712,calc_data,G$14+1,0),0)</f>
        <v/>
      </c>
      <c r="H1712" s="141">
        <f>IFERROR(VLOOKUP($B1712,calc_data,H$14+1,0),0)</f>
        <v/>
      </c>
      <c r="I1712" s="142">
        <f>IFERROR(VLOOKUP($B1712,calc_data,I$14+1,0),0)</f>
        <v/>
      </c>
      <c r="J1712" s="141">
        <f>IFERROR(VLOOKUP($B1712,calc_data,J$14+1,0),0)</f>
        <v/>
      </c>
      <c r="K1712" s="141">
        <f>IFERROR(VLOOKUP($B1712,calc_data,K$14+1,0),0)</f>
        <v/>
      </c>
      <c r="L1712" s="141">
        <f>IFERROR(VLOOKUP($B1712,calc_data,L$14+1,0),0)</f>
        <v/>
      </c>
      <c r="M1712" s="177">
        <f>IFERROR(VLOOKUP($B1712,calc_data,M$14+1,0),0)</f>
        <v/>
      </c>
      <c r="N1712" s="177">
        <f>IFERROR(VLOOKUP($B1712,calc_data,N$14+1,0),0)</f>
        <v/>
      </c>
      <c r="O1712" s="45" t="n"/>
      <c r="Q1712" s="57">
        <f>IF(K1712&gt;0,"показать","скрыть")</f>
        <v/>
      </c>
    </row>
    <row r="1713" ht="15.75" customHeight="1">
      <c r="B1713" s="182" t="n">
        <v>1697</v>
      </c>
      <c r="C1713" s="182">
        <f>IFERROR(VLOOKUP($B1713,calc_data,C$14+1,0),0)</f>
        <v/>
      </c>
      <c r="D1713" s="182">
        <f>IFERROR(VLOOKUP($B1713,calc_data,D$14+1,0),0)</f>
        <v/>
      </c>
      <c r="E1713" s="183">
        <f>IFERROR(VLOOKUP($B1713,calc_data,E$14+1,0),0)</f>
        <v/>
      </c>
      <c r="F1713" s="182">
        <f>IFERROR(VLOOKUP($B1713,calc_data,F$14+1,0),0)</f>
        <v/>
      </c>
      <c r="G1713" s="141">
        <f>IFERROR(VLOOKUP($B1713,calc_data,G$14+1,0),0)</f>
        <v/>
      </c>
      <c r="H1713" s="141">
        <f>IFERROR(VLOOKUP($B1713,calc_data,H$14+1,0),0)</f>
        <v/>
      </c>
      <c r="I1713" s="142">
        <f>IFERROR(VLOOKUP($B1713,calc_data,I$14+1,0),0)</f>
        <v/>
      </c>
      <c r="J1713" s="141">
        <f>IFERROR(VLOOKUP($B1713,calc_data,J$14+1,0),0)</f>
        <v/>
      </c>
      <c r="K1713" s="141">
        <f>IFERROR(VLOOKUP($B1713,calc_data,K$14+1,0),0)</f>
        <v/>
      </c>
      <c r="L1713" s="141">
        <f>IFERROR(VLOOKUP($B1713,calc_data,L$14+1,0),0)</f>
        <v/>
      </c>
      <c r="M1713" s="177">
        <f>IFERROR(VLOOKUP($B1713,calc_data,M$14+1,0),0)</f>
        <v/>
      </c>
      <c r="N1713" s="177">
        <f>IFERROR(VLOOKUP($B1713,calc_data,N$14+1,0),0)</f>
        <v/>
      </c>
      <c r="O1713" s="45" t="n"/>
      <c r="Q1713" s="57">
        <f>IF(K1713&gt;0,"показать","скрыть")</f>
        <v/>
      </c>
    </row>
    <row r="1714" ht="15.75" customHeight="1">
      <c r="B1714" s="182" t="n">
        <v>1698</v>
      </c>
      <c r="C1714" s="182">
        <f>IFERROR(VLOOKUP($B1714,calc_data,C$14+1,0),0)</f>
        <v/>
      </c>
      <c r="D1714" s="182">
        <f>IFERROR(VLOOKUP($B1714,calc_data,D$14+1,0),0)</f>
        <v/>
      </c>
      <c r="E1714" s="183">
        <f>IFERROR(VLOOKUP($B1714,calc_data,E$14+1,0),0)</f>
        <v/>
      </c>
      <c r="F1714" s="182">
        <f>IFERROR(VLOOKUP($B1714,calc_data,F$14+1,0),0)</f>
        <v/>
      </c>
      <c r="G1714" s="141">
        <f>IFERROR(VLOOKUP($B1714,calc_data,G$14+1,0),0)</f>
        <v/>
      </c>
      <c r="H1714" s="141">
        <f>IFERROR(VLOOKUP($B1714,calc_data,H$14+1,0),0)</f>
        <v/>
      </c>
      <c r="I1714" s="142">
        <f>IFERROR(VLOOKUP($B1714,calc_data,I$14+1,0),0)</f>
        <v/>
      </c>
      <c r="J1714" s="141">
        <f>IFERROR(VLOOKUP($B1714,calc_data,J$14+1,0),0)</f>
        <v/>
      </c>
      <c r="K1714" s="141">
        <f>IFERROR(VLOOKUP($B1714,calc_data,K$14+1,0),0)</f>
        <v/>
      </c>
      <c r="L1714" s="141">
        <f>IFERROR(VLOOKUP($B1714,calc_data,L$14+1,0),0)</f>
        <v/>
      </c>
      <c r="M1714" s="177">
        <f>IFERROR(VLOOKUP($B1714,calc_data,M$14+1,0),0)</f>
        <v/>
      </c>
      <c r="N1714" s="177">
        <f>IFERROR(VLOOKUP($B1714,calc_data,N$14+1,0),0)</f>
        <v/>
      </c>
      <c r="O1714" s="45" t="n"/>
      <c r="Q1714" s="57">
        <f>IF(K1714&gt;0,"показать","скрыть")</f>
        <v/>
      </c>
    </row>
    <row r="1715" ht="15.75" customHeight="1">
      <c r="B1715" s="182" t="n">
        <v>1699</v>
      </c>
      <c r="C1715" s="182">
        <f>IFERROR(VLOOKUP($B1715,calc_data,C$14+1,0),0)</f>
        <v/>
      </c>
      <c r="D1715" s="182">
        <f>IFERROR(VLOOKUP($B1715,calc_data,D$14+1,0),0)</f>
        <v/>
      </c>
      <c r="E1715" s="183">
        <f>IFERROR(VLOOKUP($B1715,calc_data,E$14+1,0),0)</f>
        <v/>
      </c>
      <c r="F1715" s="182">
        <f>IFERROR(VLOOKUP($B1715,calc_data,F$14+1,0),0)</f>
        <v/>
      </c>
      <c r="G1715" s="141">
        <f>IFERROR(VLOOKUP($B1715,calc_data,G$14+1,0),0)</f>
        <v/>
      </c>
      <c r="H1715" s="141">
        <f>IFERROR(VLOOKUP($B1715,calc_data,H$14+1,0),0)</f>
        <v/>
      </c>
      <c r="I1715" s="142">
        <f>IFERROR(VLOOKUP($B1715,calc_data,I$14+1,0),0)</f>
        <v/>
      </c>
      <c r="J1715" s="141">
        <f>IFERROR(VLOOKUP($B1715,calc_data,J$14+1,0),0)</f>
        <v/>
      </c>
      <c r="K1715" s="141">
        <f>IFERROR(VLOOKUP($B1715,calc_data,K$14+1,0),0)</f>
        <v/>
      </c>
      <c r="L1715" s="141">
        <f>IFERROR(VLOOKUP($B1715,calc_data,L$14+1,0),0)</f>
        <v/>
      </c>
      <c r="M1715" s="177">
        <f>IFERROR(VLOOKUP($B1715,calc_data,M$14+1,0),0)</f>
        <v/>
      </c>
      <c r="N1715" s="177">
        <f>IFERROR(VLOOKUP($B1715,calc_data,N$14+1,0),0)</f>
        <v/>
      </c>
      <c r="O1715" s="45" t="n"/>
      <c r="Q1715" s="57">
        <f>IF(K1715&gt;0,"показать","скрыть")</f>
        <v/>
      </c>
    </row>
    <row r="1716" ht="15.75" customHeight="1">
      <c r="B1716" s="182" t="n">
        <v>1700</v>
      </c>
      <c r="C1716" s="182">
        <f>IFERROR(VLOOKUP($B1716,calc_data,C$14+1,0),0)</f>
        <v/>
      </c>
      <c r="D1716" s="182">
        <f>IFERROR(VLOOKUP($B1716,calc_data,D$14+1,0),0)</f>
        <v/>
      </c>
      <c r="E1716" s="183">
        <f>IFERROR(VLOOKUP($B1716,calc_data,E$14+1,0),0)</f>
        <v/>
      </c>
      <c r="F1716" s="182">
        <f>IFERROR(VLOOKUP($B1716,calc_data,F$14+1,0),0)</f>
        <v/>
      </c>
      <c r="G1716" s="141">
        <f>IFERROR(VLOOKUP($B1716,calc_data,G$14+1,0),0)</f>
        <v/>
      </c>
      <c r="H1716" s="141">
        <f>IFERROR(VLOOKUP($B1716,calc_data,H$14+1,0),0)</f>
        <v/>
      </c>
      <c r="I1716" s="142">
        <f>IFERROR(VLOOKUP($B1716,calc_data,I$14+1,0),0)</f>
        <v/>
      </c>
      <c r="J1716" s="141">
        <f>IFERROR(VLOOKUP($B1716,calc_data,J$14+1,0),0)</f>
        <v/>
      </c>
      <c r="K1716" s="141">
        <f>IFERROR(VLOOKUP($B1716,calc_data,K$14+1,0),0)</f>
        <v/>
      </c>
      <c r="L1716" s="141">
        <f>IFERROR(VLOOKUP($B1716,calc_data,L$14+1,0),0)</f>
        <v/>
      </c>
      <c r="M1716" s="177">
        <f>IFERROR(VLOOKUP($B1716,calc_data,M$14+1,0),0)</f>
        <v/>
      </c>
      <c r="N1716" s="177">
        <f>IFERROR(VLOOKUP($B1716,calc_data,N$14+1,0),0)</f>
        <v/>
      </c>
      <c r="O1716" s="45" t="n"/>
      <c r="Q1716" s="57">
        <f>IF(K1716&gt;0,"показать","скрыть")</f>
        <v/>
      </c>
    </row>
    <row r="1717" ht="15.75" customHeight="1">
      <c r="B1717" s="182" t="n">
        <v>1701</v>
      </c>
      <c r="C1717" s="182">
        <f>IFERROR(VLOOKUP($B1717,calc_data,C$14+1,0),0)</f>
        <v/>
      </c>
      <c r="D1717" s="182">
        <f>IFERROR(VLOOKUP($B1717,calc_data,D$14+1,0),0)</f>
        <v/>
      </c>
      <c r="E1717" s="183">
        <f>IFERROR(VLOOKUP($B1717,calc_data,E$14+1,0),0)</f>
        <v/>
      </c>
      <c r="F1717" s="182">
        <f>IFERROR(VLOOKUP($B1717,calc_data,F$14+1,0),0)</f>
        <v/>
      </c>
      <c r="G1717" s="141">
        <f>IFERROR(VLOOKUP($B1717,calc_data,G$14+1,0),0)</f>
        <v/>
      </c>
      <c r="H1717" s="141">
        <f>IFERROR(VLOOKUP($B1717,calc_data,H$14+1,0),0)</f>
        <v/>
      </c>
      <c r="I1717" s="142">
        <f>IFERROR(VLOOKUP($B1717,calc_data,I$14+1,0),0)</f>
        <v/>
      </c>
      <c r="J1717" s="141">
        <f>IFERROR(VLOOKUP($B1717,calc_data,J$14+1,0),0)</f>
        <v/>
      </c>
      <c r="K1717" s="141">
        <f>IFERROR(VLOOKUP($B1717,calc_data,K$14+1,0),0)</f>
        <v/>
      </c>
      <c r="L1717" s="141">
        <f>IFERROR(VLOOKUP($B1717,calc_data,L$14+1,0),0)</f>
        <v/>
      </c>
      <c r="M1717" s="177">
        <f>IFERROR(VLOOKUP($B1717,calc_data,M$14+1,0),0)</f>
        <v/>
      </c>
      <c r="N1717" s="177">
        <f>IFERROR(VLOOKUP($B1717,calc_data,N$14+1,0),0)</f>
        <v/>
      </c>
      <c r="O1717" s="45" t="n"/>
      <c r="Q1717" s="57">
        <f>IF(K1717&gt;0,"показать","скрыть")</f>
        <v/>
      </c>
    </row>
    <row r="1718" ht="15.75" customHeight="1">
      <c r="B1718" s="182" t="n">
        <v>1702</v>
      </c>
      <c r="C1718" s="182">
        <f>IFERROR(VLOOKUP($B1718,calc_data,C$14+1,0),0)</f>
        <v/>
      </c>
      <c r="D1718" s="182">
        <f>IFERROR(VLOOKUP($B1718,calc_data,D$14+1,0),0)</f>
        <v/>
      </c>
      <c r="E1718" s="183">
        <f>IFERROR(VLOOKUP($B1718,calc_data,E$14+1,0),0)</f>
        <v/>
      </c>
      <c r="F1718" s="182">
        <f>IFERROR(VLOOKUP($B1718,calc_data,F$14+1,0),0)</f>
        <v/>
      </c>
      <c r="G1718" s="141">
        <f>IFERROR(VLOOKUP($B1718,calc_data,G$14+1,0),0)</f>
        <v/>
      </c>
      <c r="H1718" s="141">
        <f>IFERROR(VLOOKUP($B1718,calc_data,H$14+1,0),0)</f>
        <v/>
      </c>
      <c r="I1718" s="142">
        <f>IFERROR(VLOOKUP($B1718,calc_data,I$14+1,0),0)</f>
        <v/>
      </c>
      <c r="J1718" s="141">
        <f>IFERROR(VLOOKUP($B1718,calc_data,J$14+1,0),0)</f>
        <v/>
      </c>
      <c r="K1718" s="141">
        <f>IFERROR(VLOOKUP($B1718,calc_data,K$14+1,0),0)</f>
        <v/>
      </c>
      <c r="L1718" s="141">
        <f>IFERROR(VLOOKUP($B1718,calc_data,L$14+1,0),0)</f>
        <v/>
      </c>
      <c r="M1718" s="177">
        <f>IFERROR(VLOOKUP($B1718,calc_data,M$14+1,0),0)</f>
        <v/>
      </c>
      <c r="N1718" s="177">
        <f>IFERROR(VLOOKUP($B1718,calc_data,N$14+1,0),0)</f>
        <v/>
      </c>
      <c r="O1718" s="45" t="n"/>
      <c r="Q1718" s="57">
        <f>IF(K1718&gt;0,"показать","скрыть")</f>
        <v/>
      </c>
    </row>
    <row r="1719" ht="15.75" customHeight="1">
      <c r="B1719" s="182" t="n">
        <v>1703</v>
      </c>
      <c r="C1719" s="182">
        <f>IFERROR(VLOOKUP($B1719,calc_data,C$14+1,0),0)</f>
        <v/>
      </c>
      <c r="D1719" s="182">
        <f>IFERROR(VLOOKUP($B1719,calc_data,D$14+1,0),0)</f>
        <v/>
      </c>
      <c r="E1719" s="183">
        <f>IFERROR(VLOOKUP($B1719,calc_data,E$14+1,0),0)</f>
        <v/>
      </c>
      <c r="F1719" s="182">
        <f>IFERROR(VLOOKUP($B1719,calc_data,F$14+1,0),0)</f>
        <v/>
      </c>
      <c r="G1719" s="141">
        <f>IFERROR(VLOOKUP($B1719,calc_data,G$14+1,0),0)</f>
        <v/>
      </c>
      <c r="H1719" s="141">
        <f>IFERROR(VLOOKUP($B1719,calc_data,H$14+1,0),0)</f>
        <v/>
      </c>
      <c r="I1719" s="142">
        <f>IFERROR(VLOOKUP($B1719,calc_data,I$14+1,0),0)</f>
        <v/>
      </c>
      <c r="J1719" s="141">
        <f>IFERROR(VLOOKUP($B1719,calc_data,J$14+1,0),0)</f>
        <v/>
      </c>
      <c r="K1719" s="141">
        <f>IFERROR(VLOOKUP($B1719,calc_data,K$14+1,0),0)</f>
        <v/>
      </c>
      <c r="L1719" s="141">
        <f>IFERROR(VLOOKUP($B1719,calc_data,L$14+1,0),0)</f>
        <v/>
      </c>
      <c r="M1719" s="177">
        <f>IFERROR(VLOOKUP($B1719,calc_data,M$14+1,0),0)</f>
        <v/>
      </c>
      <c r="N1719" s="177">
        <f>IFERROR(VLOOKUP($B1719,calc_data,N$14+1,0),0)</f>
        <v/>
      </c>
      <c r="O1719" s="45" t="n"/>
      <c r="Q1719" s="57">
        <f>IF(K1719&gt;0,"показать","скрыть")</f>
        <v/>
      </c>
    </row>
    <row r="1720" ht="15.75" customHeight="1">
      <c r="B1720" s="182" t="n">
        <v>1704</v>
      </c>
      <c r="C1720" s="182">
        <f>IFERROR(VLOOKUP($B1720,calc_data,C$14+1,0),0)</f>
        <v/>
      </c>
      <c r="D1720" s="182">
        <f>IFERROR(VLOOKUP($B1720,calc_data,D$14+1,0),0)</f>
        <v/>
      </c>
      <c r="E1720" s="183">
        <f>IFERROR(VLOOKUP($B1720,calc_data,E$14+1,0),0)</f>
        <v/>
      </c>
      <c r="F1720" s="182">
        <f>IFERROR(VLOOKUP($B1720,calc_data,F$14+1,0),0)</f>
        <v/>
      </c>
      <c r="G1720" s="141">
        <f>IFERROR(VLOOKUP($B1720,calc_data,G$14+1,0),0)</f>
        <v/>
      </c>
      <c r="H1720" s="141">
        <f>IFERROR(VLOOKUP($B1720,calc_data,H$14+1,0),0)</f>
        <v/>
      </c>
      <c r="I1720" s="142">
        <f>IFERROR(VLOOKUP($B1720,calc_data,I$14+1,0),0)</f>
        <v/>
      </c>
      <c r="J1720" s="141">
        <f>IFERROR(VLOOKUP($B1720,calc_data,J$14+1,0),0)</f>
        <v/>
      </c>
      <c r="K1720" s="141">
        <f>IFERROR(VLOOKUP($B1720,calc_data,K$14+1,0),0)</f>
        <v/>
      </c>
      <c r="L1720" s="141">
        <f>IFERROR(VLOOKUP($B1720,calc_data,L$14+1,0),0)</f>
        <v/>
      </c>
      <c r="M1720" s="177">
        <f>IFERROR(VLOOKUP($B1720,calc_data,M$14+1,0),0)</f>
        <v/>
      </c>
      <c r="N1720" s="177">
        <f>IFERROR(VLOOKUP($B1720,calc_data,N$14+1,0),0)</f>
        <v/>
      </c>
      <c r="O1720" s="45" t="n"/>
      <c r="Q1720" s="57">
        <f>IF(K1720&gt;0,"показать","скрыть")</f>
        <v/>
      </c>
    </row>
    <row r="1721" ht="15.75" customHeight="1">
      <c r="B1721" s="182" t="n">
        <v>1705</v>
      </c>
      <c r="C1721" s="182">
        <f>IFERROR(VLOOKUP($B1721,calc_data,C$14+1,0),0)</f>
        <v/>
      </c>
      <c r="D1721" s="182">
        <f>IFERROR(VLOOKUP($B1721,calc_data,D$14+1,0),0)</f>
        <v/>
      </c>
      <c r="E1721" s="183">
        <f>IFERROR(VLOOKUP($B1721,calc_data,E$14+1,0),0)</f>
        <v/>
      </c>
      <c r="F1721" s="182">
        <f>IFERROR(VLOOKUP($B1721,calc_data,F$14+1,0),0)</f>
        <v/>
      </c>
      <c r="G1721" s="141">
        <f>IFERROR(VLOOKUP($B1721,calc_data,G$14+1,0),0)</f>
        <v/>
      </c>
      <c r="H1721" s="141">
        <f>IFERROR(VLOOKUP($B1721,calc_data,H$14+1,0),0)</f>
        <v/>
      </c>
      <c r="I1721" s="142">
        <f>IFERROR(VLOOKUP($B1721,calc_data,I$14+1,0),0)</f>
        <v/>
      </c>
      <c r="J1721" s="141">
        <f>IFERROR(VLOOKUP($B1721,calc_data,J$14+1,0),0)</f>
        <v/>
      </c>
      <c r="K1721" s="141">
        <f>IFERROR(VLOOKUP($B1721,calc_data,K$14+1,0),0)</f>
        <v/>
      </c>
      <c r="L1721" s="141">
        <f>IFERROR(VLOOKUP($B1721,calc_data,L$14+1,0),0)</f>
        <v/>
      </c>
      <c r="M1721" s="177">
        <f>IFERROR(VLOOKUP($B1721,calc_data,M$14+1,0),0)</f>
        <v/>
      </c>
      <c r="N1721" s="177">
        <f>IFERROR(VLOOKUP($B1721,calc_data,N$14+1,0),0)</f>
        <v/>
      </c>
      <c r="O1721" s="45" t="n"/>
      <c r="Q1721" s="57">
        <f>IF(K1721&gt;0,"показать","скрыть")</f>
        <v/>
      </c>
    </row>
    <row r="1722" ht="15.75" customHeight="1">
      <c r="B1722" s="182" t="n">
        <v>1706</v>
      </c>
      <c r="C1722" s="182">
        <f>IFERROR(VLOOKUP($B1722,calc_data,C$14+1,0),0)</f>
        <v/>
      </c>
      <c r="D1722" s="182">
        <f>IFERROR(VLOOKUP($B1722,calc_data,D$14+1,0),0)</f>
        <v/>
      </c>
      <c r="E1722" s="183">
        <f>IFERROR(VLOOKUP($B1722,calc_data,E$14+1,0),0)</f>
        <v/>
      </c>
      <c r="F1722" s="182">
        <f>IFERROR(VLOOKUP($B1722,calc_data,F$14+1,0),0)</f>
        <v/>
      </c>
      <c r="G1722" s="141">
        <f>IFERROR(VLOOKUP($B1722,calc_data,G$14+1,0),0)</f>
        <v/>
      </c>
      <c r="H1722" s="141">
        <f>IFERROR(VLOOKUP($B1722,calc_data,H$14+1,0),0)</f>
        <v/>
      </c>
      <c r="I1722" s="142">
        <f>IFERROR(VLOOKUP($B1722,calc_data,I$14+1,0),0)</f>
        <v/>
      </c>
      <c r="J1722" s="141">
        <f>IFERROR(VLOOKUP($B1722,calc_data,J$14+1,0),0)</f>
        <v/>
      </c>
      <c r="K1722" s="141">
        <f>IFERROR(VLOOKUP($B1722,calc_data,K$14+1,0),0)</f>
        <v/>
      </c>
      <c r="L1722" s="141">
        <f>IFERROR(VLOOKUP($B1722,calc_data,L$14+1,0),0)</f>
        <v/>
      </c>
      <c r="M1722" s="177">
        <f>IFERROR(VLOOKUP($B1722,calc_data,M$14+1,0),0)</f>
        <v/>
      </c>
      <c r="N1722" s="177">
        <f>IFERROR(VLOOKUP($B1722,calc_data,N$14+1,0),0)</f>
        <v/>
      </c>
      <c r="O1722" s="45" t="n"/>
      <c r="Q1722" s="57">
        <f>IF(K1722&gt;0,"показать","скрыть")</f>
        <v/>
      </c>
    </row>
    <row r="1723" ht="15.75" customHeight="1">
      <c r="B1723" s="182" t="n">
        <v>1707</v>
      </c>
      <c r="C1723" s="182">
        <f>IFERROR(VLOOKUP($B1723,calc_data,C$14+1,0),0)</f>
        <v/>
      </c>
      <c r="D1723" s="182">
        <f>IFERROR(VLOOKUP($B1723,calc_data,D$14+1,0),0)</f>
        <v/>
      </c>
      <c r="E1723" s="183">
        <f>IFERROR(VLOOKUP($B1723,calc_data,E$14+1,0),0)</f>
        <v/>
      </c>
      <c r="F1723" s="182">
        <f>IFERROR(VLOOKUP($B1723,calc_data,F$14+1,0),0)</f>
        <v/>
      </c>
      <c r="G1723" s="141">
        <f>IFERROR(VLOOKUP($B1723,calc_data,G$14+1,0),0)</f>
        <v/>
      </c>
      <c r="H1723" s="141">
        <f>IFERROR(VLOOKUP($B1723,calc_data,H$14+1,0),0)</f>
        <v/>
      </c>
      <c r="I1723" s="142">
        <f>IFERROR(VLOOKUP($B1723,calc_data,I$14+1,0),0)</f>
        <v/>
      </c>
      <c r="J1723" s="141">
        <f>IFERROR(VLOOKUP($B1723,calc_data,J$14+1,0),0)</f>
        <v/>
      </c>
      <c r="K1723" s="141">
        <f>IFERROR(VLOOKUP($B1723,calc_data,K$14+1,0),0)</f>
        <v/>
      </c>
      <c r="L1723" s="141">
        <f>IFERROR(VLOOKUP($B1723,calc_data,L$14+1,0),0)</f>
        <v/>
      </c>
      <c r="M1723" s="177">
        <f>IFERROR(VLOOKUP($B1723,calc_data,M$14+1,0),0)</f>
        <v/>
      </c>
      <c r="N1723" s="177">
        <f>IFERROR(VLOOKUP($B1723,calc_data,N$14+1,0),0)</f>
        <v/>
      </c>
      <c r="O1723" s="45" t="n"/>
      <c r="Q1723" s="57">
        <f>IF(K1723&gt;0,"показать","скрыть")</f>
        <v/>
      </c>
    </row>
    <row r="1724" ht="15.75" customHeight="1">
      <c r="B1724" s="182" t="n">
        <v>1708</v>
      </c>
      <c r="C1724" s="182">
        <f>IFERROR(VLOOKUP($B1724,calc_data,C$14+1,0),0)</f>
        <v/>
      </c>
      <c r="D1724" s="182">
        <f>IFERROR(VLOOKUP($B1724,calc_data,D$14+1,0),0)</f>
        <v/>
      </c>
      <c r="E1724" s="183">
        <f>IFERROR(VLOOKUP($B1724,calc_data,E$14+1,0),0)</f>
        <v/>
      </c>
      <c r="F1724" s="182">
        <f>IFERROR(VLOOKUP($B1724,calc_data,F$14+1,0),0)</f>
        <v/>
      </c>
      <c r="G1724" s="141">
        <f>IFERROR(VLOOKUP($B1724,calc_data,G$14+1,0),0)</f>
        <v/>
      </c>
      <c r="H1724" s="141">
        <f>IFERROR(VLOOKUP($B1724,calc_data,H$14+1,0),0)</f>
        <v/>
      </c>
      <c r="I1724" s="142">
        <f>IFERROR(VLOOKUP($B1724,calc_data,I$14+1,0),0)</f>
        <v/>
      </c>
      <c r="J1724" s="141">
        <f>IFERROR(VLOOKUP($B1724,calc_data,J$14+1,0),0)</f>
        <v/>
      </c>
      <c r="K1724" s="141">
        <f>IFERROR(VLOOKUP($B1724,calc_data,K$14+1,0),0)</f>
        <v/>
      </c>
      <c r="L1724" s="141">
        <f>IFERROR(VLOOKUP($B1724,calc_data,L$14+1,0),0)</f>
        <v/>
      </c>
      <c r="M1724" s="177">
        <f>IFERROR(VLOOKUP($B1724,calc_data,M$14+1,0),0)</f>
        <v/>
      </c>
      <c r="N1724" s="177">
        <f>IFERROR(VLOOKUP($B1724,calc_data,N$14+1,0),0)</f>
        <v/>
      </c>
      <c r="O1724" s="45" t="n"/>
      <c r="Q1724" s="57">
        <f>IF(K1724&gt;0,"показать","скрыть")</f>
        <v/>
      </c>
    </row>
    <row r="1725" ht="15.75" customHeight="1">
      <c r="B1725" s="182" t="n">
        <v>1709</v>
      </c>
      <c r="C1725" s="182">
        <f>IFERROR(VLOOKUP($B1725,calc_data,C$14+1,0),0)</f>
        <v/>
      </c>
      <c r="D1725" s="182">
        <f>IFERROR(VLOOKUP($B1725,calc_data,D$14+1,0),0)</f>
        <v/>
      </c>
      <c r="E1725" s="183">
        <f>IFERROR(VLOOKUP($B1725,calc_data,E$14+1,0),0)</f>
        <v/>
      </c>
      <c r="F1725" s="182">
        <f>IFERROR(VLOOKUP($B1725,calc_data,F$14+1,0),0)</f>
        <v/>
      </c>
      <c r="G1725" s="141">
        <f>IFERROR(VLOOKUP($B1725,calc_data,G$14+1,0),0)</f>
        <v/>
      </c>
      <c r="H1725" s="141">
        <f>IFERROR(VLOOKUP($B1725,calc_data,H$14+1,0),0)</f>
        <v/>
      </c>
      <c r="I1725" s="142">
        <f>IFERROR(VLOOKUP($B1725,calc_data,I$14+1,0),0)</f>
        <v/>
      </c>
      <c r="J1725" s="141">
        <f>IFERROR(VLOOKUP($B1725,calc_data,J$14+1,0),0)</f>
        <v/>
      </c>
      <c r="K1725" s="141">
        <f>IFERROR(VLOOKUP($B1725,calc_data,K$14+1,0),0)</f>
        <v/>
      </c>
      <c r="L1725" s="141">
        <f>IFERROR(VLOOKUP($B1725,calc_data,L$14+1,0),0)</f>
        <v/>
      </c>
      <c r="M1725" s="177">
        <f>IFERROR(VLOOKUP($B1725,calc_data,M$14+1,0),0)</f>
        <v/>
      </c>
      <c r="N1725" s="177">
        <f>IFERROR(VLOOKUP($B1725,calc_data,N$14+1,0),0)</f>
        <v/>
      </c>
      <c r="O1725" s="45" t="n"/>
      <c r="Q1725" s="57">
        <f>IF(K1725&gt;0,"показать","скрыть")</f>
        <v/>
      </c>
    </row>
    <row r="1726" ht="15.75" customHeight="1">
      <c r="B1726" s="182" t="n">
        <v>1710</v>
      </c>
      <c r="C1726" s="182">
        <f>IFERROR(VLOOKUP($B1726,calc_data,C$14+1,0),0)</f>
        <v/>
      </c>
      <c r="D1726" s="182">
        <f>IFERROR(VLOOKUP($B1726,calc_data,D$14+1,0),0)</f>
        <v/>
      </c>
      <c r="E1726" s="183">
        <f>IFERROR(VLOOKUP($B1726,calc_data,E$14+1,0),0)</f>
        <v/>
      </c>
      <c r="F1726" s="182">
        <f>IFERROR(VLOOKUP($B1726,calc_data,F$14+1,0),0)</f>
        <v/>
      </c>
      <c r="G1726" s="141">
        <f>IFERROR(VLOOKUP($B1726,calc_data,G$14+1,0),0)</f>
        <v/>
      </c>
      <c r="H1726" s="141">
        <f>IFERROR(VLOOKUP($B1726,calc_data,H$14+1,0),0)</f>
        <v/>
      </c>
      <c r="I1726" s="142">
        <f>IFERROR(VLOOKUP($B1726,calc_data,I$14+1,0),0)</f>
        <v/>
      </c>
      <c r="J1726" s="141">
        <f>IFERROR(VLOOKUP($B1726,calc_data,J$14+1,0),0)</f>
        <v/>
      </c>
      <c r="K1726" s="141">
        <f>IFERROR(VLOOKUP($B1726,calc_data,K$14+1,0),0)</f>
        <v/>
      </c>
      <c r="L1726" s="141">
        <f>IFERROR(VLOOKUP($B1726,calc_data,L$14+1,0),0)</f>
        <v/>
      </c>
      <c r="M1726" s="177">
        <f>IFERROR(VLOOKUP($B1726,calc_data,M$14+1,0),0)</f>
        <v/>
      </c>
      <c r="N1726" s="177">
        <f>IFERROR(VLOOKUP($B1726,calc_data,N$14+1,0),0)</f>
        <v/>
      </c>
      <c r="O1726" s="45" t="n"/>
      <c r="Q1726" s="57">
        <f>IF(K1726&gt;0,"показать","скрыть")</f>
        <v/>
      </c>
    </row>
    <row r="1727" ht="15.75" customHeight="1">
      <c r="B1727" s="182" t="n">
        <v>1711</v>
      </c>
      <c r="C1727" s="182">
        <f>IFERROR(VLOOKUP($B1727,calc_data,C$14+1,0),0)</f>
        <v/>
      </c>
      <c r="D1727" s="182">
        <f>IFERROR(VLOOKUP($B1727,calc_data,D$14+1,0),0)</f>
        <v/>
      </c>
      <c r="E1727" s="183">
        <f>IFERROR(VLOOKUP($B1727,calc_data,E$14+1,0),0)</f>
        <v/>
      </c>
      <c r="F1727" s="182">
        <f>IFERROR(VLOOKUP($B1727,calc_data,F$14+1,0),0)</f>
        <v/>
      </c>
      <c r="G1727" s="141">
        <f>IFERROR(VLOOKUP($B1727,calc_data,G$14+1,0),0)</f>
        <v/>
      </c>
      <c r="H1727" s="141">
        <f>IFERROR(VLOOKUP($B1727,calc_data,H$14+1,0),0)</f>
        <v/>
      </c>
      <c r="I1727" s="142">
        <f>IFERROR(VLOOKUP($B1727,calc_data,I$14+1,0),0)</f>
        <v/>
      </c>
      <c r="J1727" s="141">
        <f>IFERROR(VLOOKUP($B1727,calc_data,J$14+1,0),0)</f>
        <v/>
      </c>
      <c r="K1727" s="141">
        <f>IFERROR(VLOOKUP($B1727,calc_data,K$14+1,0),0)</f>
        <v/>
      </c>
      <c r="L1727" s="141">
        <f>IFERROR(VLOOKUP($B1727,calc_data,L$14+1,0),0)</f>
        <v/>
      </c>
      <c r="M1727" s="177">
        <f>IFERROR(VLOOKUP($B1727,calc_data,M$14+1,0),0)</f>
        <v/>
      </c>
      <c r="N1727" s="177">
        <f>IFERROR(VLOOKUP($B1727,calc_data,N$14+1,0),0)</f>
        <v/>
      </c>
      <c r="O1727" s="45" t="n"/>
      <c r="Q1727" s="57">
        <f>IF(K1727&gt;0,"показать","скрыть")</f>
        <v/>
      </c>
    </row>
    <row r="1728" ht="15.75" customHeight="1">
      <c r="B1728" s="182" t="n">
        <v>1712</v>
      </c>
      <c r="C1728" s="182">
        <f>IFERROR(VLOOKUP($B1728,calc_data,C$14+1,0),0)</f>
        <v/>
      </c>
      <c r="D1728" s="182">
        <f>IFERROR(VLOOKUP($B1728,calc_data,D$14+1,0),0)</f>
        <v/>
      </c>
      <c r="E1728" s="183">
        <f>IFERROR(VLOOKUP($B1728,calc_data,E$14+1,0),0)</f>
        <v/>
      </c>
      <c r="F1728" s="182">
        <f>IFERROR(VLOOKUP($B1728,calc_data,F$14+1,0),0)</f>
        <v/>
      </c>
      <c r="G1728" s="141">
        <f>IFERROR(VLOOKUP($B1728,calc_data,G$14+1,0),0)</f>
        <v/>
      </c>
      <c r="H1728" s="141">
        <f>IFERROR(VLOOKUP($B1728,calc_data,H$14+1,0),0)</f>
        <v/>
      </c>
      <c r="I1728" s="142">
        <f>IFERROR(VLOOKUP($B1728,calc_data,I$14+1,0),0)</f>
        <v/>
      </c>
      <c r="J1728" s="141">
        <f>IFERROR(VLOOKUP($B1728,calc_data,J$14+1,0),0)</f>
        <v/>
      </c>
      <c r="K1728" s="141">
        <f>IFERROR(VLOOKUP($B1728,calc_data,K$14+1,0),0)</f>
        <v/>
      </c>
      <c r="L1728" s="141">
        <f>IFERROR(VLOOKUP($B1728,calc_data,L$14+1,0),0)</f>
        <v/>
      </c>
      <c r="M1728" s="177">
        <f>IFERROR(VLOOKUP($B1728,calc_data,M$14+1,0),0)</f>
        <v/>
      </c>
      <c r="N1728" s="177">
        <f>IFERROR(VLOOKUP($B1728,calc_data,N$14+1,0),0)</f>
        <v/>
      </c>
      <c r="O1728" s="45" t="n"/>
      <c r="Q1728" s="57">
        <f>IF(K1728&gt;0,"показать","скрыть")</f>
        <v/>
      </c>
    </row>
    <row r="1729" ht="15.75" customHeight="1">
      <c r="B1729" s="182" t="n">
        <v>1713</v>
      </c>
      <c r="C1729" s="182">
        <f>IFERROR(VLOOKUP($B1729,calc_data,C$14+1,0),0)</f>
        <v/>
      </c>
      <c r="D1729" s="182">
        <f>IFERROR(VLOOKUP($B1729,calc_data,D$14+1,0),0)</f>
        <v/>
      </c>
      <c r="E1729" s="183">
        <f>IFERROR(VLOOKUP($B1729,calc_data,E$14+1,0),0)</f>
        <v/>
      </c>
      <c r="F1729" s="182">
        <f>IFERROR(VLOOKUP($B1729,calc_data,F$14+1,0),0)</f>
        <v/>
      </c>
      <c r="G1729" s="141">
        <f>IFERROR(VLOOKUP($B1729,calc_data,G$14+1,0),0)</f>
        <v/>
      </c>
      <c r="H1729" s="141">
        <f>IFERROR(VLOOKUP($B1729,calc_data,H$14+1,0),0)</f>
        <v/>
      </c>
      <c r="I1729" s="142">
        <f>IFERROR(VLOOKUP($B1729,calc_data,I$14+1,0),0)</f>
        <v/>
      </c>
      <c r="J1729" s="141">
        <f>IFERROR(VLOOKUP($B1729,calc_data,J$14+1,0),0)</f>
        <v/>
      </c>
      <c r="K1729" s="141">
        <f>IFERROR(VLOOKUP($B1729,calc_data,K$14+1,0),0)</f>
        <v/>
      </c>
      <c r="L1729" s="141">
        <f>IFERROR(VLOOKUP($B1729,calc_data,L$14+1,0),0)</f>
        <v/>
      </c>
      <c r="M1729" s="177">
        <f>IFERROR(VLOOKUP($B1729,calc_data,M$14+1,0),0)</f>
        <v/>
      </c>
      <c r="N1729" s="177">
        <f>IFERROR(VLOOKUP($B1729,calc_data,N$14+1,0),0)</f>
        <v/>
      </c>
      <c r="O1729" s="45" t="n"/>
      <c r="Q1729" s="57">
        <f>IF(K1729&gt;0,"показать","скрыть")</f>
        <v/>
      </c>
    </row>
    <row r="1730" ht="15.75" customHeight="1">
      <c r="B1730" s="182" t="n">
        <v>1714</v>
      </c>
      <c r="C1730" s="182">
        <f>IFERROR(VLOOKUP($B1730,calc_data,C$14+1,0),0)</f>
        <v/>
      </c>
      <c r="D1730" s="182">
        <f>IFERROR(VLOOKUP($B1730,calc_data,D$14+1,0),0)</f>
        <v/>
      </c>
      <c r="E1730" s="183">
        <f>IFERROR(VLOOKUP($B1730,calc_data,E$14+1,0),0)</f>
        <v/>
      </c>
      <c r="F1730" s="182">
        <f>IFERROR(VLOOKUP($B1730,calc_data,F$14+1,0),0)</f>
        <v/>
      </c>
      <c r="G1730" s="141">
        <f>IFERROR(VLOOKUP($B1730,calc_data,G$14+1,0),0)</f>
        <v/>
      </c>
      <c r="H1730" s="141">
        <f>IFERROR(VLOOKUP($B1730,calc_data,H$14+1,0),0)</f>
        <v/>
      </c>
      <c r="I1730" s="142">
        <f>IFERROR(VLOOKUP($B1730,calc_data,I$14+1,0),0)</f>
        <v/>
      </c>
      <c r="J1730" s="141">
        <f>IFERROR(VLOOKUP($B1730,calc_data,J$14+1,0),0)</f>
        <v/>
      </c>
      <c r="K1730" s="141">
        <f>IFERROR(VLOOKUP($B1730,calc_data,K$14+1,0),0)</f>
        <v/>
      </c>
      <c r="L1730" s="141">
        <f>IFERROR(VLOOKUP($B1730,calc_data,L$14+1,0),0)</f>
        <v/>
      </c>
      <c r="M1730" s="177">
        <f>IFERROR(VLOOKUP($B1730,calc_data,M$14+1,0),0)</f>
        <v/>
      </c>
      <c r="N1730" s="177">
        <f>IFERROR(VLOOKUP($B1730,calc_data,N$14+1,0),0)</f>
        <v/>
      </c>
      <c r="O1730" s="45" t="n"/>
      <c r="Q1730" s="57">
        <f>IF(K1730&gt;0,"показать","скрыть")</f>
        <v/>
      </c>
    </row>
    <row r="1731" ht="15.75" customHeight="1">
      <c r="B1731" s="182" t="n">
        <v>1715</v>
      </c>
      <c r="C1731" s="182">
        <f>IFERROR(VLOOKUP($B1731,calc_data,C$14+1,0),0)</f>
        <v/>
      </c>
      <c r="D1731" s="182">
        <f>IFERROR(VLOOKUP($B1731,calc_data,D$14+1,0),0)</f>
        <v/>
      </c>
      <c r="E1731" s="183">
        <f>IFERROR(VLOOKUP($B1731,calc_data,E$14+1,0),0)</f>
        <v/>
      </c>
      <c r="F1731" s="182">
        <f>IFERROR(VLOOKUP($B1731,calc_data,F$14+1,0),0)</f>
        <v/>
      </c>
      <c r="G1731" s="141">
        <f>IFERROR(VLOOKUP($B1731,calc_data,G$14+1,0),0)</f>
        <v/>
      </c>
      <c r="H1731" s="141">
        <f>IFERROR(VLOOKUP($B1731,calc_data,H$14+1,0),0)</f>
        <v/>
      </c>
      <c r="I1731" s="142">
        <f>IFERROR(VLOOKUP($B1731,calc_data,I$14+1,0),0)</f>
        <v/>
      </c>
      <c r="J1731" s="141">
        <f>IFERROR(VLOOKUP($B1731,calc_data,J$14+1,0),0)</f>
        <v/>
      </c>
      <c r="K1731" s="141">
        <f>IFERROR(VLOOKUP($B1731,calc_data,K$14+1,0),0)</f>
        <v/>
      </c>
      <c r="L1731" s="141">
        <f>IFERROR(VLOOKUP($B1731,calc_data,L$14+1,0),0)</f>
        <v/>
      </c>
      <c r="M1731" s="177">
        <f>IFERROR(VLOOKUP($B1731,calc_data,M$14+1,0),0)</f>
        <v/>
      </c>
      <c r="N1731" s="177">
        <f>IFERROR(VLOOKUP($B1731,calc_data,N$14+1,0),0)</f>
        <v/>
      </c>
      <c r="O1731" s="45" t="n"/>
      <c r="Q1731" s="57">
        <f>IF(K1731&gt;0,"показать","скрыть")</f>
        <v/>
      </c>
    </row>
    <row r="1732" ht="15.75" customHeight="1">
      <c r="B1732" s="182" t="n">
        <v>1716</v>
      </c>
      <c r="C1732" s="182">
        <f>IFERROR(VLOOKUP($B1732,calc_data,C$14+1,0),0)</f>
        <v/>
      </c>
      <c r="D1732" s="182">
        <f>IFERROR(VLOOKUP($B1732,calc_data,D$14+1,0),0)</f>
        <v/>
      </c>
      <c r="E1732" s="183">
        <f>IFERROR(VLOOKUP($B1732,calc_data,E$14+1,0),0)</f>
        <v/>
      </c>
      <c r="F1732" s="182">
        <f>IFERROR(VLOOKUP($B1732,calc_data,F$14+1,0),0)</f>
        <v/>
      </c>
      <c r="G1732" s="141">
        <f>IFERROR(VLOOKUP($B1732,calc_data,G$14+1,0),0)</f>
        <v/>
      </c>
      <c r="H1732" s="141">
        <f>IFERROR(VLOOKUP($B1732,calc_data,H$14+1,0),0)</f>
        <v/>
      </c>
      <c r="I1732" s="142">
        <f>IFERROR(VLOOKUP($B1732,calc_data,I$14+1,0),0)</f>
        <v/>
      </c>
      <c r="J1732" s="141">
        <f>IFERROR(VLOOKUP($B1732,calc_data,J$14+1,0),0)</f>
        <v/>
      </c>
      <c r="K1732" s="141">
        <f>IFERROR(VLOOKUP($B1732,calc_data,K$14+1,0),0)</f>
        <v/>
      </c>
      <c r="L1732" s="141">
        <f>IFERROR(VLOOKUP($B1732,calc_data,L$14+1,0),0)</f>
        <v/>
      </c>
      <c r="M1732" s="177">
        <f>IFERROR(VLOOKUP($B1732,calc_data,M$14+1,0),0)</f>
        <v/>
      </c>
      <c r="N1732" s="177">
        <f>IFERROR(VLOOKUP($B1732,calc_data,N$14+1,0),0)</f>
        <v/>
      </c>
      <c r="O1732" s="45" t="n"/>
      <c r="Q1732" s="57">
        <f>IF(K1732&gt;0,"показать","скрыть")</f>
        <v/>
      </c>
    </row>
    <row r="1733" ht="15.75" customHeight="1">
      <c r="B1733" s="182" t="n">
        <v>1717</v>
      </c>
      <c r="C1733" s="182">
        <f>IFERROR(VLOOKUP($B1733,calc_data,C$14+1,0),0)</f>
        <v/>
      </c>
      <c r="D1733" s="182">
        <f>IFERROR(VLOOKUP($B1733,calc_data,D$14+1,0),0)</f>
        <v/>
      </c>
      <c r="E1733" s="183">
        <f>IFERROR(VLOOKUP($B1733,calc_data,E$14+1,0),0)</f>
        <v/>
      </c>
      <c r="F1733" s="182">
        <f>IFERROR(VLOOKUP($B1733,calc_data,F$14+1,0),0)</f>
        <v/>
      </c>
      <c r="G1733" s="141">
        <f>IFERROR(VLOOKUP($B1733,calc_data,G$14+1,0),0)</f>
        <v/>
      </c>
      <c r="H1733" s="141">
        <f>IFERROR(VLOOKUP($B1733,calc_data,H$14+1,0),0)</f>
        <v/>
      </c>
      <c r="I1733" s="142">
        <f>IFERROR(VLOOKUP($B1733,calc_data,I$14+1,0),0)</f>
        <v/>
      </c>
      <c r="J1733" s="141">
        <f>IFERROR(VLOOKUP($B1733,calc_data,J$14+1,0),0)</f>
        <v/>
      </c>
      <c r="K1733" s="141">
        <f>IFERROR(VLOOKUP($B1733,calc_data,K$14+1,0),0)</f>
        <v/>
      </c>
      <c r="L1733" s="141">
        <f>IFERROR(VLOOKUP($B1733,calc_data,L$14+1,0),0)</f>
        <v/>
      </c>
      <c r="M1733" s="177">
        <f>IFERROR(VLOOKUP($B1733,calc_data,M$14+1,0),0)</f>
        <v/>
      </c>
      <c r="N1733" s="177">
        <f>IFERROR(VLOOKUP($B1733,calc_data,N$14+1,0),0)</f>
        <v/>
      </c>
      <c r="O1733" s="45" t="n"/>
      <c r="Q1733" s="57">
        <f>IF(K1733&gt;0,"показать","скрыть")</f>
        <v/>
      </c>
    </row>
    <row r="1734" ht="15.75" customHeight="1">
      <c r="B1734" s="182" t="n">
        <v>1718</v>
      </c>
      <c r="C1734" s="182">
        <f>IFERROR(VLOOKUP($B1734,calc_data,C$14+1,0),0)</f>
        <v/>
      </c>
      <c r="D1734" s="182">
        <f>IFERROR(VLOOKUP($B1734,calc_data,D$14+1,0),0)</f>
        <v/>
      </c>
      <c r="E1734" s="183">
        <f>IFERROR(VLOOKUP($B1734,calc_data,E$14+1,0),0)</f>
        <v/>
      </c>
      <c r="F1734" s="182">
        <f>IFERROR(VLOOKUP($B1734,calc_data,F$14+1,0),0)</f>
        <v/>
      </c>
      <c r="G1734" s="141">
        <f>IFERROR(VLOOKUP($B1734,calc_data,G$14+1,0),0)</f>
        <v/>
      </c>
      <c r="H1734" s="141">
        <f>IFERROR(VLOOKUP($B1734,calc_data,H$14+1,0),0)</f>
        <v/>
      </c>
      <c r="I1734" s="142">
        <f>IFERROR(VLOOKUP($B1734,calc_data,I$14+1,0),0)</f>
        <v/>
      </c>
      <c r="J1734" s="141">
        <f>IFERROR(VLOOKUP($B1734,calc_data,J$14+1,0),0)</f>
        <v/>
      </c>
      <c r="K1734" s="141">
        <f>IFERROR(VLOOKUP($B1734,calc_data,K$14+1,0),0)</f>
        <v/>
      </c>
      <c r="L1734" s="141">
        <f>IFERROR(VLOOKUP($B1734,calc_data,L$14+1,0),0)</f>
        <v/>
      </c>
      <c r="M1734" s="177">
        <f>IFERROR(VLOOKUP($B1734,calc_data,M$14+1,0),0)</f>
        <v/>
      </c>
      <c r="N1734" s="177">
        <f>IFERROR(VLOOKUP($B1734,calc_data,N$14+1,0),0)</f>
        <v/>
      </c>
      <c r="O1734" s="45" t="n"/>
      <c r="Q1734" s="57">
        <f>IF(K1734&gt;0,"показать","скрыть")</f>
        <v/>
      </c>
    </row>
    <row r="1735" ht="15.75" customHeight="1">
      <c r="B1735" s="182" t="n">
        <v>1719</v>
      </c>
      <c r="C1735" s="182">
        <f>IFERROR(VLOOKUP($B1735,calc_data,C$14+1,0),0)</f>
        <v/>
      </c>
      <c r="D1735" s="182">
        <f>IFERROR(VLOOKUP($B1735,calc_data,D$14+1,0),0)</f>
        <v/>
      </c>
      <c r="E1735" s="183">
        <f>IFERROR(VLOOKUP($B1735,calc_data,E$14+1,0),0)</f>
        <v/>
      </c>
      <c r="F1735" s="182">
        <f>IFERROR(VLOOKUP($B1735,calc_data,F$14+1,0),0)</f>
        <v/>
      </c>
      <c r="G1735" s="141">
        <f>IFERROR(VLOOKUP($B1735,calc_data,G$14+1,0),0)</f>
        <v/>
      </c>
      <c r="H1735" s="141">
        <f>IFERROR(VLOOKUP($B1735,calc_data,H$14+1,0),0)</f>
        <v/>
      </c>
      <c r="I1735" s="142">
        <f>IFERROR(VLOOKUP($B1735,calc_data,I$14+1,0),0)</f>
        <v/>
      </c>
      <c r="J1735" s="141">
        <f>IFERROR(VLOOKUP($B1735,calc_data,J$14+1,0),0)</f>
        <v/>
      </c>
      <c r="K1735" s="141">
        <f>IFERROR(VLOOKUP($B1735,calc_data,K$14+1,0),0)</f>
        <v/>
      </c>
      <c r="L1735" s="141">
        <f>IFERROR(VLOOKUP($B1735,calc_data,L$14+1,0),0)</f>
        <v/>
      </c>
      <c r="M1735" s="177">
        <f>IFERROR(VLOOKUP($B1735,calc_data,M$14+1,0),0)</f>
        <v/>
      </c>
      <c r="N1735" s="177">
        <f>IFERROR(VLOOKUP($B1735,calc_data,N$14+1,0),0)</f>
        <v/>
      </c>
      <c r="O1735" s="45" t="n"/>
      <c r="Q1735" s="57">
        <f>IF(K1735&gt;0,"показать","скрыть")</f>
        <v/>
      </c>
    </row>
    <row r="1736" ht="15.75" customHeight="1">
      <c r="B1736" s="182" t="n">
        <v>1720</v>
      </c>
      <c r="C1736" s="182">
        <f>IFERROR(VLOOKUP($B1736,calc_data,C$14+1,0),0)</f>
        <v/>
      </c>
      <c r="D1736" s="182">
        <f>IFERROR(VLOOKUP($B1736,calc_data,D$14+1,0),0)</f>
        <v/>
      </c>
      <c r="E1736" s="183">
        <f>IFERROR(VLOOKUP($B1736,calc_data,E$14+1,0),0)</f>
        <v/>
      </c>
      <c r="F1736" s="182">
        <f>IFERROR(VLOOKUP($B1736,calc_data,F$14+1,0),0)</f>
        <v/>
      </c>
      <c r="G1736" s="141">
        <f>IFERROR(VLOOKUP($B1736,calc_data,G$14+1,0),0)</f>
        <v/>
      </c>
      <c r="H1736" s="141">
        <f>IFERROR(VLOOKUP($B1736,calc_data,H$14+1,0),0)</f>
        <v/>
      </c>
      <c r="I1736" s="142">
        <f>IFERROR(VLOOKUP($B1736,calc_data,I$14+1,0),0)</f>
        <v/>
      </c>
      <c r="J1736" s="141">
        <f>IFERROR(VLOOKUP($B1736,calc_data,J$14+1,0),0)</f>
        <v/>
      </c>
      <c r="K1736" s="141">
        <f>IFERROR(VLOOKUP($B1736,calc_data,K$14+1,0),0)</f>
        <v/>
      </c>
      <c r="L1736" s="141">
        <f>IFERROR(VLOOKUP($B1736,calc_data,L$14+1,0),0)</f>
        <v/>
      </c>
      <c r="M1736" s="177">
        <f>IFERROR(VLOOKUP($B1736,calc_data,M$14+1,0),0)</f>
        <v/>
      </c>
      <c r="N1736" s="177">
        <f>IFERROR(VLOOKUP($B1736,calc_data,N$14+1,0),0)</f>
        <v/>
      </c>
      <c r="O1736" s="45" t="n"/>
      <c r="Q1736" s="57">
        <f>IF(K1736&gt;0,"показать","скрыть")</f>
        <v/>
      </c>
    </row>
    <row r="1737" ht="15.75" customHeight="1">
      <c r="B1737" s="182" t="n">
        <v>1721</v>
      </c>
      <c r="C1737" s="182">
        <f>IFERROR(VLOOKUP($B1737,calc_data,C$14+1,0),0)</f>
        <v/>
      </c>
      <c r="D1737" s="182">
        <f>IFERROR(VLOOKUP($B1737,calc_data,D$14+1,0),0)</f>
        <v/>
      </c>
      <c r="E1737" s="183">
        <f>IFERROR(VLOOKUP($B1737,calc_data,E$14+1,0),0)</f>
        <v/>
      </c>
      <c r="F1737" s="182">
        <f>IFERROR(VLOOKUP($B1737,calc_data,F$14+1,0),0)</f>
        <v/>
      </c>
      <c r="G1737" s="141">
        <f>IFERROR(VLOOKUP($B1737,calc_data,G$14+1,0),0)</f>
        <v/>
      </c>
      <c r="H1737" s="141">
        <f>IFERROR(VLOOKUP($B1737,calc_data,H$14+1,0),0)</f>
        <v/>
      </c>
      <c r="I1737" s="142">
        <f>IFERROR(VLOOKUP($B1737,calc_data,I$14+1,0),0)</f>
        <v/>
      </c>
      <c r="J1737" s="141">
        <f>IFERROR(VLOOKUP($B1737,calc_data,J$14+1,0),0)</f>
        <v/>
      </c>
      <c r="K1737" s="141">
        <f>IFERROR(VLOOKUP($B1737,calc_data,K$14+1,0),0)</f>
        <v/>
      </c>
      <c r="L1737" s="141">
        <f>IFERROR(VLOOKUP($B1737,calc_data,L$14+1,0),0)</f>
        <v/>
      </c>
      <c r="M1737" s="177">
        <f>IFERROR(VLOOKUP($B1737,calc_data,M$14+1,0),0)</f>
        <v/>
      </c>
      <c r="N1737" s="177">
        <f>IFERROR(VLOOKUP($B1737,calc_data,N$14+1,0),0)</f>
        <v/>
      </c>
      <c r="O1737" s="45" t="n"/>
      <c r="Q1737" s="57">
        <f>IF(K1737&gt;0,"показать","скрыть")</f>
        <v/>
      </c>
    </row>
    <row r="1738" ht="15.75" customHeight="1">
      <c r="B1738" s="182" t="n">
        <v>1722</v>
      </c>
      <c r="C1738" s="182">
        <f>IFERROR(VLOOKUP($B1738,calc_data,C$14+1,0),0)</f>
        <v/>
      </c>
      <c r="D1738" s="182">
        <f>IFERROR(VLOOKUP($B1738,calc_data,D$14+1,0),0)</f>
        <v/>
      </c>
      <c r="E1738" s="183">
        <f>IFERROR(VLOOKUP($B1738,calc_data,E$14+1,0),0)</f>
        <v/>
      </c>
      <c r="F1738" s="182">
        <f>IFERROR(VLOOKUP($B1738,calc_data,F$14+1,0),0)</f>
        <v/>
      </c>
      <c r="G1738" s="141">
        <f>IFERROR(VLOOKUP($B1738,calc_data,G$14+1,0),0)</f>
        <v/>
      </c>
      <c r="H1738" s="141">
        <f>IFERROR(VLOOKUP($B1738,calc_data,H$14+1,0),0)</f>
        <v/>
      </c>
      <c r="I1738" s="142">
        <f>IFERROR(VLOOKUP($B1738,calc_data,I$14+1,0),0)</f>
        <v/>
      </c>
      <c r="J1738" s="141">
        <f>IFERROR(VLOOKUP($B1738,calc_data,J$14+1,0),0)</f>
        <v/>
      </c>
      <c r="K1738" s="141">
        <f>IFERROR(VLOOKUP($B1738,calc_data,K$14+1,0),0)</f>
        <v/>
      </c>
      <c r="L1738" s="141">
        <f>IFERROR(VLOOKUP($B1738,calc_data,L$14+1,0),0)</f>
        <v/>
      </c>
      <c r="M1738" s="177">
        <f>IFERROR(VLOOKUP($B1738,calc_data,M$14+1,0),0)</f>
        <v/>
      </c>
      <c r="N1738" s="177">
        <f>IFERROR(VLOOKUP($B1738,calc_data,N$14+1,0),0)</f>
        <v/>
      </c>
      <c r="O1738" s="45" t="n"/>
      <c r="Q1738" s="57">
        <f>IF(K1738&gt;0,"показать","скрыть")</f>
        <v/>
      </c>
    </row>
    <row r="1739" ht="15.75" customHeight="1">
      <c r="B1739" s="182" t="n">
        <v>1723</v>
      </c>
      <c r="C1739" s="182">
        <f>IFERROR(VLOOKUP($B1739,calc_data,C$14+1,0),0)</f>
        <v/>
      </c>
      <c r="D1739" s="182">
        <f>IFERROR(VLOOKUP($B1739,calc_data,D$14+1,0),0)</f>
        <v/>
      </c>
      <c r="E1739" s="183">
        <f>IFERROR(VLOOKUP($B1739,calc_data,E$14+1,0),0)</f>
        <v/>
      </c>
      <c r="F1739" s="182">
        <f>IFERROR(VLOOKUP($B1739,calc_data,F$14+1,0),0)</f>
        <v/>
      </c>
      <c r="G1739" s="141">
        <f>IFERROR(VLOOKUP($B1739,calc_data,G$14+1,0),0)</f>
        <v/>
      </c>
      <c r="H1739" s="141">
        <f>IFERROR(VLOOKUP($B1739,calc_data,H$14+1,0),0)</f>
        <v/>
      </c>
      <c r="I1739" s="142">
        <f>IFERROR(VLOOKUP($B1739,calc_data,I$14+1,0),0)</f>
        <v/>
      </c>
      <c r="J1739" s="141">
        <f>IFERROR(VLOOKUP($B1739,calc_data,J$14+1,0),0)</f>
        <v/>
      </c>
      <c r="K1739" s="141">
        <f>IFERROR(VLOOKUP($B1739,calc_data,K$14+1,0),0)</f>
        <v/>
      </c>
      <c r="L1739" s="141">
        <f>IFERROR(VLOOKUP($B1739,calc_data,L$14+1,0),0)</f>
        <v/>
      </c>
      <c r="M1739" s="177">
        <f>IFERROR(VLOOKUP($B1739,calc_data,M$14+1,0),0)</f>
        <v/>
      </c>
      <c r="N1739" s="177">
        <f>IFERROR(VLOOKUP($B1739,calc_data,N$14+1,0),0)</f>
        <v/>
      </c>
      <c r="O1739" s="45" t="n"/>
      <c r="Q1739" s="57">
        <f>IF(K1739&gt;0,"показать","скрыть")</f>
        <v/>
      </c>
    </row>
    <row r="1740" ht="15.75" customHeight="1">
      <c r="B1740" s="182" t="n">
        <v>1724</v>
      </c>
      <c r="C1740" s="182">
        <f>IFERROR(VLOOKUP($B1740,calc_data,C$14+1,0),0)</f>
        <v/>
      </c>
      <c r="D1740" s="182">
        <f>IFERROR(VLOOKUP($B1740,calc_data,D$14+1,0),0)</f>
        <v/>
      </c>
      <c r="E1740" s="183">
        <f>IFERROR(VLOOKUP($B1740,calc_data,E$14+1,0),0)</f>
        <v/>
      </c>
      <c r="F1740" s="182">
        <f>IFERROR(VLOOKUP($B1740,calc_data,F$14+1,0),0)</f>
        <v/>
      </c>
      <c r="G1740" s="141">
        <f>IFERROR(VLOOKUP($B1740,calc_data,G$14+1,0),0)</f>
        <v/>
      </c>
      <c r="H1740" s="141">
        <f>IFERROR(VLOOKUP($B1740,calc_data,H$14+1,0),0)</f>
        <v/>
      </c>
      <c r="I1740" s="142">
        <f>IFERROR(VLOOKUP($B1740,calc_data,I$14+1,0),0)</f>
        <v/>
      </c>
      <c r="J1740" s="141">
        <f>IFERROR(VLOOKUP($B1740,calc_data,J$14+1,0),0)</f>
        <v/>
      </c>
      <c r="K1740" s="141">
        <f>IFERROR(VLOOKUP($B1740,calc_data,K$14+1,0),0)</f>
        <v/>
      </c>
      <c r="L1740" s="141">
        <f>IFERROR(VLOOKUP($B1740,calc_data,L$14+1,0),0)</f>
        <v/>
      </c>
      <c r="M1740" s="177">
        <f>IFERROR(VLOOKUP($B1740,calc_data,M$14+1,0),0)</f>
        <v/>
      </c>
      <c r="N1740" s="177">
        <f>IFERROR(VLOOKUP($B1740,calc_data,N$14+1,0),0)</f>
        <v/>
      </c>
      <c r="O1740" s="45" t="n"/>
      <c r="Q1740" s="57">
        <f>IF(K1740&gt;0,"показать","скрыть")</f>
        <v/>
      </c>
    </row>
    <row r="1741" ht="15.75" customHeight="1">
      <c r="B1741" s="182" t="n">
        <v>1725</v>
      </c>
      <c r="C1741" s="182">
        <f>IFERROR(VLOOKUP($B1741,calc_data,C$14+1,0),0)</f>
        <v/>
      </c>
      <c r="D1741" s="182">
        <f>IFERROR(VLOOKUP($B1741,calc_data,D$14+1,0),0)</f>
        <v/>
      </c>
      <c r="E1741" s="183">
        <f>IFERROR(VLOOKUP($B1741,calc_data,E$14+1,0),0)</f>
        <v/>
      </c>
      <c r="F1741" s="182">
        <f>IFERROR(VLOOKUP($B1741,calc_data,F$14+1,0),0)</f>
        <v/>
      </c>
      <c r="G1741" s="141">
        <f>IFERROR(VLOOKUP($B1741,calc_data,G$14+1,0),0)</f>
        <v/>
      </c>
      <c r="H1741" s="141">
        <f>IFERROR(VLOOKUP($B1741,calc_data,H$14+1,0),0)</f>
        <v/>
      </c>
      <c r="I1741" s="142">
        <f>IFERROR(VLOOKUP($B1741,calc_data,I$14+1,0),0)</f>
        <v/>
      </c>
      <c r="J1741" s="141">
        <f>IFERROR(VLOOKUP($B1741,calc_data,J$14+1,0),0)</f>
        <v/>
      </c>
      <c r="K1741" s="141">
        <f>IFERROR(VLOOKUP($B1741,calc_data,K$14+1,0),0)</f>
        <v/>
      </c>
      <c r="L1741" s="141">
        <f>IFERROR(VLOOKUP($B1741,calc_data,L$14+1,0),0)</f>
        <v/>
      </c>
      <c r="M1741" s="177">
        <f>IFERROR(VLOOKUP($B1741,calc_data,M$14+1,0),0)</f>
        <v/>
      </c>
      <c r="N1741" s="177">
        <f>IFERROR(VLOOKUP($B1741,calc_data,N$14+1,0),0)</f>
        <v/>
      </c>
      <c r="O1741" s="45" t="n"/>
      <c r="Q1741" s="57">
        <f>IF(K1741&gt;0,"показать","скрыть")</f>
        <v/>
      </c>
    </row>
    <row r="1742" ht="15.75" customHeight="1">
      <c r="B1742" s="182" t="n">
        <v>1726</v>
      </c>
      <c r="C1742" s="182">
        <f>IFERROR(VLOOKUP($B1742,calc_data,C$14+1,0),0)</f>
        <v/>
      </c>
      <c r="D1742" s="182">
        <f>IFERROR(VLOOKUP($B1742,calc_data,D$14+1,0),0)</f>
        <v/>
      </c>
      <c r="E1742" s="183">
        <f>IFERROR(VLOOKUP($B1742,calc_data,E$14+1,0),0)</f>
        <v/>
      </c>
      <c r="F1742" s="182">
        <f>IFERROR(VLOOKUP($B1742,calc_data,F$14+1,0),0)</f>
        <v/>
      </c>
      <c r="G1742" s="141">
        <f>IFERROR(VLOOKUP($B1742,calc_data,G$14+1,0),0)</f>
        <v/>
      </c>
      <c r="H1742" s="141">
        <f>IFERROR(VLOOKUP($B1742,calc_data,H$14+1,0),0)</f>
        <v/>
      </c>
      <c r="I1742" s="142">
        <f>IFERROR(VLOOKUP($B1742,calc_data,I$14+1,0),0)</f>
        <v/>
      </c>
      <c r="J1742" s="141">
        <f>IFERROR(VLOOKUP($B1742,calc_data,J$14+1,0),0)</f>
        <v/>
      </c>
      <c r="K1742" s="141">
        <f>IFERROR(VLOOKUP($B1742,calc_data,K$14+1,0),0)</f>
        <v/>
      </c>
      <c r="L1742" s="141">
        <f>IFERROR(VLOOKUP($B1742,calc_data,L$14+1,0),0)</f>
        <v/>
      </c>
      <c r="M1742" s="177">
        <f>IFERROR(VLOOKUP($B1742,calc_data,M$14+1,0),0)</f>
        <v/>
      </c>
      <c r="N1742" s="177">
        <f>IFERROR(VLOOKUP($B1742,calc_data,N$14+1,0),0)</f>
        <v/>
      </c>
      <c r="O1742" s="45" t="n"/>
      <c r="Q1742" s="57">
        <f>IF(K1742&gt;0,"показать","скрыть")</f>
        <v/>
      </c>
    </row>
    <row r="1743" ht="15.75" customHeight="1">
      <c r="B1743" s="182" t="n">
        <v>1727</v>
      </c>
      <c r="C1743" s="182">
        <f>IFERROR(VLOOKUP($B1743,calc_data,C$14+1,0),0)</f>
        <v/>
      </c>
      <c r="D1743" s="182">
        <f>IFERROR(VLOOKUP($B1743,calc_data,D$14+1,0),0)</f>
        <v/>
      </c>
      <c r="E1743" s="183">
        <f>IFERROR(VLOOKUP($B1743,calc_data,E$14+1,0),0)</f>
        <v/>
      </c>
      <c r="F1743" s="182">
        <f>IFERROR(VLOOKUP($B1743,calc_data,F$14+1,0),0)</f>
        <v/>
      </c>
      <c r="G1743" s="141">
        <f>IFERROR(VLOOKUP($B1743,calc_data,G$14+1,0),0)</f>
        <v/>
      </c>
      <c r="H1743" s="141">
        <f>IFERROR(VLOOKUP($B1743,calc_data,H$14+1,0),0)</f>
        <v/>
      </c>
      <c r="I1743" s="142">
        <f>IFERROR(VLOOKUP($B1743,calc_data,I$14+1,0),0)</f>
        <v/>
      </c>
      <c r="J1743" s="141">
        <f>IFERROR(VLOOKUP($B1743,calc_data,J$14+1,0),0)</f>
        <v/>
      </c>
      <c r="K1743" s="141">
        <f>IFERROR(VLOOKUP($B1743,calc_data,K$14+1,0),0)</f>
        <v/>
      </c>
      <c r="L1743" s="141">
        <f>IFERROR(VLOOKUP($B1743,calc_data,L$14+1,0),0)</f>
        <v/>
      </c>
      <c r="M1743" s="177">
        <f>IFERROR(VLOOKUP($B1743,calc_data,M$14+1,0),0)</f>
        <v/>
      </c>
      <c r="N1743" s="177">
        <f>IFERROR(VLOOKUP($B1743,calc_data,N$14+1,0),0)</f>
        <v/>
      </c>
      <c r="O1743" s="45" t="n"/>
      <c r="Q1743" s="57">
        <f>IF(K1743&gt;0,"показать","скрыть")</f>
        <v/>
      </c>
    </row>
    <row r="1744" ht="15.75" customHeight="1">
      <c r="B1744" s="182" t="n">
        <v>1728</v>
      </c>
      <c r="C1744" s="182">
        <f>IFERROR(VLOOKUP($B1744,calc_data,C$14+1,0),0)</f>
        <v/>
      </c>
      <c r="D1744" s="182">
        <f>IFERROR(VLOOKUP($B1744,calc_data,D$14+1,0),0)</f>
        <v/>
      </c>
      <c r="E1744" s="183">
        <f>IFERROR(VLOOKUP($B1744,calc_data,E$14+1,0),0)</f>
        <v/>
      </c>
      <c r="F1744" s="182">
        <f>IFERROR(VLOOKUP($B1744,calc_data,F$14+1,0),0)</f>
        <v/>
      </c>
      <c r="G1744" s="141">
        <f>IFERROR(VLOOKUP($B1744,calc_data,G$14+1,0),0)</f>
        <v/>
      </c>
      <c r="H1744" s="141">
        <f>IFERROR(VLOOKUP($B1744,calc_data,H$14+1,0),0)</f>
        <v/>
      </c>
      <c r="I1744" s="142">
        <f>IFERROR(VLOOKUP($B1744,calc_data,I$14+1,0),0)</f>
        <v/>
      </c>
      <c r="J1744" s="141">
        <f>IFERROR(VLOOKUP($B1744,calc_data,J$14+1,0),0)</f>
        <v/>
      </c>
      <c r="K1744" s="141">
        <f>IFERROR(VLOOKUP($B1744,calc_data,K$14+1,0),0)</f>
        <v/>
      </c>
      <c r="L1744" s="141">
        <f>IFERROR(VLOOKUP($B1744,calc_data,L$14+1,0),0)</f>
        <v/>
      </c>
      <c r="M1744" s="177">
        <f>IFERROR(VLOOKUP($B1744,calc_data,M$14+1,0),0)</f>
        <v/>
      </c>
      <c r="N1744" s="177">
        <f>IFERROR(VLOOKUP($B1744,calc_data,N$14+1,0),0)</f>
        <v/>
      </c>
      <c r="O1744" s="45" t="n"/>
      <c r="Q1744" s="57">
        <f>IF(K1744&gt;0,"показать","скрыть")</f>
        <v/>
      </c>
    </row>
    <row r="1745" ht="15.75" customHeight="1">
      <c r="B1745" s="182" t="n">
        <v>1729</v>
      </c>
      <c r="C1745" s="182">
        <f>IFERROR(VLOOKUP($B1745,calc_data,C$14+1,0),0)</f>
        <v/>
      </c>
      <c r="D1745" s="182">
        <f>IFERROR(VLOOKUP($B1745,calc_data,D$14+1,0),0)</f>
        <v/>
      </c>
      <c r="E1745" s="183">
        <f>IFERROR(VLOOKUP($B1745,calc_data,E$14+1,0),0)</f>
        <v/>
      </c>
      <c r="F1745" s="182">
        <f>IFERROR(VLOOKUP($B1745,calc_data,F$14+1,0),0)</f>
        <v/>
      </c>
      <c r="G1745" s="141">
        <f>IFERROR(VLOOKUP($B1745,calc_data,G$14+1,0),0)</f>
        <v/>
      </c>
      <c r="H1745" s="141">
        <f>IFERROR(VLOOKUP($B1745,calc_data,H$14+1,0),0)</f>
        <v/>
      </c>
      <c r="I1745" s="142">
        <f>IFERROR(VLOOKUP($B1745,calc_data,I$14+1,0),0)</f>
        <v/>
      </c>
      <c r="J1745" s="141">
        <f>IFERROR(VLOOKUP($B1745,calc_data,J$14+1,0),0)</f>
        <v/>
      </c>
      <c r="K1745" s="141">
        <f>IFERROR(VLOOKUP($B1745,calc_data,K$14+1,0),0)</f>
        <v/>
      </c>
      <c r="L1745" s="141">
        <f>IFERROR(VLOOKUP($B1745,calc_data,L$14+1,0),0)</f>
        <v/>
      </c>
      <c r="M1745" s="177">
        <f>IFERROR(VLOOKUP($B1745,calc_data,M$14+1,0),0)</f>
        <v/>
      </c>
      <c r="N1745" s="177">
        <f>IFERROR(VLOOKUP($B1745,calc_data,N$14+1,0),0)</f>
        <v/>
      </c>
      <c r="O1745" s="45" t="n"/>
      <c r="Q1745" s="57">
        <f>IF(K1745&gt;0,"показать","скрыть")</f>
        <v/>
      </c>
    </row>
    <row r="1746" ht="15.75" customHeight="1">
      <c r="B1746" s="182" t="n">
        <v>1730</v>
      </c>
      <c r="C1746" s="182">
        <f>IFERROR(VLOOKUP($B1746,calc_data,C$14+1,0),0)</f>
        <v/>
      </c>
      <c r="D1746" s="182">
        <f>IFERROR(VLOOKUP($B1746,calc_data,D$14+1,0),0)</f>
        <v/>
      </c>
      <c r="E1746" s="183">
        <f>IFERROR(VLOOKUP($B1746,calc_data,E$14+1,0),0)</f>
        <v/>
      </c>
      <c r="F1746" s="182">
        <f>IFERROR(VLOOKUP($B1746,calc_data,F$14+1,0),0)</f>
        <v/>
      </c>
      <c r="G1746" s="141">
        <f>IFERROR(VLOOKUP($B1746,calc_data,G$14+1,0),0)</f>
        <v/>
      </c>
      <c r="H1746" s="141">
        <f>IFERROR(VLOOKUP($B1746,calc_data,H$14+1,0),0)</f>
        <v/>
      </c>
      <c r="I1746" s="142">
        <f>IFERROR(VLOOKUP($B1746,calc_data,I$14+1,0),0)</f>
        <v/>
      </c>
      <c r="J1746" s="141">
        <f>IFERROR(VLOOKUP($B1746,calc_data,J$14+1,0),0)</f>
        <v/>
      </c>
      <c r="K1746" s="141">
        <f>IFERROR(VLOOKUP($B1746,calc_data,K$14+1,0),0)</f>
        <v/>
      </c>
      <c r="L1746" s="141">
        <f>IFERROR(VLOOKUP($B1746,calc_data,L$14+1,0),0)</f>
        <v/>
      </c>
      <c r="M1746" s="177">
        <f>IFERROR(VLOOKUP($B1746,calc_data,M$14+1,0),0)</f>
        <v/>
      </c>
      <c r="N1746" s="177">
        <f>IFERROR(VLOOKUP($B1746,calc_data,N$14+1,0),0)</f>
        <v/>
      </c>
      <c r="O1746" s="45" t="n"/>
      <c r="Q1746" s="57">
        <f>IF(K1746&gt;0,"показать","скрыть")</f>
        <v/>
      </c>
    </row>
    <row r="1747" ht="15.75" customHeight="1">
      <c r="B1747" s="182" t="n">
        <v>1731</v>
      </c>
      <c r="C1747" s="182">
        <f>IFERROR(VLOOKUP($B1747,calc_data,C$14+1,0),0)</f>
        <v/>
      </c>
      <c r="D1747" s="182">
        <f>IFERROR(VLOOKUP($B1747,calc_data,D$14+1,0),0)</f>
        <v/>
      </c>
      <c r="E1747" s="183">
        <f>IFERROR(VLOOKUP($B1747,calc_data,E$14+1,0),0)</f>
        <v/>
      </c>
      <c r="F1747" s="182">
        <f>IFERROR(VLOOKUP($B1747,calc_data,F$14+1,0),0)</f>
        <v/>
      </c>
      <c r="G1747" s="141">
        <f>IFERROR(VLOOKUP($B1747,calc_data,G$14+1,0),0)</f>
        <v/>
      </c>
      <c r="H1747" s="141">
        <f>IFERROR(VLOOKUP($B1747,calc_data,H$14+1,0),0)</f>
        <v/>
      </c>
      <c r="I1747" s="142">
        <f>IFERROR(VLOOKUP($B1747,calc_data,I$14+1,0),0)</f>
        <v/>
      </c>
      <c r="J1747" s="141">
        <f>IFERROR(VLOOKUP($B1747,calc_data,J$14+1,0),0)</f>
        <v/>
      </c>
      <c r="K1747" s="141">
        <f>IFERROR(VLOOKUP($B1747,calc_data,K$14+1,0),0)</f>
        <v/>
      </c>
      <c r="L1747" s="141">
        <f>IFERROR(VLOOKUP($B1747,calc_data,L$14+1,0),0)</f>
        <v/>
      </c>
      <c r="M1747" s="177">
        <f>IFERROR(VLOOKUP($B1747,calc_data,M$14+1,0),0)</f>
        <v/>
      </c>
      <c r="N1747" s="177">
        <f>IFERROR(VLOOKUP($B1747,calc_data,N$14+1,0),0)</f>
        <v/>
      </c>
      <c r="O1747" s="45" t="n"/>
      <c r="Q1747" s="57">
        <f>IF(K1747&gt;0,"показать","скрыть")</f>
        <v/>
      </c>
    </row>
    <row r="1748" ht="15.75" customHeight="1">
      <c r="B1748" s="182" t="n">
        <v>1732</v>
      </c>
      <c r="C1748" s="182">
        <f>IFERROR(VLOOKUP($B1748,calc_data,C$14+1,0),0)</f>
        <v/>
      </c>
      <c r="D1748" s="182">
        <f>IFERROR(VLOOKUP($B1748,calc_data,D$14+1,0),0)</f>
        <v/>
      </c>
      <c r="E1748" s="183">
        <f>IFERROR(VLOOKUP($B1748,calc_data,E$14+1,0),0)</f>
        <v/>
      </c>
      <c r="F1748" s="182">
        <f>IFERROR(VLOOKUP($B1748,calc_data,F$14+1,0),0)</f>
        <v/>
      </c>
      <c r="G1748" s="141">
        <f>IFERROR(VLOOKUP($B1748,calc_data,G$14+1,0),0)</f>
        <v/>
      </c>
      <c r="H1748" s="141">
        <f>IFERROR(VLOOKUP($B1748,calc_data,H$14+1,0),0)</f>
        <v/>
      </c>
      <c r="I1748" s="142">
        <f>IFERROR(VLOOKUP($B1748,calc_data,I$14+1,0),0)</f>
        <v/>
      </c>
      <c r="J1748" s="141">
        <f>IFERROR(VLOOKUP($B1748,calc_data,J$14+1,0),0)</f>
        <v/>
      </c>
      <c r="K1748" s="141">
        <f>IFERROR(VLOOKUP($B1748,calc_data,K$14+1,0),0)</f>
        <v/>
      </c>
      <c r="L1748" s="141">
        <f>IFERROR(VLOOKUP($B1748,calc_data,L$14+1,0),0)</f>
        <v/>
      </c>
      <c r="M1748" s="177">
        <f>IFERROR(VLOOKUP($B1748,calc_data,M$14+1,0),0)</f>
        <v/>
      </c>
      <c r="N1748" s="177">
        <f>IFERROR(VLOOKUP($B1748,calc_data,N$14+1,0),0)</f>
        <v/>
      </c>
      <c r="O1748" s="45" t="n"/>
      <c r="Q1748" s="57">
        <f>IF(K1748&gt;0,"показать","скрыть")</f>
        <v/>
      </c>
    </row>
    <row r="1749" ht="15.75" customHeight="1">
      <c r="B1749" s="182" t="n">
        <v>1733</v>
      </c>
      <c r="C1749" s="182">
        <f>IFERROR(VLOOKUP($B1749,calc_data,C$14+1,0),0)</f>
        <v/>
      </c>
      <c r="D1749" s="182">
        <f>IFERROR(VLOOKUP($B1749,calc_data,D$14+1,0),0)</f>
        <v/>
      </c>
      <c r="E1749" s="183">
        <f>IFERROR(VLOOKUP($B1749,calc_data,E$14+1,0),0)</f>
        <v/>
      </c>
      <c r="F1749" s="182">
        <f>IFERROR(VLOOKUP($B1749,calc_data,F$14+1,0),0)</f>
        <v/>
      </c>
      <c r="G1749" s="141">
        <f>IFERROR(VLOOKUP($B1749,calc_data,G$14+1,0),0)</f>
        <v/>
      </c>
      <c r="H1749" s="141">
        <f>IFERROR(VLOOKUP($B1749,calc_data,H$14+1,0),0)</f>
        <v/>
      </c>
      <c r="I1749" s="142">
        <f>IFERROR(VLOOKUP($B1749,calc_data,I$14+1,0),0)</f>
        <v/>
      </c>
      <c r="J1749" s="141">
        <f>IFERROR(VLOOKUP($B1749,calc_data,J$14+1,0),0)</f>
        <v/>
      </c>
      <c r="K1749" s="141">
        <f>IFERROR(VLOOKUP($B1749,calc_data,K$14+1,0),0)</f>
        <v/>
      </c>
      <c r="L1749" s="141">
        <f>IFERROR(VLOOKUP($B1749,calc_data,L$14+1,0),0)</f>
        <v/>
      </c>
      <c r="M1749" s="177">
        <f>IFERROR(VLOOKUP($B1749,calc_data,M$14+1,0),0)</f>
        <v/>
      </c>
      <c r="N1749" s="177">
        <f>IFERROR(VLOOKUP($B1749,calc_data,N$14+1,0),0)</f>
        <v/>
      </c>
      <c r="O1749" s="45" t="n"/>
      <c r="Q1749" s="57">
        <f>IF(K1749&gt;0,"показать","скрыть")</f>
        <v/>
      </c>
    </row>
    <row r="1750" ht="15.75" customHeight="1">
      <c r="B1750" s="182" t="n">
        <v>1734</v>
      </c>
      <c r="C1750" s="182">
        <f>IFERROR(VLOOKUP($B1750,calc_data,C$14+1,0),0)</f>
        <v/>
      </c>
      <c r="D1750" s="182">
        <f>IFERROR(VLOOKUP($B1750,calc_data,D$14+1,0),0)</f>
        <v/>
      </c>
      <c r="E1750" s="183">
        <f>IFERROR(VLOOKUP($B1750,calc_data,E$14+1,0),0)</f>
        <v/>
      </c>
      <c r="F1750" s="182">
        <f>IFERROR(VLOOKUP($B1750,calc_data,F$14+1,0),0)</f>
        <v/>
      </c>
      <c r="G1750" s="141">
        <f>IFERROR(VLOOKUP($B1750,calc_data,G$14+1,0),0)</f>
        <v/>
      </c>
      <c r="H1750" s="141">
        <f>IFERROR(VLOOKUP($B1750,calc_data,H$14+1,0),0)</f>
        <v/>
      </c>
      <c r="I1750" s="142">
        <f>IFERROR(VLOOKUP($B1750,calc_data,I$14+1,0),0)</f>
        <v/>
      </c>
      <c r="J1750" s="141">
        <f>IFERROR(VLOOKUP($B1750,calc_data,J$14+1,0),0)</f>
        <v/>
      </c>
      <c r="K1750" s="141">
        <f>IFERROR(VLOOKUP($B1750,calc_data,K$14+1,0),0)</f>
        <v/>
      </c>
      <c r="L1750" s="141">
        <f>IFERROR(VLOOKUP($B1750,calc_data,L$14+1,0),0)</f>
        <v/>
      </c>
      <c r="M1750" s="177">
        <f>IFERROR(VLOOKUP($B1750,calc_data,M$14+1,0),0)</f>
        <v/>
      </c>
      <c r="N1750" s="177">
        <f>IFERROR(VLOOKUP($B1750,calc_data,N$14+1,0),0)</f>
        <v/>
      </c>
      <c r="O1750" s="45" t="n"/>
      <c r="Q1750" s="57">
        <f>IF(K1750&gt;0,"показать","скрыть")</f>
        <v/>
      </c>
    </row>
    <row r="1751" ht="15.75" customHeight="1">
      <c r="B1751" s="182" t="n">
        <v>1735</v>
      </c>
      <c r="C1751" s="182">
        <f>IFERROR(VLOOKUP($B1751,calc_data,C$14+1,0),0)</f>
        <v/>
      </c>
      <c r="D1751" s="182">
        <f>IFERROR(VLOOKUP($B1751,calc_data,D$14+1,0),0)</f>
        <v/>
      </c>
      <c r="E1751" s="183">
        <f>IFERROR(VLOOKUP($B1751,calc_data,E$14+1,0),0)</f>
        <v/>
      </c>
      <c r="F1751" s="182">
        <f>IFERROR(VLOOKUP($B1751,calc_data,F$14+1,0),0)</f>
        <v/>
      </c>
      <c r="G1751" s="141">
        <f>IFERROR(VLOOKUP($B1751,calc_data,G$14+1,0),0)</f>
        <v/>
      </c>
      <c r="H1751" s="141">
        <f>IFERROR(VLOOKUP($B1751,calc_data,H$14+1,0),0)</f>
        <v/>
      </c>
      <c r="I1751" s="142">
        <f>IFERROR(VLOOKUP($B1751,calc_data,I$14+1,0),0)</f>
        <v/>
      </c>
      <c r="J1751" s="141">
        <f>IFERROR(VLOOKUP($B1751,calc_data,J$14+1,0),0)</f>
        <v/>
      </c>
      <c r="K1751" s="141">
        <f>IFERROR(VLOOKUP($B1751,calc_data,K$14+1,0),0)</f>
        <v/>
      </c>
      <c r="L1751" s="141">
        <f>IFERROR(VLOOKUP($B1751,calc_data,L$14+1,0),0)</f>
        <v/>
      </c>
      <c r="M1751" s="177">
        <f>IFERROR(VLOOKUP($B1751,calc_data,M$14+1,0),0)</f>
        <v/>
      </c>
      <c r="N1751" s="177">
        <f>IFERROR(VLOOKUP($B1751,calc_data,N$14+1,0),0)</f>
        <v/>
      </c>
      <c r="O1751" s="45" t="n"/>
      <c r="Q1751" s="57">
        <f>IF(K1751&gt;0,"показать","скрыть")</f>
        <v/>
      </c>
    </row>
    <row r="1752" ht="15.75" customHeight="1">
      <c r="B1752" s="182" t="n">
        <v>1736</v>
      </c>
      <c r="C1752" s="182">
        <f>IFERROR(VLOOKUP($B1752,calc_data,C$14+1,0),0)</f>
        <v/>
      </c>
      <c r="D1752" s="182">
        <f>IFERROR(VLOOKUP($B1752,calc_data,D$14+1,0),0)</f>
        <v/>
      </c>
      <c r="E1752" s="183">
        <f>IFERROR(VLOOKUP($B1752,calc_data,E$14+1,0),0)</f>
        <v/>
      </c>
      <c r="F1752" s="182">
        <f>IFERROR(VLOOKUP($B1752,calc_data,F$14+1,0),0)</f>
        <v/>
      </c>
      <c r="G1752" s="141">
        <f>IFERROR(VLOOKUP($B1752,calc_data,G$14+1,0),0)</f>
        <v/>
      </c>
      <c r="H1752" s="141">
        <f>IFERROR(VLOOKUP($B1752,calc_data,H$14+1,0),0)</f>
        <v/>
      </c>
      <c r="I1752" s="142">
        <f>IFERROR(VLOOKUP($B1752,calc_data,I$14+1,0),0)</f>
        <v/>
      </c>
      <c r="J1752" s="141">
        <f>IFERROR(VLOOKUP($B1752,calc_data,J$14+1,0),0)</f>
        <v/>
      </c>
      <c r="K1752" s="141">
        <f>IFERROR(VLOOKUP($B1752,calc_data,K$14+1,0),0)</f>
        <v/>
      </c>
      <c r="L1752" s="141">
        <f>IFERROR(VLOOKUP($B1752,calc_data,L$14+1,0),0)</f>
        <v/>
      </c>
      <c r="M1752" s="177">
        <f>IFERROR(VLOOKUP($B1752,calc_data,M$14+1,0),0)</f>
        <v/>
      </c>
      <c r="N1752" s="177">
        <f>IFERROR(VLOOKUP($B1752,calc_data,N$14+1,0),0)</f>
        <v/>
      </c>
      <c r="O1752" s="45" t="n"/>
      <c r="Q1752" s="57">
        <f>IF(K1752&gt;0,"показать","скрыть")</f>
        <v/>
      </c>
    </row>
    <row r="1753" ht="15.75" customHeight="1">
      <c r="B1753" s="182" t="n">
        <v>1737</v>
      </c>
      <c r="C1753" s="182">
        <f>IFERROR(VLOOKUP($B1753,calc_data,C$14+1,0),0)</f>
        <v/>
      </c>
      <c r="D1753" s="182">
        <f>IFERROR(VLOOKUP($B1753,calc_data,D$14+1,0),0)</f>
        <v/>
      </c>
      <c r="E1753" s="183">
        <f>IFERROR(VLOOKUP($B1753,calc_data,E$14+1,0),0)</f>
        <v/>
      </c>
      <c r="F1753" s="182">
        <f>IFERROR(VLOOKUP($B1753,calc_data,F$14+1,0),0)</f>
        <v/>
      </c>
      <c r="G1753" s="141">
        <f>IFERROR(VLOOKUP($B1753,calc_data,G$14+1,0),0)</f>
        <v/>
      </c>
      <c r="H1753" s="141">
        <f>IFERROR(VLOOKUP($B1753,calc_data,H$14+1,0),0)</f>
        <v/>
      </c>
      <c r="I1753" s="142">
        <f>IFERROR(VLOOKUP($B1753,calc_data,I$14+1,0),0)</f>
        <v/>
      </c>
      <c r="J1753" s="141">
        <f>IFERROR(VLOOKUP($B1753,calc_data,J$14+1,0),0)</f>
        <v/>
      </c>
      <c r="K1753" s="141">
        <f>IFERROR(VLOOKUP($B1753,calc_data,K$14+1,0),0)</f>
        <v/>
      </c>
      <c r="L1753" s="141">
        <f>IFERROR(VLOOKUP($B1753,calc_data,L$14+1,0),0)</f>
        <v/>
      </c>
      <c r="M1753" s="177">
        <f>IFERROR(VLOOKUP($B1753,calc_data,M$14+1,0),0)</f>
        <v/>
      </c>
      <c r="N1753" s="177">
        <f>IFERROR(VLOOKUP($B1753,calc_data,N$14+1,0),0)</f>
        <v/>
      </c>
      <c r="O1753" s="45" t="n"/>
      <c r="Q1753" s="57">
        <f>IF(K1753&gt;0,"показать","скрыть")</f>
        <v/>
      </c>
    </row>
    <row r="1754" ht="15.75" customHeight="1">
      <c r="B1754" s="182" t="n">
        <v>1738</v>
      </c>
      <c r="C1754" s="182">
        <f>IFERROR(VLOOKUP($B1754,calc_data,C$14+1,0),0)</f>
        <v/>
      </c>
      <c r="D1754" s="182">
        <f>IFERROR(VLOOKUP($B1754,calc_data,D$14+1,0),0)</f>
        <v/>
      </c>
      <c r="E1754" s="183">
        <f>IFERROR(VLOOKUP($B1754,calc_data,E$14+1,0),0)</f>
        <v/>
      </c>
      <c r="F1754" s="182">
        <f>IFERROR(VLOOKUP($B1754,calc_data,F$14+1,0),0)</f>
        <v/>
      </c>
      <c r="G1754" s="141">
        <f>IFERROR(VLOOKUP($B1754,calc_data,G$14+1,0),0)</f>
        <v/>
      </c>
      <c r="H1754" s="141">
        <f>IFERROR(VLOOKUP($B1754,calc_data,H$14+1,0),0)</f>
        <v/>
      </c>
      <c r="I1754" s="142">
        <f>IFERROR(VLOOKUP($B1754,calc_data,I$14+1,0),0)</f>
        <v/>
      </c>
      <c r="J1754" s="141">
        <f>IFERROR(VLOOKUP($B1754,calc_data,J$14+1,0),0)</f>
        <v/>
      </c>
      <c r="K1754" s="141">
        <f>IFERROR(VLOOKUP($B1754,calc_data,K$14+1,0),0)</f>
        <v/>
      </c>
      <c r="L1754" s="141">
        <f>IFERROR(VLOOKUP($B1754,calc_data,L$14+1,0),0)</f>
        <v/>
      </c>
      <c r="M1754" s="177">
        <f>IFERROR(VLOOKUP($B1754,calc_data,M$14+1,0),0)</f>
        <v/>
      </c>
      <c r="N1754" s="177">
        <f>IFERROR(VLOOKUP($B1754,calc_data,N$14+1,0),0)</f>
        <v/>
      </c>
      <c r="O1754" s="45" t="n"/>
      <c r="Q1754" s="57">
        <f>IF(K1754&gt;0,"показать","скрыть")</f>
        <v/>
      </c>
    </row>
    <row r="1755" ht="15.75" customHeight="1">
      <c r="B1755" s="182" t="n">
        <v>1739</v>
      </c>
      <c r="C1755" s="182">
        <f>IFERROR(VLOOKUP($B1755,calc_data,C$14+1,0),0)</f>
        <v/>
      </c>
      <c r="D1755" s="182">
        <f>IFERROR(VLOOKUP($B1755,calc_data,D$14+1,0),0)</f>
        <v/>
      </c>
      <c r="E1755" s="183">
        <f>IFERROR(VLOOKUP($B1755,calc_data,E$14+1,0),0)</f>
        <v/>
      </c>
      <c r="F1755" s="182">
        <f>IFERROR(VLOOKUP($B1755,calc_data,F$14+1,0),0)</f>
        <v/>
      </c>
      <c r="G1755" s="141">
        <f>IFERROR(VLOOKUP($B1755,calc_data,G$14+1,0),0)</f>
        <v/>
      </c>
      <c r="H1755" s="141">
        <f>IFERROR(VLOOKUP($B1755,calc_data,H$14+1,0),0)</f>
        <v/>
      </c>
      <c r="I1755" s="142">
        <f>IFERROR(VLOOKUP($B1755,calc_data,I$14+1,0),0)</f>
        <v/>
      </c>
      <c r="J1755" s="141">
        <f>IFERROR(VLOOKUP($B1755,calc_data,J$14+1,0),0)</f>
        <v/>
      </c>
      <c r="K1755" s="141">
        <f>IFERROR(VLOOKUP($B1755,calc_data,K$14+1,0),0)</f>
        <v/>
      </c>
      <c r="L1755" s="141">
        <f>IFERROR(VLOOKUP($B1755,calc_data,L$14+1,0),0)</f>
        <v/>
      </c>
      <c r="M1755" s="177">
        <f>IFERROR(VLOOKUP($B1755,calc_data,M$14+1,0),0)</f>
        <v/>
      </c>
      <c r="N1755" s="177">
        <f>IFERROR(VLOOKUP($B1755,calc_data,N$14+1,0),0)</f>
        <v/>
      </c>
      <c r="O1755" s="45" t="n"/>
      <c r="Q1755" s="57">
        <f>IF(K1755&gt;0,"показать","скрыть")</f>
        <v/>
      </c>
    </row>
    <row r="1756" ht="15.75" customHeight="1">
      <c r="B1756" s="182" t="n">
        <v>1740</v>
      </c>
      <c r="C1756" s="182">
        <f>IFERROR(VLOOKUP($B1756,calc_data,C$14+1,0),0)</f>
        <v/>
      </c>
      <c r="D1756" s="182">
        <f>IFERROR(VLOOKUP($B1756,calc_data,D$14+1,0),0)</f>
        <v/>
      </c>
      <c r="E1756" s="183">
        <f>IFERROR(VLOOKUP($B1756,calc_data,E$14+1,0),0)</f>
        <v/>
      </c>
      <c r="F1756" s="182">
        <f>IFERROR(VLOOKUP($B1756,calc_data,F$14+1,0),0)</f>
        <v/>
      </c>
      <c r="G1756" s="141">
        <f>IFERROR(VLOOKUP($B1756,calc_data,G$14+1,0),0)</f>
        <v/>
      </c>
      <c r="H1756" s="141">
        <f>IFERROR(VLOOKUP($B1756,calc_data,H$14+1,0),0)</f>
        <v/>
      </c>
      <c r="I1756" s="142">
        <f>IFERROR(VLOOKUP($B1756,calc_data,I$14+1,0),0)</f>
        <v/>
      </c>
      <c r="J1756" s="141">
        <f>IFERROR(VLOOKUP($B1756,calc_data,J$14+1,0),0)</f>
        <v/>
      </c>
      <c r="K1756" s="141">
        <f>IFERROR(VLOOKUP($B1756,calc_data,K$14+1,0),0)</f>
        <v/>
      </c>
      <c r="L1756" s="141">
        <f>IFERROR(VLOOKUP($B1756,calc_data,L$14+1,0),0)</f>
        <v/>
      </c>
      <c r="M1756" s="177">
        <f>IFERROR(VLOOKUP($B1756,calc_data,M$14+1,0),0)</f>
        <v/>
      </c>
      <c r="N1756" s="177">
        <f>IFERROR(VLOOKUP($B1756,calc_data,N$14+1,0),0)</f>
        <v/>
      </c>
      <c r="O1756" s="45" t="n"/>
      <c r="Q1756" s="57">
        <f>IF(K1756&gt;0,"показать","скрыть")</f>
        <v/>
      </c>
    </row>
    <row r="1757" ht="15.75" customHeight="1">
      <c r="B1757" s="182" t="n">
        <v>1741</v>
      </c>
      <c r="C1757" s="182">
        <f>IFERROR(VLOOKUP($B1757,calc_data,C$14+1,0),0)</f>
        <v/>
      </c>
      <c r="D1757" s="182">
        <f>IFERROR(VLOOKUP($B1757,calc_data,D$14+1,0),0)</f>
        <v/>
      </c>
      <c r="E1757" s="183">
        <f>IFERROR(VLOOKUP($B1757,calc_data,E$14+1,0),0)</f>
        <v/>
      </c>
      <c r="F1757" s="182">
        <f>IFERROR(VLOOKUP($B1757,calc_data,F$14+1,0),0)</f>
        <v/>
      </c>
      <c r="G1757" s="141">
        <f>IFERROR(VLOOKUP($B1757,calc_data,G$14+1,0),0)</f>
        <v/>
      </c>
      <c r="H1757" s="141">
        <f>IFERROR(VLOOKUP($B1757,calc_data,H$14+1,0),0)</f>
        <v/>
      </c>
      <c r="I1757" s="142">
        <f>IFERROR(VLOOKUP($B1757,calc_data,I$14+1,0),0)</f>
        <v/>
      </c>
      <c r="J1757" s="141">
        <f>IFERROR(VLOOKUP($B1757,calc_data,J$14+1,0),0)</f>
        <v/>
      </c>
      <c r="K1757" s="141">
        <f>IFERROR(VLOOKUP($B1757,calc_data,K$14+1,0),0)</f>
        <v/>
      </c>
      <c r="L1757" s="141">
        <f>IFERROR(VLOOKUP($B1757,calc_data,L$14+1,0),0)</f>
        <v/>
      </c>
      <c r="M1757" s="177">
        <f>IFERROR(VLOOKUP($B1757,calc_data,M$14+1,0),0)</f>
        <v/>
      </c>
      <c r="N1757" s="177">
        <f>IFERROR(VLOOKUP($B1757,calc_data,N$14+1,0),0)</f>
        <v/>
      </c>
      <c r="O1757" s="45" t="n"/>
      <c r="Q1757" s="57">
        <f>IF(K1757&gt;0,"показать","скрыть")</f>
        <v/>
      </c>
    </row>
    <row r="1758" ht="15.75" customHeight="1">
      <c r="B1758" s="182" t="n">
        <v>1742</v>
      </c>
      <c r="C1758" s="182">
        <f>IFERROR(VLOOKUP($B1758,calc_data,C$14+1,0),0)</f>
        <v/>
      </c>
      <c r="D1758" s="182">
        <f>IFERROR(VLOOKUP($B1758,calc_data,D$14+1,0),0)</f>
        <v/>
      </c>
      <c r="E1758" s="183">
        <f>IFERROR(VLOOKUP($B1758,calc_data,E$14+1,0),0)</f>
        <v/>
      </c>
      <c r="F1758" s="182">
        <f>IFERROR(VLOOKUP($B1758,calc_data,F$14+1,0),0)</f>
        <v/>
      </c>
      <c r="G1758" s="141">
        <f>IFERROR(VLOOKUP($B1758,calc_data,G$14+1,0),0)</f>
        <v/>
      </c>
      <c r="H1758" s="141">
        <f>IFERROR(VLOOKUP($B1758,calc_data,H$14+1,0),0)</f>
        <v/>
      </c>
      <c r="I1758" s="142">
        <f>IFERROR(VLOOKUP($B1758,calc_data,I$14+1,0),0)</f>
        <v/>
      </c>
      <c r="J1758" s="141">
        <f>IFERROR(VLOOKUP($B1758,calc_data,J$14+1,0),0)</f>
        <v/>
      </c>
      <c r="K1758" s="141">
        <f>IFERROR(VLOOKUP($B1758,calc_data,K$14+1,0),0)</f>
        <v/>
      </c>
      <c r="L1758" s="141">
        <f>IFERROR(VLOOKUP($B1758,calc_data,L$14+1,0),0)</f>
        <v/>
      </c>
      <c r="M1758" s="177">
        <f>IFERROR(VLOOKUP($B1758,calc_data,M$14+1,0),0)</f>
        <v/>
      </c>
      <c r="N1758" s="177">
        <f>IFERROR(VLOOKUP($B1758,calc_data,N$14+1,0),0)</f>
        <v/>
      </c>
      <c r="O1758" s="45" t="n"/>
      <c r="Q1758" s="57">
        <f>IF(K1758&gt;0,"показать","скрыть")</f>
        <v/>
      </c>
    </row>
    <row r="1759" ht="15.75" customHeight="1">
      <c r="B1759" s="182" t="n">
        <v>1743</v>
      </c>
      <c r="C1759" s="182">
        <f>IFERROR(VLOOKUP($B1759,calc_data,C$14+1,0),0)</f>
        <v/>
      </c>
      <c r="D1759" s="182">
        <f>IFERROR(VLOOKUP($B1759,calc_data,D$14+1,0),0)</f>
        <v/>
      </c>
      <c r="E1759" s="183">
        <f>IFERROR(VLOOKUP($B1759,calc_data,E$14+1,0),0)</f>
        <v/>
      </c>
      <c r="F1759" s="182">
        <f>IFERROR(VLOOKUP($B1759,calc_data,F$14+1,0),0)</f>
        <v/>
      </c>
      <c r="G1759" s="141">
        <f>IFERROR(VLOOKUP($B1759,calc_data,G$14+1,0),0)</f>
        <v/>
      </c>
      <c r="H1759" s="141">
        <f>IFERROR(VLOOKUP($B1759,calc_data,H$14+1,0),0)</f>
        <v/>
      </c>
      <c r="I1759" s="142">
        <f>IFERROR(VLOOKUP($B1759,calc_data,I$14+1,0),0)</f>
        <v/>
      </c>
      <c r="J1759" s="141">
        <f>IFERROR(VLOOKUP($B1759,calc_data,J$14+1,0),0)</f>
        <v/>
      </c>
      <c r="K1759" s="141">
        <f>IFERROR(VLOOKUP($B1759,calc_data,K$14+1,0),0)</f>
        <v/>
      </c>
      <c r="L1759" s="141">
        <f>IFERROR(VLOOKUP($B1759,calc_data,L$14+1,0),0)</f>
        <v/>
      </c>
      <c r="M1759" s="177">
        <f>IFERROR(VLOOKUP($B1759,calc_data,M$14+1,0),0)</f>
        <v/>
      </c>
      <c r="N1759" s="177">
        <f>IFERROR(VLOOKUP($B1759,calc_data,N$14+1,0),0)</f>
        <v/>
      </c>
      <c r="O1759" s="45" t="n"/>
      <c r="Q1759" s="57">
        <f>IF(K1759&gt;0,"показать","скрыть")</f>
        <v/>
      </c>
    </row>
    <row r="1760" ht="15.75" customHeight="1">
      <c r="B1760" s="182" t="n">
        <v>1744</v>
      </c>
      <c r="C1760" s="182">
        <f>IFERROR(VLOOKUP($B1760,calc_data,C$14+1,0),0)</f>
        <v/>
      </c>
      <c r="D1760" s="182">
        <f>IFERROR(VLOOKUP($B1760,calc_data,D$14+1,0),0)</f>
        <v/>
      </c>
      <c r="E1760" s="183">
        <f>IFERROR(VLOOKUP($B1760,calc_data,E$14+1,0),0)</f>
        <v/>
      </c>
      <c r="F1760" s="182">
        <f>IFERROR(VLOOKUP($B1760,calc_data,F$14+1,0),0)</f>
        <v/>
      </c>
      <c r="G1760" s="141">
        <f>IFERROR(VLOOKUP($B1760,calc_data,G$14+1,0),0)</f>
        <v/>
      </c>
      <c r="H1760" s="141">
        <f>IFERROR(VLOOKUP($B1760,calc_data,H$14+1,0),0)</f>
        <v/>
      </c>
      <c r="I1760" s="142">
        <f>IFERROR(VLOOKUP($B1760,calc_data,I$14+1,0),0)</f>
        <v/>
      </c>
      <c r="J1760" s="141">
        <f>IFERROR(VLOOKUP($B1760,calc_data,J$14+1,0),0)</f>
        <v/>
      </c>
      <c r="K1760" s="141">
        <f>IFERROR(VLOOKUP($B1760,calc_data,K$14+1,0),0)</f>
        <v/>
      </c>
      <c r="L1760" s="141">
        <f>IFERROR(VLOOKUP($B1760,calc_data,L$14+1,0),0)</f>
        <v/>
      </c>
      <c r="M1760" s="177">
        <f>IFERROR(VLOOKUP($B1760,calc_data,M$14+1,0),0)</f>
        <v/>
      </c>
      <c r="N1760" s="177">
        <f>IFERROR(VLOOKUP($B1760,calc_data,N$14+1,0),0)</f>
        <v/>
      </c>
      <c r="O1760" s="45" t="n"/>
      <c r="Q1760" s="57">
        <f>IF(K1760&gt;0,"показать","скрыть")</f>
        <v/>
      </c>
    </row>
    <row r="1761" ht="15.75" customHeight="1">
      <c r="B1761" s="182" t="n">
        <v>1745</v>
      </c>
      <c r="C1761" s="182">
        <f>IFERROR(VLOOKUP($B1761,calc_data,C$14+1,0),0)</f>
        <v/>
      </c>
      <c r="D1761" s="182">
        <f>IFERROR(VLOOKUP($B1761,calc_data,D$14+1,0),0)</f>
        <v/>
      </c>
      <c r="E1761" s="183">
        <f>IFERROR(VLOOKUP($B1761,calc_data,E$14+1,0),0)</f>
        <v/>
      </c>
      <c r="F1761" s="182">
        <f>IFERROR(VLOOKUP($B1761,calc_data,F$14+1,0),0)</f>
        <v/>
      </c>
      <c r="G1761" s="141">
        <f>IFERROR(VLOOKUP($B1761,calc_data,G$14+1,0),0)</f>
        <v/>
      </c>
      <c r="H1761" s="141">
        <f>IFERROR(VLOOKUP($B1761,calc_data,H$14+1,0),0)</f>
        <v/>
      </c>
      <c r="I1761" s="142">
        <f>IFERROR(VLOOKUP($B1761,calc_data,I$14+1,0),0)</f>
        <v/>
      </c>
      <c r="J1761" s="141">
        <f>IFERROR(VLOOKUP($B1761,calc_data,J$14+1,0),0)</f>
        <v/>
      </c>
      <c r="K1761" s="141">
        <f>IFERROR(VLOOKUP($B1761,calc_data,K$14+1,0),0)</f>
        <v/>
      </c>
      <c r="L1761" s="141">
        <f>IFERROR(VLOOKUP($B1761,calc_data,L$14+1,0),0)</f>
        <v/>
      </c>
      <c r="M1761" s="177">
        <f>IFERROR(VLOOKUP($B1761,calc_data,M$14+1,0),0)</f>
        <v/>
      </c>
      <c r="N1761" s="177">
        <f>IFERROR(VLOOKUP($B1761,calc_data,N$14+1,0),0)</f>
        <v/>
      </c>
      <c r="O1761" s="45" t="n"/>
      <c r="Q1761" s="57">
        <f>IF(K1761&gt;0,"показать","скрыть")</f>
        <v/>
      </c>
    </row>
    <row r="1762" ht="15.75" customHeight="1">
      <c r="B1762" s="182" t="n">
        <v>1746</v>
      </c>
      <c r="C1762" s="182">
        <f>IFERROR(VLOOKUP($B1762,calc_data,C$14+1,0),0)</f>
        <v/>
      </c>
      <c r="D1762" s="182">
        <f>IFERROR(VLOOKUP($B1762,calc_data,D$14+1,0),0)</f>
        <v/>
      </c>
      <c r="E1762" s="183">
        <f>IFERROR(VLOOKUP($B1762,calc_data,E$14+1,0),0)</f>
        <v/>
      </c>
      <c r="F1762" s="182">
        <f>IFERROR(VLOOKUP($B1762,calc_data,F$14+1,0),0)</f>
        <v/>
      </c>
      <c r="G1762" s="141">
        <f>IFERROR(VLOOKUP($B1762,calc_data,G$14+1,0),0)</f>
        <v/>
      </c>
      <c r="H1762" s="141">
        <f>IFERROR(VLOOKUP($B1762,calc_data,H$14+1,0),0)</f>
        <v/>
      </c>
      <c r="I1762" s="142">
        <f>IFERROR(VLOOKUP($B1762,calc_data,I$14+1,0),0)</f>
        <v/>
      </c>
      <c r="J1762" s="141">
        <f>IFERROR(VLOOKUP($B1762,calc_data,J$14+1,0),0)</f>
        <v/>
      </c>
      <c r="K1762" s="141">
        <f>IFERROR(VLOOKUP($B1762,calc_data,K$14+1,0),0)</f>
        <v/>
      </c>
      <c r="L1762" s="141">
        <f>IFERROR(VLOOKUP($B1762,calc_data,L$14+1,0),0)</f>
        <v/>
      </c>
      <c r="M1762" s="177">
        <f>IFERROR(VLOOKUP($B1762,calc_data,M$14+1,0),0)</f>
        <v/>
      </c>
      <c r="N1762" s="177">
        <f>IFERROR(VLOOKUP($B1762,calc_data,N$14+1,0),0)</f>
        <v/>
      </c>
      <c r="O1762" s="45" t="n"/>
      <c r="Q1762" s="57">
        <f>IF(K1762&gt;0,"показать","скрыть")</f>
        <v/>
      </c>
    </row>
    <row r="1763" ht="15.75" customHeight="1">
      <c r="B1763" s="182" t="n">
        <v>1747</v>
      </c>
      <c r="C1763" s="182">
        <f>IFERROR(VLOOKUP($B1763,calc_data,C$14+1,0),0)</f>
        <v/>
      </c>
      <c r="D1763" s="182">
        <f>IFERROR(VLOOKUP($B1763,calc_data,D$14+1,0),0)</f>
        <v/>
      </c>
      <c r="E1763" s="183">
        <f>IFERROR(VLOOKUP($B1763,calc_data,E$14+1,0),0)</f>
        <v/>
      </c>
      <c r="F1763" s="182">
        <f>IFERROR(VLOOKUP($B1763,calc_data,F$14+1,0),0)</f>
        <v/>
      </c>
      <c r="G1763" s="141">
        <f>IFERROR(VLOOKUP($B1763,calc_data,G$14+1,0),0)</f>
        <v/>
      </c>
      <c r="H1763" s="141">
        <f>IFERROR(VLOOKUP($B1763,calc_data,H$14+1,0),0)</f>
        <v/>
      </c>
      <c r="I1763" s="142">
        <f>IFERROR(VLOOKUP($B1763,calc_data,I$14+1,0),0)</f>
        <v/>
      </c>
      <c r="J1763" s="141">
        <f>IFERROR(VLOOKUP($B1763,calc_data,J$14+1,0),0)</f>
        <v/>
      </c>
      <c r="K1763" s="141">
        <f>IFERROR(VLOOKUP($B1763,calc_data,K$14+1,0),0)</f>
        <v/>
      </c>
      <c r="L1763" s="141">
        <f>IFERROR(VLOOKUP($B1763,calc_data,L$14+1,0),0)</f>
        <v/>
      </c>
      <c r="M1763" s="177">
        <f>IFERROR(VLOOKUP($B1763,calc_data,M$14+1,0),0)</f>
        <v/>
      </c>
      <c r="N1763" s="177">
        <f>IFERROR(VLOOKUP($B1763,calc_data,N$14+1,0),0)</f>
        <v/>
      </c>
      <c r="O1763" s="45" t="n"/>
      <c r="Q1763" s="57">
        <f>IF(K1763&gt;0,"показать","скрыть")</f>
        <v/>
      </c>
    </row>
    <row r="1764" ht="15.75" customHeight="1">
      <c r="B1764" s="182" t="n">
        <v>1748</v>
      </c>
      <c r="C1764" s="182">
        <f>IFERROR(VLOOKUP($B1764,calc_data,C$14+1,0),0)</f>
        <v/>
      </c>
      <c r="D1764" s="182">
        <f>IFERROR(VLOOKUP($B1764,calc_data,D$14+1,0),0)</f>
        <v/>
      </c>
      <c r="E1764" s="183">
        <f>IFERROR(VLOOKUP($B1764,calc_data,E$14+1,0),0)</f>
        <v/>
      </c>
      <c r="F1764" s="182">
        <f>IFERROR(VLOOKUP($B1764,calc_data,F$14+1,0),0)</f>
        <v/>
      </c>
      <c r="G1764" s="141">
        <f>IFERROR(VLOOKUP($B1764,calc_data,G$14+1,0),0)</f>
        <v/>
      </c>
      <c r="H1764" s="141">
        <f>IFERROR(VLOOKUP($B1764,calc_data,H$14+1,0),0)</f>
        <v/>
      </c>
      <c r="I1764" s="142">
        <f>IFERROR(VLOOKUP($B1764,calc_data,I$14+1,0),0)</f>
        <v/>
      </c>
      <c r="J1764" s="141">
        <f>IFERROR(VLOOKUP($B1764,calc_data,J$14+1,0),0)</f>
        <v/>
      </c>
      <c r="K1764" s="141">
        <f>IFERROR(VLOOKUP($B1764,calc_data,K$14+1,0),0)</f>
        <v/>
      </c>
      <c r="L1764" s="141">
        <f>IFERROR(VLOOKUP($B1764,calc_data,L$14+1,0),0)</f>
        <v/>
      </c>
      <c r="M1764" s="177">
        <f>IFERROR(VLOOKUP($B1764,calc_data,M$14+1,0),0)</f>
        <v/>
      </c>
      <c r="N1764" s="177">
        <f>IFERROR(VLOOKUP($B1764,calc_data,N$14+1,0),0)</f>
        <v/>
      </c>
      <c r="O1764" s="45" t="n"/>
      <c r="Q1764" s="57">
        <f>IF(K1764&gt;0,"показать","скрыть")</f>
        <v/>
      </c>
    </row>
    <row r="1765" ht="15.75" customHeight="1">
      <c r="B1765" s="182" t="n">
        <v>1749</v>
      </c>
      <c r="C1765" s="182">
        <f>IFERROR(VLOOKUP($B1765,calc_data,C$14+1,0),0)</f>
        <v/>
      </c>
      <c r="D1765" s="182">
        <f>IFERROR(VLOOKUP($B1765,calc_data,D$14+1,0),0)</f>
        <v/>
      </c>
      <c r="E1765" s="183">
        <f>IFERROR(VLOOKUP($B1765,calc_data,E$14+1,0),0)</f>
        <v/>
      </c>
      <c r="F1765" s="182">
        <f>IFERROR(VLOOKUP($B1765,calc_data,F$14+1,0),0)</f>
        <v/>
      </c>
      <c r="G1765" s="141">
        <f>IFERROR(VLOOKUP($B1765,calc_data,G$14+1,0),0)</f>
        <v/>
      </c>
      <c r="H1765" s="141">
        <f>IFERROR(VLOOKUP($B1765,calc_data,H$14+1,0),0)</f>
        <v/>
      </c>
      <c r="I1765" s="142">
        <f>IFERROR(VLOOKUP($B1765,calc_data,I$14+1,0),0)</f>
        <v/>
      </c>
      <c r="J1765" s="141">
        <f>IFERROR(VLOOKUP($B1765,calc_data,J$14+1,0),0)</f>
        <v/>
      </c>
      <c r="K1765" s="141">
        <f>IFERROR(VLOOKUP($B1765,calc_data,K$14+1,0),0)</f>
        <v/>
      </c>
      <c r="L1765" s="141">
        <f>IFERROR(VLOOKUP($B1765,calc_data,L$14+1,0),0)</f>
        <v/>
      </c>
      <c r="M1765" s="177">
        <f>IFERROR(VLOOKUP($B1765,calc_data,M$14+1,0),0)</f>
        <v/>
      </c>
      <c r="N1765" s="177">
        <f>IFERROR(VLOOKUP($B1765,calc_data,N$14+1,0),0)</f>
        <v/>
      </c>
      <c r="O1765" s="45" t="n"/>
      <c r="Q1765" s="57">
        <f>IF(K1765&gt;0,"показать","скрыть")</f>
        <v/>
      </c>
    </row>
    <row r="1766" ht="15.75" customHeight="1">
      <c r="B1766" s="182" t="n">
        <v>1750</v>
      </c>
      <c r="C1766" s="182">
        <f>IFERROR(VLOOKUP($B1766,calc_data,C$14+1,0),0)</f>
        <v/>
      </c>
      <c r="D1766" s="182">
        <f>IFERROR(VLOOKUP($B1766,calc_data,D$14+1,0),0)</f>
        <v/>
      </c>
      <c r="E1766" s="183">
        <f>IFERROR(VLOOKUP($B1766,calc_data,E$14+1,0),0)</f>
        <v/>
      </c>
      <c r="F1766" s="182">
        <f>IFERROR(VLOOKUP($B1766,calc_data,F$14+1,0),0)</f>
        <v/>
      </c>
      <c r="G1766" s="141">
        <f>IFERROR(VLOOKUP($B1766,calc_data,G$14+1,0),0)</f>
        <v/>
      </c>
      <c r="H1766" s="141">
        <f>IFERROR(VLOOKUP($B1766,calc_data,H$14+1,0),0)</f>
        <v/>
      </c>
      <c r="I1766" s="142">
        <f>IFERROR(VLOOKUP($B1766,calc_data,I$14+1,0),0)</f>
        <v/>
      </c>
      <c r="J1766" s="141">
        <f>IFERROR(VLOOKUP($B1766,calc_data,J$14+1,0),0)</f>
        <v/>
      </c>
      <c r="K1766" s="141">
        <f>IFERROR(VLOOKUP($B1766,calc_data,K$14+1,0),0)</f>
        <v/>
      </c>
      <c r="L1766" s="141">
        <f>IFERROR(VLOOKUP($B1766,calc_data,L$14+1,0),0)</f>
        <v/>
      </c>
      <c r="M1766" s="177">
        <f>IFERROR(VLOOKUP($B1766,calc_data,M$14+1,0),0)</f>
        <v/>
      </c>
      <c r="N1766" s="177">
        <f>IFERROR(VLOOKUP($B1766,calc_data,N$14+1,0),0)</f>
        <v/>
      </c>
      <c r="O1766" s="45" t="n"/>
      <c r="Q1766" s="57">
        <f>IF(K1766&gt;0,"показать","скрыть")</f>
        <v/>
      </c>
    </row>
    <row r="1767" ht="15.75" customHeight="1">
      <c r="B1767" s="182" t="n">
        <v>1751</v>
      </c>
      <c r="C1767" s="182">
        <f>IFERROR(VLOOKUP($B1767,calc_data,C$14+1,0),0)</f>
        <v/>
      </c>
      <c r="D1767" s="182">
        <f>IFERROR(VLOOKUP($B1767,calc_data,D$14+1,0),0)</f>
        <v/>
      </c>
      <c r="E1767" s="183">
        <f>IFERROR(VLOOKUP($B1767,calc_data,E$14+1,0),0)</f>
        <v/>
      </c>
      <c r="F1767" s="182">
        <f>IFERROR(VLOOKUP($B1767,calc_data,F$14+1,0),0)</f>
        <v/>
      </c>
      <c r="G1767" s="141">
        <f>IFERROR(VLOOKUP($B1767,calc_data,G$14+1,0),0)</f>
        <v/>
      </c>
      <c r="H1767" s="141">
        <f>IFERROR(VLOOKUP($B1767,calc_data,H$14+1,0),0)</f>
        <v/>
      </c>
      <c r="I1767" s="142">
        <f>IFERROR(VLOOKUP($B1767,calc_data,I$14+1,0),0)</f>
        <v/>
      </c>
      <c r="J1767" s="141">
        <f>IFERROR(VLOOKUP($B1767,calc_data,J$14+1,0),0)</f>
        <v/>
      </c>
      <c r="K1767" s="141">
        <f>IFERROR(VLOOKUP($B1767,calc_data,K$14+1,0),0)</f>
        <v/>
      </c>
      <c r="L1767" s="141">
        <f>IFERROR(VLOOKUP($B1767,calc_data,L$14+1,0),0)</f>
        <v/>
      </c>
      <c r="M1767" s="177">
        <f>IFERROR(VLOOKUP($B1767,calc_data,M$14+1,0),0)</f>
        <v/>
      </c>
      <c r="N1767" s="177">
        <f>IFERROR(VLOOKUP($B1767,calc_data,N$14+1,0),0)</f>
        <v/>
      </c>
      <c r="O1767" s="45" t="n"/>
      <c r="Q1767" s="57">
        <f>IF(K1767&gt;0,"показать","скрыть")</f>
        <v/>
      </c>
    </row>
    <row r="1768" ht="15.75" customHeight="1">
      <c r="B1768" s="182" t="n">
        <v>1752</v>
      </c>
      <c r="C1768" s="182">
        <f>IFERROR(VLOOKUP($B1768,calc_data,C$14+1,0),0)</f>
        <v/>
      </c>
      <c r="D1768" s="182">
        <f>IFERROR(VLOOKUP($B1768,calc_data,D$14+1,0),0)</f>
        <v/>
      </c>
      <c r="E1768" s="183">
        <f>IFERROR(VLOOKUP($B1768,calc_data,E$14+1,0),0)</f>
        <v/>
      </c>
      <c r="F1768" s="182">
        <f>IFERROR(VLOOKUP($B1768,calc_data,F$14+1,0),0)</f>
        <v/>
      </c>
      <c r="G1768" s="141">
        <f>IFERROR(VLOOKUP($B1768,calc_data,G$14+1,0),0)</f>
        <v/>
      </c>
      <c r="H1768" s="141">
        <f>IFERROR(VLOOKUP($B1768,calc_data,H$14+1,0),0)</f>
        <v/>
      </c>
      <c r="I1768" s="142">
        <f>IFERROR(VLOOKUP($B1768,calc_data,I$14+1,0),0)</f>
        <v/>
      </c>
      <c r="J1768" s="141">
        <f>IFERROR(VLOOKUP($B1768,calc_data,J$14+1,0),0)</f>
        <v/>
      </c>
      <c r="K1768" s="141">
        <f>IFERROR(VLOOKUP($B1768,calc_data,K$14+1,0),0)</f>
        <v/>
      </c>
      <c r="L1768" s="141">
        <f>IFERROR(VLOOKUP($B1768,calc_data,L$14+1,0),0)</f>
        <v/>
      </c>
      <c r="M1768" s="177">
        <f>IFERROR(VLOOKUP($B1768,calc_data,M$14+1,0),0)</f>
        <v/>
      </c>
      <c r="N1768" s="177">
        <f>IFERROR(VLOOKUP($B1768,calc_data,N$14+1,0),0)</f>
        <v/>
      </c>
      <c r="O1768" s="45" t="n"/>
      <c r="Q1768" s="57">
        <f>IF(K1768&gt;0,"показать","скрыть")</f>
        <v/>
      </c>
    </row>
    <row r="1769" ht="15.75" customHeight="1">
      <c r="B1769" s="182" t="n">
        <v>1753</v>
      </c>
      <c r="C1769" s="182">
        <f>IFERROR(VLOOKUP($B1769,calc_data,C$14+1,0),0)</f>
        <v/>
      </c>
      <c r="D1769" s="182">
        <f>IFERROR(VLOOKUP($B1769,calc_data,D$14+1,0),0)</f>
        <v/>
      </c>
      <c r="E1769" s="183">
        <f>IFERROR(VLOOKUP($B1769,calc_data,E$14+1,0),0)</f>
        <v/>
      </c>
      <c r="F1769" s="182">
        <f>IFERROR(VLOOKUP($B1769,calc_data,F$14+1,0),0)</f>
        <v/>
      </c>
      <c r="G1769" s="141">
        <f>IFERROR(VLOOKUP($B1769,calc_data,G$14+1,0),0)</f>
        <v/>
      </c>
      <c r="H1769" s="141">
        <f>IFERROR(VLOOKUP($B1769,calc_data,H$14+1,0),0)</f>
        <v/>
      </c>
      <c r="I1769" s="142">
        <f>IFERROR(VLOOKUP($B1769,calc_data,I$14+1,0),0)</f>
        <v/>
      </c>
      <c r="J1769" s="141">
        <f>IFERROR(VLOOKUP($B1769,calc_data,J$14+1,0),0)</f>
        <v/>
      </c>
      <c r="K1769" s="141">
        <f>IFERROR(VLOOKUP($B1769,calc_data,K$14+1,0),0)</f>
        <v/>
      </c>
      <c r="L1769" s="141">
        <f>IFERROR(VLOOKUP($B1769,calc_data,L$14+1,0),0)</f>
        <v/>
      </c>
      <c r="M1769" s="177">
        <f>IFERROR(VLOOKUP($B1769,calc_data,M$14+1,0),0)</f>
        <v/>
      </c>
      <c r="N1769" s="177">
        <f>IFERROR(VLOOKUP($B1769,calc_data,N$14+1,0),0)</f>
        <v/>
      </c>
      <c r="O1769" s="45" t="n"/>
      <c r="Q1769" s="57">
        <f>IF(K1769&gt;0,"показать","скрыть")</f>
        <v/>
      </c>
    </row>
    <row r="1770" ht="15.75" customHeight="1">
      <c r="B1770" s="182" t="n">
        <v>1754</v>
      </c>
      <c r="C1770" s="182">
        <f>IFERROR(VLOOKUP($B1770,calc_data,C$14+1,0),0)</f>
        <v/>
      </c>
      <c r="D1770" s="182">
        <f>IFERROR(VLOOKUP($B1770,calc_data,D$14+1,0),0)</f>
        <v/>
      </c>
      <c r="E1770" s="183">
        <f>IFERROR(VLOOKUP($B1770,calc_data,E$14+1,0),0)</f>
        <v/>
      </c>
      <c r="F1770" s="182">
        <f>IFERROR(VLOOKUP($B1770,calc_data,F$14+1,0),0)</f>
        <v/>
      </c>
      <c r="G1770" s="141">
        <f>IFERROR(VLOOKUP($B1770,calc_data,G$14+1,0),0)</f>
        <v/>
      </c>
      <c r="H1770" s="141">
        <f>IFERROR(VLOOKUP($B1770,calc_data,H$14+1,0),0)</f>
        <v/>
      </c>
      <c r="I1770" s="142">
        <f>IFERROR(VLOOKUP($B1770,calc_data,I$14+1,0),0)</f>
        <v/>
      </c>
      <c r="J1770" s="141">
        <f>IFERROR(VLOOKUP($B1770,calc_data,J$14+1,0),0)</f>
        <v/>
      </c>
      <c r="K1770" s="141">
        <f>IFERROR(VLOOKUP($B1770,calc_data,K$14+1,0),0)</f>
        <v/>
      </c>
      <c r="L1770" s="141">
        <f>IFERROR(VLOOKUP($B1770,calc_data,L$14+1,0),0)</f>
        <v/>
      </c>
      <c r="M1770" s="177">
        <f>IFERROR(VLOOKUP($B1770,calc_data,M$14+1,0),0)</f>
        <v/>
      </c>
      <c r="N1770" s="177">
        <f>IFERROR(VLOOKUP($B1770,calc_data,N$14+1,0),0)</f>
        <v/>
      </c>
      <c r="O1770" s="45" t="n"/>
      <c r="Q1770" s="57">
        <f>IF(K1770&gt;0,"показать","скрыть")</f>
        <v/>
      </c>
    </row>
    <row r="1771" ht="15.75" customHeight="1">
      <c r="B1771" s="182" t="n">
        <v>1755</v>
      </c>
      <c r="C1771" s="182">
        <f>IFERROR(VLOOKUP($B1771,calc_data,C$14+1,0),0)</f>
        <v/>
      </c>
      <c r="D1771" s="182">
        <f>IFERROR(VLOOKUP($B1771,calc_data,D$14+1,0),0)</f>
        <v/>
      </c>
      <c r="E1771" s="183">
        <f>IFERROR(VLOOKUP($B1771,calc_data,E$14+1,0),0)</f>
        <v/>
      </c>
      <c r="F1771" s="182">
        <f>IFERROR(VLOOKUP($B1771,calc_data,F$14+1,0),0)</f>
        <v/>
      </c>
      <c r="G1771" s="141">
        <f>IFERROR(VLOOKUP($B1771,calc_data,G$14+1,0),0)</f>
        <v/>
      </c>
      <c r="H1771" s="141">
        <f>IFERROR(VLOOKUP($B1771,calc_data,H$14+1,0),0)</f>
        <v/>
      </c>
      <c r="I1771" s="142">
        <f>IFERROR(VLOOKUP($B1771,calc_data,I$14+1,0),0)</f>
        <v/>
      </c>
      <c r="J1771" s="141">
        <f>IFERROR(VLOOKUP($B1771,calc_data,J$14+1,0),0)</f>
        <v/>
      </c>
      <c r="K1771" s="141">
        <f>IFERROR(VLOOKUP($B1771,calc_data,K$14+1,0),0)</f>
        <v/>
      </c>
      <c r="L1771" s="141">
        <f>IFERROR(VLOOKUP($B1771,calc_data,L$14+1,0),0)</f>
        <v/>
      </c>
      <c r="M1771" s="177">
        <f>IFERROR(VLOOKUP($B1771,calc_data,M$14+1,0),0)</f>
        <v/>
      </c>
      <c r="N1771" s="177">
        <f>IFERROR(VLOOKUP($B1771,calc_data,N$14+1,0),0)</f>
        <v/>
      </c>
      <c r="O1771" s="45" t="n"/>
      <c r="Q1771" s="57">
        <f>IF(K1771&gt;0,"показать","скрыть")</f>
        <v/>
      </c>
    </row>
    <row r="1772" ht="15.75" customHeight="1">
      <c r="B1772" s="182" t="n">
        <v>1756</v>
      </c>
      <c r="C1772" s="182">
        <f>IFERROR(VLOOKUP($B1772,calc_data,C$14+1,0),0)</f>
        <v/>
      </c>
      <c r="D1772" s="182">
        <f>IFERROR(VLOOKUP($B1772,calc_data,D$14+1,0),0)</f>
        <v/>
      </c>
      <c r="E1772" s="183">
        <f>IFERROR(VLOOKUP($B1772,calc_data,E$14+1,0),0)</f>
        <v/>
      </c>
      <c r="F1772" s="182">
        <f>IFERROR(VLOOKUP($B1772,calc_data,F$14+1,0),0)</f>
        <v/>
      </c>
      <c r="G1772" s="141">
        <f>IFERROR(VLOOKUP($B1772,calc_data,G$14+1,0),0)</f>
        <v/>
      </c>
      <c r="H1772" s="141">
        <f>IFERROR(VLOOKUP($B1772,calc_data,H$14+1,0),0)</f>
        <v/>
      </c>
      <c r="I1772" s="142">
        <f>IFERROR(VLOOKUP($B1772,calc_data,I$14+1,0),0)</f>
        <v/>
      </c>
      <c r="J1772" s="141">
        <f>IFERROR(VLOOKUP($B1772,calc_data,J$14+1,0),0)</f>
        <v/>
      </c>
      <c r="K1772" s="141">
        <f>IFERROR(VLOOKUP($B1772,calc_data,K$14+1,0),0)</f>
        <v/>
      </c>
      <c r="L1772" s="141">
        <f>IFERROR(VLOOKUP($B1772,calc_data,L$14+1,0),0)</f>
        <v/>
      </c>
      <c r="M1772" s="177">
        <f>IFERROR(VLOOKUP($B1772,calc_data,M$14+1,0),0)</f>
        <v/>
      </c>
      <c r="N1772" s="177">
        <f>IFERROR(VLOOKUP($B1772,calc_data,N$14+1,0),0)</f>
        <v/>
      </c>
      <c r="O1772" s="45" t="n"/>
      <c r="Q1772" s="57">
        <f>IF(K1772&gt;0,"показать","скрыть")</f>
        <v/>
      </c>
    </row>
    <row r="1773" ht="15.75" customHeight="1">
      <c r="B1773" s="182" t="n">
        <v>1757</v>
      </c>
      <c r="C1773" s="182">
        <f>IFERROR(VLOOKUP($B1773,calc_data,C$14+1,0),0)</f>
        <v/>
      </c>
      <c r="D1773" s="182">
        <f>IFERROR(VLOOKUP($B1773,calc_data,D$14+1,0),0)</f>
        <v/>
      </c>
      <c r="E1773" s="183">
        <f>IFERROR(VLOOKUP($B1773,calc_data,E$14+1,0),0)</f>
        <v/>
      </c>
      <c r="F1773" s="182">
        <f>IFERROR(VLOOKUP($B1773,calc_data,F$14+1,0),0)</f>
        <v/>
      </c>
      <c r="G1773" s="141">
        <f>IFERROR(VLOOKUP($B1773,calc_data,G$14+1,0),0)</f>
        <v/>
      </c>
      <c r="H1773" s="141">
        <f>IFERROR(VLOOKUP($B1773,calc_data,H$14+1,0),0)</f>
        <v/>
      </c>
      <c r="I1773" s="142">
        <f>IFERROR(VLOOKUP($B1773,calc_data,I$14+1,0),0)</f>
        <v/>
      </c>
      <c r="J1773" s="141">
        <f>IFERROR(VLOOKUP($B1773,calc_data,J$14+1,0),0)</f>
        <v/>
      </c>
      <c r="K1773" s="141">
        <f>IFERROR(VLOOKUP($B1773,calc_data,K$14+1,0),0)</f>
        <v/>
      </c>
      <c r="L1773" s="141">
        <f>IFERROR(VLOOKUP($B1773,calc_data,L$14+1,0),0)</f>
        <v/>
      </c>
      <c r="M1773" s="177">
        <f>IFERROR(VLOOKUP($B1773,calc_data,M$14+1,0),0)</f>
        <v/>
      </c>
      <c r="N1773" s="177">
        <f>IFERROR(VLOOKUP($B1773,calc_data,N$14+1,0),0)</f>
        <v/>
      </c>
      <c r="O1773" s="45" t="n"/>
      <c r="Q1773" s="57">
        <f>IF(K1773&gt;0,"показать","скрыть")</f>
        <v/>
      </c>
    </row>
    <row r="1774" ht="15.75" customHeight="1">
      <c r="B1774" s="182" t="n">
        <v>1758</v>
      </c>
      <c r="C1774" s="182">
        <f>IFERROR(VLOOKUP($B1774,calc_data,C$14+1,0),0)</f>
        <v/>
      </c>
      <c r="D1774" s="182">
        <f>IFERROR(VLOOKUP($B1774,calc_data,D$14+1,0),0)</f>
        <v/>
      </c>
      <c r="E1774" s="183">
        <f>IFERROR(VLOOKUP($B1774,calc_data,E$14+1,0),0)</f>
        <v/>
      </c>
      <c r="F1774" s="182">
        <f>IFERROR(VLOOKUP($B1774,calc_data,F$14+1,0),0)</f>
        <v/>
      </c>
      <c r="G1774" s="141">
        <f>IFERROR(VLOOKUP($B1774,calc_data,G$14+1,0),0)</f>
        <v/>
      </c>
      <c r="H1774" s="141">
        <f>IFERROR(VLOOKUP($B1774,calc_data,H$14+1,0),0)</f>
        <v/>
      </c>
      <c r="I1774" s="142">
        <f>IFERROR(VLOOKUP($B1774,calc_data,I$14+1,0),0)</f>
        <v/>
      </c>
      <c r="J1774" s="141">
        <f>IFERROR(VLOOKUP($B1774,calc_data,J$14+1,0),0)</f>
        <v/>
      </c>
      <c r="K1774" s="141">
        <f>IFERROR(VLOOKUP($B1774,calc_data,K$14+1,0),0)</f>
        <v/>
      </c>
      <c r="L1774" s="141">
        <f>IFERROR(VLOOKUP($B1774,calc_data,L$14+1,0),0)</f>
        <v/>
      </c>
      <c r="M1774" s="177">
        <f>IFERROR(VLOOKUP($B1774,calc_data,M$14+1,0),0)</f>
        <v/>
      </c>
      <c r="N1774" s="177">
        <f>IFERROR(VLOOKUP($B1774,calc_data,N$14+1,0),0)</f>
        <v/>
      </c>
      <c r="O1774" s="45" t="n"/>
      <c r="Q1774" s="57">
        <f>IF(K1774&gt;0,"показать","скрыть")</f>
        <v/>
      </c>
    </row>
    <row r="1775" ht="15.75" customHeight="1">
      <c r="B1775" s="182" t="n">
        <v>1759</v>
      </c>
      <c r="C1775" s="182">
        <f>IFERROR(VLOOKUP($B1775,calc_data,C$14+1,0),0)</f>
        <v/>
      </c>
      <c r="D1775" s="182">
        <f>IFERROR(VLOOKUP($B1775,calc_data,D$14+1,0),0)</f>
        <v/>
      </c>
      <c r="E1775" s="183">
        <f>IFERROR(VLOOKUP($B1775,calc_data,E$14+1,0),0)</f>
        <v/>
      </c>
      <c r="F1775" s="182">
        <f>IFERROR(VLOOKUP($B1775,calc_data,F$14+1,0),0)</f>
        <v/>
      </c>
      <c r="G1775" s="141">
        <f>IFERROR(VLOOKUP($B1775,calc_data,G$14+1,0),0)</f>
        <v/>
      </c>
      <c r="H1775" s="141">
        <f>IFERROR(VLOOKUP($B1775,calc_data,H$14+1,0),0)</f>
        <v/>
      </c>
      <c r="I1775" s="142">
        <f>IFERROR(VLOOKUP($B1775,calc_data,I$14+1,0),0)</f>
        <v/>
      </c>
      <c r="J1775" s="141">
        <f>IFERROR(VLOOKUP($B1775,calc_data,J$14+1,0),0)</f>
        <v/>
      </c>
      <c r="K1775" s="141">
        <f>IFERROR(VLOOKUP($B1775,calc_data,K$14+1,0),0)</f>
        <v/>
      </c>
      <c r="L1775" s="141">
        <f>IFERROR(VLOOKUP($B1775,calc_data,L$14+1,0),0)</f>
        <v/>
      </c>
      <c r="M1775" s="177">
        <f>IFERROR(VLOOKUP($B1775,calc_data,M$14+1,0),0)</f>
        <v/>
      </c>
      <c r="N1775" s="177">
        <f>IFERROR(VLOOKUP($B1775,calc_data,N$14+1,0),0)</f>
        <v/>
      </c>
      <c r="O1775" s="45" t="n"/>
      <c r="Q1775" s="57">
        <f>IF(K1775&gt;0,"показать","скрыть")</f>
        <v/>
      </c>
    </row>
    <row r="1776" ht="15.75" customHeight="1">
      <c r="B1776" s="182" t="n">
        <v>1760</v>
      </c>
      <c r="C1776" s="182">
        <f>IFERROR(VLOOKUP($B1776,calc_data,C$14+1,0),0)</f>
        <v/>
      </c>
      <c r="D1776" s="182">
        <f>IFERROR(VLOOKUP($B1776,calc_data,D$14+1,0),0)</f>
        <v/>
      </c>
      <c r="E1776" s="183">
        <f>IFERROR(VLOOKUP($B1776,calc_data,E$14+1,0),0)</f>
        <v/>
      </c>
      <c r="F1776" s="182">
        <f>IFERROR(VLOOKUP($B1776,calc_data,F$14+1,0),0)</f>
        <v/>
      </c>
      <c r="G1776" s="141">
        <f>IFERROR(VLOOKUP($B1776,calc_data,G$14+1,0),0)</f>
        <v/>
      </c>
      <c r="H1776" s="141">
        <f>IFERROR(VLOOKUP($B1776,calc_data,H$14+1,0),0)</f>
        <v/>
      </c>
      <c r="I1776" s="142">
        <f>IFERROR(VLOOKUP($B1776,calc_data,I$14+1,0),0)</f>
        <v/>
      </c>
      <c r="J1776" s="141">
        <f>IFERROR(VLOOKUP($B1776,calc_data,J$14+1,0),0)</f>
        <v/>
      </c>
      <c r="K1776" s="141">
        <f>IFERROR(VLOOKUP($B1776,calc_data,K$14+1,0),0)</f>
        <v/>
      </c>
      <c r="L1776" s="141">
        <f>IFERROR(VLOOKUP($B1776,calc_data,L$14+1,0),0)</f>
        <v/>
      </c>
      <c r="M1776" s="177">
        <f>IFERROR(VLOOKUP($B1776,calc_data,M$14+1,0),0)</f>
        <v/>
      </c>
      <c r="N1776" s="177">
        <f>IFERROR(VLOOKUP($B1776,calc_data,N$14+1,0),0)</f>
        <v/>
      </c>
      <c r="O1776" s="45" t="n"/>
      <c r="Q1776" s="57">
        <f>IF(K1776&gt;0,"показать","скрыть")</f>
        <v/>
      </c>
    </row>
    <row r="1777" ht="15.75" customHeight="1">
      <c r="B1777" s="182" t="n">
        <v>1761</v>
      </c>
      <c r="C1777" s="182">
        <f>IFERROR(VLOOKUP($B1777,calc_data,C$14+1,0),0)</f>
        <v/>
      </c>
      <c r="D1777" s="182">
        <f>IFERROR(VLOOKUP($B1777,calc_data,D$14+1,0),0)</f>
        <v/>
      </c>
      <c r="E1777" s="183">
        <f>IFERROR(VLOOKUP($B1777,calc_data,E$14+1,0),0)</f>
        <v/>
      </c>
      <c r="F1777" s="182">
        <f>IFERROR(VLOOKUP($B1777,calc_data,F$14+1,0),0)</f>
        <v/>
      </c>
      <c r="G1777" s="141">
        <f>IFERROR(VLOOKUP($B1777,calc_data,G$14+1,0),0)</f>
        <v/>
      </c>
      <c r="H1777" s="141">
        <f>IFERROR(VLOOKUP($B1777,calc_data,H$14+1,0),0)</f>
        <v/>
      </c>
      <c r="I1777" s="142">
        <f>IFERROR(VLOOKUP($B1777,calc_data,I$14+1,0),0)</f>
        <v/>
      </c>
      <c r="J1777" s="141">
        <f>IFERROR(VLOOKUP($B1777,calc_data,J$14+1,0),0)</f>
        <v/>
      </c>
      <c r="K1777" s="141">
        <f>IFERROR(VLOOKUP($B1777,calc_data,K$14+1,0),0)</f>
        <v/>
      </c>
      <c r="L1777" s="141">
        <f>IFERROR(VLOOKUP($B1777,calc_data,L$14+1,0),0)</f>
        <v/>
      </c>
      <c r="M1777" s="177">
        <f>IFERROR(VLOOKUP($B1777,calc_data,M$14+1,0),0)</f>
        <v/>
      </c>
      <c r="N1777" s="177">
        <f>IFERROR(VLOOKUP($B1777,calc_data,N$14+1,0),0)</f>
        <v/>
      </c>
      <c r="O1777" s="45" t="n"/>
      <c r="Q1777" s="57">
        <f>IF(K1777&gt;0,"показать","скрыть")</f>
        <v/>
      </c>
    </row>
    <row r="1778" ht="15.75" customHeight="1">
      <c r="B1778" s="182" t="n">
        <v>1762</v>
      </c>
      <c r="C1778" s="182">
        <f>IFERROR(VLOOKUP($B1778,calc_data,C$14+1,0),0)</f>
        <v/>
      </c>
      <c r="D1778" s="182">
        <f>IFERROR(VLOOKUP($B1778,calc_data,D$14+1,0),0)</f>
        <v/>
      </c>
      <c r="E1778" s="183">
        <f>IFERROR(VLOOKUP($B1778,calc_data,E$14+1,0),0)</f>
        <v/>
      </c>
      <c r="F1778" s="182">
        <f>IFERROR(VLOOKUP($B1778,calc_data,F$14+1,0),0)</f>
        <v/>
      </c>
      <c r="G1778" s="141">
        <f>IFERROR(VLOOKUP($B1778,calc_data,G$14+1,0),0)</f>
        <v/>
      </c>
      <c r="H1778" s="141">
        <f>IFERROR(VLOOKUP($B1778,calc_data,H$14+1,0),0)</f>
        <v/>
      </c>
      <c r="I1778" s="142">
        <f>IFERROR(VLOOKUP($B1778,calc_data,I$14+1,0),0)</f>
        <v/>
      </c>
      <c r="J1778" s="141">
        <f>IFERROR(VLOOKUP($B1778,calc_data,J$14+1,0),0)</f>
        <v/>
      </c>
      <c r="K1778" s="141">
        <f>IFERROR(VLOOKUP($B1778,calc_data,K$14+1,0),0)</f>
        <v/>
      </c>
      <c r="L1778" s="141">
        <f>IFERROR(VLOOKUP($B1778,calc_data,L$14+1,0),0)</f>
        <v/>
      </c>
      <c r="M1778" s="177">
        <f>IFERROR(VLOOKUP($B1778,calc_data,M$14+1,0),0)</f>
        <v/>
      </c>
      <c r="N1778" s="177">
        <f>IFERROR(VLOOKUP($B1778,calc_data,N$14+1,0),0)</f>
        <v/>
      </c>
      <c r="O1778" s="45" t="n"/>
      <c r="Q1778" s="57">
        <f>IF(K1778&gt;0,"показать","скрыть")</f>
        <v/>
      </c>
    </row>
    <row r="1779" ht="15.75" customHeight="1">
      <c r="B1779" s="182" t="n">
        <v>1763</v>
      </c>
      <c r="C1779" s="182">
        <f>IFERROR(VLOOKUP($B1779,calc_data,C$14+1,0),0)</f>
        <v/>
      </c>
      <c r="D1779" s="182">
        <f>IFERROR(VLOOKUP($B1779,calc_data,D$14+1,0),0)</f>
        <v/>
      </c>
      <c r="E1779" s="183">
        <f>IFERROR(VLOOKUP($B1779,calc_data,E$14+1,0),0)</f>
        <v/>
      </c>
      <c r="F1779" s="182">
        <f>IFERROR(VLOOKUP($B1779,calc_data,F$14+1,0),0)</f>
        <v/>
      </c>
      <c r="G1779" s="141">
        <f>IFERROR(VLOOKUP($B1779,calc_data,G$14+1,0),0)</f>
        <v/>
      </c>
      <c r="H1779" s="141">
        <f>IFERROR(VLOOKUP($B1779,calc_data,H$14+1,0),0)</f>
        <v/>
      </c>
      <c r="I1779" s="142">
        <f>IFERROR(VLOOKUP($B1779,calc_data,I$14+1,0),0)</f>
        <v/>
      </c>
      <c r="J1779" s="141">
        <f>IFERROR(VLOOKUP($B1779,calc_data,J$14+1,0),0)</f>
        <v/>
      </c>
      <c r="K1779" s="141">
        <f>IFERROR(VLOOKUP($B1779,calc_data,K$14+1,0),0)</f>
        <v/>
      </c>
      <c r="L1779" s="141">
        <f>IFERROR(VLOOKUP($B1779,calc_data,L$14+1,0),0)</f>
        <v/>
      </c>
      <c r="M1779" s="177">
        <f>IFERROR(VLOOKUP($B1779,calc_data,M$14+1,0),0)</f>
        <v/>
      </c>
      <c r="N1779" s="177">
        <f>IFERROR(VLOOKUP($B1779,calc_data,N$14+1,0),0)</f>
        <v/>
      </c>
      <c r="O1779" s="45" t="n"/>
      <c r="Q1779" s="57">
        <f>IF(K1779&gt;0,"показать","скрыть")</f>
        <v/>
      </c>
    </row>
    <row r="1780" ht="15.75" customHeight="1">
      <c r="B1780" s="182" t="n">
        <v>1764</v>
      </c>
      <c r="C1780" s="182">
        <f>IFERROR(VLOOKUP($B1780,calc_data,C$14+1,0),0)</f>
        <v/>
      </c>
      <c r="D1780" s="182">
        <f>IFERROR(VLOOKUP($B1780,calc_data,D$14+1,0),0)</f>
        <v/>
      </c>
      <c r="E1780" s="183">
        <f>IFERROR(VLOOKUP($B1780,calc_data,E$14+1,0),0)</f>
        <v/>
      </c>
      <c r="F1780" s="182">
        <f>IFERROR(VLOOKUP($B1780,calc_data,F$14+1,0),0)</f>
        <v/>
      </c>
      <c r="G1780" s="141">
        <f>IFERROR(VLOOKUP($B1780,calc_data,G$14+1,0),0)</f>
        <v/>
      </c>
      <c r="H1780" s="141">
        <f>IFERROR(VLOOKUP($B1780,calc_data,H$14+1,0),0)</f>
        <v/>
      </c>
      <c r="I1780" s="142">
        <f>IFERROR(VLOOKUP($B1780,calc_data,I$14+1,0),0)</f>
        <v/>
      </c>
      <c r="J1780" s="141">
        <f>IFERROR(VLOOKUP($B1780,calc_data,J$14+1,0),0)</f>
        <v/>
      </c>
      <c r="K1780" s="141">
        <f>IFERROR(VLOOKUP($B1780,calc_data,K$14+1,0),0)</f>
        <v/>
      </c>
      <c r="L1780" s="141">
        <f>IFERROR(VLOOKUP($B1780,calc_data,L$14+1,0),0)</f>
        <v/>
      </c>
      <c r="M1780" s="177">
        <f>IFERROR(VLOOKUP($B1780,calc_data,M$14+1,0),0)</f>
        <v/>
      </c>
      <c r="N1780" s="177">
        <f>IFERROR(VLOOKUP($B1780,calc_data,N$14+1,0),0)</f>
        <v/>
      </c>
      <c r="O1780" s="45" t="n"/>
      <c r="Q1780" s="57">
        <f>IF(K1780&gt;0,"показать","скрыть")</f>
        <v/>
      </c>
    </row>
    <row r="1781" ht="15.75" customHeight="1">
      <c r="B1781" s="182" t="n">
        <v>1765</v>
      </c>
      <c r="C1781" s="182">
        <f>IFERROR(VLOOKUP($B1781,calc_data,C$14+1,0),0)</f>
        <v/>
      </c>
      <c r="D1781" s="182">
        <f>IFERROR(VLOOKUP($B1781,calc_data,D$14+1,0),0)</f>
        <v/>
      </c>
      <c r="E1781" s="183">
        <f>IFERROR(VLOOKUP($B1781,calc_data,E$14+1,0),0)</f>
        <v/>
      </c>
      <c r="F1781" s="182">
        <f>IFERROR(VLOOKUP($B1781,calc_data,F$14+1,0),0)</f>
        <v/>
      </c>
      <c r="G1781" s="141">
        <f>IFERROR(VLOOKUP($B1781,calc_data,G$14+1,0),0)</f>
        <v/>
      </c>
      <c r="H1781" s="141">
        <f>IFERROR(VLOOKUP($B1781,calc_data,H$14+1,0),0)</f>
        <v/>
      </c>
      <c r="I1781" s="142">
        <f>IFERROR(VLOOKUP($B1781,calc_data,I$14+1,0),0)</f>
        <v/>
      </c>
      <c r="J1781" s="141">
        <f>IFERROR(VLOOKUP($B1781,calc_data,J$14+1,0),0)</f>
        <v/>
      </c>
      <c r="K1781" s="141">
        <f>IFERROR(VLOOKUP($B1781,calc_data,K$14+1,0),0)</f>
        <v/>
      </c>
      <c r="L1781" s="141">
        <f>IFERROR(VLOOKUP($B1781,calc_data,L$14+1,0),0)</f>
        <v/>
      </c>
      <c r="M1781" s="177">
        <f>IFERROR(VLOOKUP($B1781,calc_data,M$14+1,0),0)</f>
        <v/>
      </c>
      <c r="N1781" s="177">
        <f>IFERROR(VLOOKUP($B1781,calc_data,N$14+1,0),0)</f>
        <v/>
      </c>
      <c r="O1781" s="45" t="n"/>
      <c r="Q1781" s="57">
        <f>IF(K1781&gt;0,"показать","скрыть")</f>
        <v/>
      </c>
    </row>
    <row r="1782" ht="15.75" customHeight="1">
      <c r="B1782" s="182" t="n">
        <v>1766</v>
      </c>
      <c r="C1782" s="182">
        <f>IFERROR(VLOOKUP($B1782,calc_data,C$14+1,0),0)</f>
        <v/>
      </c>
      <c r="D1782" s="182">
        <f>IFERROR(VLOOKUP($B1782,calc_data,D$14+1,0),0)</f>
        <v/>
      </c>
      <c r="E1782" s="183">
        <f>IFERROR(VLOOKUP($B1782,calc_data,E$14+1,0),0)</f>
        <v/>
      </c>
      <c r="F1782" s="182">
        <f>IFERROR(VLOOKUP($B1782,calc_data,F$14+1,0),0)</f>
        <v/>
      </c>
      <c r="G1782" s="141">
        <f>IFERROR(VLOOKUP($B1782,calc_data,G$14+1,0),0)</f>
        <v/>
      </c>
      <c r="H1782" s="141">
        <f>IFERROR(VLOOKUP($B1782,calc_data,H$14+1,0),0)</f>
        <v/>
      </c>
      <c r="I1782" s="142">
        <f>IFERROR(VLOOKUP($B1782,calc_data,I$14+1,0),0)</f>
        <v/>
      </c>
      <c r="J1782" s="141">
        <f>IFERROR(VLOOKUP($B1782,calc_data,J$14+1,0),0)</f>
        <v/>
      </c>
      <c r="K1782" s="141">
        <f>IFERROR(VLOOKUP($B1782,calc_data,K$14+1,0),0)</f>
        <v/>
      </c>
      <c r="L1782" s="141">
        <f>IFERROR(VLOOKUP($B1782,calc_data,L$14+1,0),0)</f>
        <v/>
      </c>
      <c r="M1782" s="177">
        <f>IFERROR(VLOOKUP($B1782,calc_data,M$14+1,0),0)</f>
        <v/>
      </c>
      <c r="N1782" s="177">
        <f>IFERROR(VLOOKUP($B1782,calc_data,N$14+1,0),0)</f>
        <v/>
      </c>
      <c r="O1782" s="45" t="n"/>
      <c r="Q1782" s="57">
        <f>IF(K1782&gt;0,"показать","скрыть")</f>
        <v/>
      </c>
    </row>
    <row r="1783" ht="15.75" customHeight="1">
      <c r="B1783" s="182" t="n">
        <v>1767</v>
      </c>
      <c r="C1783" s="182">
        <f>IFERROR(VLOOKUP($B1783,calc_data,C$14+1,0),0)</f>
        <v/>
      </c>
      <c r="D1783" s="182">
        <f>IFERROR(VLOOKUP($B1783,calc_data,D$14+1,0),0)</f>
        <v/>
      </c>
      <c r="E1783" s="183">
        <f>IFERROR(VLOOKUP($B1783,calc_data,E$14+1,0),0)</f>
        <v/>
      </c>
      <c r="F1783" s="182">
        <f>IFERROR(VLOOKUP($B1783,calc_data,F$14+1,0),0)</f>
        <v/>
      </c>
      <c r="G1783" s="141">
        <f>IFERROR(VLOOKUP($B1783,calc_data,G$14+1,0),0)</f>
        <v/>
      </c>
      <c r="H1783" s="141">
        <f>IFERROR(VLOOKUP($B1783,calc_data,H$14+1,0),0)</f>
        <v/>
      </c>
      <c r="I1783" s="142">
        <f>IFERROR(VLOOKUP($B1783,calc_data,I$14+1,0),0)</f>
        <v/>
      </c>
      <c r="J1783" s="141">
        <f>IFERROR(VLOOKUP($B1783,calc_data,J$14+1,0),0)</f>
        <v/>
      </c>
      <c r="K1783" s="141">
        <f>IFERROR(VLOOKUP($B1783,calc_data,K$14+1,0),0)</f>
        <v/>
      </c>
      <c r="L1783" s="141">
        <f>IFERROR(VLOOKUP($B1783,calc_data,L$14+1,0),0)</f>
        <v/>
      </c>
      <c r="M1783" s="177">
        <f>IFERROR(VLOOKUP($B1783,calc_data,M$14+1,0),0)</f>
        <v/>
      </c>
      <c r="N1783" s="177">
        <f>IFERROR(VLOOKUP($B1783,calc_data,N$14+1,0),0)</f>
        <v/>
      </c>
      <c r="O1783" s="45" t="n"/>
      <c r="Q1783" s="57">
        <f>IF(K1783&gt;0,"показать","скрыть")</f>
        <v/>
      </c>
    </row>
    <row r="1784" ht="15.75" customHeight="1">
      <c r="B1784" s="182" t="n">
        <v>1768</v>
      </c>
      <c r="C1784" s="182">
        <f>IFERROR(VLOOKUP($B1784,calc_data,C$14+1,0),0)</f>
        <v/>
      </c>
      <c r="D1784" s="182">
        <f>IFERROR(VLOOKUP($B1784,calc_data,D$14+1,0),0)</f>
        <v/>
      </c>
      <c r="E1784" s="183">
        <f>IFERROR(VLOOKUP($B1784,calc_data,E$14+1,0),0)</f>
        <v/>
      </c>
      <c r="F1784" s="182">
        <f>IFERROR(VLOOKUP($B1784,calc_data,F$14+1,0),0)</f>
        <v/>
      </c>
      <c r="G1784" s="141">
        <f>IFERROR(VLOOKUP($B1784,calc_data,G$14+1,0),0)</f>
        <v/>
      </c>
      <c r="H1784" s="141">
        <f>IFERROR(VLOOKUP($B1784,calc_data,H$14+1,0),0)</f>
        <v/>
      </c>
      <c r="I1784" s="142">
        <f>IFERROR(VLOOKUP($B1784,calc_data,I$14+1,0),0)</f>
        <v/>
      </c>
      <c r="J1784" s="141">
        <f>IFERROR(VLOOKUP($B1784,calc_data,J$14+1,0),0)</f>
        <v/>
      </c>
      <c r="K1784" s="141">
        <f>IFERROR(VLOOKUP($B1784,calc_data,K$14+1,0),0)</f>
        <v/>
      </c>
      <c r="L1784" s="141">
        <f>IFERROR(VLOOKUP($B1784,calc_data,L$14+1,0),0)</f>
        <v/>
      </c>
      <c r="M1784" s="177">
        <f>IFERROR(VLOOKUP($B1784,calc_data,M$14+1,0),0)</f>
        <v/>
      </c>
      <c r="N1784" s="177">
        <f>IFERROR(VLOOKUP($B1784,calc_data,N$14+1,0),0)</f>
        <v/>
      </c>
      <c r="O1784" s="45" t="n"/>
      <c r="Q1784" s="57">
        <f>IF(K1784&gt;0,"показать","скрыть")</f>
        <v/>
      </c>
    </row>
    <row r="1785" ht="15.75" customHeight="1">
      <c r="B1785" s="182" t="n">
        <v>1769</v>
      </c>
      <c r="C1785" s="182">
        <f>IFERROR(VLOOKUP($B1785,calc_data,C$14+1,0),0)</f>
        <v/>
      </c>
      <c r="D1785" s="182">
        <f>IFERROR(VLOOKUP($B1785,calc_data,D$14+1,0),0)</f>
        <v/>
      </c>
      <c r="E1785" s="183">
        <f>IFERROR(VLOOKUP($B1785,calc_data,E$14+1,0),0)</f>
        <v/>
      </c>
      <c r="F1785" s="182">
        <f>IFERROR(VLOOKUP($B1785,calc_data,F$14+1,0),0)</f>
        <v/>
      </c>
      <c r="G1785" s="141">
        <f>IFERROR(VLOOKUP($B1785,calc_data,G$14+1,0),0)</f>
        <v/>
      </c>
      <c r="H1785" s="141">
        <f>IFERROR(VLOOKUP($B1785,calc_data,H$14+1,0),0)</f>
        <v/>
      </c>
      <c r="I1785" s="142">
        <f>IFERROR(VLOOKUP($B1785,calc_data,I$14+1,0),0)</f>
        <v/>
      </c>
      <c r="J1785" s="141">
        <f>IFERROR(VLOOKUP($B1785,calc_data,J$14+1,0),0)</f>
        <v/>
      </c>
      <c r="K1785" s="141">
        <f>IFERROR(VLOOKUP($B1785,calc_data,K$14+1,0),0)</f>
        <v/>
      </c>
      <c r="L1785" s="141">
        <f>IFERROR(VLOOKUP($B1785,calc_data,L$14+1,0),0)</f>
        <v/>
      </c>
      <c r="M1785" s="177">
        <f>IFERROR(VLOOKUP($B1785,calc_data,M$14+1,0),0)</f>
        <v/>
      </c>
      <c r="N1785" s="177">
        <f>IFERROR(VLOOKUP($B1785,calc_data,N$14+1,0),0)</f>
        <v/>
      </c>
      <c r="O1785" s="45" t="n"/>
      <c r="Q1785" s="57">
        <f>IF(K1785&gt;0,"показать","скрыть")</f>
        <v/>
      </c>
    </row>
    <row r="1786" ht="15.75" customHeight="1">
      <c r="B1786" s="182" t="n">
        <v>1770</v>
      </c>
      <c r="C1786" s="182">
        <f>IFERROR(VLOOKUP($B1786,calc_data,C$14+1,0),0)</f>
        <v/>
      </c>
      <c r="D1786" s="182">
        <f>IFERROR(VLOOKUP($B1786,calc_data,D$14+1,0),0)</f>
        <v/>
      </c>
      <c r="E1786" s="183">
        <f>IFERROR(VLOOKUP($B1786,calc_data,E$14+1,0),0)</f>
        <v/>
      </c>
      <c r="F1786" s="182">
        <f>IFERROR(VLOOKUP($B1786,calc_data,F$14+1,0),0)</f>
        <v/>
      </c>
      <c r="G1786" s="141">
        <f>IFERROR(VLOOKUP($B1786,calc_data,G$14+1,0),0)</f>
        <v/>
      </c>
      <c r="H1786" s="141">
        <f>IFERROR(VLOOKUP($B1786,calc_data,H$14+1,0),0)</f>
        <v/>
      </c>
      <c r="I1786" s="142">
        <f>IFERROR(VLOOKUP($B1786,calc_data,I$14+1,0),0)</f>
        <v/>
      </c>
      <c r="J1786" s="141">
        <f>IFERROR(VLOOKUP($B1786,calc_data,J$14+1,0),0)</f>
        <v/>
      </c>
      <c r="K1786" s="141">
        <f>IFERROR(VLOOKUP($B1786,calc_data,K$14+1,0),0)</f>
        <v/>
      </c>
      <c r="L1786" s="141">
        <f>IFERROR(VLOOKUP($B1786,calc_data,L$14+1,0),0)</f>
        <v/>
      </c>
      <c r="M1786" s="177">
        <f>IFERROR(VLOOKUP($B1786,calc_data,M$14+1,0),0)</f>
        <v/>
      </c>
      <c r="N1786" s="177">
        <f>IFERROR(VLOOKUP($B1786,calc_data,N$14+1,0),0)</f>
        <v/>
      </c>
      <c r="O1786" s="45" t="n"/>
      <c r="Q1786" s="57">
        <f>IF(K1786&gt;0,"показать","скрыть")</f>
        <v/>
      </c>
    </row>
    <row r="1787" ht="15.75" customHeight="1">
      <c r="B1787" s="182" t="n">
        <v>1771</v>
      </c>
      <c r="C1787" s="182">
        <f>IFERROR(VLOOKUP($B1787,calc_data,C$14+1,0),0)</f>
        <v/>
      </c>
      <c r="D1787" s="182">
        <f>IFERROR(VLOOKUP($B1787,calc_data,D$14+1,0),0)</f>
        <v/>
      </c>
      <c r="E1787" s="183">
        <f>IFERROR(VLOOKUP($B1787,calc_data,E$14+1,0),0)</f>
        <v/>
      </c>
      <c r="F1787" s="182">
        <f>IFERROR(VLOOKUP($B1787,calc_data,F$14+1,0),0)</f>
        <v/>
      </c>
      <c r="G1787" s="141">
        <f>IFERROR(VLOOKUP($B1787,calc_data,G$14+1,0),0)</f>
        <v/>
      </c>
      <c r="H1787" s="141">
        <f>IFERROR(VLOOKUP($B1787,calc_data,H$14+1,0),0)</f>
        <v/>
      </c>
      <c r="I1787" s="142">
        <f>IFERROR(VLOOKUP($B1787,calc_data,I$14+1,0),0)</f>
        <v/>
      </c>
      <c r="J1787" s="141">
        <f>IFERROR(VLOOKUP($B1787,calc_data,J$14+1,0),0)</f>
        <v/>
      </c>
      <c r="K1787" s="141">
        <f>IFERROR(VLOOKUP($B1787,calc_data,K$14+1,0),0)</f>
        <v/>
      </c>
      <c r="L1787" s="141">
        <f>IFERROR(VLOOKUP($B1787,calc_data,L$14+1,0),0)</f>
        <v/>
      </c>
      <c r="M1787" s="177">
        <f>IFERROR(VLOOKUP($B1787,calc_data,M$14+1,0),0)</f>
        <v/>
      </c>
      <c r="N1787" s="177">
        <f>IFERROR(VLOOKUP($B1787,calc_data,N$14+1,0),0)</f>
        <v/>
      </c>
      <c r="O1787" s="45" t="n"/>
      <c r="Q1787" s="57">
        <f>IF(K1787&gt;0,"показать","скрыть")</f>
        <v/>
      </c>
    </row>
    <row r="1788" ht="15.75" customHeight="1">
      <c r="B1788" s="182" t="n">
        <v>1772</v>
      </c>
      <c r="C1788" s="182">
        <f>IFERROR(VLOOKUP($B1788,calc_data,C$14+1,0),0)</f>
        <v/>
      </c>
      <c r="D1788" s="182">
        <f>IFERROR(VLOOKUP($B1788,calc_data,D$14+1,0),0)</f>
        <v/>
      </c>
      <c r="E1788" s="183">
        <f>IFERROR(VLOOKUP($B1788,calc_data,E$14+1,0),0)</f>
        <v/>
      </c>
      <c r="F1788" s="182">
        <f>IFERROR(VLOOKUP($B1788,calc_data,F$14+1,0),0)</f>
        <v/>
      </c>
      <c r="G1788" s="141">
        <f>IFERROR(VLOOKUP($B1788,calc_data,G$14+1,0),0)</f>
        <v/>
      </c>
      <c r="H1788" s="141">
        <f>IFERROR(VLOOKUP($B1788,calc_data,H$14+1,0),0)</f>
        <v/>
      </c>
      <c r="I1788" s="142">
        <f>IFERROR(VLOOKUP($B1788,calc_data,I$14+1,0),0)</f>
        <v/>
      </c>
      <c r="J1788" s="141">
        <f>IFERROR(VLOOKUP($B1788,calc_data,J$14+1,0),0)</f>
        <v/>
      </c>
      <c r="K1788" s="141">
        <f>IFERROR(VLOOKUP($B1788,calc_data,K$14+1,0),0)</f>
        <v/>
      </c>
      <c r="L1788" s="141">
        <f>IFERROR(VLOOKUP($B1788,calc_data,L$14+1,0),0)</f>
        <v/>
      </c>
      <c r="M1788" s="177">
        <f>IFERROR(VLOOKUP($B1788,calc_data,M$14+1,0),0)</f>
        <v/>
      </c>
      <c r="N1788" s="177">
        <f>IFERROR(VLOOKUP($B1788,calc_data,N$14+1,0),0)</f>
        <v/>
      </c>
      <c r="O1788" s="45" t="n"/>
      <c r="Q1788" s="57">
        <f>IF(K1788&gt;0,"показать","скрыть")</f>
        <v/>
      </c>
    </row>
    <row r="1789" ht="15.75" customHeight="1">
      <c r="B1789" s="182" t="n">
        <v>1773</v>
      </c>
      <c r="C1789" s="182">
        <f>IFERROR(VLOOKUP($B1789,calc_data,C$14+1,0),0)</f>
        <v/>
      </c>
      <c r="D1789" s="182">
        <f>IFERROR(VLOOKUP($B1789,calc_data,D$14+1,0),0)</f>
        <v/>
      </c>
      <c r="E1789" s="183">
        <f>IFERROR(VLOOKUP($B1789,calc_data,E$14+1,0),0)</f>
        <v/>
      </c>
      <c r="F1789" s="182">
        <f>IFERROR(VLOOKUP($B1789,calc_data,F$14+1,0),0)</f>
        <v/>
      </c>
      <c r="G1789" s="141">
        <f>IFERROR(VLOOKUP($B1789,calc_data,G$14+1,0),0)</f>
        <v/>
      </c>
      <c r="H1789" s="141">
        <f>IFERROR(VLOOKUP($B1789,calc_data,H$14+1,0),0)</f>
        <v/>
      </c>
      <c r="I1789" s="142">
        <f>IFERROR(VLOOKUP($B1789,calc_data,I$14+1,0),0)</f>
        <v/>
      </c>
      <c r="J1789" s="141">
        <f>IFERROR(VLOOKUP($B1789,calc_data,J$14+1,0),0)</f>
        <v/>
      </c>
      <c r="K1789" s="141">
        <f>IFERROR(VLOOKUP($B1789,calc_data,K$14+1,0),0)</f>
        <v/>
      </c>
      <c r="L1789" s="141">
        <f>IFERROR(VLOOKUP($B1789,calc_data,L$14+1,0),0)</f>
        <v/>
      </c>
      <c r="M1789" s="177">
        <f>IFERROR(VLOOKUP($B1789,calc_data,M$14+1,0),0)</f>
        <v/>
      </c>
      <c r="N1789" s="177">
        <f>IFERROR(VLOOKUP($B1789,calc_data,N$14+1,0),0)</f>
        <v/>
      </c>
      <c r="O1789" s="45" t="n"/>
      <c r="Q1789" s="57">
        <f>IF(K1789&gt;0,"показать","скрыть")</f>
        <v/>
      </c>
    </row>
    <row r="1790" ht="15.75" customHeight="1">
      <c r="B1790" s="182" t="n">
        <v>1774</v>
      </c>
      <c r="C1790" s="182">
        <f>IFERROR(VLOOKUP($B1790,calc_data,C$14+1,0),0)</f>
        <v/>
      </c>
      <c r="D1790" s="182">
        <f>IFERROR(VLOOKUP($B1790,calc_data,D$14+1,0),0)</f>
        <v/>
      </c>
      <c r="E1790" s="183">
        <f>IFERROR(VLOOKUP($B1790,calc_data,E$14+1,0),0)</f>
        <v/>
      </c>
      <c r="F1790" s="182">
        <f>IFERROR(VLOOKUP($B1790,calc_data,F$14+1,0),0)</f>
        <v/>
      </c>
      <c r="G1790" s="141">
        <f>IFERROR(VLOOKUP($B1790,calc_data,G$14+1,0),0)</f>
        <v/>
      </c>
      <c r="H1790" s="141">
        <f>IFERROR(VLOOKUP($B1790,calc_data,H$14+1,0),0)</f>
        <v/>
      </c>
      <c r="I1790" s="142">
        <f>IFERROR(VLOOKUP($B1790,calc_data,I$14+1,0),0)</f>
        <v/>
      </c>
      <c r="J1790" s="141">
        <f>IFERROR(VLOOKUP($B1790,calc_data,J$14+1,0),0)</f>
        <v/>
      </c>
      <c r="K1790" s="141">
        <f>IFERROR(VLOOKUP($B1790,calc_data,K$14+1,0),0)</f>
        <v/>
      </c>
      <c r="L1790" s="141">
        <f>IFERROR(VLOOKUP($B1790,calc_data,L$14+1,0),0)</f>
        <v/>
      </c>
      <c r="M1790" s="177">
        <f>IFERROR(VLOOKUP($B1790,calc_data,M$14+1,0),0)</f>
        <v/>
      </c>
      <c r="N1790" s="177">
        <f>IFERROR(VLOOKUP($B1790,calc_data,N$14+1,0),0)</f>
        <v/>
      </c>
      <c r="O1790" s="45" t="n"/>
      <c r="Q1790" s="57">
        <f>IF(K1790&gt;0,"показать","скрыть")</f>
        <v/>
      </c>
    </row>
    <row r="1791" ht="15.75" customHeight="1">
      <c r="B1791" s="182" t="n">
        <v>1775</v>
      </c>
      <c r="C1791" s="182">
        <f>IFERROR(VLOOKUP($B1791,calc_data,C$14+1,0),0)</f>
        <v/>
      </c>
      <c r="D1791" s="182">
        <f>IFERROR(VLOOKUP($B1791,calc_data,D$14+1,0),0)</f>
        <v/>
      </c>
      <c r="E1791" s="183">
        <f>IFERROR(VLOOKUP($B1791,calc_data,E$14+1,0),0)</f>
        <v/>
      </c>
      <c r="F1791" s="182">
        <f>IFERROR(VLOOKUP($B1791,calc_data,F$14+1,0),0)</f>
        <v/>
      </c>
      <c r="G1791" s="141">
        <f>IFERROR(VLOOKUP($B1791,calc_data,G$14+1,0),0)</f>
        <v/>
      </c>
      <c r="H1791" s="141">
        <f>IFERROR(VLOOKUP($B1791,calc_data,H$14+1,0),0)</f>
        <v/>
      </c>
      <c r="I1791" s="142">
        <f>IFERROR(VLOOKUP($B1791,calc_data,I$14+1,0),0)</f>
        <v/>
      </c>
      <c r="J1791" s="141">
        <f>IFERROR(VLOOKUP($B1791,calc_data,J$14+1,0),0)</f>
        <v/>
      </c>
      <c r="K1791" s="141">
        <f>IFERROR(VLOOKUP($B1791,calc_data,K$14+1,0),0)</f>
        <v/>
      </c>
      <c r="L1791" s="141">
        <f>IFERROR(VLOOKUP($B1791,calc_data,L$14+1,0),0)</f>
        <v/>
      </c>
      <c r="M1791" s="177">
        <f>IFERROR(VLOOKUP($B1791,calc_data,M$14+1,0),0)</f>
        <v/>
      </c>
      <c r="N1791" s="177">
        <f>IFERROR(VLOOKUP($B1791,calc_data,N$14+1,0),0)</f>
        <v/>
      </c>
      <c r="O1791" s="45" t="n"/>
      <c r="Q1791" s="57">
        <f>IF(K1791&gt;0,"показать","скрыть")</f>
        <v/>
      </c>
    </row>
    <row r="1792" ht="15.75" customHeight="1">
      <c r="B1792" s="182" t="n">
        <v>1776</v>
      </c>
      <c r="C1792" s="182">
        <f>IFERROR(VLOOKUP($B1792,calc_data,C$14+1,0),0)</f>
        <v/>
      </c>
      <c r="D1792" s="182">
        <f>IFERROR(VLOOKUP($B1792,calc_data,D$14+1,0),0)</f>
        <v/>
      </c>
      <c r="E1792" s="183">
        <f>IFERROR(VLOOKUP($B1792,calc_data,E$14+1,0),0)</f>
        <v/>
      </c>
      <c r="F1792" s="182">
        <f>IFERROR(VLOOKUP($B1792,calc_data,F$14+1,0),0)</f>
        <v/>
      </c>
      <c r="G1792" s="141">
        <f>IFERROR(VLOOKUP($B1792,calc_data,G$14+1,0),0)</f>
        <v/>
      </c>
      <c r="H1792" s="141">
        <f>IFERROR(VLOOKUP($B1792,calc_data,H$14+1,0),0)</f>
        <v/>
      </c>
      <c r="I1792" s="142">
        <f>IFERROR(VLOOKUP($B1792,calc_data,I$14+1,0),0)</f>
        <v/>
      </c>
      <c r="J1792" s="141">
        <f>IFERROR(VLOOKUP($B1792,calc_data,J$14+1,0),0)</f>
        <v/>
      </c>
      <c r="K1792" s="141">
        <f>IFERROR(VLOOKUP($B1792,calc_data,K$14+1,0),0)</f>
        <v/>
      </c>
      <c r="L1792" s="141">
        <f>IFERROR(VLOOKUP($B1792,calc_data,L$14+1,0),0)</f>
        <v/>
      </c>
      <c r="M1792" s="177">
        <f>IFERROR(VLOOKUP($B1792,calc_data,M$14+1,0),0)</f>
        <v/>
      </c>
      <c r="N1792" s="177">
        <f>IFERROR(VLOOKUP($B1792,calc_data,N$14+1,0),0)</f>
        <v/>
      </c>
      <c r="O1792" s="45" t="n"/>
      <c r="Q1792" s="57">
        <f>IF(K1792&gt;0,"показать","скрыть")</f>
        <v/>
      </c>
    </row>
    <row r="1793" ht="15.75" customHeight="1">
      <c r="B1793" s="182" t="n">
        <v>1777</v>
      </c>
      <c r="C1793" s="182">
        <f>IFERROR(VLOOKUP($B1793,calc_data,C$14+1,0),0)</f>
        <v/>
      </c>
      <c r="D1793" s="182">
        <f>IFERROR(VLOOKUP($B1793,calc_data,D$14+1,0),0)</f>
        <v/>
      </c>
      <c r="E1793" s="183">
        <f>IFERROR(VLOOKUP($B1793,calc_data,E$14+1,0),0)</f>
        <v/>
      </c>
      <c r="F1793" s="182">
        <f>IFERROR(VLOOKUP($B1793,calc_data,F$14+1,0),0)</f>
        <v/>
      </c>
      <c r="G1793" s="141">
        <f>IFERROR(VLOOKUP($B1793,calc_data,G$14+1,0),0)</f>
        <v/>
      </c>
      <c r="H1793" s="141">
        <f>IFERROR(VLOOKUP($B1793,calc_data,H$14+1,0),0)</f>
        <v/>
      </c>
      <c r="I1793" s="142">
        <f>IFERROR(VLOOKUP($B1793,calc_data,I$14+1,0),0)</f>
        <v/>
      </c>
      <c r="J1793" s="141">
        <f>IFERROR(VLOOKUP($B1793,calc_data,J$14+1,0),0)</f>
        <v/>
      </c>
      <c r="K1793" s="141">
        <f>IFERROR(VLOOKUP($B1793,calc_data,K$14+1,0),0)</f>
        <v/>
      </c>
      <c r="L1793" s="141">
        <f>IFERROR(VLOOKUP($B1793,calc_data,L$14+1,0),0)</f>
        <v/>
      </c>
      <c r="M1793" s="177">
        <f>IFERROR(VLOOKUP($B1793,calc_data,M$14+1,0),0)</f>
        <v/>
      </c>
      <c r="N1793" s="177">
        <f>IFERROR(VLOOKUP($B1793,calc_data,N$14+1,0),0)</f>
        <v/>
      </c>
      <c r="O1793" s="45" t="n"/>
      <c r="Q1793" s="57">
        <f>IF(K1793&gt;0,"показать","скрыть")</f>
        <v/>
      </c>
    </row>
    <row r="1794" ht="15.75" customHeight="1">
      <c r="B1794" s="182" t="n">
        <v>1778</v>
      </c>
      <c r="C1794" s="182">
        <f>IFERROR(VLOOKUP($B1794,calc_data,C$14+1,0),0)</f>
        <v/>
      </c>
      <c r="D1794" s="182">
        <f>IFERROR(VLOOKUP($B1794,calc_data,D$14+1,0),0)</f>
        <v/>
      </c>
      <c r="E1794" s="183">
        <f>IFERROR(VLOOKUP($B1794,calc_data,E$14+1,0),0)</f>
        <v/>
      </c>
      <c r="F1794" s="182">
        <f>IFERROR(VLOOKUP($B1794,calc_data,F$14+1,0),0)</f>
        <v/>
      </c>
      <c r="G1794" s="141">
        <f>IFERROR(VLOOKUP($B1794,calc_data,G$14+1,0),0)</f>
        <v/>
      </c>
      <c r="H1794" s="141">
        <f>IFERROR(VLOOKUP($B1794,calc_data,H$14+1,0),0)</f>
        <v/>
      </c>
      <c r="I1794" s="142">
        <f>IFERROR(VLOOKUP($B1794,calc_data,I$14+1,0),0)</f>
        <v/>
      </c>
      <c r="J1794" s="141">
        <f>IFERROR(VLOOKUP($B1794,calc_data,J$14+1,0),0)</f>
        <v/>
      </c>
      <c r="K1794" s="141">
        <f>IFERROR(VLOOKUP($B1794,calc_data,K$14+1,0),0)</f>
        <v/>
      </c>
      <c r="L1794" s="141">
        <f>IFERROR(VLOOKUP($B1794,calc_data,L$14+1,0),0)</f>
        <v/>
      </c>
      <c r="M1794" s="177">
        <f>IFERROR(VLOOKUP($B1794,calc_data,M$14+1,0),0)</f>
        <v/>
      </c>
      <c r="N1794" s="177">
        <f>IFERROR(VLOOKUP($B1794,calc_data,N$14+1,0),0)</f>
        <v/>
      </c>
      <c r="O1794" s="45" t="n"/>
      <c r="Q1794" s="57">
        <f>IF(K1794&gt;0,"показать","скрыть")</f>
        <v/>
      </c>
    </row>
    <row r="1795" ht="15.75" customHeight="1">
      <c r="B1795" s="182" t="n">
        <v>1779</v>
      </c>
      <c r="C1795" s="182">
        <f>IFERROR(VLOOKUP($B1795,calc_data,C$14+1,0),0)</f>
        <v/>
      </c>
      <c r="D1795" s="182">
        <f>IFERROR(VLOOKUP($B1795,calc_data,D$14+1,0),0)</f>
        <v/>
      </c>
      <c r="E1795" s="183">
        <f>IFERROR(VLOOKUP($B1795,calc_data,E$14+1,0),0)</f>
        <v/>
      </c>
      <c r="F1795" s="182">
        <f>IFERROR(VLOOKUP($B1795,calc_data,F$14+1,0),0)</f>
        <v/>
      </c>
      <c r="G1795" s="141">
        <f>IFERROR(VLOOKUP($B1795,calc_data,G$14+1,0),0)</f>
        <v/>
      </c>
      <c r="H1795" s="141">
        <f>IFERROR(VLOOKUP($B1795,calc_data,H$14+1,0),0)</f>
        <v/>
      </c>
      <c r="I1795" s="142">
        <f>IFERROR(VLOOKUP($B1795,calc_data,I$14+1,0),0)</f>
        <v/>
      </c>
      <c r="J1795" s="141">
        <f>IFERROR(VLOOKUP($B1795,calc_data,J$14+1,0),0)</f>
        <v/>
      </c>
      <c r="K1795" s="141">
        <f>IFERROR(VLOOKUP($B1795,calc_data,K$14+1,0),0)</f>
        <v/>
      </c>
      <c r="L1795" s="141">
        <f>IFERROR(VLOOKUP($B1795,calc_data,L$14+1,0),0)</f>
        <v/>
      </c>
      <c r="M1795" s="177">
        <f>IFERROR(VLOOKUP($B1795,calc_data,M$14+1,0),0)</f>
        <v/>
      </c>
      <c r="N1795" s="177">
        <f>IFERROR(VLOOKUP($B1795,calc_data,N$14+1,0),0)</f>
        <v/>
      </c>
      <c r="O1795" s="45" t="n"/>
      <c r="Q1795" s="57">
        <f>IF(K1795&gt;0,"показать","скрыть")</f>
        <v/>
      </c>
    </row>
    <row r="1796" ht="15.75" customHeight="1">
      <c r="B1796" s="182" t="n">
        <v>1780</v>
      </c>
      <c r="C1796" s="182">
        <f>IFERROR(VLOOKUP($B1796,calc_data,C$14+1,0),0)</f>
        <v/>
      </c>
      <c r="D1796" s="182">
        <f>IFERROR(VLOOKUP($B1796,calc_data,D$14+1,0),0)</f>
        <v/>
      </c>
      <c r="E1796" s="183">
        <f>IFERROR(VLOOKUP($B1796,calc_data,E$14+1,0),0)</f>
        <v/>
      </c>
      <c r="F1796" s="182">
        <f>IFERROR(VLOOKUP($B1796,calc_data,F$14+1,0),0)</f>
        <v/>
      </c>
      <c r="G1796" s="141">
        <f>IFERROR(VLOOKUP($B1796,calc_data,G$14+1,0),0)</f>
        <v/>
      </c>
      <c r="H1796" s="141">
        <f>IFERROR(VLOOKUP($B1796,calc_data,H$14+1,0),0)</f>
        <v/>
      </c>
      <c r="I1796" s="142">
        <f>IFERROR(VLOOKUP($B1796,calc_data,I$14+1,0),0)</f>
        <v/>
      </c>
      <c r="J1796" s="141">
        <f>IFERROR(VLOOKUP($B1796,calc_data,J$14+1,0),0)</f>
        <v/>
      </c>
      <c r="K1796" s="141">
        <f>IFERROR(VLOOKUP($B1796,calc_data,K$14+1,0),0)</f>
        <v/>
      </c>
      <c r="L1796" s="141">
        <f>IFERROR(VLOOKUP($B1796,calc_data,L$14+1,0),0)</f>
        <v/>
      </c>
      <c r="M1796" s="177">
        <f>IFERROR(VLOOKUP($B1796,calc_data,M$14+1,0),0)</f>
        <v/>
      </c>
      <c r="N1796" s="177">
        <f>IFERROR(VLOOKUP($B1796,calc_data,N$14+1,0),0)</f>
        <v/>
      </c>
      <c r="O1796" s="45" t="n"/>
      <c r="Q1796" s="57">
        <f>IF(K1796&gt;0,"показать","скрыть")</f>
        <v/>
      </c>
    </row>
    <row r="1797" ht="15.75" customHeight="1">
      <c r="B1797" s="182" t="n">
        <v>1781</v>
      </c>
      <c r="C1797" s="182">
        <f>IFERROR(VLOOKUP($B1797,calc_data,C$14+1,0),0)</f>
        <v/>
      </c>
      <c r="D1797" s="182">
        <f>IFERROR(VLOOKUP($B1797,calc_data,D$14+1,0),0)</f>
        <v/>
      </c>
      <c r="E1797" s="183">
        <f>IFERROR(VLOOKUP($B1797,calc_data,E$14+1,0),0)</f>
        <v/>
      </c>
      <c r="F1797" s="182">
        <f>IFERROR(VLOOKUP($B1797,calc_data,F$14+1,0),0)</f>
        <v/>
      </c>
      <c r="G1797" s="141">
        <f>IFERROR(VLOOKUP($B1797,calc_data,G$14+1,0),0)</f>
        <v/>
      </c>
      <c r="H1797" s="141">
        <f>IFERROR(VLOOKUP($B1797,calc_data,H$14+1,0),0)</f>
        <v/>
      </c>
      <c r="I1797" s="142">
        <f>IFERROR(VLOOKUP($B1797,calc_data,I$14+1,0),0)</f>
        <v/>
      </c>
      <c r="J1797" s="141">
        <f>IFERROR(VLOOKUP($B1797,calc_data,J$14+1,0),0)</f>
        <v/>
      </c>
      <c r="K1797" s="141">
        <f>IFERROR(VLOOKUP($B1797,calc_data,K$14+1,0),0)</f>
        <v/>
      </c>
      <c r="L1797" s="141">
        <f>IFERROR(VLOOKUP($B1797,calc_data,L$14+1,0),0)</f>
        <v/>
      </c>
      <c r="M1797" s="177">
        <f>IFERROR(VLOOKUP($B1797,calc_data,M$14+1,0),0)</f>
        <v/>
      </c>
      <c r="N1797" s="177">
        <f>IFERROR(VLOOKUP($B1797,calc_data,N$14+1,0),0)</f>
        <v/>
      </c>
      <c r="O1797" s="45" t="n"/>
      <c r="Q1797" s="57">
        <f>IF(K1797&gt;0,"показать","скрыть")</f>
        <v/>
      </c>
    </row>
    <row r="1798" ht="15.75" customHeight="1">
      <c r="B1798" s="182" t="n">
        <v>1782</v>
      </c>
      <c r="C1798" s="182">
        <f>IFERROR(VLOOKUP($B1798,calc_data,C$14+1,0),0)</f>
        <v/>
      </c>
      <c r="D1798" s="182">
        <f>IFERROR(VLOOKUP($B1798,calc_data,D$14+1,0),0)</f>
        <v/>
      </c>
      <c r="E1798" s="183">
        <f>IFERROR(VLOOKUP($B1798,calc_data,E$14+1,0),0)</f>
        <v/>
      </c>
      <c r="F1798" s="182">
        <f>IFERROR(VLOOKUP($B1798,calc_data,F$14+1,0),0)</f>
        <v/>
      </c>
      <c r="G1798" s="141">
        <f>IFERROR(VLOOKUP($B1798,calc_data,G$14+1,0),0)</f>
        <v/>
      </c>
      <c r="H1798" s="141">
        <f>IFERROR(VLOOKUP($B1798,calc_data,H$14+1,0),0)</f>
        <v/>
      </c>
      <c r="I1798" s="142">
        <f>IFERROR(VLOOKUP($B1798,calc_data,I$14+1,0),0)</f>
        <v/>
      </c>
      <c r="J1798" s="141">
        <f>IFERROR(VLOOKUP($B1798,calc_data,J$14+1,0),0)</f>
        <v/>
      </c>
      <c r="K1798" s="141">
        <f>IFERROR(VLOOKUP($B1798,calc_data,K$14+1,0),0)</f>
        <v/>
      </c>
      <c r="L1798" s="141">
        <f>IFERROR(VLOOKUP($B1798,calc_data,L$14+1,0),0)</f>
        <v/>
      </c>
      <c r="M1798" s="177">
        <f>IFERROR(VLOOKUP($B1798,calc_data,M$14+1,0),0)</f>
        <v/>
      </c>
      <c r="N1798" s="177">
        <f>IFERROR(VLOOKUP($B1798,calc_data,N$14+1,0),0)</f>
        <v/>
      </c>
      <c r="O1798" s="45" t="n"/>
      <c r="Q1798" s="57">
        <f>IF(K1798&gt;0,"показать","скрыть")</f>
        <v/>
      </c>
    </row>
    <row r="1799" ht="15.75" customHeight="1">
      <c r="B1799" s="182" t="n">
        <v>1783</v>
      </c>
      <c r="C1799" s="182">
        <f>IFERROR(VLOOKUP($B1799,calc_data,C$14+1,0),0)</f>
        <v/>
      </c>
      <c r="D1799" s="182">
        <f>IFERROR(VLOOKUP($B1799,calc_data,D$14+1,0),0)</f>
        <v/>
      </c>
      <c r="E1799" s="183">
        <f>IFERROR(VLOOKUP($B1799,calc_data,E$14+1,0),0)</f>
        <v/>
      </c>
      <c r="F1799" s="182">
        <f>IFERROR(VLOOKUP($B1799,calc_data,F$14+1,0),0)</f>
        <v/>
      </c>
      <c r="G1799" s="141">
        <f>IFERROR(VLOOKUP($B1799,calc_data,G$14+1,0),0)</f>
        <v/>
      </c>
      <c r="H1799" s="141">
        <f>IFERROR(VLOOKUP($B1799,calc_data,H$14+1,0),0)</f>
        <v/>
      </c>
      <c r="I1799" s="142">
        <f>IFERROR(VLOOKUP($B1799,calc_data,I$14+1,0),0)</f>
        <v/>
      </c>
      <c r="J1799" s="141">
        <f>IFERROR(VLOOKUP($B1799,calc_data,J$14+1,0),0)</f>
        <v/>
      </c>
      <c r="K1799" s="141">
        <f>IFERROR(VLOOKUP($B1799,calc_data,K$14+1,0),0)</f>
        <v/>
      </c>
      <c r="L1799" s="141">
        <f>IFERROR(VLOOKUP($B1799,calc_data,L$14+1,0),0)</f>
        <v/>
      </c>
      <c r="M1799" s="177">
        <f>IFERROR(VLOOKUP($B1799,calc_data,M$14+1,0),0)</f>
        <v/>
      </c>
      <c r="N1799" s="177">
        <f>IFERROR(VLOOKUP($B1799,calc_data,N$14+1,0),0)</f>
        <v/>
      </c>
      <c r="O1799" s="45" t="n"/>
      <c r="Q1799" s="57">
        <f>IF(K1799&gt;0,"показать","скрыть")</f>
        <v/>
      </c>
    </row>
    <row r="1800" ht="15.75" customHeight="1">
      <c r="B1800" s="182" t="n">
        <v>1784</v>
      </c>
      <c r="C1800" s="182">
        <f>IFERROR(VLOOKUP($B1800,calc_data,C$14+1,0),0)</f>
        <v/>
      </c>
      <c r="D1800" s="182">
        <f>IFERROR(VLOOKUP($B1800,calc_data,D$14+1,0),0)</f>
        <v/>
      </c>
      <c r="E1800" s="183">
        <f>IFERROR(VLOOKUP($B1800,calc_data,E$14+1,0),0)</f>
        <v/>
      </c>
      <c r="F1800" s="182">
        <f>IFERROR(VLOOKUP($B1800,calc_data,F$14+1,0),0)</f>
        <v/>
      </c>
      <c r="G1800" s="141">
        <f>IFERROR(VLOOKUP($B1800,calc_data,G$14+1,0),0)</f>
        <v/>
      </c>
      <c r="H1800" s="141">
        <f>IFERROR(VLOOKUP($B1800,calc_data,H$14+1,0),0)</f>
        <v/>
      </c>
      <c r="I1800" s="142">
        <f>IFERROR(VLOOKUP($B1800,calc_data,I$14+1,0),0)</f>
        <v/>
      </c>
      <c r="J1800" s="141">
        <f>IFERROR(VLOOKUP($B1800,calc_data,J$14+1,0),0)</f>
        <v/>
      </c>
      <c r="K1800" s="141">
        <f>IFERROR(VLOOKUP($B1800,calc_data,K$14+1,0),0)</f>
        <v/>
      </c>
      <c r="L1800" s="141">
        <f>IFERROR(VLOOKUP($B1800,calc_data,L$14+1,0),0)</f>
        <v/>
      </c>
      <c r="M1800" s="177">
        <f>IFERROR(VLOOKUP($B1800,calc_data,M$14+1,0),0)</f>
        <v/>
      </c>
      <c r="N1800" s="177">
        <f>IFERROR(VLOOKUP($B1800,calc_data,N$14+1,0),0)</f>
        <v/>
      </c>
      <c r="O1800" s="45" t="n"/>
      <c r="Q1800" s="57">
        <f>IF(K1800&gt;0,"показать","скрыть")</f>
        <v/>
      </c>
    </row>
    <row r="1801" ht="15.75" customHeight="1">
      <c r="B1801" s="182" t="n">
        <v>1785</v>
      </c>
      <c r="C1801" s="182">
        <f>IFERROR(VLOOKUP($B1801,calc_data,C$14+1,0),0)</f>
        <v/>
      </c>
      <c r="D1801" s="182">
        <f>IFERROR(VLOOKUP($B1801,calc_data,D$14+1,0),0)</f>
        <v/>
      </c>
      <c r="E1801" s="183">
        <f>IFERROR(VLOOKUP($B1801,calc_data,E$14+1,0),0)</f>
        <v/>
      </c>
      <c r="F1801" s="182">
        <f>IFERROR(VLOOKUP($B1801,calc_data,F$14+1,0),0)</f>
        <v/>
      </c>
      <c r="G1801" s="141">
        <f>IFERROR(VLOOKUP($B1801,calc_data,G$14+1,0),0)</f>
        <v/>
      </c>
      <c r="H1801" s="141">
        <f>IFERROR(VLOOKUP($B1801,calc_data,H$14+1,0),0)</f>
        <v/>
      </c>
      <c r="I1801" s="142">
        <f>IFERROR(VLOOKUP($B1801,calc_data,I$14+1,0),0)</f>
        <v/>
      </c>
      <c r="J1801" s="141">
        <f>IFERROR(VLOOKUP($B1801,calc_data,J$14+1,0),0)</f>
        <v/>
      </c>
      <c r="K1801" s="141">
        <f>IFERROR(VLOOKUP($B1801,calc_data,K$14+1,0),0)</f>
        <v/>
      </c>
      <c r="L1801" s="141">
        <f>IFERROR(VLOOKUP($B1801,calc_data,L$14+1,0),0)</f>
        <v/>
      </c>
      <c r="M1801" s="177">
        <f>IFERROR(VLOOKUP($B1801,calc_data,M$14+1,0),0)</f>
        <v/>
      </c>
      <c r="N1801" s="177">
        <f>IFERROR(VLOOKUP($B1801,calc_data,N$14+1,0),0)</f>
        <v/>
      </c>
      <c r="O1801" s="45" t="n"/>
      <c r="Q1801" s="57">
        <f>IF(K1801&gt;0,"показать","скрыть")</f>
        <v/>
      </c>
    </row>
    <row r="1802" ht="15.75" customHeight="1">
      <c r="B1802" s="182" t="n">
        <v>1786</v>
      </c>
      <c r="C1802" s="182">
        <f>IFERROR(VLOOKUP($B1802,calc_data,C$14+1,0),0)</f>
        <v/>
      </c>
      <c r="D1802" s="182">
        <f>IFERROR(VLOOKUP($B1802,calc_data,D$14+1,0),0)</f>
        <v/>
      </c>
      <c r="E1802" s="183">
        <f>IFERROR(VLOOKUP($B1802,calc_data,E$14+1,0),0)</f>
        <v/>
      </c>
      <c r="F1802" s="182">
        <f>IFERROR(VLOOKUP($B1802,calc_data,F$14+1,0),0)</f>
        <v/>
      </c>
      <c r="G1802" s="141">
        <f>IFERROR(VLOOKUP($B1802,calc_data,G$14+1,0),0)</f>
        <v/>
      </c>
      <c r="H1802" s="141">
        <f>IFERROR(VLOOKUP($B1802,calc_data,H$14+1,0),0)</f>
        <v/>
      </c>
      <c r="I1802" s="142">
        <f>IFERROR(VLOOKUP($B1802,calc_data,I$14+1,0),0)</f>
        <v/>
      </c>
      <c r="J1802" s="141">
        <f>IFERROR(VLOOKUP($B1802,calc_data,J$14+1,0),0)</f>
        <v/>
      </c>
      <c r="K1802" s="141">
        <f>IFERROR(VLOOKUP($B1802,calc_data,K$14+1,0),0)</f>
        <v/>
      </c>
      <c r="L1802" s="141">
        <f>IFERROR(VLOOKUP($B1802,calc_data,L$14+1,0),0)</f>
        <v/>
      </c>
      <c r="M1802" s="177">
        <f>IFERROR(VLOOKUP($B1802,calc_data,M$14+1,0),0)</f>
        <v/>
      </c>
      <c r="N1802" s="177">
        <f>IFERROR(VLOOKUP($B1802,calc_data,N$14+1,0),0)</f>
        <v/>
      </c>
      <c r="O1802" s="45" t="n"/>
      <c r="Q1802" s="57">
        <f>IF(K1802&gt;0,"показать","скрыть")</f>
        <v/>
      </c>
    </row>
    <row r="1803" ht="15.75" customHeight="1">
      <c r="B1803" s="182" t="n">
        <v>1787</v>
      </c>
      <c r="C1803" s="182">
        <f>IFERROR(VLOOKUP($B1803,calc_data,C$14+1,0),0)</f>
        <v/>
      </c>
      <c r="D1803" s="182">
        <f>IFERROR(VLOOKUP($B1803,calc_data,D$14+1,0),0)</f>
        <v/>
      </c>
      <c r="E1803" s="183">
        <f>IFERROR(VLOOKUP($B1803,calc_data,E$14+1,0),0)</f>
        <v/>
      </c>
      <c r="F1803" s="182">
        <f>IFERROR(VLOOKUP($B1803,calc_data,F$14+1,0),0)</f>
        <v/>
      </c>
      <c r="G1803" s="141">
        <f>IFERROR(VLOOKUP($B1803,calc_data,G$14+1,0),0)</f>
        <v/>
      </c>
      <c r="H1803" s="141">
        <f>IFERROR(VLOOKUP($B1803,calc_data,H$14+1,0),0)</f>
        <v/>
      </c>
      <c r="I1803" s="142">
        <f>IFERROR(VLOOKUP($B1803,calc_data,I$14+1,0),0)</f>
        <v/>
      </c>
      <c r="J1803" s="141">
        <f>IFERROR(VLOOKUP($B1803,calc_data,J$14+1,0),0)</f>
        <v/>
      </c>
      <c r="K1803" s="141">
        <f>IFERROR(VLOOKUP($B1803,calc_data,K$14+1,0),0)</f>
        <v/>
      </c>
      <c r="L1803" s="141">
        <f>IFERROR(VLOOKUP($B1803,calc_data,L$14+1,0),0)</f>
        <v/>
      </c>
      <c r="M1803" s="177">
        <f>IFERROR(VLOOKUP($B1803,calc_data,M$14+1,0),0)</f>
        <v/>
      </c>
      <c r="N1803" s="177">
        <f>IFERROR(VLOOKUP($B1803,calc_data,N$14+1,0),0)</f>
        <v/>
      </c>
      <c r="O1803" s="45" t="n"/>
      <c r="Q1803" s="57">
        <f>IF(K1803&gt;0,"показать","скрыть")</f>
        <v/>
      </c>
    </row>
    <row r="1804" ht="15.75" customHeight="1">
      <c r="B1804" s="182" t="n">
        <v>1788</v>
      </c>
      <c r="C1804" s="182">
        <f>IFERROR(VLOOKUP($B1804,calc_data,C$14+1,0),0)</f>
        <v/>
      </c>
      <c r="D1804" s="182">
        <f>IFERROR(VLOOKUP($B1804,calc_data,D$14+1,0),0)</f>
        <v/>
      </c>
      <c r="E1804" s="183">
        <f>IFERROR(VLOOKUP($B1804,calc_data,E$14+1,0),0)</f>
        <v/>
      </c>
      <c r="F1804" s="182">
        <f>IFERROR(VLOOKUP($B1804,calc_data,F$14+1,0),0)</f>
        <v/>
      </c>
      <c r="G1804" s="141">
        <f>IFERROR(VLOOKUP($B1804,calc_data,G$14+1,0),0)</f>
        <v/>
      </c>
      <c r="H1804" s="141">
        <f>IFERROR(VLOOKUP($B1804,calc_data,H$14+1,0),0)</f>
        <v/>
      </c>
      <c r="I1804" s="142">
        <f>IFERROR(VLOOKUP($B1804,calc_data,I$14+1,0),0)</f>
        <v/>
      </c>
      <c r="J1804" s="141">
        <f>IFERROR(VLOOKUP($B1804,calc_data,J$14+1,0),0)</f>
        <v/>
      </c>
      <c r="K1804" s="141">
        <f>IFERROR(VLOOKUP($B1804,calc_data,K$14+1,0),0)</f>
        <v/>
      </c>
      <c r="L1804" s="141">
        <f>IFERROR(VLOOKUP($B1804,calc_data,L$14+1,0),0)</f>
        <v/>
      </c>
      <c r="M1804" s="177">
        <f>IFERROR(VLOOKUP($B1804,calc_data,M$14+1,0),0)</f>
        <v/>
      </c>
      <c r="N1804" s="177">
        <f>IFERROR(VLOOKUP($B1804,calc_data,N$14+1,0),0)</f>
        <v/>
      </c>
      <c r="O1804" s="45" t="n"/>
      <c r="Q1804" s="57">
        <f>IF(K1804&gt;0,"показать","скрыть")</f>
        <v/>
      </c>
    </row>
    <row r="1805" ht="15.75" customHeight="1">
      <c r="B1805" s="182" t="n">
        <v>1789</v>
      </c>
      <c r="C1805" s="182">
        <f>IFERROR(VLOOKUP($B1805,calc_data,C$14+1,0),0)</f>
        <v/>
      </c>
      <c r="D1805" s="182">
        <f>IFERROR(VLOOKUP($B1805,calc_data,D$14+1,0),0)</f>
        <v/>
      </c>
      <c r="E1805" s="183">
        <f>IFERROR(VLOOKUP($B1805,calc_data,E$14+1,0),0)</f>
        <v/>
      </c>
      <c r="F1805" s="182">
        <f>IFERROR(VLOOKUP($B1805,calc_data,F$14+1,0),0)</f>
        <v/>
      </c>
      <c r="G1805" s="141">
        <f>IFERROR(VLOOKUP($B1805,calc_data,G$14+1,0),0)</f>
        <v/>
      </c>
      <c r="H1805" s="141">
        <f>IFERROR(VLOOKUP($B1805,calc_data,H$14+1,0),0)</f>
        <v/>
      </c>
      <c r="I1805" s="142">
        <f>IFERROR(VLOOKUP($B1805,calc_data,I$14+1,0),0)</f>
        <v/>
      </c>
      <c r="J1805" s="141">
        <f>IFERROR(VLOOKUP($B1805,calc_data,J$14+1,0),0)</f>
        <v/>
      </c>
      <c r="K1805" s="141">
        <f>IFERROR(VLOOKUP($B1805,calc_data,K$14+1,0),0)</f>
        <v/>
      </c>
      <c r="L1805" s="141">
        <f>IFERROR(VLOOKUP($B1805,calc_data,L$14+1,0),0)</f>
        <v/>
      </c>
      <c r="M1805" s="177">
        <f>IFERROR(VLOOKUP($B1805,calc_data,M$14+1,0),0)</f>
        <v/>
      </c>
      <c r="N1805" s="177">
        <f>IFERROR(VLOOKUP($B1805,calc_data,N$14+1,0),0)</f>
        <v/>
      </c>
      <c r="O1805" s="45" t="n"/>
      <c r="Q1805" s="57">
        <f>IF(K1805&gt;0,"показать","скрыть")</f>
        <v/>
      </c>
    </row>
    <row r="1806" ht="15.75" customHeight="1">
      <c r="B1806" s="182" t="n">
        <v>1790</v>
      </c>
      <c r="C1806" s="182">
        <f>IFERROR(VLOOKUP($B1806,calc_data,C$14+1,0),0)</f>
        <v/>
      </c>
      <c r="D1806" s="182">
        <f>IFERROR(VLOOKUP($B1806,calc_data,D$14+1,0),0)</f>
        <v/>
      </c>
      <c r="E1806" s="183">
        <f>IFERROR(VLOOKUP($B1806,calc_data,E$14+1,0),0)</f>
        <v/>
      </c>
      <c r="F1806" s="182">
        <f>IFERROR(VLOOKUP($B1806,calc_data,F$14+1,0),0)</f>
        <v/>
      </c>
      <c r="G1806" s="141">
        <f>IFERROR(VLOOKUP($B1806,calc_data,G$14+1,0),0)</f>
        <v/>
      </c>
      <c r="H1806" s="141">
        <f>IFERROR(VLOOKUP($B1806,calc_data,H$14+1,0),0)</f>
        <v/>
      </c>
      <c r="I1806" s="142">
        <f>IFERROR(VLOOKUP($B1806,calc_data,I$14+1,0),0)</f>
        <v/>
      </c>
      <c r="J1806" s="141">
        <f>IFERROR(VLOOKUP($B1806,calc_data,J$14+1,0),0)</f>
        <v/>
      </c>
      <c r="K1806" s="141">
        <f>IFERROR(VLOOKUP($B1806,calc_data,K$14+1,0),0)</f>
        <v/>
      </c>
      <c r="L1806" s="141">
        <f>IFERROR(VLOOKUP($B1806,calc_data,L$14+1,0),0)</f>
        <v/>
      </c>
      <c r="M1806" s="177">
        <f>IFERROR(VLOOKUP($B1806,calc_data,M$14+1,0),0)</f>
        <v/>
      </c>
      <c r="N1806" s="177">
        <f>IFERROR(VLOOKUP($B1806,calc_data,N$14+1,0),0)</f>
        <v/>
      </c>
      <c r="O1806" s="45" t="n"/>
      <c r="Q1806" s="57">
        <f>IF(K1806&gt;0,"показать","скрыть")</f>
        <v/>
      </c>
    </row>
    <row r="1807" ht="15.75" customHeight="1">
      <c r="B1807" s="182" t="n">
        <v>1791</v>
      </c>
      <c r="C1807" s="182">
        <f>IFERROR(VLOOKUP($B1807,calc_data,C$14+1,0),0)</f>
        <v/>
      </c>
      <c r="D1807" s="182">
        <f>IFERROR(VLOOKUP($B1807,calc_data,D$14+1,0),0)</f>
        <v/>
      </c>
      <c r="E1807" s="183">
        <f>IFERROR(VLOOKUP($B1807,calc_data,E$14+1,0),0)</f>
        <v/>
      </c>
      <c r="F1807" s="182">
        <f>IFERROR(VLOOKUP($B1807,calc_data,F$14+1,0),0)</f>
        <v/>
      </c>
      <c r="G1807" s="141">
        <f>IFERROR(VLOOKUP($B1807,calc_data,G$14+1,0),0)</f>
        <v/>
      </c>
      <c r="H1807" s="141">
        <f>IFERROR(VLOOKUP($B1807,calc_data,H$14+1,0),0)</f>
        <v/>
      </c>
      <c r="I1807" s="142">
        <f>IFERROR(VLOOKUP($B1807,calc_data,I$14+1,0),0)</f>
        <v/>
      </c>
      <c r="J1807" s="141">
        <f>IFERROR(VLOOKUP($B1807,calc_data,J$14+1,0),0)</f>
        <v/>
      </c>
      <c r="K1807" s="141">
        <f>IFERROR(VLOOKUP($B1807,calc_data,K$14+1,0),0)</f>
        <v/>
      </c>
      <c r="L1807" s="141">
        <f>IFERROR(VLOOKUP($B1807,calc_data,L$14+1,0),0)</f>
        <v/>
      </c>
      <c r="M1807" s="177">
        <f>IFERROR(VLOOKUP($B1807,calc_data,M$14+1,0),0)</f>
        <v/>
      </c>
      <c r="N1807" s="177">
        <f>IFERROR(VLOOKUP($B1807,calc_data,N$14+1,0),0)</f>
        <v/>
      </c>
      <c r="O1807" s="45" t="n"/>
      <c r="Q1807" s="57">
        <f>IF(K1807&gt;0,"показать","скрыть")</f>
        <v/>
      </c>
    </row>
    <row r="1808" ht="15.75" customHeight="1">
      <c r="B1808" s="182" t="n">
        <v>1792</v>
      </c>
      <c r="C1808" s="182">
        <f>IFERROR(VLOOKUP($B1808,calc_data,C$14+1,0),0)</f>
        <v/>
      </c>
      <c r="D1808" s="182">
        <f>IFERROR(VLOOKUP($B1808,calc_data,D$14+1,0),0)</f>
        <v/>
      </c>
      <c r="E1808" s="183">
        <f>IFERROR(VLOOKUP($B1808,calc_data,E$14+1,0),0)</f>
        <v/>
      </c>
      <c r="F1808" s="182">
        <f>IFERROR(VLOOKUP($B1808,calc_data,F$14+1,0),0)</f>
        <v/>
      </c>
      <c r="G1808" s="141">
        <f>IFERROR(VLOOKUP($B1808,calc_data,G$14+1,0),0)</f>
        <v/>
      </c>
      <c r="H1808" s="141">
        <f>IFERROR(VLOOKUP($B1808,calc_data,H$14+1,0),0)</f>
        <v/>
      </c>
      <c r="I1808" s="142">
        <f>IFERROR(VLOOKUP($B1808,calc_data,I$14+1,0),0)</f>
        <v/>
      </c>
      <c r="J1808" s="141">
        <f>IFERROR(VLOOKUP($B1808,calc_data,J$14+1,0),0)</f>
        <v/>
      </c>
      <c r="K1808" s="141">
        <f>IFERROR(VLOOKUP($B1808,calc_data,K$14+1,0),0)</f>
        <v/>
      </c>
      <c r="L1808" s="141">
        <f>IFERROR(VLOOKUP($B1808,calc_data,L$14+1,0),0)</f>
        <v/>
      </c>
      <c r="M1808" s="177">
        <f>IFERROR(VLOOKUP($B1808,calc_data,M$14+1,0),0)</f>
        <v/>
      </c>
      <c r="N1808" s="177">
        <f>IFERROR(VLOOKUP($B1808,calc_data,N$14+1,0),0)</f>
        <v/>
      </c>
      <c r="O1808" s="45" t="n"/>
      <c r="Q1808" s="57">
        <f>IF(K1808&gt;0,"показать","скрыть")</f>
        <v/>
      </c>
    </row>
    <row r="1809" ht="15.75" customHeight="1">
      <c r="B1809" s="182" t="n">
        <v>1793</v>
      </c>
      <c r="C1809" s="182">
        <f>IFERROR(VLOOKUP($B1809,calc_data,C$14+1,0),0)</f>
        <v/>
      </c>
      <c r="D1809" s="182">
        <f>IFERROR(VLOOKUP($B1809,calc_data,D$14+1,0),0)</f>
        <v/>
      </c>
      <c r="E1809" s="183">
        <f>IFERROR(VLOOKUP($B1809,calc_data,E$14+1,0),0)</f>
        <v/>
      </c>
      <c r="F1809" s="182">
        <f>IFERROR(VLOOKUP($B1809,calc_data,F$14+1,0),0)</f>
        <v/>
      </c>
      <c r="G1809" s="141">
        <f>IFERROR(VLOOKUP($B1809,calc_data,G$14+1,0),0)</f>
        <v/>
      </c>
      <c r="H1809" s="141">
        <f>IFERROR(VLOOKUP($B1809,calc_data,H$14+1,0),0)</f>
        <v/>
      </c>
      <c r="I1809" s="142">
        <f>IFERROR(VLOOKUP($B1809,calc_data,I$14+1,0),0)</f>
        <v/>
      </c>
      <c r="J1809" s="141">
        <f>IFERROR(VLOOKUP($B1809,calc_data,J$14+1,0),0)</f>
        <v/>
      </c>
      <c r="K1809" s="141">
        <f>IFERROR(VLOOKUP($B1809,calc_data,K$14+1,0),0)</f>
        <v/>
      </c>
      <c r="L1809" s="141">
        <f>IFERROR(VLOOKUP($B1809,calc_data,L$14+1,0),0)</f>
        <v/>
      </c>
      <c r="M1809" s="177">
        <f>IFERROR(VLOOKUP($B1809,calc_data,M$14+1,0),0)</f>
        <v/>
      </c>
      <c r="N1809" s="177">
        <f>IFERROR(VLOOKUP($B1809,calc_data,N$14+1,0),0)</f>
        <v/>
      </c>
      <c r="O1809" s="45" t="n"/>
      <c r="Q1809" s="57">
        <f>IF(K1809&gt;0,"показать","скрыть")</f>
        <v/>
      </c>
    </row>
    <row r="1810" ht="15.75" customHeight="1">
      <c r="B1810" s="182" t="n">
        <v>1794</v>
      </c>
      <c r="C1810" s="182">
        <f>IFERROR(VLOOKUP($B1810,calc_data,C$14+1,0),0)</f>
        <v/>
      </c>
      <c r="D1810" s="182">
        <f>IFERROR(VLOOKUP($B1810,calc_data,D$14+1,0),0)</f>
        <v/>
      </c>
      <c r="E1810" s="183">
        <f>IFERROR(VLOOKUP($B1810,calc_data,E$14+1,0),0)</f>
        <v/>
      </c>
      <c r="F1810" s="182">
        <f>IFERROR(VLOOKUP($B1810,calc_data,F$14+1,0),0)</f>
        <v/>
      </c>
      <c r="G1810" s="141">
        <f>IFERROR(VLOOKUP($B1810,calc_data,G$14+1,0),0)</f>
        <v/>
      </c>
      <c r="H1810" s="141">
        <f>IFERROR(VLOOKUP($B1810,calc_data,H$14+1,0),0)</f>
        <v/>
      </c>
      <c r="I1810" s="142">
        <f>IFERROR(VLOOKUP($B1810,calc_data,I$14+1,0),0)</f>
        <v/>
      </c>
      <c r="J1810" s="141">
        <f>IFERROR(VLOOKUP($B1810,calc_data,J$14+1,0),0)</f>
        <v/>
      </c>
      <c r="K1810" s="141">
        <f>IFERROR(VLOOKUP($B1810,calc_data,K$14+1,0),0)</f>
        <v/>
      </c>
      <c r="L1810" s="141">
        <f>IFERROR(VLOOKUP($B1810,calc_data,L$14+1,0),0)</f>
        <v/>
      </c>
      <c r="M1810" s="177">
        <f>IFERROR(VLOOKUP($B1810,calc_data,M$14+1,0),0)</f>
        <v/>
      </c>
      <c r="N1810" s="177">
        <f>IFERROR(VLOOKUP($B1810,calc_data,N$14+1,0),0)</f>
        <v/>
      </c>
      <c r="O1810" s="45" t="n"/>
      <c r="Q1810" s="57">
        <f>IF(K1810&gt;0,"показать","скрыть")</f>
        <v/>
      </c>
    </row>
    <row r="1811" ht="15.75" customHeight="1">
      <c r="B1811" s="182" t="n">
        <v>1795</v>
      </c>
      <c r="C1811" s="182">
        <f>IFERROR(VLOOKUP($B1811,calc_data,C$14+1,0),0)</f>
        <v/>
      </c>
      <c r="D1811" s="182">
        <f>IFERROR(VLOOKUP($B1811,calc_data,D$14+1,0),0)</f>
        <v/>
      </c>
      <c r="E1811" s="183">
        <f>IFERROR(VLOOKUP($B1811,calc_data,E$14+1,0),0)</f>
        <v/>
      </c>
      <c r="F1811" s="182">
        <f>IFERROR(VLOOKUP($B1811,calc_data,F$14+1,0),0)</f>
        <v/>
      </c>
      <c r="G1811" s="141">
        <f>IFERROR(VLOOKUP($B1811,calc_data,G$14+1,0),0)</f>
        <v/>
      </c>
      <c r="H1811" s="141">
        <f>IFERROR(VLOOKUP($B1811,calc_data,H$14+1,0),0)</f>
        <v/>
      </c>
      <c r="I1811" s="142">
        <f>IFERROR(VLOOKUP($B1811,calc_data,I$14+1,0),0)</f>
        <v/>
      </c>
      <c r="J1811" s="141">
        <f>IFERROR(VLOOKUP($B1811,calc_data,J$14+1,0),0)</f>
        <v/>
      </c>
      <c r="K1811" s="141">
        <f>IFERROR(VLOOKUP($B1811,calc_data,K$14+1,0),0)</f>
        <v/>
      </c>
      <c r="L1811" s="141">
        <f>IFERROR(VLOOKUP($B1811,calc_data,L$14+1,0),0)</f>
        <v/>
      </c>
      <c r="M1811" s="177">
        <f>IFERROR(VLOOKUP($B1811,calc_data,M$14+1,0),0)</f>
        <v/>
      </c>
      <c r="N1811" s="177">
        <f>IFERROR(VLOOKUP($B1811,calc_data,N$14+1,0),0)</f>
        <v/>
      </c>
      <c r="O1811" s="45" t="n"/>
      <c r="Q1811" s="57">
        <f>IF(K1811&gt;0,"показать","скрыть")</f>
        <v/>
      </c>
    </row>
    <row r="1812" ht="15.75" customHeight="1">
      <c r="B1812" s="182" t="n">
        <v>1796</v>
      </c>
      <c r="C1812" s="182">
        <f>IFERROR(VLOOKUP($B1812,calc_data,C$14+1,0),0)</f>
        <v/>
      </c>
      <c r="D1812" s="182">
        <f>IFERROR(VLOOKUP($B1812,calc_data,D$14+1,0),0)</f>
        <v/>
      </c>
      <c r="E1812" s="183">
        <f>IFERROR(VLOOKUP($B1812,calc_data,E$14+1,0),0)</f>
        <v/>
      </c>
      <c r="F1812" s="182">
        <f>IFERROR(VLOOKUP($B1812,calc_data,F$14+1,0),0)</f>
        <v/>
      </c>
      <c r="G1812" s="141">
        <f>IFERROR(VLOOKUP($B1812,calc_data,G$14+1,0),0)</f>
        <v/>
      </c>
      <c r="H1812" s="141">
        <f>IFERROR(VLOOKUP($B1812,calc_data,H$14+1,0),0)</f>
        <v/>
      </c>
      <c r="I1812" s="142">
        <f>IFERROR(VLOOKUP($B1812,calc_data,I$14+1,0),0)</f>
        <v/>
      </c>
      <c r="J1812" s="141">
        <f>IFERROR(VLOOKUP($B1812,calc_data,J$14+1,0),0)</f>
        <v/>
      </c>
      <c r="K1812" s="141">
        <f>IFERROR(VLOOKUP($B1812,calc_data,K$14+1,0),0)</f>
        <v/>
      </c>
      <c r="L1812" s="141">
        <f>IFERROR(VLOOKUP($B1812,calc_data,L$14+1,0),0)</f>
        <v/>
      </c>
      <c r="M1812" s="177">
        <f>IFERROR(VLOOKUP($B1812,calc_data,M$14+1,0),0)</f>
        <v/>
      </c>
      <c r="N1812" s="177">
        <f>IFERROR(VLOOKUP($B1812,calc_data,N$14+1,0),0)</f>
        <v/>
      </c>
      <c r="O1812" s="45" t="n"/>
      <c r="Q1812" s="57">
        <f>IF(K1812&gt;0,"показать","скрыть")</f>
        <v/>
      </c>
    </row>
    <row r="1813" ht="15.75" customHeight="1">
      <c r="B1813" s="182" t="n">
        <v>1797</v>
      </c>
      <c r="C1813" s="182">
        <f>IFERROR(VLOOKUP($B1813,calc_data,C$14+1,0),0)</f>
        <v/>
      </c>
      <c r="D1813" s="182">
        <f>IFERROR(VLOOKUP($B1813,calc_data,D$14+1,0),0)</f>
        <v/>
      </c>
      <c r="E1813" s="183">
        <f>IFERROR(VLOOKUP($B1813,calc_data,E$14+1,0),0)</f>
        <v/>
      </c>
      <c r="F1813" s="182">
        <f>IFERROR(VLOOKUP($B1813,calc_data,F$14+1,0),0)</f>
        <v/>
      </c>
      <c r="G1813" s="141">
        <f>IFERROR(VLOOKUP($B1813,calc_data,G$14+1,0),0)</f>
        <v/>
      </c>
      <c r="H1813" s="141">
        <f>IFERROR(VLOOKUP($B1813,calc_data,H$14+1,0),0)</f>
        <v/>
      </c>
      <c r="I1813" s="142">
        <f>IFERROR(VLOOKUP($B1813,calc_data,I$14+1,0),0)</f>
        <v/>
      </c>
      <c r="J1813" s="141">
        <f>IFERROR(VLOOKUP($B1813,calc_data,J$14+1,0),0)</f>
        <v/>
      </c>
      <c r="K1813" s="141">
        <f>IFERROR(VLOOKUP($B1813,calc_data,K$14+1,0),0)</f>
        <v/>
      </c>
      <c r="L1813" s="141">
        <f>IFERROR(VLOOKUP($B1813,calc_data,L$14+1,0),0)</f>
        <v/>
      </c>
      <c r="M1813" s="177">
        <f>IFERROR(VLOOKUP($B1813,calc_data,M$14+1,0),0)</f>
        <v/>
      </c>
      <c r="N1813" s="177">
        <f>IFERROR(VLOOKUP($B1813,calc_data,N$14+1,0),0)</f>
        <v/>
      </c>
      <c r="O1813" s="45" t="n"/>
      <c r="Q1813" s="57">
        <f>IF(K1813&gt;0,"показать","скрыть")</f>
        <v/>
      </c>
    </row>
    <row r="1814" ht="15.75" customHeight="1">
      <c r="B1814" s="182" t="n">
        <v>1798</v>
      </c>
      <c r="C1814" s="182">
        <f>IFERROR(VLOOKUP($B1814,calc_data,C$14+1,0),0)</f>
        <v/>
      </c>
      <c r="D1814" s="182">
        <f>IFERROR(VLOOKUP($B1814,calc_data,D$14+1,0),0)</f>
        <v/>
      </c>
      <c r="E1814" s="183">
        <f>IFERROR(VLOOKUP($B1814,calc_data,E$14+1,0),0)</f>
        <v/>
      </c>
      <c r="F1814" s="182">
        <f>IFERROR(VLOOKUP($B1814,calc_data,F$14+1,0),0)</f>
        <v/>
      </c>
      <c r="G1814" s="141">
        <f>IFERROR(VLOOKUP($B1814,calc_data,G$14+1,0),0)</f>
        <v/>
      </c>
      <c r="H1814" s="141">
        <f>IFERROR(VLOOKUP($B1814,calc_data,H$14+1,0),0)</f>
        <v/>
      </c>
      <c r="I1814" s="142">
        <f>IFERROR(VLOOKUP($B1814,calc_data,I$14+1,0),0)</f>
        <v/>
      </c>
      <c r="J1814" s="141">
        <f>IFERROR(VLOOKUP($B1814,calc_data,J$14+1,0),0)</f>
        <v/>
      </c>
      <c r="K1814" s="141">
        <f>IFERROR(VLOOKUP($B1814,calc_data,K$14+1,0),0)</f>
        <v/>
      </c>
      <c r="L1814" s="141">
        <f>IFERROR(VLOOKUP($B1814,calc_data,L$14+1,0),0)</f>
        <v/>
      </c>
      <c r="M1814" s="177">
        <f>IFERROR(VLOOKUP($B1814,calc_data,M$14+1,0),0)</f>
        <v/>
      </c>
      <c r="N1814" s="177">
        <f>IFERROR(VLOOKUP($B1814,calc_data,N$14+1,0),0)</f>
        <v/>
      </c>
      <c r="O1814" s="45" t="n"/>
      <c r="Q1814" s="57">
        <f>IF(K1814&gt;0,"показать","скрыть")</f>
        <v/>
      </c>
    </row>
    <row r="1815" ht="15.75" customHeight="1">
      <c r="B1815" s="182" t="n">
        <v>1799</v>
      </c>
      <c r="C1815" s="182">
        <f>IFERROR(VLOOKUP($B1815,calc_data,C$14+1,0),0)</f>
        <v/>
      </c>
      <c r="D1815" s="182">
        <f>IFERROR(VLOOKUP($B1815,calc_data,D$14+1,0),0)</f>
        <v/>
      </c>
      <c r="E1815" s="183">
        <f>IFERROR(VLOOKUP($B1815,calc_data,E$14+1,0),0)</f>
        <v/>
      </c>
      <c r="F1815" s="182">
        <f>IFERROR(VLOOKUP($B1815,calc_data,F$14+1,0),0)</f>
        <v/>
      </c>
      <c r="G1815" s="141">
        <f>IFERROR(VLOOKUP($B1815,calc_data,G$14+1,0),0)</f>
        <v/>
      </c>
      <c r="H1815" s="141">
        <f>IFERROR(VLOOKUP($B1815,calc_data,H$14+1,0),0)</f>
        <v/>
      </c>
      <c r="I1815" s="142">
        <f>IFERROR(VLOOKUP($B1815,calc_data,I$14+1,0),0)</f>
        <v/>
      </c>
      <c r="J1815" s="141">
        <f>IFERROR(VLOOKUP($B1815,calc_data,J$14+1,0),0)</f>
        <v/>
      </c>
      <c r="K1815" s="141">
        <f>IFERROR(VLOOKUP($B1815,calc_data,K$14+1,0),0)</f>
        <v/>
      </c>
      <c r="L1815" s="141">
        <f>IFERROR(VLOOKUP($B1815,calc_data,L$14+1,0),0)</f>
        <v/>
      </c>
      <c r="M1815" s="177">
        <f>IFERROR(VLOOKUP($B1815,calc_data,M$14+1,0),0)</f>
        <v/>
      </c>
      <c r="N1815" s="177">
        <f>IFERROR(VLOOKUP($B1815,calc_data,N$14+1,0),0)</f>
        <v/>
      </c>
      <c r="O1815" s="45" t="n"/>
      <c r="Q1815" s="57">
        <f>IF(K1815&gt;0,"показать","скрыть")</f>
        <v/>
      </c>
    </row>
    <row r="1816" ht="15.75" customHeight="1">
      <c r="B1816" s="182" t="n">
        <v>1800</v>
      </c>
      <c r="C1816" s="182">
        <f>IFERROR(VLOOKUP($B1816,calc_data,C$14+1,0),0)</f>
        <v/>
      </c>
      <c r="D1816" s="182">
        <f>IFERROR(VLOOKUP($B1816,calc_data,D$14+1,0),0)</f>
        <v/>
      </c>
      <c r="E1816" s="183">
        <f>IFERROR(VLOOKUP($B1816,calc_data,E$14+1,0),0)</f>
        <v/>
      </c>
      <c r="F1816" s="182">
        <f>IFERROR(VLOOKUP($B1816,calc_data,F$14+1,0),0)</f>
        <v/>
      </c>
      <c r="G1816" s="141">
        <f>IFERROR(VLOOKUP($B1816,calc_data,G$14+1,0),0)</f>
        <v/>
      </c>
      <c r="H1816" s="141">
        <f>IFERROR(VLOOKUP($B1816,calc_data,H$14+1,0),0)</f>
        <v/>
      </c>
      <c r="I1816" s="142">
        <f>IFERROR(VLOOKUP($B1816,calc_data,I$14+1,0),0)</f>
        <v/>
      </c>
      <c r="J1816" s="141">
        <f>IFERROR(VLOOKUP($B1816,calc_data,J$14+1,0),0)</f>
        <v/>
      </c>
      <c r="K1816" s="141">
        <f>IFERROR(VLOOKUP($B1816,calc_data,K$14+1,0),0)</f>
        <v/>
      </c>
      <c r="L1816" s="141">
        <f>IFERROR(VLOOKUP($B1816,calc_data,L$14+1,0),0)</f>
        <v/>
      </c>
      <c r="M1816" s="177">
        <f>IFERROR(VLOOKUP($B1816,calc_data,M$14+1,0),0)</f>
        <v/>
      </c>
      <c r="N1816" s="177">
        <f>IFERROR(VLOOKUP($B1816,calc_data,N$14+1,0),0)</f>
        <v/>
      </c>
      <c r="O1816" s="45" t="n"/>
      <c r="Q1816" s="57">
        <f>IF(K1816&gt;0,"показать","скрыть")</f>
        <v/>
      </c>
    </row>
    <row r="1817" ht="15.75" customHeight="1">
      <c r="B1817" s="182" t="n">
        <v>1801</v>
      </c>
      <c r="C1817" s="182">
        <f>IFERROR(VLOOKUP($B1817,calc_data,C$14+1,0),0)</f>
        <v/>
      </c>
      <c r="D1817" s="182">
        <f>IFERROR(VLOOKUP($B1817,calc_data,D$14+1,0),0)</f>
        <v/>
      </c>
      <c r="E1817" s="183">
        <f>IFERROR(VLOOKUP($B1817,calc_data,E$14+1,0),0)</f>
        <v/>
      </c>
      <c r="F1817" s="182">
        <f>IFERROR(VLOOKUP($B1817,calc_data,F$14+1,0),0)</f>
        <v/>
      </c>
      <c r="G1817" s="141">
        <f>IFERROR(VLOOKUP($B1817,calc_data,G$14+1,0),0)</f>
        <v/>
      </c>
      <c r="H1817" s="141">
        <f>IFERROR(VLOOKUP($B1817,calc_data,H$14+1,0),0)</f>
        <v/>
      </c>
      <c r="I1817" s="142">
        <f>IFERROR(VLOOKUP($B1817,calc_data,I$14+1,0),0)</f>
        <v/>
      </c>
      <c r="J1817" s="141">
        <f>IFERROR(VLOOKUP($B1817,calc_data,J$14+1,0),0)</f>
        <v/>
      </c>
      <c r="K1817" s="141">
        <f>IFERROR(VLOOKUP($B1817,calc_data,K$14+1,0),0)</f>
        <v/>
      </c>
      <c r="L1817" s="141">
        <f>IFERROR(VLOOKUP($B1817,calc_data,L$14+1,0),0)</f>
        <v/>
      </c>
      <c r="M1817" s="177">
        <f>IFERROR(VLOOKUP($B1817,calc_data,M$14+1,0),0)</f>
        <v/>
      </c>
      <c r="N1817" s="177">
        <f>IFERROR(VLOOKUP($B1817,calc_data,N$14+1,0),0)</f>
        <v/>
      </c>
      <c r="O1817" s="45" t="n"/>
      <c r="Q1817" s="57">
        <f>IF(K1817&gt;0,"показать","скрыть")</f>
        <v/>
      </c>
    </row>
    <row r="1818" ht="15.75" customHeight="1">
      <c r="B1818" s="182" t="n">
        <v>1802</v>
      </c>
      <c r="C1818" s="182">
        <f>IFERROR(VLOOKUP($B1818,calc_data,C$14+1,0),0)</f>
        <v/>
      </c>
      <c r="D1818" s="182">
        <f>IFERROR(VLOOKUP($B1818,calc_data,D$14+1,0),0)</f>
        <v/>
      </c>
      <c r="E1818" s="183">
        <f>IFERROR(VLOOKUP($B1818,calc_data,E$14+1,0),0)</f>
        <v/>
      </c>
      <c r="F1818" s="182">
        <f>IFERROR(VLOOKUP($B1818,calc_data,F$14+1,0),0)</f>
        <v/>
      </c>
      <c r="G1818" s="141">
        <f>IFERROR(VLOOKUP($B1818,calc_data,G$14+1,0),0)</f>
        <v/>
      </c>
      <c r="H1818" s="141">
        <f>IFERROR(VLOOKUP($B1818,calc_data,H$14+1,0),0)</f>
        <v/>
      </c>
      <c r="I1818" s="142">
        <f>IFERROR(VLOOKUP($B1818,calc_data,I$14+1,0),0)</f>
        <v/>
      </c>
      <c r="J1818" s="141">
        <f>IFERROR(VLOOKUP($B1818,calc_data,J$14+1,0),0)</f>
        <v/>
      </c>
      <c r="K1818" s="141">
        <f>IFERROR(VLOOKUP($B1818,calc_data,K$14+1,0),0)</f>
        <v/>
      </c>
      <c r="L1818" s="141">
        <f>IFERROR(VLOOKUP($B1818,calc_data,L$14+1,0),0)</f>
        <v/>
      </c>
      <c r="M1818" s="177">
        <f>IFERROR(VLOOKUP($B1818,calc_data,M$14+1,0),0)</f>
        <v/>
      </c>
      <c r="N1818" s="177">
        <f>IFERROR(VLOOKUP($B1818,calc_data,N$14+1,0),0)</f>
        <v/>
      </c>
      <c r="O1818" s="45" t="n"/>
      <c r="Q1818" s="57">
        <f>IF(K1818&gt;0,"показать","скрыть")</f>
        <v/>
      </c>
    </row>
    <row r="1819" ht="15.75" customHeight="1">
      <c r="B1819" s="182" t="n">
        <v>1803</v>
      </c>
      <c r="C1819" s="182">
        <f>IFERROR(VLOOKUP($B1819,calc_data,C$14+1,0),0)</f>
        <v/>
      </c>
      <c r="D1819" s="182">
        <f>IFERROR(VLOOKUP($B1819,calc_data,D$14+1,0),0)</f>
        <v/>
      </c>
      <c r="E1819" s="183">
        <f>IFERROR(VLOOKUP($B1819,calc_data,E$14+1,0),0)</f>
        <v/>
      </c>
      <c r="F1819" s="182">
        <f>IFERROR(VLOOKUP($B1819,calc_data,F$14+1,0),0)</f>
        <v/>
      </c>
      <c r="G1819" s="141">
        <f>IFERROR(VLOOKUP($B1819,calc_data,G$14+1,0),0)</f>
        <v/>
      </c>
      <c r="H1819" s="141">
        <f>IFERROR(VLOOKUP($B1819,calc_data,H$14+1,0),0)</f>
        <v/>
      </c>
      <c r="I1819" s="142">
        <f>IFERROR(VLOOKUP($B1819,calc_data,I$14+1,0),0)</f>
        <v/>
      </c>
      <c r="J1819" s="141">
        <f>IFERROR(VLOOKUP($B1819,calc_data,J$14+1,0),0)</f>
        <v/>
      </c>
      <c r="K1819" s="141">
        <f>IFERROR(VLOOKUP($B1819,calc_data,K$14+1,0),0)</f>
        <v/>
      </c>
      <c r="L1819" s="141">
        <f>IFERROR(VLOOKUP($B1819,calc_data,L$14+1,0),0)</f>
        <v/>
      </c>
      <c r="M1819" s="177">
        <f>IFERROR(VLOOKUP($B1819,calc_data,M$14+1,0),0)</f>
        <v/>
      </c>
      <c r="N1819" s="177">
        <f>IFERROR(VLOOKUP($B1819,calc_data,N$14+1,0),0)</f>
        <v/>
      </c>
      <c r="O1819" s="45" t="n"/>
      <c r="Q1819" s="57">
        <f>IF(K1819&gt;0,"показать","скрыть")</f>
        <v/>
      </c>
    </row>
    <row r="1820" ht="15.75" customHeight="1">
      <c r="B1820" s="182" t="n">
        <v>1804</v>
      </c>
      <c r="C1820" s="182">
        <f>IFERROR(VLOOKUP($B1820,calc_data,C$14+1,0),0)</f>
        <v/>
      </c>
      <c r="D1820" s="182">
        <f>IFERROR(VLOOKUP($B1820,calc_data,D$14+1,0),0)</f>
        <v/>
      </c>
      <c r="E1820" s="183">
        <f>IFERROR(VLOOKUP($B1820,calc_data,E$14+1,0),0)</f>
        <v/>
      </c>
      <c r="F1820" s="182">
        <f>IFERROR(VLOOKUP($B1820,calc_data,F$14+1,0),0)</f>
        <v/>
      </c>
      <c r="G1820" s="141">
        <f>IFERROR(VLOOKUP($B1820,calc_data,G$14+1,0),0)</f>
        <v/>
      </c>
      <c r="H1820" s="141">
        <f>IFERROR(VLOOKUP($B1820,calc_data,H$14+1,0),0)</f>
        <v/>
      </c>
      <c r="I1820" s="142">
        <f>IFERROR(VLOOKUP($B1820,calc_data,I$14+1,0),0)</f>
        <v/>
      </c>
      <c r="J1820" s="141">
        <f>IFERROR(VLOOKUP($B1820,calc_data,J$14+1,0),0)</f>
        <v/>
      </c>
      <c r="K1820" s="141">
        <f>IFERROR(VLOOKUP($B1820,calc_data,K$14+1,0),0)</f>
        <v/>
      </c>
      <c r="L1820" s="141">
        <f>IFERROR(VLOOKUP($B1820,calc_data,L$14+1,0),0)</f>
        <v/>
      </c>
      <c r="M1820" s="177">
        <f>IFERROR(VLOOKUP($B1820,calc_data,M$14+1,0),0)</f>
        <v/>
      </c>
      <c r="N1820" s="177">
        <f>IFERROR(VLOOKUP($B1820,calc_data,N$14+1,0),0)</f>
        <v/>
      </c>
      <c r="O1820" s="45" t="n"/>
      <c r="Q1820" s="57">
        <f>IF(K1820&gt;0,"показать","скрыть")</f>
        <v/>
      </c>
    </row>
    <row r="1821" ht="15.75" customHeight="1">
      <c r="B1821" s="182" t="n">
        <v>1805</v>
      </c>
      <c r="C1821" s="182">
        <f>IFERROR(VLOOKUP($B1821,calc_data,C$14+1,0),0)</f>
        <v/>
      </c>
      <c r="D1821" s="182">
        <f>IFERROR(VLOOKUP($B1821,calc_data,D$14+1,0),0)</f>
        <v/>
      </c>
      <c r="E1821" s="183">
        <f>IFERROR(VLOOKUP($B1821,calc_data,E$14+1,0),0)</f>
        <v/>
      </c>
      <c r="F1821" s="182">
        <f>IFERROR(VLOOKUP($B1821,calc_data,F$14+1,0),0)</f>
        <v/>
      </c>
      <c r="G1821" s="141">
        <f>IFERROR(VLOOKUP($B1821,calc_data,G$14+1,0),0)</f>
        <v/>
      </c>
      <c r="H1821" s="141">
        <f>IFERROR(VLOOKUP($B1821,calc_data,H$14+1,0),0)</f>
        <v/>
      </c>
      <c r="I1821" s="142">
        <f>IFERROR(VLOOKUP($B1821,calc_data,I$14+1,0),0)</f>
        <v/>
      </c>
      <c r="J1821" s="141">
        <f>IFERROR(VLOOKUP($B1821,calc_data,J$14+1,0),0)</f>
        <v/>
      </c>
      <c r="K1821" s="141">
        <f>IFERROR(VLOOKUP($B1821,calc_data,K$14+1,0),0)</f>
        <v/>
      </c>
      <c r="L1821" s="141">
        <f>IFERROR(VLOOKUP($B1821,calc_data,L$14+1,0),0)</f>
        <v/>
      </c>
      <c r="M1821" s="177">
        <f>IFERROR(VLOOKUP($B1821,calc_data,M$14+1,0),0)</f>
        <v/>
      </c>
      <c r="N1821" s="177">
        <f>IFERROR(VLOOKUP($B1821,calc_data,N$14+1,0),0)</f>
        <v/>
      </c>
      <c r="O1821" s="45" t="n"/>
      <c r="Q1821" s="57">
        <f>IF(K1821&gt;0,"показать","скрыть")</f>
        <v/>
      </c>
    </row>
    <row r="1822" ht="15.75" customHeight="1">
      <c r="B1822" s="182" t="n">
        <v>1806</v>
      </c>
      <c r="C1822" s="182">
        <f>IFERROR(VLOOKUP($B1822,calc_data,C$14+1,0),0)</f>
        <v/>
      </c>
      <c r="D1822" s="182">
        <f>IFERROR(VLOOKUP($B1822,calc_data,D$14+1,0),0)</f>
        <v/>
      </c>
      <c r="E1822" s="183">
        <f>IFERROR(VLOOKUP($B1822,calc_data,E$14+1,0),0)</f>
        <v/>
      </c>
      <c r="F1822" s="182">
        <f>IFERROR(VLOOKUP($B1822,calc_data,F$14+1,0),0)</f>
        <v/>
      </c>
      <c r="G1822" s="141">
        <f>IFERROR(VLOOKUP($B1822,calc_data,G$14+1,0),0)</f>
        <v/>
      </c>
      <c r="H1822" s="141">
        <f>IFERROR(VLOOKUP($B1822,calc_data,H$14+1,0),0)</f>
        <v/>
      </c>
      <c r="I1822" s="142">
        <f>IFERROR(VLOOKUP($B1822,calc_data,I$14+1,0),0)</f>
        <v/>
      </c>
      <c r="J1822" s="141">
        <f>IFERROR(VLOOKUP($B1822,calc_data,J$14+1,0),0)</f>
        <v/>
      </c>
      <c r="K1822" s="141">
        <f>IFERROR(VLOOKUP($B1822,calc_data,K$14+1,0),0)</f>
        <v/>
      </c>
      <c r="L1822" s="141">
        <f>IFERROR(VLOOKUP($B1822,calc_data,L$14+1,0),0)</f>
        <v/>
      </c>
      <c r="M1822" s="177">
        <f>IFERROR(VLOOKUP($B1822,calc_data,M$14+1,0),0)</f>
        <v/>
      </c>
      <c r="N1822" s="177">
        <f>IFERROR(VLOOKUP($B1822,calc_data,N$14+1,0),0)</f>
        <v/>
      </c>
      <c r="O1822" s="45" t="n"/>
      <c r="Q1822" s="57">
        <f>IF(K1822&gt;0,"показать","скрыть")</f>
        <v/>
      </c>
    </row>
    <row r="1823" ht="15.75" customHeight="1">
      <c r="B1823" s="182" t="n">
        <v>1807</v>
      </c>
      <c r="C1823" s="182">
        <f>IFERROR(VLOOKUP($B1823,calc_data,C$14+1,0),0)</f>
        <v/>
      </c>
      <c r="D1823" s="182">
        <f>IFERROR(VLOOKUP($B1823,calc_data,D$14+1,0),0)</f>
        <v/>
      </c>
      <c r="E1823" s="183">
        <f>IFERROR(VLOOKUP($B1823,calc_data,E$14+1,0),0)</f>
        <v/>
      </c>
      <c r="F1823" s="182">
        <f>IFERROR(VLOOKUP($B1823,calc_data,F$14+1,0),0)</f>
        <v/>
      </c>
      <c r="G1823" s="141">
        <f>IFERROR(VLOOKUP($B1823,calc_data,G$14+1,0),0)</f>
        <v/>
      </c>
      <c r="H1823" s="141">
        <f>IFERROR(VLOOKUP($B1823,calc_data,H$14+1,0),0)</f>
        <v/>
      </c>
      <c r="I1823" s="142">
        <f>IFERROR(VLOOKUP($B1823,calc_data,I$14+1,0),0)</f>
        <v/>
      </c>
      <c r="J1823" s="141">
        <f>IFERROR(VLOOKUP($B1823,calc_data,J$14+1,0),0)</f>
        <v/>
      </c>
      <c r="K1823" s="141">
        <f>IFERROR(VLOOKUP($B1823,calc_data,K$14+1,0),0)</f>
        <v/>
      </c>
      <c r="L1823" s="141">
        <f>IFERROR(VLOOKUP($B1823,calc_data,L$14+1,0),0)</f>
        <v/>
      </c>
      <c r="M1823" s="177">
        <f>IFERROR(VLOOKUP($B1823,calc_data,M$14+1,0),0)</f>
        <v/>
      </c>
      <c r="N1823" s="177">
        <f>IFERROR(VLOOKUP($B1823,calc_data,N$14+1,0),0)</f>
        <v/>
      </c>
      <c r="O1823" s="45" t="n"/>
      <c r="Q1823" s="57">
        <f>IF(K1823&gt;0,"показать","скрыть")</f>
        <v/>
      </c>
    </row>
    <row r="1824" ht="15.75" customHeight="1">
      <c r="B1824" s="182" t="n">
        <v>1808</v>
      </c>
      <c r="C1824" s="182">
        <f>IFERROR(VLOOKUP($B1824,calc_data,C$14+1,0),0)</f>
        <v/>
      </c>
      <c r="D1824" s="182">
        <f>IFERROR(VLOOKUP($B1824,calc_data,D$14+1,0),0)</f>
        <v/>
      </c>
      <c r="E1824" s="183">
        <f>IFERROR(VLOOKUP($B1824,calc_data,E$14+1,0),0)</f>
        <v/>
      </c>
      <c r="F1824" s="182">
        <f>IFERROR(VLOOKUP($B1824,calc_data,F$14+1,0),0)</f>
        <v/>
      </c>
      <c r="G1824" s="141">
        <f>IFERROR(VLOOKUP($B1824,calc_data,G$14+1,0),0)</f>
        <v/>
      </c>
      <c r="H1824" s="141">
        <f>IFERROR(VLOOKUP($B1824,calc_data,H$14+1,0),0)</f>
        <v/>
      </c>
      <c r="I1824" s="142">
        <f>IFERROR(VLOOKUP($B1824,calc_data,I$14+1,0),0)</f>
        <v/>
      </c>
      <c r="J1824" s="141">
        <f>IFERROR(VLOOKUP($B1824,calc_data,J$14+1,0),0)</f>
        <v/>
      </c>
      <c r="K1824" s="141">
        <f>IFERROR(VLOOKUP($B1824,calc_data,K$14+1,0),0)</f>
        <v/>
      </c>
      <c r="L1824" s="141">
        <f>IFERROR(VLOOKUP($B1824,calc_data,L$14+1,0),0)</f>
        <v/>
      </c>
      <c r="M1824" s="177">
        <f>IFERROR(VLOOKUP($B1824,calc_data,M$14+1,0),0)</f>
        <v/>
      </c>
      <c r="N1824" s="177">
        <f>IFERROR(VLOOKUP($B1824,calc_data,N$14+1,0),0)</f>
        <v/>
      </c>
      <c r="O1824" s="45" t="n"/>
      <c r="Q1824" s="57">
        <f>IF(K1824&gt;0,"показать","скрыть")</f>
        <v/>
      </c>
    </row>
    <row r="1825" ht="15.75" customHeight="1">
      <c r="B1825" s="182" t="n">
        <v>1809</v>
      </c>
      <c r="C1825" s="182">
        <f>IFERROR(VLOOKUP($B1825,calc_data,C$14+1,0),0)</f>
        <v/>
      </c>
      <c r="D1825" s="182">
        <f>IFERROR(VLOOKUP($B1825,calc_data,D$14+1,0),0)</f>
        <v/>
      </c>
      <c r="E1825" s="183">
        <f>IFERROR(VLOOKUP($B1825,calc_data,E$14+1,0),0)</f>
        <v/>
      </c>
      <c r="F1825" s="182">
        <f>IFERROR(VLOOKUP($B1825,calc_data,F$14+1,0),0)</f>
        <v/>
      </c>
      <c r="G1825" s="141">
        <f>IFERROR(VLOOKUP($B1825,calc_data,G$14+1,0),0)</f>
        <v/>
      </c>
      <c r="H1825" s="141">
        <f>IFERROR(VLOOKUP($B1825,calc_data,H$14+1,0),0)</f>
        <v/>
      </c>
      <c r="I1825" s="142">
        <f>IFERROR(VLOOKUP($B1825,calc_data,I$14+1,0),0)</f>
        <v/>
      </c>
      <c r="J1825" s="141">
        <f>IFERROR(VLOOKUP($B1825,calc_data,J$14+1,0),0)</f>
        <v/>
      </c>
      <c r="K1825" s="141">
        <f>IFERROR(VLOOKUP($B1825,calc_data,K$14+1,0),0)</f>
        <v/>
      </c>
      <c r="L1825" s="141">
        <f>IFERROR(VLOOKUP($B1825,calc_data,L$14+1,0),0)</f>
        <v/>
      </c>
      <c r="M1825" s="177">
        <f>IFERROR(VLOOKUP($B1825,calc_data,M$14+1,0),0)</f>
        <v/>
      </c>
      <c r="N1825" s="177">
        <f>IFERROR(VLOOKUP($B1825,calc_data,N$14+1,0),0)</f>
        <v/>
      </c>
      <c r="O1825" s="45" t="n"/>
      <c r="Q1825" s="57">
        <f>IF(K1825&gt;0,"показать","скрыть")</f>
        <v/>
      </c>
    </row>
    <row r="1826" ht="15.75" customHeight="1">
      <c r="B1826" s="182" t="n">
        <v>1810</v>
      </c>
      <c r="C1826" s="182">
        <f>IFERROR(VLOOKUP($B1826,calc_data,C$14+1,0),0)</f>
        <v/>
      </c>
      <c r="D1826" s="182">
        <f>IFERROR(VLOOKUP($B1826,calc_data,D$14+1,0),0)</f>
        <v/>
      </c>
      <c r="E1826" s="183">
        <f>IFERROR(VLOOKUP($B1826,calc_data,E$14+1,0),0)</f>
        <v/>
      </c>
      <c r="F1826" s="182">
        <f>IFERROR(VLOOKUP($B1826,calc_data,F$14+1,0),0)</f>
        <v/>
      </c>
      <c r="G1826" s="141">
        <f>IFERROR(VLOOKUP($B1826,calc_data,G$14+1,0),0)</f>
        <v/>
      </c>
      <c r="H1826" s="141">
        <f>IFERROR(VLOOKUP($B1826,calc_data,H$14+1,0),0)</f>
        <v/>
      </c>
      <c r="I1826" s="142">
        <f>IFERROR(VLOOKUP($B1826,calc_data,I$14+1,0),0)</f>
        <v/>
      </c>
      <c r="J1826" s="141">
        <f>IFERROR(VLOOKUP($B1826,calc_data,J$14+1,0),0)</f>
        <v/>
      </c>
      <c r="K1826" s="141">
        <f>IFERROR(VLOOKUP($B1826,calc_data,K$14+1,0),0)</f>
        <v/>
      </c>
      <c r="L1826" s="141">
        <f>IFERROR(VLOOKUP($B1826,calc_data,L$14+1,0),0)</f>
        <v/>
      </c>
      <c r="M1826" s="177">
        <f>IFERROR(VLOOKUP($B1826,calc_data,M$14+1,0),0)</f>
        <v/>
      </c>
      <c r="N1826" s="177">
        <f>IFERROR(VLOOKUP($B1826,calc_data,N$14+1,0),0)</f>
        <v/>
      </c>
      <c r="O1826" s="45" t="n"/>
      <c r="Q1826" s="57">
        <f>IF(K1826&gt;0,"показать","скрыть")</f>
        <v/>
      </c>
    </row>
    <row r="1827" ht="15.75" customHeight="1">
      <c r="B1827" s="182" t="n">
        <v>1811</v>
      </c>
      <c r="C1827" s="182">
        <f>IFERROR(VLOOKUP($B1827,calc_data,C$14+1,0),0)</f>
        <v/>
      </c>
      <c r="D1827" s="182">
        <f>IFERROR(VLOOKUP($B1827,calc_data,D$14+1,0),0)</f>
        <v/>
      </c>
      <c r="E1827" s="183">
        <f>IFERROR(VLOOKUP($B1827,calc_data,E$14+1,0),0)</f>
        <v/>
      </c>
      <c r="F1827" s="182">
        <f>IFERROR(VLOOKUP($B1827,calc_data,F$14+1,0),0)</f>
        <v/>
      </c>
      <c r="G1827" s="141">
        <f>IFERROR(VLOOKUP($B1827,calc_data,G$14+1,0),0)</f>
        <v/>
      </c>
      <c r="H1827" s="141">
        <f>IFERROR(VLOOKUP($B1827,calc_data,H$14+1,0),0)</f>
        <v/>
      </c>
      <c r="I1827" s="142">
        <f>IFERROR(VLOOKUP($B1827,calc_data,I$14+1,0),0)</f>
        <v/>
      </c>
      <c r="J1827" s="141">
        <f>IFERROR(VLOOKUP($B1827,calc_data,J$14+1,0),0)</f>
        <v/>
      </c>
      <c r="K1827" s="141">
        <f>IFERROR(VLOOKUP($B1827,calc_data,K$14+1,0),0)</f>
        <v/>
      </c>
      <c r="L1827" s="141">
        <f>IFERROR(VLOOKUP($B1827,calc_data,L$14+1,0),0)</f>
        <v/>
      </c>
      <c r="M1827" s="177">
        <f>IFERROR(VLOOKUP($B1827,calc_data,M$14+1,0),0)</f>
        <v/>
      </c>
      <c r="N1827" s="177">
        <f>IFERROR(VLOOKUP($B1827,calc_data,N$14+1,0),0)</f>
        <v/>
      </c>
      <c r="O1827" s="45" t="n"/>
      <c r="Q1827" s="57">
        <f>IF(K1827&gt;0,"показать","скрыть")</f>
        <v/>
      </c>
    </row>
    <row r="1828" ht="15.75" customHeight="1">
      <c r="B1828" s="182" t="n">
        <v>1812</v>
      </c>
      <c r="C1828" s="182">
        <f>IFERROR(VLOOKUP($B1828,calc_data,C$14+1,0),0)</f>
        <v/>
      </c>
      <c r="D1828" s="182">
        <f>IFERROR(VLOOKUP($B1828,calc_data,D$14+1,0),0)</f>
        <v/>
      </c>
      <c r="E1828" s="183">
        <f>IFERROR(VLOOKUP($B1828,calc_data,E$14+1,0),0)</f>
        <v/>
      </c>
      <c r="F1828" s="182">
        <f>IFERROR(VLOOKUP($B1828,calc_data,F$14+1,0),0)</f>
        <v/>
      </c>
      <c r="G1828" s="141">
        <f>IFERROR(VLOOKUP($B1828,calc_data,G$14+1,0),0)</f>
        <v/>
      </c>
      <c r="H1828" s="141">
        <f>IFERROR(VLOOKUP($B1828,calc_data,H$14+1,0),0)</f>
        <v/>
      </c>
      <c r="I1828" s="142">
        <f>IFERROR(VLOOKUP($B1828,calc_data,I$14+1,0),0)</f>
        <v/>
      </c>
      <c r="J1828" s="141">
        <f>IFERROR(VLOOKUP($B1828,calc_data,J$14+1,0),0)</f>
        <v/>
      </c>
      <c r="K1828" s="141">
        <f>IFERROR(VLOOKUP($B1828,calc_data,K$14+1,0),0)</f>
        <v/>
      </c>
      <c r="L1828" s="141">
        <f>IFERROR(VLOOKUP($B1828,calc_data,L$14+1,0),0)</f>
        <v/>
      </c>
      <c r="M1828" s="177">
        <f>IFERROR(VLOOKUP($B1828,calc_data,M$14+1,0),0)</f>
        <v/>
      </c>
      <c r="N1828" s="177">
        <f>IFERROR(VLOOKUP($B1828,calc_data,N$14+1,0),0)</f>
        <v/>
      </c>
      <c r="O1828" s="45" t="n"/>
      <c r="Q1828" s="57">
        <f>IF(K1828&gt;0,"показать","скрыть")</f>
        <v/>
      </c>
    </row>
    <row r="1829" ht="15.75" customHeight="1">
      <c r="B1829" s="182" t="n">
        <v>1813</v>
      </c>
      <c r="C1829" s="182">
        <f>IFERROR(VLOOKUP($B1829,calc_data,C$14+1,0),0)</f>
        <v/>
      </c>
      <c r="D1829" s="182">
        <f>IFERROR(VLOOKUP($B1829,calc_data,D$14+1,0),0)</f>
        <v/>
      </c>
      <c r="E1829" s="183">
        <f>IFERROR(VLOOKUP($B1829,calc_data,E$14+1,0),0)</f>
        <v/>
      </c>
      <c r="F1829" s="182">
        <f>IFERROR(VLOOKUP($B1829,calc_data,F$14+1,0),0)</f>
        <v/>
      </c>
      <c r="G1829" s="141">
        <f>IFERROR(VLOOKUP($B1829,calc_data,G$14+1,0),0)</f>
        <v/>
      </c>
      <c r="H1829" s="141">
        <f>IFERROR(VLOOKUP($B1829,calc_data,H$14+1,0),0)</f>
        <v/>
      </c>
      <c r="I1829" s="142">
        <f>IFERROR(VLOOKUP($B1829,calc_data,I$14+1,0),0)</f>
        <v/>
      </c>
      <c r="J1829" s="141">
        <f>IFERROR(VLOOKUP($B1829,calc_data,J$14+1,0),0)</f>
        <v/>
      </c>
      <c r="K1829" s="141">
        <f>IFERROR(VLOOKUP($B1829,calc_data,K$14+1,0),0)</f>
        <v/>
      </c>
      <c r="L1829" s="141">
        <f>IFERROR(VLOOKUP($B1829,calc_data,L$14+1,0),0)</f>
        <v/>
      </c>
      <c r="M1829" s="177">
        <f>IFERROR(VLOOKUP($B1829,calc_data,M$14+1,0),0)</f>
        <v/>
      </c>
      <c r="N1829" s="177">
        <f>IFERROR(VLOOKUP($B1829,calc_data,N$14+1,0),0)</f>
        <v/>
      </c>
      <c r="O1829" s="45" t="n"/>
      <c r="Q1829" s="57">
        <f>IF(K1829&gt;0,"показать","скрыть")</f>
        <v/>
      </c>
    </row>
    <row r="1830" ht="15.75" customHeight="1">
      <c r="B1830" s="182" t="n">
        <v>1814</v>
      </c>
      <c r="C1830" s="182">
        <f>IFERROR(VLOOKUP($B1830,calc_data,C$14+1,0),0)</f>
        <v/>
      </c>
      <c r="D1830" s="182">
        <f>IFERROR(VLOOKUP($B1830,calc_data,D$14+1,0),0)</f>
        <v/>
      </c>
      <c r="E1830" s="183">
        <f>IFERROR(VLOOKUP($B1830,calc_data,E$14+1,0),0)</f>
        <v/>
      </c>
      <c r="F1830" s="182">
        <f>IFERROR(VLOOKUP($B1830,calc_data,F$14+1,0),0)</f>
        <v/>
      </c>
      <c r="G1830" s="141">
        <f>IFERROR(VLOOKUP($B1830,calc_data,G$14+1,0),0)</f>
        <v/>
      </c>
      <c r="H1830" s="141">
        <f>IFERROR(VLOOKUP($B1830,calc_data,H$14+1,0),0)</f>
        <v/>
      </c>
      <c r="I1830" s="142">
        <f>IFERROR(VLOOKUP($B1830,calc_data,I$14+1,0),0)</f>
        <v/>
      </c>
      <c r="J1830" s="141">
        <f>IFERROR(VLOOKUP($B1830,calc_data,J$14+1,0),0)</f>
        <v/>
      </c>
      <c r="K1830" s="141">
        <f>IFERROR(VLOOKUP($B1830,calc_data,K$14+1,0),0)</f>
        <v/>
      </c>
      <c r="L1830" s="141">
        <f>IFERROR(VLOOKUP($B1830,calc_data,L$14+1,0),0)</f>
        <v/>
      </c>
      <c r="M1830" s="177">
        <f>IFERROR(VLOOKUP($B1830,calc_data,M$14+1,0),0)</f>
        <v/>
      </c>
      <c r="N1830" s="177">
        <f>IFERROR(VLOOKUP($B1830,calc_data,N$14+1,0),0)</f>
        <v/>
      </c>
      <c r="O1830" s="45" t="n"/>
      <c r="Q1830" s="57">
        <f>IF(K1830&gt;0,"показать","скрыть")</f>
        <v/>
      </c>
    </row>
    <row r="1831" ht="15.75" customHeight="1">
      <c r="B1831" s="182" t="n">
        <v>1815</v>
      </c>
      <c r="C1831" s="182">
        <f>IFERROR(VLOOKUP($B1831,calc_data,C$14+1,0),0)</f>
        <v/>
      </c>
      <c r="D1831" s="182">
        <f>IFERROR(VLOOKUP($B1831,calc_data,D$14+1,0),0)</f>
        <v/>
      </c>
      <c r="E1831" s="183">
        <f>IFERROR(VLOOKUP($B1831,calc_data,E$14+1,0),0)</f>
        <v/>
      </c>
      <c r="F1831" s="182">
        <f>IFERROR(VLOOKUP($B1831,calc_data,F$14+1,0),0)</f>
        <v/>
      </c>
      <c r="G1831" s="141">
        <f>IFERROR(VLOOKUP($B1831,calc_data,G$14+1,0),0)</f>
        <v/>
      </c>
      <c r="H1831" s="141">
        <f>IFERROR(VLOOKUP($B1831,calc_data,H$14+1,0),0)</f>
        <v/>
      </c>
      <c r="I1831" s="142">
        <f>IFERROR(VLOOKUP($B1831,calc_data,I$14+1,0),0)</f>
        <v/>
      </c>
      <c r="J1831" s="141">
        <f>IFERROR(VLOOKUP($B1831,calc_data,J$14+1,0),0)</f>
        <v/>
      </c>
      <c r="K1831" s="141">
        <f>IFERROR(VLOOKUP($B1831,calc_data,K$14+1,0),0)</f>
        <v/>
      </c>
      <c r="L1831" s="141">
        <f>IFERROR(VLOOKUP($B1831,calc_data,L$14+1,0),0)</f>
        <v/>
      </c>
      <c r="M1831" s="177">
        <f>IFERROR(VLOOKUP($B1831,calc_data,M$14+1,0),0)</f>
        <v/>
      </c>
      <c r="N1831" s="177">
        <f>IFERROR(VLOOKUP($B1831,calc_data,N$14+1,0),0)</f>
        <v/>
      </c>
      <c r="O1831" s="45" t="n"/>
      <c r="Q1831" s="57">
        <f>IF(K1831&gt;0,"показать","скрыть")</f>
        <v/>
      </c>
    </row>
    <row r="1832" ht="15.75" customHeight="1">
      <c r="B1832" s="182" t="n">
        <v>1816</v>
      </c>
      <c r="C1832" s="182">
        <f>IFERROR(VLOOKUP($B1832,calc_data,C$14+1,0),0)</f>
        <v/>
      </c>
      <c r="D1832" s="182">
        <f>IFERROR(VLOOKUP($B1832,calc_data,D$14+1,0),0)</f>
        <v/>
      </c>
      <c r="E1832" s="183">
        <f>IFERROR(VLOOKUP($B1832,calc_data,E$14+1,0),0)</f>
        <v/>
      </c>
      <c r="F1832" s="182">
        <f>IFERROR(VLOOKUP($B1832,calc_data,F$14+1,0),0)</f>
        <v/>
      </c>
      <c r="G1832" s="141">
        <f>IFERROR(VLOOKUP($B1832,calc_data,G$14+1,0),0)</f>
        <v/>
      </c>
      <c r="H1832" s="141">
        <f>IFERROR(VLOOKUP($B1832,calc_data,H$14+1,0),0)</f>
        <v/>
      </c>
      <c r="I1832" s="142">
        <f>IFERROR(VLOOKUP($B1832,calc_data,I$14+1,0),0)</f>
        <v/>
      </c>
      <c r="J1832" s="141">
        <f>IFERROR(VLOOKUP($B1832,calc_data,J$14+1,0),0)</f>
        <v/>
      </c>
      <c r="K1832" s="141">
        <f>IFERROR(VLOOKUP($B1832,calc_data,K$14+1,0),0)</f>
        <v/>
      </c>
      <c r="L1832" s="141">
        <f>IFERROR(VLOOKUP($B1832,calc_data,L$14+1,0),0)</f>
        <v/>
      </c>
      <c r="M1832" s="177">
        <f>IFERROR(VLOOKUP($B1832,calc_data,M$14+1,0),0)</f>
        <v/>
      </c>
      <c r="N1832" s="177">
        <f>IFERROR(VLOOKUP($B1832,calc_data,N$14+1,0),0)</f>
        <v/>
      </c>
      <c r="O1832" s="45" t="n"/>
      <c r="Q1832" s="57">
        <f>IF(K1832&gt;0,"показать","скрыть")</f>
        <v/>
      </c>
    </row>
    <row r="1833" ht="15.75" customHeight="1">
      <c r="B1833" s="182" t="n">
        <v>1817</v>
      </c>
      <c r="C1833" s="182">
        <f>IFERROR(VLOOKUP($B1833,calc_data,C$14+1,0),0)</f>
        <v/>
      </c>
      <c r="D1833" s="182">
        <f>IFERROR(VLOOKUP($B1833,calc_data,D$14+1,0),0)</f>
        <v/>
      </c>
      <c r="E1833" s="183">
        <f>IFERROR(VLOOKUP($B1833,calc_data,E$14+1,0),0)</f>
        <v/>
      </c>
      <c r="F1833" s="182">
        <f>IFERROR(VLOOKUP($B1833,calc_data,F$14+1,0),0)</f>
        <v/>
      </c>
      <c r="G1833" s="141">
        <f>IFERROR(VLOOKUP($B1833,calc_data,G$14+1,0),0)</f>
        <v/>
      </c>
      <c r="H1833" s="141">
        <f>IFERROR(VLOOKUP($B1833,calc_data,H$14+1,0),0)</f>
        <v/>
      </c>
      <c r="I1833" s="142">
        <f>IFERROR(VLOOKUP($B1833,calc_data,I$14+1,0),0)</f>
        <v/>
      </c>
      <c r="J1833" s="141">
        <f>IFERROR(VLOOKUP($B1833,calc_data,J$14+1,0),0)</f>
        <v/>
      </c>
      <c r="K1833" s="141">
        <f>IFERROR(VLOOKUP($B1833,calc_data,K$14+1,0),0)</f>
        <v/>
      </c>
      <c r="L1833" s="141">
        <f>IFERROR(VLOOKUP($B1833,calc_data,L$14+1,0),0)</f>
        <v/>
      </c>
      <c r="M1833" s="177">
        <f>IFERROR(VLOOKUP($B1833,calc_data,M$14+1,0),0)</f>
        <v/>
      </c>
      <c r="N1833" s="177">
        <f>IFERROR(VLOOKUP($B1833,calc_data,N$14+1,0),0)</f>
        <v/>
      </c>
      <c r="O1833" s="45" t="n"/>
      <c r="Q1833" s="57">
        <f>IF(K1833&gt;0,"показать","скрыть")</f>
        <v/>
      </c>
    </row>
    <row r="1834" ht="15.75" customHeight="1">
      <c r="B1834" s="182" t="n">
        <v>1818</v>
      </c>
      <c r="C1834" s="182">
        <f>IFERROR(VLOOKUP($B1834,calc_data,C$14+1,0),0)</f>
        <v/>
      </c>
      <c r="D1834" s="182">
        <f>IFERROR(VLOOKUP($B1834,calc_data,D$14+1,0),0)</f>
        <v/>
      </c>
      <c r="E1834" s="183">
        <f>IFERROR(VLOOKUP($B1834,calc_data,E$14+1,0),0)</f>
        <v/>
      </c>
      <c r="F1834" s="182">
        <f>IFERROR(VLOOKUP($B1834,calc_data,F$14+1,0),0)</f>
        <v/>
      </c>
      <c r="G1834" s="141">
        <f>IFERROR(VLOOKUP($B1834,calc_data,G$14+1,0),0)</f>
        <v/>
      </c>
      <c r="H1834" s="141">
        <f>IFERROR(VLOOKUP($B1834,calc_data,H$14+1,0),0)</f>
        <v/>
      </c>
      <c r="I1834" s="142">
        <f>IFERROR(VLOOKUP($B1834,calc_data,I$14+1,0),0)</f>
        <v/>
      </c>
      <c r="J1834" s="141">
        <f>IFERROR(VLOOKUP($B1834,calc_data,J$14+1,0),0)</f>
        <v/>
      </c>
      <c r="K1834" s="141">
        <f>IFERROR(VLOOKUP($B1834,calc_data,K$14+1,0),0)</f>
        <v/>
      </c>
      <c r="L1834" s="141">
        <f>IFERROR(VLOOKUP($B1834,calc_data,L$14+1,0),0)</f>
        <v/>
      </c>
      <c r="M1834" s="177">
        <f>IFERROR(VLOOKUP($B1834,calc_data,M$14+1,0),0)</f>
        <v/>
      </c>
      <c r="N1834" s="177">
        <f>IFERROR(VLOOKUP($B1834,calc_data,N$14+1,0),0)</f>
        <v/>
      </c>
      <c r="O1834" s="45" t="n"/>
      <c r="Q1834" s="57">
        <f>IF(K1834&gt;0,"показать","скрыть")</f>
        <v/>
      </c>
    </row>
    <row r="1835" ht="15.75" customHeight="1">
      <c r="B1835" s="182" t="n">
        <v>1819</v>
      </c>
      <c r="C1835" s="182">
        <f>IFERROR(VLOOKUP($B1835,calc_data,C$14+1,0),0)</f>
        <v/>
      </c>
      <c r="D1835" s="182">
        <f>IFERROR(VLOOKUP($B1835,calc_data,D$14+1,0),0)</f>
        <v/>
      </c>
      <c r="E1835" s="183">
        <f>IFERROR(VLOOKUP($B1835,calc_data,E$14+1,0),0)</f>
        <v/>
      </c>
      <c r="F1835" s="182">
        <f>IFERROR(VLOOKUP($B1835,calc_data,F$14+1,0),0)</f>
        <v/>
      </c>
      <c r="G1835" s="141">
        <f>IFERROR(VLOOKUP($B1835,calc_data,G$14+1,0),0)</f>
        <v/>
      </c>
      <c r="H1835" s="141">
        <f>IFERROR(VLOOKUP($B1835,calc_data,H$14+1,0),0)</f>
        <v/>
      </c>
      <c r="I1835" s="142">
        <f>IFERROR(VLOOKUP($B1835,calc_data,I$14+1,0),0)</f>
        <v/>
      </c>
      <c r="J1835" s="141">
        <f>IFERROR(VLOOKUP($B1835,calc_data,J$14+1,0),0)</f>
        <v/>
      </c>
      <c r="K1835" s="141">
        <f>IFERROR(VLOOKUP($B1835,calc_data,K$14+1,0),0)</f>
        <v/>
      </c>
      <c r="L1835" s="141">
        <f>IFERROR(VLOOKUP($B1835,calc_data,L$14+1,0),0)</f>
        <v/>
      </c>
      <c r="M1835" s="177">
        <f>IFERROR(VLOOKUP($B1835,calc_data,M$14+1,0),0)</f>
        <v/>
      </c>
      <c r="N1835" s="177">
        <f>IFERROR(VLOOKUP($B1835,calc_data,N$14+1,0),0)</f>
        <v/>
      </c>
      <c r="O1835" s="45" t="n"/>
      <c r="Q1835" s="57">
        <f>IF(K1835&gt;0,"показать","скрыть")</f>
        <v/>
      </c>
    </row>
    <row r="1836" ht="15.75" customHeight="1">
      <c r="B1836" s="182" t="n">
        <v>1820</v>
      </c>
      <c r="C1836" s="182">
        <f>IFERROR(VLOOKUP($B1836,calc_data,C$14+1,0),0)</f>
        <v/>
      </c>
      <c r="D1836" s="182">
        <f>IFERROR(VLOOKUP($B1836,calc_data,D$14+1,0),0)</f>
        <v/>
      </c>
      <c r="E1836" s="183">
        <f>IFERROR(VLOOKUP($B1836,calc_data,E$14+1,0),0)</f>
        <v/>
      </c>
      <c r="F1836" s="182">
        <f>IFERROR(VLOOKUP($B1836,calc_data,F$14+1,0),0)</f>
        <v/>
      </c>
      <c r="G1836" s="141">
        <f>IFERROR(VLOOKUP($B1836,calc_data,G$14+1,0),0)</f>
        <v/>
      </c>
      <c r="H1836" s="141">
        <f>IFERROR(VLOOKUP($B1836,calc_data,H$14+1,0),0)</f>
        <v/>
      </c>
      <c r="I1836" s="142">
        <f>IFERROR(VLOOKUP($B1836,calc_data,I$14+1,0),0)</f>
        <v/>
      </c>
      <c r="J1836" s="141">
        <f>IFERROR(VLOOKUP($B1836,calc_data,J$14+1,0),0)</f>
        <v/>
      </c>
      <c r="K1836" s="141">
        <f>IFERROR(VLOOKUP($B1836,calc_data,K$14+1,0),0)</f>
        <v/>
      </c>
      <c r="L1836" s="141">
        <f>IFERROR(VLOOKUP($B1836,calc_data,L$14+1,0),0)</f>
        <v/>
      </c>
      <c r="M1836" s="177">
        <f>IFERROR(VLOOKUP($B1836,calc_data,M$14+1,0),0)</f>
        <v/>
      </c>
      <c r="N1836" s="177">
        <f>IFERROR(VLOOKUP($B1836,calc_data,N$14+1,0),0)</f>
        <v/>
      </c>
      <c r="O1836" s="45" t="n"/>
      <c r="Q1836" s="57">
        <f>IF(K1836&gt;0,"показать","скрыть")</f>
        <v/>
      </c>
    </row>
    <row r="1837" ht="15.75" customHeight="1">
      <c r="B1837" s="182" t="n">
        <v>1821</v>
      </c>
      <c r="C1837" s="182">
        <f>IFERROR(VLOOKUP($B1837,calc_data,C$14+1,0),0)</f>
        <v/>
      </c>
      <c r="D1837" s="182">
        <f>IFERROR(VLOOKUP($B1837,calc_data,D$14+1,0),0)</f>
        <v/>
      </c>
      <c r="E1837" s="183">
        <f>IFERROR(VLOOKUP($B1837,calc_data,E$14+1,0),0)</f>
        <v/>
      </c>
      <c r="F1837" s="182">
        <f>IFERROR(VLOOKUP($B1837,calc_data,F$14+1,0),0)</f>
        <v/>
      </c>
      <c r="G1837" s="141">
        <f>IFERROR(VLOOKUP($B1837,calc_data,G$14+1,0),0)</f>
        <v/>
      </c>
      <c r="H1837" s="141">
        <f>IFERROR(VLOOKUP($B1837,calc_data,H$14+1,0),0)</f>
        <v/>
      </c>
      <c r="I1837" s="142">
        <f>IFERROR(VLOOKUP($B1837,calc_data,I$14+1,0),0)</f>
        <v/>
      </c>
      <c r="J1837" s="141">
        <f>IFERROR(VLOOKUP($B1837,calc_data,J$14+1,0),0)</f>
        <v/>
      </c>
      <c r="K1837" s="141">
        <f>IFERROR(VLOOKUP($B1837,calc_data,K$14+1,0),0)</f>
        <v/>
      </c>
      <c r="L1837" s="141">
        <f>IFERROR(VLOOKUP($B1837,calc_data,L$14+1,0),0)</f>
        <v/>
      </c>
      <c r="M1837" s="177">
        <f>IFERROR(VLOOKUP($B1837,calc_data,M$14+1,0),0)</f>
        <v/>
      </c>
      <c r="N1837" s="177">
        <f>IFERROR(VLOOKUP($B1837,calc_data,N$14+1,0),0)</f>
        <v/>
      </c>
      <c r="O1837" s="45" t="n"/>
      <c r="Q1837" s="57">
        <f>IF(K1837&gt;0,"показать","скрыть")</f>
        <v/>
      </c>
    </row>
    <row r="1838" ht="15.75" customHeight="1">
      <c r="B1838" s="182" t="n">
        <v>1822</v>
      </c>
      <c r="C1838" s="182">
        <f>IFERROR(VLOOKUP($B1838,calc_data,C$14+1,0),0)</f>
        <v/>
      </c>
      <c r="D1838" s="182">
        <f>IFERROR(VLOOKUP($B1838,calc_data,D$14+1,0),0)</f>
        <v/>
      </c>
      <c r="E1838" s="183">
        <f>IFERROR(VLOOKUP($B1838,calc_data,E$14+1,0),0)</f>
        <v/>
      </c>
      <c r="F1838" s="182">
        <f>IFERROR(VLOOKUP($B1838,calc_data,F$14+1,0),0)</f>
        <v/>
      </c>
      <c r="G1838" s="141">
        <f>IFERROR(VLOOKUP($B1838,calc_data,G$14+1,0),0)</f>
        <v/>
      </c>
      <c r="H1838" s="141">
        <f>IFERROR(VLOOKUP($B1838,calc_data,H$14+1,0),0)</f>
        <v/>
      </c>
      <c r="I1838" s="142">
        <f>IFERROR(VLOOKUP($B1838,calc_data,I$14+1,0),0)</f>
        <v/>
      </c>
      <c r="J1838" s="141">
        <f>IFERROR(VLOOKUP($B1838,calc_data,J$14+1,0),0)</f>
        <v/>
      </c>
      <c r="K1838" s="141">
        <f>IFERROR(VLOOKUP($B1838,calc_data,K$14+1,0),0)</f>
        <v/>
      </c>
      <c r="L1838" s="141">
        <f>IFERROR(VLOOKUP($B1838,calc_data,L$14+1,0),0)</f>
        <v/>
      </c>
      <c r="M1838" s="177">
        <f>IFERROR(VLOOKUP($B1838,calc_data,M$14+1,0),0)</f>
        <v/>
      </c>
      <c r="N1838" s="177">
        <f>IFERROR(VLOOKUP($B1838,calc_data,N$14+1,0),0)</f>
        <v/>
      </c>
      <c r="O1838" s="45" t="n"/>
      <c r="Q1838" s="57">
        <f>IF(K1838&gt;0,"показать","скрыть")</f>
        <v/>
      </c>
    </row>
    <row r="1839" ht="15.75" customHeight="1">
      <c r="B1839" s="182" t="n">
        <v>1823</v>
      </c>
      <c r="C1839" s="182">
        <f>IFERROR(VLOOKUP($B1839,calc_data,C$14+1,0),0)</f>
        <v/>
      </c>
      <c r="D1839" s="182">
        <f>IFERROR(VLOOKUP($B1839,calc_data,D$14+1,0),0)</f>
        <v/>
      </c>
      <c r="E1839" s="183">
        <f>IFERROR(VLOOKUP($B1839,calc_data,E$14+1,0),0)</f>
        <v/>
      </c>
      <c r="F1839" s="182">
        <f>IFERROR(VLOOKUP($B1839,calc_data,F$14+1,0),0)</f>
        <v/>
      </c>
      <c r="G1839" s="141">
        <f>IFERROR(VLOOKUP($B1839,calc_data,G$14+1,0),0)</f>
        <v/>
      </c>
      <c r="H1839" s="141">
        <f>IFERROR(VLOOKUP($B1839,calc_data,H$14+1,0),0)</f>
        <v/>
      </c>
      <c r="I1839" s="142">
        <f>IFERROR(VLOOKUP($B1839,calc_data,I$14+1,0),0)</f>
        <v/>
      </c>
      <c r="J1839" s="141">
        <f>IFERROR(VLOOKUP($B1839,calc_data,J$14+1,0),0)</f>
        <v/>
      </c>
      <c r="K1839" s="141">
        <f>IFERROR(VLOOKUP($B1839,calc_data,K$14+1,0),0)</f>
        <v/>
      </c>
      <c r="L1839" s="141">
        <f>IFERROR(VLOOKUP($B1839,calc_data,L$14+1,0),0)</f>
        <v/>
      </c>
      <c r="M1839" s="177">
        <f>IFERROR(VLOOKUP($B1839,calc_data,M$14+1,0),0)</f>
        <v/>
      </c>
      <c r="N1839" s="177">
        <f>IFERROR(VLOOKUP($B1839,calc_data,N$14+1,0),0)</f>
        <v/>
      </c>
      <c r="O1839" s="45" t="n"/>
      <c r="Q1839" s="57">
        <f>IF(K1839&gt;0,"показать","скрыть")</f>
        <v/>
      </c>
    </row>
    <row r="1840" ht="15.75" customHeight="1">
      <c r="B1840" s="182" t="n">
        <v>1824</v>
      </c>
      <c r="C1840" s="182">
        <f>IFERROR(VLOOKUP($B1840,calc_data,C$14+1,0),0)</f>
        <v/>
      </c>
      <c r="D1840" s="182">
        <f>IFERROR(VLOOKUP($B1840,calc_data,D$14+1,0),0)</f>
        <v/>
      </c>
      <c r="E1840" s="183">
        <f>IFERROR(VLOOKUP($B1840,calc_data,E$14+1,0),0)</f>
        <v/>
      </c>
      <c r="F1840" s="182">
        <f>IFERROR(VLOOKUP($B1840,calc_data,F$14+1,0),0)</f>
        <v/>
      </c>
      <c r="G1840" s="141">
        <f>IFERROR(VLOOKUP($B1840,calc_data,G$14+1,0),0)</f>
        <v/>
      </c>
      <c r="H1840" s="141">
        <f>IFERROR(VLOOKUP($B1840,calc_data,H$14+1,0),0)</f>
        <v/>
      </c>
      <c r="I1840" s="142">
        <f>IFERROR(VLOOKUP($B1840,calc_data,I$14+1,0),0)</f>
        <v/>
      </c>
      <c r="J1840" s="141">
        <f>IFERROR(VLOOKUP($B1840,calc_data,J$14+1,0),0)</f>
        <v/>
      </c>
      <c r="K1840" s="141">
        <f>IFERROR(VLOOKUP($B1840,calc_data,K$14+1,0),0)</f>
        <v/>
      </c>
      <c r="L1840" s="141">
        <f>IFERROR(VLOOKUP($B1840,calc_data,L$14+1,0),0)</f>
        <v/>
      </c>
      <c r="M1840" s="177">
        <f>IFERROR(VLOOKUP($B1840,calc_data,M$14+1,0),0)</f>
        <v/>
      </c>
      <c r="N1840" s="177">
        <f>IFERROR(VLOOKUP($B1840,calc_data,N$14+1,0),0)</f>
        <v/>
      </c>
      <c r="O1840" s="45" t="n"/>
      <c r="Q1840" s="57">
        <f>IF(K1840&gt;0,"показать","скрыть")</f>
        <v/>
      </c>
    </row>
    <row r="1841" ht="15.75" customHeight="1">
      <c r="B1841" s="182" t="n">
        <v>1825</v>
      </c>
      <c r="C1841" s="182">
        <f>IFERROR(VLOOKUP($B1841,calc_data,C$14+1,0),0)</f>
        <v/>
      </c>
      <c r="D1841" s="182">
        <f>IFERROR(VLOOKUP($B1841,calc_data,D$14+1,0),0)</f>
        <v/>
      </c>
      <c r="E1841" s="183">
        <f>IFERROR(VLOOKUP($B1841,calc_data,E$14+1,0),0)</f>
        <v/>
      </c>
      <c r="F1841" s="182">
        <f>IFERROR(VLOOKUP($B1841,calc_data,F$14+1,0),0)</f>
        <v/>
      </c>
      <c r="G1841" s="141">
        <f>IFERROR(VLOOKUP($B1841,calc_data,G$14+1,0),0)</f>
        <v/>
      </c>
      <c r="H1841" s="141">
        <f>IFERROR(VLOOKUP($B1841,calc_data,H$14+1,0),0)</f>
        <v/>
      </c>
      <c r="I1841" s="142">
        <f>IFERROR(VLOOKUP($B1841,calc_data,I$14+1,0),0)</f>
        <v/>
      </c>
      <c r="J1841" s="141">
        <f>IFERROR(VLOOKUP($B1841,calc_data,J$14+1,0),0)</f>
        <v/>
      </c>
      <c r="K1841" s="141">
        <f>IFERROR(VLOOKUP($B1841,calc_data,K$14+1,0),0)</f>
        <v/>
      </c>
      <c r="L1841" s="141">
        <f>IFERROR(VLOOKUP($B1841,calc_data,L$14+1,0),0)</f>
        <v/>
      </c>
      <c r="M1841" s="177">
        <f>IFERROR(VLOOKUP($B1841,calc_data,M$14+1,0),0)</f>
        <v/>
      </c>
      <c r="N1841" s="177">
        <f>IFERROR(VLOOKUP($B1841,calc_data,N$14+1,0),0)</f>
        <v/>
      </c>
      <c r="O1841" s="45" t="n"/>
      <c r="Q1841" s="57">
        <f>IF(K1841&gt;0,"показать","скрыть")</f>
        <v/>
      </c>
    </row>
    <row r="1842" ht="15.75" customHeight="1">
      <c r="B1842" s="182" t="n">
        <v>1826</v>
      </c>
      <c r="C1842" s="182">
        <f>IFERROR(VLOOKUP($B1842,calc_data,C$14+1,0),0)</f>
        <v/>
      </c>
      <c r="D1842" s="182">
        <f>IFERROR(VLOOKUP($B1842,calc_data,D$14+1,0),0)</f>
        <v/>
      </c>
      <c r="E1842" s="183">
        <f>IFERROR(VLOOKUP($B1842,calc_data,E$14+1,0),0)</f>
        <v/>
      </c>
      <c r="F1842" s="182">
        <f>IFERROR(VLOOKUP($B1842,calc_data,F$14+1,0),0)</f>
        <v/>
      </c>
      <c r="G1842" s="141">
        <f>IFERROR(VLOOKUP($B1842,calc_data,G$14+1,0),0)</f>
        <v/>
      </c>
      <c r="H1842" s="141">
        <f>IFERROR(VLOOKUP($B1842,calc_data,H$14+1,0),0)</f>
        <v/>
      </c>
      <c r="I1842" s="142">
        <f>IFERROR(VLOOKUP($B1842,calc_data,I$14+1,0),0)</f>
        <v/>
      </c>
      <c r="J1842" s="141">
        <f>IFERROR(VLOOKUP($B1842,calc_data,J$14+1,0),0)</f>
        <v/>
      </c>
      <c r="K1842" s="141">
        <f>IFERROR(VLOOKUP($B1842,calc_data,K$14+1,0),0)</f>
        <v/>
      </c>
      <c r="L1842" s="141">
        <f>IFERROR(VLOOKUP($B1842,calc_data,L$14+1,0),0)</f>
        <v/>
      </c>
      <c r="M1842" s="177">
        <f>IFERROR(VLOOKUP($B1842,calc_data,M$14+1,0),0)</f>
        <v/>
      </c>
      <c r="N1842" s="177">
        <f>IFERROR(VLOOKUP($B1842,calc_data,N$14+1,0),0)</f>
        <v/>
      </c>
      <c r="O1842" s="45" t="n"/>
      <c r="Q1842" s="57">
        <f>IF(K1842&gt;0,"показать","скрыть")</f>
        <v/>
      </c>
    </row>
    <row r="1843" ht="15.75" customHeight="1">
      <c r="B1843" s="182" t="n">
        <v>1827</v>
      </c>
      <c r="C1843" s="182">
        <f>IFERROR(VLOOKUP($B1843,calc_data,C$14+1,0),0)</f>
        <v/>
      </c>
      <c r="D1843" s="182">
        <f>IFERROR(VLOOKUP($B1843,calc_data,D$14+1,0),0)</f>
        <v/>
      </c>
      <c r="E1843" s="183">
        <f>IFERROR(VLOOKUP($B1843,calc_data,E$14+1,0),0)</f>
        <v/>
      </c>
      <c r="F1843" s="182">
        <f>IFERROR(VLOOKUP($B1843,calc_data,F$14+1,0),0)</f>
        <v/>
      </c>
      <c r="G1843" s="141">
        <f>IFERROR(VLOOKUP($B1843,calc_data,G$14+1,0),0)</f>
        <v/>
      </c>
      <c r="H1843" s="141">
        <f>IFERROR(VLOOKUP($B1843,calc_data,H$14+1,0),0)</f>
        <v/>
      </c>
      <c r="I1843" s="142">
        <f>IFERROR(VLOOKUP($B1843,calc_data,I$14+1,0),0)</f>
        <v/>
      </c>
      <c r="J1843" s="141">
        <f>IFERROR(VLOOKUP($B1843,calc_data,J$14+1,0),0)</f>
        <v/>
      </c>
      <c r="K1843" s="141">
        <f>IFERROR(VLOOKUP($B1843,calc_data,K$14+1,0),0)</f>
        <v/>
      </c>
      <c r="L1843" s="141">
        <f>IFERROR(VLOOKUP($B1843,calc_data,L$14+1,0),0)</f>
        <v/>
      </c>
      <c r="M1843" s="177">
        <f>IFERROR(VLOOKUP($B1843,calc_data,M$14+1,0),0)</f>
        <v/>
      </c>
      <c r="N1843" s="177">
        <f>IFERROR(VLOOKUP($B1843,calc_data,N$14+1,0),0)</f>
        <v/>
      </c>
      <c r="O1843" s="45" t="n"/>
      <c r="Q1843" s="57">
        <f>IF(K1843&gt;0,"показать","скрыть")</f>
        <v/>
      </c>
    </row>
    <row r="1844" ht="15.75" customHeight="1">
      <c r="B1844" s="182" t="n">
        <v>1828</v>
      </c>
      <c r="C1844" s="182">
        <f>IFERROR(VLOOKUP($B1844,calc_data,C$14+1,0),0)</f>
        <v/>
      </c>
      <c r="D1844" s="182">
        <f>IFERROR(VLOOKUP($B1844,calc_data,D$14+1,0),0)</f>
        <v/>
      </c>
      <c r="E1844" s="183">
        <f>IFERROR(VLOOKUP($B1844,calc_data,E$14+1,0),0)</f>
        <v/>
      </c>
      <c r="F1844" s="182">
        <f>IFERROR(VLOOKUP($B1844,calc_data,F$14+1,0),0)</f>
        <v/>
      </c>
      <c r="G1844" s="141">
        <f>IFERROR(VLOOKUP($B1844,calc_data,G$14+1,0),0)</f>
        <v/>
      </c>
      <c r="H1844" s="141">
        <f>IFERROR(VLOOKUP($B1844,calc_data,H$14+1,0),0)</f>
        <v/>
      </c>
      <c r="I1844" s="142">
        <f>IFERROR(VLOOKUP($B1844,calc_data,I$14+1,0),0)</f>
        <v/>
      </c>
      <c r="J1844" s="141">
        <f>IFERROR(VLOOKUP($B1844,calc_data,J$14+1,0),0)</f>
        <v/>
      </c>
      <c r="K1844" s="141">
        <f>IFERROR(VLOOKUP($B1844,calc_data,K$14+1,0),0)</f>
        <v/>
      </c>
      <c r="L1844" s="141">
        <f>IFERROR(VLOOKUP($B1844,calc_data,L$14+1,0),0)</f>
        <v/>
      </c>
      <c r="M1844" s="177">
        <f>IFERROR(VLOOKUP($B1844,calc_data,M$14+1,0),0)</f>
        <v/>
      </c>
      <c r="N1844" s="177">
        <f>IFERROR(VLOOKUP($B1844,calc_data,N$14+1,0),0)</f>
        <v/>
      </c>
      <c r="O1844" s="45" t="n"/>
      <c r="Q1844" s="57">
        <f>IF(K1844&gt;0,"показать","скрыть")</f>
        <v/>
      </c>
    </row>
    <row r="1845" ht="15.75" customHeight="1">
      <c r="B1845" s="182" t="n">
        <v>1829</v>
      </c>
      <c r="C1845" s="182">
        <f>IFERROR(VLOOKUP($B1845,calc_data,C$14+1,0),0)</f>
        <v/>
      </c>
      <c r="D1845" s="182">
        <f>IFERROR(VLOOKUP($B1845,calc_data,D$14+1,0),0)</f>
        <v/>
      </c>
      <c r="E1845" s="183">
        <f>IFERROR(VLOOKUP($B1845,calc_data,E$14+1,0),0)</f>
        <v/>
      </c>
      <c r="F1845" s="182">
        <f>IFERROR(VLOOKUP($B1845,calc_data,F$14+1,0),0)</f>
        <v/>
      </c>
      <c r="G1845" s="141">
        <f>IFERROR(VLOOKUP($B1845,calc_data,G$14+1,0),0)</f>
        <v/>
      </c>
      <c r="H1845" s="141">
        <f>IFERROR(VLOOKUP($B1845,calc_data,H$14+1,0),0)</f>
        <v/>
      </c>
      <c r="I1845" s="142">
        <f>IFERROR(VLOOKUP($B1845,calc_data,I$14+1,0),0)</f>
        <v/>
      </c>
      <c r="J1845" s="141">
        <f>IFERROR(VLOOKUP($B1845,calc_data,J$14+1,0),0)</f>
        <v/>
      </c>
      <c r="K1845" s="141">
        <f>IFERROR(VLOOKUP($B1845,calc_data,K$14+1,0),0)</f>
        <v/>
      </c>
      <c r="L1845" s="141">
        <f>IFERROR(VLOOKUP($B1845,calc_data,L$14+1,0),0)</f>
        <v/>
      </c>
      <c r="M1845" s="177">
        <f>IFERROR(VLOOKUP($B1845,calc_data,M$14+1,0),0)</f>
        <v/>
      </c>
      <c r="N1845" s="177">
        <f>IFERROR(VLOOKUP($B1845,calc_data,N$14+1,0),0)</f>
        <v/>
      </c>
      <c r="O1845" s="45" t="n"/>
      <c r="Q1845" s="57">
        <f>IF(K1845&gt;0,"показать","скрыть")</f>
        <v/>
      </c>
    </row>
    <row r="1846" ht="15.75" customHeight="1">
      <c r="B1846" s="182" t="n">
        <v>1830</v>
      </c>
      <c r="C1846" s="182">
        <f>IFERROR(VLOOKUP($B1846,calc_data,C$14+1,0),0)</f>
        <v/>
      </c>
      <c r="D1846" s="182">
        <f>IFERROR(VLOOKUP($B1846,calc_data,D$14+1,0),0)</f>
        <v/>
      </c>
      <c r="E1846" s="183">
        <f>IFERROR(VLOOKUP($B1846,calc_data,E$14+1,0),0)</f>
        <v/>
      </c>
      <c r="F1846" s="182">
        <f>IFERROR(VLOOKUP($B1846,calc_data,F$14+1,0),0)</f>
        <v/>
      </c>
      <c r="G1846" s="141">
        <f>IFERROR(VLOOKUP($B1846,calc_data,G$14+1,0),0)</f>
        <v/>
      </c>
      <c r="H1846" s="141">
        <f>IFERROR(VLOOKUP($B1846,calc_data,H$14+1,0),0)</f>
        <v/>
      </c>
      <c r="I1846" s="142">
        <f>IFERROR(VLOOKUP($B1846,calc_data,I$14+1,0),0)</f>
        <v/>
      </c>
      <c r="J1846" s="141">
        <f>IFERROR(VLOOKUP($B1846,calc_data,J$14+1,0),0)</f>
        <v/>
      </c>
      <c r="K1846" s="141">
        <f>IFERROR(VLOOKUP($B1846,calc_data,K$14+1,0),0)</f>
        <v/>
      </c>
      <c r="L1846" s="141">
        <f>IFERROR(VLOOKUP($B1846,calc_data,L$14+1,0),0)</f>
        <v/>
      </c>
      <c r="M1846" s="177">
        <f>IFERROR(VLOOKUP($B1846,calc_data,M$14+1,0),0)</f>
        <v/>
      </c>
      <c r="N1846" s="177">
        <f>IFERROR(VLOOKUP($B1846,calc_data,N$14+1,0),0)</f>
        <v/>
      </c>
      <c r="O1846" s="45" t="n"/>
      <c r="Q1846" s="57">
        <f>IF(K1846&gt;0,"показать","скрыть")</f>
        <v/>
      </c>
    </row>
    <row r="1847" ht="15.75" customHeight="1">
      <c r="B1847" s="182" t="n">
        <v>1831</v>
      </c>
      <c r="C1847" s="182">
        <f>IFERROR(VLOOKUP($B1847,calc_data,C$14+1,0),0)</f>
        <v/>
      </c>
      <c r="D1847" s="182">
        <f>IFERROR(VLOOKUP($B1847,calc_data,D$14+1,0),0)</f>
        <v/>
      </c>
      <c r="E1847" s="183">
        <f>IFERROR(VLOOKUP($B1847,calc_data,E$14+1,0),0)</f>
        <v/>
      </c>
      <c r="F1847" s="182">
        <f>IFERROR(VLOOKUP($B1847,calc_data,F$14+1,0),0)</f>
        <v/>
      </c>
      <c r="G1847" s="141">
        <f>IFERROR(VLOOKUP($B1847,calc_data,G$14+1,0),0)</f>
        <v/>
      </c>
      <c r="H1847" s="141">
        <f>IFERROR(VLOOKUP($B1847,calc_data,H$14+1,0),0)</f>
        <v/>
      </c>
      <c r="I1847" s="142">
        <f>IFERROR(VLOOKUP($B1847,calc_data,I$14+1,0),0)</f>
        <v/>
      </c>
      <c r="J1847" s="141">
        <f>IFERROR(VLOOKUP($B1847,calc_data,J$14+1,0),0)</f>
        <v/>
      </c>
      <c r="K1847" s="141">
        <f>IFERROR(VLOOKUP($B1847,calc_data,K$14+1,0),0)</f>
        <v/>
      </c>
      <c r="L1847" s="141">
        <f>IFERROR(VLOOKUP($B1847,calc_data,L$14+1,0),0)</f>
        <v/>
      </c>
      <c r="M1847" s="177">
        <f>IFERROR(VLOOKUP($B1847,calc_data,M$14+1,0),0)</f>
        <v/>
      </c>
      <c r="N1847" s="177">
        <f>IFERROR(VLOOKUP($B1847,calc_data,N$14+1,0),0)</f>
        <v/>
      </c>
      <c r="O1847" s="45" t="n"/>
      <c r="Q1847" s="57">
        <f>IF(K1847&gt;0,"показать","скрыть")</f>
        <v/>
      </c>
    </row>
    <row r="1848" ht="15.75" customHeight="1">
      <c r="B1848" s="182" t="n">
        <v>1832</v>
      </c>
      <c r="C1848" s="182">
        <f>IFERROR(VLOOKUP($B1848,calc_data,C$14+1,0),0)</f>
        <v/>
      </c>
      <c r="D1848" s="182">
        <f>IFERROR(VLOOKUP($B1848,calc_data,D$14+1,0),0)</f>
        <v/>
      </c>
      <c r="E1848" s="183">
        <f>IFERROR(VLOOKUP($B1848,calc_data,E$14+1,0),0)</f>
        <v/>
      </c>
      <c r="F1848" s="182">
        <f>IFERROR(VLOOKUP($B1848,calc_data,F$14+1,0),0)</f>
        <v/>
      </c>
      <c r="G1848" s="141">
        <f>IFERROR(VLOOKUP($B1848,calc_data,G$14+1,0),0)</f>
        <v/>
      </c>
      <c r="H1848" s="141">
        <f>IFERROR(VLOOKUP($B1848,calc_data,H$14+1,0),0)</f>
        <v/>
      </c>
      <c r="I1848" s="142">
        <f>IFERROR(VLOOKUP($B1848,calc_data,I$14+1,0),0)</f>
        <v/>
      </c>
      <c r="J1848" s="141">
        <f>IFERROR(VLOOKUP($B1848,calc_data,J$14+1,0),0)</f>
        <v/>
      </c>
      <c r="K1848" s="141">
        <f>IFERROR(VLOOKUP($B1848,calc_data,K$14+1,0),0)</f>
        <v/>
      </c>
      <c r="L1848" s="141">
        <f>IFERROR(VLOOKUP($B1848,calc_data,L$14+1,0),0)</f>
        <v/>
      </c>
      <c r="M1848" s="177">
        <f>IFERROR(VLOOKUP($B1848,calc_data,M$14+1,0),0)</f>
        <v/>
      </c>
      <c r="N1848" s="177">
        <f>IFERROR(VLOOKUP($B1848,calc_data,N$14+1,0),0)</f>
        <v/>
      </c>
      <c r="O1848" s="45" t="n"/>
      <c r="Q1848" s="57">
        <f>IF(K1848&gt;0,"показать","скрыть")</f>
        <v/>
      </c>
    </row>
    <row r="1849" ht="15.75" customHeight="1">
      <c r="B1849" s="182" t="n">
        <v>1833</v>
      </c>
      <c r="C1849" s="182">
        <f>IFERROR(VLOOKUP($B1849,calc_data,C$14+1,0),0)</f>
        <v/>
      </c>
      <c r="D1849" s="182">
        <f>IFERROR(VLOOKUP($B1849,calc_data,D$14+1,0),0)</f>
        <v/>
      </c>
      <c r="E1849" s="183">
        <f>IFERROR(VLOOKUP($B1849,calc_data,E$14+1,0),0)</f>
        <v/>
      </c>
      <c r="F1849" s="182">
        <f>IFERROR(VLOOKUP($B1849,calc_data,F$14+1,0),0)</f>
        <v/>
      </c>
      <c r="G1849" s="141">
        <f>IFERROR(VLOOKUP($B1849,calc_data,G$14+1,0),0)</f>
        <v/>
      </c>
      <c r="H1849" s="141">
        <f>IFERROR(VLOOKUP($B1849,calc_data,H$14+1,0),0)</f>
        <v/>
      </c>
      <c r="I1849" s="142">
        <f>IFERROR(VLOOKUP($B1849,calc_data,I$14+1,0),0)</f>
        <v/>
      </c>
      <c r="J1849" s="141">
        <f>IFERROR(VLOOKUP($B1849,calc_data,J$14+1,0),0)</f>
        <v/>
      </c>
      <c r="K1849" s="141">
        <f>IFERROR(VLOOKUP($B1849,calc_data,K$14+1,0),0)</f>
        <v/>
      </c>
      <c r="L1849" s="141">
        <f>IFERROR(VLOOKUP($B1849,calc_data,L$14+1,0),0)</f>
        <v/>
      </c>
      <c r="M1849" s="177">
        <f>IFERROR(VLOOKUP($B1849,calc_data,M$14+1,0),0)</f>
        <v/>
      </c>
      <c r="N1849" s="177">
        <f>IFERROR(VLOOKUP($B1849,calc_data,N$14+1,0),0)</f>
        <v/>
      </c>
      <c r="O1849" s="45" t="n"/>
      <c r="Q1849" s="57">
        <f>IF(K1849&gt;0,"показать","скрыть")</f>
        <v/>
      </c>
    </row>
    <row r="1850" ht="15.75" customHeight="1">
      <c r="B1850" s="182" t="n">
        <v>1834</v>
      </c>
      <c r="C1850" s="182">
        <f>IFERROR(VLOOKUP($B1850,calc_data,C$14+1,0),0)</f>
        <v/>
      </c>
      <c r="D1850" s="182">
        <f>IFERROR(VLOOKUP($B1850,calc_data,D$14+1,0),0)</f>
        <v/>
      </c>
      <c r="E1850" s="183">
        <f>IFERROR(VLOOKUP($B1850,calc_data,E$14+1,0),0)</f>
        <v/>
      </c>
      <c r="F1850" s="182">
        <f>IFERROR(VLOOKUP($B1850,calc_data,F$14+1,0),0)</f>
        <v/>
      </c>
      <c r="G1850" s="141">
        <f>IFERROR(VLOOKUP($B1850,calc_data,G$14+1,0),0)</f>
        <v/>
      </c>
      <c r="H1850" s="141">
        <f>IFERROR(VLOOKUP($B1850,calc_data,H$14+1,0),0)</f>
        <v/>
      </c>
      <c r="I1850" s="142">
        <f>IFERROR(VLOOKUP($B1850,calc_data,I$14+1,0),0)</f>
        <v/>
      </c>
      <c r="J1850" s="141">
        <f>IFERROR(VLOOKUP($B1850,calc_data,J$14+1,0),0)</f>
        <v/>
      </c>
      <c r="K1850" s="141">
        <f>IFERROR(VLOOKUP($B1850,calc_data,K$14+1,0),0)</f>
        <v/>
      </c>
      <c r="L1850" s="141">
        <f>IFERROR(VLOOKUP($B1850,calc_data,L$14+1,0),0)</f>
        <v/>
      </c>
      <c r="M1850" s="177">
        <f>IFERROR(VLOOKUP($B1850,calc_data,M$14+1,0),0)</f>
        <v/>
      </c>
      <c r="N1850" s="177">
        <f>IFERROR(VLOOKUP($B1850,calc_data,N$14+1,0),0)</f>
        <v/>
      </c>
      <c r="O1850" s="45" t="n"/>
      <c r="Q1850" s="57">
        <f>IF(K1850&gt;0,"показать","скрыть")</f>
        <v/>
      </c>
    </row>
    <row r="1851" ht="15.75" customHeight="1">
      <c r="B1851" s="182" t="n">
        <v>1835</v>
      </c>
      <c r="C1851" s="182">
        <f>IFERROR(VLOOKUP($B1851,calc_data,C$14+1,0),0)</f>
        <v/>
      </c>
      <c r="D1851" s="182">
        <f>IFERROR(VLOOKUP($B1851,calc_data,D$14+1,0),0)</f>
        <v/>
      </c>
      <c r="E1851" s="183">
        <f>IFERROR(VLOOKUP($B1851,calc_data,E$14+1,0),0)</f>
        <v/>
      </c>
      <c r="F1851" s="182">
        <f>IFERROR(VLOOKUP($B1851,calc_data,F$14+1,0),0)</f>
        <v/>
      </c>
      <c r="G1851" s="141">
        <f>IFERROR(VLOOKUP($B1851,calc_data,G$14+1,0),0)</f>
        <v/>
      </c>
      <c r="H1851" s="141">
        <f>IFERROR(VLOOKUP($B1851,calc_data,H$14+1,0),0)</f>
        <v/>
      </c>
      <c r="I1851" s="142">
        <f>IFERROR(VLOOKUP($B1851,calc_data,I$14+1,0),0)</f>
        <v/>
      </c>
      <c r="J1851" s="141">
        <f>IFERROR(VLOOKUP($B1851,calc_data,J$14+1,0),0)</f>
        <v/>
      </c>
      <c r="K1851" s="141">
        <f>IFERROR(VLOOKUP($B1851,calc_data,K$14+1,0),0)</f>
        <v/>
      </c>
      <c r="L1851" s="141">
        <f>IFERROR(VLOOKUP($B1851,calc_data,L$14+1,0),0)</f>
        <v/>
      </c>
      <c r="M1851" s="177">
        <f>IFERROR(VLOOKUP($B1851,calc_data,M$14+1,0),0)</f>
        <v/>
      </c>
      <c r="N1851" s="177">
        <f>IFERROR(VLOOKUP($B1851,calc_data,N$14+1,0),0)</f>
        <v/>
      </c>
      <c r="O1851" s="45" t="n"/>
      <c r="Q1851" s="57">
        <f>IF(K1851&gt;0,"показать","скрыть")</f>
        <v/>
      </c>
    </row>
    <row r="1852" ht="15.75" customHeight="1">
      <c r="B1852" s="182" t="n">
        <v>1836</v>
      </c>
      <c r="C1852" s="182">
        <f>IFERROR(VLOOKUP($B1852,calc_data,C$14+1,0),0)</f>
        <v/>
      </c>
      <c r="D1852" s="182">
        <f>IFERROR(VLOOKUP($B1852,calc_data,D$14+1,0),0)</f>
        <v/>
      </c>
      <c r="E1852" s="183">
        <f>IFERROR(VLOOKUP($B1852,calc_data,E$14+1,0),0)</f>
        <v/>
      </c>
      <c r="F1852" s="182">
        <f>IFERROR(VLOOKUP($B1852,calc_data,F$14+1,0),0)</f>
        <v/>
      </c>
      <c r="G1852" s="141">
        <f>IFERROR(VLOOKUP($B1852,calc_data,G$14+1,0),0)</f>
        <v/>
      </c>
      <c r="H1852" s="141">
        <f>IFERROR(VLOOKUP($B1852,calc_data,H$14+1,0),0)</f>
        <v/>
      </c>
      <c r="I1852" s="142">
        <f>IFERROR(VLOOKUP($B1852,calc_data,I$14+1,0),0)</f>
        <v/>
      </c>
      <c r="J1852" s="141">
        <f>IFERROR(VLOOKUP($B1852,calc_data,J$14+1,0),0)</f>
        <v/>
      </c>
      <c r="K1852" s="141">
        <f>IFERROR(VLOOKUP($B1852,calc_data,K$14+1,0),0)</f>
        <v/>
      </c>
      <c r="L1852" s="141">
        <f>IFERROR(VLOOKUP($B1852,calc_data,L$14+1,0),0)</f>
        <v/>
      </c>
      <c r="M1852" s="177">
        <f>IFERROR(VLOOKUP($B1852,calc_data,M$14+1,0),0)</f>
        <v/>
      </c>
      <c r="N1852" s="177">
        <f>IFERROR(VLOOKUP($B1852,calc_data,N$14+1,0),0)</f>
        <v/>
      </c>
      <c r="O1852" s="45" t="n"/>
      <c r="Q1852" s="57">
        <f>IF(K1852&gt;0,"показать","скрыть")</f>
        <v/>
      </c>
    </row>
    <row r="1853" ht="15.75" customHeight="1">
      <c r="B1853" s="182" t="n">
        <v>1837</v>
      </c>
      <c r="C1853" s="182">
        <f>IFERROR(VLOOKUP($B1853,calc_data,C$14+1,0),0)</f>
        <v/>
      </c>
      <c r="D1853" s="182">
        <f>IFERROR(VLOOKUP($B1853,calc_data,D$14+1,0),0)</f>
        <v/>
      </c>
      <c r="E1853" s="183">
        <f>IFERROR(VLOOKUP($B1853,calc_data,E$14+1,0),0)</f>
        <v/>
      </c>
      <c r="F1853" s="182">
        <f>IFERROR(VLOOKUP($B1853,calc_data,F$14+1,0),0)</f>
        <v/>
      </c>
      <c r="G1853" s="141">
        <f>IFERROR(VLOOKUP($B1853,calc_data,G$14+1,0),0)</f>
        <v/>
      </c>
      <c r="H1853" s="141">
        <f>IFERROR(VLOOKUP($B1853,calc_data,H$14+1,0),0)</f>
        <v/>
      </c>
      <c r="I1853" s="142">
        <f>IFERROR(VLOOKUP($B1853,calc_data,I$14+1,0),0)</f>
        <v/>
      </c>
      <c r="J1853" s="141">
        <f>IFERROR(VLOOKUP($B1853,calc_data,J$14+1,0),0)</f>
        <v/>
      </c>
      <c r="K1853" s="141">
        <f>IFERROR(VLOOKUP($B1853,calc_data,K$14+1,0),0)</f>
        <v/>
      </c>
      <c r="L1853" s="141">
        <f>IFERROR(VLOOKUP($B1853,calc_data,L$14+1,0),0)</f>
        <v/>
      </c>
      <c r="M1853" s="177">
        <f>IFERROR(VLOOKUP($B1853,calc_data,M$14+1,0),0)</f>
        <v/>
      </c>
      <c r="N1853" s="177">
        <f>IFERROR(VLOOKUP($B1853,calc_data,N$14+1,0),0)</f>
        <v/>
      </c>
      <c r="O1853" s="45" t="n"/>
      <c r="Q1853" s="57">
        <f>IF(K1853&gt;0,"показать","скрыть")</f>
        <v/>
      </c>
    </row>
    <row r="1854" ht="15.75" customHeight="1">
      <c r="B1854" s="182" t="n">
        <v>1838</v>
      </c>
      <c r="C1854" s="182">
        <f>IFERROR(VLOOKUP($B1854,calc_data,C$14+1,0),0)</f>
        <v/>
      </c>
      <c r="D1854" s="182">
        <f>IFERROR(VLOOKUP($B1854,calc_data,D$14+1,0),0)</f>
        <v/>
      </c>
      <c r="E1854" s="183">
        <f>IFERROR(VLOOKUP($B1854,calc_data,E$14+1,0),0)</f>
        <v/>
      </c>
      <c r="F1854" s="182">
        <f>IFERROR(VLOOKUP($B1854,calc_data,F$14+1,0),0)</f>
        <v/>
      </c>
      <c r="G1854" s="141">
        <f>IFERROR(VLOOKUP($B1854,calc_data,G$14+1,0),0)</f>
        <v/>
      </c>
      <c r="H1854" s="141">
        <f>IFERROR(VLOOKUP($B1854,calc_data,H$14+1,0),0)</f>
        <v/>
      </c>
      <c r="I1854" s="142">
        <f>IFERROR(VLOOKUP($B1854,calc_data,I$14+1,0),0)</f>
        <v/>
      </c>
      <c r="J1854" s="141">
        <f>IFERROR(VLOOKUP($B1854,calc_data,J$14+1,0),0)</f>
        <v/>
      </c>
      <c r="K1854" s="141">
        <f>IFERROR(VLOOKUP($B1854,calc_data,K$14+1,0),0)</f>
        <v/>
      </c>
      <c r="L1854" s="141">
        <f>IFERROR(VLOOKUP($B1854,calc_data,L$14+1,0),0)</f>
        <v/>
      </c>
      <c r="M1854" s="177">
        <f>IFERROR(VLOOKUP($B1854,calc_data,M$14+1,0),0)</f>
        <v/>
      </c>
      <c r="N1854" s="177">
        <f>IFERROR(VLOOKUP($B1854,calc_data,N$14+1,0),0)</f>
        <v/>
      </c>
      <c r="O1854" s="45" t="n"/>
      <c r="Q1854" s="57">
        <f>IF(K1854&gt;0,"показать","скрыть")</f>
        <v/>
      </c>
    </row>
    <row r="1855" ht="15.75" customHeight="1">
      <c r="B1855" s="182" t="n">
        <v>1839</v>
      </c>
      <c r="C1855" s="182">
        <f>IFERROR(VLOOKUP($B1855,calc_data,C$14+1,0),0)</f>
        <v/>
      </c>
      <c r="D1855" s="182">
        <f>IFERROR(VLOOKUP($B1855,calc_data,D$14+1,0),0)</f>
        <v/>
      </c>
      <c r="E1855" s="183">
        <f>IFERROR(VLOOKUP($B1855,calc_data,E$14+1,0),0)</f>
        <v/>
      </c>
      <c r="F1855" s="182">
        <f>IFERROR(VLOOKUP($B1855,calc_data,F$14+1,0),0)</f>
        <v/>
      </c>
      <c r="G1855" s="141">
        <f>IFERROR(VLOOKUP($B1855,calc_data,G$14+1,0),0)</f>
        <v/>
      </c>
      <c r="H1855" s="141">
        <f>IFERROR(VLOOKUP($B1855,calc_data,H$14+1,0),0)</f>
        <v/>
      </c>
      <c r="I1855" s="142">
        <f>IFERROR(VLOOKUP($B1855,calc_data,I$14+1,0),0)</f>
        <v/>
      </c>
      <c r="J1855" s="141">
        <f>IFERROR(VLOOKUP($B1855,calc_data,J$14+1,0),0)</f>
        <v/>
      </c>
      <c r="K1855" s="141">
        <f>IFERROR(VLOOKUP($B1855,calc_data,K$14+1,0),0)</f>
        <v/>
      </c>
      <c r="L1855" s="141">
        <f>IFERROR(VLOOKUP($B1855,calc_data,L$14+1,0),0)</f>
        <v/>
      </c>
      <c r="M1855" s="177">
        <f>IFERROR(VLOOKUP($B1855,calc_data,M$14+1,0),0)</f>
        <v/>
      </c>
      <c r="N1855" s="177">
        <f>IFERROR(VLOOKUP($B1855,calc_data,N$14+1,0),0)</f>
        <v/>
      </c>
      <c r="O1855" s="45" t="n"/>
      <c r="Q1855" s="57">
        <f>IF(K1855&gt;0,"показать","скрыть")</f>
        <v/>
      </c>
    </row>
    <row r="1856" ht="15.75" customHeight="1">
      <c r="B1856" s="182" t="n">
        <v>1840</v>
      </c>
      <c r="C1856" s="182">
        <f>IFERROR(VLOOKUP($B1856,calc_data,C$14+1,0),0)</f>
        <v/>
      </c>
      <c r="D1856" s="182">
        <f>IFERROR(VLOOKUP($B1856,calc_data,D$14+1,0),0)</f>
        <v/>
      </c>
      <c r="E1856" s="183">
        <f>IFERROR(VLOOKUP($B1856,calc_data,E$14+1,0),0)</f>
        <v/>
      </c>
      <c r="F1856" s="182">
        <f>IFERROR(VLOOKUP($B1856,calc_data,F$14+1,0),0)</f>
        <v/>
      </c>
      <c r="G1856" s="141">
        <f>IFERROR(VLOOKUP($B1856,calc_data,G$14+1,0),0)</f>
        <v/>
      </c>
      <c r="H1856" s="141">
        <f>IFERROR(VLOOKUP($B1856,calc_data,H$14+1,0),0)</f>
        <v/>
      </c>
      <c r="I1856" s="142">
        <f>IFERROR(VLOOKUP($B1856,calc_data,I$14+1,0),0)</f>
        <v/>
      </c>
      <c r="J1856" s="141">
        <f>IFERROR(VLOOKUP($B1856,calc_data,J$14+1,0),0)</f>
        <v/>
      </c>
      <c r="K1856" s="141">
        <f>IFERROR(VLOOKUP($B1856,calc_data,K$14+1,0),0)</f>
        <v/>
      </c>
      <c r="L1856" s="141">
        <f>IFERROR(VLOOKUP($B1856,calc_data,L$14+1,0),0)</f>
        <v/>
      </c>
      <c r="M1856" s="177">
        <f>IFERROR(VLOOKUP($B1856,calc_data,M$14+1,0),0)</f>
        <v/>
      </c>
      <c r="N1856" s="177">
        <f>IFERROR(VLOOKUP($B1856,calc_data,N$14+1,0),0)</f>
        <v/>
      </c>
      <c r="O1856" s="45" t="n"/>
      <c r="Q1856" s="57">
        <f>IF(K1856&gt;0,"показать","скрыть")</f>
        <v/>
      </c>
    </row>
    <row r="1857" ht="15.75" customHeight="1">
      <c r="B1857" s="182" t="n">
        <v>1841</v>
      </c>
      <c r="C1857" s="182">
        <f>IFERROR(VLOOKUP($B1857,calc_data,C$14+1,0),0)</f>
        <v/>
      </c>
      <c r="D1857" s="182">
        <f>IFERROR(VLOOKUP($B1857,calc_data,D$14+1,0),0)</f>
        <v/>
      </c>
      <c r="E1857" s="183">
        <f>IFERROR(VLOOKUP($B1857,calc_data,E$14+1,0),0)</f>
        <v/>
      </c>
      <c r="F1857" s="182">
        <f>IFERROR(VLOOKUP($B1857,calc_data,F$14+1,0),0)</f>
        <v/>
      </c>
      <c r="G1857" s="141">
        <f>IFERROR(VLOOKUP($B1857,calc_data,G$14+1,0),0)</f>
        <v/>
      </c>
      <c r="H1857" s="141">
        <f>IFERROR(VLOOKUP($B1857,calc_data,H$14+1,0),0)</f>
        <v/>
      </c>
      <c r="I1857" s="142">
        <f>IFERROR(VLOOKUP($B1857,calc_data,I$14+1,0),0)</f>
        <v/>
      </c>
      <c r="J1857" s="141">
        <f>IFERROR(VLOOKUP($B1857,calc_data,J$14+1,0),0)</f>
        <v/>
      </c>
      <c r="K1857" s="141">
        <f>IFERROR(VLOOKUP($B1857,calc_data,K$14+1,0),0)</f>
        <v/>
      </c>
      <c r="L1857" s="141">
        <f>IFERROR(VLOOKUP($B1857,calc_data,L$14+1,0),0)</f>
        <v/>
      </c>
      <c r="M1857" s="177">
        <f>IFERROR(VLOOKUP($B1857,calc_data,M$14+1,0),0)</f>
        <v/>
      </c>
      <c r="N1857" s="177">
        <f>IFERROR(VLOOKUP($B1857,calc_data,N$14+1,0),0)</f>
        <v/>
      </c>
      <c r="O1857" s="45" t="n"/>
      <c r="Q1857" s="57">
        <f>IF(K1857&gt;0,"показать","скрыть")</f>
        <v/>
      </c>
    </row>
    <row r="1858" ht="15.75" customHeight="1">
      <c r="B1858" s="182" t="n">
        <v>1842</v>
      </c>
      <c r="C1858" s="182">
        <f>IFERROR(VLOOKUP($B1858,calc_data,C$14+1,0),0)</f>
        <v/>
      </c>
      <c r="D1858" s="182">
        <f>IFERROR(VLOOKUP($B1858,calc_data,D$14+1,0),0)</f>
        <v/>
      </c>
      <c r="E1858" s="183">
        <f>IFERROR(VLOOKUP($B1858,calc_data,E$14+1,0),0)</f>
        <v/>
      </c>
      <c r="F1858" s="182">
        <f>IFERROR(VLOOKUP($B1858,calc_data,F$14+1,0),0)</f>
        <v/>
      </c>
      <c r="G1858" s="141">
        <f>IFERROR(VLOOKUP($B1858,calc_data,G$14+1,0),0)</f>
        <v/>
      </c>
      <c r="H1858" s="141">
        <f>IFERROR(VLOOKUP($B1858,calc_data,H$14+1,0),0)</f>
        <v/>
      </c>
      <c r="I1858" s="142">
        <f>IFERROR(VLOOKUP($B1858,calc_data,I$14+1,0),0)</f>
        <v/>
      </c>
      <c r="J1858" s="141">
        <f>IFERROR(VLOOKUP($B1858,calc_data,J$14+1,0),0)</f>
        <v/>
      </c>
      <c r="K1858" s="141">
        <f>IFERROR(VLOOKUP($B1858,calc_data,K$14+1,0),0)</f>
        <v/>
      </c>
      <c r="L1858" s="141">
        <f>IFERROR(VLOOKUP($B1858,calc_data,L$14+1,0),0)</f>
        <v/>
      </c>
      <c r="M1858" s="177">
        <f>IFERROR(VLOOKUP($B1858,calc_data,M$14+1,0),0)</f>
        <v/>
      </c>
      <c r="N1858" s="177">
        <f>IFERROR(VLOOKUP($B1858,calc_data,N$14+1,0),0)</f>
        <v/>
      </c>
      <c r="O1858" s="45" t="n"/>
      <c r="Q1858" s="57">
        <f>IF(K1858&gt;0,"показать","скрыть")</f>
        <v/>
      </c>
    </row>
    <row r="1859" ht="15.75" customHeight="1">
      <c r="B1859" s="182" t="n">
        <v>1843</v>
      </c>
      <c r="C1859" s="182">
        <f>IFERROR(VLOOKUP($B1859,calc_data,C$14+1,0),0)</f>
        <v/>
      </c>
      <c r="D1859" s="182">
        <f>IFERROR(VLOOKUP($B1859,calc_data,D$14+1,0),0)</f>
        <v/>
      </c>
      <c r="E1859" s="183">
        <f>IFERROR(VLOOKUP($B1859,calc_data,E$14+1,0),0)</f>
        <v/>
      </c>
      <c r="F1859" s="182">
        <f>IFERROR(VLOOKUP($B1859,calc_data,F$14+1,0),0)</f>
        <v/>
      </c>
      <c r="G1859" s="141">
        <f>IFERROR(VLOOKUP($B1859,calc_data,G$14+1,0),0)</f>
        <v/>
      </c>
      <c r="H1859" s="141">
        <f>IFERROR(VLOOKUP($B1859,calc_data,H$14+1,0),0)</f>
        <v/>
      </c>
      <c r="I1859" s="142">
        <f>IFERROR(VLOOKUP($B1859,calc_data,I$14+1,0),0)</f>
        <v/>
      </c>
      <c r="J1859" s="141">
        <f>IFERROR(VLOOKUP($B1859,calc_data,J$14+1,0),0)</f>
        <v/>
      </c>
      <c r="K1859" s="141">
        <f>IFERROR(VLOOKUP($B1859,calc_data,K$14+1,0),0)</f>
        <v/>
      </c>
      <c r="L1859" s="141">
        <f>IFERROR(VLOOKUP($B1859,calc_data,L$14+1,0),0)</f>
        <v/>
      </c>
      <c r="M1859" s="177">
        <f>IFERROR(VLOOKUP($B1859,calc_data,M$14+1,0),0)</f>
        <v/>
      </c>
      <c r="N1859" s="177">
        <f>IFERROR(VLOOKUP($B1859,calc_data,N$14+1,0),0)</f>
        <v/>
      </c>
      <c r="O1859" s="45" t="n"/>
      <c r="Q1859" s="57">
        <f>IF(K1859&gt;0,"показать","скрыть")</f>
        <v/>
      </c>
    </row>
    <row r="1860" ht="15.75" customHeight="1">
      <c r="B1860" s="182" t="n">
        <v>1844</v>
      </c>
      <c r="C1860" s="182">
        <f>IFERROR(VLOOKUP($B1860,calc_data,C$14+1,0),0)</f>
        <v/>
      </c>
      <c r="D1860" s="182">
        <f>IFERROR(VLOOKUP($B1860,calc_data,D$14+1,0),0)</f>
        <v/>
      </c>
      <c r="E1860" s="183">
        <f>IFERROR(VLOOKUP($B1860,calc_data,E$14+1,0),0)</f>
        <v/>
      </c>
      <c r="F1860" s="182">
        <f>IFERROR(VLOOKUP($B1860,calc_data,F$14+1,0),0)</f>
        <v/>
      </c>
      <c r="G1860" s="141">
        <f>IFERROR(VLOOKUP($B1860,calc_data,G$14+1,0),0)</f>
        <v/>
      </c>
      <c r="H1860" s="141">
        <f>IFERROR(VLOOKUP($B1860,calc_data,H$14+1,0),0)</f>
        <v/>
      </c>
      <c r="I1860" s="142">
        <f>IFERROR(VLOOKUP($B1860,calc_data,I$14+1,0),0)</f>
        <v/>
      </c>
      <c r="J1860" s="141">
        <f>IFERROR(VLOOKUP($B1860,calc_data,J$14+1,0),0)</f>
        <v/>
      </c>
      <c r="K1860" s="141">
        <f>IFERROR(VLOOKUP($B1860,calc_data,K$14+1,0),0)</f>
        <v/>
      </c>
      <c r="L1860" s="141">
        <f>IFERROR(VLOOKUP($B1860,calc_data,L$14+1,0),0)</f>
        <v/>
      </c>
      <c r="M1860" s="177">
        <f>IFERROR(VLOOKUP($B1860,calc_data,M$14+1,0),0)</f>
        <v/>
      </c>
      <c r="N1860" s="177">
        <f>IFERROR(VLOOKUP($B1860,calc_data,N$14+1,0),0)</f>
        <v/>
      </c>
      <c r="O1860" s="45" t="n"/>
      <c r="Q1860" s="57">
        <f>IF(K1860&gt;0,"показать","скрыть")</f>
        <v/>
      </c>
    </row>
    <row r="1861" ht="15.75" customHeight="1">
      <c r="B1861" s="182" t="n">
        <v>1845</v>
      </c>
      <c r="C1861" s="182">
        <f>IFERROR(VLOOKUP($B1861,calc_data,C$14+1,0),0)</f>
        <v/>
      </c>
      <c r="D1861" s="182">
        <f>IFERROR(VLOOKUP($B1861,calc_data,D$14+1,0),0)</f>
        <v/>
      </c>
      <c r="E1861" s="183">
        <f>IFERROR(VLOOKUP($B1861,calc_data,E$14+1,0),0)</f>
        <v/>
      </c>
      <c r="F1861" s="182">
        <f>IFERROR(VLOOKUP($B1861,calc_data,F$14+1,0),0)</f>
        <v/>
      </c>
      <c r="G1861" s="141">
        <f>IFERROR(VLOOKUP($B1861,calc_data,G$14+1,0),0)</f>
        <v/>
      </c>
      <c r="H1861" s="141">
        <f>IFERROR(VLOOKUP($B1861,calc_data,H$14+1,0),0)</f>
        <v/>
      </c>
      <c r="I1861" s="142">
        <f>IFERROR(VLOOKUP($B1861,calc_data,I$14+1,0),0)</f>
        <v/>
      </c>
      <c r="J1861" s="141">
        <f>IFERROR(VLOOKUP($B1861,calc_data,J$14+1,0),0)</f>
        <v/>
      </c>
      <c r="K1861" s="141">
        <f>IFERROR(VLOOKUP($B1861,calc_data,K$14+1,0),0)</f>
        <v/>
      </c>
      <c r="L1861" s="141">
        <f>IFERROR(VLOOKUP($B1861,calc_data,L$14+1,0),0)</f>
        <v/>
      </c>
      <c r="M1861" s="177">
        <f>IFERROR(VLOOKUP($B1861,calc_data,M$14+1,0),0)</f>
        <v/>
      </c>
      <c r="N1861" s="177">
        <f>IFERROR(VLOOKUP($B1861,calc_data,N$14+1,0),0)</f>
        <v/>
      </c>
      <c r="O1861" s="45" t="n"/>
      <c r="Q1861" s="57">
        <f>IF(K1861&gt;0,"показать","скрыть")</f>
        <v/>
      </c>
    </row>
    <row r="1862" ht="15.75" customHeight="1">
      <c r="B1862" s="182" t="n">
        <v>1846</v>
      </c>
      <c r="C1862" s="182">
        <f>IFERROR(VLOOKUP($B1862,calc_data,C$14+1,0),0)</f>
        <v/>
      </c>
      <c r="D1862" s="182">
        <f>IFERROR(VLOOKUP($B1862,calc_data,D$14+1,0),0)</f>
        <v/>
      </c>
      <c r="E1862" s="183">
        <f>IFERROR(VLOOKUP($B1862,calc_data,E$14+1,0),0)</f>
        <v/>
      </c>
      <c r="F1862" s="182">
        <f>IFERROR(VLOOKUP($B1862,calc_data,F$14+1,0),0)</f>
        <v/>
      </c>
      <c r="G1862" s="141">
        <f>IFERROR(VLOOKUP($B1862,calc_data,G$14+1,0),0)</f>
        <v/>
      </c>
      <c r="H1862" s="141">
        <f>IFERROR(VLOOKUP($B1862,calc_data,H$14+1,0),0)</f>
        <v/>
      </c>
      <c r="I1862" s="142">
        <f>IFERROR(VLOOKUP($B1862,calc_data,I$14+1,0),0)</f>
        <v/>
      </c>
      <c r="J1862" s="141">
        <f>IFERROR(VLOOKUP($B1862,calc_data,J$14+1,0),0)</f>
        <v/>
      </c>
      <c r="K1862" s="141">
        <f>IFERROR(VLOOKUP($B1862,calc_data,K$14+1,0),0)</f>
        <v/>
      </c>
      <c r="L1862" s="141">
        <f>IFERROR(VLOOKUP($B1862,calc_data,L$14+1,0),0)</f>
        <v/>
      </c>
      <c r="M1862" s="177">
        <f>IFERROR(VLOOKUP($B1862,calc_data,M$14+1,0),0)</f>
        <v/>
      </c>
      <c r="N1862" s="177">
        <f>IFERROR(VLOOKUP($B1862,calc_data,N$14+1,0),0)</f>
        <v/>
      </c>
      <c r="O1862" s="45" t="n"/>
      <c r="Q1862" s="57">
        <f>IF(K1862&gt;0,"показать","скрыть")</f>
        <v/>
      </c>
    </row>
    <row r="1863" ht="15.75" customHeight="1">
      <c r="B1863" s="182" t="n">
        <v>1847</v>
      </c>
      <c r="C1863" s="182">
        <f>IFERROR(VLOOKUP($B1863,calc_data,C$14+1,0),0)</f>
        <v/>
      </c>
      <c r="D1863" s="182">
        <f>IFERROR(VLOOKUP($B1863,calc_data,D$14+1,0),0)</f>
        <v/>
      </c>
      <c r="E1863" s="183">
        <f>IFERROR(VLOOKUP($B1863,calc_data,E$14+1,0),0)</f>
        <v/>
      </c>
      <c r="F1863" s="182">
        <f>IFERROR(VLOOKUP($B1863,calc_data,F$14+1,0),0)</f>
        <v/>
      </c>
      <c r="G1863" s="141">
        <f>IFERROR(VLOOKUP($B1863,calc_data,G$14+1,0),0)</f>
        <v/>
      </c>
      <c r="H1863" s="141">
        <f>IFERROR(VLOOKUP($B1863,calc_data,H$14+1,0),0)</f>
        <v/>
      </c>
      <c r="I1863" s="142">
        <f>IFERROR(VLOOKUP($B1863,calc_data,I$14+1,0),0)</f>
        <v/>
      </c>
      <c r="J1863" s="141">
        <f>IFERROR(VLOOKUP($B1863,calc_data,J$14+1,0),0)</f>
        <v/>
      </c>
      <c r="K1863" s="141">
        <f>IFERROR(VLOOKUP($B1863,calc_data,K$14+1,0),0)</f>
        <v/>
      </c>
      <c r="L1863" s="141">
        <f>IFERROR(VLOOKUP($B1863,calc_data,L$14+1,0),0)</f>
        <v/>
      </c>
      <c r="M1863" s="177">
        <f>IFERROR(VLOOKUP($B1863,calc_data,M$14+1,0),0)</f>
        <v/>
      </c>
      <c r="N1863" s="177">
        <f>IFERROR(VLOOKUP($B1863,calc_data,N$14+1,0),0)</f>
        <v/>
      </c>
      <c r="O1863" s="45" t="n"/>
      <c r="Q1863" s="57">
        <f>IF(K1863&gt;0,"показать","скрыть")</f>
        <v/>
      </c>
    </row>
    <row r="1864" ht="15.75" customHeight="1">
      <c r="B1864" s="182" t="n">
        <v>1848</v>
      </c>
      <c r="C1864" s="182">
        <f>IFERROR(VLOOKUP($B1864,calc_data,C$14+1,0),0)</f>
        <v/>
      </c>
      <c r="D1864" s="182">
        <f>IFERROR(VLOOKUP($B1864,calc_data,D$14+1,0),0)</f>
        <v/>
      </c>
      <c r="E1864" s="183">
        <f>IFERROR(VLOOKUP($B1864,calc_data,E$14+1,0),0)</f>
        <v/>
      </c>
      <c r="F1864" s="182">
        <f>IFERROR(VLOOKUP($B1864,calc_data,F$14+1,0),0)</f>
        <v/>
      </c>
      <c r="G1864" s="141">
        <f>IFERROR(VLOOKUP($B1864,calc_data,G$14+1,0),0)</f>
        <v/>
      </c>
      <c r="H1864" s="141">
        <f>IFERROR(VLOOKUP($B1864,calc_data,H$14+1,0),0)</f>
        <v/>
      </c>
      <c r="I1864" s="142">
        <f>IFERROR(VLOOKUP($B1864,calc_data,I$14+1,0),0)</f>
        <v/>
      </c>
      <c r="J1864" s="141">
        <f>IFERROR(VLOOKUP($B1864,calc_data,J$14+1,0),0)</f>
        <v/>
      </c>
      <c r="K1864" s="141">
        <f>IFERROR(VLOOKUP($B1864,calc_data,K$14+1,0),0)</f>
        <v/>
      </c>
      <c r="L1864" s="141">
        <f>IFERROR(VLOOKUP($B1864,calc_data,L$14+1,0),0)</f>
        <v/>
      </c>
      <c r="M1864" s="177">
        <f>IFERROR(VLOOKUP($B1864,calc_data,M$14+1,0),0)</f>
        <v/>
      </c>
      <c r="N1864" s="177">
        <f>IFERROR(VLOOKUP($B1864,calc_data,N$14+1,0),0)</f>
        <v/>
      </c>
      <c r="O1864" s="45" t="n"/>
      <c r="Q1864" s="57">
        <f>IF(K1864&gt;0,"показать","скрыть")</f>
        <v/>
      </c>
    </row>
    <row r="1865" ht="15.75" customHeight="1">
      <c r="B1865" s="182" t="n">
        <v>1849</v>
      </c>
      <c r="C1865" s="182">
        <f>IFERROR(VLOOKUP($B1865,calc_data,C$14+1,0),0)</f>
        <v/>
      </c>
      <c r="D1865" s="182">
        <f>IFERROR(VLOOKUP($B1865,calc_data,D$14+1,0),0)</f>
        <v/>
      </c>
      <c r="E1865" s="183">
        <f>IFERROR(VLOOKUP($B1865,calc_data,E$14+1,0),0)</f>
        <v/>
      </c>
      <c r="F1865" s="182">
        <f>IFERROR(VLOOKUP($B1865,calc_data,F$14+1,0),0)</f>
        <v/>
      </c>
      <c r="G1865" s="141">
        <f>IFERROR(VLOOKUP($B1865,calc_data,G$14+1,0),0)</f>
        <v/>
      </c>
      <c r="H1865" s="141">
        <f>IFERROR(VLOOKUP($B1865,calc_data,H$14+1,0),0)</f>
        <v/>
      </c>
      <c r="I1865" s="142">
        <f>IFERROR(VLOOKUP($B1865,calc_data,I$14+1,0),0)</f>
        <v/>
      </c>
      <c r="J1865" s="141">
        <f>IFERROR(VLOOKUP($B1865,calc_data,J$14+1,0),0)</f>
        <v/>
      </c>
      <c r="K1865" s="141">
        <f>IFERROR(VLOOKUP($B1865,calc_data,K$14+1,0),0)</f>
        <v/>
      </c>
      <c r="L1865" s="141">
        <f>IFERROR(VLOOKUP($B1865,calc_data,L$14+1,0),0)</f>
        <v/>
      </c>
      <c r="M1865" s="177">
        <f>IFERROR(VLOOKUP($B1865,calc_data,M$14+1,0),0)</f>
        <v/>
      </c>
      <c r="N1865" s="177">
        <f>IFERROR(VLOOKUP($B1865,calc_data,N$14+1,0),0)</f>
        <v/>
      </c>
      <c r="O1865" s="45" t="n"/>
      <c r="Q1865" s="57">
        <f>IF(K1865&gt;0,"показать","скрыть")</f>
        <v/>
      </c>
    </row>
    <row r="1866" ht="15.75" customHeight="1">
      <c r="B1866" s="182" t="n">
        <v>1850</v>
      </c>
      <c r="C1866" s="182">
        <f>IFERROR(VLOOKUP($B1866,calc_data,C$14+1,0),0)</f>
        <v/>
      </c>
      <c r="D1866" s="182">
        <f>IFERROR(VLOOKUP($B1866,calc_data,D$14+1,0),0)</f>
        <v/>
      </c>
      <c r="E1866" s="183">
        <f>IFERROR(VLOOKUP($B1866,calc_data,E$14+1,0),0)</f>
        <v/>
      </c>
      <c r="F1866" s="182">
        <f>IFERROR(VLOOKUP($B1866,calc_data,F$14+1,0),0)</f>
        <v/>
      </c>
      <c r="G1866" s="141">
        <f>IFERROR(VLOOKUP($B1866,calc_data,G$14+1,0),0)</f>
        <v/>
      </c>
      <c r="H1866" s="141">
        <f>IFERROR(VLOOKUP($B1866,calc_data,H$14+1,0),0)</f>
        <v/>
      </c>
      <c r="I1866" s="142">
        <f>IFERROR(VLOOKUP($B1866,calc_data,I$14+1,0),0)</f>
        <v/>
      </c>
      <c r="J1866" s="141">
        <f>IFERROR(VLOOKUP($B1866,calc_data,J$14+1,0),0)</f>
        <v/>
      </c>
      <c r="K1866" s="141">
        <f>IFERROR(VLOOKUP($B1866,calc_data,K$14+1,0),0)</f>
        <v/>
      </c>
      <c r="L1866" s="141">
        <f>IFERROR(VLOOKUP($B1866,calc_data,L$14+1,0),0)</f>
        <v/>
      </c>
      <c r="M1866" s="177">
        <f>IFERROR(VLOOKUP($B1866,calc_data,M$14+1,0),0)</f>
        <v/>
      </c>
      <c r="N1866" s="177">
        <f>IFERROR(VLOOKUP($B1866,calc_data,N$14+1,0),0)</f>
        <v/>
      </c>
      <c r="O1866" s="45" t="n"/>
      <c r="Q1866" s="57">
        <f>IF(K1866&gt;0,"показать","скрыть")</f>
        <v/>
      </c>
    </row>
    <row r="1867" ht="15.75" customHeight="1">
      <c r="B1867" s="182" t="n">
        <v>1851</v>
      </c>
      <c r="C1867" s="182">
        <f>IFERROR(VLOOKUP($B1867,calc_data,C$14+1,0),0)</f>
        <v/>
      </c>
      <c r="D1867" s="182">
        <f>IFERROR(VLOOKUP($B1867,calc_data,D$14+1,0),0)</f>
        <v/>
      </c>
      <c r="E1867" s="183">
        <f>IFERROR(VLOOKUP($B1867,calc_data,E$14+1,0),0)</f>
        <v/>
      </c>
      <c r="F1867" s="182">
        <f>IFERROR(VLOOKUP($B1867,calc_data,F$14+1,0),0)</f>
        <v/>
      </c>
      <c r="G1867" s="141">
        <f>IFERROR(VLOOKUP($B1867,calc_data,G$14+1,0),0)</f>
        <v/>
      </c>
      <c r="H1867" s="141">
        <f>IFERROR(VLOOKUP($B1867,calc_data,H$14+1,0),0)</f>
        <v/>
      </c>
      <c r="I1867" s="142">
        <f>IFERROR(VLOOKUP($B1867,calc_data,I$14+1,0),0)</f>
        <v/>
      </c>
      <c r="J1867" s="141">
        <f>IFERROR(VLOOKUP($B1867,calc_data,J$14+1,0),0)</f>
        <v/>
      </c>
      <c r="K1867" s="141">
        <f>IFERROR(VLOOKUP($B1867,calc_data,K$14+1,0),0)</f>
        <v/>
      </c>
      <c r="L1867" s="141">
        <f>IFERROR(VLOOKUP($B1867,calc_data,L$14+1,0),0)</f>
        <v/>
      </c>
      <c r="M1867" s="177">
        <f>IFERROR(VLOOKUP($B1867,calc_data,M$14+1,0),0)</f>
        <v/>
      </c>
      <c r="N1867" s="177">
        <f>IFERROR(VLOOKUP($B1867,calc_data,N$14+1,0),0)</f>
        <v/>
      </c>
      <c r="O1867" s="45" t="n"/>
      <c r="Q1867" s="57">
        <f>IF(K1867&gt;0,"показать","скрыть")</f>
        <v/>
      </c>
    </row>
    <row r="1868" ht="15.75" customHeight="1">
      <c r="B1868" s="182" t="n">
        <v>1852</v>
      </c>
      <c r="C1868" s="182">
        <f>IFERROR(VLOOKUP($B1868,calc_data,C$14+1,0),0)</f>
        <v/>
      </c>
      <c r="D1868" s="182">
        <f>IFERROR(VLOOKUP($B1868,calc_data,D$14+1,0),0)</f>
        <v/>
      </c>
      <c r="E1868" s="183">
        <f>IFERROR(VLOOKUP($B1868,calc_data,E$14+1,0),0)</f>
        <v/>
      </c>
      <c r="F1868" s="182">
        <f>IFERROR(VLOOKUP($B1868,calc_data,F$14+1,0),0)</f>
        <v/>
      </c>
      <c r="G1868" s="141">
        <f>IFERROR(VLOOKUP($B1868,calc_data,G$14+1,0),0)</f>
        <v/>
      </c>
      <c r="H1868" s="141">
        <f>IFERROR(VLOOKUP($B1868,calc_data,H$14+1,0),0)</f>
        <v/>
      </c>
      <c r="I1868" s="142">
        <f>IFERROR(VLOOKUP($B1868,calc_data,I$14+1,0),0)</f>
        <v/>
      </c>
      <c r="J1868" s="141">
        <f>IFERROR(VLOOKUP($B1868,calc_data,J$14+1,0),0)</f>
        <v/>
      </c>
      <c r="K1868" s="141">
        <f>IFERROR(VLOOKUP($B1868,calc_data,K$14+1,0),0)</f>
        <v/>
      </c>
      <c r="L1868" s="141">
        <f>IFERROR(VLOOKUP($B1868,calc_data,L$14+1,0),0)</f>
        <v/>
      </c>
      <c r="M1868" s="177">
        <f>IFERROR(VLOOKUP($B1868,calc_data,M$14+1,0),0)</f>
        <v/>
      </c>
      <c r="N1868" s="177">
        <f>IFERROR(VLOOKUP($B1868,calc_data,N$14+1,0),0)</f>
        <v/>
      </c>
      <c r="O1868" s="45" t="n"/>
      <c r="Q1868" s="57">
        <f>IF(K1868&gt;0,"показать","скрыть")</f>
        <v/>
      </c>
    </row>
    <row r="1869" ht="15.75" customHeight="1">
      <c r="B1869" s="182" t="n">
        <v>1853</v>
      </c>
      <c r="C1869" s="182">
        <f>IFERROR(VLOOKUP($B1869,calc_data,C$14+1,0),0)</f>
        <v/>
      </c>
      <c r="D1869" s="182">
        <f>IFERROR(VLOOKUP($B1869,calc_data,D$14+1,0),0)</f>
        <v/>
      </c>
      <c r="E1869" s="183">
        <f>IFERROR(VLOOKUP($B1869,calc_data,E$14+1,0),0)</f>
        <v/>
      </c>
      <c r="F1869" s="182">
        <f>IFERROR(VLOOKUP($B1869,calc_data,F$14+1,0),0)</f>
        <v/>
      </c>
      <c r="G1869" s="141">
        <f>IFERROR(VLOOKUP($B1869,calc_data,G$14+1,0),0)</f>
        <v/>
      </c>
      <c r="H1869" s="141">
        <f>IFERROR(VLOOKUP($B1869,calc_data,H$14+1,0),0)</f>
        <v/>
      </c>
      <c r="I1869" s="142">
        <f>IFERROR(VLOOKUP($B1869,calc_data,I$14+1,0),0)</f>
        <v/>
      </c>
      <c r="J1869" s="141">
        <f>IFERROR(VLOOKUP($B1869,calc_data,J$14+1,0),0)</f>
        <v/>
      </c>
      <c r="K1869" s="141">
        <f>IFERROR(VLOOKUP($B1869,calc_data,K$14+1,0),0)</f>
        <v/>
      </c>
      <c r="L1869" s="141">
        <f>IFERROR(VLOOKUP($B1869,calc_data,L$14+1,0),0)</f>
        <v/>
      </c>
      <c r="M1869" s="177">
        <f>IFERROR(VLOOKUP($B1869,calc_data,M$14+1,0),0)</f>
        <v/>
      </c>
      <c r="N1869" s="177">
        <f>IFERROR(VLOOKUP($B1869,calc_data,N$14+1,0),0)</f>
        <v/>
      </c>
      <c r="O1869" s="45" t="n"/>
      <c r="Q1869" s="57">
        <f>IF(K1869&gt;0,"показать","скрыть")</f>
        <v/>
      </c>
    </row>
    <row r="1870" ht="15.75" customHeight="1">
      <c r="B1870" s="182" t="n">
        <v>1854</v>
      </c>
      <c r="C1870" s="182">
        <f>IFERROR(VLOOKUP($B1870,calc_data,C$14+1,0),0)</f>
        <v/>
      </c>
      <c r="D1870" s="182">
        <f>IFERROR(VLOOKUP($B1870,calc_data,D$14+1,0),0)</f>
        <v/>
      </c>
      <c r="E1870" s="183">
        <f>IFERROR(VLOOKUP($B1870,calc_data,E$14+1,0),0)</f>
        <v/>
      </c>
      <c r="F1870" s="182">
        <f>IFERROR(VLOOKUP($B1870,calc_data,F$14+1,0),0)</f>
        <v/>
      </c>
      <c r="G1870" s="141">
        <f>IFERROR(VLOOKUP($B1870,calc_data,G$14+1,0),0)</f>
        <v/>
      </c>
      <c r="H1870" s="141">
        <f>IFERROR(VLOOKUP($B1870,calc_data,H$14+1,0),0)</f>
        <v/>
      </c>
      <c r="I1870" s="142">
        <f>IFERROR(VLOOKUP($B1870,calc_data,I$14+1,0),0)</f>
        <v/>
      </c>
      <c r="J1870" s="141">
        <f>IFERROR(VLOOKUP($B1870,calc_data,J$14+1,0),0)</f>
        <v/>
      </c>
      <c r="K1870" s="141">
        <f>IFERROR(VLOOKUP($B1870,calc_data,K$14+1,0),0)</f>
        <v/>
      </c>
      <c r="L1870" s="141">
        <f>IFERROR(VLOOKUP($B1870,calc_data,L$14+1,0),0)</f>
        <v/>
      </c>
      <c r="M1870" s="177">
        <f>IFERROR(VLOOKUP($B1870,calc_data,M$14+1,0),0)</f>
        <v/>
      </c>
      <c r="N1870" s="177">
        <f>IFERROR(VLOOKUP($B1870,calc_data,N$14+1,0),0)</f>
        <v/>
      </c>
      <c r="O1870" s="45" t="n"/>
      <c r="Q1870" s="57">
        <f>IF(K1870&gt;0,"показать","скрыть")</f>
        <v/>
      </c>
    </row>
    <row r="1871" ht="15.75" customHeight="1">
      <c r="B1871" s="182" t="n">
        <v>1855</v>
      </c>
      <c r="C1871" s="182">
        <f>IFERROR(VLOOKUP($B1871,calc_data,C$14+1,0),0)</f>
        <v/>
      </c>
      <c r="D1871" s="182">
        <f>IFERROR(VLOOKUP($B1871,calc_data,D$14+1,0),0)</f>
        <v/>
      </c>
      <c r="E1871" s="183">
        <f>IFERROR(VLOOKUP($B1871,calc_data,E$14+1,0),0)</f>
        <v/>
      </c>
      <c r="F1871" s="182">
        <f>IFERROR(VLOOKUP($B1871,calc_data,F$14+1,0),0)</f>
        <v/>
      </c>
      <c r="G1871" s="141">
        <f>IFERROR(VLOOKUP($B1871,calc_data,G$14+1,0),0)</f>
        <v/>
      </c>
      <c r="H1871" s="141">
        <f>IFERROR(VLOOKUP($B1871,calc_data,H$14+1,0),0)</f>
        <v/>
      </c>
      <c r="I1871" s="142">
        <f>IFERROR(VLOOKUP($B1871,calc_data,I$14+1,0),0)</f>
        <v/>
      </c>
      <c r="J1871" s="141">
        <f>IFERROR(VLOOKUP($B1871,calc_data,J$14+1,0),0)</f>
        <v/>
      </c>
      <c r="K1871" s="141">
        <f>IFERROR(VLOOKUP($B1871,calc_data,K$14+1,0),0)</f>
        <v/>
      </c>
      <c r="L1871" s="141">
        <f>IFERROR(VLOOKUP($B1871,calc_data,L$14+1,0),0)</f>
        <v/>
      </c>
      <c r="M1871" s="177">
        <f>IFERROR(VLOOKUP($B1871,calc_data,M$14+1,0),0)</f>
        <v/>
      </c>
      <c r="N1871" s="177">
        <f>IFERROR(VLOOKUP($B1871,calc_data,N$14+1,0),0)</f>
        <v/>
      </c>
      <c r="O1871" s="45" t="n"/>
      <c r="Q1871" s="57">
        <f>IF(K1871&gt;0,"показать","скрыть")</f>
        <v/>
      </c>
    </row>
    <row r="1872" ht="15.75" customHeight="1">
      <c r="B1872" s="182" t="n">
        <v>1856</v>
      </c>
      <c r="C1872" s="182">
        <f>IFERROR(VLOOKUP($B1872,calc_data,C$14+1,0),0)</f>
        <v/>
      </c>
      <c r="D1872" s="182">
        <f>IFERROR(VLOOKUP($B1872,calc_data,D$14+1,0),0)</f>
        <v/>
      </c>
      <c r="E1872" s="183">
        <f>IFERROR(VLOOKUP($B1872,calc_data,E$14+1,0),0)</f>
        <v/>
      </c>
      <c r="F1872" s="182">
        <f>IFERROR(VLOOKUP($B1872,calc_data,F$14+1,0),0)</f>
        <v/>
      </c>
      <c r="G1872" s="141">
        <f>IFERROR(VLOOKUP($B1872,calc_data,G$14+1,0),0)</f>
        <v/>
      </c>
      <c r="H1872" s="141">
        <f>IFERROR(VLOOKUP($B1872,calc_data,H$14+1,0),0)</f>
        <v/>
      </c>
      <c r="I1872" s="142">
        <f>IFERROR(VLOOKUP($B1872,calc_data,I$14+1,0),0)</f>
        <v/>
      </c>
      <c r="J1872" s="141">
        <f>IFERROR(VLOOKUP($B1872,calc_data,J$14+1,0),0)</f>
        <v/>
      </c>
      <c r="K1872" s="141">
        <f>IFERROR(VLOOKUP($B1872,calc_data,K$14+1,0),0)</f>
        <v/>
      </c>
      <c r="L1872" s="141">
        <f>IFERROR(VLOOKUP($B1872,calc_data,L$14+1,0),0)</f>
        <v/>
      </c>
      <c r="M1872" s="177">
        <f>IFERROR(VLOOKUP($B1872,calc_data,M$14+1,0),0)</f>
        <v/>
      </c>
      <c r="N1872" s="177">
        <f>IFERROR(VLOOKUP($B1872,calc_data,N$14+1,0),0)</f>
        <v/>
      </c>
      <c r="O1872" s="45" t="n"/>
      <c r="Q1872" s="57">
        <f>IF(K1872&gt;0,"показать","скрыть")</f>
        <v/>
      </c>
    </row>
    <row r="1873" ht="15.75" customHeight="1">
      <c r="B1873" s="182" t="n">
        <v>1857</v>
      </c>
      <c r="C1873" s="182">
        <f>IFERROR(VLOOKUP($B1873,calc_data,C$14+1,0),0)</f>
        <v/>
      </c>
      <c r="D1873" s="182">
        <f>IFERROR(VLOOKUP($B1873,calc_data,D$14+1,0),0)</f>
        <v/>
      </c>
      <c r="E1873" s="183">
        <f>IFERROR(VLOOKUP($B1873,calc_data,E$14+1,0),0)</f>
        <v/>
      </c>
      <c r="F1873" s="182">
        <f>IFERROR(VLOOKUP($B1873,calc_data,F$14+1,0),0)</f>
        <v/>
      </c>
      <c r="G1873" s="141">
        <f>IFERROR(VLOOKUP($B1873,calc_data,G$14+1,0),0)</f>
        <v/>
      </c>
      <c r="H1873" s="141">
        <f>IFERROR(VLOOKUP($B1873,calc_data,H$14+1,0),0)</f>
        <v/>
      </c>
      <c r="I1873" s="142">
        <f>IFERROR(VLOOKUP($B1873,calc_data,I$14+1,0),0)</f>
        <v/>
      </c>
      <c r="J1873" s="141">
        <f>IFERROR(VLOOKUP($B1873,calc_data,J$14+1,0),0)</f>
        <v/>
      </c>
      <c r="K1873" s="141">
        <f>IFERROR(VLOOKUP($B1873,calc_data,K$14+1,0),0)</f>
        <v/>
      </c>
      <c r="L1873" s="141">
        <f>IFERROR(VLOOKUP($B1873,calc_data,L$14+1,0),0)</f>
        <v/>
      </c>
      <c r="M1873" s="177">
        <f>IFERROR(VLOOKUP($B1873,calc_data,M$14+1,0),0)</f>
        <v/>
      </c>
      <c r="N1873" s="177">
        <f>IFERROR(VLOOKUP($B1873,calc_data,N$14+1,0),0)</f>
        <v/>
      </c>
      <c r="O1873" s="45" t="n"/>
      <c r="Q1873" s="57">
        <f>IF(K1873&gt;0,"показать","скрыть")</f>
        <v/>
      </c>
    </row>
    <row r="1874" ht="15.75" customHeight="1">
      <c r="B1874" s="182" t="n">
        <v>1858</v>
      </c>
      <c r="C1874" s="182">
        <f>IFERROR(VLOOKUP($B1874,calc_data,C$14+1,0),0)</f>
        <v/>
      </c>
      <c r="D1874" s="182">
        <f>IFERROR(VLOOKUP($B1874,calc_data,D$14+1,0),0)</f>
        <v/>
      </c>
      <c r="E1874" s="183">
        <f>IFERROR(VLOOKUP($B1874,calc_data,E$14+1,0),0)</f>
        <v/>
      </c>
      <c r="F1874" s="182">
        <f>IFERROR(VLOOKUP($B1874,calc_data,F$14+1,0),0)</f>
        <v/>
      </c>
      <c r="G1874" s="141">
        <f>IFERROR(VLOOKUP($B1874,calc_data,G$14+1,0),0)</f>
        <v/>
      </c>
      <c r="H1874" s="141">
        <f>IFERROR(VLOOKUP($B1874,calc_data,H$14+1,0),0)</f>
        <v/>
      </c>
      <c r="I1874" s="142">
        <f>IFERROR(VLOOKUP($B1874,calc_data,I$14+1,0),0)</f>
        <v/>
      </c>
      <c r="J1874" s="141">
        <f>IFERROR(VLOOKUP($B1874,calc_data,J$14+1,0),0)</f>
        <v/>
      </c>
      <c r="K1874" s="141">
        <f>IFERROR(VLOOKUP($B1874,calc_data,K$14+1,0),0)</f>
        <v/>
      </c>
      <c r="L1874" s="141">
        <f>IFERROR(VLOOKUP($B1874,calc_data,L$14+1,0),0)</f>
        <v/>
      </c>
      <c r="M1874" s="177">
        <f>IFERROR(VLOOKUP($B1874,calc_data,M$14+1,0),0)</f>
        <v/>
      </c>
      <c r="N1874" s="177">
        <f>IFERROR(VLOOKUP($B1874,calc_data,N$14+1,0),0)</f>
        <v/>
      </c>
      <c r="O1874" s="45" t="n"/>
      <c r="Q1874" s="57">
        <f>IF(K1874&gt;0,"показать","скрыть")</f>
        <v/>
      </c>
    </row>
    <row r="1875" ht="15.75" customHeight="1">
      <c r="B1875" s="182" t="n">
        <v>1859</v>
      </c>
      <c r="C1875" s="182">
        <f>IFERROR(VLOOKUP($B1875,calc_data,C$14+1,0),0)</f>
        <v/>
      </c>
      <c r="D1875" s="182">
        <f>IFERROR(VLOOKUP($B1875,calc_data,D$14+1,0),0)</f>
        <v/>
      </c>
      <c r="E1875" s="183">
        <f>IFERROR(VLOOKUP($B1875,calc_data,E$14+1,0),0)</f>
        <v/>
      </c>
      <c r="F1875" s="182">
        <f>IFERROR(VLOOKUP($B1875,calc_data,F$14+1,0),0)</f>
        <v/>
      </c>
      <c r="G1875" s="141">
        <f>IFERROR(VLOOKUP($B1875,calc_data,G$14+1,0),0)</f>
        <v/>
      </c>
      <c r="H1875" s="141">
        <f>IFERROR(VLOOKUP($B1875,calc_data,H$14+1,0),0)</f>
        <v/>
      </c>
      <c r="I1875" s="142">
        <f>IFERROR(VLOOKUP($B1875,calc_data,I$14+1,0),0)</f>
        <v/>
      </c>
      <c r="J1875" s="141">
        <f>IFERROR(VLOOKUP($B1875,calc_data,J$14+1,0),0)</f>
        <v/>
      </c>
      <c r="K1875" s="141">
        <f>IFERROR(VLOOKUP($B1875,calc_data,K$14+1,0),0)</f>
        <v/>
      </c>
      <c r="L1875" s="141">
        <f>IFERROR(VLOOKUP($B1875,calc_data,L$14+1,0),0)</f>
        <v/>
      </c>
      <c r="M1875" s="177">
        <f>IFERROR(VLOOKUP($B1875,calc_data,M$14+1,0),0)</f>
        <v/>
      </c>
      <c r="N1875" s="177">
        <f>IFERROR(VLOOKUP($B1875,calc_data,N$14+1,0),0)</f>
        <v/>
      </c>
      <c r="O1875" s="45" t="n"/>
      <c r="Q1875" s="57">
        <f>IF(K1875&gt;0,"показать","скрыть")</f>
        <v/>
      </c>
    </row>
    <row r="1876" ht="15.75" customHeight="1">
      <c r="B1876" s="182" t="n">
        <v>1860</v>
      </c>
      <c r="C1876" s="182">
        <f>IFERROR(VLOOKUP($B1876,calc_data,C$14+1,0),0)</f>
        <v/>
      </c>
      <c r="D1876" s="182">
        <f>IFERROR(VLOOKUP($B1876,calc_data,D$14+1,0),0)</f>
        <v/>
      </c>
      <c r="E1876" s="183">
        <f>IFERROR(VLOOKUP($B1876,calc_data,E$14+1,0),0)</f>
        <v/>
      </c>
      <c r="F1876" s="182">
        <f>IFERROR(VLOOKUP($B1876,calc_data,F$14+1,0),0)</f>
        <v/>
      </c>
      <c r="G1876" s="141">
        <f>IFERROR(VLOOKUP($B1876,calc_data,G$14+1,0),0)</f>
        <v/>
      </c>
      <c r="H1876" s="141">
        <f>IFERROR(VLOOKUP($B1876,calc_data,H$14+1,0),0)</f>
        <v/>
      </c>
      <c r="I1876" s="142">
        <f>IFERROR(VLOOKUP($B1876,calc_data,I$14+1,0),0)</f>
        <v/>
      </c>
      <c r="J1876" s="141">
        <f>IFERROR(VLOOKUP($B1876,calc_data,J$14+1,0),0)</f>
        <v/>
      </c>
      <c r="K1876" s="141">
        <f>IFERROR(VLOOKUP($B1876,calc_data,K$14+1,0),0)</f>
        <v/>
      </c>
      <c r="L1876" s="141">
        <f>IFERROR(VLOOKUP($B1876,calc_data,L$14+1,0),0)</f>
        <v/>
      </c>
      <c r="M1876" s="177">
        <f>IFERROR(VLOOKUP($B1876,calc_data,M$14+1,0),0)</f>
        <v/>
      </c>
      <c r="N1876" s="177">
        <f>IFERROR(VLOOKUP($B1876,calc_data,N$14+1,0),0)</f>
        <v/>
      </c>
      <c r="O1876" s="45" t="n"/>
      <c r="Q1876" s="57">
        <f>IF(K1876&gt;0,"показать","скрыть")</f>
        <v/>
      </c>
    </row>
    <row r="1877" ht="15.75" customHeight="1">
      <c r="B1877" s="182" t="n">
        <v>1861</v>
      </c>
      <c r="C1877" s="182">
        <f>IFERROR(VLOOKUP($B1877,calc_data,C$14+1,0),0)</f>
        <v/>
      </c>
      <c r="D1877" s="182">
        <f>IFERROR(VLOOKUP($B1877,calc_data,D$14+1,0),0)</f>
        <v/>
      </c>
      <c r="E1877" s="183">
        <f>IFERROR(VLOOKUP($B1877,calc_data,E$14+1,0),0)</f>
        <v/>
      </c>
      <c r="F1877" s="182">
        <f>IFERROR(VLOOKUP($B1877,calc_data,F$14+1,0),0)</f>
        <v/>
      </c>
      <c r="G1877" s="141">
        <f>IFERROR(VLOOKUP($B1877,calc_data,G$14+1,0),0)</f>
        <v/>
      </c>
      <c r="H1877" s="141">
        <f>IFERROR(VLOOKUP($B1877,calc_data,H$14+1,0),0)</f>
        <v/>
      </c>
      <c r="I1877" s="142">
        <f>IFERROR(VLOOKUP($B1877,calc_data,I$14+1,0),0)</f>
        <v/>
      </c>
      <c r="J1877" s="141">
        <f>IFERROR(VLOOKUP($B1877,calc_data,J$14+1,0),0)</f>
        <v/>
      </c>
      <c r="K1877" s="141">
        <f>IFERROR(VLOOKUP($B1877,calc_data,K$14+1,0),0)</f>
        <v/>
      </c>
      <c r="L1877" s="141">
        <f>IFERROR(VLOOKUP($B1877,calc_data,L$14+1,0),0)</f>
        <v/>
      </c>
      <c r="M1877" s="177">
        <f>IFERROR(VLOOKUP($B1877,calc_data,M$14+1,0),0)</f>
        <v/>
      </c>
      <c r="N1877" s="177">
        <f>IFERROR(VLOOKUP($B1877,calc_data,N$14+1,0),0)</f>
        <v/>
      </c>
      <c r="O1877" s="45" t="n"/>
      <c r="Q1877" s="57">
        <f>IF(K1877&gt;0,"показать","скрыть")</f>
        <v/>
      </c>
    </row>
    <row r="1878" ht="15.75" customHeight="1">
      <c r="B1878" s="182" t="n">
        <v>1862</v>
      </c>
      <c r="C1878" s="182">
        <f>IFERROR(VLOOKUP($B1878,calc_data,C$14+1,0),0)</f>
        <v/>
      </c>
      <c r="D1878" s="182">
        <f>IFERROR(VLOOKUP($B1878,calc_data,D$14+1,0),0)</f>
        <v/>
      </c>
      <c r="E1878" s="183">
        <f>IFERROR(VLOOKUP($B1878,calc_data,E$14+1,0),0)</f>
        <v/>
      </c>
      <c r="F1878" s="182">
        <f>IFERROR(VLOOKUP($B1878,calc_data,F$14+1,0),0)</f>
        <v/>
      </c>
      <c r="G1878" s="141">
        <f>IFERROR(VLOOKUP($B1878,calc_data,G$14+1,0),0)</f>
        <v/>
      </c>
      <c r="H1878" s="141">
        <f>IFERROR(VLOOKUP($B1878,calc_data,H$14+1,0),0)</f>
        <v/>
      </c>
      <c r="I1878" s="142">
        <f>IFERROR(VLOOKUP($B1878,calc_data,I$14+1,0),0)</f>
        <v/>
      </c>
      <c r="J1878" s="141">
        <f>IFERROR(VLOOKUP($B1878,calc_data,J$14+1,0),0)</f>
        <v/>
      </c>
      <c r="K1878" s="141">
        <f>IFERROR(VLOOKUP($B1878,calc_data,K$14+1,0),0)</f>
        <v/>
      </c>
      <c r="L1878" s="141">
        <f>IFERROR(VLOOKUP($B1878,calc_data,L$14+1,0),0)</f>
        <v/>
      </c>
      <c r="M1878" s="177">
        <f>IFERROR(VLOOKUP($B1878,calc_data,M$14+1,0),0)</f>
        <v/>
      </c>
      <c r="N1878" s="177">
        <f>IFERROR(VLOOKUP($B1878,calc_data,N$14+1,0),0)</f>
        <v/>
      </c>
      <c r="O1878" s="45" t="n"/>
      <c r="Q1878" s="57">
        <f>IF(K1878&gt;0,"показать","скрыть")</f>
        <v/>
      </c>
    </row>
    <row r="1879" ht="15.75" customHeight="1">
      <c r="B1879" s="182" t="n">
        <v>1863</v>
      </c>
      <c r="C1879" s="182">
        <f>IFERROR(VLOOKUP($B1879,calc_data,C$14+1,0),0)</f>
        <v/>
      </c>
      <c r="D1879" s="182">
        <f>IFERROR(VLOOKUP($B1879,calc_data,D$14+1,0),0)</f>
        <v/>
      </c>
      <c r="E1879" s="183">
        <f>IFERROR(VLOOKUP($B1879,calc_data,E$14+1,0),0)</f>
        <v/>
      </c>
      <c r="F1879" s="182">
        <f>IFERROR(VLOOKUP($B1879,calc_data,F$14+1,0),0)</f>
        <v/>
      </c>
      <c r="G1879" s="141">
        <f>IFERROR(VLOOKUP($B1879,calc_data,G$14+1,0),0)</f>
        <v/>
      </c>
      <c r="H1879" s="141">
        <f>IFERROR(VLOOKUP($B1879,calc_data,H$14+1,0),0)</f>
        <v/>
      </c>
      <c r="I1879" s="142">
        <f>IFERROR(VLOOKUP($B1879,calc_data,I$14+1,0),0)</f>
        <v/>
      </c>
      <c r="J1879" s="141">
        <f>IFERROR(VLOOKUP($B1879,calc_data,J$14+1,0),0)</f>
        <v/>
      </c>
      <c r="K1879" s="141">
        <f>IFERROR(VLOOKUP($B1879,calc_data,K$14+1,0),0)</f>
        <v/>
      </c>
      <c r="L1879" s="141">
        <f>IFERROR(VLOOKUP($B1879,calc_data,L$14+1,0),0)</f>
        <v/>
      </c>
      <c r="M1879" s="177">
        <f>IFERROR(VLOOKUP($B1879,calc_data,M$14+1,0),0)</f>
        <v/>
      </c>
      <c r="N1879" s="177">
        <f>IFERROR(VLOOKUP($B1879,calc_data,N$14+1,0),0)</f>
        <v/>
      </c>
      <c r="O1879" s="45" t="n"/>
      <c r="Q1879" s="57">
        <f>IF(K1879&gt;0,"показать","скрыть")</f>
        <v/>
      </c>
    </row>
    <row r="1880" ht="15.75" customHeight="1">
      <c r="B1880" s="182" t="n">
        <v>1864</v>
      </c>
      <c r="C1880" s="182">
        <f>IFERROR(VLOOKUP($B1880,calc_data,C$14+1,0),0)</f>
        <v/>
      </c>
      <c r="D1880" s="182">
        <f>IFERROR(VLOOKUP($B1880,calc_data,D$14+1,0),0)</f>
        <v/>
      </c>
      <c r="E1880" s="183">
        <f>IFERROR(VLOOKUP($B1880,calc_data,E$14+1,0),0)</f>
        <v/>
      </c>
      <c r="F1880" s="182">
        <f>IFERROR(VLOOKUP($B1880,calc_data,F$14+1,0),0)</f>
        <v/>
      </c>
      <c r="G1880" s="141">
        <f>IFERROR(VLOOKUP($B1880,calc_data,G$14+1,0),0)</f>
        <v/>
      </c>
      <c r="H1880" s="141">
        <f>IFERROR(VLOOKUP($B1880,calc_data,H$14+1,0),0)</f>
        <v/>
      </c>
      <c r="I1880" s="142">
        <f>IFERROR(VLOOKUP($B1880,calc_data,I$14+1,0),0)</f>
        <v/>
      </c>
      <c r="J1880" s="141">
        <f>IFERROR(VLOOKUP($B1880,calc_data,J$14+1,0),0)</f>
        <v/>
      </c>
      <c r="K1880" s="141">
        <f>IFERROR(VLOOKUP($B1880,calc_data,K$14+1,0),0)</f>
        <v/>
      </c>
      <c r="L1880" s="141">
        <f>IFERROR(VLOOKUP($B1880,calc_data,L$14+1,0),0)</f>
        <v/>
      </c>
      <c r="M1880" s="177">
        <f>IFERROR(VLOOKUP($B1880,calc_data,M$14+1,0),0)</f>
        <v/>
      </c>
      <c r="N1880" s="177">
        <f>IFERROR(VLOOKUP($B1880,calc_data,N$14+1,0),0)</f>
        <v/>
      </c>
      <c r="O1880" s="45" t="n"/>
      <c r="Q1880" s="57">
        <f>IF(K1880&gt;0,"показать","скрыть")</f>
        <v/>
      </c>
    </row>
    <row r="1881" ht="15.75" customHeight="1">
      <c r="B1881" s="182" t="n">
        <v>1865</v>
      </c>
      <c r="C1881" s="182">
        <f>IFERROR(VLOOKUP($B1881,calc_data,C$14+1,0),0)</f>
        <v/>
      </c>
      <c r="D1881" s="182">
        <f>IFERROR(VLOOKUP($B1881,calc_data,D$14+1,0),0)</f>
        <v/>
      </c>
      <c r="E1881" s="183">
        <f>IFERROR(VLOOKUP($B1881,calc_data,E$14+1,0),0)</f>
        <v/>
      </c>
      <c r="F1881" s="182">
        <f>IFERROR(VLOOKUP($B1881,calc_data,F$14+1,0),0)</f>
        <v/>
      </c>
      <c r="G1881" s="141">
        <f>IFERROR(VLOOKUP($B1881,calc_data,G$14+1,0),0)</f>
        <v/>
      </c>
      <c r="H1881" s="141">
        <f>IFERROR(VLOOKUP($B1881,calc_data,H$14+1,0),0)</f>
        <v/>
      </c>
      <c r="I1881" s="142">
        <f>IFERROR(VLOOKUP($B1881,calc_data,I$14+1,0),0)</f>
        <v/>
      </c>
      <c r="J1881" s="141">
        <f>IFERROR(VLOOKUP($B1881,calc_data,J$14+1,0),0)</f>
        <v/>
      </c>
      <c r="K1881" s="141">
        <f>IFERROR(VLOOKUP($B1881,calc_data,K$14+1,0),0)</f>
        <v/>
      </c>
      <c r="L1881" s="141">
        <f>IFERROR(VLOOKUP($B1881,calc_data,L$14+1,0),0)</f>
        <v/>
      </c>
      <c r="M1881" s="177">
        <f>IFERROR(VLOOKUP($B1881,calc_data,M$14+1,0),0)</f>
        <v/>
      </c>
      <c r="N1881" s="177">
        <f>IFERROR(VLOOKUP($B1881,calc_data,N$14+1,0),0)</f>
        <v/>
      </c>
      <c r="O1881" s="45" t="n"/>
      <c r="Q1881" s="57">
        <f>IF(K1881&gt;0,"показать","скрыть")</f>
        <v/>
      </c>
    </row>
    <row r="1882" ht="15.75" customHeight="1">
      <c r="B1882" s="182" t="n">
        <v>1866</v>
      </c>
      <c r="C1882" s="182">
        <f>IFERROR(VLOOKUP($B1882,calc_data,C$14+1,0),0)</f>
        <v/>
      </c>
      <c r="D1882" s="182">
        <f>IFERROR(VLOOKUP($B1882,calc_data,D$14+1,0),0)</f>
        <v/>
      </c>
      <c r="E1882" s="183">
        <f>IFERROR(VLOOKUP($B1882,calc_data,E$14+1,0),0)</f>
        <v/>
      </c>
      <c r="F1882" s="182">
        <f>IFERROR(VLOOKUP($B1882,calc_data,F$14+1,0),0)</f>
        <v/>
      </c>
      <c r="G1882" s="141">
        <f>IFERROR(VLOOKUP($B1882,calc_data,G$14+1,0),0)</f>
        <v/>
      </c>
      <c r="H1882" s="141">
        <f>IFERROR(VLOOKUP($B1882,calc_data,H$14+1,0),0)</f>
        <v/>
      </c>
      <c r="I1882" s="142">
        <f>IFERROR(VLOOKUP($B1882,calc_data,I$14+1,0),0)</f>
        <v/>
      </c>
      <c r="J1882" s="141">
        <f>IFERROR(VLOOKUP($B1882,calc_data,J$14+1,0),0)</f>
        <v/>
      </c>
      <c r="K1882" s="141">
        <f>IFERROR(VLOOKUP($B1882,calc_data,K$14+1,0),0)</f>
        <v/>
      </c>
      <c r="L1882" s="141">
        <f>IFERROR(VLOOKUP($B1882,calc_data,L$14+1,0),0)</f>
        <v/>
      </c>
      <c r="M1882" s="177">
        <f>IFERROR(VLOOKUP($B1882,calc_data,M$14+1,0),0)</f>
        <v/>
      </c>
      <c r="N1882" s="177">
        <f>IFERROR(VLOOKUP($B1882,calc_data,N$14+1,0),0)</f>
        <v/>
      </c>
      <c r="O1882" s="45" t="n"/>
      <c r="Q1882" s="57">
        <f>IF(K1882&gt;0,"показать","скрыть")</f>
        <v/>
      </c>
    </row>
    <row r="1883" ht="15.75" customHeight="1">
      <c r="B1883" s="182" t="n">
        <v>1867</v>
      </c>
      <c r="C1883" s="182">
        <f>IFERROR(VLOOKUP($B1883,calc_data,C$14+1,0),0)</f>
        <v/>
      </c>
      <c r="D1883" s="182">
        <f>IFERROR(VLOOKUP($B1883,calc_data,D$14+1,0),0)</f>
        <v/>
      </c>
      <c r="E1883" s="183">
        <f>IFERROR(VLOOKUP($B1883,calc_data,E$14+1,0),0)</f>
        <v/>
      </c>
      <c r="F1883" s="182">
        <f>IFERROR(VLOOKUP($B1883,calc_data,F$14+1,0),0)</f>
        <v/>
      </c>
      <c r="G1883" s="141">
        <f>IFERROR(VLOOKUP($B1883,calc_data,G$14+1,0),0)</f>
        <v/>
      </c>
      <c r="H1883" s="141">
        <f>IFERROR(VLOOKUP($B1883,calc_data,H$14+1,0),0)</f>
        <v/>
      </c>
      <c r="I1883" s="142">
        <f>IFERROR(VLOOKUP($B1883,calc_data,I$14+1,0),0)</f>
        <v/>
      </c>
      <c r="J1883" s="141">
        <f>IFERROR(VLOOKUP($B1883,calc_data,J$14+1,0),0)</f>
        <v/>
      </c>
      <c r="K1883" s="141">
        <f>IFERROR(VLOOKUP($B1883,calc_data,K$14+1,0),0)</f>
        <v/>
      </c>
      <c r="L1883" s="141">
        <f>IFERROR(VLOOKUP($B1883,calc_data,L$14+1,0),0)</f>
        <v/>
      </c>
      <c r="M1883" s="177">
        <f>IFERROR(VLOOKUP($B1883,calc_data,M$14+1,0),0)</f>
        <v/>
      </c>
      <c r="N1883" s="177">
        <f>IFERROR(VLOOKUP($B1883,calc_data,N$14+1,0),0)</f>
        <v/>
      </c>
      <c r="O1883" s="45" t="n"/>
      <c r="Q1883" s="57">
        <f>IF(K1883&gt;0,"показать","скрыть")</f>
        <v/>
      </c>
    </row>
    <row r="1884" ht="15.75" customHeight="1">
      <c r="B1884" s="182" t="n">
        <v>1868</v>
      </c>
      <c r="C1884" s="182">
        <f>IFERROR(VLOOKUP($B1884,calc_data,C$14+1,0),0)</f>
        <v/>
      </c>
      <c r="D1884" s="182">
        <f>IFERROR(VLOOKUP($B1884,calc_data,D$14+1,0),0)</f>
        <v/>
      </c>
      <c r="E1884" s="183">
        <f>IFERROR(VLOOKUP($B1884,calc_data,E$14+1,0),0)</f>
        <v/>
      </c>
      <c r="F1884" s="182">
        <f>IFERROR(VLOOKUP($B1884,calc_data,F$14+1,0),0)</f>
        <v/>
      </c>
      <c r="G1884" s="141">
        <f>IFERROR(VLOOKUP($B1884,calc_data,G$14+1,0),0)</f>
        <v/>
      </c>
      <c r="H1884" s="141">
        <f>IFERROR(VLOOKUP($B1884,calc_data,H$14+1,0),0)</f>
        <v/>
      </c>
      <c r="I1884" s="142">
        <f>IFERROR(VLOOKUP($B1884,calc_data,I$14+1,0),0)</f>
        <v/>
      </c>
      <c r="J1884" s="141">
        <f>IFERROR(VLOOKUP($B1884,calc_data,J$14+1,0),0)</f>
        <v/>
      </c>
      <c r="K1884" s="141">
        <f>IFERROR(VLOOKUP($B1884,calc_data,K$14+1,0),0)</f>
        <v/>
      </c>
      <c r="L1884" s="141">
        <f>IFERROR(VLOOKUP($B1884,calc_data,L$14+1,0),0)</f>
        <v/>
      </c>
      <c r="M1884" s="177">
        <f>IFERROR(VLOOKUP($B1884,calc_data,M$14+1,0),0)</f>
        <v/>
      </c>
      <c r="N1884" s="177">
        <f>IFERROR(VLOOKUP($B1884,calc_data,N$14+1,0),0)</f>
        <v/>
      </c>
      <c r="O1884" s="45" t="n"/>
      <c r="Q1884" s="57">
        <f>IF(K1884&gt;0,"показать","скрыть")</f>
        <v/>
      </c>
    </row>
    <row r="1885" ht="15.75" customHeight="1">
      <c r="B1885" s="182" t="n">
        <v>1869</v>
      </c>
      <c r="C1885" s="182">
        <f>IFERROR(VLOOKUP($B1885,calc_data,C$14+1,0),0)</f>
        <v/>
      </c>
      <c r="D1885" s="182">
        <f>IFERROR(VLOOKUP($B1885,calc_data,D$14+1,0),0)</f>
        <v/>
      </c>
      <c r="E1885" s="183">
        <f>IFERROR(VLOOKUP($B1885,calc_data,E$14+1,0),0)</f>
        <v/>
      </c>
      <c r="F1885" s="182">
        <f>IFERROR(VLOOKUP($B1885,calc_data,F$14+1,0),0)</f>
        <v/>
      </c>
      <c r="G1885" s="141">
        <f>IFERROR(VLOOKUP($B1885,calc_data,G$14+1,0),0)</f>
        <v/>
      </c>
      <c r="H1885" s="141">
        <f>IFERROR(VLOOKUP($B1885,calc_data,H$14+1,0),0)</f>
        <v/>
      </c>
      <c r="I1885" s="142">
        <f>IFERROR(VLOOKUP($B1885,calc_data,I$14+1,0),0)</f>
        <v/>
      </c>
      <c r="J1885" s="141">
        <f>IFERROR(VLOOKUP($B1885,calc_data,J$14+1,0),0)</f>
        <v/>
      </c>
      <c r="K1885" s="141">
        <f>IFERROR(VLOOKUP($B1885,calc_data,K$14+1,0),0)</f>
        <v/>
      </c>
      <c r="L1885" s="141">
        <f>IFERROR(VLOOKUP($B1885,calc_data,L$14+1,0),0)</f>
        <v/>
      </c>
      <c r="M1885" s="177">
        <f>IFERROR(VLOOKUP($B1885,calc_data,M$14+1,0),0)</f>
        <v/>
      </c>
      <c r="N1885" s="177">
        <f>IFERROR(VLOOKUP($B1885,calc_data,N$14+1,0),0)</f>
        <v/>
      </c>
      <c r="O1885" s="45" t="n"/>
      <c r="Q1885" s="57">
        <f>IF(K1885&gt;0,"показать","скрыть")</f>
        <v/>
      </c>
    </row>
    <row r="1886" ht="15.75" customHeight="1">
      <c r="B1886" s="182" t="n">
        <v>1870</v>
      </c>
      <c r="C1886" s="182">
        <f>IFERROR(VLOOKUP($B1886,calc_data,C$14+1,0),0)</f>
        <v/>
      </c>
      <c r="D1886" s="182">
        <f>IFERROR(VLOOKUP($B1886,calc_data,D$14+1,0),0)</f>
        <v/>
      </c>
      <c r="E1886" s="183">
        <f>IFERROR(VLOOKUP($B1886,calc_data,E$14+1,0),0)</f>
        <v/>
      </c>
      <c r="F1886" s="182">
        <f>IFERROR(VLOOKUP($B1886,calc_data,F$14+1,0),0)</f>
        <v/>
      </c>
      <c r="G1886" s="141">
        <f>IFERROR(VLOOKUP($B1886,calc_data,G$14+1,0),0)</f>
        <v/>
      </c>
      <c r="H1886" s="141">
        <f>IFERROR(VLOOKUP($B1886,calc_data,H$14+1,0),0)</f>
        <v/>
      </c>
      <c r="I1886" s="142">
        <f>IFERROR(VLOOKUP($B1886,calc_data,I$14+1,0),0)</f>
        <v/>
      </c>
      <c r="J1886" s="141">
        <f>IFERROR(VLOOKUP($B1886,calc_data,J$14+1,0),0)</f>
        <v/>
      </c>
      <c r="K1886" s="141">
        <f>IFERROR(VLOOKUP($B1886,calc_data,K$14+1,0),0)</f>
        <v/>
      </c>
      <c r="L1886" s="141">
        <f>IFERROR(VLOOKUP($B1886,calc_data,L$14+1,0),0)</f>
        <v/>
      </c>
      <c r="M1886" s="177">
        <f>IFERROR(VLOOKUP($B1886,calc_data,M$14+1,0),0)</f>
        <v/>
      </c>
      <c r="N1886" s="177">
        <f>IFERROR(VLOOKUP($B1886,calc_data,N$14+1,0),0)</f>
        <v/>
      </c>
      <c r="O1886" s="45" t="n"/>
      <c r="Q1886" s="57">
        <f>IF(K1886&gt;0,"показать","скрыть")</f>
        <v/>
      </c>
    </row>
    <row r="1887" ht="15.75" customHeight="1">
      <c r="B1887" s="182" t="n">
        <v>1871</v>
      </c>
      <c r="C1887" s="182">
        <f>IFERROR(VLOOKUP($B1887,calc_data,C$14+1,0),0)</f>
        <v/>
      </c>
      <c r="D1887" s="182">
        <f>IFERROR(VLOOKUP($B1887,calc_data,D$14+1,0),0)</f>
        <v/>
      </c>
      <c r="E1887" s="183">
        <f>IFERROR(VLOOKUP($B1887,calc_data,E$14+1,0),0)</f>
        <v/>
      </c>
      <c r="F1887" s="182">
        <f>IFERROR(VLOOKUP($B1887,calc_data,F$14+1,0),0)</f>
        <v/>
      </c>
      <c r="G1887" s="141">
        <f>IFERROR(VLOOKUP($B1887,calc_data,G$14+1,0),0)</f>
        <v/>
      </c>
      <c r="H1887" s="141">
        <f>IFERROR(VLOOKUP($B1887,calc_data,H$14+1,0),0)</f>
        <v/>
      </c>
      <c r="I1887" s="142">
        <f>IFERROR(VLOOKUP($B1887,calc_data,I$14+1,0),0)</f>
        <v/>
      </c>
      <c r="J1887" s="141">
        <f>IFERROR(VLOOKUP($B1887,calc_data,J$14+1,0),0)</f>
        <v/>
      </c>
      <c r="K1887" s="141">
        <f>IFERROR(VLOOKUP($B1887,calc_data,K$14+1,0),0)</f>
        <v/>
      </c>
      <c r="L1887" s="141">
        <f>IFERROR(VLOOKUP($B1887,calc_data,L$14+1,0),0)</f>
        <v/>
      </c>
      <c r="M1887" s="177">
        <f>IFERROR(VLOOKUP($B1887,calc_data,M$14+1,0),0)</f>
        <v/>
      </c>
      <c r="N1887" s="177">
        <f>IFERROR(VLOOKUP($B1887,calc_data,N$14+1,0),0)</f>
        <v/>
      </c>
      <c r="O1887" s="45" t="n"/>
      <c r="Q1887" s="57">
        <f>IF(K1887&gt;0,"показать","скрыть")</f>
        <v/>
      </c>
    </row>
    <row r="1888" ht="15.75" customHeight="1">
      <c r="B1888" s="182" t="n">
        <v>1872</v>
      </c>
      <c r="C1888" s="182">
        <f>IFERROR(VLOOKUP($B1888,calc_data,C$14+1,0),0)</f>
        <v/>
      </c>
      <c r="D1888" s="182">
        <f>IFERROR(VLOOKUP($B1888,calc_data,D$14+1,0),0)</f>
        <v/>
      </c>
      <c r="E1888" s="183">
        <f>IFERROR(VLOOKUP($B1888,calc_data,E$14+1,0),0)</f>
        <v/>
      </c>
      <c r="F1888" s="182">
        <f>IFERROR(VLOOKUP($B1888,calc_data,F$14+1,0),0)</f>
        <v/>
      </c>
      <c r="G1888" s="141">
        <f>IFERROR(VLOOKUP($B1888,calc_data,G$14+1,0),0)</f>
        <v/>
      </c>
      <c r="H1888" s="141">
        <f>IFERROR(VLOOKUP($B1888,calc_data,H$14+1,0),0)</f>
        <v/>
      </c>
      <c r="I1888" s="142">
        <f>IFERROR(VLOOKUP($B1888,calc_data,I$14+1,0),0)</f>
        <v/>
      </c>
      <c r="J1888" s="141">
        <f>IFERROR(VLOOKUP($B1888,calc_data,J$14+1,0),0)</f>
        <v/>
      </c>
      <c r="K1888" s="141">
        <f>IFERROR(VLOOKUP($B1888,calc_data,K$14+1,0),0)</f>
        <v/>
      </c>
      <c r="L1888" s="141">
        <f>IFERROR(VLOOKUP($B1888,calc_data,L$14+1,0),0)</f>
        <v/>
      </c>
      <c r="M1888" s="177">
        <f>IFERROR(VLOOKUP($B1888,calc_data,M$14+1,0),0)</f>
        <v/>
      </c>
      <c r="N1888" s="177">
        <f>IFERROR(VLOOKUP($B1888,calc_data,N$14+1,0),0)</f>
        <v/>
      </c>
      <c r="O1888" s="45" t="n"/>
      <c r="Q1888" s="57">
        <f>IF(K1888&gt;0,"показать","скрыть")</f>
        <v/>
      </c>
    </row>
    <row r="1889" ht="15.75" customHeight="1">
      <c r="B1889" s="182" t="n">
        <v>1873</v>
      </c>
      <c r="C1889" s="182">
        <f>IFERROR(VLOOKUP($B1889,calc_data,C$14+1,0),0)</f>
        <v/>
      </c>
      <c r="D1889" s="182">
        <f>IFERROR(VLOOKUP($B1889,calc_data,D$14+1,0),0)</f>
        <v/>
      </c>
      <c r="E1889" s="183">
        <f>IFERROR(VLOOKUP($B1889,calc_data,E$14+1,0),0)</f>
        <v/>
      </c>
      <c r="F1889" s="182">
        <f>IFERROR(VLOOKUP($B1889,calc_data,F$14+1,0),0)</f>
        <v/>
      </c>
      <c r="G1889" s="141">
        <f>IFERROR(VLOOKUP($B1889,calc_data,G$14+1,0),0)</f>
        <v/>
      </c>
      <c r="H1889" s="141">
        <f>IFERROR(VLOOKUP($B1889,calc_data,H$14+1,0),0)</f>
        <v/>
      </c>
      <c r="I1889" s="142">
        <f>IFERROR(VLOOKUP($B1889,calc_data,I$14+1,0),0)</f>
        <v/>
      </c>
      <c r="J1889" s="141">
        <f>IFERROR(VLOOKUP($B1889,calc_data,J$14+1,0),0)</f>
        <v/>
      </c>
      <c r="K1889" s="141">
        <f>IFERROR(VLOOKUP($B1889,calc_data,K$14+1,0),0)</f>
        <v/>
      </c>
      <c r="L1889" s="141">
        <f>IFERROR(VLOOKUP($B1889,calc_data,L$14+1,0),0)</f>
        <v/>
      </c>
      <c r="M1889" s="177">
        <f>IFERROR(VLOOKUP($B1889,calc_data,M$14+1,0),0)</f>
        <v/>
      </c>
      <c r="N1889" s="177">
        <f>IFERROR(VLOOKUP($B1889,calc_data,N$14+1,0),0)</f>
        <v/>
      </c>
      <c r="O1889" s="45" t="n"/>
      <c r="Q1889" s="57">
        <f>IF(K1889&gt;0,"показать","скрыть")</f>
        <v/>
      </c>
    </row>
    <row r="1890" ht="15.75" customHeight="1">
      <c r="B1890" s="182" t="n">
        <v>1874</v>
      </c>
      <c r="C1890" s="182">
        <f>IFERROR(VLOOKUP($B1890,calc_data,C$14+1,0),0)</f>
        <v/>
      </c>
      <c r="D1890" s="182">
        <f>IFERROR(VLOOKUP($B1890,calc_data,D$14+1,0),0)</f>
        <v/>
      </c>
      <c r="E1890" s="183">
        <f>IFERROR(VLOOKUP($B1890,calc_data,E$14+1,0),0)</f>
        <v/>
      </c>
      <c r="F1890" s="182">
        <f>IFERROR(VLOOKUP($B1890,calc_data,F$14+1,0),0)</f>
        <v/>
      </c>
      <c r="G1890" s="141">
        <f>IFERROR(VLOOKUP($B1890,calc_data,G$14+1,0),0)</f>
        <v/>
      </c>
      <c r="H1890" s="141">
        <f>IFERROR(VLOOKUP($B1890,calc_data,H$14+1,0),0)</f>
        <v/>
      </c>
      <c r="I1890" s="142">
        <f>IFERROR(VLOOKUP($B1890,calc_data,I$14+1,0),0)</f>
        <v/>
      </c>
      <c r="J1890" s="141">
        <f>IFERROR(VLOOKUP($B1890,calc_data,J$14+1,0),0)</f>
        <v/>
      </c>
      <c r="K1890" s="141">
        <f>IFERROR(VLOOKUP($B1890,calc_data,K$14+1,0),0)</f>
        <v/>
      </c>
      <c r="L1890" s="141">
        <f>IFERROR(VLOOKUP($B1890,calc_data,L$14+1,0),0)</f>
        <v/>
      </c>
      <c r="M1890" s="177">
        <f>IFERROR(VLOOKUP($B1890,calc_data,M$14+1,0),0)</f>
        <v/>
      </c>
      <c r="N1890" s="177">
        <f>IFERROR(VLOOKUP($B1890,calc_data,N$14+1,0),0)</f>
        <v/>
      </c>
      <c r="O1890" s="45" t="n"/>
      <c r="Q1890" s="57">
        <f>IF(K1890&gt;0,"показать","скрыть")</f>
        <v/>
      </c>
    </row>
    <row r="1891" ht="15.75" customHeight="1">
      <c r="B1891" s="182" t="n">
        <v>1875</v>
      </c>
      <c r="C1891" s="182">
        <f>IFERROR(VLOOKUP($B1891,calc_data,C$14+1,0),0)</f>
        <v/>
      </c>
      <c r="D1891" s="182">
        <f>IFERROR(VLOOKUP($B1891,calc_data,D$14+1,0),0)</f>
        <v/>
      </c>
      <c r="E1891" s="183">
        <f>IFERROR(VLOOKUP($B1891,calc_data,E$14+1,0),0)</f>
        <v/>
      </c>
      <c r="F1891" s="182">
        <f>IFERROR(VLOOKUP($B1891,calc_data,F$14+1,0),0)</f>
        <v/>
      </c>
      <c r="G1891" s="141">
        <f>IFERROR(VLOOKUP($B1891,calc_data,G$14+1,0),0)</f>
        <v/>
      </c>
      <c r="H1891" s="141">
        <f>IFERROR(VLOOKUP($B1891,calc_data,H$14+1,0),0)</f>
        <v/>
      </c>
      <c r="I1891" s="142">
        <f>IFERROR(VLOOKUP($B1891,calc_data,I$14+1,0),0)</f>
        <v/>
      </c>
      <c r="J1891" s="141">
        <f>IFERROR(VLOOKUP($B1891,calc_data,J$14+1,0),0)</f>
        <v/>
      </c>
      <c r="K1891" s="141">
        <f>IFERROR(VLOOKUP($B1891,calc_data,K$14+1,0),0)</f>
        <v/>
      </c>
      <c r="L1891" s="141">
        <f>IFERROR(VLOOKUP($B1891,calc_data,L$14+1,0),0)</f>
        <v/>
      </c>
      <c r="M1891" s="177">
        <f>IFERROR(VLOOKUP($B1891,calc_data,M$14+1,0),0)</f>
        <v/>
      </c>
      <c r="N1891" s="177">
        <f>IFERROR(VLOOKUP($B1891,calc_data,N$14+1,0),0)</f>
        <v/>
      </c>
      <c r="O1891" s="45" t="n"/>
      <c r="Q1891" s="57">
        <f>IF(K1891&gt;0,"показать","скрыть")</f>
        <v/>
      </c>
    </row>
    <row r="1892" ht="15.75" customHeight="1">
      <c r="B1892" s="182" t="n">
        <v>1876</v>
      </c>
      <c r="C1892" s="182">
        <f>IFERROR(VLOOKUP($B1892,calc_data,C$14+1,0),0)</f>
        <v/>
      </c>
      <c r="D1892" s="182">
        <f>IFERROR(VLOOKUP($B1892,calc_data,D$14+1,0),0)</f>
        <v/>
      </c>
      <c r="E1892" s="183">
        <f>IFERROR(VLOOKUP($B1892,calc_data,E$14+1,0),0)</f>
        <v/>
      </c>
      <c r="F1892" s="182">
        <f>IFERROR(VLOOKUP($B1892,calc_data,F$14+1,0),0)</f>
        <v/>
      </c>
      <c r="G1892" s="141">
        <f>IFERROR(VLOOKUP($B1892,calc_data,G$14+1,0),0)</f>
        <v/>
      </c>
      <c r="H1892" s="141">
        <f>IFERROR(VLOOKUP($B1892,calc_data,H$14+1,0),0)</f>
        <v/>
      </c>
      <c r="I1892" s="142">
        <f>IFERROR(VLOOKUP($B1892,calc_data,I$14+1,0),0)</f>
        <v/>
      </c>
      <c r="J1892" s="141">
        <f>IFERROR(VLOOKUP($B1892,calc_data,J$14+1,0),0)</f>
        <v/>
      </c>
      <c r="K1892" s="141">
        <f>IFERROR(VLOOKUP($B1892,calc_data,K$14+1,0),0)</f>
        <v/>
      </c>
      <c r="L1892" s="141">
        <f>IFERROR(VLOOKUP($B1892,calc_data,L$14+1,0),0)</f>
        <v/>
      </c>
      <c r="M1892" s="177">
        <f>IFERROR(VLOOKUP($B1892,calc_data,M$14+1,0),0)</f>
        <v/>
      </c>
      <c r="N1892" s="177">
        <f>IFERROR(VLOOKUP($B1892,calc_data,N$14+1,0),0)</f>
        <v/>
      </c>
      <c r="O1892" s="45" t="n"/>
      <c r="Q1892" s="57">
        <f>IF(K1892&gt;0,"показать","скрыть")</f>
        <v/>
      </c>
    </row>
    <row r="1893" ht="15.75" customHeight="1">
      <c r="B1893" s="182" t="n">
        <v>1877</v>
      </c>
      <c r="C1893" s="182">
        <f>IFERROR(VLOOKUP($B1893,calc_data,C$14+1,0),0)</f>
        <v/>
      </c>
      <c r="D1893" s="182">
        <f>IFERROR(VLOOKUP($B1893,calc_data,D$14+1,0),0)</f>
        <v/>
      </c>
      <c r="E1893" s="183">
        <f>IFERROR(VLOOKUP($B1893,calc_data,E$14+1,0),0)</f>
        <v/>
      </c>
      <c r="F1893" s="182">
        <f>IFERROR(VLOOKUP($B1893,calc_data,F$14+1,0),0)</f>
        <v/>
      </c>
      <c r="G1893" s="141">
        <f>IFERROR(VLOOKUP($B1893,calc_data,G$14+1,0),0)</f>
        <v/>
      </c>
      <c r="H1893" s="141">
        <f>IFERROR(VLOOKUP($B1893,calc_data,H$14+1,0),0)</f>
        <v/>
      </c>
      <c r="I1893" s="142">
        <f>IFERROR(VLOOKUP($B1893,calc_data,I$14+1,0),0)</f>
        <v/>
      </c>
      <c r="J1893" s="141">
        <f>IFERROR(VLOOKUP($B1893,calc_data,J$14+1,0),0)</f>
        <v/>
      </c>
      <c r="K1893" s="141">
        <f>IFERROR(VLOOKUP($B1893,calc_data,K$14+1,0),0)</f>
        <v/>
      </c>
      <c r="L1893" s="141">
        <f>IFERROR(VLOOKUP($B1893,calc_data,L$14+1,0),0)</f>
        <v/>
      </c>
      <c r="M1893" s="177">
        <f>IFERROR(VLOOKUP($B1893,calc_data,M$14+1,0),0)</f>
        <v/>
      </c>
      <c r="N1893" s="177">
        <f>IFERROR(VLOOKUP($B1893,calc_data,N$14+1,0),0)</f>
        <v/>
      </c>
      <c r="O1893" s="45" t="n"/>
      <c r="Q1893" s="57">
        <f>IF(K1893&gt;0,"показать","скрыть")</f>
        <v/>
      </c>
    </row>
    <row r="1894" ht="15.75" customHeight="1">
      <c r="B1894" s="182" t="n">
        <v>1878</v>
      </c>
      <c r="C1894" s="182">
        <f>IFERROR(VLOOKUP($B1894,calc_data,C$14+1,0),0)</f>
        <v/>
      </c>
      <c r="D1894" s="182">
        <f>IFERROR(VLOOKUP($B1894,calc_data,D$14+1,0),0)</f>
        <v/>
      </c>
      <c r="E1894" s="183">
        <f>IFERROR(VLOOKUP($B1894,calc_data,E$14+1,0),0)</f>
        <v/>
      </c>
      <c r="F1894" s="182">
        <f>IFERROR(VLOOKUP($B1894,calc_data,F$14+1,0),0)</f>
        <v/>
      </c>
      <c r="G1894" s="141">
        <f>IFERROR(VLOOKUP($B1894,calc_data,G$14+1,0),0)</f>
        <v/>
      </c>
      <c r="H1894" s="141">
        <f>IFERROR(VLOOKUP($B1894,calc_data,H$14+1,0),0)</f>
        <v/>
      </c>
      <c r="I1894" s="142">
        <f>IFERROR(VLOOKUP($B1894,calc_data,I$14+1,0),0)</f>
        <v/>
      </c>
      <c r="J1894" s="141">
        <f>IFERROR(VLOOKUP($B1894,calc_data,J$14+1,0),0)</f>
        <v/>
      </c>
      <c r="K1894" s="141">
        <f>IFERROR(VLOOKUP($B1894,calc_data,K$14+1,0),0)</f>
        <v/>
      </c>
      <c r="L1894" s="141">
        <f>IFERROR(VLOOKUP($B1894,calc_data,L$14+1,0),0)</f>
        <v/>
      </c>
      <c r="M1894" s="177">
        <f>IFERROR(VLOOKUP($B1894,calc_data,M$14+1,0),0)</f>
        <v/>
      </c>
      <c r="N1894" s="177">
        <f>IFERROR(VLOOKUP($B1894,calc_data,N$14+1,0),0)</f>
        <v/>
      </c>
      <c r="O1894" s="45" t="n"/>
      <c r="Q1894" s="57">
        <f>IF(K1894&gt;0,"показать","скрыть")</f>
        <v/>
      </c>
    </row>
    <row r="1895" ht="15.75" customHeight="1">
      <c r="B1895" s="182" t="n">
        <v>1879</v>
      </c>
      <c r="C1895" s="182">
        <f>IFERROR(VLOOKUP($B1895,calc_data,C$14+1,0),0)</f>
        <v/>
      </c>
      <c r="D1895" s="182">
        <f>IFERROR(VLOOKUP($B1895,calc_data,D$14+1,0),0)</f>
        <v/>
      </c>
      <c r="E1895" s="183">
        <f>IFERROR(VLOOKUP($B1895,calc_data,E$14+1,0),0)</f>
        <v/>
      </c>
      <c r="F1895" s="182">
        <f>IFERROR(VLOOKUP($B1895,calc_data,F$14+1,0),0)</f>
        <v/>
      </c>
      <c r="G1895" s="141">
        <f>IFERROR(VLOOKUP($B1895,calc_data,G$14+1,0),0)</f>
        <v/>
      </c>
      <c r="H1895" s="141">
        <f>IFERROR(VLOOKUP($B1895,calc_data,H$14+1,0),0)</f>
        <v/>
      </c>
      <c r="I1895" s="142">
        <f>IFERROR(VLOOKUP($B1895,calc_data,I$14+1,0),0)</f>
        <v/>
      </c>
      <c r="J1895" s="141">
        <f>IFERROR(VLOOKUP($B1895,calc_data,J$14+1,0),0)</f>
        <v/>
      </c>
      <c r="K1895" s="141">
        <f>IFERROR(VLOOKUP($B1895,calc_data,K$14+1,0),0)</f>
        <v/>
      </c>
      <c r="L1895" s="141">
        <f>IFERROR(VLOOKUP($B1895,calc_data,L$14+1,0),0)</f>
        <v/>
      </c>
      <c r="M1895" s="177">
        <f>IFERROR(VLOOKUP($B1895,calc_data,M$14+1,0),0)</f>
        <v/>
      </c>
      <c r="N1895" s="177">
        <f>IFERROR(VLOOKUP($B1895,calc_data,N$14+1,0),0)</f>
        <v/>
      </c>
      <c r="O1895" s="45" t="n"/>
      <c r="Q1895" s="57">
        <f>IF(K1895&gt;0,"показать","скрыть")</f>
        <v/>
      </c>
    </row>
    <row r="1896" ht="15.75" customHeight="1">
      <c r="B1896" s="182" t="n">
        <v>1880</v>
      </c>
      <c r="C1896" s="182">
        <f>IFERROR(VLOOKUP($B1896,calc_data,C$14+1,0),0)</f>
        <v/>
      </c>
      <c r="D1896" s="182">
        <f>IFERROR(VLOOKUP($B1896,calc_data,D$14+1,0),0)</f>
        <v/>
      </c>
      <c r="E1896" s="183">
        <f>IFERROR(VLOOKUP($B1896,calc_data,E$14+1,0),0)</f>
        <v/>
      </c>
      <c r="F1896" s="182">
        <f>IFERROR(VLOOKUP($B1896,calc_data,F$14+1,0),0)</f>
        <v/>
      </c>
      <c r="G1896" s="141">
        <f>IFERROR(VLOOKUP($B1896,calc_data,G$14+1,0),0)</f>
        <v/>
      </c>
      <c r="H1896" s="141">
        <f>IFERROR(VLOOKUP($B1896,calc_data,H$14+1,0),0)</f>
        <v/>
      </c>
      <c r="I1896" s="142">
        <f>IFERROR(VLOOKUP($B1896,calc_data,I$14+1,0),0)</f>
        <v/>
      </c>
      <c r="J1896" s="141">
        <f>IFERROR(VLOOKUP($B1896,calc_data,J$14+1,0),0)</f>
        <v/>
      </c>
      <c r="K1896" s="141">
        <f>IFERROR(VLOOKUP($B1896,calc_data,K$14+1,0),0)</f>
        <v/>
      </c>
      <c r="L1896" s="141">
        <f>IFERROR(VLOOKUP($B1896,calc_data,L$14+1,0),0)</f>
        <v/>
      </c>
      <c r="M1896" s="177">
        <f>IFERROR(VLOOKUP($B1896,calc_data,M$14+1,0),0)</f>
        <v/>
      </c>
      <c r="N1896" s="177">
        <f>IFERROR(VLOOKUP($B1896,calc_data,N$14+1,0),0)</f>
        <v/>
      </c>
      <c r="O1896" s="45" t="n"/>
      <c r="Q1896" s="57">
        <f>IF(K1896&gt;0,"показать","скрыть")</f>
        <v/>
      </c>
    </row>
    <row r="1897" ht="15.75" customHeight="1">
      <c r="B1897" s="182" t="n">
        <v>1881</v>
      </c>
      <c r="C1897" s="182">
        <f>IFERROR(VLOOKUP($B1897,calc_data,C$14+1,0),0)</f>
        <v/>
      </c>
      <c r="D1897" s="182">
        <f>IFERROR(VLOOKUP($B1897,calc_data,D$14+1,0),0)</f>
        <v/>
      </c>
      <c r="E1897" s="183">
        <f>IFERROR(VLOOKUP($B1897,calc_data,E$14+1,0),0)</f>
        <v/>
      </c>
      <c r="F1897" s="182">
        <f>IFERROR(VLOOKUP($B1897,calc_data,F$14+1,0),0)</f>
        <v/>
      </c>
      <c r="G1897" s="141">
        <f>IFERROR(VLOOKUP($B1897,calc_data,G$14+1,0),0)</f>
        <v/>
      </c>
      <c r="H1897" s="141">
        <f>IFERROR(VLOOKUP($B1897,calc_data,H$14+1,0),0)</f>
        <v/>
      </c>
      <c r="I1897" s="142">
        <f>IFERROR(VLOOKUP($B1897,calc_data,I$14+1,0),0)</f>
        <v/>
      </c>
      <c r="J1897" s="141">
        <f>IFERROR(VLOOKUP($B1897,calc_data,J$14+1,0),0)</f>
        <v/>
      </c>
      <c r="K1897" s="141">
        <f>IFERROR(VLOOKUP($B1897,calc_data,K$14+1,0),0)</f>
        <v/>
      </c>
      <c r="L1897" s="141">
        <f>IFERROR(VLOOKUP($B1897,calc_data,L$14+1,0),0)</f>
        <v/>
      </c>
      <c r="M1897" s="177">
        <f>IFERROR(VLOOKUP($B1897,calc_data,M$14+1,0),0)</f>
        <v/>
      </c>
      <c r="N1897" s="177">
        <f>IFERROR(VLOOKUP($B1897,calc_data,N$14+1,0),0)</f>
        <v/>
      </c>
      <c r="O1897" s="45" t="n"/>
      <c r="Q1897" s="57">
        <f>IF(K1897&gt;0,"показать","скрыть")</f>
        <v/>
      </c>
    </row>
    <row r="1898" ht="15.75" customHeight="1">
      <c r="B1898" s="182" t="n">
        <v>1882</v>
      </c>
      <c r="C1898" s="182">
        <f>IFERROR(VLOOKUP($B1898,calc_data,C$14+1,0),0)</f>
        <v/>
      </c>
      <c r="D1898" s="182">
        <f>IFERROR(VLOOKUP($B1898,calc_data,D$14+1,0),0)</f>
        <v/>
      </c>
      <c r="E1898" s="183">
        <f>IFERROR(VLOOKUP($B1898,calc_data,E$14+1,0),0)</f>
        <v/>
      </c>
      <c r="F1898" s="182">
        <f>IFERROR(VLOOKUP($B1898,calc_data,F$14+1,0),0)</f>
        <v/>
      </c>
      <c r="G1898" s="141">
        <f>IFERROR(VLOOKUP($B1898,calc_data,G$14+1,0),0)</f>
        <v/>
      </c>
      <c r="H1898" s="141">
        <f>IFERROR(VLOOKUP($B1898,calc_data,H$14+1,0),0)</f>
        <v/>
      </c>
      <c r="I1898" s="142">
        <f>IFERROR(VLOOKUP($B1898,calc_data,I$14+1,0),0)</f>
        <v/>
      </c>
      <c r="J1898" s="141">
        <f>IFERROR(VLOOKUP($B1898,calc_data,J$14+1,0),0)</f>
        <v/>
      </c>
      <c r="K1898" s="141">
        <f>IFERROR(VLOOKUP($B1898,calc_data,K$14+1,0),0)</f>
        <v/>
      </c>
      <c r="L1898" s="141">
        <f>IFERROR(VLOOKUP($B1898,calc_data,L$14+1,0),0)</f>
        <v/>
      </c>
      <c r="M1898" s="177">
        <f>IFERROR(VLOOKUP($B1898,calc_data,M$14+1,0),0)</f>
        <v/>
      </c>
      <c r="N1898" s="177">
        <f>IFERROR(VLOOKUP($B1898,calc_data,N$14+1,0),0)</f>
        <v/>
      </c>
      <c r="O1898" s="45" t="n"/>
      <c r="Q1898" s="57">
        <f>IF(K1898&gt;0,"показать","скрыть")</f>
        <v/>
      </c>
    </row>
    <row r="1899" ht="15.75" customHeight="1">
      <c r="B1899" s="182" t="n">
        <v>1883</v>
      </c>
      <c r="C1899" s="182">
        <f>IFERROR(VLOOKUP($B1899,calc_data,C$14+1,0),0)</f>
        <v/>
      </c>
      <c r="D1899" s="182">
        <f>IFERROR(VLOOKUP($B1899,calc_data,D$14+1,0),0)</f>
        <v/>
      </c>
      <c r="E1899" s="183">
        <f>IFERROR(VLOOKUP($B1899,calc_data,E$14+1,0),0)</f>
        <v/>
      </c>
      <c r="F1899" s="182">
        <f>IFERROR(VLOOKUP($B1899,calc_data,F$14+1,0),0)</f>
        <v/>
      </c>
      <c r="G1899" s="141">
        <f>IFERROR(VLOOKUP($B1899,calc_data,G$14+1,0),0)</f>
        <v/>
      </c>
      <c r="H1899" s="141">
        <f>IFERROR(VLOOKUP($B1899,calc_data,H$14+1,0),0)</f>
        <v/>
      </c>
      <c r="I1899" s="142">
        <f>IFERROR(VLOOKUP($B1899,calc_data,I$14+1,0),0)</f>
        <v/>
      </c>
      <c r="J1899" s="141">
        <f>IFERROR(VLOOKUP($B1899,calc_data,J$14+1,0),0)</f>
        <v/>
      </c>
      <c r="K1899" s="141">
        <f>IFERROR(VLOOKUP($B1899,calc_data,K$14+1,0),0)</f>
        <v/>
      </c>
      <c r="L1899" s="141">
        <f>IFERROR(VLOOKUP($B1899,calc_data,L$14+1,0),0)</f>
        <v/>
      </c>
      <c r="M1899" s="177">
        <f>IFERROR(VLOOKUP($B1899,calc_data,M$14+1,0),0)</f>
        <v/>
      </c>
      <c r="N1899" s="177">
        <f>IFERROR(VLOOKUP($B1899,calc_data,N$14+1,0),0)</f>
        <v/>
      </c>
      <c r="O1899" s="45" t="n"/>
      <c r="Q1899" s="57">
        <f>IF(K1899&gt;0,"показать","скрыть")</f>
        <v/>
      </c>
    </row>
    <row r="1900" ht="15.75" customHeight="1">
      <c r="B1900" s="182" t="n">
        <v>1884</v>
      </c>
      <c r="C1900" s="182">
        <f>IFERROR(VLOOKUP($B1900,calc_data,C$14+1,0),0)</f>
        <v/>
      </c>
      <c r="D1900" s="182">
        <f>IFERROR(VLOOKUP($B1900,calc_data,D$14+1,0),0)</f>
        <v/>
      </c>
      <c r="E1900" s="183">
        <f>IFERROR(VLOOKUP($B1900,calc_data,E$14+1,0),0)</f>
        <v/>
      </c>
      <c r="F1900" s="182">
        <f>IFERROR(VLOOKUP($B1900,calc_data,F$14+1,0),0)</f>
        <v/>
      </c>
      <c r="G1900" s="141">
        <f>IFERROR(VLOOKUP($B1900,calc_data,G$14+1,0),0)</f>
        <v/>
      </c>
      <c r="H1900" s="141">
        <f>IFERROR(VLOOKUP($B1900,calc_data,H$14+1,0),0)</f>
        <v/>
      </c>
      <c r="I1900" s="142">
        <f>IFERROR(VLOOKUP($B1900,calc_data,I$14+1,0),0)</f>
        <v/>
      </c>
      <c r="J1900" s="141">
        <f>IFERROR(VLOOKUP($B1900,calc_data,J$14+1,0),0)</f>
        <v/>
      </c>
      <c r="K1900" s="141">
        <f>IFERROR(VLOOKUP($B1900,calc_data,K$14+1,0),0)</f>
        <v/>
      </c>
      <c r="L1900" s="141">
        <f>IFERROR(VLOOKUP($B1900,calc_data,L$14+1,0),0)</f>
        <v/>
      </c>
      <c r="M1900" s="177">
        <f>IFERROR(VLOOKUP($B1900,calc_data,M$14+1,0),0)</f>
        <v/>
      </c>
      <c r="N1900" s="177">
        <f>IFERROR(VLOOKUP($B1900,calc_data,N$14+1,0),0)</f>
        <v/>
      </c>
      <c r="O1900" s="45" t="n"/>
      <c r="Q1900" s="57">
        <f>IF(K1900&gt;0,"показать","скрыть")</f>
        <v/>
      </c>
    </row>
    <row r="1901" ht="15.75" customHeight="1">
      <c r="B1901" s="182" t="n">
        <v>1885</v>
      </c>
      <c r="C1901" s="182">
        <f>IFERROR(VLOOKUP($B1901,calc_data,C$14+1,0),0)</f>
        <v/>
      </c>
      <c r="D1901" s="182">
        <f>IFERROR(VLOOKUP($B1901,calc_data,D$14+1,0),0)</f>
        <v/>
      </c>
      <c r="E1901" s="183">
        <f>IFERROR(VLOOKUP($B1901,calc_data,E$14+1,0),0)</f>
        <v/>
      </c>
      <c r="F1901" s="182">
        <f>IFERROR(VLOOKUP($B1901,calc_data,F$14+1,0),0)</f>
        <v/>
      </c>
      <c r="G1901" s="141">
        <f>IFERROR(VLOOKUP($B1901,calc_data,G$14+1,0),0)</f>
        <v/>
      </c>
      <c r="H1901" s="141">
        <f>IFERROR(VLOOKUP($B1901,calc_data,H$14+1,0),0)</f>
        <v/>
      </c>
      <c r="I1901" s="142">
        <f>IFERROR(VLOOKUP($B1901,calc_data,I$14+1,0),0)</f>
        <v/>
      </c>
      <c r="J1901" s="141">
        <f>IFERROR(VLOOKUP($B1901,calc_data,J$14+1,0),0)</f>
        <v/>
      </c>
      <c r="K1901" s="141">
        <f>IFERROR(VLOOKUP($B1901,calc_data,K$14+1,0),0)</f>
        <v/>
      </c>
      <c r="L1901" s="141">
        <f>IFERROR(VLOOKUP($B1901,calc_data,L$14+1,0),0)</f>
        <v/>
      </c>
      <c r="M1901" s="177">
        <f>IFERROR(VLOOKUP($B1901,calc_data,M$14+1,0),0)</f>
        <v/>
      </c>
      <c r="N1901" s="177">
        <f>IFERROR(VLOOKUP($B1901,calc_data,N$14+1,0),0)</f>
        <v/>
      </c>
      <c r="O1901" s="45" t="n"/>
      <c r="Q1901" s="57">
        <f>IF(K1901&gt;0,"показать","скрыть")</f>
        <v/>
      </c>
    </row>
    <row r="1902" ht="15.75" customHeight="1">
      <c r="B1902" s="182" t="n">
        <v>1886</v>
      </c>
      <c r="C1902" s="182">
        <f>IFERROR(VLOOKUP($B1902,calc_data,C$14+1,0),0)</f>
        <v/>
      </c>
      <c r="D1902" s="182">
        <f>IFERROR(VLOOKUP($B1902,calc_data,D$14+1,0),0)</f>
        <v/>
      </c>
      <c r="E1902" s="183">
        <f>IFERROR(VLOOKUP($B1902,calc_data,E$14+1,0),0)</f>
        <v/>
      </c>
      <c r="F1902" s="182">
        <f>IFERROR(VLOOKUP($B1902,calc_data,F$14+1,0),0)</f>
        <v/>
      </c>
      <c r="G1902" s="141">
        <f>IFERROR(VLOOKUP($B1902,calc_data,G$14+1,0),0)</f>
        <v/>
      </c>
      <c r="H1902" s="141">
        <f>IFERROR(VLOOKUP($B1902,calc_data,H$14+1,0),0)</f>
        <v/>
      </c>
      <c r="I1902" s="142">
        <f>IFERROR(VLOOKUP($B1902,calc_data,I$14+1,0),0)</f>
        <v/>
      </c>
      <c r="J1902" s="141">
        <f>IFERROR(VLOOKUP($B1902,calc_data,J$14+1,0),0)</f>
        <v/>
      </c>
      <c r="K1902" s="141">
        <f>IFERROR(VLOOKUP($B1902,calc_data,K$14+1,0),0)</f>
        <v/>
      </c>
      <c r="L1902" s="141">
        <f>IFERROR(VLOOKUP($B1902,calc_data,L$14+1,0),0)</f>
        <v/>
      </c>
      <c r="M1902" s="177">
        <f>IFERROR(VLOOKUP($B1902,calc_data,M$14+1,0),0)</f>
        <v/>
      </c>
      <c r="N1902" s="177">
        <f>IFERROR(VLOOKUP($B1902,calc_data,N$14+1,0),0)</f>
        <v/>
      </c>
      <c r="O1902" s="45" t="n"/>
      <c r="Q1902" s="57">
        <f>IF(K1902&gt;0,"показать","скрыть")</f>
        <v/>
      </c>
    </row>
    <row r="1903" ht="15.75" customHeight="1">
      <c r="B1903" s="182" t="n">
        <v>1887</v>
      </c>
      <c r="C1903" s="182">
        <f>IFERROR(VLOOKUP($B1903,calc_data,C$14+1,0),0)</f>
        <v/>
      </c>
      <c r="D1903" s="182">
        <f>IFERROR(VLOOKUP($B1903,calc_data,D$14+1,0),0)</f>
        <v/>
      </c>
      <c r="E1903" s="183">
        <f>IFERROR(VLOOKUP($B1903,calc_data,E$14+1,0),0)</f>
        <v/>
      </c>
      <c r="F1903" s="182">
        <f>IFERROR(VLOOKUP($B1903,calc_data,F$14+1,0),0)</f>
        <v/>
      </c>
      <c r="G1903" s="141">
        <f>IFERROR(VLOOKUP($B1903,calc_data,G$14+1,0),0)</f>
        <v/>
      </c>
      <c r="H1903" s="141">
        <f>IFERROR(VLOOKUP($B1903,calc_data,H$14+1,0),0)</f>
        <v/>
      </c>
      <c r="I1903" s="142">
        <f>IFERROR(VLOOKUP($B1903,calc_data,I$14+1,0),0)</f>
        <v/>
      </c>
      <c r="J1903" s="141">
        <f>IFERROR(VLOOKUP($B1903,calc_data,J$14+1,0),0)</f>
        <v/>
      </c>
      <c r="K1903" s="141">
        <f>IFERROR(VLOOKUP($B1903,calc_data,K$14+1,0),0)</f>
        <v/>
      </c>
      <c r="L1903" s="141">
        <f>IFERROR(VLOOKUP($B1903,calc_data,L$14+1,0),0)</f>
        <v/>
      </c>
      <c r="M1903" s="177">
        <f>IFERROR(VLOOKUP($B1903,calc_data,M$14+1,0),0)</f>
        <v/>
      </c>
      <c r="N1903" s="177">
        <f>IFERROR(VLOOKUP($B1903,calc_data,N$14+1,0),0)</f>
        <v/>
      </c>
      <c r="O1903" s="45" t="n"/>
      <c r="Q1903" s="57">
        <f>IF(K1903&gt;0,"показать","скрыть")</f>
        <v/>
      </c>
    </row>
    <row r="1904" ht="15.75" customHeight="1">
      <c r="B1904" s="182" t="n">
        <v>1888</v>
      </c>
      <c r="C1904" s="182">
        <f>IFERROR(VLOOKUP($B1904,calc_data,C$14+1,0),0)</f>
        <v/>
      </c>
      <c r="D1904" s="182">
        <f>IFERROR(VLOOKUP($B1904,calc_data,D$14+1,0),0)</f>
        <v/>
      </c>
      <c r="E1904" s="183">
        <f>IFERROR(VLOOKUP($B1904,calc_data,E$14+1,0),0)</f>
        <v/>
      </c>
      <c r="F1904" s="182">
        <f>IFERROR(VLOOKUP($B1904,calc_data,F$14+1,0),0)</f>
        <v/>
      </c>
      <c r="G1904" s="141">
        <f>IFERROR(VLOOKUP($B1904,calc_data,G$14+1,0),0)</f>
        <v/>
      </c>
      <c r="H1904" s="141">
        <f>IFERROR(VLOOKUP($B1904,calc_data,H$14+1,0),0)</f>
        <v/>
      </c>
      <c r="I1904" s="142">
        <f>IFERROR(VLOOKUP($B1904,calc_data,I$14+1,0),0)</f>
        <v/>
      </c>
      <c r="J1904" s="141">
        <f>IFERROR(VLOOKUP($B1904,calc_data,J$14+1,0),0)</f>
        <v/>
      </c>
      <c r="K1904" s="141">
        <f>IFERROR(VLOOKUP($B1904,calc_data,K$14+1,0),0)</f>
        <v/>
      </c>
      <c r="L1904" s="141">
        <f>IFERROR(VLOOKUP($B1904,calc_data,L$14+1,0),0)</f>
        <v/>
      </c>
      <c r="M1904" s="177">
        <f>IFERROR(VLOOKUP($B1904,calc_data,M$14+1,0),0)</f>
        <v/>
      </c>
      <c r="N1904" s="177">
        <f>IFERROR(VLOOKUP($B1904,calc_data,N$14+1,0),0)</f>
        <v/>
      </c>
      <c r="O1904" s="45" t="n"/>
      <c r="Q1904" s="57">
        <f>IF(K1904&gt;0,"показать","скрыть")</f>
        <v/>
      </c>
    </row>
    <row r="1905" ht="15.75" customHeight="1">
      <c r="B1905" s="182" t="n">
        <v>1889</v>
      </c>
      <c r="C1905" s="182">
        <f>IFERROR(VLOOKUP($B1905,calc_data,C$14+1,0),0)</f>
        <v/>
      </c>
      <c r="D1905" s="182">
        <f>IFERROR(VLOOKUP($B1905,calc_data,D$14+1,0),0)</f>
        <v/>
      </c>
      <c r="E1905" s="183">
        <f>IFERROR(VLOOKUP($B1905,calc_data,E$14+1,0),0)</f>
        <v/>
      </c>
      <c r="F1905" s="182">
        <f>IFERROR(VLOOKUP($B1905,calc_data,F$14+1,0),0)</f>
        <v/>
      </c>
      <c r="G1905" s="141">
        <f>IFERROR(VLOOKUP($B1905,calc_data,G$14+1,0),0)</f>
        <v/>
      </c>
      <c r="H1905" s="141">
        <f>IFERROR(VLOOKUP($B1905,calc_data,H$14+1,0),0)</f>
        <v/>
      </c>
      <c r="I1905" s="142">
        <f>IFERROR(VLOOKUP($B1905,calc_data,I$14+1,0),0)</f>
        <v/>
      </c>
      <c r="J1905" s="141">
        <f>IFERROR(VLOOKUP($B1905,calc_data,J$14+1,0),0)</f>
        <v/>
      </c>
      <c r="K1905" s="141">
        <f>IFERROR(VLOOKUP($B1905,calc_data,K$14+1,0),0)</f>
        <v/>
      </c>
      <c r="L1905" s="141">
        <f>IFERROR(VLOOKUP($B1905,calc_data,L$14+1,0),0)</f>
        <v/>
      </c>
      <c r="M1905" s="177">
        <f>IFERROR(VLOOKUP($B1905,calc_data,M$14+1,0),0)</f>
        <v/>
      </c>
      <c r="N1905" s="177">
        <f>IFERROR(VLOOKUP($B1905,calc_data,N$14+1,0),0)</f>
        <v/>
      </c>
      <c r="O1905" s="45" t="n"/>
      <c r="Q1905" s="57">
        <f>IF(K1905&gt;0,"показать","скрыть")</f>
        <v/>
      </c>
    </row>
    <row r="1906" ht="15.75" customHeight="1">
      <c r="B1906" s="182" t="n">
        <v>1890</v>
      </c>
      <c r="C1906" s="182">
        <f>IFERROR(VLOOKUP($B1906,calc_data,C$14+1,0),0)</f>
        <v/>
      </c>
      <c r="D1906" s="182">
        <f>IFERROR(VLOOKUP($B1906,calc_data,D$14+1,0),0)</f>
        <v/>
      </c>
      <c r="E1906" s="183">
        <f>IFERROR(VLOOKUP($B1906,calc_data,E$14+1,0),0)</f>
        <v/>
      </c>
      <c r="F1906" s="182">
        <f>IFERROR(VLOOKUP($B1906,calc_data,F$14+1,0),0)</f>
        <v/>
      </c>
      <c r="G1906" s="141">
        <f>IFERROR(VLOOKUP($B1906,calc_data,G$14+1,0),0)</f>
        <v/>
      </c>
      <c r="H1906" s="141">
        <f>IFERROR(VLOOKUP($B1906,calc_data,H$14+1,0),0)</f>
        <v/>
      </c>
      <c r="I1906" s="142">
        <f>IFERROR(VLOOKUP($B1906,calc_data,I$14+1,0),0)</f>
        <v/>
      </c>
      <c r="J1906" s="141">
        <f>IFERROR(VLOOKUP($B1906,calc_data,J$14+1,0),0)</f>
        <v/>
      </c>
      <c r="K1906" s="141">
        <f>IFERROR(VLOOKUP($B1906,calc_data,K$14+1,0),0)</f>
        <v/>
      </c>
      <c r="L1906" s="141">
        <f>IFERROR(VLOOKUP($B1906,calc_data,L$14+1,0),0)</f>
        <v/>
      </c>
      <c r="M1906" s="177">
        <f>IFERROR(VLOOKUP($B1906,calc_data,M$14+1,0),0)</f>
        <v/>
      </c>
      <c r="N1906" s="177">
        <f>IFERROR(VLOOKUP($B1906,calc_data,N$14+1,0),0)</f>
        <v/>
      </c>
      <c r="O1906" s="45" t="n"/>
      <c r="Q1906" s="57">
        <f>IF(K1906&gt;0,"показать","скрыть")</f>
        <v/>
      </c>
    </row>
    <row r="1907" ht="15.75" customHeight="1">
      <c r="B1907" s="182" t="n">
        <v>1891</v>
      </c>
      <c r="C1907" s="182">
        <f>IFERROR(VLOOKUP($B1907,calc_data,C$14+1,0),0)</f>
        <v/>
      </c>
      <c r="D1907" s="182">
        <f>IFERROR(VLOOKUP($B1907,calc_data,D$14+1,0),0)</f>
        <v/>
      </c>
      <c r="E1907" s="183">
        <f>IFERROR(VLOOKUP($B1907,calc_data,E$14+1,0),0)</f>
        <v/>
      </c>
      <c r="F1907" s="182">
        <f>IFERROR(VLOOKUP($B1907,calc_data,F$14+1,0),0)</f>
        <v/>
      </c>
      <c r="G1907" s="141">
        <f>IFERROR(VLOOKUP($B1907,calc_data,G$14+1,0),0)</f>
        <v/>
      </c>
      <c r="H1907" s="141">
        <f>IFERROR(VLOOKUP($B1907,calc_data,H$14+1,0),0)</f>
        <v/>
      </c>
      <c r="I1907" s="142">
        <f>IFERROR(VLOOKUP($B1907,calc_data,I$14+1,0),0)</f>
        <v/>
      </c>
      <c r="J1907" s="141">
        <f>IFERROR(VLOOKUP($B1907,calc_data,J$14+1,0),0)</f>
        <v/>
      </c>
      <c r="K1907" s="141">
        <f>IFERROR(VLOOKUP($B1907,calc_data,K$14+1,0),0)</f>
        <v/>
      </c>
      <c r="L1907" s="141">
        <f>IFERROR(VLOOKUP($B1907,calc_data,L$14+1,0),0)</f>
        <v/>
      </c>
      <c r="M1907" s="177">
        <f>IFERROR(VLOOKUP($B1907,calc_data,M$14+1,0),0)</f>
        <v/>
      </c>
      <c r="N1907" s="177">
        <f>IFERROR(VLOOKUP($B1907,calc_data,N$14+1,0),0)</f>
        <v/>
      </c>
      <c r="O1907" s="45" t="n"/>
      <c r="Q1907" s="57">
        <f>IF(K1907&gt;0,"показать","скрыть")</f>
        <v/>
      </c>
    </row>
    <row r="1908" ht="15.75" customHeight="1">
      <c r="B1908" s="182" t="n">
        <v>1892</v>
      </c>
      <c r="C1908" s="182">
        <f>IFERROR(VLOOKUP($B1908,calc_data,C$14+1,0),0)</f>
        <v/>
      </c>
      <c r="D1908" s="182">
        <f>IFERROR(VLOOKUP($B1908,calc_data,D$14+1,0),0)</f>
        <v/>
      </c>
      <c r="E1908" s="183">
        <f>IFERROR(VLOOKUP($B1908,calc_data,E$14+1,0),0)</f>
        <v/>
      </c>
      <c r="F1908" s="182">
        <f>IFERROR(VLOOKUP($B1908,calc_data,F$14+1,0),0)</f>
        <v/>
      </c>
      <c r="G1908" s="141">
        <f>IFERROR(VLOOKUP($B1908,calc_data,G$14+1,0),0)</f>
        <v/>
      </c>
      <c r="H1908" s="141">
        <f>IFERROR(VLOOKUP($B1908,calc_data,H$14+1,0),0)</f>
        <v/>
      </c>
      <c r="I1908" s="142">
        <f>IFERROR(VLOOKUP($B1908,calc_data,I$14+1,0),0)</f>
        <v/>
      </c>
      <c r="J1908" s="141">
        <f>IFERROR(VLOOKUP($B1908,calc_data,J$14+1,0),0)</f>
        <v/>
      </c>
      <c r="K1908" s="141">
        <f>IFERROR(VLOOKUP($B1908,calc_data,K$14+1,0),0)</f>
        <v/>
      </c>
      <c r="L1908" s="141">
        <f>IFERROR(VLOOKUP($B1908,calc_data,L$14+1,0),0)</f>
        <v/>
      </c>
      <c r="M1908" s="177">
        <f>IFERROR(VLOOKUP($B1908,calc_data,M$14+1,0),0)</f>
        <v/>
      </c>
      <c r="N1908" s="177">
        <f>IFERROR(VLOOKUP($B1908,calc_data,N$14+1,0),0)</f>
        <v/>
      </c>
      <c r="O1908" s="45" t="n"/>
      <c r="Q1908" s="57">
        <f>IF(K1908&gt;0,"показать","скрыть")</f>
        <v/>
      </c>
    </row>
    <row r="1909" ht="15.75" customHeight="1">
      <c r="B1909" s="182" t="n">
        <v>1893</v>
      </c>
      <c r="C1909" s="182">
        <f>IFERROR(VLOOKUP($B1909,calc_data,C$14+1,0),0)</f>
        <v/>
      </c>
      <c r="D1909" s="182">
        <f>IFERROR(VLOOKUP($B1909,calc_data,D$14+1,0),0)</f>
        <v/>
      </c>
      <c r="E1909" s="183">
        <f>IFERROR(VLOOKUP($B1909,calc_data,E$14+1,0),0)</f>
        <v/>
      </c>
      <c r="F1909" s="182">
        <f>IFERROR(VLOOKUP($B1909,calc_data,F$14+1,0),0)</f>
        <v/>
      </c>
      <c r="G1909" s="141">
        <f>IFERROR(VLOOKUP($B1909,calc_data,G$14+1,0),0)</f>
        <v/>
      </c>
      <c r="H1909" s="141">
        <f>IFERROR(VLOOKUP($B1909,calc_data,H$14+1,0),0)</f>
        <v/>
      </c>
      <c r="I1909" s="142">
        <f>IFERROR(VLOOKUP($B1909,calc_data,I$14+1,0),0)</f>
        <v/>
      </c>
      <c r="J1909" s="141">
        <f>IFERROR(VLOOKUP($B1909,calc_data,J$14+1,0),0)</f>
        <v/>
      </c>
      <c r="K1909" s="141">
        <f>IFERROR(VLOOKUP($B1909,calc_data,K$14+1,0),0)</f>
        <v/>
      </c>
      <c r="L1909" s="141">
        <f>IFERROR(VLOOKUP($B1909,calc_data,L$14+1,0),0)</f>
        <v/>
      </c>
      <c r="M1909" s="177">
        <f>IFERROR(VLOOKUP($B1909,calc_data,M$14+1,0),0)</f>
        <v/>
      </c>
      <c r="N1909" s="177">
        <f>IFERROR(VLOOKUP($B1909,calc_data,N$14+1,0),0)</f>
        <v/>
      </c>
      <c r="O1909" s="45" t="n"/>
      <c r="Q1909" s="57">
        <f>IF(K1909&gt;0,"показать","скрыть")</f>
        <v/>
      </c>
    </row>
    <row r="1910" ht="15.75" customHeight="1">
      <c r="B1910" s="182" t="n">
        <v>1894</v>
      </c>
      <c r="C1910" s="182">
        <f>IFERROR(VLOOKUP($B1910,calc_data,C$14+1,0),0)</f>
        <v/>
      </c>
      <c r="D1910" s="182">
        <f>IFERROR(VLOOKUP($B1910,calc_data,D$14+1,0),0)</f>
        <v/>
      </c>
      <c r="E1910" s="183">
        <f>IFERROR(VLOOKUP($B1910,calc_data,E$14+1,0),0)</f>
        <v/>
      </c>
      <c r="F1910" s="182">
        <f>IFERROR(VLOOKUP($B1910,calc_data,F$14+1,0),0)</f>
        <v/>
      </c>
      <c r="G1910" s="141">
        <f>IFERROR(VLOOKUP($B1910,calc_data,G$14+1,0),0)</f>
        <v/>
      </c>
      <c r="H1910" s="141">
        <f>IFERROR(VLOOKUP($B1910,calc_data,H$14+1,0),0)</f>
        <v/>
      </c>
      <c r="I1910" s="142">
        <f>IFERROR(VLOOKUP($B1910,calc_data,I$14+1,0),0)</f>
        <v/>
      </c>
      <c r="J1910" s="141">
        <f>IFERROR(VLOOKUP($B1910,calc_data,J$14+1,0),0)</f>
        <v/>
      </c>
      <c r="K1910" s="141">
        <f>IFERROR(VLOOKUP($B1910,calc_data,K$14+1,0),0)</f>
        <v/>
      </c>
      <c r="L1910" s="141">
        <f>IFERROR(VLOOKUP($B1910,calc_data,L$14+1,0),0)</f>
        <v/>
      </c>
      <c r="M1910" s="177">
        <f>IFERROR(VLOOKUP($B1910,calc_data,M$14+1,0),0)</f>
        <v/>
      </c>
      <c r="N1910" s="177">
        <f>IFERROR(VLOOKUP($B1910,calc_data,N$14+1,0),0)</f>
        <v/>
      </c>
      <c r="O1910" s="45" t="n"/>
      <c r="Q1910" s="57">
        <f>IF(K1910&gt;0,"показать","скрыть")</f>
        <v/>
      </c>
    </row>
    <row r="1911" ht="15.75" customHeight="1">
      <c r="B1911" s="182" t="n">
        <v>1895</v>
      </c>
      <c r="C1911" s="182">
        <f>IFERROR(VLOOKUP($B1911,calc_data,C$14+1,0),0)</f>
        <v/>
      </c>
      <c r="D1911" s="182">
        <f>IFERROR(VLOOKUP($B1911,calc_data,D$14+1,0),0)</f>
        <v/>
      </c>
      <c r="E1911" s="183">
        <f>IFERROR(VLOOKUP($B1911,calc_data,E$14+1,0),0)</f>
        <v/>
      </c>
      <c r="F1911" s="182">
        <f>IFERROR(VLOOKUP($B1911,calc_data,F$14+1,0),0)</f>
        <v/>
      </c>
      <c r="G1911" s="141">
        <f>IFERROR(VLOOKUP($B1911,calc_data,G$14+1,0),0)</f>
        <v/>
      </c>
      <c r="H1911" s="141">
        <f>IFERROR(VLOOKUP($B1911,calc_data,H$14+1,0),0)</f>
        <v/>
      </c>
      <c r="I1911" s="142">
        <f>IFERROR(VLOOKUP($B1911,calc_data,I$14+1,0),0)</f>
        <v/>
      </c>
      <c r="J1911" s="141">
        <f>IFERROR(VLOOKUP($B1911,calc_data,J$14+1,0),0)</f>
        <v/>
      </c>
      <c r="K1911" s="141">
        <f>IFERROR(VLOOKUP($B1911,calc_data,K$14+1,0),0)</f>
        <v/>
      </c>
      <c r="L1911" s="141">
        <f>IFERROR(VLOOKUP($B1911,calc_data,L$14+1,0),0)</f>
        <v/>
      </c>
      <c r="M1911" s="177">
        <f>IFERROR(VLOOKUP($B1911,calc_data,M$14+1,0),0)</f>
        <v/>
      </c>
      <c r="N1911" s="177">
        <f>IFERROR(VLOOKUP($B1911,calc_data,N$14+1,0),0)</f>
        <v/>
      </c>
      <c r="O1911" s="45" t="n"/>
      <c r="Q1911" s="57">
        <f>IF(K1911&gt;0,"показать","скрыть")</f>
        <v/>
      </c>
    </row>
    <row r="1912" ht="15.75" customHeight="1">
      <c r="B1912" s="182" t="n">
        <v>1896</v>
      </c>
      <c r="C1912" s="182">
        <f>IFERROR(VLOOKUP($B1912,calc_data,C$14+1,0),0)</f>
        <v/>
      </c>
      <c r="D1912" s="182">
        <f>IFERROR(VLOOKUP($B1912,calc_data,D$14+1,0),0)</f>
        <v/>
      </c>
      <c r="E1912" s="183">
        <f>IFERROR(VLOOKUP($B1912,calc_data,E$14+1,0),0)</f>
        <v/>
      </c>
      <c r="F1912" s="182">
        <f>IFERROR(VLOOKUP($B1912,calc_data,F$14+1,0),0)</f>
        <v/>
      </c>
      <c r="G1912" s="141">
        <f>IFERROR(VLOOKUP($B1912,calc_data,G$14+1,0),0)</f>
        <v/>
      </c>
      <c r="H1912" s="141">
        <f>IFERROR(VLOOKUP($B1912,calc_data,H$14+1,0),0)</f>
        <v/>
      </c>
      <c r="I1912" s="142">
        <f>IFERROR(VLOOKUP($B1912,calc_data,I$14+1,0),0)</f>
        <v/>
      </c>
      <c r="J1912" s="141">
        <f>IFERROR(VLOOKUP($B1912,calc_data,J$14+1,0),0)</f>
        <v/>
      </c>
      <c r="K1912" s="141">
        <f>IFERROR(VLOOKUP($B1912,calc_data,K$14+1,0),0)</f>
        <v/>
      </c>
      <c r="L1912" s="141">
        <f>IFERROR(VLOOKUP($B1912,calc_data,L$14+1,0),0)</f>
        <v/>
      </c>
      <c r="M1912" s="177">
        <f>IFERROR(VLOOKUP($B1912,calc_data,M$14+1,0),0)</f>
        <v/>
      </c>
      <c r="N1912" s="177">
        <f>IFERROR(VLOOKUP($B1912,calc_data,N$14+1,0),0)</f>
        <v/>
      </c>
      <c r="O1912" s="45" t="n"/>
      <c r="Q1912" s="57">
        <f>IF(K1912&gt;0,"показать","скрыть")</f>
        <v/>
      </c>
    </row>
    <row r="1913" ht="15.75" customHeight="1">
      <c r="B1913" s="182" t="n">
        <v>1897</v>
      </c>
      <c r="C1913" s="182">
        <f>IFERROR(VLOOKUP($B1913,calc_data,C$14+1,0),0)</f>
        <v/>
      </c>
      <c r="D1913" s="182">
        <f>IFERROR(VLOOKUP($B1913,calc_data,D$14+1,0),0)</f>
        <v/>
      </c>
      <c r="E1913" s="183">
        <f>IFERROR(VLOOKUP($B1913,calc_data,E$14+1,0),0)</f>
        <v/>
      </c>
      <c r="F1913" s="182">
        <f>IFERROR(VLOOKUP($B1913,calc_data,F$14+1,0),0)</f>
        <v/>
      </c>
      <c r="G1913" s="141">
        <f>IFERROR(VLOOKUP($B1913,calc_data,G$14+1,0),0)</f>
        <v/>
      </c>
      <c r="H1913" s="141">
        <f>IFERROR(VLOOKUP($B1913,calc_data,H$14+1,0),0)</f>
        <v/>
      </c>
      <c r="I1913" s="142">
        <f>IFERROR(VLOOKUP($B1913,calc_data,I$14+1,0),0)</f>
        <v/>
      </c>
      <c r="J1913" s="141">
        <f>IFERROR(VLOOKUP($B1913,calc_data,J$14+1,0),0)</f>
        <v/>
      </c>
      <c r="K1913" s="141">
        <f>IFERROR(VLOOKUP($B1913,calc_data,K$14+1,0),0)</f>
        <v/>
      </c>
      <c r="L1913" s="141">
        <f>IFERROR(VLOOKUP($B1913,calc_data,L$14+1,0),0)</f>
        <v/>
      </c>
      <c r="M1913" s="177">
        <f>IFERROR(VLOOKUP($B1913,calc_data,M$14+1,0),0)</f>
        <v/>
      </c>
      <c r="N1913" s="177">
        <f>IFERROR(VLOOKUP($B1913,calc_data,N$14+1,0),0)</f>
        <v/>
      </c>
      <c r="O1913" s="45" t="n"/>
      <c r="Q1913" s="57">
        <f>IF(K1913&gt;0,"показать","скрыть")</f>
        <v/>
      </c>
    </row>
    <row r="1914" ht="15.75" customHeight="1">
      <c r="B1914" s="182" t="n">
        <v>1898</v>
      </c>
      <c r="C1914" s="182">
        <f>IFERROR(VLOOKUP($B1914,calc_data,C$14+1,0),0)</f>
        <v/>
      </c>
      <c r="D1914" s="182">
        <f>IFERROR(VLOOKUP($B1914,calc_data,D$14+1,0),0)</f>
        <v/>
      </c>
      <c r="E1914" s="183">
        <f>IFERROR(VLOOKUP($B1914,calc_data,E$14+1,0),0)</f>
        <v/>
      </c>
      <c r="F1914" s="182">
        <f>IFERROR(VLOOKUP($B1914,calc_data,F$14+1,0),0)</f>
        <v/>
      </c>
      <c r="G1914" s="141">
        <f>IFERROR(VLOOKUP($B1914,calc_data,G$14+1,0),0)</f>
        <v/>
      </c>
      <c r="H1914" s="141">
        <f>IFERROR(VLOOKUP($B1914,calc_data,H$14+1,0),0)</f>
        <v/>
      </c>
      <c r="I1914" s="142">
        <f>IFERROR(VLOOKUP($B1914,calc_data,I$14+1,0),0)</f>
        <v/>
      </c>
      <c r="J1914" s="141">
        <f>IFERROR(VLOOKUP($B1914,calc_data,J$14+1,0),0)</f>
        <v/>
      </c>
      <c r="K1914" s="141">
        <f>IFERROR(VLOOKUP($B1914,calc_data,K$14+1,0),0)</f>
        <v/>
      </c>
      <c r="L1914" s="141">
        <f>IFERROR(VLOOKUP($B1914,calc_data,L$14+1,0),0)</f>
        <v/>
      </c>
      <c r="M1914" s="177">
        <f>IFERROR(VLOOKUP($B1914,calc_data,M$14+1,0),0)</f>
        <v/>
      </c>
      <c r="N1914" s="177">
        <f>IFERROR(VLOOKUP($B1914,calc_data,N$14+1,0),0)</f>
        <v/>
      </c>
      <c r="O1914" s="45" t="n"/>
      <c r="Q1914" s="57">
        <f>IF(K1914&gt;0,"показать","скрыть")</f>
        <v/>
      </c>
    </row>
    <row r="1915" ht="15.75" customHeight="1">
      <c r="B1915" s="182" t="n">
        <v>1899</v>
      </c>
      <c r="C1915" s="182">
        <f>IFERROR(VLOOKUP($B1915,calc_data,C$14+1,0),0)</f>
        <v/>
      </c>
      <c r="D1915" s="182">
        <f>IFERROR(VLOOKUP($B1915,calc_data,D$14+1,0),0)</f>
        <v/>
      </c>
      <c r="E1915" s="183">
        <f>IFERROR(VLOOKUP($B1915,calc_data,E$14+1,0),0)</f>
        <v/>
      </c>
      <c r="F1915" s="182">
        <f>IFERROR(VLOOKUP($B1915,calc_data,F$14+1,0),0)</f>
        <v/>
      </c>
      <c r="G1915" s="141">
        <f>IFERROR(VLOOKUP($B1915,calc_data,G$14+1,0),0)</f>
        <v/>
      </c>
      <c r="H1915" s="141">
        <f>IFERROR(VLOOKUP($B1915,calc_data,H$14+1,0),0)</f>
        <v/>
      </c>
      <c r="I1915" s="142">
        <f>IFERROR(VLOOKUP($B1915,calc_data,I$14+1,0),0)</f>
        <v/>
      </c>
      <c r="J1915" s="141">
        <f>IFERROR(VLOOKUP($B1915,calc_data,J$14+1,0),0)</f>
        <v/>
      </c>
      <c r="K1915" s="141">
        <f>IFERROR(VLOOKUP($B1915,calc_data,K$14+1,0),0)</f>
        <v/>
      </c>
      <c r="L1915" s="141">
        <f>IFERROR(VLOOKUP($B1915,calc_data,L$14+1,0),0)</f>
        <v/>
      </c>
      <c r="M1915" s="177">
        <f>IFERROR(VLOOKUP($B1915,calc_data,M$14+1,0),0)</f>
        <v/>
      </c>
      <c r="N1915" s="177">
        <f>IFERROR(VLOOKUP($B1915,calc_data,N$14+1,0),0)</f>
        <v/>
      </c>
      <c r="O1915" s="45" t="n"/>
      <c r="Q1915" s="57">
        <f>IF(K1915&gt;0,"показать","скрыть")</f>
        <v/>
      </c>
    </row>
    <row r="1916" ht="15.75" customHeight="1">
      <c r="B1916" s="182" t="n">
        <v>1900</v>
      </c>
      <c r="C1916" s="182">
        <f>IFERROR(VLOOKUP($B1916,calc_data,C$14+1,0),0)</f>
        <v/>
      </c>
      <c r="D1916" s="182">
        <f>IFERROR(VLOOKUP($B1916,calc_data,D$14+1,0),0)</f>
        <v/>
      </c>
      <c r="E1916" s="183">
        <f>IFERROR(VLOOKUP($B1916,calc_data,E$14+1,0),0)</f>
        <v/>
      </c>
      <c r="F1916" s="182">
        <f>IFERROR(VLOOKUP($B1916,calc_data,F$14+1,0),0)</f>
        <v/>
      </c>
      <c r="G1916" s="141">
        <f>IFERROR(VLOOKUP($B1916,calc_data,G$14+1,0),0)</f>
        <v/>
      </c>
      <c r="H1916" s="141">
        <f>IFERROR(VLOOKUP($B1916,calc_data,H$14+1,0),0)</f>
        <v/>
      </c>
      <c r="I1916" s="142">
        <f>IFERROR(VLOOKUP($B1916,calc_data,I$14+1,0),0)</f>
        <v/>
      </c>
      <c r="J1916" s="141">
        <f>IFERROR(VLOOKUP($B1916,calc_data,J$14+1,0),0)</f>
        <v/>
      </c>
      <c r="K1916" s="141">
        <f>IFERROR(VLOOKUP($B1916,calc_data,K$14+1,0),0)</f>
        <v/>
      </c>
      <c r="L1916" s="141">
        <f>IFERROR(VLOOKUP($B1916,calc_data,L$14+1,0),0)</f>
        <v/>
      </c>
      <c r="M1916" s="177">
        <f>IFERROR(VLOOKUP($B1916,calc_data,M$14+1,0),0)</f>
        <v/>
      </c>
      <c r="N1916" s="177">
        <f>IFERROR(VLOOKUP($B1916,calc_data,N$14+1,0),0)</f>
        <v/>
      </c>
      <c r="O1916" s="45" t="n"/>
      <c r="Q1916" s="57">
        <f>IF(K1916&gt;0,"показать","скрыть")</f>
        <v/>
      </c>
    </row>
    <row r="1917" ht="15.75" customHeight="1">
      <c r="B1917" s="182" t="n">
        <v>1901</v>
      </c>
      <c r="C1917" s="182">
        <f>IFERROR(VLOOKUP($B1917,calc_data,C$14+1,0),0)</f>
        <v/>
      </c>
      <c r="D1917" s="182">
        <f>IFERROR(VLOOKUP($B1917,calc_data,D$14+1,0),0)</f>
        <v/>
      </c>
      <c r="E1917" s="183">
        <f>IFERROR(VLOOKUP($B1917,calc_data,E$14+1,0),0)</f>
        <v/>
      </c>
      <c r="F1917" s="182">
        <f>IFERROR(VLOOKUP($B1917,calc_data,F$14+1,0),0)</f>
        <v/>
      </c>
      <c r="G1917" s="141">
        <f>IFERROR(VLOOKUP($B1917,calc_data,G$14+1,0),0)</f>
        <v/>
      </c>
      <c r="H1917" s="141">
        <f>IFERROR(VLOOKUP($B1917,calc_data,H$14+1,0),0)</f>
        <v/>
      </c>
      <c r="I1917" s="142">
        <f>IFERROR(VLOOKUP($B1917,calc_data,I$14+1,0),0)</f>
        <v/>
      </c>
      <c r="J1917" s="141">
        <f>IFERROR(VLOOKUP($B1917,calc_data,J$14+1,0),0)</f>
        <v/>
      </c>
      <c r="K1917" s="141">
        <f>IFERROR(VLOOKUP($B1917,calc_data,K$14+1,0),0)</f>
        <v/>
      </c>
      <c r="L1917" s="141">
        <f>IFERROR(VLOOKUP($B1917,calc_data,L$14+1,0),0)</f>
        <v/>
      </c>
      <c r="M1917" s="177">
        <f>IFERROR(VLOOKUP($B1917,calc_data,M$14+1,0),0)</f>
        <v/>
      </c>
      <c r="N1917" s="177">
        <f>IFERROR(VLOOKUP($B1917,calc_data,N$14+1,0),0)</f>
        <v/>
      </c>
      <c r="O1917" s="45" t="n"/>
      <c r="Q1917" s="57">
        <f>IF(K1917&gt;0,"показать","скрыть")</f>
        <v/>
      </c>
    </row>
    <row r="1918" ht="15.75" customHeight="1">
      <c r="B1918" s="182" t="n">
        <v>1902</v>
      </c>
      <c r="C1918" s="182">
        <f>IFERROR(VLOOKUP($B1918,calc_data,C$14+1,0),0)</f>
        <v/>
      </c>
      <c r="D1918" s="182">
        <f>IFERROR(VLOOKUP($B1918,calc_data,D$14+1,0),0)</f>
        <v/>
      </c>
      <c r="E1918" s="183">
        <f>IFERROR(VLOOKUP($B1918,calc_data,E$14+1,0),0)</f>
        <v/>
      </c>
      <c r="F1918" s="182">
        <f>IFERROR(VLOOKUP($B1918,calc_data,F$14+1,0),0)</f>
        <v/>
      </c>
      <c r="G1918" s="141">
        <f>IFERROR(VLOOKUP($B1918,calc_data,G$14+1,0),0)</f>
        <v/>
      </c>
      <c r="H1918" s="141">
        <f>IFERROR(VLOOKUP($B1918,calc_data,H$14+1,0),0)</f>
        <v/>
      </c>
      <c r="I1918" s="142">
        <f>IFERROR(VLOOKUP($B1918,calc_data,I$14+1,0),0)</f>
        <v/>
      </c>
      <c r="J1918" s="141">
        <f>IFERROR(VLOOKUP($B1918,calc_data,J$14+1,0),0)</f>
        <v/>
      </c>
      <c r="K1918" s="141">
        <f>IFERROR(VLOOKUP($B1918,calc_data,K$14+1,0),0)</f>
        <v/>
      </c>
      <c r="L1918" s="141">
        <f>IFERROR(VLOOKUP($B1918,calc_data,L$14+1,0),0)</f>
        <v/>
      </c>
      <c r="M1918" s="177">
        <f>IFERROR(VLOOKUP($B1918,calc_data,M$14+1,0),0)</f>
        <v/>
      </c>
      <c r="N1918" s="177">
        <f>IFERROR(VLOOKUP($B1918,calc_data,N$14+1,0),0)</f>
        <v/>
      </c>
      <c r="O1918" s="45" t="n"/>
      <c r="Q1918" s="57">
        <f>IF(K1918&gt;0,"показать","скрыть")</f>
        <v/>
      </c>
    </row>
    <row r="1919" ht="15.75" customHeight="1">
      <c r="B1919" s="182" t="n">
        <v>1903</v>
      </c>
      <c r="C1919" s="182">
        <f>IFERROR(VLOOKUP($B1919,calc_data,C$14+1,0),0)</f>
        <v/>
      </c>
      <c r="D1919" s="182">
        <f>IFERROR(VLOOKUP($B1919,calc_data,D$14+1,0),0)</f>
        <v/>
      </c>
      <c r="E1919" s="183">
        <f>IFERROR(VLOOKUP($B1919,calc_data,E$14+1,0),0)</f>
        <v/>
      </c>
      <c r="F1919" s="182">
        <f>IFERROR(VLOOKUP($B1919,calc_data,F$14+1,0),0)</f>
        <v/>
      </c>
      <c r="G1919" s="141">
        <f>IFERROR(VLOOKUP($B1919,calc_data,G$14+1,0),0)</f>
        <v/>
      </c>
      <c r="H1919" s="141">
        <f>IFERROR(VLOOKUP($B1919,calc_data,H$14+1,0),0)</f>
        <v/>
      </c>
      <c r="I1919" s="142">
        <f>IFERROR(VLOOKUP($B1919,calc_data,I$14+1,0),0)</f>
        <v/>
      </c>
      <c r="J1919" s="141">
        <f>IFERROR(VLOOKUP($B1919,calc_data,J$14+1,0),0)</f>
        <v/>
      </c>
      <c r="K1919" s="141">
        <f>IFERROR(VLOOKUP($B1919,calc_data,K$14+1,0),0)</f>
        <v/>
      </c>
      <c r="L1919" s="141">
        <f>IFERROR(VLOOKUP($B1919,calc_data,L$14+1,0),0)</f>
        <v/>
      </c>
      <c r="M1919" s="177">
        <f>IFERROR(VLOOKUP($B1919,calc_data,M$14+1,0),0)</f>
        <v/>
      </c>
      <c r="N1919" s="177">
        <f>IFERROR(VLOOKUP($B1919,calc_data,N$14+1,0),0)</f>
        <v/>
      </c>
      <c r="O1919" s="45" t="n"/>
      <c r="Q1919" s="57">
        <f>IF(K1919&gt;0,"показать","скрыть")</f>
        <v/>
      </c>
    </row>
    <row r="1920" ht="15.75" customHeight="1">
      <c r="B1920" s="182" t="n">
        <v>1904</v>
      </c>
      <c r="C1920" s="182">
        <f>IFERROR(VLOOKUP($B1920,calc_data,C$14+1,0),0)</f>
        <v/>
      </c>
      <c r="D1920" s="182">
        <f>IFERROR(VLOOKUP($B1920,calc_data,D$14+1,0),0)</f>
        <v/>
      </c>
      <c r="E1920" s="183">
        <f>IFERROR(VLOOKUP($B1920,calc_data,E$14+1,0),0)</f>
        <v/>
      </c>
      <c r="F1920" s="182">
        <f>IFERROR(VLOOKUP($B1920,calc_data,F$14+1,0),0)</f>
        <v/>
      </c>
      <c r="G1920" s="141">
        <f>IFERROR(VLOOKUP($B1920,calc_data,G$14+1,0),0)</f>
        <v/>
      </c>
      <c r="H1920" s="141">
        <f>IFERROR(VLOOKUP($B1920,calc_data,H$14+1,0),0)</f>
        <v/>
      </c>
      <c r="I1920" s="142">
        <f>IFERROR(VLOOKUP($B1920,calc_data,I$14+1,0),0)</f>
        <v/>
      </c>
      <c r="J1920" s="141">
        <f>IFERROR(VLOOKUP($B1920,calc_data,J$14+1,0),0)</f>
        <v/>
      </c>
      <c r="K1920" s="141">
        <f>IFERROR(VLOOKUP($B1920,calc_data,K$14+1,0),0)</f>
        <v/>
      </c>
      <c r="L1920" s="141">
        <f>IFERROR(VLOOKUP($B1920,calc_data,L$14+1,0),0)</f>
        <v/>
      </c>
      <c r="M1920" s="177">
        <f>IFERROR(VLOOKUP($B1920,calc_data,M$14+1,0),0)</f>
        <v/>
      </c>
      <c r="N1920" s="177">
        <f>IFERROR(VLOOKUP($B1920,calc_data,N$14+1,0),0)</f>
        <v/>
      </c>
      <c r="O1920" s="45" t="n"/>
      <c r="Q1920" s="57">
        <f>IF(K1920&gt;0,"показать","скрыть")</f>
        <v/>
      </c>
    </row>
    <row r="1921" ht="15.75" customHeight="1">
      <c r="B1921" s="182" t="n">
        <v>1905</v>
      </c>
      <c r="C1921" s="182">
        <f>IFERROR(VLOOKUP($B1921,calc_data,C$14+1,0),0)</f>
        <v/>
      </c>
      <c r="D1921" s="182">
        <f>IFERROR(VLOOKUP($B1921,calc_data,D$14+1,0),0)</f>
        <v/>
      </c>
      <c r="E1921" s="183">
        <f>IFERROR(VLOOKUP($B1921,calc_data,E$14+1,0),0)</f>
        <v/>
      </c>
      <c r="F1921" s="182">
        <f>IFERROR(VLOOKUP($B1921,calc_data,F$14+1,0),0)</f>
        <v/>
      </c>
      <c r="G1921" s="141">
        <f>IFERROR(VLOOKUP($B1921,calc_data,G$14+1,0),0)</f>
        <v/>
      </c>
      <c r="H1921" s="141">
        <f>IFERROR(VLOOKUP($B1921,calc_data,H$14+1,0),0)</f>
        <v/>
      </c>
      <c r="I1921" s="142">
        <f>IFERROR(VLOOKUP($B1921,calc_data,I$14+1,0),0)</f>
        <v/>
      </c>
      <c r="J1921" s="141">
        <f>IFERROR(VLOOKUP($B1921,calc_data,J$14+1,0),0)</f>
        <v/>
      </c>
      <c r="K1921" s="141">
        <f>IFERROR(VLOOKUP($B1921,calc_data,K$14+1,0),0)</f>
        <v/>
      </c>
      <c r="L1921" s="141">
        <f>IFERROR(VLOOKUP($B1921,calc_data,L$14+1,0),0)</f>
        <v/>
      </c>
      <c r="M1921" s="177">
        <f>IFERROR(VLOOKUP($B1921,calc_data,M$14+1,0),0)</f>
        <v/>
      </c>
      <c r="N1921" s="177">
        <f>IFERROR(VLOOKUP($B1921,calc_data,N$14+1,0),0)</f>
        <v/>
      </c>
      <c r="O1921" s="45" t="n"/>
      <c r="Q1921" s="57">
        <f>IF(K1921&gt;0,"показать","скрыть")</f>
        <v/>
      </c>
    </row>
    <row r="1922" ht="15.75" customHeight="1">
      <c r="B1922" s="182" t="n">
        <v>1906</v>
      </c>
      <c r="C1922" s="182">
        <f>IFERROR(VLOOKUP($B1922,calc_data,C$14+1,0),0)</f>
        <v/>
      </c>
      <c r="D1922" s="182">
        <f>IFERROR(VLOOKUP($B1922,calc_data,D$14+1,0),0)</f>
        <v/>
      </c>
      <c r="E1922" s="183">
        <f>IFERROR(VLOOKUP($B1922,calc_data,E$14+1,0),0)</f>
        <v/>
      </c>
      <c r="F1922" s="182">
        <f>IFERROR(VLOOKUP($B1922,calc_data,F$14+1,0),0)</f>
        <v/>
      </c>
      <c r="G1922" s="141">
        <f>IFERROR(VLOOKUP($B1922,calc_data,G$14+1,0),0)</f>
        <v/>
      </c>
      <c r="H1922" s="141">
        <f>IFERROR(VLOOKUP($B1922,calc_data,H$14+1,0),0)</f>
        <v/>
      </c>
      <c r="I1922" s="142">
        <f>IFERROR(VLOOKUP($B1922,calc_data,I$14+1,0),0)</f>
        <v/>
      </c>
      <c r="J1922" s="141">
        <f>IFERROR(VLOOKUP($B1922,calc_data,J$14+1,0),0)</f>
        <v/>
      </c>
      <c r="K1922" s="141">
        <f>IFERROR(VLOOKUP($B1922,calc_data,K$14+1,0),0)</f>
        <v/>
      </c>
      <c r="L1922" s="141">
        <f>IFERROR(VLOOKUP($B1922,calc_data,L$14+1,0),0)</f>
        <v/>
      </c>
      <c r="M1922" s="177">
        <f>IFERROR(VLOOKUP($B1922,calc_data,M$14+1,0),0)</f>
        <v/>
      </c>
      <c r="N1922" s="177">
        <f>IFERROR(VLOOKUP($B1922,calc_data,N$14+1,0),0)</f>
        <v/>
      </c>
      <c r="O1922" s="45" t="n"/>
      <c r="Q1922" s="57">
        <f>IF(K1922&gt;0,"показать","скрыть")</f>
        <v/>
      </c>
    </row>
    <row r="1923" ht="15.75" customHeight="1">
      <c r="B1923" s="182" t="n">
        <v>1907</v>
      </c>
      <c r="C1923" s="182">
        <f>IFERROR(VLOOKUP($B1923,calc_data,C$14+1,0),0)</f>
        <v/>
      </c>
      <c r="D1923" s="182">
        <f>IFERROR(VLOOKUP($B1923,calc_data,D$14+1,0),0)</f>
        <v/>
      </c>
      <c r="E1923" s="183">
        <f>IFERROR(VLOOKUP($B1923,calc_data,E$14+1,0),0)</f>
        <v/>
      </c>
      <c r="F1923" s="182">
        <f>IFERROR(VLOOKUP($B1923,calc_data,F$14+1,0),0)</f>
        <v/>
      </c>
      <c r="G1923" s="141">
        <f>IFERROR(VLOOKUP($B1923,calc_data,G$14+1,0),0)</f>
        <v/>
      </c>
      <c r="H1923" s="141">
        <f>IFERROR(VLOOKUP($B1923,calc_data,H$14+1,0),0)</f>
        <v/>
      </c>
      <c r="I1923" s="142">
        <f>IFERROR(VLOOKUP($B1923,calc_data,I$14+1,0),0)</f>
        <v/>
      </c>
      <c r="J1923" s="141">
        <f>IFERROR(VLOOKUP($B1923,calc_data,J$14+1,0),0)</f>
        <v/>
      </c>
      <c r="K1923" s="141">
        <f>IFERROR(VLOOKUP($B1923,calc_data,K$14+1,0),0)</f>
        <v/>
      </c>
      <c r="L1923" s="141">
        <f>IFERROR(VLOOKUP($B1923,calc_data,L$14+1,0),0)</f>
        <v/>
      </c>
      <c r="M1923" s="177">
        <f>IFERROR(VLOOKUP($B1923,calc_data,M$14+1,0),0)</f>
        <v/>
      </c>
      <c r="N1923" s="177">
        <f>IFERROR(VLOOKUP($B1923,calc_data,N$14+1,0),0)</f>
        <v/>
      </c>
      <c r="O1923" s="45" t="n"/>
      <c r="Q1923" s="57">
        <f>IF(K1923&gt;0,"показать","скрыть")</f>
        <v/>
      </c>
    </row>
    <row r="1924" ht="15.75" customHeight="1">
      <c r="B1924" s="182" t="n">
        <v>1908</v>
      </c>
      <c r="C1924" s="182">
        <f>IFERROR(VLOOKUP($B1924,calc_data,C$14+1,0),0)</f>
        <v/>
      </c>
      <c r="D1924" s="182">
        <f>IFERROR(VLOOKUP($B1924,calc_data,D$14+1,0),0)</f>
        <v/>
      </c>
      <c r="E1924" s="183">
        <f>IFERROR(VLOOKUP($B1924,calc_data,E$14+1,0),0)</f>
        <v/>
      </c>
      <c r="F1924" s="182">
        <f>IFERROR(VLOOKUP($B1924,calc_data,F$14+1,0),0)</f>
        <v/>
      </c>
      <c r="G1924" s="141">
        <f>IFERROR(VLOOKUP($B1924,calc_data,G$14+1,0),0)</f>
        <v/>
      </c>
      <c r="H1924" s="141">
        <f>IFERROR(VLOOKUP($B1924,calc_data,H$14+1,0),0)</f>
        <v/>
      </c>
      <c r="I1924" s="142">
        <f>IFERROR(VLOOKUP($B1924,calc_data,I$14+1,0),0)</f>
        <v/>
      </c>
      <c r="J1924" s="141">
        <f>IFERROR(VLOOKUP($B1924,calc_data,J$14+1,0),0)</f>
        <v/>
      </c>
      <c r="K1924" s="141">
        <f>IFERROR(VLOOKUP($B1924,calc_data,K$14+1,0),0)</f>
        <v/>
      </c>
      <c r="L1924" s="141">
        <f>IFERROR(VLOOKUP($B1924,calc_data,L$14+1,0),0)</f>
        <v/>
      </c>
      <c r="M1924" s="177">
        <f>IFERROR(VLOOKUP($B1924,calc_data,M$14+1,0),0)</f>
        <v/>
      </c>
      <c r="N1924" s="177">
        <f>IFERROR(VLOOKUP($B1924,calc_data,N$14+1,0),0)</f>
        <v/>
      </c>
      <c r="O1924" s="45" t="n"/>
      <c r="Q1924" s="57">
        <f>IF(K1924&gt;0,"показать","скрыть")</f>
        <v/>
      </c>
    </row>
    <row r="1925" ht="15.75" customHeight="1">
      <c r="B1925" s="182" t="n">
        <v>1909</v>
      </c>
      <c r="C1925" s="182">
        <f>IFERROR(VLOOKUP($B1925,calc_data,C$14+1,0),0)</f>
        <v/>
      </c>
      <c r="D1925" s="182">
        <f>IFERROR(VLOOKUP($B1925,calc_data,D$14+1,0),0)</f>
        <v/>
      </c>
      <c r="E1925" s="183">
        <f>IFERROR(VLOOKUP($B1925,calc_data,E$14+1,0),0)</f>
        <v/>
      </c>
      <c r="F1925" s="182">
        <f>IFERROR(VLOOKUP($B1925,calc_data,F$14+1,0),0)</f>
        <v/>
      </c>
      <c r="G1925" s="141">
        <f>IFERROR(VLOOKUP($B1925,calc_data,G$14+1,0),0)</f>
        <v/>
      </c>
      <c r="H1925" s="141">
        <f>IFERROR(VLOOKUP($B1925,calc_data,H$14+1,0),0)</f>
        <v/>
      </c>
      <c r="I1925" s="142">
        <f>IFERROR(VLOOKUP($B1925,calc_data,I$14+1,0),0)</f>
        <v/>
      </c>
      <c r="J1925" s="141">
        <f>IFERROR(VLOOKUP($B1925,calc_data,J$14+1,0),0)</f>
        <v/>
      </c>
      <c r="K1925" s="141">
        <f>IFERROR(VLOOKUP($B1925,calc_data,K$14+1,0),0)</f>
        <v/>
      </c>
      <c r="L1925" s="141">
        <f>IFERROR(VLOOKUP($B1925,calc_data,L$14+1,0),0)</f>
        <v/>
      </c>
      <c r="M1925" s="177">
        <f>IFERROR(VLOOKUP($B1925,calc_data,M$14+1,0),0)</f>
        <v/>
      </c>
      <c r="N1925" s="177">
        <f>IFERROR(VLOOKUP($B1925,calc_data,N$14+1,0),0)</f>
        <v/>
      </c>
      <c r="O1925" s="45" t="n"/>
      <c r="Q1925" s="57">
        <f>IF(K1925&gt;0,"показать","скрыть")</f>
        <v/>
      </c>
    </row>
    <row r="1926" ht="15.75" customHeight="1">
      <c r="B1926" s="182" t="n">
        <v>1910</v>
      </c>
      <c r="C1926" s="182">
        <f>IFERROR(VLOOKUP($B1926,calc_data,C$14+1,0),0)</f>
        <v/>
      </c>
      <c r="D1926" s="182">
        <f>IFERROR(VLOOKUP($B1926,calc_data,D$14+1,0),0)</f>
        <v/>
      </c>
      <c r="E1926" s="183">
        <f>IFERROR(VLOOKUP($B1926,calc_data,E$14+1,0),0)</f>
        <v/>
      </c>
      <c r="F1926" s="182">
        <f>IFERROR(VLOOKUP($B1926,calc_data,F$14+1,0),0)</f>
        <v/>
      </c>
      <c r="G1926" s="141">
        <f>IFERROR(VLOOKUP($B1926,calc_data,G$14+1,0),0)</f>
        <v/>
      </c>
      <c r="H1926" s="141">
        <f>IFERROR(VLOOKUP($B1926,calc_data,H$14+1,0),0)</f>
        <v/>
      </c>
      <c r="I1926" s="142">
        <f>IFERROR(VLOOKUP($B1926,calc_data,I$14+1,0),0)</f>
        <v/>
      </c>
      <c r="J1926" s="141">
        <f>IFERROR(VLOOKUP($B1926,calc_data,J$14+1,0),0)</f>
        <v/>
      </c>
      <c r="K1926" s="141">
        <f>IFERROR(VLOOKUP($B1926,calc_data,K$14+1,0),0)</f>
        <v/>
      </c>
      <c r="L1926" s="141">
        <f>IFERROR(VLOOKUP($B1926,calc_data,L$14+1,0),0)</f>
        <v/>
      </c>
      <c r="M1926" s="177">
        <f>IFERROR(VLOOKUP($B1926,calc_data,M$14+1,0),0)</f>
        <v/>
      </c>
      <c r="N1926" s="177">
        <f>IFERROR(VLOOKUP($B1926,calc_data,N$14+1,0),0)</f>
        <v/>
      </c>
      <c r="O1926" s="45" t="n"/>
      <c r="Q1926" s="57">
        <f>IF(K1926&gt;0,"показать","скрыть")</f>
        <v/>
      </c>
    </row>
    <row r="1927" ht="15.75" customHeight="1">
      <c r="B1927" s="182" t="n">
        <v>1911</v>
      </c>
      <c r="C1927" s="182">
        <f>IFERROR(VLOOKUP($B1927,calc_data,C$14+1,0),0)</f>
        <v/>
      </c>
      <c r="D1927" s="182">
        <f>IFERROR(VLOOKUP($B1927,calc_data,D$14+1,0),0)</f>
        <v/>
      </c>
      <c r="E1927" s="183">
        <f>IFERROR(VLOOKUP($B1927,calc_data,E$14+1,0),0)</f>
        <v/>
      </c>
      <c r="F1927" s="182">
        <f>IFERROR(VLOOKUP($B1927,calc_data,F$14+1,0),0)</f>
        <v/>
      </c>
      <c r="G1927" s="141">
        <f>IFERROR(VLOOKUP($B1927,calc_data,G$14+1,0),0)</f>
        <v/>
      </c>
      <c r="H1927" s="141">
        <f>IFERROR(VLOOKUP($B1927,calc_data,H$14+1,0),0)</f>
        <v/>
      </c>
      <c r="I1927" s="142">
        <f>IFERROR(VLOOKUP($B1927,calc_data,I$14+1,0),0)</f>
        <v/>
      </c>
      <c r="J1927" s="141">
        <f>IFERROR(VLOOKUP($B1927,calc_data,J$14+1,0),0)</f>
        <v/>
      </c>
      <c r="K1927" s="141">
        <f>IFERROR(VLOOKUP($B1927,calc_data,K$14+1,0),0)</f>
        <v/>
      </c>
      <c r="L1927" s="141">
        <f>IFERROR(VLOOKUP($B1927,calc_data,L$14+1,0),0)</f>
        <v/>
      </c>
      <c r="M1927" s="177">
        <f>IFERROR(VLOOKUP($B1927,calc_data,M$14+1,0),0)</f>
        <v/>
      </c>
      <c r="N1927" s="177">
        <f>IFERROR(VLOOKUP($B1927,calc_data,N$14+1,0),0)</f>
        <v/>
      </c>
      <c r="O1927" s="45" t="n"/>
      <c r="Q1927" s="57">
        <f>IF(K1927&gt;0,"показать","скрыть")</f>
        <v/>
      </c>
    </row>
    <row r="1928" ht="15.75" customHeight="1">
      <c r="B1928" s="182" t="n">
        <v>1912</v>
      </c>
      <c r="C1928" s="182">
        <f>IFERROR(VLOOKUP($B1928,calc_data,C$14+1,0),0)</f>
        <v/>
      </c>
      <c r="D1928" s="182">
        <f>IFERROR(VLOOKUP($B1928,calc_data,D$14+1,0),0)</f>
        <v/>
      </c>
      <c r="E1928" s="183">
        <f>IFERROR(VLOOKUP($B1928,calc_data,E$14+1,0),0)</f>
        <v/>
      </c>
      <c r="F1928" s="182">
        <f>IFERROR(VLOOKUP($B1928,calc_data,F$14+1,0),0)</f>
        <v/>
      </c>
      <c r="G1928" s="141">
        <f>IFERROR(VLOOKUP($B1928,calc_data,G$14+1,0),0)</f>
        <v/>
      </c>
      <c r="H1928" s="141">
        <f>IFERROR(VLOOKUP($B1928,calc_data,H$14+1,0),0)</f>
        <v/>
      </c>
      <c r="I1928" s="142">
        <f>IFERROR(VLOOKUP($B1928,calc_data,I$14+1,0),0)</f>
        <v/>
      </c>
      <c r="J1928" s="141">
        <f>IFERROR(VLOOKUP($B1928,calc_data,J$14+1,0),0)</f>
        <v/>
      </c>
      <c r="K1928" s="141">
        <f>IFERROR(VLOOKUP($B1928,calc_data,K$14+1,0),0)</f>
        <v/>
      </c>
      <c r="L1928" s="141">
        <f>IFERROR(VLOOKUP($B1928,calc_data,L$14+1,0),0)</f>
        <v/>
      </c>
      <c r="M1928" s="177">
        <f>IFERROR(VLOOKUP($B1928,calc_data,M$14+1,0),0)</f>
        <v/>
      </c>
      <c r="N1928" s="177">
        <f>IFERROR(VLOOKUP($B1928,calc_data,N$14+1,0),0)</f>
        <v/>
      </c>
      <c r="O1928" s="45" t="n"/>
      <c r="Q1928" s="57">
        <f>IF(K1928&gt;0,"показать","скрыть")</f>
        <v/>
      </c>
    </row>
    <row r="1929" ht="15.75" customHeight="1">
      <c r="B1929" s="182" t="n">
        <v>1913</v>
      </c>
      <c r="C1929" s="182">
        <f>IFERROR(VLOOKUP($B1929,calc_data,C$14+1,0),0)</f>
        <v/>
      </c>
      <c r="D1929" s="182">
        <f>IFERROR(VLOOKUP($B1929,calc_data,D$14+1,0),0)</f>
        <v/>
      </c>
      <c r="E1929" s="183">
        <f>IFERROR(VLOOKUP($B1929,calc_data,E$14+1,0),0)</f>
        <v/>
      </c>
      <c r="F1929" s="182">
        <f>IFERROR(VLOOKUP($B1929,calc_data,F$14+1,0),0)</f>
        <v/>
      </c>
      <c r="G1929" s="141">
        <f>IFERROR(VLOOKUP($B1929,calc_data,G$14+1,0),0)</f>
        <v/>
      </c>
      <c r="H1929" s="141">
        <f>IFERROR(VLOOKUP($B1929,calc_data,H$14+1,0),0)</f>
        <v/>
      </c>
      <c r="I1929" s="142">
        <f>IFERROR(VLOOKUP($B1929,calc_data,I$14+1,0),0)</f>
        <v/>
      </c>
      <c r="J1929" s="141">
        <f>IFERROR(VLOOKUP($B1929,calc_data,J$14+1,0),0)</f>
        <v/>
      </c>
      <c r="K1929" s="141">
        <f>IFERROR(VLOOKUP($B1929,calc_data,K$14+1,0),0)</f>
        <v/>
      </c>
      <c r="L1929" s="141">
        <f>IFERROR(VLOOKUP($B1929,calc_data,L$14+1,0),0)</f>
        <v/>
      </c>
      <c r="M1929" s="177">
        <f>IFERROR(VLOOKUP($B1929,calc_data,M$14+1,0),0)</f>
        <v/>
      </c>
      <c r="N1929" s="177">
        <f>IFERROR(VLOOKUP($B1929,calc_data,N$14+1,0),0)</f>
        <v/>
      </c>
      <c r="O1929" s="45" t="n"/>
      <c r="Q1929" s="57">
        <f>IF(K1929&gt;0,"показать","скрыть")</f>
        <v/>
      </c>
    </row>
    <row r="1930" ht="15.75" customHeight="1">
      <c r="B1930" s="182" t="n">
        <v>1914</v>
      </c>
      <c r="C1930" s="182">
        <f>IFERROR(VLOOKUP($B1930,calc_data,C$14+1,0),0)</f>
        <v/>
      </c>
      <c r="D1930" s="182">
        <f>IFERROR(VLOOKUP($B1930,calc_data,D$14+1,0),0)</f>
        <v/>
      </c>
      <c r="E1930" s="183">
        <f>IFERROR(VLOOKUP($B1930,calc_data,E$14+1,0),0)</f>
        <v/>
      </c>
      <c r="F1930" s="182">
        <f>IFERROR(VLOOKUP($B1930,calc_data,F$14+1,0),0)</f>
        <v/>
      </c>
      <c r="G1930" s="141">
        <f>IFERROR(VLOOKUP($B1930,calc_data,G$14+1,0),0)</f>
        <v/>
      </c>
      <c r="H1930" s="141">
        <f>IFERROR(VLOOKUP($B1930,calc_data,H$14+1,0),0)</f>
        <v/>
      </c>
      <c r="I1930" s="142">
        <f>IFERROR(VLOOKUP($B1930,calc_data,I$14+1,0),0)</f>
        <v/>
      </c>
      <c r="J1930" s="141">
        <f>IFERROR(VLOOKUP($B1930,calc_data,J$14+1,0),0)</f>
        <v/>
      </c>
      <c r="K1930" s="141">
        <f>IFERROR(VLOOKUP($B1930,calc_data,K$14+1,0),0)</f>
        <v/>
      </c>
      <c r="L1930" s="141">
        <f>IFERROR(VLOOKUP($B1930,calc_data,L$14+1,0),0)</f>
        <v/>
      </c>
      <c r="M1930" s="177">
        <f>IFERROR(VLOOKUP($B1930,calc_data,M$14+1,0),0)</f>
        <v/>
      </c>
      <c r="N1930" s="177">
        <f>IFERROR(VLOOKUP($B1930,calc_data,N$14+1,0),0)</f>
        <v/>
      </c>
      <c r="O1930" s="45" t="n"/>
      <c r="Q1930" s="57">
        <f>IF(K1930&gt;0,"показать","скрыть")</f>
        <v/>
      </c>
    </row>
    <row r="1931" ht="15.75" customHeight="1">
      <c r="B1931" s="182" t="n">
        <v>1915</v>
      </c>
      <c r="C1931" s="182">
        <f>IFERROR(VLOOKUP($B1931,calc_data,C$14+1,0),0)</f>
        <v/>
      </c>
      <c r="D1931" s="182">
        <f>IFERROR(VLOOKUP($B1931,calc_data,D$14+1,0),0)</f>
        <v/>
      </c>
      <c r="E1931" s="183">
        <f>IFERROR(VLOOKUP($B1931,calc_data,E$14+1,0),0)</f>
        <v/>
      </c>
      <c r="F1931" s="182">
        <f>IFERROR(VLOOKUP($B1931,calc_data,F$14+1,0),0)</f>
        <v/>
      </c>
      <c r="G1931" s="141">
        <f>IFERROR(VLOOKUP($B1931,calc_data,G$14+1,0),0)</f>
        <v/>
      </c>
      <c r="H1931" s="141">
        <f>IFERROR(VLOOKUP($B1931,calc_data,H$14+1,0),0)</f>
        <v/>
      </c>
      <c r="I1931" s="142">
        <f>IFERROR(VLOOKUP($B1931,calc_data,I$14+1,0),0)</f>
        <v/>
      </c>
      <c r="J1931" s="141">
        <f>IFERROR(VLOOKUP($B1931,calc_data,J$14+1,0),0)</f>
        <v/>
      </c>
      <c r="K1931" s="141">
        <f>IFERROR(VLOOKUP($B1931,calc_data,K$14+1,0),0)</f>
        <v/>
      </c>
      <c r="L1931" s="141">
        <f>IFERROR(VLOOKUP($B1931,calc_data,L$14+1,0),0)</f>
        <v/>
      </c>
      <c r="M1931" s="177">
        <f>IFERROR(VLOOKUP($B1931,calc_data,M$14+1,0),0)</f>
        <v/>
      </c>
      <c r="N1931" s="177">
        <f>IFERROR(VLOOKUP($B1931,calc_data,N$14+1,0),0)</f>
        <v/>
      </c>
      <c r="O1931" s="45" t="n"/>
      <c r="Q1931" s="57">
        <f>IF(K1931&gt;0,"показать","скрыть")</f>
        <v/>
      </c>
    </row>
    <row r="1932" ht="15.75" customHeight="1">
      <c r="B1932" s="182" t="n">
        <v>1916</v>
      </c>
      <c r="C1932" s="182">
        <f>IFERROR(VLOOKUP($B1932,calc_data,C$14+1,0),0)</f>
        <v/>
      </c>
      <c r="D1932" s="182">
        <f>IFERROR(VLOOKUP($B1932,calc_data,D$14+1,0),0)</f>
        <v/>
      </c>
      <c r="E1932" s="183">
        <f>IFERROR(VLOOKUP($B1932,calc_data,E$14+1,0),0)</f>
        <v/>
      </c>
      <c r="F1932" s="182">
        <f>IFERROR(VLOOKUP($B1932,calc_data,F$14+1,0),0)</f>
        <v/>
      </c>
      <c r="G1932" s="141">
        <f>IFERROR(VLOOKUP($B1932,calc_data,G$14+1,0),0)</f>
        <v/>
      </c>
      <c r="H1932" s="141">
        <f>IFERROR(VLOOKUP($B1932,calc_data,H$14+1,0),0)</f>
        <v/>
      </c>
      <c r="I1932" s="142">
        <f>IFERROR(VLOOKUP($B1932,calc_data,I$14+1,0),0)</f>
        <v/>
      </c>
      <c r="J1932" s="141">
        <f>IFERROR(VLOOKUP($B1932,calc_data,J$14+1,0),0)</f>
        <v/>
      </c>
      <c r="K1932" s="141">
        <f>IFERROR(VLOOKUP($B1932,calc_data,K$14+1,0),0)</f>
        <v/>
      </c>
      <c r="L1932" s="141">
        <f>IFERROR(VLOOKUP($B1932,calc_data,L$14+1,0),0)</f>
        <v/>
      </c>
      <c r="M1932" s="177">
        <f>IFERROR(VLOOKUP($B1932,calc_data,M$14+1,0),0)</f>
        <v/>
      </c>
      <c r="N1932" s="177">
        <f>IFERROR(VLOOKUP($B1932,calc_data,N$14+1,0),0)</f>
        <v/>
      </c>
      <c r="O1932" s="45" t="n"/>
      <c r="Q1932" s="57">
        <f>IF(K1932&gt;0,"показать","скрыть")</f>
        <v/>
      </c>
    </row>
    <row r="1933" ht="15.75" customHeight="1">
      <c r="B1933" s="182" t="n">
        <v>1917</v>
      </c>
      <c r="C1933" s="182">
        <f>IFERROR(VLOOKUP($B1933,calc_data,C$14+1,0),0)</f>
        <v/>
      </c>
      <c r="D1933" s="182">
        <f>IFERROR(VLOOKUP($B1933,calc_data,D$14+1,0),0)</f>
        <v/>
      </c>
      <c r="E1933" s="183">
        <f>IFERROR(VLOOKUP($B1933,calc_data,E$14+1,0),0)</f>
        <v/>
      </c>
      <c r="F1933" s="182">
        <f>IFERROR(VLOOKUP($B1933,calc_data,F$14+1,0),0)</f>
        <v/>
      </c>
      <c r="G1933" s="141">
        <f>IFERROR(VLOOKUP($B1933,calc_data,G$14+1,0),0)</f>
        <v/>
      </c>
      <c r="H1933" s="141">
        <f>IFERROR(VLOOKUP($B1933,calc_data,H$14+1,0),0)</f>
        <v/>
      </c>
      <c r="I1933" s="142">
        <f>IFERROR(VLOOKUP($B1933,calc_data,I$14+1,0),0)</f>
        <v/>
      </c>
      <c r="J1933" s="141">
        <f>IFERROR(VLOOKUP($B1933,calc_data,J$14+1,0),0)</f>
        <v/>
      </c>
      <c r="K1933" s="141">
        <f>IFERROR(VLOOKUP($B1933,calc_data,K$14+1,0),0)</f>
        <v/>
      </c>
      <c r="L1933" s="141">
        <f>IFERROR(VLOOKUP($B1933,calc_data,L$14+1,0),0)</f>
        <v/>
      </c>
      <c r="M1933" s="177">
        <f>IFERROR(VLOOKUP($B1933,calc_data,M$14+1,0),0)</f>
        <v/>
      </c>
      <c r="N1933" s="177">
        <f>IFERROR(VLOOKUP($B1933,calc_data,N$14+1,0),0)</f>
        <v/>
      </c>
      <c r="O1933" s="45" t="n"/>
      <c r="Q1933" s="57">
        <f>IF(K1933&gt;0,"показать","скрыть")</f>
        <v/>
      </c>
    </row>
    <row r="1934" ht="15.75" customHeight="1">
      <c r="B1934" s="182" t="n">
        <v>1918</v>
      </c>
      <c r="C1934" s="182">
        <f>IFERROR(VLOOKUP($B1934,calc_data,C$14+1,0),0)</f>
        <v/>
      </c>
      <c r="D1934" s="182">
        <f>IFERROR(VLOOKUP($B1934,calc_data,D$14+1,0),0)</f>
        <v/>
      </c>
      <c r="E1934" s="183">
        <f>IFERROR(VLOOKUP($B1934,calc_data,E$14+1,0),0)</f>
        <v/>
      </c>
      <c r="F1934" s="182">
        <f>IFERROR(VLOOKUP($B1934,calc_data,F$14+1,0),0)</f>
        <v/>
      </c>
      <c r="G1934" s="141">
        <f>IFERROR(VLOOKUP($B1934,calc_data,G$14+1,0),0)</f>
        <v/>
      </c>
      <c r="H1934" s="141">
        <f>IFERROR(VLOOKUP($B1934,calc_data,H$14+1,0),0)</f>
        <v/>
      </c>
      <c r="I1934" s="142">
        <f>IFERROR(VLOOKUP($B1934,calc_data,I$14+1,0),0)</f>
        <v/>
      </c>
      <c r="J1934" s="141">
        <f>IFERROR(VLOOKUP($B1934,calc_data,J$14+1,0),0)</f>
        <v/>
      </c>
      <c r="K1934" s="141">
        <f>IFERROR(VLOOKUP($B1934,calc_data,K$14+1,0),0)</f>
        <v/>
      </c>
      <c r="L1934" s="141">
        <f>IFERROR(VLOOKUP($B1934,calc_data,L$14+1,0),0)</f>
        <v/>
      </c>
      <c r="M1934" s="177">
        <f>IFERROR(VLOOKUP($B1934,calc_data,M$14+1,0),0)</f>
        <v/>
      </c>
      <c r="N1934" s="177">
        <f>IFERROR(VLOOKUP($B1934,calc_data,N$14+1,0),0)</f>
        <v/>
      </c>
      <c r="O1934" s="45" t="n"/>
      <c r="Q1934" s="57">
        <f>IF(K1934&gt;0,"показать","скрыть")</f>
        <v/>
      </c>
    </row>
    <row r="1935" ht="15.75" customHeight="1">
      <c r="B1935" s="182" t="n">
        <v>1919</v>
      </c>
      <c r="C1935" s="182">
        <f>IFERROR(VLOOKUP($B1935,calc_data,C$14+1,0),0)</f>
        <v/>
      </c>
      <c r="D1935" s="182">
        <f>IFERROR(VLOOKUP($B1935,calc_data,D$14+1,0),0)</f>
        <v/>
      </c>
      <c r="E1935" s="183">
        <f>IFERROR(VLOOKUP($B1935,calc_data,E$14+1,0),0)</f>
        <v/>
      </c>
      <c r="F1935" s="182">
        <f>IFERROR(VLOOKUP($B1935,calc_data,F$14+1,0),0)</f>
        <v/>
      </c>
      <c r="G1935" s="141">
        <f>IFERROR(VLOOKUP($B1935,calc_data,G$14+1,0),0)</f>
        <v/>
      </c>
      <c r="H1935" s="141">
        <f>IFERROR(VLOOKUP($B1935,calc_data,H$14+1,0),0)</f>
        <v/>
      </c>
      <c r="I1935" s="142">
        <f>IFERROR(VLOOKUP($B1935,calc_data,I$14+1,0),0)</f>
        <v/>
      </c>
      <c r="J1935" s="141">
        <f>IFERROR(VLOOKUP($B1935,calc_data,J$14+1,0),0)</f>
        <v/>
      </c>
      <c r="K1935" s="141">
        <f>IFERROR(VLOOKUP($B1935,calc_data,K$14+1,0),0)</f>
        <v/>
      </c>
      <c r="L1935" s="141">
        <f>IFERROR(VLOOKUP($B1935,calc_data,L$14+1,0),0)</f>
        <v/>
      </c>
      <c r="M1935" s="177">
        <f>IFERROR(VLOOKUP($B1935,calc_data,M$14+1,0),0)</f>
        <v/>
      </c>
      <c r="N1935" s="177">
        <f>IFERROR(VLOOKUP($B1935,calc_data,N$14+1,0),0)</f>
        <v/>
      </c>
      <c r="O1935" s="45" t="n"/>
      <c r="Q1935" s="57">
        <f>IF(K1935&gt;0,"показать","скрыть")</f>
        <v/>
      </c>
    </row>
    <row r="1936" ht="15.75" customHeight="1">
      <c r="B1936" s="182" t="n">
        <v>1920</v>
      </c>
      <c r="C1936" s="182">
        <f>IFERROR(VLOOKUP($B1936,calc_data,C$14+1,0),0)</f>
        <v/>
      </c>
      <c r="D1936" s="182">
        <f>IFERROR(VLOOKUP($B1936,calc_data,D$14+1,0),0)</f>
        <v/>
      </c>
      <c r="E1936" s="183">
        <f>IFERROR(VLOOKUP($B1936,calc_data,E$14+1,0),0)</f>
        <v/>
      </c>
      <c r="F1936" s="182">
        <f>IFERROR(VLOOKUP($B1936,calc_data,F$14+1,0),0)</f>
        <v/>
      </c>
      <c r="G1936" s="141">
        <f>IFERROR(VLOOKUP($B1936,calc_data,G$14+1,0),0)</f>
        <v/>
      </c>
      <c r="H1936" s="141">
        <f>IFERROR(VLOOKUP($B1936,calc_data,H$14+1,0),0)</f>
        <v/>
      </c>
      <c r="I1936" s="142">
        <f>IFERROR(VLOOKUP($B1936,calc_data,I$14+1,0),0)</f>
        <v/>
      </c>
      <c r="J1936" s="141">
        <f>IFERROR(VLOOKUP($B1936,calc_data,J$14+1,0),0)</f>
        <v/>
      </c>
      <c r="K1936" s="141">
        <f>IFERROR(VLOOKUP($B1936,calc_data,K$14+1,0),0)</f>
        <v/>
      </c>
      <c r="L1936" s="141">
        <f>IFERROR(VLOOKUP($B1936,calc_data,L$14+1,0),0)</f>
        <v/>
      </c>
      <c r="M1936" s="177">
        <f>IFERROR(VLOOKUP($B1936,calc_data,M$14+1,0),0)</f>
        <v/>
      </c>
      <c r="N1936" s="177">
        <f>IFERROR(VLOOKUP($B1936,calc_data,N$14+1,0),0)</f>
        <v/>
      </c>
      <c r="O1936" s="45" t="n"/>
      <c r="Q1936" s="57">
        <f>IF(K1936&gt;0,"показать","скрыть")</f>
        <v/>
      </c>
    </row>
    <row r="1937" ht="15.75" customHeight="1">
      <c r="B1937" s="182" t="n">
        <v>1921</v>
      </c>
      <c r="C1937" s="182">
        <f>IFERROR(VLOOKUP($B1937,calc_data,C$14+1,0),0)</f>
        <v/>
      </c>
      <c r="D1937" s="182">
        <f>IFERROR(VLOOKUP($B1937,calc_data,D$14+1,0),0)</f>
        <v/>
      </c>
      <c r="E1937" s="183">
        <f>IFERROR(VLOOKUP($B1937,calc_data,E$14+1,0),0)</f>
        <v/>
      </c>
      <c r="F1937" s="182">
        <f>IFERROR(VLOOKUP($B1937,calc_data,F$14+1,0),0)</f>
        <v/>
      </c>
      <c r="G1937" s="141">
        <f>IFERROR(VLOOKUP($B1937,calc_data,G$14+1,0),0)</f>
        <v/>
      </c>
      <c r="H1937" s="141">
        <f>IFERROR(VLOOKUP($B1937,calc_data,H$14+1,0),0)</f>
        <v/>
      </c>
      <c r="I1937" s="142">
        <f>IFERROR(VLOOKUP($B1937,calc_data,I$14+1,0),0)</f>
        <v/>
      </c>
      <c r="J1937" s="141">
        <f>IFERROR(VLOOKUP($B1937,calc_data,J$14+1,0),0)</f>
        <v/>
      </c>
      <c r="K1937" s="141">
        <f>IFERROR(VLOOKUP($B1937,calc_data,K$14+1,0),0)</f>
        <v/>
      </c>
      <c r="L1937" s="141">
        <f>IFERROR(VLOOKUP($B1937,calc_data,L$14+1,0),0)</f>
        <v/>
      </c>
      <c r="M1937" s="177">
        <f>IFERROR(VLOOKUP($B1937,calc_data,M$14+1,0),0)</f>
        <v/>
      </c>
      <c r="N1937" s="177">
        <f>IFERROR(VLOOKUP($B1937,calc_data,N$14+1,0),0)</f>
        <v/>
      </c>
      <c r="O1937" s="45" t="n"/>
      <c r="Q1937" s="57">
        <f>IF(K1937&gt;0,"показать","скрыть")</f>
        <v/>
      </c>
    </row>
    <row r="1938" ht="15.75" customHeight="1">
      <c r="B1938" s="182" t="n">
        <v>1922</v>
      </c>
      <c r="C1938" s="182">
        <f>IFERROR(VLOOKUP($B1938,calc_data,C$14+1,0),0)</f>
        <v/>
      </c>
      <c r="D1938" s="182">
        <f>IFERROR(VLOOKUP($B1938,calc_data,D$14+1,0),0)</f>
        <v/>
      </c>
      <c r="E1938" s="183">
        <f>IFERROR(VLOOKUP($B1938,calc_data,E$14+1,0),0)</f>
        <v/>
      </c>
      <c r="F1938" s="182">
        <f>IFERROR(VLOOKUP($B1938,calc_data,F$14+1,0),0)</f>
        <v/>
      </c>
      <c r="G1938" s="141">
        <f>IFERROR(VLOOKUP($B1938,calc_data,G$14+1,0),0)</f>
        <v/>
      </c>
      <c r="H1938" s="141">
        <f>IFERROR(VLOOKUP($B1938,calc_data,H$14+1,0),0)</f>
        <v/>
      </c>
      <c r="I1938" s="142">
        <f>IFERROR(VLOOKUP($B1938,calc_data,I$14+1,0),0)</f>
        <v/>
      </c>
      <c r="J1938" s="141">
        <f>IFERROR(VLOOKUP($B1938,calc_data,J$14+1,0),0)</f>
        <v/>
      </c>
      <c r="K1938" s="141">
        <f>IFERROR(VLOOKUP($B1938,calc_data,K$14+1,0),0)</f>
        <v/>
      </c>
      <c r="L1938" s="141">
        <f>IFERROR(VLOOKUP($B1938,calc_data,L$14+1,0),0)</f>
        <v/>
      </c>
      <c r="M1938" s="177">
        <f>IFERROR(VLOOKUP($B1938,calc_data,M$14+1,0),0)</f>
        <v/>
      </c>
      <c r="N1938" s="177">
        <f>IFERROR(VLOOKUP($B1938,calc_data,N$14+1,0),0)</f>
        <v/>
      </c>
      <c r="O1938" s="45" t="n"/>
      <c r="Q1938" s="57">
        <f>IF(K1938&gt;0,"показать","скрыть")</f>
        <v/>
      </c>
    </row>
    <row r="1939" ht="15.75" customHeight="1">
      <c r="B1939" s="182" t="n">
        <v>1923</v>
      </c>
      <c r="C1939" s="182">
        <f>IFERROR(VLOOKUP($B1939,calc_data,C$14+1,0),0)</f>
        <v/>
      </c>
      <c r="D1939" s="182">
        <f>IFERROR(VLOOKUP($B1939,calc_data,D$14+1,0),0)</f>
        <v/>
      </c>
      <c r="E1939" s="183">
        <f>IFERROR(VLOOKUP($B1939,calc_data,E$14+1,0),0)</f>
        <v/>
      </c>
      <c r="F1939" s="182">
        <f>IFERROR(VLOOKUP($B1939,calc_data,F$14+1,0),0)</f>
        <v/>
      </c>
      <c r="G1939" s="141">
        <f>IFERROR(VLOOKUP($B1939,calc_data,G$14+1,0),0)</f>
        <v/>
      </c>
      <c r="H1939" s="141">
        <f>IFERROR(VLOOKUP($B1939,calc_data,H$14+1,0),0)</f>
        <v/>
      </c>
      <c r="I1939" s="142">
        <f>IFERROR(VLOOKUP($B1939,calc_data,I$14+1,0),0)</f>
        <v/>
      </c>
      <c r="J1939" s="141">
        <f>IFERROR(VLOOKUP($B1939,calc_data,J$14+1,0),0)</f>
        <v/>
      </c>
      <c r="K1939" s="141">
        <f>IFERROR(VLOOKUP($B1939,calc_data,K$14+1,0),0)</f>
        <v/>
      </c>
      <c r="L1939" s="141">
        <f>IFERROR(VLOOKUP($B1939,calc_data,L$14+1,0),0)</f>
        <v/>
      </c>
      <c r="M1939" s="177">
        <f>IFERROR(VLOOKUP($B1939,calc_data,M$14+1,0),0)</f>
        <v/>
      </c>
      <c r="N1939" s="177">
        <f>IFERROR(VLOOKUP($B1939,calc_data,N$14+1,0),0)</f>
        <v/>
      </c>
      <c r="O1939" s="45" t="n"/>
      <c r="Q1939" s="57">
        <f>IF(K1939&gt;0,"показать","скрыть")</f>
        <v/>
      </c>
    </row>
    <row r="1940" ht="15.75" customHeight="1">
      <c r="B1940" s="182" t="n">
        <v>1924</v>
      </c>
      <c r="C1940" s="182">
        <f>IFERROR(VLOOKUP($B1940,calc_data,C$14+1,0),0)</f>
        <v/>
      </c>
      <c r="D1940" s="182">
        <f>IFERROR(VLOOKUP($B1940,calc_data,D$14+1,0),0)</f>
        <v/>
      </c>
      <c r="E1940" s="183">
        <f>IFERROR(VLOOKUP($B1940,calc_data,E$14+1,0),0)</f>
        <v/>
      </c>
      <c r="F1940" s="182">
        <f>IFERROR(VLOOKUP($B1940,calc_data,F$14+1,0),0)</f>
        <v/>
      </c>
      <c r="G1940" s="141">
        <f>IFERROR(VLOOKUP($B1940,calc_data,G$14+1,0),0)</f>
        <v/>
      </c>
      <c r="H1940" s="141">
        <f>IFERROR(VLOOKUP($B1940,calc_data,H$14+1,0),0)</f>
        <v/>
      </c>
      <c r="I1940" s="142">
        <f>IFERROR(VLOOKUP($B1940,calc_data,I$14+1,0),0)</f>
        <v/>
      </c>
      <c r="J1940" s="141">
        <f>IFERROR(VLOOKUP($B1940,calc_data,J$14+1,0),0)</f>
        <v/>
      </c>
      <c r="K1940" s="141">
        <f>IFERROR(VLOOKUP($B1940,calc_data,K$14+1,0),0)</f>
        <v/>
      </c>
      <c r="L1940" s="141">
        <f>IFERROR(VLOOKUP($B1940,calc_data,L$14+1,0),0)</f>
        <v/>
      </c>
      <c r="M1940" s="177">
        <f>IFERROR(VLOOKUP($B1940,calc_data,M$14+1,0),0)</f>
        <v/>
      </c>
      <c r="N1940" s="177">
        <f>IFERROR(VLOOKUP($B1940,calc_data,N$14+1,0),0)</f>
        <v/>
      </c>
      <c r="O1940" s="45" t="n"/>
      <c r="Q1940" s="57">
        <f>IF(K1940&gt;0,"показать","скрыть")</f>
        <v/>
      </c>
    </row>
    <row r="1941" ht="15.75" customHeight="1">
      <c r="B1941" s="182" t="n">
        <v>1925</v>
      </c>
      <c r="C1941" s="182">
        <f>IFERROR(VLOOKUP($B1941,calc_data,C$14+1,0),0)</f>
        <v/>
      </c>
      <c r="D1941" s="182">
        <f>IFERROR(VLOOKUP($B1941,calc_data,D$14+1,0),0)</f>
        <v/>
      </c>
      <c r="E1941" s="183">
        <f>IFERROR(VLOOKUP($B1941,calc_data,E$14+1,0),0)</f>
        <v/>
      </c>
      <c r="F1941" s="182">
        <f>IFERROR(VLOOKUP($B1941,calc_data,F$14+1,0),0)</f>
        <v/>
      </c>
      <c r="G1941" s="141">
        <f>IFERROR(VLOOKUP($B1941,calc_data,G$14+1,0),0)</f>
        <v/>
      </c>
      <c r="H1941" s="141">
        <f>IFERROR(VLOOKUP($B1941,calc_data,H$14+1,0),0)</f>
        <v/>
      </c>
      <c r="I1941" s="142">
        <f>IFERROR(VLOOKUP($B1941,calc_data,I$14+1,0),0)</f>
        <v/>
      </c>
      <c r="J1941" s="141">
        <f>IFERROR(VLOOKUP($B1941,calc_data,J$14+1,0),0)</f>
        <v/>
      </c>
      <c r="K1941" s="141">
        <f>IFERROR(VLOOKUP($B1941,calc_data,K$14+1,0),0)</f>
        <v/>
      </c>
      <c r="L1941" s="141">
        <f>IFERROR(VLOOKUP($B1941,calc_data,L$14+1,0),0)</f>
        <v/>
      </c>
      <c r="M1941" s="177">
        <f>IFERROR(VLOOKUP($B1941,calc_data,M$14+1,0),0)</f>
        <v/>
      </c>
      <c r="N1941" s="177">
        <f>IFERROR(VLOOKUP($B1941,calc_data,N$14+1,0),0)</f>
        <v/>
      </c>
      <c r="O1941" s="45" t="n"/>
      <c r="Q1941" s="57">
        <f>IF(K1941&gt;0,"показать","скрыть")</f>
        <v/>
      </c>
    </row>
    <row r="1942" ht="15.75" customHeight="1">
      <c r="B1942" s="182" t="n">
        <v>1926</v>
      </c>
      <c r="C1942" s="182">
        <f>IFERROR(VLOOKUP($B1942,calc_data,C$14+1,0),0)</f>
        <v/>
      </c>
      <c r="D1942" s="182">
        <f>IFERROR(VLOOKUP($B1942,calc_data,D$14+1,0),0)</f>
        <v/>
      </c>
      <c r="E1942" s="183">
        <f>IFERROR(VLOOKUP($B1942,calc_data,E$14+1,0),0)</f>
        <v/>
      </c>
      <c r="F1942" s="182">
        <f>IFERROR(VLOOKUP($B1942,calc_data,F$14+1,0),0)</f>
        <v/>
      </c>
      <c r="G1942" s="141">
        <f>IFERROR(VLOOKUP($B1942,calc_data,G$14+1,0),0)</f>
        <v/>
      </c>
      <c r="H1942" s="141">
        <f>IFERROR(VLOOKUP($B1942,calc_data,H$14+1,0),0)</f>
        <v/>
      </c>
      <c r="I1942" s="142">
        <f>IFERROR(VLOOKUP($B1942,calc_data,I$14+1,0),0)</f>
        <v/>
      </c>
      <c r="J1942" s="141">
        <f>IFERROR(VLOOKUP($B1942,calc_data,J$14+1,0),0)</f>
        <v/>
      </c>
      <c r="K1942" s="141">
        <f>IFERROR(VLOOKUP($B1942,calc_data,K$14+1,0),0)</f>
        <v/>
      </c>
      <c r="L1942" s="141">
        <f>IFERROR(VLOOKUP($B1942,calc_data,L$14+1,0),0)</f>
        <v/>
      </c>
      <c r="M1942" s="177">
        <f>IFERROR(VLOOKUP($B1942,calc_data,M$14+1,0),0)</f>
        <v/>
      </c>
      <c r="N1942" s="177">
        <f>IFERROR(VLOOKUP($B1942,calc_data,N$14+1,0),0)</f>
        <v/>
      </c>
      <c r="O1942" s="45" t="n"/>
      <c r="Q1942" s="57">
        <f>IF(K1942&gt;0,"показать","скрыть")</f>
        <v/>
      </c>
    </row>
    <row r="1943" ht="15.75" customHeight="1">
      <c r="B1943" s="182" t="n">
        <v>1927</v>
      </c>
      <c r="C1943" s="182">
        <f>IFERROR(VLOOKUP($B1943,calc_data,C$14+1,0),0)</f>
        <v/>
      </c>
      <c r="D1943" s="182">
        <f>IFERROR(VLOOKUP($B1943,calc_data,D$14+1,0),0)</f>
        <v/>
      </c>
      <c r="E1943" s="183">
        <f>IFERROR(VLOOKUP($B1943,calc_data,E$14+1,0),0)</f>
        <v/>
      </c>
      <c r="F1943" s="182">
        <f>IFERROR(VLOOKUP($B1943,calc_data,F$14+1,0),0)</f>
        <v/>
      </c>
      <c r="G1943" s="141">
        <f>IFERROR(VLOOKUP($B1943,calc_data,G$14+1,0),0)</f>
        <v/>
      </c>
      <c r="H1943" s="141">
        <f>IFERROR(VLOOKUP($B1943,calc_data,H$14+1,0),0)</f>
        <v/>
      </c>
      <c r="I1943" s="142">
        <f>IFERROR(VLOOKUP($B1943,calc_data,I$14+1,0),0)</f>
        <v/>
      </c>
      <c r="J1943" s="141">
        <f>IFERROR(VLOOKUP($B1943,calc_data,J$14+1,0),0)</f>
        <v/>
      </c>
      <c r="K1943" s="141">
        <f>IFERROR(VLOOKUP($B1943,calc_data,K$14+1,0),0)</f>
        <v/>
      </c>
      <c r="L1943" s="141">
        <f>IFERROR(VLOOKUP($B1943,calc_data,L$14+1,0),0)</f>
        <v/>
      </c>
      <c r="M1943" s="177">
        <f>IFERROR(VLOOKUP($B1943,calc_data,M$14+1,0),0)</f>
        <v/>
      </c>
      <c r="N1943" s="177">
        <f>IFERROR(VLOOKUP($B1943,calc_data,N$14+1,0),0)</f>
        <v/>
      </c>
      <c r="O1943" s="45" t="n"/>
      <c r="Q1943" s="57">
        <f>IF(K1943&gt;0,"показать","скрыть")</f>
        <v/>
      </c>
    </row>
    <row r="1944" ht="15.75" customHeight="1">
      <c r="B1944" s="182" t="n">
        <v>1928</v>
      </c>
      <c r="C1944" s="182">
        <f>IFERROR(VLOOKUP($B1944,calc_data,C$14+1,0),0)</f>
        <v/>
      </c>
      <c r="D1944" s="182">
        <f>IFERROR(VLOOKUP($B1944,calc_data,D$14+1,0),0)</f>
        <v/>
      </c>
      <c r="E1944" s="183">
        <f>IFERROR(VLOOKUP($B1944,calc_data,E$14+1,0),0)</f>
        <v/>
      </c>
      <c r="F1944" s="182">
        <f>IFERROR(VLOOKUP($B1944,calc_data,F$14+1,0),0)</f>
        <v/>
      </c>
      <c r="G1944" s="141">
        <f>IFERROR(VLOOKUP($B1944,calc_data,G$14+1,0),0)</f>
        <v/>
      </c>
      <c r="H1944" s="141">
        <f>IFERROR(VLOOKUP($B1944,calc_data,H$14+1,0),0)</f>
        <v/>
      </c>
      <c r="I1944" s="142">
        <f>IFERROR(VLOOKUP($B1944,calc_data,I$14+1,0),0)</f>
        <v/>
      </c>
      <c r="J1944" s="141">
        <f>IFERROR(VLOOKUP($B1944,calc_data,J$14+1,0),0)</f>
        <v/>
      </c>
      <c r="K1944" s="141">
        <f>IFERROR(VLOOKUP($B1944,calc_data,K$14+1,0),0)</f>
        <v/>
      </c>
      <c r="L1944" s="141">
        <f>IFERROR(VLOOKUP($B1944,calc_data,L$14+1,0),0)</f>
        <v/>
      </c>
      <c r="M1944" s="177">
        <f>IFERROR(VLOOKUP($B1944,calc_data,M$14+1,0),0)</f>
        <v/>
      </c>
      <c r="N1944" s="177">
        <f>IFERROR(VLOOKUP($B1944,calc_data,N$14+1,0),0)</f>
        <v/>
      </c>
      <c r="O1944" s="45" t="n"/>
      <c r="Q1944" s="57">
        <f>IF(K1944&gt;0,"показать","скрыть")</f>
        <v/>
      </c>
    </row>
    <row r="1945" ht="15.75" customHeight="1">
      <c r="B1945" s="182" t="n">
        <v>1929</v>
      </c>
      <c r="C1945" s="182">
        <f>IFERROR(VLOOKUP($B1945,calc_data,C$14+1,0),0)</f>
        <v/>
      </c>
      <c r="D1945" s="182">
        <f>IFERROR(VLOOKUP($B1945,calc_data,D$14+1,0),0)</f>
        <v/>
      </c>
      <c r="E1945" s="183">
        <f>IFERROR(VLOOKUP($B1945,calc_data,E$14+1,0),0)</f>
        <v/>
      </c>
      <c r="F1945" s="182">
        <f>IFERROR(VLOOKUP($B1945,calc_data,F$14+1,0),0)</f>
        <v/>
      </c>
      <c r="G1945" s="141">
        <f>IFERROR(VLOOKUP($B1945,calc_data,G$14+1,0),0)</f>
        <v/>
      </c>
      <c r="H1945" s="141">
        <f>IFERROR(VLOOKUP($B1945,calc_data,H$14+1,0),0)</f>
        <v/>
      </c>
      <c r="I1945" s="142">
        <f>IFERROR(VLOOKUP($B1945,calc_data,I$14+1,0),0)</f>
        <v/>
      </c>
      <c r="J1945" s="141">
        <f>IFERROR(VLOOKUP($B1945,calc_data,J$14+1,0),0)</f>
        <v/>
      </c>
      <c r="K1945" s="141">
        <f>IFERROR(VLOOKUP($B1945,calc_data,K$14+1,0),0)</f>
        <v/>
      </c>
      <c r="L1945" s="141">
        <f>IFERROR(VLOOKUP($B1945,calc_data,L$14+1,0),0)</f>
        <v/>
      </c>
      <c r="M1945" s="177">
        <f>IFERROR(VLOOKUP($B1945,calc_data,M$14+1,0),0)</f>
        <v/>
      </c>
      <c r="N1945" s="177">
        <f>IFERROR(VLOOKUP($B1945,calc_data,N$14+1,0),0)</f>
        <v/>
      </c>
      <c r="O1945" s="45" t="n"/>
      <c r="Q1945" s="57">
        <f>IF(K1945&gt;0,"показать","скрыть")</f>
        <v/>
      </c>
    </row>
    <row r="1946" ht="15.75" customHeight="1">
      <c r="B1946" s="182" t="n">
        <v>1930</v>
      </c>
      <c r="C1946" s="182">
        <f>IFERROR(VLOOKUP($B1946,calc_data,C$14+1,0),0)</f>
        <v/>
      </c>
      <c r="D1946" s="182">
        <f>IFERROR(VLOOKUP($B1946,calc_data,D$14+1,0),0)</f>
        <v/>
      </c>
      <c r="E1946" s="183">
        <f>IFERROR(VLOOKUP($B1946,calc_data,E$14+1,0),0)</f>
        <v/>
      </c>
      <c r="F1946" s="182">
        <f>IFERROR(VLOOKUP($B1946,calc_data,F$14+1,0),0)</f>
        <v/>
      </c>
      <c r="G1946" s="141">
        <f>IFERROR(VLOOKUP($B1946,calc_data,G$14+1,0),0)</f>
        <v/>
      </c>
      <c r="H1946" s="141">
        <f>IFERROR(VLOOKUP($B1946,calc_data,H$14+1,0),0)</f>
        <v/>
      </c>
      <c r="I1946" s="142">
        <f>IFERROR(VLOOKUP($B1946,calc_data,I$14+1,0),0)</f>
        <v/>
      </c>
      <c r="J1946" s="141">
        <f>IFERROR(VLOOKUP($B1946,calc_data,J$14+1,0),0)</f>
        <v/>
      </c>
      <c r="K1946" s="141">
        <f>IFERROR(VLOOKUP($B1946,calc_data,K$14+1,0),0)</f>
        <v/>
      </c>
      <c r="L1946" s="141">
        <f>IFERROR(VLOOKUP($B1946,calc_data,L$14+1,0),0)</f>
        <v/>
      </c>
      <c r="M1946" s="177">
        <f>IFERROR(VLOOKUP($B1946,calc_data,M$14+1,0),0)</f>
        <v/>
      </c>
      <c r="N1946" s="177">
        <f>IFERROR(VLOOKUP($B1946,calc_data,N$14+1,0),0)</f>
        <v/>
      </c>
      <c r="O1946" s="45" t="n"/>
      <c r="Q1946" s="57">
        <f>IF(K1946&gt;0,"показать","скрыть")</f>
        <v/>
      </c>
    </row>
    <row r="1947" ht="15.75" customHeight="1">
      <c r="B1947" s="182" t="n">
        <v>1931</v>
      </c>
      <c r="C1947" s="182">
        <f>IFERROR(VLOOKUP($B1947,calc_data,C$14+1,0),0)</f>
        <v/>
      </c>
      <c r="D1947" s="182">
        <f>IFERROR(VLOOKUP($B1947,calc_data,D$14+1,0),0)</f>
        <v/>
      </c>
      <c r="E1947" s="183">
        <f>IFERROR(VLOOKUP($B1947,calc_data,E$14+1,0),0)</f>
        <v/>
      </c>
      <c r="F1947" s="182">
        <f>IFERROR(VLOOKUP($B1947,calc_data,F$14+1,0),0)</f>
        <v/>
      </c>
      <c r="G1947" s="141">
        <f>IFERROR(VLOOKUP($B1947,calc_data,G$14+1,0),0)</f>
        <v/>
      </c>
      <c r="H1947" s="141">
        <f>IFERROR(VLOOKUP($B1947,calc_data,H$14+1,0),0)</f>
        <v/>
      </c>
      <c r="I1947" s="142">
        <f>IFERROR(VLOOKUP($B1947,calc_data,I$14+1,0),0)</f>
        <v/>
      </c>
      <c r="J1947" s="141">
        <f>IFERROR(VLOOKUP($B1947,calc_data,J$14+1,0),0)</f>
        <v/>
      </c>
      <c r="K1947" s="141">
        <f>IFERROR(VLOOKUP($B1947,calc_data,K$14+1,0),0)</f>
        <v/>
      </c>
      <c r="L1947" s="141">
        <f>IFERROR(VLOOKUP($B1947,calc_data,L$14+1,0),0)</f>
        <v/>
      </c>
      <c r="M1947" s="177">
        <f>IFERROR(VLOOKUP($B1947,calc_data,M$14+1,0),0)</f>
        <v/>
      </c>
      <c r="N1947" s="177">
        <f>IFERROR(VLOOKUP($B1947,calc_data,N$14+1,0),0)</f>
        <v/>
      </c>
      <c r="O1947" s="45" t="n"/>
      <c r="Q1947" s="57">
        <f>IF(K1947&gt;0,"показать","скрыть")</f>
        <v/>
      </c>
    </row>
    <row r="1948" ht="15.75" customHeight="1">
      <c r="B1948" s="182" t="n">
        <v>1932</v>
      </c>
      <c r="C1948" s="182">
        <f>IFERROR(VLOOKUP($B1948,calc_data,C$14+1,0),0)</f>
        <v/>
      </c>
      <c r="D1948" s="182">
        <f>IFERROR(VLOOKUP($B1948,calc_data,D$14+1,0),0)</f>
        <v/>
      </c>
      <c r="E1948" s="183">
        <f>IFERROR(VLOOKUP($B1948,calc_data,E$14+1,0),0)</f>
        <v/>
      </c>
      <c r="F1948" s="182">
        <f>IFERROR(VLOOKUP($B1948,calc_data,F$14+1,0),0)</f>
        <v/>
      </c>
      <c r="G1948" s="141">
        <f>IFERROR(VLOOKUP($B1948,calc_data,G$14+1,0),0)</f>
        <v/>
      </c>
      <c r="H1948" s="141">
        <f>IFERROR(VLOOKUP($B1948,calc_data,H$14+1,0),0)</f>
        <v/>
      </c>
      <c r="I1948" s="142">
        <f>IFERROR(VLOOKUP($B1948,calc_data,I$14+1,0),0)</f>
        <v/>
      </c>
      <c r="J1948" s="141">
        <f>IFERROR(VLOOKUP($B1948,calc_data,J$14+1,0),0)</f>
        <v/>
      </c>
      <c r="K1948" s="141">
        <f>IFERROR(VLOOKUP($B1948,calc_data,K$14+1,0),0)</f>
        <v/>
      </c>
      <c r="L1948" s="141">
        <f>IFERROR(VLOOKUP($B1948,calc_data,L$14+1,0),0)</f>
        <v/>
      </c>
      <c r="M1948" s="177">
        <f>IFERROR(VLOOKUP($B1948,calc_data,M$14+1,0),0)</f>
        <v/>
      </c>
      <c r="N1948" s="177">
        <f>IFERROR(VLOOKUP($B1948,calc_data,N$14+1,0),0)</f>
        <v/>
      </c>
      <c r="O1948" s="45" t="n"/>
      <c r="Q1948" s="57">
        <f>IF(K1948&gt;0,"показать","скрыть")</f>
        <v/>
      </c>
    </row>
    <row r="1949" ht="15.75" customHeight="1">
      <c r="B1949" s="182" t="n">
        <v>1933</v>
      </c>
      <c r="C1949" s="182">
        <f>IFERROR(VLOOKUP($B1949,calc_data,C$14+1,0),0)</f>
        <v/>
      </c>
      <c r="D1949" s="182">
        <f>IFERROR(VLOOKUP($B1949,calc_data,D$14+1,0),0)</f>
        <v/>
      </c>
      <c r="E1949" s="183">
        <f>IFERROR(VLOOKUP($B1949,calc_data,E$14+1,0),0)</f>
        <v/>
      </c>
      <c r="F1949" s="182">
        <f>IFERROR(VLOOKUP($B1949,calc_data,F$14+1,0),0)</f>
        <v/>
      </c>
      <c r="G1949" s="141">
        <f>IFERROR(VLOOKUP($B1949,calc_data,G$14+1,0),0)</f>
        <v/>
      </c>
      <c r="H1949" s="141">
        <f>IFERROR(VLOOKUP($B1949,calc_data,H$14+1,0),0)</f>
        <v/>
      </c>
      <c r="I1949" s="142">
        <f>IFERROR(VLOOKUP($B1949,calc_data,I$14+1,0),0)</f>
        <v/>
      </c>
      <c r="J1949" s="141">
        <f>IFERROR(VLOOKUP($B1949,calc_data,J$14+1,0),0)</f>
        <v/>
      </c>
      <c r="K1949" s="141">
        <f>IFERROR(VLOOKUP($B1949,calc_data,K$14+1,0),0)</f>
        <v/>
      </c>
      <c r="L1949" s="141">
        <f>IFERROR(VLOOKUP($B1949,calc_data,L$14+1,0),0)</f>
        <v/>
      </c>
      <c r="M1949" s="177">
        <f>IFERROR(VLOOKUP($B1949,calc_data,M$14+1,0),0)</f>
        <v/>
      </c>
      <c r="N1949" s="177">
        <f>IFERROR(VLOOKUP($B1949,calc_data,N$14+1,0),0)</f>
        <v/>
      </c>
      <c r="O1949" s="45" t="n"/>
      <c r="Q1949" s="57">
        <f>IF(K1949&gt;0,"показать","скрыть")</f>
        <v/>
      </c>
    </row>
    <row r="1950" ht="15.75" customHeight="1">
      <c r="B1950" s="182" t="n">
        <v>1934</v>
      </c>
      <c r="C1950" s="182">
        <f>IFERROR(VLOOKUP($B1950,calc_data,C$14+1,0),0)</f>
        <v/>
      </c>
      <c r="D1950" s="182">
        <f>IFERROR(VLOOKUP($B1950,calc_data,D$14+1,0),0)</f>
        <v/>
      </c>
      <c r="E1950" s="183">
        <f>IFERROR(VLOOKUP($B1950,calc_data,E$14+1,0),0)</f>
        <v/>
      </c>
      <c r="F1950" s="182">
        <f>IFERROR(VLOOKUP($B1950,calc_data,F$14+1,0),0)</f>
        <v/>
      </c>
      <c r="G1950" s="141">
        <f>IFERROR(VLOOKUP($B1950,calc_data,G$14+1,0),0)</f>
        <v/>
      </c>
      <c r="H1950" s="141">
        <f>IFERROR(VLOOKUP($B1950,calc_data,H$14+1,0),0)</f>
        <v/>
      </c>
      <c r="I1950" s="142">
        <f>IFERROR(VLOOKUP($B1950,calc_data,I$14+1,0),0)</f>
        <v/>
      </c>
      <c r="J1950" s="141">
        <f>IFERROR(VLOOKUP($B1950,calc_data,J$14+1,0),0)</f>
        <v/>
      </c>
      <c r="K1950" s="141">
        <f>IFERROR(VLOOKUP($B1950,calc_data,K$14+1,0),0)</f>
        <v/>
      </c>
      <c r="L1950" s="141">
        <f>IFERROR(VLOOKUP($B1950,calc_data,L$14+1,0),0)</f>
        <v/>
      </c>
      <c r="M1950" s="177">
        <f>IFERROR(VLOOKUP($B1950,calc_data,M$14+1,0),0)</f>
        <v/>
      </c>
      <c r="N1950" s="177">
        <f>IFERROR(VLOOKUP($B1950,calc_data,N$14+1,0),0)</f>
        <v/>
      </c>
      <c r="O1950" s="45" t="n"/>
      <c r="Q1950" s="57">
        <f>IF(K1950&gt;0,"показать","скрыть")</f>
        <v/>
      </c>
    </row>
    <row r="1951" ht="15.75" customHeight="1">
      <c r="B1951" s="182" t="n">
        <v>1935</v>
      </c>
      <c r="C1951" s="182">
        <f>IFERROR(VLOOKUP($B1951,calc_data,C$14+1,0),0)</f>
        <v/>
      </c>
      <c r="D1951" s="182">
        <f>IFERROR(VLOOKUP($B1951,calc_data,D$14+1,0),0)</f>
        <v/>
      </c>
      <c r="E1951" s="183">
        <f>IFERROR(VLOOKUP($B1951,calc_data,E$14+1,0),0)</f>
        <v/>
      </c>
      <c r="F1951" s="182">
        <f>IFERROR(VLOOKUP($B1951,calc_data,F$14+1,0),0)</f>
        <v/>
      </c>
      <c r="G1951" s="141">
        <f>IFERROR(VLOOKUP($B1951,calc_data,G$14+1,0),0)</f>
        <v/>
      </c>
      <c r="H1951" s="141">
        <f>IFERROR(VLOOKUP($B1951,calc_data,H$14+1,0),0)</f>
        <v/>
      </c>
      <c r="I1951" s="142">
        <f>IFERROR(VLOOKUP($B1951,calc_data,I$14+1,0),0)</f>
        <v/>
      </c>
      <c r="J1951" s="141">
        <f>IFERROR(VLOOKUP($B1951,calc_data,J$14+1,0),0)</f>
        <v/>
      </c>
      <c r="K1951" s="141">
        <f>IFERROR(VLOOKUP($B1951,calc_data,K$14+1,0),0)</f>
        <v/>
      </c>
      <c r="L1951" s="141">
        <f>IFERROR(VLOOKUP($B1951,calc_data,L$14+1,0),0)</f>
        <v/>
      </c>
      <c r="M1951" s="177">
        <f>IFERROR(VLOOKUP($B1951,calc_data,M$14+1,0),0)</f>
        <v/>
      </c>
      <c r="N1951" s="177">
        <f>IFERROR(VLOOKUP($B1951,calc_data,N$14+1,0),0)</f>
        <v/>
      </c>
      <c r="O1951" s="45" t="n"/>
      <c r="Q1951" s="57">
        <f>IF(K1951&gt;0,"показать","скрыть")</f>
        <v/>
      </c>
    </row>
    <row r="1952" ht="15.75" customHeight="1">
      <c r="B1952" s="182" t="n">
        <v>1936</v>
      </c>
      <c r="C1952" s="182">
        <f>IFERROR(VLOOKUP($B1952,calc_data,C$14+1,0),0)</f>
        <v/>
      </c>
      <c r="D1952" s="182">
        <f>IFERROR(VLOOKUP($B1952,calc_data,D$14+1,0),0)</f>
        <v/>
      </c>
      <c r="E1952" s="183">
        <f>IFERROR(VLOOKUP($B1952,calc_data,E$14+1,0),0)</f>
        <v/>
      </c>
      <c r="F1952" s="182">
        <f>IFERROR(VLOOKUP($B1952,calc_data,F$14+1,0),0)</f>
        <v/>
      </c>
      <c r="G1952" s="141">
        <f>IFERROR(VLOOKUP($B1952,calc_data,G$14+1,0),0)</f>
        <v/>
      </c>
      <c r="H1952" s="141">
        <f>IFERROR(VLOOKUP($B1952,calc_data,H$14+1,0),0)</f>
        <v/>
      </c>
      <c r="I1952" s="142">
        <f>IFERROR(VLOOKUP($B1952,calc_data,I$14+1,0),0)</f>
        <v/>
      </c>
      <c r="J1952" s="141">
        <f>IFERROR(VLOOKUP($B1952,calc_data,J$14+1,0),0)</f>
        <v/>
      </c>
      <c r="K1952" s="141">
        <f>IFERROR(VLOOKUP($B1952,calc_data,K$14+1,0),0)</f>
        <v/>
      </c>
      <c r="L1952" s="141">
        <f>IFERROR(VLOOKUP($B1952,calc_data,L$14+1,0),0)</f>
        <v/>
      </c>
      <c r="M1952" s="177">
        <f>IFERROR(VLOOKUP($B1952,calc_data,M$14+1,0),0)</f>
        <v/>
      </c>
      <c r="N1952" s="177">
        <f>IFERROR(VLOOKUP($B1952,calc_data,N$14+1,0),0)</f>
        <v/>
      </c>
      <c r="O1952" s="45" t="n"/>
      <c r="Q1952" s="57">
        <f>IF(K1952&gt;0,"показать","скрыть")</f>
        <v/>
      </c>
    </row>
    <row r="1953" ht="15.75" customHeight="1">
      <c r="B1953" s="182" t="n">
        <v>1937</v>
      </c>
      <c r="C1953" s="182">
        <f>IFERROR(VLOOKUP($B1953,calc_data,C$14+1,0),0)</f>
        <v/>
      </c>
      <c r="D1953" s="182">
        <f>IFERROR(VLOOKUP($B1953,calc_data,D$14+1,0),0)</f>
        <v/>
      </c>
      <c r="E1953" s="183">
        <f>IFERROR(VLOOKUP($B1953,calc_data,E$14+1,0),0)</f>
        <v/>
      </c>
      <c r="F1953" s="182">
        <f>IFERROR(VLOOKUP($B1953,calc_data,F$14+1,0),0)</f>
        <v/>
      </c>
      <c r="G1953" s="141">
        <f>IFERROR(VLOOKUP($B1953,calc_data,G$14+1,0),0)</f>
        <v/>
      </c>
      <c r="H1953" s="141">
        <f>IFERROR(VLOOKUP($B1953,calc_data,H$14+1,0),0)</f>
        <v/>
      </c>
      <c r="I1953" s="142">
        <f>IFERROR(VLOOKUP($B1953,calc_data,I$14+1,0),0)</f>
        <v/>
      </c>
      <c r="J1953" s="141">
        <f>IFERROR(VLOOKUP($B1953,calc_data,J$14+1,0),0)</f>
        <v/>
      </c>
      <c r="K1953" s="141">
        <f>IFERROR(VLOOKUP($B1953,calc_data,K$14+1,0),0)</f>
        <v/>
      </c>
      <c r="L1953" s="141">
        <f>IFERROR(VLOOKUP($B1953,calc_data,L$14+1,0),0)</f>
        <v/>
      </c>
      <c r="M1953" s="177">
        <f>IFERROR(VLOOKUP($B1953,calc_data,M$14+1,0),0)</f>
        <v/>
      </c>
      <c r="N1953" s="177">
        <f>IFERROR(VLOOKUP($B1953,calc_data,N$14+1,0),0)</f>
        <v/>
      </c>
      <c r="O1953" s="45" t="n"/>
      <c r="Q1953" s="57">
        <f>IF(K1953&gt;0,"показать","скрыть")</f>
        <v/>
      </c>
    </row>
    <row r="1954" ht="15.75" customHeight="1">
      <c r="B1954" s="182" t="n">
        <v>1938</v>
      </c>
      <c r="C1954" s="182">
        <f>IFERROR(VLOOKUP($B1954,calc_data,C$14+1,0),0)</f>
        <v/>
      </c>
      <c r="D1954" s="182">
        <f>IFERROR(VLOOKUP($B1954,calc_data,D$14+1,0),0)</f>
        <v/>
      </c>
      <c r="E1954" s="183">
        <f>IFERROR(VLOOKUP($B1954,calc_data,E$14+1,0),0)</f>
        <v/>
      </c>
      <c r="F1954" s="182">
        <f>IFERROR(VLOOKUP($B1954,calc_data,F$14+1,0),0)</f>
        <v/>
      </c>
      <c r="G1954" s="141">
        <f>IFERROR(VLOOKUP($B1954,calc_data,G$14+1,0),0)</f>
        <v/>
      </c>
      <c r="H1954" s="141">
        <f>IFERROR(VLOOKUP($B1954,calc_data,H$14+1,0),0)</f>
        <v/>
      </c>
      <c r="I1954" s="142">
        <f>IFERROR(VLOOKUP($B1954,calc_data,I$14+1,0),0)</f>
        <v/>
      </c>
      <c r="J1954" s="141">
        <f>IFERROR(VLOOKUP($B1954,calc_data,J$14+1,0),0)</f>
        <v/>
      </c>
      <c r="K1954" s="141">
        <f>IFERROR(VLOOKUP($B1954,calc_data,K$14+1,0),0)</f>
        <v/>
      </c>
      <c r="L1954" s="141">
        <f>IFERROR(VLOOKUP($B1954,calc_data,L$14+1,0),0)</f>
        <v/>
      </c>
      <c r="M1954" s="177">
        <f>IFERROR(VLOOKUP($B1954,calc_data,M$14+1,0),0)</f>
        <v/>
      </c>
      <c r="N1954" s="177">
        <f>IFERROR(VLOOKUP($B1954,calc_data,N$14+1,0),0)</f>
        <v/>
      </c>
      <c r="O1954" s="45" t="n"/>
      <c r="Q1954" s="57">
        <f>IF(K1954&gt;0,"показать","скрыть")</f>
        <v/>
      </c>
    </row>
    <row r="1955" ht="15.75" customHeight="1">
      <c r="B1955" s="182" t="n">
        <v>1939</v>
      </c>
      <c r="C1955" s="182">
        <f>IFERROR(VLOOKUP($B1955,calc_data,C$14+1,0),0)</f>
        <v/>
      </c>
      <c r="D1955" s="182">
        <f>IFERROR(VLOOKUP($B1955,calc_data,D$14+1,0),0)</f>
        <v/>
      </c>
      <c r="E1955" s="183">
        <f>IFERROR(VLOOKUP($B1955,calc_data,E$14+1,0),0)</f>
        <v/>
      </c>
      <c r="F1955" s="182">
        <f>IFERROR(VLOOKUP($B1955,calc_data,F$14+1,0),0)</f>
        <v/>
      </c>
      <c r="G1955" s="141">
        <f>IFERROR(VLOOKUP($B1955,calc_data,G$14+1,0),0)</f>
        <v/>
      </c>
      <c r="H1955" s="141">
        <f>IFERROR(VLOOKUP($B1955,calc_data,H$14+1,0),0)</f>
        <v/>
      </c>
      <c r="I1955" s="142">
        <f>IFERROR(VLOOKUP($B1955,calc_data,I$14+1,0),0)</f>
        <v/>
      </c>
      <c r="J1955" s="141">
        <f>IFERROR(VLOOKUP($B1955,calc_data,J$14+1,0),0)</f>
        <v/>
      </c>
      <c r="K1955" s="141">
        <f>IFERROR(VLOOKUP($B1955,calc_data,K$14+1,0),0)</f>
        <v/>
      </c>
      <c r="L1955" s="141">
        <f>IFERROR(VLOOKUP($B1955,calc_data,L$14+1,0),0)</f>
        <v/>
      </c>
      <c r="M1955" s="177">
        <f>IFERROR(VLOOKUP($B1955,calc_data,M$14+1,0),0)</f>
        <v/>
      </c>
      <c r="N1955" s="177">
        <f>IFERROR(VLOOKUP($B1955,calc_data,N$14+1,0),0)</f>
        <v/>
      </c>
      <c r="O1955" s="45" t="n"/>
      <c r="Q1955" s="57">
        <f>IF(K1955&gt;0,"показать","скрыть")</f>
        <v/>
      </c>
    </row>
    <row r="1956" ht="15.75" customHeight="1">
      <c r="B1956" s="182" t="n">
        <v>1940</v>
      </c>
      <c r="C1956" s="182">
        <f>IFERROR(VLOOKUP($B1956,calc_data,C$14+1,0),0)</f>
        <v/>
      </c>
      <c r="D1956" s="182">
        <f>IFERROR(VLOOKUP($B1956,calc_data,D$14+1,0),0)</f>
        <v/>
      </c>
      <c r="E1956" s="183">
        <f>IFERROR(VLOOKUP($B1956,calc_data,E$14+1,0),0)</f>
        <v/>
      </c>
      <c r="F1956" s="182">
        <f>IFERROR(VLOOKUP($B1956,calc_data,F$14+1,0),0)</f>
        <v/>
      </c>
      <c r="G1956" s="141">
        <f>IFERROR(VLOOKUP($B1956,calc_data,G$14+1,0),0)</f>
        <v/>
      </c>
      <c r="H1956" s="141">
        <f>IFERROR(VLOOKUP($B1956,calc_data,H$14+1,0),0)</f>
        <v/>
      </c>
      <c r="I1956" s="142">
        <f>IFERROR(VLOOKUP($B1956,calc_data,I$14+1,0),0)</f>
        <v/>
      </c>
      <c r="J1956" s="141">
        <f>IFERROR(VLOOKUP($B1956,calc_data,J$14+1,0),0)</f>
        <v/>
      </c>
      <c r="K1956" s="141">
        <f>IFERROR(VLOOKUP($B1956,calc_data,K$14+1,0),0)</f>
        <v/>
      </c>
      <c r="L1956" s="141">
        <f>IFERROR(VLOOKUP($B1956,calc_data,L$14+1,0),0)</f>
        <v/>
      </c>
      <c r="M1956" s="177">
        <f>IFERROR(VLOOKUP($B1956,calc_data,M$14+1,0),0)</f>
        <v/>
      </c>
      <c r="N1956" s="177">
        <f>IFERROR(VLOOKUP($B1956,calc_data,N$14+1,0),0)</f>
        <v/>
      </c>
      <c r="O1956" s="45" t="n"/>
      <c r="Q1956" s="57">
        <f>IF(K1956&gt;0,"показать","скрыть")</f>
        <v/>
      </c>
    </row>
    <row r="1957" ht="15.75" customHeight="1">
      <c r="B1957" s="182" t="n">
        <v>1941</v>
      </c>
      <c r="C1957" s="182">
        <f>IFERROR(VLOOKUP($B1957,calc_data,C$14+1,0),0)</f>
        <v/>
      </c>
      <c r="D1957" s="182">
        <f>IFERROR(VLOOKUP($B1957,calc_data,D$14+1,0),0)</f>
        <v/>
      </c>
      <c r="E1957" s="183">
        <f>IFERROR(VLOOKUP($B1957,calc_data,E$14+1,0),0)</f>
        <v/>
      </c>
      <c r="F1957" s="182">
        <f>IFERROR(VLOOKUP($B1957,calc_data,F$14+1,0),0)</f>
        <v/>
      </c>
      <c r="G1957" s="141">
        <f>IFERROR(VLOOKUP($B1957,calc_data,G$14+1,0),0)</f>
        <v/>
      </c>
      <c r="H1957" s="141">
        <f>IFERROR(VLOOKUP($B1957,calc_data,H$14+1,0),0)</f>
        <v/>
      </c>
      <c r="I1957" s="142">
        <f>IFERROR(VLOOKUP($B1957,calc_data,I$14+1,0),0)</f>
        <v/>
      </c>
      <c r="J1957" s="141">
        <f>IFERROR(VLOOKUP($B1957,calc_data,J$14+1,0),0)</f>
        <v/>
      </c>
      <c r="K1957" s="141">
        <f>IFERROR(VLOOKUP($B1957,calc_data,K$14+1,0),0)</f>
        <v/>
      </c>
      <c r="L1957" s="141">
        <f>IFERROR(VLOOKUP($B1957,calc_data,L$14+1,0),0)</f>
        <v/>
      </c>
      <c r="M1957" s="177">
        <f>IFERROR(VLOOKUP($B1957,calc_data,M$14+1,0),0)</f>
        <v/>
      </c>
      <c r="N1957" s="177">
        <f>IFERROR(VLOOKUP($B1957,calc_data,N$14+1,0),0)</f>
        <v/>
      </c>
      <c r="O1957" s="45" t="n"/>
      <c r="Q1957" s="57">
        <f>IF(K1957&gt;0,"показать","скрыть")</f>
        <v/>
      </c>
    </row>
    <row r="1958" ht="15.75" customHeight="1">
      <c r="B1958" s="182" t="n">
        <v>1942</v>
      </c>
      <c r="C1958" s="182">
        <f>IFERROR(VLOOKUP($B1958,calc_data,C$14+1,0),0)</f>
        <v/>
      </c>
      <c r="D1958" s="182">
        <f>IFERROR(VLOOKUP($B1958,calc_data,D$14+1,0),0)</f>
        <v/>
      </c>
      <c r="E1958" s="183">
        <f>IFERROR(VLOOKUP($B1958,calc_data,E$14+1,0),0)</f>
        <v/>
      </c>
      <c r="F1958" s="182">
        <f>IFERROR(VLOOKUP($B1958,calc_data,F$14+1,0),0)</f>
        <v/>
      </c>
      <c r="G1958" s="141">
        <f>IFERROR(VLOOKUP($B1958,calc_data,G$14+1,0),0)</f>
        <v/>
      </c>
      <c r="H1958" s="141">
        <f>IFERROR(VLOOKUP($B1958,calc_data,H$14+1,0),0)</f>
        <v/>
      </c>
      <c r="I1958" s="142">
        <f>IFERROR(VLOOKUP($B1958,calc_data,I$14+1,0),0)</f>
        <v/>
      </c>
      <c r="J1958" s="141">
        <f>IFERROR(VLOOKUP($B1958,calc_data,J$14+1,0),0)</f>
        <v/>
      </c>
      <c r="K1958" s="141">
        <f>IFERROR(VLOOKUP($B1958,calc_data,K$14+1,0),0)</f>
        <v/>
      </c>
      <c r="L1958" s="141">
        <f>IFERROR(VLOOKUP($B1958,calc_data,L$14+1,0),0)</f>
        <v/>
      </c>
      <c r="M1958" s="177">
        <f>IFERROR(VLOOKUP($B1958,calc_data,M$14+1,0),0)</f>
        <v/>
      </c>
      <c r="N1958" s="177">
        <f>IFERROR(VLOOKUP($B1958,calc_data,N$14+1,0),0)</f>
        <v/>
      </c>
      <c r="O1958" s="45" t="n"/>
      <c r="Q1958" s="57">
        <f>IF(K1958&gt;0,"показать","скрыть")</f>
        <v/>
      </c>
    </row>
    <row r="1959" ht="15.75" customHeight="1">
      <c r="B1959" s="182" t="n">
        <v>1943</v>
      </c>
      <c r="C1959" s="182">
        <f>IFERROR(VLOOKUP($B1959,calc_data,C$14+1,0),0)</f>
        <v/>
      </c>
      <c r="D1959" s="182">
        <f>IFERROR(VLOOKUP($B1959,calc_data,D$14+1,0),0)</f>
        <v/>
      </c>
      <c r="E1959" s="183">
        <f>IFERROR(VLOOKUP($B1959,calc_data,E$14+1,0),0)</f>
        <v/>
      </c>
      <c r="F1959" s="182">
        <f>IFERROR(VLOOKUP($B1959,calc_data,F$14+1,0),0)</f>
        <v/>
      </c>
      <c r="G1959" s="141">
        <f>IFERROR(VLOOKUP($B1959,calc_data,G$14+1,0),0)</f>
        <v/>
      </c>
      <c r="H1959" s="141">
        <f>IFERROR(VLOOKUP($B1959,calc_data,H$14+1,0),0)</f>
        <v/>
      </c>
      <c r="I1959" s="142">
        <f>IFERROR(VLOOKUP($B1959,calc_data,I$14+1,0),0)</f>
        <v/>
      </c>
      <c r="J1959" s="141">
        <f>IFERROR(VLOOKUP($B1959,calc_data,J$14+1,0),0)</f>
        <v/>
      </c>
      <c r="K1959" s="141">
        <f>IFERROR(VLOOKUP($B1959,calc_data,K$14+1,0),0)</f>
        <v/>
      </c>
      <c r="L1959" s="141">
        <f>IFERROR(VLOOKUP($B1959,calc_data,L$14+1,0),0)</f>
        <v/>
      </c>
      <c r="M1959" s="177">
        <f>IFERROR(VLOOKUP($B1959,calc_data,M$14+1,0),0)</f>
        <v/>
      </c>
      <c r="N1959" s="177">
        <f>IFERROR(VLOOKUP($B1959,calc_data,N$14+1,0),0)</f>
        <v/>
      </c>
      <c r="O1959" s="45" t="n"/>
      <c r="Q1959" s="57">
        <f>IF(K1959&gt;0,"показать","скрыть")</f>
        <v/>
      </c>
    </row>
    <row r="1960" ht="15.75" customHeight="1">
      <c r="B1960" s="182" t="n">
        <v>1944</v>
      </c>
      <c r="C1960" s="182">
        <f>IFERROR(VLOOKUP($B1960,calc_data,C$14+1,0),0)</f>
        <v/>
      </c>
      <c r="D1960" s="182">
        <f>IFERROR(VLOOKUP($B1960,calc_data,D$14+1,0),0)</f>
        <v/>
      </c>
      <c r="E1960" s="183">
        <f>IFERROR(VLOOKUP($B1960,calc_data,E$14+1,0),0)</f>
        <v/>
      </c>
      <c r="F1960" s="182">
        <f>IFERROR(VLOOKUP($B1960,calc_data,F$14+1,0),0)</f>
        <v/>
      </c>
      <c r="G1960" s="141">
        <f>IFERROR(VLOOKUP($B1960,calc_data,G$14+1,0),0)</f>
        <v/>
      </c>
      <c r="H1960" s="141">
        <f>IFERROR(VLOOKUP($B1960,calc_data,H$14+1,0),0)</f>
        <v/>
      </c>
      <c r="I1960" s="142">
        <f>IFERROR(VLOOKUP($B1960,calc_data,I$14+1,0),0)</f>
        <v/>
      </c>
      <c r="J1960" s="141">
        <f>IFERROR(VLOOKUP($B1960,calc_data,J$14+1,0),0)</f>
        <v/>
      </c>
      <c r="K1960" s="141">
        <f>IFERROR(VLOOKUP($B1960,calc_data,K$14+1,0),0)</f>
        <v/>
      </c>
      <c r="L1960" s="141">
        <f>IFERROR(VLOOKUP($B1960,calc_data,L$14+1,0),0)</f>
        <v/>
      </c>
      <c r="M1960" s="177">
        <f>IFERROR(VLOOKUP($B1960,calc_data,M$14+1,0),0)</f>
        <v/>
      </c>
      <c r="N1960" s="177">
        <f>IFERROR(VLOOKUP($B1960,calc_data,N$14+1,0),0)</f>
        <v/>
      </c>
      <c r="O1960" s="45" t="n"/>
      <c r="Q1960" s="57">
        <f>IF(K1960&gt;0,"показать","скрыть")</f>
        <v/>
      </c>
    </row>
    <row r="1961" ht="15.75" customHeight="1">
      <c r="B1961" s="182" t="n">
        <v>1945</v>
      </c>
      <c r="C1961" s="182">
        <f>IFERROR(VLOOKUP($B1961,calc_data,C$14+1,0),0)</f>
        <v/>
      </c>
      <c r="D1961" s="182">
        <f>IFERROR(VLOOKUP($B1961,calc_data,D$14+1,0),0)</f>
        <v/>
      </c>
      <c r="E1961" s="183">
        <f>IFERROR(VLOOKUP($B1961,calc_data,E$14+1,0),0)</f>
        <v/>
      </c>
      <c r="F1961" s="182">
        <f>IFERROR(VLOOKUP($B1961,calc_data,F$14+1,0),0)</f>
        <v/>
      </c>
      <c r="G1961" s="141">
        <f>IFERROR(VLOOKUP($B1961,calc_data,G$14+1,0),0)</f>
        <v/>
      </c>
      <c r="H1961" s="141">
        <f>IFERROR(VLOOKUP($B1961,calc_data,H$14+1,0),0)</f>
        <v/>
      </c>
      <c r="I1961" s="142">
        <f>IFERROR(VLOOKUP($B1961,calc_data,I$14+1,0),0)</f>
        <v/>
      </c>
      <c r="J1961" s="141">
        <f>IFERROR(VLOOKUP($B1961,calc_data,J$14+1,0),0)</f>
        <v/>
      </c>
      <c r="K1961" s="141">
        <f>IFERROR(VLOOKUP($B1961,calc_data,K$14+1,0),0)</f>
        <v/>
      </c>
      <c r="L1961" s="141">
        <f>IFERROR(VLOOKUP($B1961,calc_data,L$14+1,0),0)</f>
        <v/>
      </c>
      <c r="M1961" s="177">
        <f>IFERROR(VLOOKUP($B1961,calc_data,M$14+1,0),0)</f>
        <v/>
      </c>
      <c r="N1961" s="177">
        <f>IFERROR(VLOOKUP($B1961,calc_data,N$14+1,0),0)</f>
        <v/>
      </c>
      <c r="O1961" s="45" t="n"/>
      <c r="Q1961" s="57">
        <f>IF(K1961&gt;0,"показать","скрыть")</f>
        <v/>
      </c>
    </row>
    <row r="1962" ht="15.75" customHeight="1">
      <c r="B1962" s="182" t="n">
        <v>1946</v>
      </c>
      <c r="C1962" s="182">
        <f>IFERROR(VLOOKUP($B1962,calc_data,C$14+1,0),0)</f>
        <v/>
      </c>
      <c r="D1962" s="182">
        <f>IFERROR(VLOOKUP($B1962,calc_data,D$14+1,0),0)</f>
        <v/>
      </c>
      <c r="E1962" s="183">
        <f>IFERROR(VLOOKUP($B1962,calc_data,E$14+1,0),0)</f>
        <v/>
      </c>
      <c r="F1962" s="182">
        <f>IFERROR(VLOOKUP($B1962,calc_data,F$14+1,0),0)</f>
        <v/>
      </c>
      <c r="G1962" s="141">
        <f>IFERROR(VLOOKUP($B1962,calc_data,G$14+1,0),0)</f>
        <v/>
      </c>
      <c r="H1962" s="141">
        <f>IFERROR(VLOOKUP($B1962,calc_data,H$14+1,0),0)</f>
        <v/>
      </c>
      <c r="I1962" s="142">
        <f>IFERROR(VLOOKUP($B1962,calc_data,I$14+1,0),0)</f>
        <v/>
      </c>
      <c r="J1962" s="141">
        <f>IFERROR(VLOOKUP($B1962,calc_data,J$14+1,0),0)</f>
        <v/>
      </c>
      <c r="K1962" s="141">
        <f>IFERROR(VLOOKUP($B1962,calc_data,K$14+1,0),0)</f>
        <v/>
      </c>
      <c r="L1962" s="141">
        <f>IFERROR(VLOOKUP($B1962,calc_data,L$14+1,0),0)</f>
        <v/>
      </c>
      <c r="M1962" s="177">
        <f>IFERROR(VLOOKUP($B1962,calc_data,M$14+1,0),0)</f>
        <v/>
      </c>
      <c r="N1962" s="177">
        <f>IFERROR(VLOOKUP($B1962,calc_data,N$14+1,0),0)</f>
        <v/>
      </c>
      <c r="O1962" s="45" t="n"/>
      <c r="Q1962" s="57">
        <f>IF(K1962&gt;0,"показать","скрыть")</f>
        <v/>
      </c>
    </row>
    <row r="1963" ht="15.75" customHeight="1">
      <c r="B1963" s="182" t="n">
        <v>1947</v>
      </c>
      <c r="C1963" s="182">
        <f>IFERROR(VLOOKUP($B1963,calc_data,C$14+1,0),0)</f>
        <v/>
      </c>
      <c r="D1963" s="182">
        <f>IFERROR(VLOOKUP($B1963,calc_data,D$14+1,0),0)</f>
        <v/>
      </c>
      <c r="E1963" s="183">
        <f>IFERROR(VLOOKUP($B1963,calc_data,E$14+1,0),0)</f>
        <v/>
      </c>
      <c r="F1963" s="182">
        <f>IFERROR(VLOOKUP($B1963,calc_data,F$14+1,0),0)</f>
        <v/>
      </c>
      <c r="G1963" s="141">
        <f>IFERROR(VLOOKUP($B1963,calc_data,G$14+1,0),0)</f>
        <v/>
      </c>
      <c r="H1963" s="141">
        <f>IFERROR(VLOOKUP($B1963,calc_data,H$14+1,0),0)</f>
        <v/>
      </c>
      <c r="I1963" s="142">
        <f>IFERROR(VLOOKUP($B1963,calc_data,I$14+1,0),0)</f>
        <v/>
      </c>
      <c r="J1963" s="141">
        <f>IFERROR(VLOOKUP($B1963,calc_data,J$14+1,0),0)</f>
        <v/>
      </c>
      <c r="K1963" s="141">
        <f>IFERROR(VLOOKUP($B1963,calc_data,K$14+1,0),0)</f>
        <v/>
      </c>
      <c r="L1963" s="141">
        <f>IFERROR(VLOOKUP($B1963,calc_data,L$14+1,0),0)</f>
        <v/>
      </c>
      <c r="M1963" s="177">
        <f>IFERROR(VLOOKUP($B1963,calc_data,M$14+1,0),0)</f>
        <v/>
      </c>
      <c r="N1963" s="177">
        <f>IFERROR(VLOOKUP($B1963,calc_data,N$14+1,0),0)</f>
        <v/>
      </c>
      <c r="O1963" s="45" t="n"/>
      <c r="Q1963" s="57">
        <f>IF(K1963&gt;0,"показать","скрыть")</f>
        <v/>
      </c>
    </row>
    <row r="1964" ht="15.75" customHeight="1">
      <c r="B1964" s="182" t="n">
        <v>1948</v>
      </c>
      <c r="C1964" s="182">
        <f>IFERROR(VLOOKUP($B1964,calc_data,C$14+1,0),0)</f>
        <v/>
      </c>
      <c r="D1964" s="182">
        <f>IFERROR(VLOOKUP($B1964,calc_data,D$14+1,0),0)</f>
        <v/>
      </c>
      <c r="E1964" s="183">
        <f>IFERROR(VLOOKUP($B1964,calc_data,E$14+1,0),0)</f>
        <v/>
      </c>
      <c r="F1964" s="182">
        <f>IFERROR(VLOOKUP($B1964,calc_data,F$14+1,0),0)</f>
        <v/>
      </c>
      <c r="G1964" s="141">
        <f>IFERROR(VLOOKUP($B1964,calc_data,G$14+1,0),0)</f>
        <v/>
      </c>
      <c r="H1964" s="141">
        <f>IFERROR(VLOOKUP($B1964,calc_data,H$14+1,0),0)</f>
        <v/>
      </c>
      <c r="I1964" s="142">
        <f>IFERROR(VLOOKUP($B1964,calc_data,I$14+1,0),0)</f>
        <v/>
      </c>
      <c r="J1964" s="141">
        <f>IFERROR(VLOOKUP($B1964,calc_data,J$14+1,0),0)</f>
        <v/>
      </c>
      <c r="K1964" s="141">
        <f>IFERROR(VLOOKUP($B1964,calc_data,K$14+1,0),0)</f>
        <v/>
      </c>
      <c r="L1964" s="141">
        <f>IFERROR(VLOOKUP($B1964,calc_data,L$14+1,0),0)</f>
        <v/>
      </c>
      <c r="M1964" s="177">
        <f>IFERROR(VLOOKUP($B1964,calc_data,M$14+1,0),0)</f>
        <v/>
      </c>
      <c r="N1964" s="177">
        <f>IFERROR(VLOOKUP($B1964,calc_data,N$14+1,0),0)</f>
        <v/>
      </c>
      <c r="O1964" s="45" t="n"/>
      <c r="Q1964" s="57">
        <f>IF(K1964&gt;0,"показать","скрыть")</f>
        <v/>
      </c>
    </row>
    <row r="1965" ht="15.75" customHeight="1">
      <c r="B1965" s="182" t="n">
        <v>1949</v>
      </c>
      <c r="C1965" s="182">
        <f>IFERROR(VLOOKUP($B1965,calc_data,C$14+1,0),0)</f>
        <v/>
      </c>
      <c r="D1965" s="182">
        <f>IFERROR(VLOOKUP($B1965,calc_data,D$14+1,0),0)</f>
        <v/>
      </c>
      <c r="E1965" s="183">
        <f>IFERROR(VLOOKUP($B1965,calc_data,E$14+1,0),0)</f>
        <v/>
      </c>
      <c r="F1965" s="182">
        <f>IFERROR(VLOOKUP($B1965,calc_data,F$14+1,0),0)</f>
        <v/>
      </c>
      <c r="G1965" s="141">
        <f>IFERROR(VLOOKUP($B1965,calc_data,G$14+1,0),0)</f>
        <v/>
      </c>
      <c r="H1965" s="141">
        <f>IFERROR(VLOOKUP($B1965,calc_data,H$14+1,0),0)</f>
        <v/>
      </c>
      <c r="I1965" s="142">
        <f>IFERROR(VLOOKUP($B1965,calc_data,I$14+1,0),0)</f>
        <v/>
      </c>
      <c r="J1965" s="141">
        <f>IFERROR(VLOOKUP($B1965,calc_data,J$14+1,0),0)</f>
        <v/>
      </c>
      <c r="K1965" s="141">
        <f>IFERROR(VLOOKUP($B1965,calc_data,K$14+1,0),0)</f>
        <v/>
      </c>
      <c r="L1965" s="141">
        <f>IFERROR(VLOOKUP($B1965,calc_data,L$14+1,0),0)</f>
        <v/>
      </c>
      <c r="M1965" s="177">
        <f>IFERROR(VLOOKUP($B1965,calc_data,M$14+1,0),0)</f>
        <v/>
      </c>
      <c r="N1965" s="177">
        <f>IFERROR(VLOOKUP($B1965,calc_data,N$14+1,0),0)</f>
        <v/>
      </c>
      <c r="O1965" s="45" t="n"/>
      <c r="Q1965" s="57">
        <f>IF(K1965&gt;0,"показать","скрыть")</f>
        <v/>
      </c>
    </row>
    <row r="1966" ht="15.75" customHeight="1">
      <c r="B1966" s="182" t="n">
        <v>1950</v>
      </c>
      <c r="C1966" s="182">
        <f>IFERROR(VLOOKUP($B1966,calc_data,C$14+1,0),0)</f>
        <v/>
      </c>
      <c r="D1966" s="182">
        <f>IFERROR(VLOOKUP($B1966,calc_data,D$14+1,0),0)</f>
        <v/>
      </c>
      <c r="E1966" s="183">
        <f>IFERROR(VLOOKUP($B1966,calc_data,E$14+1,0),0)</f>
        <v/>
      </c>
      <c r="F1966" s="182">
        <f>IFERROR(VLOOKUP($B1966,calc_data,F$14+1,0),0)</f>
        <v/>
      </c>
      <c r="G1966" s="141">
        <f>IFERROR(VLOOKUP($B1966,calc_data,G$14+1,0),0)</f>
        <v/>
      </c>
      <c r="H1966" s="141">
        <f>IFERROR(VLOOKUP($B1966,calc_data,H$14+1,0),0)</f>
        <v/>
      </c>
      <c r="I1966" s="142">
        <f>IFERROR(VLOOKUP($B1966,calc_data,I$14+1,0),0)</f>
        <v/>
      </c>
      <c r="J1966" s="141">
        <f>IFERROR(VLOOKUP($B1966,calc_data,J$14+1,0),0)</f>
        <v/>
      </c>
      <c r="K1966" s="141">
        <f>IFERROR(VLOOKUP($B1966,calc_data,K$14+1,0),0)</f>
        <v/>
      </c>
      <c r="L1966" s="141">
        <f>IFERROR(VLOOKUP($B1966,calc_data,L$14+1,0),0)</f>
        <v/>
      </c>
      <c r="M1966" s="177">
        <f>IFERROR(VLOOKUP($B1966,calc_data,M$14+1,0),0)</f>
        <v/>
      </c>
      <c r="N1966" s="177">
        <f>IFERROR(VLOOKUP($B1966,calc_data,N$14+1,0),0)</f>
        <v/>
      </c>
      <c r="O1966" s="45" t="n"/>
      <c r="Q1966" s="57">
        <f>IF(K1966&gt;0,"показать","скрыть")</f>
        <v/>
      </c>
    </row>
    <row r="1967" ht="15.75" customHeight="1">
      <c r="B1967" s="182" t="n">
        <v>1951</v>
      </c>
      <c r="C1967" s="182">
        <f>IFERROR(VLOOKUP($B1967,calc_data,C$14+1,0),0)</f>
        <v/>
      </c>
      <c r="D1967" s="182">
        <f>IFERROR(VLOOKUP($B1967,calc_data,D$14+1,0),0)</f>
        <v/>
      </c>
      <c r="E1967" s="183">
        <f>IFERROR(VLOOKUP($B1967,calc_data,E$14+1,0),0)</f>
        <v/>
      </c>
      <c r="F1967" s="182">
        <f>IFERROR(VLOOKUP($B1967,calc_data,F$14+1,0),0)</f>
        <v/>
      </c>
      <c r="G1967" s="141">
        <f>IFERROR(VLOOKUP($B1967,calc_data,G$14+1,0),0)</f>
        <v/>
      </c>
      <c r="H1967" s="141">
        <f>IFERROR(VLOOKUP($B1967,calc_data,H$14+1,0),0)</f>
        <v/>
      </c>
      <c r="I1967" s="142">
        <f>IFERROR(VLOOKUP($B1967,calc_data,I$14+1,0),0)</f>
        <v/>
      </c>
      <c r="J1967" s="141">
        <f>IFERROR(VLOOKUP($B1967,calc_data,J$14+1,0),0)</f>
        <v/>
      </c>
      <c r="K1967" s="141">
        <f>IFERROR(VLOOKUP($B1967,calc_data,K$14+1,0),0)</f>
        <v/>
      </c>
      <c r="L1967" s="141">
        <f>IFERROR(VLOOKUP($B1967,calc_data,L$14+1,0),0)</f>
        <v/>
      </c>
      <c r="M1967" s="177">
        <f>IFERROR(VLOOKUP($B1967,calc_data,M$14+1,0),0)</f>
        <v/>
      </c>
      <c r="N1967" s="177">
        <f>IFERROR(VLOOKUP($B1967,calc_data,N$14+1,0),0)</f>
        <v/>
      </c>
      <c r="O1967" s="45" t="n"/>
      <c r="Q1967" s="57">
        <f>IF(K1967&gt;0,"показать","скрыть")</f>
        <v/>
      </c>
    </row>
    <row r="1968" ht="15.75" customHeight="1">
      <c r="B1968" s="182" t="n">
        <v>1952</v>
      </c>
      <c r="C1968" s="182">
        <f>IFERROR(VLOOKUP($B1968,calc_data,C$14+1,0),0)</f>
        <v/>
      </c>
      <c r="D1968" s="182">
        <f>IFERROR(VLOOKUP($B1968,calc_data,D$14+1,0),0)</f>
        <v/>
      </c>
      <c r="E1968" s="183">
        <f>IFERROR(VLOOKUP($B1968,calc_data,E$14+1,0),0)</f>
        <v/>
      </c>
      <c r="F1968" s="182">
        <f>IFERROR(VLOOKUP($B1968,calc_data,F$14+1,0),0)</f>
        <v/>
      </c>
      <c r="G1968" s="141">
        <f>IFERROR(VLOOKUP($B1968,calc_data,G$14+1,0),0)</f>
        <v/>
      </c>
      <c r="H1968" s="141">
        <f>IFERROR(VLOOKUP($B1968,calc_data,H$14+1,0),0)</f>
        <v/>
      </c>
      <c r="I1968" s="142">
        <f>IFERROR(VLOOKUP($B1968,calc_data,I$14+1,0),0)</f>
        <v/>
      </c>
      <c r="J1968" s="141">
        <f>IFERROR(VLOOKUP($B1968,calc_data,J$14+1,0),0)</f>
        <v/>
      </c>
      <c r="K1968" s="141">
        <f>IFERROR(VLOOKUP($B1968,calc_data,K$14+1,0),0)</f>
        <v/>
      </c>
      <c r="L1968" s="141">
        <f>IFERROR(VLOOKUP($B1968,calc_data,L$14+1,0),0)</f>
        <v/>
      </c>
      <c r="M1968" s="177">
        <f>IFERROR(VLOOKUP($B1968,calc_data,M$14+1,0),0)</f>
        <v/>
      </c>
      <c r="N1968" s="177">
        <f>IFERROR(VLOOKUP($B1968,calc_data,N$14+1,0),0)</f>
        <v/>
      </c>
      <c r="O1968" s="45" t="n"/>
      <c r="Q1968" s="57">
        <f>IF(K1968&gt;0,"показать","скрыть")</f>
        <v/>
      </c>
    </row>
    <row r="1969" ht="15.75" customHeight="1">
      <c r="B1969" s="182" t="n">
        <v>1953</v>
      </c>
      <c r="C1969" s="182">
        <f>IFERROR(VLOOKUP($B1969,calc_data,C$14+1,0),0)</f>
        <v/>
      </c>
      <c r="D1969" s="182">
        <f>IFERROR(VLOOKUP($B1969,calc_data,D$14+1,0),0)</f>
        <v/>
      </c>
      <c r="E1969" s="183">
        <f>IFERROR(VLOOKUP($B1969,calc_data,E$14+1,0),0)</f>
        <v/>
      </c>
      <c r="F1969" s="182">
        <f>IFERROR(VLOOKUP($B1969,calc_data,F$14+1,0),0)</f>
        <v/>
      </c>
      <c r="G1969" s="141">
        <f>IFERROR(VLOOKUP($B1969,calc_data,G$14+1,0),0)</f>
        <v/>
      </c>
      <c r="H1969" s="141">
        <f>IFERROR(VLOOKUP($B1969,calc_data,H$14+1,0),0)</f>
        <v/>
      </c>
      <c r="I1969" s="142">
        <f>IFERROR(VLOOKUP($B1969,calc_data,I$14+1,0),0)</f>
        <v/>
      </c>
      <c r="J1969" s="141">
        <f>IFERROR(VLOOKUP($B1969,calc_data,J$14+1,0),0)</f>
        <v/>
      </c>
      <c r="K1969" s="141">
        <f>IFERROR(VLOOKUP($B1969,calc_data,K$14+1,0),0)</f>
        <v/>
      </c>
      <c r="L1969" s="141">
        <f>IFERROR(VLOOKUP($B1969,calc_data,L$14+1,0),0)</f>
        <v/>
      </c>
      <c r="M1969" s="177">
        <f>IFERROR(VLOOKUP($B1969,calc_data,M$14+1,0),0)</f>
        <v/>
      </c>
      <c r="N1969" s="177">
        <f>IFERROR(VLOOKUP($B1969,calc_data,N$14+1,0),0)</f>
        <v/>
      </c>
      <c r="O1969" s="45" t="n"/>
      <c r="Q1969" s="57">
        <f>IF(K1969&gt;0,"показать","скрыть")</f>
        <v/>
      </c>
    </row>
    <row r="1970" ht="15.75" customHeight="1">
      <c r="B1970" s="182" t="n">
        <v>1954</v>
      </c>
      <c r="C1970" s="182">
        <f>IFERROR(VLOOKUP($B1970,calc_data,C$14+1,0),0)</f>
        <v/>
      </c>
      <c r="D1970" s="182">
        <f>IFERROR(VLOOKUP($B1970,calc_data,D$14+1,0),0)</f>
        <v/>
      </c>
      <c r="E1970" s="183">
        <f>IFERROR(VLOOKUP($B1970,calc_data,E$14+1,0),0)</f>
        <v/>
      </c>
      <c r="F1970" s="182">
        <f>IFERROR(VLOOKUP($B1970,calc_data,F$14+1,0),0)</f>
        <v/>
      </c>
      <c r="G1970" s="141">
        <f>IFERROR(VLOOKUP($B1970,calc_data,G$14+1,0),0)</f>
        <v/>
      </c>
      <c r="H1970" s="141">
        <f>IFERROR(VLOOKUP($B1970,calc_data,H$14+1,0),0)</f>
        <v/>
      </c>
      <c r="I1970" s="142">
        <f>IFERROR(VLOOKUP($B1970,calc_data,I$14+1,0),0)</f>
        <v/>
      </c>
      <c r="J1970" s="141">
        <f>IFERROR(VLOOKUP($B1970,calc_data,J$14+1,0),0)</f>
        <v/>
      </c>
      <c r="K1970" s="141">
        <f>IFERROR(VLOOKUP($B1970,calc_data,K$14+1,0),0)</f>
        <v/>
      </c>
      <c r="L1970" s="141">
        <f>IFERROR(VLOOKUP($B1970,calc_data,L$14+1,0),0)</f>
        <v/>
      </c>
      <c r="M1970" s="177">
        <f>IFERROR(VLOOKUP($B1970,calc_data,M$14+1,0),0)</f>
        <v/>
      </c>
      <c r="N1970" s="177">
        <f>IFERROR(VLOOKUP($B1970,calc_data,N$14+1,0),0)</f>
        <v/>
      </c>
      <c r="O1970" s="45" t="n"/>
      <c r="Q1970" s="57">
        <f>IF(K1970&gt;0,"показать","скрыть")</f>
        <v/>
      </c>
    </row>
    <row r="1971" ht="15.75" customHeight="1">
      <c r="B1971" s="182" t="n">
        <v>1955</v>
      </c>
      <c r="C1971" s="182">
        <f>IFERROR(VLOOKUP($B1971,calc_data,C$14+1,0),0)</f>
        <v/>
      </c>
      <c r="D1971" s="182">
        <f>IFERROR(VLOOKUP($B1971,calc_data,D$14+1,0),0)</f>
        <v/>
      </c>
      <c r="E1971" s="183">
        <f>IFERROR(VLOOKUP($B1971,calc_data,E$14+1,0),0)</f>
        <v/>
      </c>
      <c r="F1971" s="182">
        <f>IFERROR(VLOOKUP($B1971,calc_data,F$14+1,0),0)</f>
        <v/>
      </c>
      <c r="G1971" s="141">
        <f>IFERROR(VLOOKUP($B1971,calc_data,G$14+1,0),0)</f>
        <v/>
      </c>
      <c r="H1971" s="141">
        <f>IFERROR(VLOOKUP($B1971,calc_data,H$14+1,0),0)</f>
        <v/>
      </c>
      <c r="I1971" s="142">
        <f>IFERROR(VLOOKUP($B1971,calc_data,I$14+1,0),0)</f>
        <v/>
      </c>
      <c r="J1971" s="141">
        <f>IFERROR(VLOOKUP($B1971,calc_data,J$14+1,0),0)</f>
        <v/>
      </c>
      <c r="K1971" s="141">
        <f>IFERROR(VLOOKUP($B1971,calc_data,K$14+1,0),0)</f>
        <v/>
      </c>
      <c r="L1971" s="141">
        <f>IFERROR(VLOOKUP($B1971,calc_data,L$14+1,0),0)</f>
        <v/>
      </c>
      <c r="M1971" s="177">
        <f>IFERROR(VLOOKUP($B1971,calc_data,M$14+1,0),0)</f>
        <v/>
      </c>
      <c r="N1971" s="177">
        <f>IFERROR(VLOOKUP($B1971,calc_data,N$14+1,0),0)</f>
        <v/>
      </c>
      <c r="O1971" s="45" t="n"/>
      <c r="Q1971" s="57">
        <f>IF(K1971&gt;0,"показать","скрыть")</f>
        <v/>
      </c>
    </row>
    <row r="1972" ht="15.75" customHeight="1">
      <c r="B1972" s="182" t="n">
        <v>1956</v>
      </c>
      <c r="C1972" s="182">
        <f>IFERROR(VLOOKUP($B1972,calc_data,C$14+1,0),0)</f>
        <v/>
      </c>
      <c r="D1972" s="182">
        <f>IFERROR(VLOOKUP($B1972,calc_data,D$14+1,0),0)</f>
        <v/>
      </c>
      <c r="E1972" s="183">
        <f>IFERROR(VLOOKUP($B1972,calc_data,E$14+1,0),0)</f>
        <v/>
      </c>
      <c r="F1972" s="182">
        <f>IFERROR(VLOOKUP($B1972,calc_data,F$14+1,0),0)</f>
        <v/>
      </c>
      <c r="G1972" s="141">
        <f>IFERROR(VLOOKUP($B1972,calc_data,G$14+1,0),0)</f>
        <v/>
      </c>
      <c r="H1972" s="141">
        <f>IFERROR(VLOOKUP($B1972,calc_data,H$14+1,0),0)</f>
        <v/>
      </c>
      <c r="I1972" s="142">
        <f>IFERROR(VLOOKUP($B1972,calc_data,I$14+1,0),0)</f>
        <v/>
      </c>
      <c r="J1972" s="141">
        <f>IFERROR(VLOOKUP($B1972,calc_data,J$14+1,0),0)</f>
        <v/>
      </c>
      <c r="K1972" s="141">
        <f>IFERROR(VLOOKUP($B1972,calc_data,K$14+1,0),0)</f>
        <v/>
      </c>
      <c r="L1972" s="141">
        <f>IFERROR(VLOOKUP($B1972,calc_data,L$14+1,0),0)</f>
        <v/>
      </c>
      <c r="M1972" s="177">
        <f>IFERROR(VLOOKUP($B1972,calc_data,M$14+1,0),0)</f>
        <v/>
      </c>
      <c r="N1972" s="177">
        <f>IFERROR(VLOOKUP($B1972,calc_data,N$14+1,0),0)</f>
        <v/>
      </c>
      <c r="O1972" s="45" t="n"/>
      <c r="Q1972" s="57">
        <f>IF(K1972&gt;0,"показать","скрыть")</f>
        <v/>
      </c>
    </row>
    <row r="1973" ht="15.75" customHeight="1">
      <c r="B1973" s="182" t="n">
        <v>1957</v>
      </c>
      <c r="C1973" s="182">
        <f>IFERROR(VLOOKUP($B1973,calc_data,C$14+1,0),0)</f>
        <v/>
      </c>
      <c r="D1973" s="182">
        <f>IFERROR(VLOOKUP($B1973,calc_data,D$14+1,0),0)</f>
        <v/>
      </c>
      <c r="E1973" s="183">
        <f>IFERROR(VLOOKUP($B1973,calc_data,E$14+1,0),0)</f>
        <v/>
      </c>
      <c r="F1973" s="182">
        <f>IFERROR(VLOOKUP($B1973,calc_data,F$14+1,0),0)</f>
        <v/>
      </c>
      <c r="G1973" s="141">
        <f>IFERROR(VLOOKUP($B1973,calc_data,G$14+1,0),0)</f>
        <v/>
      </c>
      <c r="H1973" s="141">
        <f>IFERROR(VLOOKUP($B1973,calc_data,H$14+1,0),0)</f>
        <v/>
      </c>
      <c r="I1973" s="142">
        <f>IFERROR(VLOOKUP($B1973,calc_data,I$14+1,0),0)</f>
        <v/>
      </c>
      <c r="J1973" s="141">
        <f>IFERROR(VLOOKUP($B1973,calc_data,J$14+1,0),0)</f>
        <v/>
      </c>
      <c r="K1973" s="141">
        <f>IFERROR(VLOOKUP($B1973,calc_data,K$14+1,0),0)</f>
        <v/>
      </c>
      <c r="L1973" s="141">
        <f>IFERROR(VLOOKUP($B1973,calc_data,L$14+1,0),0)</f>
        <v/>
      </c>
      <c r="M1973" s="177">
        <f>IFERROR(VLOOKUP($B1973,calc_data,M$14+1,0),0)</f>
        <v/>
      </c>
      <c r="N1973" s="177">
        <f>IFERROR(VLOOKUP($B1973,calc_data,N$14+1,0),0)</f>
        <v/>
      </c>
      <c r="O1973" s="45" t="n"/>
      <c r="Q1973" s="57">
        <f>IF(K1973&gt;0,"показать","скрыть")</f>
        <v/>
      </c>
    </row>
    <row r="1974" ht="15.75" customHeight="1">
      <c r="B1974" s="182" t="n">
        <v>1958</v>
      </c>
      <c r="C1974" s="182">
        <f>IFERROR(VLOOKUP($B1974,calc_data,C$14+1,0),0)</f>
        <v/>
      </c>
      <c r="D1974" s="182">
        <f>IFERROR(VLOOKUP($B1974,calc_data,D$14+1,0),0)</f>
        <v/>
      </c>
      <c r="E1974" s="183">
        <f>IFERROR(VLOOKUP($B1974,calc_data,E$14+1,0),0)</f>
        <v/>
      </c>
      <c r="F1974" s="182">
        <f>IFERROR(VLOOKUP($B1974,calc_data,F$14+1,0),0)</f>
        <v/>
      </c>
      <c r="G1974" s="141">
        <f>IFERROR(VLOOKUP($B1974,calc_data,G$14+1,0),0)</f>
        <v/>
      </c>
      <c r="H1974" s="141">
        <f>IFERROR(VLOOKUP($B1974,calc_data,H$14+1,0),0)</f>
        <v/>
      </c>
      <c r="I1974" s="142">
        <f>IFERROR(VLOOKUP($B1974,calc_data,I$14+1,0),0)</f>
        <v/>
      </c>
      <c r="J1974" s="141">
        <f>IFERROR(VLOOKUP($B1974,calc_data,J$14+1,0),0)</f>
        <v/>
      </c>
      <c r="K1974" s="141">
        <f>IFERROR(VLOOKUP($B1974,calc_data,K$14+1,0),0)</f>
        <v/>
      </c>
      <c r="L1974" s="141">
        <f>IFERROR(VLOOKUP($B1974,calc_data,L$14+1,0),0)</f>
        <v/>
      </c>
      <c r="M1974" s="177">
        <f>IFERROR(VLOOKUP($B1974,calc_data,M$14+1,0),0)</f>
        <v/>
      </c>
      <c r="N1974" s="177">
        <f>IFERROR(VLOOKUP($B1974,calc_data,N$14+1,0),0)</f>
        <v/>
      </c>
      <c r="O1974" s="45" t="n"/>
      <c r="Q1974" s="57">
        <f>IF(K1974&gt;0,"показать","скрыть")</f>
        <v/>
      </c>
    </row>
    <row r="1975" ht="15.75" customHeight="1">
      <c r="B1975" s="182" t="n">
        <v>1959</v>
      </c>
      <c r="C1975" s="182">
        <f>IFERROR(VLOOKUP($B1975,calc_data,C$14+1,0),0)</f>
        <v/>
      </c>
      <c r="D1975" s="182">
        <f>IFERROR(VLOOKUP($B1975,calc_data,D$14+1,0),0)</f>
        <v/>
      </c>
      <c r="E1975" s="183">
        <f>IFERROR(VLOOKUP($B1975,calc_data,E$14+1,0),0)</f>
        <v/>
      </c>
      <c r="F1975" s="182">
        <f>IFERROR(VLOOKUP($B1975,calc_data,F$14+1,0),0)</f>
        <v/>
      </c>
      <c r="G1975" s="141">
        <f>IFERROR(VLOOKUP($B1975,calc_data,G$14+1,0),0)</f>
        <v/>
      </c>
      <c r="H1975" s="141">
        <f>IFERROR(VLOOKUP($B1975,calc_data,H$14+1,0),0)</f>
        <v/>
      </c>
      <c r="I1975" s="142">
        <f>IFERROR(VLOOKUP($B1975,calc_data,I$14+1,0),0)</f>
        <v/>
      </c>
      <c r="J1975" s="141">
        <f>IFERROR(VLOOKUP($B1975,calc_data,J$14+1,0),0)</f>
        <v/>
      </c>
      <c r="K1975" s="141">
        <f>IFERROR(VLOOKUP($B1975,calc_data,K$14+1,0),0)</f>
        <v/>
      </c>
      <c r="L1975" s="141">
        <f>IFERROR(VLOOKUP($B1975,calc_data,L$14+1,0),0)</f>
        <v/>
      </c>
      <c r="M1975" s="177">
        <f>IFERROR(VLOOKUP($B1975,calc_data,M$14+1,0),0)</f>
        <v/>
      </c>
      <c r="N1975" s="177">
        <f>IFERROR(VLOOKUP($B1975,calc_data,N$14+1,0),0)</f>
        <v/>
      </c>
      <c r="O1975" s="45" t="n"/>
      <c r="Q1975" s="57">
        <f>IF(K1975&gt;0,"показать","скрыть")</f>
        <v/>
      </c>
    </row>
    <row r="1976" ht="15.75" customHeight="1">
      <c r="B1976" s="182" t="n">
        <v>1960</v>
      </c>
      <c r="C1976" s="182">
        <f>IFERROR(VLOOKUP($B1976,calc_data,C$14+1,0),0)</f>
        <v/>
      </c>
      <c r="D1976" s="182">
        <f>IFERROR(VLOOKUP($B1976,calc_data,D$14+1,0),0)</f>
        <v/>
      </c>
      <c r="E1976" s="183">
        <f>IFERROR(VLOOKUP($B1976,calc_data,E$14+1,0),0)</f>
        <v/>
      </c>
      <c r="F1976" s="182">
        <f>IFERROR(VLOOKUP($B1976,calc_data,F$14+1,0),0)</f>
        <v/>
      </c>
      <c r="G1976" s="141">
        <f>IFERROR(VLOOKUP($B1976,calc_data,G$14+1,0),0)</f>
        <v/>
      </c>
      <c r="H1976" s="141">
        <f>IFERROR(VLOOKUP($B1976,calc_data,H$14+1,0),0)</f>
        <v/>
      </c>
      <c r="I1976" s="142">
        <f>IFERROR(VLOOKUP($B1976,calc_data,I$14+1,0),0)</f>
        <v/>
      </c>
      <c r="J1976" s="141">
        <f>IFERROR(VLOOKUP($B1976,calc_data,J$14+1,0),0)</f>
        <v/>
      </c>
      <c r="K1976" s="141">
        <f>IFERROR(VLOOKUP($B1976,calc_data,K$14+1,0),0)</f>
        <v/>
      </c>
      <c r="L1976" s="141">
        <f>IFERROR(VLOOKUP($B1976,calc_data,L$14+1,0),0)</f>
        <v/>
      </c>
      <c r="M1976" s="177">
        <f>IFERROR(VLOOKUP($B1976,calc_data,M$14+1,0),0)</f>
        <v/>
      </c>
      <c r="N1976" s="177">
        <f>IFERROR(VLOOKUP($B1976,calc_data,N$14+1,0),0)</f>
        <v/>
      </c>
      <c r="O1976" s="45" t="n"/>
      <c r="Q1976" s="57">
        <f>IF(K1976&gt;0,"показать","скрыть")</f>
        <v/>
      </c>
    </row>
    <row r="1977" ht="15.75" customHeight="1">
      <c r="B1977" s="182" t="n">
        <v>1961</v>
      </c>
      <c r="C1977" s="182">
        <f>IFERROR(VLOOKUP($B1977,calc_data,C$14+1,0),0)</f>
        <v/>
      </c>
      <c r="D1977" s="182">
        <f>IFERROR(VLOOKUP($B1977,calc_data,D$14+1,0),0)</f>
        <v/>
      </c>
      <c r="E1977" s="183">
        <f>IFERROR(VLOOKUP($B1977,calc_data,E$14+1,0),0)</f>
        <v/>
      </c>
      <c r="F1977" s="182">
        <f>IFERROR(VLOOKUP($B1977,calc_data,F$14+1,0),0)</f>
        <v/>
      </c>
      <c r="G1977" s="141">
        <f>IFERROR(VLOOKUP($B1977,calc_data,G$14+1,0),0)</f>
        <v/>
      </c>
      <c r="H1977" s="141">
        <f>IFERROR(VLOOKUP($B1977,calc_data,H$14+1,0),0)</f>
        <v/>
      </c>
      <c r="I1977" s="142">
        <f>IFERROR(VLOOKUP($B1977,calc_data,I$14+1,0),0)</f>
        <v/>
      </c>
      <c r="J1977" s="141">
        <f>IFERROR(VLOOKUP($B1977,calc_data,J$14+1,0),0)</f>
        <v/>
      </c>
      <c r="K1977" s="141">
        <f>IFERROR(VLOOKUP($B1977,calc_data,K$14+1,0),0)</f>
        <v/>
      </c>
      <c r="L1977" s="141">
        <f>IFERROR(VLOOKUP($B1977,calc_data,L$14+1,0),0)</f>
        <v/>
      </c>
      <c r="M1977" s="177">
        <f>IFERROR(VLOOKUP($B1977,calc_data,M$14+1,0),0)</f>
        <v/>
      </c>
      <c r="N1977" s="177">
        <f>IFERROR(VLOOKUP($B1977,calc_data,N$14+1,0),0)</f>
        <v/>
      </c>
      <c r="O1977" s="45" t="n"/>
      <c r="Q1977" s="57">
        <f>IF(K1977&gt;0,"показать","скрыть")</f>
        <v/>
      </c>
    </row>
    <row r="1978" ht="15.75" customHeight="1">
      <c r="B1978" s="182" t="n">
        <v>1962</v>
      </c>
      <c r="C1978" s="182">
        <f>IFERROR(VLOOKUP($B1978,calc_data,C$14+1,0),0)</f>
        <v/>
      </c>
      <c r="D1978" s="182">
        <f>IFERROR(VLOOKUP($B1978,calc_data,D$14+1,0),0)</f>
        <v/>
      </c>
      <c r="E1978" s="183">
        <f>IFERROR(VLOOKUP($B1978,calc_data,E$14+1,0),0)</f>
        <v/>
      </c>
      <c r="F1978" s="182">
        <f>IFERROR(VLOOKUP($B1978,calc_data,F$14+1,0),0)</f>
        <v/>
      </c>
      <c r="G1978" s="141">
        <f>IFERROR(VLOOKUP($B1978,calc_data,G$14+1,0),0)</f>
        <v/>
      </c>
      <c r="H1978" s="141">
        <f>IFERROR(VLOOKUP($B1978,calc_data,H$14+1,0),0)</f>
        <v/>
      </c>
      <c r="I1978" s="142">
        <f>IFERROR(VLOOKUP($B1978,calc_data,I$14+1,0),0)</f>
        <v/>
      </c>
      <c r="J1978" s="141">
        <f>IFERROR(VLOOKUP($B1978,calc_data,J$14+1,0),0)</f>
        <v/>
      </c>
      <c r="K1978" s="141">
        <f>IFERROR(VLOOKUP($B1978,calc_data,K$14+1,0),0)</f>
        <v/>
      </c>
      <c r="L1978" s="141">
        <f>IFERROR(VLOOKUP($B1978,calc_data,L$14+1,0),0)</f>
        <v/>
      </c>
      <c r="M1978" s="177">
        <f>IFERROR(VLOOKUP($B1978,calc_data,M$14+1,0),0)</f>
        <v/>
      </c>
      <c r="N1978" s="177">
        <f>IFERROR(VLOOKUP($B1978,calc_data,N$14+1,0),0)</f>
        <v/>
      </c>
      <c r="O1978" s="45" t="n"/>
      <c r="Q1978" s="57">
        <f>IF(K1978&gt;0,"показать","скрыть")</f>
        <v/>
      </c>
    </row>
    <row r="1979" ht="15.75" customHeight="1">
      <c r="B1979" s="182" t="n">
        <v>1963</v>
      </c>
      <c r="C1979" s="182">
        <f>IFERROR(VLOOKUP($B1979,calc_data,C$14+1,0),0)</f>
        <v/>
      </c>
      <c r="D1979" s="182">
        <f>IFERROR(VLOOKUP($B1979,calc_data,D$14+1,0),0)</f>
        <v/>
      </c>
      <c r="E1979" s="183">
        <f>IFERROR(VLOOKUP($B1979,calc_data,E$14+1,0),0)</f>
        <v/>
      </c>
      <c r="F1979" s="182">
        <f>IFERROR(VLOOKUP($B1979,calc_data,F$14+1,0),0)</f>
        <v/>
      </c>
      <c r="G1979" s="141">
        <f>IFERROR(VLOOKUP($B1979,calc_data,G$14+1,0),0)</f>
        <v/>
      </c>
      <c r="H1979" s="141">
        <f>IFERROR(VLOOKUP($B1979,calc_data,H$14+1,0),0)</f>
        <v/>
      </c>
      <c r="I1979" s="142">
        <f>IFERROR(VLOOKUP($B1979,calc_data,I$14+1,0),0)</f>
        <v/>
      </c>
      <c r="J1979" s="141">
        <f>IFERROR(VLOOKUP($B1979,calc_data,J$14+1,0),0)</f>
        <v/>
      </c>
      <c r="K1979" s="141">
        <f>IFERROR(VLOOKUP($B1979,calc_data,K$14+1,0),0)</f>
        <v/>
      </c>
      <c r="L1979" s="141">
        <f>IFERROR(VLOOKUP($B1979,calc_data,L$14+1,0),0)</f>
        <v/>
      </c>
      <c r="M1979" s="177">
        <f>IFERROR(VLOOKUP($B1979,calc_data,M$14+1,0),0)</f>
        <v/>
      </c>
      <c r="N1979" s="177">
        <f>IFERROR(VLOOKUP($B1979,calc_data,N$14+1,0),0)</f>
        <v/>
      </c>
      <c r="O1979" s="45" t="n"/>
      <c r="Q1979" s="57">
        <f>IF(K1979&gt;0,"показать","скрыть")</f>
        <v/>
      </c>
    </row>
    <row r="1980" ht="15.75" customHeight="1">
      <c r="B1980" s="182" t="n">
        <v>1964</v>
      </c>
      <c r="C1980" s="182">
        <f>IFERROR(VLOOKUP($B1980,calc_data,C$14+1,0),0)</f>
        <v/>
      </c>
      <c r="D1980" s="182">
        <f>IFERROR(VLOOKUP($B1980,calc_data,D$14+1,0),0)</f>
        <v/>
      </c>
      <c r="E1980" s="183">
        <f>IFERROR(VLOOKUP($B1980,calc_data,E$14+1,0),0)</f>
        <v/>
      </c>
      <c r="F1980" s="182">
        <f>IFERROR(VLOOKUP($B1980,calc_data,F$14+1,0),0)</f>
        <v/>
      </c>
      <c r="G1980" s="141">
        <f>IFERROR(VLOOKUP($B1980,calc_data,G$14+1,0),0)</f>
        <v/>
      </c>
      <c r="H1980" s="141">
        <f>IFERROR(VLOOKUP($B1980,calc_data,H$14+1,0),0)</f>
        <v/>
      </c>
      <c r="I1980" s="142">
        <f>IFERROR(VLOOKUP($B1980,calc_data,I$14+1,0),0)</f>
        <v/>
      </c>
      <c r="J1980" s="141">
        <f>IFERROR(VLOOKUP($B1980,calc_data,J$14+1,0),0)</f>
        <v/>
      </c>
      <c r="K1980" s="141">
        <f>IFERROR(VLOOKUP($B1980,calc_data,K$14+1,0),0)</f>
        <v/>
      </c>
      <c r="L1980" s="141">
        <f>IFERROR(VLOOKUP($B1980,calc_data,L$14+1,0),0)</f>
        <v/>
      </c>
      <c r="M1980" s="177">
        <f>IFERROR(VLOOKUP($B1980,calc_data,M$14+1,0),0)</f>
        <v/>
      </c>
      <c r="N1980" s="177">
        <f>IFERROR(VLOOKUP($B1980,calc_data,N$14+1,0),0)</f>
        <v/>
      </c>
      <c r="O1980" s="45" t="n"/>
      <c r="Q1980" s="57">
        <f>IF(K1980&gt;0,"показать","скрыть")</f>
        <v/>
      </c>
    </row>
    <row r="1981" ht="15.75" customHeight="1">
      <c r="B1981" s="182" t="n">
        <v>1965</v>
      </c>
      <c r="C1981" s="182">
        <f>IFERROR(VLOOKUP($B1981,calc_data,C$14+1,0),0)</f>
        <v/>
      </c>
      <c r="D1981" s="182">
        <f>IFERROR(VLOOKUP($B1981,calc_data,D$14+1,0),0)</f>
        <v/>
      </c>
      <c r="E1981" s="183">
        <f>IFERROR(VLOOKUP($B1981,calc_data,E$14+1,0),0)</f>
        <v/>
      </c>
      <c r="F1981" s="182">
        <f>IFERROR(VLOOKUP($B1981,calc_data,F$14+1,0),0)</f>
        <v/>
      </c>
      <c r="G1981" s="141">
        <f>IFERROR(VLOOKUP($B1981,calc_data,G$14+1,0),0)</f>
        <v/>
      </c>
      <c r="H1981" s="141">
        <f>IFERROR(VLOOKUP($B1981,calc_data,H$14+1,0),0)</f>
        <v/>
      </c>
      <c r="I1981" s="142">
        <f>IFERROR(VLOOKUP($B1981,calc_data,I$14+1,0),0)</f>
        <v/>
      </c>
      <c r="J1981" s="141">
        <f>IFERROR(VLOOKUP($B1981,calc_data,J$14+1,0),0)</f>
        <v/>
      </c>
      <c r="K1981" s="141">
        <f>IFERROR(VLOOKUP($B1981,calc_data,K$14+1,0),0)</f>
        <v/>
      </c>
      <c r="L1981" s="141">
        <f>IFERROR(VLOOKUP($B1981,calc_data,L$14+1,0),0)</f>
        <v/>
      </c>
      <c r="M1981" s="177">
        <f>IFERROR(VLOOKUP($B1981,calc_data,M$14+1,0),0)</f>
        <v/>
      </c>
      <c r="N1981" s="177">
        <f>IFERROR(VLOOKUP($B1981,calc_data,N$14+1,0),0)</f>
        <v/>
      </c>
      <c r="O1981" s="45" t="n"/>
      <c r="Q1981" s="57">
        <f>IF(K1981&gt;0,"показать","скрыть")</f>
        <v/>
      </c>
    </row>
    <row r="1982" ht="15.75" customHeight="1">
      <c r="B1982" s="182" t="n">
        <v>1966</v>
      </c>
      <c r="C1982" s="182">
        <f>IFERROR(VLOOKUP($B1982,calc_data,C$14+1,0),0)</f>
        <v/>
      </c>
      <c r="D1982" s="182">
        <f>IFERROR(VLOOKUP($B1982,calc_data,D$14+1,0),0)</f>
        <v/>
      </c>
      <c r="E1982" s="183">
        <f>IFERROR(VLOOKUP($B1982,calc_data,E$14+1,0),0)</f>
        <v/>
      </c>
      <c r="F1982" s="182">
        <f>IFERROR(VLOOKUP($B1982,calc_data,F$14+1,0),0)</f>
        <v/>
      </c>
      <c r="G1982" s="141">
        <f>IFERROR(VLOOKUP($B1982,calc_data,G$14+1,0),0)</f>
        <v/>
      </c>
      <c r="H1982" s="141">
        <f>IFERROR(VLOOKUP($B1982,calc_data,H$14+1,0),0)</f>
        <v/>
      </c>
      <c r="I1982" s="142">
        <f>IFERROR(VLOOKUP($B1982,calc_data,I$14+1,0),0)</f>
        <v/>
      </c>
      <c r="J1982" s="141">
        <f>IFERROR(VLOOKUP($B1982,calc_data,J$14+1,0),0)</f>
        <v/>
      </c>
      <c r="K1982" s="141">
        <f>IFERROR(VLOOKUP($B1982,calc_data,K$14+1,0),0)</f>
        <v/>
      </c>
      <c r="L1982" s="141">
        <f>IFERROR(VLOOKUP($B1982,calc_data,L$14+1,0),0)</f>
        <v/>
      </c>
      <c r="M1982" s="177">
        <f>IFERROR(VLOOKUP($B1982,calc_data,M$14+1,0),0)</f>
        <v/>
      </c>
      <c r="N1982" s="177">
        <f>IFERROR(VLOOKUP($B1982,calc_data,N$14+1,0),0)</f>
        <v/>
      </c>
      <c r="O1982" s="45" t="n"/>
      <c r="Q1982" s="57">
        <f>IF(K1982&gt;0,"показать","скрыть")</f>
        <v/>
      </c>
    </row>
    <row r="1983" ht="15.75" customHeight="1">
      <c r="B1983" s="182" t="n">
        <v>1967</v>
      </c>
      <c r="C1983" s="182">
        <f>IFERROR(VLOOKUP($B1983,calc_data,C$14+1,0),0)</f>
        <v/>
      </c>
      <c r="D1983" s="182">
        <f>IFERROR(VLOOKUP($B1983,calc_data,D$14+1,0),0)</f>
        <v/>
      </c>
      <c r="E1983" s="183">
        <f>IFERROR(VLOOKUP($B1983,calc_data,E$14+1,0),0)</f>
        <v/>
      </c>
      <c r="F1983" s="182">
        <f>IFERROR(VLOOKUP($B1983,calc_data,F$14+1,0),0)</f>
        <v/>
      </c>
      <c r="G1983" s="141">
        <f>IFERROR(VLOOKUP($B1983,calc_data,G$14+1,0),0)</f>
        <v/>
      </c>
      <c r="H1983" s="141">
        <f>IFERROR(VLOOKUP($B1983,calc_data,H$14+1,0),0)</f>
        <v/>
      </c>
      <c r="I1983" s="142">
        <f>IFERROR(VLOOKUP($B1983,calc_data,I$14+1,0),0)</f>
        <v/>
      </c>
      <c r="J1983" s="141">
        <f>IFERROR(VLOOKUP($B1983,calc_data,J$14+1,0),0)</f>
        <v/>
      </c>
      <c r="K1983" s="141">
        <f>IFERROR(VLOOKUP($B1983,calc_data,K$14+1,0),0)</f>
        <v/>
      </c>
      <c r="L1983" s="141">
        <f>IFERROR(VLOOKUP($B1983,calc_data,L$14+1,0),0)</f>
        <v/>
      </c>
      <c r="M1983" s="177">
        <f>IFERROR(VLOOKUP($B1983,calc_data,M$14+1,0),0)</f>
        <v/>
      </c>
      <c r="N1983" s="177">
        <f>IFERROR(VLOOKUP($B1983,calc_data,N$14+1,0),0)</f>
        <v/>
      </c>
      <c r="O1983" s="45" t="n"/>
      <c r="Q1983" s="57">
        <f>IF(K1983&gt;0,"показать","скрыть")</f>
        <v/>
      </c>
    </row>
    <row r="1984" ht="15.75" customHeight="1">
      <c r="B1984" s="182" t="n">
        <v>1968</v>
      </c>
      <c r="C1984" s="182">
        <f>IFERROR(VLOOKUP($B1984,calc_data,C$14+1,0),0)</f>
        <v/>
      </c>
      <c r="D1984" s="182">
        <f>IFERROR(VLOOKUP($B1984,calc_data,D$14+1,0),0)</f>
        <v/>
      </c>
      <c r="E1984" s="183">
        <f>IFERROR(VLOOKUP($B1984,calc_data,E$14+1,0),0)</f>
        <v/>
      </c>
      <c r="F1984" s="182">
        <f>IFERROR(VLOOKUP($B1984,calc_data,F$14+1,0),0)</f>
        <v/>
      </c>
      <c r="G1984" s="141">
        <f>IFERROR(VLOOKUP($B1984,calc_data,G$14+1,0),0)</f>
        <v/>
      </c>
      <c r="H1984" s="141">
        <f>IFERROR(VLOOKUP($B1984,calc_data,H$14+1,0),0)</f>
        <v/>
      </c>
      <c r="I1984" s="142">
        <f>IFERROR(VLOOKUP($B1984,calc_data,I$14+1,0),0)</f>
        <v/>
      </c>
      <c r="J1984" s="141">
        <f>IFERROR(VLOOKUP($B1984,calc_data,J$14+1,0),0)</f>
        <v/>
      </c>
      <c r="K1984" s="141">
        <f>IFERROR(VLOOKUP($B1984,calc_data,K$14+1,0),0)</f>
        <v/>
      </c>
      <c r="L1984" s="141">
        <f>IFERROR(VLOOKUP($B1984,calc_data,L$14+1,0),0)</f>
        <v/>
      </c>
      <c r="M1984" s="177">
        <f>IFERROR(VLOOKUP($B1984,calc_data,M$14+1,0),0)</f>
        <v/>
      </c>
      <c r="N1984" s="177">
        <f>IFERROR(VLOOKUP($B1984,calc_data,N$14+1,0),0)</f>
        <v/>
      </c>
      <c r="O1984" s="45" t="n"/>
      <c r="Q1984" s="57">
        <f>IF(K1984&gt;0,"показать","скрыть")</f>
        <v/>
      </c>
    </row>
    <row r="1985" ht="15.75" customHeight="1">
      <c r="B1985" s="182" t="n">
        <v>1969</v>
      </c>
      <c r="C1985" s="182">
        <f>IFERROR(VLOOKUP($B1985,calc_data,C$14+1,0),0)</f>
        <v/>
      </c>
      <c r="D1985" s="182">
        <f>IFERROR(VLOOKUP($B1985,calc_data,D$14+1,0),0)</f>
        <v/>
      </c>
      <c r="E1985" s="183">
        <f>IFERROR(VLOOKUP($B1985,calc_data,E$14+1,0),0)</f>
        <v/>
      </c>
      <c r="F1985" s="182">
        <f>IFERROR(VLOOKUP($B1985,calc_data,F$14+1,0),0)</f>
        <v/>
      </c>
      <c r="G1985" s="141">
        <f>IFERROR(VLOOKUP($B1985,calc_data,G$14+1,0),0)</f>
        <v/>
      </c>
      <c r="H1985" s="141">
        <f>IFERROR(VLOOKUP($B1985,calc_data,H$14+1,0),0)</f>
        <v/>
      </c>
      <c r="I1985" s="142">
        <f>IFERROR(VLOOKUP($B1985,calc_data,I$14+1,0),0)</f>
        <v/>
      </c>
      <c r="J1985" s="141">
        <f>IFERROR(VLOOKUP($B1985,calc_data,J$14+1,0),0)</f>
        <v/>
      </c>
      <c r="K1985" s="141">
        <f>IFERROR(VLOOKUP($B1985,calc_data,K$14+1,0),0)</f>
        <v/>
      </c>
      <c r="L1985" s="141">
        <f>IFERROR(VLOOKUP($B1985,calc_data,L$14+1,0),0)</f>
        <v/>
      </c>
      <c r="M1985" s="177">
        <f>IFERROR(VLOOKUP($B1985,calc_data,M$14+1,0),0)</f>
        <v/>
      </c>
      <c r="N1985" s="177">
        <f>IFERROR(VLOOKUP($B1985,calc_data,N$14+1,0),0)</f>
        <v/>
      </c>
      <c r="O1985" s="45" t="n"/>
      <c r="Q1985" s="57">
        <f>IF(K1985&gt;0,"показать","скрыть")</f>
        <v/>
      </c>
    </row>
    <row r="1986" ht="15.75" customHeight="1">
      <c r="B1986" s="182" t="n">
        <v>1970</v>
      </c>
      <c r="C1986" s="182">
        <f>IFERROR(VLOOKUP($B1986,calc_data,C$14+1,0),0)</f>
        <v/>
      </c>
      <c r="D1986" s="182">
        <f>IFERROR(VLOOKUP($B1986,calc_data,D$14+1,0),0)</f>
        <v/>
      </c>
      <c r="E1986" s="183">
        <f>IFERROR(VLOOKUP($B1986,calc_data,E$14+1,0),0)</f>
        <v/>
      </c>
      <c r="F1986" s="182">
        <f>IFERROR(VLOOKUP($B1986,calc_data,F$14+1,0),0)</f>
        <v/>
      </c>
      <c r="G1986" s="141">
        <f>IFERROR(VLOOKUP($B1986,calc_data,G$14+1,0),0)</f>
        <v/>
      </c>
      <c r="H1986" s="141">
        <f>IFERROR(VLOOKUP($B1986,calc_data,H$14+1,0),0)</f>
        <v/>
      </c>
      <c r="I1986" s="142">
        <f>IFERROR(VLOOKUP($B1986,calc_data,I$14+1,0),0)</f>
        <v/>
      </c>
      <c r="J1986" s="141">
        <f>IFERROR(VLOOKUP($B1986,calc_data,J$14+1,0),0)</f>
        <v/>
      </c>
      <c r="K1986" s="141">
        <f>IFERROR(VLOOKUP($B1986,calc_data,K$14+1,0),0)</f>
        <v/>
      </c>
      <c r="L1986" s="141">
        <f>IFERROR(VLOOKUP($B1986,calc_data,L$14+1,0),0)</f>
        <v/>
      </c>
      <c r="M1986" s="177">
        <f>IFERROR(VLOOKUP($B1986,calc_data,M$14+1,0),0)</f>
        <v/>
      </c>
      <c r="N1986" s="177">
        <f>IFERROR(VLOOKUP($B1986,calc_data,N$14+1,0),0)</f>
        <v/>
      </c>
      <c r="O1986" s="45" t="n"/>
      <c r="Q1986" s="57">
        <f>IF(K1986&gt;0,"показать","скрыть")</f>
        <v/>
      </c>
    </row>
    <row r="1987" ht="15.75" customHeight="1">
      <c r="B1987" s="182" t="n">
        <v>1971</v>
      </c>
      <c r="C1987" s="182">
        <f>IFERROR(VLOOKUP($B1987,calc_data,C$14+1,0),0)</f>
        <v/>
      </c>
      <c r="D1987" s="182">
        <f>IFERROR(VLOOKUP($B1987,calc_data,D$14+1,0),0)</f>
        <v/>
      </c>
      <c r="E1987" s="183">
        <f>IFERROR(VLOOKUP($B1987,calc_data,E$14+1,0),0)</f>
        <v/>
      </c>
      <c r="F1987" s="182">
        <f>IFERROR(VLOOKUP($B1987,calc_data,F$14+1,0),0)</f>
        <v/>
      </c>
      <c r="G1987" s="141">
        <f>IFERROR(VLOOKUP($B1987,calc_data,G$14+1,0),0)</f>
        <v/>
      </c>
      <c r="H1987" s="141">
        <f>IFERROR(VLOOKUP($B1987,calc_data,H$14+1,0),0)</f>
        <v/>
      </c>
      <c r="I1987" s="142">
        <f>IFERROR(VLOOKUP($B1987,calc_data,I$14+1,0),0)</f>
        <v/>
      </c>
      <c r="J1987" s="141">
        <f>IFERROR(VLOOKUP($B1987,calc_data,J$14+1,0),0)</f>
        <v/>
      </c>
      <c r="K1987" s="141">
        <f>IFERROR(VLOOKUP($B1987,calc_data,K$14+1,0),0)</f>
        <v/>
      </c>
      <c r="L1987" s="141">
        <f>IFERROR(VLOOKUP($B1987,calc_data,L$14+1,0),0)</f>
        <v/>
      </c>
      <c r="M1987" s="177">
        <f>IFERROR(VLOOKUP($B1987,calc_data,M$14+1,0),0)</f>
        <v/>
      </c>
      <c r="N1987" s="177">
        <f>IFERROR(VLOOKUP($B1987,calc_data,N$14+1,0),0)</f>
        <v/>
      </c>
      <c r="O1987" s="45" t="n"/>
      <c r="Q1987" s="57">
        <f>IF(K1987&gt;0,"показать","скрыть")</f>
        <v/>
      </c>
    </row>
    <row r="1988" ht="15.75" customHeight="1">
      <c r="B1988" s="182" t="n">
        <v>1972</v>
      </c>
      <c r="C1988" s="182">
        <f>IFERROR(VLOOKUP($B1988,calc_data,C$14+1,0),0)</f>
        <v/>
      </c>
      <c r="D1988" s="182">
        <f>IFERROR(VLOOKUP($B1988,calc_data,D$14+1,0),0)</f>
        <v/>
      </c>
      <c r="E1988" s="183">
        <f>IFERROR(VLOOKUP($B1988,calc_data,E$14+1,0),0)</f>
        <v/>
      </c>
      <c r="F1988" s="182">
        <f>IFERROR(VLOOKUP($B1988,calc_data,F$14+1,0),0)</f>
        <v/>
      </c>
      <c r="G1988" s="141">
        <f>IFERROR(VLOOKUP($B1988,calc_data,G$14+1,0),0)</f>
        <v/>
      </c>
      <c r="H1988" s="141">
        <f>IFERROR(VLOOKUP($B1988,calc_data,H$14+1,0),0)</f>
        <v/>
      </c>
      <c r="I1988" s="142">
        <f>IFERROR(VLOOKUP($B1988,calc_data,I$14+1,0),0)</f>
        <v/>
      </c>
      <c r="J1988" s="141">
        <f>IFERROR(VLOOKUP($B1988,calc_data,J$14+1,0),0)</f>
        <v/>
      </c>
      <c r="K1988" s="141">
        <f>IFERROR(VLOOKUP($B1988,calc_data,K$14+1,0),0)</f>
        <v/>
      </c>
      <c r="L1988" s="141">
        <f>IFERROR(VLOOKUP($B1988,calc_data,L$14+1,0),0)</f>
        <v/>
      </c>
      <c r="M1988" s="177">
        <f>IFERROR(VLOOKUP($B1988,calc_data,M$14+1,0),0)</f>
        <v/>
      </c>
      <c r="N1988" s="177">
        <f>IFERROR(VLOOKUP($B1988,calc_data,N$14+1,0),0)</f>
        <v/>
      </c>
      <c r="O1988" s="45" t="n"/>
      <c r="Q1988" s="57">
        <f>IF(K1988&gt;0,"показать","скрыть")</f>
        <v/>
      </c>
    </row>
    <row r="1989" ht="15.75" customHeight="1">
      <c r="B1989" s="182" t="n">
        <v>1973</v>
      </c>
      <c r="C1989" s="182">
        <f>IFERROR(VLOOKUP($B1989,calc_data,C$14+1,0),0)</f>
        <v/>
      </c>
      <c r="D1989" s="182">
        <f>IFERROR(VLOOKUP($B1989,calc_data,D$14+1,0),0)</f>
        <v/>
      </c>
      <c r="E1989" s="183">
        <f>IFERROR(VLOOKUP($B1989,calc_data,E$14+1,0),0)</f>
        <v/>
      </c>
      <c r="F1989" s="182">
        <f>IFERROR(VLOOKUP($B1989,calc_data,F$14+1,0),0)</f>
        <v/>
      </c>
      <c r="G1989" s="141">
        <f>IFERROR(VLOOKUP($B1989,calc_data,G$14+1,0),0)</f>
        <v/>
      </c>
      <c r="H1989" s="141">
        <f>IFERROR(VLOOKUP($B1989,calc_data,H$14+1,0),0)</f>
        <v/>
      </c>
      <c r="I1989" s="142">
        <f>IFERROR(VLOOKUP($B1989,calc_data,I$14+1,0),0)</f>
        <v/>
      </c>
      <c r="J1989" s="141">
        <f>IFERROR(VLOOKUP($B1989,calc_data,J$14+1,0),0)</f>
        <v/>
      </c>
      <c r="K1989" s="141">
        <f>IFERROR(VLOOKUP($B1989,calc_data,K$14+1,0),0)</f>
        <v/>
      </c>
      <c r="L1989" s="141">
        <f>IFERROR(VLOOKUP($B1989,calc_data,L$14+1,0),0)</f>
        <v/>
      </c>
      <c r="M1989" s="177">
        <f>IFERROR(VLOOKUP($B1989,calc_data,M$14+1,0),0)</f>
        <v/>
      </c>
      <c r="N1989" s="177">
        <f>IFERROR(VLOOKUP($B1989,calc_data,N$14+1,0),0)</f>
        <v/>
      </c>
      <c r="O1989" s="45" t="n"/>
      <c r="Q1989" s="57">
        <f>IF(K1989&gt;0,"показать","скрыть")</f>
        <v/>
      </c>
    </row>
    <row r="1990" ht="15.75" customHeight="1">
      <c r="B1990" s="182" t="n">
        <v>1974</v>
      </c>
      <c r="C1990" s="182">
        <f>IFERROR(VLOOKUP($B1990,calc_data,C$14+1,0),0)</f>
        <v/>
      </c>
      <c r="D1990" s="182">
        <f>IFERROR(VLOOKUP($B1990,calc_data,D$14+1,0),0)</f>
        <v/>
      </c>
      <c r="E1990" s="183">
        <f>IFERROR(VLOOKUP($B1990,calc_data,E$14+1,0),0)</f>
        <v/>
      </c>
      <c r="F1990" s="182">
        <f>IFERROR(VLOOKUP($B1990,calc_data,F$14+1,0),0)</f>
        <v/>
      </c>
      <c r="G1990" s="141">
        <f>IFERROR(VLOOKUP($B1990,calc_data,G$14+1,0),0)</f>
        <v/>
      </c>
      <c r="H1990" s="141">
        <f>IFERROR(VLOOKUP($B1990,calc_data,H$14+1,0),0)</f>
        <v/>
      </c>
      <c r="I1990" s="142">
        <f>IFERROR(VLOOKUP($B1990,calc_data,I$14+1,0),0)</f>
        <v/>
      </c>
      <c r="J1990" s="141">
        <f>IFERROR(VLOOKUP($B1990,calc_data,J$14+1,0),0)</f>
        <v/>
      </c>
      <c r="K1990" s="141">
        <f>IFERROR(VLOOKUP($B1990,calc_data,K$14+1,0),0)</f>
        <v/>
      </c>
      <c r="L1990" s="141">
        <f>IFERROR(VLOOKUP($B1990,calc_data,L$14+1,0),0)</f>
        <v/>
      </c>
      <c r="M1990" s="177">
        <f>IFERROR(VLOOKUP($B1990,calc_data,M$14+1,0),0)</f>
        <v/>
      </c>
      <c r="N1990" s="177">
        <f>IFERROR(VLOOKUP($B1990,calc_data,N$14+1,0),0)</f>
        <v/>
      </c>
      <c r="O1990" s="45" t="n"/>
      <c r="Q1990" s="57">
        <f>IF(K1990&gt;0,"показать","скрыть")</f>
        <v/>
      </c>
    </row>
    <row r="1991" ht="15.75" customHeight="1">
      <c r="B1991" s="182" t="n">
        <v>1975</v>
      </c>
      <c r="C1991" s="182">
        <f>IFERROR(VLOOKUP($B1991,calc_data,C$14+1,0),0)</f>
        <v/>
      </c>
      <c r="D1991" s="182">
        <f>IFERROR(VLOOKUP($B1991,calc_data,D$14+1,0),0)</f>
        <v/>
      </c>
      <c r="E1991" s="183">
        <f>IFERROR(VLOOKUP($B1991,calc_data,E$14+1,0),0)</f>
        <v/>
      </c>
      <c r="F1991" s="182">
        <f>IFERROR(VLOOKUP($B1991,calc_data,F$14+1,0),0)</f>
        <v/>
      </c>
      <c r="G1991" s="141">
        <f>IFERROR(VLOOKUP($B1991,calc_data,G$14+1,0),0)</f>
        <v/>
      </c>
      <c r="H1991" s="141">
        <f>IFERROR(VLOOKUP($B1991,calc_data,H$14+1,0),0)</f>
        <v/>
      </c>
      <c r="I1991" s="142">
        <f>IFERROR(VLOOKUP($B1991,calc_data,I$14+1,0),0)</f>
        <v/>
      </c>
      <c r="J1991" s="141">
        <f>IFERROR(VLOOKUP($B1991,calc_data,J$14+1,0),0)</f>
        <v/>
      </c>
      <c r="K1991" s="141">
        <f>IFERROR(VLOOKUP($B1991,calc_data,K$14+1,0),0)</f>
        <v/>
      </c>
      <c r="L1991" s="141">
        <f>IFERROR(VLOOKUP($B1991,calc_data,L$14+1,0),0)</f>
        <v/>
      </c>
      <c r="M1991" s="177">
        <f>IFERROR(VLOOKUP($B1991,calc_data,M$14+1,0),0)</f>
        <v/>
      </c>
      <c r="N1991" s="177">
        <f>IFERROR(VLOOKUP($B1991,calc_data,N$14+1,0),0)</f>
        <v/>
      </c>
      <c r="O1991" s="45" t="n"/>
      <c r="Q1991" s="57">
        <f>IF(K1991&gt;0,"показать","скрыть")</f>
        <v/>
      </c>
    </row>
    <row r="1992" ht="15.75" customHeight="1">
      <c r="B1992" s="182" t="n">
        <v>1976</v>
      </c>
      <c r="C1992" s="182">
        <f>IFERROR(VLOOKUP($B1992,calc_data,C$14+1,0),0)</f>
        <v/>
      </c>
      <c r="D1992" s="182">
        <f>IFERROR(VLOOKUP($B1992,calc_data,D$14+1,0),0)</f>
        <v/>
      </c>
      <c r="E1992" s="183">
        <f>IFERROR(VLOOKUP($B1992,calc_data,E$14+1,0),0)</f>
        <v/>
      </c>
      <c r="F1992" s="182">
        <f>IFERROR(VLOOKUP($B1992,calc_data,F$14+1,0),0)</f>
        <v/>
      </c>
      <c r="G1992" s="141">
        <f>IFERROR(VLOOKUP($B1992,calc_data,G$14+1,0),0)</f>
        <v/>
      </c>
      <c r="H1992" s="141">
        <f>IFERROR(VLOOKUP($B1992,calc_data,H$14+1,0),0)</f>
        <v/>
      </c>
      <c r="I1992" s="142">
        <f>IFERROR(VLOOKUP($B1992,calc_data,I$14+1,0),0)</f>
        <v/>
      </c>
      <c r="J1992" s="141">
        <f>IFERROR(VLOOKUP($B1992,calc_data,J$14+1,0),0)</f>
        <v/>
      </c>
      <c r="K1992" s="141">
        <f>IFERROR(VLOOKUP($B1992,calc_data,K$14+1,0),0)</f>
        <v/>
      </c>
      <c r="L1992" s="141">
        <f>IFERROR(VLOOKUP($B1992,calc_data,L$14+1,0),0)</f>
        <v/>
      </c>
      <c r="M1992" s="177">
        <f>IFERROR(VLOOKUP($B1992,calc_data,M$14+1,0),0)</f>
        <v/>
      </c>
      <c r="N1992" s="177">
        <f>IFERROR(VLOOKUP($B1992,calc_data,N$14+1,0),0)</f>
        <v/>
      </c>
      <c r="O1992" s="45" t="n"/>
      <c r="Q1992" s="57">
        <f>IF(K1992&gt;0,"показать","скрыть")</f>
        <v/>
      </c>
    </row>
    <row r="1993" ht="15.75" customHeight="1">
      <c r="B1993" s="182" t="n">
        <v>1977</v>
      </c>
      <c r="C1993" s="182">
        <f>IFERROR(VLOOKUP($B1993,calc_data,C$14+1,0),0)</f>
        <v/>
      </c>
      <c r="D1993" s="182">
        <f>IFERROR(VLOOKUP($B1993,calc_data,D$14+1,0),0)</f>
        <v/>
      </c>
      <c r="E1993" s="183">
        <f>IFERROR(VLOOKUP($B1993,calc_data,E$14+1,0),0)</f>
        <v/>
      </c>
      <c r="F1993" s="182">
        <f>IFERROR(VLOOKUP($B1993,calc_data,F$14+1,0),0)</f>
        <v/>
      </c>
      <c r="G1993" s="141">
        <f>IFERROR(VLOOKUP($B1993,calc_data,G$14+1,0),0)</f>
        <v/>
      </c>
      <c r="H1993" s="141">
        <f>IFERROR(VLOOKUP($B1993,calc_data,H$14+1,0),0)</f>
        <v/>
      </c>
      <c r="I1993" s="142">
        <f>IFERROR(VLOOKUP($B1993,calc_data,I$14+1,0),0)</f>
        <v/>
      </c>
      <c r="J1993" s="141">
        <f>IFERROR(VLOOKUP($B1993,calc_data,J$14+1,0),0)</f>
        <v/>
      </c>
      <c r="K1993" s="141">
        <f>IFERROR(VLOOKUP($B1993,calc_data,K$14+1,0),0)</f>
        <v/>
      </c>
      <c r="L1993" s="141">
        <f>IFERROR(VLOOKUP($B1993,calc_data,L$14+1,0),0)</f>
        <v/>
      </c>
      <c r="M1993" s="177">
        <f>IFERROR(VLOOKUP($B1993,calc_data,M$14+1,0),0)</f>
        <v/>
      </c>
      <c r="N1993" s="177">
        <f>IFERROR(VLOOKUP($B1993,calc_data,N$14+1,0),0)</f>
        <v/>
      </c>
      <c r="O1993" s="45" t="n"/>
      <c r="Q1993" s="57">
        <f>IF(K1993&gt;0,"показать","скрыть")</f>
        <v/>
      </c>
    </row>
    <row r="1994" ht="15.75" customHeight="1">
      <c r="B1994" s="182" t="n">
        <v>1978</v>
      </c>
      <c r="C1994" s="182">
        <f>IFERROR(VLOOKUP($B1994,calc_data,C$14+1,0),0)</f>
        <v/>
      </c>
      <c r="D1994" s="182">
        <f>IFERROR(VLOOKUP($B1994,calc_data,D$14+1,0),0)</f>
        <v/>
      </c>
      <c r="E1994" s="183">
        <f>IFERROR(VLOOKUP($B1994,calc_data,E$14+1,0),0)</f>
        <v/>
      </c>
      <c r="F1994" s="182">
        <f>IFERROR(VLOOKUP($B1994,calc_data,F$14+1,0),0)</f>
        <v/>
      </c>
      <c r="G1994" s="141">
        <f>IFERROR(VLOOKUP($B1994,calc_data,G$14+1,0),0)</f>
        <v/>
      </c>
      <c r="H1994" s="141">
        <f>IFERROR(VLOOKUP($B1994,calc_data,H$14+1,0),0)</f>
        <v/>
      </c>
      <c r="I1994" s="142">
        <f>IFERROR(VLOOKUP($B1994,calc_data,I$14+1,0),0)</f>
        <v/>
      </c>
      <c r="J1994" s="141">
        <f>IFERROR(VLOOKUP($B1994,calc_data,J$14+1,0),0)</f>
        <v/>
      </c>
      <c r="K1994" s="141">
        <f>IFERROR(VLOOKUP($B1994,calc_data,K$14+1,0),0)</f>
        <v/>
      </c>
      <c r="L1994" s="141">
        <f>IFERROR(VLOOKUP($B1994,calc_data,L$14+1,0),0)</f>
        <v/>
      </c>
      <c r="M1994" s="177">
        <f>IFERROR(VLOOKUP($B1994,calc_data,M$14+1,0),0)</f>
        <v/>
      </c>
      <c r="N1994" s="177">
        <f>IFERROR(VLOOKUP($B1994,calc_data,N$14+1,0),0)</f>
        <v/>
      </c>
      <c r="O1994" s="45" t="n"/>
      <c r="Q1994" s="57">
        <f>IF(K1994&gt;0,"показать","скрыть")</f>
        <v/>
      </c>
    </row>
    <row r="1995" ht="15.75" customHeight="1">
      <c r="B1995" s="182" t="n">
        <v>1979</v>
      </c>
      <c r="C1995" s="182">
        <f>IFERROR(VLOOKUP($B1995,calc_data,C$14+1,0),0)</f>
        <v/>
      </c>
      <c r="D1995" s="182">
        <f>IFERROR(VLOOKUP($B1995,calc_data,D$14+1,0),0)</f>
        <v/>
      </c>
      <c r="E1995" s="183">
        <f>IFERROR(VLOOKUP($B1995,calc_data,E$14+1,0),0)</f>
        <v/>
      </c>
      <c r="F1995" s="182">
        <f>IFERROR(VLOOKUP($B1995,calc_data,F$14+1,0),0)</f>
        <v/>
      </c>
      <c r="G1995" s="141">
        <f>IFERROR(VLOOKUP($B1995,calc_data,G$14+1,0),0)</f>
        <v/>
      </c>
      <c r="H1995" s="141">
        <f>IFERROR(VLOOKUP($B1995,calc_data,H$14+1,0),0)</f>
        <v/>
      </c>
      <c r="I1995" s="142">
        <f>IFERROR(VLOOKUP($B1995,calc_data,I$14+1,0),0)</f>
        <v/>
      </c>
      <c r="J1995" s="141">
        <f>IFERROR(VLOOKUP($B1995,calc_data,J$14+1,0),0)</f>
        <v/>
      </c>
      <c r="K1995" s="141">
        <f>IFERROR(VLOOKUP($B1995,calc_data,K$14+1,0),0)</f>
        <v/>
      </c>
      <c r="L1995" s="141">
        <f>IFERROR(VLOOKUP($B1995,calc_data,L$14+1,0),0)</f>
        <v/>
      </c>
      <c r="M1995" s="177">
        <f>IFERROR(VLOOKUP($B1995,calc_data,M$14+1,0),0)</f>
        <v/>
      </c>
      <c r="N1995" s="177">
        <f>IFERROR(VLOOKUP($B1995,calc_data,N$14+1,0),0)</f>
        <v/>
      </c>
      <c r="O1995" s="45" t="n"/>
      <c r="Q1995" s="57">
        <f>IF(K1995&gt;0,"показать","скрыть")</f>
        <v/>
      </c>
    </row>
    <row r="1996" ht="15.75" customHeight="1">
      <c r="B1996" s="182" t="n">
        <v>1980</v>
      </c>
      <c r="C1996" s="182">
        <f>IFERROR(VLOOKUP($B1996,calc_data,C$14+1,0),0)</f>
        <v/>
      </c>
      <c r="D1996" s="182">
        <f>IFERROR(VLOOKUP($B1996,calc_data,D$14+1,0),0)</f>
        <v/>
      </c>
      <c r="E1996" s="183">
        <f>IFERROR(VLOOKUP($B1996,calc_data,E$14+1,0),0)</f>
        <v/>
      </c>
      <c r="F1996" s="182">
        <f>IFERROR(VLOOKUP($B1996,calc_data,F$14+1,0),0)</f>
        <v/>
      </c>
      <c r="G1996" s="141">
        <f>IFERROR(VLOOKUP($B1996,calc_data,G$14+1,0),0)</f>
        <v/>
      </c>
      <c r="H1996" s="141">
        <f>IFERROR(VLOOKUP($B1996,calc_data,H$14+1,0),0)</f>
        <v/>
      </c>
      <c r="I1996" s="142">
        <f>IFERROR(VLOOKUP($B1996,calc_data,I$14+1,0),0)</f>
        <v/>
      </c>
      <c r="J1996" s="141">
        <f>IFERROR(VLOOKUP($B1996,calc_data,J$14+1,0),0)</f>
        <v/>
      </c>
      <c r="K1996" s="141">
        <f>IFERROR(VLOOKUP($B1996,calc_data,K$14+1,0),0)</f>
        <v/>
      </c>
      <c r="L1996" s="141">
        <f>IFERROR(VLOOKUP($B1996,calc_data,L$14+1,0),0)</f>
        <v/>
      </c>
      <c r="M1996" s="177">
        <f>IFERROR(VLOOKUP($B1996,calc_data,M$14+1,0),0)</f>
        <v/>
      </c>
      <c r="N1996" s="177">
        <f>IFERROR(VLOOKUP($B1996,calc_data,N$14+1,0),0)</f>
        <v/>
      </c>
      <c r="O1996" s="45" t="n"/>
      <c r="Q1996" s="57">
        <f>IF(K1996&gt;0,"показать","скрыть")</f>
        <v/>
      </c>
    </row>
    <row r="1997" ht="15.75" customHeight="1">
      <c r="B1997" s="182" t="n">
        <v>1981</v>
      </c>
      <c r="C1997" s="182">
        <f>IFERROR(VLOOKUP($B1997,calc_data,C$14+1,0),0)</f>
        <v/>
      </c>
      <c r="D1997" s="182">
        <f>IFERROR(VLOOKUP($B1997,calc_data,D$14+1,0),0)</f>
        <v/>
      </c>
      <c r="E1997" s="183">
        <f>IFERROR(VLOOKUP($B1997,calc_data,E$14+1,0),0)</f>
        <v/>
      </c>
      <c r="F1997" s="182">
        <f>IFERROR(VLOOKUP($B1997,calc_data,F$14+1,0),0)</f>
        <v/>
      </c>
      <c r="G1997" s="141">
        <f>IFERROR(VLOOKUP($B1997,calc_data,G$14+1,0),0)</f>
        <v/>
      </c>
      <c r="H1997" s="141">
        <f>IFERROR(VLOOKUP($B1997,calc_data,H$14+1,0),0)</f>
        <v/>
      </c>
      <c r="I1997" s="142">
        <f>IFERROR(VLOOKUP($B1997,calc_data,I$14+1,0),0)</f>
        <v/>
      </c>
      <c r="J1997" s="141">
        <f>IFERROR(VLOOKUP($B1997,calc_data,J$14+1,0),0)</f>
        <v/>
      </c>
      <c r="K1997" s="141">
        <f>IFERROR(VLOOKUP($B1997,calc_data,K$14+1,0),0)</f>
        <v/>
      </c>
      <c r="L1997" s="141">
        <f>IFERROR(VLOOKUP($B1997,calc_data,L$14+1,0),0)</f>
        <v/>
      </c>
      <c r="M1997" s="177">
        <f>IFERROR(VLOOKUP($B1997,calc_data,M$14+1,0),0)</f>
        <v/>
      </c>
      <c r="N1997" s="177">
        <f>IFERROR(VLOOKUP($B1997,calc_data,N$14+1,0),0)</f>
        <v/>
      </c>
      <c r="O1997" s="45" t="n"/>
      <c r="Q1997" s="57">
        <f>IF(K1997&gt;0,"показать","скрыть")</f>
        <v/>
      </c>
    </row>
    <row r="1998" ht="15.75" customHeight="1">
      <c r="B1998" s="182" t="n">
        <v>1982</v>
      </c>
      <c r="C1998" s="182">
        <f>IFERROR(VLOOKUP($B1998,calc_data,C$14+1,0),0)</f>
        <v/>
      </c>
      <c r="D1998" s="182">
        <f>IFERROR(VLOOKUP($B1998,calc_data,D$14+1,0),0)</f>
        <v/>
      </c>
      <c r="E1998" s="183">
        <f>IFERROR(VLOOKUP($B1998,calc_data,E$14+1,0),0)</f>
        <v/>
      </c>
      <c r="F1998" s="182">
        <f>IFERROR(VLOOKUP($B1998,calc_data,F$14+1,0),0)</f>
        <v/>
      </c>
      <c r="G1998" s="141">
        <f>IFERROR(VLOOKUP($B1998,calc_data,G$14+1,0),0)</f>
        <v/>
      </c>
      <c r="H1998" s="141">
        <f>IFERROR(VLOOKUP($B1998,calc_data,H$14+1,0),0)</f>
        <v/>
      </c>
      <c r="I1998" s="142">
        <f>IFERROR(VLOOKUP($B1998,calc_data,I$14+1,0),0)</f>
        <v/>
      </c>
      <c r="J1998" s="141">
        <f>IFERROR(VLOOKUP($B1998,calc_data,J$14+1,0),0)</f>
        <v/>
      </c>
      <c r="K1998" s="141">
        <f>IFERROR(VLOOKUP($B1998,calc_data,K$14+1,0),0)</f>
        <v/>
      </c>
      <c r="L1998" s="141">
        <f>IFERROR(VLOOKUP($B1998,calc_data,L$14+1,0),0)</f>
        <v/>
      </c>
      <c r="M1998" s="177">
        <f>IFERROR(VLOOKUP($B1998,calc_data,M$14+1,0),0)</f>
        <v/>
      </c>
      <c r="N1998" s="177">
        <f>IFERROR(VLOOKUP($B1998,calc_data,N$14+1,0),0)</f>
        <v/>
      </c>
      <c r="O1998" s="45" t="n"/>
      <c r="Q1998" s="57">
        <f>IF(K1998&gt;0,"показать","скрыть")</f>
        <v/>
      </c>
    </row>
    <row r="1999" ht="15.75" customHeight="1">
      <c r="B1999" s="182" t="n">
        <v>1983</v>
      </c>
      <c r="C1999" s="182">
        <f>IFERROR(VLOOKUP($B1999,calc_data,C$14+1,0),0)</f>
        <v/>
      </c>
      <c r="D1999" s="182">
        <f>IFERROR(VLOOKUP($B1999,calc_data,D$14+1,0),0)</f>
        <v/>
      </c>
      <c r="E1999" s="183">
        <f>IFERROR(VLOOKUP($B1999,calc_data,E$14+1,0),0)</f>
        <v/>
      </c>
      <c r="F1999" s="182">
        <f>IFERROR(VLOOKUP($B1999,calc_data,F$14+1,0),0)</f>
        <v/>
      </c>
      <c r="G1999" s="141">
        <f>IFERROR(VLOOKUP($B1999,calc_data,G$14+1,0),0)</f>
        <v/>
      </c>
      <c r="H1999" s="141">
        <f>IFERROR(VLOOKUP($B1999,calc_data,H$14+1,0),0)</f>
        <v/>
      </c>
      <c r="I1999" s="142">
        <f>IFERROR(VLOOKUP($B1999,calc_data,I$14+1,0),0)</f>
        <v/>
      </c>
      <c r="J1999" s="141">
        <f>IFERROR(VLOOKUP($B1999,calc_data,J$14+1,0),0)</f>
        <v/>
      </c>
      <c r="K1999" s="141">
        <f>IFERROR(VLOOKUP($B1999,calc_data,K$14+1,0),0)</f>
        <v/>
      </c>
      <c r="L1999" s="141">
        <f>IFERROR(VLOOKUP($B1999,calc_data,L$14+1,0),0)</f>
        <v/>
      </c>
      <c r="M1999" s="177">
        <f>IFERROR(VLOOKUP($B1999,calc_data,M$14+1,0),0)</f>
        <v/>
      </c>
      <c r="N1999" s="177">
        <f>IFERROR(VLOOKUP($B1999,calc_data,N$14+1,0),0)</f>
        <v/>
      </c>
      <c r="O1999" s="45" t="n"/>
      <c r="Q1999" s="57">
        <f>IF(K1999&gt;0,"показать","скрыть")</f>
        <v/>
      </c>
    </row>
    <row r="2000" ht="15.75" customHeight="1">
      <c r="B2000" s="182" t="n">
        <v>1984</v>
      </c>
      <c r="C2000" s="182">
        <f>IFERROR(VLOOKUP($B2000,calc_data,C$14+1,0),0)</f>
        <v/>
      </c>
      <c r="D2000" s="182">
        <f>IFERROR(VLOOKUP($B2000,calc_data,D$14+1,0),0)</f>
        <v/>
      </c>
      <c r="E2000" s="183">
        <f>IFERROR(VLOOKUP($B2000,calc_data,E$14+1,0),0)</f>
        <v/>
      </c>
      <c r="F2000" s="182">
        <f>IFERROR(VLOOKUP($B2000,calc_data,F$14+1,0),0)</f>
        <v/>
      </c>
      <c r="G2000" s="141">
        <f>IFERROR(VLOOKUP($B2000,calc_data,G$14+1,0),0)</f>
        <v/>
      </c>
      <c r="H2000" s="141">
        <f>IFERROR(VLOOKUP($B2000,calc_data,H$14+1,0),0)</f>
        <v/>
      </c>
      <c r="I2000" s="142">
        <f>IFERROR(VLOOKUP($B2000,calc_data,I$14+1,0),0)</f>
        <v/>
      </c>
      <c r="J2000" s="141">
        <f>IFERROR(VLOOKUP($B2000,calc_data,J$14+1,0),0)</f>
        <v/>
      </c>
      <c r="K2000" s="141">
        <f>IFERROR(VLOOKUP($B2000,calc_data,K$14+1,0),0)</f>
        <v/>
      </c>
      <c r="L2000" s="141">
        <f>IFERROR(VLOOKUP($B2000,calc_data,L$14+1,0),0)</f>
        <v/>
      </c>
      <c r="M2000" s="177">
        <f>IFERROR(VLOOKUP($B2000,calc_data,M$14+1,0),0)</f>
        <v/>
      </c>
      <c r="N2000" s="177">
        <f>IFERROR(VLOOKUP($B2000,calc_data,N$14+1,0),0)</f>
        <v/>
      </c>
      <c r="O2000" s="45" t="n"/>
      <c r="Q2000" s="57">
        <f>IF(K2000&gt;0,"показать","скрыть")</f>
        <v/>
      </c>
    </row>
    <row r="2001" ht="15.75" customHeight="1">
      <c r="B2001" s="182" t="n">
        <v>1985</v>
      </c>
      <c r="C2001" s="182">
        <f>IFERROR(VLOOKUP($B2001,calc_data,C$14+1,0),0)</f>
        <v/>
      </c>
      <c r="D2001" s="182">
        <f>IFERROR(VLOOKUP($B2001,calc_data,D$14+1,0),0)</f>
        <v/>
      </c>
      <c r="E2001" s="183">
        <f>IFERROR(VLOOKUP($B2001,calc_data,E$14+1,0),0)</f>
        <v/>
      </c>
      <c r="F2001" s="182">
        <f>IFERROR(VLOOKUP($B2001,calc_data,F$14+1,0),0)</f>
        <v/>
      </c>
      <c r="G2001" s="141">
        <f>IFERROR(VLOOKUP($B2001,calc_data,G$14+1,0),0)</f>
        <v/>
      </c>
      <c r="H2001" s="141">
        <f>IFERROR(VLOOKUP($B2001,calc_data,H$14+1,0),0)</f>
        <v/>
      </c>
      <c r="I2001" s="142">
        <f>IFERROR(VLOOKUP($B2001,calc_data,I$14+1,0),0)</f>
        <v/>
      </c>
      <c r="J2001" s="141">
        <f>IFERROR(VLOOKUP($B2001,calc_data,J$14+1,0),0)</f>
        <v/>
      </c>
      <c r="K2001" s="141">
        <f>IFERROR(VLOOKUP($B2001,calc_data,K$14+1,0),0)</f>
        <v/>
      </c>
      <c r="L2001" s="141">
        <f>IFERROR(VLOOKUP($B2001,calc_data,L$14+1,0),0)</f>
        <v/>
      </c>
      <c r="M2001" s="177">
        <f>IFERROR(VLOOKUP($B2001,calc_data,M$14+1,0),0)</f>
        <v/>
      </c>
      <c r="N2001" s="177">
        <f>IFERROR(VLOOKUP($B2001,calc_data,N$14+1,0),0)</f>
        <v/>
      </c>
      <c r="O2001" s="45" t="n"/>
      <c r="Q2001" s="57">
        <f>IF(K2001&gt;0,"показать","скрыть")</f>
        <v/>
      </c>
    </row>
    <row r="2002" ht="15.75" customHeight="1">
      <c r="B2002" s="182" t="n">
        <v>1986</v>
      </c>
      <c r="C2002" s="182">
        <f>IFERROR(VLOOKUP($B2002,calc_data,C$14+1,0),0)</f>
        <v/>
      </c>
      <c r="D2002" s="182">
        <f>IFERROR(VLOOKUP($B2002,calc_data,D$14+1,0),0)</f>
        <v/>
      </c>
      <c r="E2002" s="183">
        <f>IFERROR(VLOOKUP($B2002,calc_data,E$14+1,0),0)</f>
        <v/>
      </c>
      <c r="F2002" s="182">
        <f>IFERROR(VLOOKUP($B2002,calc_data,F$14+1,0),0)</f>
        <v/>
      </c>
      <c r="G2002" s="141">
        <f>IFERROR(VLOOKUP($B2002,calc_data,G$14+1,0),0)</f>
        <v/>
      </c>
      <c r="H2002" s="141">
        <f>IFERROR(VLOOKUP($B2002,calc_data,H$14+1,0),0)</f>
        <v/>
      </c>
      <c r="I2002" s="142">
        <f>IFERROR(VLOOKUP($B2002,calc_data,I$14+1,0),0)</f>
        <v/>
      </c>
      <c r="J2002" s="141">
        <f>IFERROR(VLOOKUP($B2002,calc_data,J$14+1,0),0)</f>
        <v/>
      </c>
      <c r="K2002" s="141">
        <f>IFERROR(VLOOKUP($B2002,calc_data,K$14+1,0),0)</f>
        <v/>
      </c>
      <c r="L2002" s="141">
        <f>IFERROR(VLOOKUP($B2002,calc_data,L$14+1,0),0)</f>
        <v/>
      </c>
      <c r="M2002" s="177">
        <f>IFERROR(VLOOKUP($B2002,calc_data,M$14+1,0),0)</f>
        <v/>
      </c>
      <c r="N2002" s="177">
        <f>IFERROR(VLOOKUP($B2002,calc_data,N$14+1,0),0)</f>
        <v/>
      </c>
      <c r="O2002" s="45" t="n"/>
      <c r="Q2002" s="57">
        <f>IF(K2002&gt;0,"показать","скрыть")</f>
        <v/>
      </c>
    </row>
    <row r="2003" ht="15.75" customHeight="1">
      <c r="B2003" s="182" t="n">
        <v>1987</v>
      </c>
      <c r="C2003" s="182">
        <f>IFERROR(VLOOKUP($B2003,calc_data,C$14+1,0),0)</f>
        <v/>
      </c>
      <c r="D2003" s="182">
        <f>IFERROR(VLOOKUP($B2003,calc_data,D$14+1,0),0)</f>
        <v/>
      </c>
      <c r="E2003" s="183">
        <f>IFERROR(VLOOKUP($B2003,calc_data,E$14+1,0),0)</f>
        <v/>
      </c>
      <c r="F2003" s="182">
        <f>IFERROR(VLOOKUP($B2003,calc_data,F$14+1,0),0)</f>
        <v/>
      </c>
      <c r="G2003" s="141">
        <f>IFERROR(VLOOKUP($B2003,calc_data,G$14+1,0),0)</f>
        <v/>
      </c>
      <c r="H2003" s="141">
        <f>IFERROR(VLOOKUP($B2003,calc_data,H$14+1,0),0)</f>
        <v/>
      </c>
      <c r="I2003" s="142">
        <f>IFERROR(VLOOKUP($B2003,calc_data,I$14+1,0),0)</f>
        <v/>
      </c>
      <c r="J2003" s="141">
        <f>IFERROR(VLOOKUP($B2003,calc_data,J$14+1,0),0)</f>
        <v/>
      </c>
      <c r="K2003" s="141">
        <f>IFERROR(VLOOKUP($B2003,calc_data,K$14+1,0),0)</f>
        <v/>
      </c>
      <c r="L2003" s="141">
        <f>IFERROR(VLOOKUP($B2003,calc_data,L$14+1,0),0)</f>
        <v/>
      </c>
      <c r="M2003" s="177">
        <f>IFERROR(VLOOKUP($B2003,calc_data,M$14+1,0),0)</f>
        <v/>
      </c>
      <c r="N2003" s="177">
        <f>IFERROR(VLOOKUP($B2003,calc_data,N$14+1,0),0)</f>
        <v/>
      </c>
      <c r="O2003" s="45" t="n"/>
      <c r="Q2003" s="57">
        <f>IF(K2003&gt;0,"показать","скрыть")</f>
        <v/>
      </c>
    </row>
    <row r="2004" ht="15.75" customHeight="1">
      <c r="B2004" s="182" t="n">
        <v>1988</v>
      </c>
      <c r="C2004" s="182">
        <f>IFERROR(VLOOKUP($B2004,calc_data,C$14+1,0),0)</f>
        <v/>
      </c>
      <c r="D2004" s="182">
        <f>IFERROR(VLOOKUP($B2004,calc_data,D$14+1,0),0)</f>
        <v/>
      </c>
      <c r="E2004" s="183">
        <f>IFERROR(VLOOKUP($B2004,calc_data,E$14+1,0),0)</f>
        <v/>
      </c>
      <c r="F2004" s="182">
        <f>IFERROR(VLOOKUP($B2004,calc_data,F$14+1,0),0)</f>
        <v/>
      </c>
      <c r="G2004" s="141">
        <f>IFERROR(VLOOKUP($B2004,calc_data,G$14+1,0),0)</f>
        <v/>
      </c>
      <c r="H2004" s="141">
        <f>IFERROR(VLOOKUP($B2004,calc_data,H$14+1,0),0)</f>
        <v/>
      </c>
      <c r="I2004" s="142">
        <f>IFERROR(VLOOKUP($B2004,calc_data,I$14+1,0),0)</f>
        <v/>
      </c>
      <c r="J2004" s="141">
        <f>IFERROR(VLOOKUP($B2004,calc_data,J$14+1,0),0)</f>
        <v/>
      </c>
      <c r="K2004" s="141">
        <f>IFERROR(VLOOKUP($B2004,calc_data,K$14+1,0),0)</f>
        <v/>
      </c>
      <c r="L2004" s="141">
        <f>IFERROR(VLOOKUP($B2004,calc_data,L$14+1,0),0)</f>
        <v/>
      </c>
      <c r="M2004" s="177">
        <f>IFERROR(VLOOKUP($B2004,calc_data,M$14+1,0),0)</f>
        <v/>
      </c>
      <c r="N2004" s="177">
        <f>IFERROR(VLOOKUP($B2004,calc_data,N$14+1,0),0)</f>
        <v/>
      </c>
      <c r="O2004" s="45" t="n"/>
      <c r="Q2004" s="57">
        <f>IF(K2004&gt;0,"показать","скрыть")</f>
        <v/>
      </c>
    </row>
    <row r="2005" ht="15.75" customHeight="1">
      <c r="B2005" s="182" t="n">
        <v>1989</v>
      </c>
      <c r="C2005" s="182">
        <f>IFERROR(VLOOKUP($B2005,calc_data,C$14+1,0),0)</f>
        <v/>
      </c>
      <c r="D2005" s="182">
        <f>IFERROR(VLOOKUP($B2005,calc_data,D$14+1,0),0)</f>
        <v/>
      </c>
      <c r="E2005" s="183">
        <f>IFERROR(VLOOKUP($B2005,calc_data,E$14+1,0),0)</f>
        <v/>
      </c>
      <c r="F2005" s="182">
        <f>IFERROR(VLOOKUP($B2005,calc_data,F$14+1,0),0)</f>
        <v/>
      </c>
      <c r="G2005" s="141">
        <f>IFERROR(VLOOKUP($B2005,calc_data,G$14+1,0),0)</f>
        <v/>
      </c>
      <c r="H2005" s="141">
        <f>IFERROR(VLOOKUP($B2005,calc_data,H$14+1,0),0)</f>
        <v/>
      </c>
      <c r="I2005" s="142">
        <f>IFERROR(VLOOKUP($B2005,calc_data,I$14+1,0),0)</f>
        <v/>
      </c>
      <c r="J2005" s="141">
        <f>IFERROR(VLOOKUP($B2005,calc_data,J$14+1,0),0)</f>
        <v/>
      </c>
      <c r="K2005" s="141">
        <f>IFERROR(VLOOKUP($B2005,calc_data,K$14+1,0),0)</f>
        <v/>
      </c>
      <c r="L2005" s="141">
        <f>IFERROR(VLOOKUP($B2005,calc_data,L$14+1,0),0)</f>
        <v/>
      </c>
      <c r="M2005" s="177">
        <f>IFERROR(VLOOKUP($B2005,calc_data,M$14+1,0),0)</f>
        <v/>
      </c>
      <c r="N2005" s="177">
        <f>IFERROR(VLOOKUP($B2005,calc_data,N$14+1,0),0)</f>
        <v/>
      </c>
      <c r="O2005" s="45" t="n"/>
      <c r="Q2005" s="57">
        <f>IF(K2005&gt;0,"показать","скрыть")</f>
        <v/>
      </c>
    </row>
    <row r="2006" ht="15.75" customHeight="1">
      <c r="B2006" s="182" t="n">
        <v>1990</v>
      </c>
      <c r="C2006" s="182">
        <f>IFERROR(VLOOKUP($B2006,calc_data,C$14+1,0),0)</f>
        <v/>
      </c>
      <c r="D2006" s="182">
        <f>IFERROR(VLOOKUP($B2006,calc_data,D$14+1,0),0)</f>
        <v/>
      </c>
      <c r="E2006" s="183">
        <f>IFERROR(VLOOKUP($B2006,calc_data,E$14+1,0),0)</f>
        <v/>
      </c>
      <c r="F2006" s="182">
        <f>IFERROR(VLOOKUP($B2006,calc_data,F$14+1,0),0)</f>
        <v/>
      </c>
      <c r="G2006" s="141">
        <f>IFERROR(VLOOKUP($B2006,calc_data,G$14+1,0),0)</f>
        <v/>
      </c>
      <c r="H2006" s="141">
        <f>IFERROR(VLOOKUP($B2006,calc_data,H$14+1,0),0)</f>
        <v/>
      </c>
      <c r="I2006" s="142">
        <f>IFERROR(VLOOKUP($B2006,calc_data,I$14+1,0),0)</f>
        <v/>
      </c>
      <c r="J2006" s="141">
        <f>IFERROR(VLOOKUP($B2006,calc_data,J$14+1,0),0)</f>
        <v/>
      </c>
      <c r="K2006" s="141">
        <f>IFERROR(VLOOKUP($B2006,calc_data,K$14+1,0),0)</f>
        <v/>
      </c>
      <c r="L2006" s="141">
        <f>IFERROR(VLOOKUP($B2006,calc_data,L$14+1,0),0)</f>
        <v/>
      </c>
      <c r="M2006" s="177">
        <f>IFERROR(VLOOKUP($B2006,calc_data,M$14+1,0),0)</f>
        <v/>
      </c>
      <c r="N2006" s="177">
        <f>IFERROR(VLOOKUP($B2006,calc_data,N$14+1,0),0)</f>
        <v/>
      </c>
      <c r="O2006" s="45" t="n"/>
      <c r="Q2006" s="57">
        <f>IF(K2006&gt;0,"показать","скрыть")</f>
        <v/>
      </c>
    </row>
    <row r="2007" ht="15.75" customHeight="1">
      <c r="B2007" s="182" t="n">
        <v>1991</v>
      </c>
      <c r="C2007" s="182">
        <f>IFERROR(VLOOKUP($B2007,calc_data,C$14+1,0),0)</f>
        <v/>
      </c>
      <c r="D2007" s="182">
        <f>IFERROR(VLOOKUP($B2007,calc_data,D$14+1,0),0)</f>
        <v/>
      </c>
      <c r="E2007" s="183">
        <f>IFERROR(VLOOKUP($B2007,calc_data,E$14+1,0),0)</f>
        <v/>
      </c>
      <c r="F2007" s="182">
        <f>IFERROR(VLOOKUP($B2007,calc_data,F$14+1,0),0)</f>
        <v/>
      </c>
      <c r="G2007" s="141">
        <f>IFERROR(VLOOKUP($B2007,calc_data,G$14+1,0),0)</f>
        <v/>
      </c>
      <c r="H2007" s="141">
        <f>IFERROR(VLOOKUP($B2007,calc_data,H$14+1,0),0)</f>
        <v/>
      </c>
      <c r="I2007" s="142">
        <f>IFERROR(VLOOKUP($B2007,calc_data,I$14+1,0),0)</f>
        <v/>
      </c>
      <c r="J2007" s="141">
        <f>IFERROR(VLOOKUP($B2007,calc_data,J$14+1,0),0)</f>
        <v/>
      </c>
      <c r="K2007" s="141">
        <f>IFERROR(VLOOKUP($B2007,calc_data,K$14+1,0),0)</f>
        <v/>
      </c>
      <c r="L2007" s="141">
        <f>IFERROR(VLOOKUP($B2007,calc_data,L$14+1,0),0)</f>
        <v/>
      </c>
      <c r="M2007" s="177">
        <f>IFERROR(VLOOKUP($B2007,calc_data,M$14+1,0),0)</f>
        <v/>
      </c>
      <c r="N2007" s="177">
        <f>IFERROR(VLOOKUP($B2007,calc_data,N$14+1,0),0)</f>
        <v/>
      </c>
      <c r="O2007" s="45" t="n"/>
      <c r="Q2007" s="57">
        <f>IF(K2007&gt;0,"показать","скрыть")</f>
        <v/>
      </c>
    </row>
    <row r="2008" ht="15.75" customHeight="1">
      <c r="B2008" s="182" t="n">
        <v>1992</v>
      </c>
      <c r="C2008" s="182">
        <f>IFERROR(VLOOKUP($B2008,calc_data,C$14+1,0),0)</f>
        <v/>
      </c>
      <c r="D2008" s="182">
        <f>IFERROR(VLOOKUP($B2008,calc_data,D$14+1,0),0)</f>
        <v/>
      </c>
      <c r="E2008" s="183">
        <f>IFERROR(VLOOKUP($B2008,calc_data,E$14+1,0),0)</f>
        <v/>
      </c>
      <c r="F2008" s="182">
        <f>IFERROR(VLOOKUP($B2008,calc_data,F$14+1,0),0)</f>
        <v/>
      </c>
      <c r="G2008" s="141">
        <f>IFERROR(VLOOKUP($B2008,calc_data,G$14+1,0),0)</f>
        <v/>
      </c>
      <c r="H2008" s="141">
        <f>IFERROR(VLOOKUP($B2008,calc_data,H$14+1,0),0)</f>
        <v/>
      </c>
      <c r="I2008" s="142">
        <f>IFERROR(VLOOKUP($B2008,calc_data,I$14+1,0),0)</f>
        <v/>
      </c>
      <c r="J2008" s="141">
        <f>IFERROR(VLOOKUP($B2008,calc_data,J$14+1,0),0)</f>
        <v/>
      </c>
      <c r="K2008" s="141">
        <f>IFERROR(VLOOKUP($B2008,calc_data,K$14+1,0),0)</f>
        <v/>
      </c>
      <c r="L2008" s="141">
        <f>IFERROR(VLOOKUP($B2008,calc_data,L$14+1,0),0)</f>
        <v/>
      </c>
      <c r="M2008" s="177">
        <f>IFERROR(VLOOKUP($B2008,calc_data,M$14+1,0),0)</f>
        <v/>
      </c>
      <c r="N2008" s="177">
        <f>IFERROR(VLOOKUP($B2008,calc_data,N$14+1,0),0)</f>
        <v/>
      </c>
      <c r="O2008" s="45" t="n"/>
      <c r="Q2008" s="57">
        <f>IF(K2008&gt;0,"показать","скрыть")</f>
        <v/>
      </c>
    </row>
    <row r="2009" ht="15.75" customHeight="1">
      <c r="B2009" s="182" t="n">
        <v>1993</v>
      </c>
      <c r="C2009" s="182">
        <f>IFERROR(VLOOKUP($B2009,calc_data,C$14+1,0),0)</f>
        <v/>
      </c>
      <c r="D2009" s="182">
        <f>IFERROR(VLOOKUP($B2009,calc_data,D$14+1,0),0)</f>
        <v/>
      </c>
      <c r="E2009" s="183">
        <f>IFERROR(VLOOKUP($B2009,calc_data,E$14+1,0),0)</f>
        <v/>
      </c>
      <c r="F2009" s="182">
        <f>IFERROR(VLOOKUP($B2009,calc_data,F$14+1,0),0)</f>
        <v/>
      </c>
      <c r="G2009" s="141">
        <f>IFERROR(VLOOKUP($B2009,calc_data,G$14+1,0),0)</f>
        <v/>
      </c>
      <c r="H2009" s="141">
        <f>IFERROR(VLOOKUP($B2009,calc_data,H$14+1,0),0)</f>
        <v/>
      </c>
      <c r="I2009" s="142">
        <f>IFERROR(VLOOKUP($B2009,calc_data,I$14+1,0),0)</f>
        <v/>
      </c>
      <c r="J2009" s="141">
        <f>IFERROR(VLOOKUP($B2009,calc_data,J$14+1,0),0)</f>
        <v/>
      </c>
      <c r="K2009" s="141">
        <f>IFERROR(VLOOKUP($B2009,calc_data,K$14+1,0),0)</f>
        <v/>
      </c>
      <c r="L2009" s="141">
        <f>IFERROR(VLOOKUP($B2009,calc_data,L$14+1,0),0)</f>
        <v/>
      </c>
      <c r="M2009" s="177">
        <f>IFERROR(VLOOKUP($B2009,calc_data,M$14+1,0),0)</f>
        <v/>
      </c>
      <c r="N2009" s="177">
        <f>IFERROR(VLOOKUP($B2009,calc_data,N$14+1,0),0)</f>
        <v/>
      </c>
      <c r="O2009" s="45" t="n"/>
      <c r="Q2009" s="57">
        <f>IF(K2009&gt;0,"показать","скрыть")</f>
        <v/>
      </c>
    </row>
    <row r="2010" ht="15.75" customHeight="1">
      <c r="B2010" s="182" t="n">
        <v>1994</v>
      </c>
      <c r="C2010" s="182">
        <f>IFERROR(VLOOKUP($B2010,calc_data,C$14+1,0),0)</f>
        <v/>
      </c>
      <c r="D2010" s="182">
        <f>IFERROR(VLOOKUP($B2010,calc_data,D$14+1,0),0)</f>
        <v/>
      </c>
      <c r="E2010" s="183">
        <f>IFERROR(VLOOKUP($B2010,calc_data,E$14+1,0),0)</f>
        <v/>
      </c>
      <c r="F2010" s="182">
        <f>IFERROR(VLOOKUP($B2010,calc_data,F$14+1,0),0)</f>
        <v/>
      </c>
      <c r="G2010" s="141">
        <f>IFERROR(VLOOKUP($B2010,calc_data,G$14+1,0),0)</f>
        <v/>
      </c>
      <c r="H2010" s="141">
        <f>IFERROR(VLOOKUP($B2010,calc_data,H$14+1,0),0)</f>
        <v/>
      </c>
      <c r="I2010" s="142">
        <f>IFERROR(VLOOKUP($B2010,calc_data,I$14+1,0),0)</f>
        <v/>
      </c>
      <c r="J2010" s="141">
        <f>IFERROR(VLOOKUP($B2010,calc_data,J$14+1,0),0)</f>
        <v/>
      </c>
      <c r="K2010" s="141">
        <f>IFERROR(VLOOKUP($B2010,calc_data,K$14+1,0),0)</f>
        <v/>
      </c>
      <c r="L2010" s="141">
        <f>IFERROR(VLOOKUP($B2010,calc_data,L$14+1,0),0)</f>
        <v/>
      </c>
      <c r="M2010" s="177">
        <f>IFERROR(VLOOKUP($B2010,calc_data,M$14+1,0),0)</f>
        <v/>
      </c>
      <c r="N2010" s="177">
        <f>IFERROR(VLOOKUP($B2010,calc_data,N$14+1,0),0)</f>
        <v/>
      </c>
      <c r="O2010" s="45" t="n"/>
      <c r="Q2010" s="57">
        <f>IF(K2010&gt;0,"показать","скрыть")</f>
        <v/>
      </c>
    </row>
    <row r="2011" ht="15.75" customHeight="1">
      <c r="B2011" s="182" t="n">
        <v>1995</v>
      </c>
      <c r="C2011" s="182">
        <f>IFERROR(VLOOKUP($B2011,calc_data,C$14+1,0),0)</f>
        <v/>
      </c>
      <c r="D2011" s="182">
        <f>IFERROR(VLOOKUP($B2011,calc_data,D$14+1,0),0)</f>
        <v/>
      </c>
      <c r="E2011" s="183">
        <f>IFERROR(VLOOKUP($B2011,calc_data,E$14+1,0),0)</f>
        <v/>
      </c>
      <c r="F2011" s="182">
        <f>IFERROR(VLOOKUP($B2011,calc_data,F$14+1,0),0)</f>
        <v/>
      </c>
      <c r="G2011" s="141">
        <f>IFERROR(VLOOKUP($B2011,calc_data,G$14+1,0),0)</f>
        <v/>
      </c>
      <c r="H2011" s="141">
        <f>IFERROR(VLOOKUP($B2011,calc_data,H$14+1,0),0)</f>
        <v/>
      </c>
      <c r="I2011" s="142">
        <f>IFERROR(VLOOKUP($B2011,calc_data,I$14+1,0),0)</f>
        <v/>
      </c>
      <c r="J2011" s="141">
        <f>IFERROR(VLOOKUP($B2011,calc_data,J$14+1,0),0)</f>
        <v/>
      </c>
      <c r="K2011" s="141">
        <f>IFERROR(VLOOKUP($B2011,calc_data,K$14+1,0),0)</f>
        <v/>
      </c>
      <c r="L2011" s="141">
        <f>IFERROR(VLOOKUP($B2011,calc_data,L$14+1,0),0)</f>
        <v/>
      </c>
      <c r="M2011" s="177">
        <f>IFERROR(VLOOKUP($B2011,calc_data,M$14+1,0),0)</f>
        <v/>
      </c>
      <c r="N2011" s="177">
        <f>IFERROR(VLOOKUP($B2011,calc_data,N$14+1,0),0)</f>
        <v/>
      </c>
      <c r="O2011" s="45" t="n"/>
      <c r="Q2011" s="57">
        <f>IF(K2011&gt;0,"показать","скрыть")</f>
        <v/>
      </c>
    </row>
    <row r="2012" ht="15.75" customHeight="1">
      <c r="B2012" s="182" t="n">
        <v>1996</v>
      </c>
      <c r="C2012" s="182">
        <f>IFERROR(VLOOKUP($B2012,calc_data,C$14+1,0),0)</f>
        <v/>
      </c>
      <c r="D2012" s="182">
        <f>IFERROR(VLOOKUP($B2012,calc_data,D$14+1,0),0)</f>
        <v/>
      </c>
      <c r="E2012" s="183">
        <f>IFERROR(VLOOKUP($B2012,calc_data,E$14+1,0),0)</f>
        <v/>
      </c>
      <c r="F2012" s="182">
        <f>IFERROR(VLOOKUP($B2012,calc_data,F$14+1,0),0)</f>
        <v/>
      </c>
      <c r="G2012" s="141">
        <f>IFERROR(VLOOKUP($B2012,calc_data,G$14+1,0),0)</f>
        <v/>
      </c>
      <c r="H2012" s="141">
        <f>IFERROR(VLOOKUP($B2012,calc_data,H$14+1,0),0)</f>
        <v/>
      </c>
      <c r="I2012" s="142">
        <f>IFERROR(VLOOKUP($B2012,calc_data,I$14+1,0),0)</f>
        <v/>
      </c>
      <c r="J2012" s="141">
        <f>IFERROR(VLOOKUP($B2012,calc_data,J$14+1,0),0)</f>
        <v/>
      </c>
      <c r="K2012" s="141">
        <f>IFERROR(VLOOKUP($B2012,calc_data,K$14+1,0),0)</f>
        <v/>
      </c>
      <c r="L2012" s="141">
        <f>IFERROR(VLOOKUP($B2012,calc_data,L$14+1,0),0)</f>
        <v/>
      </c>
      <c r="M2012" s="177">
        <f>IFERROR(VLOOKUP($B2012,calc_data,M$14+1,0),0)</f>
        <v/>
      </c>
      <c r="N2012" s="177">
        <f>IFERROR(VLOOKUP($B2012,calc_data,N$14+1,0),0)</f>
        <v/>
      </c>
      <c r="O2012" s="45" t="n"/>
      <c r="Q2012" s="57">
        <f>IF(K2012&gt;0,"показать","скрыть")</f>
        <v/>
      </c>
    </row>
    <row r="2013" ht="15.75" customHeight="1">
      <c r="B2013" s="182" t="n">
        <v>1997</v>
      </c>
      <c r="C2013" s="182">
        <f>IFERROR(VLOOKUP($B2013,calc_data,C$14+1,0),0)</f>
        <v/>
      </c>
      <c r="D2013" s="182">
        <f>IFERROR(VLOOKUP($B2013,calc_data,D$14+1,0),0)</f>
        <v/>
      </c>
      <c r="E2013" s="183">
        <f>IFERROR(VLOOKUP($B2013,calc_data,E$14+1,0),0)</f>
        <v/>
      </c>
      <c r="F2013" s="182">
        <f>IFERROR(VLOOKUP($B2013,calc_data,F$14+1,0),0)</f>
        <v/>
      </c>
      <c r="G2013" s="141">
        <f>IFERROR(VLOOKUP($B2013,calc_data,G$14+1,0),0)</f>
        <v/>
      </c>
      <c r="H2013" s="141">
        <f>IFERROR(VLOOKUP($B2013,calc_data,H$14+1,0),0)</f>
        <v/>
      </c>
      <c r="I2013" s="142">
        <f>IFERROR(VLOOKUP($B2013,calc_data,I$14+1,0),0)</f>
        <v/>
      </c>
      <c r="J2013" s="141">
        <f>IFERROR(VLOOKUP($B2013,calc_data,J$14+1,0),0)</f>
        <v/>
      </c>
      <c r="K2013" s="141">
        <f>IFERROR(VLOOKUP($B2013,calc_data,K$14+1,0),0)</f>
        <v/>
      </c>
      <c r="L2013" s="141">
        <f>IFERROR(VLOOKUP($B2013,calc_data,L$14+1,0),0)</f>
        <v/>
      </c>
      <c r="M2013" s="177">
        <f>IFERROR(VLOOKUP($B2013,calc_data,M$14+1,0),0)</f>
        <v/>
      </c>
      <c r="N2013" s="177">
        <f>IFERROR(VLOOKUP($B2013,calc_data,N$14+1,0),0)</f>
        <v/>
      </c>
      <c r="O2013" s="45" t="n"/>
      <c r="Q2013" s="57">
        <f>IF(K2013&gt;0,"показать","скрыть")</f>
        <v/>
      </c>
    </row>
    <row r="2014" ht="15.75" customHeight="1">
      <c r="B2014" s="182" t="n">
        <v>1998</v>
      </c>
      <c r="C2014" s="182">
        <f>IFERROR(VLOOKUP($B2014,calc_data,C$14+1,0),0)</f>
        <v/>
      </c>
      <c r="D2014" s="182">
        <f>IFERROR(VLOOKUP($B2014,calc_data,D$14+1,0),0)</f>
        <v/>
      </c>
      <c r="E2014" s="183">
        <f>IFERROR(VLOOKUP($B2014,calc_data,E$14+1,0),0)</f>
        <v/>
      </c>
      <c r="F2014" s="182">
        <f>IFERROR(VLOOKUP($B2014,calc_data,F$14+1,0),0)</f>
        <v/>
      </c>
      <c r="G2014" s="141">
        <f>IFERROR(VLOOKUP($B2014,calc_data,G$14+1,0),0)</f>
        <v/>
      </c>
      <c r="H2014" s="141">
        <f>IFERROR(VLOOKUP($B2014,calc_data,H$14+1,0),0)</f>
        <v/>
      </c>
      <c r="I2014" s="142">
        <f>IFERROR(VLOOKUP($B2014,calc_data,I$14+1,0),0)</f>
        <v/>
      </c>
      <c r="J2014" s="141">
        <f>IFERROR(VLOOKUP($B2014,calc_data,J$14+1,0),0)</f>
        <v/>
      </c>
      <c r="K2014" s="141">
        <f>IFERROR(VLOOKUP($B2014,calc_data,K$14+1,0),0)</f>
        <v/>
      </c>
      <c r="L2014" s="141">
        <f>IFERROR(VLOOKUP($B2014,calc_data,L$14+1,0),0)</f>
        <v/>
      </c>
      <c r="M2014" s="177">
        <f>IFERROR(VLOOKUP($B2014,calc_data,M$14+1,0),0)</f>
        <v/>
      </c>
      <c r="N2014" s="177">
        <f>IFERROR(VLOOKUP($B2014,calc_data,N$14+1,0),0)</f>
        <v/>
      </c>
      <c r="O2014" s="45" t="n"/>
      <c r="Q2014" s="57">
        <f>IF(K2014&gt;0,"показать","скрыть")</f>
        <v/>
      </c>
    </row>
    <row r="2015" ht="15.75" customHeight="1">
      <c r="B2015" s="182" t="n">
        <v>1999</v>
      </c>
      <c r="C2015" s="182">
        <f>IFERROR(VLOOKUP($B2015,calc_data,C$14+1,0),0)</f>
        <v/>
      </c>
      <c r="D2015" s="182">
        <f>IFERROR(VLOOKUP($B2015,calc_data,D$14+1,0),0)</f>
        <v/>
      </c>
      <c r="E2015" s="183">
        <f>IFERROR(VLOOKUP($B2015,calc_data,E$14+1,0),0)</f>
        <v/>
      </c>
      <c r="F2015" s="182">
        <f>IFERROR(VLOOKUP($B2015,calc_data,F$14+1,0),0)</f>
        <v/>
      </c>
      <c r="G2015" s="141">
        <f>IFERROR(VLOOKUP($B2015,calc_data,G$14+1,0),0)</f>
        <v/>
      </c>
      <c r="H2015" s="141">
        <f>IFERROR(VLOOKUP($B2015,calc_data,H$14+1,0),0)</f>
        <v/>
      </c>
      <c r="I2015" s="142">
        <f>IFERROR(VLOOKUP($B2015,calc_data,I$14+1,0),0)</f>
        <v/>
      </c>
      <c r="J2015" s="141">
        <f>IFERROR(VLOOKUP($B2015,calc_data,J$14+1,0),0)</f>
        <v/>
      </c>
      <c r="K2015" s="141">
        <f>IFERROR(VLOOKUP($B2015,calc_data,K$14+1,0),0)</f>
        <v/>
      </c>
      <c r="L2015" s="141">
        <f>IFERROR(VLOOKUP($B2015,calc_data,L$14+1,0),0)</f>
        <v/>
      </c>
      <c r="M2015" s="177">
        <f>IFERROR(VLOOKUP($B2015,calc_data,M$14+1,0),0)</f>
        <v/>
      </c>
      <c r="N2015" s="177">
        <f>IFERROR(VLOOKUP($B2015,calc_data,N$14+1,0),0)</f>
        <v/>
      </c>
      <c r="O2015" s="45" t="n"/>
      <c r="Q2015" s="57">
        <f>IF(K2015&gt;0,"показать","скрыть")</f>
        <v/>
      </c>
    </row>
    <row r="2016" ht="15.75" customHeight="1">
      <c r="B2016" s="182" t="n">
        <v>2000</v>
      </c>
      <c r="C2016" s="182">
        <f>IFERROR(VLOOKUP($B2016,calc_data,C$14+1,0),0)</f>
        <v/>
      </c>
      <c r="D2016" s="182">
        <f>IFERROR(VLOOKUP($B2016,calc_data,D$14+1,0),0)</f>
        <v/>
      </c>
      <c r="E2016" s="183">
        <f>IFERROR(VLOOKUP($B2016,calc_data,E$14+1,0),0)</f>
        <v/>
      </c>
      <c r="F2016" s="182">
        <f>IFERROR(VLOOKUP($B2016,calc_data,F$14+1,0),0)</f>
        <v/>
      </c>
      <c r="G2016" s="141">
        <f>IFERROR(VLOOKUP($B2016,calc_data,G$14+1,0),0)</f>
        <v/>
      </c>
      <c r="H2016" s="141">
        <f>IFERROR(VLOOKUP($B2016,calc_data,H$14+1,0),0)</f>
        <v/>
      </c>
      <c r="I2016" s="142">
        <f>IFERROR(VLOOKUP($B2016,calc_data,I$14+1,0),0)</f>
        <v/>
      </c>
      <c r="J2016" s="141">
        <f>IFERROR(VLOOKUP($B2016,calc_data,J$14+1,0),0)</f>
        <v/>
      </c>
      <c r="K2016" s="141">
        <f>IFERROR(VLOOKUP($B2016,calc_data,K$14+1,0),0)</f>
        <v/>
      </c>
      <c r="L2016" s="141">
        <f>IFERROR(VLOOKUP($B2016,calc_data,L$14+1,0),0)</f>
        <v/>
      </c>
      <c r="M2016" s="177">
        <f>IFERROR(VLOOKUP($B2016,calc_data,M$14+1,0),0)</f>
        <v/>
      </c>
      <c r="N2016" s="177">
        <f>IFERROR(VLOOKUP($B2016,calc_data,N$14+1,0),0)</f>
        <v/>
      </c>
      <c r="O2016" s="45" t="n"/>
      <c r="Q2016" s="57">
        <f>IF(K2016&gt;0,"показать","скрыть")</f>
        <v/>
      </c>
    </row>
    <row r="2017" ht="15" customHeight="1">
      <c r="B2017" s="815" t="inlineStr">
        <is>
          <t>ИТОГО:</t>
        </is>
      </c>
      <c r="C2017" s="812" t="n"/>
      <c r="D2017" s="812" t="n"/>
      <c r="E2017" s="812" t="n"/>
      <c r="F2017" s="816" t="n"/>
      <c r="G2017" s="143">
        <f>SUM(G17:G2016)</f>
        <v/>
      </c>
      <c r="H2017" s="149" t="n"/>
      <c r="I2017" s="149" t="n"/>
      <c r="J2017" s="149" t="n"/>
      <c r="K2017" s="815">
        <f>SUM(K17:K2016)</f>
        <v/>
      </c>
      <c r="L2017" s="815">
        <f>SUM(L17:L2016)</f>
        <v/>
      </c>
      <c r="M2017" s="815" t="n"/>
      <c r="N2017" s="815">
        <f>SUM(N17:N2016)</f>
        <v/>
      </c>
      <c r="O2017" s="45" t="n"/>
      <c r="Q2017" s="57">
        <f>IF(K2017&gt;0,"показать","скрыть")</f>
        <v/>
      </c>
    </row>
    <row r="2018" ht="13.5" customHeight="1">
      <c r="B2018" s="63" t="n"/>
      <c r="F2018" s="63" t="n"/>
      <c r="G2018" s="63" t="n"/>
      <c r="H2018" s="63" t="n"/>
      <c r="I2018" s="63" t="n"/>
    </row>
    <row r="2019" ht="13.5" customHeight="1">
      <c r="B2019" s="63" t="n"/>
      <c r="F2019" s="63" t="n"/>
      <c r="G2019" s="63" t="n"/>
      <c r="H2019" s="63" t="n"/>
      <c r="I2019" s="63" t="n"/>
    </row>
    <row r="2020" ht="13.5" customHeight="1">
      <c r="B2020" s="63" t="n"/>
      <c r="F2020" s="63" t="n"/>
      <c r="G2020" s="63" t="n"/>
      <c r="H2020" s="63" t="n"/>
      <c r="I2020" s="63" t="n"/>
    </row>
    <row r="2021" ht="13.5" customHeight="1">
      <c r="B2021" s="63" t="n"/>
      <c r="F2021" s="63" t="n"/>
      <c r="G2021" s="63" t="n"/>
      <c r="H2021" s="63" t="n"/>
      <c r="I2021" s="63" t="n"/>
    </row>
    <row r="2022" ht="13.5" customHeight="1">
      <c r="B2022" s="63" t="n"/>
      <c r="F2022" s="63" t="n"/>
      <c r="G2022" s="63" t="n"/>
      <c r="H2022" s="63" t="n"/>
      <c r="I2022" s="63" t="n"/>
    </row>
    <row r="2023" ht="13.5" customHeight="1">
      <c r="B2023" s="63" t="n"/>
      <c r="F2023" s="63" t="n"/>
      <c r="G2023" s="63" t="n"/>
      <c r="H2023" s="63" t="n"/>
      <c r="I2023" s="63" t="n"/>
    </row>
    <row r="2024" ht="13.5" customHeight="1">
      <c r="B2024" s="63" t="n"/>
      <c r="F2024" s="63" t="n"/>
      <c r="G2024" s="63" t="n"/>
      <c r="H2024" s="63" t="n"/>
      <c r="I2024" s="63" t="n"/>
    </row>
    <row r="2025" ht="13.5" customHeight="1">
      <c r="B2025" s="63" t="n"/>
      <c r="F2025" s="63" t="n"/>
      <c r="G2025" s="63" t="n"/>
      <c r="H2025" s="63" t="n"/>
      <c r="I2025" s="63" t="n"/>
    </row>
    <row r="2026" ht="13.5" customHeight="1">
      <c r="B2026" s="63" t="n"/>
      <c r="F2026" s="63" t="n"/>
      <c r="G2026" s="63" t="n"/>
      <c r="H2026" s="63" t="n"/>
      <c r="I2026" s="63" t="n"/>
    </row>
    <row r="2027" ht="13.5" customHeight="1">
      <c r="B2027" s="63" t="n"/>
      <c r="F2027" s="63" t="n"/>
      <c r="G2027" s="63" t="n"/>
      <c r="H2027" s="63" t="n"/>
      <c r="I2027" s="63" t="n"/>
    </row>
    <row r="2028" ht="13.5" customHeight="1">
      <c r="B2028" s="63" t="n"/>
      <c r="F2028" s="63" t="n"/>
      <c r="G2028" s="63" t="n"/>
      <c r="H2028" s="63" t="n"/>
      <c r="I2028" s="63" t="n"/>
    </row>
    <row r="2029" ht="13.5" customHeight="1">
      <c r="B2029" s="63" t="n"/>
      <c r="F2029" s="63" t="n"/>
      <c r="G2029" s="63" t="n"/>
      <c r="H2029" s="63" t="n"/>
      <c r="I2029" s="63" t="n"/>
    </row>
    <row r="2030" ht="13.5" customHeight="1">
      <c r="B2030" s="63" t="n"/>
      <c r="F2030" s="63" t="n"/>
      <c r="G2030" s="63" t="n"/>
      <c r="H2030" s="63" t="n"/>
      <c r="I2030" s="63" t="n"/>
    </row>
    <row r="2031" ht="13.5" customHeight="1">
      <c r="B2031" s="63" t="n"/>
      <c r="F2031" s="63" t="n"/>
      <c r="G2031" s="63" t="n"/>
      <c r="H2031" s="63" t="n"/>
      <c r="I2031" s="63" t="n"/>
    </row>
    <row r="2032" ht="13.5" customHeight="1">
      <c r="B2032" s="63" t="n"/>
      <c r="F2032" s="63" t="n"/>
      <c r="G2032" s="63" t="n"/>
      <c r="H2032" s="63" t="n"/>
      <c r="I2032" s="63" t="n"/>
    </row>
    <row r="2033" ht="13.5" customHeight="1">
      <c r="B2033" s="63" t="n"/>
      <c r="F2033" s="63" t="n"/>
      <c r="G2033" s="63" t="n"/>
      <c r="H2033" s="63" t="n"/>
      <c r="I2033" s="63" t="n"/>
    </row>
    <row r="2034" ht="13.5" customHeight="1">
      <c r="B2034" s="63" t="n"/>
      <c r="F2034" s="63" t="n"/>
      <c r="G2034" s="63" t="n"/>
      <c r="H2034" s="63" t="n"/>
      <c r="I2034" s="63" t="n"/>
    </row>
    <row r="2035" ht="13.5" customHeight="1">
      <c r="B2035" s="63" t="n"/>
      <c r="F2035" s="63" t="n"/>
      <c r="G2035" s="63" t="n"/>
      <c r="H2035" s="63" t="n"/>
      <c r="I2035" s="63" t="n"/>
    </row>
    <row r="2036" ht="13.5" customHeight="1">
      <c r="B2036" s="63" t="n"/>
      <c r="F2036" s="63" t="n"/>
      <c r="G2036" s="63" t="n"/>
      <c r="H2036" s="63" t="n"/>
      <c r="I2036" s="63" t="n"/>
    </row>
    <row r="2037" ht="13.5" customHeight="1">
      <c r="B2037" s="63" t="n"/>
      <c r="F2037" s="63" t="n"/>
      <c r="G2037" s="63" t="n"/>
      <c r="H2037" s="63" t="n"/>
      <c r="I2037" s="63" t="n"/>
    </row>
    <row r="2038" ht="13.5" customHeight="1">
      <c r="B2038" s="63" t="n"/>
      <c r="F2038" s="63" t="n"/>
      <c r="G2038" s="63" t="n"/>
      <c r="H2038" s="63" t="n"/>
      <c r="I2038" s="63" t="n"/>
    </row>
    <row r="2039" ht="13.5" customHeight="1">
      <c r="B2039" s="63" t="n"/>
      <c r="F2039" s="63" t="n"/>
      <c r="G2039" s="63" t="n"/>
      <c r="H2039" s="63" t="n"/>
      <c r="I2039" s="63" t="n"/>
    </row>
    <row r="2040" ht="13.5" customHeight="1">
      <c r="B2040" s="63" t="n"/>
      <c r="F2040" s="63" t="n"/>
      <c r="G2040" s="63" t="n"/>
      <c r="H2040" s="63" t="n"/>
      <c r="I2040" s="63" t="n"/>
    </row>
    <row r="2041" ht="13.5" customHeight="1">
      <c r="B2041" s="63" t="n"/>
      <c r="F2041" s="63" t="n"/>
      <c r="G2041" s="63" t="n"/>
      <c r="H2041" s="63" t="n"/>
      <c r="I2041" s="63" t="n"/>
    </row>
    <row r="2042" ht="13.5" customHeight="1">
      <c r="B2042" s="63" t="n"/>
      <c r="F2042" s="63" t="n"/>
      <c r="G2042" s="63" t="n"/>
      <c r="H2042" s="63" t="n"/>
      <c r="I2042" s="63" t="n"/>
    </row>
    <row r="2043" ht="13.5" customHeight="1">
      <c r="B2043" s="63" t="n"/>
      <c r="F2043" s="63" t="n"/>
      <c r="G2043" s="63" t="n"/>
      <c r="H2043" s="63" t="n"/>
      <c r="I2043" s="63" t="n"/>
    </row>
    <row r="2044" ht="13.5" customHeight="1">
      <c r="B2044" s="63" t="n"/>
      <c r="F2044" s="63" t="n"/>
      <c r="G2044" s="63" t="n"/>
      <c r="H2044" s="63" t="n"/>
      <c r="I2044" s="63" t="n"/>
    </row>
    <row r="2045" ht="13.5" customHeight="1">
      <c r="B2045" s="63" t="n"/>
      <c r="F2045" s="63" t="n"/>
      <c r="G2045" s="63" t="n"/>
      <c r="H2045" s="63" t="n"/>
      <c r="I2045" s="63" t="n"/>
    </row>
    <row r="2046" ht="13.5" customHeight="1">
      <c r="B2046" s="63" t="n"/>
      <c r="F2046" s="63" t="n"/>
      <c r="G2046" s="63" t="n"/>
      <c r="H2046" s="63" t="n"/>
      <c r="I2046" s="63" t="n"/>
    </row>
    <row r="2047" ht="13.5" customHeight="1">
      <c r="B2047" s="63" t="n"/>
      <c r="F2047" s="63" t="n"/>
      <c r="G2047" s="63" t="n"/>
      <c r="H2047" s="63" t="n"/>
      <c r="I2047" s="63" t="n"/>
    </row>
    <row r="2048" ht="13.5" customHeight="1">
      <c r="B2048" s="63" t="n"/>
      <c r="F2048" s="63" t="n"/>
      <c r="G2048" s="63" t="n"/>
      <c r="H2048" s="63" t="n"/>
      <c r="I2048" s="63" t="n"/>
    </row>
    <row r="2049" ht="13.5" customHeight="1">
      <c r="B2049" s="63" t="n"/>
      <c r="F2049" s="63" t="n"/>
      <c r="G2049" s="63" t="n"/>
      <c r="H2049" s="63" t="n"/>
      <c r="I2049" s="63" t="n"/>
    </row>
    <row r="2050" ht="13.5" customHeight="1">
      <c r="B2050" s="63" t="n"/>
      <c r="F2050" s="63" t="n"/>
      <c r="G2050" s="63" t="n"/>
      <c r="H2050" s="63" t="n"/>
      <c r="I2050" s="63" t="n"/>
    </row>
    <row r="2051" ht="13.5" customHeight="1">
      <c r="B2051" s="63" t="n"/>
      <c r="F2051" s="63" t="n"/>
      <c r="G2051" s="63" t="n"/>
      <c r="H2051" s="63" t="n"/>
      <c r="I2051" s="63" t="n"/>
    </row>
    <row r="2052" ht="13.5" customHeight="1">
      <c r="B2052" s="63" t="n"/>
      <c r="F2052" s="63" t="n"/>
      <c r="G2052" s="63" t="n"/>
      <c r="H2052" s="63" t="n"/>
      <c r="I2052" s="63" t="n"/>
    </row>
    <row r="2053" ht="13.5" customHeight="1">
      <c r="B2053" s="63" t="n"/>
      <c r="F2053" s="63" t="n"/>
      <c r="G2053" s="63" t="n"/>
      <c r="H2053" s="63" t="n"/>
      <c r="I2053" s="63" t="n"/>
    </row>
    <row r="2054" ht="13.5" customHeight="1">
      <c r="B2054" s="63" t="n"/>
      <c r="F2054" s="63" t="n"/>
      <c r="G2054" s="63" t="n"/>
      <c r="H2054" s="63" t="n"/>
      <c r="I2054" s="63" t="n"/>
    </row>
    <row r="2055" ht="13.5" customHeight="1">
      <c r="B2055" s="63" t="n"/>
      <c r="F2055" s="63" t="n"/>
      <c r="G2055" s="63" t="n"/>
      <c r="H2055" s="63" t="n"/>
      <c r="I2055" s="63" t="n"/>
    </row>
    <row r="2056" ht="13.5" customHeight="1">
      <c r="B2056" s="63" t="n"/>
      <c r="F2056" s="63" t="n"/>
      <c r="G2056" s="63" t="n"/>
      <c r="H2056" s="63" t="n"/>
      <c r="I2056" s="63" t="n"/>
    </row>
    <row r="2057" ht="13.5" customHeight="1">
      <c r="B2057" s="63" t="n"/>
      <c r="F2057" s="63" t="n"/>
      <c r="G2057" s="63" t="n"/>
      <c r="H2057" s="63" t="n"/>
      <c r="I2057" s="63" t="n"/>
    </row>
    <row r="2058" ht="13.5" customHeight="1">
      <c r="B2058" s="63" t="n"/>
      <c r="F2058" s="63" t="n"/>
      <c r="G2058" s="63" t="n"/>
      <c r="H2058" s="63" t="n"/>
      <c r="I2058" s="63" t="n"/>
    </row>
    <row r="2059" ht="13.5" customHeight="1">
      <c r="B2059" s="63" t="n"/>
      <c r="F2059" s="63" t="n"/>
      <c r="G2059" s="63" t="n"/>
      <c r="H2059" s="63" t="n"/>
      <c r="I2059" s="63" t="n"/>
    </row>
    <row r="2060" ht="13.5" customHeight="1">
      <c r="B2060" s="63" t="n"/>
      <c r="F2060" s="63" t="n"/>
      <c r="G2060" s="63" t="n"/>
      <c r="H2060" s="63" t="n"/>
      <c r="I2060" s="63" t="n"/>
    </row>
    <row r="2061" ht="13.5" customHeight="1">
      <c r="B2061" s="63" t="n"/>
      <c r="F2061" s="63" t="n"/>
      <c r="G2061" s="63" t="n"/>
      <c r="H2061" s="63" t="n"/>
      <c r="I2061" s="63" t="n"/>
    </row>
    <row r="2062" ht="13.5" customHeight="1">
      <c r="B2062" s="63" t="n"/>
      <c r="F2062" s="63" t="n"/>
      <c r="G2062" s="63" t="n"/>
      <c r="H2062" s="63" t="n"/>
      <c r="I2062" s="63" t="n"/>
    </row>
    <row r="2063" ht="13.5" customHeight="1">
      <c r="B2063" s="63" t="n"/>
      <c r="F2063" s="63" t="n"/>
      <c r="G2063" s="63" t="n"/>
      <c r="H2063" s="63" t="n"/>
      <c r="I2063" s="63" t="n"/>
    </row>
    <row r="2064" ht="13.5" customHeight="1">
      <c r="B2064" s="63" t="n"/>
      <c r="F2064" s="63" t="n"/>
      <c r="G2064" s="63" t="n"/>
      <c r="H2064" s="63" t="n"/>
      <c r="I2064" s="63" t="n"/>
    </row>
    <row r="2065" ht="13.5" customHeight="1">
      <c r="B2065" s="63" t="n"/>
      <c r="F2065" s="63" t="n"/>
      <c r="G2065" s="63" t="n"/>
      <c r="H2065" s="63" t="n"/>
      <c r="I2065" s="63" t="n"/>
    </row>
    <row r="2066" ht="13.5" customHeight="1">
      <c r="B2066" s="63" t="n"/>
      <c r="F2066" s="63" t="n"/>
      <c r="G2066" s="63" t="n"/>
      <c r="H2066" s="63" t="n"/>
      <c r="I2066" s="63" t="n"/>
    </row>
    <row r="2067" ht="13.5" customHeight="1">
      <c r="B2067" s="63" t="n"/>
      <c r="F2067" s="63" t="n"/>
      <c r="G2067" s="63" t="n"/>
      <c r="H2067" s="63" t="n"/>
      <c r="I2067" s="63" t="n"/>
    </row>
    <row r="2068" ht="13.5" customHeight="1">
      <c r="B2068" s="63" t="n"/>
      <c r="F2068" s="63" t="n"/>
      <c r="G2068" s="63" t="n"/>
      <c r="H2068" s="63" t="n"/>
      <c r="I2068" s="63" t="n"/>
    </row>
    <row r="2069" ht="13.5" customHeight="1">
      <c r="B2069" s="63" t="n"/>
      <c r="F2069" s="63" t="n"/>
      <c r="G2069" s="63" t="n"/>
      <c r="H2069" s="63" t="n"/>
      <c r="I2069" s="63" t="n"/>
    </row>
    <row r="2070" ht="13.5" customHeight="1">
      <c r="B2070" s="63" t="n"/>
      <c r="F2070" s="63" t="n"/>
      <c r="G2070" s="63" t="n"/>
      <c r="H2070" s="63" t="n"/>
      <c r="I2070" s="63" t="n"/>
    </row>
    <row r="2071" ht="13.5" customHeight="1">
      <c r="B2071" s="63" t="n"/>
      <c r="F2071" s="63" t="n"/>
      <c r="G2071" s="63" t="n"/>
      <c r="H2071" s="63" t="n"/>
      <c r="I2071" s="63" t="n"/>
    </row>
    <row r="2072" ht="13.5" customHeight="1">
      <c r="B2072" s="63" t="n"/>
      <c r="F2072" s="63" t="n"/>
      <c r="G2072" s="63" t="n"/>
      <c r="H2072" s="63" t="n"/>
      <c r="I2072" s="63" t="n"/>
    </row>
    <row r="2073" ht="13.5" customHeight="1">
      <c r="B2073" s="63" t="n"/>
      <c r="F2073" s="63" t="n"/>
      <c r="G2073" s="63" t="n"/>
      <c r="H2073" s="63" t="n"/>
      <c r="I2073" s="63" t="n"/>
    </row>
    <row r="2074" ht="13.5" customHeight="1">
      <c r="B2074" s="63" t="n"/>
      <c r="F2074" s="63" t="n"/>
      <c r="G2074" s="63" t="n"/>
      <c r="H2074" s="63" t="n"/>
      <c r="I2074" s="63" t="n"/>
    </row>
    <row r="2075" ht="13.5" customHeight="1">
      <c r="B2075" s="63" t="n"/>
      <c r="F2075" s="63" t="n"/>
      <c r="G2075" s="63" t="n"/>
      <c r="H2075" s="63" t="n"/>
      <c r="I2075" s="63" t="n"/>
    </row>
    <row r="2076" ht="13.5" customHeight="1">
      <c r="B2076" s="63" t="n"/>
      <c r="F2076" s="63" t="n"/>
      <c r="G2076" s="63" t="n"/>
      <c r="H2076" s="63" t="n"/>
      <c r="I2076" s="63" t="n"/>
    </row>
    <row r="2077" ht="13.5" customHeight="1">
      <c r="B2077" s="63" t="n"/>
      <c r="F2077" s="63" t="n"/>
      <c r="G2077" s="63" t="n"/>
      <c r="H2077" s="63" t="n"/>
      <c r="I2077" s="63" t="n"/>
    </row>
    <row r="2078" ht="13.5" customHeight="1">
      <c r="B2078" s="63" t="n"/>
      <c r="F2078" s="63" t="n"/>
      <c r="G2078" s="63" t="n"/>
      <c r="H2078" s="63" t="n"/>
      <c r="I2078" s="63" t="n"/>
    </row>
    <row r="2079" ht="13.5" customHeight="1">
      <c r="B2079" s="63" t="n"/>
      <c r="F2079" s="63" t="n"/>
      <c r="G2079" s="63" t="n"/>
      <c r="H2079" s="63" t="n"/>
      <c r="I2079" s="63" t="n"/>
    </row>
    <row r="2080" ht="13.5" customHeight="1">
      <c r="B2080" s="63" t="n"/>
      <c r="F2080" s="63" t="n"/>
      <c r="G2080" s="63" t="n"/>
      <c r="H2080" s="63" t="n"/>
      <c r="I2080" s="63" t="n"/>
    </row>
    <row r="2081" ht="13.5" customHeight="1">
      <c r="B2081" s="63" t="n"/>
      <c r="F2081" s="63" t="n"/>
      <c r="G2081" s="63" t="n"/>
      <c r="H2081" s="63" t="n"/>
      <c r="I2081" s="63" t="n"/>
    </row>
    <row r="2082" ht="13.5" customHeight="1">
      <c r="B2082" s="63" t="n"/>
      <c r="F2082" s="63" t="n"/>
      <c r="G2082" s="63" t="n"/>
      <c r="H2082" s="63" t="n"/>
      <c r="I2082" s="63" t="n"/>
    </row>
    <row r="2083" ht="13.5" customHeight="1">
      <c r="B2083" s="63" t="n"/>
      <c r="F2083" s="63" t="n"/>
      <c r="G2083" s="63" t="n"/>
      <c r="H2083" s="63" t="n"/>
      <c r="I2083" s="63" t="n"/>
    </row>
    <row r="2084" ht="13.5" customHeight="1">
      <c r="B2084" s="63" t="n"/>
      <c r="F2084" s="63" t="n"/>
      <c r="G2084" s="63" t="n"/>
      <c r="H2084" s="63" t="n"/>
      <c r="I2084" s="63" t="n"/>
    </row>
    <row r="2085" ht="13.5" customHeight="1">
      <c r="B2085" s="63" t="n"/>
      <c r="F2085" s="63" t="n"/>
      <c r="G2085" s="63" t="n"/>
      <c r="H2085" s="63" t="n"/>
      <c r="I2085" s="63" t="n"/>
    </row>
    <row r="2086" ht="13.5" customHeight="1">
      <c r="B2086" s="63" t="n"/>
      <c r="F2086" s="63" t="n"/>
      <c r="G2086" s="63" t="n"/>
      <c r="H2086" s="63" t="n"/>
      <c r="I2086" s="63" t="n"/>
    </row>
    <row r="2087" ht="13.5" customHeight="1">
      <c r="B2087" s="63" t="n"/>
      <c r="F2087" s="63" t="n"/>
      <c r="G2087" s="63" t="n"/>
      <c r="H2087" s="63" t="n"/>
      <c r="I2087" s="63" t="n"/>
    </row>
    <row r="2088" ht="13.5" customHeight="1">
      <c r="B2088" s="63" t="n"/>
      <c r="F2088" s="63" t="n"/>
      <c r="G2088" s="63" t="n"/>
      <c r="H2088" s="63" t="n"/>
      <c r="I2088" s="63" t="n"/>
    </row>
    <row r="2089" ht="13.5" customHeight="1">
      <c r="B2089" s="63" t="n"/>
      <c r="F2089" s="63" t="n"/>
      <c r="G2089" s="63" t="n"/>
      <c r="H2089" s="63" t="n"/>
      <c r="I2089" s="63" t="n"/>
    </row>
    <row r="2090" ht="13.5" customHeight="1">
      <c r="B2090" s="63" t="n"/>
      <c r="F2090" s="63" t="n"/>
      <c r="G2090" s="63" t="n"/>
      <c r="H2090" s="63" t="n"/>
      <c r="I2090" s="63" t="n"/>
    </row>
    <row r="2091" ht="13.5" customHeight="1">
      <c r="B2091" s="63" t="n"/>
      <c r="F2091" s="63" t="n"/>
      <c r="G2091" s="63" t="n"/>
      <c r="H2091" s="63" t="n"/>
      <c r="I2091" s="63" t="n"/>
    </row>
    <row r="2092" ht="13.5" customHeight="1">
      <c r="B2092" s="63" t="n"/>
      <c r="F2092" s="63" t="n"/>
      <c r="G2092" s="63" t="n"/>
      <c r="H2092" s="63" t="n"/>
      <c r="I2092" s="63" t="n"/>
    </row>
    <row r="2093" ht="13.5" customHeight="1">
      <c r="B2093" s="63" t="n"/>
      <c r="F2093" s="63" t="n"/>
      <c r="G2093" s="63" t="n"/>
      <c r="H2093" s="63" t="n"/>
      <c r="I2093" s="63" t="n"/>
    </row>
    <row r="2094" ht="13.5" customHeight="1">
      <c r="B2094" s="63" t="n"/>
      <c r="F2094" s="63" t="n"/>
      <c r="G2094" s="63" t="n"/>
      <c r="H2094" s="63" t="n"/>
      <c r="I2094" s="63" t="n"/>
    </row>
    <row r="2095" ht="13.5" customHeight="1">
      <c r="B2095" s="63" t="n"/>
      <c r="F2095" s="63" t="n"/>
      <c r="G2095" s="63" t="n"/>
      <c r="H2095" s="63" t="n"/>
      <c r="I2095" s="63" t="n"/>
    </row>
    <row r="2096" ht="13.5" customHeight="1">
      <c r="B2096" s="63" t="n"/>
      <c r="F2096" s="63" t="n"/>
      <c r="G2096" s="63" t="n"/>
      <c r="H2096" s="63" t="n"/>
      <c r="I2096" s="63" t="n"/>
    </row>
    <row r="2097" ht="13.5" customHeight="1">
      <c r="B2097" s="63" t="n"/>
      <c r="F2097" s="63" t="n"/>
      <c r="G2097" s="63" t="n"/>
      <c r="H2097" s="63" t="n"/>
      <c r="I2097" s="63" t="n"/>
    </row>
    <row r="2098" ht="13.5" customHeight="1">
      <c r="B2098" s="63" t="n"/>
      <c r="F2098" s="63" t="n"/>
      <c r="G2098" s="63" t="n"/>
      <c r="H2098" s="63" t="n"/>
      <c r="I2098" s="63" t="n"/>
    </row>
    <row r="2099" ht="13.5" customHeight="1">
      <c r="B2099" s="63" t="n"/>
      <c r="F2099" s="63" t="n"/>
      <c r="G2099" s="63" t="n"/>
      <c r="H2099" s="63" t="n"/>
      <c r="I2099" s="63" t="n"/>
    </row>
    <row r="2100" ht="13.5" customHeight="1">
      <c r="B2100" s="63" t="n"/>
      <c r="F2100" s="63" t="n"/>
      <c r="G2100" s="63" t="n"/>
      <c r="H2100" s="63" t="n"/>
      <c r="I2100" s="63" t="n"/>
    </row>
    <row r="2101" ht="13.5" customHeight="1">
      <c r="B2101" s="63" t="n"/>
      <c r="F2101" s="63" t="n"/>
      <c r="G2101" s="63" t="n"/>
      <c r="H2101" s="63" t="n"/>
      <c r="I2101" s="63" t="n"/>
    </row>
    <row r="2102" ht="13.5" customHeight="1">
      <c r="B2102" s="63" t="n"/>
      <c r="F2102" s="63" t="n"/>
      <c r="G2102" s="63" t="n"/>
      <c r="H2102" s="63" t="n"/>
      <c r="I2102" s="63" t="n"/>
    </row>
    <row r="2103" ht="13.5" customHeight="1">
      <c r="B2103" s="63" t="n"/>
      <c r="F2103" s="63" t="n"/>
      <c r="G2103" s="63" t="n"/>
      <c r="H2103" s="63" t="n"/>
      <c r="I2103" s="63" t="n"/>
    </row>
    <row r="2104" ht="13.5" customHeight="1">
      <c r="B2104" s="63" t="n"/>
      <c r="F2104" s="63" t="n"/>
      <c r="G2104" s="63" t="n"/>
      <c r="H2104" s="63" t="n"/>
      <c r="I2104" s="63" t="n"/>
    </row>
    <row r="2105" ht="13.5" customHeight="1">
      <c r="B2105" s="63" t="n"/>
      <c r="F2105" s="63" t="n"/>
      <c r="G2105" s="63" t="n"/>
      <c r="H2105" s="63" t="n"/>
      <c r="I2105" s="63" t="n"/>
    </row>
    <row r="2106" ht="13.5" customHeight="1">
      <c r="B2106" s="63" t="n"/>
      <c r="F2106" s="63" t="n"/>
      <c r="G2106" s="63" t="n"/>
      <c r="H2106" s="63" t="n"/>
      <c r="I2106" s="63" t="n"/>
    </row>
    <row r="2107" ht="13.5" customHeight="1">
      <c r="B2107" s="63" t="n"/>
      <c r="F2107" s="63" t="n"/>
      <c r="G2107" s="63" t="n"/>
      <c r="H2107" s="63" t="n"/>
      <c r="I2107" s="63" t="n"/>
    </row>
    <row r="2108" ht="13.5" customHeight="1">
      <c r="B2108" s="63" t="n"/>
      <c r="F2108" s="63" t="n"/>
      <c r="G2108" s="63" t="n"/>
      <c r="H2108" s="63" t="n"/>
      <c r="I2108" s="63" t="n"/>
    </row>
    <row r="2109" ht="13.5" customHeight="1">
      <c r="B2109" s="63" t="n"/>
      <c r="F2109" s="63" t="n"/>
      <c r="G2109" s="63" t="n"/>
      <c r="H2109" s="63" t="n"/>
      <c r="I2109" s="63" t="n"/>
    </row>
    <row r="2110" ht="13.5" customHeight="1">
      <c r="B2110" s="63" t="n"/>
      <c r="F2110" s="63" t="n"/>
      <c r="G2110" s="63" t="n"/>
      <c r="H2110" s="63" t="n"/>
      <c r="I2110" s="63" t="n"/>
    </row>
    <row r="2111" ht="13.5" customHeight="1">
      <c r="B2111" s="63" t="n"/>
      <c r="F2111" s="63" t="n"/>
      <c r="G2111" s="63" t="n"/>
      <c r="H2111" s="63" t="n"/>
      <c r="I2111" s="63" t="n"/>
    </row>
    <row r="2112" ht="13.5" customHeight="1">
      <c r="B2112" s="63" t="n"/>
      <c r="F2112" s="63" t="n"/>
      <c r="G2112" s="63" t="n"/>
      <c r="H2112" s="63" t="n"/>
      <c r="I2112" s="63" t="n"/>
    </row>
    <row r="2113" ht="13.5" customHeight="1">
      <c r="B2113" s="63" t="n"/>
      <c r="F2113" s="63" t="n"/>
      <c r="G2113" s="63" t="n"/>
      <c r="H2113" s="63" t="n"/>
      <c r="I2113" s="63" t="n"/>
    </row>
    <row r="2114" ht="13.5" customHeight="1">
      <c r="B2114" s="63" t="n"/>
      <c r="F2114" s="63" t="n"/>
      <c r="G2114" s="63" t="n"/>
      <c r="H2114" s="63" t="n"/>
      <c r="I2114" s="63" t="n"/>
    </row>
    <row r="2115" ht="13.5" customHeight="1">
      <c r="B2115" s="63" t="n"/>
      <c r="F2115" s="63" t="n"/>
      <c r="G2115" s="63" t="n"/>
      <c r="H2115" s="63" t="n"/>
      <c r="I2115" s="63" t="n"/>
    </row>
    <row r="2116" ht="13.5" customHeight="1">
      <c r="B2116" s="63" t="n"/>
      <c r="F2116" s="63" t="n"/>
      <c r="G2116" s="63" t="n"/>
      <c r="H2116" s="63" t="n"/>
      <c r="I2116" s="63" t="n"/>
    </row>
    <row r="2117" ht="13.5" customHeight="1">
      <c r="B2117" s="63" t="n"/>
      <c r="F2117" s="63" t="n"/>
      <c r="G2117" s="63" t="n"/>
      <c r="H2117" s="63" t="n"/>
      <c r="I2117" s="63" t="n"/>
    </row>
    <row r="2118" ht="13.5" customHeight="1">
      <c r="B2118" s="63" t="n"/>
      <c r="F2118" s="63" t="n"/>
      <c r="G2118" s="63" t="n"/>
      <c r="H2118" s="63" t="n"/>
      <c r="I2118" s="63" t="n"/>
    </row>
    <row r="2119" ht="13.5" customHeight="1">
      <c r="B2119" s="63" t="n"/>
      <c r="F2119" s="63" t="n"/>
      <c r="G2119" s="63" t="n"/>
      <c r="H2119" s="63" t="n"/>
      <c r="I2119" s="63" t="n"/>
    </row>
    <row r="2120" ht="13.5" customHeight="1">
      <c r="B2120" s="63" t="n"/>
      <c r="F2120" s="63" t="n"/>
      <c r="G2120" s="63" t="n"/>
      <c r="H2120" s="63" t="n"/>
      <c r="I2120" s="63" t="n"/>
    </row>
    <row r="2121" ht="13.5" customHeight="1">
      <c r="B2121" s="63" t="n"/>
      <c r="F2121" s="63" t="n"/>
      <c r="G2121" s="63" t="n"/>
      <c r="H2121" s="63" t="n"/>
      <c r="I2121" s="63" t="n"/>
    </row>
    <row r="2122" ht="13.5" customHeight="1">
      <c r="B2122" s="63" t="n"/>
      <c r="F2122" s="63" t="n"/>
      <c r="G2122" s="63" t="n"/>
      <c r="H2122" s="63" t="n"/>
      <c r="I2122" s="63" t="n"/>
    </row>
    <row r="2123" ht="13.5" customHeight="1">
      <c r="B2123" s="63" t="n"/>
      <c r="F2123" s="63" t="n"/>
      <c r="G2123" s="63" t="n"/>
      <c r="H2123" s="63" t="n"/>
      <c r="I2123" s="63" t="n"/>
    </row>
    <row r="2124" ht="13.5" customHeight="1">
      <c r="B2124" s="63" t="n"/>
      <c r="F2124" s="63" t="n"/>
      <c r="G2124" s="63" t="n"/>
      <c r="H2124" s="63" t="n"/>
      <c r="I2124" s="63" t="n"/>
    </row>
    <row r="2125" ht="13.5" customHeight="1">
      <c r="B2125" s="63" t="n"/>
      <c r="F2125" s="63" t="n"/>
      <c r="G2125" s="63" t="n"/>
      <c r="H2125" s="63" t="n"/>
      <c r="I2125" s="63" t="n"/>
    </row>
    <row r="2126" ht="13.5" customHeight="1">
      <c r="B2126" s="63" t="n"/>
      <c r="F2126" s="63" t="n"/>
      <c r="G2126" s="63" t="n"/>
      <c r="H2126" s="63" t="n"/>
      <c r="I2126" s="63" t="n"/>
    </row>
    <row r="2127" ht="13.5" customHeight="1">
      <c r="B2127" s="63" t="n"/>
      <c r="F2127" s="63" t="n"/>
      <c r="G2127" s="63" t="n"/>
      <c r="H2127" s="63" t="n"/>
      <c r="I2127" s="63" t="n"/>
    </row>
    <row r="2128" ht="13.5" customHeight="1">
      <c r="B2128" s="63" t="n"/>
      <c r="F2128" s="63" t="n"/>
      <c r="G2128" s="63" t="n"/>
      <c r="H2128" s="63" t="n"/>
      <c r="I2128" s="63" t="n"/>
    </row>
    <row r="2129" ht="13.5" customHeight="1">
      <c r="B2129" s="63" t="n"/>
      <c r="F2129" s="63" t="n"/>
      <c r="G2129" s="63" t="n"/>
      <c r="H2129" s="63" t="n"/>
      <c r="I2129" s="63" t="n"/>
    </row>
    <row r="2130" ht="13.5" customHeight="1">
      <c r="B2130" s="63" t="n"/>
      <c r="F2130" s="63" t="n"/>
      <c r="G2130" s="63" t="n"/>
      <c r="H2130" s="63" t="n"/>
      <c r="I2130" s="63" t="n"/>
    </row>
    <row r="2131" ht="13.5" customHeight="1">
      <c r="B2131" s="63" t="n"/>
      <c r="F2131" s="63" t="n"/>
      <c r="G2131" s="63" t="n"/>
      <c r="H2131" s="63" t="n"/>
      <c r="I2131" s="63" t="n"/>
    </row>
    <row r="2132" ht="13.5" customHeight="1">
      <c r="B2132" s="63" t="n"/>
      <c r="F2132" s="63" t="n"/>
      <c r="G2132" s="63" t="n"/>
      <c r="H2132" s="63" t="n"/>
      <c r="I2132" s="63" t="n"/>
    </row>
    <row r="2133" ht="13.5" customHeight="1">
      <c r="B2133" s="63" t="n"/>
      <c r="F2133" s="63" t="n"/>
      <c r="G2133" s="63" t="n"/>
      <c r="H2133" s="63" t="n"/>
      <c r="I2133" s="63" t="n"/>
    </row>
    <row r="2134" ht="13.5" customHeight="1">
      <c r="B2134" s="63" t="n"/>
      <c r="F2134" s="63" t="n"/>
      <c r="G2134" s="63" t="n"/>
      <c r="H2134" s="63" t="n"/>
      <c r="I2134" s="63" t="n"/>
    </row>
    <row r="2135" ht="13.5" customHeight="1">
      <c r="B2135" s="63" t="n"/>
      <c r="F2135" s="63" t="n"/>
      <c r="G2135" s="63" t="n"/>
      <c r="H2135" s="63" t="n"/>
      <c r="I2135" s="63" t="n"/>
    </row>
    <row r="2136" ht="13.5" customHeight="1">
      <c r="B2136" s="63" t="n"/>
      <c r="F2136" s="63" t="n"/>
      <c r="G2136" s="63" t="n"/>
      <c r="H2136" s="63" t="n"/>
      <c r="I2136" s="63" t="n"/>
    </row>
    <row r="2137" ht="13.5" customHeight="1">
      <c r="B2137" s="63" t="n"/>
      <c r="F2137" s="63" t="n"/>
      <c r="G2137" s="63" t="n"/>
      <c r="H2137" s="63" t="n"/>
      <c r="I2137" s="63" t="n"/>
    </row>
    <row r="2138" ht="13.5" customHeight="1">
      <c r="B2138" s="63" t="n"/>
      <c r="F2138" s="63" t="n"/>
      <c r="G2138" s="63" t="n"/>
      <c r="H2138" s="63" t="n"/>
      <c r="I2138" s="63" t="n"/>
    </row>
    <row r="2139" ht="13.5" customHeight="1">
      <c r="B2139" s="63" t="n"/>
      <c r="F2139" s="63" t="n"/>
      <c r="G2139" s="63" t="n"/>
      <c r="H2139" s="63" t="n"/>
      <c r="I2139" s="63" t="n"/>
    </row>
    <row r="2140" ht="13.5" customHeight="1">
      <c r="B2140" s="63" t="n"/>
      <c r="F2140" s="63" t="n"/>
      <c r="G2140" s="63" t="n"/>
      <c r="H2140" s="63" t="n"/>
      <c r="I2140" s="63" t="n"/>
    </row>
    <row r="2141" ht="13.5" customHeight="1">
      <c r="B2141" s="63" t="n"/>
      <c r="F2141" s="63" t="n"/>
      <c r="G2141" s="63" t="n"/>
      <c r="H2141" s="63" t="n"/>
      <c r="I2141" s="63" t="n"/>
    </row>
    <row r="2142" ht="13.5" customHeight="1">
      <c r="B2142" s="63" t="n"/>
      <c r="F2142" s="63" t="n"/>
      <c r="G2142" s="63" t="n"/>
      <c r="H2142" s="63" t="n"/>
      <c r="I2142" s="63" t="n"/>
    </row>
    <row r="2143" ht="13.5" customHeight="1">
      <c r="B2143" s="63" t="n"/>
      <c r="F2143" s="63" t="n"/>
      <c r="G2143" s="63" t="n"/>
      <c r="H2143" s="63" t="n"/>
      <c r="I2143" s="63" t="n"/>
    </row>
    <row r="2144" ht="13.5" customHeight="1">
      <c r="B2144" s="63" t="n"/>
      <c r="F2144" s="63" t="n"/>
      <c r="G2144" s="63" t="n"/>
      <c r="H2144" s="63" t="n"/>
      <c r="I2144" s="63" t="n"/>
    </row>
    <row r="2145" ht="13.5" customHeight="1">
      <c r="B2145" s="63" t="n"/>
      <c r="F2145" s="63" t="n"/>
      <c r="G2145" s="63" t="n"/>
      <c r="H2145" s="63" t="n"/>
      <c r="I2145" s="63" t="n"/>
    </row>
    <row r="2146" ht="13.5" customHeight="1">
      <c r="B2146" s="63" t="n"/>
      <c r="F2146" s="63" t="n"/>
      <c r="G2146" s="63" t="n"/>
      <c r="H2146" s="63" t="n"/>
      <c r="I2146" s="63" t="n"/>
    </row>
    <row r="2147" ht="13.5" customHeight="1">
      <c r="B2147" s="63" t="n"/>
      <c r="F2147" s="63" t="n"/>
      <c r="G2147" s="63" t="n"/>
      <c r="H2147" s="63" t="n"/>
      <c r="I2147" s="63" t="n"/>
    </row>
    <row r="2148" ht="13.5" customHeight="1">
      <c r="B2148" s="63" t="n"/>
      <c r="F2148" s="63" t="n"/>
      <c r="G2148" s="63" t="n"/>
      <c r="H2148" s="63" t="n"/>
      <c r="I2148" s="63" t="n"/>
    </row>
    <row r="2149" ht="13.5" customHeight="1">
      <c r="B2149" s="63" t="n"/>
      <c r="F2149" s="63" t="n"/>
      <c r="G2149" s="63" t="n"/>
      <c r="H2149" s="63" t="n"/>
      <c r="I2149" s="63" t="n"/>
    </row>
    <row r="2150" ht="13.5" customHeight="1">
      <c r="B2150" s="63" t="n"/>
      <c r="F2150" s="63" t="n"/>
      <c r="G2150" s="63" t="n"/>
      <c r="H2150" s="63" t="n"/>
      <c r="I2150" s="63" t="n"/>
    </row>
    <row r="2151" ht="13.5" customHeight="1">
      <c r="B2151" s="63" t="n"/>
      <c r="F2151" s="63" t="n"/>
      <c r="G2151" s="63" t="n"/>
      <c r="H2151" s="63" t="n"/>
      <c r="I2151" s="63" t="n"/>
    </row>
    <row r="2152" ht="13.5" customHeight="1">
      <c r="B2152" s="63" t="n"/>
      <c r="F2152" s="63" t="n"/>
      <c r="G2152" s="63" t="n"/>
      <c r="H2152" s="63" t="n"/>
      <c r="I2152" s="63" t="n"/>
    </row>
    <row r="2153" ht="13.5" customHeight="1">
      <c r="B2153" s="63" t="n"/>
      <c r="F2153" s="63" t="n"/>
      <c r="G2153" s="63" t="n"/>
      <c r="H2153" s="63" t="n"/>
      <c r="I2153" s="63" t="n"/>
    </row>
    <row r="2154" ht="13.5" customHeight="1">
      <c r="B2154" s="63" t="n"/>
      <c r="F2154" s="63" t="n"/>
      <c r="G2154" s="63" t="n"/>
      <c r="H2154" s="63" t="n"/>
      <c r="I2154" s="63" t="n"/>
    </row>
    <row r="2155" ht="13.5" customHeight="1">
      <c r="B2155" s="63" t="n"/>
      <c r="F2155" s="63" t="n"/>
      <c r="G2155" s="63" t="n"/>
      <c r="H2155" s="63" t="n"/>
      <c r="I2155" s="63" t="n"/>
    </row>
    <row r="2156" ht="13.5" customHeight="1">
      <c r="B2156" s="63" t="n"/>
      <c r="F2156" s="63" t="n"/>
      <c r="G2156" s="63" t="n"/>
      <c r="H2156" s="63" t="n"/>
      <c r="I2156" s="63" t="n"/>
    </row>
    <row r="2157" ht="13.5" customHeight="1">
      <c r="B2157" s="63" t="n"/>
      <c r="F2157" s="63" t="n"/>
      <c r="G2157" s="63" t="n"/>
      <c r="H2157" s="63" t="n"/>
      <c r="I2157" s="63" t="n"/>
    </row>
    <row r="2158" ht="13.5" customHeight="1">
      <c r="B2158" s="63" t="n"/>
      <c r="F2158" s="63" t="n"/>
      <c r="G2158" s="63" t="n"/>
      <c r="H2158" s="63" t="n"/>
      <c r="I2158" s="63" t="n"/>
    </row>
    <row r="2159" ht="13.5" customHeight="1">
      <c r="B2159" s="63" t="n"/>
      <c r="F2159" s="63" t="n"/>
      <c r="G2159" s="63" t="n"/>
      <c r="H2159" s="63" t="n"/>
      <c r="I2159" s="63" t="n"/>
    </row>
    <row r="2160" ht="13.5" customHeight="1">
      <c r="B2160" s="63" t="n"/>
      <c r="F2160" s="63" t="n"/>
      <c r="G2160" s="63" t="n"/>
      <c r="H2160" s="63" t="n"/>
      <c r="I2160" s="63" t="n"/>
    </row>
    <row r="2161" ht="13.5" customHeight="1">
      <c r="B2161" s="63" t="n"/>
      <c r="F2161" s="63" t="n"/>
      <c r="G2161" s="63" t="n"/>
      <c r="H2161" s="63" t="n"/>
      <c r="I2161" s="63" t="n"/>
    </row>
    <row r="2162" ht="13.5" customHeight="1">
      <c r="B2162" s="63" t="n"/>
      <c r="F2162" s="63" t="n"/>
      <c r="G2162" s="63" t="n"/>
      <c r="H2162" s="63" t="n"/>
      <c r="I2162" s="63" t="n"/>
    </row>
    <row r="2163" ht="13.5" customHeight="1">
      <c r="B2163" s="63" t="n"/>
      <c r="F2163" s="63" t="n"/>
      <c r="G2163" s="63" t="n"/>
      <c r="H2163" s="63" t="n"/>
      <c r="I2163" s="63" t="n"/>
    </row>
    <row r="2164" ht="13.5" customHeight="1">
      <c r="B2164" s="63" t="n"/>
      <c r="F2164" s="63" t="n"/>
      <c r="G2164" s="63" t="n"/>
      <c r="H2164" s="63" t="n"/>
      <c r="I2164" s="63" t="n"/>
    </row>
    <row r="2165" ht="13.5" customHeight="1">
      <c r="B2165" s="63" t="n"/>
      <c r="F2165" s="63" t="n"/>
      <c r="G2165" s="63" t="n"/>
      <c r="H2165" s="63" t="n"/>
      <c r="I2165" s="63" t="n"/>
    </row>
    <row r="2166" ht="13.5" customHeight="1">
      <c r="B2166" s="63" t="n"/>
      <c r="F2166" s="63" t="n"/>
      <c r="G2166" s="63" t="n"/>
      <c r="H2166" s="63" t="n"/>
      <c r="I2166" s="63" t="n"/>
    </row>
    <row r="2167" ht="13.5" customHeight="1">
      <c r="B2167" s="63" t="n"/>
      <c r="F2167" s="63" t="n"/>
      <c r="G2167" s="63" t="n"/>
      <c r="H2167" s="63" t="n"/>
      <c r="I2167" s="63" t="n"/>
    </row>
    <row r="2168" ht="13.5" customHeight="1">
      <c r="B2168" s="63" t="n"/>
      <c r="F2168" s="63" t="n"/>
      <c r="G2168" s="63" t="n"/>
      <c r="H2168" s="63" t="n"/>
      <c r="I2168" s="63" t="n"/>
    </row>
    <row r="2169" ht="13.5" customHeight="1">
      <c r="B2169" s="63" t="n"/>
      <c r="F2169" s="63" t="n"/>
      <c r="G2169" s="63" t="n"/>
      <c r="H2169" s="63" t="n"/>
      <c r="I2169" s="63" t="n"/>
    </row>
    <row r="2170" ht="13.5" customHeight="1">
      <c r="B2170" s="63" t="n"/>
      <c r="F2170" s="63" t="n"/>
      <c r="G2170" s="63" t="n"/>
      <c r="H2170" s="63" t="n"/>
      <c r="I2170" s="63" t="n"/>
    </row>
    <row r="2171" ht="13.5" customHeight="1">
      <c r="B2171" s="63" t="n"/>
      <c r="F2171" s="63" t="n"/>
      <c r="G2171" s="63" t="n"/>
      <c r="H2171" s="63" t="n"/>
      <c r="I2171" s="63" t="n"/>
    </row>
    <row r="2172" ht="13.5" customHeight="1">
      <c r="B2172" s="63" t="n"/>
      <c r="F2172" s="63" t="n"/>
      <c r="G2172" s="63" t="n"/>
      <c r="H2172" s="63" t="n"/>
      <c r="I2172" s="63" t="n"/>
    </row>
    <row r="2173" ht="13.5" customHeight="1">
      <c r="B2173" s="63" t="n"/>
      <c r="F2173" s="63" t="n"/>
      <c r="G2173" s="63" t="n"/>
      <c r="H2173" s="63" t="n"/>
      <c r="I2173" s="63" t="n"/>
    </row>
    <row r="2174" ht="13.5" customHeight="1">
      <c r="B2174" s="63" t="n"/>
      <c r="F2174" s="63" t="n"/>
      <c r="G2174" s="63" t="n"/>
      <c r="H2174" s="63" t="n"/>
      <c r="I2174" s="63" t="n"/>
    </row>
    <row r="2175" ht="13.5" customHeight="1">
      <c r="B2175" s="63" t="n"/>
      <c r="F2175" s="63" t="n"/>
      <c r="G2175" s="63" t="n"/>
      <c r="H2175" s="63" t="n"/>
      <c r="I2175" s="63" t="n"/>
    </row>
    <row r="2176" ht="13.5" customHeight="1">
      <c r="B2176" s="63" t="n"/>
      <c r="F2176" s="63" t="n"/>
      <c r="G2176" s="63" t="n"/>
      <c r="H2176" s="63" t="n"/>
      <c r="I2176" s="63" t="n"/>
    </row>
    <row r="2177" ht="13.5" customHeight="1">
      <c r="B2177" s="63" t="n"/>
      <c r="F2177" s="63" t="n"/>
      <c r="G2177" s="63" t="n"/>
      <c r="H2177" s="63" t="n"/>
      <c r="I2177" s="63" t="n"/>
    </row>
    <row r="2178" ht="13.5" customHeight="1">
      <c r="B2178" s="63" t="n"/>
      <c r="F2178" s="63" t="n"/>
      <c r="G2178" s="63" t="n"/>
      <c r="H2178" s="63" t="n"/>
      <c r="I2178" s="63" t="n"/>
    </row>
    <row r="2179" ht="13.5" customHeight="1">
      <c r="B2179" s="63" t="n"/>
      <c r="F2179" s="63" t="n"/>
      <c r="G2179" s="63" t="n"/>
      <c r="H2179" s="63" t="n"/>
      <c r="I2179" s="63" t="n"/>
    </row>
    <row r="2180" ht="13.5" customHeight="1">
      <c r="B2180" s="63" t="n"/>
      <c r="F2180" s="63" t="n"/>
      <c r="G2180" s="63" t="n"/>
      <c r="H2180" s="63" t="n"/>
      <c r="I2180" s="63" t="n"/>
    </row>
    <row r="2181" ht="13.5" customHeight="1">
      <c r="B2181" s="63" t="n"/>
      <c r="F2181" s="63" t="n"/>
      <c r="G2181" s="63" t="n"/>
      <c r="H2181" s="63" t="n"/>
      <c r="I2181" s="63" t="n"/>
    </row>
    <row r="2182" ht="13.5" customHeight="1">
      <c r="B2182" s="63" t="n"/>
      <c r="F2182" s="63" t="n"/>
      <c r="G2182" s="63" t="n"/>
      <c r="H2182" s="63" t="n"/>
      <c r="I2182" s="63" t="n"/>
    </row>
    <row r="2183" ht="13.5" customHeight="1">
      <c r="B2183" s="63" t="n"/>
      <c r="F2183" s="63" t="n"/>
      <c r="G2183" s="63" t="n"/>
      <c r="H2183" s="63" t="n"/>
      <c r="I2183" s="63" t="n"/>
    </row>
    <row r="2184" ht="13.5" customHeight="1">
      <c r="B2184" s="63" t="n"/>
      <c r="F2184" s="63" t="n"/>
      <c r="G2184" s="63" t="n"/>
      <c r="H2184" s="63" t="n"/>
      <c r="I2184" s="63" t="n"/>
    </row>
    <row r="2185" ht="13.5" customHeight="1">
      <c r="B2185" s="63" t="n"/>
      <c r="F2185" s="63" t="n"/>
      <c r="G2185" s="63" t="n"/>
      <c r="H2185" s="63" t="n"/>
      <c r="I2185" s="63" t="n"/>
    </row>
    <row r="2186" ht="13.5" customHeight="1">
      <c r="B2186" s="63" t="n"/>
      <c r="F2186" s="63" t="n"/>
      <c r="G2186" s="63" t="n"/>
      <c r="H2186" s="63" t="n"/>
      <c r="I2186" s="63" t="n"/>
    </row>
    <row r="2187" ht="13.5" customHeight="1">
      <c r="B2187" s="63" t="n"/>
      <c r="F2187" s="63" t="n"/>
      <c r="G2187" s="63" t="n"/>
      <c r="H2187" s="63" t="n"/>
      <c r="I2187" s="63" t="n"/>
    </row>
    <row r="2188" ht="13.5" customHeight="1">
      <c r="B2188" s="63" t="n"/>
      <c r="F2188" s="63" t="n"/>
      <c r="G2188" s="63" t="n"/>
      <c r="H2188" s="63" t="n"/>
      <c r="I2188" s="63" t="n"/>
    </row>
    <row r="2189" ht="13.5" customHeight="1">
      <c r="B2189" s="63" t="n"/>
      <c r="F2189" s="63" t="n"/>
      <c r="G2189" s="63" t="n"/>
      <c r="H2189" s="63" t="n"/>
      <c r="I2189" s="63" t="n"/>
    </row>
    <row r="2190" ht="13.5" customHeight="1">
      <c r="B2190" s="63" t="n"/>
      <c r="F2190" s="63" t="n"/>
      <c r="G2190" s="63" t="n"/>
      <c r="H2190" s="63" t="n"/>
      <c r="I2190" s="63" t="n"/>
    </row>
    <row r="2191" ht="13.5" customHeight="1">
      <c r="B2191" s="63" t="n"/>
      <c r="F2191" s="63" t="n"/>
      <c r="G2191" s="63" t="n"/>
      <c r="H2191" s="63" t="n"/>
      <c r="I2191" s="63" t="n"/>
    </row>
    <row r="2192" ht="13.5" customHeight="1">
      <c r="B2192" s="63" t="n"/>
      <c r="F2192" s="63" t="n"/>
      <c r="G2192" s="63" t="n"/>
      <c r="H2192" s="63" t="n"/>
      <c r="I2192" s="63" t="n"/>
    </row>
    <row r="2193" ht="13.5" customHeight="1">
      <c r="B2193" s="63" t="n"/>
      <c r="F2193" s="63" t="n"/>
      <c r="G2193" s="63" t="n"/>
      <c r="H2193" s="63" t="n"/>
      <c r="I2193" s="63" t="n"/>
    </row>
    <row r="2194" ht="13.5" customHeight="1">
      <c r="B2194" s="63" t="n"/>
      <c r="F2194" s="63" t="n"/>
      <c r="G2194" s="63" t="n"/>
      <c r="H2194" s="63" t="n"/>
      <c r="I2194" s="63" t="n"/>
    </row>
    <row r="2195" ht="13.5" customHeight="1">
      <c r="B2195" s="63" t="n"/>
      <c r="F2195" s="63" t="n"/>
      <c r="G2195" s="63" t="n"/>
      <c r="H2195" s="63" t="n"/>
      <c r="I2195" s="63" t="n"/>
    </row>
    <row r="2196" ht="13.5" customHeight="1">
      <c r="B2196" s="63" t="n"/>
      <c r="F2196" s="63" t="n"/>
      <c r="G2196" s="63" t="n"/>
      <c r="H2196" s="63" t="n"/>
      <c r="I2196" s="63" t="n"/>
    </row>
    <row r="2197" ht="13.5" customHeight="1">
      <c r="B2197" s="63" t="n"/>
      <c r="F2197" s="63" t="n"/>
      <c r="G2197" s="63" t="n"/>
      <c r="H2197" s="63" t="n"/>
      <c r="I2197" s="63" t="n"/>
    </row>
    <row r="2198" ht="13.5" customHeight="1">
      <c r="B2198" s="63" t="n"/>
      <c r="F2198" s="63" t="n"/>
      <c r="G2198" s="63" t="n"/>
      <c r="H2198" s="63" t="n"/>
      <c r="I2198" s="63" t="n"/>
    </row>
    <row r="2199" ht="13.5" customHeight="1">
      <c r="B2199" s="63" t="n"/>
      <c r="F2199" s="63" t="n"/>
      <c r="G2199" s="63" t="n"/>
      <c r="H2199" s="63" t="n"/>
      <c r="I2199" s="63" t="n"/>
    </row>
    <row r="2200" ht="13.5" customHeight="1">
      <c r="B2200" s="63" t="n"/>
      <c r="F2200" s="63" t="n"/>
      <c r="G2200" s="63" t="n"/>
      <c r="H2200" s="63" t="n"/>
      <c r="I2200" s="63" t="n"/>
    </row>
    <row r="2201" ht="13.5" customHeight="1">
      <c r="B2201" s="63" t="n"/>
      <c r="F2201" s="63" t="n"/>
      <c r="G2201" s="63" t="n"/>
      <c r="H2201" s="63" t="n"/>
      <c r="I2201" s="63" t="n"/>
    </row>
    <row r="2202" ht="13.5" customHeight="1">
      <c r="B2202" s="63" t="n"/>
      <c r="F2202" s="63" t="n"/>
      <c r="G2202" s="63" t="n"/>
      <c r="H2202" s="63" t="n"/>
      <c r="I2202" s="63" t="n"/>
    </row>
    <row r="2203" ht="13.5" customHeight="1">
      <c r="B2203" s="63" t="n"/>
      <c r="F2203" s="63" t="n"/>
      <c r="G2203" s="63" t="n"/>
      <c r="H2203" s="63" t="n"/>
      <c r="I2203" s="63" t="n"/>
    </row>
    <row r="2204" ht="13.5" customHeight="1">
      <c r="B2204" s="63" t="n"/>
      <c r="F2204" s="63" t="n"/>
      <c r="G2204" s="63" t="n"/>
      <c r="H2204" s="63" t="n"/>
      <c r="I2204" s="63" t="n"/>
    </row>
    <row r="2205" ht="13.5" customHeight="1">
      <c r="B2205" s="63" t="n"/>
      <c r="F2205" s="63" t="n"/>
      <c r="G2205" s="63" t="n"/>
      <c r="H2205" s="63" t="n"/>
      <c r="I2205" s="63" t="n"/>
    </row>
    <row r="2206" ht="13.5" customHeight="1">
      <c r="B2206" s="63" t="n"/>
      <c r="F2206" s="63" t="n"/>
      <c r="G2206" s="63" t="n"/>
      <c r="H2206" s="63" t="n"/>
      <c r="I2206" s="63" t="n"/>
    </row>
    <row r="2207" ht="13.5" customHeight="1">
      <c r="B2207" s="63" t="n"/>
      <c r="F2207" s="63" t="n"/>
      <c r="G2207" s="63" t="n"/>
      <c r="H2207" s="63" t="n"/>
      <c r="I2207" s="63" t="n"/>
    </row>
    <row r="2208" ht="13.5" customHeight="1">
      <c r="B2208" s="63" t="n"/>
      <c r="F2208" s="63" t="n"/>
      <c r="G2208" s="63" t="n"/>
      <c r="H2208" s="63" t="n"/>
      <c r="I2208" s="63" t="n"/>
    </row>
    <row r="2209" ht="13.5" customHeight="1">
      <c r="B2209" s="63" t="n"/>
      <c r="F2209" s="63" t="n"/>
      <c r="G2209" s="63" t="n"/>
      <c r="H2209" s="63" t="n"/>
      <c r="I2209" s="63" t="n"/>
    </row>
    <row r="2210" ht="13.5" customHeight="1">
      <c r="B2210" s="63" t="n"/>
      <c r="F2210" s="63" t="n"/>
      <c r="G2210" s="63" t="n"/>
      <c r="H2210" s="63" t="n"/>
      <c r="I2210" s="63" t="n"/>
    </row>
    <row r="2211" ht="13.5" customHeight="1">
      <c r="B2211" s="63" t="n"/>
      <c r="F2211" s="63" t="n"/>
      <c r="G2211" s="63" t="n"/>
      <c r="H2211" s="63" t="n"/>
      <c r="I2211" s="63" t="n"/>
    </row>
    <row r="2212" ht="13.5" customHeight="1">
      <c r="B2212" s="63" t="n"/>
      <c r="F2212" s="63" t="n"/>
      <c r="G2212" s="63" t="n"/>
      <c r="H2212" s="63" t="n"/>
      <c r="I2212" s="63" t="n"/>
    </row>
    <row r="2213" ht="13.5" customHeight="1">
      <c r="B2213" s="63" t="n"/>
      <c r="F2213" s="63" t="n"/>
      <c r="G2213" s="63" t="n"/>
      <c r="H2213" s="63" t="n"/>
      <c r="I2213" s="63" t="n"/>
    </row>
    <row r="2214" ht="13.5" customHeight="1">
      <c r="B2214" s="63" t="n"/>
      <c r="F2214" s="63" t="n"/>
      <c r="G2214" s="63" t="n"/>
      <c r="H2214" s="63" t="n"/>
      <c r="I2214" s="63" t="n"/>
    </row>
    <row r="2215" ht="13.5" customHeight="1">
      <c r="B2215" s="63" t="n"/>
      <c r="F2215" s="63" t="n"/>
      <c r="G2215" s="63" t="n"/>
      <c r="H2215" s="63" t="n"/>
      <c r="I2215" s="63" t="n"/>
    </row>
    <row r="2216" ht="13.5" customHeight="1">
      <c r="B2216" s="63" t="n"/>
      <c r="F2216" s="63" t="n"/>
      <c r="G2216" s="63" t="n"/>
      <c r="H2216" s="63" t="n"/>
      <c r="I2216" s="63" t="n"/>
    </row>
    <row r="2217" ht="13.5" customHeight="1">
      <c r="B2217" s="63" t="n"/>
      <c r="F2217" s="63" t="n"/>
      <c r="G2217" s="63" t="n"/>
      <c r="H2217" s="63" t="n"/>
      <c r="I2217" s="63" t="n"/>
    </row>
    <row r="2218" ht="13.5" customHeight="1">
      <c r="B2218" s="63" t="n"/>
      <c r="F2218" s="63" t="n"/>
      <c r="G2218" s="63" t="n"/>
      <c r="H2218" s="63" t="n"/>
      <c r="I2218" s="63" t="n"/>
    </row>
    <row r="2219" ht="13.5" customHeight="1">
      <c r="B2219" s="63" t="n"/>
      <c r="F2219" s="63" t="n"/>
      <c r="G2219" s="63" t="n"/>
      <c r="H2219" s="63" t="n"/>
      <c r="I2219" s="63" t="n"/>
    </row>
    <row r="2220" ht="13.5" customHeight="1">
      <c r="B2220" s="63" t="n"/>
      <c r="F2220" s="63" t="n"/>
      <c r="G2220" s="63" t="n"/>
      <c r="H2220" s="63" t="n"/>
      <c r="I2220" s="63" t="n"/>
    </row>
    <row r="2221" ht="13.5" customHeight="1">
      <c r="B2221" s="63" t="n"/>
      <c r="F2221" s="63" t="n"/>
      <c r="G2221" s="63" t="n"/>
      <c r="H2221" s="63" t="n"/>
      <c r="I2221" s="63" t="n"/>
    </row>
    <row r="2222" ht="13.5" customHeight="1">
      <c r="B2222" s="63" t="n"/>
      <c r="F2222" s="63" t="n"/>
      <c r="G2222" s="63" t="n"/>
      <c r="H2222" s="63" t="n"/>
      <c r="I2222" s="63" t="n"/>
    </row>
    <row r="2223" ht="13.5" customHeight="1">
      <c r="B2223" s="63" t="n"/>
      <c r="F2223" s="63" t="n"/>
      <c r="G2223" s="63" t="n"/>
      <c r="H2223" s="63" t="n"/>
      <c r="I2223" s="63" t="n"/>
    </row>
    <row r="2224" ht="13.5" customHeight="1">
      <c r="B2224" s="63" t="n"/>
      <c r="F2224" s="63" t="n"/>
      <c r="G2224" s="63" t="n"/>
      <c r="H2224" s="63" t="n"/>
      <c r="I2224" s="63" t="n"/>
    </row>
    <row r="2225" ht="13.5" customHeight="1">
      <c r="B2225" s="63" t="n"/>
      <c r="F2225" s="63" t="n"/>
      <c r="G2225" s="63" t="n"/>
      <c r="H2225" s="63" t="n"/>
      <c r="I2225" s="63" t="n"/>
    </row>
    <row r="2226" ht="13.5" customHeight="1">
      <c r="B2226" s="63" t="n"/>
      <c r="F2226" s="63" t="n"/>
      <c r="G2226" s="63" t="n"/>
      <c r="H2226" s="63" t="n"/>
      <c r="I2226" s="63" t="n"/>
    </row>
    <row r="2227" ht="13.5" customHeight="1">
      <c r="B2227" s="63" t="n"/>
      <c r="F2227" s="63" t="n"/>
      <c r="G2227" s="63" t="n"/>
      <c r="H2227" s="63" t="n"/>
      <c r="I2227" s="63" t="n"/>
    </row>
    <row r="2228" ht="13.5" customHeight="1">
      <c r="B2228" s="63" t="n"/>
      <c r="F2228" s="63" t="n"/>
      <c r="G2228" s="63" t="n"/>
      <c r="H2228" s="63" t="n"/>
      <c r="I2228" s="63" t="n"/>
    </row>
    <row r="2229" ht="13.5" customHeight="1">
      <c r="B2229" s="63" t="n"/>
      <c r="F2229" s="63" t="n"/>
      <c r="G2229" s="63" t="n"/>
      <c r="H2229" s="63" t="n"/>
      <c r="I2229" s="63" t="n"/>
    </row>
    <row r="2230" ht="13.5" customHeight="1">
      <c r="B2230" s="63" t="n"/>
      <c r="F2230" s="63" t="n"/>
      <c r="G2230" s="63" t="n"/>
      <c r="H2230" s="63" t="n"/>
      <c r="I2230" s="63" t="n"/>
    </row>
    <row r="2231" ht="13.5" customHeight="1">
      <c r="B2231" s="63" t="n"/>
      <c r="F2231" s="63" t="n"/>
      <c r="G2231" s="63" t="n"/>
      <c r="H2231" s="63" t="n"/>
      <c r="I2231" s="63" t="n"/>
    </row>
    <row r="2232" ht="13.5" customHeight="1">
      <c r="B2232" s="63" t="n"/>
      <c r="F2232" s="63" t="n"/>
      <c r="G2232" s="63" t="n"/>
      <c r="H2232" s="63" t="n"/>
      <c r="I2232" s="63" t="n"/>
    </row>
    <row r="2233" ht="13.5" customHeight="1">
      <c r="B2233" s="63" t="n"/>
      <c r="F2233" s="63" t="n"/>
      <c r="G2233" s="63" t="n"/>
      <c r="H2233" s="63" t="n"/>
      <c r="I2233" s="63" t="n"/>
    </row>
    <row r="2234" ht="13.5" customHeight="1">
      <c r="B2234" s="63" t="n"/>
      <c r="F2234" s="63" t="n"/>
      <c r="G2234" s="63" t="n"/>
      <c r="H2234" s="63" t="n"/>
      <c r="I2234" s="63" t="n"/>
    </row>
    <row r="2235" ht="13.5" customHeight="1">
      <c r="B2235" s="63" t="n"/>
      <c r="F2235" s="63" t="n"/>
      <c r="G2235" s="63" t="n"/>
      <c r="H2235" s="63" t="n"/>
      <c r="I2235" s="63" t="n"/>
    </row>
    <row r="2236" ht="13.5" customHeight="1">
      <c r="B2236" s="63" t="n"/>
      <c r="F2236" s="63" t="n"/>
      <c r="G2236" s="63" t="n"/>
      <c r="H2236" s="63" t="n"/>
      <c r="I2236" s="63" t="n"/>
    </row>
    <row r="2237" ht="13.5" customHeight="1">
      <c r="B2237" s="63" t="n"/>
      <c r="F2237" s="63" t="n"/>
      <c r="G2237" s="63" t="n"/>
      <c r="H2237" s="63" t="n"/>
      <c r="I2237" s="63" t="n"/>
    </row>
    <row r="2238" ht="13.5" customHeight="1">
      <c r="B2238" s="63" t="n"/>
      <c r="F2238" s="63" t="n"/>
      <c r="G2238" s="63" t="n"/>
      <c r="H2238" s="63" t="n"/>
      <c r="I2238" s="63" t="n"/>
    </row>
    <row r="2239" ht="13.5" customHeight="1">
      <c r="B2239" s="63" t="n"/>
      <c r="F2239" s="63" t="n"/>
      <c r="G2239" s="63" t="n"/>
      <c r="H2239" s="63" t="n"/>
      <c r="I2239" s="63" t="n"/>
    </row>
    <row r="2240" ht="13.5" customHeight="1">
      <c r="B2240" s="63" t="n"/>
      <c r="F2240" s="63" t="n"/>
      <c r="G2240" s="63" t="n"/>
      <c r="H2240" s="63" t="n"/>
      <c r="I2240" s="63" t="n"/>
    </row>
    <row r="2241" ht="13.5" customHeight="1">
      <c r="B2241" s="63" t="n"/>
      <c r="F2241" s="63" t="n"/>
      <c r="G2241" s="63" t="n"/>
      <c r="H2241" s="63" t="n"/>
      <c r="I2241" s="63" t="n"/>
    </row>
    <row r="2242" ht="13.5" customHeight="1">
      <c r="B2242" s="63" t="n"/>
      <c r="F2242" s="63" t="n"/>
      <c r="G2242" s="63" t="n"/>
      <c r="H2242" s="63" t="n"/>
      <c r="I2242" s="63" t="n"/>
    </row>
    <row r="2243" ht="13.5" customHeight="1">
      <c r="B2243" s="63" t="n"/>
      <c r="F2243" s="63" t="n"/>
      <c r="G2243" s="63" t="n"/>
      <c r="H2243" s="63" t="n"/>
      <c r="I2243" s="63" t="n"/>
    </row>
    <row r="2244" ht="13.5" customHeight="1">
      <c r="B2244" s="63" t="n"/>
      <c r="F2244" s="63" t="n"/>
      <c r="G2244" s="63" t="n"/>
      <c r="H2244" s="63" t="n"/>
      <c r="I2244" s="63" t="n"/>
    </row>
    <row r="2245" ht="13.5" customHeight="1">
      <c r="B2245" s="63" t="n"/>
      <c r="F2245" s="63" t="n"/>
      <c r="G2245" s="63" t="n"/>
      <c r="H2245" s="63" t="n"/>
      <c r="I2245" s="63" t="n"/>
    </row>
    <row r="2246" ht="13.5" customHeight="1">
      <c r="B2246" s="63" t="n"/>
      <c r="F2246" s="63" t="n"/>
      <c r="G2246" s="63" t="n"/>
      <c r="H2246" s="63" t="n"/>
      <c r="I2246" s="63" t="n"/>
    </row>
    <row r="2247" ht="13.5" customHeight="1">
      <c r="B2247" s="63" t="n"/>
      <c r="F2247" s="63" t="n"/>
      <c r="G2247" s="63" t="n"/>
      <c r="H2247" s="63" t="n"/>
      <c r="I2247" s="63" t="n"/>
    </row>
    <row r="2248" ht="13.5" customHeight="1">
      <c r="B2248" s="63" t="n"/>
      <c r="F2248" s="63" t="n"/>
      <c r="G2248" s="63" t="n"/>
      <c r="H2248" s="63" t="n"/>
      <c r="I2248" s="63" t="n"/>
    </row>
    <row r="2249" ht="13.5" customHeight="1">
      <c r="B2249" s="63" t="n"/>
      <c r="F2249" s="63" t="n"/>
      <c r="G2249" s="63" t="n"/>
      <c r="H2249" s="63" t="n"/>
      <c r="I2249" s="63" t="n"/>
    </row>
    <row r="2250" ht="13.5" customHeight="1">
      <c r="B2250" s="63" t="n"/>
      <c r="F2250" s="63" t="n"/>
      <c r="G2250" s="63" t="n"/>
      <c r="H2250" s="63" t="n"/>
      <c r="I2250" s="63" t="n"/>
    </row>
    <row r="2251" ht="13.5" customHeight="1">
      <c r="B2251" s="63" t="n"/>
      <c r="F2251" s="63" t="n"/>
      <c r="G2251" s="63" t="n"/>
      <c r="H2251" s="63" t="n"/>
      <c r="I2251" s="63" t="n"/>
    </row>
    <row r="2252" ht="13.5" customHeight="1">
      <c r="B2252" s="63" t="n"/>
      <c r="F2252" s="63" t="n"/>
      <c r="G2252" s="63" t="n"/>
      <c r="H2252" s="63" t="n"/>
      <c r="I2252" s="63" t="n"/>
    </row>
    <row r="2253" ht="13.5" customHeight="1">
      <c r="B2253" s="63" t="n"/>
      <c r="F2253" s="63" t="n"/>
      <c r="G2253" s="63" t="n"/>
      <c r="H2253" s="63" t="n"/>
      <c r="I2253" s="63" t="n"/>
    </row>
    <row r="2254" ht="13.5" customHeight="1">
      <c r="B2254" s="63" t="n"/>
      <c r="F2254" s="63" t="n"/>
      <c r="G2254" s="63" t="n"/>
      <c r="H2254" s="63" t="n"/>
      <c r="I2254" s="63" t="n"/>
    </row>
    <row r="2255" ht="13.5" customHeight="1">
      <c r="B2255" s="63" t="n"/>
      <c r="F2255" s="63" t="n"/>
      <c r="G2255" s="63" t="n"/>
      <c r="H2255" s="63" t="n"/>
      <c r="I2255" s="63" t="n"/>
    </row>
    <row r="2256" ht="13.5" customHeight="1">
      <c r="B2256" s="63" t="n"/>
      <c r="F2256" s="63" t="n"/>
      <c r="G2256" s="63" t="n"/>
      <c r="H2256" s="63" t="n"/>
      <c r="I2256" s="63" t="n"/>
    </row>
    <row r="2257" ht="13.5" customHeight="1">
      <c r="B2257" s="63" t="n"/>
      <c r="F2257" s="63" t="n"/>
      <c r="G2257" s="63" t="n"/>
      <c r="H2257" s="63" t="n"/>
      <c r="I2257" s="63" t="n"/>
    </row>
    <row r="2258" ht="13.5" customHeight="1">
      <c r="B2258" s="63" t="n"/>
      <c r="F2258" s="63" t="n"/>
      <c r="G2258" s="63" t="n"/>
      <c r="H2258" s="63" t="n"/>
      <c r="I2258" s="63" t="n"/>
    </row>
    <row r="2259" ht="13.5" customHeight="1">
      <c r="B2259" s="63" t="n"/>
      <c r="F2259" s="63" t="n"/>
      <c r="G2259" s="63" t="n"/>
      <c r="H2259" s="63" t="n"/>
      <c r="I2259" s="63" t="n"/>
    </row>
    <row r="2260" ht="13.5" customHeight="1">
      <c r="B2260" s="63" t="n"/>
      <c r="F2260" s="63" t="n"/>
      <c r="G2260" s="63" t="n"/>
      <c r="H2260" s="63" t="n"/>
      <c r="I2260" s="63" t="n"/>
    </row>
    <row r="2261" ht="13.5" customHeight="1">
      <c r="B2261" s="63" t="n"/>
      <c r="F2261" s="63" t="n"/>
      <c r="G2261" s="63" t="n"/>
      <c r="H2261" s="63" t="n"/>
      <c r="I2261" s="63" t="n"/>
    </row>
    <row r="2262" ht="13.5" customHeight="1">
      <c r="B2262" s="63" t="n"/>
      <c r="F2262" s="63" t="n"/>
      <c r="G2262" s="63" t="n"/>
      <c r="H2262" s="63" t="n"/>
      <c r="I2262" s="63" t="n"/>
    </row>
    <row r="2263" ht="13.5" customHeight="1">
      <c r="B2263" s="63" t="n"/>
      <c r="F2263" s="63" t="n"/>
      <c r="G2263" s="63" t="n"/>
      <c r="H2263" s="63" t="n"/>
      <c r="I2263" s="63" t="n"/>
    </row>
    <row r="2264" ht="13.5" customHeight="1">
      <c r="B2264" s="63" t="n"/>
      <c r="F2264" s="63" t="n"/>
      <c r="G2264" s="63" t="n"/>
      <c r="H2264" s="63" t="n"/>
      <c r="I2264" s="63" t="n"/>
    </row>
    <row r="2265" ht="13.5" customHeight="1">
      <c r="B2265" s="63" t="n"/>
      <c r="F2265" s="63" t="n"/>
      <c r="G2265" s="63" t="n"/>
      <c r="H2265" s="63" t="n"/>
      <c r="I2265" s="63" t="n"/>
    </row>
    <row r="2266" ht="13.5" customHeight="1">
      <c r="B2266" s="63" t="n"/>
      <c r="F2266" s="63" t="n"/>
      <c r="G2266" s="63" t="n"/>
      <c r="H2266" s="63" t="n"/>
      <c r="I2266" s="63" t="n"/>
    </row>
    <row r="2267" ht="13.5" customHeight="1">
      <c r="B2267" s="63" t="n"/>
      <c r="F2267" s="63" t="n"/>
      <c r="G2267" s="63" t="n"/>
      <c r="H2267" s="63" t="n"/>
      <c r="I2267" s="63" t="n"/>
    </row>
    <row r="2268" ht="13.5" customHeight="1">
      <c r="B2268" s="63" t="n"/>
      <c r="F2268" s="63" t="n"/>
      <c r="G2268" s="63" t="n"/>
      <c r="H2268" s="63" t="n"/>
      <c r="I2268" s="63" t="n"/>
    </row>
    <row r="2269" ht="13.5" customHeight="1">
      <c r="B2269" s="63" t="n"/>
      <c r="F2269" s="63" t="n"/>
      <c r="G2269" s="63" t="n"/>
      <c r="H2269" s="63" t="n"/>
      <c r="I2269" s="63" t="n"/>
    </row>
    <row r="2270" ht="13.5" customHeight="1">
      <c r="B2270" s="63" t="n"/>
      <c r="F2270" s="63" t="n"/>
      <c r="G2270" s="63" t="n"/>
      <c r="H2270" s="63" t="n"/>
      <c r="I2270" s="63" t="n"/>
    </row>
    <row r="2271" ht="13.5" customHeight="1">
      <c r="B2271" s="63" t="n"/>
      <c r="F2271" s="63" t="n"/>
      <c r="G2271" s="63" t="n"/>
      <c r="H2271" s="63" t="n"/>
      <c r="I2271" s="63" t="n"/>
    </row>
    <row r="2272" ht="13.5" customHeight="1">
      <c r="B2272" s="63" t="n"/>
      <c r="F2272" s="63" t="n"/>
      <c r="G2272" s="63" t="n"/>
      <c r="H2272" s="63" t="n"/>
      <c r="I2272" s="63" t="n"/>
    </row>
    <row r="2273" ht="13.5" customHeight="1">
      <c r="B2273" s="63" t="n"/>
      <c r="F2273" s="63" t="n"/>
      <c r="G2273" s="63" t="n"/>
      <c r="H2273" s="63" t="n"/>
      <c r="I2273" s="63" t="n"/>
    </row>
    <row r="2274" ht="13.5" customHeight="1">
      <c r="B2274" s="63" t="n"/>
      <c r="F2274" s="63" t="n"/>
      <c r="G2274" s="63" t="n"/>
      <c r="H2274" s="63" t="n"/>
      <c r="I2274" s="63" t="n"/>
    </row>
    <row r="2275" ht="13.5" customHeight="1">
      <c r="B2275" s="63" t="n"/>
      <c r="F2275" s="63" t="n"/>
      <c r="G2275" s="63" t="n"/>
      <c r="H2275" s="63" t="n"/>
      <c r="I2275" s="63" t="n"/>
    </row>
    <row r="2276" ht="13.5" customHeight="1">
      <c r="B2276" s="63" t="n"/>
      <c r="F2276" s="63" t="n"/>
      <c r="G2276" s="63" t="n"/>
      <c r="H2276" s="63" t="n"/>
      <c r="I2276" s="63" t="n"/>
    </row>
    <row r="2277" ht="13.5" customHeight="1">
      <c r="B2277" s="63" t="n"/>
      <c r="F2277" s="63" t="n"/>
      <c r="G2277" s="63" t="n"/>
      <c r="H2277" s="63" t="n"/>
      <c r="I2277" s="63" t="n"/>
    </row>
    <row r="2278" ht="13.5" customHeight="1">
      <c r="B2278" s="63" t="n"/>
      <c r="F2278" s="63" t="n"/>
      <c r="G2278" s="63" t="n"/>
      <c r="H2278" s="63" t="n"/>
      <c r="I2278" s="63" t="n"/>
    </row>
    <row r="2279" ht="13.5" customHeight="1">
      <c r="B2279" s="63" t="n"/>
      <c r="F2279" s="63" t="n"/>
      <c r="G2279" s="63" t="n"/>
      <c r="H2279" s="63" t="n"/>
      <c r="I2279" s="63" t="n"/>
    </row>
    <row r="2280" ht="13.5" customHeight="1">
      <c r="B2280" s="63" t="n"/>
      <c r="F2280" s="63" t="n"/>
      <c r="G2280" s="63" t="n"/>
      <c r="H2280" s="63" t="n"/>
      <c r="I2280" s="63" t="n"/>
    </row>
    <row r="2281" ht="13.5" customHeight="1">
      <c r="B2281" s="63" t="n"/>
      <c r="F2281" s="63" t="n"/>
      <c r="G2281" s="63" t="n"/>
      <c r="H2281" s="63" t="n"/>
      <c r="I2281" s="63" t="n"/>
    </row>
    <row r="2282" ht="13.5" customHeight="1">
      <c r="B2282" s="63" t="n"/>
      <c r="F2282" s="63" t="n"/>
      <c r="G2282" s="63" t="n"/>
      <c r="H2282" s="63" t="n"/>
      <c r="I2282" s="63" t="n"/>
    </row>
    <row r="2283" ht="13.5" customHeight="1">
      <c r="B2283" s="63" t="n"/>
      <c r="F2283" s="63" t="n"/>
      <c r="G2283" s="63" t="n"/>
      <c r="H2283" s="63" t="n"/>
      <c r="I2283" s="63" t="n"/>
    </row>
    <row r="2284" ht="13.5" customHeight="1">
      <c r="B2284" s="63" t="n"/>
      <c r="F2284" s="63" t="n"/>
      <c r="G2284" s="63" t="n"/>
      <c r="H2284" s="63" t="n"/>
      <c r="I2284" s="63" t="n"/>
    </row>
    <row r="2285" ht="13.5" customHeight="1">
      <c r="B2285" s="63" t="n"/>
      <c r="F2285" s="63" t="n"/>
      <c r="G2285" s="63" t="n"/>
      <c r="H2285" s="63" t="n"/>
      <c r="I2285" s="63" t="n"/>
    </row>
    <row r="2286" ht="13.5" customHeight="1">
      <c r="B2286" s="63" t="n"/>
      <c r="F2286" s="63" t="n"/>
      <c r="G2286" s="63" t="n"/>
      <c r="H2286" s="63" t="n"/>
      <c r="I2286" s="63" t="n"/>
    </row>
    <row r="2287" ht="13.5" customHeight="1">
      <c r="B2287" s="63" t="n"/>
      <c r="F2287" s="63" t="n"/>
      <c r="G2287" s="63" t="n"/>
      <c r="H2287" s="63" t="n"/>
      <c r="I2287" s="63" t="n"/>
    </row>
    <row r="2288" ht="13.5" customHeight="1">
      <c r="B2288" s="63" t="n"/>
      <c r="F2288" s="63" t="n"/>
      <c r="G2288" s="63" t="n"/>
      <c r="H2288" s="63" t="n"/>
      <c r="I2288" s="63" t="n"/>
    </row>
    <row r="2289" ht="13.5" customHeight="1">
      <c r="B2289" s="63" t="n"/>
      <c r="F2289" s="63" t="n"/>
      <c r="G2289" s="63" t="n"/>
      <c r="H2289" s="63" t="n"/>
      <c r="I2289" s="63" t="n"/>
    </row>
    <row r="2290" ht="13.5" customHeight="1">
      <c r="B2290" s="63" t="n"/>
      <c r="F2290" s="63" t="n"/>
      <c r="G2290" s="63" t="n"/>
      <c r="H2290" s="63" t="n"/>
      <c r="I2290" s="63" t="n"/>
    </row>
    <row r="2291" ht="13.5" customHeight="1">
      <c r="B2291" s="63" t="n"/>
      <c r="F2291" s="63" t="n"/>
      <c r="G2291" s="63" t="n"/>
      <c r="H2291" s="63" t="n"/>
      <c r="I2291" s="63" t="n"/>
    </row>
    <row r="2292" ht="13.5" customHeight="1">
      <c r="B2292" s="63" t="n"/>
      <c r="F2292" s="63" t="n"/>
      <c r="G2292" s="63" t="n"/>
      <c r="H2292" s="63" t="n"/>
      <c r="I2292" s="63" t="n"/>
    </row>
    <row r="2293" ht="13.5" customHeight="1">
      <c r="B2293" s="63" t="n"/>
      <c r="F2293" s="63" t="n"/>
      <c r="G2293" s="63" t="n"/>
      <c r="H2293" s="63" t="n"/>
      <c r="I2293" s="63" t="n"/>
    </row>
    <row r="2294" ht="13.5" customHeight="1">
      <c r="B2294" s="63" t="n"/>
      <c r="F2294" s="63" t="n"/>
      <c r="G2294" s="63" t="n"/>
      <c r="H2294" s="63" t="n"/>
      <c r="I2294" s="63" t="n"/>
    </row>
    <row r="2295" ht="13.5" customHeight="1">
      <c r="B2295" s="63" t="n"/>
      <c r="F2295" s="63" t="n"/>
      <c r="G2295" s="63" t="n"/>
      <c r="H2295" s="63" t="n"/>
      <c r="I2295" s="63" t="n"/>
    </row>
    <row r="2296" ht="13.5" customHeight="1">
      <c r="B2296" s="63" t="n"/>
      <c r="F2296" s="63" t="n"/>
      <c r="G2296" s="63" t="n"/>
      <c r="H2296" s="63" t="n"/>
      <c r="I2296" s="63" t="n"/>
    </row>
    <row r="2297" ht="13.5" customHeight="1">
      <c r="B2297" s="63" t="n"/>
      <c r="F2297" s="63" t="n"/>
      <c r="G2297" s="63" t="n"/>
      <c r="H2297" s="63" t="n"/>
      <c r="I2297" s="63" t="n"/>
    </row>
    <row r="2298" ht="13.5" customHeight="1">
      <c r="B2298" s="63" t="n"/>
      <c r="F2298" s="63" t="n"/>
      <c r="G2298" s="63" t="n"/>
      <c r="H2298" s="63" t="n"/>
      <c r="I2298" s="63" t="n"/>
    </row>
    <row r="2299" ht="13.5" customHeight="1">
      <c r="B2299" s="63" t="n"/>
      <c r="F2299" s="63" t="n"/>
      <c r="G2299" s="63" t="n"/>
      <c r="H2299" s="63" t="n"/>
      <c r="I2299" s="63" t="n"/>
    </row>
    <row r="2300" ht="13.5" customHeight="1">
      <c r="B2300" s="63" t="n"/>
      <c r="F2300" s="63" t="n"/>
      <c r="G2300" s="63" t="n"/>
      <c r="H2300" s="63" t="n"/>
      <c r="I2300" s="63" t="n"/>
    </row>
    <row r="2301" ht="13.5" customHeight="1">
      <c r="B2301" s="63" t="n"/>
      <c r="F2301" s="63" t="n"/>
      <c r="G2301" s="63" t="n"/>
      <c r="H2301" s="63" t="n"/>
      <c r="I2301" s="63" t="n"/>
    </row>
    <row r="2302" ht="13.5" customHeight="1">
      <c r="B2302" s="63" t="n"/>
      <c r="F2302" s="63" t="n"/>
      <c r="G2302" s="63" t="n"/>
      <c r="H2302" s="63" t="n"/>
      <c r="I2302" s="63" t="n"/>
    </row>
    <row r="2303" ht="13.5" customHeight="1">
      <c r="B2303" s="63" t="n"/>
      <c r="F2303" s="63" t="n"/>
      <c r="G2303" s="63" t="n"/>
      <c r="H2303" s="63" t="n"/>
      <c r="I2303" s="63" t="n"/>
    </row>
    <row r="2304" ht="13.5" customHeight="1">
      <c r="B2304" s="63" t="n"/>
      <c r="F2304" s="63" t="n"/>
      <c r="G2304" s="63" t="n"/>
      <c r="H2304" s="63" t="n"/>
      <c r="I2304" s="63" t="n"/>
    </row>
    <row r="2305" ht="13.5" customHeight="1">
      <c r="B2305" s="63" t="n"/>
      <c r="F2305" s="63" t="n"/>
      <c r="G2305" s="63" t="n"/>
      <c r="H2305" s="63" t="n"/>
      <c r="I2305" s="63" t="n"/>
    </row>
    <row r="2306" ht="13.5" customHeight="1">
      <c r="B2306" s="63" t="n"/>
      <c r="F2306" s="63" t="n"/>
      <c r="G2306" s="63" t="n"/>
      <c r="H2306" s="63" t="n"/>
      <c r="I2306" s="63" t="n"/>
    </row>
    <row r="2307" ht="13.5" customHeight="1">
      <c r="B2307" s="63" t="n"/>
      <c r="F2307" s="63" t="n"/>
      <c r="G2307" s="63" t="n"/>
      <c r="H2307" s="63" t="n"/>
      <c r="I2307" s="63" t="n"/>
    </row>
    <row r="2308" ht="13.5" customHeight="1">
      <c r="B2308" s="63" t="n"/>
      <c r="F2308" s="63" t="n"/>
      <c r="G2308" s="63" t="n"/>
      <c r="H2308" s="63" t="n"/>
      <c r="I2308" s="63" t="n"/>
    </row>
    <row r="2309" ht="13.5" customHeight="1">
      <c r="B2309" s="63" t="n"/>
      <c r="F2309" s="63" t="n"/>
      <c r="G2309" s="63" t="n"/>
      <c r="H2309" s="63" t="n"/>
      <c r="I2309" s="63" t="n"/>
    </row>
    <row r="2310" ht="13.5" customHeight="1">
      <c r="B2310" s="63" t="n"/>
      <c r="F2310" s="63" t="n"/>
      <c r="G2310" s="63" t="n"/>
      <c r="H2310" s="63" t="n"/>
      <c r="I2310" s="63" t="n"/>
    </row>
    <row r="2311" ht="13.5" customHeight="1">
      <c r="B2311" s="63" t="n"/>
      <c r="F2311" s="63" t="n"/>
      <c r="G2311" s="63" t="n"/>
      <c r="H2311" s="63" t="n"/>
      <c r="I2311" s="63" t="n"/>
    </row>
    <row r="2312" ht="13.5" customHeight="1">
      <c r="B2312" s="63" t="n"/>
      <c r="F2312" s="63" t="n"/>
      <c r="G2312" s="63" t="n"/>
      <c r="H2312" s="63" t="n"/>
      <c r="I2312" s="63" t="n"/>
    </row>
    <row r="2313" ht="13.5" customHeight="1">
      <c r="B2313" s="63" t="n"/>
      <c r="F2313" s="63" t="n"/>
      <c r="G2313" s="63" t="n"/>
      <c r="H2313" s="63" t="n"/>
      <c r="I2313" s="63" t="n"/>
    </row>
    <row r="2314" ht="13.5" customHeight="1">
      <c r="B2314" s="63" t="n"/>
      <c r="F2314" s="63" t="n"/>
      <c r="G2314" s="63" t="n"/>
      <c r="H2314" s="63" t="n"/>
      <c r="I2314" s="63" t="n"/>
    </row>
    <row r="2315" ht="13.5" customHeight="1">
      <c r="B2315" s="63" t="n"/>
      <c r="F2315" s="63" t="n"/>
      <c r="G2315" s="63" t="n"/>
      <c r="H2315" s="63" t="n"/>
      <c r="I2315" s="63" t="n"/>
    </row>
    <row r="2316" ht="13.5" customHeight="1">
      <c r="B2316" s="63" t="n"/>
      <c r="F2316" s="63" t="n"/>
      <c r="G2316" s="63" t="n"/>
      <c r="H2316" s="63" t="n"/>
      <c r="I2316" s="63" t="n"/>
    </row>
    <row r="2317" ht="13.5" customHeight="1">
      <c r="B2317" s="63" t="n"/>
      <c r="F2317" s="63" t="n"/>
      <c r="G2317" s="63" t="n"/>
      <c r="H2317" s="63" t="n"/>
      <c r="I2317" s="63" t="n"/>
    </row>
    <row r="2318" ht="13.5" customHeight="1">
      <c r="B2318" s="63" t="n"/>
      <c r="F2318" s="63" t="n"/>
      <c r="G2318" s="63" t="n"/>
      <c r="H2318" s="63" t="n"/>
      <c r="I2318" s="63" t="n"/>
    </row>
    <row r="2319" ht="13.5" customHeight="1">
      <c r="B2319" s="63" t="n"/>
      <c r="F2319" s="63" t="n"/>
      <c r="G2319" s="63" t="n"/>
      <c r="H2319" s="63" t="n"/>
      <c r="I2319" s="63" t="n"/>
    </row>
    <row r="2320" ht="13.5" customHeight="1">
      <c r="B2320" s="63" t="n"/>
      <c r="F2320" s="63" t="n"/>
      <c r="G2320" s="63" t="n"/>
      <c r="H2320" s="63" t="n"/>
      <c r="I2320" s="63" t="n"/>
    </row>
    <row r="2321" ht="13.5" customHeight="1">
      <c r="B2321" s="63" t="n"/>
      <c r="F2321" s="63" t="n"/>
      <c r="G2321" s="63" t="n"/>
      <c r="H2321" s="63" t="n"/>
      <c r="I2321" s="63" t="n"/>
    </row>
    <row r="2322" ht="13.5" customHeight="1">
      <c r="B2322" s="63" t="n"/>
      <c r="F2322" s="63" t="n"/>
      <c r="G2322" s="63" t="n"/>
      <c r="H2322" s="63" t="n"/>
      <c r="I2322" s="63" t="n"/>
    </row>
    <row r="2323" ht="13.5" customHeight="1">
      <c r="B2323" s="63" t="n"/>
      <c r="F2323" s="63" t="n"/>
      <c r="G2323" s="63" t="n"/>
      <c r="H2323" s="63" t="n"/>
      <c r="I2323" s="63" t="n"/>
    </row>
    <row r="2324" ht="13.5" customHeight="1">
      <c r="B2324" s="63" t="n"/>
      <c r="F2324" s="63" t="n"/>
      <c r="G2324" s="63" t="n"/>
      <c r="H2324" s="63" t="n"/>
      <c r="I2324" s="63" t="n"/>
    </row>
    <row r="2325" ht="13.5" customHeight="1">
      <c r="B2325" s="63" t="n"/>
      <c r="F2325" s="63" t="n"/>
      <c r="G2325" s="63" t="n"/>
      <c r="H2325" s="63" t="n"/>
      <c r="I2325" s="63" t="n"/>
    </row>
    <row r="2326" ht="13.5" customHeight="1">
      <c r="B2326" s="63" t="n"/>
      <c r="F2326" s="63" t="n"/>
      <c r="G2326" s="63" t="n"/>
      <c r="H2326" s="63" t="n"/>
      <c r="I2326" s="63" t="n"/>
    </row>
    <row r="2327" ht="13.5" customHeight="1">
      <c r="B2327" s="63" t="n"/>
      <c r="F2327" s="63" t="n"/>
      <c r="G2327" s="63" t="n"/>
      <c r="H2327" s="63" t="n"/>
      <c r="I2327" s="63" t="n"/>
    </row>
    <row r="2328" ht="13.5" customHeight="1">
      <c r="B2328" s="63" t="n"/>
      <c r="F2328" s="63" t="n"/>
      <c r="G2328" s="63" t="n"/>
      <c r="H2328" s="63" t="n"/>
      <c r="I2328" s="63" t="n"/>
    </row>
    <row r="2329" ht="13.5" customHeight="1">
      <c r="B2329" s="63" t="n"/>
      <c r="F2329" s="63" t="n"/>
      <c r="G2329" s="63" t="n"/>
      <c r="H2329" s="63" t="n"/>
      <c r="I2329" s="63" t="n"/>
    </row>
    <row r="2330" ht="13.5" customHeight="1">
      <c r="B2330" s="63" t="n"/>
      <c r="F2330" s="63" t="n"/>
      <c r="G2330" s="63" t="n"/>
      <c r="H2330" s="63" t="n"/>
      <c r="I2330" s="63" t="n"/>
    </row>
    <row r="2331" ht="13.5" customHeight="1">
      <c r="B2331" s="63" t="n"/>
      <c r="F2331" s="63" t="n"/>
      <c r="G2331" s="63" t="n"/>
      <c r="H2331" s="63" t="n"/>
      <c r="I2331" s="63" t="n"/>
    </row>
    <row r="2332" ht="13.5" customHeight="1">
      <c r="B2332" s="63" t="n"/>
      <c r="F2332" s="63" t="n"/>
      <c r="G2332" s="63" t="n"/>
      <c r="H2332" s="63" t="n"/>
      <c r="I2332" s="63" t="n"/>
    </row>
    <row r="2333" ht="13.5" customHeight="1">
      <c r="B2333" s="63" t="n"/>
      <c r="F2333" s="63" t="n"/>
      <c r="G2333" s="63" t="n"/>
      <c r="H2333" s="63" t="n"/>
      <c r="I2333" s="63" t="n"/>
    </row>
    <row r="2334" ht="13.5" customHeight="1">
      <c r="B2334" s="63" t="n"/>
      <c r="F2334" s="63" t="n"/>
      <c r="G2334" s="63" t="n"/>
      <c r="H2334" s="63" t="n"/>
      <c r="I2334" s="63" t="n"/>
    </row>
    <row r="2335" ht="13.5" customHeight="1">
      <c r="B2335" s="63" t="n"/>
      <c r="F2335" s="63" t="n"/>
      <c r="G2335" s="63" t="n"/>
      <c r="H2335" s="63" t="n"/>
      <c r="I2335" s="63" t="n"/>
    </row>
    <row r="2336" ht="13.5" customHeight="1">
      <c r="B2336" s="63" t="n"/>
      <c r="F2336" s="63" t="n"/>
      <c r="G2336" s="63" t="n"/>
      <c r="H2336" s="63" t="n"/>
      <c r="I2336" s="63" t="n"/>
    </row>
    <row r="2337" ht="13.5" customHeight="1">
      <c r="B2337" s="63" t="n"/>
      <c r="F2337" s="63" t="n"/>
      <c r="G2337" s="63" t="n"/>
      <c r="H2337" s="63" t="n"/>
      <c r="I2337" s="63" t="n"/>
    </row>
    <row r="2338" ht="13.5" customHeight="1">
      <c r="B2338" s="63" t="n"/>
      <c r="F2338" s="63" t="n"/>
      <c r="G2338" s="63" t="n"/>
      <c r="H2338" s="63" t="n"/>
      <c r="I2338" s="63" t="n"/>
    </row>
    <row r="2339" ht="13.5" customHeight="1">
      <c r="B2339" s="63" t="n"/>
      <c r="F2339" s="63" t="n"/>
      <c r="G2339" s="63" t="n"/>
      <c r="H2339" s="63" t="n"/>
      <c r="I2339" s="63" t="n"/>
    </row>
    <row r="2340" ht="13.5" customHeight="1">
      <c r="B2340" s="63" t="n"/>
      <c r="F2340" s="63" t="n"/>
      <c r="G2340" s="63" t="n"/>
      <c r="H2340" s="63" t="n"/>
      <c r="I2340" s="63" t="n"/>
    </row>
    <row r="2341" ht="13.5" customHeight="1">
      <c r="B2341" s="63" t="n"/>
      <c r="F2341" s="63" t="n"/>
      <c r="G2341" s="63" t="n"/>
      <c r="H2341" s="63" t="n"/>
      <c r="I2341" s="63" t="n"/>
    </row>
    <row r="2342" ht="13.5" customHeight="1">
      <c r="B2342" s="63" t="n"/>
      <c r="F2342" s="63" t="n"/>
      <c r="G2342" s="63" t="n"/>
      <c r="H2342" s="63" t="n"/>
      <c r="I2342" s="63" t="n"/>
    </row>
    <row r="2343" ht="13.5" customHeight="1">
      <c r="B2343" s="63" t="n"/>
      <c r="F2343" s="63" t="n"/>
      <c r="G2343" s="63" t="n"/>
      <c r="H2343" s="63" t="n"/>
      <c r="I2343" s="63" t="n"/>
    </row>
    <row r="2344" ht="13.5" customHeight="1">
      <c r="B2344" s="63" t="n"/>
      <c r="F2344" s="63" t="n"/>
      <c r="G2344" s="63" t="n"/>
      <c r="H2344" s="63" t="n"/>
      <c r="I2344" s="63" t="n"/>
    </row>
    <row r="2345" ht="13.5" customHeight="1">
      <c r="B2345" s="63" t="n"/>
      <c r="F2345" s="63" t="n"/>
      <c r="G2345" s="63" t="n"/>
      <c r="H2345" s="63" t="n"/>
      <c r="I2345" s="63" t="n"/>
    </row>
    <row r="2346" ht="13.5" customHeight="1">
      <c r="B2346" s="63" t="n"/>
      <c r="F2346" s="63" t="n"/>
      <c r="G2346" s="63" t="n"/>
      <c r="H2346" s="63" t="n"/>
      <c r="I2346" s="63" t="n"/>
    </row>
    <row r="2347" ht="13.5" customHeight="1">
      <c r="B2347" s="63" t="n"/>
      <c r="F2347" s="63" t="n"/>
      <c r="G2347" s="63" t="n"/>
      <c r="H2347" s="63" t="n"/>
      <c r="I2347" s="63" t="n"/>
    </row>
    <row r="2348" ht="13.5" customHeight="1">
      <c r="B2348" s="63" t="n"/>
      <c r="F2348" s="63" t="n"/>
      <c r="G2348" s="63" t="n"/>
      <c r="H2348" s="63" t="n"/>
      <c r="I2348" s="63" t="n"/>
    </row>
    <row r="2349" ht="13.5" customHeight="1">
      <c r="B2349" s="63" t="n"/>
      <c r="F2349" s="63" t="n"/>
      <c r="G2349" s="63" t="n"/>
      <c r="H2349" s="63" t="n"/>
      <c r="I2349" s="63" t="n"/>
    </row>
    <row r="2350" ht="13.5" customHeight="1">
      <c r="B2350" s="63" t="n"/>
      <c r="F2350" s="63" t="n"/>
      <c r="G2350" s="63" t="n"/>
      <c r="H2350" s="63" t="n"/>
      <c r="I2350" s="63" t="n"/>
    </row>
    <row r="2351" ht="13.5" customHeight="1">
      <c r="B2351" s="63" t="n"/>
      <c r="F2351" s="63" t="n"/>
      <c r="G2351" s="63" t="n"/>
      <c r="H2351" s="63" t="n"/>
      <c r="I2351" s="63" t="n"/>
    </row>
    <row r="2352" ht="13.5" customHeight="1">
      <c r="B2352" s="63" t="n"/>
      <c r="F2352" s="63" t="n"/>
      <c r="G2352" s="63" t="n"/>
      <c r="H2352" s="63" t="n"/>
      <c r="I2352" s="63" t="n"/>
    </row>
    <row r="2353" ht="13.5" customHeight="1">
      <c r="B2353" s="63" t="n"/>
      <c r="F2353" s="63" t="n"/>
      <c r="G2353" s="63" t="n"/>
      <c r="H2353" s="63" t="n"/>
      <c r="I2353" s="63" t="n"/>
    </row>
    <row r="2354" ht="13.5" customHeight="1">
      <c r="B2354" s="63" t="n"/>
      <c r="F2354" s="63" t="n"/>
      <c r="G2354" s="63" t="n"/>
      <c r="H2354" s="63" t="n"/>
      <c r="I2354" s="63" t="n"/>
    </row>
    <row r="2355" ht="13.5" customHeight="1">
      <c r="B2355" s="63" t="n"/>
      <c r="F2355" s="63" t="n"/>
      <c r="G2355" s="63" t="n"/>
      <c r="H2355" s="63" t="n"/>
      <c r="I2355" s="63" t="n"/>
    </row>
    <row r="2356" ht="13.5" customHeight="1">
      <c r="B2356" s="63" t="n"/>
      <c r="F2356" s="63" t="n"/>
      <c r="G2356" s="63" t="n"/>
      <c r="H2356" s="63" t="n"/>
      <c r="I2356" s="63" t="n"/>
    </row>
    <row r="2357" ht="13.5" customHeight="1">
      <c r="B2357" s="63" t="n"/>
      <c r="F2357" s="63" t="n"/>
      <c r="G2357" s="63" t="n"/>
      <c r="H2357" s="63" t="n"/>
      <c r="I2357" s="63" t="n"/>
    </row>
    <row r="2358" ht="13.5" customHeight="1">
      <c r="B2358" s="63" t="n"/>
      <c r="F2358" s="63" t="n"/>
      <c r="G2358" s="63" t="n"/>
      <c r="H2358" s="63" t="n"/>
      <c r="I2358" s="63" t="n"/>
    </row>
    <row r="2359" ht="13.5" customHeight="1">
      <c r="B2359" s="63" t="n"/>
      <c r="F2359" s="63" t="n"/>
      <c r="G2359" s="63" t="n"/>
      <c r="H2359" s="63" t="n"/>
      <c r="I2359" s="63" t="n"/>
    </row>
    <row r="2360" ht="13.5" customHeight="1">
      <c r="B2360" s="63" t="n"/>
      <c r="F2360" s="63" t="n"/>
      <c r="G2360" s="63" t="n"/>
      <c r="H2360" s="63" t="n"/>
      <c r="I2360" s="63" t="n"/>
    </row>
    <row r="2361" ht="13.5" customHeight="1">
      <c r="B2361" s="63" t="n"/>
      <c r="F2361" s="63" t="n"/>
      <c r="G2361" s="63" t="n"/>
      <c r="H2361" s="63" t="n"/>
      <c r="I2361" s="63" t="n"/>
    </row>
    <row r="2362" ht="13.5" customHeight="1">
      <c r="B2362" s="63" t="n"/>
      <c r="F2362" s="63" t="n"/>
      <c r="G2362" s="63" t="n"/>
      <c r="H2362" s="63" t="n"/>
      <c r="I2362" s="63" t="n"/>
    </row>
    <row r="2363" ht="13.5" customHeight="1">
      <c r="B2363" s="63" t="n"/>
      <c r="F2363" s="63" t="n"/>
      <c r="G2363" s="63" t="n"/>
      <c r="H2363" s="63" t="n"/>
      <c r="I2363" s="63" t="n"/>
    </row>
    <row r="2364" ht="13.5" customHeight="1">
      <c r="B2364" s="63" t="n"/>
      <c r="F2364" s="63" t="n"/>
      <c r="G2364" s="63" t="n"/>
      <c r="H2364" s="63" t="n"/>
      <c r="I2364" s="63" t="n"/>
    </row>
    <row r="2365" ht="13.5" customHeight="1">
      <c r="B2365" s="63" t="n"/>
      <c r="F2365" s="63" t="n"/>
      <c r="G2365" s="63" t="n"/>
      <c r="H2365" s="63" t="n"/>
      <c r="I2365" s="63" t="n"/>
    </row>
    <row r="2366" ht="13.5" customHeight="1">
      <c r="B2366" s="63" t="n"/>
      <c r="F2366" s="63" t="n"/>
      <c r="G2366" s="63" t="n"/>
      <c r="H2366" s="63" t="n"/>
      <c r="I2366" s="63" t="n"/>
    </row>
    <row r="2367" ht="13.5" customHeight="1">
      <c r="B2367" s="63" t="n"/>
      <c r="F2367" s="63" t="n"/>
      <c r="G2367" s="63" t="n"/>
      <c r="H2367" s="63" t="n"/>
      <c r="I2367" s="63" t="n"/>
    </row>
    <row r="2368" ht="13.5" customHeight="1">
      <c r="B2368" s="63" t="n"/>
      <c r="F2368" s="63" t="n"/>
      <c r="G2368" s="63" t="n"/>
      <c r="H2368" s="63" t="n"/>
      <c r="I2368" s="63" t="n"/>
    </row>
    <row r="2369" ht="13.5" customHeight="1">
      <c r="B2369" s="63" t="n"/>
      <c r="F2369" s="63" t="n"/>
      <c r="G2369" s="63" t="n"/>
      <c r="H2369" s="63" t="n"/>
      <c r="I2369" s="63" t="n"/>
    </row>
    <row r="2370" ht="13.5" customHeight="1">
      <c r="B2370" s="63" t="n"/>
      <c r="F2370" s="63" t="n"/>
      <c r="G2370" s="63" t="n"/>
      <c r="H2370" s="63" t="n"/>
      <c r="I2370" s="63" t="n"/>
    </row>
    <row r="2371" ht="13.5" customHeight="1">
      <c r="B2371" s="63" t="n"/>
      <c r="F2371" s="63" t="n"/>
      <c r="G2371" s="63" t="n"/>
      <c r="H2371" s="63" t="n"/>
      <c r="I2371" s="63" t="n"/>
    </row>
    <row r="2372" ht="13.5" customHeight="1">
      <c r="B2372" s="63" t="n"/>
      <c r="F2372" s="63" t="n"/>
      <c r="G2372" s="63" t="n"/>
      <c r="H2372" s="63" t="n"/>
      <c r="I2372" s="63" t="n"/>
    </row>
    <row r="2373" ht="13.5" customHeight="1">
      <c r="B2373" s="63" t="n"/>
      <c r="F2373" s="63" t="n"/>
      <c r="G2373" s="63" t="n"/>
      <c r="H2373" s="63" t="n"/>
      <c r="I2373" s="63" t="n"/>
    </row>
    <row r="2374" ht="13.5" customHeight="1">
      <c r="B2374" s="63" t="n"/>
      <c r="F2374" s="63" t="n"/>
      <c r="G2374" s="63" t="n"/>
      <c r="H2374" s="63" t="n"/>
      <c r="I2374" s="63" t="n"/>
    </row>
    <row r="2375" ht="13.5" customHeight="1">
      <c r="B2375" s="63" t="n"/>
      <c r="F2375" s="63" t="n"/>
      <c r="G2375" s="63" t="n"/>
      <c r="H2375" s="63" t="n"/>
      <c r="I2375" s="63" t="n"/>
    </row>
    <row r="2376" ht="13.5" customHeight="1">
      <c r="B2376" s="63" t="n"/>
      <c r="F2376" s="63" t="n"/>
      <c r="G2376" s="63" t="n"/>
      <c r="H2376" s="63" t="n"/>
      <c r="I2376" s="63" t="n"/>
    </row>
    <row r="2377" ht="13.5" customHeight="1">
      <c r="B2377" s="63" t="n"/>
      <c r="F2377" s="63" t="n"/>
      <c r="G2377" s="63" t="n"/>
      <c r="H2377" s="63" t="n"/>
      <c r="I2377" s="63" t="n"/>
    </row>
    <row r="2378" ht="13.5" customHeight="1">
      <c r="B2378" s="63" t="n"/>
      <c r="F2378" s="63" t="n"/>
      <c r="G2378" s="63" t="n"/>
      <c r="H2378" s="63" t="n"/>
      <c r="I2378" s="63" t="n"/>
    </row>
    <row r="2379" ht="13.5" customHeight="1">
      <c r="B2379" s="63" t="n"/>
      <c r="F2379" s="63" t="n"/>
      <c r="G2379" s="63" t="n"/>
      <c r="H2379" s="63" t="n"/>
      <c r="I2379" s="63" t="n"/>
    </row>
    <row r="2380" ht="13.5" customHeight="1">
      <c r="B2380" s="63" t="n"/>
      <c r="F2380" s="63" t="n"/>
      <c r="G2380" s="63" t="n"/>
      <c r="H2380" s="63" t="n"/>
      <c r="I2380" s="63" t="n"/>
    </row>
    <row r="2381" ht="13.5" customHeight="1">
      <c r="B2381" s="63" t="n"/>
      <c r="F2381" s="63" t="n"/>
      <c r="G2381" s="63" t="n"/>
      <c r="H2381" s="63" t="n"/>
      <c r="I2381" s="63" t="n"/>
    </row>
    <row r="2382" ht="13.5" customHeight="1">
      <c r="B2382" s="63" t="n"/>
      <c r="F2382" s="63" t="n"/>
      <c r="G2382" s="63" t="n"/>
      <c r="H2382" s="63" t="n"/>
      <c r="I2382" s="63" t="n"/>
    </row>
    <row r="2383" ht="13.5" customHeight="1">
      <c r="B2383" s="63" t="n"/>
      <c r="F2383" s="63" t="n"/>
      <c r="G2383" s="63" t="n"/>
      <c r="H2383" s="63" t="n"/>
      <c r="I2383" s="63" t="n"/>
    </row>
    <row r="2384" ht="13.5" customHeight="1">
      <c r="B2384" s="63" t="n"/>
      <c r="F2384" s="63" t="n"/>
      <c r="G2384" s="63" t="n"/>
      <c r="H2384" s="63" t="n"/>
      <c r="I2384" s="63" t="n"/>
    </row>
    <row r="2385" ht="13.5" customHeight="1">
      <c r="B2385" s="63" t="n"/>
      <c r="F2385" s="63" t="n"/>
      <c r="G2385" s="63" t="n"/>
      <c r="H2385" s="63" t="n"/>
      <c r="I2385" s="63" t="n"/>
    </row>
    <row r="2386" ht="13.5" customHeight="1">
      <c r="B2386" s="63" t="n"/>
      <c r="F2386" s="63" t="n"/>
      <c r="G2386" s="63" t="n"/>
      <c r="H2386" s="63" t="n"/>
      <c r="I2386" s="63" t="n"/>
    </row>
    <row r="2387" ht="13.5" customHeight="1">
      <c r="B2387" s="63" t="n"/>
      <c r="F2387" s="63" t="n"/>
      <c r="G2387" s="63" t="n"/>
      <c r="H2387" s="63" t="n"/>
      <c r="I2387" s="63" t="n"/>
    </row>
    <row r="2388" ht="13.5" customHeight="1">
      <c r="B2388" s="63" t="n"/>
      <c r="F2388" s="63" t="n"/>
      <c r="G2388" s="63" t="n"/>
      <c r="H2388" s="63" t="n"/>
      <c r="I2388" s="63" t="n"/>
    </row>
    <row r="2389" ht="13.5" customHeight="1">
      <c r="B2389" s="63" t="n"/>
      <c r="F2389" s="63" t="n"/>
      <c r="G2389" s="63" t="n"/>
      <c r="H2389" s="63" t="n"/>
      <c r="I2389" s="63" t="n"/>
    </row>
    <row r="2390" ht="13.5" customHeight="1">
      <c r="B2390" s="63" t="n"/>
      <c r="F2390" s="63" t="n"/>
      <c r="G2390" s="63" t="n"/>
      <c r="H2390" s="63" t="n"/>
      <c r="I2390" s="63" t="n"/>
    </row>
    <row r="2391" ht="13.5" customHeight="1">
      <c r="B2391" s="63" t="n"/>
      <c r="F2391" s="63" t="n"/>
      <c r="G2391" s="63" t="n"/>
      <c r="H2391" s="63" t="n"/>
      <c r="I2391" s="63" t="n"/>
    </row>
    <row r="2392" ht="13.5" customHeight="1">
      <c r="B2392" s="63" t="n"/>
      <c r="F2392" s="63" t="n"/>
      <c r="G2392" s="63" t="n"/>
      <c r="H2392" s="63" t="n"/>
      <c r="I2392" s="63" t="n"/>
    </row>
    <row r="2393" ht="13.5" customHeight="1">
      <c r="B2393" s="63" t="n"/>
      <c r="F2393" s="63" t="n"/>
      <c r="G2393" s="63" t="n"/>
      <c r="H2393" s="63" t="n"/>
      <c r="I2393" s="63" t="n"/>
    </row>
    <row r="2394" ht="13.5" customHeight="1">
      <c r="B2394" s="63" t="n"/>
      <c r="F2394" s="63" t="n"/>
      <c r="G2394" s="63" t="n"/>
      <c r="H2394" s="63" t="n"/>
      <c r="I2394" s="63" t="n"/>
    </row>
    <row r="2395" ht="13.5" customHeight="1">
      <c r="B2395" s="63" t="n"/>
      <c r="F2395" s="63" t="n"/>
      <c r="G2395" s="63" t="n"/>
      <c r="H2395" s="63" t="n"/>
      <c r="I2395" s="63" t="n"/>
    </row>
    <row r="2396" ht="13.5" customHeight="1">
      <c r="B2396" s="63" t="n"/>
      <c r="F2396" s="63" t="n"/>
      <c r="G2396" s="63" t="n"/>
      <c r="H2396" s="63" t="n"/>
      <c r="I2396" s="63" t="n"/>
    </row>
    <row r="2397" ht="13.5" customHeight="1">
      <c r="B2397" s="63" t="n"/>
      <c r="F2397" s="63" t="n"/>
      <c r="G2397" s="63" t="n"/>
      <c r="H2397" s="63" t="n"/>
      <c r="I2397" s="63" t="n"/>
    </row>
    <row r="2398" ht="13.5" customHeight="1">
      <c r="B2398" s="63" t="n"/>
      <c r="F2398" s="63" t="n"/>
      <c r="G2398" s="63" t="n"/>
      <c r="H2398" s="63" t="n"/>
      <c r="I2398" s="63" t="n"/>
    </row>
    <row r="2399" ht="13.5" customHeight="1">
      <c r="B2399" s="63" t="n"/>
      <c r="F2399" s="63" t="n"/>
      <c r="G2399" s="63" t="n"/>
      <c r="H2399" s="63" t="n"/>
      <c r="I2399" s="63" t="n"/>
    </row>
    <row r="2400" ht="13.5" customHeight="1">
      <c r="B2400" s="63" t="n"/>
      <c r="F2400" s="63" t="n"/>
      <c r="G2400" s="63" t="n"/>
      <c r="H2400" s="63" t="n"/>
      <c r="I2400" s="63" t="n"/>
    </row>
    <row r="2401" ht="13.5" customHeight="1">
      <c r="B2401" s="63" t="n"/>
      <c r="F2401" s="63" t="n"/>
      <c r="G2401" s="63" t="n"/>
      <c r="H2401" s="63" t="n"/>
      <c r="I2401" s="63" t="n"/>
    </row>
    <row r="2402" ht="13.5" customHeight="1">
      <c r="B2402" s="63" t="n"/>
      <c r="F2402" s="63" t="n"/>
      <c r="G2402" s="63" t="n"/>
      <c r="H2402" s="63" t="n"/>
      <c r="I2402" s="63" t="n"/>
    </row>
    <row r="2403" ht="13.5" customHeight="1">
      <c r="B2403" s="63" t="n"/>
      <c r="F2403" s="63" t="n"/>
      <c r="G2403" s="63" t="n"/>
      <c r="H2403" s="63" t="n"/>
      <c r="I2403" s="63" t="n"/>
    </row>
    <row r="2404" ht="13.5" customHeight="1">
      <c r="B2404" s="63" t="n"/>
      <c r="F2404" s="63" t="n"/>
      <c r="G2404" s="63" t="n"/>
      <c r="H2404" s="63" t="n"/>
      <c r="I2404" s="63" t="n"/>
    </row>
    <row r="2405" ht="13.5" customHeight="1">
      <c r="B2405" s="63" t="n"/>
      <c r="F2405" s="63" t="n"/>
      <c r="G2405" s="63" t="n"/>
      <c r="H2405" s="63" t="n"/>
      <c r="I2405" s="63" t="n"/>
    </row>
    <row r="2406" ht="13.5" customHeight="1">
      <c r="B2406" s="63" t="n"/>
      <c r="F2406" s="63" t="n"/>
      <c r="G2406" s="63" t="n"/>
      <c r="H2406" s="63" t="n"/>
      <c r="I2406" s="63" t="n"/>
    </row>
    <row r="2407" ht="13.5" customHeight="1">
      <c r="B2407" s="63" t="n"/>
      <c r="F2407" s="63" t="n"/>
      <c r="G2407" s="63" t="n"/>
      <c r="H2407" s="63" t="n"/>
      <c r="I2407" s="63" t="n"/>
    </row>
    <row r="2408" ht="13.5" customHeight="1">
      <c r="B2408" s="63" t="n"/>
      <c r="F2408" s="63" t="n"/>
      <c r="G2408" s="63" t="n"/>
      <c r="H2408" s="63" t="n"/>
      <c r="I2408" s="63" t="n"/>
    </row>
    <row r="2409" ht="13.5" customHeight="1">
      <c r="B2409" s="63" t="n"/>
      <c r="F2409" s="63" t="n"/>
      <c r="G2409" s="63" t="n"/>
      <c r="H2409" s="63" t="n"/>
      <c r="I2409" s="63" t="n"/>
    </row>
    <row r="2410" ht="13.5" customHeight="1">
      <c r="B2410" s="63" t="n"/>
      <c r="F2410" s="63" t="n"/>
      <c r="G2410" s="63" t="n"/>
      <c r="H2410" s="63" t="n"/>
      <c r="I2410" s="63" t="n"/>
    </row>
    <row r="2411" ht="13.5" customHeight="1">
      <c r="B2411" s="63" t="n"/>
      <c r="F2411" s="63" t="n"/>
      <c r="G2411" s="63" t="n"/>
      <c r="H2411" s="63" t="n"/>
      <c r="I2411" s="63" t="n"/>
    </row>
    <row r="2412" ht="13.5" customHeight="1">
      <c r="B2412" s="63" t="n"/>
      <c r="F2412" s="63" t="n"/>
      <c r="G2412" s="63" t="n"/>
      <c r="H2412" s="63" t="n"/>
      <c r="I2412" s="63" t="n"/>
    </row>
    <row r="2413" ht="13.5" customHeight="1">
      <c r="B2413" s="63" t="n"/>
      <c r="F2413" s="63" t="n"/>
      <c r="G2413" s="63" t="n"/>
      <c r="H2413" s="63" t="n"/>
      <c r="I2413" s="63" t="n"/>
    </row>
    <row r="2414" ht="13.5" customHeight="1">
      <c r="B2414" s="63" t="n"/>
      <c r="F2414" s="63" t="n"/>
      <c r="G2414" s="63" t="n"/>
      <c r="H2414" s="63" t="n"/>
      <c r="I2414" s="63" t="n"/>
    </row>
    <row r="2415" ht="13.5" customHeight="1">
      <c r="B2415" s="63" t="n"/>
      <c r="F2415" s="63" t="n"/>
      <c r="G2415" s="63" t="n"/>
      <c r="H2415" s="63" t="n"/>
      <c r="I2415" s="63" t="n"/>
    </row>
    <row r="2416" ht="13.5" customHeight="1">
      <c r="B2416" s="63" t="n"/>
      <c r="F2416" s="63" t="n"/>
      <c r="G2416" s="63" t="n"/>
      <c r="H2416" s="63" t="n"/>
      <c r="I2416" s="63" t="n"/>
    </row>
    <row r="2417" ht="13.5" customHeight="1">
      <c r="B2417" s="63" t="n"/>
      <c r="F2417" s="63" t="n"/>
      <c r="G2417" s="63" t="n"/>
      <c r="H2417" s="63" t="n"/>
      <c r="I2417" s="63" t="n"/>
    </row>
    <row r="2418" ht="13.5" customHeight="1">
      <c r="B2418" s="63" t="n"/>
      <c r="F2418" s="63" t="n"/>
      <c r="G2418" s="63" t="n"/>
      <c r="H2418" s="63" t="n"/>
      <c r="I2418" s="63" t="n"/>
    </row>
    <row r="2419" ht="13.5" customHeight="1">
      <c r="B2419" s="63" t="n"/>
      <c r="F2419" s="63" t="n"/>
      <c r="G2419" s="63" t="n"/>
      <c r="H2419" s="63" t="n"/>
      <c r="I2419" s="63" t="n"/>
    </row>
    <row r="2420" ht="13.5" customHeight="1">
      <c r="B2420" s="63" t="n"/>
      <c r="F2420" s="63" t="n"/>
      <c r="G2420" s="63" t="n"/>
      <c r="H2420" s="63" t="n"/>
      <c r="I2420" s="63" t="n"/>
    </row>
    <row r="2421" ht="13.5" customHeight="1">
      <c r="B2421" s="63" t="n"/>
      <c r="F2421" s="63" t="n"/>
      <c r="G2421" s="63" t="n"/>
      <c r="H2421" s="63" t="n"/>
      <c r="I2421" s="63" t="n"/>
    </row>
    <row r="2422" ht="13.5" customHeight="1">
      <c r="B2422" s="63" t="n"/>
      <c r="F2422" s="63" t="n"/>
      <c r="G2422" s="63" t="n"/>
      <c r="H2422" s="63" t="n"/>
      <c r="I2422" s="63" t="n"/>
    </row>
    <row r="2423" ht="13.5" customHeight="1">
      <c r="B2423" s="63" t="n"/>
      <c r="F2423" s="63" t="n"/>
      <c r="G2423" s="63" t="n"/>
      <c r="H2423" s="63" t="n"/>
      <c r="I2423" s="63" t="n"/>
    </row>
    <row r="2424" ht="13.5" customHeight="1">
      <c r="B2424" s="63" t="n"/>
      <c r="F2424" s="63" t="n"/>
      <c r="G2424" s="63" t="n"/>
      <c r="H2424" s="63" t="n"/>
      <c r="I2424" s="63" t="n"/>
    </row>
    <row r="2425" ht="13.5" customHeight="1">
      <c r="B2425" s="63" t="n"/>
      <c r="F2425" s="63" t="n"/>
      <c r="G2425" s="63" t="n"/>
      <c r="H2425" s="63" t="n"/>
      <c r="I2425" s="63" t="n"/>
    </row>
    <row r="2426" ht="13.5" customHeight="1">
      <c r="B2426" s="63" t="n"/>
      <c r="F2426" s="63" t="n"/>
      <c r="G2426" s="63" t="n"/>
      <c r="H2426" s="63" t="n"/>
      <c r="I2426" s="63" t="n"/>
    </row>
    <row r="2427" ht="13.5" customHeight="1">
      <c r="B2427" s="63" t="n"/>
      <c r="F2427" s="63" t="n"/>
      <c r="G2427" s="63" t="n"/>
      <c r="H2427" s="63" t="n"/>
      <c r="I2427" s="63" t="n"/>
    </row>
    <row r="2428" ht="13.5" customHeight="1">
      <c r="B2428" s="63" t="n"/>
      <c r="F2428" s="63" t="n"/>
      <c r="G2428" s="63" t="n"/>
      <c r="H2428" s="63" t="n"/>
      <c r="I2428" s="63" t="n"/>
    </row>
    <row r="2429" ht="13.5" customHeight="1">
      <c r="B2429" s="63" t="n"/>
      <c r="F2429" s="63" t="n"/>
      <c r="G2429" s="63" t="n"/>
      <c r="H2429" s="63" t="n"/>
      <c r="I2429" s="63" t="n"/>
    </row>
    <row r="2430" ht="13.5" customHeight="1">
      <c r="B2430" s="63" t="n"/>
      <c r="F2430" s="63" t="n"/>
      <c r="G2430" s="63" t="n"/>
      <c r="H2430" s="63" t="n"/>
      <c r="I2430" s="63" t="n"/>
    </row>
    <row r="2431" ht="13.5" customHeight="1">
      <c r="B2431" s="63" t="n"/>
      <c r="F2431" s="63" t="n"/>
      <c r="G2431" s="63" t="n"/>
      <c r="H2431" s="63" t="n"/>
      <c r="I2431" s="63" t="n"/>
    </row>
    <row r="2432" ht="13.5" customHeight="1">
      <c r="B2432" s="63" t="n"/>
      <c r="F2432" s="63" t="n"/>
      <c r="G2432" s="63" t="n"/>
      <c r="H2432" s="63" t="n"/>
      <c r="I2432" s="63" t="n"/>
    </row>
    <row r="2433" ht="13.5" customHeight="1">
      <c r="B2433" s="63" t="n"/>
      <c r="F2433" s="63" t="n"/>
      <c r="G2433" s="63" t="n"/>
      <c r="H2433" s="63" t="n"/>
      <c r="I2433" s="63" t="n"/>
    </row>
    <row r="2434" ht="13.5" customHeight="1">
      <c r="B2434" s="63" t="n"/>
      <c r="F2434" s="63" t="n"/>
      <c r="G2434" s="63" t="n"/>
      <c r="H2434" s="63" t="n"/>
      <c r="I2434" s="63" t="n"/>
    </row>
    <row r="2435" ht="13.5" customHeight="1">
      <c r="B2435" s="63" t="n"/>
      <c r="F2435" s="63" t="n"/>
      <c r="G2435" s="63" t="n"/>
      <c r="H2435" s="63" t="n"/>
      <c r="I2435" s="63" t="n"/>
    </row>
    <row r="2436" ht="13.5" customHeight="1">
      <c r="B2436" s="63" t="n"/>
      <c r="F2436" s="63" t="n"/>
      <c r="G2436" s="63" t="n"/>
      <c r="H2436" s="63" t="n"/>
      <c r="I2436" s="63" t="n"/>
    </row>
    <row r="2437" ht="13.5" customHeight="1">
      <c r="B2437" s="63" t="n"/>
      <c r="F2437" s="63" t="n"/>
      <c r="G2437" s="63" t="n"/>
      <c r="H2437" s="63" t="n"/>
      <c r="I2437" s="63" t="n"/>
    </row>
    <row r="2438" ht="13.5" customHeight="1">
      <c r="B2438" s="63" t="n"/>
      <c r="F2438" s="63" t="n"/>
      <c r="G2438" s="63" t="n"/>
      <c r="H2438" s="63" t="n"/>
      <c r="I2438" s="63" t="n"/>
    </row>
    <row r="2439" ht="13.5" customHeight="1">
      <c r="B2439" s="63" t="n"/>
      <c r="F2439" s="63" t="n"/>
      <c r="G2439" s="63" t="n"/>
      <c r="H2439" s="63" t="n"/>
      <c r="I2439" s="63" t="n"/>
    </row>
    <row r="2440" ht="13.5" customHeight="1">
      <c r="B2440" s="63" t="n"/>
      <c r="F2440" s="63" t="n"/>
      <c r="G2440" s="63" t="n"/>
      <c r="H2440" s="63" t="n"/>
      <c r="I2440" s="63" t="n"/>
    </row>
    <row r="2441" ht="13.5" customHeight="1">
      <c r="B2441" s="63" t="n"/>
      <c r="F2441" s="63" t="n"/>
      <c r="G2441" s="63" t="n"/>
      <c r="H2441" s="63" t="n"/>
      <c r="I2441" s="63" t="n"/>
    </row>
    <row r="2442" ht="13.5" customHeight="1">
      <c r="B2442" s="63" t="n"/>
      <c r="F2442" s="63" t="n"/>
      <c r="G2442" s="63" t="n"/>
      <c r="H2442" s="63" t="n"/>
      <c r="I2442" s="63" t="n"/>
    </row>
    <row r="2443" ht="13.5" customHeight="1">
      <c r="B2443" s="63" t="n"/>
      <c r="F2443" s="63" t="n"/>
      <c r="G2443" s="63" t="n"/>
      <c r="H2443" s="63" t="n"/>
      <c r="I2443" s="63" t="n"/>
    </row>
    <row r="2444" ht="13.5" customHeight="1">
      <c r="B2444" s="63" t="n"/>
      <c r="F2444" s="63" t="n"/>
      <c r="G2444" s="63" t="n"/>
      <c r="H2444" s="63" t="n"/>
      <c r="I2444" s="63" t="n"/>
    </row>
    <row r="2445" ht="13.5" customHeight="1">
      <c r="B2445" s="63" t="n"/>
      <c r="F2445" s="63" t="n"/>
      <c r="G2445" s="63" t="n"/>
      <c r="H2445" s="63" t="n"/>
      <c r="I2445" s="63" t="n"/>
    </row>
    <row r="2446" ht="13.5" customHeight="1">
      <c r="B2446" s="63" t="n"/>
      <c r="F2446" s="63" t="n"/>
      <c r="G2446" s="63" t="n"/>
      <c r="H2446" s="63" t="n"/>
      <c r="I2446" s="63" t="n"/>
    </row>
    <row r="2447" ht="13.5" customHeight="1">
      <c r="B2447" s="63" t="n"/>
      <c r="F2447" s="63" t="n"/>
      <c r="G2447" s="63" t="n"/>
      <c r="H2447" s="63" t="n"/>
      <c r="I2447" s="63" t="n"/>
    </row>
    <row r="2448" ht="13.5" customHeight="1">
      <c r="B2448" s="63" t="n"/>
      <c r="F2448" s="63" t="n"/>
      <c r="G2448" s="63" t="n"/>
      <c r="H2448" s="63" t="n"/>
      <c r="I2448" s="63" t="n"/>
    </row>
    <row r="2449" ht="13.5" customHeight="1">
      <c r="B2449" s="63" t="n"/>
      <c r="F2449" s="63" t="n"/>
      <c r="G2449" s="63" t="n"/>
      <c r="H2449" s="63" t="n"/>
      <c r="I2449" s="63" t="n"/>
    </row>
    <row r="2450" ht="13.5" customHeight="1">
      <c r="B2450" s="63" t="n"/>
      <c r="F2450" s="63" t="n"/>
      <c r="G2450" s="63" t="n"/>
      <c r="H2450" s="63" t="n"/>
      <c r="I2450" s="63" t="n"/>
    </row>
    <row r="2451" ht="13.5" customHeight="1">
      <c r="B2451" s="63" t="n"/>
      <c r="F2451" s="63" t="n"/>
      <c r="G2451" s="63" t="n"/>
      <c r="H2451" s="63" t="n"/>
      <c r="I2451" s="63" t="n"/>
    </row>
    <row r="2452" ht="13.5" customHeight="1">
      <c r="B2452" s="63" t="n"/>
      <c r="F2452" s="63" t="n"/>
      <c r="G2452" s="63" t="n"/>
      <c r="H2452" s="63" t="n"/>
      <c r="I2452" s="63" t="n"/>
    </row>
    <row r="2453" ht="13.5" customHeight="1">
      <c r="B2453" s="63" t="n"/>
      <c r="F2453" s="63" t="n"/>
      <c r="G2453" s="63" t="n"/>
      <c r="H2453" s="63" t="n"/>
      <c r="I2453" s="63" t="n"/>
    </row>
    <row r="2454" ht="13.5" customHeight="1">
      <c r="B2454" s="63" t="n"/>
      <c r="F2454" s="63" t="n"/>
      <c r="G2454" s="63" t="n"/>
      <c r="H2454" s="63" t="n"/>
      <c r="I2454" s="63" t="n"/>
    </row>
    <row r="2455" ht="13.5" customHeight="1">
      <c r="B2455" s="63" t="n"/>
      <c r="F2455" s="63" t="n"/>
      <c r="G2455" s="63" t="n"/>
      <c r="H2455" s="63" t="n"/>
      <c r="I2455" s="63" t="n"/>
    </row>
    <row r="2456" ht="13.5" customHeight="1">
      <c r="B2456" s="63" t="n"/>
      <c r="F2456" s="63" t="n"/>
      <c r="G2456" s="63" t="n"/>
      <c r="H2456" s="63" t="n"/>
      <c r="I2456" s="63" t="n"/>
    </row>
    <row r="2457" ht="13.5" customHeight="1">
      <c r="B2457" s="63" t="n"/>
      <c r="F2457" s="63" t="n"/>
      <c r="G2457" s="63" t="n"/>
      <c r="H2457" s="63" t="n"/>
      <c r="I2457" s="63" t="n"/>
    </row>
    <row r="2458" ht="13.5" customHeight="1">
      <c r="B2458" s="63" t="n"/>
      <c r="F2458" s="63" t="n"/>
      <c r="G2458" s="63" t="n"/>
      <c r="H2458" s="63" t="n"/>
      <c r="I2458" s="63" t="n"/>
    </row>
    <row r="2459" ht="13.5" customHeight="1">
      <c r="B2459" s="63" t="n"/>
      <c r="F2459" s="63" t="n"/>
      <c r="G2459" s="63" t="n"/>
      <c r="H2459" s="63" t="n"/>
      <c r="I2459" s="63" t="n"/>
    </row>
    <row r="2460" ht="13.5" customHeight="1">
      <c r="B2460" s="63" t="n"/>
      <c r="F2460" s="63" t="n"/>
      <c r="G2460" s="63" t="n"/>
      <c r="H2460" s="63" t="n"/>
      <c r="I2460" s="63" t="n"/>
    </row>
    <row r="2461" ht="13.5" customHeight="1">
      <c r="B2461" s="63" t="n"/>
      <c r="F2461" s="63" t="n"/>
      <c r="G2461" s="63" t="n"/>
      <c r="H2461" s="63" t="n"/>
      <c r="I2461" s="63" t="n"/>
    </row>
    <row r="2462" ht="13.5" customHeight="1">
      <c r="B2462" s="63" t="n"/>
      <c r="F2462" s="63" t="n"/>
      <c r="G2462" s="63" t="n"/>
      <c r="H2462" s="63" t="n"/>
      <c r="I2462" s="63" t="n"/>
    </row>
    <row r="2463" ht="13.5" customHeight="1">
      <c r="B2463" s="63" t="n"/>
      <c r="F2463" s="63" t="n"/>
      <c r="G2463" s="63" t="n"/>
      <c r="H2463" s="63" t="n"/>
      <c r="I2463" s="63" t="n"/>
    </row>
    <row r="2464" ht="13.5" customHeight="1">
      <c r="B2464" s="63" t="n"/>
      <c r="F2464" s="63" t="n"/>
      <c r="G2464" s="63" t="n"/>
      <c r="H2464" s="63" t="n"/>
      <c r="I2464" s="63" t="n"/>
    </row>
    <row r="2465" ht="13.5" customHeight="1">
      <c r="B2465" s="63" t="n"/>
      <c r="F2465" s="63" t="n"/>
      <c r="G2465" s="63" t="n"/>
      <c r="H2465" s="63" t="n"/>
      <c r="I2465" s="63" t="n"/>
    </row>
    <row r="2466" ht="13.5" customHeight="1">
      <c r="B2466" s="63" t="n"/>
      <c r="F2466" s="63" t="n"/>
      <c r="G2466" s="63" t="n"/>
      <c r="H2466" s="63" t="n"/>
      <c r="I2466" s="63" t="n"/>
    </row>
    <row r="2467" ht="13.5" customHeight="1">
      <c r="B2467" s="63" t="n"/>
      <c r="F2467" s="63" t="n"/>
      <c r="G2467" s="63" t="n"/>
      <c r="H2467" s="63" t="n"/>
      <c r="I2467" s="63" t="n"/>
    </row>
    <row r="2468" ht="13.5" customHeight="1">
      <c r="B2468" s="63" t="n"/>
      <c r="F2468" s="63" t="n"/>
      <c r="G2468" s="63" t="n"/>
      <c r="H2468" s="63" t="n"/>
      <c r="I2468" s="63" t="n"/>
    </row>
    <row r="2469" ht="13.5" customHeight="1">
      <c r="B2469" s="63" t="n"/>
      <c r="F2469" s="63" t="n"/>
      <c r="G2469" s="63" t="n"/>
      <c r="H2469" s="63" t="n"/>
      <c r="I2469" s="63" t="n"/>
    </row>
    <row r="2470" ht="13.5" customHeight="1">
      <c r="B2470" s="63" t="n"/>
      <c r="F2470" s="63" t="n"/>
      <c r="G2470" s="63" t="n"/>
      <c r="H2470" s="63" t="n"/>
      <c r="I2470" s="63" t="n"/>
    </row>
    <row r="2471" ht="13.5" customHeight="1">
      <c r="B2471" s="63" t="n"/>
      <c r="F2471" s="63" t="n"/>
      <c r="G2471" s="63" t="n"/>
      <c r="H2471" s="63" t="n"/>
      <c r="I2471" s="63" t="n"/>
    </row>
    <row r="2472" ht="13.5" customHeight="1">
      <c r="B2472" s="63" t="n"/>
      <c r="F2472" s="63" t="n"/>
      <c r="G2472" s="63" t="n"/>
      <c r="H2472" s="63" t="n"/>
      <c r="I2472" s="63" t="n"/>
    </row>
    <row r="2473" ht="13.5" customHeight="1">
      <c r="B2473" s="63" t="n"/>
      <c r="F2473" s="63" t="n"/>
      <c r="G2473" s="63" t="n"/>
      <c r="H2473" s="63" t="n"/>
      <c r="I2473" s="63" t="n"/>
    </row>
    <row r="2474" ht="13.5" customHeight="1">
      <c r="B2474" s="63" t="n"/>
      <c r="F2474" s="63" t="n"/>
      <c r="G2474" s="63" t="n"/>
      <c r="H2474" s="63" t="n"/>
      <c r="I2474" s="63" t="n"/>
    </row>
    <row r="2475" ht="13.5" customHeight="1">
      <c r="B2475" s="63" t="n"/>
      <c r="F2475" s="63" t="n"/>
      <c r="G2475" s="63" t="n"/>
      <c r="H2475" s="63" t="n"/>
      <c r="I2475" s="63" t="n"/>
    </row>
    <row r="2476" ht="13.5" customHeight="1">
      <c r="B2476" s="63" t="n"/>
      <c r="F2476" s="63" t="n"/>
      <c r="G2476" s="63" t="n"/>
      <c r="H2476" s="63" t="n"/>
      <c r="I2476" s="63" t="n"/>
    </row>
    <row r="2477" ht="13.5" customHeight="1">
      <c r="B2477" s="63" t="n"/>
      <c r="F2477" s="63" t="n"/>
      <c r="G2477" s="63" t="n"/>
      <c r="H2477" s="63" t="n"/>
      <c r="I2477" s="63" t="n"/>
    </row>
    <row r="2478" ht="13.5" customHeight="1">
      <c r="B2478" s="63" t="n"/>
      <c r="F2478" s="63" t="n"/>
      <c r="G2478" s="63" t="n"/>
      <c r="H2478" s="63" t="n"/>
      <c r="I2478" s="63" t="n"/>
    </row>
    <row r="2479" ht="13.5" customHeight="1">
      <c r="B2479" s="63" t="n"/>
      <c r="F2479" s="63" t="n"/>
      <c r="G2479" s="63" t="n"/>
      <c r="H2479" s="63" t="n"/>
      <c r="I2479" s="63" t="n"/>
    </row>
    <row r="2480" ht="13.5" customHeight="1">
      <c r="B2480" s="63" t="n"/>
      <c r="F2480" s="63" t="n"/>
      <c r="G2480" s="63" t="n"/>
      <c r="H2480" s="63" t="n"/>
      <c r="I2480" s="63" t="n"/>
    </row>
    <row r="2481" ht="13.5" customHeight="1">
      <c r="B2481" s="63" t="n"/>
      <c r="F2481" s="63" t="n"/>
      <c r="G2481" s="63" t="n"/>
      <c r="H2481" s="63" t="n"/>
      <c r="I2481" s="63" t="n"/>
    </row>
    <row r="2482" ht="13.5" customHeight="1">
      <c r="B2482" s="63" t="n"/>
      <c r="F2482" s="63" t="n"/>
      <c r="G2482" s="63" t="n"/>
      <c r="H2482" s="63" t="n"/>
      <c r="I2482" s="63" t="n"/>
    </row>
    <row r="2483" ht="13.5" customHeight="1">
      <c r="B2483" s="63" t="n"/>
      <c r="F2483" s="63" t="n"/>
      <c r="G2483" s="63" t="n"/>
      <c r="H2483" s="63" t="n"/>
      <c r="I2483" s="63" t="n"/>
    </row>
    <row r="2484" ht="13.5" customHeight="1">
      <c r="B2484" s="63" t="n"/>
      <c r="F2484" s="63" t="n"/>
      <c r="G2484" s="63" t="n"/>
      <c r="H2484" s="63" t="n"/>
      <c r="I2484" s="63" t="n"/>
    </row>
    <row r="2485" ht="13.5" customHeight="1">
      <c r="B2485" s="63" t="n"/>
      <c r="F2485" s="63" t="n"/>
      <c r="G2485" s="63" t="n"/>
      <c r="H2485" s="63" t="n"/>
      <c r="I2485" s="63" t="n"/>
    </row>
    <row r="2486" ht="13.5" customHeight="1">
      <c r="B2486" s="63" t="n"/>
      <c r="F2486" s="63" t="n"/>
      <c r="G2486" s="63" t="n"/>
      <c r="H2486" s="63" t="n"/>
      <c r="I2486" s="63" t="n"/>
    </row>
    <row r="2487" ht="13.5" customHeight="1">
      <c r="B2487" s="63" t="n"/>
      <c r="F2487" s="63" t="n"/>
      <c r="G2487" s="63" t="n"/>
      <c r="H2487" s="63" t="n"/>
      <c r="I2487" s="63" t="n"/>
    </row>
    <row r="2488" ht="13.5" customHeight="1">
      <c r="B2488" s="63" t="n"/>
      <c r="F2488" s="63" t="n"/>
      <c r="G2488" s="63" t="n"/>
      <c r="H2488" s="63" t="n"/>
      <c r="I2488" s="63" t="n"/>
    </row>
    <row r="2489" ht="13.5" customHeight="1">
      <c r="B2489" s="63" t="n"/>
      <c r="F2489" s="63" t="n"/>
      <c r="G2489" s="63" t="n"/>
      <c r="H2489" s="63" t="n"/>
      <c r="I2489" s="63" t="n"/>
    </row>
    <row r="2490" ht="13.5" customHeight="1">
      <c r="B2490" s="63" t="n"/>
      <c r="F2490" s="63" t="n"/>
      <c r="G2490" s="63" t="n"/>
      <c r="H2490" s="63" t="n"/>
      <c r="I2490" s="63" t="n"/>
    </row>
    <row r="2491" ht="13.5" customHeight="1">
      <c r="B2491" s="63" t="n"/>
      <c r="F2491" s="63" t="n"/>
      <c r="G2491" s="63" t="n"/>
      <c r="H2491" s="63" t="n"/>
      <c r="I2491" s="63" t="n"/>
    </row>
    <row r="2492" ht="13.5" customHeight="1">
      <c r="B2492" s="63" t="n"/>
      <c r="F2492" s="63" t="n"/>
      <c r="G2492" s="63" t="n"/>
      <c r="H2492" s="63" t="n"/>
      <c r="I2492" s="63" t="n"/>
    </row>
    <row r="2493" ht="13.5" customHeight="1">
      <c r="B2493" s="63" t="n"/>
      <c r="F2493" s="63" t="n"/>
      <c r="G2493" s="63" t="n"/>
      <c r="H2493" s="63" t="n"/>
      <c r="I2493" s="63" t="n"/>
    </row>
    <row r="2494" ht="13.5" customHeight="1">
      <c r="B2494" s="63" t="n"/>
      <c r="F2494" s="63" t="n"/>
      <c r="G2494" s="63" t="n"/>
      <c r="H2494" s="63" t="n"/>
      <c r="I2494" s="63" t="n"/>
    </row>
    <row r="2495" ht="13.5" customHeight="1">
      <c r="B2495" s="63" t="n"/>
      <c r="F2495" s="63" t="n"/>
      <c r="G2495" s="63" t="n"/>
      <c r="H2495" s="63" t="n"/>
      <c r="I2495" s="63" t="n"/>
    </row>
    <row r="2496" ht="13.5" customHeight="1">
      <c r="B2496" s="63" t="n"/>
      <c r="F2496" s="63" t="n"/>
      <c r="G2496" s="63" t="n"/>
      <c r="H2496" s="63" t="n"/>
      <c r="I2496" s="63" t="n"/>
    </row>
    <row r="2497" ht="13.5" customHeight="1">
      <c r="B2497" s="63" t="n"/>
      <c r="F2497" s="63" t="n"/>
      <c r="G2497" s="63" t="n"/>
      <c r="H2497" s="63" t="n"/>
      <c r="I2497" s="63" t="n"/>
    </row>
    <row r="2498" ht="13.5" customHeight="1">
      <c r="B2498" s="63" t="n"/>
      <c r="F2498" s="63" t="n"/>
      <c r="G2498" s="63" t="n"/>
      <c r="H2498" s="63" t="n"/>
      <c r="I2498" s="63" t="n"/>
    </row>
    <row r="2499" ht="13.5" customHeight="1">
      <c r="B2499" s="63" t="n"/>
      <c r="F2499" s="63" t="n"/>
      <c r="G2499" s="63" t="n"/>
      <c r="H2499" s="63" t="n"/>
      <c r="I2499" s="63" t="n"/>
    </row>
    <row r="2500" ht="13.5" customHeight="1">
      <c r="B2500" s="63" t="n"/>
      <c r="F2500" s="63" t="n"/>
      <c r="G2500" s="63" t="n"/>
      <c r="H2500" s="63" t="n"/>
      <c r="I2500" s="63" t="n"/>
    </row>
    <row r="2501" ht="13.5" customHeight="1">
      <c r="B2501" s="63" t="n"/>
      <c r="F2501" s="63" t="n"/>
      <c r="G2501" s="63" t="n"/>
      <c r="H2501" s="63" t="n"/>
      <c r="I2501" s="63" t="n"/>
    </row>
    <row r="2502" ht="13.5" customHeight="1">
      <c r="B2502" s="63" t="n"/>
      <c r="F2502" s="63" t="n"/>
      <c r="G2502" s="63" t="n"/>
      <c r="H2502" s="63" t="n"/>
      <c r="I2502" s="63" t="n"/>
    </row>
    <row r="2503" ht="13.5" customHeight="1">
      <c r="B2503" s="63" t="n"/>
      <c r="F2503" s="63" t="n"/>
      <c r="G2503" s="63" t="n"/>
      <c r="H2503" s="63" t="n"/>
      <c r="I2503" s="63" t="n"/>
    </row>
    <row r="2504" ht="13.5" customHeight="1">
      <c r="B2504" s="63" t="n"/>
      <c r="F2504" s="63" t="n"/>
      <c r="G2504" s="63" t="n"/>
      <c r="H2504" s="63" t="n"/>
      <c r="I2504" s="63" t="n"/>
    </row>
    <row r="2505" ht="13.5" customHeight="1">
      <c r="B2505" s="63" t="n"/>
      <c r="F2505" s="63" t="n"/>
      <c r="G2505" s="63" t="n"/>
      <c r="H2505" s="63" t="n"/>
      <c r="I2505" s="63" t="n"/>
    </row>
    <row r="2506" ht="13.5" customHeight="1">
      <c r="B2506" s="63" t="n"/>
      <c r="F2506" s="63" t="n"/>
      <c r="G2506" s="63" t="n"/>
      <c r="H2506" s="63" t="n"/>
      <c r="I2506" s="63" t="n"/>
    </row>
    <row r="2507" ht="13.5" customHeight="1">
      <c r="B2507" s="63" t="n"/>
      <c r="F2507" s="63" t="n"/>
      <c r="G2507" s="63" t="n"/>
      <c r="H2507" s="63" t="n"/>
      <c r="I2507" s="63" t="n"/>
    </row>
    <row r="2508" ht="13.5" customHeight="1">
      <c r="B2508" s="63" t="n"/>
      <c r="F2508" s="63" t="n"/>
      <c r="G2508" s="63" t="n"/>
      <c r="H2508" s="63" t="n"/>
      <c r="I2508" s="63" t="n"/>
    </row>
    <row r="2509" ht="13.5" customHeight="1">
      <c r="B2509" s="63" t="n"/>
      <c r="F2509" s="63" t="n"/>
      <c r="G2509" s="63" t="n"/>
      <c r="H2509" s="63" t="n"/>
      <c r="I2509" s="63" t="n"/>
    </row>
    <row r="2510" ht="13.5" customHeight="1">
      <c r="B2510" s="63" t="n"/>
      <c r="F2510" s="63" t="n"/>
      <c r="G2510" s="63" t="n"/>
      <c r="H2510" s="63" t="n"/>
      <c r="I2510" s="63" t="n"/>
    </row>
    <row r="2511" ht="13.5" customHeight="1">
      <c r="B2511" s="63" t="n"/>
      <c r="F2511" s="63" t="n"/>
      <c r="G2511" s="63" t="n"/>
      <c r="H2511" s="63" t="n"/>
      <c r="I2511" s="63" t="n"/>
    </row>
    <row r="2512" ht="13.5" customHeight="1">
      <c r="B2512" s="63" t="n"/>
      <c r="F2512" s="63" t="n"/>
      <c r="G2512" s="63" t="n"/>
      <c r="H2512" s="63" t="n"/>
      <c r="I2512" s="63" t="n"/>
    </row>
    <row r="2513" ht="13.5" customHeight="1">
      <c r="B2513" s="63" t="n"/>
      <c r="F2513" s="63" t="n"/>
      <c r="G2513" s="63" t="n"/>
      <c r="H2513" s="63" t="n"/>
      <c r="I2513" s="63" t="n"/>
    </row>
    <row r="2514" ht="13.5" customHeight="1">
      <c r="B2514" s="63" t="n"/>
      <c r="F2514" s="63" t="n"/>
      <c r="G2514" s="63" t="n"/>
      <c r="H2514" s="63" t="n"/>
      <c r="I2514" s="63" t="n"/>
    </row>
    <row r="2515" ht="13.5" customHeight="1">
      <c r="B2515" s="63" t="n"/>
      <c r="F2515" s="63" t="n"/>
      <c r="G2515" s="63" t="n"/>
      <c r="H2515" s="63" t="n"/>
      <c r="I2515" s="63" t="n"/>
    </row>
    <row r="2516" ht="13.5" customHeight="1">
      <c r="B2516" s="63" t="n"/>
      <c r="F2516" s="63" t="n"/>
      <c r="G2516" s="63" t="n"/>
      <c r="H2516" s="63" t="n"/>
      <c r="I2516" s="63" t="n"/>
    </row>
    <row r="2517" ht="13.5" customHeight="1">
      <c r="B2517" s="63" t="n"/>
      <c r="F2517" s="63" t="n"/>
      <c r="G2517" s="63" t="n"/>
      <c r="H2517" s="63" t="n"/>
      <c r="I2517" s="63" t="n"/>
    </row>
    <row r="2518" ht="13.5" customHeight="1">
      <c r="B2518" s="63" t="n"/>
      <c r="F2518" s="63" t="n"/>
      <c r="G2518" s="63" t="n"/>
      <c r="H2518" s="63" t="n"/>
      <c r="I2518" s="63" t="n"/>
    </row>
    <row r="2519" ht="13.5" customHeight="1">
      <c r="B2519" s="63" t="n"/>
      <c r="F2519" s="63" t="n"/>
      <c r="G2519" s="63" t="n"/>
      <c r="H2519" s="63" t="n"/>
      <c r="I2519" s="63" t="n"/>
    </row>
    <row r="2520" ht="13.5" customHeight="1">
      <c r="B2520" s="63" t="n"/>
      <c r="F2520" s="63" t="n"/>
      <c r="G2520" s="63" t="n"/>
      <c r="H2520" s="63" t="n"/>
      <c r="I2520" s="63" t="n"/>
    </row>
    <row r="2521" ht="13.5" customHeight="1">
      <c r="B2521" s="63" t="n"/>
      <c r="F2521" s="63" t="n"/>
      <c r="G2521" s="63" t="n"/>
      <c r="H2521" s="63" t="n"/>
      <c r="I2521" s="63" t="n"/>
    </row>
    <row r="2522" ht="13.5" customHeight="1">
      <c r="B2522" s="63" t="n"/>
      <c r="F2522" s="63" t="n"/>
      <c r="G2522" s="63" t="n"/>
      <c r="H2522" s="63" t="n"/>
      <c r="I2522" s="63" t="n"/>
    </row>
    <row r="2523" ht="13.5" customHeight="1">
      <c r="B2523" s="63" t="n"/>
      <c r="F2523" s="63" t="n"/>
      <c r="G2523" s="63" t="n"/>
      <c r="H2523" s="63" t="n"/>
      <c r="I2523" s="63" t="n"/>
    </row>
    <row r="2524" ht="13.5" customHeight="1">
      <c r="B2524" s="63" t="n"/>
      <c r="F2524" s="63" t="n"/>
      <c r="G2524" s="63" t="n"/>
      <c r="H2524" s="63" t="n"/>
      <c r="I2524" s="63" t="n"/>
    </row>
    <row r="2525" ht="13.5" customHeight="1">
      <c r="B2525" s="63" t="n"/>
      <c r="F2525" s="63" t="n"/>
      <c r="G2525" s="63" t="n"/>
      <c r="H2525" s="63" t="n"/>
      <c r="I2525" s="63" t="n"/>
    </row>
    <row r="2526" ht="13.5" customHeight="1">
      <c r="B2526" s="63" t="n"/>
      <c r="F2526" s="63" t="n"/>
      <c r="G2526" s="63" t="n"/>
      <c r="H2526" s="63" t="n"/>
      <c r="I2526" s="63" t="n"/>
    </row>
    <row r="2527" ht="13.5" customHeight="1">
      <c r="B2527" s="63" t="n"/>
      <c r="F2527" s="63" t="n"/>
      <c r="G2527" s="63" t="n"/>
      <c r="H2527" s="63" t="n"/>
      <c r="I2527" s="63" t="n"/>
    </row>
    <row r="2528" ht="13.5" customHeight="1">
      <c r="B2528" s="63" t="n"/>
      <c r="F2528" s="63" t="n"/>
      <c r="G2528" s="63" t="n"/>
      <c r="H2528" s="63" t="n"/>
      <c r="I2528" s="63" t="n"/>
    </row>
    <row r="2529" ht="13.5" customHeight="1">
      <c r="B2529" s="63" t="n"/>
      <c r="F2529" s="63" t="n"/>
      <c r="G2529" s="63" t="n"/>
      <c r="H2529" s="63" t="n"/>
      <c r="I2529" s="63" t="n"/>
    </row>
    <row r="2530" ht="13.5" customHeight="1">
      <c r="B2530" s="63" t="n"/>
      <c r="F2530" s="63" t="n"/>
      <c r="G2530" s="63" t="n"/>
      <c r="H2530" s="63" t="n"/>
      <c r="I2530" s="63" t="n"/>
    </row>
    <row r="2531" ht="13.5" customHeight="1">
      <c r="B2531" s="63" t="n"/>
      <c r="F2531" s="63" t="n"/>
      <c r="G2531" s="63" t="n"/>
      <c r="H2531" s="63" t="n"/>
      <c r="I2531" s="63" t="n"/>
    </row>
    <row r="2532" ht="13.5" customHeight="1">
      <c r="B2532" s="63" t="n"/>
      <c r="F2532" s="63" t="n"/>
      <c r="G2532" s="63" t="n"/>
      <c r="H2532" s="63" t="n"/>
      <c r="I2532" s="63" t="n"/>
    </row>
    <row r="2533" ht="13.5" customHeight="1">
      <c r="B2533" s="63" t="n"/>
      <c r="F2533" s="63" t="n"/>
      <c r="G2533" s="63" t="n"/>
      <c r="H2533" s="63" t="n"/>
      <c r="I2533" s="63" t="n"/>
    </row>
    <row r="2534" ht="13.5" customHeight="1">
      <c r="B2534" s="63" t="n"/>
      <c r="F2534" s="63" t="n"/>
      <c r="G2534" s="63" t="n"/>
      <c r="H2534" s="63" t="n"/>
      <c r="I2534" s="63" t="n"/>
    </row>
    <row r="2535" ht="13.5" customHeight="1">
      <c r="B2535" s="63" t="n"/>
      <c r="F2535" s="63" t="n"/>
      <c r="G2535" s="63" t="n"/>
      <c r="H2535" s="63" t="n"/>
      <c r="I2535" s="63" t="n"/>
    </row>
    <row r="2536" ht="13.5" customHeight="1">
      <c r="B2536" s="63" t="n"/>
      <c r="F2536" s="63" t="n"/>
      <c r="G2536" s="63" t="n"/>
      <c r="H2536" s="63" t="n"/>
      <c r="I2536" s="63" t="n"/>
    </row>
    <row r="2537" ht="13.5" customHeight="1">
      <c r="B2537" s="63" t="n"/>
      <c r="F2537" s="63" t="n"/>
      <c r="G2537" s="63" t="n"/>
      <c r="H2537" s="63" t="n"/>
      <c r="I2537" s="63" t="n"/>
    </row>
    <row r="2538" ht="13.5" customHeight="1">
      <c r="B2538" s="63" t="n"/>
      <c r="F2538" s="63" t="n"/>
      <c r="G2538" s="63" t="n"/>
      <c r="H2538" s="63" t="n"/>
      <c r="I2538" s="63" t="n"/>
    </row>
    <row r="2539" ht="13.5" customHeight="1">
      <c r="B2539" s="63" t="n"/>
      <c r="F2539" s="63" t="n"/>
      <c r="G2539" s="63" t="n"/>
      <c r="H2539" s="63" t="n"/>
      <c r="I2539" s="63" t="n"/>
    </row>
    <row r="2540" ht="13.5" customHeight="1">
      <c r="B2540" s="63" t="n"/>
      <c r="F2540" s="63" t="n"/>
      <c r="G2540" s="63" t="n"/>
      <c r="H2540" s="63" t="n"/>
      <c r="I2540" s="63" t="n"/>
    </row>
    <row r="2541" ht="13.5" customHeight="1">
      <c r="B2541" s="63" t="n"/>
      <c r="F2541" s="63" t="n"/>
      <c r="G2541" s="63" t="n"/>
      <c r="H2541" s="63" t="n"/>
      <c r="I2541" s="63" t="n"/>
    </row>
    <row r="2542" ht="13.5" customHeight="1">
      <c r="B2542" s="63" t="n"/>
      <c r="F2542" s="63" t="n"/>
      <c r="G2542" s="63" t="n"/>
      <c r="H2542" s="63" t="n"/>
      <c r="I2542" s="63" t="n"/>
    </row>
    <row r="2543" ht="13.5" customHeight="1">
      <c r="B2543" s="63" t="n"/>
      <c r="F2543" s="63" t="n"/>
      <c r="G2543" s="63" t="n"/>
      <c r="H2543" s="63" t="n"/>
      <c r="I2543" s="63" t="n"/>
    </row>
    <row r="2544" ht="13.5" customHeight="1">
      <c r="B2544" s="63" t="n"/>
      <c r="F2544" s="63" t="n"/>
      <c r="G2544" s="63" t="n"/>
      <c r="H2544" s="63" t="n"/>
      <c r="I2544" s="63" t="n"/>
    </row>
    <row r="2545" ht="13.5" customHeight="1">
      <c r="B2545" s="63" t="n"/>
      <c r="F2545" s="63" t="n"/>
      <c r="G2545" s="63" t="n"/>
      <c r="H2545" s="63" t="n"/>
      <c r="I2545" s="63" t="n"/>
    </row>
    <row r="2546" ht="13.5" customHeight="1">
      <c r="B2546" s="63" t="n"/>
      <c r="F2546" s="63" t="n"/>
      <c r="G2546" s="63" t="n"/>
      <c r="H2546" s="63" t="n"/>
      <c r="I2546" s="63" t="n"/>
    </row>
    <row r="2547" ht="13.5" customHeight="1">
      <c r="B2547" s="63" t="n"/>
      <c r="F2547" s="63" t="n"/>
      <c r="G2547" s="63" t="n"/>
      <c r="H2547" s="63" t="n"/>
      <c r="I2547" s="63" t="n"/>
    </row>
    <row r="2548" ht="13.5" customHeight="1">
      <c r="B2548" s="63" t="n"/>
      <c r="F2548" s="63" t="n"/>
      <c r="G2548" s="63" t="n"/>
      <c r="H2548" s="63" t="n"/>
      <c r="I2548" s="63" t="n"/>
    </row>
    <row r="2549" ht="13.5" customHeight="1">
      <c r="B2549" s="63" t="n"/>
      <c r="F2549" s="63" t="n"/>
      <c r="G2549" s="63" t="n"/>
      <c r="H2549" s="63" t="n"/>
      <c r="I2549" s="63" t="n"/>
    </row>
    <row r="2550" ht="13.5" customHeight="1">
      <c r="B2550" s="63" t="n"/>
      <c r="F2550" s="63" t="n"/>
      <c r="G2550" s="63" t="n"/>
      <c r="H2550" s="63" t="n"/>
      <c r="I2550" s="63" t="n"/>
    </row>
    <row r="2551" ht="13.5" customHeight="1">
      <c r="B2551" s="63" t="n"/>
      <c r="F2551" s="63" t="n"/>
      <c r="G2551" s="63" t="n"/>
      <c r="H2551" s="63" t="n"/>
      <c r="I2551" s="63" t="n"/>
    </row>
    <row r="2552" ht="13.5" customHeight="1">
      <c r="B2552" s="63" t="n"/>
      <c r="F2552" s="63" t="n"/>
      <c r="G2552" s="63" t="n"/>
      <c r="H2552" s="63" t="n"/>
      <c r="I2552" s="63" t="n"/>
    </row>
    <row r="2553" ht="13.5" customHeight="1">
      <c r="B2553" s="63" t="n"/>
      <c r="F2553" s="63" t="n"/>
      <c r="G2553" s="63" t="n"/>
      <c r="H2553" s="63" t="n"/>
      <c r="I2553" s="63" t="n"/>
    </row>
    <row r="2554" ht="13.5" customHeight="1">
      <c r="B2554" s="63" t="n"/>
      <c r="F2554" s="63" t="n"/>
      <c r="G2554" s="63" t="n"/>
      <c r="H2554" s="63" t="n"/>
      <c r="I2554" s="63" t="n"/>
    </row>
    <row r="2555" ht="13.5" customHeight="1">
      <c r="B2555" s="63" t="n"/>
      <c r="F2555" s="63" t="n"/>
      <c r="G2555" s="63" t="n"/>
      <c r="H2555" s="63" t="n"/>
      <c r="I2555" s="63" t="n"/>
    </row>
    <row r="2556" ht="13.5" customHeight="1">
      <c r="B2556" s="63" t="n"/>
      <c r="F2556" s="63" t="n"/>
      <c r="G2556" s="63" t="n"/>
      <c r="H2556" s="63" t="n"/>
      <c r="I2556" s="63" t="n"/>
    </row>
    <row r="2557" ht="13.5" customHeight="1">
      <c r="B2557" s="63" t="n"/>
      <c r="F2557" s="63" t="n"/>
      <c r="G2557" s="63" t="n"/>
      <c r="H2557" s="63" t="n"/>
      <c r="I2557" s="63" t="n"/>
    </row>
    <row r="2558" ht="13.5" customHeight="1">
      <c r="B2558" s="63" t="n"/>
      <c r="F2558" s="63" t="n"/>
      <c r="G2558" s="63" t="n"/>
      <c r="H2558" s="63" t="n"/>
      <c r="I2558" s="63" t="n"/>
    </row>
    <row r="2559" ht="13.5" customHeight="1">
      <c r="B2559" s="63" t="n"/>
      <c r="F2559" s="63" t="n"/>
      <c r="G2559" s="63" t="n"/>
      <c r="H2559" s="63" t="n"/>
      <c r="I2559" s="63" t="n"/>
    </row>
    <row r="2560" ht="13.5" customHeight="1">
      <c r="B2560" s="63" t="n"/>
      <c r="F2560" s="63" t="n"/>
      <c r="G2560" s="63" t="n"/>
      <c r="H2560" s="63" t="n"/>
      <c r="I2560" s="63" t="n"/>
    </row>
    <row r="2561" ht="13.5" customHeight="1">
      <c r="B2561" s="63" t="n"/>
      <c r="F2561" s="63" t="n"/>
      <c r="G2561" s="63" t="n"/>
      <c r="H2561" s="63" t="n"/>
      <c r="I2561" s="63" t="n"/>
    </row>
    <row r="2562" ht="13.5" customHeight="1">
      <c r="B2562" s="63" t="n"/>
      <c r="F2562" s="63" t="n"/>
      <c r="G2562" s="63" t="n"/>
      <c r="H2562" s="63" t="n"/>
      <c r="I2562" s="63" t="n"/>
    </row>
    <row r="2563" ht="13.5" customHeight="1">
      <c r="B2563" s="63" t="n"/>
      <c r="F2563" s="63" t="n"/>
      <c r="G2563" s="63" t="n"/>
      <c r="H2563" s="63" t="n"/>
      <c r="I2563" s="63" t="n"/>
    </row>
    <row r="2564" ht="13.5" customHeight="1">
      <c r="B2564" s="63" t="n"/>
      <c r="F2564" s="63" t="n"/>
      <c r="G2564" s="63" t="n"/>
      <c r="H2564" s="63" t="n"/>
      <c r="I2564" s="63" t="n"/>
    </row>
    <row r="2565" ht="13.5" customHeight="1">
      <c r="B2565" s="63" t="n"/>
      <c r="F2565" s="63" t="n"/>
      <c r="G2565" s="63" t="n"/>
      <c r="H2565" s="63" t="n"/>
      <c r="I2565" s="63" t="n"/>
    </row>
    <row r="2566" ht="13.5" customHeight="1">
      <c r="B2566" s="63" t="n"/>
      <c r="F2566" s="63" t="n"/>
      <c r="G2566" s="63" t="n"/>
      <c r="H2566" s="63" t="n"/>
      <c r="I2566" s="63" t="n"/>
    </row>
    <row r="2567" ht="13.5" customHeight="1">
      <c r="B2567" s="63" t="n"/>
      <c r="F2567" s="63" t="n"/>
      <c r="G2567" s="63" t="n"/>
      <c r="H2567" s="63" t="n"/>
      <c r="I2567" s="63" t="n"/>
    </row>
    <row r="2568" ht="13.5" customHeight="1">
      <c r="B2568" s="63" t="n"/>
      <c r="F2568" s="63" t="n"/>
      <c r="G2568" s="63" t="n"/>
      <c r="H2568" s="63" t="n"/>
      <c r="I2568" s="63" t="n"/>
    </row>
    <row r="2569" ht="13.5" customHeight="1">
      <c r="B2569" s="63" t="n"/>
      <c r="F2569" s="63" t="n"/>
      <c r="G2569" s="63" t="n"/>
      <c r="H2569" s="63" t="n"/>
      <c r="I2569" s="63" t="n"/>
    </row>
    <row r="2570" ht="13.5" customHeight="1">
      <c r="B2570" s="63" t="n"/>
      <c r="F2570" s="63" t="n"/>
      <c r="G2570" s="63" t="n"/>
      <c r="H2570" s="63" t="n"/>
      <c r="I2570" s="63" t="n"/>
    </row>
    <row r="2571" ht="13.5" customHeight="1">
      <c r="B2571" s="63" t="n"/>
      <c r="F2571" s="63" t="n"/>
      <c r="G2571" s="63" t="n"/>
      <c r="H2571" s="63" t="n"/>
      <c r="I2571" s="63" t="n"/>
    </row>
    <row r="2572" ht="13.5" customHeight="1">
      <c r="B2572" s="63" t="n"/>
      <c r="F2572" s="63" t="n"/>
      <c r="G2572" s="63" t="n"/>
      <c r="H2572" s="63" t="n"/>
      <c r="I2572" s="63" t="n"/>
    </row>
    <row r="2573" ht="13.5" customHeight="1">
      <c r="B2573" s="63" t="n"/>
      <c r="F2573" s="63" t="n"/>
      <c r="G2573" s="63" t="n"/>
      <c r="H2573" s="63" t="n"/>
      <c r="I2573" s="63" t="n"/>
    </row>
    <row r="2574" ht="13.5" customHeight="1">
      <c r="B2574" s="63" t="n"/>
      <c r="F2574" s="63" t="n"/>
      <c r="G2574" s="63" t="n"/>
      <c r="H2574" s="63" t="n"/>
      <c r="I2574" s="63" t="n"/>
    </row>
    <row r="2575" ht="13.5" customHeight="1">
      <c r="B2575" s="63" t="n"/>
      <c r="F2575" s="63" t="n"/>
      <c r="G2575" s="63" t="n"/>
      <c r="H2575" s="63" t="n"/>
      <c r="I2575" s="63" t="n"/>
    </row>
    <row r="2576" ht="13.5" customHeight="1">
      <c r="B2576" s="63" t="n"/>
      <c r="F2576" s="63" t="n"/>
      <c r="G2576" s="63" t="n"/>
      <c r="H2576" s="63" t="n"/>
      <c r="I2576" s="63" t="n"/>
    </row>
    <row r="2577" ht="13.5" customHeight="1">
      <c r="B2577" s="63" t="n"/>
      <c r="F2577" s="63" t="n"/>
      <c r="G2577" s="63" t="n"/>
      <c r="H2577" s="63" t="n"/>
      <c r="I2577" s="63" t="n"/>
    </row>
    <row r="2578" ht="13.5" customHeight="1">
      <c r="B2578" s="63" t="n"/>
      <c r="F2578" s="63" t="n"/>
      <c r="G2578" s="63" t="n"/>
      <c r="H2578" s="63" t="n"/>
      <c r="I2578" s="63" t="n"/>
    </row>
    <row r="2579" ht="13.5" customHeight="1">
      <c r="B2579" s="63" t="n"/>
      <c r="F2579" s="63" t="n"/>
      <c r="G2579" s="63" t="n"/>
      <c r="H2579" s="63" t="n"/>
      <c r="I2579" s="63" t="n"/>
    </row>
    <row r="2580" ht="13.5" customHeight="1">
      <c r="B2580" s="63" t="n"/>
      <c r="F2580" s="63" t="n"/>
      <c r="G2580" s="63" t="n"/>
      <c r="H2580" s="63" t="n"/>
      <c r="I2580" s="63" t="n"/>
    </row>
    <row r="2581" ht="13.5" customHeight="1">
      <c r="B2581" s="63" t="n"/>
      <c r="F2581" s="63" t="n"/>
      <c r="G2581" s="63" t="n"/>
      <c r="H2581" s="63" t="n"/>
      <c r="I2581" s="63" t="n"/>
    </row>
    <row r="2582" ht="13.5" customHeight="1">
      <c r="B2582" s="63" t="n"/>
      <c r="F2582" s="63" t="n"/>
      <c r="G2582" s="63" t="n"/>
      <c r="H2582" s="63" t="n"/>
      <c r="I2582" s="63" t="n"/>
    </row>
    <row r="2583" ht="13.5" customHeight="1">
      <c r="B2583" s="63" t="n"/>
      <c r="F2583" s="63" t="n"/>
      <c r="G2583" s="63" t="n"/>
      <c r="H2583" s="63" t="n"/>
      <c r="I2583" s="63" t="n"/>
    </row>
    <row r="2584" ht="13.5" customHeight="1">
      <c r="B2584" s="63" t="n"/>
      <c r="F2584" s="63" t="n"/>
      <c r="G2584" s="63" t="n"/>
      <c r="H2584" s="63" t="n"/>
      <c r="I2584" s="63" t="n"/>
    </row>
    <row r="2585" ht="13.5" customHeight="1">
      <c r="B2585" s="63" t="n"/>
      <c r="F2585" s="63" t="n"/>
      <c r="G2585" s="63" t="n"/>
      <c r="H2585" s="63" t="n"/>
      <c r="I2585" s="63" t="n"/>
    </row>
    <row r="2586" ht="13.5" customHeight="1">
      <c r="B2586" s="63" t="n"/>
      <c r="F2586" s="63" t="n"/>
      <c r="G2586" s="63" t="n"/>
      <c r="H2586" s="63" t="n"/>
      <c r="I2586" s="63" t="n"/>
    </row>
    <row r="2587" ht="13.5" customHeight="1">
      <c r="B2587" s="63" t="n"/>
      <c r="F2587" s="63" t="n"/>
      <c r="G2587" s="63" t="n"/>
      <c r="H2587" s="63" t="n"/>
      <c r="I2587" s="63" t="n"/>
    </row>
    <row r="2588" ht="13.5" customHeight="1">
      <c r="B2588" s="63" t="n"/>
      <c r="F2588" s="63" t="n"/>
      <c r="G2588" s="63" t="n"/>
      <c r="H2588" s="63" t="n"/>
      <c r="I2588" s="63" t="n"/>
    </row>
    <row r="2589" ht="13.5" customHeight="1">
      <c r="B2589" s="63" t="n"/>
      <c r="F2589" s="63" t="n"/>
      <c r="G2589" s="63" t="n"/>
      <c r="H2589" s="63" t="n"/>
      <c r="I2589" s="63" t="n"/>
    </row>
    <row r="2590" ht="13.5" customHeight="1">
      <c r="B2590" s="63" t="n"/>
      <c r="F2590" s="63" t="n"/>
      <c r="G2590" s="63" t="n"/>
      <c r="H2590" s="63" t="n"/>
      <c r="I2590" s="63" t="n"/>
    </row>
    <row r="2591" ht="13.5" customHeight="1">
      <c r="B2591" s="63" t="n"/>
      <c r="F2591" s="63" t="n"/>
      <c r="G2591" s="63" t="n"/>
      <c r="H2591" s="63" t="n"/>
      <c r="I2591" s="63" t="n"/>
    </row>
    <row r="2592" ht="13.5" customHeight="1">
      <c r="B2592" s="63" t="n"/>
      <c r="F2592" s="63" t="n"/>
      <c r="G2592" s="63" t="n"/>
      <c r="H2592" s="63" t="n"/>
      <c r="I2592" s="63" t="n"/>
    </row>
    <row r="2593" ht="13.5" customHeight="1">
      <c r="B2593" s="63" t="n"/>
      <c r="F2593" s="63" t="n"/>
      <c r="G2593" s="63" t="n"/>
      <c r="H2593" s="63" t="n"/>
      <c r="I2593" s="63" t="n"/>
    </row>
    <row r="2594" ht="13.5" customHeight="1">
      <c r="B2594" s="63" t="n"/>
      <c r="F2594" s="63" t="n"/>
      <c r="G2594" s="63" t="n"/>
      <c r="H2594" s="63" t="n"/>
      <c r="I2594" s="63" t="n"/>
    </row>
    <row r="2595" ht="13.5" customHeight="1">
      <c r="B2595" s="63" t="n"/>
      <c r="F2595" s="63" t="n"/>
      <c r="G2595" s="63" t="n"/>
      <c r="H2595" s="63" t="n"/>
      <c r="I2595" s="63" t="n"/>
    </row>
    <row r="2596" ht="13.5" customHeight="1">
      <c r="B2596" s="63" t="n"/>
      <c r="F2596" s="63" t="n"/>
      <c r="G2596" s="63" t="n"/>
      <c r="H2596" s="63" t="n"/>
      <c r="I2596" s="63" t="n"/>
    </row>
    <row r="2597" ht="13.5" customHeight="1">
      <c r="B2597" s="63" t="n"/>
      <c r="F2597" s="63" t="n"/>
      <c r="G2597" s="63" t="n"/>
      <c r="H2597" s="63" t="n"/>
      <c r="I2597" s="63" t="n"/>
    </row>
    <row r="2598" ht="13.5" customHeight="1">
      <c r="B2598" s="63" t="n"/>
      <c r="F2598" s="63" t="n"/>
      <c r="G2598" s="63" t="n"/>
      <c r="H2598" s="63" t="n"/>
      <c r="I2598" s="63" t="n"/>
    </row>
    <row r="2599" ht="13.5" customHeight="1">
      <c r="B2599" s="63" t="n"/>
      <c r="F2599" s="63" t="n"/>
      <c r="G2599" s="63" t="n"/>
      <c r="H2599" s="63" t="n"/>
      <c r="I2599" s="63" t="n"/>
    </row>
    <row r="2600" ht="13.5" customHeight="1">
      <c r="B2600" s="63" t="n"/>
      <c r="F2600" s="63" t="n"/>
      <c r="G2600" s="63" t="n"/>
      <c r="H2600" s="63" t="n"/>
      <c r="I2600" s="63" t="n"/>
    </row>
    <row r="2601" ht="13.5" customHeight="1">
      <c r="B2601" s="63" t="n"/>
      <c r="F2601" s="63" t="n"/>
      <c r="G2601" s="63" t="n"/>
      <c r="H2601" s="63" t="n"/>
      <c r="I2601" s="63" t="n"/>
    </row>
    <row r="2602" ht="13.5" customHeight="1">
      <c r="B2602" s="63" t="n"/>
      <c r="F2602" s="63" t="n"/>
      <c r="G2602" s="63" t="n"/>
      <c r="H2602" s="63" t="n"/>
      <c r="I2602" s="63" t="n"/>
    </row>
    <row r="2603" ht="13.5" customHeight="1">
      <c r="B2603" s="63" t="n"/>
      <c r="F2603" s="63" t="n"/>
      <c r="G2603" s="63" t="n"/>
      <c r="H2603" s="63" t="n"/>
      <c r="I2603" s="63" t="n"/>
    </row>
    <row r="2604" ht="13.5" customHeight="1">
      <c r="B2604" s="63" t="n"/>
      <c r="F2604" s="63" t="n"/>
      <c r="G2604" s="63" t="n"/>
      <c r="H2604" s="63" t="n"/>
      <c r="I2604" s="63" t="n"/>
    </row>
    <row r="2605" ht="13.5" customHeight="1">
      <c r="B2605" s="63" t="n"/>
      <c r="F2605" s="63" t="n"/>
      <c r="G2605" s="63" t="n"/>
      <c r="H2605" s="63" t="n"/>
      <c r="I2605" s="63" t="n"/>
    </row>
    <row r="2606" ht="13.5" customHeight="1">
      <c r="B2606" s="63" t="n"/>
      <c r="F2606" s="63" t="n"/>
      <c r="G2606" s="63" t="n"/>
      <c r="H2606" s="63" t="n"/>
      <c r="I2606" s="63" t="n"/>
    </row>
    <row r="2607" ht="13.5" customHeight="1">
      <c r="B2607" s="63" t="n"/>
      <c r="F2607" s="63" t="n"/>
      <c r="G2607" s="63" t="n"/>
      <c r="H2607" s="63" t="n"/>
      <c r="I2607" s="63" t="n"/>
    </row>
    <row r="2608" ht="13.5" customHeight="1">
      <c r="B2608" s="63" t="n"/>
      <c r="F2608" s="63" t="n"/>
      <c r="G2608" s="63" t="n"/>
      <c r="H2608" s="63" t="n"/>
      <c r="I2608" s="63" t="n"/>
    </row>
    <row r="2609" ht="13.5" customHeight="1">
      <c r="B2609" s="63" t="n"/>
      <c r="F2609" s="63" t="n"/>
      <c r="G2609" s="63" t="n"/>
      <c r="H2609" s="63" t="n"/>
      <c r="I2609" s="63" t="n"/>
    </row>
    <row r="2610" ht="13.5" customHeight="1">
      <c r="B2610" s="63" t="n"/>
      <c r="F2610" s="63" t="n"/>
      <c r="G2610" s="63" t="n"/>
      <c r="H2610" s="63" t="n"/>
      <c r="I2610" s="63" t="n"/>
    </row>
    <row r="2611" ht="13.5" customHeight="1">
      <c r="B2611" s="63" t="n"/>
      <c r="F2611" s="63" t="n"/>
      <c r="G2611" s="63" t="n"/>
      <c r="H2611" s="63" t="n"/>
      <c r="I2611" s="63" t="n"/>
    </row>
    <row r="2612" ht="13.5" customHeight="1">
      <c r="B2612" s="63" t="n"/>
      <c r="F2612" s="63" t="n"/>
      <c r="G2612" s="63" t="n"/>
      <c r="H2612" s="63" t="n"/>
      <c r="I2612" s="63" t="n"/>
    </row>
    <row r="2613" ht="13.5" customHeight="1">
      <c r="B2613" s="63" t="n"/>
      <c r="F2613" s="63" t="n"/>
      <c r="G2613" s="63" t="n"/>
      <c r="H2613" s="63" t="n"/>
      <c r="I2613" s="63" t="n"/>
    </row>
    <row r="2614" ht="13.5" customHeight="1">
      <c r="B2614" s="63" t="n"/>
      <c r="F2614" s="63" t="n"/>
      <c r="G2614" s="63" t="n"/>
      <c r="H2614" s="63" t="n"/>
      <c r="I2614" s="63" t="n"/>
    </row>
    <row r="2615" ht="13.5" customHeight="1">
      <c r="B2615" s="63" t="n"/>
      <c r="F2615" s="63" t="n"/>
      <c r="G2615" s="63" t="n"/>
      <c r="H2615" s="63" t="n"/>
      <c r="I2615" s="63" t="n"/>
    </row>
    <row r="2616" ht="13.5" customHeight="1">
      <c r="B2616" s="63" t="n"/>
      <c r="F2616" s="63" t="n"/>
      <c r="G2616" s="63" t="n"/>
      <c r="H2616" s="63" t="n"/>
      <c r="I2616" s="63" t="n"/>
    </row>
    <row r="2617" ht="13.5" customHeight="1">
      <c r="B2617" s="63" t="n"/>
      <c r="F2617" s="63" t="n"/>
      <c r="G2617" s="63" t="n"/>
      <c r="H2617" s="63" t="n"/>
      <c r="I2617" s="63" t="n"/>
    </row>
    <row r="2618" ht="13.5" customHeight="1">
      <c r="B2618" s="63" t="n"/>
      <c r="F2618" s="63" t="n"/>
      <c r="G2618" s="63" t="n"/>
      <c r="H2618" s="63" t="n"/>
      <c r="I2618" s="63" t="n"/>
    </row>
    <row r="2619" ht="13.5" customHeight="1">
      <c r="B2619" s="63" t="n"/>
      <c r="F2619" s="63" t="n"/>
      <c r="G2619" s="63" t="n"/>
      <c r="H2619" s="63" t="n"/>
      <c r="I2619" s="63" t="n"/>
    </row>
    <row r="2620" ht="13.5" customHeight="1">
      <c r="B2620" s="63" t="n"/>
      <c r="F2620" s="63" t="n"/>
      <c r="G2620" s="63" t="n"/>
      <c r="H2620" s="63" t="n"/>
      <c r="I2620" s="63" t="n"/>
    </row>
    <row r="2621" ht="13.5" customHeight="1">
      <c r="B2621" s="63" t="n"/>
      <c r="F2621" s="63" t="n"/>
      <c r="G2621" s="63" t="n"/>
      <c r="H2621" s="63" t="n"/>
      <c r="I2621" s="63" t="n"/>
    </row>
    <row r="2622" ht="13.5" customHeight="1">
      <c r="B2622" s="63" t="n"/>
      <c r="F2622" s="63" t="n"/>
      <c r="G2622" s="63" t="n"/>
      <c r="H2622" s="63" t="n"/>
      <c r="I2622" s="63" t="n"/>
    </row>
    <row r="2623" ht="13.5" customHeight="1">
      <c r="B2623" s="63" t="n"/>
      <c r="F2623" s="63" t="n"/>
      <c r="G2623" s="63" t="n"/>
      <c r="H2623" s="63" t="n"/>
      <c r="I2623" s="63" t="n"/>
    </row>
    <row r="2624" ht="13.5" customHeight="1">
      <c r="B2624" s="63" t="n"/>
      <c r="F2624" s="63" t="n"/>
      <c r="G2624" s="63" t="n"/>
      <c r="H2624" s="63" t="n"/>
      <c r="I2624" s="63" t="n"/>
    </row>
    <row r="2625" ht="13.5" customHeight="1">
      <c r="B2625" s="63" t="n"/>
      <c r="F2625" s="63" t="n"/>
      <c r="G2625" s="63" t="n"/>
      <c r="H2625" s="63" t="n"/>
      <c r="I2625" s="63" t="n"/>
    </row>
    <row r="2626" ht="13.5" customHeight="1">
      <c r="B2626" s="63" t="n"/>
      <c r="F2626" s="63" t="n"/>
      <c r="G2626" s="63" t="n"/>
      <c r="H2626" s="63" t="n"/>
      <c r="I2626" s="63" t="n"/>
    </row>
    <row r="2627" ht="13.5" customHeight="1">
      <c r="B2627" s="63" t="n"/>
      <c r="F2627" s="63" t="n"/>
      <c r="G2627" s="63" t="n"/>
      <c r="H2627" s="63" t="n"/>
      <c r="I2627" s="63" t="n"/>
    </row>
    <row r="2628" ht="13.5" customHeight="1">
      <c r="B2628" s="63" t="n"/>
      <c r="F2628" s="63" t="n"/>
      <c r="G2628" s="63" t="n"/>
      <c r="H2628" s="63" t="n"/>
      <c r="I2628" s="63" t="n"/>
    </row>
    <row r="2629" ht="13.5" customHeight="1">
      <c r="B2629" s="63" t="n"/>
      <c r="F2629" s="63" t="n"/>
      <c r="G2629" s="63" t="n"/>
      <c r="H2629" s="63" t="n"/>
      <c r="I2629" s="63" t="n"/>
    </row>
    <row r="2630" ht="13.5" customHeight="1">
      <c r="B2630" s="63" t="n"/>
      <c r="F2630" s="63" t="n"/>
      <c r="G2630" s="63" t="n"/>
      <c r="H2630" s="63" t="n"/>
      <c r="I2630" s="63" t="n"/>
    </row>
    <row r="2631" ht="13.5" customHeight="1">
      <c r="B2631" s="63" t="n"/>
      <c r="F2631" s="63" t="n"/>
      <c r="G2631" s="63" t="n"/>
      <c r="H2631" s="63" t="n"/>
      <c r="I2631" s="63" t="n"/>
    </row>
    <row r="2632" ht="13.5" customHeight="1">
      <c r="B2632" s="63" t="n"/>
      <c r="F2632" s="63" t="n"/>
      <c r="G2632" s="63" t="n"/>
      <c r="H2632" s="63" t="n"/>
      <c r="I2632" s="63" t="n"/>
    </row>
    <row r="2633" ht="13.5" customHeight="1">
      <c r="B2633" s="63" t="n"/>
      <c r="F2633" s="63" t="n"/>
      <c r="G2633" s="63" t="n"/>
      <c r="H2633" s="63" t="n"/>
      <c r="I2633" s="63" t="n"/>
    </row>
    <row r="2634" ht="13.5" customHeight="1">
      <c r="B2634" s="63" t="n"/>
      <c r="F2634" s="63" t="n"/>
      <c r="G2634" s="63" t="n"/>
      <c r="H2634" s="63" t="n"/>
      <c r="I2634" s="63" t="n"/>
    </row>
    <row r="2635" ht="13.5" customHeight="1">
      <c r="B2635" s="63" t="n"/>
      <c r="F2635" s="63" t="n"/>
      <c r="G2635" s="63" t="n"/>
      <c r="H2635" s="63" t="n"/>
      <c r="I2635" s="63" t="n"/>
    </row>
    <row r="2636" ht="13.5" customHeight="1">
      <c r="B2636" s="63" t="n"/>
      <c r="F2636" s="63" t="n"/>
      <c r="G2636" s="63" t="n"/>
      <c r="H2636" s="63" t="n"/>
      <c r="I2636" s="63" t="n"/>
    </row>
    <row r="2637" ht="13.5" customHeight="1">
      <c r="B2637" s="63" t="n"/>
      <c r="F2637" s="63" t="n"/>
      <c r="G2637" s="63" t="n"/>
      <c r="H2637" s="63" t="n"/>
      <c r="I2637" s="63" t="n"/>
    </row>
    <row r="2638" ht="13.5" customHeight="1">
      <c r="B2638" s="63" t="n"/>
      <c r="F2638" s="63" t="n"/>
      <c r="G2638" s="63" t="n"/>
      <c r="H2638" s="63" t="n"/>
      <c r="I2638" s="63" t="n"/>
    </row>
    <row r="2639" ht="13.5" customHeight="1">
      <c r="B2639" s="63" t="n"/>
      <c r="F2639" s="63" t="n"/>
      <c r="G2639" s="63" t="n"/>
      <c r="H2639" s="63" t="n"/>
      <c r="I2639" s="63" t="n"/>
    </row>
    <row r="2640" ht="13.5" customHeight="1">
      <c r="B2640" s="63" t="n"/>
      <c r="F2640" s="63" t="n"/>
      <c r="G2640" s="63" t="n"/>
      <c r="H2640" s="63" t="n"/>
      <c r="I2640" s="63" t="n"/>
    </row>
    <row r="2641" ht="13.5" customHeight="1">
      <c r="B2641" s="63" t="n"/>
      <c r="F2641" s="63" t="n"/>
      <c r="G2641" s="63" t="n"/>
      <c r="H2641" s="63" t="n"/>
      <c r="I2641" s="63" t="n"/>
    </row>
    <row r="2642" ht="13.5" customHeight="1">
      <c r="B2642" s="63" t="n"/>
      <c r="F2642" s="63" t="n"/>
      <c r="G2642" s="63" t="n"/>
      <c r="H2642" s="63" t="n"/>
      <c r="I2642" s="63" t="n"/>
    </row>
    <row r="2643" ht="13.5" customHeight="1">
      <c r="B2643" s="63" t="n"/>
      <c r="F2643" s="63" t="n"/>
      <c r="G2643" s="63" t="n"/>
      <c r="H2643" s="63" t="n"/>
      <c r="I2643" s="63" t="n"/>
    </row>
    <row r="2644" ht="13.5" customHeight="1">
      <c r="B2644" s="63" t="n"/>
      <c r="F2644" s="63" t="n"/>
      <c r="G2644" s="63" t="n"/>
      <c r="H2644" s="63" t="n"/>
      <c r="I2644" s="63" t="n"/>
    </row>
    <row r="2645" ht="13.5" customHeight="1">
      <c r="B2645" s="63" t="n"/>
      <c r="F2645" s="63" t="n"/>
      <c r="G2645" s="63" t="n"/>
      <c r="H2645" s="63" t="n"/>
      <c r="I2645" s="63" t="n"/>
    </row>
    <row r="2646" ht="13.5" customHeight="1">
      <c r="B2646" s="63" t="n"/>
      <c r="F2646" s="63" t="n"/>
      <c r="G2646" s="63" t="n"/>
      <c r="H2646" s="63" t="n"/>
      <c r="I2646" s="63" t="n"/>
    </row>
    <row r="2647" ht="13.5" customHeight="1">
      <c r="B2647" s="63" t="n"/>
      <c r="F2647" s="63" t="n"/>
      <c r="G2647" s="63" t="n"/>
      <c r="H2647" s="63" t="n"/>
      <c r="I2647" s="63" t="n"/>
    </row>
    <row r="2648" ht="13.5" customHeight="1">
      <c r="B2648" s="63" t="n"/>
      <c r="F2648" s="63" t="n"/>
      <c r="G2648" s="63" t="n"/>
      <c r="H2648" s="63" t="n"/>
      <c r="I2648" s="63" t="n"/>
    </row>
    <row r="2649" ht="13.5" customHeight="1">
      <c r="B2649" s="63" t="n"/>
      <c r="F2649" s="63" t="n"/>
      <c r="G2649" s="63" t="n"/>
      <c r="H2649" s="63" t="n"/>
      <c r="I2649" s="63" t="n"/>
    </row>
    <row r="2650" ht="13.5" customHeight="1">
      <c r="B2650" s="63" t="n"/>
      <c r="F2650" s="63" t="n"/>
      <c r="G2650" s="63" t="n"/>
      <c r="H2650" s="63" t="n"/>
      <c r="I2650" s="63" t="n"/>
    </row>
    <row r="2651" ht="13.5" customHeight="1">
      <c r="B2651" s="63" t="n"/>
      <c r="F2651" s="63" t="n"/>
      <c r="G2651" s="63" t="n"/>
      <c r="H2651" s="63" t="n"/>
      <c r="I2651" s="63" t="n"/>
    </row>
    <row r="2652" ht="13.5" customHeight="1">
      <c r="B2652" s="63" t="n"/>
      <c r="F2652" s="63" t="n"/>
      <c r="G2652" s="63" t="n"/>
      <c r="H2652" s="63" t="n"/>
      <c r="I2652" s="63" t="n"/>
    </row>
    <row r="2653" ht="13.5" customHeight="1">
      <c r="B2653" s="63" t="n"/>
      <c r="F2653" s="63" t="n"/>
      <c r="G2653" s="63" t="n"/>
      <c r="H2653" s="63" t="n"/>
      <c r="I2653" s="63" t="n"/>
    </row>
    <row r="2654" ht="13.5" customHeight="1">
      <c r="B2654" s="63" t="n"/>
      <c r="F2654" s="63" t="n"/>
      <c r="G2654" s="63" t="n"/>
      <c r="H2654" s="63" t="n"/>
      <c r="I2654" s="63" t="n"/>
    </row>
    <row r="2655" ht="13.5" customHeight="1">
      <c r="B2655" s="63" t="n"/>
      <c r="F2655" s="63" t="n"/>
      <c r="G2655" s="63" t="n"/>
      <c r="H2655" s="63" t="n"/>
      <c r="I2655" s="63" t="n"/>
    </row>
    <row r="2656" ht="13.5" customHeight="1">
      <c r="B2656" s="63" t="n"/>
      <c r="F2656" s="63" t="n"/>
      <c r="G2656" s="63" t="n"/>
      <c r="H2656" s="63" t="n"/>
      <c r="I2656" s="63" t="n"/>
    </row>
    <row r="2657" ht="13.5" customHeight="1">
      <c r="B2657" s="63" t="n"/>
      <c r="F2657" s="63" t="n"/>
      <c r="G2657" s="63" t="n"/>
      <c r="H2657" s="63" t="n"/>
      <c r="I2657" s="63" t="n"/>
    </row>
    <row r="2658" ht="13.5" customHeight="1">
      <c r="B2658" s="63" t="n"/>
      <c r="F2658" s="63" t="n"/>
      <c r="G2658" s="63" t="n"/>
      <c r="H2658" s="63" t="n"/>
      <c r="I2658" s="63" t="n"/>
    </row>
    <row r="2659" ht="13.5" customHeight="1">
      <c r="B2659" s="63" t="n"/>
      <c r="F2659" s="63" t="n"/>
      <c r="G2659" s="63" t="n"/>
      <c r="H2659" s="63" t="n"/>
      <c r="I2659" s="63" t="n"/>
    </row>
    <row r="2660" ht="13.5" customHeight="1">
      <c r="B2660" s="63" t="n"/>
      <c r="F2660" s="63" t="n"/>
      <c r="G2660" s="63" t="n"/>
      <c r="H2660" s="63" t="n"/>
      <c r="I2660" s="63" t="n"/>
    </row>
    <row r="2661" ht="13.5" customHeight="1">
      <c r="B2661" s="63" t="n"/>
      <c r="F2661" s="63" t="n"/>
      <c r="G2661" s="63" t="n"/>
      <c r="H2661" s="63" t="n"/>
      <c r="I2661" s="63" t="n"/>
    </row>
    <row r="2662" ht="13.5" customHeight="1">
      <c r="B2662" s="63" t="n"/>
      <c r="F2662" s="63" t="n"/>
      <c r="G2662" s="63" t="n"/>
      <c r="H2662" s="63" t="n"/>
      <c r="I2662" s="63" t="n"/>
    </row>
    <row r="2663" ht="13.5" customHeight="1">
      <c r="B2663" s="63" t="n"/>
      <c r="F2663" s="63" t="n"/>
      <c r="G2663" s="63" t="n"/>
      <c r="H2663" s="63" t="n"/>
      <c r="I2663" s="63" t="n"/>
    </row>
    <row r="2664" ht="13.5" customHeight="1">
      <c r="B2664" s="63" t="n"/>
      <c r="F2664" s="63" t="n"/>
      <c r="G2664" s="63" t="n"/>
      <c r="H2664" s="63" t="n"/>
      <c r="I2664" s="63" t="n"/>
    </row>
    <row r="2665" ht="13.5" customHeight="1">
      <c r="B2665" s="63" t="n"/>
      <c r="F2665" s="63" t="n"/>
      <c r="G2665" s="63" t="n"/>
      <c r="H2665" s="63" t="n"/>
      <c r="I2665" s="63" t="n"/>
    </row>
    <row r="2666" ht="13.5" customHeight="1">
      <c r="B2666" s="63" t="n"/>
      <c r="F2666" s="63" t="n"/>
      <c r="G2666" s="63" t="n"/>
      <c r="H2666" s="63" t="n"/>
      <c r="I2666" s="63" t="n"/>
    </row>
    <row r="2667" ht="13.5" customHeight="1">
      <c r="B2667" s="63" t="n"/>
      <c r="F2667" s="63" t="n"/>
      <c r="G2667" s="63" t="n"/>
      <c r="H2667" s="63" t="n"/>
      <c r="I2667" s="63" t="n"/>
    </row>
    <row r="2668" ht="13.5" customHeight="1">
      <c r="B2668" s="63" t="n"/>
      <c r="F2668" s="63" t="n"/>
      <c r="G2668" s="63" t="n"/>
      <c r="H2668" s="63" t="n"/>
      <c r="I2668" s="63" t="n"/>
    </row>
    <row r="2669" ht="13.5" customHeight="1">
      <c r="B2669" s="63" t="n"/>
      <c r="F2669" s="63" t="n"/>
      <c r="G2669" s="63" t="n"/>
      <c r="H2669" s="63" t="n"/>
      <c r="I2669" s="63" t="n"/>
    </row>
    <row r="2670" ht="13.5" customHeight="1">
      <c r="B2670" s="63" t="n"/>
      <c r="F2670" s="63" t="n"/>
      <c r="G2670" s="63" t="n"/>
      <c r="H2670" s="63" t="n"/>
      <c r="I2670" s="63" t="n"/>
    </row>
    <row r="2671" ht="13.5" customHeight="1">
      <c r="B2671" s="63" t="n"/>
      <c r="F2671" s="63" t="n"/>
      <c r="G2671" s="63" t="n"/>
      <c r="H2671" s="63" t="n"/>
      <c r="I2671" s="63" t="n"/>
    </row>
    <row r="2672" ht="13.5" customHeight="1">
      <c r="B2672" s="63" t="n"/>
      <c r="F2672" s="63" t="n"/>
      <c r="G2672" s="63" t="n"/>
      <c r="H2672" s="63" t="n"/>
      <c r="I2672" s="63" t="n"/>
    </row>
    <row r="2673" ht="13.5" customHeight="1">
      <c r="B2673" s="63" t="n"/>
      <c r="F2673" s="63" t="n"/>
      <c r="G2673" s="63" t="n"/>
      <c r="H2673" s="63" t="n"/>
      <c r="I2673" s="63" t="n"/>
    </row>
    <row r="2674" ht="13.5" customHeight="1">
      <c r="B2674" s="63" t="n"/>
      <c r="F2674" s="63" t="n"/>
      <c r="G2674" s="63" t="n"/>
      <c r="H2674" s="63" t="n"/>
      <c r="I2674" s="63" t="n"/>
    </row>
    <row r="2675" ht="13.5" customHeight="1">
      <c r="B2675" s="63" t="n"/>
      <c r="F2675" s="63" t="n"/>
      <c r="G2675" s="63" t="n"/>
      <c r="H2675" s="63" t="n"/>
      <c r="I2675" s="63" t="n"/>
    </row>
    <row r="2676" ht="13.5" customHeight="1">
      <c r="B2676" s="63" t="n"/>
      <c r="F2676" s="63" t="n"/>
      <c r="G2676" s="63" t="n"/>
      <c r="H2676" s="63" t="n"/>
      <c r="I2676" s="63" t="n"/>
    </row>
    <row r="2677" ht="13.5" customHeight="1">
      <c r="B2677" s="63" t="n"/>
      <c r="F2677" s="63" t="n"/>
      <c r="G2677" s="63" t="n"/>
      <c r="H2677" s="63" t="n"/>
      <c r="I2677" s="63" t="n"/>
    </row>
    <row r="2678" ht="13.5" customHeight="1">
      <c r="B2678" s="63" t="n"/>
      <c r="F2678" s="63" t="n"/>
      <c r="G2678" s="63" t="n"/>
      <c r="H2678" s="63" t="n"/>
      <c r="I2678" s="63" t="n"/>
    </row>
    <row r="2679" ht="13.5" customHeight="1">
      <c r="B2679" s="63" t="n"/>
      <c r="F2679" s="63" t="n"/>
      <c r="G2679" s="63" t="n"/>
      <c r="H2679" s="63" t="n"/>
      <c r="I2679" s="63" t="n"/>
    </row>
    <row r="2680" ht="13.5" customHeight="1">
      <c r="B2680" s="63" t="n"/>
      <c r="F2680" s="63" t="n"/>
      <c r="G2680" s="63" t="n"/>
      <c r="H2680" s="63" t="n"/>
      <c r="I2680" s="63" t="n"/>
    </row>
    <row r="2681" ht="13.5" customHeight="1">
      <c r="B2681" s="63" t="n"/>
      <c r="F2681" s="63" t="n"/>
      <c r="G2681" s="63" t="n"/>
      <c r="H2681" s="63" t="n"/>
      <c r="I2681" s="63" t="n"/>
    </row>
    <row r="2682" ht="13.5" customHeight="1">
      <c r="B2682" s="63" t="n"/>
      <c r="F2682" s="63" t="n"/>
      <c r="G2682" s="63" t="n"/>
      <c r="H2682" s="63" t="n"/>
      <c r="I2682" s="63" t="n"/>
    </row>
    <row r="2683" ht="13.5" customHeight="1">
      <c r="B2683" s="63" t="n"/>
      <c r="F2683" s="63" t="n"/>
      <c r="G2683" s="63" t="n"/>
      <c r="H2683" s="63" t="n"/>
      <c r="I2683" s="63" t="n"/>
    </row>
    <row r="2684" ht="13.5" customHeight="1">
      <c r="B2684" s="63" t="n"/>
      <c r="F2684" s="63" t="n"/>
      <c r="G2684" s="63" t="n"/>
      <c r="H2684" s="63" t="n"/>
      <c r="I2684" s="63" t="n"/>
    </row>
    <row r="2685" ht="13.5" customHeight="1">
      <c r="B2685" s="63" t="n"/>
      <c r="F2685" s="63" t="n"/>
      <c r="G2685" s="63" t="n"/>
      <c r="H2685" s="63" t="n"/>
      <c r="I2685" s="63" t="n"/>
    </row>
    <row r="2686" ht="13.5" customHeight="1">
      <c r="B2686" s="63" t="n"/>
      <c r="F2686" s="63" t="n"/>
      <c r="G2686" s="63" t="n"/>
      <c r="H2686" s="63" t="n"/>
      <c r="I2686" s="63" t="n"/>
    </row>
    <row r="2687" ht="13.5" customHeight="1">
      <c r="B2687" s="63" t="n"/>
      <c r="F2687" s="63" t="n"/>
      <c r="G2687" s="63" t="n"/>
      <c r="H2687" s="63" t="n"/>
      <c r="I2687" s="63" t="n"/>
    </row>
    <row r="2688" ht="13.5" customHeight="1">
      <c r="B2688" s="63" t="n"/>
      <c r="F2688" s="63" t="n"/>
      <c r="G2688" s="63" t="n"/>
      <c r="H2688" s="63" t="n"/>
      <c r="I2688" s="63" t="n"/>
    </row>
    <row r="2689" ht="13.5" customHeight="1">
      <c r="B2689" s="63" t="n"/>
      <c r="F2689" s="63" t="n"/>
      <c r="G2689" s="63" t="n"/>
      <c r="H2689" s="63" t="n"/>
      <c r="I2689" s="63" t="n"/>
    </row>
    <row r="2690" ht="13.5" customHeight="1">
      <c r="B2690" s="63" t="n"/>
      <c r="F2690" s="63" t="n"/>
      <c r="G2690" s="63" t="n"/>
      <c r="H2690" s="63" t="n"/>
      <c r="I2690" s="63" t="n"/>
    </row>
    <row r="2691" ht="13.5" customHeight="1">
      <c r="B2691" s="63" t="n"/>
      <c r="F2691" s="63" t="n"/>
      <c r="G2691" s="63" t="n"/>
      <c r="H2691" s="63" t="n"/>
      <c r="I2691" s="63" t="n"/>
    </row>
    <row r="2692" ht="13.5" customHeight="1">
      <c r="B2692" s="63" t="n"/>
      <c r="F2692" s="63" t="n"/>
      <c r="G2692" s="63" t="n"/>
      <c r="H2692" s="63" t="n"/>
      <c r="I2692" s="63" t="n"/>
    </row>
    <row r="2693" ht="13.5" customHeight="1">
      <c r="B2693" s="63" t="n"/>
      <c r="F2693" s="63" t="n"/>
      <c r="G2693" s="63" t="n"/>
      <c r="H2693" s="63" t="n"/>
      <c r="I2693" s="63" t="n"/>
    </row>
    <row r="2694" ht="13.5" customHeight="1">
      <c r="B2694" s="63" t="n"/>
      <c r="F2694" s="63" t="n"/>
      <c r="G2694" s="63" t="n"/>
      <c r="H2694" s="63" t="n"/>
      <c r="I2694" s="63" t="n"/>
    </row>
    <row r="2695" ht="13.5" customHeight="1">
      <c r="B2695" s="63" t="n"/>
      <c r="F2695" s="63" t="n"/>
      <c r="G2695" s="63" t="n"/>
      <c r="H2695" s="63" t="n"/>
      <c r="I2695" s="63" t="n"/>
    </row>
    <row r="2696" ht="13.5" customHeight="1">
      <c r="B2696" s="63" t="n"/>
      <c r="F2696" s="63" t="n"/>
      <c r="G2696" s="63" t="n"/>
      <c r="H2696" s="63" t="n"/>
      <c r="I2696" s="63" t="n"/>
    </row>
    <row r="2697" ht="13.5" customHeight="1">
      <c r="B2697" s="63" t="n"/>
      <c r="F2697" s="63" t="n"/>
      <c r="G2697" s="63" t="n"/>
      <c r="H2697" s="63" t="n"/>
      <c r="I2697" s="63" t="n"/>
    </row>
    <row r="2698" ht="13.5" customHeight="1">
      <c r="B2698" s="63" t="n"/>
      <c r="F2698" s="63" t="n"/>
      <c r="G2698" s="63" t="n"/>
      <c r="H2698" s="63" t="n"/>
      <c r="I2698" s="63" t="n"/>
    </row>
    <row r="2699" ht="13.5" customHeight="1">
      <c r="B2699" s="63" t="n"/>
      <c r="F2699" s="63" t="n"/>
      <c r="G2699" s="63" t="n"/>
      <c r="H2699" s="63" t="n"/>
      <c r="I2699" s="63" t="n"/>
    </row>
    <row r="2700" ht="13.5" customHeight="1">
      <c r="B2700" s="63" t="n"/>
      <c r="F2700" s="63" t="n"/>
      <c r="G2700" s="63" t="n"/>
      <c r="H2700" s="63" t="n"/>
      <c r="I2700" s="63" t="n"/>
    </row>
    <row r="2701" ht="13.5" customHeight="1">
      <c r="B2701" s="63" t="n"/>
      <c r="F2701" s="63" t="n"/>
      <c r="G2701" s="63" t="n"/>
      <c r="H2701" s="63" t="n"/>
      <c r="I2701" s="63" t="n"/>
    </row>
    <row r="2702" ht="13.5" customHeight="1">
      <c r="B2702" s="63" t="n"/>
      <c r="F2702" s="63" t="n"/>
      <c r="G2702" s="63" t="n"/>
      <c r="H2702" s="63" t="n"/>
      <c r="I2702" s="63" t="n"/>
    </row>
    <row r="2703" ht="13.5" customHeight="1">
      <c r="B2703" s="63" t="n"/>
      <c r="F2703" s="63" t="n"/>
      <c r="G2703" s="63" t="n"/>
      <c r="H2703" s="63" t="n"/>
      <c r="I2703" s="63" t="n"/>
    </row>
    <row r="2704" ht="13.5" customHeight="1">
      <c r="B2704" s="63" t="n"/>
      <c r="F2704" s="63" t="n"/>
      <c r="G2704" s="63" t="n"/>
      <c r="H2704" s="63" t="n"/>
      <c r="I2704" s="63" t="n"/>
    </row>
    <row r="2705" ht="13.5" customHeight="1">
      <c r="B2705" s="63" t="n"/>
      <c r="F2705" s="63" t="n"/>
      <c r="G2705" s="63" t="n"/>
      <c r="H2705" s="63" t="n"/>
      <c r="I2705" s="63" t="n"/>
    </row>
    <row r="2706" ht="13.5" customHeight="1">
      <c r="B2706" s="63" t="n"/>
      <c r="F2706" s="63" t="n"/>
      <c r="G2706" s="63" t="n"/>
      <c r="H2706" s="63" t="n"/>
      <c r="I2706" s="63" t="n"/>
    </row>
    <row r="2707" ht="13.5" customHeight="1">
      <c r="B2707" s="63" t="n"/>
      <c r="F2707" s="63" t="n"/>
      <c r="G2707" s="63" t="n"/>
      <c r="H2707" s="63" t="n"/>
      <c r="I2707" s="63" t="n"/>
    </row>
    <row r="2708" ht="13.5" customHeight="1">
      <c r="B2708" s="63" t="n"/>
      <c r="F2708" s="63" t="n"/>
      <c r="G2708" s="63" t="n"/>
      <c r="H2708" s="63" t="n"/>
      <c r="I2708" s="63" t="n"/>
    </row>
    <row r="2709" ht="13.5" customHeight="1">
      <c r="B2709" s="63" t="n"/>
      <c r="F2709" s="63" t="n"/>
      <c r="G2709" s="63" t="n"/>
      <c r="H2709" s="63" t="n"/>
      <c r="I2709" s="63" t="n"/>
    </row>
    <row r="2710" ht="13.5" customHeight="1">
      <c r="B2710" s="63" t="n"/>
      <c r="F2710" s="63" t="n"/>
      <c r="G2710" s="63" t="n"/>
      <c r="H2710" s="63" t="n"/>
      <c r="I2710" s="63" t="n"/>
    </row>
    <row r="2711" ht="13.5" customHeight="1">
      <c r="B2711" s="63" t="n"/>
      <c r="F2711" s="63" t="n"/>
      <c r="G2711" s="63" t="n"/>
      <c r="H2711" s="63" t="n"/>
      <c r="I2711" s="63" t="n"/>
    </row>
    <row r="2712" ht="13.5" customHeight="1">
      <c r="B2712" s="63" t="n"/>
      <c r="F2712" s="63" t="n"/>
      <c r="G2712" s="63" t="n"/>
      <c r="H2712" s="63" t="n"/>
      <c r="I2712" s="63" t="n"/>
    </row>
    <row r="2713" ht="13.5" customHeight="1">
      <c r="B2713" s="63" t="n"/>
      <c r="F2713" s="63" t="n"/>
      <c r="G2713" s="63" t="n"/>
      <c r="H2713" s="63" t="n"/>
      <c r="I2713" s="63" t="n"/>
    </row>
    <row r="2714" ht="13.5" customHeight="1">
      <c r="B2714" s="63" t="n"/>
      <c r="F2714" s="63" t="n"/>
      <c r="G2714" s="63" t="n"/>
      <c r="H2714" s="63" t="n"/>
      <c r="I2714" s="63" t="n"/>
    </row>
    <row r="2715" ht="13.5" customHeight="1">
      <c r="B2715" s="63" t="n"/>
      <c r="F2715" s="63" t="n"/>
      <c r="G2715" s="63" t="n"/>
      <c r="H2715" s="63" t="n"/>
      <c r="I2715" s="63" t="n"/>
    </row>
    <row r="2716" ht="13.5" customHeight="1">
      <c r="B2716" s="63" t="n"/>
      <c r="F2716" s="63" t="n"/>
      <c r="G2716" s="63" t="n"/>
      <c r="H2716" s="63" t="n"/>
      <c r="I2716" s="63" t="n"/>
    </row>
    <row r="2717" ht="13.5" customHeight="1">
      <c r="B2717" s="63" t="n"/>
      <c r="F2717" s="63" t="n"/>
      <c r="G2717" s="63" t="n"/>
      <c r="H2717" s="63" t="n"/>
      <c r="I2717" s="63" t="n"/>
    </row>
    <row r="2718" ht="13.5" customHeight="1">
      <c r="B2718" s="63" t="n"/>
      <c r="F2718" s="63" t="n"/>
      <c r="G2718" s="63" t="n"/>
      <c r="H2718" s="63" t="n"/>
      <c r="I2718" s="63" t="n"/>
    </row>
    <row r="2719" ht="13.5" customHeight="1">
      <c r="B2719" s="63" t="n"/>
      <c r="F2719" s="63" t="n"/>
      <c r="G2719" s="63" t="n"/>
      <c r="H2719" s="63" t="n"/>
      <c r="I2719" s="63" t="n"/>
    </row>
    <row r="2720" ht="13.5" customHeight="1">
      <c r="B2720" s="63" t="n"/>
      <c r="F2720" s="63" t="n"/>
      <c r="G2720" s="63" t="n"/>
      <c r="H2720" s="63" t="n"/>
      <c r="I2720" s="63" t="n"/>
    </row>
    <row r="2721" ht="13.5" customHeight="1">
      <c r="B2721" s="63" t="n"/>
      <c r="F2721" s="63" t="n"/>
      <c r="G2721" s="63" t="n"/>
      <c r="H2721" s="63" t="n"/>
      <c r="I2721" s="63" t="n"/>
    </row>
    <row r="2722" ht="13.5" customHeight="1">
      <c r="B2722" s="63" t="n"/>
      <c r="F2722" s="63" t="n"/>
      <c r="G2722" s="63" t="n"/>
      <c r="H2722" s="63" t="n"/>
      <c r="I2722" s="63" t="n"/>
    </row>
    <row r="2723" ht="13.5" customHeight="1">
      <c r="B2723" s="63" t="n"/>
      <c r="F2723" s="63" t="n"/>
      <c r="G2723" s="63" t="n"/>
      <c r="H2723" s="63" t="n"/>
      <c r="I2723" s="63" t="n"/>
    </row>
    <row r="2724" ht="13.5" customHeight="1">
      <c r="B2724" s="63" t="n"/>
      <c r="F2724" s="63" t="n"/>
      <c r="G2724" s="63" t="n"/>
      <c r="H2724" s="63" t="n"/>
      <c r="I2724" s="63" t="n"/>
    </row>
    <row r="2725" ht="13.5" customHeight="1">
      <c r="B2725" s="63" t="n"/>
      <c r="F2725" s="63" t="n"/>
      <c r="G2725" s="63" t="n"/>
      <c r="H2725" s="63" t="n"/>
      <c r="I2725" s="63" t="n"/>
    </row>
    <row r="2726" ht="13.5" customHeight="1">
      <c r="B2726" s="63" t="n"/>
      <c r="F2726" s="63" t="n"/>
      <c r="G2726" s="63" t="n"/>
      <c r="H2726" s="63" t="n"/>
      <c r="I2726" s="63" t="n"/>
    </row>
    <row r="2727" ht="13.5" customHeight="1">
      <c r="B2727" s="63" t="n"/>
      <c r="F2727" s="63" t="n"/>
      <c r="G2727" s="63" t="n"/>
      <c r="H2727" s="63" t="n"/>
      <c r="I2727" s="63" t="n"/>
    </row>
    <row r="2728" ht="13.5" customHeight="1">
      <c r="B2728" s="63" t="n"/>
      <c r="F2728" s="63" t="n"/>
      <c r="G2728" s="63" t="n"/>
      <c r="H2728" s="63" t="n"/>
      <c r="I2728" s="63" t="n"/>
    </row>
    <row r="2729" ht="13.5" customHeight="1">
      <c r="B2729" s="63" t="n"/>
      <c r="F2729" s="63" t="n"/>
      <c r="G2729" s="63" t="n"/>
      <c r="H2729" s="63" t="n"/>
      <c r="I2729" s="63" t="n"/>
    </row>
    <row r="2730" ht="13.5" customHeight="1">
      <c r="B2730" s="63" t="n"/>
      <c r="F2730" s="63" t="n"/>
      <c r="G2730" s="63" t="n"/>
      <c r="H2730" s="63" t="n"/>
      <c r="I2730" s="63" t="n"/>
    </row>
    <row r="2731" ht="13.5" customHeight="1">
      <c r="B2731" s="63" t="n"/>
      <c r="F2731" s="63" t="n"/>
      <c r="G2731" s="63" t="n"/>
      <c r="H2731" s="63" t="n"/>
      <c r="I2731" s="63" t="n"/>
    </row>
    <row r="2732" ht="13.5" customHeight="1">
      <c r="B2732" s="63" t="n"/>
      <c r="F2732" s="63" t="n"/>
      <c r="G2732" s="63" t="n"/>
      <c r="H2732" s="63" t="n"/>
      <c r="I2732" s="63" t="n"/>
    </row>
    <row r="2733" ht="13.5" customHeight="1">
      <c r="B2733" s="63" t="n"/>
      <c r="F2733" s="63" t="n"/>
      <c r="G2733" s="63" t="n"/>
      <c r="H2733" s="63" t="n"/>
      <c r="I2733" s="63" t="n"/>
    </row>
    <row r="2734" ht="13.5" customHeight="1">
      <c r="B2734" s="63" t="n"/>
      <c r="F2734" s="63" t="n"/>
      <c r="G2734" s="63" t="n"/>
      <c r="H2734" s="63" t="n"/>
      <c r="I2734" s="63" t="n"/>
    </row>
    <row r="2735" ht="13.5" customHeight="1">
      <c r="B2735" s="63" t="n"/>
      <c r="F2735" s="63" t="n"/>
      <c r="G2735" s="63" t="n"/>
      <c r="H2735" s="63" t="n"/>
      <c r="I2735" s="63" t="n"/>
    </row>
    <row r="2736" ht="13.5" customHeight="1">
      <c r="B2736" s="63" t="n"/>
      <c r="F2736" s="63" t="n"/>
      <c r="G2736" s="63" t="n"/>
      <c r="H2736" s="63" t="n"/>
      <c r="I2736" s="63" t="n"/>
    </row>
    <row r="2737" ht="13.5" customHeight="1">
      <c r="B2737" s="63" t="n"/>
      <c r="F2737" s="63" t="n"/>
      <c r="G2737" s="63" t="n"/>
      <c r="H2737" s="63" t="n"/>
      <c r="I2737" s="63" t="n"/>
    </row>
    <row r="2738" ht="13.5" customHeight="1">
      <c r="B2738" s="63" t="n"/>
      <c r="F2738" s="63" t="n"/>
      <c r="G2738" s="63" t="n"/>
      <c r="H2738" s="63" t="n"/>
      <c r="I2738" s="63" t="n"/>
    </row>
    <row r="2739" ht="13.5" customHeight="1">
      <c r="B2739" s="63" t="n"/>
      <c r="F2739" s="63" t="n"/>
      <c r="G2739" s="63" t="n"/>
      <c r="H2739" s="63" t="n"/>
      <c r="I2739" s="63" t="n"/>
    </row>
    <row r="2740" ht="13.5" customHeight="1">
      <c r="B2740" s="63" t="n"/>
      <c r="F2740" s="63" t="n"/>
      <c r="G2740" s="63" t="n"/>
      <c r="H2740" s="63" t="n"/>
      <c r="I2740" s="63" t="n"/>
    </row>
    <row r="2741" ht="13.5" customHeight="1">
      <c r="B2741" s="63" t="n"/>
      <c r="F2741" s="63" t="n"/>
      <c r="G2741" s="63" t="n"/>
      <c r="H2741" s="63" t="n"/>
      <c r="I2741" s="63" t="n"/>
    </row>
    <row r="2742" ht="13.5" customHeight="1">
      <c r="B2742" s="63" t="n"/>
      <c r="F2742" s="63" t="n"/>
      <c r="G2742" s="63" t="n"/>
      <c r="H2742" s="63" t="n"/>
      <c r="I2742" s="63" t="n"/>
    </row>
    <row r="2743" ht="13.5" customHeight="1">
      <c r="B2743" s="63" t="n"/>
      <c r="F2743" s="63" t="n"/>
      <c r="G2743" s="63" t="n"/>
      <c r="H2743" s="63" t="n"/>
      <c r="I2743" s="63" t="n"/>
    </row>
    <row r="2744" ht="13.5" customHeight="1">
      <c r="B2744" s="63" t="n"/>
      <c r="F2744" s="63" t="n"/>
      <c r="G2744" s="63" t="n"/>
      <c r="H2744" s="63" t="n"/>
      <c r="I2744" s="63" t="n"/>
    </row>
    <row r="2745" ht="13.5" customHeight="1">
      <c r="B2745" s="63" t="n"/>
      <c r="F2745" s="63" t="n"/>
      <c r="G2745" s="63" t="n"/>
      <c r="H2745" s="63" t="n"/>
      <c r="I2745" s="63" t="n"/>
    </row>
    <row r="2746" ht="13.5" customHeight="1">
      <c r="B2746" s="63" t="n"/>
      <c r="F2746" s="63" t="n"/>
      <c r="G2746" s="63" t="n"/>
      <c r="H2746" s="63" t="n"/>
      <c r="I2746" s="63" t="n"/>
    </row>
    <row r="2747" ht="13.5" customHeight="1">
      <c r="B2747" s="63" t="n"/>
      <c r="F2747" s="63" t="n"/>
      <c r="G2747" s="63" t="n"/>
      <c r="H2747" s="63" t="n"/>
      <c r="I2747" s="63" t="n"/>
    </row>
    <row r="2748" ht="13.5" customHeight="1">
      <c r="B2748" s="63" t="n"/>
      <c r="F2748" s="63" t="n"/>
      <c r="G2748" s="63" t="n"/>
      <c r="H2748" s="63" t="n"/>
      <c r="I2748" s="63" t="n"/>
    </row>
    <row r="2749" ht="13.5" customHeight="1">
      <c r="B2749" s="63" t="n"/>
      <c r="F2749" s="63" t="n"/>
      <c r="G2749" s="63" t="n"/>
      <c r="H2749" s="63" t="n"/>
      <c r="I2749" s="63" t="n"/>
    </row>
    <row r="2750" ht="13.5" customHeight="1">
      <c r="B2750" s="63" t="n"/>
      <c r="F2750" s="63" t="n"/>
      <c r="G2750" s="63" t="n"/>
      <c r="H2750" s="63" t="n"/>
      <c r="I2750" s="63" t="n"/>
    </row>
    <row r="2751" ht="13.5" customHeight="1">
      <c r="B2751" s="63" t="n"/>
      <c r="F2751" s="63" t="n"/>
      <c r="G2751" s="63" t="n"/>
      <c r="H2751" s="63" t="n"/>
      <c r="I2751" s="63" t="n"/>
    </row>
    <row r="2752" ht="13.5" customHeight="1">
      <c r="B2752" s="63" t="n"/>
      <c r="F2752" s="63" t="n"/>
      <c r="G2752" s="63" t="n"/>
      <c r="H2752" s="63" t="n"/>
      <c r="I2752" s="63" t="n"/>
    </row>
    <row r="2753" ht="13.5" customHeight="1">
      <c r="B2753" s="63" t="n"/>
      <c r="F2753" s="63" t="n"/>
      <c r="G2753" s="63" t="n"/>
      <c r="H2753" s="63" t="n"/>
      <c r="I2753" s="63" t="n"/>
    </row>
    <row r="2754" ht="13.5" customHeight="1">
      <c r="B2754" s="63" t="n"/>
      <c r="F2754" s="63" t="n"/>
      <c r="G2754" s="63" t="n"/>
      <c r="H2754" s="63" t="n"/>
      <c r="I2754" s="63" t="n"/>
    </row>
    <row r="2755" ht="13.5" customHeight="1">
      <c r="B2755" s="63" t="n"/>
      <c r="F2755" s="63" t="n"/>
      <c r="G2755" s="63" t="n"/>
      <c r="H2755" s="63" t="n"/>
      <c r="I2755" s="63" t="n"/>
    </row>
    <row r="2756" ht="13.5" customHeight="1">
      <c r="B2756" s="63" t="n"/>
      <c r="F2756" s="63" t="n"/>
      <c r="G2756" s="63" t="n"/>
      <c r="H2756" s="63" t="n"/>
      <c r="I2756" s="63" t="n"/>
    </row>
    <row r="2757" ht="13.5" customHeight="1">
      <c r="B2757" s="63" t="n"/>
      <c r="F2757" s="63" t="n"/>
      <c r="G2757" s="63" t="n"/>
      <c r="H2757" s="63" t="n"/>
      <c r="I2757" s="63" t="n"/>
    </row>
    <row r="2758" ht="13.5" customHeight="1">
      <c r="B2758" s="63" t="n"/>
      <c r="F2758" s="63" t="n"/>
      <c r="G2758" s="63" t="n"/>
      <c r="H2758" s="63" t="n"/>
      <c r="I2758" s="63" t="n"/>
    </row>
    <row r="2759" ht="13.5" customHeight="1">
      <c r="B2759" s="63" t="n"/>
      <c r="F2759" s="63" t="n"/>
      <c r="G2759" s="63" t="n"/>
      <c r="H2759" s="63" t="n"/>
      <c r="I2759" s="63" t="n"/>
    </row>
    <row r="2760" ht="13.5" customHeight="1">
      <c r="B2760" s="63" t="n"/>
      <c r="F2760" s="63" t="n"/>
      <c r="G2760" s="63" t="n"/>
      <c r="H2760" s="63" t="n"/>
      <c r="I2760" s="63" t="n"/>
    </row>
    <row r="2761" ht="13.5" customHeight="1">
      <c r="B2761" s="63" t="n"/>
      <c r="F2761" s="63" t="n"/>
      <c r="G2761" s="63" t="n"/>
      <c r="H2761" s="63" t="n"/>
      <c r="I2761" s="63" t="n"/>
    </row>
    <row r="2762" ht="13.5" customHeight="1">
      <c r="B2762" s="63" t="n"/>
      <c r="F2762" s="63" t="n"/>
      <c r="G2762" s="63" t="n"/>
      <c r="H2762" s="63" t="n"/>
      <c r="I2762" s="63" t="n"/>
    </row>
    <row r="2763" ht="13.5" customHeight="1">
      <c r="B2763" s="63" t="n"/>
      <c r="F2763" s="63" t="n"/>
      <c r="G2763" s="63" t="n"/>
      <c r="H2763" s="63" t="n"/>
      <c r="I2763" s="63" t="n"/>
    </row>
    <row r="2764" ht="13.5" customHeight="1">
      <c r="B2764" s="63" t="n"/>
      <c r="F2764" s="63" t="n"/>
      <c r="G2764" s="63" t="n"/>
      <c r="H2764" s="63" t="n"/>
      <c r="I2764" s="63" t="n"/>
    </row>
    <row r="2765" ht="13.5" customHeight="1">
      <c r="B2765" s="63" t="n"/>
      <c r="F2765" s="63" t="n"/>
      <c r="G2765" s="63" t="n"/>
      <c r="H2765" s="63" t="n"/>
      <c r="I2765" s="63" t="n"/>
    </row>
    <row r="2766" ht="13.5" customHeight="1">
      <c r="B2766" s="63" t="n"/>
      <c r="F2766" s="63" t="n"/>
      <c r="G2766" s="63" t="n"/>
      <c r="H2766" s="63" t="n"/>
      <c r="I2766" s="63" t="n"/>
    </row>
    <row r="2767" ht="13.5" customHeight="1">
      <c r="B2767" s="63" t="n"/>
      <c r="F2767" s="63" t="n"/>
      <c r="G2767" s="63" t="n"/>
      <c r="H2767" s="63" t="n"/>
      <c r="I2767" s="63" t="n"/>
    </row>
    <row r="2768" ht="13.5" customHeight="1">
      <c r="B2768" s="63" t="n"/>
      <c r="F2768" s="63" t="n"/>
      <c r="G2768" s="63" t="n"/>
      <c r="H2768" s="63" t="n"/>
      <c r="I2768" s="63" t="n"/>
    </row>
    <row r="2769" ht="13.5" customHeight="1">
      <c r="B2769" s="63" t="n"/>
      <c r="F2769" s="63" t="n"/>
      <c r="G2769" s="63" t="n"/>
      <c r="H2769" s="63" t="n"/>
      <c r="I2769" s="63" t="n"/>
    </row>
    <row r="2770" ht="13.5" customHeight="1">
      <c r="B2770" s="63" t="n"/>
      <c r="F2770" s="63" t="n"/>
      <c r="G2770" s="63" t="n"/>
      <c r="H2770" s="63" t="n"/>
      <c r="I2770" s="63" t="n"/>
    </row>
    <row r="2771" ht="13.5" customHeight="1">
      <c r="B2771" s="63" t="n"/>
      <c r="F2771" s="63" t="n"/>
      <c r="G2771" s="63" t="n"/>
      <c r="H2771" s="63" t="n"/>
      <c r="I2771" s="63" t="n"/>
    </row>
    <row r="2772" ht="13.5" customHeight="1">
      <c r="B2772" s="63" t="n"/>
      <c r="F2772" s="63" t="n"/>
      <c r="G2772" s="63" t="n"/>
      <c r="H2772" s="63" t="n"/>
      <c r="I2772" s="63" t="n"/>
    </row>
    <row r="2773" ht="13.5" customHeight="1">
      <c r="B2773" s="63" t="n"/>
      <c r="F2773" s="63" t="n"/>
      <c r="G2773" s="63" t="n"/>
      <c r="H2773" s="63" t="n"/>
      <c r="I2773" s="63" t="n"/>
    </row>
    <row r="2774" ht="13.5" customHeight="1">
      <c r="B2774" s="63" t="n"/>
      <c r="F2774" s="63" t="n"/>
      <c r="G2774" s="63" t="n"/>
      <c r="H2774" s="63" t="n"/>
      <c r="I2774" s="63" t="n"/>
    </row>
    <row r="2775" ht="13.5" customHeight="1">
      <c r="B2775" s="63" t="n"/>
      <c r="F2775" s="63" t="n"/>
      <c r="G2775" s="63" t="n"/>
      <c r="H2775" s="63" t="n"/>
      <c r="I2775" s="63" t="n"/>
    </row>
    <row r="2776" ht="13.5" customHeight="1">
      <c r="B2776" s="63" t="n"/>
      <c r="F2776" s="63" t="n"/>
      <c r="G2776" s="63" t="n"/>
      <c r="H2776" s="63" t="n"/>
      <c r="I2776" s="63" t="n"/>
    </row>
    <row r="2777" ht="13.5" customHeight="1">
      <c r="B2777" s="63" t="n"/>
      <c r="F2777" s="63" t="n"/>
      <c r="G2777" s="63" t="n"/>
      <c r="H2777" s="63" t="n"/>
      <c r="I2777" s="63" t="n"/>
    </row>
    <row r="2778" ht="13.5" customHeight="1">
      <c r="B2778" s="63" t="n"/>
      <c r="F2778" s="63" t="n"/>
      <c r="G2778" s="63" t="n"/>
      <c r="H2778" s="63" t="n"/>
      <c r="I2778" s="63" t="n"/>
    </row>
    <row r="2779" ht="13.5" customHeight="1">
      <c r="B2779" s="63" t="n"/>
      <c r="F2779" s="63" t="n"/>
      <c r="G2779" s="63" t="n"/>
      <c r="H2779" s="63" t="n"/>
      <c r="I2779" s="63" t="n"/>
    </row>
    <row r="2780" ht="13.5" customHeight="1">
      <c r="B2780" s="63" t="n"/>
      <c r="F2780" s="63" t="n"/>
      <c r="G2780" s="63" t="n"/>
      <c r="H2780" s="63" t="n"/>
      <c r="I2780" s="63" t="n"/>
    </row>
    <row r="2781" ht="13.5" customHeight="1">
      <c r="B2781" s="63" t="n"/>
      <c r="F2781" s="63" t="n"/>
      <c r="G2781" s="63" t="n"/>
      <c r="H2781" s="63" t="n"/>
      <c r="I2781" s="63" t="n"/>
    </row>
    <row r="2782" ht="13.5" customHeight="1">
      <c r="B2782" s="63" t="n"/>
      <c r="F2782" s="63" t="n"/>
      <c r="G2782" s="63" t="n"/>
      <c r="H2782" s="63" t="n"/>
      <c r="I2782" s="63" t="n"/>
    </row>
    <row r="2783" ht="13.5" customHeight="1">
      <c r="B2783" s="63" t="n"/>
      <c r="F2783" s="63" t="n"/>
      <c r="G2783" s="63" t="n"/>
      <c r="H2783" s="63" t="n"/>
      <c r="I2783" s="63" t="n"/>
    </row>
    <row r="2784" ht="13.5" customHeight="1">
      <c r="B2784" s="63" t="n"/>
      <c r="F2784" s="63" t="n"/>
      <c r="G2784" s="63" t="n"/>
      <c r="H2784" s="63" t="n"/>
      <c r="I2784" s="63" t="n"/>
    </row>
    <row r="2785" ht="13.5" customHeight="1">
      <c r="B2785" s="63" t="n"/>
      <c r="F2785" s="63" t="n"/>
      <c r="G2785" s="63" t="n"/>
      <c r="H2785" s="63" t="n"/>
      <c r="I2785" s="63" t="n"/>
    </row>
    <row r="2786" ht="13.5" customHeight="1">
      <c r="B2786" s="63" t="n"/>
      <c r="F2786" s="63" t="n"/>
      <c r="G2786" s="63" t="n"/>
      <c r="H2786" s="63" t="n"/>
      <c r="I2786" s="63" t="n"/>
    </row>
    <row r="2787" ht="13.5" customHeight="1">
      <c r="B2787" s="63" t="n"/>
      <c r="F2787" s="63" t="n"/>
      <c r="G2787" s="63" t="n"/>
      <c r="H2787" s="63" t="n"/>
      <c r="I2787" s="63" t="n"/>
    </row>
    <row r="2788" ht="13.5" customHeight="1">
      <c r="B2788" s="63" t="n"/>
      <c r="F2788" s="63" t="n"/>
      <c r="G2788" s="63" t="n"/>
      <c r="H2788" s="63" t="n"/>
      <c r="I2788" s="63" t="n"/>
    </row>
    <row r="2789" ht="13.5" customHeight="1">
      <c r="B2789" s="63" t="n"/>
      <c r="F2789" s="63" t="n"/>
      <c r="G2789" s="63" t="n"/>
      <c r="H2789" s="63" t="n"/>
      <c r="I2789" s="63" t="n"/>
    </row>
    <row r="2790" ht="13.5" customHeight="1">
      <c r="B2790" s="63" t="n"/>
      <c r="F2790" s="63" t="n"/>
      <c r="G2790" s="63" t="n"/>
      <c r="H2790" s="63" t="n"/>
      <c r="I2790" s="63" t="n"/>
    </row>
    <row r="2791" ht="13.5" customHeight="1">
      <c r="B2791" s="63" t="n"/>
      <c r="F2791" s="63" t="n"/>
      <c r="G2791" s="63" t="n"/>
      <c r="H2791" s="63" t="n"/>
      <c r="I2791" s="63" t="n"/>
    </row>
    <row r="2792" ht="13.5" customHeight="1">
      <c r="B2792" s="63" t="n"/>
      <c r="F2792" s="63" t="n"/>
      <c r="G2792" s="63" t="n"/>
      <c r="H2792" s="63" t="n"/>
      <c r="I2792" s="63" t="n"/>
    </row>
    <row r="2793" ht="13.5" customHeight="1">
      <c r="B2793" s="63" t="n"/>
      <c r="F2793" s="63" t="n"/>
      <c r="G2793" s="63" t="n"/>
      <c r="H2793" s="63" t="n"/>
      <c r="I2793" s="63" t="n"/>
    </row>
    <row r="2794" ht="13.5" customHeight="1">
      <c r="B2794" s="63" t="n"/>
      <c r="F2794" s="63" t="n"/>
      <c r="G2794" s="63" t="n"/>
      <c r="H2794" s="63" t="n"/>
      <c r="I2794" s="63" t="n"/>
    </row>
    <row r="2795" ht="13.5" customHeight="1">
      <c r="B2795" s="63" t="n"/>
      <c r="F2795" s="63" t="n"/>
      <c r="G2795" s="63" t="n"/>
      <c r="H2795" s="63" t="n"/>
      <c r="I2795" s="63" t="n"/>
    </row>
    <row r="2796" ht="13.5" customHeight="1">
      <c r="B2796" s="63" t="n"/>
      <c r="F2796" s="63" t="n"/>
      <c r="G2796" s="63" t="n"/>
      <c r="H2796" s="63" t="n"/>
      <c r="I2796" s="63" t="n"/>
    </row>
    <row r="2797" ht="13.5" customHeight="1">
      <c r="B2797" s="63" t="n"/>
      <c r="F2797" s="63" t="n"/>
      <c r="G2797" s="63" t="n"/>
      <c r="H2797" s="63" t="n"/>
      <c r="I2797" s="63" t="n"/>
    </row>
    <row r="2798" ht="13.5" customHeight="1">
      <c r="B2798" s="63" t="n"/>
      <c r="F2798" s="63" t="n"/>
      <c r="G2798" s="63" t="n"/>
      <c r="H2798" s="63" t="n"/>
      <c r="I2798" s="63" t="n"/>
    </row>
    <row r="2799" ht="13.5" customHeight="1">
      <c r="B2799" s="63" t="n"/>
      <c r="F2799" s="63" t="n"/>
      <c r="G2799" s="63" t="n"/>
      <c r="H2799" s="63" t="n"/>
      <c r="I2799" s="63" t="n"/>
    </row>
    <row r="2800" ht="13.5" customHeight="1">
      <c r="B2800" s="63" t="n"/>
      <c r="F2800" s="63" t="n"/>
      <c r="G2800" s="63" t="n"/>
      <c r="H2800" s="63" t="n"/>
      <c r="I2800" s="63" t="n"/>
    </row>
    <row r="2801" ht="13.5" customHeight="1">
      <c r="B2801" s="63" t="n"/>
      <c r="F2801" s="63" t="n"/>
      <c r="G2801" s="63" t="n"/>
      <c r="H2801" s="63" t="n"/>
      <c r="I2801" s="63" t="n"/>
    </row>
    <row r="2802" ht="13.5" customHeight="1">
      <c r="B2802" s="63" t="n"/>
      <c r="F2802" s="63" t="n"/>
      <c r="G2802" s="63" t="n"/>
      <c r="H2802" s="63" t="n"/>
      <c r="I2802" s="63" t="n"/>
    </row>
    <row r="2803" ht="13.5" customHeight="1">
      <c r="B2803" s="63" t="n"/>
      <c r="F2803" s="63" t="n"/>
      <c r="G2803" s="63" t="n"/>
      <c r="H2803" s="63" t="n"/>
      <c r="I2803" s="63" t="n"/>
    </row>
    <row r="2804" ht="13.5" customHeight="1">
      <c r="B2804" s="63" t="n"/>
      <c r="F2804" s="63" t="n"/>
      <c r="G2804" s="63" t="n"/>
      <c r="H2804" s="63" t="n"/>
      <c r="I2804" s="63" t="n"/>
    </row>
    <row r="2805" ht="13.5" customHeight="1">
      <c r="B2805" s="63" t="n"/>
      <c r="F2805" s="63" t="n"/>
      <c r="G2805" s="63" t="n"/>
      <c r="H2805" s="63" t="n"/>
      <c r="I2805" s="63" t="n"/>
    </row>
    <row r="2806" ht="13.5" customHeight="1">
      <c r="B2806" s="63" t="n"/>
      <c r="F2806" s="63" t="n"/>
      <c r="G2806" s="63" t="n"/>
      <c r="H2806" s="63" t="n"/>
      <c r="I2806" s="63" t="n"/>
    </row>
    <row r="2807" ht="13.5" customHeight="1">
      <c r="B2807" s="63" t="n"/>
      <c r="F2807" s="63" t="n"/>
      <c r="G2807" s="63" t="n"/>
      <c r="H2807" s="63" t="n"/>
      <c r="I2807" s="63" t="n"/>
    </row>
    <row r="2808" ht="13.5" customHeight="1">
      <c r="B2808" s="63" t="n"/>
      <c r="F2808" s="63" t="n"/>
      <c r="G2808" s="63" t="n"/>
      <c r="H2808" s="63" t="n"/>
      <c r="I2808" s="63" t="n"/>
    </row>
    <row r="2809" ht="13.5" customHeight="1">
      <c r="B2809" s="63" t="n"/>
      <c r="F2809" s="63" t="n"/>
      <c r="G2809" s="63" t="n"/>
      <c r="H2809" s="63" t="n"/>
      <c r="I2809" s="63" t="n"/>
    </row>
    <row r="2810" ht="13.5" customHeight="1">
      <c r="B2810" s="63" t="n"/>
      <c r="F2810" s="63" t="n"/>
      <c r="G2810" s="63" t="n"/>
      <c r="H2810" s="63" t="n"/>
      <c r="I2810" s="63" t="n"/>
    </row>
    <row r="2811" ht="13.5" customHeight="1">
      <c r="B2811" s="63" t="n"/>
      <c r="F2811" s="63" t="n"/>
      <c r="G2811" s="63" t="n"/>
      <c r="H2811" s="63" t="n"/>
      <c r="I2811" s="63" t="n"/>
    </row>
    <row r="2812" ht="13.5" customHeight="1">
      <c r="B2812" s="63" t="n"/>
      <c r="F2812" s="63" t="n"/>
      <c r="G2812" s="63" t="n"/>
      <c r="H2812" s="63" t="n"/>
      <c r="I2812" s="63" t="n"/>
    </row>
    <row r="2813" ht="13.5" customHeight="1">
      <c r="B2813" s="63" t="n"/>
      <c r="F2813" s="63" t="n"/>
      <c r="G2813" s="63" t="n"/>
      <c r="H2813" s="63" t="n"/>
      <c r="I2813" s="63" t="n"/>
    </row>
    <row r="2814" ht="13.5" customHeight="1">
      <c r="B2814" s="63" t="n"/>
      <c r="F2814" s="63" t="n"/>
      <c r="G2814" s="63" t="n"/>
      <c r="H2814" s="63" t="n"/>
      <c r="I2814" s="63" t="n"/>
    </row>
    <row r="2815" ht="13.5" customHeight="1">
      <c r="B2815" s="63" t="n"/>
      <c r="F2815" s="63" t="n"/>
      <c r="G2815" s="63" t="n"/>
      <c r="H2815" s="63" t="n"/>
      <c r="I2815" s="63" t="n"/>
    </row>
    <row r="2816" ht="13.5" customHeight="1">
      <c r="B2816" s="63" t="n"/>
      <c r="F2816" s="63" t="n"/>
      <c r="G2816" s="63" t="n"/>
      <c r="H2816" s="63" t="n"/>
      <c r="I2816" s="63" t="n"/>
    </row>
    <row r="2817" ht="13.5" customHeight="1">
      <c r="B2817" s="63" t="n"/>
      <c r="F2817" s="63" t="n"/>
      <c r="G2817" s="63" t="n"/>
      <c r="H2817" s="63" t="n"/>
      <c r="I2817" s="63" t="n"/>
    </row>
    <row r="2818" ht="13.5" customHeight="1">
      <c r="B2818" s="63" t="n"/>
      <c r="F2818" s="63" t="n"/>
      <c r="G2818" s="63" t="n"/>
      <c r="H2818" s="63" t="n"/>
      <c r="I2818" s="63" t="n"/>
    </row>
    <row r="2819" ht="13.5" customHeight="1">
      <c r="B2819" s="63" t="n"/>
      <c r="F2819" s="63" t="n"/>
      <c r="G2819" s="63" t="n"/>
      <c r="H2819" s="63" t="n"/>
      <c r="I2819" s="63" t="n"/>
    </row>
    <row r="2820" ht="13.5" customHeight="1">
      <c r="B2820" s="63" t="n"/>
      <c r="F2820" s="63" t="n"/>
      <c r="G2820" s="63" t="n"/>
      <c r="H2820" s="63" t="n"/>
      <c r="I2820" s="63" t="n"/>
    </row>
    <row r="2821" ht="13.5" customHeight="1">
      <c r="B2821" s="63" t="n"/>
      <c r="F2821" s="63" t="n"/>
      <c r="G2821" s="63" t="n"/>
      <c r="H2821" s="63" t="n"/>
      <c r="I2821" s="63" t="n"/>
    </row>
    <row r="2822" ht="13.5" customHeight="1">
      <c r="B2822" s="63" t="n"/>
      <c r="F2822" s="63" t="n"/>
      <c r="G2822" s="63" t="n"/>
      <c r="H2822" s="63" t="n"/>
      <c r="I2822" s="63" t="n"/>
    </row>
    <row r="2823" ht="13.5" customHeight="1">
      <c r="B2823" s="63" t="n"/>
      <c r="F2823" s="63" t="n"/>
      <c r="G2823" s="63" t="n"/>
      <c r="H2823" s="63" t="n"/>
      <c r="I2823" s="63" t="n"/>
    </row>
    <row r="2824" ht="13.5" customHeight="1">
      <c r="B2824" s="63" t="n"/>
      <c r="F2824" s="63" t="n"/>
      <c r="G2824" s="63" t="n"/>
      <c r="H2824" s="63" t="n"/>
      <c r="I2824" s="63" t="n"/>
    </row>
    <row r="2825" ht="13.5" customHeight="1">
      <c r="B2825" s="63" t="n"/>
      <c r="F2825" s="63" t="n"/>
      <c r="G2825" s="63" t="n"/>
      <c r="H2825" s="63" t="n"/>
      <c r="I2825" s="63" t="n"/>
    </row>
    <row r="2826" ht="13.5" customHeight="1">
      <c r="B2826" s="63" t="n"/>
      <c r="F2826" s="63" t="n"/>
      <c r="G2826" s="63" t="n"/>
      <c r="H2826" s="63" t="n"/>
      <c r="I2826" s="63" t="n"/>
    </row>
    <row r="2827" ht="13.5" customHeight="1">
      <c r="B2827" s="63" t="n"/>
      <c r="F2827" s="63" t="n"/>
      <c r="G2827" s="63" t="n"/>
      <c r="H2827" s="63" t="n"/>
      <c r="I2827" s="63" t="n"/>
    </row>
    <row r="2828" ht="13.5" customHeight="1">
      <c r="B2828" s="63" t="n"/>
      <c r="F2828" s="63" t="n"/>
      <c r="G2828" s="63" t="n"/>
      <c r="H2828" s="63" t="n"/>
      <c r="I2828" s="63" t="n"/>
    </row>
    <row r="2829" ht="13.5" customHeight="1">
      <c r="B2829" s="63" t="n"/>
      <c r="F2829" s="63" t="n"/>
      <c r="G2829" s="63" t="n"/>
      <c r="H2829" s="63" t="n"/>
      <c r="I2829" s="63" t="n"/>
    </row>
    <row r="2830" ht="13.5" customHeight="1">
      <c r="B2830" s="63" t="n"/>
      <c r="F2830" s="63" t="n"/>
      <c r="G2830" s="63" t="n"/>
      <c r="H2830" s="63" t="n"/>
      <c r="I2830" s="63" t="n"/>
    </row>
    <row r="2831" ht="13.5" customHeight="1">
      <c r="B2831" s="63" t="n"/>
      <c r="F2831" s="63" t="n"/>
      <c r="G2831" s="63" t="n"/>
      <c r="H2831" s="63" t="n"/>
      <c r="I2831" s="63" t="n"/>
    </row>
    <row r="2832" ht="13.5" customHeight="1">
      <c r="B2832" s="63" t="n"/>
      <c r="F2832" s="63" t="n"/>
      <c r="G2832" s="63" t="n"/>
      <c r="H2832" s="63" t="n"/>
      <c r="I2832" s="63" t="n"/>
    </row>
    <row r="2833" ht="13.5" customHeight="1">
      <c r="B2833" s="63" t="n"/>
      <c r="F2833" s="63" t="n"/>
      <c r="G2833" s="63" t="n"/>
      <c r="H2833" s="63" t="n"/>
      <c r="I2833" s="63" t="n"/>
    </row>
    <row r="2834" ht="13.5" customHeight="1">
      <c r="B2834" s="63" t="n"/>
      <c r="F2834" s="63" t="n"/>
      <c r="G2834" s="63" t="n"/>
      <c r="H2834" s="63" t="n"/>
      <c r="I2834" s="63" t="n"/>
    </row>
    <row r="2835" ht="13.5" customHeight="1">
      <c r="B2835" s="63" t="n"/>
      <c r="F2835" s="63" t="n"/>
      <c r="G2835" s="63" t="n"/>
      <c r="H2835" s="63" t="n"/>
      <c r="I2835" s="63" t="n"/>
    </row>
    <row r="2836" ht="13.5" customHeight="1">
      <c r="B2836" s="63" t="n"/>
      <c r="F2836" s="63" t="n"/>
      <c r="G2836" s="63" t="n"/>
      <c r="H2836" s="63" t="n"/>
      <c r="I2836" s="63" t="n"/>
    </row>
    <row r="2837" ht="13.5" customHeight="1">
      <c r="B2837" s="63" t="n"/>
      <c r="F2837" s="63" t="n"/>
      <c r="G2837" s="63" t="n"/>
      <c r="H2837" s="63" t="n"/>
      <c r="I2837" s="63" t="n"/>
    </row>
    <row r="2838" ht="13.5" customHeight="1">
      <c r="B2838" s="63" t="n"/>
      <c r="F2838" s="63" t="n"/>
      <c r="G2838" s="63" t="n"/>
      <c r="H2838" s="63" t="n"/>
      <c r="I2838" s="63" t="n"/>
    </row>
    <row r="2839" ht="13.5" customHeight="1">
      <c r="B2839" s="63" t="n"/>
      <c r="F2839" s="63" t="n"/>
      <c r="G2839" s="63" t="n"/>
      <c r="H2839" s="63" t="n"/>
      <c r="I2839" s="63" t="n"/>
    </row>
    <row r="2840" ht="13.5" customHeight="1">
      <c r="B2840" s="63" t="n"/>
      <c r="F2840" s="63" t="n"/>
      <c r="G2840" s="63" t="n"/>
      <c r="H2840" s="63" t="n"/>
      <c r="I2840" s="63" t="n"/>
    </row>
    <row r="2841" ht="13.5" customHeight="1">
      <c r="B2841" s="63" t="n"/>
      <c r="F2841" s="63" t="n"/>
      <c r="G2841" s="63" t="n"/>
      <c r="H2841" s="63" t="n"/>
      <c r="I2841" s="63" t="n"/>
    </row>
    <row r="2842" ht="13.5" customHeight="1">
      <c r="B2842" s="63" t="n"/>
      <c r="F2842" s="63" t="n"/>
      <c r="G2842" s="63" t="n"/>
      <c r="H2842" s="63" t="n"/>
      <c r="I2842" s="63" t="n"/>
    </row>
    <row r="2843" ht="13.5" customHeight="1">
      <c r="B2843" s="63" t="n"/>
      <c r="F2843" s="63" t="n"/>
      <c r="G2843" s="63" t="n"/>
      <c r="H2843" s="63" t="n"/>
      <c r="I2843" s="63" t="n"/>
    </row>
    <row r="2844" ht="13.5" customHeight="1">
      <c r="B2844" s="63" t="n"/>
      <c r="F2844" s="63" t="n"/>
      <c r="G2844" s="63" t="n"/>
      <c r="H2844" s="63" t="n"/>
      <c r="I2844" s="63" t="n"/>
    </row>
    <row r="2845" ht="13.5" customHeight="1">
      <c r="B2845" s="63" t="n"/>
      <c r="F2845" s="63" t="n"/>
      <c r="G2845" s="63" t="n"/>
      <c r="H2845" s="63" t="n"/>
      <c r="I2845" s="63" t="n"/>
    </row>
    <row r="2846" ht="13.5" customHeight="1">
      <c r="B2846" s="63" t="n"/>
      <c r="F2846" s="63" t="n"/>
      <c r="G2846" s="63" t="n"/>
      <c r="H2846" s="63" t="n"/>
      <c r="I2846" s="63" t="n"/>
    </row>
    <row r="2847" ht="13.5" customHeight="1">
      <c r="B2847" s="63" t="n"/>
      <c r="F2847" s="63" t="n"/>
      <c r="G2847" s="63" t="n"/>
      <c r="H2847" s="63" t="n"/>
      <c r="I2847" s="63" t="n"/>
    </row>
    <row r="2848" ht="13.5" customHeight="1">
      <c r="B2848" s="63" t="n"/>
      <c r="F2848" s="63" t="n"/>
      <c r="G2848" s="63" t="n"/>
      <c r="H2848" s="63" t="n"/>
      <c r="I2848" s="63" t="n"/>
    </row>
    <row r="2849" ht="13.5" customHeight="1">
      <c r="B2849" s="63" t="n"/>
      <c r="F2849" s="63" t="n"/>
      <c r="G2849" s="63" t="n"/>
      <c r="H2849" s="63" t="n"/>
      <c r="I2849" s="63" t="n"/>
    </row>
    <row r="2850" ht="13.5" customHeight="1">
      <c r="B2850" s="63" t="n"/>
      <c r="F2850" s="63" t="n"/>
      <c r="G2850" s="63" t="n"/>
      <c r="H2850" s="63" t="n"/>
      <c r="I2850" s="63" t="n"/>
    </row>
    <row r="2851" ht="13.5" customHeight="1">
      <c r="B2851" s="63" t="n"/>
      <c r="F2851" s="63" t="n"/>
      <c r="G2851" s="63" t="n"/>
      <c r="H2851" s="63" t="n"/>
      <c r="I2851" s="63" t="n"/>
    </row>
    <row r="2852" ht="13.5" customHeight="1">
      <c r="B2852" s="63" t="n"/>
      <c r="F2852" s="63" t="n"/>
      <c r="G2852" s="63" t="n"/>
      <c r="H2852" s="63" t="n"/>
      <c r="I2852" s="63" t="n"/>
    </row>
    <row r="2853" ht="13.5" customHeight="1">
      <c r="B2853" s="63" t="n"/>
      <c r="F2853" s="63" t="n"/>
      <c r="G2853" s="63" t="n"/>
      <c r="H2853" s="63" t="n"/>
      <c r="I2853" s="63" t="n"/>
    </row>
    <row r="2854" ht="13.5" customHeight="1">
      <c r="B2854" s="63" t="n"/>
      <c r="F2854" s="63" t="n"/>
      <c r="G2854" s="63" t="n"/>
      <c r="H2854" s="63" t="n"/>
      <c r="I2854" s="63" t="n"/>
    </row>
    <row r="2855" ht="13.5" customHeight="1">
      <c r="B2855" s="63" t="n"/>
      <c r="F2855" s="63" t="n"/>
      <c r="G2855" s="63" t="n"/>
      <c r="H2855" s="63" t="n"/>
      <c r="I2855" s="63" t="n"/>
    </row>
    <row r="2856" ht="13.5" customHeight="1">
      <c r="B2856" s="63" t="n"/>
      <c r="F2856" s="63" t="n"/>
      <c r="G2856" s="63" t="n"/>
      <c r="H2856" s="63" t="n"/>
      <c r="I2856" s="63" t="n"/>
    </row>
    <row r="2857" ht="13.5" customHeight="1">
      <c r="B2857" s="63" t="n"/>
      <c r="F2857" s="63" t="n"/>
      <c r="G2857" s="63" t="n"/>
      <c r="H2857" s="63" t="n"/>
      <c r="I2857" s="63" t="n"/>
    </row>
    <row r="2858" ht="13.5" customHeight="1">
      <c r="B2858" s="63" t="n"/>
      <c r="F2858" s="63" t="n"/>
      <c r="G2858" s="63" t="n"/>
      <c r="H2858" s="63" t="n"/>
      <c r="I2858" s="63" t="n"/>
    </row>
    <row r="2859" ht="13.5" customHeight="1">
      <c r="B2859" s="63" t="n"/>
      <c r="F2859" s="63" t="n"/>
      <c r="G2859" s="63" t="n"/>
      <c r="H2859" s="63" t="n"/>
      <c r="I2859" s="63" t="n"/>
    </row>
    <row r="2860" ht="13.5" customHeight="1">
      <c r="B2860" s="63" t="n"/>
      <c r="F2860" s="63" t="n"/>
      <c r="G2860" s="63" t="n"/>
      <c r="H2860" s="63" t="n"/>
      <c r="I2860" s="63" t="n"/>
    </row>
    <row r="2861" ht="13.5" customHeight="1">
      <c r="B2861" s="63" t="n"/>
      <c r="F2861" s="63" t="n"/>
      <c r="G2861" s="63" t="n"/>
      <c r="H2861" s="63" t="n"/>
      <c r="I2861" s="63" t="n"/>
    </row>
    <row r="2862" ht="13.5" customHeight="1">
      <c r="B2862" s="63" t="n"/>
      <c r="F2862" s="63" t="n"/>
      <c r="G2862" s="63" t="n"/>
      <c r="H2862" s="63" t="n"/>
      <c r="I2862" s="63" t="n"/>
    </row>
    <row r="2863" ht="13.5" customHeight="1">
      <c r="B2863" s="63" t="n"/>
      <c r="F2863" s="63" t="n"/>
      <c r="G2863" s="63" t="n"/>
      <c r="H2863" s="63" t="n"/>
      <c r="I2863" s="63" t="n"/>
    </row>
    <row r="2864" ht="13.5" customHeight="1">
      <c r="B2864" s="63" t="n"/>
      <c r="F2864" s="63" t="n"/>
      <c r="G2864" s="63" t="n"/>
      <c r="H2864" s="63" t="n"/>
      <c r="I2864" s="63" t="n"/>
    </row>
    <row r="2865" ht="13.5" customHeight="1">
      <c r="B2865" s="63" t="n"/>
      <c r="F2865" s="63" t="n"/>
      <c r="G2865" s="63" t="n"/>
      <c r="H2865" s="63" t="n"/>
      <c r="I2865" s="63" t="n"/>
    </row>
    <row r="2866" ht="13.5" customHeight="1">
      <c r="B2866" s="63" t="n"/>
      <c r="F2866" s="63" t="n"/>
      <c r="G2866" s="63" t="n"/>
      <c r="H2866" s="63" t="n"/>
      <c r="I2866" s="63" t="n"/>
    </row>
    <row r="2867" ht="13.5" customHeight="1">
      <c r="B2867" s="63" t="n"/>
      <c r="F2867" s="63" t="n"/>
      <c r="G2867" s="63" t="n"/>
      <c r="H2867" s="63" t="n"/>
      <c r="I2867" s="63" t="n"/>
    </row>
    <row r="2868" ht="13.5" customHeight="1">
      <c r="B2868" s="63" t="n"/>
      <c r="F2868" s="63" t="n"/>
      <c r="G2868" s="63" t="n"/>
      <c r="H2868" s="63" t="n"/>
      <c r="I2868" s="63" t="n"/>
    </row>
    <row r="2869" ht="13.5" customHeight="1">
      <c r="B2869" s="63" t="n"/>
      <c r="F2869" s="63" t="n"/>
      <c r="G2869" s="63" t="n"/>
      <c r="H2869" s="63" t="n"/>
      <c r="I2869" s="63" t="n"/>
    </row>
    <row r="2870" ht="13.5" customHeight="1">
      <c r="B2870" s="63" t="n"/>
      <c r="F2870" s="63" t="n"/>
      <c r="G2870" s="63" t="n"/>
      <c r="H2870" s="63" t="n"/>
      <c r="I2870" s="63" t="n"/>
    </row>
    <row r="2871" ht="13.5" customHeight="1">
      <c r="B2871" s="63" t="n"/>
      <c r="F2871" s="63" t="n"/>
      <c r="G2871" s="63" t="n"/>
      <c r="H2871" s="63" t="n"/>
      <c r="I2871" s="63" t="n"/>
    </row>
    <row r="2872" ht="13.5" customHeight="1">
      <c r="B2872" s="63" t="n"/>
      <c r="F2872" s="63" t="n"/>
      <c r="G2872" s="63" t="n"/>
      <c r="H2872" s="63" t="n"/>
      <c r="I2872" s="63" t="n"/>
    </row>
    <row r="2873" ht="13.5" customHeight="1">
      <c r="B2873" s="63" t="n"/>
      <c r="F2873" s="63" t="n"/>
      <c r="G2873" s="63" t="n"/>
      <c r="H2873" s="63" t="n"/>
      <c r="I2873" s="63" t="n"/>
    </row>
    <row r="2874" ht="13.5" customHeight="1">
      <c r="B2874" s="63" t="n"/>
      <c r="F2874" s="63" t="n"/>
      <c r="G2874" s="63" t="n"/>
      <c r="H2874" s="63" t="n"/>
      <c r="I2874" s="63" t="n"/>
    </row>
    <row r="2875" ht="13.5" customHeight="1">
      <c r="B2875" s="63" t="n"/>
      <c r="F2875" s="63" t="n"/>
      <c r="G2875" s="63" t="n"/>
      <c r="H2875" s="63" t="n"/>
      <c r="I2875" s="63" t="n"/>
    </row>
    <row r="2876" ht="13.5" customHeight="1">
      <c r="B2876" s="63" t="n"/>
      <c r="F2876" s="63" t="n"/>
      <c r="G2876" s="63" t="n"/>
      <c r="H2876" s="63" t="n"/>
      <c r="I2876" s="63" t="n"/>
    </row>
    <row r="2877" ht="13.5" customHeight="1">
      <c r="B2877" s="63" t="n"/>
      <c r="F2877" s="63" t="n"/>
      <c r="G2877" s="63" t="n"/>
      <c r="H2877" s="63" t="n"/>
      <c r="I2877" s="63" t="n"/>
    </row>
    <row r="2878" ht="13.5" customHeight="1">
      <c r="B2878" s="63" t="n"/>
      <c r="F2878" s="63" t="n"/>
      <c r="G2878" s="63" t="n"/>
      <c r="H2878" s="63" t="n"/>
      <c r="I2878" s="63" t="n"/>
    </row>
    <row r="2879" ht="13.5" customHeight="1">
      <c r="B2879" s="63" t="n"/>
      <c r="F2879" s="63" t="n"/>
      <c r="G2879" s="63" t="n"/>
      <c r="H2879" s="63" t="n"/>
      <c r="I2879" s="63" t="n"/>
    </row>
    <row r="2880" ht="13.5" customHeight="1">
      <c r="B2880" s="63" t="n"/>
      <c r="F2880" s="63" t="n"/>
      <c r="G2880" s="63" t="n"/>
      <c r="H2880" s="63" t="n"/>
      <c r="I2880" s="63" t="n"/>
    </row>
    <row r="2881" ht="13.5" customHeight="1">
      <c r="B2881" s="63" t="n"/>
      <c r="F2881" s="63" t="n"/>
      <c r="G2881" s="63" t="n"/>
      <c r="H2881" s="63" t="n"/>
      <c r="I2881" s="63" t="n"/>
    </row>
    <row r="2882" ht="13.5" customHeight="1">
      <c r="B2882" s="63" t="n"/>
      <c r="F2882" s="63" t="n"/>
      <c r="G2882" s="63" t="n"/>
      <c r="H2882" s="63" t="n"/>
      <c r="I2882" s="63" t="n"/>
    </row>
    <row r="2883" ht="13.5" customHeight="1">
      <c r="B2883" s="63" t="n"/>
      <c r="F2883" s="63" t="n"/>
      <c r="G2883" s="63" t="n"/>
      <c r="H2883" s="63" t="n"/>
      <c r="I2883" s="63" t="n"/>
    </row>
    <row r="2884" ht="13.5" customHeight="1">
      <c r="B2884" s="63" t="n"/>
      <c r="F2884" s="63" t="n"/>
      <c r="G2884" s="63" t="n"/>
      <c r="H2884" s="63" t="n"/>
      <c r="I2884" s="63" t="n"/>
    </row>
    <row r="2885" ht="13.5" customHeight="1">
      <c r="B2885" s="63" t="n"/>
      <c r="F2885" s="63" t="n"/>
      <c r="G2885" s="63" t="n"/>
      <c r="H2885" s="63" t="n"/>
      <c r="I2885" s="63" t="n"/>
    </row>
    <row r="2886" ht="13.5" customHeight="1">
      <c r="B2886" s="63" t="n"/>
      <c r="F2886" s="63" t="n"/>
      <c r="G2886" s="63" t="n"/>
      <c r="H2886" s="63" t="n"/>
      <c r="I2886" s="63" t="n"/>
    </row>
    <row r="2887" ht="13.5" customHeight="1">
      <c r="B2887" s="63" t="n"/>
      <c r="F2887" s="63" t="n"/>
      <c r="G2887" s="63" t="n"/>
      <c r="H2887" s="63" t="n"/>
      <c r="I2887" s="63" t="n"/>
    </row>
    <row r="2888" ht="13.5" customHeight="1">
      <c r="B2888" s="63" t="n"/>
      <c r="F2888" s="63" t="n"/>
      <c r="G2888" s="63" t="n"/>
      <c r="H2888" s="63" t="n"/>
      <c r="I2888" s="63" t="n"/>
    </row>
    <row r="2889" ht="13.5" customHeight="1">
      <c r="B2889" s="63" t="n"/>
      <c r="F2889" s="63" t="n"/>
      <c r="G2889" s="63" t="n"/>
      <c r="H2889" s="63" t="n"/>
      <c r="I2889" s="63" t="n"/>
    </row>
    <row r="2890" ht="13.5" customHeight="1">
      <c r="B2890" s="63" t="n"/>
      <c r="F2890" s="63" t="n"/>
      <c r="G2890" s="63" t="n"/>
      <c r="H2890" s="63" t="n"/>
      <c r="I2890" s="63" t="n"/>
    </row>
    <row r="2891" ht="13.5" customHeight="1">
      <c r="B2891" s="63" t="n"/>
      <c r="F2891" s="63" t="n"/>
      <c r="G2891" s="63" t="n"/>
      <c r="H2891" s="63" t="n"/>
      <c r="I2891" s="63" t="n"/>
    </row>
    <row r="2892" ht="13.5" customHeight="1">
      <c r="B2892" s="63" t="n"/>
      <c r="F2892" s="63" t="n"/>
      <c r="G2892" s="63" t="n"/>
      <c r="H2892" s="63" t="n"/>
      <c r="I2892" s="63" t="n"/>
    </row>
    <row r="2893" ht="13.5" customHeight="1">
      <c r="B2893" s="63" t="n"/>
      <c r="F2893" s="63" t="n"/>
      <c r="G2893" s="63" t="n"/>
      <c r="H2893" s="63" t="n"/>
      <c r="I2893" s="63" t="n"/>
    </row>
    <row r="2894" ht="13.5" customHeight="1">
      <c r="B2894" s="63" t="n"/>
      <c r="F2894" s="63" t="n"/>
      <c r="G2894" s="63" t="n"/>
      <c r="H2894" s="63" t="n"/>
      <c r="I2894" s="63" t="n"/>
    </row>
    <row r="2895" ht="13.5" customHeight="1">
      <c r="B2895" s="63" t="n"/>
      <c r="F2895" s="63" t="n"/>
      <c r="G2895" s="63" t="n"/>
      <c r="H2895" s="63" t="n"/>
      <c r="I2895" s="63" t="n"/>
    </row>
    <row r="2896" ht="13.5" customHeight="1">
      <c r="B2896" s="63" t="n"/>
      <c r="F2896" s="63" t="n"/>
      <c r="G2896" s="63" t="n"/>
      <c r="H2896" s="63" t="n"/>
      <c r="I2896" s="63" t="n"/>
    </row>
    <row r="2897" ht="13.5" customHeight="1">
      <c r="B2897" s="63" t="n"/>
      <c r="F2897" s="63" t="n"/>
      <c r="G2897" s="63" t="n"/>
      <c r="H2897" s="63" t="n"/>
      <c r="I2897" s="63" t="n"/>
    </row>
    <row r="2898" ht="13.5" customHeight="1">
      <c r="B2898" s="63" t="n"/>
      <c r="F2898" s="63" t="n"/>
      <c r="G2898" s="63" t="n"/>
      <c r="H2898" s="63" t="n"/>
      <c r="I2898" s="63" t="n"/>
    </row>
    <row r="2899" ht="13.5" customHeight="1">
      <c r="B2899" s="63" t="n"/>
      <c r="F2899" s="63" t="n"/>
      <c r="G2899" s="63" t="n"/>
      <c r="H2899" s="63" t="n"/>
      <c r="I2899" s="63" t="n"/>
    </row>
    <row r="2900" ht="13.5" customHeight="1">
      <c r="B2900" s="63" t="n"/>
      <c r="F2900" s="63" t="n"/>
      <c r="G2900" s="63" t="n"/>
      <c r="H2900" s="63" t="n"/>
      <c r="I2900" s="63" t="n"/>
    </row>
    <row r="2901" ht="13.5" customHeight="1">
      <c r="B2901" s="63" t="n"/>
      <c r="F2901" s="63" t="n"/>
      <c r="G2901" s="63" t="n"/>
      <c r="H2901" s="63" t="n"/>
      <c r="I2901" s="63" t="n"/>
    </row>
    <row r="2902" ht="13.5" customHeight="1">
      <c r="B2902" s="63" t="n"/>
      <c r="F2902" s="63" t="n"/>
      <c r="G2902" s="63" t="n"/>
      <c r="H2902" s="63" t="n"/>
      <c r="I2902" s="63" t="n"/>
    </row>
    <row r="2903" ht="13.5" customHeight="1">
      <c r="B2903" s="63" t="n"/>
      <c r="F2903" s="63" t="n"/>
      <c r="G2903" s="63" t="n"/>
      <c r="H2903" s="63" t="n"/>
      <c r="I2903" s="63" t="n"/>
    </row>
    <row r="2904" ht="13.5" customHeight="1">
      <c r="B2904" s="63" t="n"/>
      <c r="F2904" s="63" t="n"/>
      <c r="G2904" s="63" t="n"/>
      <c r="H2904" s="63" t="n"/>
      <c r="I2904" s="63" t="n"/>
    </row>
    <row r="2905" ht="13.5" customHeight="1">
      <c r="B2905" s="63" t="n"/>
      <c r="F2905" s="63" t="n"/>
      <c r="G2905" s="63" t="n"/>
      <c r="H2905" s="63" t="n"/>
      <c r="I2905" s="63" t="n"/>
    </row>
    <row r="2906" ht="13.5" customHeight="1">
      <c r="B2906" s="63" t="n"/>
      <c r="F2906" s="63" t="n"/>
      <c r="G2906" s="63" t="n"/>
      <c r="H2906" s="63" t="n"/>
      <c r="I2906" s="63" t="n"/>
    </row>
    <row r="2907" ht="13.5" customHeight="1">
      <c r="B2907" s="63" t="n"/>
      <c r="F2907" s="63" t="n"/>
      <c r="G2907" s="63" t="n"/>
      <c r="H2907" s="63" t="n"/>
      <c r="I2907" s="63" t="n"/>
    </row>
    <row r="2908" ht="13.5" customHeight="1">
      <c r="B2908" s="63" t="n"/>
      <c r="F2908" s="63" t="n"/>
      <c r="G2908" s="63" t="n"/>
      <c r="H2908" s="63" t="n"/>
      <c r="I2908" s="63" t="n"/>
    </row>
    <row r="2909" ht="13.5" customHeight="1">
      <c r="B2909" s="63" t="n"/>
      <c r="F2909" s="63" t="n"/>
      <c r="G2909" s="63" t="n"/>
      <c r="H2909" s="63" t="n"/>
      <c r="I2909" s="63" t="n"/>
    </row>
    <row r="2910" ht="13.5" customHeight="1">
      <c r="B2910" s="63" t="n"/>
      <c r="F2910" s="63" t="n"/>
      <c r="G2910" s="63" t="n"/>
      <c r="H2910" s="63" t="n"/>
      <c r="I2910" s="63" t="n"/>
    </row>
    <row r="2911" ht="13.5" customHeight="1">
      <c r="B2911" s="63" t="n"/>
      <c r="F2911" s="63" t="n"/>
      <c r="G2911" s="63" t="n"/>
      <c r="H2911" s="63" t="n"/>
      <c r="I2911" s="63" t="n"/>
    </row>
    <row r="2912" ht="13.5" customHeight="1">
      <c r="B2912" s="63" t="n"/>
      <c r="F2912" s="63" t="n"/>
      <c r="G2912" s="63" t="n"/>
      <c r="H2912" s="63" t="n"/>
      <c r="I2912" s="63" t="n"/>
    </row>
    <row r="2913" ht="13.5" customHeight="1">
      <c r="B2913" s="63" t="n"/>
      <c r="F2913" s="63" t="n"/>
      <c r="G2913" s="63" t="n"/>
      <c r="H2913" s="63" t="n"/>
      <c r="I2913" s="63" t="n"/>
    </row>
    <row r="2914" ht="13.5" customHeight="1">
      <c r="B2914" s="63" t="n"/>
      <c r="F2914" s="63" t="n"/>
      <c r="G2914" s="63" t="n"/>
      <c r="H2914" s="63" t="n"/>
      <c r="I2914" s="63" t="n"/>
    </row>
    <row r="2915" ht="13.5" customHeight="1">
      <c r="B2915" s="63" t="n"/>
      <c r="F2915" s="63" t="n"/>
      <c r="G2915" s="63" t="n"/>
      <c r="H2915" s="63" t="n"/>
      <c r="I2915" s="63" t="n"/>
    </row>
    <row r="2916" ht="13.5" customHeight="1">
      <c r="B2916" s="63" t="n"/>
      <c r="F2916" s="63" t="n"/>
      <c r="G2916" s="63" t="n"/>
      <c r="H2916" s="63" t="n"/>
      <c r="I2916" s="63" t="n"/>
    </row>
    <row r="2917" ht="13.5" customHeight="1">
      <c r="B2917" s="63" t="n"/>
      <c r="F2917" s="63" t="n"/>
      <c r="G2917" s="63" t="n"/>
      <c r="H2917" s="63" t="n"/>
      <c r="I2917" s="63" t="n"/>
    </row>
    <row r="2918" ht="13.5" customHeight="1">
      <c r="B2918" s="63" t="n"/>
      <c r="F2918" s="63" t="n"/>
      <c r="G2918" s="63" t="n"/>
      <c r="H2918" s="63" t="n"/>
      <c r="I2918" s="63" t="n"/>
    </row>
    <row r="2919" ht="13.5" customHeight="1">
      <c r="B2919" s="63" t="n"/>
      <c r="F2919" s="63" t="n"/>
      <c r="G2919" s="63" t="n"/>
      <c r="H2919" s="63" t="n"/>
      <c r="I2919" s="63" t="n"/>
    </row>
    <row r="2920" ht="13.5" customHeight="1">
      <c r="B2920" s="63" t="n"/>
      <c r="F2920" s="63" t="n"/>
      <c r="G2920" s="63" t="n"/>
      <c r="H2920" s="63" t="n"/>
      <c r="I2920" s="63" t="n"/>
    </row>
    <row r="2921" ht="13.5" customHeight="1">
      <c r="B2921" s="63" t="n"/>
      <c r="F2921" s="63" t="n"/>
      <c r="G2921" s="63" t="n"/>
      <c r="H2921" s="63" t="n"/>
      <c r="I2921" s="63" t="n"/>
    </row>
    <row r="2922" ht="13.5" customHeight="1">
      <c r="B2922" s="63" t="n"/>
      <c r="F2922" s="63" t="n"/>
      <c r="G2922" s="63" t="n"/>
      <c r="H2922" s="63" t="n"/>
      <c r="I2922" s="63" t="n"/>
    </row>
    <row r="2923" ht="13.5" customHeight="1">
      <c r="B2923" s="63" t="n"/>
      <c r="F2923" s="63" t="n"/>
      <c r="G2923" s="63" t="n"/>
      <c r="H2923" s="63" t="n"/>
      <c r="I2923" s="63" t="n"/>
    </row>
    <row r="2924" ht="13.5" customHeight="1">
      <c r="B2924" s="63" t="n"/>
      <c r="F2924" s="63" t="n"/>
      <c r="G2924" s="63" t="n"/>
      <c r="H2924" s="63" t="n"/>
      <c r="I2924" s="63" t="n"/>
    </row>
    <row r="2925" ht="13.5" customHeight="1">
      <c r="B2925" s="63" t="n"/>
      <c r="F2925" s="63" t="n"/>
      <c r="G2925" s="63" t="n"/>
      <c r="H2925" s="63" t="n"/>
      <c r="I2925" s="63" t="n"/>
    </row>
    <row r="2926" ht="13.5" customHeight="1">
      <c r="B2926" s="63" t="n"/>
      <c r="F2926" s="63" t="n"/>
      <c r="G2926" s="63" t="n"/>
      <c r="H2926" s="63" t="n"/>
      <c r="I2926" s="63" t="n"/>
    </row>
    <row r="2927" ht="13.5" customHeight="1">
      <c r="B2927" s="63" t="n"/>
      <c r="F2927" s="63" t="n"/>
      <c r="G2927" s="63" t="n"/>
      <c r="H2927" s="63" t="n"/>
      <c r="I2927" s="63" t="n"/>
    </row>
    <row r="2928" ht="13.5" customHeight="1">
      <c r="B2928" s="63" t="n"/>
      <c r="F2928" s="63" t="n"/>
      <c r="G2928" s="63" t="n"/>
      <c r="H2928" s="63" t="n"/>
      <c r="I2928" s="63" t="n"/>
    </row>
    <row r="2929" ht="13.5" customHeight="1">
      <c r="B2929" s="63" t="n"/>
      <c r="F2929" s="63" t="n"/>
      <c r="G2929" s="63" t="n"/>
      <c r="H2929" s="63" t="n"/>
      <c r="I2929" s="63" t="n"/>
    </row>
    <row r="2930" ht="13.5" customHeight="1">
      <c r="B2930" s="63" t="n"/>
      <c r="F2930" s="63" t="n"/>
      <c r="G2930" s="63" t="n"/>
      <c r="H2930" s="63" t="n"/>
      <c r="I2930" s="63" t="n"/>
    </row>
    <row r="2931" ht="13.5" customHeight="1">
      <c r="B2931" s="63" t="n"/>
      <c r="F2931" s="63" t="n"/>
      <c r="G2931" s="63" t="n"/>
      <c r="H2931" s="63" t="n"/>
      <c r="I2931" s="63" t="n"/>
    </row>
    <row r="2932" ht="13.5" customHeight="1">
      <c r="B2932" s="63" t="n"/>
      <c r="F2932" s="63" t="n"/>
      <c r="G2932" s="63" t="n"/>
      <c r="H2932" s="63" t="n"/>
      <c r="I2932" s="63" t="n"/>
    </row>
    <row r="2933" ht="13.5" customHeight="1">
      <c r="B2933" s="63" t="n"/>
      <c r="F2933" s="63" t="n"/>
      <c r="G2933" s="63" t="n"/>
      <c r="H2933" s="63" t="n"/>
      <c r="I2933" s="63" t="n"/>
    </row>
    <row r="2934" ht="13.5" customHeight="1">
      <c r="B2934" s="63" t="n"/>
      <c r="F2934" s="63" t="n"/>
      <c r="G2934" s="63" t="n"/>
      <c r="H2934" s="63" t="n"/>
      <c r="I2934" s="63" t="n"/>
    </row>
    <row r="2935" ht="13.5" customHeight="1">
      <c r="B2935" s="63" t="n"/>
      <c r="F2935" s="63" t="n"/>
      <c r="G2935" s="63" t="n"/>
      <c r="H2935" s="63" t="n"/>
      <c r="I2935" s="63" t="n"/>
    </row>
    <row r="2936" ht="13.5" customHeight="1">
      <c r="B2936" s="63" t="n"/>
      <c r="F2936" s="63" t="n"/>
      <c r="G2936" s="63" t="n"/>
      <c r="H2936" s="63" t="n"/>
      <c r="I2936" s="63" t="n"/>
    </row>
    <row r="2937" ht="13.5" customHeight="1">
      <c r="B2937" s="63" t="n"/>
      <c r="F2937" s="63" t="n"/>
      <c r="G2937" s="63" t="n"/>
      <c r="H2937" s="63" t="n"/>
      <c r="I2937" s="63" t="n"/>
    </row>
    <row r="2938" ht="13.5" customHeight="1">
      <c r="B2938" s="63" t="n"/>
      <c r="F2938" s="63" t="n"/>
      <c r="G2938" s="63" t="n"/>
      <c r="H2938" s="63" t="n"/>
      <c r="I2938" s="63" t="n"/>
    </row>
    <row r="2939" ht="13.5" customHeight="1">
      <c r="B2939" s="63" t="n"/>
      <c r="F2939" s="63" t="n"/>
      <c r="G2939" s="63" t="n"/>
      <c r="H2939" s="63" t="n"/>
      <c r="I2939" s="63" t="n"/>
    </row>
    <row r="2940" ht="13.5" customHeight="1">
      <c r="B2940" s="63" t="n"/>
      <c r="F2940" s="63" t="n"/>
      <c r="G2940" s="63" t="n"/>
      <c r="H2940" s="63" t="n"/>
      <c r="I2940" s="63" t="n"/>
    </row>
    <row r="2941" ht="13.5" customHeight="1">
      <c r="B2941" s="63" t="n"/>
      <c r="F2941" s="63" t="n"/>
      <c r="G2941" s="63" t="n"/>
      <c r="H2941" s="63" t="n"/>
      <c r="I2941" s="63" t="n"/>
    </row>
    <row r="2942" ht="13.5" customHeight="1">
      <c r="B2942" s="63" t="n"/>
      <c r="F2942" s="63" t="n"/>
      <c r="G2942" s="63" t="n"/>
      <c r="H2942" s="63" t="n"/>
      <c r="I2942" s="63" t="n"/>
    </row>
    <row r="2943" ht="13.5" customHeight="1">
      <c r="B2943" s="63" t="n"/>
      <c r="F2943" s="63" t="n"/>
      <c r="G2943" s="63" t="n"/>
      <c r="H2943" s="63" t="n"/>
      <c r="I2943" s="63" t="n"/>
    </row>
    <row r="2944" ht="13.5" customHeight="1">
      <c r="B2944" s="63" t="n"/>
      <c r="F2944" s="63" t="n"/>
      <c r="G2944" s="63" t="n"/>
      <c r="H2944" s="63" t="n"/>
      <c r="I2944" s="63" t="n"/>
    </row>
    <row r="2945" ht="13.5" customHeight="1">
      <c r="B2945" s="63" t="n"/>
      <c r="F2945" s="63" t="n"/>
      <c r="G2945" s="63" t="n"/>
      <c r="H2945" s="63" t="n"/>
      <c r="I2945" s="63" t="n"/>
    </row>
    <row r="2946" ht="13.5" customHeight="1">
      <c r="B2946" s="63" t="n"/>
      <c r="F2946" s="63" t="n"/>
      <c r="G2946" s="63" t="n"/>
      <c r="H2946" s="63" t="n"/>
      <c r="I2946" s="63" t="n"/>
    </row>
    <row r="2947" ht="13.5" customHeight="1">
      <c r="B2947" s="63" t="n"/>
      <c r="F2947" s="63" t="n"/>
      <c r="G2947" s="63" t="n"/>
      <c r="H2947" s="63" t="n"/>
      <c r="I2947" s="63" t="n"/>
    </row>
    <row r="2948" ht="13.5" customHeight="1">
      <c r="B2948" s="63" t="n"/>
      <c r="F2948" s="63" t="n"/>
      <c r="G2948" s="63" t="n"/>
      <c r="H2948" s="63" t="n"/>
      <c r="I2948" s="63" t="n"/>
    </row>
    <row r="2949" ht="13.5" customHeight="1">
      <c r="B2949" s="63" t="n"/>
      <c r="F2949" s="63" t="n"/>
      <c r="G2949" s="63" t="n"/>
      <c r="H2949" s="63" t="n"/>
      <c r="I2949" s="63" t="n"/>
    </row>
    <row r="2950" ht="13.5" customHeight="1">
      <c r="B2950" s="63" t="n"/>
      <c r="F2950" s="63" t="n"/>
      <c r="G2950" s="63" t="n"/>
      <c r="H2950" s="63" t="n"/>
      <c r="I2950" s="63" t="n"/>
    </row>
    <row r="2951" ht="13.5" customHeight="1">
      <c r="B2951" s="63" t="n"/>
      <c r="F2951" s="63" t="n"/>
      <c r="G2951" s="63" t="n"/>
      <c r="H2951" s="63" t="n"/>
      <c r="I2951" s="63" t="n"/>
    </row>
    <row r="2952" ht="13.5" customHeight="1">
      <c r="B2952" s="63" t="n"/>
      <c r="F2952" s="63" t="n"/>
      <c r="G2952" s="63" t="n"/>
      <c r="H2952" s="63" t="n"/>
      <c r="I2952" s="63" t="n"/>
    </row>
    <row r="2953" ht="13.5" customHeight="1">
      <c r="B2953" s="63" t="n"/>
      <c r="F2953" s="63" t="n"/>
      <c r="G2953" s="63" t="n"/>
      <c r="H2953" s="63" t="n"/>
      <c r="I2953" s="63" t="n"/>
    </row>
    <row r="2954" ht="13.5" customHeight="1">
      <c r="B2954" s="63" t="n"/>
      <c r="F2954" s="63" t="n"/>
      <c r="G2954" s="63" t="n"/>
      <c r="H2954" s="63" t="n"/>
      <c r="I2954" s="63" t="n"/>
    </row>
    <row r="2955" ht="13.5" customHeight="1">
      <c r="B2955" s="63" t="n"/>
      <c r="F2955" s="63" t="n"/>
      <c r="G2955" s="63" t="n"/>
      <c r="H2955" s="63" t="n"/>
      <c r="I2955" s="63" t="n"/>
    </row>
    <row r="2956" ht="13.5" customHeight="1">
      <c r="B2956" s="63" t="n"/>
      <c r="F2956" s="63" t="n"/>
      <c r="G2956" s="63" t="n"/>
      <c r="H2956" s="63" t="n"/>
      <c r="I2956" s="63" t="n"/>
    </row>
    <row r="2957" ht="13.5" customHeight="1">
      <c r="B2957" s="63" t="n"/>
      <c r="F2957" s="63" t="n"/>
      <c r="G2957" s="63" t="n"/>
      <c r="H2957" s="63" t="n"/>
      <c r="I2957" s="63" t="n"/>
    </row>
    <row r="2958" ht="13.5" customHeight="1">
      <c r="B2958" s="63" t="n"/>
      <c r="F2958" s="63" t="n"/>
      <c r="G2958" s="63" t="n"/>
      <c r="H2958" s="63" t="n"/>
      <c r="I2958" s="63" t="n"/>
    </row>
    <row r="2959" ht="13.5" customHeight="1">
      <c r="B2959" s="63" t="n"/>
      <c r="F2959" s="63" t="n"/>
      <c r="G2959" s="63" t="n"/>
      <c r="H2959" s="63" t="n"/>
      <c r="I2959" s="63" t="n"/>
    </row>
    <row r="2960" ht="13.5" customHeight="1">
      <c r="B2960" s="63" t="n"/>
      <c r="F2960" s="63" t="n"/>
      <c r="G2960" s="63" t="n"/>
      <c r="H2960" s="63" t="n"/>
      <c r="I2960" s="63" t="n"/>
    </row>
  </sheetData>
  <mergeCells count="37">
    <mergeCell ref="D10:E10"/>
    <mergeCell ref="I6:J6"/>
    <mergeCell ref="B7:C7"/>
    <mergeCell ref="L5:N5"/>
    <mergeCell ref="I11:J11"/>
    <mergeCell ref="B3:O3"/>
    <mergeCell ref="K7:N7"/>
    <mergeCell ref="K10:N10"/>
    <mergeCell ref="B12:C12"/>
    <mergeCell ref="D6:E6"/>
    <mergeCell ref="K6:N6"/>
    <mergeCell ref="K13:N13"/>
    <mergeCell ref="B11:C11"/>
    <mergeCell ref="I7:J7"/>
    <mergeCell ref="D11:E11"/>
    <mergeCell ref="B2:O2"/>
    <mergeCell ref="D13:E13"/>
    <mergeCell ref="B8:C8"/>
    <mergeCell ref="K9:N9"/>
    <mergeCell ref="B13:C13"/>
    <mergeCell ref="I12:J12"/>
    <mergeCell ref="D7:E7"/>
    <mergeCell ref="B10:C10"/>
    <mergeCell ref="K11:N11"/>
    <mergeCell ref="I5:J5"/>
    <mergeCell ref="I8:J8"/>
    <mergeCell ref="D12:E12"/>
    <mergeCell ref="D8:E8"/>
    <mergeCell ref="B6:C6"/>
    <mergeCell ref="B5:C5"/>
    <mergeCell ref="I10:J10"/>
    <mergeCell ref="D5:E5"/>
    <mergeCell ref="K12:N12"/>
    <mergeCell ref="B2017:F2017"/>
    <mergeCell ref="K8:N8"/>
    <mergeCell ref="I13:J13"/>
    <mergeCell ref="I9:J9"/>
  </mergeCells>
  <conditionalFormatting sqref="B2017 K2017:N2017">
    <cfRule type="expression" priority="10" dxfId="50">
      <formula>$S$7="USD"</formula>
    </cfRule>
    <cfRule type="expression" priority="11" dxfId="49">
      <formula>$S$7="EUR"</formula>
    </cfRule>
    <cfRule type="expression" priority="12" dxfId="48">
      <formula>$S$7="RUB"</formula>
    </cfRule>
  </conditionalFormatting>
  <conditionalFormatting sqref="C17:I2016">
    <cfRule type="cellIs" priority="1" operator="equal" dxfId="47">
      <formula>0</formula>
    </cfRule>
  </conditionalFormatting>
  <conditionalFormatting sqref="D5:D8 D11:D13 K6:K7">
    <cfRule type="containsBlanks" priority="14" dxfId="42">
      <formula>LEN(TRIM(D5))=0</formula>
    </cfRule>
  </conditionalFormatting>
  <conditionalFormatting sqref="D10">
    <cfRule type="containsBlanks" priority="3" dxfId="42">
      <formula>LEN(TRIM(D10))=0</formula>
    </cfRule>
  </conditionalFormatting>
  <conditionalFormatting sqref="D5:E8 D11:E13 K6:N7 K13:N13">
    <cfRule type="containsText" priority="6" operator="containsText" dxfId="44" text="заполнить">
      <formula>NOT(ISERROR(SEARCH("заполнить",D5)))</formula>
    </cfRule>
  </conditionalFormatting>
  <conditionalFormatting sqref="D10:E10">
    <cfRule type="containsText" priority="2" operator="containsText" dxfId="41" text="заполнить">
      <formula>NOT(ISERROR(SEARCH("заполнить",D10)))</formula>
    </cfRule>
  </conditionalFormatting>
  <conditionalFormatting sqref="K10:K11">
    <cfRule type="containsBlanks" priority="5" dxfId="42">
      <formula>LEN(TRIM(K10))=0</formula>
    </cfRule>
  </conditionalFormatting>
  <conditionalFormatting sqref="K10:N10">
    <cfRule type="containsText" priority="4" operator="containsText" dxfId="41" text="заполнить">
      <formula>NOT(ISERROR(SEARCH("заполнить",K10)))</formula>
    </cfRule>
  </conditionalFormatting>
  <conditionalFormatting sqref="Q17:Q2017">
    <cfRule type="containsText" priority="13" operator="containsText" dxfId="34" text="скрыть">
      <formula>NOT(ISERROR(SEARCH("скрыть",Q17)))</formula>
    </cfRule>
  </conditionalFormatting>
  <conditionalFormatting sqref="S10">
    <cfRule type="cellIs" priority="8" operator="equal" dxfId="34">
      <formula>FALSE</formula>
    </cfRule>
    <cfRule type="cellIs" priority="9" operator="equal" dxfId="38">
      <formula>TRUE</formula>
    </cfRule>
  </conditionalFormatting>
  <dataValidations count="1">
    <dataValidation sqref="K10:N10" showDropDown="0" showInputMessage="1" showErrorMessage="1" allowBlank="1" type="date" operator="greaterThanOrEqual">
      <formula1>45658</formula1>
    </dataValidation>
  </dataValidations>
  <printOptions horizontalCentered="1"/>
  <pageMargins left="0.7086614173228347" right="0.7086614173228347" top="0.9055118110236221" bottom="0.7480314960629921" header="0.3149606299212598" footer="0.3149606299212598"/>
  <pageSetup orientation="portrait" paperSize="9" scale="51" fitToHeight="0"/>
  <headerFooter>
    <oddHeader>&amp;L&amp;G</oddHeader>
    <oddFooter/>
    <evenHeader/>
    <evenFooter/>
    <firstHeader/>
    <firstFooter/>
  </headerFooter>
  <tableParts count="1">
    <tablePart xmlns:r="http://schemas.openxmlformats.org/officeDocument/2006/relationships" r:id="rId1"/>
  </tableParts>
</worksheet>
</file>

<file path=xl/worksheets/sheet5.xml><?xml version="1.0" encoding="utf-8"?>
<worksheet xmlns="http://schemas.openxmlformats.org/spreadsheetml/2006/main">
  <sheetPr codeName="Sheet7">
    <outlinePr summaryBelow="1" summaryRight="1"/>
    <pageSetUpPr/>
  </sheetPr>
  <dimension ref="B1:AQ4"/>
  <sheetViews>
    <sheetView zoomScale="70" zoomScaleNormal="70" workbookViewId="0">
      <selection activeCell="K25" sqref="K25"/>
    </sheetView>
  </sheetViews>
  <sheetFormatPr baseColWidth="8" defaultColWidth="8.85546875" defaultRowHeight="13.5"/>
  <cols>
    <col width="2.85546875" customWidth="1" style="238" min="1" max="1"/>
    <col width="8.85546875" customWidth="1" style="238" min="2" max="4"/>
    <col width="11.42578125" customWidth="1" style="239" min="5" max="7"/>
    <col width="13.28515625" customWidth="1" style="238" min="8" max="8"/>
    <col width="12.28515625" customWidth="1" style="238" min="9" max="9"/>
    <col width="8.85546875" customWidth="1" style="238" min="10" max="11"/>
    <col width="10.85546875" bestFit="1" customWidth="1" style="238" min="12" max="13"/>
    <col width="9.85546875" bestFit="1" customWidth="1" style="238" min="14" max="14"/>
    <col width="8.85546875" customWidth="1" style="238" min="15" max="19"/>
    <col width="9" bestFit="1" customWidth="1" style="238" min="20" max="21"/>
    <col width="9.85546875" bestFit="1" customWidth="1" style="238" min="22" max="22"/>
    <col width="9" bestFit="1" customWidth="1" style="238" min="23" max="23"/>
    <col width="10.85546875" bestFit="1" customWidth="1" style="238" min="24" max="25"/>
    <col width="9" bestFit="1" customWidth="1" style="238" min="26" max="27"/>
    <col width="9.85546875" bestFit="1" customWidth="1" style="238" min="28" max="28"/>
    <col width="9" bestFit="1" customWidth="1" style="238" min="29" max="29"/>
    <col width="9.85546875" bestFit="1" customWidth="1" style="238" min="30" max="31"/>
    <col width="9" bestFit="1" customWidth="1" style="238" min="32" max="32"/>
    <col width="10.85546875" bestFit="1" customWidth="1" style="238" min="33" max="33"/>
    <col width="9" bestFit="1" customWidth="1" style="238" min="34" max="37"/>
    <col width="9.85546875" bestFit="1" customWidth="1" style="238" min="38" max="39"/>
    <col width="9" bestFit="1" customWidth="1" style="238" min="40" max="40"/>
    <col width="9.85546875" bestFit="1" customWidth="1" style="238" min="41" max="41"/>
    <col width="9" bestFit="1" customWidth="1" style="238" min="42" max="42"/>
    <col width="10.85546875" bestFit="1" customWidth="1" style="238" min="43" max="43"/>
    <col width="8.85546875" customWidth="1" style="238" min="44" max="16384"/>
  </cols>
  <sheetData>
    <row r="1">
      <c r="I1" s="241" t="n"/>
      <c r="J1" s="241" t="n"/>
      <c r="K1" s="241" t="n"/>
      <c r="L1" s="241" t="n">
        <v>40</v>
      </c>
      <c r="M1" s="241" t="n">
        <v>39</v>
      </c>
      <c r="N1" s="241" t="n">
        <v>34</v>
      </c>
      <c r="O1" s="241" t="n"/>
      <c r="P1" s="241" t="n"/>
      <c r="Q1" s="241" t="n"/>
      <c r="R1" s="241" t="n"/>
      <c r="S1" s="241" t="n"/>
      <c r="T1" s="241" t="n"/>
      <c r="U1" s="241" t="n">
        <v>1</v>
      </c>
      <c r="V1" s="241" t="n">
        <v>4</v>
      </c>
      <c r="W1" s="241" t="n">
        <v>8</v>
      </c>
      <c r="X1" s="241" t="n">
        <v>18</v>
      </c>
      <c r="Y1" s="241" t="n">
        <v>19</v>
      </c>
      <c r="Z1" s="241" t="n">
        <v>20</v>
      </c>
      <c r="AA1" s="241" t="n">
        <v>21</v>
      </c>
      <c r="AB1" s="241" t="n">
        <v>22</v>
      </c>
      <c r="AC1" s="241" t="n">
        <v>23</v>
      </c>
      <c r="AD1" s="241" t="n">
        <v>24</v>
      </c>
      <c r="AE1" s="241" t="n">
        <v>27</v>
      </c>
      <c r="AF1" s="241" t="n">
        <v>28</v>
      </c>
      <c r="AG1" s="241" t="n">
        <v>30</v>
      </c>
      <c r="AH1" s="241" t="n">
        <v>31</v>
      </c>
      <c r="AI1" s="241" t="n">
        <v>35</v>
      </c>
      <c r="AJ1" s="241" t="n">
        <v>36</v>
      </c>
      <c r="AK1" s="241" t="n">
        <v>37</v>
      </c>
      <c r="AL1" s="241" t="n">
        <v>42</v>
      </c>
      <c r="AM1" s="241" t="n">
        <v>43</v>
      </c>
      <c r="AN1" s="241" t="n">
        <v>44</v>
      </c>
      <c r="AO1" s="241" t="n">
        <v>45</v>
      </c>
      <c r="AP1" s="241" t="n">
        <v>51</v>
      </c>
      <c r="AQ1" s="241" t="n">
        <v>53</v>
      </c>
    </row>
    <row r="2" ht="94.5" customHeight="1">
      <c r="B2" s="245" t="inlineStr">
        <is>
          <t>Дата КП первичная</t>
        </is>
      </c>
      <c r="C2" s="245" t="inlineStr">
        <is>
          <t>Дата КП после корректировки</t>
        </is>
      </c>
      <c r="D2" s="245" t="inlineStr">
        <is>
          <t>Дата согласования</t>
        </is>
      </c>
      <c r="E2" s="245" t="inlineStr">
        <is>
          <t>Статус</t>
        </is>
      </c>
      <c r="F2" s="245" t="inlineStr">
        <is>
          <t>Контроллер</t>
        </is>
      </c>
      <c r="G2" s="245" t="inlineStr">
        <is>
          <t>Менеджер</t>
        </is>
      </c>
      <c r="H2" s="245" t="inlineStr">
        <is>
          <t>Заказчик</t>
        </is>
      </c>
      <c r="I2" s="244" t="inlineStr">
        <is>
          <t>Орг-продавец</t>
        </is>
      </c>
      <c r="J2" s="244" t="inlineStr">
        <is>
          <t>Выберите тип сделки</t>
        </is>
      </c>
      <c r="K2" s="244" t="inlineStr">
        <is>
          <t>Валюта КП</t>
        </is>
      </c>
      <c r="L2" s="240" t="inlineStr">
        <is>
          <t>Итого Сумма Продажи с НДС</t>
        </is>
      </c>
      <c r="M2" s="242" t="inlineStr">
        <is>
          <t>Сумма продажи без НДС</t>
        </is>
      </c>
      <c r="N2" s="242" t="inlineStr">
        <is>
          <t>Профит чистый (без НДС и фин. расходов и отката)</t>
        </is>
      </c>
      <c r="O2" s="244" t="inlineStr">
        <is>
          <t>Базис поставки</t>
        </is>
      </c>
      <c r="P2" s="244" t="inlineStr">
        <is>
          <t>срок поставки (дни)</t>
        </is>
      </c>
      <c r="Q2" s="244" t="inlineStr">
        <is>
          <t>сроки финальной оплаты (дни)</t>
        </is>
      </c>
      <c r="R2" s="244" t="inlineStr">
        <is>
          <t>Условие расчетов с Заказчиком</t>
        </is>
      </c>
      <c r="S2" s="244" t="inlineStr">
        <is>
          <t>Аванс от Заказчика при подписании спецификации</t>
        </is>
      </c>
      <c r="T2" s="244" t="inlineStr">
        <is>
          <t>Размер аванса Поставщику</t>
        </is>
      </c>
      <c r="U2" s="240" t="inlineStr">
        <is>
          <t>Бренд</t>
        </is>
      </c>
      <c r="V2" s="240" t="inlineStr">
        <is>
          <t>Кол-во</t>
        </is>
      </c>
      <c r="W2" s="240" t="inlineStr">
        <is>
          <t>Общий вес</t>
        </is>
      </c>
      <c r="X2" s="240" t="inlineStr">
        <is>
          <t>Сумма закупки в валюте КП без НДС</t>
        </is>
      </c>
      <c r="Y2" s="240" t="inlineStr">
        <is>
          <t>Сумма закупки в валюте КП с учетом НДС</t>
        </is>
      </c>
      <c r="Z2" s="240" t="inlineStr">
        <is>
          <t>Итого Стоимость финансирования</t>
        </is>
      </c>
      <c r="AA2" s="240" t="inlineStr">
        <is>
          <t>Комиссия за рассрочку* за вычетом аванса</t>
        </is>
      </c>
      <c r="AB2" s="240" t="inlineStr">
        <is>
          <t>Логистика ЕС+ТР</t>
        </is>
      </c>
      <c r="AC2" s="240" t="inlineStr">
        <is>
          <t>Логистика РФ</t>
        </is>
      </c>
      <c r="AD2" s="240" t="inlineStr">
        <is>
          <t>Итого Логистика</t>
        </is>
      </c>
      <c r="AE2" s="240" t="inlineStr">
        <is>
          <t>Пошлина = пошлина * (закупка + внутр. наценка)</t>
        </is>
      </c>
      <c r="AF2" s="240" t="inlineStr">
        <is>
          <t>Акциз
(ставка акциза в руб * на показатель)</t>
        </is>
      </c>
      <c r="AG2" s="242" t="inlineStr">
        <is>
          <t>Итого Себестоимость товара (без НДС)</t>
        </is>
      </c>
      <c r="AH2" s="240" t="inlineStr">
        <is>
          <t>Наценка Общая в %</t>
        </is>
      </c>
      <c r="AI2" s="243" t="inlineStr">
        <is>
          <t>Вознаграждение ЛПР (откат)</t>
        </is>
      </c>
      <c r="AJ2" s="240" t="inlineStr">
        <is>
          <t>Резерв на отриц. курсовую разницу (3% в договоре)</t>
        </is>
      </c>
      <c r="AK2" s="240" t="inlineStr">
        <is>
          <t>Комиссия фин/агента (% затрат вне РФ)</t>
        </is>
      </c>
      <c r="AL2" s="240" t="inlineStr">
        <is>
          <t>НДС с продаж</t>
        </is>
      </c>
      <c r="AM2" s="240" t="inlineStr">
        <is>
          <t>НДС (при импорте в РФ)</t>
        </is>
      </c>
      <c r="AN2" s="240" t="inlineStr">
        <is>
          <t>НДС к уплате за вычетом импортного НДС</t>
        </is>
      </c>
      <c r="AO2" s="240" t="inlineStr">
        <is>
          <t>Комиссия за Транзит</t>
        </is>
      </c>
      <c r="AP2" s="240" t="inlineStr">
        <is>
          <t>Внутренняя наценка</t>
        </is>
      </c>
      <c r="AQ2" s="240" t="inlineStr">
        <is>
          <t>Сумма валютной спецификации</t>
        </is>
      </c>
    </row>
    <row r="3" ht="27" customFormat="1" customHeight="1" s="246">
      <c r="B3" s="246" t="inlineStr">
        <is>
          <t>Дата вручную</t>
        </is>
      </c>
      <c r="C3" s="246" t="inlineStr">
        <is>
          <t>Дата вручную</t>
        </is>
      </c>
      <c r="D3" s="246" t="inlineStr">
        <is>
          <t>Дата вручную</t>
        </is>
      </c>
      <c r="E3" s="246" t="inlineStr">
        <is>
          <t>Вып. Список</t>
        </is>
      </c>
      <c r="F3" s="246" t="inlineStr">
        <is>
          <t>Вып. Список</t>
        </is>
      </c>
      <c r="H3" s="246" t="inlineStr">
        <is>
          <t>Вручную</t>
        </is>
      </c>
      <c r="I3" s="246">
        <f>VLOOKUP(I$2,расчет!$B$5:$D$12,3,FALSE)</f>
        <v/>
      </c>
      <c r="J3" s="246">
        <f>VLOOKUP(J$2,расчет!$B$5:$D$12,3,FALSE)</f>
        <v/>
      </c>
      <c r="K3" s="246">
        <f>VLOOKUP(K$2,расчет!$B$5:$D$12,3,FALSE)</f>
        <v/>
      </c>
      <c r="L3" s="248">
        <f>_xlfn.XLOOKUP(L2,расчет!14:14,расчет!13:13,0,0)</f>
        <v/>
      </c>
      <c r="M3" s="248">
        <f>_xlfn.XLOOKUP(M2,расчет!14:14,расчет!13:13,0,0)</f>
        <v/>
      </c>
      <c r="N3" s="248">
        <f>_xlfn.XLOOKUP(N2,расчет!14:14,расчет!13:13,0,0)</f>
        <v/>
      </c>
      <c r="O3" s="246">
        <f>VLOOKUP(O$2,расчет!$B$5:$D$12,3,FALSE)</f>
        <v/>
      </c>
      <c r="P3" s="246">
        <f>VLOOKUP(P$2,расчет!$B$5:$D$12,3,FALSE)</f>
        <v/>
      </c>
      <c r="Q3" s="246">
        <f>offer_post_pmt_due</f>
        <v/>
      </c>
      <c r="R3" s="246">
        <f>VLOOKUP(R$2,расчет!$B$5:$D$12,3,FALSE)</f>
        <v/>
      </c>
      <c r="S3" s="249">
        <f>расчет!J5</f>
        <v/>
      </c>
      <c r="T3" s="246">
        <f>VLOOKUP(T$2,расчет!$B$5:$D$12,3,FALSE)</f>
        <v/>
      </c>
      <c r="U3" s="248">
        <f>_xlfn.XLOOKUP(U2,расчет!14:14,расчет!13:13,0,0)</f>
        <v/>
      </c>
      <c r="V3" s="248">
        <f>_xlfn.XLOOKUP(V2,расчет!14:14,расчет!13:13,0,0)</f>
        <v/>
      </c>
      <c r="W3" s="248">
        <f>_xlfn.XLOOKUP(W2,расчет!14:14,расчет!13:13,0,0)</f>
        <v/>
      </c>
      <c r="X3" s="248">
        <f>_xlfn.XLOOKUP(X2,расчет!14:14,расчет!13:13,0,0)</f>
        <v/>
      </c>
      <c r="Y3" s="248">
        <f>_xlfn.XLOOKUP(Y2,расчет!14:14,расчет!13:13,0,0)</f>
        <v/>
      </c>
      <c r="Z3" s="248">
        <f>_xlfn.XLOOKUP(Z2,расчет!14:14,расчет!13:13,0,0)</f>
        <v/>
      </c>
      <c r="AA3" s="248">
        <f>_xlfn.XLOOKUP(AA2,расчет!14:14,расчет!13:13,0,0)</f>
        <v/>
      </c>
      <c r="AB3" s="248">
        <f>_xlfn.XLOOKUP(AB2,расчет!14:14,расчет!13:13,0,0)</f>
        <v/>
      </c>
      <c r="AC3" s="248">
        <f>_xlfn.XLOOKUP(AC2,расчет!14:14,расчет!13:13,0,0)</f>
        <v/>
      </c>
      <c r="AD3" s="248">
        <f>_xlfn.XLOOKUP(AD2,расчет!14:14,расчет!13:13,0,0)</f>
        <v/>
      </c>
      <c r="AE3" s="248">
        <f>_xlfn.XLOOKUP(AE2,расчет!14:14,расчет!13:13,0,0)</f>
        <v/>
      </c>
      <c r="AF3" s="248">
        <f>_xlfn.XLOOKUP(AF2,расчет!14:14,расчет!13:13,0,0)</f>
        <v/>
      </c>
      <c r="AG3" s="248">
        <f>_xlfn.XLOOKUP(AG2,расчет!14:14,расчет!13:13,0,0)</f>
        <v/>
      </c>
      <c r="AH3" s="247">
        <f>_xlfn.XLOOKUP(AH2,расчет!14:14,расчет!13:13,0,0)</f>
        <v/>
      </c>
      <c r="AI3" s="248">
        <f>_xlfn.XLOOKUP(AI2,расчет!14:14,расчет!13:13,0,0)</f>
        <v/>
      </c>
      <c r="AJ3" s="248">
        <f>_xlfn.XLOOKUP(AJ2,расчет!14:14,расчет!13:13,0,0)</f>
        <v/>
      </c>
      <c r="AK3" s="248">
        <f>_xlfn.XLOOKUP(AK2,расчет!14:14,расчет!13:13,0,0)</f>
        <v/>
      </c>
      <c r="AL3" s="248">
        <f>_xlfn.XLOOKUP(AL2,расчет!14:14,расчет!13:13,0,0)</f>
        <v/>
      </c>
      <c r="AM3" s="248">
        <f>_xlfn.XLOOKUP(AM2,расчет!14:14,расчет!13:13,0,0)</f>
        <v/>
      </c>
      <c r="AN3" s="248">
        <f>_xlfn.XLOOKUP(AN2,расчет!14:14,расчет!13:13,0,0)</f>
        <v/>
      </c>
      <c r="AO3" s="248">
        <f>_xlfn.XLOOKUP(AO2,расчет!14:14,расчет!13:13,0,0)</f>
        <v/>
      </c>
      <c r="AP3" s="247">
        <f>_xlfn.XLOOKUP(AP2,расчет!14:14,расчет!13:13,0,0)</f>
        <v/>
      </c>
      <c r="AQ3" s="248">
        <f>_xlfn.XLOOKUP(AQ2,расчет!14:14,расчет!13:13,0,0)</f>
        <v/>
      </c>
    </row>
    <row r="4" ht="27" customHeight="1">
      <c r="G4" s="246" t="inlineStr">
        <is>
          <t>Вып. Список</t>
        </is>
      </c>
      <c r="I4" s="246" t="inlineStr">
        <is>
          <t>Вып. Список</t>
        </is>
      </c>
      <c r="J4" s="246" t="inlineStr">
        <is>
          <t>Вып. Список</t>
        </is>
      </c>
      <c r="K4" s="246" t="inlineStr">
        <is>
          <t>Вып. Список</t>
        </is>
      </c>
      <c r="O4" s="246" t="inlineStr">
        <is>
          <t>Вып. Список</t>
        </is>
      </c>
      <c r="R4" s="246" t="inlineStr">
        <is>
          <t>Вып. Список</t>
        </is>
      </c>
    </row>
  </sheetData>
  <pageMargins left="0.7" right="0.7" top="0.75" bottom="0.75" header="0.3" footer="0.3"/>
</worksheet>
</file>

<file path=xl/worksheets/sheet6.xml><?xml version="1.0" encoding="utf-8"?>
<worksheet xmlns="http://schemas.openxmlformats.org/spreadsheetml/2006/main">
  <sheetPr codeName="Лист1">
    <outlinePr summaryBelow="1" summaryRight="1"/>
    <pageSetUpPr/>
  </sheetPr>
  <dimension ref="B1:O66"/>
  <sheetViews>
    <sheetView topLeftCell="C10" zoomScale="90" zoomScaleNormal="90" workbookViewId="0">
      <selection activeCell="N29" sqref="N29:O29"/>
    </sheetView>
  </sheetViews>
  <sheetFormatPr baseColWidth="8" defaultRowHeight="15"/>
  <cols>
    <col width="3" customWidth="1" min="1" max="1"/>
    <col width="46.28515625" customWidth="1" min="2" max="2"/>
    <col width="21.7109375" customWidth="1" min="3" max="4"/>
    <col width="8.42578125" customWidth="1" min="5" max="5"/>
    <col width="13" customWidth="1" min="6" max="6"/>
    <col width="38.85546875" customWidth="1" style="83" min="7" max="7"/>
    <col width="12" customWidth="1" style="83" min="8" max="8"/>
    <col width="12.42578125" customWidth="1" style="83" min="9" max="9"/>
    <col width="12.85546875" customWidth="1" style="83" min="10" max="10"/>
    <col width="14.7109375" bestFit="1" customWidth="1" style="83" min="11" max="11"/>
    <col width="12.42578125" customWidth="1" style="424" min="12" max="12"/>
    <col width="18.42578125" customWidth="1" style="83" min="13" max="13"/>
    <col width="17" customWidth="1" min="14" max="14"/>
  </cols>
  <sheetData>
    <row r="1" ht="15.75" customHeight="1">
      <c r="G1" s="94">
        <f>расчет!B4</f>
        <v/>
      </c>
    </row>
    <row r="2">
      <c r="G2" s="305">
        <f>расчет!B5</f>
        <v/>
      </c>
      <c r="H2" s="305">
        <f>seller_company</f>
        <v/>
      </c>
    </row>
    <row r="3">
      <c r="G3" s="303">
        <f>расчет!B6</f>
        <v/>
      </c>
      <c r="H3" s="303">
        <f>offer_sale_type</f>
        <v/>
      </c>
    </row>
    <row r="4">
      <c r="G4" s="303">
        <f>расчет!B7</f>
        <v/>
      </c>
      <c r="H4" s="303">
        <f>offer_incoterms</f>
        <v/>
      </c>
    </row>
    <row r="5">
      <c r="G5" s="303">
        <f>расчет!B8</f>
        <v/>
      </c>
      <c r="H5" s="303">
        <f>offer_currency</f>
        <v/>
      </c>
      <c r="L5" s="425">
        <f>H5=M5</f>
        <v/>
      </c>
      <c r="M5" s="306" t="inlineStr">
        <is>
          <t>EUR</t>
        </is>
      </c>
    </row>
    <row r="6">
      <c r="G6" s="303">
        <f>расчет!B9</f>
        <v/>
      </c>
      <c r="H6" s="303">
        <f>offer_turnaround_time</f>
        <v/>
      </c>
    </row>
    <row r="7">
      <c r="G7" s="303" t="inlineStr">
        <is>
          <t>Наценка</t>
        </is>
      </c>
      <c r="H7" s="307">
        <f>H12/(H12-H35)-1</f>
        <v/>
      </c>
    </row>
    <row r="8">
      <c r="B8">
        <f t="array" ref="B8:C66">TRANSPOSE(расчет!A14:BG15)</f>
        <v/>
      </c>
      <c r="C8" t="n">
        <v>0</v>
      </c>
      <c r="D8" s="85">
        <f t="array" ref="D8:D66">TRANSPOSE(расчет!A13:BG13)</f>
        <v/>
      </c>
      <c r="G8" s="310" t="inlineStr">
        <is>
          <t>Продажа/Закупка</t>
        </is>
      </c>
      <c r="H8" s="308">
        <f>H12/H13</f>
        <v/>
      </c>
    </row>
    <row r="9">
      <c r="B9" t="inlineStr">
        <is>
          <t>Бренд</t>
        </is>
      </c>
      <c r="C9" t="n">
        <v>1</v>
      </c>
      <c r="D9">
        <f/>
        <v/>
      </c>
      <c r="G9" s="303">
        <f>расчет!B10</f>
        <v/>
      </c>
      <c r="H9" s="303">
        <f>offer_pmt_terms</f>
        <v/>
      </c>
    </row>
    <row r="10">
      <c r="B10" t="inlineStr">
        <is>
          <t>Артикул №</t>
        </is>
      </c>
      <c r="C10" t="n">
        <v>2</v>
      </c>
      <c r="D10">
        <f/>
        <v/>
      </c>
      <c r="G10" s="303">
        <f>расчет!B11</f>
        <v/>
      </c>
      <c r="H10" s="303">
        <f>advance_to_vendor</f>
        <v/>
      </c>
    </row>
    <row r="11" ht="26.25" customHeight="1">
      <c r="B11" t="inlineStr">
        <is>
          <t>Номенклатурное наименование</t>
        </is>
      </c>
      <c r="C11" t="n">
        <v>3</v>
      </c>
      <c r="D11">
        <f/>
        <v/>
      </c>
      <c r="G11" s="227" t="inlineStr">
        <is>
          <t>Бюджет Доходов и Расходов</t>
        </is>
      </c>
      <c r="H11" s="99" t="inlineStr">
        <is>
          <t>без НДС</t>
        </is>
      </c>
      <c r="I11" s="228" t="inlineStr">
        <is>
          <t>% от выручки</t>
        </is>
      </c>
      <c r="J11" s="95" t="inlineStr">
        <is>
          <t>с НДС</t>
        </is>
      </c>
      <c r="K11" s="99" t="inlineStr">
        <is>
          <t>НДС</t>
        </is>
      </c>
      <c r="L11" s="426" t="inlineStr">
        <is>
          <t>отклонения</t>
        </is>
      </c>
      <c r="M11" s="99" t="inlineStr">
        <is>
          <t>КА  без НДС</t>
        </is>
      </c>
      <c r="N11" s="99" t="inlineStr">
        <is>
          <t>СП</t>
        </is>
      </c>
      <c r="O11" s="99" t="inlineStr">
        <is>
          <t>НДС в СП</t>
        </is>
      </c>
    </row>
    <row r="12">
      <c r="B12" t="inlineStr">
        <is>
          <t>Кол-во</t>
        </is>
      </c>
      <c r="C12" t="n">
        <v>4</v>
      </c>
      <c r="D12">
        <f/>
        <v/>
      </c>
      <c r="G12" s="178" t="inlineStr">
        <is>
          <t>Сумма продажи без НДС</t>
        </is>
      </c>
      <c r="H12" s="435">
        <f>VLOOKUP(G12,B:D,3,FALSE)</f>
        <v/>
      </c>
      <c r="I12" s="436">
        <f>H12/H$12</f>
        <v/>
      </c>
      <c r="J12" s="231">
        <f>расчет!AL13</f>
        <v/>
      </c>
      <c r="K12" s="232">
        <f>J12-H12</f>
        <v/>
      </c>
      <c r="L12" s="427">
        <f>H12-M12</f>
        <v/>
      </c>
      <c r="M12" s="435">
        <f>N12-O12</f>
        <v/>
      </c>
    </row>
    <row r="13">
      <c r="B13" t="inlineStr">
        <is>
          <t>ед. изм</t>
        </is>
      </c>
      <c r="C13" t="n">
        <v>5</v>
      </c>
      <c r="D13">
        <f/>
        <v/>
      </c>
      <c r="G13" s="83">
        <f>расчет!S14</f>
        <v/>
      </c>
      <c r="H13" s="85">
        <f>VLOOKUP(G13,B:D,3,FALSE)</f>
        <v/>
      </c>
      <c r="I13" s="87">
        <f>H13/H$12</f>
        <v/>
      </c>
      <c r="J13" s="88" t="n">
        <v>0</v>
      </c>
      <c r="K13" s="88">
        <f>J13-H13</f>
        <v/>
      </c>
      <c r="L13" s="428">
        <f>H13-M13</f>
        <v/>
      </c>
      <c r="M13" s="474" t="n"/>
    </row>
    <row r="14" ht="15.75" customHeight="1" thickBot="1">
      <c r="B14" t="inlineStr">
        <is>
          <t>Вес шт</t>
        </is>
      </c>
      <c r="C14" t="n">
        <v>6</v>
      </c>
      <c r="D14">
        <f/>
        <v/>
      </c>
      <c r="G14" s="216" t="inlineStr">
        <is>
          <t>Марж. Прибыль</t>
        </is>
      </c>
      <c r="H14" s="217">
        <f>H12-H13</f>
        <v/>
      </c>
      <c r="I14" s="218">
        <f>H14/H$12</f>
        <v/>
      </c>
      <c r="J14" s="219" t="n"/>
      <c r="K14" s="88">
        <f>J14-H14</f>
        <v/>
      </c>
      <c r="L14" s="429">
        <f>H14-M14</f>
        <v/>
      </c>
      <c r="M14" s="217">
        <f>+M12-M13</f>
        <v/>
      </c>
    </row>
    <row r="15" ht="15.75" customHeight="1" thickTop="1">
      <c r="B15" t="inlineStr">
        <is>
          <t>Фасовка</t>
        </is>
      </c>
      <c r="C15" t="n">
        <v>7</v>
      </c>
      <c r="D15">
        <f/>
        <v/>
      </c>
      <c r="G15" s="214">
        <f>расчет!V2</f>
        <v/>
      </c>
      <c r="H15" s="215">
        <f>расчет!W2</f>
        <v/>
      </c>
      <c r="I15" s="87">
        <f>H15/H$12</f>
        <v/>
      </c>
      <c r="L15" s="430">
        <f>H15-M15</f>
        <v/>
      </c>
      <c r="M15" s="431">
        <f>H15</f>
        <v/>
      </c>
    </row>
    <row r="16">
      <c r="B16" t="inlineStr">
        <is>
          <t>Общий вес</t>
        </is>
      </c>
      <c r="C16" t="n">
        <v>8</v>
      </c>
      <c r="D16">
        <f/>
        <v/>
      </c>
      <c r="G16" s="214">
        <f>расчет!V3</f>
        <v/>
      </c>
      <c r="H16" s="215">
        <f>расчет!W3</f>
        <v/>
      </c>
      <c r="I16" s="432">
        <f>H16/H$12</f>
        <v/>
      </c>
      <c r="J16" s="433" t="n"/>
      <c r="K16" s="433" t="n"/>
      <c r="L16" s="434">
        <f>H16-M16</f>
        <v/>
      </c>
      <c r="M16" s="431">
        <f>H16</f>
        <v/>
      </c>
    </row>
    <row r="17">
      <c r="B17" t="inlineStr">
        <is>
          <t>Валюта закупки</t>
        </is>
      </c>
      <c r="C17" t="n">
        <v>9</v>
      </c>
      <c r="D17">
        <f/>
        <v/>
      </c>
      <c r="G17" s="214">
        <f>расчет!V4</f>
        <v/>
      </c>
      <c r="H17" s="215">
        <f>расчет!W4</f>
        <v/>
      </c>
      <c r="I17" s="432">
        <f>H17/H$12</f>
        <v/>
      </c>
      <c r="J17" s="433" t="n"/>
      <c r="K17" s="433" t="n"/>
      <c r="L17" s="434">
        <f>H17-M17</f>
        <v/>
      </c>
      <c r="M17" s="431">
        <f>H17</f>
        <v/>
      </c>
    </row>
    <row r="18">
      <c r="B18" t="inlineStr">
        <is>
          <t>Цена закупки в Ориг. Валюте с НДС</t>
        </is>
      </c>
      <c r="C18" t="n">
        <v>10</v>
      </c>
      <c r="D18">
        <f/>
        <v/>
      </c>
      <c r="G18" s="214">
        <f>расчет!V5</f>
        <v/>
      </c>
      <c r="H18" s="215">
        <f>расчет!W5</f>
        <v/>
      </c>
      <c r="I18" s="432">
        <f>H18/H$12</f>
        <v/>
      </c>
      <c r="J18" s="433" t="n"/>
      <c r="K18" s="433" t="n"/>
      <c r="L18" s="434">
        <f>H18-M18</f>
        <v/>
      </c>
      <c r="M18" s="431">
        <f>H18</f>
        <v/>
      </c>
    </row>
    <row r="19">
      <c r="B19" t="inlineStr">
        <is>
          <t>Страна Закупки</t>
        </is>
      </c>
      <c r="C19" t="n">
        <v>11</v>
      </c>
      <c r="D19">
        <f/>
        <v/>
      </c>
      <c r="G19" s="214">
        <f>расчет!V6</f>
        <v/>
      </c>
      <c r="H19" s="215">
        <f>расчет!W6</f>
        <v/>
      </c>
      <c r="I19" s="432">
        <f>H19/H$12</f>
        <v/>
      </c>
      <c r="J19" s="433" t="n"/>
      <c r="K19" s="433" t="n"/>
      <c r="L19" s="434">
        <f>H19-M19</f>
        <v/>
      </c>
      <c r="M19" s="431">
        <f>H19</f>
        <v/>
      </c>
    </row>
    <row r="20">
      <c r="B20" t="inlineStr">
        <is>
          <t>Ставка НДС в закупке %</t>
        </is>
      </c>
      <c r="C20" t="n">
        <v>12</v>
      </c>
      <c r="D20">
        <f/>
        <v/>
      </c>
      <c r="G20" s="214">
        <f>расчет!V7</f>
        <v/>
      </c>
      <c r="H20" s="215">
        <f>расчет!W7</f>
        <v/>
      </c>
      <c r="I20" s="87">
        <f>H20/H$12</f>
        <v/>
      </c>
      <c r="L20" s="430">
        <f>H20-M20</f>
        <v/>
      </c>
      <c r="M20" s="215">
        <f>H20</f>
        <v/>
      </c>
    </row>
    <row r="21">
      <c r="B21" t="inlineStr">
        <is>
          <t>Цена закупки в Ориг. Валюте без НДС за шт.</t>
        </is>
      </c>
      <c r="C21" t="n">
        <v>13</v>
      </c>
      <c r="D21">
        <f/>
        <v/>
      </c>
      <c r="G21" s="214">
        <f>расчет!V8</f>
        <v/>
      </c>
      <c r="H21" s="215">
        <f>расчет!W8</f>
        <v/>
      </c>
      <c r="I21" s="87">
        <f>H21/H$12</f>
        <v/>
      </c>
      <c r="L21" s="430">
        <f>H21-M21</f>
        <v/>
      </c>
      <c r="M21" s="215">
        <f>H21</f>
        <v/>
      </c>
    </row>
    <row r="22">
      <c r="B22" t="inlineStr">
        <is>
          <t>СКИДКА ПОСТАВЩИКА (при наличии)</t>
        </is>
      </c>
      <c r="C22" t="n">
        <v>14</v>
      </c>
      <c r="D22">
        <f/>
        <v/>
      </c>
      <c r="G22" s="214">
        <f>расчет!V9</f>
        <v/>
      </c>
      <c r="H22" s="215">
        <f>расчет!W9</f>
        <v/>
      </c>
      <c r="I22" s="87">
        <f>H22/H$12</f>
        <v/>
      </c>
      <c r="L22" s="430">
        <f>H22-M22</f>
        <v/>
      </c>
      <c r="M22" s="215">
        <f>H22</f>
        <v/>
      </c>
    </row>
    <row r="23">
      <c r="B23" t="inlineStr">
        <is>
          <t>Цена закупки со Скидкой в Ориг. Валюте без НДС за шт.</t>
        </is>
      </c>
      <c r="C23" t="n">
        <v>15</v>
      </c>
      <c r="D23">
        <f/>
        <v/>
      </c>
      <c r="G23" s="214">
        <f>расчет!V10</f>
        <v/>
      </c>
      <c r="H23" s="215">
        <f>расчет!W10</f>
        <v/>
      </c>
      <c r="I23" s="87">
        <f>H23/H$12</f>
        <v/>
      </c>
      <c r="L23" s="430">
        <f>H23-M23</f>
        <v/>
      </c>
      <c r="M23" s="215">
        <f>H23</f>
        <v/>
      </c>
    </row>
    <row r="24">
      <c r="B24" t="inlineStr">
        <is>
          <t>Курс валют к валюте КП</t>
        </is>
      </c>
      <c r="C24" t="n">
        <v>16</v>
      </c>
      <c r="D24">
        <f/>
        <v/>
      </c>
      <c r="G24" s="178" t="inlineStr">
        <is>
          <t>Итого Логистика</t>
        </is>
      </c>
      <c r="H24" s="435">
        <f>VLOOKUP(G24,B:D,3,FALSE)</f>
        <v/>
      </c>
      <c r="I24" s="436">
        <f>H24/H$12</f>
        <v/>
      </c>
      <c r="J24" s="178">
        <f>H24=SUM(H15:H23)</f>
        <v/>
      </c>
      <c r="K24" s="178" t="n"/>
      <c r="L24" s="430">
        <f>H24-M24</f>
        <v/>
      </c>
      <c r="M24" s="435">
        <f>+SUM(M15:M23)</f>
        <v/>
      </c>
    </row>
    <row r="25">
      <c r="B25" t="inlineStr">
        <is>
          <t>Цена Закупки в валюте КП без НДС за шт.</t>
        </is>
      </c>
      <c r="C25" t="n">
        <v>17</v>
      </c>
      <c r="D25">
        <f/>
        <v/>
      </c>
      <c r="G25" s="83" t="inlineStr">
        <is>
          <t>Пошлина = пошлина * (закупка + внутр. наценка)</t>
        </is>
      </c>
      <c r="H25" s="435">
        <f>VLOOKUP(G25,B:D,3,FALSE)</f>
        <v/>
      </c>
      <c r="I25" s="87">
        <f>H25/H$12</f>
        <v/>
      </c>
      <c r="K25" s="437">
        <f>H25/H13</f>
        <v/>
      </c>
      <c r="L25" s="430">
        <f>H25-M25</f>
        <v/>
      </c>
      <c r="M25" s="85">
        <f>H25</f>
        <v/>
      </c>
    </row>
    <row r="26">
      <c r="B26" t="inlineStr">
        <is>
          <t>Сумма закупки в валюте КП без НДС</t>
        </is>
      </c>
      <c r="C26" t="n">
        <v>18</v>
      </c>
      <c r="D26">
        <f/>
        <v/>
      </c>
      <c r="G26" s="83" t="inlineStr">
        <is>
          <t>Акциз
(ставка акциза в руб * на показатель)</t>
        </is>
      </c>
      <c r="H26" s="435">
        <f>VLOOKUP(G26,B:D,3,FALSE)</f>
        <v/>
      </c>
      <c r="I26" s="87">
        <f>H26/H$12</f>
        <v/>
      </c>
      <c r="L26" s="428">
        <f>H26-M26</f>
        <v/>
      </c>
      <c r="M26" s="85">
        <f>H26</f>
        <v/>
      </c>
    </row>
    <row r="27">
      <c r="B27" t="inlineStr">
        <is>
          <t>Логистика ЕС+ТР</t>
        </is>
      </c>
      <c r="C27" t="n">
        <v>19</v>
      </c>
      <c r="D27">
        <f/>
        <v/>
      </c>
      <c r="G27" s="223" t="inlineStr">
        <is>
          <t>Итого Прямые Затраты</t>
        </is>
      </c>
      <c r="H27" s="435">
        <f>+SUM(H13,H24:H26)</f>
        <v/>
      </c>
      <c r="I27" s="225">
        <f>H27/H$12</f>
        <v/>
      </c>
      <c r="L27" s="438">
        <f>H27-M27</f>
        <v/>
      </c>
      <c r="M27" s="224">
        <f>M13+M24+K25+M25+M26</f>
        <v/>
      </c>
    </row>
    <row r="28" ht="15.75" customHeight="1" thickBot="1">
      <c r="B28" t="inlineStr">
        <is>
          <t>Логистика РФ</t>
        </is>
      </c>
      <c r="C28" t="n">
        <v>20</v>
      </c>
      <c r="D28">
        <f/>
        <v/>
      </c>
      <c r="G28" s="216" t="inlineStr">
        <is>
          <t>Валовая Прибыль</t>
        </is>
      </c>
      <c r="H28" s="217">
        <f>H14-SUM(H24,H25:H26)</f>
        <v/>
      </c>
      <c r="I28" s="218">
        <f>H28/H$12</f>
        <v/>
      </c>
      <c r="J28" s="746">
        <f>H12-H27</f>
        <v/>
      </c>
      <c r="L28" s="429">
        <f>H28-M28</f>
        <v/>
      </c>
      <c r="M28" s="217">
        <f>M14-M24-M25-M26</f>
        <v/>
      </c>
    </row>
    <row r="29" ht="15.75" customHeight="1" thickTop="1">
      <c r="B29" t="inlineStr">
        <is>
          <t>Итого Логистика</t>
        </is>
      </c>
      <c r="C29" t="n">
        <v>21</v>
      </c>
      <c r="D29">
        <f/>
        <v/>
      </c>
      <c r="G29" s="83" t="inlineStr">
        <is>
          <t>Комиссия фин/агента (% затрат вне РФ)</t>
        </is>
      </c>
      <c r="H29" s="85">
        <f>VLOOKUP(G29,B:D,3,FALSE)</f>
        <v/>
      </c>
      <c r="I29" s="87">
        <f>H29/H$12</f>
        <v/>
      </c>
      <c r="J29" s="97" t="n">
        <v>0</v>
      </c>
      <c r="K29" s="817" t="n">
        <v>0.04</v>
      </c>
      <c r="L29" s="428">
        <f>H29-M29</f>
        <v/>
      </c>
      <c r="M29" s="85">
        <f>H29</f>
        <v/>
      </c>
      <c r="N29" s="818">
        <f>H29/0.02</f>
        <v/>
      </c>
      <c r="O29" s="818">
        <f>N29-H13</f>
        <v/>
      </c>
    </row>
    <row r="30">
      <c r="B30" t="inlineStr">
        <is>
          <t>Код ТН ВЭД</t>
        </is>
      </c>
      <c r="C30" t="n">
        <v>22</v>
      </c>
      <c r="D30">
        <f/>
        <v/>
      </c>
      <c r="G30" s="83" t="inlineStr">
        <is>
          <t>Резерв на отриц. курсовую разницу (3% в договоре)</t>
        </is>
      </c>
      <c r="H30" s="85">
        <f>VLOOKUP(G30,B:D,3,FALSE)</f>
        <v/>
      </c>
      <c r="I30" s="87">
        <f>H30/H$12</f>
        <v/>
      </c>
      <c r="J30" s="97" t="n">
        <v>0</v>
      </c>
      <c r="K30" s="97" t="n"/>
      <c r="L30" s="428">
        <f>H30-M30</f>
        <v/>
      </c>
      <c r="M30" s="85">
        <f>H30</f>
        <v/>
      </c>
    </row>
    <row r="31">
      <c r="B31" t="inlineStr">
        <is>
          <t>Пошлина в %</t>
        </is>
      </c>
      <c r="C31" t="n">
        <v>23</v>
      </c>
      <c r="D31">
        <f/>
        <v/>
      </c>
      <c r="G31" s="83" t="inlineStr">
        <is>
          <t>Вознаграждение ЛПР (откат)</t>
        </is>
      </c>
      <c r="H31" s="85">
        <f>VLOOKUP(G31,B:D,3,FALSE)</f>
        <v/>
      </c>
      <c r="I31" s="87">
        <f>H31/H$12</f>
        <v/>
      </c>
      <c r="J31" s="96" t="n">
        <v>0</v>
      </c>
      <c r="K31" s="96" t="n"/>
      <c r="L31" s="428">
        <f>H31-M31</f>
        <v/>
      </c>
      <c r="M31" s="85">
        <f>H31</f>
        <v/>
      </c>
    </row>
    <row r="32">
      <c r="B32" t="inlineStr">
        <is>
          <t>Пошлина = пошлина * (закупка + внутр. наценка)</t>
        </is>
      </c>
      <c r="C32" t="n">
        <v>24</v>
      </c>
      <c r="D32">
        <f/>
        <v/>
      </c>
      <c r="G32" s="83" t="inlineStr">
        <is>
          <t>Итого Стоимость финансирования</t>
        </is>
      </c>
      <c r="H32" s="85">
        <f>VLOOKUP(G32,B:D,3,FALSE)</f>
        <v/>
      </c>
      <c r="I32" s="87">
        <f>H32/H$12</f>
        <v/>
      </c>
      <c r="L32" s="428">
        <f>H32-M32</f>
        <v/>
      </c>
      <c r="M32" s="85">
        <f>H32</f>
        <v/>
      </c>
    </row>
    <row r="33">
      <c r="B33" t="inlineStr">
        <is>
          <t>Акциз
(ставка акциза в руб * на показатель)</t>
        </is>
      </c>
      <c r="C33" t="n">
        <v>25</v>
      </c>
      <c r="D33">
        <f/>
        <v/>
      </c>
      <c r="G33" s="83" t="inlineStr">
        <is>
          <t>Комиссия за рассрочку* за вычетом аванса</t>
        </is>
      </c>
      <c r="H33" s="85">
        <f>VLOOKUP(G33,B:D,3,FALSE)</f>
        <v/>
      </c>
      <c r="I33" s="87">
        <f>H33/H$12</f>
        <v/>
      </c>
      <c r="L33" s="428">
        <f>H33-M33</f>
        <v/>
      </c>
      <c r="M33" s="85">
        <f>H33</f>
        <v/>
      </c>
    </row>
    <row r="34">
      <c r="B34" t="inlineStr">
        <is>
          <t>Себестоимость, шт. (без НДС)</t>
        </is>
      </c>
      <c r="C34" t="n">
        <v>26</v>
      </c>
      <c r="D34">
        <f/>
        <v/>
      </c>
      <c r="G34" s="220" t="inlineStr">
        <is>
          <t>Итого фин. Расходы</t>
        </is>
      </c>
      <c r="H34" s="221">
        <f>SUM(H29:H33)</f>
        <v/>
      </c>
      <c r="I34" s="222">
        <f>H34/H$12</f>
        <v/>
      </c>
      <c r="L34" s="440">
        <f>H34-M34</f>
        <v/>
      </c>
      <c r="M34" s="221">
        <f>SUM(M29:M33)</f>
        <v/>
      </c>
    </row>
    <row r="35">
      <c r="B35" t="inlineStr">
        <is>
          <t>Итого Себестоимость товара (без НДС)</t>
        </is>
      </c>
      <c r="C35" t="n">
        <v>27</v>
      </c>
      <c r="D35">
        <f/>
        <v/>
      </c>
      <c r="F35">
        <f>расчет!AF14</f>
        <v/>
      </c>
      <c r="G35" s="441" t="inlineStr">
        <is>
          <t>Чистая прибыль до налогов</t>
        </is>
      </c>
      <c r="H35" s="442">
        <f>H28-H34</f>
        <v/>
      </c>
      <c r="I35" s="443">
        <f>H35/H$12</f>
        <v/>
      </c>
      <c r="J35" s="444">
        <f>VLOOKUP(F35,B:D,3,FALSE)</f>
        <v/>
      </c>
      <c r="K35" s="748">
        <f>ROUND(J35,1)-ROUND(H35,1)</f>
        <v/>
      </c>
      <c r="L35" s="445">
        <f>H35-M35</f>
        <v/>
      </c>
      <c r="M35" s="442">
        <f>+M28-M34</f>
        <v/>
      </c>
    </row>
    <row r="36" ht="21" customHeight="1">
      <c r="B36" t="inlineStr">
        <is>
          <t>Наценка Общая в %</t>
        </is>
      </c>
      <c r="C36" t="n">
        <v>28</v>
      </c>
      <c r="D36">
        <f/>
        <v/>
      </c>
      <c r="G36" s="714" t="inlineStr">
        <is>
          <t>ДЛЯ АЗАТА:</t>
        </is>
      </c>
      <c r="H36" s="819" t="n"/>
      <c r="I36" s="819" t="n"/>
      <c r="J36" s="446" t="n">
        <v>0.5</v>
      </c>
      <c r="K36" s="447" t="n">
        <v>0.25</v>
      </c>
      <c r="L36" s="448" t="inlineStr">
        <is>
          <t>Налоги РФ</t>
        </is>
      </c>
      <c r="M36" s="449">
        <f>(M$35*$J36)*$K36</f>
        <v/>
      </c>
      <c r="N36" s="475" t="inlineStr">
        <is>
          <t>РАД РЕСУРС</t>
        </is>
      </c>
    </row>
    <row r="37">
      <c r="B37" t="inlineStr">
        <is>
          <t>Цена продажи (без учета фин. расходов и отката)</t>
        </is>
      </c>
      <c r="C37" t="n">
        <v>29</v>
      </c>
      <c r="D37">
        <f/>
        <v/>
      </c>
      <c r="G37" s="450" t="inlineStr">
        <is>
          <t>Справочно:</t>
        </is>
      </c>
      <c r="H37" s="451" t="n"/>
      <c r="I37" s="452" t="n"/>
      <c r="J37" s="453">
        <f>1-J36</f>
        <v/>
      </c>
      <c r="K37" s="453" t="n">
        <v>0.25</v>
      </c>
      <c r="L37" s="454" t="inlineStr">
        <is>
          <t>Налоги ТР</t>
        </is>
      </c>
      <c r="M37" s="455">
        <f>(M$35*$J37)*$K37</f>
        <v/>
      </c>
      <c r="N37" s="461" t="inlineStr">
        <is>
          <t xml:space="preserve">TEXCEL </t>
        </is>
      </c>
    </row>
    <row r="38" ht="15.75" customHeight="1" thickBot="1">
      <c r="B38" t="inlineStr">
        <is>
          <t>Себестоимость + Маржа (без НДС)</t>
        </is>
      </c>
      <c r="C38" t="n">
        <v>30</v>
      </c>
      <c r="D38">
        <f/>
        <v/>
      </c>
      <c r="G38" s="456" t="inlineStr">
        <is>
          <t>Сумма валютной спецификации</t>
        </is>
      </c>
      <c r="H38" s="451">
        <f>H39*(1+H40)</f>
        <v/>
      </c>
      <c r="I38" s="452" t="n"/>
      <c r="J38" s="457" t="n"/>
      <c r="K38" s="457" t="n"/>
      <c r="L38" s="458" t="inlineStr">
        <is>
          <t>Итого Налоги</t>
        </is>
      </c>
      <c r="M38" s="459">
        <f>+M36+M37</f>
        <v/>
      </c>
    </row>
    <row r="39" ht="15.75" customHeight="1" thickTop="1">
      <c r="B39" t="inlineStr">
        <is>
          <t>Профит чистый (без НДС и фин. расходов и отката)</t>
        </is>
      </c>
      <c r="C39" t="n">
        <v>31</v>
      </c>
      <c r="D39">
        <f/>
        <v/>
      </c>
      <c r="G39" s="456" t="inlineStr">
        <is>
          <t>Закупка</t>
        </is>
      </c>
      <c r="H39" s="460">
        <f>H13</f>
        <v/>
      </c>
      <c r="I39" s="452" t="n"/>
      <c r="J39" s="457" t="n"/>
      <c r="K39" s="461" t="n"/>
      <c r="L39" s="462" t="inlineStr">
        <is>
          <t>ПРИБЫЛЬ ПОСЛЕ НАЛОГОВ</t>
        </is>
      </c>
      <c r="M39" s="820">
        <f>M35-M38</f>
        <v/>
      </c>
      <c r="N39" s="476" t="inlineStr">
        <is>
          <t>рент ЧП</t>
        </is>
      </c>
      <c r="O39" s="443">
        <f>M39/M12</f>
        <v/>
      </c>
    </row>
    <row r="40">
      <c r="B40" t="inlineStr">
        <is>
          <t>Вознаграждение ЛПР (откат)</t>
        </is>
      </c>
      <c r="C40" t="n">
        <v>32</v>
      </c>
      <c r="D40">
        <f/>
        <v/>
      </c>
      <c r="G40" s="464" t="inlineStr">
        <is>
          <t>внутр. наценка</t>
        </is>
      </c>
      <c r="H40" s="821" t="n">
        <v>0.1</v>
      </c>
      <c r="I40" s="452" t="n"/>
      <c r="J40" s="457" t="n"/>
      <c r="K40" s="466" t="n">
        <v>0.02</v>
      </c>
      <c r="L40" s="461" t="inlineStr">
        <is>
          <t>Итого Риски</t>
        </is>
      </c>
      <c r="M40" s="820">
        <f>K40*M24</f>
        <v/>
      </c>
      <c r="N40" s="461" t="inlineStr">
        <is>
          <t>логистика</t>
        </is>
      </c>
      <c r="O40" s="461" t="n"/>
    </row>
    <row r="41">
      <c r="B41" t="inlineStr">
        <is>
          <t>Резерв на отриц. курсовую разницу (3% в договоре)</t>
        </is>
      </c>
      <c r="C41" t="n">
        <v>33</v>
      </c>
      <c r="D41">
        <f/>
        <v/>
      </c>
      <c r="G41" s="456" t="n"/>
      <c r="H41" s="451" t="n"/>
      <c r="I41" s="452" t="n"/>
      <c r="J41" s="716" t="inlineStr">
        <is>
          <t>прибыль после налог с учетом рисков</t>
        </is>
      </c>
      <c r="M41" s="822">
        <f>M39-M40</f>
        <v/>
      </c>
    </row>
    <row r="42">
      <c r="B42" t="inlineStr">
        <is>
          <t>Комиссия фин/агента (% затрат вне РФ)</t>
        </is>
      </c>
      <c r="C42" t="n">
        <v>34</v>
      </c>
      <c r="D42">
        <f/>
        <v/>
      </c>
      <c r="G42" s="456" t="n"/>
      <c r="H42" s="452" t="n"/>
      <c r="I42" s="452" t="n"/>
      <c r="J42" s="452" t="n"/>
      <c r="K42" s="452" t="n"/>
      <c r="L42" s="468" t="n"/>
      <c r="M42" s="452" t="n"/>
    </row>
    <row r="43">
      <c r="B43" t="inlineStr">
        <is>
          <t>Цена продажи без НДС</t>
        </is>
      </c>
      <c r="C43" t="n">
        <v>35</v>
      </c>
      <c r="D43">
        <f/>
        <v/>
      </c>
      <c r="G43" s="456" t="n"/>
      <c r="H43" s="452" t="n"/>
      <c r="I43" s="452" t="n"/>
      <c r="J43" s="452" t="n"/>
      <c r="K43" s="452" t="n"/>
      <c r="L43" s="468" t="n"/>
      <c r="M43" s="452" t="n"/>
    </row>
    <row r="44">
      <c r="B44" t="inlineStr">
        <is>
          <t>Сумма продажи без НДС</t>
        </is>
      </c>
      <c r="C44" t="n">
        <v>36</v>
      </c>
      <c r="D44">
        <f/>
        <v/>
      </c>
      <c r="G44" s="469" t="n"/>
      <c r="H44" s="470" t="n"/>
      <c r="I44" s="470" t="n"/>
      <c r="J44" s="470" t="n"/>
      <c r="K44" s="470" t="n"/>
      <c r="L44" s="471" t="n"/>
      <c r="M44" s="470" t="n"/>
    </row>
    <row r="45">
      <c r="B45" t="inlineStr">
        <is>
          <t>Итого Сумма Продажи с НДС</t>
        </is>
      </c>
      <c r="C45" t="n">
        <v>37</v>
      </c>
      <c r="D45">
        <f/>
        <v/>
      </c>
    </row>
    <row r="46" ht="15.75" customHeight="1" thickBot="1">
      <c r="B46" t="inlineStr">
        <is>
          <t>Цена продажи c НДС</t>
        </is>
      </c>
      <c r="C46" t="n">
        <v>38</v>
      </c>
      <c r="D46">
        <f/>
        <v/>
      </c>
    </row>
    <row r="47">
      <c r="B47" t="inlineStr">
        <is>
          <t>НДС с продаж</t>
        </is>
      </c>
      <c r="C47" t="n">
        <v>39</v>
      </c>
      <c r="D47">
        <f/>
        <v/>
      </c>
      <c r="K47" s="823" t="inlineStr">
        <is>
          <t>Продажа/Закупка</t>
        </is>
      </c>
    </row>
    <row r="48" ht="15.75" customHeight="1" thickBot="1">
      <c r="B48" t="inlineStr">
        <is>
          <t>НДС (при импорте в РФ)</t>
        </is>
      </c>
      <c r="C48" t="n">
        <v>40</v>
      </c>
      <c r="D48">
        <f/>
        <v/>
      </c>
      <c r="K48" s="824" t="n"/>
    </row>
    <row r="49" ht="17.25" customHeight="1" thickBot="1">
      <c r="B49" t="inlineStr">
        <is>
          <t>НДС к уплате за вычетом импортного НДС</t>
        </is>
      </c>
      <c r="C49" t="n">
        <v>41</v>
      </c>
      <c r="D49">
        <f/>
        <v/>
      </c>
      <c r="K49" s="472">
        <f>H8</f>
        <v/>
      </c>
    </row>
    <row r="50" ht="15.75" customHeight="1" thickBot="1">
      <c r="B50" t="inlineStr">
        <is>
          <t>Комиссия за Транзит</t>
        </is>
      </c>
      <c r="C50" t="n">
        <v>42</v>
      </c>
      <c r="D50">
        <f/>
        <v/>
      </c>
      <c r="K50" s="473" t="n"/>
    </row>
    <row r="51">
      <c r="B51" t="inlineStr">
        <is>
          <t>ссылка на Альта.Ру по коду ТН ВЭД</t>
        </is>
      </c>
      <c r="C51" t="n">
        <v>43</v>
      </c>
      <c r="D51">
        <f/>
        <v/>
      </c>
    </row>
    <row r="52">
      <c r="B52" t="n">
        <v>0</v>
      </c>
      <c r="C52" t="n">
        <v>44</v>
      </c>
      <c r="D52">
        <f/>
        <v/>
      </c>
    </row>
    <row r="53">
      <c r="B53" t="inlineStr">
        <is>
          <t>Таргет по цене без НДС</t>
        </is>
      </c>
      <c r="C53" t="n">
        <v>45</v>
      </c>
      <c r="D53">
        <f/>
        <v/>
      </c>
    </row>
    <row r="54">
      <c r="B54" t="inlineStr">
        <is>
          <t>отклонение</t>
        </is>
      </c>
      <c r="C54" t="n">
        <v>46</v>
      </c>
      <c r="D54">
        <f/>
        <v/>
      </c>
    </row>
    <row r="55">
      <c r="B55" t="n">
        <v>0</v>
      </c>
      <c r="C55" t="n">
        <v>47</v>
      </c>
      <c r="D55">
        <f/>
        <v/>
      </c>
    </row>
    <row r="56">
      <c r="B56" t="inlineStr">
        <is>
          <t>Внутренняя наценка</t>
        </is>
      </c>
      <c r="C56" t="n">
        <v>48</v>
      </c>
      <c r="D56">
        <f/>
        <v/>
      </c>
    </row>
    <row r="57">
      <c r="B57" t="inlineStr">
        <is>
          <t>Цена за ед.</t>
        </is>
      </c>
      <c r="C57" t="n">
        <v>49</v>
      </c>
      <c r="D57">
        <f/>
        <v/>
      </c>
    </row>
    <row r="58">
      <c r="B58" t="inlineStr">
        <is>
          <t>Сумма валютной спецификации</t>
        </is>
      </c>
      <c r="C58" t="n">
        <v>50</v>
      </c>
      <c r="D58">
        <f/>
        <v/>
      </c>
    </row>
    <row r="59">
      <c r="B59" t="inlineStr">
        <is>
          <t>Сумма закупки в валюте КП с учетом НДС</t>
        </is>
      </c>
      <c r="C59" t="n">
        <v>51</v>
      </c>
      <c r="D59">
        <f/>
        <v/>
      </c>
    </row>
    <row r="60">
      <c r="B60" t="inlineStr">
        <is>
          <t>Итого Стоимость финансирования</t>
        </is>
      </c>
      <c r="C60" t="n">
        <v>52</v>
      </c>
      <c r="D60">
        <f/>
        <v/>
      </c>
    </row>
    <row r="61">
      <c r="B61" t="inlineStr">
        <is>
          <t>Комиссия за рассрочку* за вычетом аванса</t>
        </is>
      </c>
      <c r="C61" t="n">
        <v>53</v>
      </c>
      <c r="D61">
        <f/>
        <v/>
      </c>
    </row>
    <row r="62">
      <c r="B62" t="inlineStr">
        <is>
          <t>База распределения Лог.</t>
        </is>
      </c>
      <c r="C62" t="n">
        <v>54</v>
      </c>
      <c r="D62">
        <f/>
        <v/>
      </c>
    </row>
    <row r="63">
      <c r="B63" t="inlineStr">
        <is>
          <t>база для распределения косвен.</t>
        </is>
      </c>
      <c r="C63" t="n">
        <v>55</v>
      </c>
      <c r="D63">
        <f/>
        <v/>
      </c>
    </row>
    <row r="64">
      <c r="B64" t="inlineStr">
        <is>
          <t>$</t>
        </is>
      </c>
      <c r="C64" t="inlineStr">
        <is>
          <t>$</t>
        </is>
      </c>
      <c r="D64">
        <f/>
        <v/>
      </c>
    </row>
    <row r="65">
      <c r="B65" t="n">
        <v>0</v>
      </c>
      <c r="C65" t="n">
        <v>0</v>
      </c>
      <c r="D65">
        <f/>
        <v/>
      </c>
    </row>
    <row r="66">
      <c r="B66" t="n">
        <v>0</v>
      </c>
      <c r="C66" t="n">
        <v>0</v>
      </c>
      <c r="D66">
        <f/>
        <v/>
      </c>
    </row>
  </sheetData>
  <mergeCells count="3">
    <mergeCell ref="J41:L41"/>
    <mergeCell ref="K47:K48"/>
    <mergeCell ref="G36:I36"/>
  </mergeCells>
  <conditionalFormatting sqref="K35">
    <cfRule type="containsText" priority="1" operator="containsText" dxfId="34" text="false">
      <formula>NOT(ISERROR(SEARCH("false",K35)))</formula>
    </cfRule>
  </conditionalFormatting>
  <pageMargins left="0.7" right="0.7" top="0.75" bottom="0.75" header="0.3" footer="0.3"/>
</worksheet>
</file>

<file path=xl/worksheets/sheet7.xml><?xml version="1.0" encoding="utf-8"?>
<worksheet xmlns="http://schemas.openxmlformats.org/spreadsheetml/2006/main">
  <sheetPr codeName="Sheet21">
    <tabColor rgb="FFFFFF00"/>
    <outlinePr summaryBelow="1" summaryRight="1"/>
    <pageSetUpPr/>
  </sheetPr>
  <dimension ref="A1:C40"/>
  <sheetViews>
    <sheetView topLeftCell="A3" zoomScale="77" workbookViewId="0">
      <selection activeCell="C12" sqref="C12"/>
    </sheetView>
  </sheetViews>
  <sheetFormatPr baseColWidth="8" defaultColWidth="9.140625" defaultRowHeight="15"/>
  <cols>
    <col width="48.7109375" bestFit="1" customWidth="1" style="511" min="1" max="1"/>
    <col width="55" customWidth="1" style="524" min="2" max="2"/>
    <col width="39" bestFit="1" customWidth="1" style="511" min="3" max="3"/>
    <col width="9.140625" customWidth="1" style="512" min="4" max="16384"/>
  </cols>
  <sheetData>
    <row r="1">
      <c r="B1" s="719" t="inlineStr">
        <is>
          <t>INPUT: поле для ручного ввода</t>
        </is>
      </c>
      <c r="C1" s="825" t="n"/>
    </row>
    <row r="2">
      <c r="B2" s="720" t="inlineStr">
        <is>
          <t>INPUT: поле для выбора из выпадающего списка</t>
        </is>
      </c>
      <c r="C2" s="825" t="n"/>
    </row>
    <row r="3" ht="15.75" customHeight="1" thickBot="1">
      <c r="A3" s="513" t="inlineStr">
        <is>
          <t>Поле</t>
        </is>
      </c>
      <c r="B3" s="513" t="inlineStr">
        <is>
          <t>Данные</t>
        </is>
      </c>
      <c r="C3" s="513" t="inlineStr">
        <is>
          <t>Инструкции</t>
        </is>
      </c>
    </row>
    <row r="4" ht="21.75" customHeight="1" thickBot="1">
      <c r="A4" s="514" t="inlineStr">
        <is>
          <t>Информация о Сторонах</t>
        </is>
      </c>
      <c r="B4" s="515" t="n"/>
      <c r="C4" s="516" t="n"/>
    </row>
    <row r="5">
      <c r="A5" s="517" t="inlineStr">
        <is>
          <t>Заказчик</t>
        </is>
      </c>
      <c r="B5" s="518" t="n"/>
      <c r="C5" s="511" t="inlineStr">
        <is>
          <t>ввести вручную</t>
        </is>
      </c>
    </row>
    <row r="6">
      <c r="A6" s="517" t="inlineStr">
        <is>
          <t>Директор</t>
        </is>
      </c>
      <c r="B6" s="519" t="inlineStr">
        <is>
          <t>Аывывы</t>
        </is>
      </c>
      <c r="C6" s="511" t="inlineStr">
        <is>
          <t>ввести вручную</t>
        </is>
      </c>
    </row>
    <row r="7">
      <c r="A7" s="517" t="inlineStr">
        <is>
          <t>Адрес регистрации</t>
        </is>
      </c>
      <c r="B7" s="520" t="n"/>
      <c r="C7" s="511" t="inlineStr">
        <is>
          <t>ввести вручную</t>
        </is>
      </c>
    </row>
    <row r="8">
      <c r="A8" s="517" t="inlineStr">
        <is>
          <t>-</t>
        </is>
      </c>
      <c r="B8" s="521" t="n"/>
    </row>
    <row r="9">
      <c r="A9" s="517" t="inlineStr">
        <is>
          <t>Поставщик:</t>
        </is>
      </c>
      <c r="B9" s="826" t="inlineStr">
        <is>
          <t>ООО «Рад Ресурс»</t>
        </is>
      </c>
      <c r="C9" s="523" t="inlineStr">
        <is>
          <t>выбрать из выпадающего списка</t>
        </is>
      </c>
    </row>
    <row r="10">
      <c r="A10" s="517" t="inlineStr">
        <is>
          <t>-</t>
        </is>
      </c>
    </row>
    <row r="11" ht="21.75" customHeight="1" thickBot="1">
      <c r="A11" s="514" t="inlineStr">
        <is>
          <t>Условия взаиморасчетов и поставки</t>
        </is>
      </c>
      <c r="B11" s="515" t="n"/>
      <c r="C11" s="516" t="n"/>
    </row>
    <row r="12">
      <c r="A12" s="517" t="inlineStr">
        <is>
          <t>Тип сделки</t>
        </is>
      </c>
      <c r="B12" s="826">
        <f>offer_sale_type</f>
        <v/>
      </c>
    </row>
    <row r="13">
      <c r="A13" s="517" t="inlineStr">
        <is>
          <t>Условия оплаты</t>
        </is>
      </c>
      <c r="B13" s="525">
        <f>'КП price'!K9</f>
        <v/>
      </c>
      <c r="C13" s="511" t="inlineStr">
        <is>
          <t>из КП или ввести вручную</t>
        </is>
      </c>
    </row>
    <row r="14">
      <c r="A14" s="517" t="inlineStr">
        <is>
          <t>Процент к курсу ЦБ</t>
        </is>
      </c>
      <c r="B14" s="827" t="n">
        <v>1</v>
      </c>
      <c r="C14" s="511" t="inlineStr">
        <is>
          <t>ввести вручную (в диапазоне 1-100)</t>
        </is>
      </c>
    </row>
    <row r="15">
      <c r="A15" s="517" t="inlineStr">
        <is>
          <t>Условия поставки</t>
        </is>
      </c>
      <c r="B15" s="527">
        <f>offer_incoterms</f>
        <v/>
      </c>
      <c r="C15" s="511" t="inlineStr">
        <is>
          <t>из расчета КП</t>
        </is>
      </c>
    </row>
    <row r="16">
      <c r="A16" s="517" t="inlineStr">
        <is>
          <t>Срок поставки</t>
        </is>
      </c>
      <c r="B16" s="527">
        <f>'КП price'!K11</f>
        <v/>
      </c>
      <c r="C16" s="511" t="inlineStr">
        <is>
          <t>из КП или ввести вручную</t>
        </is>
      </c>
    </row>
    <row r="17">
      <c r="A17" s="517" t="inlineStr">
        <is>
          <t>Валюта договора</t>
        </is>
      </c>
      <c r="B17" s="528">
        <f>offer_currency</f>
        <v/>
      </c>
      <c r="C17" s="523" t="inlineStr">
        <is>
          <t>выбрать из выпадающего списка</t>
        </is>
      </c>
    </row>
    <row r="18">
      <c r="A18" s="517" t="inlineStr">
        <is>
          <t>Валюта оплаты</t>
        </is>
      </c>
      <c r="B18" s="528">
        <f>currency_1</f>
        <v/>
      </c>
      <c r="C18" s="523" t="inlineStr">
        <is>
          <t>выбрать из выпадающего списка</t>
        </is>
      </c>
    </row>
    <row r="19">
      <c r="A19" s="517" t="inlineStr">
        <is>
          <t>-</t>
        </is>
      </c>
    </row>
    <row r="20" ht="21.75" customHeight="1" thickBot="1">
      <c r="A20" s="514" t="inlineStr">
        <is>
          <t>Логистика</t>
        </is>
      </c>
      <c r="B20" s="515" t="n"/>
      <c r="C20" s="516" t="n"/>
    </row>
    <row r="21">
      <c r="A21" s="517" t="inlineStr">
        <is>
          <t>Адрес поставки</t>
        </is>
      </c>
      <c r="B21" s="828" t="n"/>
      <c r="C21" s="511" t="inlineStr">
        <is>
          <t>ввести вручную</t>
        </is>
      </c>
    </row>
    <row r="23" ht="21.75" customHeight="1" thickBot="1">
      <c r="A23" s="514" t="inlineStr">
        <is>
          <t>Данные о договоре и спецификации</t>
        </is>
      </c>
      <c r="B23" s="515" t="n"/>
      <c r="C23" s="516" t="n"/>
    </row>
    <row r="25">
      <c r="A25" s="517" t="inlineStr">
        <is>
          <t>№ Договора поставки</t>
        </is>
      </c>
      <c r="B25" s="530" t="n">
        <v>13</v>
      </c>
      <c r="C25" s="511" t="inlineStr">
        <is>
          <t>ввести номер вручную</t>
        </is>
      </c>
    </row>
    <row r="26">
      <c r="A26" s="517" t="inlineStr">
        <is>
          <t>Дата договора поставки</t>
        </is>
      </c>
      <c r="B26" s="829" t="n">
        <v>45679</v>
      </c>
      <c r="C26" s="511" t="inlineStr">
        <is>
          <t>ввести дату вручную в формате ДД.ММ.ГГ</t>
        </is>
      </c>
    </row>
    <row r="27">
      <c r="A27" s="517" t="inlineStr">
        <is>
          <t>Дата Спецификации</t>
        </is>
      </c>
      <c r="B27" s="829" t="n">
        <v>45679</v>
      </c>
      <c r="C27" s="511" t="inlineStr">
        <is>
          <t>ввести дату вручную в формате ДД.ММ.ГГ</t>
        </is>
      </c>
    </row>
    <row r="28">
      <c r="A28" s="517" t="inlineStr">
        <is>
          <t>№ Спецификации</t>
        </is>
      </c>
      <c r="B28" s="530" t="n">
        <v>9909</v>
      </c>
      <c r="C28" s="511" t="inlineStr">
        <is>
          <t>ввести номер вручную</t>
        </is>
      </c>
    </row>
    <row r="30" ht="21.75" customHeight="1" thickBot="1">
      <c r="A30" s="514" t="inlineStr">
        <is>
          <t>Invoice/Proforma</t>
        </is>
      </c>
      <c r="B30" s="515" t="n"/>
      <c r="C30" s="516" t="n"/>
    </row>
    <row r="32">
      <c r="A32" s="517" t="inlineStr">
        <is>
          <t>Тип транспорта</t>
        </is>
      </c>
      <c r="B32" s="528" t="inlineStr">
        <is>
          <t>PROFORMA INVOICE</t>
        </is>
      </c>
      <c r="C32" s="523" t="inlineStr">
        <is>
          <t>выбрать из выпадающего списка</t>
        </is>
      </c>
    </row>
    <row r="33">
      <c r="A33" s="517" t="inlineStr">
        <is>
          <t>Ref#</t>
        </is>
      </c>
      <c r="B33" s="579" t="n">
        <v>1</v>
      </c>
      <c r="C33" s="511" t="inlineStr">
        <is>
          <t>ввести вручную</t>
        </is>
      </c>
    </row>
    <row r="34">
      <c r="A34" s="517" t="inlineStr">
        <is>
          <t>Номер инвойса</t>
        </is>
      </c>
      <c r="B34" s="579" t="n">
        <v>0.01</v>
      </c>
      <c r="C34" s="511" t="inlineStr">
        <is>
          <t>ввести вручную</t>
        </is>
      </c>
    </row>
    <row r="35">
      <c r="A35" s="517" t="inlineStr">
        <is>
          <t>Дата</t>
        </is>
      </c>
      <c r="B35" s="829" t="n">
        <v>45679</v>
      </c>
      <c r="C35" s="511" t="inlineStr">
        <is>
          <t>ввести вручную</t>
        </is>
      </c>
    </row>
    <row r="36">
      <c r="A36" s="517" t="inlineStr">
        <is>
          <t>Условия поставки</t>
        </is>
      </c>
      <c r="B36" s="528" t="inlineStr">
        <is>
          <t>DDP</t>
        </is>
      </c>
      <c r="C36" s="523" t="inlineStr">
        <is>
          <t>выбрать из выпадающего списка</t>
        </is>
      </c>
    </row>
    <row r="37">
      <c r="A37" s="517" t="inlineStr">
        <is>
          <t>Тип транспорта</t>
        </is>
      </c>
      <c r="B37" s="579" t="inlineStr">
        <is>
          <t>Air</t>
        </is>
      </c>
      <c r="C37" s="511" t="inlineStr">
        <is>
          <t>ввести вручную</t>
        </is>
      </c>
    </row>
    <row r="38">
      <c r="A38" s="517" t="inlineStr">
        <is>
          <t>Наценка</t>
        </is>
      </c>
      <c r="B38" s="544">
        <f>_xlfn.XLOOKUP(_xlfn.XLOOKUP(INVOICE!Название_компании,helpsheet!$AC:$AC,helpsheet!AG:AG,0,0)&amp;"-"&amp;_xlfn.XLOOKUP(INVOICE!B7,helpsheet!$AC:$AC,helpsheet!AG:AG,0,0),helpsheet!AL:AL,helpsheet!AM:AM,0,0)</f>
        <v/>
      </c>
      <c r="C38" s="511" t="inlineStr">
        <is>
          <t>ввести вручную</t>
        </is>
      </c>
    </row>
    <row r="39">
      <c r="A39" s="517" t="inlineStr">
        <is>
          <t>Продавец</t>
        </is>
      </c>
      <c r="B39" s="528" t="inlineStr">
        <is>
          <t>TEXCEL OTOMOTİV TİCARET LİMİTED ŞİRKETİ</t>
        </is>
      </c>
      <c r="C39" s="523" t="inlineStr">
        <is>
          <t>выбрать из выпадающего списка</t>
        </is>
      </c>
    </row>
    <row r="40">
      <c r="A40" s="517" t="inlineStr">
        <is>
          <t>Покупатель</t>
        </is>
      </c>
      <c r="B40" s="528" t="inlineStr">
        <is>
          <t>Limited Liability Company Rad Resurs</t>
        </is>
      </c>
      <c r="C40" s="523" t="inlineStr">
        <is>
          <t>выбрать из выпадающего списка</t>
        </is>
      </c>
    </row>
  </sheetData>
  <mergeCells count="2">
    <mergeCell ref="B1:C1"/>
    <mergeCell ref="B2:C2"/>
  </mergeCells>
  <dataValidations xWindow="618" yWindow="786" count="7">
    <dataValidation sqref="B17:B18" showDropDown="0" showInputMessage="1" showErrorMessage="1" allowBlank="1" type="list">
      <formula1>"USD,EUR,RUB,TRY"</formula1>
    </dataValidation>
    <dataValidation sqref="B26:B27 B35" showDropDown="0" showInputMessage="1" showErrorMessage="1" allowBlank="1" type="date">
      <formula1>B25+1</formula1>
      <formula2>51501</formula2>
    </dataValidation>
    <dataValidation sqref="B17:B18" showDropDown="0" showInputMessage="1" showErrorMessage="1" allowBlank="1" type="list">
      <formula1>INDIRECT("currency[3-х букв. код]")</formula1>
    </dataValidation>
    <dataValidation sqref="B29" showDropDown="0" showInputMessage="1" showErrorMessage="1" allowBlank="1" type="date">
      <formula1>44562</formula1>
      <formula2>51501</formula2>
    </dataValidation>
    <dataValidation sqref="B9" showDropDown="0" showInputMessage="1" showErrorMessage="1" allowBlank="1" type="list">
      <formula1>"ООО «Мастер Бэринг»,ООО «ЦМТО-1»,ООО «Рад Ресурс»"</formula1>
    </dataValidation>
    <dataValidation sqref="B14" showDropDown="0" showInputMessage="1" showErrorMessage="1" allowBlank="1" type="decimal">
      <formula1>1</formula1>
      <formula2>100</formula2>
    </dataValidation>
    <dataValidation sqref="B32" showDropDown="0" showInputMessage="1" showErrorMessage="1" allowBlank="1" type="list">
      <formula1>"COMMERCIAL INVOICE, PROFORMA INVOICE"</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 filterMode="1">
    <tabColor rgb="FF00B050"/>
    <outlinePr summaryBelow="1" summaryRight="1"/>
    <pageSetUpPr/>
  </sheetPr>
  <dimension ref="A1:K144"/>
  <sheetViews>
    <sheetView view="pageBreakPreview" zoomScaleNormal="70" zoomScaleSheetLayoutView="100" workbookViewId="0">
      <selection activeCell="E11" sqref="E11"/>
    </sheetView>
  </sheetViews>
  <sheetFormatPr baseColWidth="8" defaultColWidth="9.140625" defaultRowHeight="15"/>
  <cols>
    <col width="4.42578125" customWidth="1" style="512" min="1" max="1"/>
    <col width="22.42578125" customWidth="1" style="546" min="2" max="2"/>
    <col width="16.42578125" customWidth="1" style="546" min="3" max="3"/>
    <col width="9.42578125" customWidth="1" style="546" min="4" max="4"/>
    <col width="17.85546875" customWidth="1" style="546" min="5" max="5"/>
    <col width="20.42578125" customWidth="1" style="546" min="6" max="7"/>
    <col width="17.28515625" customWidth="1" style="546" min="8" max="8"/>
    <col width="9.140625" customWidth="1" style="512" min="9" max="9"/>
    <col width="36.85546875" customWidth="1" style="512" min="10" max="10"/>
    <col width="9.140625" customWidth="1" style="512" min="11" max="16384"/>
  </cols>
  <sheetData>
    <row r="1" ht="18" customHeight="1">
      <c r="B1" s="545" t="inlineStr">
        <is>
          <t>Приложение № 1</t>
        </is>
      </c>
      <c r="C1" s="545" t="n"/>
      <c r="H1" s="547" t="inlineStr">
        <is>
          <t>!  НЕ МЕНЯЙ ШИРИНУ КОЛОНОК</t>
        </is>
      </c>
    </row>
    <row r="2" ht="15.75" customHeight="1">
      <c r="B2" s="545">
        <f>"к договору поставки № "&amp;dogovor</f>
        <v/>
      </c>
      <c r="C2" s="545" t="n"/>
    </row>
    <row r="3" ht="21" customHeight="1">
      <c r="B3" s="545">
        <f>"от "&amp;TEXT(spec_date_IN,"ДД.ММ.ГГГГ")</f>
        <v/>
      </c>
      <c r="C3" s="545" t="n"/>
      <c r="H3" s="548" t="inlineStr">
        <is>
          <t>Путь для выгрузки</t>
        </is>
      </c>
      <c r="I3" s="549" t="inlineStr">
        <is>
          <t>C:\Users\USER\Desktop\БД_УТ\Автоматизация\Спека</t>
        </is>
      </c>
      <c r="K3" s="550" t="inlineStr">
        <is>
          <t>!  Вставь путь к папке для сохранения в ячейку I3</t>
        </is>
      </c>
    </row>
    <row r="4" ht="21" customHeight="1">
      <c r="B4" s="551" t="n"/>
      <c r="C4" s="551" t="n"/>
      <c r="H4" s="548" t="inlineStr">
        <is>
          <t>Название файла</t>
        </is>
      </c>
      <c r="I4" s="512">
        <f>TEXT(spec_date_IN,"ГГГГММДД")&amp;"_"&amp;"Спец_"&amp;spec_num_IN&amp;"_"&amp;buyer__1</f>
        <v/>
      </c>
      <c r="K4" s="550" t="inlineStr">
        <is>
          <t>!  Автоматическое название файла</t>
        </is>
      </c>
    </row>
    <row r="5" ht="15.75" customHeight="1">
      <c r="B5" s="722">
        <f>"СПЕЦИФИКАЦИЯ №"&amp;spec_num_IN</f>
        <v/>
      </c>
    </row>
    <row r="6" ht="15.75" customHeight="1">
      <c r="B6" s="722">
        <f>"к договору поставки № "&amp;contract_num_IN&amp;" от "&amp;TEXT(contract_date_IN,"ДД.ММ.ГГГГ")</f>
        <v/>
      </c>
      <c r="H6" s="548" t="inlineStr">
        <is>
          <t>1. Введи данные в лист Вводные</t>
        </is>
      </c>
    </row>
    <row r="7">
      <c r="B7" s="723">
        <f>"между "&amp;seller_1&amp;" и "&amp;buyer__1</f>
        <v/>
      </c>
      <c r="H7" s="548" t="inlineStr">
        <is>
          <t>2. Вставь окончательное коммерческое предложение в лист Коммерческое_предложение</t>
        </is>
      </c>
    </row>
    <row r="8" ht="15.75" customHeight="1">
      <c r="B8" s="553" t="inlineStr">
        <is>
          <t>г. Москва</t>
        </is>
      </c>
      <c r="C8" s="722" t="n"/>
      <c r="D8" s="722" t="n"/>
      <c r="E8" s="722" t="n"/>
      <c r="F8" s="830">
        <f>spec_date_IN</f>
        <v/>
      </c>
      <c r="H8" s="548" t="inlineStr">
        <is>
          <t>3. Нажми сочетание клавиш CTRL+ALT+L , чтобы обновить фильтры</t>
        </is>
      </c>
    </row>
    <row r="9" ht="15.75" customHeight="1" thickBot="1">
      <c r="B9" s="555" t="n"/>
      <c r="C9" s="555" t="n"/>
      <c r="H9" s="548" t="inlineStr">
        <is>
          <t>4. Проверь все ли правильно и жми на кнопку ----&gt;</t>
        </is>
      </c>
    </row>
    <row r="10" ht="50.25" customHeight="1" thickBot="1">
      <c r="A10" s="512" t="inlineStr">
        <is>
          <t>№</t>
        </is>
      </c>
      <c r="B10" s="556" t="inlineStr">
        <is>
          <t>Код продукции</t>
        </is>
      </c>
      <c r="C10" s="557" t="inlineStr">
        <is>
          <t>Производитель</t>
        </is>
      </c>
      <c r="D10" s="557" t="inlineStr">
        <is>
          <t>Кол-во</t>
        </is>
      </c>
      <c r="E10" s="557">
        <f>"Цена за ед, в т.ч. НДС (20%) в "&amp;currency_1</f>
        <v/>
      </c>
      <c r="F10" s="557">
        <f>"Общая стоимость , в т.ч. НДС (20%) в "&amp;currency_1</f>
        <v/>
      </c>
      <c r="H10" s="558" t="inlineStr">
        <is>
          <t>скрыть пустые</t>
        </is>
      </c>
      <c r="I10" s="550" t="inlineStr">
        <is>
          <t>!  отфильтруй строки со значением "показать"</t>
        </is>
      </c>
    </row>
    <row r="11" ht="15.75" customHeight="1" thickBot="1">
      <c r="A11" s="512" t="n">
        <v>1</v>
      </c>
      <c r="B11" s="559">
        <f>'КП price'!D17</f>
        <v/>
      </c>
      <c r="C11" s="560">
        <f>'КП price'!C17</f>
        <v/>
      </c>
      <c r="D11" s="560">
        <f>'КП price'!I17</f>
        <v/>
      </c>
      <c r="E11" s="831">
        <f>'КП price'!M17</f>
        <v/>
      </c>
      <c r="F11" s="831">
        <f>D11*E11</f>
        <v/>
      </c>
      <c r="H11" s="546">
        <f>IF(F11&gt;0,"показать","скрыть")</f>
        <v/>
      </c>
    </row>
    <row r="12" hidden="1" ht="15.75" customHeight="1" thickBot="1">
      <c r="A12" s="512" t="n">
        <v>2</v>
      </c>
      <c r="B12" s="559">
        <f>'КП price'!D18</f>
        <v/>
      </c>
      <c r="C12" s="560">
        <f>'КП price'!C18</f>
        <v/>
      </c>
      <c r="D12" s="560">
        <f>'КП price'!I18</f>
        <v/>
      </c>
      <c r="E12" s="831">
        <f>'КП price'!M18</f>
        <v/>
      </c>
      <c r="F12" s="831">
        <f>E12-D12</f>
        <v/>
      </c>
      <c r="H12" s="546">
        <f>IF(F12&gt;0,"показать","скрыть")</f>
        <v/>
      </c>
    </row>
    <row r="13" hidden="1" ht="15.75" customHeight="1" thickBot="1">
      <c r="A13" s="512" t="n">
        <v>3</v>
      </c>
      <c r="B13" s="559">
        <f>'КП price'!D19</f>
        <v/>
      </c>
      <c r="C13" s="560">
        <f>'КП price'!C19</f>
        <v/>
      </c>
      <c r="D13" s="560">
        <f>'КП price'!I19</f>
        <v/>
      </c>
      <c r="E13" s="831">
        <f>'КП price'!M19</f>
        <v/>
      </c>
      <c r="F13" s="831">
        <f>E13-D13</f>
        <v/>
      </c>
      <c r="H13" s="546">
        <f>IF(F13&gt;0,"показать","скрыть")</f>
        <v/>
      </c>
    </row>
    <row r="14" hidden="1" ht="15.75" customHeight="1" thickBot="1">
      <c r="A14" s="512" t="n">
        <v>4</v>
      </c>
      <c r="B14" s="559">
        <f>'КП price'!D20</f>
        <v/>
      </c>
      <c r="C14" s="560">
        <f>'КП price'!C20</f>
        <v/>
      </c>
      <c r="D14" s="560">
        <f>'КП price'!I20</f>
        <v/>
      </c>
      <c r="E14" s="831">
        <f>'КП price'!M20</f>
        <v/>
      </c>
      <c r="F14" s="831">
        <f>E14-D14</f>
        <v/>
      </c>
      <c r="H14" s="546">
        <f>IF(F14&gt;0,"показать","скрыть")</f>
        <v/>
      </c>
    </row>
    <row r="15" hidden="1" ht="15.75" customHeight="1" thickBot="1">
      <c r="A15" s="512" t="n">
        <v>5</v>
      </c>
      <c r="B15" s="559">
        <f>'КП price'!D21</f>
        <v/>
      </c>
      <c r="C15" s="560">
        <f>'КП price'!C21</f>
        <v/>
      </c>
      <c r="D15" s="560">
        <f>'КП price'!I21</f>
        <v/>
      </c>
      <c r="E15" s="831">
        <f>'КП price'!M21</f>
        <v/>
      </c>
      <c r="F15" s="831">
        <f>E15-D15</f>
        <v/>
      </c>
      <c r="H15" s="546">
        <f>IF(F15&gt;0,"показать","скрыть")</f>
        <v/>
      </c>
    </row>
    <row r="16" hidden="1" ht="15.75" customHeight="1" thickBot="1">
      <c r="A16" s="512" t="n">
        <v>6</v>
      </c>
      <c r="B16" s="559">
        <f>'КП price'!D22</f>
        <v/>
      </c>
      <c r="C16" s="560">
        <f>'КП price'!C22</f>
        <v/>
      </c>
      <c r="D16" s="560">
        <f>'КП price'!I22</f>
        <v/>
      </c>
      <c r="E16" s="831">
        <f>'КП price'!M22</f>
        <v/>
      </c>
      <c r="F16" s="831">
        <f>E16-D16</f>
        <v/>
      </c>
      <c r="H16" s="546">
        <f>IF(F16&gt;0,"показать","скрыть")</f>
        <v/>
      </c>
    </row>
    <row r="17" hidden="1" ht="15.75" customHeight="1" thickBot="1">
      <c r="A17" s="512" t="n">
        <v>7</v>
      </c>
      <c r="B17" s="559">
        <f>'КП price'!D23</f>
        <v/>
      </c>
      <c r="C17" s="560">
        <f>'КП price'!C23</f>
        <v/>
      </c>
      <c r="D17" s="560">
        <f>'КП price'!I23</f>
        <v/>
      </c>
      <c r="E17" s="831">
        <f>'КП price'!M23</f>
        <v/>
      </c>
      <c r="F17" s="831">
        <f>E17-D17</f>
        <v/>
      </c>
      <c r="H17" s="546">
        <f>IF(F17&gt;0,"показать","скрыть")</f>
        <v/>
      </c>
    </row>
    <row r="18" hidden="1" ht="15.75" customHeight="1" thickBot="1">
      <c r="A18" s="512" t="n">
        <v>8</v>
      </c>
      <c r="B18" s="559">
        <f>'КП price'!D24</f>
        <v/>
      </c>
      <c r="C18" s="560">
        <f>'КП price'!C24</f>
        <v/>
      </c>
      <c r="D18" s="560">
        <f>'КП price'!I24</f>
        <v/>
      </c>
      <c r="E18" s="831">
        <f>'КП price'!M24</f>
        <v/>
      </c>
      <c r="F18" s="831">
        <f>E18-D18</f>
        <v/>
      </c>
      <c r="H18" s="546">
        <f>IF(F18&gt;0,"показать","скрыть")</f>
        <v/>
      </c>
    </row>
    <row r="19" hidden="1" ht="15.75" customHeight="1" thickBot="1">
      <c r="A19" s="512" t="n">
        <v>9</v>
      </c>
      <c r="B19" s="559">
        <f>'КП price'!D25</f>
        <v/>
      </c>
      <c r="C19" s="560">
        <f>'КП price'!C25</f>
        <v/>
      </c>
      <c r="D19" s="560">
        <f>'КП price'!I25</f>
        <v/>
      </c>
      <c r="E19" s="831">
        <f>'КП price'!M25</f>
        <v/>
      </c>
      <c r="F19" s="831">
        <f>E19-D19</f>
        <v/>
      </c>
      <c r="H19" s="546">
        <f>IF(F19&gt;0,"показать","скрыть")</f>
        <v/>
      </c>
    </row>
    <row r="20" hidden="1" ht="15.75" customHeight="1" thickBot="1">
      <c r="A20" s="512" t="n">
        <v>10</v>
      </c>
      <c r="B20" s="559">
        <f>'КП price'!D26</f>
        <v/>
      </c>
      <c r="C20" s="560">
        <f>'КП price'!C26</f>
        <v/>
      </c>
      <c r="D20" s="560">
        <f>'КП price'!I26</f>
        <v/>
      </c>
      <c r="E20" s="831">
        <f>'КП price'!M26</f>
        <v/>
      </c>
      <c r="F20" s="831">
        <f>E20-D20</f>
        <v/>
      </c>
      <c r="H20" s="546">
        <f>IF(F20&gt;0,"показать","скрыть")</f>
        <v/>
      </c>
    </row>
    <row r="21" hidden="1" ht="15.75" customHeight="1" thickBot="1">
      <c r="A21" s="512" t="n">
        <v>11</v>
      </c>
      <c r="B21" s="559">
        <f>'КП price'!D27</f>
        <v/>
      </c>
      <c r="C21" s="560">
        <f>'КП price'!C27</f>
        <v/>
      </c>
      <c r="D21" s="560">
        <f>'КП price'!I27</f>
        <v/>
      </c>
      <c r="E21" s="831">
        <f>'КП price'!M27</f>
        <v/>
      </c>
      <c r="F21" s="831">
        <f>E21-D21</f>
        <v/>
      </c>
      <c r="H21" s="546">
        <f>IF(F21&gt;0,"показать","скрыть")</f>
        <v/>
      </c>
    </row>
    <row r="22" hidden="1" ht="15.75" customHeight="1" thickBot="1">
      <c r="A22" s="512" t="n">
        <v>12</v>
      </c>
      <c r="B22" s="559">
        <f>'КП price'!D28</f>
        <v/>
      </c>
      <c r="C22" s="560">
        <f>'КП price'!C28</f>
        <v/>
      </c>
      <c r="D22" s="560">
        <f>'КП price'!I28</f>
        <v/>
      </c>
      <c r="E22" s="831">
        <f>'КП price'!M28</f>
        <v/>
      </c>
      <c r="F22" s="831">
        <f>E22-D22</f>
        <v/>
      </c>
      <c r="H22" s="546">
        <f>IF(F22&gt;0,"показать","скрыть")</f>
        <v/>
      </c>
    </row>
    <row r="23" hidden="1" ht="15.75" customHeight="1" thickBot="1">
      <c r="A23" s="512" t="n">
        <v>13</v>
      </c>
      <c r="B23" s="559">
        <f>'КП price'!D29</f>
        <v/>
      </c>
      <c r="C23" s="560">
        <f>'КП price'!C29</f>
        <v/>
      </c>
      <c r="D23" s="560">
        <f>'КП price'!I29</f>
        <v/>
      </c>
      <c r="E23" s="831">
        <f>'КП price'!M29</f>
        <v/>
      </c>
      <c r="F23" s="831">
        <f>E23-D23</f>
        <v/>
      </c>
      <c r="H23" s="546">
        <f>IF(F23&gt;0,"показать","скрыть")</f>
        <v/>
      </c>
    </row>
    <row r="24" hidden="1" ht="15.75" customHeight="1" thickBot="1">
      <c r="A24" s="512" t="n">
        <v>14</v>
      </c>
      <c r="B24" s="559">
        <f>'КП price'!D30</f>
        <v/>
      </c>
      <c r="C24" s="560">
        <f>'КП price'!C30</f>
        <v/>
      </c>
      <c r="D24" s="560">
        <f>'КП price'!I30</f>
        <v/>
      </c>
      <c r="E24" s="831">
        <f>'КП price'!M30</f>
        <v/>
      </c>
      <c r="F24" s="831">
        <f>E24-D24</f>
        <v/>
      </c>
      <c r="H24" s="546">
        <f>IF(F24&gt;0,"показать","скрыть")</f>
        <v/>
      </c>
    </row>
    <row r="25" hidden="1" ht="15.75" customHeight="1" thickBot="1">
      <c r="A25" s="512" t="n">
        <v>15</v>
      </c>
      <c r="B25" s="559">
        <f>'КП price'!D31</f>
        <v/>
      </c>
      <c r="C25" s="560">
        <f>'КП price'!C31</f>
        <v/>
      </c>
      <c r="D25" s="560">
        <f>'КП price'!I31</f>
        <v/>
      </c>
      <c r="E25" s="831">
        <f>'КП price'!M31</f>
        <v/>
      </c>
      <c r="F25" s="831">
        <f>E25-D25</f>
        <v/>
      </c>
      <c r="H25" s="546">
        <f>IF(F25&gt;0,"показать","скрыть")</f>
        <v/>
      </c>
    </row>
    <row r="26" hidden="1" ht="15.75" customHeight="1" thickBot="1">
      <c r="A26" s="512" t="n">
        <v>16</v>
      </c>
      <c r="B26" s="559">
        <f>'КП price'!D32</f>
        <v/>
      </c>
      <c r="C26" s="560">
        <f>'КП price'!C32</f>
        <v/>
      </c>
      <c r="D26" s="560">
        <f>'КП price'!I32</f>
        <v/>
      </c>
      <c r="E26" s="831">
        <f>'КП price'!M32</f>
        <v/>
      </c>
      <c r="F26" s="831">
        <f>E26-D26</f>
        <v/>
      </c>
      <c r="H26" s="546">
        <f>IF(F26&gt;0,"показать","скрыть")</f>
        <v/>
      </c>
    </row>
    <row r="27" hidden="1" ht="15.75" customHeight="1" thickBot="1">
      <c r="A27" s="512" t="n">
        <v>17</v>
      </c>
      <c r="B27" s="559">
        <f>'КП price'!D33</f>
        <v/>
      </c>
      <c r="C27" s="560">
        <f>'КП price'!C33</f>
        <v/>
      </c>
      <c r="D27" s="560">
        <f>'КП price'!I33</f>
        <v/>
      </c>
      <c r="E27" s="831">
        <f>'КП price'!M33</f>
        <v/>
      </c>
      <c r="F27" s="831">
        <f>E27-D27</f>
        <v/>
      </c>
      <c r="H27" s="546">
        <f>IF(F27&gt;0,"показать","скрыть")</f>
        <v/>
      </c>
    </row>
    <row r="28" hidden="1" ht="15.75" customHeight="1" thickBot="1">
      <c r="A28" s="512" t="n">
        <v>18</v>
      </c>
      <c r="B28" s="559">
        <f>'КП price'!D34</f>
        <v/>
      </c>
      <c r="C28" s="560">
        <f>'КП price'!C34</f>
        <v/>
      </c>
      <c r="D28" s="560">
        <f>'КП price'!I34</f>
        <v/>
      </c>
      <c r="E28" s="831">
        <f>'КП price'!M34</f>
        <v/>
      </c>
      <c r="F28" s="831">
        <f>E28-D28</f>
        <v/>
      </c>
      <c r="H28" s="546">
        <f>IF(F28&gt;0,"показать","скрыть")</f>
        <v/>
      </c>
    </row>
    <row r="29" hidden="1" ht="15.75" customHeight="1" thickBot="1">
      <c r="A29" s="512" t="n">
        <v>19</v>
      </c>
      <c r="B29" s="559">
        <f>'КП price'!D35</f>
        <v/>
      </c>
      <c r="C29" s="560">
        <f>'КП price'!C35</f>
        <v/>
      </c>
      <c r="D29" s="560">
        <f>'КП price'!I35</f>
        <v/>
      </c>
      <c r="E29" s="831">
        <f>'КП price'!M35</f>
        <v/>
      </c>
      <c r="F29" s="831">
        <f>E29-D29</f>
        <v/>
      </c>
      <c r="H29" s="546">
        <f>IF(F29&gt;0,"показать","скрыть")</f>
        <v/>
      </c>
    </row>
    <row r="30" hidden="1" ht="15.75" customHeight="1" thickBot="1">
      <c r="A30" s="512" t="n">
        <v>20</v>
      </c>
      <c r="B30" s="559">
        <f>'КП price'!D36</f>
        <v/>
      </c>
      <c r="C30" s="560">
        <f>'КП price'!C36</f>
        <v/>
      </c>
      <c r="D30" s="560">
        <f>'КП price'!I36</f>
        <v/>
      </c>
      <c r="E30" s="831">
        <f>'КП price'!M36</f>
        <v/>
      </c>
      <c r="F30" s="831">
        <f>E30-D30</f>
        <v/>
      </c>
      <c r="H30" s="546">
        <f>IF(F30&gt;0,"показать","скрыть")</f>
        <v/>
      </c>
    </row>
    <row r="31" hidden="1" ht="15.75" customHeight="1" thickBot="1">
      <c r="A31" s="512" t="n">
        <v>21</v>
      </c>
      <c r="B31" s="559">
        <f>'КП price'!D37</f>
        <v/>
      </c>
      <c r="C31" s="560">
        <f>'КП price'!C37</f>
        <v/>
      </c>
      <c r="D31" s="560">
        <f>'КП price'!I37</f>
        <v/>
      </c>
      <c r="E31" s="831">
        <f>'КП price'!M37</f>
        <v/>
      </c>
      <c r="F31" s="831">
        <f>E31-D31</f>
        <v/>
      </c>
      <c r="H31" s="546">
        <f>IF(F31&gt;0,"показать","скрыть")</f>
        <v/>
      </c>
    </row>
    <row r="32" hidden="1" ht="15.75" customHeight="1" thickBot="1">
      <c r="A32" s="512" t="n">
        <v>22</v>
      </c>
      <c r="B32" s="559">
        <f>'КП price'!D38</f>
        <v/>
      </c>
      <c r="C32" s="560">
        <f>'КП price'!C38</f>
        <v/>
      </c>
      <c r="D32" s="560">
        <f>'КП price'!I38</f>
        <v/>
      </c>
      <c r="E32" s="831">
        <f>'КП price'!M38</f>
        <v/>
      </c>
      <c r="F32" s="831">
        <f>E32-D32</f>
        <v/>
      </c>
      <c r="H32" s="546">
        <f>IF(F32&gt;0,"показать","скрыть")</f>
        <v/>
      </c>
    </row>
    <row r="33" hidden="1" ht="15.75" customHeight="1" thickBot="1">
      <c r="A33" s="512" t="n">
        <v>23</v>
      </c>
      <c r="B33" s="559">
        <f>'КП price'!D39</f>
        <v/>
      </c>
      <c r="C33" s="560">
        <f>'КП price'!C39</f>
        <v/>
      </c>
      <c r="D33" s="560">
        <f>'КП price'!I39</f>
        <v/>
      </c>
      <c r="E33" s="831">
        <f>'КП price'!M39</f>
        <v/>
      </c>
      <c r="F33" s="831">
        <f>E33-D33</f>
        <v/>
      </c>
      <c r="H33" s="546">
        <f>IF(F33&gt;0,"показать","скрыть")</f>
        <v/>
      </c>
    </row>
    <row r="34" hidden="1" ht="15.75" customHeight="1" thickBot="1">
      <c r="A34" s="512" t="n">
        <v>24</v>
      </c>
      <c r="B34" s="559">
        <f>'КП price'!D40</f>
        <v/>
      </c>
      <c r="C34" s="560">
        <f>'КП price'!C40</f>
        <v/>
      </c>
      <c r="D34" s="560">
        <f>'КП price'!I40</f>
        <v/>
      </c>
      <c r="E34" s="831">
        <f>'КП price'!M40</f>
        <v/>
      </c>
      <c r="F34" s="831">
        <f>E34-D34</f>
        <v/>
      </c>
      <c r="H34" s="546">
        <f>IF(F34&gt;0,"показать","скрыть")</f>
        <v/>
      </c>
    </row>
    <row r="35" hidden="1" ht="15.75" customHeight="1" thickBot="1">
      <c r="A35" s="512" t="n">
        <v>25</v>
      </c>
      <c r="B35" s="559">
        <f>'КП price'!D41</f>
        <v/>
      </c>
      <c r="C35" s="560">
        <f>'КП price'!C41</f>
        <v/>
      </c>
      <c r="D35" s="560">
        <f>'КП price'!I41</f>
        <v/>
      </c>
      <c r="E35" s="831">
        <f>'КП price'!M41</f>
        <v/>
      </c>
      <c r="F35" s="831">
        <f>E35-D35</f>
        <v/>
      </c>
      <c r="H35" s="546">
        <f>IF(F35&gt;0,"показать","скрыть")</f>
        <v/>
      </c>
    </row>
    <row r="36" hidden="1" ht="15.75" customHeight="1" thickBot="1">
      <c r="A36" s="512" t="n">
        <v>26</v>
      </c>
      <c r="B36" s="559">
        <f>'КП price'!D42</f>
        <v/>
      </c>
      <c r="C36" s="560">
        <f>'КП price'!C42</f>
        <v/>
      </c>
      <c r="D36" s="560">
        <f>'КП price'!I42</f>
        <v/>
      </c>
      <c r="E36" s="831">
        <f>'КП price'!M42</f>
        <v/>
      </c>
      <c r="F36" s="831">
        <f>E36-D36</f>
        <v/>
      </c>
      <c r="H36" s="546">
        <f>IF(F36&gt;0,"показать","скрыть")</f>
        <v/>
      </c>
    </row>
    <row r="37" hidden="1" ht="15.75" customHeight="1" thickBot="1">
      <c r="A37" s="512" t="n">
        <v>27</v>
      </c>
      <c r="B37" s="559">
        <f>'КП price'!D43</f>
        <v/>
      </c>
      <c r="C37" s="560">
        <f>'КП price'!C43</f>
        <v/>
      </c>
      <c r="D37" s="560">
        <f>'КП price'!I43</f>
        <v/>
      </c>
      <c r="E37" s="831">
        <f>'КП price'!M43</f>
        <v/>
      </c>
      <c r="F37" s="831">
        <f>E37-D37</f>
        <v/>
      </c>
      <c r="H37" s="546">
        <f>IF(F37&gt;0,"показать","скрыть")</f>
        <v/>
      </c>
    </row>
    <row r="38" hidden="1" ht="15.75" customHeight="1" thickBot="1">
      <c r="A38" s="512" t="n">
        <v>28</v>
      </c>
      <c r="B38" s="559">
        <f>'КП price'!D44</f>
        <v/>
      </c>
      <c r="C38" s="560">
        <f>'КП price'!C44</f>
        <v/>
      </c>
      <c r="D38" s="560">
        <f>'КП price'!I44</f>
        <v/>
      </c>
      <c r="E38" s="831">
        <f>'КП price'!M44</f>
        <v/>
      </c>
      <c r="F38" s="831">
        <f>E38-D38</f>
        <v/>
      </c>
      <c r="H38" s="546">
        <f>IF(F38&gt;0,"показать","скрыть")</f>
        <v/>
      </c>
    </row>
    <row r="39" hidden="1" ht="15.75" customHeight="1" thickBot="1">
      <c r="A39" s="512" t="n">
        <v>29</v>
      </c>
      <c r="B39" s="559">
        <f>'КП price'!D45</f>
        <v/>
      </c>
      <c r="C39" s="560">
        <f>'КП price'!C45</f>
        <v/>
      </c>
      <c r="D39" s="560">
        <f>'КП price'!I45</f>
        <v/>
      </c>
      <c r="E39" s="831">
        <f>'КП price'!M45</f>
        <v/>
      </c>
      <c r="F39" s="831">
        <f>E39-D39</f>
        <v/>
      </c>
      <c r="H39" s="546">
        <f>IF(F39&gt;0,"показать","скрыть")</f>
        <v/>
      </c>
    </row>
    <row r="40" hidden="1" ht="15.75" customHeight="1" thickBot="1">
      <c r="A40" s="512" t="n">
        <v>30</v>
      </c>
      <c r="B40" s="559">
        <f>'КП price'!D46</f>
        <v/>
      </c>
      <c r="C40" s="560">
        <f>'КП price'!C46</f>
        <v/>
      </c>
      <c r="D40" s="560">
        <f>'КП price'!I46</f>
        <v/>
      </c>
      <c r="E40" s="831">
        <f>'КП price'!M46</f>
        <v/>
      </c>
      <c r="F40" s="831">
        <f>E40-D40</f>
        <v/>
      </c>
      <c r="H40" s="546">
        <f>IF(F40&gt;0,"показать","скрыть")</f>
        <v/>
      </c>
    </row>
    <row r="41" hidden="1" ht="15.75" customHeight="1" thickBot="1">
      <c r="A41" s="512" t="n">
        <v>31</v>
      </c>
      <c r="B41" s="559">
        <f>'КП price'!D47</f>
        <v/>
      </c>
      <c r="C41" s="560">
        <f>'КП price'!C47</f>
        <v/>
      </c>
      <c r="D41" s="560">
        <f>'КП price'!I47</f>
        <v/>
      </c>
      <c r="E41" s="831">
        <f>'КП price'!M47</f>
        <v/>
      </c>
      <c r="F41" s="831">
        <f>E41-D41</f>
        <v/>
      </c>
      <c r="H41" s="546">
        <f>IF(F41&gt;0,"показать","скрыть")</f>
        <v/>
      </c>
    </row>
    <row r="42" hidden="1" ht="15.75" customHeight="1" thickBot="1">
      <c r="A42" s="512" t="n">
        <v>32</v>
      </c>
      <c r="B42" s="559">
        <f>'КП price'!D48</f>
        <v/>
      </c>
      <c r="C42" s="560">
        <f>'КП price'!C48</f>
        <v/>
      </c>
      <c r="D42" s="560">
        <f>'КП price'!I48</f>
        <v/>
      </c>
      <c r="E42" s="831">
        <f>'КП price'!M48</f>
        <v/>
      </c>
      <c r="F42" s="831">
        <f>E42-D42</f>
        <v/>
      </c>
      <c r="H42" s="546">
        <f>IF(F42&gt;0,"показать","скрыть")</f>
        <v/>
      </c>
    </row>
    <row r="43" hidden="1" ht="15.75" customHeight="1" thickBot="1">
      <c r="A43" s="512" t="n">
        <v>33</v>
      </c>
      <c r="B43" s="559">
        <f>'КП price'!D49</f>
        <v/>
      </c>
      <c r="C43" s="560">
        <f>'КП price'!C49</f>
        <v/>
      </c>
      <c r="D43" s="560">
        <f>'КП price'!I49</f>
        <v/>
      </c>
      <c r="E43" s="831">
        <f>'КП price'!M49</f>
        <v/>
      </c>
      <c r="F43" s="831">
        <f>E43-D43</f>
        <v/>
      </c>
      <c r="H43" s="546">
        <f>IF(F43&gt;0,"показать","скрыть")</f>
        <v/>
      </c>
    </row>
    <row r="44" hidden="1" ht="15.75" customHeight="1" thickBot="1">
      <c r="A44" s="512" t="n">
        <v>34</v>
      </c>
      <c r="B44" s="559">
        <f>'КП price'!D50</f>
        <v/>
      </c>
      <c r="C44" s="560">
        <f>'КП price'!C50</f>
        <v/>
      </c>
      <c r="D44" s="560">
        <f>'КП price'!I50</f>
        <v/>
      </c>
      <c r="E44" s="831">
        <f>'КП price'!M50</f>
        <v/>
      </c>
      <c r="F44" s="831">
        <f>E44-D44</f>
        <v/>
      </c>
      <c r="H44" s="546">
        <f>IF(F44&gt;0,"показать","скрыть")</f>
        <v/>
      </c>
    </row>
    <row r="45" hidden="1" ht="15.75" customHeight="1" thickBot="1">
      <c r="A45" s="512" t="n">
        <v>35</v>
      </c>
      <c r="B45" s="559">
        <f>'КП price'!D51</f>
        <v/>
      </c>
      <c r="C45" s="560">
        <f>'КП price'!C51</f>
        <v/>
      </c>
      <c r="D45" s="560">
        <f>'КП price'!I51</f>
        <v/>
      </c>
      <c r="E45" s="831">
        <f>'КП price'!M51</f>
        <v/>
      </c>
      <c r="F45" s="831">
        <f>E45-D45</f>
        <v/>
      </c>
      <c r="H45" s="546">
        <f>IF(F45&gt;0,"показать","скрыть")</f>
        <v/>
      </c>
    </row>
    <row r="46" hidden="1" ht="15.75" customHeight="1" thickBot="1">
      <c r="A46" s="512" t="n">
        <v>36</v>
      </c>
      <c r="B46" s="559">
        <f>'КП price'!D52</f>
        <v/>
      </c>
      <c r="C46" s="560">
        <f>'КП price'!C52</f>
        <v/>
      </c>
      <c r="D46" s="560">
        <f>'КП price'!I52</f>
        <v/>
      </c>
      <c r="E46" s="831">
        <f>'КП price'!M52</f>
        <v/>
      </c>
      <c r="F46" s="831">
        <f>E46-D46</f>
        <v/>
      </c>
      <c r="H46" s="546">
        <f>IF(F46&gt;0,"показать","скрыть")</f>
        <v/>
      </c>
    </row>
    <row r="47" hidden="1" ht="15.75" customHeight="1" thickBot="1">
      <c r="A47" s="512" t="n">
        <v>37</v>
      </c>
      <c r="B47" s="559">
        <f>'КП price'!D53</f>
        <v/>
      </c>
      <c r="C47" s="560">
        <f>'КП price'!C53</f>
        <v/>
      </c>
      <c r="D47" s="560">
        <f>'КП price'!I53</f>
        <v/>
      </c>
      <c r="E47" s="831">
        <f>'КП price'!M53</f>
        <v/>
      </c>
      <c r="F47" s="831">
        <f>E47-D47</f>
        <v/>
      </c>
      <c r="H47" s="546">
        <f>IF(F47&gt;0,"показать","скрыть")</f>
        <v/>
      </c>
    </row>
    <row r="48" hidden="1" ht="15.75" customHeight="1" thickBot="1">
      <c r="A48" s="512" t="n">
        <v>38</v>
      </c>
      <c r="B48" s="559">
        <f>'КП price'!D54</f>
        <v/>
      </c>
      <c r="C48" s="560">
        <f>'КП price'!C54</f>
        <v/>
      </c>
      <c r="D48" s="560">
        <f>'КП price'!I54</f>
        <v/>
      </c>
      <c r="E48" s="831">
        <f>'КП price'!M54</f>
        <v/>
      </c>
      <c r="F48" s="831">
        <f>E48-D48</f>
        <v/>
      </c>
      <c r="H48" s="546">
        <f>IF(F48&gt;0,"показать","скрыть")</f>
        <v/>
      </c>
    </row>
    <row r="49" hidden="1" ht="15.75" customHeight="1" thickBot="1">
      <c r="A49" s="512" t="n">
        <v>39</v>
      </c>
      <c r="B49" s="559">
        <f>'КП price'!D55</f>
        <v/>
      </c>
      <c r="C49" s="560">
        <f>'КП price'!C55</f>
        <v/>
      </c>
      <c r="D49" s="560">
        <f>'КП price'!I55</f>
        <v/>
      </c>
      <c r="E49" s="831">
        <f>'КП price'!M55</f>
        <v/>
      </c>
      <c r="F49" s="831">
        <f>E49-D49</f>
        <v/>
      </c>
      <c r="H49" s="546">
        <f>IF(F49&gt;0,"показать","скрыть")</f>
        <v/>
      </c>
    </row>
    <row r="50" hidden="1" ht="15.75" customHeight="1" thickBot="1">
      <c r="A50" s="512" t="n">
        <v>40</v>
      </c>
      <c r="B50" s="559">
        <f>'КП price'!D56</f>
        <v/>
      </c>
      <c r="C50" s="560">
        <f>'КП price'!C56</f>
        <v/>
      </c>
      <c r="D50" s="560">
        <f>'КП price'!I56</f>
        <v/>
      </c>
      <c r="E50" s="831">
        <f>'КП price'!M56</f>
        <v/>
      </c>
      <c r="F50" s="831">
        <f>E50-D50</f>
        <v/>
      </c>
      <c r="H50" s="546">
        <f>IF(F50&gt;0,"показать","скрыть")</f>
        <v/>
      </c>
    </row>
    <row r="51" hidden="1" ht="15.75" customHeight="1" thickBot="1">
      <c r="A51" s="512" t="n">
        <v>41</v>
      </c>
      <c r="B51" s="559">
        <f>'КП price'!D57</f>
        <v/>
      </c>
      <c r="C51" s="560">
        <f>'КП price'!C57</f>
        <v/>
      </c>
      <c r="D51" s="560">
        <f>'КП price'!I57</f>
        <v/>
      </c>
      <c r="E51" s="831">
        <f>'КП price'!M57</f>
        <v/>
      </c>
      <c r="F51" s="831">
        <f>E51-D51</f>
        <v/>
      </c>
      <c r="H51" s="546">
        <f>IF(F51&gt;0,"показать","скрыть")</f>
        <v/>
      </c>
    </row>
    <row r="52" hidden="1" ht="15.75" customHeight="1" thickBot="1">
      <c r="A52" s="512" t="n">
        <v>42</v>
      </c>
      <c r="B52" s="559">
        <f>'КП price'!D58</f>
        <v/>
      </c>
      <c r="C52" s="560">
        <f>'КП price'!C58</f>
        <v/>
      </c>
      <c r="D52" s="560">
        <f>'КП price'!I58</f>
        <v/>
      </c>
      <c r="E52" s="831">
        <f>'КП price'!M58</f>
        <v/>
      </c>
      <c r="F52" s="831">
        <f>E52-D52</f>
        <v/>
      </c>
      <c r="H52" s="546">
        <f>IF(F52&gt;0,"показать","скрыть")</f>
        <v/>
      </c>
    </row>
    <row r="53" hidden="1" ht="15.75" customHeight="1" thickBot="1">
      <c r="A53" s="512" t="n">
        <v>43</v>
      </c>
      <c r="B53" s="559">
        <f>'КП price'!D59</f>
        <v/>
      </c>
      <c r="C53" s="560">
        <f>'КП price'!C59</f>
        <v/>
      </c>
      <c r="D53" s="560">
        <f>'КП price'!I59</f>
        <v/>
      </c>
      <c r="E53" s="831">
        <f>'КП price'!M59</f>
        <v/>
      </c>
      <c r="F53" s="831">
        <f>E53-D53</f>
        <v/>
      </c>
      <c r="H53" s="546">
        <f>IF(F53&gt;0,"показать","скрыть")</f>
        <v/>
      </c>
    </row>
    <row r="54" hidden="1" ht="15.75" customHeight="1" thickBot="1">
      <c r="A54" s="512" t="n">
        <v>44</v>
      </c>
      <c r="B54" s="559">
        <f>'КП price'!D60</f>
        <v/>
      </c>
      <c r="C54" s="560">
        <f>'КП price'!C60</f>
        <v/>
      </c>
      <c r="D54" s="560">
        <f>'КП price'!I60</f>
        <v/>
      </c>
      <c r="E54" s="831">
        <f>'КП price'!M60</f>
        <v/>
      </c>
      <c r="F54" s="831">
        <f>E54-D54</f>
        <v/>
      </c>
      <c r="H54" s="546">
        <f>IF(F54&gt;0,"показать","скрыть")</f>
        <v/>
      </c>
    </row>
    <row r="55" hidden="1" ht="15.75" customHeight="1" thickBot="1">
      <c r="A55" s="512" t="n">
        <v>45</v>
      </c>
      <c r="B55" s="559">
        <f>'КП price'!D61</f>
        <v/>
      </c>
      <c r="C55" s="560">
        <f>'КП price'!C61</f>
        <v/>
      </c>
      <c r="D55" s="560">
        <f>'КП price'!I61</f>
        <v/>
      </c>
      <c r="E55" s="831">
        <f>'КП price'!M61</f>
        <v/>
      </c>
      <c r="F55" s="831">
        <f>E55-D55</f>
        <v/>
      </c>
      <c r="H55" s="546">
        <f>IF(F55&gt;0,"показать","скрыть")</f>
        <v/>
      </c>
    </row>
    <row r="56" hidden="1" ht="15.75" customHeight="1" thickBot="1">
      <c r="A56" s="512" t="n">
        <v>46</v>
      </c>
      <c r="B56" s="559">
        <f>'КП price'!D62</f>
        <v/>
      </c>
      <c r="C56" s="560">
        <f>'КП price'!C62</f>
        <v/>
      </c>
      <c r="D56" s="560">
        <f>'КП price'!I62</f>
        <v/>
      </c>
      <c r="E56" s="831">
        <f>'КП price'!M62</f>
        <v/>
      </c>
      <c r="F56" s="831">
        <f>E56-D56</f>
        <v/>
      </c>
      <c r="H56" s="546">
        <f>IF(F56&gt;0,"показать","скрыть")</f>
        <v/>
      </c>
    </row>
    <row r="57" hidden="1" ht="15.75" customHeight="1" thickBot="1">
      <c r="A57" s="512" t="n">
        <v>47</v>
      </c>
      <c r="B57" s="559">
        <f>'КП price'!D63</f>
        <v/>
      </c>
      <c r="C57" s="560">
        <f>'КП price'!C63</f>
        <v/>
      </c>
      <c r="D57" s="560">
        <f>'КП price'!I63</f>
        <v/>
      </c>
      <c r="E57" s="831">
        <f>'КП price'!M63</f>
        <v/>
      </c>
      <c r="F57" s="831">
        <f>E57-D57</f>
        <v/>
      </c>
      <c r="H57" s="546">
        <f>IF(F57&gt;0,"показать","скрыть")</f>
        <v/>
      </c>
    </row>
    <row r="58" hidden="1" ht="15.75" customHeight="1" thickBot="1">
      <c r="A58" s="512" t="n">
        <v>48</v>
      </c>
      <c r="B58" s="559">
        <f>'КП price'!D64</f>
        <v/>
      </c>
      <c r="C58" s="560">
        <f>'КП price'!C64</f>
        <v/>
      </c>
      <c r="D58" s="560">
        <f>'КП price'!I64</f>
        <v/>
      </c>
      <c r="E58" s="831">
        <f>'КП price'!M64</f>
        <v/>
      </c>
      <c r="F58" s="831">
        <f>E58-D58</f>
        <v/>
      </c>
      <c r="H58" s="546">
        <f>IF(F58&gt;0,"показать","скрыть")</f>
        <v/>
      </c>
    </row>
    <row r="59" hidden="1" ht="15.75" customHeight="1" thickBot="1">
      <c r="A59" s="512" t="n">
        <v>49</v>
      </c>
      <c r="B59" s="559">
        <f>'КП price'!D65</f>
        <v/>
      </c>
      <c r="C59" s="560">
        <f>'КП price'!C65</f>
        <v/>
      </c>
      <c r="D59" s="560">
        <f>'КП price'!I65</f>
        <v/>
      </c>
      <c r="E59" s="831">
        <f>'КП price'!M65</f>
        <v/>
      </c>
      <c r="F59" s="831">
        <f>E59-D59</f>
        <v/>
      </c>
      <c r="H59" s="546">
        <f>IF(F59&gt;0,"показать","скрыть")</f>
        <v/>
      </c>
    </row>
    <row r="60" hidden="1" ht="15.75" customHeight="1" thickBot="1">
      <c r="A60" s="512" t="n">
        <v>50</v>
      </c>
      <c r="B60" s="559">
        <f>'КП price'!D66</f>
        <v/>
      </c>
      <c r="C60" s="560">
        <f>'КП price'!C66</f>
        <v/>
      </c>
      <c r="D60" s="560">
        <f>'КП price'!I66</f>
        <v/>
      </c>
      <c r="E60" s="831">
        <f>'КП price'!M66</f>
        <v/>
      </c>
      <c r="F60" s="831">
        <f>E60-D60</f>
        <v/>
      </c>
      <c r="H60" s="546">
        <f>IF(F60&gt;0,"показать","скрыть")</f>
        <v/>
      </c>
    </row>
    <row r="61" hidden="1" ht="15.75" customHeight="1" thickBot="1">
      <c r="A61" s="512" t="n">
        <v>51</v>
      </c>
      <c r="B61" s="559">
        <f>'КП price'!D67</f>
        <v/>
      </c>
      <c r="C61" s="560">
        <f>'КП price'!C67</f>
        <v/>
      </c>
      <c r="D61" s="560">
        <f>'КП price'!I67</f>
        <v/>
      </c>
      <c r="E61" s="831">
        <f>'КП price'!M67</f>
        <v/>
      </c>
      <c r="F61" s="831">
        <f>E61-D61</f>
        <v/>
      </c>
      <c r="H61" s="546">
        <f>IF(F61&gt;0,"показать","скрыть")</f>
        <v/>
      </c>
    </row>
    <row r="62" hidden="1" ht="15.75" customHeight="1" thickBot="1">
      <c r="A62" s="512" t="n">
        <v>52</v>
      </c>
      <c r="B62" s="559">
        <f>'КП price'!D68</f>
        <v/>
      </c>
      <c r="C62" s="560">
        <f>'КП price'!C68</f>
        <v/>
      </c>
      <c r="D62" s="560">
        <f>'КП price'!I68</f>
        <v/>
      </c>
      <c r="E62" s="831">
        <f>'КП price'!M68</f>
        <v/>
      </c>
      <c r="F62" s="831">
        <f>E62-D62</f>
        <v/>
      </c>
      <c r="H62" s="546">
        <f>IF(F62&gt;0,"показать","скрыть")</f>
        <v/>
      </c>
    </row>
    <row r="63" hidden="1" ht="15.75" customHeight="1" thickBot="1">
      <c r="A63" s="512" t="n">
        <v>53</v>
      </c>
      <c r="B63" s="559">
        <f>'КП price'!D69</f>
        <v/>
      </c>
      <c r="C63" s="560">
        <f>'КП price'!C69</f>
        <v/>
      </c>
      <c r="D63" s="560">
        <f>'КП price'!I69</f>
        <v/>
      </c>
      <c r="E63" s="831">
        <f>'КП price'!M69</f>
        <v/>
      </c>
      <c r="F63" s="831">
        <f>E63-D63</f>
        <v/>
      </c>
      <c r="H63" s="546">
        <f>IF(F63&gt;0,"показать","скрыть")</f>
        <v/>
      </c>
    </row>
    <row r="64" hidden="1" ht="15.75" customHeight="1" thickBot="1">
      <c r="A64" s="512" t="n">
        <v>54</v>
      </c>
      <c r="B64" s="559">
        <f>'КП price'!D70</f>
        <v/>
      </c>
      <c r="C64" s="560">
        <f>'КП price'!C70</f>
        <v/>
      </c>
      <c r="D64" s="560">
        <f>'КП price'!I70</f>
        <v/>
      </c>
      <c r="E64" s="831">
        <f>'КП price'!M70</f>
        <v/>
      </c>
      <c r="F64" s="831">
        <f>E64-D64</f>
        <v/>
      </c>
      <c r="H64" s="546">
        <f>IF(F64&gt;0,"показать","скрыть")</f>
        <v/>
      </c>
    </row>
    <row r="65" hidden="1" ht="15.75" customHeight="1" thickBot="1">
      <c r="A65" s="512" t="n">
        <v>55</v>
      </c>
      <c r="B65" s="559">
        <f>'КП price'!D71</f>
        <v/>
      </c>
      <c r="C65" s="560">
        <f>'КП price'!C71</f>
        <v/>
      </c>
      <c r="D65" s="560">
        <f>'КП price'!I71</f>
        <v/>
      </c>
      <c r="E65" s="831">
        <f>'КП price'!M71</f>
        <v/>
      </c>
      <c r="F65" s="831">
        <f>E65-D65</f>
        <v/>
      </c>
      <c r="H65" s="546">
        <f>IF(F65&gt;0,"показать","скрыть")</f>
        <v/>
      </c>
    </row>
    <row r="66" hidden="1" ht="15.75" customHeight="1" thickBot="1">
      <c r="A66" s="512" t="n">
        <v>56</v>
      </c>
      <c r="B66" s="559">
        <f>'КП price'!D72</f>
        <v/>
      </c>
      <c r="C66" s="560">
        <f>'КП price'!C72</f>
        <v/>
      </c>
      <c r="D66" s="560">
        <f>'КП price'!I72</f>
        <v/>
      </c>
      <c r="E66" s="831">
        <f>'КП price'!M72</f>
        <v/>
      </c>
      <c r="F66" s="831">
        <f>E66-D66</f>
        <v/>
      </c>
      <c r="H66" s="546">
        <f>IF(F66&gt;0,"показать","скрыть")</f>
        <v/>
      </c>
    </row>
    <row r="67" hidden="1" ht="15.75" customHeight="1" thickBot="1">
      <c r="A67" s="512" t="n">
        <v>57</v>
      </c>
      <c r="B67" s="559">
        <f>'КП price'!D73</f>
        <v/>
      </c>
      <c r="C67" s="560">
        <f>'КП price'!C73</f>
        <v/>
      </c>
      <c r="D67" s="560">
        <f>'КП price'!I73</f>
        <v/>
      </c>
      <c r="E67" s="831">
        <f>'КП price'!M73</f>
        <v/>
      </c>
      <c r="F67" s="831">
        <f>E67-D67</f>
        <v/>
      </c>
      <c r="H67" s="546">
        <f>IF(F67&gt;0,"показать","скрыть")</f>
        <v/>
      </c>
    </row>
    <row r="68" hidden="1" ht="15.75" customHeight="1" thickBot="1">
      <c r="A68" s="512" t="n">
        <v>58</v>
      </c>
      <c r="B68" s="559">
        <f>'КП price'!D74</f>
        <v/>
      </c>
      <c r="C68" s="560">
        <f>'КП price'!C74</f>
        <v/>
      </c>
      <c r="D68" s="560">
        <f>'КП price'!I74</f>
        <v/>
      </c>
      <c r="E68" s="831">
        <f>'КП price'!M74</f>
        <v/>
      </c>
      <c r="F68" s="831">
        <f>E68-D68</f>
        <v/>
      </c>
      <c r="H68" s="546">
        <f>IF(F68&gt;0,"показать","скрыть")</f>
        <v/>
      </c>
    </row>
    <row r="69" hidden="1" ht="15.75" customHeight="1" thickBot="1">
      <c r="A69" s="512" t="n">
        <v>59</v>
      </c>
      <c r="B69" s="559">
        <f>'КП price'!D75</f>
        <v/>
      </c>
      <c r="C69" s="560">
        <f>'КП price'!C75</f>
        <v/>
      </c>
      <c r="D69" s="560">
        <f>'КП price'!I75</f>
        <v/>
      </c>
      <c r="E69" s="831">
        <f>'КП price'!M75</f>
        <v/>
      </c>
      <c r="F69" s="831">
        <f>E69-D69</f>
        <v/>
      </c>
      <c r="H69" s="546">
        <f>IF(F69&gt;0,"показать","скрыть")</f>
        <v/>
      </c>
    </row>
    <row r="70" hidden="1" ht="15.75" customHeight="1" thickBot="1">
      <c r="A70" s="512" t="n">
        <v>60</v>
      </c>
      <c r="B70" s="559">
        <f>'КП price'!D76</f>
        <v/>
      </c>
      <c r="C70" s="560">
        <f>'КП price'!C76</f>
        <v/>
      </c>
      <c r="D70" s="560">
        <f>'КП price'!I76</f>
        <v/>
      </c>
      <c r="E70" s="831">
        <f>'КП price'!M76</f>
        <v/>
      </c>
      <c r="F70" s="831">
        <f>E70-D70</f>
        <v/>
      </c>
      <c r="H70" s="546">
        <f>IF(F70&gt;0,"показать","скрыть")</f>
        <v/>
      </c>
    </row>
    <row r="71" hidden="1" ht="15.75" customHeight="1" thickBot="1">
      <c r="A71" s="512" t="n">
        <v>61</v>
      </c>
      <c r="B71" s="559">
        <f>'КП price'!D77</f>
        <v/>
      </c>
      <c r="C71" s="560">
        <f>'КП price'!C77</f>
        <v/>
      </c>
      <c r="D71" s="560">
        <f>'КП price'!I77</f>
        <v/>
      </c>
      <c r="E71" s="831">
        <f>'КП price'!M77</f>
        <v/>
      </c>
      <c r="F71" s="831">
        <f>E71-D71</f>
        <v/>
      </c>
      <c r="H71" s="546">
        <f>IF(F71&gt;0,"показать","скрыть")</f>
        <v/>
      </c>
    </row>
    <row r="72" hidden="1" ht="15.75" customHeight="1" thickBot="1">
      <c r="A72" s="512" t="n">
        <v>62</v>
      </c>
      <c r="B72" s="559">
        <f>'КП price'!D78</f>
        <v/>
      </c>
      <c r="C72" s="560">
        <f>'КП price'!C78</f>
        <v/>
      </c>
      <c r="D72" s="560">
        <f>'КП price'!I78</f>
        <v/>
      </c>
      <c r="E72" s="831">
        <f>'КП price'!M78</f>
        <v/>
      </c>
      <c r="F72" s="831">
        <f>E72-D72</f>
        <v/>
      </c>
      <c r="H72" s="546">
        <f>IF(F72&gt;0,"показать","скрыть")</f>
        <v/>
      </c>
    </row>
    <row r="73" hidden="1" ht="15.75" customHeight="1" thickBot="1">
      <c r="A73" s="512" t="n">
        <v>63</v>
      </c>
      <c r="B73" s="559">
        <f>'КП price'!D79</f>
        <v/>
      </c>
      <c r="C73" s="560">
        <f>'КП price'!C79</f>
        <v/>
      </c>
      <c r="D73" s="560">
        <f>'КП price'!I79</f>
        <v/>
      </c>
      <c r="E73" s="831">
        <f>'КП price'!M79</f>
        <v/>
      </c>
      <c r="F73" s="831">
        <f>E73-D73</f>
        <v/>
      </c>
      <c r="H73" s="546">
        <f>IF(F73&gt;0,"показать","скрыть")</f>
        <v/>
      </c>
    </row>
    <row r="74" hidden="1" ht="15.75" customHeight="1" thickBot="1">
      <c r="A74" s="512" t="n">
        <v>64</v>
      </c>
      <c r="B74" s="559">
        <f>'КП price'!D80</f>
        <v/>
      </c>
      <c r="C74" s="560">
        <f>'КП price'!C80</f>
        <v/>
      </c>
      <c r="D74" s="560">
        <f>'КП price'!I80</f>
        <v/>
      </c>
      <c r="E74" s="831">
        <f>'КП price'!M80</f>
        <v/>
      </c>
      <c r="F74" s="831">
        <f>E74-D74</f>
        <v/>
      </c>
      <c r="H74" s="546">
        <f>IF(F74&gt;0,"показать","скрыть")</f>
        <v/>
      </c>
    </row>
    <row r="75" hidden="1" ht="15.75" customHeight="1" thickBot="1">
      <c r="A75" s="512" t="n">
        <v>65</v>
      </c>
      <c r="B75" s="559">
        <f>'КП price'!D81</f>
        <v/>
      </c>
      <c r="C75" s="560">
        <f>'КП price'!C81</f>
        <v/>
      </c>
      <c r="D75" s="560">
        <f>'КП price'!I81</f>
        <v/>
      </c>
      <c r="E75" s="831">
        <f>'КП price'!M81</f>
        <v/>
      </c>
      <c r="F75" s="831">
        <f>E75-D75</f>
        <v/>
      </c>
      <c r="H75" s="546">
        <f>IF(F75&gt;0,"показать","скрыть")</f>
        <v/>
      </c>
    </row>
    <row r="76" hidden="1" ht="15.75" customHeight="1" thickBot="1">
      <c r="A76" s="512" t="n">
        <v>66</v>
      </c>
      <c r="B76" s="559">
        <f>'КП price'!D82</f>
        <v/>
      </c>
      <c r="C76" s="560">
        <f>'КП price'!C82</f>
        <v/>
      </c>
      <c r="D76" s="560">
        <f>'КП price'!I82</f>
        <v/>
      </c>
      <c r="E76" s="831">
        <f>'КП price'!M82</f>
        <v/>
      </c>
      <c r="F76" s="831">
        <f>E76-D76</f>
        <v/>
      </c>
      <c r="H76" s="546">
        <f>IF(F76&gt;0,"показать","скрыть")</f>
        <v/>
      </c>
    </row>
    <row r="77" hidden="1" ht="15.75" customHeight="1" thickBot="1">
      <c r="A77" s="512" t="n">
        <v>67</v>
      </c>
      <c r="B77" s="559">
        <f>'КП price'!D83</f>
        <v/>
      </c>
      <c r="C77" s="560">
        <f>'КП price'!C83</f>
        <v/>
      </c>
      <c r="D77" s="560">
        <f>'КП price'!I83</f>
        <v/>
      </c>
      <c r="E77" s="831">
        <f>'КП price'!M83</f>
        <v/>
      </c>
      <c r="F77" s="831">
        <f>E77-D77</f>
        <v/>
      </c>
      <c r="H77" s="546">
        <f>IF(F77&gt;0,"показать","скрыть")</f>
        <v/>
      </c>
    </row>
    <row r="78" hidden="1" ht="15.75" customHeight="1" thickBot="1">
      <c r="A78" s="512" t="n">
        <v>68</v>
      </c>
      <c r="B78" s="559">
        <f>'КП price'!D84</f>
        <v/>
      </c>
      <c r="C78" s="560">
        <f>'КП price'!C84</f>
        <v/>
      </c>
      <c r="D78" s="560">
        <f>'КП price'!I84</f>
        <v/>
      </c>
      <c r="E78" s="831">
        <f>'КП price'!M84</f>
        <v/>
      </c>
      <c r="F78" s="831">
        <f>E78-D78</f>
        <v/>
      </c>
      <c r="H78" s="546">
        <f>IF(F78&gt;0,"показать","скрыть")</f>
        <v/>
      </c>
    </row>
    <row r="79" hidden="1" ht="15.75" customHeight="1" thickBot="1">
      <c r="A79" s="512" t="n">
        <v>69</v>
      </c>
      <c r="B79" s="559">
        <f>'КП price'!D85</f>
        <v/>
      </c>
      <c r="C79" s="560">
        <f>'КП price'!C85</f>
        <v/>
      </c>
      <c r="D79" s="560">
        <f>'КП price'!I85</f>
        <v/>
      </c>
      <c r="E79" s="831">
        <f>'КП price'!M85</f>
        <v/>
      </c>
      <c r="F79" s="831">
        <f>E79-D79</f>
        <v/>
      </c>
      <c r="H79" s="546">
        <f>IF(F79&gt;0,"показать","скрыть")</f>
        <v/>
      </c>
    </row>
    <row r="80" hidden="1" ht="15.75" customHeight="1" thickBot="1">
      <c r="A80" s="512" t="n">
        <v>70</v>
      </c>
      <c r="B80" s="559">
        <f>'КП price'!D86</f>
        <v/>
      </c>
      <c r="C80" s="560">
        <f>'КП price'!C86</f>
        <v/>
      </c>
      <c r="D80" s="560">
        <f>'КП price'!I86</f>
        <v/>
      </c>
      <c r="E80" s="831">
        <f>'КП price'!M86</f>
        <v/>
      </c>
      <c r="F80" s="831">
        <f>E80-D80</f>
        <v/>
      </c>
      <c r="H80" s="546">
        <f>IF(F80&gt;0,"показать","скрыть")</f>
        <v/>
      </c>
    </row>
    <row r="81" hidden="1" ht="15.75" customHeight="1" thickBot="1">
      <c r="A81" s="512" t="n">
        <v>71</v>
      </c>
      <c r="B81" s="559">
        <f>'КП price'!D87</f>
        <v/>
      </c>
      <c r="C81" s="560">
        <f>'КП price'!C87</f>
        <v/>
      </c>
      <c r="D81" s="560">
        <f>'КП price'!I87</f>
        <v/>
      </c>
      <c r="E81" s="831">
        <f>'КП price'!M87</f>
        <v/>
      </c>
      <c r="F81" s="831">
        <f>E81-D81</f>
        <v/>
      </c>
      <c r="H81" s="546">
        <f>IF(F81&gt;0,"показать","скрыть")</f>
        <v/>
      </c>
    </row>
    <row r="82" hidden="1" ht="15.75" customHeight="1" thickBot="1">
      <c r="A82" s="512" t="n">
        <v>72</v>
      </c>
      <c r="B82" s="559">
        <f>'КП price'!D88</f>
        <v/>
      </c>
      <c r="C82" s="560">
        <f>'КП price'!C88</f>
        <v/>
      </c>
      <c r="D82" s="560">
        <f>'КП price'!I88</f>
        <v/>
      </c>
      <c r="E82" s="831">
        <f>'КП price'!M88</f>
        <v/>
      </c>
      <c r="F82" s="831">
        <f>E82-D82</f>
        <v/>
      </c>
      <c r="H82" s="546">
        <f>IF(F82&gt;0,"показать","скрыть")</f>
        <v/>
      </c>
    </row>
    <row r="83" hidden="1" ht="15.75" customHeight="1" thickBot="1">
      <c r="A83" s="512" t="n">
        <v>73</v>
      </c>
      <c r="B83" s="559">
        <f>'КП price'!D89</f>
        <v/>
      </c>
      <c r="C83" s="560">
        <f>'КП price'!C89</f>
        <v/>
      </c>
      <c r="D83" s="560">
        <f>'КП price'!I89</f>
        <v/>
      </c>
      <c r="E83" s="831">
        <f>'КП price'!M89</f>
        <v/>
      </c>
      <c r="F83" s="831">
        <f>E83-D83</f>
        <v/>
      </c>
      <c r="H83" s="546">
        <f>IF(F83&gt;0,"показать","скрыть")</f>
        <v/>
      </c>
    </row>
    <row r="84" hidden="1" ht="15.75" customHeight="1" thickBot="1">
      <c r="A84" s="512" t="n">
        <v>74</v>
      </c>
      <c r="B84" s="559">
        <f>'КП price'!D90</f>
        <v/>
      </c>
      <c r="C84" s="560">
        <f>'КП price'!C90</f>
        <v/>
      </c>
      <c r="D84" s="560">
        <f>'КП price'!I90</f>
        <v/>
      </c>
      <c r="E84" s="831">
        <f>'КП price'!M90</f>
        <v/>
      </c>
      <c r="F84" s="831">
        <f>E84-D84</f>
        <v/>
      </c>
      <c r="H84" s="546">
        <f>IF(F84&gt;0,"показать","скрыть")</f>
        <v/>
      </c>
    </row>
    <row r="85" hidden="1" ht="15.75" customHeight="1" thickBot="1">
      <c r="A85" s="512" t="n">
        <v>75</v>
      </c>
      <c r="B85" s="559">
        <f>'КП price'!D91</f>
        <v/>
      </c>
      <c r="C85" s="560">
        <f>'КП price'!C91</f>
        <v/>
      </c>
      <c r="D85" s="560">
        <f>'КП price'!I91</f>
        <v/>
      </c>
      <c r="E85" s="831">
        <f>'КП price'!M91</f>
        <v/>
      </c>
      <c r="F85" s="831">
        <f>E85-D85</f>
        <v/>
      </c>
      <c r="H85" s="546">
        <f>IF(F85&gt;0,"показать","скрыть")</f>
        <v/>
      </c>
    </row>
    <row r="86" hidden="1" ht="15.75" customHeight="1" thickBot="1">
      <c r="A86" s="512" t="n">
        <v>76</v>
      </c>
      <c r="B86" s="559">
        <f>'КП price'!D92</f>
        <v/>
      </c>
      <c r="C86" s="560">
        <f>'КП price'!C92</f>
        <v/>
      </c>
      <c r="D86" s="560">
        <f>'КП price'!I92</f>
        <v/>
      </c>
      <c r="E86" s="831">
        <f>'КП price'!M92</f>
        <v/>
      </c>
      <c r="F86" s="831">
        <f>E86-D86</f>
        <v/>
      </c>
      <c r="H86" s="546">
        <f>IF(F86&gt;0,"показать","скрыть")</f>
        <v/>
      </c>
    </row>
    <row r="87" hidden="1" ht="15.75" customHeight="1" thickBot="1">
      <c r="A87" s="512" t="n">
        <v>77</v>
      </c>
      <c r="B87" s="559">
        <f>'КП price'!D93</f>
        <v/>
      </c>
      <c r="C87" s="560">
        <f>'КП price'!C93</f>
        <v/>
      </c>
      <c r="D87" s="560">
        <f>'КП price'!I93</f>
        <v/>
      </c>
      <c r="E87" s="831">
        <f>'КП price'!M93</f>
        <v/>
      </c>
      <c r="F87" s="831">
        <f>E87-D87</f>
        <v/>
      </c>
      <c r="H87" s="546">
        <f>IF(F87&gt;0,"показать","скрыть")</f>
        <v/>
      </c>
    </row>
    <row r="88" hidden="1" ht="15.75" customHeight="1" thickBot="1">
      <c r="A88" s="512" t="n">
        <v>78</v>
      </c>
      <c r="B88" s="559">
        <f>'КП price'!D94</f>
        <v/>
      </c>
      <c r="C88" s="560">
        <f>'КП price'!C94</f>
        <v/>
      </c>
      <c r="D88" s="560">
        <f>'КП price'!I94</f>
        <v/>
      </c>
      <c r="E88" s="831">
        <f>'КП price'!M94</f>
        <v/>
      </c>
      <c r="F88" s="831">
        <f>E88-D88</f>
        <v/>
      </c>
      <c r="H88" s="546">
        <f>IF(F88&gt;0,"показать","скрыть")</f>
        <v/>
      </c>
    </row>
    <row r="89" hidden="1" ht="15.75" customHeight="1" thickBot="1">
      <c r="A89" s="512" t="n">
        <v>79</v>
      </c>
      <c r="B89" s="559">
        <f>'КП price'!D95</f>
        <v/>
      </c>
      <c r="C89" s="560">
        <f>'КП price'!C95</f>
        <v/>
      </c>
      <c r="D89" s="560">
        <f>'КП price'!I95</f>
        <v/>
      </c>
      <c r="E89" s="831">
        <f>'КП price'!M95</f>
        <v/>
      </c>
      <c r="F89" s="831">
        <f>E89-D89</f>
        <v/>
      </c>
      <c r="H89" s="546">
        <f>IF(F89&gt;0,"показать","скрыть")</f>
        <v/>
      </c>
    </row>
    <row r="90" hidden="1" ht="15.75" customHeight="1" thickBot="1">
      <c r="A90" s="512" t="n">
        <v>80</v>
      </c>
      <c r="B90" s="559">
        <f>'КП price'!D96</f>
        <v/>
      </c>
      <c r="C90" s="560">
        <f>'КП price'!C96</f>
        <v/>
      </c>
      <c r="D90" s="560">
        <f>'КП price'!I96</f>
        <v/>
      </c>
      <c r="E90" s="831">
        <f>'КП price'!M96</f>
        <v/>
      </c>
      <c r="F90" s="831">
        <f>E90-D90</f>
        <v/>
      </c>
      <c r="H90" s="546">
        <f>IF(F90&gt;0,"показать","скрыть")</f>
        <v/>
      </c>
    </row>
    <row r="91" hidden="1" ht="15.75" customHeight="1" thickBot="1">
      <c r="A91" s="512" t="n">
        <v>81</v>
      </c>
      <c r="B91" s="559">
        <f>'КП price'!D97</f>
        <v/>
      </c>
      <c r="C91" s="560">
        <f>'КП price'!C97</f>
        <v/>
      </c>
      <c r="D91" s="560">
        <f>'КП price'!I97</f>
        <v/>
      </c>
      <c r="E91" s="831">
        <f>'КП price'!M97</f>
        <v/>
      </c>
      <c r="F91" s="831">
        <f>E91-D91</f>
        <v/>
      </c>
      <c r="H91" s="546">
        <f>IF(F91&gt;0,"показать","скрыть")</f>
        <v/>
      </c>
    </row>
    <row r="92" hidden="1" ht="15.75" customHeight="1" thickBot="1">
      <c r="A92" s="512" t="n">
        <v>82</v>
      </c>
      <c r="B92" s="559">
        <f>'КП price'!D98</f>
        <v/>
      </c>
      <c r="C92" s="560">
        <f>'КП price'!C98</f>
        <v/>
      </c>
      <c r="D92" s="560">
        <f>'КП price'!I98</f>
        <v/>
      </c>
      <c r="E92" s="831">
        <f>'КП price'!M98</f>
        <v/>
      </c>
      <c r="F92" s="831">
        <f>E92-D92</f>
        <v/>
      </c>
      <c r="H92" s="546">
        <f>IF(F92&gt;0,"показать","скрыть")</f>
        <v/>
      </c>
    </row>
    <row r="93" hidden="1" ht="15.75" customHeight="1" thickBot="1">
      <c r="A93" s="512" t="n">
        <v>83</v>
      </c>
      <c r="B93" s="559">
        <f>'КП price'!D99</f>
        <v/>
      </c>
      <c r="C93" s="560">
        <f>'КП price'!C99</f>
        <v/>
      </c>
      <c r="D93" s="560">
        <f>'КП price'!I99</f>
        <v/>
      </c>
      <c r="E93" s="831">
        <f>'КП price'!M99</f>
        <v/>
      </c>
      <c r="F93" s="831">
        <f>E93-D93</f>
        <v/>
      </c>
      <c r="H93" s="546">
        <f>IF(F93&gt;0,"показать","скрыть")</f>
        <v/>
      </c>
    </row>
    <row r="94" hidden="1" ht="15.75" customHeight="1" thickBot="1">
      <c r="A94" s="512" t="n">
        <v>84</v>
      </c>
      <c r="B94" s="559">
        <f>'КП price'!D100</f>
        <v/>
      </c>
      <c r="C94" s="560">
        <f>'КП price'!C100</f>
        <v/>
      </c>
      <c r="D94" s="560">
        <f>'КП price'!I100</f>
        <v/>
      </c>
      <c r="E94" s="831">
        <f>'КП price'!M100</f>
        <v/>
      </c>
      <c r="F94" s="831">
        <f>E94-D94</f>
        <v/>
      </c>
      <c r="H94" s="546">
        <f>IF(F94&gt;0,"показать","скрыть")</f>
        <v/>
      </c>
    </row>
    <row r="95" hidden="1" ht="15.75" customHeight="1" thickBot="1">
      <c r="A95" s="512" t="n">
        <v>85</v>
      </c>
      <c r="B95" s="559">
        <f>'КП price'!D101</f>
        <v/>
      </c>
      <c r="C95" s="560">
        <f>'КП price'!C101</f>
        <v/>
      </c>
      <c r="D95" s="560">
        <f>'КП price'!I101</f>
        <v/>
      </c>
      <c r="E95" s="831">
        <f>'КП price'!M101</f>
        <v/>
      </c>
      <c r="F95" s="831">
        <f>E95-D95</f>
        <v/>
      </c>
      <c r="H95" s="546">
        <f>IF(F95&gt;0,"показать","скрыть")</f>
        <v/>
      </c>
    </row>
    <row r="96" hidden="1" ht="15.75" customHeight="1" thickBot="1">
      <c r="A96" s="512" t="n">
        <v>86</v>
      </c>
      <c r="B96" s="559">
        <f>'КП price'!D102</f>
        <v/>
      </c>
      <c r="C96" s="560">
        <f>'КП price'!C102</f>
        <v/>
      </c>
      <c r="D96" s="560">
        <f>'КП price'!I102</f>
        <v/>
      </c>
      <c r="E96" s="831">
        <f>'КП price'!M102</f>
        <v/>
      </c>
      <c r="F96" s="831">
        <f>E96-D96</f>
        <v/>
      </c>
      <c r="H96" s="546">
        <f>IF(F96&gt;0,"показать","скрыть")</f>
        <v/>
      </c>
    </row>
    <row r="97" hidden="1" ht="15.75" customHeight="1" thickBot="1">
      <c r="A97" s="512" t="n">
        <v>87</v>
      </c>
      <c r="B97" s="559">
        <f>'КП price'!D103</f>
        <v/>
      </c>
      <c r="C97" s="560">
        <f>'КП price'!C103</f>
        <v/>
      </c>
      <c r="D97" s="560">
        <f>'КП price'!I103</f>
        <v/>
      </c>
      <c r="E97" s="831">
        <f>'КП price'!M103</f>
        <v/>
      </c>
      <c r="F97" s="831">
        <f>E97-D97</f>
        <v/>
      </c>
      <c r="H97" s="546">
        <f>IF(F97&gt;0,"показать","скрыть")</f>
        <v/>
      </c>
    </row>
    <row r="98" hidden="1" ht="15.75" customHeight="1" thickBot="1">
      <c r="A98" s="512" t="n">
        <v>88</v>
      </c>
      <c r="B98" s="559">
        <f>'КП price'!D104</f>
        <v/>
      </c>
      <c r="C98" s="560">
        <f>'КП price'!C104</f>
        <v/>
      </c>
      <c r="D98" s="560">
        <f>'КП price'!I104</f>
        <v/>
      </c>
      <c r="E98" s="831">
        <f>'КП price'!M104</f>
        <v/>
      </c>
      <c r="F98" s="831">
        <f>E98-D98</f>
        <v/>
      </c>
      <c r="H98" s="546">
        <f>IF(F98&gt;0,"показать","скрыть")</f>
        <v/>
      </c>
    </row>
    <row r="99" hidden="1" ht="15.75" customHeight="1" thickBot="1">
      <c r="A99" s="512" t="n">
        <v>89</v>
      </c>
      <c r="B99" s="559">
        <f>'КП price'!D105</f>
        <v/>
      </c>
      <c r="C99" s="560">
        <f>'КП price'!C105</f>
        <v/>
      </c>
      <c r="D99" s="560">
        <f>'КП price'!I105</f>
        <v/>
      </c>
      <c r="E99" s="831">
        <f>'КП price'!M105</f>
        <v/>
      </c>
      <c r="F99" s="831">
        <f>E99-D99</f>
        <v/>
      </c>
      <c r="H99" s="546">
        <f>IF(F99&gt;0,"показать","скрыть")</f>
        <v/>
      </c>
    </row>
    <row r="100" hidden="1" ht="15.75" customHeight="1" thickBot="1">
      <c r="A100" s="512" t="n">
        <v>90</v>
      </c>
      <c r="B100" s="559">
        <f>'КП price'!D106</f>
        <v/>
      </c>
      <c r="C100" s="560">
        <f>'КП price'!C106</f>
        <v/>
      </c>
      <c r="D100" s="560">
        <f>'КП price'!I106</f>
        <v/>
      </c>
      <c r="E100" s="831">
        <f>'КП price'!M106</f>
        <v/>
      </c>
      <c r="F100" s="831">
        <f>E100-D100</f>
        <v/>
      </c>
      <c r="H100" s="546">
        <f>IF(F100&gt;0,"показать","скрыть")</f>
        <v/>
      </c>
    </row>
    <row r="101" hidden="1" ht="15.75" customHeight="1" thickBot="1">
      <c r="A101" s="512" t="n">
        <v>91</v>
      </c>
      <c r="B101" s="559">
        <f>'КП price'!D107</f>
        <v/>
      </c>
      <c r="C101" s="560">
        <f>'КП price'!C107</f>
        <v/>
      </c>
      <c r="D101" s="560">
        <f>'КП price'!I107</f>
        <v/>
      </c>
      <c r="E101" s="831">
        <f>'КП price'!M107</f>
        <v/>
      </c>
      <c r="F101" s="831">
        <f>E101-D101</f>
        <v/>
      </c>
      <c r="H101" s="546">
        <f>IF(F101&gt;0,"показать","скрыть")</f>
        <v/>
      </c>
    </row>
    <row r="102" hidden="1" ht="15.75" customHeight="1" thickBot="1">
      <c r="A102" s="512" t="n">
        <v>92</v>
      </c>
      <c r="B102" s="559">
        <f>'КП price'!D108</f>
        <v/>
      </c>
      <c r="C102" s="560">
        <f>'КП price'!C108</f>
        <v/>
      </c>
      <c r="D102" s="560">
        <f>'КП price'!I108</f>
        <v/>
      </c>
      <c r="E102" s="831">
        <f>'КП price'!M108</f>
        <v/>
      </c>
      <c r="F102" s="831">
        <f>E102-D102</f>
        <v/>
      </c>
      <c r="H102" s="546">
        <f>IF(F102&gt;0,"показать","скрыть")</f>
        <v/>
      </c>
    </row>
    <row r="103" hidden="1" ht="15.75" customHeight="1" thickBot="1">
      <c r="A103" s="512" t="n">
        <v>93</v>
      </c>
      <c r="B103" s="559">
        <f>'КП price'!D109</f>
        <v/>
      </c>
      <c r="C103" s="560">
        <f>'КП price'!C109</f>
        <v/>
      </c>
      <c r="D103" s="560">
        <f>'КП price'!I109</f>
        <v/>
      </c>
      <c r="E103" s="831">
        <f>'КП price'!M109</f>
        <v/>
      </c>
      <c r="F103" s="831">
        <f>E103-D103</f>
        <v/>
      </c>
      <c r="H103" s="546">
        <f>IF(F103&gt;0,"показать","скрыть")</f>
        <v/>
      </c>
    </row>
    <row r="104" hidden="1" ht="15.75" customHeight="1" thickBot="1">
      <c r="A104" s="512" t="n">
        <v>94</v>
      </c>
      <c r="B104" s="559">
        <f>'КП price'!D110</f>
        <v/>
      </c>
      <c r="C104" s="560">
        <f>'КП price'!C110</f>
        <v/>
      </c>
      <c r="D104" s="560">
        <f>'КП price'!I110</f>
        <v/>
      </c>
      <c r="E104" s="831">
        <f>'КП price'!M110</f>
        <v/>
      </c>
      <c r="F104" s="831">
        <f>E104-D104</f>
        <v/>
      </c>
      <c r="H104" s="546">
        <f>IF(F104&gt;0,"показать","скрыть")</f>
        <v/>
      </c>
    </row>
    <row r="105" hidden="1" ht="15.75" customHeight="1" thickBot="1">
      <c r="A105" s="512" t="n">
        <v>95</v>
      </c>
      <c r="B105" s="559">
        <f>'КП price'!D111</f>
        <v/>
      </c>
      <c r="C105" s="560">
        <f>'КП price'!C111</f>
        <v/>
      </c>
      <c r="D105" s="560">
        <f>'КП price'!I111</f>
        <v/>
      </c>
      <c r="E105" s="831">
        <f>'КП price'!M111</f>
        <v/>
      </c>
      <c r="F105" s="831">
        <f>E105-D105</f>
        <v/>
      </c>
      <c r="H105" s="546">
        <f>IF(F105&gt;0,"показать","скрыть")</f>
        <v/>
      </c>
    </row>
    <row r="106" hidden="1" ht="15.75" customHeight="1" thickBot="1">
      <c r="A106" s="512" t="n">
        <v>96</v>
      </c>
      <c r="B106" s="559">
        <f>'КП price'!D112</f>
        <v/>
      </c>
      <c r="C106" s="560">
        <f>'КП price'!C112</f>
        <v/>
      </c>
      <c r="D106" s="560">
        <f>'КП price'!I112</f>
        <v/>
      </c>
      <c r="E106" s="831">
        <f>'КП price'!M112</f>
        <v/>
      </c>
      <c r="F106" s="831">
        <f>E106-D106</f>
        <v/>
      </c>
      <c r="H106" s="546">
        <f>IF(F106&gt;0,"показать","скрыть")</f>
        <v/>
      </c>
    </row>
    <row r="107" hidden="1" ht="15.75" customHeight="1" thickBot="1">
      <c r="A107" s="512" t="n">
        <v>97</v>
      </c>
      <c r="B107" s="559">
        <f>'КП price'!D113</f>
        <v/>
      </c>
      <c r="C107" s="560">
        <f>'КП price'!C113</f>
        <v/>
      </c>
      <c r="D107" s="560">
        <f>'КП price'!I113</f>
        <v/>
      </c>
      <c r="E107" s="831">
        <f>'КП price'!M113</f>
        <v/>
      </c>
      <c r="F107" s="831">
        <f>E107-D107</f>
        <v/>
      </c>
      <c r="H107" s="546">
        <f>IF(F107&gt;0,"показать","скрыть")</f>
        <v/>
      </c>
    </row>
    <row r="108" hidden="1" ht="15.75" customHeight="1" thickBot="1">
      <c r="A108" s="512" t="n">
        <v>98</v>
      </c>
      <c r="B108" s="559">
        <f>'КП price'!D114</f>
        <v/>
      </c>
      <c r="C108" s="560">
        <f>'КП price'!C114</f>
        <v/>
      </c>
      <c r="D108" s="560">
        <f>'КП price'!I114</f>
        <v/>
      </c>
      <c r="E108" s="831">
        <f>'КП price'!M114</f>
        <v/>
      </c>
      <c r="F108" s="831">
        <f>E108-D108</f>
        <v/>
      </c>
      <c r="H108" s="546">
        <f>IF(F108&gt;0,"показать","скрыть")</f>
        <v/>
      </c>
    </row>
    <row r="109" hidden="1" ht="15.75" customHeight="1" thickBot="1">
      <c r="A109" s="512" t="n">
        <v>99</v>
      </c>
      <c r="B109" s="559">
        <f>'КП price'!D115</f>
        <v/>
      </c>
      <c r="C109" s="560">
        <f>'КП price'!C115</f>
        <v/>
      </c>
      <c r="D109" s="560">
        <f>'КП price'!I115</f>
        <v/>
      </c>
      <c r="E109" s="831">
        <f>'КП price'!M115</f>
        <v/>
      </c>
      <c r="F109" s="831">
        <f>E109-D109</f>
        <v/>
      </c>
      <c r="H109" s="546">
        <f>IF(F109&gt;0,"показать","скрыть")</f>
        <v/>
      </c>
    </row>
    <row r="110" hidden="1" ht="15.75" customHeight="1" thickBot="1">
      <c r="A110" s="512" t="n">
        <v>100</v>
      </c>
      <c r="B110" s="559">
        <f>'КП price'!D116</f>
        <v/>
      </c>
      <c r="C110" s="560">
        <f>'КП price'!C116</f>
        <v/>
      </c>
      <c r="D110" s="560">
        <f>'КП price'!I116</f>
        <v/>
      </c>
      <c r="E110" s="831">
        <f>'КП price'!M116</f>
        <v/>
      </c>
      <c r="F110" s="831">
        <f>E110-D110</f>
        <v/>
      </c>
      <c r="H110" s="546">
        <f>IF(F110&gt;0,"показать","скрыть")</f>
        <v/>
      </c>
    </row>
    <row r="111" ht="15.75" customHeight="1" thickBot="1">
      <c r="B111" s="562" t="inlineStr">
        <is>
          <t>ИТОГО</t>
        </is>
      </c>
      <c r="C111" s="560" t="n"/>
      <c r="D111" s="563">
        <f>SUM(D11:D110)</f>
        <v/>
      </c>
      <c r="E111" s="832" t="n"/>
      <c r="F111" s="831">
        <f>SUM(F11:F110)</f>
        <v/>
      </c>
    </row>
    <row r="112">
      <c r="B112" s="565" t="n"/>
      <c r="C112" s="566" t="n"/>
      <c r="D112" s="567" t="n"/>
      <c r="E112" s="567" t="n"/>
      <c r="F112" s="567" t="n"/>
      <c r="G112" s="567" t="n"/>
    </row>
    <row r="113">
      <c r="B113" s="565" t="n"/>
      <c r="C113" s="565" t="n"/>
    </row>
    <row r="114">
      <c r="B114" s="568" t="inlineStr">
        <is>
          <t>Итог:</t>
        </is>
      </c>
      <c r="C114" s="568" t="n"/>
      <c r="J114" s="569" t="n"/>
    </row>
    <row r="115" ht="31.5" customHeight="1">
      <c r="B115" s="721">
        <f t="array" ref="B115">"- общее количество поставляемой Продукции по настоящей Спецификации составляет "&amp;D111&amp;" "&amp;TRIM(ЧислоСловом_Штуки(D111))</f>
        <v/>
      </c>
      <c r="G115" s="570" t="n"/>
      <c r="J115" s="569" t="n"/>
    </row>
    <row r="116" ht="45" customHeight="1">
      <c r="B116" s="721">
        <f t="array" ref="B116">"-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
      </c>
      <c r="G116" s="570" t="n"/>
      <c r="I116" s="569" t="n"/>
    </row>
    <row r="117">
      <c r="B117" s="565" t="n"/>
      <c r="C117" s="565" t="n"/>
    </row>
    <row r="118">
      <c r="B118" s="571" t="inlineStr">
        <is>
          <t>Условия поставки:</t>
        </is>
      </c>
      <c r="C118" s="571" t="n"/>
      <c r="D118" s="572" t="n"/>
      <c r="E118" s="572" t="n"/>
      <c r="F118" s="572" t="n"/>
      <c r="G118" s="572" t="n"/>
    </row>
    <row r="119" ht="30.75" customHeight="1">
      <c r="B119" s="721">
        <f>"1. Требования к качеству: международные стандарты качества, стандарты, установленные заводом-изготовителем, производителем товара является "&amp;C11</f>
        <v/>
      </c>
      <c r="G119" s="573" t="n"/>
    </row>
    <row r="120">
      <c r="B120" s="721" t="inlineStr">
        <is>
          <t>2.   Цены по настоящей Спецификации указаны с учетом транспортных расходов.</t>
        </is>
      </c>
      <c r="G120" s="573" t="n"/>
    </row>
    <row r="121" ht="31.5" customHeight="1">
      <c r="B121" s="721">
        <f>"3.   Цена и стоимость Продукции, поставляемой по настоящей Спецификации согласована Сторонами в "&amp;_xlfn.XLOOKUP(Вводные!B18,helpsheet!$AP$3:$AP$6,helpsheet!$AQ$3:$AQ$6,0,0)</f>
        <v/>
      </c>
      <c r="G121" s="573" t="n"/>
    </row>
    <row r="122" ht="42.75" customHeight="1">
      <c r="B122" s="721">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
      </c>
      <c r="G122" s="572" t="n"/>
    </row>
    <row r="123" ht="87.75" customHeight="1">
      <c r="B123" s="721">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
      </c>
      <c r="G123" s="572" t="n"/>
    </row>
    <row r="124" ht="29.25" customHeight="1">
      <c r="B124" s="721" t="inlineStr">
        <is>
          <t>6.   Поставка Продукции может производиться партиями. Объем каждой партии может определяться Сторонами дополнительно.</t>
        </is>
      </c>
      <c r="G124" s="572" t="n"/>
    </row>
    <row r="125">
      <c r="B125" s="721" t="inlineStr">
        <is>
          <t xml:space="preserve">7.   Поставка Продукции осуществляется силами и за счет Поставщика. </t>
        </is>
      </c>
      <c r="G125" s="572" t="n"/>
    </row>
    <row r="126">
      <c r="B126" s="721" t="inlineStr">
        <is>
          <t>8.   Ответственный за организацию перевозки или наём перевозчика - Поставщик.</t>
        </is>
      </c>
      <c r="G126" s="572" t="n"/>
    </row>
    <row r="127" ht="30" customHeight="1">
      <c r="B127" s="721">
        <f>"9.   Продукция поставляется на склад Покупателя, расположенный по адресу: "&amp;shipping_address_IN</f>
        <v/>
      </c>
      <c r="G127" s="572" t="n"/>
    </row>
    <row r="128" ht="28.5" customHeight="1">
      <c r="B128" s="721">
        <f>"10.  Срок поставки Продукции "&amp;shipping_time_1</f>
        <v/>
      </c>
      <c r="G128" s="572" t="n"/>
    </row>
    <row r="129">
      <c r="B129" s="721">
        <f>"11. Грузополучатель – "&amp;buyer__1&amp;":"</f>
        <v/>
      </c>
      <c r="G129" s="572" t="n"/>
    </row>
    <row r="130" ht="30.75" customHeight="1">
      <c r="B130" s="721">
        <f>"- адрес регистрации: "&amp;buyers_address_1</f>
        <v/>
      </c>
      <c r="G130" s="572" t="n"/>
    </row>
    <row r="131" ht="28.5" customHeight="1">
      <c r="B131" s="721">
        <f>"- адрес поставки (адрес склада Покупателя) –  "&amp;shipping_address_IN</f>
        <v/>
      </c>
      <c r="G131" s="572" t="n"/>
    </row>
    <row r="132">
      <c r="B132" s="721">
        <f>"12.  Иные согласованные условия поставки: "&amp;Вводные!B15</f>
        <v/>
      </c>
      <c r="G132" s="572" t="n"/>
    </row>
    <row r="133" ht="28.5" customHeight="1">
      <c r="B133" s="721" t="inlineStr">
        <is>
          <t>13.  Настоящая Спецификация согласована и подписана Сторонами в 2 (двух) подлинных экземплярах.</t>
        </is>
      </c>
      <c r="G133" s="572" t="n"/>
    </row>
    <row r="134">
      <c r="B134" s="574" t="n"/>
      <c r="C134" s="574" t="n"/>
    </row>
    <row r="135">
      <c r="B135" s="574" t="n"/>
      <c r="C135" s="574" t="n"/>
    </row>
    <row r="136">
      <c r="B136" s="565" t="inlineStr">
        <is>
          <t xml:space="preserve">Поставщик </t>
        </is>
      </c>
      <c r="C136" s="565" t="n"/>
      <c r="E136" s="565" t="inlineStr">
        <is>
          <t>Покупатель</t>
        </is>
      </c>
    </row>
    <row r="137">
      <c r="B137" s="565">
        <f>seller_1</f>
        <v/>
      </c>
      <c r="C137" s="565" t="n"/>
      <c r="E137" s="548">
        <f>buyer__1</f>
        <v/>
      </c>
    </row>
    <row r="138">
      <c r="B138" s="575" t="inlineStr">
        <is>
          <t>Генеральный директор</t>
        </is>
      </c>
      <c r="E138" s="575" t="inlineStr">
        <is>
          <t>Генеральный директор</t>
        </is>
      </c>
    </row>
    <row r="139">
      <c r="B139" s="575" t="n"/>
      <c r="C139" s="575" t="n"/>
    </row>
    <row r="140">
      <c r="B140" s="575">
        <f>"______________/ "&amp;_xlfn.XLOOKUP(seller_1,helpsheet!AI:AI,helpsheet!AH:AH,0,0)</f>
        <v/>
      </c>
      <c r="C140" s="575" t="n"/>
      <c r="E140" s="546">
        <f>"______________/ "&amp;buyer_director_1</f>
        <v/>
      </c>
    </row>
    <row r="141">
      <c r="B141" s="575" t="inlineStr">
        <is>
          <t>м.п.</t>
        </is>
      </c>
      <c r="C141" s="575" t="n"/>
      <c r="E141" s="546" t="inlineStr">
        <is>
          <t>м.п.</t>
        </is>
      </c>
    </row>
    <row r="142" ht="15.75" customHeight="1">
      <c r="B142" s="553" t="n"/>
      <c r="C142" s="553" t="n"/>
    </row>
    <row r="143" ht="15.75" customHeight="1">
      <c r="B143" s="553" t="n"/>
      <c r="C143" s="553" t="n"/>
    </row>
    <row r="144" ht="15.75" customHeight="1">
      <c r="B144" s="553" t="n"/>
      <c r="C144" s="553" t="n"/>
    </row>
  </sheetData>
  <autoFilter ref="H10:H110">
    <filterColumn colId="0" hiddenButton="0" showButton="1">
      <filters>
        <filter val="показать"/>
      </filters>
    </filterColumn>
  </autoFilter>
  <mergeCells count="20">
    <mergeCell ref="B126:F126"/>
    <mergeCell ref="B7:F7"/>
    <mergeCell ref="B129:F129"/>
    <mergeCell ref="B125:F125"/>
    <mergeCell ref="B121:F121"/>
    <mergeCell ref="B122:F122"/>
    <mergeCell ref="B115:F115"/>
    <mergeCell ref="B131:F131"/>
    <mergeCell ref="B130:F130"/>
    <mergeCell ref="B120:F120"/>
    <mergeCell ref="B132:F132"/>
    <mergeCell ref="B119:F119"/>
    <mergeCell ref="B116:F116"/>
    <mergeCell ref="B128:F128"/>
    <mergeCell ref="B127:F127"/>
    <mergeCell ref="B6:F6"/>
    <mergeCell ref="B133:F133"/>
    <mergeCell ref="B124:F124"/>
    <mergeCell ref="B5:F5"/>
    <mergeCell ref="B123:F123"/>
  </mergeCells>
  <pageMargins left="0.7" right="0.7" top="0.75" bottom="0.75" header="0.3" footer="0.3"/>
  <pageSetup orientation="portrait" paperSize="9" scale="95" fitToHeight="0"/>
</worksheet>
</file>

<file path=xl/worksheets/sheet9.xml><?xml version="1.0" encoding="utf-8"?>
<worksheet xmlns="http://schemas.openxmlformats.org/spreadsheetml/2006/main">
  <sheetPr codeName="Лист2" filterMode="1">
    <tabColor theme="4"/>
    <outlinePr summaryBelow="1" summaryRight="1"/>
    <pageSetUpPr autoPageBreaks="0" fitToPage="1"/>
  </sheetPr>
  <dimension ref="B1:J118"/>
  <sheetViews>
    <sheetView showGridLines="0" view="pageBreakPreview" zoomScale="66" zoomScaleNormal="66" zoomScaleSheetLayoutView="66" workbookViewId="0">
      <selection activeCell="B7" sqref="B7"/>
    </sheetView>
  </sheetViews>
  <sheetFormatPr baseColWidth="8" defaultColWidth="10" defaultRowHeight="30" customHeight="1"/>
  <cols>
    <col width="2.85546875" customWidth="1" style="478" min="1" max="1"/>
    <col width="65.42578125" customWidth="1" style="478" min="2" max="2"/>
    <col width="21.7109375" bestFit="1" customWidth="1" style="488" min="3" max="3"/>
    <col width="14.28515625" bestFit="1" customWidth="1" style="478" min="4" max="4"/>
    <col width="19" customWidth="1" style="478" min="5" max="5"/>
    <col width="32.140625" bestFit="1" customWidth="1" style="478" min="6" max="6"/>
    <col width="2.85546875" customWidth="1" style="478" min="7" max="7"/>
    <col width="10" customWidth="1" style="478" min="8" max="16384"/>
  </cols>
  <sheetData>
    <row r="1" ht="42.95" customHeight="1">
      <c r="B1" s="724">
        <f>Вводные!B32</f>
        <v/>
      </c>
      <c r="C1" s="833" t="n"/>
      <c r="D1" s="833" t="n"/>
      <c r="E1" s="833" t="n"/>
      <c r="F1" s="833" t="n"/>
    </row>
    <row r="2" ht="42.95" customHeight="1">
      <c r="B2" s="481" t="n"/>
      <c r="C2" s="479" t="n"/>
      <c r="D2" s="479" t="n"/>
      <c r="E2" s="481" t="n"/>
      <c r="F2" s="479" t="n"/>
    </row>
    <row r="3" ht="36.75" customHeight="1">
      <c r="B3" s="480">
        <f>Вводные!B39</f>
        <v/>
      </c>
      <c r="C3" s="481" t="n"/>
      <c r="D3" s="481" t="n"/>
      <c r="E3" s="483" t="inlineStr">
        <is>
          <t>Ref:</t>
        </is>
      </c>
      <c r="F3" s="478">
        <f>Вводные!B33</f>
        <v/>
      </c>
    </row>
    <row r="4" ht="78.75" customHeight="1">
      <c r="B4" s="507">
        <f>_xlfn.XLOOKUP(INVOICE!Название_компании,helpsheet!$AC:$AC,helpsheet!$AD:$AD,0,0)</f>
        <v/>
      </c>
      <c r="C4" s="481" t="n"/>
      <c r="D4" s="481" t="n"/>
      <c r="E4" s="508" t="inlineStr">
        <is>
          <t>Date:</t>
        </is>
      </c>
      <c r="F4" s="509">
        <f>Вводные!B35</f>
        <v/>
      </c>
    </row>
    <row r="5" ht="23.25" customHeight="1">
      <c r="B5" s="507" t="n"/>
      <c r="C5" s="481" t="n"/>
      <c r="D5" s="481" t="n"/>
      <c r="E5" s="483" t="inlineStr">
        <is>
          <t>Invoice No.:</t>
        </is>
      </c>
      <c r="F5" s="478">
        <f>Вводные!B34</f>
        <v/>
      </c>
    </row>
    <row r="6" ht="55.15" customHeight="1">
      <c r="B6" s="484" t="inlineStr">
        <is>
          <t>BILLED TO:</t>
        </is>
      </c>
      <c r="C6" s="481" t="n"/>
      <c r="D6" s="481" t="n"/>
      <c r="E6" s="501" t="inlineStr">
        <is>
          <t>SHIPPED TO:</t>
        </is>
      </c>
      <c r="F6" s="485" t="n"/>
    </row>
    <row r="7" ht="35.45" customHeight="1">
      <c r="B7" s="580">
        <f>Вводные!B40</f>
        <v/>
      </c>
      <c r="C7" s="581" t="n"/>
      <c r="D7" s="581" t="n"/>
      <c r="E7" s="725">
        <f>B7</f>
        <v/>
      </c>
    </row>
    <row r="8">
      <c r="B8" s="580">
        <f>_xlfn.XLOOKUP($B$7,helpsheet!$AC:$AC,helpsheet!$AD:$AD,0,0)</f>
        <v/>
      </c>
      <c r="C8" s="581" t="n"/>
      <c r="D8" s="581" t="n"/>
      <c r="E8" s="725">
        <f>B8</f>
        <v/>
      </c>
    </row>
    <row r="9" ht="39.6" customHeight="1">
      <c r="B9" s="507" t="n"/>
      <c r="C9" s="481" t="n"/>
      <c r="D9" s="481" t="n"/>
      <c r="E9" s="578" t="n"/>
      <c r="F9" s="578" t="n"/>
    </row>
    <row r="10" ht="15" customHeight="1">
      <c r="B10" s="486" t="n"/>
      <c r="C10" s="481" t="n"/>
      <c r="D10" s="481" t="n"/>
      <c r="E10" s="487" t="n"/>
    </row>
    <row r="11" ht="30" customHeight="1">
      <c r="B11" s="484" t="inlineStr">
        <is>
          <t>Delivery Term:</t>
        </is>
      </c>
      <c r="C11" s="481" t="n"/>
      <c r="D11" s="481" t="n"/>
      <c r="E11" s="483" t="inlineStr">
        <is>
          <t>Transport type:</t>
        </is>
      </c>
      <c r="F11" s="483" t="n"/>
    </row>
    <row r="12" ht="30" customHeight="1" thickBot="1">
      <c r="B12" s="484">
        <f>Вводные!B36</f>
        <v/>
      </c>
      <c r="C12" s="481" t="n"/>
      <c r="D12" s="481" t="n"/>
      <c r="E12" s="483">
        <f>Вводные!B37</f>
        <v/>
      </c>
      <c r="F12" s="483" t="n"/>
    </row>
    <row r="13" ht="45" customHeight="1">
      <c r="B13" s="532" t="inlineStr">
        <is>
          <t>Product Name</t>
        </is>
      </c>
      <c r="C13" s="532" t="inlineStr">
        <is>
          <t>Manufacturer</t>
        </is>
      </c>
      <c r="D13" s="532" t="inlineStr">
        <is>
          <t>Q-ty, pcs</t>
        </is>
      </c>
      <c r="E13" s="532">
        <f>"Unit price, "&amp;offer_currency</f>
        <v/>
      </c>
      <c r="F13" s="533">
        <f>"Total price, "&amp;offer_currency</f>
        <v/>
      </c>
      <c r="J13" s="558" t="inlineStr">
        <is>
          <t>скрыть пустые</t>
        </is>
      </c>
    </row>
    <row r="14" ht="49.9" customHeight="1" thickBot="1">
      <c r="B14" s="534">
        <f>'КП price'!E17</f>
        <v/>
      </c>
      <c r="C14" s="534">
        <f>'КП price'!C17</f>
        <v/>
      </c>
      <c r="D14" s="534">
        <f>'КП price'!I17</f>
        <v/>
      </c>
      <c r="E14" s="535">
        <f>расчет!R16*(1+Вводные!$B$38)</f>
        <v/>
      </c>
      <c r="F14" s="536">
        <f>INVOICE!$D14*INVOICE!$E14</f>
        <v/>
      </c>
      <c r="J14" s="546">
        <f>IF(F14&gt;0,"показать","скрыть")</f>
        <v/>
      </c>
    </row>
    <row r="15" hidden="1" ht="49.9" customHeight="1">
      <c r="B15" s="491">
        <f>'КП price'!E18</f>
        <v/>
      </c>
      <c r="C15" s="491">
        <f>'КП price'!C18</f>
        <v/>
      </c>
      <c r="D15" s="491">
        <f>'КП price'!I18</f>
        <v/>
      </c>
      <c r="E15" s="535">
        <f>IFERROR(расчет!R17*(1+Вводные!$B$38),0)</f>
        <v/>
      </c>
      <c r="F15" s="537">
        <f>INVOICE!$D15*INVOICE!$E15</f>
        <v/>
      </c>
      <c r="J15" s="546">
        <f>IF(F15&gt;0,"показать","скрыть")</f>
        <v/>
      </c>
    </row>
    <row r="16" hidden="1" ht="49.9" customHeight="1">
      <c r="B16" s="491">
        <f>'КП price'!E19</f>
        <v/>
      </c>
      <c r="C16" s="491">
        <f>'КП price'!C19</f>
        <v/>
      </c>
      <c r="D16" s="491">
        <f>'КП price'!I19</f>
        <v/>
      </c>
      <c r="E16" s="535">
        <f>IFERROR(расчет!R18*(1+Вводные!$B$38),0)</f>
        <v/>
      </c>
      <c r="F16" s="537">
        <f>INVOICE!$D16*INVOICE!$E16</f>
        <v/>
      </c>
      <c r="J16" s="546">
        <f>IF(F16&gt;0,"показать","скрыть")</f>
        <v/>
      </c>
    </row>
    <row r="17" hidden="1" ht="49.9" customHeight="1">
      <c r="B17" s="491">
        <f>'КП price'!E20</f>
        <v/>
      </c>
      <c r="C17" s="491">
        <f>'КП price'!C20</f>
        <v/>
      </c>
      <c r="D17" s="491">
        <f>'КП price'!I20</f>
        <v/>
      </c>
      <c r="E17" s="535">
        <f>IFERROR(расчет!R19*(1+Вводные!$B$38),0)</f>
        <v/>
      </c>
      <c r="F17" s="537">
        <f>INVOICE!$D17*INVOICE!$E17</f>
        <v/>
      </c>
      <c r="J17" s="546">
        <f>IF(F17&gt;0,"показать","скрыть")</f>
        <v/>
      </c>
    </row>
    <row r="18" hidden="1" ht="49.9" customHeight="1">
      <c r="B18" s="491">
        <f>'КП price'!E21</f>
        <v/>
      </c>
      <c r="C18" s="491">
        <f>'КП price'!C21</f>
        <v/>
      </c>
      <c r="D18" s="491">
        <f>'КП price'!I21</f>
        <v/>
      </c>
      <c r="E18" s="535">
        <f>IFERROR(расчет!R20*(1+Вводные!$B$38),0)</f>
        <v/>
      </c>
      <c r="F18" s="537">
        <f>INVOICE!$D18*INVOICE!$E18</f>
        <v/>
      </c>
      <c r="J18" s="546">
        <f>IF(F18&gt;0,"показать","скрыть")</f>
        <v/>
      </c>
    </row>
    <row r="19" hidden="1" ht="49.9" customHeight="1">
      <c r="B19" s="491">
        <f>'КП price'!E22</f>
        <v/>
      </c>
      <c r="C19" s="491">
        <f>'КП price'!C22</f>
        <v/>
      </c>
      <c r="D19" s="491">
        <f>'КП price'!I22</f>
        <v/>
      </c>
      <c r="E19" s="535">
        <f>IFERROR(расчет!R21*(1+Вводные!$B$38),0)</f>
        <v/>
      </c>
      <c r="F19" s="537">
        <f>INVOICE!$D19*INVOICE!$E19</f>
        <v/>
      </c>
      <c r="J19" s="546">
        <f>IF(F19&gt;0,"показать","скрыть")</f>
        <v/>
      </c>
    </row>
    <row r="20" hidden="1" ht="49.9" customHeight="1">
      <c r="B20" s="491">
        <f>'КП price'!E23</f>
        <v/>
      </c>
      <c r="C20" s="491">
        <f>'КП price'!C23</f>
        <v/>
      </c>
      <c r="D20" s="491">
        <f>'КП price'!I23</f>
        <v/>
      </c>
      <c r="E20" s="535">
        <f>IFERROR(расчет!R22*(1+Вводные!$B$38),0)</f>
        <v/>
      </c>
      <c r="F20" s="537">
        <f>INVOICE!$D20*INVOICE!$E20</f>
        <v/>
      </c>
      <c r="J20" s="546">
        <f>IF(F20&gt;0,"показать","скрыть")</f>
        <v/>
      </c>
    </row>
    <row r="21" hidden="1" ht="49.9" customHeight="1">
      <c r="B21" s="491">
        <f>'КП price'!E24</f>
        <v/>
      </c>
      <c r="C21" s="491">
        <f>'КП price'!C24</f>
        <v/>
      </c>
      <c r="D21" s="491">
        <f>'КП price'!I24</f>
        <v/>
      </c>
      <c r="E21" s="535">
        <f>IFERROR(расчет!R23*(1+Вводные!$B$38),0)</f>
        <v/>
      </c>
      <c r="F21" s="537">
        <f>INVOICE!$D21*INVOICE!$E21</f>
        <v/>
      </c>
      <c r="J21" s="546">
        <f>IF(F21&gt;0,"показать","скрыть")</f>
        <v/>
      </c>
    </row>
    <row r="22" hidden="1" ht="49.9" customHeight="1">
      <c r="B22" s="491">
        <f>'КП price'!E25</f>
        <v/>
      </c>
      <c r="C22" s="491">
        <f>'КП price'!C25</f>
        <v/>
      </c>
      <c r="D22" s="491">
        <f>'КП price'!I25</f>
        <v/>
      </c>
      <c r="E22" s="535">
        <f>IFERROR(расчет!R24*(1+Вводные!$B$38),0)</f>
        <v/>
      </c>
      <c r="F22" s="537">
        <f>INVOICE!$D22*INVOICE!$E22</f>
        <v/>
      </c>
      <c r="J22" s="546">
        <f>IF(F22&gt;0,"показать","скрыть")</f>
        <v/>
      </c>
    </row>
    <row r="23" hidden="1" ht="49.9" customHeight="1">
      <c r="B23" s="491">
        <f>'КП price'!E26</f>
        <v/>
      </c>
      <c r="C23" s="491">
        <f>'КП price'!C26</f>
        <v/>
      </c>
      <c r="D23" s="491">
        <f>'КП price'!I26</f>
        <v/>
      </c>
      <c r="E23" s="535">
        <f>IFERROR(расчет!R25*(1+Вводные!$B$38),0)</f>
        <v/>
      </c>
      <c r="F23" s="537">
        <f>INVOICE!$D23*INVOICE!$E23</f>
        <v/>
      </c>
      <c r="J23" s="546">
        <f>IF(F23&gt;0,"показать","скрыть")</f>
        <v/>
      </c>
    </row>
    <row r="24" hidden="1" ht="49.9" customHeight="1">
      <c r="B24" s="491">
        <f>'КП price'!E27</f>
        <v/>
      </c>
      <c r="C24" s="491">
        <f>'КП price'!C27</f>
        <v/>
      </c>
      <c r="D24" s="491">
        <f>'КП price'!I27</f>
        <v/>
      </c>
      <c r="E24" s="535">
        <f>IFERROR(расчет!R26*(1+Вводные!$B$38),0)</f>
        <v/>
      </c>
      <c r="F24" s="537">
        <f>INVOICE!$D24*INVOICE!$E24</f>
        <v/>
      </c>
      <c r="J24" s="546">
        <f>IF(F24&gt;0,"показать","скрыть")</f>
        <v/>
      </c>
    </row>
    <row r="25" hidden="1" ht="49.9" customHeight="1">
      <c r="B25" s="491">
        <f>'КП price'!E28</f>
        <v/>
      </c>
      <c r="C25" s="491">
        <f>'КП price'!C28</f>
        <v/>
      </c>
      <c r="D25" s="491">
        <f>'КП price'!I28</f>
        <v/>
      </c>
      <c r="E25" s="535">
        <f>IFERROR(расчет!R27*(1+Вводные!$B$38),0)</f>
        <v/>
      </c>
      <c r="F25" s="537">
        <f>INVOICE!$D25*INVOICE!$E25</f>
        <v/>
      </c>
      <c r="J25" s="546">
        <f>IF(F25&gt;0,"показать","скрыть")</f>
        <v/>
      </c>
    </row>
    <row r="26" hidden="1" ht="49.9" customHeight="1">
      <c r="B26" s="491">
        <f>'КП price'!E29</f>
        <v/>
      </c>
      <c r="C26" s="491">
        <f>'КП price'!C29</f>
        <v/>
      </c>
      <c r="D26" s="491">
        <f>'КП price'!I29</f>
        <v/>
      </c>
      <c r="E26" s="535">
        <f>IFERROR(расчет!R28*(1+Вводные!$B$38),0)</f>
        <v/>
      </c>
      <c r="F26" s="537">
        <f>INVOICE!$D26*INVOICE!$E26</f>
        <v/>
      </c>
      <c r="J26" s="546">
        <f>IF(F26&gt;0,"показать","скрыть")</f>
        <v/>
      </c>
    </row>
    <row r="27" hidden="1" ht="49.9" customHeight="1">
      <c r="B27" s="491">
        <f>'КП price'!E30</f>
        <v/>
      </c>
      <c r="C27" s="491">
        <f>'КП price'!C30</f>
        <v/>
      </c>
      <c r="D27" s="491">
        <f>'КП price'!I30</f>
        <v/>
      </c>
      <c r="E27" s="535">
        <f>IFERROR(расчет!R29*(1+Вводные!$B$38),0)</f>
        <v/>
      </c>
      <c r="F27" s="537">
        <f>INVOICE!$D27*INVOICE!$E27</f>
        <v/>
      </c>
      <c r="J27" s="546">
        <f>IF(F27&gt;0,"показать","скрыть")</f>
        <v/>
      </c>
    </row>
    <row r="28" hidden="1" ht="49.9" customHeight="1">
      <c r="B28" s="491">
        <f>'КП price'!E31</f>
        <v/>
      </c>
      <c r="C28" s="491">
        <f>'КП price'!C31</f>
        <v/>
      </c>
      <c r="D28" s="491">
        <f>'КП price'!I31</f>
        <v/>
      </c>
      <c r="E28" s="535">
        <f>IFERROR(расчет!R30*(1+Вводные!$B$38),0)</f>
        <v/>
      </c>
      <c r="F28" s="537">
        <f>INVOICE!$D28*INVOICE!$E28</f>
        <v/>
      </c>
      <c r="J28" s="546">
        <f>IF(F28&gt;0,"показать","скрыть")</f>
        <v/>
      </c>
    </row>
    <row r="29" hidden="1" ht="49.9" customHeight="1">
      <c r="B29" s="491">
        <f>'КП price'!E32</f>
        <v/>
      </c>
      <c r="C29" s="491">
        <f>'КП price'!C32</f>
        <v/>
      </c>
      <c r="D29" s="491">
        <f>'КП price'!I32</f>
        <v/>
      </c>
      <c r="E29" s="535">
        <f>IFERROR(расчет!R31*(1+Вводные!$B$38),0)</f>
        <v/>
      </c>
      <c r="F29" s="537">
        <f>INVOICE!$D29*INVOICE!$E29</f>
        <v/>
      </c>
      <c r="J29" s="546">
        <f>IF(F29&gt;0,"показать","скрыть")</f>
        <v/>
      </c>
    </row>
    <row r="30" hidden="1" ht="49.9" customHeight="1">
      <c r="B30" s="491">
        <f>'КП price'!E33</f>
        <v/>
      </c>
      <c r="C30" s="491">
        <f>'КП price'!C33</f>
        <v/>
      </c>
      <c r="D30" s="491">
        <f>'КП price'!I33</f>
        <v/>
      </c>
      <c r="E30" s="535">
        <f>IFERROR(расчет!R32*(1+Вводные!$B$38),0)</f>
        <v/>
      </c>
      <c r="F30" s="537">
        <f>INVOICE!$D30*INVOICE!$E30</f>
        <v/>
      </c>
      <c r="J30" s="546">
        <f>IF(F30&gt;0,"показать","скрыть")</f>
        <v/>
      </c>
    </row>
    <row r="31" hidden="1" ht="49.9" customHeight="1">
      <c r="B31" s="491">
        <f>'КП price'!E34</f>
        <v/>
      </c>
      <c r="C31" s="491">
        <f>'КП price'!C34</f>
        <v/>
      </c>
      <c r="D31" s="491">
        <f>'КП price'!I34</f>
        <v/>
      </c>
      <c r="E31" s="535">
        <f>IFERROR(расчет!R33*(1+Вводные!$B$38),0)</f>
        <v/>
      </c>
      <c r="F31" s="537">
        <f>INVOICE!$D31*INVOICE!$E31</f>
        <v/>
      </c>
      <c r="J31" s="546">
        <f>IF(F31&gt;0,"показать","скрыть")</f>
        <v/>
      </c>
    </row>
    <row r="32" hidden="1" ht="49.9" customHeight="1">
      <c r="B32" s="491">
        <f>'КП price'!E35</f>
        <v/>
      </c>
      <c r="C32" s="491">
        <f>'КП price'!C35</f>
        <v/>
      </c>
      <c r="D32" s="491">
        <f>'КП price'!I35</f>
        <v/>
      </c>
      <c r="E32" s="535">
        <f>IFERROR(расчет!R34*(1+Вводные!$B$38),0)</f>
        <v/>
      </c>
      <c r="F32" s="537">
        <f>INVOICE!$D32*INVOICE!$E32</f>
        <v/>
      </c>
      <c r="J32" s="546">
        <f>IF(F32&gt;0,"показать","скрыть")</f>
        <v/>
      </c>
    </row>
    <row r="33" hidden="1" ht="49.9" customHeight="1">
      <c r="B33" s="491">
        <f>'КП price'!E36</f>
        <v/>
      </c>
      <c r="C33" s="491">
        <f>'КП price'!C36</f>
        <v/>
      </c>
      <c r="D33" s="491">
        <f>'КП price'!I36</f>
        <v/>
      </c>
      <c r="E33" s="535">
        <f>IFERROR(расчет!R35*(1+Вводные!$B$38),0)</f>
        <v/>
      </c>
      <c r="F33" s="537">
        <f>INVOICE!$D33*INVOICE!$E33</f>
        <v/>
      </c>
      <c r="J33" s="546">
        <f>IF(F33&gt;0,"показать","скрыть")</f>
        <v/>
      </c>
    </row>
    <row r="34" hidden="1" ht="49.9" customHeight="1">
      <c r="B34" s="491">
        <f>'КП price'!E37</f>
        <v/>
      </c>
      <c r="C34" s="491">
        <f>'КП price'!C37</f>
        <v/>
      </c>
      <c r="D34" s="491">
        <f>'КП price'!I37</f>
        <v/>
      </c>
      <c r="E34" s="535">
        <f>IFERROR(расчет!R36*(1+Вводные!$B$38),0)</f>
        <v/>
      </c>
      <c r="F34" s="537">
        <f>INVOICE!$D34*INVOICE!$E34</f>
        <v/>
      </c>
      <c r="J34" s="546">
        <f>IF(F34&gt;0,"показать","скрыть")</f>
        <v/>
      </c>
    </row>
    <row r="35" hidden="1" ht="49.9" customHeight="1">
      <c r="B35" s="491">
        <f>'КП price'!E38</f>
        <v/>
      </c>
      <c r="C35" s="491">
        <f>'КП price'!C38</f>
        <v/>
      </c>
      <c r="D35" s="491">
        <f>'КП price'!I38</f>
        <v/>
      </c>
      <c r="E35" s="535">
        <f>IFERROR(расчет!R37*(1+Вводные!$B$38),0)</f>
        <v/>
      </c>
      <c r="F35" s="537">
        <f>INVOICE!$D35*INVOICE!$E35</f>
        <v/>
      </c>
      <c r="J35" s="546">
        <f>IF(F35&gt;0,"показать","скрыть")</f>
        <v/>
      </c>
    </row>
    <row r="36" hidden="1" ht="49.9" customHeight="1">
      <c r="B36" s="491">
        <f>'КП price'!E39</f>
        <v/>
      </c>
      <c r="C36" s="491">
        <f>'КП price'!C39</f>
        <v/>
      </c>
      <c r="D36" s="491">
        <f>'КП price'!I39</f>
        <v/>
      </c>
      <c r="E36" s="535">
        <f>IFERROR(расчет!R38*(1+Вводные!$B$38),0)</f>
        <v/>
      </c>
      <c r="F36" s="537">
        <f>INVOICE!$D36*INVOICE!$E36</f>
        <v/>
      </c>
      <c r="J36" s="546">
        <f>IF(F36&gt;0,"показать","скрыть")</f>
        <v/>
      </c>
    </row>
    <row r="37" hidden="1" ht="49.9" customHeight="1">
      <c r="B37" s="491">
        <f>'КП price'!E40</f>
        <v/>
      </c>
      <c r="C37" s="491">
        <f>'КП price'!C40</f>
        <v/>
      </c>
      <c r="D37" s="491">
        <f>'КП price'!I40</f>
        <v/>
      </c>
      <c r="E37" s="535">
        <f>IFERROR(расчет!R39*(1+Вводные!$B$38),0)</f>
        <v/>
      </c>
      <c r="F37" s="537">
        <f>INVOICE!$D37*INVOICE!$E37</f>
        <v/>
      </c>
      <c r="J37" s="546">
        <f>IF(F37&gt;0,"показать","скрыть")</f>
        <v/>
      </c>
    </row>
    <row r="38" hidden="1" ht="49.9" customHeight="1">
      <c r="B38" s="491">
        <f>'КП price'!E41</f>
        <v/>
      </c>
      <c r="C38" s="491">
        <f>'КП price'!C41</f>
        <v/>
      </c>
      <c r="D38" s="491">
        <f>'КП price'!I41</f>
        <v/>
      </c>
      <c r="E38" s="535">
        <f>IFERROR(расчет!R40*(1+Вводные!$B$38),0)</f>
        <v/>
      </c>
      <c r="F38" s="537">
        <f>INVOICE!$D38*INVOICE!$E38</f>
        <v/>
      </c>
      <c r="J38" s="546">
        <f>IF(F38&gt;0,"показать","скрыть")</f>
        <v/>
      </c>
    </row>
    <row r="39" hidden="1" ht="49.9" customHeight="1">
      <c r="B39" s="491">
        <f>'КП price'!E42</f>
        <v/>
      </c>
      <c r="C39" s="491">
        <f>'КП price'!C42</f>
        <v/>
      </c>
      <c r="D39" s="491">
        <f>'КП price'!I42</f>
        <v/>
      </c>
      <c r="E39" s="535">
        <f>IFERROR(расчет!R41*(1+Вводные!$B$38),0)</f>
        <v/>
      </c>
      <c r="F39" s="537">
        <f>INVOICE!$D39*INVOICE!$E39</f>
        <v/>
      </c>
      <c r="J39" s="546">
        <f>IF(F39&gt;0,"показать","скрыть")</f>
        <v/>
      </c>
    </row>
    <row r="40" hidden="1" ht="49.9" customHeight="1">
      <c r="B40" s="491">
        <f>'КП price'!E43</f>
        <v/>
      </c>
      <c r="C40" s="491">
        <f>'КП price'!C43</f>
        <v/>
      </c>
      <c r="D40" s="491">
        <f>'КП price'!I43</f>
        <v/>
      </c>
      <c r="E40" s="535">
        <f>IFERROR(расчет!R42*(1+Вводные!$B$38),0)</f>
        <v/>
      </c>
      <c r="F40" s="537">
        <f>INVOICE!$D40*INVOICE!$E40</f>
        <v/>
      </c>
      <c r="J40" s="546">
        <f>IF(F40&gt;0,"показать","скрыть")</f>
        <v/>
      </c>
    </row>
    <row r="41" hidden="1" ht="49.9" customHeight="1">
      <c r="B41" s="491">
        <f>'КП price'!E44</f>
        <v/>
      </c>
      <c r="C41" s="491">
        <f>'КП price'!C44</f>
        <v/>
      </c>
      <c r="D41" s="491">
        <f>'КП price'!I44</f>
        <v/>
      </c>
      <c r="E41" s="535">
        <f>IFERROR(расчет!R43*(1+Вводные!$B$38),0)</f>
        <v/>
      </c>
      <c r="F41" s="537">
        <f>INVOICE!$D41*INVOICE!$E41</f>
        <v/>
      </c>
      <c r="J41" s="546">
        <f>IF(F41&gt;0,"показать","скрыть")</f>
        <v/>
      </c>
    </row>
    <row r="42" hidden="1" ht="49.9" customHeight="1">
      <c r="B42" s="491">
        <f>'КП price'!E45</f>
        <v/>
      </c>
      <c r="C42" s="491">
        <f>'КП price'!C45</f>
        <v/>
      </c>
      <c r="D42" s="491">
        <f>'КП price'!I45</f>
        <v/>
      </c>
      <c r="E42" s="535">
        <f>IFERROR(расчет!R44*(1+Вводные!$B$38),0)</f>
        <v/>
      </c>
      <c r="F42" s="537">
        <f>INVOICE!$D42*INVOICE!$E42</f>
        <v/>
      </c>
      <c r="J42" s="546">
        <f>IF(F42&gt;0,"показать","скрыть")</f>
        <v/>
      </c>
    </row>
    <row r="43" hidden="1" ht="49.9" customHeight="1">
      <c r="B43" s="491">
        <f>'КП price'!E46</f>
        <v/>
      </c>
      <c r="C43" s="491">
        <f>'КП price'!C46</f>
        <v/>
      </c>
      <c r="D43" s="491">
        <f>'КП price'!I46</f>
        <v/>
      </c>
      <c r="E43" s="535">
        <f>IFERROR(расчет!R45*(1+Вводные!$B$38),0)</f>
        <v/>
      </c>
      <c r="F43" s="537">
        <f>INVOICE!$D43*INVOICE!$E43</f>
        <v/>
      </c>
      <c r="J43" s="546">
        <f>IF(F43&gt;0,"показать","скрыть")</f>
        <v/>
      </c>
    </row>
    <row r="44" hidden="1" ht="49.9" customHeight="1">
      <c r="B44" s="491">
        <f>'КП price'!E47</f>
        <v/>
      </c>
      <c r="C44" s="491">
        <f>'КП price'!C47</f>
        <v/>
      </c>
      <c r="D44" s="491">
        <f>'КП price'!I47</f>
        <v/>
      </c>
      <c r="E44" s="535">
        <f>IFERROR(расчет!R46*(1+Вводные!$B$38),0)</f>
        <v/>
      </c>
      <c r="F44" s="537">
        <f>INVOICE!$D44*INVOICE!$E44</f>
        <v/>
      </c>
      <c r="J44" s="546">
        <f>IF(F44&gt;0,"показать","скрыть")</f>
        <v/>
      </c>
    </row>
    <row r="45" hidden="1" ht="49.9" customHeight="1">
      <c r="B45" s="491">
        <f>'КП price'!E48</f>
        <v/>
      </c>
      <c r="C45" s="491">
        <f>'КП price'!C48</f>
        <v/>
      </c>
      <c r="D45" s="491">
        <f>'КП price'!I48</f>
        <v/>
      </c>
      <c r="E45" s="535">
        <f>IFERROR(расчет!R47*(1+Вводные!$B$38),0)</f>
        <v/>
      </c>
      <c r="F45" s="537">
        <f>INVOICE!$D45*INVOICE!$E45</f>
        <v/>
      </c>
      <c r="J45" s="546">
        <f>IF(F45&gt;0,"показать","скрыть")</f>
        <v/>
      </c>
    </row>
    <row r="46" hidden="1" ht="49.9" customHeight="1">
      <c r="B46" s="491">
        <f>'КП price'!E49</f>
        <v/>
      </c>
      <c r="C46" s="491">
        <f>'КП price'!C49</f>
        <v/>
      </c>
      <c r="D46" s="491">
        <f>'КП price'!I49</f>
        <v/>
      </c>
      <c r="E46" s="535">
        <f>IFERROR(расчет!R48*(1+Вводные!$B$38),0)</f>
        <v/>
      </c>
      <c r="F46" s="537">
        <f>INVOICE!$D46*INVOICE!$E46</f>
        <v/>
      </c>
      <c r="J46" s="546">
        <f>IF(F46&gt;0,"показать","скрыть")</f>
        <v/>
      </c>
    </row>
    <row r="47" hidden="1" ht="49.9" customHeight="1">
      <c r="B47" s="491">
        <f>'КП price'!E50</f>
        <v/>
      </c>
      <c r="C47" s="491">
        <f>'КП price'!C50</f>
        <v/>
      </c>
      <c r="D47" s="491">
        <f>'КП price'!I50</f>
        <v/>
      </c>
      <c r="E47" s="535">
        <f>IFERROR(расчет!R49*(1+Вводные!$B$38),0)</f>
        <v/>
      </c>
      <c r="F47" s="537">
        <f>INVOICE!$D47*INVOICE!$E47</f>
        <v/>
      </c>
      <c r="J47" s="546">
        <f>IF(F47&gt;0,"показать","скрыть")</f>
        <v/>
      </c>
    </row>
    <row r="48" hidden="1" ht="49.9" customHeight="1">
      <c r="B48" s="491">
        <f>'КП price'!E51</f>
        <v/>
      </c>
      <c r="C48" s="491">
        <f>'КП price'!C51</f>
        <v/>
      </c>
      <c r="D48" s="491">
        <f>'КП price'!I51</f>
        <v/>
      </c>
      <c r="E48" s="535">
        <f>IFERROR(расчет!R50*(1+Вводные!$B$38),0)</f>
        <v/>
      </c>
      <c r="F48" s="537">
        <f>INVOICE!$D48*INVOICE!$E48</f>
        <v/>
      </c>
      <c r="J48" s="546">
        <f>IF(F48&gt;0,"показать","скрыть")</f>
        <v/>
      </c>
    </row>
    <row r="49" hidden="1" ht="49.9" customHeight="1">
      <c r="B49" s="491">
        <f>'КП price'!E52</f>
        <v/>
      </c>
      <c r="C49" s="491">
        <f>'КП price'!C52</f>
        <v/>
      </c>
      <c r="D49" s="491">
        <f>'КП price'!I52</f>
        <v/>
      </c>
      <c r="E49" s="535">
        <f>IFERROR(расчет!R51*(1+Вводные!$B$38),0)</f>
        <v/>
      </c>
      <c r="F49" s="537">
        <f>INVOICE!$D49*INVOICE!$E49</f>
        <v/>
      </c>
      <c r="J49" s="546">
        <f>IF(F49&gt;0,"показать","скрыть")</f>
        <v/>
      </c>
    </row>
    <row r="50" hidden="1" ht="49.9" customHeight="1">
      <c r="B50" s="491">
        <f>'КП price'!E53</f>
        <v/>
      </c>
      <c r="C50" s="491">
        <f>'КП price'!C53</f>
        <v/>
      </c>
      <c r="D50" s="491">
        <f>'КП price'!I53</f>
        <v/>
      </c>
      <c r="E50" s="535">
        <f>IFERROR(расчет!R52*(1+Вводные!$B$38),0)</f>
        <v/>
      </c>
      <c r="F50" s="537">
        <f>INVOICE!$D50*INVOICE!$E50</f>
        <v/>
      </c>
      <c r="J50" s="546">
        <f>IF(F50&gt;0,"показать","скрыть")</f>
        <v/>
      </c>
    </row>
    <row r="51" hidden="1" ht="49.9" customHeight="1">
      <c r="B51" s="491">
        <f>'КП price'!E54</f>
        <v/>
      </c>
      <c r="C51" s="491">
        <f>'КП price'!C54</f>
        <v/>
      </c>
      <c r="D51" s="491">
        <f>'КП price'!I54</f>
        <v/>
      </c>
      <c r="E51" s="535">
        <f>IFERROR(расчет!R53*(1+Вводные!$B$38),0)</f>
        <v/>
      </c>
      <c r="F51" s="537">
        <f>INVOICE!$D51*INVOICE!$E51</f>
        <v/>
      </c>
      <c r="J51" s="546">
        <f>IF(F51&gt;0,"показать","скрыть")</f>
        <v/>
      </c>
    </row>
    <row r="52" hidden="1" ht="49.9" customHeight="1">
      <c r="B52" s="491">
        <f>'КП price'!E55</f>
        <v/>
      </c>
      <c r="C52" s="491">
        <f>'КП price'!C55</f>
        <v/>
      </c>
      <c r="D52" s="491">
        <f>'КП price'!I55</f>
        <v/>
      </c>
      <c r="E52" s="535">
        <f>IFERROR(расчет!R54*(1+Вводные!$B$38),0)</f>
        <v/>
      </c>
      <c r="F52" s="537">
        <f>INVOICE!$D52*INVOICE!$E52</f>
        <v/>
      </c>
      <c r="J52" s="546">
        <f>IF(F52&gt;0,"показать","скрыть")</f>
        <v/>
      </c>
    </row>
    <row r="53" hidden="1" ht="49.9" customHeight="1">
      <c r="B53" s="491">
        <f>'КП price'!E56</f>
        <v/>
      </c>
      <c r="C53" s="491">
        <f>'КП price'!C56</f>
        <v/>
      </c>
      <c r="D53" s="491">
        <f>'КП price'!I56</f>
        <v/>
      </c>
      <c r="E53" s="535">
        <f>IFERROR(расчет!R55*(1+Вводные!$B$38),0)</f>
        <v/>
      </c>
      <c r="F53" s="537">
        <f>INVOICE!$D53*INVOICE!$E53</f>
        <v/>
      </c>
      <c r="J53" s="546">
        <f>IF(F53&gt;0,"показать","скрыть")</f>
        <v/>
      </c>
    </row>
    <row r="54" hidden="1" ht="49.9" customHeight="1">
      <c r="B54" s="491">
        <f>'КП price'!E57</f>
        <v/>
      </c>
      <c r="C54" s="491">
        <f>'КП price'!C57</f>
        <v/>
      </c>
      <c r="D54" s="491">
        <f>'КП price'!I57</f>
        <v/>
      </c>
      <c r="E54" s="535">
        <f>IFERROR(расчет!R56*(1+Вводные!$B$38),0)</f>
        <v/>
      </c>
      <c r="F54" s="537">
        <f>INVOICE!$D54*INVOICE!$E54</f>
        <v/>
      </c>
      <c r="J54" s="546">
        <f>IF(F54&gt;0,"показать","скрыть")</f>
        <v/>
      </c>
    </row>
    <row r="55" hidden="1" ht="49.9" customHeight="1">
      <c r="B55" s="491">
        <f>'КП price'!E58</f>
        <v/>
      </c>
      <c r="C55" s="491">
        <f>'КП price'!C58</f>
        <v/>
      </c>
      <c r="D55" s="491">
        <f>'КП price'!I58</f>
        <v/>
      </c>
      <c r="E55" s="535">
        <f>IFERROR(расчет!R57*(1+Вводные!$B$38),0)</f>
        <v/>
      </c>
      <c r="F55" s="537">
        <f>INVOICE!$D55*INVOICE!$E55</f>
        <v/>
      </c>
      <c r="J55" s="546">
        <f>IF(F55&gt;0,"показать","скрыть")</f>
        <v/>
      </c>
    </row>
    <row r="56" hidden="1" ht="49.9" customHeight="1">
      <c r="B56" s="491">
        <f>'КП price'!E59</f>
        <v/>
      </c>
      <c r="C56" s="491">
        <f>'КП price'!C59</f>
        <v/>
      </c>
      <c r="D56" s="491">
        <f>'КП price'!I59</f>
        <v/>
      </c>
      <c r="E56" s="535">
        <f>IFERROR(расчет!R58*(1+Вводные!$B$38),0)</f>
        <v/>
      </c>
      <c r="F56" s="537">
        <f>INVOICE!$D56*INVOICE!$E56</f>
        <v/>
      </c>
      <c r="J56" s="546">
        <f>IF(F56&gt;0,"показать","скрыть")</f>
        <v/>
      </c>
    </row>
    <row r="57" hidden="1" ht="49.9" customHeight="1">
      <c r="B57" s="491">
        <f>'КП price'!E60</f>
        <v/>
      </c>
      <c r="C57" s="491">
        <f>'КП price'!C60</f>
        <v/>
      </c>
      <c r="D57" s="491">
        <f>'КП price'!I60</f>
        <v/>
      </c>
      <c r="E57" s="535">
        <f>IFERROR(расчет!R59*(1+Вводные!$B$38),0)</f>
        <v/>
      </c>
      <c r="F57" s="537">
        <f>INVOICE!$D57*INVOICE!$E57</f>
        <v/>
      </c>
      <c r="J57" s="546">
        <f>IF(F57&gt;0,"показать","скрыть")</f>
        <v/>
      </c>
    </row>
    <row r="58" hidden="1" ht="49.9" customHeight="1">
      <c r="B58" s="491">
        <f>'КП price'!E61</f>
        <v/>
      </c>
      <c r="C58" s="491">
        <f>'КП price'!C61</f>
        <v/>
      </c>
      <c r="D58" s="491">
        <f>'КП price'!I61</f>
        <v/>
      </c>
      <c r="E58" s="535">
        <f>IFERROR(расчет!R60*(1+Вводные!$B$38),0)</f>
        <v/>
      </c>
      <c r="F58" s="537">
        <f>INVOICE!$D58*INVOICE!$E58</f>
        <v/>
      </c>
      <c r="J58" s="546">
        <f>IF(F58&gt;0,"показать","скрыть")</f>
        <v/>
      </c>
    </row>
    <row r="59" hidden="1" ht="49.9" customHeight="1">
      <c r="B59" s="491">
        <f>'КП price'!E62</f>
        <v/>
      </c>
      <c r="C59" s="491">
        <f>'КП price'!C62</f>
        <v/>
      </c>
      <c r="D59" s="491">
        <f>'КП price'!I62</f>
        <v/>
      </c>
      <c r="E59" s="535">
        <f>IFERROR(расчет!R61*(1+Вводные!$B$38),0)</f>
        <v/>
      </c>
      <c r="F59" s="537">
        <f>INVOICE!$D59*INVOICE!$E59</f>
        <v/>
      </c>
      <c r="J59" s="546">
        <f>IF(F59&gt;0,"показать","скрыть")</f>
        <v/>
      </c>
    </row>
    <row r="60" hidden="1" ht="49.9" customHeight="1">
      <c r="B60" s="491">
        <f>'КП price'!E63</f>
        <v/>
      </c>
      <c r="C60" s="491">
        <f>'КП price'!C63</f>
        <v/>
      </c>
      <c r="D60" s="491">
        <f>'КП price'!I63</f>
        <v/>
      </c>
      <c r="E60" s="535">
        <f>IFERROR(расчет!R62*(1+Вводные!$B$38),0)</f>
        <v/>
      </c>
      <c r="F60" s="537">
        <f>INVOICE!$D60*INVOICE!$E60</f>
        <v/>
      </c>
      <c r="J60" s="546">
        <f>IF(F60&gt;0,"показать","скрыть")</f>
        <v/>
      </c>
    </row>
    <row r="61" hidden="1" ht="49.9" customHeight="1">
      <c r="B61" s="491">
        <f>'КП price'!E64</f>
        <v/>
      </c>
      <c r="C61" s="491">
        <f>'КП price'!C64</f>
        <v/>
      </c>
      <c r="D61" s="491">
        <f>'КП price'!I64</f>
        <v/>
      </c>
      <c r="E61" s="535">
        <f>IFERROR(расчет!R63*(1+Вводные!$B$38),0)</f>
        <v/>
      </c>
      <c r="F61" s="537">
        <f>INVOICE!$D61*INVOICE!$E61</f>
        <v/>
      </c>
      <c r="J61" s="546">
        <f>IF(F61&gt;0,"показать","скрыть")</f>
        <v/>
      </c>
    </row>
    <row r="62" hidden="1" ht="49.9" customHeight="1">
      <c r="B62" s="491">
        <f>'КП price'!E65</f>
        <v/>
      </c>
      <c r="C62" s="491">
        <f>'КП price'!C65</f>
        <v/>
      </c>
      <c r="D62" s="491">
        <f>'КП price'!I65</f>
        <v/>
      </c>
      <c r="E62" s="535">
        <f>IFERROR(расчет!R64*(1+Вводные!$B$38),0)</f>
        <v/>
      </c>
      <c r="F62" s="537">
        <f>INVOICE!$D62*INVOICE!$E62</f>
        <v/>
      </c>
      <c r="J62" s="546">
        <f>IF(F62&gt;0,"показать","скрыть")</f>
        <v/>
      </c>
    </row>
    <row r="63" hidden="1" ht="49.9" customHeight="1">
      <c r="B63" s="491">
        <f>'КП price'!E66</f>
        <v/>
      </c>
      <c r="C63" s="491">
        <f>'КП price'!C66</f>
        <v/>
      </c>
      <c r="D63" s="491">
        <f>'КП price'!I66</f>
        <v/>
      </c>
      <c r="E63" s="535">
        <f>IFERROR(расчет!R65*(1+Вводные!$B$38),0)</f>
        <v/>
      </c>
      <c r="F63" s="537">
        <f>INVOICE!$D63*INVOICE!$E63</f>
        <v/>
      </c>
      <c r="J63" s="546">
        <f>IF(F63&gt;0,"показать","скрыть")</f>
        <v/>
      </c>
    </row>
    <row r="64" hidden="1" ht="49.9" customHeight="1">
      <c r="B64" s="491">
        <f>'КП price'!E67</f>
        <v/>
      </c>
      <c r="C64" s="491">
        <f>'КП price'!C67</f>
        <v/>
      </c>
      <c r="D64" s="491">
        <f>'КП price'!I67</f>
        <v/>
      </c>
      <c r="E64" s="535">
        <f>IFERROR(расчет!R66*(1+Вводные!$B$38),0)</f>
        <v/>
      </c>
      <c r="F64" s="537">
        <f>INVOICE!$D64*INVOICE!$E64</f>
        <v/>
      </c>
      <c r="J64" s="546">
        <f>IF(F64&gt;0,"показать","скрыть")</f>
        <v/>
      </c>
    </row>
    <row r="65" hidden="1" ht="49.9" customHeight="1">
      <c r="B65" s="491">
        <f>'КП price'!E68</f>
        <v/>
      </c>
      <c r="C65" s="491">
        <f>'КП price'!C68</f>
        <v/>
      </c>
      <c r="D65" s="491">
        <f>'КП price'!I68</f>
        <v/>
      </c>
      <c r="E65" s="535">
        <f>IFERROR(расчет!R67*(1+Вводные!$B$38),0)</f>
        <v/>
      </c>
      <c r="F65" s="537">
        <f>INVOICE!$D65*INVOICE!$E65</f>
        <v/>
      </c>
      <c r="J65" s="546">
        <f>IF(F65&gt;0,"показать","скрыть")</f>
        <v/>
      </c>
    </row>
    <row r="66" hidden="1" ht="49.9" customHeight="1">
      <c r="B66" s="491">
        <f>'КП price'!E69</f>
        <v/>
      </c>
      <c r="C66" s="491">
        <f>'КП price'!C69</f>
        <v/>
      </c>
      <c r="D66" s="491">
        <f>'КП price'!I69</f>
        <v/>
      </c>
      <c r="E66" s="535">
        <f>IFERROR(расчет!R68*(1+Вводные!$B$38),0)</f>
        <v/>
      </c>
      <c r="F66" s="537">
        <f>INVOICE!$D66*INVOICE!$E66</f>
        <v/>
      </c>
      <c r="J66" s="546">
        <f>IF(F66&gt;0,"показать","скрыть")</f>
        <v/>
      </c>
    </row>
    <row r="67" hidden="1" ht="49.9" customHeight="1">
      <c r="B67" s="491">
        <f>'КП price'!E70</f>
        <v/>
      </c>
      <c r="C67" s="491">
        <f>'КП price'!C70</f>
        <v/>
      </c>
      <c r="D67" s="491">
        <f>'КП price'!I70</f>
        <v/>
      </c>
      <c r="E67" s="535">
        <f>IFERROR(расчет!R69*(1+Вводные!$B$38),0)</f>
        <v/>
      </c>
      <c r="F67" s="537">
        <f>INVOICE!$D67*INVOICE!$E67</f>
        <v/>
      </c>
      <c r="J67" s="546">
        <f>IF(F67&gt;0,"показать","скрыть")</f>
        <v/>
      </c>
    </row>
    <row r="68" hidden="1" ht="49.9" customHeight="1">
      <c r="B68" s="491">
        <f>'КП price'!E71</f>
        <v/>
      </c>
      <c r="C68" s="491">
        <f>'КП price'!C71</f>
        <v/>
      </c>
      <c r="D68" s="491">
        <f>'КП price'!I71</f>
        <v/>
      </c>
      <c r="E68" s="535">
        <f>IFERROR(расчет!R70*(1+Вводные!$B$38),0)</f>
        <v/>
      </c>
      <c r="F68" s="537">
        <f>INVOICE!$D68*INVOICE!$E68</f>
        <v/>
      </c>
      <c r="J68" s="546">
        <f>IF(F68&gt;0,"показать","скрыть")</f>
        <v/>
      </c>
    </row>
    <row r="69" hidden="1" ht="49.9" customHeight="1">
      <c r="B69" s="491">
        <f>'КП price'!E72</f>
        <v/>
      </c>
      <c r="C69" s="491">
        <f>'КП price'!C72</f>
        <v/>
      </c>
      <c r="D69" s="491">
        <f>'КП price'!I72</f>
        <v/>
      </c>
      <c r="E69" s="535">
        <f>IFERROR(расчет!R71*(1+Вводные!$B$38),0)</f>
        <v/>
      </c>
      <c r="F69" s="537">
        <f>INVOICE!$D69*INVOICE!$E69</f>
        <v/>
      </c>
      <c r="J69" s="546">
        <f>IF(F69&gt;0,"показать","скрыть")</f>
        <v/>
      </c>
    </row>
    <row r="70" hidden="1" ht="49.9" customHeight="1">
      <c r="B70" s="491">
        <f>'КП price'!E73</f>
        <v/>
      </c>
      <c r="C70" s="491">
        <f>'КП price'!C73</f>
        <v/>
      </c>
      <c r="D70" s="491">
        <f>'КП price'!I73</f>
        <v/>
      </c>
      <c r="E70" s="535">
        <f>IFERROR(расчет!R72*(1+Вводные!$B$38),0)</f>
        <v/>
      </c>
      <c r="F70" s="537">
        <f>INVOICE!$D70*INVOICE!$E70</f>
        <v/>
      </c>
      <c r="J70" s="546">
        <f>IF(F70&gt;0,"показать","скрыть")</f>
        <v/>
      </c>
    </row>
    <row r="71" hidden="1" ht="49.9" customHeight="1">
      <c r="B71" s="491">
        <f>'КП price'!E74</f>
        <v/>
      </c>
      <c r="C71" s="491">
        <f>'КП price'!C74</f>
        <v/>
      </c>
      <c r="D71" s="491">
        <f>'КП price'!I74</f>
        <v/>
      </c>
      <c r="E71" s="535">
        <f>IFERROR(расчет!R73*(1+Вводные!$B$38),0)</f>
        <v/>
      </c>
      <c r="F71" s="537">
        <f>INVOICE!$D71*INVOICE!$E71</f>
        <v/>
      </c>
      <c r="J71" s="546">
        <f>IF(F71&gt;0,"показать","скрыть")</f>
        <v/>
      </c>
    </row>
    <row r="72" hidden="1" ht="49.9" customHeight="1">
      <c r="B72" s="491">
        <f>'КП price'!E75</f>
        <v/>
      </c>
      <c r="C72" s="491">
        <f>'КП price'!C75</f>
        <v/>
      </c>
      <c r="D72" s="491">
        <f>'КП price'!I75</f>
        <v/>
      </c>
      <c r="E72" s="535">
        <f>IFERROR(расчет!R74*(1+Вводные!$B$38),0)</f>
        <v/>
      </c>
      <c r="F72" s="537">
        <f>INVOICE!$D72*INVOICE!$E72</f>
        <v/>
      </c>
      <c r="J72" s="546">
        <f>IF(F72&gt;0,"показать","скрыть")</f>
        <v/>
      </c>
    </row>
    <row r="73" hidden="1" ht="49.9" customHeight="1">
      <c r="B73" s="491">
        <f>'КП price'!E76</f>
        <v/>
      </c>
      <c r="C73" s="491">
        <f>'КП price'!C76</f>
        <v/>
      </c>
      <c r="D73" s="491">
        <f>'КП price'!I76</f>
        <v/>
      </c>
      <c r="E73" s="535">
        <f>IFERROR(расчет!R75*(1+Вводные!$B$38),0)</f>
        <v/>
      </c>
      <c r="F73" s="537">
        <f>INVOICE!$D73*INVOICE!$E73</f>
        <v/>
      </c>
      <c r="J73" s="546">
        <f>IF(F73&gt;0,"показать","скрыть")</f>
        <v/>
      </c>
    </row>
    <row r="74" hidden="1" ht="49.9" customHeight="1">
      <c r="B74" s="491">
        <f>'КП price'!E77</f>
        <v/>
      </c>
      <c r="C74" s="491">
        <f>'КП price'!C77</f>
        <v/>
      </c>
      <c r="D74" s="491">
        <f>'КП price'!I77</f>
        <v/>
      </c>
      <c r="E74" s="535">
        <f>IFERROR(расчет!R76*(1+Вводные!$B$38),0)</f>
        <v/>
      </c>
      <c r="F74" s="537">
        <f>INVOICE!$D74*INVOICE!$E74</f>
        <v/>
      </c>
      <c r="J74" s="546">
        <f>IF(F74&gt;0,"показать","скрыть")</f>
        <v/>
      </c>
    </row>
    <row r="75" hidden="1" ht="49.9" customHeight="1">
      <c r="B75" s="491">
        <f>'КП price'!E78</f>
        <v/>
      </c>
      <c r="C75" s="491">
        <f>'КП price'!C78</f>
        <v/>
      </c>
      <c r="D75" s="491">
        <f>'КП price'!I78</f>
        <v/>
      </c>
      <c r="E75" s="535">
        <f>IFERROR(расчет!R77*(1+Вводные!$B$38),0)</f>
        <v/>
      </c>
      <c r="F75" s="537">
        <f>INVOICE!$D75*INVOICE!$E75</f>
        <v/>
      </c>
      <c r="J75" s="546">
        <f>IF(F75&gt;0,"показать","скрыть")</f>
        <v/>
      </c>
    </row>
    <row r="76" hidden="1" ht="49.9" customHeight="1">
      <c r="B76" s="491">
        <f>'КП price'!E79</f>
        <v/>
      </c>
      <c r="C76" s="491">
        <f>'КП price'!C79</f>
        <v/>
      </c>
      <c r="D76" s="491">
        <f>'КП price'!I79</f>
        <v/>
      </c>
      <c r="E76" s="535">
        <f>IFERROR(расчет!R78*(1+Вводные!$B$38),0)</f>
        <v/>
      </c>
      <c r="F76" s="537">
        <f>INVOICE!$D76*INVOICE!$E76</f>
        <v/>
      </c>
      <c r="J76" s="546">
        <f>IF(F76&gt;0,"показать","скрыть")</f>
        <v/>
      </c>
    </row>
    <row r="77" hidden="1" ht="49.9" customHeight="1">
      <c r="B77" s="491">
        <f>'КП price'!E80</f>
        <v/>
      </c>
      <c r="C77" s="491">
        <f>'КП price'!C80</f>
        <v/>
      </c>
      <c r="D77" s="491">
        <f>'КП price'!I80</f>
        <v/>
      </c>
      <c r="E77" s="535">
        <f>IFERROR(расчет!R79*(1+Вводные!$B$38),0)</f>
        <v/>
      </c>
      <c r="F77" s="537">
        <f>INVOICE!$D77*INVOICE!$E77</f>
        <v/>
      </c>
      <c r="J77" s="546">
        <f>IF(F77&gt;0,"показать","скрыть")</f>
        <v/>
      </c>
    </row>
    <row r="78" hidden="1" ht="49.9" customHeight="1">
      <c r="B78" s="491">
        <f>'КП price'!E81</f>
        <v/>
      </c>
      <c r="C78" s="491">
        <f>'КП price'!C81</f>
        <v/>
      </c>
      <c r="D78" s="491">
        <f>'КП price'!I81</f>
        <v/>
      </c>
      <c r="E78" s="535">
        <f>IFERROR(расчет!R80*(1+Вводные!$B$38),0)</f>
        <v/>
      </c>
      <c r="F78" s="537">
        <f>INVOICE!$D78*INVOICE!$E78</f>
        <v/>
      </c>
      <c r="J78" s="546">
        <f>IF(F78&gt;0,"показать","скрыть")</f>
        <v/>
      </c>
    </row>
    <row r="79" hidden="1" ht="49.9" customHeight="1">
      <c r="B79" s="491">
        <f>'КП price'!E82</f>
        <v/>
      </c>
      <c r="C79" s="491">
        <f>'КП price'!C82</f>
        <v/>
      </c>
      <c r="D79" s="491">
        <f>'КП price'!I82</f>
        <v/>
      </c>
      <c r="E79" s="535">
        <f>IFERROR(расчет!R81*(1+Вводные!$B$38),0)</f>
        <v/>
      </c>
      <c r="F79" s="537">
        <f>INVOICE!$D79*INVOICE!$E79</f>
        <v/>
      </c>
      <c r="J79" s="546">
        <f>IF(F79&gt;0,"показать","скрыть")</f>
        <v/>
      </c>
    </row>
    <row r="80" hidden="1" ht="49.9" customHeight="1">
      <c r="B80" s="491">
        <f>'КП price'!E83</f>
        <v/>
      </c>
      <c r="C80" s="491">
        <f>'КП price'!C83</f>
        <v/>
      </c>
      <c r="D80" s="491">
        <f>'КП price'!I83</f>
        <v/>
      </c>
      <c r="E80" s="535">
        <f>IFERROR(расчет!R82*(1+Вводные!$B$38),0)</f>
        <v/>
      </c>
      <c r="F80" s="537">
        <f>INVOICE!$D80*INVOICE!$E80</f>
        <v/>
      </c>
      <c r="J80" s="546">
        <f>IF(F80&gt;0,"показать","скрыть")</f>
        <v/>
      </c>
    </row>
    <row r="81" hidden="1" ht="49.9" customHeight="1">
      <c r="B81" s="491">
        <f>'КП price'!E84</f>
        <v/>
      </c>
      <c r="C81" s="491">
        <f>'КП price'!C84</f>
        <v/>
      </c>
      <c r="D81" s="491">
        <f>'КП price'!I84</f>
        <v/>
      </c>
      <c r="E81" s="535">
        <f>IFERROR(расчет!R83*(1+Вводные!$B$38),0)</f>
        <v/>
      </c>
      <c r="F81" s="537">
        <f>INVOICE!$D81*INVOICE!$E81</f>
        <v/>
      </c>
      <c r="J81" s="546">
        <f>IF(F81&gt;0,"показать","скрыть")</f>
        <v/>
      </c>
    </row>
    <row r="82" hidden="1" ht="49.9" customHeight="1">
      <c r="B82" s="491">
        <f>'КП price'!E85</f>
        <v/>
      </c>
      <c r="C82" s="491">
        <f>'КП price'!C85</f>
        <v/>
      </c>
      <c r="D82" s="491">
        <f>'КП price'!I85</f>
        <v/>
      </c>
      <c r="E82" s="535">
        <f>IFERROR(расчет!R84*(1+Вводные!$B$38),0)</f>
        <v/>
      </c>
      <c r="F82" s="537">
        <f>INVOICE!$D82*INVOICE!$E82</f>
        <v/>
      </c>
      <c r="J82" s="546">
        <f>IF(F82&gt;0,"показать","скрыть")</f>
        <v/>
      </c>
    </row>
    <row r="83" hidden="1" ht="49.9" customHeight="1">
      <c r="B83" s="491">
        <f>'КП price'!E86</f>
        <v/>
      </c>
      <c r="C83" s="491">
        <f>'КП price'!C86</f>
        <v/>
      </c>
      <c r="D83" s="491">
        <f>'КП price'!I86</f>
        <v/>
      </c>
      <c r="E83" s="535">
        <f>IFERROR(расчет!R85*(1+Вводные!$B$38),0)</f>
        <v/>
      </c>
      <c r="F83" s="537">
        <f>INVOICE!$D83*INVOICE!$E83</f>
        <v/>
      </c>
      <c r="J83" s="546">
        <f>IF(F83&gt;0,"показать","скрыть")</f>
        <v/>
      </c>
    </row>
    <row r="84" hidden="1" ht="49.9" customHeight="1">
      <c r="B84" s="491">
        <f>'КП price'!E87</f>
        <v/>
      </c>
      <c r="C84" s="491">
        <f>'КП price'!C87</f>
        <v/>
      </c>
      <c r="D84" s="491">
        <f>'КП price'!I87</f>
        <v/>
      </c>
      <c r="E84" s="535">
        <f>IFERROR(расчет!R86*(1+Вводные!$B$38),0)</f>
        <v/>
      </c>
      <c r="F84" s="537">
        <f>INVOICE!$D84*INVOICE!$E84</f>
        <v/>
      </c>
      <c r="J84" s="546">
        <f>IF(F84&gt;0,"показать","скрыть")</f>
        <v/>
      </c>
    </row>
    <row r="85" hidden="1" ht="49.9" customHeight="1">
      <c r="B85" s="491">
        <f>'КП price'!E88</f>
        <v/>
      </c>
      <c r="C85" s="491">
        <f>'КП price'!C88</f>
        <v/>
      </c>
      <c r="D85" s="491">
        <f>'КП price'!I88</f>
        <v/>
      </c>
      <c r="E85" s="535">
        <f>IFERROR(расчет!R87*(1+Вводные!$B$38),0)</f>
        <v/>
      </c>
      <c r="F85" s="537">
        <f>INVOICE!$D85*INVOICE!$E85</f>
        <v/>
      </c>
      <c r="J85" s="546">
        <f>IF(F85&gt;0,"показать","скрыть")</f>
        <v/>
      </c>
    </row>
    <row r="86" hidden="1" ht="49.9" customHeight="1">
      <c r="B86" s="491">
        <f>'КП price'!E89</f>
        <v/>
      </c>
      <c r="C86" s="491">
        <f>'КП price'!C89</f>
        <v/>
      </c>
      <c r="D86" s="491">
        <f>'КП price'!I89</f>
        <v/>
      </c>
      <c r="E86" s="535">
        <f>IFERROR(расчет!R88*(1+Вводные!$B$38),0)</f>
        <v/>
      </c>
      <c r="F86" s="537">
        <f>INVOICE!$D86*INVOICE!$E86</f>
        <v/>
      </c>
      <c r="J86" s="546">
        <f>IF(F86&gt;0,"показать","скрыть")</f>
        <v/>
      </c>
    </row>
    <row r="87" hidden="1" ht="49.9" customHeight="1">
      <c r="B87" s="491">
        <f>'КП price'!E90</f>
        <v/>
      </c>
      <c r="C87" s="491">
        <f>'КП price'!C90</f>
        <v/>
      </c>
      <c r="D87" s="491">
        <f>'КП price'!I90</f>
        <v/>
      </c>
      <c r="E87" s="535">
        <f>IFERROR(расчет!R89*(1+Вводные!$B$38),0)</f>
        <v/>
      </c>
      <c r="F87" s="537">
        <f>INVOICE!$D87*INVOICE!$E87</f>
        <v/>
      </c>
      <c r="J87" s="546">
        <f>IF(F87&gt;0,"показать","скрыть")</f>
        <v/>
      </c>
    </row>
    <row r="88" hidden="1" ht="49.9" customHeight="1">
      <c r="B88" s="491">
        <f>'КП price'!E91</f>
        <v/>
      </c>
      <c r="C88" s="491">
        <f>'КП price'!C91</f>
        <v/>
      </c>
      <c r="D88" s="491">
        <f>'КП price'!I91</f>
        <v/>
      </c>
      <c r="E88" s="535">
        <f>IFERROR(расчет!R90*(1+Вводные!$B$38),0)</f>
        <v/>
      </c>
      <c r="F88" s="537">
        <f>INVOICE!$D88*INVOICE!$E88</f>
        <v/>
      </c>
      <c r="J88" s="546">
        <f>IF(F88&gt;0,"показать","скрыть")</f>
        <v/>
      </c>
    </row>
    <row r="89" hidden="1" ht="49.9" customHeight="1">
      <c r="B89" s="491">
        <f>'КП price'!E92</f>
        <v/>
      </c>
      <c r="C89" s="491">
        <f>'КП price'!C92</f>
        <v/>
      </c>
      <c r="D89" s="491">
        <f>'КП price'!I92</f>
        <v/>
      </c>
      <c r="E89" s="535">
        <f>IFERROR(расчет!R91*(1+Вводные!$B$38),0)</f>
        <v/>
      </c>
      <c r="F89" s="537">
        <f>INVOICE!$D89*INVOICE!$E89</f>
        <v/>
      </c>
      <c r="J89" s="546">
        <f>IF(F89&gt;0,"показать","скрыть")</f>
        <v/>
      </c>
    </row>
    <row r="90" hidden="1" ht="49.9" customHeight="1">
      <c r="B90" s="491">
        <f>'КП price'!E93</f>
        <v/>
      </c>
      <c r="C90" s="491">
        <f>'КП price'!C93</f>
        <v/>
      </c>
      <c r="D90" s="491">
        <f>'КП price'!I93</f>
        <v/>
      </c>
      <c r="E90" s="535">
        <f>IFERROR(расчет!R92*(1+Вводные!$B$38),0)</f>
        <v/>
      </c>
      <c r="F90" s="537">
        <f>INVOICE!$D90*INVOICE!$E90</f>
        <v/>
      </c>
      <c r="J90" s="546">
        <f>IF(F90&gt;0,"показать","скрыть")</f>
        <v/>
      </c>
    </row>
    <row r="91" hidden="1" ht="49.9" customHeight="1">
      <c r="B91" s="491">
        <f>'КП price'!E94</f>
        <v/>
      </c>
      <c r="C91" s="491">
        <f>'КП price'!C94</f>
        <v/>
      </c>
      <c r="D91" s="491">
        <f>'КП price'!I94</f>
        <v/>
      </c>
      <c r="E91" s="535">
        <f>IFERROR(расчет!R93*(1+Вводные!$B$38),0)</f>
        <v/>
      </c>
      <c r="F91" s="537">
        <f>INVOICE!$D91*INVOICE!$E91</f>
        <v/>
      </c>
      <c r="J91" s="546">
        <f>IF(F91&gt;0,"показать","скрыть")</f>
        <v/>
      </c>
    </row>
    <row r="92" hidden="1" ht="49.9" customHeight="1">
      <c r="B92" s="491">
        <f>'КП price'!E95</f>
        <v/>
      </c>
      <c r="C92" s="491">
        <f>'КП price'!C95</f>
        <v/>
      </c>
      <c r="D92" s="491">
        <f>'КП price'!I95</f>
        <v/>
      </c>
      <c r="E92" s="535">
        <f>IFERROR(расчет!R94*(1+Вводные!$B$38),0)</f>
        <v/>
      </c>
      <c r="F92" s="537">
        <f>INVOICE!$D92*INVOICE!$E92</f>
        <v/>
      </c>
      <c r="J92" s="546">
        <f>IF(F92&gt;0,"показать","скрыть")</f>
        <v/>
      </c>
    </row>
    <row r="93" hidden="1" ht="49.9" customHeight="1">
      <c r="B93" s="491">
        <f>'КП price'!E96</f>
        <v/>
      </c>
      <c r="C93" s="491">
        <f>'КП price'!C96</f>
        <v/>
      </c>
      <c r="D93" s="491">
        <f>'КП price'!I96</f>
        <v/>
      </c>
      <c r="E93" s="535">
        <f>IFERROR(расчет!R95*(1+Вводные!$B$38),0)</f>
        <v/>
      </c>
      <c r="F93" s="537">
        <f>INVOICE!$D93*INVOICE!$E93</f>
        <v/>
      </c>
      <c r="J93" s="546">
        <f>IF(F93&gt;0,"показать","скрыть")</f>
        <v/>
      </c>
    </row>
    <row r="94" hidden="1" ht="49.9" customHeight="1">
      <c r="B94" s="491">
        <f>'КП price'!E97</f>
        <v/>
      </c>
      <c r="C94" s="491">
        <f>'КП price'!C97</f>
        <v/>
      </c>
      <c r="D94" s="491">
        <f>'КП price'!I97</f>
        <v/>
      </c>
      <c r="E94" s="535">
        <f>IFERROR(расчет!R96*(1+Вводные!$B$38),0)</f>
        <v/>
      </c>
      <c r="F94" s="537">
        <f>INVOICE!$D94*INVOICE!$E94</f>
        <v/>
      </c>
      <c r="J94" s="546">
        <f>IF(F94&gt;0,"показать","скрыть")</f>
        <v/>
      </c>
    </row>
    <row r="95" hidden="1" ht="49.9" customHeight="1">
      <c r="B95" s="491">
        <f>'КП price'!E98</f>
        <v/>
      </c>
      <c r="C95" s="491">
        <f>'КП price'!C98</f>
        <v/>
      </c>
      <c r="D95" s="491">
        <f>'КП price'!I98</f>
        <v/>
      </c>
      <c r="E95" s="535">
        <f>IFERROR(расчет!R97*(1+Вводные!$B$38),0)</f>
        <v/>
      </c>
      <c r="F95" s="537">
        <f>INVOICE!$D95*INVOICE!$E95</f>
        <v/>
      </c>
      <c r="J95" s="546">
        <f>IF(F95&gt;0,"показать","скрыть")</f>
        <v/>
      </c>
    </row>
    <row r="96" hidden="1" ht="49.9" customHeight="1">
      <c r="B96" s="491">
        <f>'КП price'!E99</f>
        <v/>
      </c>
      <c r="C96" s="491">
        <f>'КП price'!C99</f>
        <v/>
      </c>
      <c r="D96" s="491">
        <f>'КП price'!I99</f>
        <v/>
      </c>
      <c r="E96" s="535">
        <f>IFERROR(расчет!R98*(1+Вводные!$B$38),0)</f>
        <v/>
      </c>
      <c r="F96" s="537">
        <f>INVOICE!$D96*INVOICE!$E96</f>
        <v/>
      </c>
      <c r="J96" s="546">
        <f>IF(F96&gt;0,"показать","скрыть")</f>
        <v/>
      </c>
    </row>
    <row r="97" hidden="1" ht="49.9" customHeight="1">
      <c r="B97" s="491">
        <f>'КП price'!E100</f>
        <v/>
      </c>
      <c r="C97" s="491">
        <f>'КП price'!C100</f>
        <v/>
      </c>
      <c r="D97" s="491">
        <f>'КП price'!I100</f>
        <v/>
      </c>
      <c r="E97" s="535">
        <f>IFERROR(расчет!R99*(1+Вводные!$B$38),0)</f>
        <v/>
      </c>
      <c r="F97" s="537">
        <f>INVOICE!$D97*INVOICE!$E97</f>
        <v/>
      </c>
      <c r="J97" s="546">
        <f>IF(F97&gt;0,"показать","скрыть")</f>
        <v/>
      </c>
    </row>
    <row r="98" hidden="1" ht="49.9" customHeight="1">
      <c r="B98" s="491">
        <f>'КП price'!E101</f>
        <v/>
      </c>
      <c r="C98" s="491">
        <f>'КП price'!C101</f>
        <v/>
      </c>
      <c r="D98" s="491">
        <f>'КП price'!I101</f>
        <v/>
      </c>
      <c r="E98" s="535">
        <f>IFERROR(расчет!R100*(1+Вводные!$B$38),0)</f>
        <v/>
      </c>
      <c r="F98" s="537">
        <f>INVOICE!$D98*INVOICE!$E98</f>
        <v/>
      </c>
      <c r="J98" s="546">
        <f>IF(F98&gt;0,"показать","скрыть")</f>
        <v/>
      </c>
    </row>
    <row r="99" hidden="1" ht="49.9" customHeight="1">
      <c r="B99" s="491">
        <f>'КП price'!E102</f>
        <v/>
      </c>
      <c r="C99" s="491">
        <f>'КП price'!C102</f>
        <v/>
      </c>
      <c r="D99" s="491">
        <f>'КП price'!I102</f>
        <v/>
      </c>
      <c r="E99" s="535">
        <f>IFERROR(расчет!R101*(1+Вводные!$B$38),0)</f>
        <v/>
      </c>
      <c r="F99" s="537">
        <f>INVOICE!$D99*INVOICE!$E99</f>
        <v/>
      </c>
      <c r="J99" s="546">
        <f>IF(F99&gt;0,"показать","скрыть")</f>
        <v/>
      </c>
    </row>
    <row r="100" hidden="1" ht="49.9" customHeight="1">
      <c r="B100" s="491">
        <f>'КП price'!E103</f>
        <v/>
      </c>
      <c r="C100" s="491">
        <f>'КП price'!C103</f>
        <v/>
      </c>
      <c r="D100" s="491">
        <f>'КП price'!I103</f>
        <v/>
      </c>
      <c r="E100" s="535">
        <f>IFERROR(расчет!R102*(1+Вводные!$B$38),0)</f>
        <v/>
      </c>
      <c r="F100" s="537">
        <f>INVOICE!$D100*INVOICE!$E100</f>
        <v/>
      </c>
      <c r="J100" s="546">
        <f>IF(F100&gt;0,"показать","скрыть")</f>
        <v/>
      </c>
    </row>
    <row r="101" hidden="1" ht="49.9" customHeight="1">
      <c r="B101" s="491">
        <f>'КП price'!E104</f>
        <v/>
      </c>
      <c r="C101" s="491">
        <f>'КП price'!C104</f>
        <v/>
      </c>
      <c r="D101" s="491">
        <f>'КП price'!I104</f>
        <v/>
      </c>
      <c r="E101" s="535">
        <f>IFERROR(расчет!R103*(1+Вводные!$B$38),0)</f>
        <v/>
      </c>
      <c r="F101" s="537">
        <f>INVOICE!$D101*INVOICE!$E101</f>
        <v/>
      </c>
      <c r="J101" s="546">
        <f>IF(F101&gt;0,"показать","скрыть")</f>
        <v/>
      </c>
    </row>
    <row r="102" hidden="1" ht="49.9" customHeight="1">
      <c r="B102" s="491">
        <f>'КП price'!E105</f>
        <v/>
      </c>
      <c r="C102" s="491">
        <f>'КП price'!C105</f>
        <v/>
      </c>
      <c r="D102" s="491">
        <f>'КП price'!I105</f>
        <v/>
      </c>
      <c r="E102" s="535">
        <f>IFERROR(расчет!R104*(1+Вводные!$B$38),0)</f>
        <v/>
      </c>
      <c r="F102" s="537">
        <f>INVOICE!$D102*INVOICE!$E102</f>
        <v/>
      </c>
      <c r="J102" s="546">
        <f>IF(F102&gt;0,"показать","скрыть")</f>
        <v/>
      </c>
    </row>
    <row r="103" hidden="1" ht="49.9" customHeight="1">
      <c r="B103" s="491">
        <f>'КП price'!E106</f>
        <v/>
      </c>
      <c r="C103" s="491">
        <f>'КП price'!C106</f>
        <v/>
      </c>
      <c r="D103" s="491">
        <f>'КП price'!I106</f>
        <v/>
      </c>
      <c r="E103" s="535">
        <f>IFERROR(расчет!R105*(1+Вводные!$B$38),0)</f>
        <v/>
      </c>
      <c r="F103" s="537">
        <f>INVOICE!$D103*INVOICE!$E103</f>
        <v/>
      </c>
      <c r="J103" s="546">
        <f>IF(F103&gt;0,"показать","скрыть")</f>
        <v/>
      </c>
    </row>
    <row r="104" hidden="1" ht="49.9" customHeight="1">
      <c r="B104" s="491">
        <f>'КП price'!E107</f>
        <v/>
      </c>
      <c r="C104" s="491">
        <f>'КП price'!C107</f>
        <v/>
      </c>
      <c r="D104" s="491">
        <f>'КП price'!I107</f>
        <v/>
      </c>
      <c r="E104" s="535">
        <f>IFERROR(расчет!R106*(1+Вводные!$B$38),0)</f>
        <v/>
      </c>
      <c r="F104" s="537">
        <f>INVOICE!$D104*INVOICE!$E104</f>
        <v/>
      </c>
      <c r="J104" s="546">
        <f>IF(F104&gt;0,"показать","скрыть")</f>
        <v/>
      </c>
    </row>
    <row r="105" hidden="1" ht="49.9" customHeight="1">
      <c r="B105" s="491">
        <f>'КП price'!E108</f>
        <v/>
      </c>
      <c r="C105" s="491">
        <f>'КП price'!C108</f>
        <v/>
      </c>
      <c r="D105" s="491">
        <f>'КП price'!I108</f>
        <v/>
      </c>
      <c r="E105" s="535">
        <f>IFERROR(расчет!R107*(1+Вводные!$B$38),0)</f>
        <v/>
      </c>
      <c r="F105" s="537">
        <f>INVOICE!$D105*INVOICE!$E105</f>
        <v/>
      </c>
      <c r="J105" s="546">
        <f>IF(F105&gt;0,"показать","скрыть")</f>
        <v/>
      </c>
    </row>
    <row r="106" hidden="1" ht="15.75" customHeight="1" thickBot="1">
      <c r="B106" s="491">
        <f>'КП price'!E109</f>
        <v/>
      </c>
      <c r="C106" s="491">
        <f>'КП price'!C109</f>
        <v/>
      </c>
      <c r="D106" s="491">
        <f>'КП price'!I109</f>
        <v/>
      </c>
      <c r="E106" s="535">
        <f>IFERROR(расчет!R108*(1+Вводные!$B$38),0)</f>
        <v/>
      </c>
      <c r="F106" s="537">
        <f>INVOICE!$D106*INVOICE!$E106</f>
        <v/>
      </c>
      <c r="J106" s="546">
        <f>IF(F106&gt;0,"показать","скрыть")</f>
        <v/>
      </c>
    </row>
    <row r="107" ht="30" customHeight="1" thickBot="1">
      <c r="B107" s="538" t="n"/>
      <c r="C107" s="539" t="n"/>
      <c r="D107" s="538" t="n"/>
      <c r="E107" s="540" t="inlineStr">
        <is>
          <t>SUBTOTAL</t>
        </is>
      </c>
      <c r="F107" s="541">
        <f>SUBTOTAL(109,INVOICE!$F$14:$F$106)</f>
        <v/>
      </c>
    </row>
    <row r="108" ht="30" customHeight="1" thickBot="1">
      <c r="B108" s="489" t="n"/>
      <c r="C108" s="490" t="n"/>
      <c r="D108" s="489" t="n"/>
      <c r="E108" s="491" t="inlineStr">
        <is>
          <t>VAT</t>
        </is>
      </c>
      <c r="F108" s="492" t="n">
        <v>0</v>
      </c>
    </row>
    <row r="109" ht="30" customHeight="1" thickBot="1" thickTop="1">
      <c r="B109" s="493" t="n"/>
      <c r="C109" s="494" t="n"/>
      <c r="D109" s="493" t="n"/>
      <c r="E109" s="495" t="inlineStr">
        <is>
          <t>TOTAL</t>
        </is>
      </c>
      <c r="F109" s="496">
        <f>INVOICE!$F$107+F108</f>
        <v/>
      </c>
    </row>
    <row r="110" ht="30" customHeight="1" thickTop="1">
      <c r="E110" s="488" t="n"/>
      <c r="F110" s="497" t="n"/>
    </row>
    <row r="111" ht="30" customHeight="1">
      <c r="E111" s="488" t="n"/>
      <c r="F111" s="497" t="n"/>
    </row>
    <row r="112" ht="30" customHeight="1">
      <c r="B112" s="503" t="inlineStr">
        <is>
          <t>REMIT TO:</t>
        </is>
      </c>
      <c r="C112" s="504" t="n"/>
    </row>
    <row r="113" ht="15" customHeight="1">
      <c r="B113" s="505">
        <f>"Beneficiary Name: "&amp;Название_компании</f>
        <v/>
      </c>
      <c r="C113" s="498" t="n"/>
    </row>
    <row r="114" ht="360" customHeight="1">
      <c r="B114" s="510">
        <f>_xlfn.XLOOKUP($B$3,helpsheet!$AC:$AC,helpsheet!$AE:$AE,0,0)</f>
        <v/>
      </c>
      <c r="C114" s="510" t="n"/>
    </row>
    <row r="115" ht="15" customHeight="1">
      <c r="B115" s="505" t="n"/>
      <c r="C115" s="506" t="n"/>
      <c r="D115" s="488" t="n"/>
      <c r="H115" s="499" t="n"/>
      <c r="I115" s="499" t="n"/>
    </row>
    <row r="116" ht="30" customHeight="1">
      <c r="B116" s="505">
        <f>"Director: "&amp;_xlfn.XLOOKUP($B$3,helpsheet!$AC:$AC,helpsheet!$AF:$AF,0,0)</f>
        <v/>
      </c>
      <c r="C116" s="505" t="n"/>
      <c r="D116" s="488" t="n"/>
      <c r="H116" s="499" t="n"/>
      <c r="I116" s="499" t="n"/>
    </row>
    <row r="117" ht="30" customHeight="1">
      <c r="H117" s="499" t="n"/>
      <c r="I117" s="499" t="n"/>
    </row>
    <row r="118" ht="30" customHeight="1">
      <c r="H118" s="499" t="n"/>
      <c r="I118" s="499" t="n"/>
    </row>
  </sheetData>
  <autoFilter ref="J13:J106">
    <filterColumn colId="0" hiddenButton="0" showButton="1">
      <customFilters>
        <customFilter val="????????" operator="equal"/>
      </customFilters>
    </filterColumn>
  </autoFilter>
  <mergeCells count="3">
    <mergeCell ref="E7:F7"/>
    <mergeCell ref="E8:F8"/>
    <mergeCell ref="B1:F1"/>
  </mergeCells>
  <dataValidations count="19">
    <dataValidation sqref="B11" showDropDown="0" showInputMessage="0" showErrorMessage="1" allowBlank="1" prompt="Введите в ячейке ниже название задания или проекта"/>
    <dataValidation sqref="B5 B9" showDropDown="0" showInputMessage="1" showErrorMessage="1" allowBlank="1" prompt="Введите слоган компании в этой ячейке. Введите номер счета в ячейке справа"/>
    <dataValidation sqref="F4" showDropDown="0" showInputMessage="0" showErrorMessage="1" allowBlank="1" prompt="Введите дату выставления счета в этой ячейке."/>
    <dataValidation sqref="F5" showDropDown="0" showInputMessage="0" showErrorMessage="1" allowBlank="1" prompt="Введите в этой ячейке номер счета"/>
    <dataValidation sqref="E6" showDropDown="0" showInputMessage="0" showErrorMessage="1" allowBlank="1" prompt="В ячейках ниже введите сведения о доставке"/>
    <dataValidation sqref="E11:E12" showDropDown="0" showInputMessage="0" showErrorMessage="1" allowBlank="1" prompt="В ячейке ниже введите условия оплаты счета"/>
    <dataValidation sqref="A1:A2" showDropDown="0" showInputMessage="1" showErrorMessage="1" allowBlank="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dataValidation sqref="E4" showDropDown="0" showInputMessage="0" showErrorMessage="1" allowBlank="1" prompt="Введите дату выставления счета в ячейке справа."/>
    <dataValidation sqref="E5" showDropDown="0" showInputMessage="0" showErrorMessage="1" allowBlank="1" prompt="Введите в ячейке справа номер счета"/>
    <dataValidation sqref="B1:F1" showDropDown="0" showInputMessage="1" showErrorMessage="1" allowBlank="1" type="list">
      <formula1>"COMMERCIAL INVOICE, PROFORMA INVOICE"</formula1>
    </dataValidation>
    <dataValidation sqref="B10 E10" showDropDown="0" showInputMessage="1" showErrorMessage="1" allowBlank="1" prompt="Введите в этой ячейке город, регион и почтовый индекс клиента"/>
    <dataValidation sqref="F10" showDropDown="0" showInputMessage="1" showErrorMessage="1" allowBlank="1" prompt="Введите в этой ячейке город, регион и почтовый индекс для доставки"/>
    <dataValidation sqref="B4 B8" showDropDown="0" showInputMessage="0" showErrorMessage="1" allowBlank="1" prompt="Введите слоган компании в этой ячейке. Введите номер счета в ячейке справа"/>
    <dataValidation sqref="B6" showDropDown="0" showInputMessage="0" showErrorMessage="1" allowBlank="1" prompt="Введите в ячейках ниже имя клиента, название компании, почтовый адрес и номер телефона"/>
    <dataValidation sqref="E8:F8" showDropDown="0" showInputMessage="0" showErrorMessage="1" allowBlank="1" prompt="Введите в этой ячейке название компании."/>
    <dataValidation sqref="E7:F7" showDropDown="0" showInputMessage="0" showErrorMessage="1" allowBlank="1" prompt="Введите в этой ячейке имя клиента"/>
    <dataValidation sqref="C2:D2" showDropDown="0" showInputMessage="0" showErrorMessage="1" allowBlank="1" prompt="В этой ячейке указывается название листа."/>
    <dataValidation sqref="B2 C3:D12 E2" showDropDown="0" showInputMessage="0" showErrorMessage="1" allowBlank="1" prompt="Введите в этой ячейке название компании, выставляющей счет, а в ячейке ниже — ее слоган. Введите в ячейке справа дату"/>
    <dataValidation sqref="B13:F13" showDropDown="0" showInputMessage="0" showErrorMessage="1" allowBlank="1"/>
  </dataValidations>
  <printOptions horizontalCentered="1"/>
  <pageMargins left="0.4" right="0.4" top="0.4" bottom="0.4" header="0.3" footer="0.3"/>
  <pageSetup orientation="portrait" paperSize="9" scale="60" fitToHeight="0"/>
  <headerFooter differentFirst="1">
    <oddHeader/>
    <oddFooter>&amp;L&amp;C&amp;R</oddFooter>
    <evenHeader/>
    <evenFooter/>
    <firstHeader/>
    <firstFooter/>
  </headerFooter>
</worksheet>
</file>

<file path=xl/worksheets/sheet10.xml><?xml version="1.0" encoding="utf-8"?>
<worksheet xmlns="http://schemas.openxmlformats.org/spreadsheetml/2006/main">
  <sheetPr codeName="Sheet5">
    <outlinePr summaryBelow="1" summaryRight="1"/>
    <pageSetUpPr/>
  </sheetPr>
  <dimension ref="A1:AR27"/>
  <sheetViews>
    <sheetView topLeftCell="A7" zoomScale="90" zoomScaleNormal="90" workbookViewId="0">
      <selection activeCell="O17" sqref="O17"/>
    </sheetView>
  </sheetViews>
  <sheetFormatPr baseColWidth="8" defaultColWidth="8.7109375" defaultRowHeight="15"/>
  <cols>
    <col width="11.42578125" customWidth="1" style="2" min="1" max="1"/>
    <col width="5.7109375" bestFit="1" customWidth="1" style="2" min="2" max="2"/>
    <col width="1.42578125" customWidth="1" style="2" min="3" max="3"/>
    <col width="52" customWidth="1" style="2" min="4" max="4"/>
    <col width="10.28515625" customWidth="1" style="7" min="5" max="5"/>
    <col width="26.42578125" customWidth="1" style="7" min="6" max="6"/>
    <col width="12" customWidth="1" style="7" min="7" max="8"/>
    <col width="1.42578125" customWidth="1" style="2" min="9" max="9"/>
    <col width="22" customWidth="1" style="2" min="10" max="10"/>
    <col width="1.42578125" customWidth="1" style="2" min="11" max="11"/>
    <col width="14.7109375" customWidth="1" style="7" min="12" max="12"/>
    <col width="1.42578125" customWidth="1" style="2" min="13" max="13"/>
    <col width="14.7109375" customWidth="1" style="2" min="14" max="14"/>
    <col width="12.7109375" customWidth="1" style="2" min="15" max="17"/>
    <col width="1.42578125" customWidth="1" style="2" min="18" max="18"/>
    <col width="8.7109375" customWidth="1" style="2" min="19" max="19"/>
    <col width="1.42578125" customWidth="1" style="2" min="20" max="20"/>
    <col width="11.140625" customWidth="1" style="7" min="21" max="21"/>
    <col width="12.28515625" bestFit="1" customWidth="1" style="7" min="22" max="22"/>
    <col width="9.42578125" customWidth="1" style="7" min="23" max="23"/>
    <col width="8.7109375" customWidth="1" style="2" min="24" max="28"/>
    <col width="61.28515625" bestFit="1" customWidth="1" style="2" min="29" max="29"/>
    <col width="99.140625" bestFit="1" customWidth="1" style="2" min="30" max="30"/>
    <col width="67.7109375" customWidth="1" style="2" min="31" max="31"/>
    <col width="36.85546875" bestFit="1" customWidth="1" style="2" min="32" max="32"/>
    <col width="8.7109375" customWidth="1" style="2" min="33" max="41"/>
    <col width="13.28515625" bestFit="1" customWidth="1" style="2" min="42" max="42"/>
    <col width="29.28515625" customWidth="1" style="2" min="43" max="43"/>
    <col width="12.28515625" customWidth="1" style="2" min="44" max="44"/>
    <col width="8.7109375" customWidth="1" style="2" min="45" max="16384"/>
  </cols>
  <sheetData>
    <row r="1" ht="24" customHeight="1">
      <c r="J1" s="3" t="inlineStr">
        <is>
          <t>https://docs.google.com/spreadsheets/d/1bHKQ4qNO3aZJCXKI81lsQSjMPFLr1Ac0e-ZfYwkYl30/edit?gid=0#gid=0</t>
        </is>
      </c>
      <c r="M1" s="3" t="inlineStr">
        <is>
          <t>https://docs.google.com/spreadsheets/d/1u34QZVTcQLfCSvIslVz1QQmKwNUXZeLFr3Fg3pVmMSs/edit?gid=315722311#gid=315722311</t>
        </is>
      </c>
      <c r="AC1" s="2" t="inlineStr">
        <is>
          <t>Название</t>
        </is>
      </c>
      <c r="AD1" s="2" t="inlineStr">
        <is>
          <t>Адрес</t>
        </is>
      </c>
      <c r="AE1" s="2" t="inlineStr">
        <is>
          <t>Банки</t>
        </is>
      </c>
      <c r="AF1" s="2" t="inlineStr">
        <is>
          <t>Директор</t>
        </is>
      </c>
      <c r="AG1" s="2" t="inlineStr">
        <is>
          <t>Страна</t>
        </is>
      </c>
      <c r="AL1" s="2" t="inlineStr">
        <is>
          <t>Турция-Россия</t>
        </is>
      </c>
      <c r="AM1" s="542" t="n">
        <v>0.1</v>
      </c>
      <c r="AP1" s="576" t="inlineStr">
        <is>
          <t>Валюта</t>
        </is>
      </c>
      <c r="AQ1" s="576" t="n"/>
      <c r="AR1" s="512" t="n"/>
    </row>
    <row r="2" ht="60" customHeight="1">
      <c r="U2" s="38" t="inlineStr">
        <is>
          <t>авансирование</t>
        </is>
      </c>
      <c r="Y2" s="171" t="n">
        <v>0</v>
      </c>
      <c r="AC2" s="2" t="inlineStr">
        <is>
          <t>TRADING INDUSTRY BULGARIA LTD</t>
        </is>
      </c>
      <c r="AD2" s="500" t="inlineStr">
        <is>
          <t>R. Sofia 1000, District Sofia; Sofia municipality, sredets district ul."Tsar Kaloyan", Apostille 8, fl. 3, AP. Office 7
UIC: 207765332</t>
        </is>
      </c>
      <c r="AE2" s="500" t="inlineStr">
        <is>
          <t>Bank name: Paysera LT, UAB
Account: LT393500010017897286 
SWIFT: EVIULT2VXXX
Bank address: Pilaitės pr. 16, Vilnius, LT-04352, Lithuania</t>
        </is>
      </c>
      <c r="AF2" s="2" t="inlineStr">
        <is>
          <t>Katerina Maksimivna Krapivchenko</t>
        </is>
      </c>
      <c r="AG2" s="2" t="inlineStr">
        <is>
          <t>Европа</t>
        </is>
      </c>
      <c r="AL2" s="2" t="inlineStr">
        <is>
          <t>Европа-Турция</t>
        </is>
      </c>
      <c r="AM2" s="542" t="n">
        <v>0.03</v>
      </c>
      <c r="AP2" s="511" t="inlineStr">
        <is>
          <t>3-х букв. код</t>
        </is>
      </c>
      <c r="AQ2" s="511" t="inlineStr">
        <is>
          <t>Валюта</t>
        </is>
      </c>
      <c r="AR2" s="511" t="inlineStr">
        <is>
          <t>Мелочь</t>
        </is>
      </c>
    </row>
    <row r="3" ht="120" customFormat="1" customHeight="1" s="204">
      <c r="A3" s="204" t="inlineStr">
        <is>
          <t>тип заказа</t>
        </is>
      </c>
      <c r="B3" s="204" t="inlineStr">
        <is>
          <t>Код</t>
        </is>
      </c>
      <c r="D3" s="204" t="inlineStr">
        <is>
          <t>условия оплаты</t>
        </is>
      </c>
      <c r="E3" s="204" t="inlineStr">
        <is>
          <t>pmt code</t>
        </is>
      </c>
      <c r="F3" s="204" t="inlineStr">
        <is>
          <t>adv pmt</t>
        </is>
      </c>
      <c r="G3" s="204" t="inlineStr">
        <is>
          <t>Миним. Наценка - Поставка</t>
        </is>
      </c>
      <c r="H3" s="204" t="inlineStr">
        <is>
          <t>Миним. Наценка - Транзит</t>
        </is>
      </c>
      <c r="J3" s="204" t="inlineStr">
        <is>
          <t>Логистика этапы</t>
        </is>
      </c>
      <c r="L3" s="204" t="inlineStr">
        <is>
          <t>Базис поставки</t>
        </is>
      </c>
      <c r="N3" s="206" t="inlineStr">
        <is>
          <t>Страна</t>
        </is>
      </c>
      <c r="O3" s="207" t="inlineStr">
        <is>
          <t>Ставка НДС %</t>
        </is>
      </c>
      <c r="P3" s="207" t="inlineStr">
        <is>
          <t>Внутр наценка при продаже с РФ</t>
        </is>
      </c>
      <c r="Q3" s="207" t="inlineStr">
        <is>
          <t>Внутр наценка при продаже с ТР</t>
        </is>
      </c>
      <c r="S3" s="204" t="inlineStr">
        <is>
          <t>Валюта</t>
        </is>
      </c>
      <c r="U3" s="205" t="inlineStr">
        <is>
          <t>поставщик</t>
        </is>
      </c>
      <c r="V3" s="205" t="inlineStr">
        <is>
          <t>код</t>
        </is>
      </c>
      <c r="W3" s="205" t="inlineStr">
        <is>
          <t>заказчик</t>
        </is>
      </c>
      <c r="Y3" s="208" t="n">
        <v>0.05</v>
      </c>
      <c r="AC3" s="204" t="inlineStr">
        <is>
          <t>INTERFACTUM, UAB</t>
        </is>
      </c>
      <c r="AD3" s="204" t="inlineStr">
        <is>
          <t>Konstitucijos pr. 7, LT-09308 Vilnius ,Lithuania
SEPA ID: 306144423
VAT: LT100016367414</t>
        </is>
      </c>
      <c r="AE3" s="502" t="inlineStr">
        <is>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is>
      </c>
      <c r="AF3" s="204" t="inlineStr">
        <is>
          <t>Kravtsova K.</t>
        </is>
      </c>
      <c r="AG3" s="2" t="inlineStr">
        <is>
          <t>Европа</t>
        </is>
      </c>
      <c r="AL3" s="204" t="inlineStr">
        <is>
          <t>Китай-Турция</t>
        </is>
      </c>
      <c r="AM3" s="543" t="n">
        <v>0.03</v>
      </c>
      <c r="AP3" s="577" t="inlineStr">
        <is>
          <t>USD</t>
        </is>
      </c>
      <c r="AQ3" s="511" t="inlineStr">
        <is>
          <t>долл. США</t>
        </is>
      </c>
      <c r="AR3" s="511" t="inlineStr">
        <is>
          <t>центов</t>
        </is>
      </c>
    </row>
    <row r="4" ht="360" customHeight="1">
      <c r="A4" s="2" t="inlineStr">
        <is>
          <t>поставка</t>
        </is>
      </c>
      <c r="B4" s="7" t="n">
        <v>1</v>
      </c>
      <c r="D4" s="2" t="inlineStr">
        <is>
          <t>100% предоплата</t>
        </is>
      </c>
      <c r="E4" s="7" t="inlineStr">
        <is>
          <t>pmt_1</t>
        </is>
      </c>
      <c r="F4" s="9" t="inlineStr">
        <is>
          <t>adv_100_pre</t>
        </is>
      </c>
      <c r="G4" s="834" t="n">
        <v>0.08</v>
      </c>
      <c r="H4" s="834" t="n">
        <v>0.04</v>
      </c>
      <c r="J4" s="4" t="n"/>
      <c r="L4" s="7" t="inlineStr">
        <is>
          <t>DAP</t>
        </is>
      </c>
      <c r="N4" s="5" t="inlineStr">
        <is>
          <t>Турция</t>
        </is>
      </c>
      <c r="O4" s="39" t="n">
        <v>0.2</v>
      </c>
      <c r="P4" s="39" t="n">
        <v>0.02</v>
      </c>
      <c r="Q4" s="39" t="n">
        <v>0</v>
      </c>
      <c r="S4" s="7" t="inlineStr">
        <is>
          <t>USD</t>
        </is>
      </c>
      <c r="U4" s="14" t="n">
        <v>0</v>
      </c>
      <c r="V4" s="7" t="inlineStr">
        <is>
          <t>adv_100_post</t>
        </is>
      </c>
      <c r="W4" s="14" t="n">
        <v>0</v>
      </c>
      <c r="Y4" s="171" t="n">
        <v>0.1</v>
      </c>
      <c r="AC4" s="2" t="inlineStr">
        <is>
          <t>TEXCEL OTOMOTİV TİCARET LİMİTED ŞİRKETİ</t>
        </is>
      </c>
      <c r="AD4" s="500" t="inlineStr">
        <is>
          <t xml:space="preserve">EMNİYET EVLERİ Mah. YENİÇERİ Sok. GÜLER IŞ MERKEZI No: 2 / 1 KAĞITHANE / İSTANBUL
TAX NUMBER: 6300432447
MERSIS NUMBER: 0630043244700014
</t>
        </is>
      </c>
      <c r="AE4" s="500" t="inlineStr">
        <is>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is>
      </c>
      <c r="AF4" s="2" t="inlineStr">
        <is>
          <t>Bahattin Aksu</t>
        </is>
      </c>
      <c r="AG4" s="2" t="inlineStr">
        <is>
          <t>Турция</t>
        </is>
      </c>
      <c r="AP4" s="577" t="inlineStr">
        <is>
          <t>EUR</t>
        </is>
      </c>
      <c r="AQ4" s="511" t="inlineStr">
        <is>
          <t>евро</t>
        </is>
      </c>
      <c r="AR4" s="511" t="inlineStr">
        <is>
          <t>евро центов</t>
        </is>
      </c>
    </row>
    <row r="5">
      <c r="A5" s="2" t="inlineStr">
        <is>
          <t>транзит</t>
        </is>
      </c>
      <c r="B5" s="7" t="n">
        <v>2</v>
      </c>
      <c r="D5" s="2" t="inlineStr">
        <is>
          <t>100% постоплата</t>
        </is>
      </c>
      <c r="E5" s="7" t="inlineStr">
        <is>
          <t>pmt_2</t>
        </is>
      </c>
      <c r="F5" s="9" t="inlineStr">
        <is>
          <t>adv_100_post</t>
        </is>
      </c>
      <c r="G5" s="834" t="n">
        <v>0.15</v>
      </c>
      <c r="H5" s="834" t="n">
        <v>0.08</v>
      </c>
      <c r="J5" s="4" t="inlineStr">
        <is>
          <t>0 Забор запланирован</t>
        </is>
      </c>
      <c r="L5" s="7" t="inlineStr">
        <is>
          <t>DDP</t>
        </is>
      </c>
      <c r="N5" s="5" t="inlineStr">
        <is>
          <t>Турция (отгрузка на транзитной зоне)</t>
        </is>
      </c>
      <c r="O5" s="39" t="n">
        <v>0</v>
      </c>
      <c r="P5" s="39" t="n">
        <v>0.02</v>
      </c>
      <c r="Q5" s="39" t="n">
        <v>0</v>
      </c>
      <c r="S5" s="7" t="inlineStr">
        <is>
          <t>EUR</t>
        </is>
      </c>
      <c r="U5" s="14" t="n">
        <v>0.3</v>
      </c>
      <c r="V5" s="7" t="inlineStr">
        <is>
          <t>adv_30</t>
        </is>
      </c>
      <c r="W5" s="14" t="n">
        <v>0.3</v>
      </c>
      <c r="Y5" s="171" t="n">
        <v>0.2</v>
      </c>
      <c r="AC5" s="2" t="inlineStr">
        <is>
          <t>CMTO1 LLC</t>
        </is>
      </c>
      <c r="AD5" s="2" t="inlineStr">
        <is>
          <t>Adress: 109428, Moscow, wind. g. Ryazan Municipal District, Ryazan Ave., house 22, building 2, room 1/1</t>
        </is>
      </c>
      <c r="AF5" s="2" t="inlineStr">
        <is>
          <t>Grigoryev Sergey Vitalievich</t>
        </is>
      </c>
      <c r="AG5" s="2" t="inlineStr">
        <is>
          <t>Россия</t>
        </is>
      </c>
      <c r="AH5" s="2" t="inlineStr">
        <is>
          <t>Григорьев С.В.</t>
        </is>
      </c>
      <c r="AI5" s="2" t="inlineStr">
        <is>
          <t>ООО «ЦМТО-1»</t>
        </is>
      </c>
      <c r="AP5" s="577" t="inlineStr">
        <is>
          <t>RUB</t>
        </is>
      </c>
      <c r="AQ5" s="511" t="inlineStr">
        <is>
          <t>руб. РФ</t>
        </is>
      </c>
      <c r="AR5" s="511" t="inlineStr">
        <is>
          <t>копеек</t>
        </is>
      </c>
    </row>
    <row r="6">
      <c r="B6" s="7" t="n">
        <v>3</v>
      </c>
      <c r="D6" s="2" t="inlineStr">
        <is>
          <t>частичная оплата</t>
        </is>
      </c>
      <c r="E6" s="7" t="inlineStr">
        <is>
          <t>pmt_3</t>
        </is>
      </c>
      <c r="F6" s="251">
        <f>расчет!A11</f>
        <v/>
      </c>
      <c r="G6" s="835" t="n">
        <v>0.125</v>
      </c>
      <c r="H6" s="835" t="n">
        <v>0.05</v>
      </c>
      <c r="J6" s="4" t="inlineStr">
        <is>
          <t>1 Поставщик - Стамбул</t>
        </is>
      </c>
      <c r="L6" s="7" t="inlineStr">
        <is>
          <t>DPU</t>
        </is>
      </c>
      <c r="N6" s="5" t="inlineStr">
        <is>
          <t>ЕС (закупка между странами ЕС)</t>
        </is>
      </c>
      <c r="O6" s="39" t="n">
        <v>0</v>
      </c>
      <c r="P6" s="40" t="n">
        <v>0.04</v>
      </c>
      <c r="Q6" s="40" t="n">
        <v>0.02</v>
      </c>
      <c r="S6" s="7" t="inlineStr">
        <is>
          <t>RUB</t>
        </is>
      </c>
      <c r="U6" s="14" t="n">
        <v>0.5</v>
      </c>
      <c r="V6" s="7" t="inlineStr">
        <is>
          <t>adv_50</t>
        </is>
      </c>
      <c r="W6" s="14" t="n">
        <v>0.5</v>
      </c>
      <c r="Y6" s="171">
        <f>Y5+5%</f>
        <v/>
      </c>
      <c r="AC6" s="2" t="inlineStr">
        <is>
          <t>MASTER BEARING LLC</t>
        </is>
      </c>
      <c r="AD6" s="2" t="inlineStr">
        <is>
          <t>Adress: 109428, Moscow, ext.ter.g. Ryazan Municipal District, Ryazan Ave., 22, room 2, room 1/1</t>
        </is>
      </c>
      <c r="AF6" s="2" t="inlineStr">
        <is>
          <t>Dolenko-Dolskaya Ekaterina Vladimirovna</t>
        </is>
      </c>
      <c r="AG6" s="2" t="inlineStr">
        <is>
          <t>Россия</t>
        </is>
      </c>
      <c r="AH6" s="2" t="inlineStr">
        <is>
          <t>Доленко-Дольская Е.В.</t>
        </is>
      </c>
      <c r="AI6" s="2" t="inlineStr">
        <is>
          <t>ООО «Мастер Бэринг»</t>
        </is>
      </c>
      <c r="AP6" s="577" t="inlineStr">
        <is>
          <t>TRY</t>
        </is>
      </c>
      <c r="AQ6" s="511" t="inlineStr">
        <is>
          <t>тур. лир</t>
        </is>
      </c>
      <c r="AR6" s="511" t="inlineStr">
        <is>
          <t>курушей</t>
        </is>
      </c>
    </row>
    <row r="7" ht="60" customHeight="1">
      <c r="B7" s="7" t="n">
        <v>4</v>
      </c>
      <c r="J7" s="4" t="inlineStr">
        <is>
          <t>1 Поставщик - РФ</t>
        </is>
      </c>
      <c r="L7" s="7" t="inlineStr">
        <is>
          <t>CIP</t>
        </is>
      </c>
      <c r="N7" s="209" t="inlineStr">
        <is>
          <t>Россия</t>
        </is>
      </c>
      <c r="O7" s="210" t="n">
        <v>0.22</v>
      </c>
      <c r="P7" s="39" t="n">
        <v>0</v>
      </c>
      <c r="Q7" s="39" t="n">
        <v>0</v>
      </c>
      <c r="S7" s="7" t="inlineStr">
        <is>
          <t>TRY</t>
        </is>
      </c>
      <c r="U7" s="14" t="n">
        <v>0.5</v>
      </c>
      <c r="V7" s="7" t="inlineStr">
        <is>
          <t>adv_50</t>
        </is>
      </c>
      <c r="W7" s="14" t="n">
        <v>0.65</v>
      </c>
      <c r="Y7" s="171">
        <f>Y6+5%</f>
        <v/>
      </c>
      <c r="AC7" s="2" t="inlineStr">
        <is>
          <t>MASTER INZYNIERIA SPÓLKA ZOGRANICZONA ODPOWIEDZIALNOSCIA</t>
        </is>
      </c>
      <c r="AD7" s="500" t="inlineStr">
        <is>
          <t>R. Sofia 1000, District Sofia; Sofia municipality, sredets district ul."Tsar Kaloyan", Apostille 8, fl. 3, AP. Office 7
UIC: 207765332</t>
        </is>
      </c>
      <c r="AE7" s="500" t="inlineStr">
        <is>
          <t>Bank: Revolut Bank UAB
IBAN: LT63 3250 0321 5786 1467
BIC: REVOLT21
Bank address: Konstitucijos ave. 21B, 08130, Vilnius, Lithuania</t>
        </is>
      </c>
      <c r="AF7" s="2" t="inlineStr">
        <is>
          <t>Ivars Cinitis</t>
        </is>
      </c>
      <c r="AG7" s="2" t="inlineStr">
        <is>
          <t>Европа</t>
        </is>
      </c>
    </row>
    <row r="8" ht="150" customHeight="1">
      <c r="D8" s="1" t="inlineStr">
        <is>
          <t>Расходы на внешнее финансирование</t>
        </is>
      </c>
      <c r="J8" s="4" t="inlineStr">
        <is>
          <t>2 На Транзите в Стамбуле</t>
        </is>
      </c>
      <c r="L8" s="7" t="inlineStr">
        <is>
          <t>CPT</t>
        </is>
      </c>
      <c r="N8" s="209" t="inlineStr">
        <is>
          <t>Китай</t>
        </is>
      </c>
      <c r="O8" s="210" t="n">
        <v>0.13</v>
      </c>
      <c r="P8" s="39" t="n">
        <v>0.02</v>
      </c>
      <c r="Q8" s="39" t="n">
        <v>0</v>
      </c>
      <c r="S8" s="7" t="inlineStr">
        <is>
          <t>CNY</t>
        </is>
      </c>
      <c r="U8" s="14" t="n">
        <v>0.7</v>
      </c>
      <c r="V8" s="7" t="inlineStr">
        <is>
          <t>adv_70</t>
        </is>
      </c>
      <c r="W8" s="14" t="n">
        <v>0.5</v>
      </c>
      <c r="Y8" s="171">
        <f>Y7+5%</f>
        <v/>
      </c>
      <c r="AC8" s="2" t="inlineStr">
        <is>
          <t>MYCOLIBRI DMCC</t>
        </is>
      </c>
      <c r="AD8" s="2" t="inlineStr">
        <is>
          <t>Preatoni tower, compartment 1004, Dubai, UAE</t>
        </is>
      </c>
      <c r="AE8" s="500" t="inlineStr">
        <is>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is>
      </c>
      <c r="AF8" s="2" t="inlineStr">
        <is>
          <t>Boris Krichevsky</t>
        </is>
      </c>
      <c r="AG8" s="2" t="inlineStr">
        <is>
          <t>Турция</t>
        </is>
      </c>
    </row>
    <row r="9">
      <c r="D9" s="2" t="inlineStr">
        <is>
          <t>Годовая Ставка</t>
        </is>
      </c>
      <c r="E9" s="9" t="n">
        <v>0.25</v>
      </c>
      <c r="F9" s="9" t="n"/>
      <c r="G9" s="9" t="n"/>
      <c r="H9" s="9" t="n"/>
      <c r="J9" s="4" t="inlineStr">
        <is>
          <t>3 Стамбул - Новороссийск</t>
        </is>
      </c>
      <c r="L9" s="7" t="inlineStr">
        <is>
          <t>CIF</t>
        </is>
      </c>
      <c r="N9" s="5" t="inlineStr">
        <is>
          <t>Литва</t>
        </is>
      </c>
      <c r="O9" s="39" t="n">
        <v>0.21</v>
      </c>
      <c r="P9" s="40" t="n">
        <v>0.04</v>
      </c>
      <c r="Q9" s="40" t="n">
        <v>0.02</v>
      </c>
      <c r="S9" s="7" t="inlineStr">
        <is>
          <t>PLN</t>
        </is>
      </c>
      <c r="U9" s="14" t="n">
        <v>0.7</v>
      </c>
      <c r="V9" s="7" t="inlineStr">
        <is>
          <t>adv_70</t>
        </is>
      </c>
      <c r="W9" s="14" t="n">
        <v>0.65</v>
      </c>
      <c r="Y9" s="171">
        <f>Y8+5%</f>
        <v/>
      </c>
      <c r="AC9" s="2" t="inlineStr">
        <is>
          <t>GESTUS DIŞ TİCARET LİMİTED ŞİRKETİ</t>
        </is>
      </c>
      <c r="AG9" s="2" t="inlineStr">
        <is>
          <t>Турция</t>
        </is>
      </c>
    </row>
    <row r="10" ht="105" customHeight="1">
      <c r="D10" s="2" t="inlineStr">
        <is>
          <t>кол-во дней в году</t>
        </is>
      </c>
      <c r="E10" s="7" t="n">
        <v>365</v>
      </c>
      <c r="J10" s="4" t="inlineStr">
        <is>
          <t>4 В Новороссийске</t>
        </is>
      </c>
      <c r="L10" s="7" t="inlineStr">
        <is>
          <t>CFR</t>
        </is>
      </c>
      <c r="N10" s="5" t="inlineStr">
        <is>
          <t>Латвия</t>
        </is>
      </c>
      <c r="O10" s="39" t="n">
        <v>0.21</v>
      </c>
      <c r="P10" s="40" t="n">
        <v>0.04</v>
      </c>
      <c r="Q10" s="40" t="n">
        <v>0.02</v>
      </c>
      <c r="S10" s="7" t="inlineStr">
        <is>
          <t>BGN</t>
        </is>
      </c>
      <c r="U10" s="14" t="n">
        <v>1</v>
      </c>
      <c r="V10" s="7" t="inlineStr">
        <is>
          <t>adv_100</t>
        </is>
      </c>
      <c r="W10" s="14" t="n">
        <v>0.65</v>
      </c>
      <c r="Y10" s="171">
        <f>Y9+5%</f>
        <v/>
      </c>
      <c r="AC10" s="2" t="inlineStr">
        <is>
          <t>HORİZON GLOBAL MAKİNA VE YEDEK PARÇA TICARET LİMİTED ŞİRKETİ</t>
        </is>
      </c>
      <c r="AD10" s="2" t="inlineStr">
        <is>
          <t>Ataköy 7-8-9-10. Kisim Mah. Çobançeşme E-5 Yan Yol Cad. Ataköy Towers A Blok No 20/1 İç Kapi No 70 Bakirköy/İstanbul</t>
        </is>
      </c>
      <c r="AE10" s="500" t="inlineStr">
        <is>
          <t>Bank EMLAK KATILIM BANKASI А.Ş.
SWIFT Code EMLATRIS
Account No. 788194
IBAN (TRY) TR81 0021 1000 0007 8819 4000 01
IBAN (USD) TR97 0021 1000 0007 8819 4001 01
IBAN (EUR) TR70 0021 1000 0007 8819 4001 02
IBAN (AED) TR16 0021 1000 0007 8819 4001 04</t>
        </is>
      </c>
      <c r="AF10" s="2" t="inlineStr">
        <is>
          <t>Özgür Mahmut Kömür</t>
        </is>
      </c>
      <c r="AG10" s="2" t="inlineStr">
        <is>
          <t>Турция</t>
        </is>
      </c>
    </row>
    <row r="11" ht="75" customHeight="1">
      <c r="D11" s="2" t="inlineStr">
        <is>
          <t>Ставка в день</t>
        </is>
      </c>
      <c r="E11" s="836">
        <f>E9/E10</f>
        <v/>
      </c>
      <c r="F11" s="836" t="n"/>
      <c r="G11" s="836" t="n"/>
      <c r="H11" s="836" t="n"/>
      <c r="J11" s="4" t="inlineStr">
        <is>
          <t>5 Новороссийск-Клиент</t>
        </is>
      </c>
      <c r="L11" s="7" t="inlineStr">
        <is>
          <t>FOB</t>
        </is>
      </c>
      <c r="N11" s="5" t="inlineStr">
        <is>
          <t>Болгария</t>
        </is>
      </c>
      <c r="O11" s="39" t="n">
        <v>0.2</v>
      </c>
      <c r="P11" s="40" t="n">
        <v>0.04</v>
      </c>
      <c r="Q11" s="40" t="n">
        <v>0.02</v>
      </c>
      <c r="S11" s="7" t="inlineStr">
        <is>
          <t>AED</t>
        </is>
      </c>
      <c r="U11" s="14" t="n">
        <v>1</v>
      </c>
      <c r="V11" s="7" t="inlineStr">
        <is>
          <t>adv_100</t>
        </is>
      </c>
      <c r="W11" s="14" t="n">
        <v>0.7</v>
      </c>
      <c r="Y11" s="171">
        <f>Y10+5%</f>
        <v/>
      </c>
      <c r="AC11" s="2" t="inlineStr">
        <is>
          <t>ALP GRUP TERSANE BAKIM ONARIM VE TEDARİK HİZMETLERİ LİMİTED ŞİRKETİ</t>
        </is>
      </c>
      <c r="AD11" s="2" t="inlineStr">
        <is>
          <t>Zafer Mah. Çalışlar Sk. No: 1/6 Bahçelievler/İstanbul</t>
        </is>
      </c>
      <c r="AE11" s="500" t="inlineStr">
        <is>
          <t>Bank EMLAK KATILIM BANKASI А.Ş.
SWIFT Code EMLATRIS
Account No. 791419
IBAN (TRY) TR58 0021 1000 0007 9141 9000 01
IBAN (EUR) TR47 0021 1000 0007 9141 9001 02</t>
        </is>
      </c>
      <c r="AF11" s="2" t="inlineStr">
        <is>
          <t>Özgür Mahmut Kömür</t>
        </is>
      </c>
      <c r="AG11" s="2" t="inlineStr">
        <is>
          <t>Турция</t>
        </is>
      </c>
    </row>
    <row r="12" ht="120" customHeight="1">
      <c r="J12" s="4" t="inlineStr">
        <is>
          <t>5 Аэропорт-Клиент</t>
        </is>
      </c>
      <c r="L12" s="7" t="inlineStr">
        <is>
          <t>FAS</t>
        </is>
      </c>
      <c r="N12" s="5" t="inlineStr">
        <is>
          <t>Польша</t>
        </is>
      </c>
      <c r="O12" s="39" t="n">
        <v>0.23</v>
      </c>
      <c r="P12" s="40" t="n">
        <v>0.04</v>
      </c>
      <c r="Q12" s="40" t="n">
        <v>0.02</v>
      </c>
      <c r="S12" s="7" t="inlineStr">
        <is>
          <t>GBP</t>
        </is>
      </c>
      <c r="U12" s="14" t="n">
        <v>1</v>
      </c>
      <c r="V12" s="7" t="inlineStr">
        <is>
          <t>adv_100</t>
        </is>
      </c>
      <c r="W12" s="14" t="n">
        <v>1</v>
      </c>
      <c r="Y12" s="171">
        <f>Y11+5%</f>
        <v/>
      </c>
      <c r="AC12" s="2" t="inlineStr">
        <is>
          <t>UPDOOR Limited</t>
        </is>
      </c>
      <c r="AD12" s="500" t="inlineStr">
        <is>
          <t>ROOM 602, 6/F, KAI YUE
COMMERCIAL BUILDING, NO.2C,
ARGYLE STREET, MONGKOK
KOWLOON, HONG KONG</t>
        </is>
      </c>
      <c r="AE12" s="500" t="inlineStr">
        <is>
          <t>Account Number: 392417637
Bank Name: Citibank, N.A., Hong Kong Branch
Country/Region: Hong Kong
Bank Address: Champion Tower, Three Garden Road,
Central, Hong Kong
SWIFT CODE: CITIHKHX
BANK CODE: 006
BRANCH CODE: 391</t>
        </is>
      </c>
      <c r="AF12" s="2" t="inlineStr">
        <is>
          <t>Li Longsiqi</t>
        </is>
      </c>
      <c r="AG12" s="2" t="inlineStr">
        <is>
          <t>Китай</t>
        </is>
      </c>
    </row>
    <row r="13">
      <c r="D13" s="2" t="inlineStr">
        <is>
          <t>Комиссия фин/агента по переводу средств</t>
        </is>
      </c>
      <c r="E13" s="9" t="n">
        <v>0.02</v>
      </c>
      <c r="F13" s="9" t="n"/>
      <c r="G13" s="9" t="n"/>
      <c r="H13" s="9" t="n"/>
      <c r="J13" s="4" t="inlineStr">
        <is>
          <t>6 Доставлен Клиенту</t>
        </is>
      </c>
      <c r="L13" s="7" t="inlineStr">
        <is>
          <t>FCA</t>
        </is>
      </c>
      <c r="N13" s="5" t="inlineStr">
        <is>
          <t>ОАЭ</t>
        </is>
      </c>
      <c r="O13" s="39" t="n">
        <v>0.05</v>
      </c>
      <c r="P13" s="39" t="n">
        <v>0.03</v>
      </c>
      <c r="Q13" s="39" t="n">
        <v>0.01</v>
      </c>
      <c r="S13" s="7" t="inlineStr">
        <is>
          <t>KRW</t>
        </is>
      </c>
      <c r="U13" s="14" t="n">
        <v>1</v>
      </c>
      <c r="V13" s="7" t="inlineStr">
        <is>
          <t>adv_100_post</t>
        </is>
      </c>
      <c r="W13" s="14" t="n">
        <v>1</v>
      </c>
      <c r="Y13" s="171">
        <f>Y12+5%</f>
        <v/>
      </c>
      <c r="AC13" s="2" t="inlineStr">
        <is>
          <t>Limited Liability Company Rad Resurs</t>
        </is>
      </c>
      <c r="AD13" s="2" t="inlineStr">
        <is>
          <t>Adress: 111675, Moscow, municipal district Kosino-Ukhtomsky, st. Tatyana Makarova, 1. 6, room 2/1</t>
        </is>
      </c>
      <c r="AG13" s="2" t="inlineStr">
        <is>
          <t>Россия</t>
        </is>
      </c>
      <c r="AH13" s="2" t="inlineStr">
        <is>
          <t>Конюховский А.А.</t>
        </is>
      </c>
      <c r="AI13" s="2" t="inlineStr">
        <is>
          <t>ООО «Рад Ресурс»</t>
        </is>
      </c>
    </row>
    <row r="14">
      <c r="D14" s="2" t="inlineStr">
        <is>
          <t>Размер страховой премии</t>
        </is>
      </c>
      <c r="E14" s="837" t="n">
        <v>0.00047</v>
      </c>
      <c r="J14" s="4" t="inlineStr">
        <is>
          <t>На складе в IST</t>
        </is>
      </c>
      <c r="L14" s="7" t="inlineStr">
        <is>
          <t>EXW</t>
        </is>
      </c>
      <c r="N14" s="5" t="inlineStr">
        <is>
          <t>Прочие</t>
        </is>
      </c>
      <c r="O14" s="39" t="n">
        <v>0</v>
      </c>
      <c r="P14" s="39" t="n">
        <v>0.02</v>
      </c>
      <c r="Q14" s="39" t="n">
        <v>0</v>
      </c>
      <c r="S14" s="7" t="inlineStr">
        <is>
          <t>INR</t>
        </is>
      </c>
      <c r="U14" s="14" t="n"/>
      <c r="V14" s="14" t="n"/>
      <c r="W14" s="14" t="n"/>
      <c r="Y14" s="171">
        <f>Y13+5%</f>
        <v/>
      </c>
    </row>
    <row r="15">
      <c r="U15" s="14" t="n"/>
      <c r="V15" s="14" t="n"/>
      <c r="W15" s="14" t="n"/>
      <c r="Y15" s="171">
        <f>Y14+5%</f>
        <v/>
      </c>
    </row>
    <row r="16">
      <c r="D16" s="2" t="inlineStr">
        <is>
          <t>Организации</t>
        </is>
      </c>
      <c r="E16" s="7" t="inlineStr">
        <is>
          <t>Страна</t>
        </is>
      </c>
      <c r="F16" s="7" t="inlineStr">
        <is>
          <t>Column1</t>
        </is>
      </c>
      <c r="Y16" s="171">
        <f>Y15+5%</f>
        <v/>
      </c>
    </row>
    <row r="17">
      <c r="D17" s="2" t="inlineStr">
        <is>
          <t>МАСТЕР БЭРИНГ ООО</t>
        </is>
      </c>
      <c r="E17" s="7" t="inlineStr">
        <is>
          <t>RU</t>
        </is>
      </c>
      <c r="F17" s="80" t="inlineStr">
        <is>
          <t>МАСТЕР БЭРИНГ ООО (ИНН 0242013464)</t>
        </is>
      </c>
      <c r="G17" s="80" t="n"/>
      <c r="H17" s="80" t="n"/>
      <c r="L17" s="586" t="n">
        <v>46023</v>
      </c>
      <c r="N17" s="209" t="inlineStr">
        <is>
          <t>Россия</t>
        </is>
      </c>
      <c r="O17" s="210" t="n">
        <v>0.22</v>
      </c>
      <c r="Y17" s="171">
        <f>Y16+5%</f>
        <v/>
      </c>
    </row>
    <row r="18">
      <c r="D18" s="2" t="inlineStr">
        <is>
          <t>ЦМТО1 ООО</t>
        </is>
      </c>
      <c r="E18" s="7" t="inlineStr">
        <is>
          <t>RU</t>
        </is>
      </c>
      <c r="F18" s="80" t="inlineStr">
        <is>
          <t>ЦМТО1 ООО (ИНН 7704439774)</t>
        </is>
      </c>
      <c r="G18" s="80" t="n"/>
      <c r="H18" s="80" t="n"/>
      <c r="Y18" s="171">
        <f>Y17+5%</f>
        <v/>
      </c>
    </row>
    <row r="19">
      <c r="D19" s="2" t="inlineStr">
        <is>
          <t>TEXCEL OTOMOTİV TİCARET LİMİTED ŞİRKETİ</t>
        </is>
      </c>
      <c r="E19" s="7" t="inlineStr">
        <is>
          <t>TR</t>
        </is>
      </c>
      <c r="F19" s="80" t="inlineStr">
        <is>
          <t>TEXCEL OTOMOTİV TİCARET LİMİTED ŞİRKETİ (Турция)</t>
        </is>
      </c>
      <c r="G19" s="80" t="n"/>
      <c r="H19" s="80" t="n"/>
      <c r="Y19" s="171">
        <f>Y18+5%</f>
        <v/>
      </c>
    </row>
    <row r="20">
      <c r="D20" s="2" t="inlineStr">
        <is>
          <t>GESTUS DIŞ TİCARET LİMİTED ŞİRKETİ</t>
        </is>
      </c>
      <c r="E20" s="7" t="inlineStr">
        <is>
          <t>TR</t>
        </is>
      </c>
      <c r="F20" s="80" t="inlineStr">
        <is>
          <t>GESTUS DIŞ TİCARET LİMİTED ŞİRKETİ (Турция)</t>
        </is>
      </c>
      <c r="G20" s="80" t="n"/>
      <c r="H20" s="80" t="n"/>
      <c r="Y20" s="171">
        <f>Y19+5%</f>
        <v/>
      </c>
    </row>
    <row r="21">
      <c r="D21" s="2" t="inlineStr">
        <is>
          <t>UPDOOR Limited</t>
        </is>
      </c>
      <c r="E21" s="7" t="inlineStr">
        <is>
          <t>CN</t>
        </is>
      </c>
      <c r="F21" s="80" t="inlineStr">
        <is>
          <t>UPDOOR Limited (Китай)</t>
        </is>
      </c>
      <c r="G21" s="80" t="n"/>
      <c r="H21" s="80" t="n"/>
      <c r="Y21" s="171">
        <f>Y20+5%</f>
        <v/>
      </c>
    </row>
    <row r="22">
      <c r="D22" s="2" t="inlineStr">
        <is>
          <t>РАД РЕСУРС ООО</t>
        </is>
      </c>
      <c r="E22" s="7" t="inlineStr">
        <is>
          <t>RU</t>
        </is>
      </c>
      <c r="F22" s="80" t="inlineStr">
        <is>
          <t>РАД РЕСУРС (ИНН 7720946411)</t>
        </is>
      </c>
      <c r="G22" s="80" t="n"/>
      <c r="H22" s="80" t="n"/>
      <c r="Y22" s="171" t="n"/>
    </row>
    <row r="23">
      <c r="F23" s="80" t="n"/>
      <c r="G23" s="80" t="n"/>
      <c r="H23" s="80" t="n"/>
    </row>
    <row r="27">
      <c r="D27" s="2" t="inlineStr">
        <is>
          <t>Срок оплаты таможни и логистики (дн до даты поставки)</t>
        </is>
      </c>
      <c r="E27" s="7" t="n">
        <v>10</v>
      </c>
    </row>
  </sheetData>
  <sheetProtection selectLockedCells="0" selectUnlockedCells="0" algorithmName="SHA-512" sheet="1" objects="1" insertRows="1" insertHyperlinks="1" autoFilter="1" scenarios="1" formatColumns="1" deleteColumns="1" insertColumns="1" pivotTables="1" deleteRows="1" formatCells="1" saltValue="F4TV5F4dQcuNcsTJJxZ0wQ==" formatRows="1" sort="1" spinCount="100000" password="DF00" hashValue="z3ptl07d2YsGDUsvqjbRXstQbHQBcnOWvFhwxcOtmlS4vzyHIt8WApeESTFwnwLnI9Q8uLuohYGrkVACUuNakA=="/>
  <hyperlinks>
    <hyperlink xmlns:r="http://schemas.openxmlformats.org/officeDocument/2006/relationships" ref="J1" location="gid=0" r:id="rId1"/>
    <hyperlink xmlns:r="http://schemas.openxmlformats.org/officeDocument/2006/relationships" ref="M1" location="gid=315722311" r:id="rId2"/>
  </hyperlinks>
  <pageMargins left="0.7" right="0.7" top="0.75" bottom="0.75" header="0.3" footer="0.3"/>
  <pageSetup orientation="portrait" paperSize="9"/>
  <drawing xmlns:r="http://schemas.openxmlformats.org/officeDocument/2006/relationships" r:id="rId3"/>
  <tableParts count="8">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s>
</worksheet>
</file>

<file path=xl/worksheets/sheet11.xml><?xml version="1.0" encoding="utf-8"?>
<worksheet xmlns="http://schemas.openxmlformats.org/spreadsheetml/2006/main">
  <sheetPr codeName="Sheet6">
    <outlinePr summaryBelow="1" summaryRight="1"/>
    <pageSetUpPr/>
  </sheetPr>
  <dimension ref="B1:R32"/>
  <sheetViews>
    <sheetView workbookViewId="0">
      <selection activeCell="C17" sqref="C17"/>
    </sheetView>
  </sheetViews>
  <sheetFormatPr baseColWidth="8" defaultRowHeight="15" outlineLevelRow="1"/>
  <cols>
    <col width="1.42578125" customWidth="1" min="1" max="1"/>
    <col width="22.140625" bestFit="1" customWidth="1" min="2" max="2"/>
    <col width="8.7109375" customWidth="1" style="8" min="3" max="3"/>
    <col width="11.28515625" bestFit="1" customWidth="1" style="12" min="4" max="4"/>
    <col width="5.28515625" customWidth="1" style="12" min="5" max="5"/>
    <col width="11.28515625" customWidth="1" style="12" min="6" max="7"/>
    <col width="11.7109375" customWidth="1" min="8" max="9"/>
    <col width="10.140625" bestFit="1" customWidth="1" min="10" max="10"/>
    <col width="10.28515625" bestFit="1" customWidth="1" min="11" max="14"/>
    <col width="10.42578125" bestFit="1" customWidth="1" min="15" max="15"/>
  </cols>
  <sheetData>
    <row r="1">
      <c r="H1" s="1" t="inlineStr">
        <is>
          <t>аванс заказчика</t>
        </is>
      </c>
      <c r="I1" s="1" t="n"/>
    </row>
    <row r="2">
      <c r="H2" s="33" t="n">
        <v>0.2</v>
      </c>
      <c r="I2" s="33" t="n">
        <v>0.3</v>
      </c>
      <c r="J2" s="33" t="n">
        <v>0.5</v>
      </c>
      <c r="K2" s="33" t="n">
        <v>0.65</v>
      </c>
      <c r="L2" s="33" t="n">
        <v>0.7</v>
      </c>
      <c r="M2" s="33" t="n">
        <v>0.75</v>
      </c>
      <c r="N2" s="33" t="n">
        <v>0.8</v>
      </c>
      <c r="O2" s="33" t="n">
        <v>1</v>
      </c>
    </row>
    <row r="3" customFormat="1" s="1">
      <c r="B3" s="1" t="inlineStr">
        <is>
          <t>Закупка</t>
        </is>
      </c>
      <c r="C3" s="18" t="n"/>
      <c r="D3" s="20" t="n">
        <v>250000</v>
      </c>
      <c r="E3" s="35">
        <f>D3/$D$18</f>
        <v/>
      </c>
      <c r="F3" s="20" t="n"/>
      <c r="G3" s="20" t="n"/>
      <c r="H3" s="838">
        <f>$D$18*H$2</f>
        <v/>
      </c>
      <c r="I3" s="838">
        <f>$D$18*I$2</f>
        <v/>
      </c>
      <c r="J3" s="838">
        <f>$D$18*J$2</f>
        <v/>
      </c>
      <c r="K3" s="838">
        <f>$D$18*K$2</f>
        <v/>
      </c>
      <c r="L3" s="838">
        <f>$D$18*L$2</f>
        <v/>
      </c>
      <c r="M3" s="838">
        <f>$D$18*M$2</f>
        <v/>
      </c>
      <c r="N3" s="838">
        <f>$D$18*N$2</f>
        <v/>
      </c>
      <c r="O3" s="838">
        <f>$D$18*O$2</f>
        <v/>
      </c>
    </row>
    <row r="4" outlineLevel="1">
      <c r="B4" t="inlineStr">
        <is>
          <t>Аванс до отгрузки</t>
        </is>
      </c>
      <c r="C4" s="8" t="n">
        <v>0.5</v>
      </c>
      <c r="D4" s="12">
        <f>C4*D3</f>
        <v/>
      </c>
      <c r="E4" s="14">
        <f>D4/$D$18</f>
        <v/>
      </c>
      <c r="F4" s="17" t="n">
        <v>0.3</v>
      </c>
      <c r="G4" s="12">
        <f>$D$3*F4</f>
        <v/>
      </c>
      <c r="H4" s="839">
        <f>IF(H$3&gt;$G4,1,0)</f>
        <v/>
      </c>
      <c r="I4" s="839">
        <f>IF(I$3&gt;$G4,1,0)</f>
        <v/>
      </c>
      <c r="J4" s="839">
        <f>IF(J$3&gt;$G4,1,0)</f>
        <v/>
      </c>
      <c r="K4" s="839">
        <f>IF(K$3&gt;$G4,1,0)</f>
        <v/>
      </c>
      <c r="L4" s="839">
        <f>IF(L$3&gt;$G4,1,0)</f>
        <v/>
      </c>
      <c r="M4" s="839">
        <f>IF(M$3&gt;$G4,1,0)</f>
        <v/>
      </c>
      <c r="N4" s="839">
        <f>IF(N$3&gt;$G4,1,0)</f>
        <v/>
      </c>
      <c r="O4" s="839">
        <f>IF(O$3&gt;$G4,1,0)</f>
        <v/>
      </c>
    </row>
    <row r="5" outlineLevel="1">
      <c r="B5" t="inlineStr">
        <is>
          <t>Фин. Оплата после отгрузки</t>
        </is>
      </c>
      <c r="C5" s="8">
        <f>1-C4</f>
        <v/>
      </c>
      <c r="D5" s="19">
        <f>D3-D4</f>
        <v/>
      </c>
      <c r="E5" s="14">
        <f>D5/$D$18</f>
        <v/>
      </c>
      <c r="F5" s="17" t="n">
        <v>0.5</v>
      </c>
      <c r="G5" s="12">
        <f>$D$3*F5</f>
        <v/>
      </c>
      <c r="H5" s="839">
        <f>IF(H$3&gt;$G5,1,0)</f>
        <v/>
      </c>
      <c r="I5" s="839">
        <f>IF(I$3&gt;$G5,1,0)</f>
        <v/>
      </c>
      <c r="J5" s="839">
        <f>IF(J$3&gt;$G5,1,0)</f>
        <v/>
      </c>
      <c r="K5" s="839">
        <f>IF(K$3&gt;$G5,1,0)</f>
        <v/>
      </c>
      <c r="L5" s="839">
        <f>IF(L$3&gt;$G5,1,0)</f>
        <v/>
      </c>
      <c r="M5" s="839">
        <f>IF(M$3&gt;$G5,1,0)</f>
        <v/>
      </c>
      <c r="N5" s="839">
        <f>IF(N$3&gt;$G5,1,0)</f>
        <v/>
      </c>
      <c r="O5" s="839">
        <f>IF(O$3&gt;$G5,1,0)</f>
        <v/>
      </c>
    </row>
    <row r="6">
      <c r="B6" s="1" t="inlineStr">
        <is>
          <t>Логистика</t>
        </is>
      </c>
      <c r="C6" s="18" t="n"/>
      <c r="D6" s="20" t="n">
        <v>15000</v>
      </c>
      <c r="E6" s="14">
        <f>D6/$D$18</f>
        <v/>
      </c>
      <c r="F6" s="17" t="n">
        <v>0.7</v>
      </c>
      <c r="G6" s="12">
        <f>$D$3*F6</f>
        <v/>
      </c>
      <c r="H6" s="839">
        <f>IF(H$3&gt;$G6,1,0)</f>
        <v/>
      </c>
      <c r="I6" s="839">
        <f>IF(I$3&gt;$G6,1,0)</f>
        <v/>
      </c>
      <c r="J6" s="839">
        <f>IF(J$3&gt;$G6,1,0)</f>
        <v/>
      </c>
      <c r="K6" s="839">
        <f>IF(K$3&gt;$G6,1,0)</f>
        <v/>
      </c>
      <c r="L6" s="839">
        <f>IF(L$3&gt;$G6,1,0)</f>
        <v/>
      </c>
      <c r="M6" s="839">
        <f>IF(M$3&gt;$G6,1,0)</f>
        <v/>
      </c>
      <c r="N6" s="839">
        <f>IF(N$3&gt;$G6,1,0)</f>
        <v/>
      </c>
      <c r="O6" s="839">
        <f>IF(O$3&gt;$G6,1,0)</f>
        <v/>
      </c>
    </row>
    <row r="7" outlineLevel="1">
      <c r="B7" t="inlineStr">
        <is>
          <t>ЕС</t>
        </is>
      </c>
      <c r="D7" s="12" t="n">
        <v>5500</v>
      </c>
      <c r="E7" s="14">
        <f>D7/$D$18</f>
        <v/>
      </c>
      <c r="F7" s="17" t="n">
        <v>1</v>
      </c>
      <c r="G7" s="12">
        <f>$D$3*F7</f>
        <v/>
      </c>
      <c r="H7" s="839">
        <f>IF(H$3&gt;$G7,1,0)</f>
        <v/>
      </c>
      <c r="I7" s="839">
        <f>IF(I$3&gt;$G7,1,0)</f>
        <v/>
      </c>
      <c r="J7" s="839">
        <f>IF(J$3&gt;$G7,1,0)</f>
        <v/>
      </c>
      <c r="K7" s="839">
        <f>IF(K$3&gt;$G7,1,0)</f>
        <v/>
      </c>
      <c r="L7" s="839">
        <f>IF(L$3&gt;$G7,1,0)</f>
        <v/>
      </c>
      <c r="M7" s="839">
        <f>IF(M$3&gt;$G7,1,0)</f>
        <v/>
      </c>
      <c r="N7" s="839">
        <f>IF(N$3&gt;$G7,1,0)</f>
        <v/>
      </c>
      <c r="O7" s="839">
        <f>IF(O$3&gt;$G7,1,0)</f>
        <v/>
      </c>
    </row>
    <row r="8" outlineLevel="1">
      <c r="B8" t="inlineStr">
        <is>
          <t>Турция</t>
        </is>
      </c>
      <c r="D8" s="12" t="n">
        <v>6000</v>
      </c>
      <c r="E8" s="14">
        <f>D8/$D$18</f>
        <v/>
      </c>
      <c r="F8" s="20" t="n"/>
      <c r="G8" s="20" t="n"/>
      <c r="H8" s="840">
        <f>$D$3-H$3+$D$7+$D$8+$G$11</f>
        <v/>
      </c>
      <c r="I8" s="840">
        <f>$D$3-I$3+$D$7+$D$8+$G$11</f>
        <v/>
      </c>
      <c r="J8" s="840">
        <f>$D$3-J$3+$D$7+$D$8+$G$11</f>
        <v/>
      </c>
      <c r="K8" s="840">
        <f>$D$3-K$3+$D$7+$D$8+$G$11</f>
        <v/>
      </c>
      <c r="L8" s="840">
        <f>$D$3-L$3+$D$7+$D$8+$G$11</f>
        <v/>
      </c>
      <c r="M8" s="840">
        <f>$D$3-M$3+$D$7+$D$8+$G$11</f>
        <v/>
      </c>
      <c r="N8" s="840">
        <f>$D$3-N$3+$D$7+$D$8+$G$11</f>
        <v/>
      </c>
      <c r="O8" s="840">
        <f>$D$3-O$3+$D$7+$D$8+$G$11</f>
        <v/>
      </c>
    </row>
    <row r="9" outlineLevel="1">
      <c r="B9" t="inlineStr">
        <is>
          <t>РФ</t>
        </is>
      </c>
      <c r="C9" s="14" t="n"/>
      <c r="D9" s="12">
        <f>D6-D7-D8</f>
        <v/>
      </c>
      <c r="E9" s="14">
        <f>D9/$D$18</f>
        <v/>
      </c>
      <c r="F9" s="20" t="n"/>
      <c r="G9" s="13" t="n"/>
      <c r="H9" s="8">
        <f>H8/$D$18</f>
        <v/>
      </c>
      <c r="I9" s="8" t="n"/>
      <c r="J9" s="8">
        <f>J8/$D$18</f>
        <v/>
      </c>
      <c r="K9" s="8">
        <f>K8/$D$18</f>
        <v/>
      </c>
      <c r="L9" s="8">
        <f>L8/$D$18</f>
        <v/>
      </c>
      <c r="M9" s="8">
        <f>M8/$D$18</f>
        <v/>
      </c>
      <c r="N9" s="8">
        <f>N8/$D$18</f>
        <v/>
      </c>
      <c r="O9" s="8">
        <f>O8/$D$18</f>
        <v/>
      </c>
    </row>
    <row r="10">
      <c r="B10" s="1" t="inlineStr">
        <is>
          <t>Финансовые расходы</t>
        </is>
      </c>
      <c r="C10" s="14" t="n">
        <v>0.04</v>
      </c>
      <c r="D10" s="20">
        <f>SUM(D3,D6-D9)*C10</f>
        <v/>
      </c>
      <c r="E10" s="14">
        <f>D10/$D$18</f>
        <v/>
      </c>
      <c r="F10" s="20" t="n"/>
      <c r="G10" s="31" t="inlineStr">
        <is>
          <t>фин. расх.</t>
        </is>
      </c>
    </row>
    <row r="11">
      <c r="B11" s="1" t="inlineStr">
        <is>
          <t>Таможня РФ</t>
        </is>
      </c>
      <c r="D11" s="20">
        <f>SUM(D12:D15)</f>
        <v/>
      </c>
      <c r="E11" s="14">
        <f>D11/$D$18</f>
        <v/>
      </c>
      <c r="F11" s="20" t="n"/>
      <c r="G11" s="841">
        <f>(D4*$C$10*2)</f>
        <v/>
      </c>
    </row>
    <row r="12" outlineLevel="1">
      <c r="B12" t="inlineStr">
        <is>
          <t>Страховка</t>
        </is>
      </c>
      <c r="C12" s="842" t="n">
        <v>0.00047</v>
      </c>
      <c r="D12" s="12">
        <f>$D$25*C12</f>
        <v/>
      </c>
      <c r="E12" s="14">
        <f>D12/$D$18</f>
        <v/>
      </c>
      <c r="F12" s="20" t="n"/>
      <c r="G12" s="20" t="n"/>
    </row>
    <row r="13" outlineLevel="1">
      <c r="B13" t="inlineStr">
        <is>
          <t>Акциз</t>
        </is>
      </c>
      <c r="E13" s="14">
        <f>D13/$D$18</f>
        <v/>
      </c>
      <c r="F13" s="20" t="n"/>
      <c r="G13" s="20" t="n"/>
    </row>
    <row r="14" outlineLevel="1">
      <c r="B14" t="inlineStr">
        <is>
          <t>Растаможка</t>
        </is>
      </c>
      <c r="C14" s="8" t="n">
        <v>0.1</v>
      </c>
      <c r="D14" s="12">
        <f>$D$25*C14</f>
        <v/>
      </c>
      <c r="E14" s="14">
        <f>D14/$D$18</f>
        <v/>
      </c>
      <c r="F14" s="20" t="n"/>
      <c r="G14" s="20" t="n"/>
    </row>
    <row r="15" outlineLevel="1">
      <c r="B15" t="inlineStr">
        <is>
          <t>НДС</t>
        </is>
      </c>
      <c r="C15" s="8" t="n">
        <v>0.2</v>
      </c>
      <c r="D15" s="13">
        <f>SUM(D12:D14,D25)*C15</f>
        <v/>
      </c>
      <c r="E15" s="14">
        <f>D15/$D$18</f>
        <v/>
      </c>
      <c r="F15" s="20" t="n"/>
      <c r="G15" s="20" t="n"/>
    </row>
    <row r="16">
      <c r="B16" s="25" t="inlineStr">
        <is>
          <t>Итого себес</t>
        </is>
      </c>
      <c r="C16" s="26" t="n"/>
      <c r="D16" s="27">
        <f>SUM(D3,D6,D10,D11)</f>
        <v/>
      </c>
      <c r="E16" s="14">
        <f>D16/$D$18</f>
        <v/>
      </c>
      <c r="F16" s="20" t="n"/>
      <c r="G16" s="20" t="n"/>
      <c r="P16" s="20" t="n"/>
      <c r="Q16" s="20" t="n"/>
      <c r="R16" s="20" t="n"/>
    </row>
    <row r="17">
      <c r="B17" t="inlineStr">
        <is>
          <t>Наценка</t>
        </is>
      </c>
      <c r="C17" s="8" t="n">
        <v>0.1</v>
      </c>
      <c r="D17" s="12">
        <f>D16*C17</f>
        <v/>
      </c>
      <c r="E17" s="14">
        <f>D17/$D$18</f>
        <v/>
      </c>
      <c r="F17" s="20" t="n"/>
      <c r="G17" s="20" t="n"/>
      <c r="P17" s="20" t="n"/>
      <c r="Q17" s="20" t="n"/>
      <c r="R17" s="20" t="n"/>
    </row>
    <row r="18" customFormat="1" s="1">
      <c r="B18" s="28" t="inlineStr">
        <is>
          <t>Выручка с продаж</t>
        </is>
      </c>
      <c r="C18" s="29" t="n"/>
      <c r="D18" s="30">
        <f>D16*(1+C17)</f>
        <v/>
      </c>
      <c r="E18" s="14">
        <f>D18/$D$18</f>
        <v/>
      </c>
      <c r="F18" s="20" t="n"/>
    </row>
    <row r="19">
      <c r="B19" t="inlineStr">
        <is>
          <t>Продажа/Закупка</t>
        </is>
      </c>
      <c r="D19" s="34">
        <f>D18/D3</f>
        <v/>
      </c>
      <c r="E19" s="14" t="n"/>
      <c r="F19" s="20" t="n"/>
    </row>
    <row r="20">
      <c r="E20" s="20" t="n"/>
      <c r="F20" s="20" t="n"/>
      <c r="G20" s="20" t="n"/>
    </row>
    <row r="21">
      <c r="E21" s="20" t="n"/>
      <c r="F21" s="20" t="n"/>
      <c r="G21" s="20" t="n"/>
    </row>
    <row r="22">
      <c r="B22" s="21" t="inlineStr">
        <is>
          <t>Справочно: Валютная спека</t>
        </is>
      </c>
      <c r="E22" s="20" t="n"/>
      <c r="F22" s="20" t="n"/>
      <c r="G22" s="20" t="n"/>
    </row>
    <row r="23">
      <c r="B23" t="inlineStr">
        <is>
          <t>ТР-РФ</t>
        </is>
      </c>
      <c r="C23" s="16" t="n">
        <v>0.1</v>
      </c>
      <c r="E23" s="20" t="n"/>
      <c r="F23" s="20" t="n"/>
      <c r="G23" s="20" t="n"/>
    </row>
    <row r="24">
      <c r="B24" t="inlineStr">
        <is>
          <t>ЕС-ТР</t>
        </is>
      </c>
      <c r="C24" s="16" t="n">
        <v>0.03</v>
      </c>
      <c r="E24" s="20" t="n"/>
      <c r="F24" s="20" t="n"/>
      <c r="G24" s="20" t="n"/>
    </row>
    <row r="25">
      <c r="B25" s="1" t="inlineStr">
        <is>
          <t>Итого</t>
        </is>
      </c>
      <c r="C25" s="23">
        <f>SUM(C23:C24)</f>
        <v/>
      </c>
      <c r="D25" s="843">
        <f>(1+C25)*D3</f>
        <v/>
      </c>
      <c r="E25" s="20" t="n"/>
      <c r="F25" s="20" t="n"/>
      <c r="G25" s="20" t="n"/>
    </row>
    <row r="26">
      <c r="E26" s="20" t="n"/>
      <c r="F26" s="20" t="n"/>
      <c r="G26" s="20" t="n"/>
    </row>
    <row r="27">
      <c r="E27" s="20" t="n"/>
      <c r="F27" s="20" t="n"/>
      <c r="G27" s="20" t="n"/>
    </row>
    <row r="28">
      <c r="E28" s="20" t="n"/>
      <c r="F28" s="20" t="n"/>
      <c r="G28" s="20" t="n"/>
    </row>
    <row r="29">
      <c r="E29" s="20" t="n"/>
      <c r="F29" s="20" t="n"/>
      <c r="G29" s="20" t="n"/>
    </row>
    <row r="30">
      <c r="E30" s="20" t="n"/>
      <c r="F30" s="20" t="n"/>
      <c r="G30" s="20" t="n"/>
    </row>
    <row r="31">
      <c r="E31" s="20" t="n"/>
      <c r="F31" s="20" t="n"/>
      <c r="G31" s="20" t="n"/>
    </row>
    <row r="32">
      <c r="E32" s="20" t="n"/>
      <c r="F32" s="20" t="n"/>
      <c r="G32" s="20" t="n"/>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Kamila Kuryazova</dc:creator>
  <dcterms:created xsi:type="dcterms:W3CDTF">2025-01-21T08:57:26Z</dcterms:created>
  <dcterms:modified xsi:type="dcterms:W3CDTF">2025-11-29T09:19:30Z</dcterms:modified>
  <cp:lastModifiedBy>Andrey Novikov</cp:lastModifiedBy>
  <cp:lastPrinted>2025-09-08T12:54:26Z</cp:lastPrinted>
</cp:coreProperties>
</file>